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filterPrivacy="1"/>
  <xr:revisionPtr revIDLastSave="0" documentId="13_ncr:1_{333A8B44-4EF4-644B-81F6-4C1663EAA118}" xr6:coauthVersionLast="46" xr6:coauthVersionMax="46" xr10:uidLastSave="{00000000-0000-0000-0000-000000000000}"/>
  <bookViews>
    <workbookView xWindow="0" yWindow="0" windowWidth="28800" windowHeight="18000" tabRatio="421" xr2:uid="{00000000-000D-0000-FFFF-FFFF00000000}"/>
  </bookViews>
  <sheets>
    <sheet name="Data-solution" sheetId="1" r:id="rId1"/>
    <sheet name="Simplex algorithm" sheetId="2" r:id="rId2"/>
    <sheet name="Sensitivity analysis" sheetId="3" r:id="rId3"/>
  </sheets>
  <definedNames>
    <definedName name="solver_cvg" localSheetId="0" hidden="1">0.0001</definedName>
    <definedName name="solver_drv" localSheetId="0" hidden="1">1</definedName>
    <definedName name="solver_eng" localSheetId="0" hidden="1">2</definedName>
    <definedName name="solver_est" localSheetId="0" hidden="1">1</definedName>
    <definedName name="solver_itr" localSheetId="0" hidden="1">2147483647</definedName>
    <definedName name="solver_lhs1" localSheetId="0" hidden="1">'Data-solution'!$B$11:$L$11</definedName>
    <definedName name="solver_lhs10" localSheetId="0" hidden="1">'Data-solution'!$B$9:$L$9</definedName>
    <definedName name="solver_lhs11" localSheetId="0" hidden="1">'Data-solution'!$B$10:$L$10</definedName>
    <definedName name="solver_lhs2" localSheetId="0" hidden="1">'Data-solution'!$B$12:$L$12</definedName>
    <definedName name="solver_lhs3" localSheetId="0" hidden="1">'Data-solution'!$B$13:$L$13</definedName>
    <definedName name="solver_lhs4" localSheetId="0" hidden="1">'Data-solution'!$B$14:$L$14</definedName>
    <definedName name="solver_lhs5" localSheetId="0" hidden="1">'Data-solution'!$B$4:$L$4</definedName>
    <definedName name="solver_lhs6" localSheetId="0" hidden="1">'Data-solution'!$B$5:$L$5</definedName>
    <definedName name="solver_lhs7" localSheetId="0" hidden="1">'Data-solution'!$B$6:$L$6</definedName>
    <definedName name="solver_lhs8" localSheetId="0" hidden="1">'Data-solution'!$B$7:$L$7</definedName>
    <definedName name="solver_lhs9" localSheetId="0" hidden="1">'Data-solution'!$B$8:$L$8</definedName>
    <definedName name="solver_mip" localSheetId="0" hidden="1">2147483647</definedName>
    <definedName name="solver_mni" localSheetId="0" hidden="1">30</definedName>
    <definedName name="solver_mrt" localSheetId="0" hidden="1">0.075</definedName>
    <definedName name="solver_msl" localSheetId="0" hidden="1">2</definedName>
    <definedName name="solver_neg" localSheetId="0" hidden="1">1</definedName>
    <definedName name="solver_nod" localSheetId="0" hidden="1">2147483647</definedName>
    <definedName name="solver_num" localSheetId="0" hidden="1">11</definedName>
    <definedName name="solver_nwt" localSheetId="0" hidden="1">1</definedName>
    <definedName name="solver_opt" localSheetId="0" hidden="1">'Data-solution'!#REF!</definedName>
    <definedName name="solver_pre" localSheetId="0" hidden="1">0.000001</definedName>
    <definedName name="solver_rbv" localSheetId="0" hidden="1">1</definedName>
    <definedName name="solver_rel1" localSheetId="0" hidden="1">1</definedName>
    <definedName name="solver_rel10" localSheetId="0" hidden="1">1</definedName>
    <definedName name="solver_rel11" localSheetId="0" hidden="1">1</definedName>
    <definedName name="solver_rel2" localSheetId="0" hidden="1">1</definedName>
    <definedName name="solver_rel3" localSheetId="0" hidden="1">1</definedName>
    <definedName name="solver_rel4" localSheetId="0" hidden="1">1</definedName>
    <definedName name="solver_rel5" localSheetId="0" hidden="1">1</definedName>
    <definedName name="solver_rel6" localSheetId="0" hidden="1">1</definedName>
    <definedName name="solver_rel7" localSheetId="0" hidden="1">1</definedName>
    <definedName name="solver_rel8" localSheetId="0" hidden="1">1</definedName>
    <definedName name="solver_rel9" localSheetId="0" hidden="1">1</definedName>
    <definedName name="solver_rhs1" localSheetId="0" hidden="1">'Data-solution'!$N$11</definedName>
    <definedName name="solver_rhs10" localSheetId="0" hidden="1">'Data-solution'!$N$9</definedName>
    <definedName name="solver_rhs11" localSheetId="0" hidden="1">'Data-solution'!$N$10</definedName>
    <definedName name="solver_rhs2" localSheetId="0" hidden="1">'Data-solution'!$N$12</definedName>
    <definedName name="solver_rhs3" localSheetId="0" hidden="1">'Data-solution'!$N$13</definedName>
    <definedName name="solver_rhs4" localSheetId="0" hidden="1">'Data-solution'!$N$14</definedName>
    <definedName name="solver_rhs5" localSheetId="0" hidden="1">'Data-solution'!$N$4</definedName>
    <definedName name="solver_rhs6" localSheetId="0" hidden="1">'Data-solution'!$N$5</definedName>
    <definedName name="solver_rhs7" localSheetId="0" hidden="1">'Data-solution'!$N$6</definedName>
    <definedName name="solver_rhs8" localSheetId="0" hidden="1">'Data-solution'!$N$7</definedName>
    <definedName name="solver_rhs9" localSheetId="0" hidden="1">'Data-solution'!$N$8</definedName>
    <definedName name="solver_rlx" localSheetId="0" hidden="1">2</definedName>
    <definedName name="solver_rsd" localSheetId="0" hidden="1">0</definedName>
    <definedName name="solver_scl" localSheetId="0" hidden="1">1</definedName>
    <definedName name="solver_sho" localSheetId="0" hidden="1">2</definedName>
    <definedName name="solver_ssz" localSheetId="0" hidden="1">100</definedName>
    <definedName name="solver_tim" localSheetId="0" hidden="1">2147483647</definedName>
    <definedName name="solver_tol" localSheetId="0" hidden="1">0.01</definedName>
    <definedName name="solver_typ" localSheetId="0" hidden="1">1</definedName>
    <definedName name="solver_val" localSheetId="0" hidden="1">0</definedName>
    <definedName name="solver_ver" localSheetId="0" hidden="1">3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N2" i="2" l="1"/>
  <c r="Y2" i="2"/>
  <c r="N1" i="3" l="1"/>
  <c r="N286" i="2" l="1"/>
  <c r="O286" i="2"/>
  <c r="P286" i="2"/>
  <c r="Q286" i="2"/>
  <c r="R286" i="2"/>
  <c r="S286" i="2"/>
  <c r="T286" i="2"/>
  <c r="U286" i="2"/>
  <c r="V286" i="2"/>
  <c r="W286" i="2"/>
  <c r="X286" i="2"/>
  <c r="Y286" i="2"/>
  <c r="Z286" i="2"/>
  <c r="AA286" i="2"/>
  <c r="AB286" i="2"/>
  <c r="AC286" i="2"/>
  <c r="AD286" i="2"/>
  <c r="AE286" i="2"/>
  <c r="AF286" i="2"/>
  <c r="AG286" i="2"/>
  <c r="AH286" i="2"/>
  <c r="AI286" i="2"/>
  <c r="N301" i="2"/>
  <c r="O301" i="2"/>
  <c r="P301" i="2"/>
  <c r="Q301" i="2"/>
  <c r="R301" i="2"/>
  <c r="S301" i="2"/>
  <c r="T301" i="2"/>
  <c r="U301" i="2"/>
  <c r="V301" i="2"/>
  <c r="W301" i="2"/>
  <c r="X301" i="2"/>
  <c r="Y301" i="2"/>
  <c r="Z301" i="2"/>
  <c r="AA301" i="2"/>
  <c r="AB301" i="2"/>
  <c r="AC301" i="2"/>
  <c r="AD301" i="2"/>
  <c r="AE301" i="2"/>
  <c r="AF301" i="2"/>
  <c r="AG301" i="2"/>
  <c r="AH301" i="2"/>
  <c r="AI301" i="2"/>
  <c r="N31" i="2"/>
  <c r="O31" i="2"/>
  <c r="P31" i="2"/>
  <c r="Q31" i="2"/>
  <c r="R31" i="2"/>
  <c r="S31" i="2"/>
  <c r="T31" i="2"/>
  <c r="U31" i="2"/>
  <c r="V31" i="2"/>
  <c r="W31" i="2"/>
  <c r="X31" i="2"/>
  <c r="Y31" i="2"/>
  <c r="Z31" i="2"/>
  <c r="AA31" i="2"/>
  <c r="AB31" i="2"/>
  <c r="AC31" i="2"/>
  <c r="AD31" i="2"/>
  <c r="AE31" i="2"/>
  <c r="AF31" i="2"/>
  <c r="AG31" i="2"/>
  <c r="AH31" i="2"/>
  <c r="AI31" i="2"/>
  <c r="N46" i="2"/>
  <c r="O46" i="2"/>
  <c r="P46" i="2"/>
  <c r="Q46" i="2"/>
  <c r="R46" i="2"/>
  <c r="S46" i="2"/>
  <c r="T46" i="2"/>
  <c r="U46" i="2"/>
  <c r="V46" i="2"/>
  <c r="W46" i="2"/>
  <c r="X46" i="2"/>
  <c r="Y46" i="2"/>
  <c r="Z46" i="2"/>
  <c r="AA46" i="2"/>
  <c r="AB46" i="2"/>
  <c r="AC46" i="2"/>
  <c r="AD46" i="2"/>
  <c r="AE46" i="2"/>
  <c r="AF46" i="2"/>
  <c r="AG46" i="2"/>
  <c r="AH46" i="2"/>
  <c r="AI46" i="2"/>
  <c r="N61" i="2"/>
  <c r="O61" i="2"/>
  <c r="P61" i="2"/>
  <c r="Q61" i="2"/>
  <c r="R61" i="2"/>
  <c r="S61" i="2"/>
  <c r="T61" i="2"/>
  <c r="U61" i="2"/>
  <c r="V61" i="2"/>
  <c r="W61" i="2"/>
  <c r="X61" i="2"/>
  <c r="Y61" i="2"/>
  <c r="Z61" i="2"/>
  <c r="AA61" i="2"/>
  <c r="AB61" i="2"/>
  <c r="AC61" i="2"/>
  <c r="AD61" i="2"/>
  <c r="AE61" i="2"/>
  <c r="AF61" i="2"/>
  <c r="AG61" i="2"/>
  <c r="AH61" i="2"/>
  <c r="AI61" i="2"/>
  <c r="N76" i="2"/>
  <c r="O76" i="2"/>
  <c r="P76" i="2"/>
  <c r="Q76" i="2"/>
  <c r="R76" i="2"/>
  <c r="S76" i="2"/>
  <c r="T76" i="2"/>
  <c r="U76" i="2"/>
  <c r="V76" i="2"/>
  <c r="W76" i="2"/>
  <c r="X76" i="2"/>
  <c r="Y76" i="2"/>
  <c r="Z76" i="2"/>
  <c r="AA76" i="2"/>
  <c r="AB76" i="2"/>
  <c r="AC76" i="2"/>
  <c r="AD76" i="2"/>
  <c r="AE76" i="2"/>
  <c r="AF76" i="2"/>
  <c r="AG76" i="2"/>
  <c r="AH76" i="2"/>
  <c r="AI76" i="2"/>
  <c r="N91" i="2"/>
  <c r="O91" i="2"/>
  <c r="P91" i="2"/>
  <c r="Q91" i="2"/>
  <c r="R91" i="2"/>
  <c r="S91" i="2"/>
  <c r="T91" i="2"/>
  <c r="U91" i="2"/>
  <c r="V91" i="2"/>
  <c r="W91" i="2"/>
  <c r="X91" i="2"/>
  <c r="Y91" i="2"/>
  <c r="Z91" i="2"/>
  <c r="AA91" i="2"/>
  <c r="AB91" i="2"/>
  <c r="AC91" i="2"/>
  <c r="AD91" i="2"/>
  <c r="AE91" i="2"/>
  <c r="AF91" i="2"/>
  <c r="AG91" i="2"/>
  <c r="AH91" i="2"/>
  <c r="AI91" i="2"/>
  <c r="N106" i="2"/>
  <c r="O106" i="2"/>
  <c r="P106" i="2"/>
  <c r="Q106" i="2"/>
  <c r="R106" i="2"/>
  <c r="S106" i="2"/>
  <c r="T106" i="2"/>
  <c r="U106" i="2"/>
  <c r="V106" i="2"/>
  <c r="W106" i="2"/>
  <c r="X106" i="2"/>
  <c r="Y106" i="2"/>
  <c r="Z106" i="2"/>
  <c r="AA106" i="2"/>
  <c r="AB106" i="2"/>
  <c r="AC106" i="2"/>
  <c r="AD106" i="2"/>
  <c r="AE106" i="2"/>
  <c r="AF106" i="2"/>
  <c r="AG106" i="2"/>
  <c r="AH106" i="2"/>
  <c r="AI106" i="2"/>
  <c r="N121" i="2"/>
  <c r="O121" i="2"/>
  <c r="P121" i="2"/>
  <c r="Q121" i="2"/>
  <c r="R121" i="2"/>
  <c r="S121" i="2"/>
  <c r="T121" i="2"/>
  <c r="U121" i="2"/>
  <c r="V121" i="2"/>
  <c r="W121" i="2"/>
  <c r="X121" i="2"/>
  <c r="Y121" i="2"/>
  <c r="Z121" i="2"/>
  <c r="AA121" i="2"/>
  <c r="AB121" i="2"/>
  <c r="AC121" i="2"/>
  <c r="AD121" i="2"/>
  <c r="AE121" i="2"/>
  <c r="AF121" i="2"/>
  <c r="AG121" i="2"/>
  <c r="AH121" i="2"/>
  <c r="AI121" i="2"/>
  <c r="N136" i="2"/>
  <c r="O136" i="2"/>
  <c r="P136" i="2"/>
  <c r="Q136" i="2"/>
  <c r="R136" i="2"/>
  <c r="S136" i="2"/>
  <c r="T136" i="2"/>
  <c r="U136" i="2"/>
  <c r="V136" i="2"/>
  <c r="W136" i="2"/>
  <c r="X136" i="2"/>
  <c r="Y136" i="2"/>
  <c r="Z136" i="2"/>
  <c r="AA136" i="2"/>
  <c r="AB136" i="2"/>
  <c r="AC136" i="2"/>
  <c r="AD136" i="2"/>
  <c r="AE136" i="2"/>
  <c r="AF136" i="2"/>
  <c r="AG136" i="2"/>
  <c r="AH136" i="2"/>
  <c r="AI136" i="2"/>
  <c r="N151" i="2"/>
  <c r="O151" i="2"/>
  <c r="P151" i="2"/>
  <c r="Q151" i="2"/>
  <c r="R151" i="2"/>
  <c r="S151" i="2"/>
  <c r="T151" i="2"/>
  <c r="U151" i="2"/>
  <c r="V151" i="2"/>
  <c r="W151" i="2"/>
  <c r="X151" i="2"/>
  <c r="Y151" i="2"/>
  <c r="Z151" i="2"/>
  <c r="AA151" i="2"/>
  <c r="AB151" i="2"/>
  <c r="AC151" i="2"/>
  <c r="AD151" i="2"/>
  <c r="AE151" i="2"/>
  <c r="AF151" i="2"/>
  <c r="AG151" i="2"/>
  <c r="AH151" i="2"/>
  <c r="AI151" i="2"/>
  <c r="N166" i="2"/>
  <c r="O166" i="2"/>
  <c r="P166" i="2"/>
  <c r="Q166" i="2"/>
  <c r="R166" i="2"/>
  <c r="S166" i="2"/>
  <c r="T166" i="2"/>
  <c r="U166" i="2"/>
  <c r="V166" i="2"/>
  <c r="W166" i="2"/>
  <c r="X166" i="2"/>
  <c r="Y166" i="2"/>
  <c r="Z166" i="2"/>
  <c r="AA166" i="2"/>
  <c r="AB166" i="2"/>
  <c r="AC166" i="2"/>
  <c r="AD166" i="2"/>
  <c r="AE166" i="2"/>
  <c r="AF166" i="2"/>
  <c r="AG166" i="2"/>
  <c r="AH166" i="2"/>
  <c r="AI166" i="2"/>
  <c r="N181" i="2"/>
  <c r="O181" i="2"/>
  <c r="P181" i="2"/>
  <c r="Q181" i="2"/>
  <c r="R181" i="2"/>
  <c r="S181" i="2"/>
  <c r="T181" i="2"/>
  <c r="U181" i="2"/>
  <c r="V181" i="2"/>
  <c r="W181" i="2"/>
  <c r="X181" i="2"/>
  <c r="Y181" i="2"/>
  <c r="Z181" i="2"/>
  <c r="AA181" i="2"/>
  <c r="AB181" i="2"/>
  <c r="AC181" i="2"/>
  <c r="AD181" i="2"/>
  <c r="AE181" i="2"/>
  <c r="AF181" i="2"/>
  <c r="AG181" i="2"/>
  <c r="AH181" i="2"/>
  <c r="AI181" i="2"/>
  <c r="N196" i="2"/>
  <c r="O196" i="2"/>
  <c r="P196" i="2"/>
  <c r="Q196" i="2"/>
  <c r="R196" i="2"/>
  <c r="S196" i="2"/>
  <c r="T196" i="2"/>
  <c r="U196" i="2"/>
  <c r="V196" i="2"/>
  <c r="W196" i="2"/>
  <c r="X196" i="2"/>
  <c r="Y196" i="2"/>
  <c r="Z196" i="2"/>
  <c r="AA196" i="2"/>
  <c r="AB196" i="2"/>
  <c r="AC196" i="2"/>
  <c r="AD196" i="2"/>
  <c r="AE196" i="2"/>
  <c r="AF196" i="2"/>
  <c r="AG196" i="2"/>
  <c r="AH196" i="2"/>
  <c r="AI196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D211" i="2"/>
  <c r="AE211" i="2"/>
  <c r="AF211" i="2"/>
  <c r="AG211" i="2"/>
  <c r="AH211" i="2"/>
  <c r="AI211" i="2"/>
  <c r="N226" i="2"/>
  <c r="O226" i="2"/>
  <c r="P226" i="2"/>
  <c r="Q226" i="2"/>
  <c r="R226" i="2"/>
  <c r="S226" i="2"/>
  <c r="T226" i="2"/>
  <c r="U226" i="2"/>
  <c r="V226" i="2"/>
  <c r="W226" i="2"/>
  <c r="X226" i="2"/>
  <c r="Y226" i="2"/>
  <c r="Z226" i="2"/>
  <c r="AA226" i="2"/>
  <c r="AB226" i="2"/>
  <c r="AC226" i="2"/>
  <c r="AD226" i="2"/>
  <c r="AE226" i="2"/>
  <c r="AF226" i="2"/>
  <c r="AG226" i="2"/>
  <c r="AH226" i="2"/>
  <c r="AI226" i="2"/>
  <c r="N241" i="2"/>
  <c r="O241" i="2"/>
  <c r="P241" i="2"/>
  <c r="Q241" i="2"/>
  <c r="R241" i="2"/>
  <c r="S241" i="2"/>
  <c r="T241" i="2"/>
  <c r="U241" i="2"/>
  <c r="V241" i="2"/>
  <c r="W241" i="2"/>
  <c r="X241" i="2"/>
  <c r="Y241" i="2"/>
  <c r="Z241" i="2"/>
  <c r="AA241" i="2"/>
  <c r="AB241" i="2"/>
  <c r="AC241" i="2"/>
  <c r="AD241" i="2"/>
  <c r="AE241" i="2"/>
  <c r="AF241" i="2"/>
  <c r="AG241" i="2"/>
  <c r="AH241" i="2"/>
  <c r="AI241" i="2"/>
  <c r="N256" i="2"/>
  <c r="O256" i="2"/>
  <c r="P256" i="2"/>
  <c r="Q256" i="2"/>
  <c r="R256" i="2"/>
  <c r="S256" i="2"/>
  <c r="T256" i="2"/>
  <c r="U256" i="2"/>
  <c r="V256" i="2"/>
  <c r="W256" i="2"/>
  <c r="X256" i="2"/>
  <c r="Y256" i="2"/>
  <c r="Z256" i="2"/>
  <c r="AA256" i="2"/>
  <c r="AB256" i="2"/>
  <c r="AC256" i="2"/>
  <c r="AD256" i="2"/>
  <c r="AE256" i="2"/>
  <c r="AF256" i="2"/>
  <c r="AG256" i="2"/>
  <c r="AH256" i="2"/>
  <c r="AI256" i="2"/>
  <c r="N271" i="2"/>
  <c r="O271" i="2"/>
  <c r="P271" i="2"/>
  <c r="Q271" i="2"/>
  <c r="R271" i="2"/>
  <c r="S271" i="2"/>
  <c r="T271" i="2"/>
  <c r="U271" i="2"/>
  <c r="V271" i="2"/>
  <c r="W271" i="2"/>
  <c r="X271" i="2"/>
  <c r="Y271" i="2"/>
  <c r="Z271" i="2"/>
  <c r="AA271" i="2"/>
  <c r="AB271" i="2"/>
  <c r="AC271" i="2"/>
  <c r="AD271" i="2"/>
  <c r="AE271" i="2"/>
  <c r="AF271" i="2"/>
  <c r="AG271" i="2"/>
  <c r="AH271" i="2"/>
  <c r="AI271" i="2"/>
  <c r="A13" i="3" l="1"/>
  <c r="B17" i="3" l="1"/>
  <c r="C17" i="3"/>
  <c r="Y16" i="2" l="1"/>
  <c r="Z16" i="2"/>
  <c r="AA16" i="2"/>
  <c r="AB16" i="2"/>
  <c r="AC16" i="2"/>
  <c r="AD16" i="2"/>
  <c r="AE16" i="2"/>
  <c r="AF16" i="2"/>
  <c r="AG16" i="2"/>
  <c r="AH16" i="2"/>
  <c r="AI16" i="2"/>
  <c r="AI2" i="2" l="1"/>
  <c r="AH2" i="2"/>
  <c r="AG2" i="2"/>
  <c r="AF2" i="2"/>
  <c r="AE2" i="2"/>
  <c r="AD2" i="2"/>
  <c r="AC2" i="2"/>
  <c r="AB2" i="2"/>
  <c r="AA2" i="2"/>
  <c r="Z2" i="2"/>
  <c r="X2" i="2"/>
  <c r="W2" i="2"/>
  <c r="V2" i="2"/>
  <c r="U2" i="2"/>
  <c r="T2" i="2"/>
  <c r="S2" i="2"/>
  <c r="R2" i="2"/>
  <c r="Q2" i="2"/>
  <c r="P2" i="2"/>
  <c r="O2" i="2"/>
  <c r="V302" i="2" l="1"/>
  <c r="V77" i="2"/>
  <c r="V137" i="2"/>
  <c r="V197" i="2"/>
  <c r="V257" i="2"/>
  <c r="V287" i="2"/>
  <c r="V62" i="2"/>
  <c r="V122" i="2"/>
  <c r="V182" i="2"/>
  <c r="V242" i="2"/>
  <c r="V47" i="2"/>
  <c r="V107" i="2"/>
  <c r="V167" i="2"/>
  <c r="V227" i="2"/>
  <c r="V32" i="2"/>
  <c r="V152" i="2"/>
  <c r="V272" i="2"/>
  <c r="V92" i="2"/>
  <c r="V212" i="2"/>
  <c r="AH302" i="2"/>
  <c r="AH77" i="2"/>
  <c r="AH137" i="2"/>
  <c r="AH197" i="2"/>
  <c r="AH257" i="2"/>
  <c r="AH287" i="2"/>
  <c r="AH62" i="2"/>
  <c r="AH122" i="2"/>
  <c r="AH182" i="2"/>
  <c r="AH242" i="2"/>
  <c r="AH47" i="2"/>
  <c r="AH107" i="2"/>
  <c r="AH167" i="2"/>
  <c r="AH227" i="2"/>
  <c r="AH92" i="2"/>
  <c r="AH212" i="2"/>
  <c r="AH32" i="2"/>
  <c r="AH152" i="2"/>
  <c r="AH272" i="2"/>
  <c r="X47" i="2"/>
  <c r="X107" i="2"/>
  <c r="X167" i="2"/>
  <c r="X227" i="2"/>
  <c r="X32" i="2"/>
  <c r="X92" i="2"/>
  <c r="X152" i="2"/>
  <c r="X212" i="2"/>
  <c r="X272" i="2"/>
  <c r="X302" i="2"/>
  <c r="X77" i="2"/>
  <c r="X137" i="2"/>
  <c r="X197" i="2"/>
  <c r="X257" i="2"/>
  <c r="X287" i="2"/>
  <c r="X122" i="2"/>
  <c r="X242" i="2"/>
  <c r="X62" i="2"/>
  <c r="X182" i="2"/>
  <c r="AG287" i="2"/>
  <c r="AG62" i="2"/>
  <c r="AG122" i="2"/>
  <c r="AG182" i="2"/>
  <c r="AG242" i="2"/>
  <c r="AG47" i="2"/>
  <c r="AG107" i="2"/>
  <c r="AG167" i="2"/>
  <c r="AG227" i="2"/>
  <c r="AG32" i="2"/>
  <c r="AG92" i="2"/>
  <c r="AG152" i="2"/>
  <c r="AG212" i="2"/>
  <c r="AG77" i="2"/>
  <c r="AG197" i="2"/>
  <c r="AG272" i="2"/>
  <c r="AG302" i="2"/>
  <c r="AG137" i="2"/>
  <c r="AG257" i="2"/>
  <c r="W32" i="2"/>
  <c r="W92" i="2"/>
  <c r="W152" i="2"/>
  <c r="W212" i="2"/>
  <c r="W272" i="2"/>
  <c r="W302" i="2"/>
  <c r="W77" i="2"/>
  <c r="W137" i="2"/>
  <c r="W197" i="2"/>
  <c r="W257" i="2"/>
  <c r="W287" i="2"/>
  <c r="W62" i="2"/>
  <c r="W122" i="2"/>
  <c r="W182" i="2"/>
  <c r="W242" i="2"/>
  <c r="W47" i="2"/>
  <c r="W167" i="2"/>
  <c r="W107" i="2"/>
  <c r="W227" i="2"/>
  <c r="AI32" i="2"/>
  <c r="AI92" i="2"/>
  <c r="AI152" i="2"/>
  <c r="AI212" i="2"/>
  <c r="AI272" i="2"/>
  <c r="AI302" i="2"/>
  <c r="AI77" i="2"/>
  <c r="AI137" i="2"/>
  <c r="AI197" i="2"/>
  <c r="AI257" i="2"/>
  <c r="AI287" i="2"/>
  <c r="AI62" i="2"/>
  <c r="AI122" i="2"/>
  <c r="AI182" i="2"/>
  <c r="AI242" i="2"/>
  <c r="AI47" i="2"/>
  <c r="AI167" i="2"/>
  <c r="AI107" i="2"/>
  <c r="AI227" i="2"/>
  <c r="AF47" i="2"/>
  <c r="AF107" i="2"/>
  <c r="AF167" i="2"/>
  <c r="AF227" i="2"/>
  <c r="AF287" i="2"/>
  <c r="AF62" i="2"/>
  <c r="AF122" i="2"/>
  <c r="AF182" i="2"/>
  <c r="AF242" i="2"/>
  <c r="AF152" i="2"/>
  <c r="AF302" i="2"/>
  <c r="AF77" i="2"/>
  <c r="AF137" i="2"/>
  <c r="AF197" i="2"/>
  <c r="AF257" i="2"/>
  <c r="AF32" i="2"/>
  <c r="AF92" i="2"/>
  <c r="AF212" i="2"/>
  <c r="AF272" i="2"/>
  <c r="U47" i="2"/>
  <c r="U107" i="2"/>
  <c r="U167" i="2"/>
  <c r="U227" i="2"/>
  <c r="U92" i="2"/>
  <c r="U152" i="2"/>
  <c r="U272" i="2"/>
  <c r="U287" i="2"/>
  <c r="U62" i="2"/>
  <c r="U122" i="2"/>
  <c r="U182" i="2"/>
  <c r="U242" i="2"/>
  <c r="U32" i="2"/>
  <c r="U212" i="2"/>
  <c r="U302" i="2"/>
  <c r="U77" i="2"/>
  <c r="U137" i="2"/>
  <c r="U197" i="2"/>
  <c r="U257" i="2"/>
  <c r="AB302" i="2"/>
  <c r="AB77" i="2"/>
  <c r="AB137" i="2"/>
  <c r="AB197" i="2"/>
  <c r="AB257" i="2"/>
  <c r="AB32" i="2"/>
  <c r="AB92" i="2"/>
  <c r="AB152" i="2"/>
  <c r="AB212" i="2"/>
  <c r="AB272" i="2"/>
  <c r="AB47" i="2"/>
  <c r="AB107" i="2"/>
  <c r="AB167" i="2"/>
  <c r="AB227" i="2"/>
  <c r="AB287" i="2"/>
  <c r="AB62" i="2"/>
  <c r="AB122" i="2"/>
  <c r="AB182" i="2"/>
  <c r="AB242" i="2"/>
  <c r="AD287" i="2"/>
  <c r="AD62" i="2"/>
  <c r="AD122" i="2"/>
  <c r="AD182" i="2"/>
  <c r="AD242" i="2"/>
  <c r="AD302" i="2"/>
  <c r="AD77" i="2"/>
  <c r="AD137" i="2"/>
  <c r="AD197" i="2"/>
  <c r="AD257" i="2"/>
  <c r="AD32" i="2"/>
  <c r="AD92" i="2"/>
  <c r="AD152" i="2"/>
  <c r="AD212" i="2"/>
  <c r="AD272" i="2"/>
  <c r="AD47" i="2"/>
  <c r="AD107" i="2"/>
  <c r="AD227" i="2"/>
  <c r="AD167" i="2"/>
  <c r="Q47" i="2"/>
  <c r="Q107" i="2"/>
  <c r="Q167" i="2"/>
  <c r="Q227" i="2"/>
  <c r="Q287" i="2"/>
  <c r="Q62" i="2"/>
  <c r="Q122" i="2"/>
  <c r="Q182" i="2"/>
  <c r="Q242" i="2"/>
  <c r="Q302" i="2"/>
  <c r="Q77" i="2"/>
  <c r="Q137" i="2"/>
  <c r="Q197" i="2"/>
  <c r="Q257" i="2"/>
  <c r="Q32" i="2"/>
  <c r="Q92" i="2"/>
  <c r="Q152" i="2"/>
  <c r="Q212" i="2"/>
  <c r="Q272" i="2"/>
  <c r="S32" i="2"/>
  <c r="S92" i="2"/>
  <c r="S152" i="2"/>
  <c r="S212" i="2"/>
  <c r="S272" i="2"/>
  <c r="S47" i="2"/>
  <c r="S107" i="2"/>
  <c r="S167" i="2"/>
  <c r="S227" i="2"/>
  <c r="S287" i="2"/>
  <c r="S62" i="2"/>
  <c r="S122" i="2"/>
  <c r="S182" i="2"/>
  <c r="S242" i="2"/>
  <c r="S302" i="2"/>
  <c r="S77" i="2"/>
  <c r="S137" i="2"/>
  <c r="S197" i="2"/>
  <c r="S257" i="2"/>
  <c r="T302" i="2"/>
  <c r="T47" i="2"/>
  <c r="T77" i="2"/>
  <c r="T107" i="2"/>
  <c r="T137" i="2"/>
  <c r="T167" i="2"/>
  <c r="T197" i="2"/>
  <c r="T227" i="2"/>
  <c r="T257" i="2"/>
  <c r="T287" i="2"/>
  <c r="T32" i="2"/>
  <c r="T62" i="2"/>
  <c r="T92" i="2"/>
  <c r="T122" i="2"/>
  <c r="T152" i="2"/>
  <c r="T182" i="2"/>
  <c r="T212" i="2"/>
  <c r="T242" i="2"/>
  <c r="T272" i="2"/>
  <c r="AE47" i="2"/>
  <c r="AE167" i="2"/>
  <c r="AE287" i="2"/>
  <c r="AE32" i="2"/>
  <c r="AE62" i="2"/>
  <c r="AE92" i="2"/>
  <c r="AE122" i="2"/>
  <c r="AE152" i="2"/>
  <c r="AE182" i="2"/>
  <c r="AE212" i="2"/>
  <c r="AE242" i="2"/>
  <c r="AE272" i="2"/>
  <c r="AE302" i="2"/>
  <c r="AE77" i="2"/>
  <c r="AE107" i="2"/>
  <c r="AE137" i="2"/>
  <c r="AE197" i="2"/>
  <c r="AE227" i="2"/>
  <c r="AE257" i="2"/>
  <c r="AC287" i="2"/>
  <c r="AC302" i="2"/>
  <c r="AC32" i="2"/>
  <c r="AC47" i="2"/>
  <c r="AC62" i="2"/>
  <c r="AC77" i="2"/>
  <c r="AC92" i="2"/>
  <c r="AC107" i="2"/>
  <c r="AC122" i="2"/>
  <c r="AC137" i="2"/>
  <c r="AC152" i="2"/>
  <c r="AC167" i="2"/>
  <c r="AC182" i="2"/>
  <c r="AC197" i="2"/>
  <c r="AC212" i="2"/>
  <c r="AC227" i="2"/>
  <c r="AC242" i="2"/>
  <c r="AC257" i="2"/>
  <c r="AC272" i="2"/>
  <c r="R227" i="2"/>
  <c r="R272" i="2"/>
  <c r="R287" i="2"/>
  <c r="R302" i="2"/>
  <c r="R32" i="2"/>
  <c r="R47" i="2"/>
  <c r="R62" i="2"/>
  <c r="R77" i="2"/>
  <c r="R92" i="2"/>
  <c r="R107" i="2"/>
  <c r="R122" i="2"/>
  <c r="R137" i="2"/>
  <c r="R152" i="2"/>
  <c r="R167" i="2"/>
  <c r="R182" i="2"/>
  <c r="R197" i="2"/>
  <c r="R212" i="2"/>
  <c r="R242" i="2"/>
  <c r="R257" i="2"/>
  <c r="P287" i="2"/>
  <c r="P32" i="2"/>
  <c r="P62" i="2"/>
  <c r="P92" i="2"/>
  <c r="P122" i="2"/>
  <c r="P152" i="2"/>
  <c r="P182" i="2"/>
  <c r="P212" i="2"/>
  <c r="P242" i="2"/>
  <c r="P272" i="2"/>
  <c r="P302" i="2"/>
  <c r="P47" i="2"/>
  <c r="P77" i="2"/>
  <c r="P107" i="2"/>
  <c r="P137" i="2"/>
  <c r="P167" i="2"/>
  <c r="P197" i="2"/>
  <c r="P227" i="2"/>
  <c r="P257" i="2"/>
  <c r="AA302" i="2"/>
  <c r="AA107" i="2"/>
  <c r="AA137" i="2"/>
  <c r="AA287" i="2"/>
  <c r="AA32" i="2"/>
  <c r="AA62" i="2"/>
  <c r="AA92" i="2"/>
  <c r="AA122" i="2"/>
  <c r="AA152" i="2"/>
  <c r="AA182" i="2"/>
  <c r="AA212" i="2"/>
  <c r="AA242" i="2"/>
  <c r="AA272" i="2"/>
  <c r="AA77" i="2"/>
  <c r="AA167" i="2"/>
  <c r="AA197" i="2"/>
  <c r="AA227" i="2"/>
  <c r="AA257" i="2"/>
  <c r="AA47" i="2"/>
  <c r="Z287" i="2"/>
  <c r="Z302" i="2"/>
  <c r="Z32" i="2"/>
  <c r="Z47" i="2"/>
  <c r="Z62" i="2"/>
  <c r="Z77" i="2"/>
  <c r="Z92" i="2"/>
  <c r="Z107" i="2"/>
  <c r="Z122" i="2"/>
  <c r="Z137" i="2"/>
  <c r="Z152" i="2"/>
  <c r="Z167" i="2"/>
  <c r="Z182" i="2"/>
  <c r="Z197" i="2"/>
  <c r="Z212" i="2"/>
  <c r="Z227" i="2"/>
  <c r="Z242" i="2"/>
  <c r="Z257" i="2"/>
  <c r="Z272" i="2"/>
  <c r="O287" i="2"/>
  <c r="O302" i="2"/>
  <c r="O32" i="2"/>
  <c r="O47" i="2"/>
  <c r="O62" i="2"/>
  <c r="O77" i="2"/>
  <c r="O92" i="2"/>
  <c r="O107" i="2"/>
  <c r="O122" i="2"/>
  <c r="O137" i="2"/>
  <c r="O152" i="2"/>
  <c r="O167" i="2"/>
  <c r="O182" i="2"/>
  <c r="O197" i="2"/>
  <c r="O212" i="2"/>
  <c r="O227" i="2"/>
  <c r="O242" i="2"/>
  <c r="O257" i="2"/>
  <c r="O272" i="2"/>
  <c r="Y182" i="2"/>
  <c r="Y242" i="2"/>
  <c r="Y302" i="2"/>
  <c r="Y47" i="2"/>
  <c r="Y77" i="2"/>
  <c r="Y107" i="2"/>
  <c r="Y137" i="2"/>
  <c r="Y167" i="2"/>
  <c r="Y197" i="2"/>
  <c r="Y227" i="2"/>
  <c r="Y257" i="2"/>
  <c r="Y287" i="2"/>
  <c r="Y32" i="2"/>
  <c r="Y62" i="2"/>
  <c r="Y92" i="2"/>
  <c r="Y122" i="2"/>
  <c r="Y152" i="2"/>
  <c r="Y212" i="2"/>
  <c r="Y272" i="2"/>
  <c r="N287" i="2"/>
  <c r="N32" i="2"/>
  <c r="N62" i="2"/>
  <c r="N92" i="2"/>
  <c r="N122" i="2"/>
  <c r="N152" i="2"/>
  <c r="N182" i="2"/>
  <c r="N212" i="2"/>
  <c r="N242" i="2"/>
  <c r="N272" i="2"/>
  <c r="N227" i="2"/>
  <c r="N257" i="2"/>
  <c r="N302" i="2"/>
  <c r="N47" i="2"/>
  <c r="N77" i="2"/>
  <c r="N107" i="2"/>
  <c r="N137" i="2"/>
  <c r="N167" i="2"/>
  <c r="N197" i="2"/>
  <c r="R7" i="2"/>
  <c r="O4" i="2"/>
  <c r="W12" i="2"/>
  <c r="S8" i="2"/>
  <c r="P5" i="2"/>
  <c r="T9" i="2"/>
  <c r="X13" i="2"/>
  <c r="N3" i="2"/>
  <c r="V11" i="2"/>
  <c r="Q6" i="2"/>
  <c r="U10" i="2"/>
  <c r="AA17" i="2"/>
  <c r="B5" i="2"/>
  <c r="AE17" i="2"/>
  <c r="B9" i="2"/>
  <c r="AI17" i="2"/>
  <c r="B13" i="2"/>
  <c r="B6" i="2"/>
  <c r="AB17" i="2"/>
  <c r="B10" i="2"/>
  <c r="AF17" i="2"/>
  <c r="B3" i="2"/>
  <c r="Y17" i="2"/>
  <c r="B7" i="2"/>
  <c r="AC17" i="2"/>
  <c r="B11" i="2"/>
  <c r="AG17" i="2"/>
  <c r="Z17" i="2"/>
  <c r="B4" i="2"/>
  <c r="AD17" i="2"/>
  <c r="B8" i="2"/>
  <c r="AH17" i="2"/>
  <c r="B12" i="2"/>
  <c r="A12" i="3"/>
  <c r="A11" i="3"/>
  <c r="A10" i="3"/>
  <c r="A9" i="3"/>
  <c r="A8" i="3"/>
  <c r="A7" i="3"/>
  <c r="A6" i="3"/>
  <c r="A5" i="3"/>
  <c r="A4" i="3"/>
  <c r="A3" i="3"/>
  <c r="A2" i="3"/>
  <c r="CC1562" i="3" l="1"/>
  <c r="CC292" i="3"/>
  <c r="CC800" i="3"/>
  <c r="CC1308" i="3"/>
  <c r="CC1816" i="3"/>
  <c r="CC2324" i="3"/>
  <c r="CC1054" i="3"/>
  <c r="CC2578" i="3"/>
  <c r="CC546" i="3"/>
  <c r="CC2070" i="3"/>
  <c r="AM546" i="3"/>
  <c r="AM1054" i="3"/>
  <c r="AM1562" i="3"/>
  <c r="AM2070" i="3"/>
  <c r="AM2578" i="3"/>
  <c r="AM292" i="3"/>
  <c r="AM800" i="3"/>
  <c r="AM1308" i="3"/>
  <c r="AM1816" i="3"/>
  <c r="AM2324" i="3"/>
  <c r="BK546" i="3"/>
  <c r="BK1054" i="3"/>
  <c r="BK1562" i="3"/>
  <c r="BK2070" i="3"/>
  <c r="BK2578" i="3"/>
  <c r="BK292" i="3"/>
  <c r="BK800" i="3"/>
  <c r="BK1308" i="3"/>
  <c r="BK1816" i="3"/>
  <c r="BK2324" i="3"/>
  <c r="BQ1308" i="3"/>
  <c r="BQ546" i="3"/>
  <c r="BQ1054" i="3"/>
  <c r="BQ1562" i="3"/>
  <c r="BQ2070" i="3"/>
  <c r="BQ2578" i="3"/>
  <c r="BQ800" i="3"/>
  <c r="BQ2324" i="3"/>
  <c r="BQ292" i="3"/>
  <c r="BQ1816" i="3"/>
  <c r="AG2070" i="3"/>
  <c r="AG2578" i="3"/>
  <c r="AG292" i="3"/>
  <c r="AG800" i="3"/>
  <c r="AG1308" i="3"/>
  <c r="AG1816" i="3"/>
  <c r="AG2324" i="3"/>
  <c r="AG546" i="3"/>
  <c r="AG1562" i="3"/>
  <c r="AG1054" i="3"/>
  <c r="BE1054" i="3"/>
  <c r="BE292" i="3"/>
  <c r="BE800" i="3"/>
  <c r="BE1308" i="3"/>
  <c r="BE1816" i="3"/>
  <c r="BE2324" i="3"/>
  <c r="BE546" i="3"/>
  <c r="BE2070" i="3"/>
  <c r="BE1562" i="3"/>
  <c r="BE2578" i="3"/>
  <c r="AS292" i="3"/>
  <c r="AS800" i="3"/>
  <c r="AS2324" i="3"/>
  <c r="AS546" i="3"/>
  <c r="AS1054" i="3"/>
  <c r="AS1562" i="3"/>
  <c r="AS2070" i="3"/>
  <c r="AS2578" i="3"/>
  <c r="AS1816" i="3"/>
  <c r="AS1308" i="3"/>
  <c r="AA292" i="3"/>
  <c r="AA800" i="3"/>
  <c r="AA1308" i="3"/>
  <c r="AA1816" i="3"/>
  <c r="AA2324" i="3"/>
  <c r="AA546" i="3"/>
  <c r="AA1054" i="3"/>
  <c r="AA1562" i="3"/>
  <c r="AA2070" i="3"/>
  <c r="AA2578" i="3"/>
  <c r="AY292" i="3"/>
  <c r="AY800" i="3"/>
  <c r="AY1308" i="3"/>
  <c r="AY1816" i="3"/>
  <c r="AY2324" i="3"/>
  <c r="AY546" i="3"/>
  <c r="AY1054" i="3"/>
  <c r="AY1562" i="3"/>
  <c r="AY2070" i="3"/>
  <c r="AY2578" i="3"/>
  <c r="BW292" i="3"/>
  <c r="BW800" i="3"/>
  <c r="BW1308" i="3"/>
  <c r="BW1816" i="3"/>
  <c r="BW2324" i="3"/>
  <c r="BW546" i="3"/>
  <c r="BW1054" i="3"/>
  <c r="BW1562" i="3"/>
  <c r="BW2070" i="3"/>
  <c r="BW2578" i="3"/>
  <c r="U292" i="3"/>
  <c r="U1308" i="3"/>
  <c r="U2324" i="3"/>
  <c r="U1054" i="3"/>
  <c r="U2070" i="3"/>
  <c r="U800" i="3"/>
  <c r="U1816" i="3"/>
  <c r="U546" i="3"/>
  <c r="U1562" i="3"/>
  <c r="U2578" i="3"/>
  <c r="CC38" i="3"/>
  <c r="BW38" i="3"/>
  <c r="BQ38" i="3"/>
  <c r="BK38" i="3"/>
  <c r="BE38" i="3"/>
  <c r="AY38" i="3" l="1"/>
  <c r="AS38" i="3"/>
  <c r="AM38" i="3"/>
  <c r="AG38" i="3"/>
  <c r="AA38" i="3"/>
  <c r="U38" i="3"/>
  <c r="N2" i="3" l="1"/>
  <c r="N3" i="3"/>
  <c r="N4" i="3"/>
  <c r="N5" i="3"/>
  <c r="N6" i="3"/>
  <c r="N7" i="3"/>
  <c r="N8" i="3"/>
  <c r="N9" i="3"/>
  <c r="N10" i="3"/>
  <c r="N11" i="3"/>
  <c r="N12" i="3"/>
  <c r="O16" i="3"/>
  <c r="O17" i="3"/>
  <c r="O18" i="3"/>
  <c r="O19" i="3"/>
  <c r="O20" i="3"/>
  <c r="O21" i="3"/>
  <c r="O22" i="3"/>
  <c r="O23" i="3"/>
  <c r="O24" i="3"/>
  <c r="O25" i="3"/>
  <c r="B16" i="3"/>
  <c r="C16" i="3"/>
  <c r="D16" i="3"/>
  <c r="E16" i="3"/>
  <c r="F16" i="3"/>
  <c r="G16" i="3"/>
  <c r="H16" i="3"/>
  <c r="I16" i="3"/>
  <c r="J16" i="3"/>
  <c r="K16" i="3"/>
  <c r="L16" i="3"/>
  <c r="D17" i="3"/>
  <c r="E17" i="3"/>
  <c r="F17" i="3"/>
  <c r="G17" i="3"/>
  <c r="H17" i="3"/>
  <c r="I17" i="3"/>
  <c r="J17" i="3"/>
  <c r="K17" i="3"/>
  <c r="L17" i="3"/>
  <c r="B18" i="3"/>
  <c r="C18" i="3"/>
  <c r="D18" i="3"/>
  <c r="E18" i="3"/>
  <c r="F18" i="3"/>
  <c r="G18" i="3"/>
  <c r="H18" i="3"/>
  <c r="I18" i="3"/>
  <c r="J18" i="3"/>
  <c r="K18" i="3"/>
  <c r="L18" i="3"/>
  <c r="B19" i="3"/>
  <c r="C19" i="3"/>
  <c r="D19" i="3"/>
  <c r="E19" i="3"/>
  <c r="F19" i="3"/>
  <c r="G19" i="3"/>
  <c r="H19" i="3"/>
  <c r="I19" i="3"/>
  <c r="J19" i="3"/>
  <c r="K19" i="3"/>
  <c r="L19" i="3"/>
  <c r="B20" i="3"/>
  <c r="C20" i="3"/>
  <c r="D20" i="3"/>
  <c r="E20" i="3"/>
  <c r="F20" i="3"/>
  <c r="G20" i="3"/>
  <c r="H20" i="3"/>
  <c r="I20" i="3"/>
  <c r="J20" i="3"/>
  <c r="K20" i="3"/>
  <c r="L20" i="3"/>
  <c r="B21" i="3"/>
  <c r="C21" i="3"/>
  <c r="D21" i="3"/>
  <c r="E21" i="3"/>
  <c r="F21" i="3"/>
  <c r="G21" i="3"/>
  <c r="H21" i="3"/>
  <c r="I21" i="3"/>
  <c r="J21" i="3"/>
  <c r="K21" i="3"/>
  <c r="L21" i="3"/>
  <c r="B22" i="3"/>
  <c r="C22" i="3"/>
  <c r="D22" i="3"/>
  <c r="E22" i="3"/>
  <c r="F22" i="3"/>
  <c r="G22" i="3"/>
  <c r="H22" i="3"/>
  <c r="I22" i="3"/>
  <c r="J22" i="3"/>
  <c r="K22" i="3"/>
  <c r="L22" i="3"/>
  <c r="B23" i="3"/>
  <c r="C23" i="3"/>
  <c r="D23" i="3"/>
  <c r="E23" i="3"/>
  <c r="F23" i="3"/>
  <c r="G23" i="3"/>
  <c r="H23" i="3"/>
  <c r="I23" i="3"/>
  <c r="J23" i="3"/>
  <c r="K23" i="3"/>
  <c r="L23" i="3"/>
  <c r="B24" i="3"/>
  <c r="C24" i="3"/>
  <c r="D24" i="3"/>
  <c r="E24" i="3"/>
  <c r="F24" i="3"/>
  <c r="G24" i="3"/>
  <c r="H24" i="3"/>
  <c r="I24" i="3"/>
  <c r="J24" i="3"/>
  <c r="K24" i="3"/>
  <c r="L24" i="3"/>
  <c r="B25" i="3"/>
  <c r="C25" i="3"/>
  <c r="D25" i="3"/>
  <c r="E25" i="3"/>
  <c r="F25" i="3"/>
  <c r="G25" i="3"/>
  <c r="H25" i="3"/>
  <c r="I25" i="3"/>
  <c r="J25" i="3"/>
  <c r="K25" i="3"/>
  <c r="L25" i="3"/>
  <c r="C15" i="3"/>
  <c r="D15" i="3"/>
  <c r="E15" i="3"/>
  <c r="F15" i="3"/>
  <c r="G15" i="3"/>
  <c r="H15" i="3"/>
  <c r="I15" i="3"/>
  <c r="J15" i="3"/>
  <c r="K15" i="3"/>
  <c r="L15" i="3"/>
  <c r="N16" i="3"/>
  <c r="N17" i="3"/>
  <c r="N18" i="3"/>
  <c r="N19" i="3"/>
  <c r="N20" i="3"/>
  <c r="N21" i="3"/>
  <c r="N22" i="3"/>
  <c r="N23" i="3"/>
  <c r="N24" i="3"/>
  <c r="N25" i="3"/>
  <c r="C14" i="3"/>
  <c r="D14" i="3"/>
  <c r="E14" i="3"/>
  <c r="F14" i="3"/>
  <c r="G14" i="3"/>
  <c r="H14" i="3"/>
  <c r="I14" i="3"/>
  <c r="J14" i="3"/>
  <c r="K14" i="3"/>
  <c r="L14" i="3"/>
  <c r="B14" i="3"/>
  <c r="N16" i="2" l="1"/>
  <c r="O16" i="2"/>
  <c r="P16" i="2"/>
  <c r="Q16" i="2"/>
  <c r="R16" i="2"/>
  <c r="S16" i="2"/>
  <c r="T16" i="2"/>
  <c r="U16" i="2"/>
  <c r="V16" i="2"/>
  <c r="W16" i="2"/>
  <c r="X16" i="2"/>
  <c r="N17" i="2"/>
  <c r="O17" i="2"/>
  <c r="P17" i="2"/>
  <c r="Q17" i="2"/>
  <c r="R17" i="2"/>
  <c r="S17" i="2"/>
  <c r="T17" i="2"/>
  <c r="U17" i="2"/>
  <c r="V17" i="2"/>
  <c r="W17" i="2"/>
  <c r="X17" i="2"/>
  <c r="AJ4" i="2"/>
  <c r="AJ5" i="2"/>
  <c r="AJ6" i="2"/>
  <c r="AJ7" i="2"/>
  <c r="AJ8" i="2"/>
  <c r="AJ9" i="2"/>
  <c r="AJ10" i="2"/>
  <c r="AJ11" i="2"/>
  <c r="AJ12" i="2"/>
  <c r="AJ13" i="2"/>
  <c r="C4" i="2"/>
  <c r="D4" i="2"/>
  <c r="E4" i="2"/>
  <c r="F4" i="2"/>
  <c r="G4" i="2"/>
  <c r="H4" i="2"/>
  <c r="I4" i="2"/>
  <c r="J4" i="2"/>
  <c r="K4" i="2"/>
  <c r="L4" i="2"/>
  <c r="M4" i="2"/>
  <c r="C5" i="2"/>
  <c r="D5" i="2"/>
  <c r="E5" i="2"/>
  <c r="F5" i="2"/>
  <c r="G5" i="2"/>
  <c r="H5" i="2"/>
  <c r="I5" i="2"/>
  <c r="J5" i="2"/>
  <c r="K5" i="2"/>
  <c r="L5" i="2"/>
  <c r="M5" i="2"/>
  <c r="C6" i="2"/>
  <c r="D6" i="2"/>
  <c r="E6" i="2"/>
  <c r="F6" i="2"/>
  <c r="G6" i="2"/>
  <c r="H6" i="2"/>
  <c r="I6" i="2"/>
  <c r="J6" i="2"/>
  <c r="K6" i="2"/>
  <c r="L6" i="2"/>
  <c r="M6" i="2"/>
  <c r="C7" i="2"/>
  <c r="D7" i="2"/>
  <c r="E7" i="2"/>
  <c r="F7" i="2"/>
  <c r="G7" i="2"/>
  <c r="H7" i="2"/>
  <c r="I7" i="2"/>
  <c r="J7" i="2"/>
  <c r="K7" i="2"/>
  <c r="L7" i="2"/>
  <c r="M7" i="2"/>
  <c r="C8" i="2"/>
  <c r="D8" i="2"/>
  <c r="E8" i="2"/>
  <c r="F8" i="2"/>
  <c r="G8" i="2"/>
  <c r="H8" i="2"/>
  <c r="I8" i="2"/>
  <c r="J8" i="2"/>
  <c r="K8" i="2"/>
  <c r="L8" i="2"/>
  <c r="M8" i="2"/>
  <c r="C9" i="2"/>
  <c r="D9" i="2"/>
  <c r="E9" i="2"/>
  <c r="F9" i="2"/>
  <c r="G9" i="2"/>
  <c r="H9" i="2"/>
  <c r="I9" i="2"/>
  <c r="J9" i="2"/>
  <c r="K9" i="2"/>
  <c r="L9" i="2"/>
  <c r="M9" i="2"/>
  <c r="C10" i="2"/>
  <c r="D10" i="2"/>
  <c r="E10" i="2"/>
  <c r="F10" i="2"/>
  <c r="G10" i="2"/>
  <c r="H10" i="2"/>
  <c r="I10" i="2"/>
  <c r="J10" i="2"/>
  <c r="K10" i="2"/>
  <c r="L10" i="2"/>
  <c r="M10" i="2"/>
  <c r="C11" i="2"/>
  <c r="D11" i="2"/>
  <c r="E11" i="2"/>
  <c r="F11" i="2"/>
  <c r="G11" i="2"/>
  <c r="H11" i="2"/>
  <c r="I11" i="2"/>
  <c r="J11" i="2"/>
  <c r="K11" i="2"/>
  <c r="L11" i="2"/>
  <c r="M11" i="2"/>
  <c r="C12" i="2"/>
  <c r="D12" i="2"/>
  <c r="E12" i="2"/>
  <c r="F12" i="2"/>
  <c r="G12" i="2"/>
  <c r="H12" i="2"/>
  <c r="I12" i="2"/>
  <c r="J12" i="2"/>
  <c r="K12" i="2"/>
  <c r="L12" i="2"/>
  <c r="M12" i="2"/>
  <c r="C13" i="2"/>
  <c r="D13" i="2"/>
  <c r="E13" i="2"/>
  <c r="F13" i="2"/>
  <c r="G13" i="2"/>
  <c r="H13" i="2"/>
  <c r="I13" i="2"/>
  <c r="J13" i="2"/>
  <c r="K13" i="2"/>
  <c r="L13" i="2"/>
  <c r="M13" i="2"/>
  <c r="D3" i="2"/>
  <c r="E3" i="2"/>
  <c r="F3" i="2"/>
  <c r="G3" i="2"/>
  <c r="H3" i="2"/>
  <c r="I3" i="2"/>
  <c r="J3" i="2"/>
  <c r="K3" i="2"/>
  <c r="L3" i="2"/>
  <c r="M3" i="2"/>
  <c r="D2" i="2"/>
  <c r="E2" i="2"/>
  <c r="F2" i="2"/>
  <c r="G2" i="2"/>
  <c r="H2" i="2"/>
  <c r="I2" i="2"/>
  <c r="J2" i="2"/>
  <c r="K2" i="2"/>
  <c r="L2" i="2"/>
  <c r="M2" i="2"/>
  <c r="C2" i="2"/>
  <c r="D1" i="2"/>
  <c r="E1" i="2"/>
  <c r="F1" i="2"/>
  <c r="G1" i="2"/>
  <c r="H1" i="2"/>
  <c r="I1" i="2"/>
  <c r="J1" i="2"/>
  <c r="K1" i="2"/>
  <c r="L1" i="2"/>
  <c r="M1" i="2"/>
  <c r="K62" i="2" l="1"/>
  <c r="K122" i="2"/>
  <c r="K242" i="2"/>
  <c r="K272" i="2"/>
  <c r="K302" i="2"/>
  <c r="K47" i="2"/>
  <c r="K77" i="2"/>
  <c r="K107" i="2"/>
  <c r="K137" i="2"/>
  <c r="K167" i="2"/>
  <c r="K197" i="2"/>
  <c r="K227" i="2"/>
  <c r="K257" i="2"/>
  <c r="K32" i="2"/>
  <c r="K182" i="2"/>
  <c r="K212" i="2"/>
  <c r="K287" i="2"/>
  <c r="K92" i="2"/>
  <c r="K152" i="2"/>
  <c r="J302" i="2"/>
  <c r="J47" i="2"/>
  <c r="J77" i="2"/>
  <c r="J107" i="2"/>
  <c r="J137" i="2"/>
  <c r="J167" i="2"/>
  <c r="J197" i="2"/>
  <c r="J227" i="2"/>
  <c r="J257" i="2"/>
  <c r="J287" i="2"/>
  <c r="J32" i="2"/>
  <c r="J62" i="2"/>
  <c r="J92" i="2"/>
  <c r="J122" i="2"/>
  <c r="J152" i="2"/>
  <c r="J182" i="2"/>
  <c r="J212" i="2"/>
  <c r="J242" i="2"/>
  <c r="J272" i="2"/>
  <c r="F302" i="2"/>
  <c r="F47" i="2"/>
  <c r="F77" i="2"/>
  <c r="F107" i="2"/>
  <c r="F137" i="2"/>
  <c r="F167" i="2"/>
  <c r="F197" i="2"/>
  <c r="F227" i="2"/>
  <c r="F257" i="2"/>
  <c r="F287" i="2"/>
  <c r="F32" i="2"/>
  <c r="F62" i="2"/>
  <c r="F92" i="2"/>
  <c r="F122" i="2"/>
  <c r="F152" i="2"/>
  <c r="F182" i="2"/>
  <c r="F212" i="2"/>
  <c r="F242" i="2"/>
  <c r="F272" i="2"/>
  <c r="G92" i="2"/>
  <c r="G302" i="2"/>
  <c r="G47" i="2"/>
  <c r="G77" i="2"/>
  <c r="G107" i="2"/>
  <c r="G137" i="2"/>
  <c r="G167" i="2"/>
  <c r="G197" i="2"/>
  <c r="G227" i="2"/>
  <c r="G257" i="2"/>
  <c r="G287" i="2"/>
  <c r="G122" i="2"/>
  <c r="G152" i="2"/>
  <c r="G32" i="2"/>
  <c r="G62" i="2"/>
  <c r="G182" i="2"/>
  <c r="G212" i="2"/>
  <c r="G242" i="2"/>
  <c r="G272" i="2"/>
  <c r="M77" i="2"/>
  <c r="M167" i="2"/>
  <c r="M287" i="2"/>
  <c r="M32" i="2"/>
  <c r="M62" i="2"/>
  <c r="M92" i="2"/>
  <c r="M122" i="2"/>
  <c r="M152" i="2"/>
  <c r="M182" i="2"/>
  <c r="M212" i="2"/>
  <c r="M242" i="2"/>
  <c r="M272" i="2"/>
  <c r="M47" i="2"/>
  <c r="M137" i="2"/>
  <c r="M197" i="2"/>
  <c r="M227" i="2"/>
  <c r="M257" i="2"/>
  <c r="M302" i="2"/>
  <c r="M107" i="2"/>
  <c r="I137" i="2"/>
  <c r="I197" i="2"/>
  <c r="I257" i="2"/>
  <c r="I287" i="2"/>
  <c r="I32" i="2"/>
  <c r="I62" i="2"/>
  <c r="I92" i="2"/>
  <c r="I122" i="2"/>
  <c r="I152" i="2"/>
  <c r="I182" i="2"/>
  <c r="I212" i="2"/>
  <c r="I242" i="2"/>
  <c r="I272" i="2"/>
  <c r="I302" i="2"/>
  <c r="I77" i="2"/>
  <c r="I107" i="2"/>
  <c r="I47" i="2"/>
  <c r="I167" i="2"/>
  <c r="I227" i="2"/>
  <c r="L287" i="2"/>
  <c r="L32" i="2"/>
  <c r="L62" i="2"/>
  <c r="L92" i="2"/>
  <c r="L122" i="2"/>
  <c r="L152" i="2"/>
  <c r="L182" i="2"/>
  <c r="L212" i="2"/>
  <c r="L242" i="2"/>
  <c r="L272" i="2"/>
  <c r="L302" i="2"/>
  <c r="L47" i="2"/>
  <c r="L77" i="2"/>
  <c r="L107" i="2"/>
  <c r="L137" i="2"/>
  <c r="L167" i="2"/>
  <c r="L197" i="2"/>
  <c r="L227" i="2"/>
  <c r="L257" i="2"/>
  <c r="H287" i="2"/>
  <c r="H32" i="2"/>
  <c r="H62" i="2"/>
  <c r="H92" i="2"/>
  <c r="H122" i="2"/>
  <c r="H152" i="2"/>
  <c r="H182" i="2"/>
  <c r="H212" i="2"/>
  <c r="H242" i="2"/>
  <c r="H272" i="2"/>
  <c r="H302" i="2"/>
  <c r="H47" i="2"/>
  <c r="H77" i="2"/>
  <c r="H107" i="2"/>
  <c r="H137" i="2"/>
  <c r="H167" i="2"/>
  <c r="H197" i="2"/>
  <c r="H227" i="2"/>
  <c r="H257" i="2"/>
  <c r="E32" i="2"/>
  <c r="E92" i="2"/>
  <c r="E152" i="2"/>
  <c r="E212" i="2"/>
  <c r="E272" i="2"/>
  <c r="E107" i="2"/>
  <c r="E302" i="2"/>
  <c r="E77" i="2"/>
  <c r="E137" i="2"/>
  <c r="E197" i="2"/>
  <c r="E257" i="2"/>
  <c r="E47" i="2"/>
  <c r="E167" i="2"/>
  <c r="E227" i="2"/>
  <c r="E287" i="2"/>
  <c r="E62" i="2"/>
  <c r="E122" i="2"/>
  <c r="E182" i="2"/>
  <c r="E242" i="2"/>
  <c r="D212" i="2"/>
  <c r="D197" i="2"/>
  <c r="D272" i="2"/>
  <c r="D287" i="2"/>
  <c r="D302" i="2"/>
  <c r="D32" i="2"/>
  <c r="D47" i="2"/>
  <c r="D62" i="2"/>
  <c r="D77" i="2"/>
  <c r="D92" i="2"/>
  <c r="D107" i="2"/>
  <c r="D122" i="2"/>
  <c r="D137" i="2"/>
  <c r="D152" i="2"/>
  <c r="D167" i="2"/>
  <c r="D182" i="2"/>
  <c r="D227" i="2"/>
  <c r="D242" i="2"/>
  <c r="D257" i="2"/>
  <c r="C32" i="2"/>
  <c r="C92" i="2"/>
  <c r="C152" i="2"/>
  <c r="C212" i="2"/>
  <c r="C272" i="2"/>
  <c r="C62" i="2"/>
  <c r="C122" i="2"/>
  <c r="C182" i="2"/>
  <c r="C77" i="2"/>
  <c r="C137" i="2"/>
  <c r="C197" i="2"/>
  <c r="C257" i="2"/>
  <c r="C47" i="2"/>
  <c r="C107" i="2"/>
  <c r="C167" i="2"/>
  <c r="C227" i="2"/>
  <c r="C287" i="2"/>
  <c r="C242" i="2"/>
  <c r="C302" i="2"/>
  <c r="A11" i="2"/>
  <c r="A13" i="2"/>
  <c r="A9" i="2"/>
  <c r="A6" i="2"/>
  <c r="A7" i="2"/>
  <c r="A5" i="2"/>
  <c r="A12" i="2"/>
  <c r="A10" i="2"/>
  <c r="A3" i="2"/>
  <c r="A4" i="2"/>
  <c r="A8" i="2"/>
  <c r="D14" i="2" s="1"/>
  <c r="L286" i="2"/>
  <c r="L301" i="2"/>
  <c r="L31" i="2"/>
  <c r="L46" i="2"/>
  <c r="L61" i="2"/>
  <c r="L76" i="2"/>
  <c r="L91" i="2"/>
  <c r="L106" i="2"/>
  <c r="L121" i="2"/>
  <c r="L136" i="2"/>
  <c r="L151" i="2"/>
  <c r="L166" i="2"/>
  <c r="L181" i="2"/>
  <c r="L196" i="2"/>
  <c r="L211" i="2"/>
  <c r="L226" i="2"/>
  <c r="L241" i="2"/>
  <c r="L256" i="2"/>
  <c r="L271" i="2"/>
  <c r="K286" i="2"/>
  <c r="K301" i="2"/>
  <c r="K31" i="2"/>
  <c r="K46" i="2"/>
  <c r="K61" i="2"/>
  <c r="K76" i="2"/>
  <c r="K91" i="2"/>
  <c r="K106" i="2"/>
  <c r="K121" i="2"/>
  <c r="K136" i="2"/>
  <c r="K151" i="2"/>
  <c r="K166" i="2"/>
  <c r="K181" i="2"/>
  <c r="K196" i="2"/>
  <c r="K211" i="2"/>
  <c r="K226" i="2"/>
  <c r="K241" i="2"/>
  <c r="K256" i="2"/>
  <c r="K271" i="2"/>
  <c r="M241" i="2"/>
  <c r="M286" i="2"/>
  <c r="M301" i="2"/>
  <c r="M31" i="2"/>
  <c r="M46" i="2"/>
  <c r="M61" i="2"/>
  <c r="M76" i="2"/>
  <c r="M91" i="2"/>
  <c r="M106" i="2"/>
  <c r="M121" i="2"/>
  <c r="M136" i="2"/>
  <c r="M151" i="2"/>
  <c r="M166" i="2"/>
  <c r="M181" i="2"/>
  <c r="M196" i="2"/>
  <c r="M211" i="2"/>
  <c r="M226" i="2"/>
  <c r="M256" i="2"/>
  <c r="M271" i="2"/>
  <c r="G301" i="2"/>
  <c r="G76" i="2"/>
  <c r="G136" i="2"/>
  <c r="G196" i="2"/>
  <c r="G256" i="2"/>
  <c r="G46" i="2"/>
  <c r="G61" i="2"/>
  <c r="G121" i="2"/>
  <c r="G241" i="2"/>
  <c r="G31" i="2"/>
  <c r="G91" i="2"/>
  <c r="G151" i="2"/>
  <c r="G211" i="2"/>
  <c r="G271" i="2"/>
  <c r="G106" i="2"/>
  <c r="G166" i="2"/>
  <c r="G226" i="2"/>
  <c r="G286" i="2"/>
  <c r="G181" i="2"/>
  <c r="H286" i="2"/>
  <c r="H61" i="2"/>
  <c r="H121" i="2"/>
  <c r="H181" i="2"/>
  <c r="H241" i="2"/>
  <c r="H151" i="2"/>
  <c r="H166" i="2"/>
  <c r="H226" i="2"/>
  <c r="H301" i="2"/>
  <c r="H76" i="2"/>
  <c r="H136" i="2"/>
  <c r="H196" i="2"/>
  <c r="H256" i="2"/>
  <c r="H31" i="2"/>
  <c r="H91" i="2"/>
  <c r="H211" i="2"/>
  <c r="H271" i="2"/>
  <c r="H46" i="2"/>
  <c r="H106" i="2"/>
  <c r="F31" i="2"/>
  <c r="F91" i="2"/>
  <c r="F151" i="2"/>
  <c r="F211" i="2"/>
  <c r="F271" i="2"/>
  <c r="F241" i="2"/>
  <c r="F301" i="2"/>
  <c r="F136" i="2"/>
  <c r="F256" i="2"/>
  <c r="F46" i="2"/>
  <c r="F106" i="2"/>
  <c r="F166" i="2"/>
  <c r="F226" i="2"/>
  <c r="F286" i="2"/>
  <c r="F61" i="2"/>
  <c r="F121" i="2"/>
  <c r="F181" i="2"/>
  <c r="F76" i="2"/>
  <c r="F196" i="2"/>
  <c r="D46" i="2"/>
  <c r="D106" i="2"/>
  <c r="D166" i="2"/>
  <c r="D226" i="2"/>
  <c r="D76" i="2"/>
  <c r="D256" i="2"/>
  <c r="D31" i="2"/>
  <c r="D91" i="2"/>
  <c r="D211" i="2"/>
  <c r="D271" i="2"/>
  <c r="D286" i="2"/>
  <c r="D61" i="2"/>
  <c r="D121" i="2"/>
  <c r="D181" i="2"/>
  <c r="D241" i="2"/>
  <c r="D301" i="2"/>
  <c r="D136" i="2"/>
  <c r="D196" i="2"/>
  <c r="D151" i="2"/>
  <c r="J31" i="2"/>
  <c r="J91" i="2"/>
  <c r="J151" i="2"/>
  <c r="J211" i="2"/>
  <c r="J271" i="2"/>
  <c r="J286" i="2"/>
  <c r="J61" i="2"/>
  <c r="J121" i="2"/>
  <c r="J181" i="2"/>
  <c r="J76" i="2"/>
  <c r="J196" i="2"/>
  <c r="J46" i="2"/>
  <c r="J106" i="2"/>
  <c r="J166" i="2"/>
  <c r="J226" i="2"/>
  <c r="J241" i="2"/>
  <c r="J301" i="2"/>
  <c r="J136" i="2"/>
  <c r="J256" i="2"/>
  <c r="I46" i="2"/>
  <c r="I106" i="2"/>
  <c r="I166" i="2"/>
  <c r="I226" i="2"/>
  <c r="I136" i="2"/>
  <c r="I196" i="2"/>
  <c r="I151" i="2"/>
  <c r="I286" i="2"/>
  <c r="I61" i="2"/>
  <c r="I121" i="2"/>
  <c r="I181" i="2"/>
  <c r="I241" i="2"/>
  <c r="I301" i="2"/>
  <c r="I76" i="2"/>
  <c r="I256" i="2"/>
  <c r="I31" i="2"/>
  <c r="I91" i="2"/>
  <c r="I211" i="2"/>
  <c r="I271" i="2"/>
  <c r="E61" i="2"/>
  <c r="E91" i="2"/>
  <c r="E121" i="2"/>
  <c r="E151" i="2"/>
  <c r="E181" i="2"/>
  <c r="E211" i="2"/>
  <c r="E241" i="2"/>
  <c r="E271" i="2"/>
  <c r="E301" i="2"/>
  <c r="E286" i="2"/>
  <c r="E46" i="2"/>
  <c r="E76" i="2"/>
  <c r="E106" i="2"/>
  <c r="E136" i="2"/>
  <c r="E166" i="2"/>
  <c r="E196" i="2"/>
  <c r="E226" i="2"/>
  <c r="E256" i="2"/>
  <c r="E31" i="2"/>
  <c r="K17" i="2"/>
  <c r="G17" i="2"/>
  <c r="M16" i="2"/>
  <c r="I16" i="2"/>
  <c r="E16" i="2"/>
  <c r="J17" i="2"/>
  <c r="F17" i="2"/>
  <c r="L16" i="2"/>
  <c r="H16" i="2"/>
  <c r="D16" i="2"/>
  <c r="C17" i="2"/>
  <c r="M17" i="2"/>
  <c r="I17" i="2"/>
  <c r="E17" i="2"/>
  <c r="K16" i="2"/>
  <c r="G16" i="2"/>
  <c r="L17" i="2"/>
  <c r="H17" i="2"/>
  <c r="D17" i="2"/>
  <c r="J16" i="2"/>
  <c r="F16" i="2"/>
  <c r="M14" i="2" l="1"/>
  <c r="F14" i="2"/>
  <c r="L14" i="2"/>
  <c r="S14" i="2"/>
  <c r="V14" i="2"/>
  <c r="T14" i="2"/>
  <c r="N14" i="2"/>
  <c r="O14" i="2"/>
  <c r="P14" i="2"/>
  <c r="X14" i="2"/>
  <c r="W14" i="2"/>
  <c r="U14" i="2"/>
  <c r="R14" i="2"/>
  <c r="H14" i="2"/>
  <c r="J14" i="2"/>
  <c r="K14" i="2"/>
  <c r="G14" i="2"/>
  <c r="E14" i="2"/>
  <c r="I14" i="2"/>
  <c r="Q14" i="2"/>
  <c r="B15" i="3"/>
  <c r="N15" i="3"/>
  <c r="O15" i="3"/>
  <c r="T2" i="3" l="1"/>
  <c r="C1" i="2"/>
  <c r="C286" i="2" l="1"/>
  <c r="C61" i="2"/>
  <c r="C121" i="2"/>
  <c r="C181" i="2"/>
  <c r="C241" i="2"/>
  <c r="C31" i="2"/>
  <c r="C91" i="2"/>
  <c r="C211" i="2"/>
  <c r="C271" i="2"/>
  <c r="C46" i="2"/>
  <c r="C106" i="2"/>
  <c r="C301" i="2"/>
  <c r="C76" i="2"/>
  <c r="C136" i="2"/>
  <c r="C196" i="2"/>
  <c r="C256" i="2"/>
  <c r="C151" i="2"/>
  <c r="C166" i="2"/>
  <c r="C226" i="2"/>
  <c r="T3" i="3"/>
  <c r="T4" i="3" s="1"/>
  <c r="C16" i="2"/>
  <c r="AJ3" i="2"/>
  <c r="AJ14" i="2" s="1"/>
  <c r="C3" i="2"/>
  <c r="C14" i="2" s="1"/>
  <c r="AK6" i="2" l="1"/>
  <c r="AK11" i="2"/>
  <c r="AK8" i="2"/>
  <c r="AK13" i="2"/>
  <c r="AK4" i="2"/>
  <c r="AK7" i="2"/>
  <c r="AK10" i="2"/>
  <c r="AK5" i="2"/>
  <c r="AK9" i="2"/>
  <c r="AK3" i="2"/>
  <c r="AK12" i="2"/>
  <c r="T5" i="3"/>
  <c r="B18" i="2" l="1"/>
  <c r="B19" i="2" s="1"/>
  <c r="B20" i="2" s="1"/>
  <c r="T6" i="3"/>
  <c r="B21" i="2" l="1"/>
  <c r="B22" i="2" s="1"/>
  <c r="T7" i="3"/>
  <c r="T8" i="3" s="1"/>
  <c r="B23" i="2" l="1"/>
  <c r="B24" i="2" s="1"/>
  <c r="B25" i="2" s="1"/>
  <c r="B26" i="2" s="1"/>
  <c r="B27" i="2" s="1"/>
  <c r="B28" i="2" s="1"/>
  <c r="T9" i="3"/>
  <c r="T10" i="3" l="1"/>
  <c r="T11" i="3" l="1"/>
  <c r="T12" i="3" s="1"/>
  <c r="T13" i="3" l="1"/>
  <c r="T14" i="3" l="1"/>
  <c r="T15" i="3" l="1"/>
  <c r="T16" i="3" l="1"/>
  <c r="T17" i="3" l="1"/>
  <c r="T18" i="3" l="1"/>
  <c r="T19" i="3" l="1"/>
  <c r="T20" i="3" s="1"/>
  <c r="T21" i="3" s="1"/>
  <c r="T22" i="3" s="1"/>
  <c r="T23" i="3" l="1"/>
  <c r="T24" i="3" l="1"/>
  <c r="T25" i="3" l="1"/>
  <c r="R3" i="1" s="1"/>
  <c r="T2" i="1" l="1"/>
  <c r="P23" i="1"/>
  <c r="S19" i="1"/>
  <c r="R14" i="1"/>
  <c r="P4" i="1"/>
  <c r="R16" i="1"/>
  <c r="S16" i="1"/>
  <c r="R25" i="1"/>
  <c r="V2" i="1"/>
  <c r="P17" i="1"/>
  <c r="P21" i="1"/>
  <c r="P7" i="1"/>
  <c r="P6" i="1"/>
  <c r="R2" i="1"/>
  <c r="P16" i="1"/>
  <c r="U2" i="1"/>
  <c r="R9" i="1"/>
  <c r="R15" i="1"/>
  <c r="S21" i="1"/>
  <c r="P13" i="1"/>
  <c r="S23" i="1"/>
  <c r="P18" i="1"/>
  <c r="P2" i="1"/>
  <c r="P25" i="1"/>
  <c r="P5" i="1"/>
  <c r="P9" i="1"/>
  <c r="R18" i="1"/>
  <c r="S20" i="1"/>
  <c r="P12" i="1"/>
  <c r="P8" i="1"/>
  <c r="P20" i="1"/>
  <c r="P15" i="1"/>
  <c r="P10" i="1"/>
  <c r="S17" i="1"/>
  <c r="R8" i="1"/>
  <c r="R26" i="1"/>
  <c r="S2" i="1"/>
  <c r="W2" i="1"/>
  <c r="S25" i="1"/>
  <c r="R19" i="1"/>
  <c r="R17" i="1"/>
  <c r="S18" i="1"/>
  <c r="P11" i="1"/>
  <c r="R11" i="1"/>
  <c r="S26" i="1"/>
  <c r="R5" i="1"/>
  <c r="S15" i="1"/>
  <c r="P19" i="1"/>
  <c r="P22" i="1"/>
  <c r="Q2" i="1"/>
  <c r="P26" i="1"/>
  <c r="S24" i="1"/>
  <c r="P3" i="1"/>
  <c r="R23" i="1"/>
  <c r="R24" i="1"/>
  <c r="P24" i="1"/>
  <c r="S22" i="1"/>
  <c r="R4" i="1"/>
  <c r="R21" i="1"/>
  <c r="R22" i="1"/>
  <c r="P14" i="1"/>
  <c r="R20" i="1"/>
  <c r="R13" i="1"/>
  <c r="R12" i="1"/>
  <c r="R10" i="1"/>
  <c r="R7" i="1"/>
  <c r="R6" i="1"/>
  <c r="A18" i="2" l="1"/>
  <c r="A19" i="2" l="1"/>
  <c r="A20" i="2" l="1"/>
  <c r="A21" i="2" l="1"/>
  <c r="A22" i="2" l="1"/>
  <c r="A23" i="2" l="1"/>
  <c r="A24" i="2" l="1"/>
  <c r="A25" i="2" l="1"/>
  <c r="A26" i="2" l="1"/>
  <c r="A27" i="2" l="1"/>
  <c r="P23" i="2" l="1"/>
  <c r="U26" i="2"/>
  <c r="K22" i="2"/>
  <c r="AJ20" i="2"/>
  <c r="F27" i="2"/>
  <c r="AG23" i="2"/>
  <c r="Y26" i="2"/>
  <c r="T24" i="2"/>
  <c r="AE25" i="2"/>
  <c r="AC18" i="2"/>
  <c r="I20" i="2"/>
  <c r="AD28" i="2"/>
  <c r="AG19" i="2"/>
  <c r="U27" i="2"/>
  <c r="R22" i="2"/>
  <c r="R28" i="2"/>
  <c r="I19" i="2"/>
  <c r="D22" i="2"/>
  <c r="M28" i="2"/>
  <c r="Q21" i="2"/>
  <c r="W18" i="2"/>
  <c r="X28" i="2"/>
  <c r="L24" i="2"/>
  <c r="K19" i="2"/>
  <c r="N20" i="2"/>
  <c r="C25" i="2"/>
  <c r="O24" i="2"/>
  <c r="AE26" i="2"/>
  <c r="AH19" i="2"/>
  <c r="G24" i="2"/>
  <c r="M20" i="2"/>
  <c r="C19" i="2"/>
  <c r="Q27" i="2"/>
  <c r="E20" i="2"/>
  <c r="AF27" i="2"/>
  <c r="AD25" i="2"/>
  <c r="AE18" i="2"/>
  <c r="S25" i="2"/>
  <c r="I27" i="2"/>
  <c r="M21" i="2"/>
  <c r="I26" i="2"/>
  <c r="R18" i="2"/>
  <c r="T26" i="2"/>
  <c r="T27" i="2"/>
  <c r="O20" i="2"/>
  <c r="C20" i="2"/>
  <c r="C18" i="2"/>
  <c r="M27" i="2"/>
  <c r="M23" i="2"/>
  <c r="Q19" i="2"/>
  <c r="L23" i="2"/>
  <c r="I24" i="2"/>
  <c r="O22" i="2"/>
  <c r="V23" i="2"/>
  <c r="K20" i="2"/>
  <c r="H24" i="2"/>
  <c r="AI26" i="2"/>
  <c r="AH22" i="2"/>
  <c r="AE28" i="2"/>
  <c r="U19" i="2"/>
  <c r="S19" i="2"/>
  <c r="Z27" i="2"/>
  <c r="T28" i="2"/>
  <c r="AA18" i="2"/>
  <c r="M26" i="2"/>
  <c r="AC25" i="2"/>
  <c r="Q28" i="2"/>
  <c r="F26" i="2"/>
  <c r="X20" i="2"/>
  <c r="AG25" i="2"/>
  <c r="AI28" i="2"/>
  <c r="G28" i="2"/>
  <c r="Z22" i="2"/>
  <c r="L22" i="2"/>
  <c r="AD24" i="2"/>
  <c r="T20" i="2"/>
  <c r="S24" i="2"/>
  <c r="P18" i="2"/>
  <c r="E18" i="2"/>
  <c r="S18" i="2"/>
  <c r="W25" i="2"/>
  <c r="C21" i="2"/>
  <c r="AF21" i="2"/>
  <c r="X23" i="2"/>
  <c r="Y23" i="2"/>
  <c r="X21" i="2"/>
  <c r="J22" i="2"/>
  <c r="T18" i="2"/>
  <c r="AB18" i="2"/>
  <c r="AC28" i="2"/>
  <c r="E19" i="2"/>
  <c r="K28" i="2"/>
  <c r="G27" i="2"/>
  <c r="J23" i="2"/>
  <c r="I28" i="2"/>
  <c r="R20" i="2"/>
  <c r="Y18" i="2"/>
  <c r="U24" i="2"/>
  <c r="W24" i="2"/>
  <c r="AB20" i="2"/>
  <c r="K24" i="2"/>
  <c r="M24" i="2"/>
  <c r="D28" i="2"/>
  <c r="H21" i="2"/>
  <c r="J24" i="2"/>
  <c r="L27" i="2"/>
  <c r="G23" i="2"/>
  <c r="G18" i="2"/>
  <c r="Q18" i="2"/>
  <c r="N24" i="2"/>
  <c r="AA25" i="2"/>
  <c r="Y22" i="2"/>
  <c r="H27" i="2"/>
  <c r="L18" i="2"/>
  <c r="AD20" i="2"/>
  <c r="Q26" i="2"/>
  <c r="AE21" i="2"/>
  <c r="AF24" i="2"/>
  <c r="AE23" i="2"/>
  <c r="E27" i="2"/>
  <c r="AI18" i="2"/>
  <c r="Z18" i="2"/>
  <c r="U18" i="2"/>
  <c r="U21" i="2"/>
  <c r="AH28" i="2"/>
  <c r="AB28" i="2"/>
  <c r="K23" i="2"/>
  <c r="V25" i="2"/>
  <c r="V22" i="2"/>
  <c r="D27" i="2"/>
  <c r="C23" i="2"/>
  <c r="R24" i="2"/>
  <c r="I21" i="2"/>
  <c r="F21" i="2"/>
  <c r="AJ24" i="2"/>
  <c r="D18" i="2"/>
  <c r="Y27" i="2"/>
  <c r="T21" i="2"/>
  <c r="S21" i="2"/>
  <c r="Z23" i="2"/>
  <c r="H26" i="2"/>
  <c r="E25" i="2"/>
  <c r="V21" i="2"/>
  <c r="H28" i="2"/>
  <c r="F24" i="2"/>
  <c r="J26" i="2"/>
  <c r="G25" i="2"/>
  <c r="X19" i="2"/>
  <c r="AB26" i="2"/>
  <c r="G19" i="2"/>
  <c r="Z24" i="2"/>
  <c r="Q24" i="2"/>
  <c r="AA27" i="2"/>
  <c r="D25" i="2"/>
  <c r="AE27" i="2"/>
  <c r="AE22" i="2"/>
  <c r="M25" i="2"/>
  <c r="W19" i="2"/>
  <c r="F22" i="2"/>
  <c r="O26" i="2"/>
  <c r="U20" i="2"/>
  <c r="AG27" i="2"/>
  <c r="L20" i="2"/>
  <c r="AJ25" i="2"/>
  <c r="AI22" i="2"/>
  <c r="O19" i="2"/>
  <c r="O25" i="2"/>
  <c r="I25" i="2"/>
  <c r="J20" i="2"/>
  <c r="AF19" i="2"/>
  <c r="AA22" i="2"/>
  <c r="H22" i="2"/>
  <c r="P24" i="2"/>
  <c r="O27" i="2"/>
  <c r="H19" i="2"/>
  <c r="J28" i="2"/>
  <c r="C28" i="2"/>
  <c r="Y21" i="2"/>
  <c r="W23" i="2"/>
  <c r="AE19" i="2"/>
  <c r="H25" i="2"/>
  <c r="K26" i="2"/>
  <c r="D19" i="2"/>
  <c r="AH27" i="2"/>
  <c r="AI21" i="2"/>
  <c r="O18" i="2"/>
  <c r="S27" i="2"/>
  <c r="S28" i="2"/>
  <c r="V20" i="2"/>
  <c r="H23" i="2"/>
  <c r="AG20" i="2"/>
  <c r="AB24" i="2"/>
  <c r="P28" i="2"/>
  <c r="E28" i="2"/>
  <c r="AF28" i="2"/>
  <c r="AA28" i="2"/>
  <c r="AH26" i="2"/>
  <c r="AH20" i="2"/>
  <c r="V24" i="2"/>
  <c r="AG26" i="2"/>
  <c r="X22" i="2"/>
  <c r="Q20" i="2"/>
  <c r="P21" i="2"/>
  <c r="E26" i="2"/>
  <c r="U25" i="2"/>
  <c r="AH23" i="2"/>
  <c r="M19" i="2"/>
  <c r="X26" i="2"/>
  <c r="V19" i="2"/>
  <c r="C26" i="2"/>
  <c r="H18" i="2"/>
  <c r="R27" i="2"/>
  <c r="G22" i="2"/>
  <c r="AF18" i="2"/>
  <c r="K25" i="2"/>
  <c r="X24" i="2"/>
  <c r="H20" i="2"/>
  <c r="AA24" i="2"/>
  <c r="F23" i="2"/>
  <c r="AB19" i="2"/>
  <c r="AA26" i="2"/>
  <c r="AA23" i="2"/>
  <c r="T23" i="2"/>
  <c r="AG21" i="2"/>
  <c r="J27" i="2"/>
  <c r="AE24" i="2"/>
  <c r="O28" i="2"/>
  <c r="AJ26" i="2"/>
  <c r="AI23" i="2"/>
  <c r="AH24" i="2"/>
  <c r="Z21" i="2"/>
  <c r="AB21" i="2"/>
  <c r="C22" i="2"/>
  <c r="AC20" i="2"/>
  <c r="Z20" i="2"/>
  <c r="W21" i="2"/>
  <c r="I23" i="2"/>
  <c r="R21" i="2"/>
  <c r="V28" i="2"/>
  <c r="L28" i="2"/>
  <c r="J21" i="2"/>
  <c r="S26" i="2"/>
  <c r="AD27" i="2"/>
  <c r="AC19" i="2"/>
  <c r="AD19" i="2"/>
  <c r="K21" i="2"/>
  <c r="R26" i="2"/>
  <c r="D23" i="2"/>
  <c r="T22" i="2"/>
  <c r="AH25" i="2"/>
  <c r="Q23" i="2"/>
  <c r="X25" i="2"/>
  <c r="W20" i="2"/>
  <c r="AG24" i="2"/>
  <c r="AI20" i="2"/>
  <c r="K27" i="2"/>
  <c r="N19" i="2"/>
  <c r="N26" i="2"/>
  <c r="M18" i="2"/>
  <c r="AF23" i="2"/>
  <c r="AJ22" i="2"/>
  <c r="X27" i="2"/>
  <c r="K18" i="2"/>
  <c r="P20" i="2"/>
  <c r="Z28" i="2"/>
  <c r="N28" i="2"/>
  <c r="V18" i="2"/>
  <c r="O21" i="2"/>
  <c r="G21" i="2"/>
  <c r="AA19" i="2"/>
  <c r="I18" i="2"/>
  <c r="AC23" i="2"/>
  <c r="AJ19" i="2"/>
  <c r="S22" i="2"/>
  <c r="AJ18" i="2"/>
  <c r="AC24" i="2"/>
  <c r="Q25" i="2"/>
  <c r="AF25" i="2"/>
  <c r="D24" i="2"/>
  <c r="R23" i="2"/>
  <c r="AJ28" i="2"/>
  <c r="W27" i="2"/>
  <c r="P26" i="2"/>
  <c r="AB25" i="2"/>
  <c r="Z19" i="2"/>
  <c r="N23" i="2"/>
  <c r="AA20" i="2"/>
  <c r="N22" i="2"/>
  <c r="AC26" i="2"/>
  <c r="AI24" i="2"/>
  <c r="AE20" i="2"/>
  <c r="AG22" i="2"/>
  <c r="AG28" i="2"/>
  <c r="AI25" i="2"/>
  <c r="Y24" i="2"/>
  <c r="P19" i="2"/>
  <c r="AC22" i="2"/>
  <c r="U28" i="2"/>
  <c r="AJ27" i="2"/>
  <c r="P27" i="2"/>
  <c r="E22" i="2"/>
  <c r="F28" i="2"/>
  <c r="G20" i="2"/>
  <c r="J19" i="2"/>
  <c r="L19" i="2"/>
  <c r="T19" i="2"/>
  <c r="AG18" i="2"/>
  <c r="AD26" i="2"/>
  <c r="L21" i="2"/>
  <c r="AJ23" i="2"/>
  <c r="AB22" i="2"/>
  <c r="AF20" i="2"/>
  <c r="O23" i="2"/>
  <c r="T25" i="2"/>
  <c r="X18" i="2"/>
  <c r="E23" i="2"/>
  <c r="S20" i="2"/>
  <c r="J25" i="2"/>
  <c r="P25" i="2"/>
  <c r="L25" i="2"/>
  <c r="V27" i="2"/>
  <c r="E21" i="2"/>
  <c r="AJ21" i="2"/>
  <c r="AD18" i="2"/>
  <c r="AB23" i="2"/>
  <c r="F25" i="2"/>
  <c r="Q22" i="2"/>
  <c r="N18" i="2"/>
  <c r="C27" i="2"/>
  <c r="Y28" i="2"/>
  <c r="C24" i="2"/>
  <c r="G26" i="2"/>
  <c r="AF22" i="2"/>
  <c r="D21" i="2"/>
  <c r="F20" i="2"/>
  <c r="D20" i="2"/>
  <c r="AI27" i="2"/>
  <c r="L26" i="2"/>
  <c r="M22" i="2"/>
  <c r="AC27" i="2"/>
  <c r="Z26" i="2"/>
  <c r="N25" i="2"/>
  <c r="N21" i="2"/>
  <c r="Y19" i="2"/>
  <c r="R19" i="2"/>
  <c r="AI19" i="2"/>
  <c r="AA21" i="2"/>
  <c r="U23" i="2"/>
  <c r="AD23" i="2"/>
  <c r="F19" i="2"/>
  <c r="Y25" i="2"/>
  <c r="Y20" i="2"/>
  <c r="J18" i="2"/>
  <c r="R25" i="2"/>
  <c r="AD22" i="2"/>
  <c r="D26" i="2"/>
  <c r="Z25" i="2"/>
  <c r="P22" i="2"/>
  <c r="F18" i="2"/>
  <c r="U22" i="2"/>
  <c r="S23" i="2"/>
  <c r="AD21" i="2"/>
  <c r="N27" i="2"/>
  <c r="AB27" i="2"/>
  <c r="V26" i="2"/>
  <c r="W28" i="2"/>
  <c r="I22" i="2"/>
  <c r="W26" i="2"/>
  <c r="W22" i="2"/>
  <c r="AH18" i="2"/>
  <c r="AF26" i="2"/>
  <c r="AH21" i="2"/>
  <c r="AC21" i="2"/>
  <c r="E24" i="2"/>
  <c r="A28" i="2"/>
  <c r="I29" i="2" l="1"/>
  <c r="M29" i="2"/>
  <c r="O29" i="2"/>
  <c r="H29" i="2"/>
  <c r="Q29" i="2"/>
  <c r="F29" i="2"/>
  <c r="V29" i="2"/>
  <c r="X29" i="2"/>
  <c r="K29" i="2"/>
  <c r="U29" i="2"/>
  <c r="E29" i="2"/>
  <c r="C29" i="2"/>
  <c r="J29" i="2"/>
  <c r="W29" i="2"/>
  <c r="G29" i="2"/>
  <c r="L29" i="2"/>
  <c r="P29" i="2"/>
  <c r="R29" i="2"/>
  <c r="N29" i="2"/>
  <c r="D29" i="2"/>
  <c r="T29" i="2"/>
  <c r="S29" i="2"/>
  <c r="AJ29" i="2"/>
  <c r="AK18" i="2" l="1"/>
  <c r="AK27" i="2"/>
  <c r="AK24" i="2"/>
  <c r="AK20" i="2"/>
  <c r="AK25" i="2"/>
  <c r="AK21" i="2"/>
  <c r="AK23" i="2"/>
  <c r="AK26" i="2"/>
  <c r="AK28" i="2"/>
  <c r="AK19" i="2"/>
  <c r="AK22" i="2"/>
  <c r="B33" i="2" l="1"/>
  <c r="B34" i="2" s="1"/>
  <c r="A34" i="2" s="1"/>
  <c r="A33" i="2" l="1"/>
  <c r="B35" i="2"/>
  <c r="A35" i="2" s="1"/>
  <c r="B36" i="2" l="1"/>
  <c r="A36" i="2" l="1"/>
  <c r="B37" i="2"/>
  <c r="B38" i="2" l="1"/>
  <c r="A37" i="2"/>
  <c r="A38" i="2" l="1"/>
  <c r="B39" i="2"/>
  <c r="A39" i="2" l="1"/>
  <c r="B40" i="2"/>
  <c r="A40" i="2" l="1"/>
  <c r="B41" i="2"/>
  <c r="A41" i="2" l="1"/>
  <c r="B42" i="2"/>
  <c r="A42" i="2" l="1"/>
  <c r="B43" i="2"/>
  <c r="M34" i="2" s="1"/>
  <c r="K43" i="2" l="1"/>
  <c r="I36" i="2"/>
  <c r="Z38" i="2"/>
  <c r="AH42" i="2"/>
  <c r="L42" i="2"/>
  <c r="H43" i="2"/>
  <c r="J43" i="2"/>
  <c r="I40" i="2"/>
  <c r="E33" i="2"/>
  <c r="K40" i="2"/>
  <c r="H35" i="2"/>
  <c r="U40" i="2"/>
  <c r="J34" i="2"/>
  <c r="Q42" i="2"/>
  <c r="M40" i="2"/>
  <c r="Q43" i="2"/>
  <c r="Q34" i="2"/>
  <c r="F39" i="2"/>
  <c r="I42" i="2"/>
  <c r="K42" i="2"/>
  <c r="X35" i="2"/>
  <c r="V39" i="2"/>
  <c r="V42" i="2"/>
  <c r="AE35" i="2"/>
  <c r="AH38" i="2"/>
  <c r="I34" i="2"/>
  <c r="AJ33" i="2"/>
  <c r="W34" i="2"/>
  <c r="AG41" i="2"/>
  <c r="F33" i="2"/>
  <c r="P37" i="2"/>
  <c r="AC34" i="2"/>
  <c r="AB39" i="2"/>
  <c r="G34" i="2"/>
  <c r="AF34" i="2"/>
  <c r="Z41" i="2"/>
  <c r="Y34" i="2"/>
  <c r="S41" i="2"/>
  <c r="M35" i="2"/>
  <c r="L41" i="2"/>
  <c r="AA39" i="2"/>
  <c r="Y43" i="2"/>
  <c r="AD40" i="2"/>
  <c r="Q40" i="2"/>
  <c r="P42" i="2"/>
  <c r="P38" i="2"/>
  <c r="S33" i="2"/>
  <c r="X33" i="2"/>
  <c r="AC40" i="2"/>
  <c r="N42" i="2"/>
  <c r="Z39" i="2"/>
  <c r="AC42" i="2"/>
  <c r="AI37" i="2"/>
  <c r="G36" i="2"/>
  <c r="N36" i="2"/>
  <c r="K36" i="2"/>
  <c r="D38" i="2"/>
  <c r="I35" i="2"/>
  <c r="Y39" i="2"/>
  <c r="AC35" i="2"/>
  <c r="T33" i="2"/>
  <c r="O38" i="2"/>
  <c r="C35" i="2"/>
  <c r="L34" i="2"/>
  <c r="M41" i="2"/>
  <c r="D43" i="2"/>
  <c r="O42" i="2"/>
  <c r="E37" i="2"/>
  <c r="AJ36" i="2"/>
  <c r="H41" i="2"/>
  <c r="T39" i="2"/>
  <c r="G33" i="2"/>
  <c r="M36" i="2"/>
  <c r="AE34" i="2"/>
  <c r="V35" i="2"/>
  <c r="AA35" i="2"/>
  <c r="AB41" i="2"/>
  <c r="G39" i="2"/>
  <c r="W41" i="2"/>
  <c r="W36" i="2"/>
  <c r="AB37" i="2"/>
  <c r="AA38" i="2"/>
  <c r="E38" i="2"/>
  <c r="Z36" i="2"/>
  <c r="R39" i="2"/>
  <c r="U43" i="2"/>
  <c r="F42" i="2"/>
  <c r="P43" i="2"/>
  <c r="AJ40" i="2"/>
  <c r="N37" i="2"/>
  <c r="AE42" i="2"/>
  <c r="T35" i="2"/>
  <c r="G35" i="2"/>
  <c r="D37" i="2"/>
  <c r="AB38" i="2"/>
  <c r="V37" i="2"/>
  <c r="J39" i="2"/>
  <c r="W42" i="2"/>
  <c r="S36" i="2"/>
  <c r="AF41" i="2"/>
  <c r="Y38" i="2"/>
  <c r="AB34" i="2"/>
  <c r="U39" i="2"/>
  <c r="U41" i="2"/>
  <c r="AH37" i="2"/>
  <c r="V40" i="2"/>
  <c r="L33" i="2"/>
  <c r="AD33" i="2"/>
  <c r="P39" i="2"/>
  <c r="C42" i="2"/>
  <c r="AD38" i="2"/>
  <c r="AI43" i="2"/>
  <c r="E41" i="2"/>
  <c r="V34" i="2"/>
  <c r="Q35" i="2"/>
  <c r="T38" i="2"/>
  <c r="F38" i="2"/>
  <c r="U33" i="2"/>
  <c r="Q41" i="2"/>
  <c r="H34" i="2"/>
  <c r="S39" i="2"/>
  <c r="F36" i="2"/>
  <c r="L35" i="2"/>
  <c r="AF38" i="2"/>
  <c r="S40" i="2"/>
  <c r="J37" i="2"/>
  <c r="N41" i="2"/>
  <c r="AC33" i="2"/>
  <c r="E40" i="2"/>
  <c r="E35" i="2"/>
  <c r="AH43" i="2"/>
  <c r="X43" i="2"/>
  <c r="Z34" i="2"/>
  <c r="F43" i="2"/>
  <c r="AB43" i="2"/>
  <c r="O39" i="2"/>
  <c r="O40" i="2"/>
  <c r="E43" i="2"/>
  <c r="AD42" i="2"/>
  <c r="U42" i="2"/>
  <c r="G40" i="2"/>
  <c r="J36" i="2"/>
  <c r="J33" i="2"/>
  <c r="AB33" i="2"/>
  <c r="AI40" i="2"/>
  <c r="P33" i="2"/>
  <c r="AE39" i="2"/>
  <c r="D34" i="2"/>
  <c r="G38" i="2"/>
  <c r="H36" i="2"/>
  <c r="K39" i="2"/>
  <c r="AG35" i="2"/>
  <c r="AA37" i="2"/>
  <c r="AI34" i="2"/>
  <c r="Q37" i="2"/>
  <c r="V33" i="2"/>
  <c r="D40" i="2"/>
  <c r="V36" i="2"/>
  <c r="L43" i="2"/>
  <c r="C41" i="2"/>
  <c r="W40" i="2"/>
  <c r="C38" i="2"/>
  <c r="O41" i="2"/>
  <c r="AC38" i="2"/>
  <c r="AG40" i="2"/>
  <c r="X39" i="2"/>
  <c r="R41" i="2"/>
  <c r="N35" i="2"/>
  <c r="F37" i="2"/>
  <c r="AF33" i="2"/>
  <c r="AI38" i="2"/>
  <c r="AF39" i="2"/>
  <c r="E34" i="2"/>
  <c r="W37" i="2"/>
  <c r="S43" i="2"/>
  <c r="R35" i="2"/>
  <c r="AJ39" i="2"/>
  <c r="J35" i="2"/>
  <c r="Y37" i="2"/>
  <c r="O34" i="2"/>
  <c r="M33" i="2"/>
  <c r="G43" i="2"/>
  <c r="AB40" i="2"/>
  <c r="L37" i="2"/>
  <c r="AH34" i="2"/>
  <c r="P34" i="2"/>
  <c r="N33" i="2"/>
  <c r="T36" i="2"/>
  <c r="AE33" i="2"/>
  <c r="AF37" i="2"/>
  <c r="AI35" i="2"/>
  <c r="AE43" i="2"/>
  <c r="AG36" i="2"/>
  <c r="X38" i="2"/>
  <c r="AJ38" i="2"/>
  <c r="Q39" i="2"/>
  <c r="AA42" i="2"/>
  <c r="AD36" i="2"/>
  <c r="I38" i="2"/>
  <c r="O37" i="2"/>
  <c r="H37" i="2"/>
  <c r="AG43" i="2"/>
  <c r="X36" i="2"/>
  <c r="AA34" i="2"/>
  <c r="S34" i="2"/>
  <c r="G37" i="2"/>
  <c r="AJ34" i="2"/>
  <c r="J41" i="2"/>
  <c r="S37" i="2"/>
  <c r="AC36" i="2"/>
  <c r="AI36" i="2"/>
  <c r="F35" i="2"/>
  <c r="Q36" i="2"/>
  <c r="X41" i="2"/>
  <c r="Q38" i="2"/>
  <c r="H39" i="2"/>
  <c r="P36" i="2"/>
  <c r="T43" i="2"/>
  <c r="F34" i="2"/>
  <c r="A43" i="2"/>
  <c r="N39" i="2"/>
  <c r="S35" i="2"/>
  <c r="U34" i="2"/>
  <c r="O43" i="2"/>
  <c r="R37" i="2"/>
  <c r="AH41" i="2"/>
  <c r="H38" i="2"/>
  <c r="I39" i="2"/>
  <c r="W39" i="2"/>
  <c r="C40" i="2"/>
  <c r="R36" i="2"/>
  <c r="D42" i="2"/>
  <c r="R34" i="2"/>
  <c r="R42" i="2"/>
  <c r="W43" i="2"/>
  <c r="Q33" i="2"/>
  <c r="W38" i="2"/>
  <c r="Z40" i="2"/>
  <c r="AD43" i="2"/>
  <c r="H40" i="2"/>
  <c r="V43" i="2"/>
  <c r="AG38" i="2"/>
  <c r="AG39" i="2"/>
  <c r="T34" i="2"/>
  <c r="C39" i="2"/>
  <c r="AH40" i="2"/>
  <c r="Z42" i="2"/>
  <c r="H42" i="2"/>
  <c r="AG42" i="2"/>
  <c r="I41" i="2"/>
  <c r="M37" i="2"/>
  <c r="H33" i="2"/>
  <c r="K35" i="2"/>
  <c r="N43" i="2"/>
  <c r="AG34" i="2"/>
  <c r="AA40" i="2"/>
  <c r="Y36" i="2"/>
  <c r="E39" i="2"/>
  <c r="L40" i="2"/>
  <c r="P41" i="2"/>
  <c r="AD37" i="2"/>
  <c r="M42" i="2"/>
  <c r="AE38" i="2"/>
  <c r="AC39" i="2"/>
  <c r="AF40" i="2"/>
  <c r="AH39" i="2"/>
  <c r="AJ35" i="2"/>
  <c r="L39" i="2"/>
  <c r="K34" i="2"/>
  <c r="AD34" i="2"/>
  <c r="AC41" i="2"/>
  <c r="C33" i="2"/>
  <c r="AE40" i="2"/>
  <c r="U38" i="2"/>
  <c r="I43" i="2"/>
  <c r="AD41" i="2"/>
  <c r="AG33" i="2"/>
  <c r="AF42" i="2"/>
  <c r="D41" i="2"/>
  <c r="C37" i="2"/>
  <c r="X42" i="2"/>
  <c r="J40" i="2"/>
  <c r="M38" i="2"/>
  <c r="C43" i="2"/>
  <c r="J38" i="2"/>
  <c r="AJ42" i="2"/>
  <c r="G41" i="2"/>
  <c r="C36" i="2"/>
  <c r="X37" i="2"/>
  <c r="AH35" i="2"/>
  <c r="I33" i="2"/>
  <c r="U36" i="2"/>
  <c r="AD39" i="2"/>
  <c r="AB42" i="2"/>
  <c r="V38" i="2"/>
  <c r="F41" i="2"/>
  <c r="I37" i="2"/>
  <c r="AB35" i="2"/>
  <c r="K38" i="2"/>
  <c r="K41" i="2"/>
  <c r="R38" i="2"/>
  <c r="AI42" i="2"/>
  <c r="E36" i="2"/>
  <c r="J42" i="2"/>
  <c r="V41" i="2"/>
  <c r="C34" i="2"/>
  <c r="Z43" i="2"/>
  <c r="Z33" i="2"/>
  <c r="T41" i="2"/>
  <c r="AA36" i="2"/>
  <c r="R43" i="2"/>
  <c r="M39" i="2"/>
  <c r="L38" i="2"/>
  <c r="AI33" i="2"/>
  <c r="N38" i="2"/>
  <c r="AC37" i="2"/>
  <c r="R33" i="2"/>
  <c r="AJ43" i="2"/>
  <c r="M43" i="2"/>
  <c r="AG37" i="2"/>
  <c r="N40" i="2"/>
  <c r="Y33" i="2"/>
  <c r="Y40" i="2"/>
  <c r="AF36" i="2"/>
  <c r="W35" i="2"/>
  <c r="AB36" i="2"/>
  <c r="AF43" i="2"/>
  <c r="S42" i="2"/>
  <c r="AD35" i="2"/>
  <c r="D39" i="2"/>
  <c r="P40" i="2"/>
  <c r="AE36" i="2"/>
  <c r="G42" i="2"/>
  <c r="U35" i="2"/>
  <c r="X40" i="2"/>
  <c r="K37" i="2"/>
  <c r="AA43" i="2"/>
  <c r="N34" i="2"/>
  <c r="T42" i="2"/>
  <c r="Z35" i="2"/>
  <c r="O33" i="2"/>
  <c r="X34" i="2"/>
  <c r="S38" i="2"/>
  <c r="AC43" i="2"/>
  <c r="K33" i="2"/>
  <c r="AF35" i="2"/>
  <c r="AI41" i="2"/>
  <c r="Y42" i="2"/>
  <c r="F40" i="2"/>
  <c r="D35" i="2"/>
  <c r="AJ41" i="2"/>
  <c r="AE41" i="2"/>
  <c r="L36" i="2"/>
  <c r="Z37" i="2"/>
  <c r="AE37" i="2"/>
  <c r="T37" i="2"/>
  <c r="AJ37" i="2"/>
  <c r="Y41" i="2"/>
  <c r="AA41" i="2"/>
  <c r="AI39" i="2"/>
  <c r="P35" i="2"/>
  <c r="W33" i="2"/>
  <c r="Y35" i="2"/>
  <c r="U37" i="2"/>
  <c r="T40" i="2"/>
  <c r="O36" i="2"/>
  <c r="D36" i="2"/>
  <c r="AH36" i="2"/>
  <c r="E42" i="2"/>
  <c r="AH33" i="2"/>
  <c r="D33" i="2"/>
  <c r="AA33" i="2"/>
  <c r="R40" i="2"/>
  <c r="O35" i="2"/>
  <c r="U44" i="2" l="1"/>
  <c r="T44" i="2"/>
  <c r="K44" i="2"/>
  <c r="L44" i="2"/>
  <c r="V44" i="2"/>
  <c r="F44" i="2"/>
  <c r="P44" i="2"/>
  <c r="O44" i="2"/>
  <c r="R44" i="2"/>
  <c r="E44" i="2"/>
  <c r="N44" i="2"/>
  <c r="G44" i="2"/>
  <c r="Q44" i="2"/>
  <c r="D44" i="2"/>
  <c r="J44" i="2"/>
  <c r="C44" i="2"/>
  <c r="S44" i="2"/>
  <c r="H44" i="2"/>
  <c r="W44" i="2"/>
  <c r="I44" i="2"/>
  <c r="X44" i="2"/>
  <c r="AJ44" i="2"/>
  <c r="M44" i="2"/>
  <c r="AK33" i="2" l="1"/>
  <c r="AK43" i="2"/>
  <c r="AK37" i="2"/>
  <c r="AK38" i="2"/>
  <c r="AK41" i="2"/>
  <c r="AK35" i="2"/>
  <c r="AK36" i="2"/>
  <c r="AK42" i="2"/>
  <c r="AK34" i="2"/>
  <c r="AK40" i="2"/>
  <c r="AK39" i="2"/>
  <c r="B48" i="2" l="1"/>
  <c r="A48" i="2" l="1"/>
  <c r="B49" i="2"/>
  <c r="A49" i="2" l="1"/>
  <c r="B50" i="2"/>
  <c r="A50" i="2" s="1"/>
  <c r="B51" i="2" l="1"/>
  <c r="A51" i="2" l="1"/>
  <c r="B52" i="2"/>
  <c r="A52" i="2" l="1"/>
  <c r="B53" i="2"/>
  <c r="A53" i="2" l="1"/>
  <c r="B54" i="2"/>
  <c r="A54" i="2" l="1"/>
  <c r="B55" i="2"/>
  <c r="A55" i="2" l="1"/>
  <c r="B56" i="2"/>
  <c r="A56" i="2" l="1"/>
  <c r="B57" i="2"/>
  <c r="A57" i="2" l="1"/>
  <c r="B58" i="2"/>
  <c r="W53" i="2" s="1"/>
  <c r="K58" i="2" l="1"/>
  <c r="G57" i="2"/>
  <c r="P54" i="2"/>
  <c r="Z55" i="2"/>
  <c r="O55" i="2"/>
  <c r="R52" i="2"/>
  <c r="AJ57" i="2"/>
  <c r="C58" i="2"/>
  <c r="Q48" i="2"/>
  <c r="K52" i="2"/>
  <c r="L51" i="2"/>
  <c r="X49" i="2"/>
  <c r="F55" i="2"/>
  <c r="H50" i="2"/>
  <c r="W48" i="2"/>
  <c r="Q58" i="2"/>
  <c r="AI58" i="2"/>
  <c r="AE55" i="2"/>
  <c r="Y55" i="2"/>
  <c r="Q51" i="2"/>
  <c r="D57" i="2"/>
  <c r="L58" i="2"/>
  <c r="E51" i="2"/>
  <c r="T52" i="2"/>
  <c r="AF58" i="2"/>
  <c r="AG52" i="2"/>
  <c r="T50" i="2"/>
  <c r="AA58" i="2"/>
  <c r="AE51" i="2"/>
  <c r="U58" i="2"/>
  <c r="AF56" i="2"/>
  <c r="K48" i="2"/>
  <c r="R57" i="2"/>
  <c r="AI50" i="2"/>
  <c r="AA56" i="2"/>
  <c r="J53" i="2"/>
  <c r="G58" i="2"/>
  <c r="AB51" i="2"/>
  <c r="V48" i="2"/>
  <c r="AB49" i="2"/>
  <c r="D48" i="2"/>
  <c r="X56" i="2"/>
  <c r="U55" i="2"/>
  <c r="AB55" i="2"/>
  <c r="AJ48" i="2"/>
  <c r="J58" i="2"/>
  <c r="L54" i="2"/>
  <c r="I51" i="2"/>
  <c r="AF55" i="2"/>
  <c r="U57" i="2"/>
  <c r="T57" i="2"/>
  <c r="H58" i="2"/>
  <c r="AH57" i="2"/>
  <c r="AG55" i="2"/>
  <c r="F51" i="2"/>
  <c r="AD57" i="2"/>
  <c r="Y49" i="2"/>
  <c r="I56" i="2"/>
  <c r="O53" i="2"/>
  <c r="Y48" i="2"/>
  <c r="O52" i="2"/>
  <c r="AD53" i="2"/>
  <c r="I52" i="2"/>
  <c r="X50" i="2"/>
  <c r="AB50" i="2"/>
  <c r="X48" i="2"/>
  <c r="N51" i="2"/>
  <c r="E56" i="2"/>
  <c r="W58" i="2"/>
  <c r="G50" i="2"/>
  <c r="C55" i="2"/>
  <c r="T53" i="2"/>
  <c r="AC48" i="2"/>
  <c r="S52" i="2"/>
  <c r="AE53" i="2"/>
  <c r="AI55" i="2"/>
  <c r="V50" i="2"/>
  <c r="O54" i="2"/>
  <c r="M53" i="2"/>
  <c r="AJ58" i="2"/>
  <c r="Q49" i="2"/>
  <c r="Q50" i="2"/>
  <c r="AB48" i="2"/>
  <c r="AB58" i="2"/>
  <c r="T51" i="2"/>
  <c r="J57" i="2"/>
  <c r="F50" i="2"/>
  <c r="AC50" i="2"/>
  <c r="E49" i="2"/>
  <c r="H49" i="2"/>
  <c r="C49" i="2"/>
  <c r="J50" i="2"/>
  <c r="C52" i="2"/>
  <c r="R55" i="2"/>
  <c r="Z51" i="2"/>
  <c r="AG49" i="2"/>
  <c r="AF57" i="2"/>
  <c r="AC51" i="2"/>
  <c r="M54" i="2"/>
  <c r="N50" i="2"/>
  <c r="AD56" i="2"/>
  <c r="O50" i="2"/>
  <c r="M55" i="2"/>
  <c r="R54" i="2"/>
  <c r="N56" i="2"/>
  <c r="AH58" i="2"/>
  <c r="AC55" i="2"/>
  <c r="AG57" i="2"/>
  <c r="H55" i="2"/>
  <c r="N48" i="2"/>
  <c r="G52" i="2"/>
  <c r="AJ51" i="2"/>
  <c r="AC53" i="2"/>
  <c r="F53" i="2"/>
  <c r="X57" i="2"/>
  <c r="AB57" i="2"/>
  <c r="AI52" i="2"/>
  <c r="AC56" i="2"/>
  <c r="D56" i="2"/>
  <c r="P56" i="2"/>
  <c r="AE49" i="2"/>
  <c r="AC58" i="2"/>
  <c r="P51" i="2"/>
  <c r="D54" i="2"/>
  <c r="AG53" i="2"/>
  <c r="D50" i="2"/>
  <c r="J56" i="2"/>
  <c r="I48" i="2"/>
  <c r="AI53" i="2"/>
  <c r="U48" i="2"/>
  <c r="M57" i="2"/>
  <c r="P53" i="2"/>
  <c r="Y52" i="2"/>
  <c r="U51" i="2"/>
  <c r="C50" i="2"/>
  <c r="S50" i="2"/>
  <c r="I50" i="2"/>
  <c r="D58" i="2"/>
  <c r="AE48" i="2"/>
  <c r="AF51" i="2"/>
  <c r="J55" i="2"/>
  <c r="AH48" i="2"/>
  <c r="N53" i="2"/>
  <c r="C54" i="2"/>
  <c r="Z58" i="2"/>
  <c r="AA57" i="2"/>
  <c r="AD49" i="2"/>
  <c r="AC49" i="2"/>
  <c r="Z53" i="2"/>
  <c r="V56" i="2"/>
  <c r="AD58" i="2"/>
  <c r="R56" i="2"/>
  <c r="R49" i="2"/>
  <c r="C53" i="2"/>
  <c r="X51" i="2"/>
  <c r="G56" i="2"/>
  <c r="X55" i="2"/>
  <c r="X58" i="2"/>
  <c r="K49" i="2"/>
  <c r="K57" i="2"/>
  <c r="H56" i="2"/>
  <c r="AA51" i="2"/>
  <c r="J49" i="2"/>
  <c r="AJ49" i="2"/>
  <c r="Q53" i="2"/>
  <c r="I54" i="2"/>
  <c r="G53" i="2"/>
  <c r="AI49" i="2"/>
  <c r="K55" i="2"/>
  <c r="D55" i="2"/>
  <c r="AC57" i="2"/>
  <c r="Y53" i="2"/>
  <c r="N49" i="2"/>
  <c r="AJ55" i="2"/>
  <c r="V58" i="2"/>
  <c r="Y57" i="2"/>
  <c r="K56" i="2"/>
  <c r="R53" i="2"/>
  <c r="M56" i="2"/>
  <c r="AD48" i="2"/>
  <c r="H48" i="2"/>
  <c r="P49" i="2"/>
  <c r="D51" i="2"/>
  <c r="Y50" i="2"/>
  <c r="AJ52" i="2"/>
  <c r="K53" i="2"/>
  <c r="C56" i="2"/>
  <c r="E50" i="2"/>
  <c r="G54" i="2"/>
  <c r="I58" i="2"/>
  <c r="R51" i="2"/>
  <c r="U52" i="2"/>
  <c r="AB56" i="2"/>
  <c r="E53" i="2"/>
  <c r="Y56" i="2"/>
  <c r="AF52" i="2"/>
  <c r="AE56" i="2"/>
  <c r="T49" i="2"/>
  <c r="R48" i="2"/>
  <c r="I55" i="2"/>
  <c r="S55" i="2"/>
  <c r="AF53" i="2"/>
  <c r="F58" i="2"/>
  <c r="N58" i="2"/>
  <c r="C51" i="2"/>
  <c r="AI54" i="2"/>
  <c r="C57" i="2"/>
  <c r="AB54" i="2"/>
  <c r="Z50" i="2"/>
  <c r="C48" i="2"/>
  <c r="AH51" i="2"/>
  <c r="O49" i="2"/>
  <c r="W56" i="2"/>
  <c r="AE58" i="2"/>
  <c r="T54" i="2"/>
  <c r="AA55" i="2"/>
  <c r="K54" i="2"/>
  <c r="AA54" i="2"/>
  <c r="Q52" i="2"/>
  <c r="F52" i="2"/>
  <c r="O56" i="2"/>
  <c r="H54" i="2"/>
  <c r="L55" i="2"/>
  <c r="E58" i="2"/>
  <c r="K51" i="2"/>
  <c r="T55" i="2"/>
  <c r="Y51" i="2"/>
  <c r="P58" i="2"/>
  <c r="U50" i="2"/>
  <c r="T48" i="2"/>
  <c r="AI56" i="2"/>
  <c r="H53" i="2"/>
  <c r="M49" i="2"/>
  <c r="O51" i="2"/>
  <c r="V54" i="2"/>
  <c r="S57" i="2"/>
  <c r="D53" i="2"/>
  <c r="R50" i="2"/>
  <c r="AH55" i="2"/>
  <c r="R58" i="2"/>
  <c r="E55" i="2"/>
  <c r="V52" i="2"/>
  <c r="L56" i="2"/>
  <c r="AF49" i="2"/>
  <c r="AD50" i="2"/>
  <c r="P48" i="2"/>
  <c r="H52" i="2"/>
  <c r="J51" i="2"/>
  <c r="O57" i="2"/>
  <c r="AG56" i="2"/>
  <c r="AB53" i="2"/>
  <c r="E48" i="2"/>
  <c r="S56" i="2"/>
  <c r="AI51" i="2"/>
  <c r="I49" i="2"/>
  <c r="F56" i="2"/>
  <c r="M50" i="2"/>
  <c r="W51" i="2"/>
  <c r="E54" i="2"/>
  <c r="G48" i="2"/>
  <c r="G55" i="2"/>
  <c r="M58" i="2"/>
  <c r="S49" i="2"/>
  <c r="AC52" i="2"/>
  <c r="Q56" i="2"/>
  <c r="G49" i="2"/>
  <c r="AD52" i="2"/>
  <c r="D49" i="2"/>
  <c r="L50" i="2"/>
  <c r="N57" i="2"/>
  <c r="V51" i="2"/>
  <c r="W52" i="2"/>
  <c r="V55" i="2"/>
  <c r="AJ54" i="2"/>
  <c r="AH56" i="2"/>
  <c r="AF48" i="2"/>
  <c r="I57" i="2"/>
  <c r="AA53" i="2"/>
  <c r="L48" i="2"/>
  <c r="Z54" i="2"/>
  <c r="Z52" i="2"/>
  <c r="S48" i="2"/>
  <c r="E52" i="2"/>
  <c r="W49" i="2"/>
  <c r="AH49" i="2"/>
  <c r="L49" i="2"/>
  <c r="L57" i="2"/>
  <c r="M52" i="2"/>
  <c r="AG58" i="2"/>
  <c r="W50" i="2"/>
  <c r="Q57" i="2"/>
  <c r="S58" i="2"/>
  <c r="W55" i="2"/>
  <c r="AA52" i="2"/>
  <c r="T58" i="2"/>
  <c r="E57" i="2"/>
  <c r="Z49" i="2"/>
  <c r="O58" i="2"/>
  <c r="AA48" i="2"/>
  <c r="AD55" i="2"/>
  <c r="M48" i="2"/>
  <c r="AI57" i="2"/>
  <c r="S54" i="2"/>
  <c r="X54" i="2"/>
  <c r="Q54" i="2"/>
  <c r="F49" i="2"/>
  <c r="AB52" i="2"/>
  <c r="AF50" i="2"/>
  <c r="V57" i="2"/>
  <c r="S53" i="2"/>
  <c r="AE57" i="2"/>
  <c r="AJ50" i="2"/>
  <c r="L52" i="2"/>
  <c r="V49" i="2"/>
  <c r="P52" i="2"/>
  <c r="AA50" i="2"/>
  <c r="Z57" i="2"/>
  <c r="AG51" i="2"/>
  <c r="O48" i="2"/>
  <c r="Q55" i="2"/>
  <c r="H51" i="2"/>
  <c r="F57" i="2"/>
  <c r="AD51" i="2"/>
  <c r="AF54" i="2"/>
  <c r="U53" i="2"/>
  <c r="AC54" i="2"/>
  <c r="T56" i="2"/>
  <c r="K50" i="2"/>
  <c r="H57" i="2"/>
  <c r="AJ53" i="2"/>
  <c r="V53" i="2"/>
  <c r="D52" i="2"/>
  <c r="AH52" i="2"/>
  <c r="U54" i="2"/>
  <c r="J54" i="2"/>
  <c r="M51" i="2"/>
  <c r="J52" i="2"/>
  <c r="AA49" i="2"/>
  <c r="AE54" i="2"/>
  <c r="U49" i="2"/>
  <c r="N54" i="2"/>
  <c r="AG50" i="2"/>
  <c r="AG54" i="2"/>
  <c r="X53" i="2"/>
  <c r="Z48" i="2"/>
  <c r="AJ56" i="2"/>
  <c r="A58" i="2"/>
  <c r="W54" i="2"/>
  <c r="AE50" i="2"/>
  <c r="AI48" i="2"/>
  <c r="N52" i="2"/>
  <c r="W57" i="2"/>
  <c r="Y54" i="2"/>
  <c r="U56" i="2"/>
  <c r="N55" i="2"/>
  <c r="AE52" i="2"/>
  <c r="AH54" i="2"/>
  <c r="AD54" i="2"/>
  <c r="S51" i="2"/>
  <c r="F48" i="2"/>
  <c r="P57" i="2"/>
  <c r="I53" i="2"/>
  <c r="AH53" i="2"/>
  <c r="P50" i="2"/>
  <c r="Z56" i="2"/>
  <c r="AG48" i="2"/>
  <c r="X52" i="2"/>
  <c r="AH50" i="2"/>
  <c r="L53" i="2"/>
  <c r="G51" i="2"/>
  <c r="J48" i="2"/>
  <c r="Y58" i="2"/>
  <c r="P55" i="2"/>
  <c r="F54" i="2"/>
  <c r="D59" i="2" l="1"/>
  <c r="M59" i="2"/>
  <c r="J59" i="2"/>
  <c r="W59" i="2"/>
  <c r="N59" i="2"/>
  <c r="G59" i="2"/>
  <c r="T59" i="2"/>
  <c r="E59" i="2"/>
  <c r="H59" i="2"/>
  <c r="V59" i="2"/>
  <c r="P59" i="2"/>
  <c r="Q59" i="2"/>
  <c r="F59" i="2"/>
  <c r="C59" i="2"/>
  <c r="U59" i="2"/>
  <c r="I59" i="2"/>
  <c r="S59" i="2"/>
  <c r="K59" i="2"/>
  <c r="R59" i="2"/>
  <c r="X59" i="2"/>
  <c r="L59" i="2"/>
  <c r="O59" i="2"/>
  <c r="AJ59" i="2"/>
  <c r="AK56" i="2" l="1"/>
  <c r="AK53" i="2"/>
  <c r="AK55" i="2"/>
  <c r="AK51" i="2"/>
  <c r="AK52" i="2"/>
  <c r="AK48" i="2"/>
  <c r="AK50" i="2"/>
  <c r="AK54" i="2"/>
  <c r="AK57" i="2"/>
  <c r="AK58" i="2"/>
  <c r="AK49" i="2"/>
  <c r="B63" i="2" l="1"/>
  <c r="A63" i="2" s="1"/>
  <c r="B64" i="2" l="1"/>
  <c r="A64" i="2" s="1"/>
  <c r="B65" i="2" l="1"/>
  <c r="A65" i="2" s="1"/>
  <c r="B66" i="2" l="1"/>
  <c r="A66" i="2" s="1"/>
  <c r="B67" i="2" l="1"/>
  <c r="A67" i="2" s="1"/>
  <c r="B68" i="2" l="1"/>
  <c r="A68" i="2" s="1"/>
  <c r="B69" i="2" l="1"/>
  <c r="A69" i="2" s="1"/>
  <c r="B70" i="2" l="1"/>
  <c r="A70" i="2" s="1"/>
  <c r="B71" i="2" l="1"/>
  <c r="A71" i="2" s="1"/>
  <c r="B72" i="2" l="1"/>
  <c r="A72" i="2" s="1"/>
  <c r="B73" i="2" l="1"/>
  <c r="W70" i="2" s="1"/>
  <c r="C66" i="2" l="1"/>
  <c r="N72" i="2"/>
  <c r="X70" i="2"/>
  <c r="R65" i="2"/>
  <c r="L64" i="2"/>
  <c r="I69" i="2"/>
  <c r="K69" i="2"/>
  <c r="D70" i="2"/>
  <c r="AG73" i="2"/>
  <c r="H66" i="2"/>
  <c r="J70" i="2"/>
  <c r="AB67" i="2"/>
  <c r="X67" i="2"/>
  <c r="X69" i="2"/>
  <c r="K63" i="2"/>
  <c r="S70" i="2"/>
  <c r="S68" i="2"/>
  <c r="AH63" i="2"/>
  <c r="AD69" i="2"/>
  <c r="C68" i="2"/>
  <c r="V70" i="2"/>
  <c r="AF70" i="2"/>
  <c r="U65" i="2"/>
  <c r="Q67" i="2"/>
  <c r="N63" i="2"/>
  <c r="F70" i="2"/>
  <c r="AB64" i="2"/>
  <c r="AC64" i="2"/>
  <c r="AC67" i="2"/>
  <c r="AC66" i="2"/>
  <c r="L72" i="2"/>
  <c r="M68" i="2"/>
  <c r="AE67" i="2"/>
  <c r="S63" i="2"/>
  <c r="AA71" i="2"/>
  <c r="AB71" i="2"/>
  <c r="G68" i="2"/>
  <c r="J69" i="2"/>
  <c r="I72" i="2"/>
  <c r="J72" i="2"/>
  <c r="AH64" i="2"/>
  <c r="X72" i="2"/>
  <c r="C72" i="2"/>
  <c r="O67" i="2"/>
  <c r="AB63" i="2"/>
  <c r="AG68" i="2"/>
  <c r="AH67" i="2"/>
  <c r="AF69" i="2"/>
  <c r="X73" i="2"/>
  <c r="S69" i="2"/>
  <c r="AE68" i="2"/>
  <c r="AJ70" i="2"/>
  <c r="F72" i="2"/>
  <c r="G70" i="2"/>
  <c r="Y64" i="2"/>
  <c r="AH72" i="2"/>
  <c r="AA67" i="2"/>
  <c r="E67" i="2"/>
  <c r="L69" i="2"/>
  <c r="V64" i="2"/>
  <c r="X66" i="2"/>
  <c r="Z69" i="2"/>
  <c r="K66" i="2"/>
  <c r="V66" i="2"/>
  <c r="D68" i="2"/>
  <c r="T68" i="2"/>
  <c r="AC70" i="2"/>
  <c r="G71" i="2"/>
  <c r="E72" i="2"/>
  <c r="AD72" i="2"/>
  <c r="AA70" i="2"/>
  <c r="I65" i="2"/>
  <c r="P70" i="2"/>
  <c r="K70" i="2"/>
  <c r="M66" i="2"/>
  <c r="V71" i="2"/>
  <c r="K73" i="2"/>
  <c r="N71" i="2"/>
  <c r="H71" i="2"/>
  <c r="D71" i="2"/>
  <c r="S66" i="2"/>
  <c r="V67" i="2"/>
  <c r="AA63" i="2"/>
  <c r="M64" i="2"/>
  <c r="O63" i="2"/>
  <c r="AG66" i="2"/>
  <c r="I68" i="2"/>
  <c r="K72" i="2"/>
  <c r="M70" i="2"/>
  <c r="U63" i="2"/>
  <c r="L70" i="2"/>
  <c r="R68" i="2"/>
  <c r="X71" i="2"/>
  <c r="AB70" i="2"/>
  <c r="M67" i="2"/>
  <c r="N73" i="2"/>
  <c r="AG70" i="2"/>
  <c r="H68" i="2"/>
  <c r="Y63" i="2"/>
  <c r="Q63" i="2"/>
  <c r="U71" i="2"/>
  <c r="Q72" i="2"/>
  <c r="Z72" i="2"/>
  <c r="Z67" i="2"/>
  <c r="W67" i="2"/>
  <c r="G65" i="2"/>
  <c r="H67" i="2"/>
  <c r="AI65" i="2"/>
  <c r="AG65" i="2"/>
  <c r="D66" i="2"/>
  <c r="AF63" i="2"/>
  <c r="M71" i="2"/>
  <c r="O70" i="2"/>
  <c r="T66" i="2"/>
  <c r="G73" i="2"/>
  <c r="AB73" i="2"/>
  <c r="Y67" i="2"/>
  <c r="AB68" i="2"/>
  <c r="L66" i="2"/>
  <c r="A73" i="2"/>
  <c r="G66" i="2"/>
  <c r="J63" i="2"/>
  <c r="F63" i="2"/>
  <c r="X64" i="2"/>
  <c r="L71" i="2"/>
  <c r="AG67" i="2"/>
  <c r="M63" i="2"/>
  <c r="J65" i="2"/>
  <c r="T72" i="2"/>
  <c r="W72" i="2"/>
  <c r="Q73" i="2"/>
  <c r="Y66" i="2"/>
  <c r="AF66" i="2"/>
  <c r="D72" i="2"/>
  <c r="R66" i="2"/>
  <c r="AA66" i="2"/>
  <c r="E70" i="2"/>
  <c r="G63" i="2"/>
  <c r="S65" i="2"/>
  <c r="AH73" i="2"/>
  <c r="F71" i="2"/>
  <c r="J73" i="2"/>
  <c r="D63" i="2"/>
  <c r="N69" i="2"/>
  <c r="N70" i="2"/>
  <c r="C64" i="2"/>
  <c r="F68" i="2"/>
  <c r="T64" i="2"/>
  <c r="E71" i="2"/>
  <c r="M69" i="2"/>
  <c r="AA69" i="2"/>
  <c r="AE70" i="2"/>
  <c r="S72" i="2"/>
  <c r="K68" i="2"/>
  <c r="P66" i="2"/>
  <c r="AJ64" i="2"/>
  <c r="AF67" i="2"/>
  <c r="F67" i="2"/>
  <c r="D73" i="2"/>
  <c r="U66" i="2"/>
  <c r="E68" i="2"/>
  <c r="AI64" i="2"/>
  <c r="AF65" i="2"/>
  <c r="N64" i="2"/>
  <c r="Z64" i="2"/>
  <c r="O68" i="2"/>
  <c r="Z70" i="2"/>
  <c r="Q65" i="2"/>
  <c r="P68" i="2"/>
  <c r="Q64" i="2"/>
  <c r="AI70" i="2"/>
  <c r="P67" i="2"/>
  <c r="AE69" i="2"/>
  <c r="R69" i="2"/>
  <c r="T65" i="2"/>
  <c r="AG69" i="2"/>
  <c r="H65" i="2"/>
  <c r="C63" i="2"/>
  <c r="AF64" i="2"/>
  <c r="AD73" i="2"/>
  <c r="AJ65" i="2"/>
  <c r="K64" i="2"/>
  <c r="P71" i="2"/>
  <c r="AH65" i="2"/>
  <c r="P73" i="2"/>
  <c r="J64" i="2"/>
  <c r="R67" i="2"/>
  <c r="W66" i="2"/>
  <c r="AJ68" i="2"/>
  <c r="W69" i="2"/>
  <c r="U64" i="2"/>
  <c r="Y68" i="2"/>
  <c r="C73" i="2"/>
  <c r="L63" i="2"/>
  <c r="AJ71" i="2"/>
  <c r="Q71" i="2"/>
  <c r="AF73" i="2"/>
  <c r="U68" i="2"/>
  <c r="I70" i="2"/>
  <c r="R63" i="2"/>
  <c r="AI73" i="2"/>
  <c r="H63" i="2"/>
  <c r="C71" i="2"/>
  <c r="X65" i="2"/>
  <c r="AI67" i="2"/>
  <c r="AB69" i="2"/>
  <c r="M65" i="2"/>
  <c r="H69" i="2"/>
  <c r="L68" i="2"/>
  <c r="Z73" i="2"/>
  <c r="AB65" i="2"/>
  <c r="Z71" i="2"/>
  <c r="AI69" i="2"/>
  <c r="C69" i="2"/>
  <c r="Q70" i="2"/>
  <c r="S73" i="2"/>
  <c r="I67" i="2"/>
  <c r="T63" i="2"/>
  <c r="AJ66" i="2"/>
  <c r="K67" i="2"/>
  <c r="Y70" i="2"/>
  <c r="AH66" i="2"/>
  <c r="N68" i="2"/>
  <c r="W65" i="2"/>
  <c r="T69" i="2"/>
  <c r="V65" i="2"/>
  <c r="S67" i="2"/>
  <c r="T73" i="2"/>
  <c r="K71" i="2"/>
  <c r="AE73" i="2"/>
  <c r="Y71" i="2"/>
  <c r="AE65" i="2"/>
  <c r="AJ73" i="2"/>
  <c r="AF68" i="2"/>
  <c r="AI68" i="2"/>
  <c r="O73" i="2"/>
  <c r="U67" i="2"/>
  <c r="AJ63" i="2"/>
  <c r="AH71" i="2"/>
  <c r="V63" i="2"/>
  <c r="AE63" i="2"/>
  <c r="G72" i="2"/>
  <c r="W63" i="2"/>
  <c r="D65" i="2"/>
  <c r="O72" i="2"/>
  <c r="V68" i="2"/>
  <c r="AJ72" i="2"/>
  <c r="I63" i="2"/>
  <c r="W71" i="2"/>
  <c r="M73" i="2"/>
  <c r="O66" i="2"/>
  <c r="U70" i="2"/>
  <c r="F64" i="2"/>
  <c r="AI63" i="2"/>
  <c r="AG71" i="2"/>
  <c r="V72" i="2"/>
  <c r="Q66" i="2"/>
  <c r="Y69" i="2"/>
  <c r="AD67" i="2"/>
  <c r="O65" i="2"/>
  <c r="AD64" i="2"/>
  <c r="V73" i="2"/>
  <c r="H70" i="2"/>
  <c r="AD68" i="2"/>
  <c r="AB72" i="2"/>
  <c r="G64" i="2"/>
  <c r="C70" i="2"/>
  <c r="G67" i="2"/>
  <c r="F66" i="2"/>
  <c r="V69" i="2"/>
  <c r="AA65" i="2"/>
  <c r="AC65" i="2"/>
  <c r="O69" i="2"/>
  <c r="W73" i="2"/>
  <c r="AJ69" i="2"/>
  <c r="AD63" i="2"/>
  <c r="T70" i="2"/>
  <c r="W64" i="2"/>
  <c r="U72" i="2"/>
  <c r="P65" i="2"/>
  <c r="AD71" i="2"/>
  <c r="AF72" i="2"/>
  <c r="E65" i="2"/>
  <c r="P63" i="2"/>
  <c r="AC71" i="2"/>
  <c r="F65" i="2"/>
  <c r="S71" i="2"/>
  <c r="Y72" i="2"/>
  <c r="S64" i="2"/>
  <c r="AE64" i="2"/>
  <c r="F69" i="2"/>
  <c r="Y73" i="2"/>
  <c r="P72" i="2"/>
  <c r="C67" i="2"/>
  <c r="D64" i="2"/>
  <c r="J68" i="2"/>
  <c r="AC69" i="2"/>
  <c r="E64" i="2"/>
  <c r="AG63" i="2"/>
  <c r="AA68" i="2"/>
  <c r="P64" i="2"/>
  <c r="I64" i="2"/>
  <c r="AD65" i="2"/>
  <c r="Z66" i="2"/>
  <c r="N66" i="2"/>
  <c r="AI66" i="2"/>
  <c r="I73" i="2"/>
  <c r="R72" i="2"/>
  <c r="J67" i="2"/>
  <c r="M72" i="2"/>
  <c r="AE66" i="2"/>
  <c r="U69" i="2"/>
  <c r="AJ67" i="2"/>
  <c r="AA64" i="2"/>
  <c r="X63" i="2"/>
  <c r="X68" i="2"/>
  <c r="AC72" i="2"/>
  <c r="N67" i="2"/>
  <c r="R70" i="2"/>
  <c r="AB66" i="2"/>
  <c r="E66" i="2"/>
  <c r="AH70" i="2"/>
  <c r="I66" i="2"/>
  <c r="AD66" i="2"/>
  <c r="AC73" i="2"/>
  <c r="AE71" i="2"/>
  <c r="K65" i="2"/>
  <c r="E69" i="2"/>
  <c r="Z68" i="2"/>
  <c r="L67" i="2"/>
  <c r="J71" i="2"/>
  <c r="I71" i="2"/>
  <c r="E63" i="2"/>
  <c r="AG72" i="2"/>
  <c r="U73" i="2"/>
  <c r="H73" i="2"/>
  <c r="H64" i="2"/>
  <c r="D69" i="2"/>
  <c r="Z65" i="2"/>
  <c r="AC63" i="2"/>
  <c r="W68" i="2"/>
  <c r="O64" i="2"/>
  <c r="AE72" i="2"/>
  <c r="R73" i="2"/>
  <c r="Y65" i="2"/>
  <c r="AI71" i="2"/>
  <c r="AF71" i="2"/>
  <c r="Q68" i="2"/>
  <c r="Q69" i="2"/>
  <c r="AI72" i="2"/>
  <c r="D67" i="2"/>
  <c r="E73" i="2"/>
  <c r="L73" i="2"/>
  <c r="H72" i="2"/>
  <c r="F73" i="2"/>
  <c r="T67" i="2"/>
  <c r="AG64" i="2"/>
  <c r="T71" i="2"/>
  <c r="C65" i="2"/>
  <c r="Z63" i="2"/>
  <c r="AA73" i="2"/>
  <c r="J66" i="2"/>
  <c r="AH68" i="2"/>
  <c r="AA72" i="2"/>
  <c r="AC68" i="2"/>
  <c r="AH69" i="2"/>
  <c r="N65" i="2"/>
  <c r="R64" i="2"/>
  <c r="O71" i="2"/>
  <c r="R71" i="2"/>
  <c r="AD70" i="2"/>
  <c r="G69" i="2"/>
  <c r="L65" i="2"/>
  <c r="P69" i="2"/>
  <c r="M74" i="2" l="1"/>
  <c r="G74" i="2"/>
  <c r="K74" i="2"/>
  <c r="N74" i="2"/>
  <c r="L74" i="2"/>
  <c r="W74" i="2"/>
  <c r="C74" i="2"/>
  <c r="F74" i="2"/>
  <c r="D74" i="2"/>
  <c r="V74" i="2"/>
  <c r="O74" i="2"/>
  <c r="S74" i="2"/>
  <c r="P74" i="2"/>
  <c r="AJ74" i="2"/>
  <c r="U74" i="2"/>
  <c r="I74" i="2"/>
  <c r="X74" i="2"/>
  <c r="T74" i="2"/>
  <c r="Q74" i="2"/>
  <c r="E74" i="2"/>
  <c r="R74" i="2"/>
  <c r="J74" i="2"/>
  <c r="H74" i="2"/>
  <c r="AK64" i="2" l="1"/>
  <c r="AK67" i="2"/>
  <c r="AK73" i="2"/>
  <c r="AK66" i="2"/>
  <c r="AK63" i="2"/>
  <c r="AK65" i="2"/>
  <c r="AK71" i="2"/>
  <c r="AK69" i="2"/>
  <c r="AK70" i="2"/>
  <c r="AK68" i="2"/>
  <c r="AK72" i="2"/>
  <c r="B78" i="2" l="1"/>
  <c r="A78" i="2" s="1"/>
  <c r="B79" i="2" l="1"/>
  <c r="A79" i="2" s="1"/>
  <c r="B80" i="2" l="1"/>
  <c r="B81" i="2" s="1"/>
  <c r="A81" i="2" s="1"/>
  <c r="B82" i="2" l="1"/>
  <c r="A82" i="2" s="1"/>
  <c r="A80" i="2"/>
  <c r="B83" i="2" l="1"/>
  <c r="A83" i="2" s="1"/>
  <c r="B84" i="2" l="1"/>
  <c r="A84" i="2" s="1"/>
  <c r="B85" i="2" l="1"/>
  <c r="A85" i="2" s="1"/>
  <c r="B86" i="2" l="1"/>
  <c r="A86" i="2" s="1"/>
  <c r="B87" i="2" l="1"/>
  <c r="A87" i="2" s="1"/>
  <c r="B88" i="2" l="1"/>
  <c r="R88" i="2" s="1"/>
  <c r="V83" i="2" l="1"/>
  <c r="W80" i="2"/>
  <c r="F84" i="2"/>
  <c r="P87" i="2"/>
  <c r="N88" i="2"/>
  <c r="AJ82" i="2"/>
  <c r="P83" i="2"/>
  <c r="AB84" i="2"/>
  <c r="L82" i="2"/>
  <c r="H84" i="2"/>
  <c r="AD83" i="2"/>
  <c r="AJ86" i="2"/>
  <c r="Y84" i="2"/>
  <c r="I86" i="2"/>
  <c r="D81" i="2"/>
  <c r="U78" i="2"/>
  <c r="D82" i="2"/>
  <c r="AB80" i="2"/>
  <c r="S81" i="2"/>
  <c r="AH82" i="2"/>
  <c r="M80" i="2"/>
  <c r="S78" i="2"/>
  <c r="K83" i="2"/>
  <c r="M88" i="2"/>
  <c r="AH85" i="2"/>
  <c r="J88" i="2"/>
  <c r="AI88" i="2"/>
  <c r="Z86" i="2"/>
  <c r="M85" i="2"/>
  <c r="D86" i="2"/>
  <c r="R81" i="2"/>
  <c r="J82" i="2"/>
  <c r="H86" i="2"/>
  <c r="AC86" i="2"/>
  <c r="AJ85" i="2"/>
  <c r="AB86" i="2"/>
  <c r="I80" i="2"/>
  <c r="I88" i="2"/>
  <c r="AJ80" i="2"/>
  <c r="L86" i="2"/>
  <c r="R82" i="2"/>
  <c r="AA80" i="2"/>
  <c r="X88" i="2"/>
  <c r="AF79" i="2"/>
  <c r="U88" i="2"/>
  <c r="E80" i="2"/>
  <c r="T82" i="2"/>
  <c r="AC88" i="2"/>
  <c r="AH88" i="2"/>
  <c r="X86" i="2"/>
  <c r="AH80" i="2"/>
  <c r="AD87" i="2"/>
  <c r="AJ87" i="2"/>
  <c r="Y85" i="2"/>
  <c r="X85" i="2"/>
  <c r="AH78" i="2"/>
  <c r="H80" i="2"/>
  <c r="K88" i="2"/>
  <c r="A88" i="2"/>
  <c r="N80" i="2"/>
  <c r="K84" i="2"/>
  <c r="N81" i="2"/>
  <c r="AJ81" i="2"/>
  <c r="AG80" i="2"/>
  <c r="L78" i="2"/>
  <c r="U82" i="2"/>
  <c r="D84" i="2"/>
  <c r="AB82" i="2"/>
  <c r="Z81" i="2"/>
  <c r="F88" i="2"/>
  <c r="AG81" i="2"/>
  <c r="Q86" i="2"/>
  <c r="K78" i="2"/>
  <c r="H78" i="2"/>
  <c r="R83" i="2"/>
  <c r="C85" i="2"/>
  <c r="AA83" i="2"/>
  <c r="L79" i="2"/>
  <c r="C81" i="2"/>
  <c r="X81" i="2"/>
  <c r="Y82" i="2"/>
  <c r="J85" i="2"/>
  <c r="AE79" i="2"/>
  <c r="U84" i="2"/>
  <c r="W86" i="2"/>
  <c r="Z82" i="2"/>
  <c r="C80" i="2"/>
  <c r="AE78" i="2"/>
  <c r="I78" i="2"/>
  <c r="AG87" i="2"/>
  <c r="AE84" i="2"/>
  <c r="S80" i="2"/>
  <c r="Q85" i="2"/>
  <c r="E82" i="2"/>
  <c r="AF85" i="2"/>
  <c r="T78" i="2"/>
  <c r="C84" i="2"/>
  <c r="AF81" i="2"/>
  <c r="J81" i="2"/>
  <c r="Y79" i="2"/>
  <c r="AA81" i="2"/>
  <c r="G85" i="2"/>
  <c r="AJ83" i="2"/>
  <c r="AD86" i="2"/>
  <c r="G84" i="2"/>
  <c r="M84" i="2"/>
  <c r="Z83" i="2"/>
  <c r="I84" i="2"/>
  <c r="Q87" i="2"/>
  <c r="Q83" i="2"/>
  <c r="N87" i="2"/>
  <c r="N82" i="2"/>
  <c r="AA78" i="2"/>
  <c r="AB87" i="2"/>
  <c r="I87" i="2"/>
  <c r="E79" i="2"/>
  <c r="AI83" i="2"/>
  <c r="T81" i="2"/>
  <c r="Y86" i="2"/>
  <c r="R79" i="2"/>
  <c r="D83" i="2"/>
  <c r="N84" i="2"/>
  <c r="M79" i="2"/>
  <c r="G83" i="2"/>
  <c r="P78" i="2"/>
  <c r="AD80" i="2"/>
  <c r="AB88" i="2"/>
  <c r="Q78" i="2"/>
  <c r="E84" i="2"/>
  <c r="AC85" i="2"/>
  <c r="AD84" i="2"/>
  <c r="AC79" i="2"/>
  <c r="T88" i="2"/>
  <c r="AF84" i="2"/>
  <c r="E83" i="2"/>
  <c r="W87" i="2"/>
  <c r="D87" i="2"/>
  <c r="AA85" i="2"/>
  <c r="AI80" i="2"/>
  <c r="G87" i="2"/>
  <c r="P85" i="2"/>
  <c r="X79" i="2"/>
  <c r="AG86" i="2"/>
  <c r="AI85" i="2"/>
  <c r="R80" i="2"/>
  <c r="Q81" i="2"/>
  <c r="AH79" i="2"/>
  <c r="J87" i="2"/>
  <c r="L88" i="2"/>
  <c r="S87" i="2"/>
  <c r="I79" i="2"/>
  <c r="AF83" i="2"/>
  <c r="R87" i="2"/>
  <c r="W84" i="2"/>
  <c r="K79" i="2"/>
  <c r="E87" i="2"/>
  <c r="F83" i="2"/>
  <c r="S86" i="2"/>
  <c r="G82" i="2"/>
  <c r="M83" i="2"/>
  <c r="C83" i="2"/>
  <c r="W88" i="2"/>
  <c r="V86" i="2"/>
  <c r="O80" i="2"/>
  <c r="E86" i="2"/>
  <c r="AE83" i="2"/>
  <c r="J84" i="2"/>
  <c r="L87" i="2"/>
  <c r="W81" i="2"/>
  <c r="O85" i="2"/>
  <c r="U86" i="2"/>
  <c r="AE88" i="2"/>
  <c r="AD88" i="2"/>
  <c r="G80" i="2"/>
  <c r="K87" i="2"/>
  <c r="W85" i="2"/>
  <c r="Z87" i="2"/>
  <c r="Y87" i="2"/>
  <c r="P88" i="2"/>
  <c r="V85" i="2"/>
  <c r="H81" i="2"/>
  <c r="Z78" i="2"/>
  <c r="L83" i="2"/>
  <c r="N78" i="2"/>
  <c r="Q84" i="2"/>
  <c r="AI84" i="2"/>
  <c r="C79" i="2"/>
  <c r="V82" i="2"/>
  <c r="G79" i="2"/>
  <c r="AA82" i="2"/>
  <c r="K86" i="2"/>
  <c r="AH81" i="2"/>
  <c r="R78" i="2"/>
  <c r="AB83" i="2"/>
  <c r="S85" i="2"/>
  <c r="E85" i="2"/>
  <c r="W83" i="2"/>
  <c r="U85" i="2"/>
  <c r="O79" i="2"/>
  <c r="W82" i="2"/>
  <c r="N83" i="2"/>
  <c r="W79" i="2"/>
  <c r="AG84" i="2"/>
  <c r="AG83" i="2"/>
  <c r="L84" i="2"/>
  <c r="AD82" i="2"/>
  <c r="H82" i="2"/>
  <c r="W78" i="2"/>
  <c r="C88" i="2"/>
  <c r="Z88" i="2"/>
  <c r="O82" i="2"/>
  <c r="AD81" i="2"/>
  <c r="D80" i="2"/>
  <c r="T79" i="2"/>
  <c r="AA84" i="2"/>
  <c r="AG88" i="2"/>
  <c r="H83" i="2"/>
  <c r="Y88" i="2"/>
  <c r="AC87" i="2"/>
  <c r="E81" i="2"/>
  <c r="F86" i="2"/>
  <c r="AC82" i="2"/>
  <c r="F79" i="2"/>
  <c r="Z84" i="2"/>
  <c r="AJ79" i="2"/>
  <c r="L85" i="2"/>
  <c r="U83" i="2"/>
  <c r="AE80" i="2"/>
  <c r="U79" i="2"/>
  <c r="AF78" i="2"/>
  <c r="H87" i="2"/>
  <c r="AA86" i="2"/>
  <c r="G86" i="2"/>
  <c r="J79" i="2"/>
  <c r="O78" i="2"/>
  <c r="C78" i="2"/>
  <c r="P80" i="2"/>
  <c r="AH84" i="2"/>
  <c r="AE85" i="2"/>
  <c r="AH86" i="2"/>
  <c r="Y78" i="2"/>
  <c r="AA87" i="2"/>
  <c r="N79" i="2"/>
  <c r="V81" i="2"/>
  <c r="AB85" i="2"/>
  <c r="S79" i="2"/>
  <c r="Z80" i="2"/>
  <c r="O87" i="2"/>
  <c r="AD78" i="2"/>
  <c r="AF80" i="2"/>
  <c r="K82" i="2"/>
  <c r="Y81" i="2"/>
  <c r="V79" i="2"/>
  <c r="E88" i="2"/>
  <c r="M86" i="2"/>
  <c r="H88" i="2"/>
  <c r="D79" i="2"/>
  <c r="AG85" i="2"/>
  <c r="AJ88" i="2"/>
  <c r="T85" i="2"/>
  <c r="U87" i="2"/>
  <c r="V78" i="2"/>
  <c r="P81" i="2"/>
  <c r="I82" i="2"/>
  <c r="AF86" i="2"/>
  <c r="O88" i="2"/>
  <c r="L81" i="2"/>
  <c r="AF87" i="2"/>
  <c r="M82" i="2"/>
  <c r="AG79" i="2"/>
  <c r="AB79" i="2"/>
  <c r="AA88" i="2"/>
  <c r="P84" i="2"/>
  <c r="AF82" i="2"/>
  <c r="K80" i="2"/>
  <c r="P82" i="2"/>
  <c r="AD85" i="2"/>
  <c r="Z85" i="2"/>
  <c r="Q88" i="2"/>
  <c r="X78" i="2"/>
  <c r="R85" i="2"/>
  <c r="AJ78" i="2"/>
  <c r="H79" i="2"/>
  <c r="I85" i="2"/>
  <c r="AH87" i="2"/>
  <c r="T83" i="2"/>
  <c r="T80" i="2"/>
  <c r="O83" i="2"/>
  <c r="AB81" i="2"/>
  <c r="AE82" i="2"/>
  <c r="V80" i="2"/>
  <c r="AJ84" i="2"/>
  <c r="E78" i="2"/>
  <c r="AI79" i="2"/>
  <c r="AB78" i="2"/>
  <c r="X80" i="2"/>
  <c r="Q82" i="2"/>
  <c r="L80" i="2"/>
  <c r="M87" i="2"/>
  <c r="AI81" i="2"/>
  <c r="Q79" i="2"/>
  <c r="S84" i="2"/>
  <c r="O81" i="2"/>
  <c r="F87" i="2"/>
  <c r="V88" i="2"/>
  <c r="T86" i="2"/>
  <c r="F80" i="2"/>
  <c r="J80" i="2"/>
  <c r="U80" i="2"/>
  <c r="AI86" i="2"/>
  <c r="F81" i="2"/>
  <c r="O84" i="2"/>
  <c r="C82" i="2"/>
  <c r="M78" i="2"/>
  <c r="V84" i="2"/>
  <c r="AE87" i="2"/>
  <c r="T87" i="2"/>
  <c r="O86" i="2"/>
  <c r="G78" i="2"/>
  <c r="AE81" i="2"/>
  <c r="AE86" i="2"/>
  <c r="D88" i="2"/>
  <c r="AG82" i="2"/>
  <c r="I83" i="2"/>
  <c r="AG78" i="2"/>
  <c r="J83" i="2"/>
  <c r="I81" i="2"/>
  <c r="V87" i="2"/>
  <c r="S88" i="2"/>
  <c r="T84" i="2"/>
  <c r="N85" i="2"/>
  <c r="Y83" i="2"/>
  <c r="F85" i="2"/>
  <c r="X83" i="2"/>
  <c r="X84" i="2"/>
  <c r="S83" i="2"/>
  <c r="AA79" i="2"/>
  <c r="J86" i="2"/>
  <c r="G88" i="2"/>
  <c r="U81" i="2"/>
  <c r="F78" i="2"/>
  <c r="AC83" i="2"/>
  <c r="M81" i="2"/>
  <c r="AI78" i="2"/>
  <c r="P86" i="2"/>
  <c r="AC84" i="2"/>
  <c r="AD79" i="2"/>
  <c r="R86" i="2"/>
  <c r="X87" i="2"/>
  <c r="D78" i="2"/>
  <c r="N86" i="2"/>
  <c r="C86" i="2"/>
  <c r="R84" i="2"/>
  <c r="F82" i="2"/>
  <c r="D85" i="2"/>
  <c r="X82" i="2"/>
  <c r="H85" i="2"/>
  <c r="J78" i="2"/>
  <c r="AI82" i="2"/>
  <c r="Q80" i="2"/>
  <c r="AC81" i="2"/>
  <c r="Z79" i="2"/>
  <c r="AC78" i="2"/>
  <c r="K85" i="2"/>
  <c r="K81" i="2"/>
  <c r="Y80" i="2"/>
  <c r="AH83" i="2"/>
  <c r="AF88" i="2"/>
  <c r="AI87" i="2"/>
  <c r="S82" i="2"/>
  <c r="AC80" i="2"/>
  <c r="P79" i="2"/>
  <c r="G81" i="2"/>
  <c r="C87" i="2"/>
  <c r="P89" i="2" l="1"/>
  <c r="U89" i="2"/>
  <c r="Q89" i="2"/>
  <c r="W89" i="2"/>
  <c r="I89" i="2"/>
  <c r="N89" i="2"/>
  <c r="O89" i="2"/>
  <c r="L89" i="2"/>
  <c r="AJ89" i="2"/>
  <c r="J89" i="2"/>
  <c r="G89" i="2"/>
  <c r="K89" i="2"/>
  <c r="H89" i="2"/>
  <c r="R89" i="2"/>
  <c r="X89" i="2"/>
  <c r="T89" i="2"/>
  <c r="E89" i="2"/>
  <c r="M89" i="2"/>
  <c r="D89" i="2"/>
  <c r="V89" i="2"/>
  <c r="C89" i="2"/>
  <c r="S89" i="2"/>
  <c r="F89" i="2"/>
  <c r="AK83" i="2" l="1"/>
  <c r="AK85" i="2"/>
  <c r="AK87" i="2"/>
  <c r="AK79" i="2"/>
  <c r="AK80" i="2"/>
  <c r="AK82" i="2"/>
  <c r="AK84" i="2"/>
  <c r="AK86" i="2"/>
  <c r="AK88" i="2"/>
  <c r="AK78" i="2"/>
  <c r="AK81" i="2"/>
  <c r="B93" i="2" l="1"/>
  <c r="A93" i="2" s="1"/>
  <c r="B94" i="2" l="1"/>
  <c r="A94" i="2" s="1"/>
  <c r="B95" i="2" l="1"/>
  <c r="A95" i="2" s="1"/>
  <c r="B96" i="2" l="1"/>
  <c r="A96" i="2" s="1"/>
  <c r="B97" i="2" l="1"/>
  <c r="B98" i="2" s="1"/>
  <c r="A98" i="2" s="1"/>
  <c r="A97" i="2" l="1"/>
  <c r="B99" i="2"/>
  <c r="A99" i="2" s="1"/>
  <c r="B100" i="2" l="1"/>
  <c r="A100" i="2" s="1"/>
  <c r="B101" i="2" l="1"/>
  <c r="A101" i="2" s="1"/>
  <c r="B102" i="2" l="1"/>
  <c r="A102" i="2" s="1"/>
  <c r="B103" i="2" l="1"/>
  <c r="AC102" i="2" s="1"/>
  <c r="K93" i="2" l="1"/>
  <c r="AE96" i="2"/>
  <c r="Z101" i="2"/>
  <c r="F99" i="2"/>
  <c r="AH100" i="2"/>
  <c r="J102" i="2"/>
  <c r="V100" i="2"/>
  <c r="M97" i="2"/>
  <c r="Z95" i="2"/>
  <c r="AB94" i="2"/>
  <c r="P100" i="2"/>
  <c r="O98" i="2"/>
  <c r="AA95" i="2"/>
  <c r="AF102" i="2"/>
  <c r="AH95" i="2"/>
  <c r="T93" i="2"/>
  <c r="K103" i="2"/>
  <c r="AB101" i="2"/>
  <c r="F103" i="2"/>
  <c r="AF103" i="2"/>
  <c r="AG94" i="2"/>
  <c r="D99" i="2"/>
  <c r="AJ95" i="2"/>
  <c r="S103" i="2"/>
  <c r="AI94" i="2"/>
  <c r="C100" i="2"/>
  <c r="AB96" i="2"/>
  <c r="N93" i="2"/>
  <c r="AE101" i="2"/>
  <c r="L102" i="2"/>
  <c r="AH97" i="2"/>
  <c r="N101" i="2"/>
  <c r="H96" i="2"/>
  <c r="N100" i="2"/>
  <c r="AB103" i="2"/>
  <c r="M101" i="2"/>
  <c r="U101" i="2"/>
  <c r="N98" i="2"/>
  <c r="U93" i="2"/>
  <c r="AB102" i="2"/>
  <c r="AJ101" i="2"/>
  <c r="AD99" i="2"/>
  <c r="Z102" i="2"/>
  <c r="AD102" i="2"/>
  <c r="R96" i="2"/>
  <c r="X95" i="2"/>
  <c r="R97" i="2"/>
  <c r="Y93" i="2"/>
  <c r="AI98" i="2"/>
  <c r="L97" i="2"/>
  <c r="R101" i="2"/>
  <c r="P97" i="2"/>
  <c r="T95" i="2"/>
  <c r="V96" i="2"/>
  <c r="M96" i="2"/>
  <c r="H102" i="2"/>
  <c r="V98" i="2"/>
  <c r="AF93" i="2"/>
  <c r="M98" i="2"/>
  <c r="Y103" i="2"/>
  <c r="T100" i="2"/>
  <c r="AC93" i="2"/>
  <c r="L98" i="2"/>
  <c r="AB100" i="2"/>
  <c r="N97" i="2"/>
  <c r="AD94" i="2"/>
  <c r="F100" i="2"/>
  <c r="H97" i="2"/>
  <c r="W99" i="2"/>
  <c r="C93" i="2"/>
  <c r="P98" i="2"/>
  <c r="Y99" i="2"/>
  <c r="AC97" i="2"/>
  <c r="S101" i="2"/>
  <c r="AI93" i="2"/>
  <c r="U95" i="2"/>
  <c r="W96" i="2"/>
  <c r="AI99" i="2"/>
  <c r="H94" i="2"/>
  <c r="L94" i="2"/>
  <c r="Y98" i="2"/>
  <c r="H95" i="2"/>
  <c r="G102" i="2"/>
  <c r="C96" i="2"/>
  <c r="U99" i="2"/>
  <c r="Y101" i="2"/>
  <c r="C102" i="2"/>
  <c r="L96" i="2"/>
  <c r="AJ100" i="2"/>
  <c r="J103" i="2"/>
  <c r="V93" i="2"/>
  <c r="I93" i="2"/>
  <c r="E103" i="2"/>
  <c r="P99" i="2"/>
  <c r="Q98" i="2"/>
  <c r="AA100" i="2"/>
  <c r="AE97" i="2"/>
  <c r="P94" i="2"/>
  <c r="U98" i="2"/>
  <c r="D94" i="2"/>
  <c r="R94" i="2"/>
  <c r="K99" i="2"/>
  <c r="Q101" i="2"/>
  <c r="Q95" i="2"/>
  <c r="AI97" i="2"/>
  <c r="AE103" i="2"/>
  <c r="D96" i="2"/>
  <c r="Z97" i="2"/>
  <c r="X93" i="2"/>
  <c r="L95" i="2"/>
  <c r="AA99" i="2"/>
  <c r="L100" i="2"/>
  <c r="W98" i="2"/>
  <c r="M100" i="2"/>
  <c r="I97" i="2"/>
  <c r="AA94" i="2"/>
  <c r="S100" i="2"/>
  <c r="R95" i="2"/>
  <c r="U103" i="2"/>
  <c r="V101" i="2"/>
  <c r="T99" i="2"/>
  <c r="T94" i="2"/>
  <c r="AH98" i="2"/>
  <c r="K97" i="2"/>
  <c r="S97" i="2"/>
  <c r="L103" i="2"/>
  <c r="D100" i="2"/>
  <c r="K95" i="2"/>
  <c r="Z99" i="2"/>
  <c r="F101" i="2"/>
  <c r="J98" i="2"/>
  <c r="P95" i="2"/>
  <c r="AB95" i="2"/>
  <c r="AI103" i="2"/>
  <c r="O93" i="2"/>
  <c r="E95" i="2"/>
  <c r="X97" i="2"/>
  <c r="Y95" i="2"/>
  <c r="M99" i="2"/>
  <c r="Q100" i="2"/>
  <c r="AG96" i="2"/>
  <c r="V94" i="2"/>
  <c r="K98" i="2"/>
  <c r="J96" i="2"/>
  <c r="C103" i="2"/>
  <c r="I100" i="2"/>
  <c r="AI101" i="2"/>
  <c r="AG98" i="2"/>
  <c r="Y96" i="2"/>
  <c r="AC94" i="2"/>
  <c r="AD100" i="2"/>
  <c r="S93" i="2"/>
  <c r="AD97" i="2"/>
  <c r="AH101" i="2"/>
  <c r="AI102" i="2"/>
  <c r="AC100" i="2"/>
  <c r="I103" i="2"/>
  <c r="K94" i="2"/>
  <c r="E94" i="2"/>
  <c r="AG97" i="2"/>
  <c r="AG101" i="2"/>
  <c r="Q94" i="2"/>
  <c r="AD96" i="2"/>
  <c r="AF98" i="2"/>
  <c r="O103" i="2"/>
  <c r="AJ94" i="2"/>
  <c r="S99" i="2"/>
  <c r="I99" i="2"/>
  <c r="V102" i="2"/>
  <c r="O97" i="2"/>
  <c r="Q97" i="2"/>
  <c r="C95" i="2"/>
  <c r="AJ93" i="2"/>
  <c r="K100" i="2"/>
  <c r="AA101" i="2"/>
  <c r="AA96" i="2"/>
  <c r="S96" i="2"/>
  <c r="N96" i="2"/>
  <c r="AD101" i="2"/>
  <c r="AG100" i="2"/>
  <c r="G103" i="2"/>
  <c r="P93" i="2"/>
  <c r="C101" i="2"/>
  <c r="T103" i="2"/>
  <c r="J101" i="2"/>
  <c r="AJ103" i="2"/>
  <c r="AA97" i="2"/>
  <c r="AC101" i="2"/>
  <c r="AD93" i="2"/>
  <c r="F102" i="2"/>
  <c r="W95" i="2"/>
  <c r="V99" i="2"/>
  <c r="AG99" i="2"/>
  <c r="AF96" i="2"/>
  <c r="R93" i="2"/>
  <c r="O96" i="2"/>
  <c r="D93" i="2"/>
  <c r="S102" i="2"/>
  <c r="L99" i="2"/>
  <c r="X94" i="2"/>
  <c r="X101" i="2"/>
  <c r="A103" i="2"/>
  <c r="O100" i="2"/>
  <c r="W97" i="2"/>
  <c r="W103" i="2"/>
  <c r="AF101" i="2"/>
  <c r="AA103" i="2"/>
  <c r="AD98" i="2"/>
  <c r="Z98" i="2"/>
  <c r="AJ96" i="2"/>
  <c r="H101" i="2"/>
  <c r="AC96" i="2"/>
  <c r="F97" i="2"/>
  <c r="Y100" i="2"/>
  <c r="I95" i="2"/>
  <c r="I101" i="2"/>
  <c r="E93" i="2"/>
  <c r="D102" i="2"/>
  <c r="I96" i="2"/>
  <c r="X103" i="2"/>
  <c r="AD103" i="2"/>
  <c r="M102" i="2"/>
  <c r="W101" i="2"/>
  <c r="J97" i="2"/>
  <c r="T97" i="2"/>
  <c r="AH99" i="2"/>
  <c r="AE93" i="2"/>
  <c r="L101" i="2"/>
  <c r="P102" i="2"/>
  <c r="X98" i="2"/>
  <c r="Q102" i="2"/>
  <c r="Y102" i="2"/>
  <c r="AE94" i="2"/>
  <c r="AG102" i="2"/>
  <c r="U96" i="2"/>
  <c r="E96" i="2"/>
  <c r="U102" i="2"/>
  <c r="AJ102" i="2"/>
  <c r="AC95" i="2"/>
  <c r="AE98" i="2"/>
  <c r="AH103" i="2"/>
  <c r="AC98" i="2"/>
  <c r="X100" i="2"/>
  <c r="J95" i="2"/>
  <c r="R103" i="2"/>
  <c r="H99" i="2"/>
  <c r="P101" i="2"/>
  <c r="P103" i="2"/>
  <c r="G95" i="2"/>
  <c r="AA102" i="2"/>
  <c r="M95" i="2"/>
  <c r="AE102" i="2"/>
  <c r="T101" i="2"/>
  <c r="R102" i="2"/>
  <c r="F96" i="2"/>
  <c r="O94" i="2"/>
  <c r="AF94" i="2"/>
  <c r="D95" i="2"/>
  <c r="O99" i="2"/>
  <c r="AH94" i="2"/>
  <c r="O95" i="2"/>
  <c r="D97" i="2"/>
  <c r="E101" i="2"/>
  <c r="J94" i="2"/>
  <c r="F94" i="2"/>
  <c r="I98" i="2"/>
  <c r="K102" i="2"/>
  <c r="E102" i="2"/>
  <c r="AA93" i="2"/>
  <c r="N103" i="2"/>
  <c r="E98" i="2"/>
  <c r="AE99" i="2"/>
  <c r="AF95" i="2"/>
  <c r="G96" i="2"/>
  <c r="R99" i="2"/>
  <c r="AI100" i="2"/>
  <c r="U97" i="2"/>
  <c r="G100" i="2"/>
  <c r="Z94" i="2"/>
  <c r="S95" i="2"/>
  <c r="R100" i="2"/>
  <c r="W100" i="2"/>
  <c r="N94" i="2"/>
  <c r="U100" i="2"/>
  <c r="AG103" i="2"/>
  <c r="C94" i="2"/>
  <c r="C97" i="2"/>
  <c r="Q96" i="2"/>
  <c r="G97" i="2"/>
  <c r="AJ98" i="2"/>
  <c r="M103" i="2"/>
  <c r="C98" i="2"/>
  <c r="W93" i="2"/>
  <c r="AI95" i="2"/>
  <c r="AH102" i="2"/>
  <c r="K101" i="2"/>
  <c r="T96" i="2"/>
  <c r="AF97" i="2"/>
  <c r="G94" i="2"/>
  <c r="G98" i="2"/>
  <c r="L93" i="2"/>
  <c r="AE95" i="2"/>
  <c r="Q93" i="2"/>
  <c r="N102" i="2"/>
  <c r="N95" i="2"/>
  <c r="T98" i="2"/>
  <c r="N99" i="2"/>
  <c r="AE100" i="2"/>
  <c r="M94" i="2"/>
  <c r="AC99" i="2"/>
  <c r="K96" i="2"/>
  <c r="F98" i="2"/>
  <c r="H93" i="2"/>
  <c r="Z96" i="2"/>
  <c r="H100" i="2"/>
  <c r="Y97" i="2"/>
  <c r="F93" i="2"/>
  <c r="AB93" i="2"/>
  <c r="J99" i="2"/>
  <c r="Y94" i="2"/>
  <c r="H98" i="2"/>
  <c r="G99" i="2"/>
  <c r="AJ99" i="2"/>
  <c r="AB98" i="2"/>
  <c r="D98" i="2"/>
  <c r="V103" i="2"/>
  <c r="V95" i="2"/>
  <c r="AI96" i="2"/>
  <c r="AB97" i="2"/>
  <c r="I102" i="2"/>
  <c r="S98" i="2"/>
  <c r="AH96" i="2"/>
  <c r="X96" i="2"/>
  <c r="Q103" i="2"/>
  <c r="AG93" i="2"/>
  <c r="G93" i="2"/>
  <c r="E100" i="2"/>
  <c r="M93" i="2"/>
  <c r="O102" i="2"/>
  <c r="F95" i="2"/>
  <c r="X99" i="2"/>
  <c r="AD95" i="2"/>
  <c r="R98" i="2"/>
  <c r="AG95" i="2"/>
  <c r="U94" i="2"/>
  <c r="AJ97" i="2"/>
  <c r="X102" i="2"/>
  <c r="V97" i="2"/>
  <c r="E97" i="2"/>
  <c r="Z103" i="2"/>
  <c r="Q99" i="2"/>
  <c r="Z93" i="2"/>
  <c r="AC103" i="2"/>
  <c r="J100" i="2"/>
  <c r="AH93" i="2"/>
  <c r="J93" i="2"/>
  <c r="G101" i="2"/>
  <c r="T102" i="2"/>
  <c r="W102" i="2"/>
  <c r="S94" i="2"/>
  <c r="AF99" i="2"/>
  <c r="D101" i="2"/>
  <c r="W94" i="2"/>
  <c r="AA98" i="2"/>
  <c r="C99" i="2"/>
  <c r="AB99" i="2"/>
  <c r="H103" i="2"/>
  <c r="D103" i="2"/>
  <c r="E99" i="2"/>
  <c r="AF100" i="2"/>
  <c r="P96" i="2"/>
  <c r="Z100" i="2"/>
  <c r="O101" i="2"/>
  <c r="I94" i="2"/>
  <c r="L104" i="2" l="1"/>
  <c r="R104" i="2"/>
  <c r="W104" i="2"/>
  <c r="P104" i="2"/>
  <c r="S104" i="2"/>
  <c r="K104" i="2"/>
  <c r="C104" i="2"/>
  <c r="E104" i="2"/>
  <c r="D104" i="2"/>
  <c r="O104" i="2"/>
  <c r="I104" i="2"/>
  <c r="T104" i="2"/>
  <c r="F104" i="2"/>
  <c r="H104" i="2"/>
  <c r="N104" i="2"/>
  <c r="X104" i="2"/>
  <c r="U104" i="2"/>
  <c r="J104" i="2"/>
  <c r="AJ104" i="2"/>
  <c r="M104" i="2"/>
  <c r="Q104" i="2"/>
  <c r="V104" i="2"/>
  <c r="G104" i="2"/>
  <c r="AK101" i="2" l="1"/>
  <c r="AK98" i="2"/>
  <c r="AK96" i="2"/>
  <c r="AK102" i="2"/>
  <c r="AK94" i="2"/>
  <c r="AK99" i="2"/>
  <c r="AK93" i="2"/>
  <c r="AK95" i="2"/>
  <c r="AK100" i="2"/>
  <c r="AK103" i="2"/>
  <c r="AK97" i="2"/>
  <c r="B108" i="2" l="1"/>
  <c r="A108" i="2" s="1"/>
  <c r="B109" i="2" l="1"/>
  <c r="A109" i="2" s="1"/>
  <c r="B110" i="2" l="1"/>
  <c r="A110" i="2" s="1"/>
  <c r="B111" i="2" l="1"/>
  <c r="A111" i="2" s="1"/>
  <c r="B112" i="2" l="1"/>
  <c r="A112" i="2" s="1"/>
  <c r="B113" i="2" l="1"/>
  <c r="B114" i="2" s="1"/>
  <c r="A114" i="2" s="1"/>
  <c r="B115" i="2" l="1"/>
  <c r="A115" i="2" s="1"/>
  <c r="A113" i="2"/>
  <c r="B116" i="2" l="1"/>
  <c r="A116" i="2" s="1"/>
  <c r="B117" i="2" l="1"/>
  <c r="A117" i="2" s="1"/>
  <c r="B118" i="2" l="1"/>
  <c r="X110" i="2" s="1"/>
  <c r="AC109" i="2" l="1"/>
  <c r="Y112" i="2"/>
  <c r="D118" i="2"/>
  <c r="AE108" i="2"/>
  <c r="T116" i="2"/>
  <c r="Y111" i="2"/>
  <c r="E110" i="2"/>
  <c r="U113" i="2"/>
  <c r="R111" i="2"/>
  <c r="O108" i="2"/>
  <c r="AD117" i="2"/>
  <c r="V109" i="2"/>
  <c r="Y110" i="2"/>
  <c r="AC110" i="2"/>
  <c r="D110" i="2"/>
  <c r="AG115" i="2"/>
  <c r="AI108" i="2"/>
  <c r="W116" i="2"/>
  <c r="M109" i="2"/>
  <c r="AJ110" i="2"/>
  <c r="T109" i="2"/>
  <c r="X117" i="2"/>
  <c r="AA113" i="2"/>
  <c r="U108" i="2"/>
  <c r="Z110" i="2"/>
  <c r="C113" i="2"/>
  <c r="M108" i="2"/>
  <c r="I111" i="2"/>
  <c r="J109" i="2"/>
  <c r="AB111" i="2"/>
  <c r="M118" i="2"/>
  <c r="H112" i="2"/>
  <c r="C112" i="2"/>
  <c r="AD111" i="2"/>
  <c r="AC117" i="2"/>
  <c r="AI111" i="2"/>
  <c r="H116" i="2"/>
  <c r="AJ113" i="2"/>
  <c r="U116" i="2"/>
  <c r="AB115" i="2"/>
  <c r="AE111" i="2"/>
  <c r="O112" i="2"/>
  <c r="H108" i="2"/>
  <c r="Y113" i="2"/>
  <c r="AB116" i="2"/>
  <c r="K113" i="2"/>
  <c r="K110" i="2"/>
  <c r="K116" i="2"/>
  <c r="L110" i="2"/>
  <c r="K115" i="2"/>
  <c r="F109" i="2"/>
  <c r="P118" i="2"/>
  <c r="L113" i="2"/>
  <c r="F114" i="2"/>
  <c r="Q114" i="2"/>
  <c r="O109" i="2"/>
  <c r="N108" i="2"/>
  <c r="D113" i="2"/>
  <c r="AE114" i="2"/>
  <c r="L115" i="2"/>
  <c r="O110" i="2"/>
  <c r="R112" i="2"/>
  <c r="AB118" i="2"/>
  <c r="G114" i="2"/>
  <c r="AE115" i="2"/>
  <c r="X114" i="2"/>
  <c r="D115" i="2"/>
  <c r="Q111" i="2"/>
  <c r="F110" i="2"/>
  <c r="AF117" i="2"/>
  <c r="AH111" i="2"/>
  <c r="O111" i="2"/>
  <c r="AH113" i="2"/>
  <c r="V118" i="2"/>
  <c r="S108" i="2"/>
  <c r="AH118" i="2"/>
  <c r="J111" i="2"/>
  <c r="S112" i="2"/>
  <c r="T113" i="2"/>
  <c r="N112" i="2"/>
  <c r="X116" i="2"/>
  <c r="AF113" i="2"/>
  <c r="AD114" i="2"/>
  <c r="AA112" i="2"/>
  <c r="G109" i="2"/>
  <c r="R109" i="2"/>
  <c r="Y115" i="2"/>
  <c r="V114" i="2"/>
  <c r="M115" i="2"/>
  <c r="AD115" i="2"/>
  <c r="X115" i="2"/>
  <c r="X112" i="2"/>
  <c r="I113" i="2"/>
  <c r="Z113" i="2"/>
  <c r="Q118" i="2"/>
  <c r="AJ109" i="2"/>
  <c r="J118" i="2"/>
  <c r="AG116" i="2"/>
  <c r="D117" i="2"/>
  <c r="I112" i="2"/>
  <c r="I117" i="2"/>
  <c r="E113" i="2"/>
  <c r="C108" i="2"/>
  <c r="AJ118" i="2"/>
  <c r="AG111" i="2"/>
  <c r="E117" i="2"/>
  <c r="AG113" i="2"/>
  <c r="M110" i="2"/>
  <c r="G118" i="2"/>
  <c r="AD112" i="2"/>
  <c r="Y116" i="2"/>
  <c r="I115" i="2"/>
  <c r="I108" i="2"/>
  <c r="Z111" i="2"/>
  <c r="G112" i="2"/>
  <c r="L114" i="2"/>
  <c r="W112" i="2"/>
  <c r="AH117" i="2"/>
  <c r="M111" i="2"/>
  <c r="AA117" i="2"/>
  <c r="AB114" i="2"/>
  <c r="AF114" i="2"/>
  <c r="AE116" i="2"/>
  <c r="AI114" i="2"/>
  <c r="L117" i="2"/>
  <c r="W117" i="2"/>
  <c r="AH110" i="2"/>
  <c r="H109" i="2"/>
  <c r="P111" i="2"/>
  <c r="F108" i="2"/>
  <c r="AJ116" i="2"/>
  <c r="K111" i="2"/>
  <c r="T115" i="2"/>
  <c r="L108" i="2"/>
  <c r="AJ117" i="2"/>
  <c r="AC113" i="2"/>
  <c r="P110" i="2"/>
  <c r="F113" i="2"/>
  <c r="P113" i="2"/>
  <c r="AB110" i="2"/>
  <c r="AE118" i="2"/>
  <c r="U117" i="2"/>
  <c r="R115" i="2"/>
  <c r="R108" i="2"/>
  <c r="H115" i="2"/>
  <c r="AA116" i="2"/>
  <c r="AJ114" i="2"/>
  <c r="X118" i="2"/>
  <c r="V108" i="2"/>
  <c r="AE110" i="2"/>
  <c r="AF118" i="2"/>
  <c r="AA108" i="2"/>
  <c r="I109" i="2"/>
  <c r="W111" i="2"/>
  <c r="Y114" i="2"/>
  <c r="AF110" i="2"/>
  <c r="AE112" i="2"/>
  <c r="W118" i="2"/>
  <c r="F111" i="2"/>
  <c r="E112" i="2"/>
  <c r="AG118" i="2"/>
  <c r="P112" i="2"/>
  <c r="AG110" i="2"/>
  <c r="R110" i="2"/>
  <c r="N115" i="2"/>
  <c r="R114" i="2"/>
  <c r="X109" i="2"/>
  <c r="W108" i="2"/>
  <c r="T114" i="2"/>
  <c r="S116" i="2"/>
  <c r="AB108" i="2"/>
  <c r="AI110" i="2"/>
  <c r="F112" i="2"/>
  <c r="U115" i="2"/>
  <c r="F118" i="2"/>
  <c r="J117" i="2"/>
  <c r="AA114" i="2"/>
  <c r="Z117" i="2"/>
  <c r="Q116" i="2"/>
  <c r="J113" i="2"/>
  <c r="T108" i="2"/>
  <c r="AJ112" i="2"/>
  <c r="O117" i="2"/>
  <c r="R118" i="2"/>
  <c r="AI115" i="2"/>
  <c r="AH116" i="2"/>
  <c r="E115" i="2"/>
  <c r="AC112" i="2"/>
  <c r="K114" i="2"/>
  <c r="D116" i="2"/>
  <c r="I116" i="2"/>
  <c r="AB109" i="2"/>
  <c r="W114" i="2"/>
  <c r="S117" i="2"/>
  <c r="U111" i="2"/>
  <c r="K117" i="2"/>
  <c r="R116" i="2"/>
  <c r="X108" i="2"/>
  <c r="N117" i="2"/>
  <c r="D112" i="2"/>
  <c r="V115" i="2"/>
  <c r="D111" i="2"/>
  <c r="Q110" i="2"/>
  <c r="C116" i="2"/>
  <c r="AH109" i="2"/>
  <c r="F117" i="2"/>
  <c r="AB112" i="2"/>
  <c r="AJ111" i="2"/>
  <c r="K112" i="2"/>
  <c r="AC114" i="2"/>
  <c r="N118" i="2"/>
  <c r="W113" i="2"/>
  <c r="H118" i="2"/>
  <c r="U112" i="2"/>
  <c r="E108" i="2"/>
  <c r="AD109" i="2"/>
  <c r="E118" i="2"/>
  <c r="AG109" i="2"/>
  <c r="U110" i="2"/>
  <c r="AD110" i="2"/>
  <c r="H114" i="2"/>
  <c r="T117" i="2"/>
  <c r="W109" i="2"/>
  <c r="S113" i="2"/>
  <c r="S114" i="2"/>
  <c r="V110" i="2"/>
  <c r="G111" i="2"/>
  <c r="H111" i="2"/>
  <c r="AB117" i="2"/>
  <c r="I110" i="2"/>
  <c r="AB113" i="2"/>
  <c r="N113" i="2"/>
  <c r="E111" i="2"/>
  <c r="AA109" i="2"/>
  <c r="Y117" i="2"/>
  <c r="AG108" i="2"/>
  <c r="U109" i="2"/>
  <c r="A118" i="2"/>
  <c r="C109" i="2"/>
  <c r="Y108" i="2"/>
  <c r="Q112" i="2"/>
  <c r="AI109" i="2"/>
  <c r="AF108" i="2"/>
  <c r="J114" i="2"/>
  <c r="U118" i="2"/>
  <c r="G113" i="2"/>
  <c r="T111" i="2"/>
  <c r="L111" i="2"/>
  <c r="AI113" i="2"/>
  <c r="AG117" i="2"/>
  <c r="AF116" i="2"/>
  <c r="S118" i="2"/>
  <c r="N110" i="2"/>
  <c r="AH114" i="2"/>
  <c r="M117" i="2"/>
  <c r="V117" i="2"/>
  <c r="L109" i="2"/>
  <c r="AD108" i="2"/>
  <c r="N109" i="2"/>
  <c r="N111" i="2"/>
  <c r="AE109" i="2"/>
  <c r="M112" i="2"/>
  <c r="AI116" i="2"/>
  <c r="R117" i="2"/>
  <c r="AF111" i="2"/>
  <c r="D114" i="2"/>
  <c r="Y109" i="2"/>
  <c r="C114" i="2"/>
  <c r="AC111" i="2"/>
  <c r="P109" i="2"/>
  <c r="V111" i="2"/>
  <c r="S115" i="2"/>
  <c r="Z115" i="2"/>
  <c r="V113" i="2"/>
  <c r="G110" i="2"/>
  <c r="I114" i="2"/>
  <c r="D109" i="2"/>
  <c r="AI118" i="2"/>
  <c r="O115" i="2"/>
  <c r="O114" i="2"/>
  <c r="AA118" i="2"/>
  <c r="R113" i="2"/>
  <c r="AF112" i="2"/>
  <c r="Y118" i="2"/>
  <c r="D108" i="2"/>
  <c r="AI117" i="2"/>
  <c r="AD113" i="2"/>
  <c r="F115" i="2"/>
  <c r="Q108" i="2"/>
  <c r="L118" i="2"/>
  <c r="AC116" i="2"/>
  <c r="J110" i="2"/>
  <c r="C117" i="2"/>
  <c r="AE117" i="2"/>
  <c r="L112" i="2"/>
  <c r="X111" i="2"/>
  <c r="P108" i="2"/>
  <c r="C118" i="2"/>
  <c r="C110" i="2"/>
  <c r="AH108" i="2"/>
  <c r="AC108" i="2"/>
  <c r="S111" i="2"/>
  <c r="E109" i="2"/>
  <c r="J116" i="2"/>
  <c r="H110" i="2"/>
  <c r="W110" i="2"/>
  <c r="P117" i="2"/>
  <c r="AJ115" i="2"/>
  <c r="Z116" i="2"/>
  <c r="C115" i="2"/>
  <c r="AA111" i="2"/>
  <c r="T112" i="2"/>
  <c r="E114" i="2"/>
  <c r="J112" i="2"/>
  <c r="Q109" i="2"/>
  <c r="N116" i="2"/>
  <c r="H113" i="2"/>
  <c r="Q113" i="2"/>
  <c r="AA110" i="2"/>
  <c r="Z109" i="2"/>
  <c r="T110" i="2"/>
  <c r="AH112" i="2"/>
  <c r="AH115" i="2"/>
  <c r="Z108" i="2"/>
  <c r="M113" i="2"/>
  <c r="S109" i="2"/>
  <c r="P114" i="2"/>
  <c r="J115" i="2"/>
  <c r="Z112" i="2"/>
  <c r="G117" i="2"/>
  <c r="O116" i="2"/>
  <c r="AE113" i="2"/>
  <c r="M116" i="2"/>
  <c r="AG112" i="2"/>
  <c r="T118" i="2"/>
  <c r="F116" i="2"/>
  <c r="AF109" i="2"/>
  <c r="E116" i="2"/>
  <c r="J108" i="2"/>
  <c r="AJ108" i="2"/>
  <c r="AD118" i="2"/>
  <c r="AG114" i="2"/>
  <c r="H117" i="2"/>
  <c r="AF115" i="2"/>
  <c r="AD116" i="2"/>
  <c r="AC115" i="2"/>
  <c r="S110" i="2"/>
  <c r="Z118" i="2"/>
  <c r="G115" i="2"/>
  <c r="W115" i="2"/>
  <c r="Q115" i="2"/>
  <c r="V112" i="2"/>
  <c r="AC118" i="2"/>
  <c r="AI112" i="2"/>
  <c r="Z114" i="2"/>
  <c r="Q117" i="2"/>
  <c r="K118" i="2"/>
  <c r="P115" i="2"/>
  <c r="L116" i="2"/>
  <c r="K108" i="2"/>
  <c r="AA115" i="2"/>
  <c r="M114" i="2"/>
  <c r="C111" i="2"/>
  <c r="G116" i="2"/>
  <c r="G108" i="2"/>
  <c r="P116" i="2"/>
  <c r="O113" i="2"/>
  <c r="X113" i="2"/>
  <c r="U114" i="2"/>
  <c r="I118" i="2"/>
  <c r="V116" i="2"/>
  <c r="O118" i="2"/>
  <c r="K109" i="2"/>
  <c r="N114" i="2"/>
  <c r="U119" i="2" l="1"/>
  <c r="AJ119" i="2"/>
  <c r="J119" i="2"/>
  <c r="O119" i="2"/>
  <c r="K119" i="2"/>
  <c r="D119" i="2"/>
  <c r="R119" i="2"/>
  <c r="X119" i="2"/>
  <c r="V119" i="2"/>
  <c r="L119" i="2"/>
  <c r="S119" i="2"/>
  <c r="F119" i="2"/>
  <c r="I119" i="2"/>
  <c r="W119" i="2"/>
  <c r="T119" i="2"/>
  <c r="H119" i="2"/>
  <c r="N119" i="2"/>
  <c r="Q119" i="2"/>
  <c r="G119" i="2"/>
  <c r="E119" i="2"/>
  <c r="C119" i="2"/>
  <c r="M119" i="2"/>
  <c r="P119" i="2"/>
  <c r="AK115" i="2" l="1"/>
  <c r="AK117" i="2"/>
  <c r="AK114" i="2"/>
  <c r="AK110" i="2"/>
  <c r="AK116" i="2"/>
  <c r="AK108" i="2"/>
  <c r="AK118" i="2"/>
  <c r="AK111" i="2"/>
  <c r="AK112" i="2"/>
  <c r="AK113" i="2"/>
  <c r="AK109" i="2"/>
  <c r="B123" i="2" l="1"/>
  <c r="B124" i="2" s="1"/>
  <c r="A124" i="2" s="1"/>
  <c r="B125" i="2" l="1"/>
  <c r="B126" i="2" s="1"/>
  <c r="A126" i="2" s="1"/>
  <c r="A123" i="2"/>
  <c r="A125" i="2" l="1"/>
  <c r="B127" i="2"/>
  <c r="A127" i="2" s="1"/>
  <c r="B128" i="2" l="1"/>
  <c r="B129" i="2" s="1"/>
  <c r="A129" i="2" s="1"/>
  <c r="A128" i="2" l="1"/>
  <c r="B130" i="2"/>
  <c r="A130" i="2" s="1"/>
  <c r="B131" i="2" l="1"/>
  <c r="A131" i="2" s="1"/>
  <c r="B132" i="2" l="1"/>
  <c r="A132" i="2" s="1"/>
  <c r="B133" i="2" l="1"/>
  <c r="AE129" i="2" s="1"/>
  <c r="J132" i="2" l="1"/>
  <c r="U126" i="2"/>
  <c r="G123" i="2"/>
  <c r="L125" i="2"/>
  <c r="AJ131" i="2"/>
  <c r="AG123" i="2"/>
  <c r="AB128" i="2"/>
  <c r="L124" i="2"/>
  <c r="N132" i="2"/>
  <c r="AC132" i="2"/>
  <c r="AA130" i="2"/>
  <c r="P131" i="2"/>
  <c r="L129" i="2"/>
  <c r="I125" i="2"/>
  <c r="AG132" i="2"/>
  <c r="M127" i="2"/>
  <c r="AE130" i="2"/>
  <c r="U128" i="2"/>
  <c r="U125" i="2"/>
  <c r="X126" i="2"/>
  <c r="AB123" i="2"/>
  <c r="R126" i="2"/>
  <c r="F130" i="2"/>
  <c r="AI129" i="2"/>
  <c r="U124" i="2"/>
  <c r="M123" i="2"/>
  <c r="S127" i="2"/>
  <c r="U133" i="2"/>
  <c r="S130" i="2"/>
  <c r="I127" i="2"/>
  <c r="AG128" i="2"/>
  <c r="H123" i="2"/>
  <c r="AI132" i="2"/>
  <c r="S123" i="2"/>
  <c r="AB131" i="2"/>
  <c r="AD126" i="2"/>
  <c r="E124" i="2"/>
  <c r="Z123" i="2"/>
  <c r="AG133" i="2"/>
  <c r="E127" i="2"/>
  <c r="F128" i="2"/>
  <c r="J130" i="2"/>
  <c r="AC131" i="2"/>
  <c r="J131" i="2"/>
  <c r="AI127" i="2"/>
  <c r="Y133" i="2"/>
  <c r="AF128" i="2"/>
  <c r="Y127" i="2"/>
  <c r="AH123" i="2"/>
  <c r="AG126" i="2"/>
  <c r="D128" i="2"/>
  <c r="AD133" i="2"/>
  <c r="V129" i="2"/>
  <c r="Z132" i="2"/>
  <c r="W130" i="2"/>
  <c r="AH125" i="2"/>
  <c r="AF131" i="2"/>
  <c r="Z124" i="2"/>
  <c r="M125" i="2"/>
  <c r="AB132" i="2"/>
  <c r="F127" i="2"/>
  <c r="AH128" i="2"/>
  <c r="F123" i="2"/>
  <c r="N130" i="2"/>
  <c r="AB129" i="2"/>
  <c r="J129" i="2"/>
  <c r="K129" i="2"/>
  <c r="AC126" i="2"/>
  <c r="S129" i="2"/>
  <c r="P133" i="2"/>
  <c r="AB124" i="2"/>
  <c r="AA125" i="2"/>
  <c r="X130" i="2"/>
  <c r="AF124" i="2"/>
  <c r="AC124" i="2"/>
  <c r="AH133" i="2"/>
  <c r="AD123" i="2"/>
  <c r="U130" i="2"/>
  <c r="X132" i="2"/>
  <c r="Z133" i="2"/>
  <c r="N124" i="2"/>
  <c r="W125" i="2"/>
  <c r="C129" i="2"/>
  <c r="E129" i="2"/>
  <c r="J126" i="2"/>
  <c r="L127" i="2"/>
  <c r="AH126" i="2"/>
  <c r="I126" i="2"/>
  <c r="W133" i="2"/>
  <c r="AC129" i="2"/>
  <c r="U127" i="2"/>
  <c r="D123" i="2"/>
  <c r="Q130" i="2"/>
  <c r="AE133" i="2"/>
  <c r="R129" i="2"/>
  <c r="O123" i="2"/>
  <c r="AG131" i="2"/>
  <c r="K126" i="2"/>
  <c r="U131" i="2"/>
  <c r="D132" i="2"/>
  <c r="Y132" i="2"/>
  <c r="AG125" i="2"/>
  <c r="E130" i="2"/>
  <c r="D124" i="2"/>
  <c r="J123" i="2"/>
  <c r="C130" i="2"/>
  <c r="M132" i="2"/>
  <c r="K127" i="2"/>
  <c r="X128" i="2"/>
  <c r="AF133" i="2"/>
  <c r="C131" i="2"/>
  <c r="W127" i="2"/>
  <c r="AF130" i="2"/>
  <c r="E128" i="2"/>
  <c r="AA127" i="2"/>
  <c r="Z125" i="2"/>
  <c r="D130" i="2"/>
  <c r="V133" i="2"/>
  <c r="W126" i="2"/>
  <c r="Y125" i="2"/>
  <c r="F133" i="2"/>
  <c r="Y130" i="2"/>
  <c r="T124" i="2"/>
  <c r="C133" i="2"/>
  <c r="S133" i="2"/>
  <c r="L128" i="2"/>
  <c r="AC133" i="2"/>
  <c r="G133" i="2"/>
  <c r="Y129" i="2"/>
  <c r="M128" i="2"/>
  <c r="AA133" i="2"/>
  <c r="Y123" i="2"/>
  <c r="G126" i="2"/>
  <c r="AJ128" i="2"/>
  <c r="H132" i="2"/>
  <c r="H130" i="2"/>
  <c r="AE132" i="2"/>
  <c r="AA129" i="2"/>
  <c r="D129" i="2"/>
  <c r="I133" i="2"/>
  <c r="V127" i="2"/>
  <c r="R125" i="2"/>
  <c r="AF129" i="2"/>
  <c r="V132" i="2"/>
  <c r="Y126" i="2"/>
  <c r="Y124" i="2"/>
  <c r="N131" i="2"/>
  <c r="P128" i="2"/>
  <c r="T126" i="2"/>
  <c r="R123" i="2"/>
  <c r="U123" i="2"/>
  <c r="U132" i="2"/>
  <c r="AC128" i="2"/>
  <c r="AC125" i="2"/>
  <c r="R133" i="2"/>
  <c r="H124" i="2"/>
  <c r="W129" i="2"/>
  <c r="Y131" i="2"/>
  <c r="I130" i="2"/>
  <c r="G124" i="2"/>
  <c r="W131" i="2"/>
  <c r="K131" i="2"/>
  <c r="D133" i="2"/>
  <c r="Z131" i="2"/>
  <c r="V131" i="2"/>
  <c r="V124" i="2"/>
  <c r="N129" i="2"/>
  <c r="X129" i="2"/>
  <c r="I132" i="2"/>
  <c r="AH132" i="2"/>
  <c r="O127" i="2"/>
  <c r="AA128" i="2"/>
  <c r="O133" i="2"/>
  <c r="AH129" i="2"/>
  <c r="Q126" i="2"/>
  <c r="O128" i="2"/>
  <c r="O132" i="2"/>
  <c r="E132" i="2"/>
  <c r="S124" i="2"/>
  <c r="AB126" i="2"/>
  <c r="X131" i="2"/>
  <c r="Z129" i="2"/>
  <c r="Z130" i="2"/>
  <c r="AI126" i="2"/>
  <c r="AA132" i="2"/>
  <c r="X123" i="2"/>
  <c r="AE126" i="2"/>
  <c r="AE123" i="2"/>
  <c r="AJ124" i="2"/>
  <c r="Q132" i="2"/>
  <c r="T127" i="2"/>
  <c r="F129" i="2"/>
  <c r="AA131" i="2"/>
  <c r="O130" i="2"/>
  <c r="F131" i="2"/>
  <c r="V130" i="2"/>
  <c r="O131" i="2"/>
  <c r="N123" i="2"/>
  <c r="AI123" i="2"/>
  <c r="AB133" i="2"/>
  <c r="AC130" i="2"/>
  <c r="L123" i="2"/>
  <c r="AA126" i="2"/>
  <c r="X133" i="2"/>
  <c r="J128" i="2"/>
  <c r="R128" i="2"/>
  <c r="AB125" i="2"/>
  <c r="D127" i="2"/>
  <c r="C125" i="2"/>
  <c r="M126" i="2"/>
  <c r="AJ127" i="2"/>
  <c r="C123" i="2"/>
  <c r="H128" i="2"/>
  <c r="G132" i="2"/>
  <c r="AJ133" i="2"/>
  <c r="V123" i="2"/>
  <c r="AF126" i="2"/>
  <c r="AG130" i="2"/>
  <c r="Y128" i="2"/>
  <c r="S125" i="2"/>
  <c r="X124" i="2"/>
  <c r="P129" i="2"/>
  <c r="AF127" i="2"/>
  <c r="P125" i="2"/>
  <c r="AD125" i="2"/>
  <c r="AD131" i="2"/>
  <c r="R124" i="2"/>
  <c r="L132" i="2"/>
  <c r="Q131" i="2"/>
  <c r="Z126" i="2"/>
  <c r="AI124" i="2"/>
  <c r="S128" i="2"/>
  <c r="A133" i="2"/>
  <c r="D126" i="2"/>
  <c r="M124" i="2"/>
  <c r="G125" i="2"/>
  <c r="AJ123" i="2"/>
  <c r="Q125" i="2"/>
  <c r="Z128" i="2"/>
  <c r="AF132" i="2"/>
  <c r="J127" i="2"/>
  <c r="AD128" i="2"/>
  <c r="AC123" i="2"/>
  <c r="AH130" i="2"/>
  <c r="AE128" i="2"/>
  <c r="U129" i="2"/>
  <c r="AH127" i="2"/>
  <c r="R132" i="2"/>
  <c r="AA124" i="2"/>
  <c r="E126" i="2"/>
  <c r="G127" i="2"/>
  <c r="T123" i="2"/>
  <c r="K123" i="2"/>
  <c r="G129" i="2"/>
  <c r="O126" i="2"/>
  <c r="P132" i="2"/>
  <c r="K124" i="2"/>
  <c r="N127" i="2"/>
  <c r="AA123" i="2"/>
  <c r="P127" i="2"/>
  <c r="O125" i="2"/>
  <c r="L126" i="2"/>
  <c r="T130" i="2"/>
  <c r="K125" i="2"/>
  <c r="Q129" i="2"/>
  <c r="Q124" i="2"/>
  <c r="AJ129" i="2"/>
  <c r="Q133" i="2"/>
  <c r="H129" i="2"/>
  <c r="T131" i="2"/>
  <c r="J124" i="2"/>
  <c r="W123" i="2"/>
  <c r="AC127" i="2"/>
  <c r="V125" i="2"/>
  <c r="F124" i="2"/>
  <c r="AD132" i="2"/>
  <c r="K132" i="2"/>
  <c r="F132" i="2"/>
  <c r="T129" i="2"/>
  <c r="AF123" i="2"/>
  <c r="W128" i="2"/>
  <c r="T132" i="2"/>
  <c r="I129" i="2"/>
  <c r="AF125" i="2"/>
  <c r="AI128" i="2"/>
  <c r="R127" i="2"/>
  <c r="AI131" i="2"/>
  <c r="P130" i="2"/>
  <c r="T125" i="2"/>
  <c r="C128" i="2"/>
  <c r="E133" i="2"/>
  <c r="O129" i="2"/>
  <c r="S126" i="2"/>
  <c r="R131" i="2"/>
  <c r="AG124" i="2"/>
  <c r="T128" i="2"/>
  <c r="H125" i="2"/>
  <c r="D125" i="2"/>
  <c r="I128" i="2"/>
  <c r="AE125" i="2"/>
  <c r="AI125" i="2"/>
  <c r="AE127" i="2"/>
  <c r="M129" i="2"/>
  <c r="I123" i="2"/>
  <c r="C127" i="2"/>
  <c r="AI130" i="2"/>
  <c r="E125" i="2"/>
  <c r="Z127" i="2"/>
  <c r="E131" i="2"/>
  <c r="AB127" i="2"/>
  <c r="AD129" i="2"/>
  <c r="AE124" i="2"/>
  <c r="L130" i="2"/>
  <c r="F126" i="2"/>
  <c r="AB130" i="2"/>
  <c r="C132" i="2"/>
  <c r="AG129" i="2"/>
  <c r="D131" i="2"/>
  <c r="N128" i="2"/>
  <c r="H131" i="2"/>
  <c r="H127" i="2"/>
  <c r="Q123" i="2"/>
  <c r="K130" i="2"/>
  <c r="T133" i="2"/>
  <c r="AG127" i="2"/>
  <c r="K128" i="2"/>
  <c r="J133" i="2"/>
  <c r="H126" i="2"/>
  <c r="X127" i="2"/>
  <c r="Q128" i="2"/>
  <c r="C126" i="2"/>
  <c r="AJ130" i="2"/>
  <c r="AH124" i="2"/>
  <c r="V126" i="2"/>
  <c r="J125" i="2"/>
  <c r="W132" i="2"/>
  <c r="W124" i="2"/>
  <c r="AJ126" i="2"/>
  <c r="P123" i="2"/>
  <c r="M131" i="2"/>
  <c r="G130" i="2"/>
  <c r="M133" i="2"/>
  <c r="V128" i="2"/>
  <c r="C124" i="2"/>
  <c r="Q127" i="2"/>
  <c r="AI133" i="2"/>
  <c r="G128" i="2"/>
  <c r="M130" i="2"/>
  <c r="L131" i="2"/>
  <c r="X125" i="2"/>
  <c r="P124" i="2"/>
  <c r="AE131" i="2"/>
  <c r="I124" i="2"/>
  <c r="R130" i="2"/>
  <c r="N125" i="2"/>
  <c r="AD127" i="2"/>
  <c r="AD124" i="2"/>
  <c r="L133" i="2"/>
  <c r="P126" i="2"/>
  <c r="S132" i="2"/>
  <c r="N133" i="2"/>
  <c r="N126" i="2"/>
  <c r="AJ125" i="2"/>
  <c r="AD130" i="2"/>
  <c r="I131" i="2"/>
  <c r="G131" i="2"/>
  <c r="K133" i="2"/>
  <c r="AH131" i="2"/>
  <c r="H133" i="2"/>
  <c r="O124" i="2"/>
  <c r="F125" i="2"/>
  <c r="S131" i="2"/>
  <c r="E123" i="2"/>
  <c r="AJ132" i="2"/>
  <c r="O134" i="2" l="1"/>
  <c r="N134" i="2"/>
  <c r="G134" i="2"/>
  <c r="R134" i="2"/>
  <c r="J134" i="2"/>
  <c r="W134" i="2"/>
  <c r="S134" i="2"/>
  <c r="X134" i="2"/>
  <c r="F134" i="2"/>
  <c r="C134" i="2"/>
  <c r="D134" i="2"/>
  <c r="U134" i="2"/>
  <c r="E134" i="2"/>
  <c r="V134" i="2"/>
  <c r="Q134" i="2"/>
  <c r="M134" i="2"/>
  <c r="H134" i="2"/>
  <c r="T134" i="2"/>
  <c r="L134" i="2"/>
  <c r="P134" i="2"/>
  <c r="K134" i="2"/>
  <c r="AJ134" i="2"/>
  <c r="I134" i="2"/>
  <c r="AK127" i="2" l="1"/>
  <c r="AK125" i="2"/>
  <c r="AK130" i="2"/>
  <c r="AK128" i="2"/>
  <c r="AK126" i="2"/>
  <c r="AK124" i="2"/>
  <c r="AK123" i="2"/>
  <c r="AK129" i="2"/>
  <c r="AK133" i="2"/>
  <c r="AK132" i="2"/>
  <c r="AK131" i="2"/>
  <c r="B138" i="2" l="1"/>
  <c r="A138" i="2" s="1"/>
  <c r="B139" i="2" l="1"/>
  <c r="A139" i="2" s="1"/>
  <c r="B140" i="2" l="1"/>
  <c r="A140" i="2" s="1"/>
  <c r="B141" i="2" l="1"/>
  <c r="A141" i="2" s="1"/>
  <c r="B142" i="2" l="1"/>
  <c r="A142" i="2" s="1"/>
  <c r="B143" i="2" l="1"/>
  <c r="A143" i="2" s="1"/>
  <c r="B144" i="2" l="1"/>
  <c r="A144" i="2" s="1"/>
  <c r="B145" i="2" l="1"/>
  <c r="A145" i="2" s="1"/>
  <c r="B146" i="2" l="1"/>
  <c r="A146" i="2" s="1"/>
  <c r="B147" i="2" l="1"/>
  <c r="A147" i="2" s="1"/>
  <c r="B148" i="2" l="1"/>
  <c r="L140" i="2" s="1"/>
  <c r="AD142" i="2" l="1"/>
  <c r="AJ139" i="2"/>
  <c r="AG140" i="2"/>
  <c r="X141" i="2"/>
  <c r="L147" i="2"/>
  <c r="W142" i="2"/>
  <c r="D145" i="2"/>
  <c r="Z138" i="2"/>
  <c r="I147" i="2"/>
  <c r="AE141" i="2"/>
  <c r="F142" i="2"/>
  <c r="S144" i="2"/>
  <c r="AA141" i="2"/>
  <c r="U148" i="2"/>
  <c r="H144" i="2"/>
  <c r="S142" i="2"/>
  <c r="Q140" i="2"/>
  <c r="I143" i="2"/>
  <c r="AC142" i="2"/>
  <c r="T147" i="2"/>
  <c r="AE145" i="2"/>
  <c r="G140" i="2"/>
  <c r="J141" i="2"/>
  <c r="M143" i="2"/>
  <c r="Y138" i="2"/>
  <c r="J146" i="2"/>
  <c r="L141" i="2"/>
  <c r="AG138" i="2"/>
  <c r="N146" i="2"/>
  <c r="R142" i="2"/>
  <c r="G144" i="2"/>
  <c r="M140" i="2"/>
  <c r="R147" i="2"/>
  <c r="AD145" i="2"/>
  <c r="D140" i="2"/>
  <c r="X145" i="2"/>
  <c r="H140" i="2"/>
  <c r="C140" i="2"/>
  <c r="X144" i="2"/>
  <c r="K146" i="2"/>
  <c r="S145" i="2"/>
  <c r="E139" i="2"/>
  <c r="T146" i="2"/>
  <c r="X146" i="2"/>
  <c r="F144" i="2"/>
  <c r="M146" i="2"/>
  <c r="M147" i="2"/>
  <c r="AF145" i="2"/>
  <c r="Z148" i="2"/>
  <c r="AC148" i="2"/>
  <c r="V140" i="2"/>
  <c r="Q142" i="2"/>
  <c r="AE144" i="2"/>
  <c r="O141" i="2"/>
  <c r="J148" i="2"/>
  <c r="I142" i="2"/>
  <c r="V144" i="2"/>
  <c r="E147" i="2"/>
  <c r="S146" i="2"/>
  <c r="U141" i="2"/>
  <c r="N145" i="2"/>
  <c r="Q139" i="2"/>
  <c r="C143" i="2"/>
  <c r="R148" i="2"/>
  <c r="AB138" i="2"/>
  <c r="N140" i="2"/>
  <c r="Y145" i="2"/>
  <c r="AF146" i="2"/>
  <c r="H141" i="2"/>
  <c r="K143" i="2"/>
  <c r="AJ146" i="2"/>
  <c r="P143" i="2"/>
  <c r="U147" i="2"/>
  <c r="O139" i="2"/>
  <c r="AF138" i="2"/>
  <c r="H145" i="2"/>
  <c r="U142" i="2"/>
  <c r="V142" i="2"/>
  <c r="X148" i="2"/>
  <c r="Z142" i="2"/>
  <c r="Z145" i="2"/>
  <c r="F143" i="2"/>
  <c r="F141" i="2"/>
  <c r="K141" i="2"/>
  <c r="AA138" i="2"/>
  <c r="Y144" i="2"/>
  <c r="E142" i="2"/>
  <c r="J144" i="2"/>
  <c r="H138" i="2"/>
  <c r="R138" i="2"/>
  <c r="C144" i="2"/>
  <c r="U146" i="2"/>
  <c r="D147" i="2"/>
  <c r="L139" i="2"/>
  <c r="AB145" i="2"/>
  <c r="G148" i="2"/>
  <c r="AF143" i="2"/>
  <c r="J142" i="2"/>
  <c r="D143" i="2"/>
  <c r="O143" i="2"/>
  <c r="AI142" i="2"/>
  <c r="AD139" i="2"/>
  <c r="J138" i="2"/>
  <c r="G138" i="2"/>
  <c r="K144" i="2"/>
  <c r="Y146" i="2"/>
  <c r="AG147" i="2"/>
  <c r="T145" i="2"/>
  <c r="O142" i="2"/>
  <c r="Y148" i="2"/>
  <c r="AG148" i="2"/>
  <c r="X147" i="2"/>
  <c r="AJ148" i="2"/>
  <c r="Y141" i="2"/>
  <c r="AD148" i="2"/>
  <c r="X139" i="2"/>
  <c r="M139" i="2"/>
  <c r="V146" i="2"/>
  <c r="N141" i="2"/>
  <c r="AH144" i="2"/>
  <c r="W148" i="2"/>
  <c r="G141" i="2"/>
  <c r="D142" i="2"/>
  <c r="AG144" i="2"/>
  <c r="L148" i="2"/>
  <c r="S147" i="2"/>
  <c r="AC145" i="2"/>
  <c r="K145" i="2"/>
  <c r="G146" i="2"/>
  <c r="AA140" i="2"/>
  <c r="E141" i="2"/>
  <c r="AD146" i="2"/>
  <c r="AI139" i="2"/>
  <c r="C138" i="2"/>
  <c r="S138" i="2"/>
  <c r="F148" i="2"/>
  <c r="AG141" i="2"/>
  <c r="F140" i="2"/>
  <c r="AI141" i="2"/>
  <c r="R139" i="2"/>
  <c r="AD143" i="2"/>
  <c r="W146" i="2"/>
  <c r="AC138" i="2"/>
  <c r="AJ147" i="2"/>
  <c r="O146" i="2"/>
  <c r="V145" i="2"/>
  <c r="P138" i="2"/>
  <c r="AB140" i="2"/>
  <c r="C147" i="2"/>
  <c r="L144" i="2"/>
  <c r="AB148" i="2"/>
  <c r="AJ138" i="2"/>
  <c r="J145" i="2"/>
  <c r="D144" i="2"/>
  <c r="AI144" i="2"/>
  <c r="Q141" i="2"/>
  <c r="Y139" i="2"/>
  <c r="G139" i="2"/>
  <c r="S143" i="2"/>
  <c r="AI148" i="2"/>
  <c r="AF142" i="2"/>
  <c r="Z140" i="2"/>
  <c r="AB146" i="2"/>
  <c r="U140" i="2"/>
  <c r="I141" i="2"/>
  <c r="M145" i="2"/>
  <c r="AF144" i="2"/>
  <c r="AH148" i="2"/>
  <c r="AG143" i="2"/>
  <c r="Y143" i="2"/>
  <c r="Q144" i="2"/>
  <c r="M144" i="2"/>
  <c r="AH147" i="2"/>
  <c r="R146" i="2"/>
  <c r="K147" i="2"/>
  <c r="AI140" i="2"/>
  <c r="C146" i="2"/>
  <c r="AI146" i="2"/>
  <c r="M142" i="2"/>
  <c r="F147" i="2"/>
  <c r="O144" i="2"/>
  <c r="I145" i="2"/>
  <c r="O147" i="2"/>
  <c r="S140" i="2"/>
  <c r="Z146" i="2"/>
  <c r="N144" i="2"/>
  <c r="AD144" i="2"/>
  <c r="AG146" i="2"/>
  <c r="U138" i="2"/>
  <c r="Z139" i="2"/>
  <c r="X138" i="2"/>
  <c r="T141" i="2"/>
  <c r="T144" i="2"/>
  <c r="T148" i="2"/>
  <c r="Z144" i="2"/>
  <c r="AI138" i="2"/>
  <c r="M138" i="2"/>
  <c r="AB142" i="2"/>
  <c r="C142" i="2"/>
  <c r="P146" i="2"/>
  <c r="AE148" i="2"/>
  <c r="J139" i="2"/>
  <c r="AD147" i="2"/>
  <c r="C148" i="2"/>
  <c r="E145" i="2"/>
  <c r="E138" i="2"/>
  <c r="AA148" i="2"/>
  <c r="F139" i="2"/>
  <c r="AG145" i="2"/>
  <c r="O148" i="2"/>
  <c r="Y140" i="2"/>
  <c r="G145" i="2"/>
  <c r="AE138" i="2"/>
  <c r="AH140" i="2"/>
  <c r="T142" i="2"/>
  <c r="X143" i="2"/>
  <c r="AJ142" i="2"/>
  <c r="E148" i="2"/>
  <c r="J143" i="2"/>
  <c r="AH138" i="2"/>
  <c r="AA139" i="2"/>
  <c r="G142" i="2"/>
  <c r="H142" i="2"/>
  <c r="AG139" i="2"/>
  <c r="P141" i="2"/>
  <c r="K139" i="2"/>
  <c r="AB144" i="2"/>
  <c r="R141" i="2"/>
  <c r="AG142" i="2"/>
  <c r="AC147" i="2"/>
  <c r="H139" i="2"/>
  <c r="AD138" i="2"/>
  <c r="AB147" i="2"/>
  <c r="L138" i="2"/>
  <c r="W143" i="2"/>
  <c r="L146" i="2"/>
  <c r="D139" i="2"/>
  <c r="L142" i="2"/>
  <c r="C145" i="2"/>
  <c r="W145" i="2"/>
  <c r="Q146" i="2"/>
  <c r="Z147" i="2"/>
  <c r="U143" i="2"/>
  <c r="U145" i="2"/>
  <c r="AE146" i="2"/>
  <c r="P147" i="2"/>
  <c r="AC143" i="2"/>
  <c r="AB143" i="2"/>
  <c r="R143" i="2"/>
  <c r="S148" i="2"/>
  <c r="AC144" i="2"/>
  <c r="AI143" i="2"/>
  <c r="N143" i="2"/>
  <c r="E140" i="2"/>
  <c r="H147" i="2"/>
  <c r="V143" i="2"/>
  <c r="H143" i="2"/>
  <c r="AF148" i="2"/>
  <c r="AA147" i="2"/>
  <c r="AF140" i="2"/>
  <c r="AH143" i="2"/>
  <c r="W140" i="2"/>
  <c r="V141" i="2"/>
  <c r="V147" i="2"/>
  <c r="I139" i="2"/>
  <c r="AB141" i="2"/>
  <c r="J147" i="2"/>
  <c r="AB139" i="2"/>
  <c r="I144" i="2"/>
  <c r="W144" i="2"/>
  <c r="V148" i="2"/>
  <c r="O145" i="2"/>
  <c r="AD140" i="2"/>
  <c r="T140" i="2"/>
  <c r="AJ140" i="2"/>
  <c r="P144" i="2"/>
  <c r="AC146" i="2"/>
  <c r="N139" i="2"/>
  <c r="K142" i="2"/>
  <c r="T143" i="2"/>
  <c r="T139" i="2"/>
  <c r="Z143" i="2"/>
  <c r="AA142" i="2"/>
  <c r="AI147" i="2"/>
  <c r="G147" i="2"/>
  <c r="R140" i="2"/>
  <c r="AE142" i="2"/>
  <c r="AA146" i="2"/>
  <c r="X142" i="2"/>
  <c r="I146" i="2"/>
  <c r="E143" i="2"/>
  <c r="Y147" i="2"/>
  <c r="AJ145" i="2"/>
  <c r="T138" i="2"/>
  <c r="AI145" i="2"/>
  <c r="M148" i="2"/>
  <c r="W139" i="2"/>
  <c r="P142" i="2"/>
  <c r="AH146" i="2"/>
  <c r="S139" i="2"/>
  <c r="Q138" i="2"/>
  <c r="M141" i="2"/>
  <c r="X140" i="2"/>
  <c r="AC139" i="2"/>
  <c r="O140" i="2"/>
  <c r="G143" i="2"/>
  <c r="AF147" i="2"/>
  <c r="P148" i="2"/>
  <c r="D138" i="2"/>
  <c r="AC140" i="2"/>
  <c r="AJ141" i="2"/>
  <c r="P140" i="2"/>
  <c r="K148" i="2"/>
  <c r="Q143" i="2"/>
  <c r="H146" i="2"/>
  <c r="AA144" i="2"/>
  <c r="Q145" i="2"/>
  <c r="C141" i="2"/>
  <c r="P139" i="2"/>
  <c r="K140" i="2"/>
  <c r="R144" i="2"/>
  <c r="N142" i="2"/>
  <c r="I148" i="2"/>
  <c r="N138" i="2"/>
  <c r="Q148" i="2"/>
  <c r="AE147" i="2"/>
  <c r="AH139" i="2"/>
  <c r="U144" i="2"/>
  <c r="K138" i="2"/>
  <c r="J140" i="2"/>
  <c r="AC141" i="2"/>
  <c r="U139" i="2"/>
  <c r="AE139" i="2"/>
  <c r="F138" i="2"/>
  <c r="W138" i="2"/>
  <c r="AD141" i="2"/>
  <c r="F145" i="2"/>
  <c r="S141" i="2"/>
  <c r="AA145" i="2"/>
  <c r="AF139" i="2"/>
  <c r="I138" i="2"/>
  <c r="R145" i="2"/>
  <c r="H148" i="2"/>
  <c r="W147" i="2"/>
  <c r="N147" i="2"/>
  <c r="Y142" i="2"/>
  <c r="AH142" i="2"/>
  <c r="AJ144" i="2"/>
  <c r="E144" i="2"/>
  <c r="O138" i="2"/>
  <c r="Q147" i="2"/>
  <c r="AA143" i="2"/>
  <c r="AE143" i="2"/>
  <c r="AF141" i="2"/>
  <c r="E146" i="2"/>
  <c r="AJ143" i="2"/>
  <c r="A148" i="2"/>
  <c r="W141" i="2"/>
  <c r="Z141" i="2"/>
  <c r="C139" i="2"/>
  <c r="AH145" i="2"/>
  <c r="D146" i="2"/>
  <c r="V139" i="2"/>
  <c r="AH141" i="2"/>
  <c r="P145" i="2"/>
  <c r="D141" i="2"/>
  <c r="V138" i="2"/>
  <c r="F146" i="2"/>
  <c r="AE140" i="2"/>
  <c r="I140" i="2"/>
  <c r="N148" i="2"/>
  <c r="L145" i="2"/>
  <c r="L143" i="2"/>
  <c r="D148" i="2"/>
  <c r="E149" i="2" l="1"/>
  <c r="AJ149" i="2"/>
  <c r="U149" i="2"/>
  <c r="J149" i="2"/>
  <c r="F149" i="2"/>
  <c r="W149" i="2"/>
  <c r="N149" i="2"/>
  <c r="P149" i="2"/>
  <c r="S149" i="2"/>
  <c r="M149" i="2"/>
  <c r="L149" i="2"/>
  <c r="C149" i="2"/>
  <c r="K149" i="2"/>
  <c r="Q149" i="2"/>
  <c r="T149" i="2"/>
  <c r="R149" i="2"/>
  <c r="G149" i="2"/>
  <c r="H149" i="2"/>
  <c r="X149" i="2"/>
  <c r="I149" i="2"/>
  <c r="O149" i="2"/>
  <c r="V149" i="2"/>
  <c r="D149" i="2"/>
  <c r="AK142" i="2" l="1"/>
  <c r="AK147" i="2"/>
  <c r="AK145" i="2"/>
  <c r="AK141" i="2"/>
  <c r="AK139" i="2"/>
  <c r="AK140" i="2"/>
  <c r="AK144" i="2"/>
  <c r="AK138" i="2"/>
  <c r="AK148" i="2"/>
  <c r="AK146" i="2"/>
  <c r="AK143" i="2"/>
  <c r="B153" i="2" l="1"/>
  <c r="A153" i="2" s="1"/>
  <c r="B154" i="2" l="1"/>
  <c r="A154" i="2" s="1"/>
  <c r="B155" i="2" l="1"/>
  <c r="A155" i="2" s="1"/>
  <c r="B156" i="2" l="1"/>
  <c r="B157" i="2" s="1"/>
  <c r="A157" i="2" s="1"/>
  <c r="A156" i="2" l="1"/>
  <c r="B158" i="2"/>
  <c r="A158" i="2" s="1"/>
  <c r="B159" i="2" l="1"/>
  <c r="A159" i="2" s="1"/>
  <c r="B160" i="2" l="1"/>
  <c r="A160" i="2" s="1"/>
  <c r="B161" i="2" l="1"/>
  <c r="A161" i="2" s="1"/>
  <c r="B162" i="2" l="1"/>
  <c r="A162" i="2" s="1"/>
  <c r="B163" i="2" l="1"/>
  <c r="U155" i="2" s="1"/>
  <c r="Y160" i="2" l="1"/>
  <c r="G160" i="2"/>
  <c r="AB155" i="2"/>
  <c r="J161" i="2"/>
  <c r="N159" i="2"/>
  <c r="AA160" i="2"/>
  <c r="M156" i="2"/>
  <c r="AH154" i="2"/>
  <c r="S162" i="2"/>
  <c r="AE156" i="2"/>
  <c r="E160" i="2"/>
  <c r="AC163" i="2"/>
  <c r="M163" i="2"/>
  <c r="S163" i="2"/>
  <c r="R163" i="2"/>
  <c r="AF159" i="2"/>
  <c r="AJ157" i="2"/>
  <c r="Z154" i="2"/>
  <c r="J154" i="2"/>
  <c r="AB163" i="2"/>
  <c r="Q161" i="2"/>
  <c r="T158" i="2"/>
  <c r="W154" i="2"/>
  <c r="L162" i="2"/>
  <c r="T155" i="2"/>
  <c r="AC155" i="2"/>
  <c r="K155" i="2"/>
  <c r="AJ163" i="2"/>
  <c r="N160" i="2"/>
  <c r="AJ160" i="2"/>
  <c r="AI160" i="2"/>
  <c r="F162" i="2"/>
  <c r="AH160" i="2"/>
  <c r="X154" i="2"/>
  <c r="O159" i="2"/>
  <c r="T154" i="2"/>
  <c r="AE161" i="2"/>
  <c r="K154" i="2"/>
  <c r="AF153" i="2"/>
  <c r="AG155" i="2"/>
  <c r="D153" i="2"/>
  <c r="I163" i="2"/>
  <c r="R155" i="2"/>
  <c r="P157" i="2"/>
  <c r="AI157" i="2"/>
  <c r="Q155" i="2"/>
  <c r="K158" i="2"/>
  <c r="Q153" i="2"/>
  <c r="H155" i="2"/>
  <c r="U154" i="2"/>
  <c r="Z158" i="2"/>
  <c r="C157" i="2"/>
  <c r="S157" i="2"/>
  <c r="AI162" i="2"/>
  <c r="F153" i="2"/>
  <c r="AH156" i="2"/>
  <c r="T161" i="2"/>
  <c r="I160" i="2"/>
  <c r="J163" i="2"/>
  <c r="AG156" i="2"/>
  <c r="Y159" i="2"/>
  <c r="J157" i="2"/>
  <c r="R154" i="2"/>
  <c r="AE158" i="2"/>
  <c r="AJ162" i="2"/>
  <c r="C154" i="2"/>
  <c r="L160" i="2"/>
  <c r="C160" i="2"/>
  <c r="M159" i="2"/>
  <c r="X161" i="2"/>
  <c r="F160" i="2"/>
  <c r="R160" i="2"/>
  <c r="AH163" i="2"/>
  <c r="U156" i="2"/>
  <c r="M155" i="2"/>
  <c r="AA154" i="2"/>
  <c r="X156" i="2"/>
  <c r="U162" i="2"/>
  <c r="H158" i="2"/>
  <c r="F154" i="2"/>
  <c r="G156" i="2"/>
  <c r="S159" i="2"/>
  <c r="O160" i="2"/>
  <c r="R158" i="2"/>
  <c r="E153" i="2"/>
  <c r="V156" i="2"/>
  <c r="O158" i="2"/>
  <c r="O161" i="2"/>
  <c r="Q162" i="2"/>
  <c r="AC161" i="2"/>
  <c r="U158" i="2"/>
  <c r="AA157" i="2"/>
  <c r="AF162" i="2"/>
  <c r="AG157" i="2"/>
  <c r="H161" i="2"/>
  <c r="T153" i="2"/>
  <c r="G159" i="2"/>
  <c r="V159" i="2"/>
  <c r="Z162" i="2"/>
  <c r="AG162" i="2"/>
  <c r="W157" i="2"/>
  <c r="P159" i="2"/>
  <c r="AJ161" i="2"/>
  <c r="Y155" i="2"/>
  <c r="L153" i="2"/>
  <c r="Q160" i="2"/>
  <c r="L155" i="2"/>
  <c r="L157" i="2"/>
  <c r="X160" i="2"/>
  <c r="AB160" i="2"/>
  <c r="H156" i="2"/>
  <c r="W163" i="2"/>
  <c r="K163" i="2"/>
  <c r="C153" i="2"/>
  <c r="Q154" i="2"/>
  <c r="AH158" i="2"/>
  <c r="T159" i="2"/>
  <c r="AG154" i="2"/>
  <c r="N162" i="2"/>
  <c r="E159" i="2"/>
  <c r="E158" i="2"/>
  <c r="P161" i="2"/>
  <c r="V157" i="2"/>
  <c r="H162" i="2"/>
  <c r="I158" i="2"/>
  <c r="AB153" i="2"/>
  <c r="AG163" i="2"/>
  <c r="C161" i="2"/>
  <c r="AD161" i="2"/>
  <c r="N153" i="2"/>
  <c r="D158" i="2"/>
  <c r="W158" i="2"/>
  <c r="AF157" i="2"/>
  <c r="L154" i="2"/>
  <c r="Q159" i="2"/>
  <c r="P162" i="2"/>
  <c r="M162" i="2"/>
  <c r="V153" i="2"/>
  <c r="S153" i="2"/>
  <c r="Q156" i="2"/>
  <c r="K153" i="2"/>
  <c r="S161" i="2"/>
  <c r="M161" i="2"/>
  <c r="AG158" i="2"/>
  <c r="Y153" i="2"/>
  <c r="S154" i="2"/>
  <c r="V154" i="2"/>
  <c r="H163" i="2"/>
  <c r="AH155" i="2"/>
  <c r="AD163" i="2"/>
  <c r="X159" i="2"/>
  <c r="AC156" i="2"/>
  <c r="L158" i="2"/>
  <c r="V162" i="2"/>
  <c r="AI158" i="2"/>
  <c r="S160" i="2"/>
  <c r="AF155" i="2"/>
  <c r="W159" i="2"/>
  <c r="W160" i="2"/>
  <c r="Y161" i="2"/>
  <c r="D162" i="2"/>
  <c r="P155" i="2"/>
  <c r="P153" i="2"/>
  <c r="E163" i="2"/>
  <c r="C162" i="2"/>
  <c r="M157" i="2"/>
  <c r="AJ159" i="2"/>
  <c r="U157" i="2"/>
  <c r="AC154" i="2"/>
  <c r="I157" i="2"/>
  <c r="Z160" i="2"/>
  <c r="K159" i="2"/>
  <c r="AA156" i="2"/>
  <c r="K160" i="2"/>
  <c r="J160" i="2"/>
  <c r="N154" i="2"/>
  <c r="J156" i="2"/>
  <c r="N163" i="2"/>
  <c r="W162" i="2"/>
  <c r="V160" i="2"/>
  <c r="C156" i="2"/>
  <c r="U160" i="2"/>
  <c r="I162" i="2"/>
  <c r="U163" i="2"/>
  <c r="T162" i="2"/>
  <c r="V155" i="2"/>
  <c r="AH162" i="2"/>
  <c r="D154" i="2"/>
  <c r="I153" i="2"/>
  <c r="M153" i="2"/>
  <c r="K162" i="2"/>
  <c r="AE163" i="2"/>
  <c r="AJ155" i="2"/>
  <c r="C158" i="2"/>
  <c r="I161" i="2"/>
  <c r="AD162" i="2"/>
  <c r="AA155" i="2"/>
  <c r="O162" i="2"/>
  <c r="V163" i="2"/>
  <c r="P160" i="2"/>
  <c r="X162" i="2"/>
  <c r="U159" i="2"/>
  <c r="Q158" i="2"/>
  <c r="Q163" i="2"/>
  <c r="G161" i="2"/>
  <c r="A163" i="2"/>
  <c r="AD154" i="2"/>
  <c r="AC159" i="2"/>
  <c r="Y156" i="2"/>
  <c r="N156" i="2"/>
  <c r="O155" i="2"/>
  <c r="F161" i="2"/>
  <c r="AI159" i="2"/>
  <c r="J155" i="2"/>
  <c r="E156" i="2"/>
  <c r="AE160" i="2"/>
  <c r="G153" i="2"/>
  <c r="AE157" i="2"/>
  <c r="O153" i="2"/>
  <c r="F158" i="2"/>
  <c r="AB159" i="2"/>
  <c r="L159" i="2"/>
  <c r="D159" i="2"/>
  <c r="Q157" i="2"/>
  <c r="AH161" i="2"/>
  <c r="AF161" i="2"/>
  <c r="AB154" i="2"/>
  <c r="P154" i="2"/>
  <c r="AB162" i="2"/>
  <c r="W161" i="2"/>
  <c r="C163" i="2"/>
  <c r="AC153" i="2"/>
  <c r="N155" i="2"/>
  <c r="E157" i="2"/>
  <c r="F163" i="2"/>
  <c r="S158" i="2"/>
  <c r="AC158" i="2"/>
  <c r="O163" i="2"/>
  <c r="E155" i="2"/>
  <c r="X157" i="2"/>
  <c r="Z157" i="2"/>
  <c r="Y163" i="2"/>
  <c r="E162" i="2"/>
  <c r="F156" i="2"/>
  <c r="K156" i="2"/>
  <c r="Y154" i="2"/>
  <c r="R162" i="2"/>
  <c r="AE154" i="2"/>
  <c r="J159" i="2"/>
  <c r="G162" i="2"/>
  <c r="G163" i="2"/>
  <c r="AJ154" i="2"/>
  <c r="AI161" i="2"/>
  <c r="AH153" i="2"/>
  <c r="AF154" i="2"/>
  <c r="K157" i="2"/>
  <c r="F155" i="2"/>
  <c r="R153" i="2"/>
  <c r="AH159" i="2"/>
  <c r="H159" i="2"/>
  <c r="AA161" i="2"/>
  <c r="W156" i="2"/>
  <c r="G154" i="2"/>
  <c r="M158" i="2"/>
  <c r="P158" i="2"/>
  <c r="Y158" i="2"/>
  <c r="J162" i="2"/>
  <c r="D161" i="2"/>
  <c r="AA162" i="2"/>
  <c r="U153" i="2"/>
  <c r="I156" i="2"/>
  <c r="N157" i="2"/>
  <c r="X155" i="2"/>
  <c r="X153" i="2"/>
  <c r="I154" i="2"/>
  <c r="AB161" i="2"/>
  <c r="L163" i="2"/>
  <c r="R157" i="2"/>
  <c r="AA163" i="2"/>
  <c r="P163" i="2"/>
  <c r="Y157" i="2"/>
  <c r="I159" i="2"/>
  <c r="J158" i="2"/>
  <c r="V161" i="2"/>
  <c r="R156" i="2"/>
  <c r="AB158" i="2"/>
  <c r="G155" i="2"/>
  <c r="Z156" i="2"/>
  <c r="N158" i="2"/>
  <c r="AF156" i="2"/>
  <c r="Y162" i="2"/>
  <c r="J153" i="2"/>
  <c r="AE162" i="2"/>
  <c r="D160" i="2"/>
  <c r="R161" i="2"/>
  <c r="P156" i="2"/>
  <c r="AC162" i="2"/>
  <c r="AI156" i="2"/>
  <c r="AB157" i="2"/>
  <c r="O156" i="2"/>
  <c r="AD160" i="2"/>
  <c r="AJ153" i="2"/>
  <c r="T156" i="2"/>
  <c r="AD158" i="2"/>
  <c r="AE159" i="2"/>
  <c r="U161" i="2"/>
  <c r="D157" i="2"/>
  <c r="W153" i="2"/>
  <c r="N161" i="2"/>
  <c r="H153" i="2"/>
  <c r="R159" i="2"/>
  <c r="AF158" i="2"/>
  <c r="H157" i="2"/>
  <c r="AB156" i="2"/>
  <c r="AF163" i="2"/>
  <c r="L161" i="2"/>
  <c r="S155" i="2"/>
  <c r="L156" i="2"/>
  <c r="D155" i="2"/>
  <c r="H154" i="2"/>
  <c r="AD159" i="2"/>
  <c r="K161" i="2"/>
  <c r="S156" i="2"/>
  <c r="AC157" i="2"/>
  <c r="AC160" i="2"/>
  <c r="O154" i="2"/>
  <c r="C155" i="2"/>
  <c r="I155" i="2"/>
  <c r="AG160" i="2"/>
  <c r="AD157" i="2"/>
  <c r="Z155" i="2"/>
  <c r="F157" i="2"/>
  <c r="G157" i="2"/>
  <c r="W155" i="2"/>
  <c r="Z159" i="2"/>
  <c r="Z163" i="2"/>
  <c r="V158" i="2"/>
  <c r="AJ156" i="2"/>
  <c r="AI163" i="2"/>
  <c r="O157" i="2"/>
  <c r="AJ158" i="2"/>
  <c r="AD155" i="2"/>
  <c r="AG161" i="2"/>
  <c r="AE155" i="2"/>
  <c r="G158" i="2"/>
  <c r="AI154" i="2"/>
  <c r="F159" i="2"/>
  <c r="Z161" i="2"/>
  <c r="AE153" i="2"/>
  <c r="E161" i="2"/>
  <c r="AA158" i="2"/>
  <c r="Z153" i="2"/>
  <c r="AA153" i="2"/>
  <c r="D163" i="2"/>
  <c r="M160" i="2"/>
  <c r="H160" i="2"/>
  <c r="AA159" i="2"/>
  <c r="T157" i="2"/>
  <c r="T160" i="2"/>
  <c r="X163" i="2"/>
  <c r="AG153" i="2"/>
  <c r="T163" i="2"/>
  <c r="C159" i="2"/>
  <c r="X158" i="2"/>
  <c r="AI155" i="2"/>
  <c r="AG159" i="2"/>
  <c r="AH157" i="2"/>
  <c r="D156" i="2"/>
  <c r="M154" i="2"/>
  <c r="AD153" i="2"/>
  <c r="AF160" i="2"/>
  <c r="E154" i="2"/>
  <c r="AI153" i="2"/>
  <c r="AD156" i="2"/>
  <c r="U164" i="2" l="1"/>
  <c r="C164" i="2"/>
  <c r="F164" i="2"/>
  <c r="Q164" i="2"/>
  <c r="J164" i="2"/>
  <c r="W164" i="2"/>
  <c r="P164" i="2"/>
  <c r="L164" i="2"/>
  <c r="H164" i="2"/>
  <c r="E164" i="2"/>
  <c r="O164" i="2"/>
  <c r="I164" i="2"/>
  <c r="X164" i="2"/>
  <c r="V164" i="2"/>
  <c r="K164" i="2"/>
  <c r="M164" i="2"/>
  <c r="S164" i="2"/>
  <c r="N164" i="2"/>
  <c r="D164" i="2"/>
  <c r="AJ164" i="2"/>
  <c r="R164" i="2"/>
  <c r="G164" i="2"/>
  <c r="T164" i="2"/>
  <c r="AK154" i="2" l="1"/>
  <c r="AK159" i="2"/>
  <c r="AK158" i="2"/>
  <c r="AK163" i="2"/>
  <c r="AK161" i="2"/>
  <c r="AK155" i="2"/>
  <c r="AK160" i="2"/>
  <c r="AK162" i="2"/>
  <c r="AK156" i="2"/>
  <c r="AK153" i="2"/>
  <c r="AK157" i="2"/>
  <c r="B168" i="2" l="1"/>
  <c r="B169" i="2" s="1"/>
  <c r="A169" i="2" s="1"/>
  <c r="B170" i="2" l="1"/>
  <c r="A170" i="2" s="1"/>
  <c r="A168" i="2"/>
  <c r="B171" i="2" l="1"/>
  <c r="A171" i="2" s="1"/>
  <c r="B172" i="2" l="1"/>
  <c r="A172" i="2" s="1"/>
  <c r="B173" i="2" l="1"/>
  <c r="A173" i="2" s="1"/>
  <c r="B174" i="2" l="1"/>
  <c r="A174" i="2" s="1"/>
  <c r="B175" i="2" l="1"/>
  <c r="A175" i="2" s="1"/>
  <c r="B176" i="2" l="1"/>
  <c r="A176" i="2" s="1"/>
  <c r="B177" i="2" l="1"/>
  <c r="A177" i="2" s="1"/>
  <c r="B178" i="2" l="1"/>
  <c r="AH175" i="2" s="1"/>
  <c r="W170" i="2" l="1"/>
  <c r="H174" i="2"/>
  <c r="K176" i="2"/>
  <c r="I171" i="2"/>
  <c r="R172" i="2"/>
  <c r="J171" i="2"/>
  <c r="Z176" i="2"/>
  <c r="AC176" i="2"/>
  <c r="AC170" i="2"/>
  <c r="AC169" i="2"/>
  <c r="O177" i="2"/>
  <c r="R177" i="2"/>
  <c r="AB169" i="2"/>
  <c r="F168" i="2"/>
  <c r="AJ168" i="2"/>
  <c r="F171" i="2"/>
  <c r="L169" i="2"/>
  <c r="R169" i="2"/>
  <c r="V174" i="2"/>
  <c r="L171" i="2"/>
  <c r="W168" i="2"/>
  <c r="E177" i="2"/>
  <c r="W171" i="2"/>
  <c r="K169" i="2"/>
  <c r="T170" i="2"/>
  <c r="Q170" i="2"/>
  <c r="S173" i="2"/>
  <c r="AC173" i="2"/>
  <c r="G170" i="2"/>
  <c r="AI172" i="2"/>
  <c r="AH171" i="2"/>
  <c r="V176" i="2"/>
  <c r="AI176" i="2"/>
  <c r="M171" i="2"/>
  <c r="AD171" i="2"/>
  <c r="R178" i="2"/>
  <c r="O170" i="2"/>
  <c r="AD173" i="2"/>
  <c r="T178" i="2"/>
  <c r="H175" i="2"/>
  <c r="I173" i="2"/>
  <c r="Y176" i="2"/>
  <c r="AH174" i="2"/>
  <c r="AE171" i="2"/>
  <c r="G177" i="2"/>
  <c r="AB177" i="2"/>
  <c r="P169" i="2"/>
  <c r="O171" i="2"/>
  <c r="D172" i="2"/>
  <c r="T176" i="2"/>
  <c r="W175" i="2"/>
  <c r="M177" i="2"/>
  <c r="AI168" i="2"/>
  <c r="V173" i="2"/>
  <c r="F170" i="2"/>
  <c r="AF174" i="2"/>
  <c r="C178" i="2"/>
  <c r="O169" i="2"/>
  <c r="AG171" i="2"/>
  <c r="L173" i="2"/>
  <c r="P177" i="2"/>
  <c r="T172" i="2"/>
  <c r="W178" i="2"/>
  <c r="AF171" i="2"/>
  <c r="M174" i="2"/>
  <c r="D177" i="2"/>
  <c r="AF175" i="2"/>
  <c r="F178" i="2"/>
  <c r="AJ178" i="2"/>
  <c r="Z175" i="2"/>
  <c r="G175" i="2"/>
  <c r="U176" i="2"/>
  <c r="W176" i="2"/>
  <c r="K178" i="2"/>
  <c r="AB176" i="2"/>
  <c r="W169" i="2"/>
  <c r="X177" i="2"/>
  <c r="T173" i="2"/>
  <c r="AJ169" i="2"/>
  <c r="L176" i="2"/>
  <c r="D168" i="2"/>
  <c r="H177" i="2"/>
  <c r="O173" i="2"/>
  <c r="V170" i="2"/>
  <c r="J168" i="2"/>
  <c r="W177" i="2"/>
  <c r="S174" i="2"/>
  <c r="J177" i="2"/>
  <c r="X174" i="2"/>
  <c r="D171" i="2"/>
  <c r="P170" i="2"/>
  <c r="A178" i="2"/>
  <c r="AF177" i="2"/>
  <c r="Q169" i="2"/>
  <c r="AH178" i="2"/>
  <c r="H168" i="2"/>
  <c r="E171" i="2"/>
  <c r="P174" i="2"/>
  <c r="AA168" i="2"/>
  <c r="M175" i="2"/>
  <c r="AD178" i="2"/>
  <c r="C170" i="2"/>
  <c r="E174" i="2"/>
  <c r="S170" i="2"/>
  <c r="J178" i="2"/>
  <c r="E172" i="2"/>
  <c r="AA170" i="2"/>
  <c r="L168" i="2"/>
  <c r="M170" i="2"/>
  <c r="T169" i="2"/>
  <c r="AH170" i="2"/>
  <c r="M173" i="2"/>
  <c r="AD172" i="2"/>
  <c r="T175" i="2"/>
  <c r="N171" i="2"/>
  <c r="AA175" i="2"/>
  <c r="O176" i="2"/>
  <c r="Z172" i="2"/>
  <c r="Q171" i="2"/>
  <c r="AA173" i="2"/>
  <c r="AC171" i="2"/>
  <c r="K175" i="2"/>
  <c r="AG169" i="2"/>
  <c r="AD177" i="2"/>
  <c r="D176" i="2"/>
  <c r="Z171" i="2"/>
  <c r="F175" i="2"/>
  <c r="AF172" i="2"/>
  <c r="D174" i="2"/>
  <c r="W173" i="2"/>
  <c r="AF168" i="2"/>
  <c r="I169" i="2"/>
  <c r="AI177" i="2"/>
  <c r="N168" i="2"/>
  <c r="C168" i="2"/>
  <c r="F169" i="2"/>
  <c r="N173" i="2"/>
  <c r="C173" i="2"/>
  <c r="Y173" i="2"/>
  <c r="Y175" i="2"/>
  <c r="E175" i="2"/>
  <c r="G168" i="2"/>
  <c r="AI171" i="2"/>
  <c r="V177" i="2"/>
  <c r="K174" i="2"/>
  <c r="AC177" i="2"/>
  <c r="AB174" i="2"/>
  <c r="AE178" i="2"/>
  <c r="AE176" i="2"/>
  <c r="AF178" i="2"/>
  <c r="AD176" i="2"/>
  <c r="N174" i="2"/>
  <c r="X176" i="2"/>
  <c r="H171" i="2"/>
  <c r="R175" i="2"/>
  <c r="U178" i="2"/>
  <c r="R174" i="2"/>
  <c r="AF176" i="2"/>
  <c r="AA176" i="2"/>
  <c r="AD169" i="2"/>
  <c r="AB168" i="2"/>
  <c r="K170" i="2"/>
  <c r="D175" i="2"/>
  <c r="AI178" i="2"/>
  <c r="E168" i="2"/>
  <c r="AI175" i="2"/>
  <c r="AG172" i="2"/>
  <c r="W172" i="2"/>
  <c r="AE169" i="2"/>
  <c r="AD174" i="2"/>
  <c r="M172" i="2"/>
  <c r="E173" i="2"/>
  <c r="S169" i="2"/>
  <c r="O174" i="2"/>
  <c r="T168" i="2"/>
  <c r="N172" i="2"/>
  <c r="L172" i="2"/>
  <c r="AG175" i="2"/>
  <c r="G174" i="2"/>
  <c r="C177" i="2"/>
  <c r="Z169" i="2"/>
  <c r="AG168" i="2"/>
  <c r="Z168" i="2"/>
  <c r="AH169" i="2"/>
  <c r="Q174" i="2"/>
  <c r="P178" i="2"/>
  <c r="L174" i="2"/>
  <c r="U174" i="2"/>
  <c r="M178" i="2"/>
  <c r="AH168" i="2"/>
  <c r="F172" i="2"/>
  <c r="AD175" i="2"/>
  <c r="X175" i="2"/>
  <c r="Z178" i="2"/>
  <c r="X178" i="2"/>
  <c r="P176" i="2"/>
  <c r="F177" i="2"/>
  <c r="Q178" i="2"/>
  <c r="R173" i="2"/>
  <c r="V171" i="2"/>
  <c r="S171" i="2"/>
  <c r="L170" i="2"/>
  <c r="C171" i="2"/>
  <c r="V168" i="2"/>
  <c r="P171" i="2"/>
  <c r="W174" i="2"/>
  <c r="AE170" i="2"/>
  <c r="C174" i="2"/>
  <c r="AA177" i="2"/>
  <c r="E178" i="2"/>
  <c r="Z170" i="2"/>
  <c r="I177" i="2"/>
  <c r="R171" i="2"/>
  <c r="O172" i="2"/>
  <c r="H169" i="2"/>
  <c r="X169" i="2"/>
  <c r="J174" i="2"/>
  <c r="Y174" i="2"/>
  <c r="Q175" i="2"/>
  <c r="AI173" i="2"/>
  <c r="R170" i="2"/>
  <c r="AH177" i="2"/>
  <c r="I168" i="2"/>
  <c r="V178" i="2"/>
  <c r="I178" i="2"/>
  <c r="X168" i="2"/>
  <c r="C172" i="2"/>
  <c r="AG177" i="2"/>
  <c r="J176" i="2"/>
  <c r="P168" i="2"/>
  <c r="Q172" i="2"/>
  <c r="X170" i="2"/>
  <c r="AB171" i="2"/>
  <c r="Z174" i="2"/>
  <c r="AG173" i="2"/>
  <c r="G172" i="2"/>
  <c r="N176" i="2"/>
  <c r="K171" i="2"/>
  <c r="T177" i="2"/>
  <c r="I174" i="2"/>
  <c r="AA169" i="2"/>
  <c r="D170" i="2"/>
  <c r="T171" i="2"/>
  <c r="R176" i="2"/>
  <c r="H173" i="2"/>
  <c r="M168" i="2"/>
  <c r="O175" i="2"/>
  <c r="AC174" i="2"/>
  <c r="P175" i="2"/>
  <c r="E169" i="2"/>
  <c r="E176" i="2"/>
  <c r="U173" i="2"/>
  <c r="N177" i="2"/>
  <c r="V172" i="2"/>
  <c r="Q168" i="2"/>
  <c r="AG174" i="2"/>
  <c r="Q176" i="2"/>
  <c r="E170" i="2"/>
  <c r="I172" i="2"/>
  <c r="C176" i="2"/>
  <c r="P173" i="2"/>
  <c r="AE173" i="2"/>
  <c r="Z173" i="2"/>
  <c r="AH176" i="2"/>
  <c r="I176" i="2"/>
  <c r="AC178" i="2"/>
  <c r="P172" i="2"/>
  <c r="AG170" i="2"/>
  <c r="AJ173" i="2"/>
  <c r="AH173" i="2"/>
  <c r="Y172" i="2"/>
  <c r="S177" i="2"/>
  <c r="Y170" i="2"/>
  <c r="J170" i="2"/>
  <c r="O168" i="2"/>
  <c r="Q173" i="2"/>
  <c r="AJ176" i="2"/>
  <c r="G169" i="2"/>
  <c r="AA171" i="2"/>
  <c r="X172" i="2"/>
  <c r="L177" i="2"/>
  <c r="J173" i="2"/>
  <c r="H172" i="2"/>
  <c r="Y169" i="2"/>
  <c r="N175" i="2"/>
  <c r="S176" i="2"/>
  <c r="C175" i="2"/>
  <c r="Y178" i="2"/>
  <c r="H178" i="2"/>
  <c r="AI170" i="2"/>
  <c r="U170" i="2"/>
  <c r="Y168" i="2"/>
  <c r="U172" i="2"/>
  <c r="AJ175" i="2"/>
  <c r="S178" i="2"/>
  <c r="F176" i="2"/>
  <c r="G178" i="2"/>
  <c r="AG178" i="2"/>
  <c r="H176" i="2"/>
  <c r="Y177" i="2"/>
  <c r="S172" i="2"/>
  <c r="AA172" i="2"/>
  <c r="AC168" i="2"/>
  <c r="AD168" i="2"/>
  <c r="AG176" i="2"/>
  <c r="L175" i="2"/>
  <c r="X173" i="2"/>
  <c r="K177" i="2"/>
  <c r="AB173" i="2"/>
  <c r="AE177" i="2"/>
  <c r="L178" i="2"/>
  <c r="V169" i="2"/>
  <c r="G176" i="2"/>
  <c r="U175" i="2"/>
  <c r="AD170" i="2"/>
  <c r="AB175" i="2"/>
  <c r="K168" i="2"/>
  <c r="AF169" i="2"/>
  <c r="AJ171" i="2"/>
  <c r="AC175" i="2"/>
  <c r="AC172" i="2"/>
  <c r="U168" i="2"/>
  <c r="I170" i="2"/>
  <c r="K172" i="2"/>
  <c r="G173" i="2"/>
  <c r="AI169" i="2"/>
  <c r="AJ177" i="2"/>
  <c r="AJ174" i="2"/>
  <c r="V175" i="2"/>
  <c r="D169" i="2"/>
  <c r="AB172" i="2"/>
  <c r="N169" i="2"/>
  <c r="AI174" i="2"/>
  <c r="F174" i="2"/>
  <c r="AA174" i="2"/>
  <c r="AF173" i="2"/>
  <c r="Z177" i="2"/>
  <c r="H170" i="2"/>
  <c r="O178" i="2"/>
  <c r="AB178" i="2"/>
  <c r="R168" i="2"/>
  <c r="Q177" i="2"/>
  <c r="AJ170" i="2"/>
  <c r="G171" i="2"/>
  <c r="U169" i="2"/>
  <c r="N178" i="2"/>
  <c r="AH172" i="2"/>
  <c r="U171" i="2"/>
  <c r="Y171" i="2"/>
  <c r="F173" i="2"/>
  <c r="M169" i="2"/>
  <c r="D178" i="2"/>
  <c r="AA178" i="2"/>
  <c r="AE172" i="2"/>
  <c r="C169" i="2"/>
  <c r="AE175" i="2"/>
  <c r="K173" i="2"/>
  <c r="N170" i="2"/>
  <c r="T174" i="2"/>
  <c r="AB170" i="2"/>
  <c r="J169" i="2"/>
  <c r="D173" i="2"/>
  <c r="S168" i="2"/>
  <c r="M176" i="2"/>
  <c r="X171" i="2"/>
  <c r="AE168" i="2"/>
  <c r="I175" i="2"/>
  <c r="J175" i="2"/>
  <c r="S175" i="2"/>
  <c r="J172" i="2"/>
  <c r="AF170" i="2"/>
  <c r="U177" i="2"/>
  <c r="AE174" i="2"/>
  <c r="AJ172" i="2"/>
  <c r="W179" i="2" l="1"/>
  <c r="T179" i="2"/>
  <c r="I179" i="2"/>
  <c r="J179" i="2"/>
  <c r="D179" i="2"/>
  <c r="C179" i="2"/>
  <c r="R179" i="2"/>
  <c r="M179" i="2"/>
  <c r="K179" i="2"/>
  <c r="E179" i="2"/>
  <c r="S179" i="2"/>
  <c r="V179" i="2"/>
  <c r="L179" i="2"/>
  <c r="O179" i="2"/>
  <c r="P179" i="2"/>
  <c r="F179" i="2"/>
  <c r="Q179" i="2"/>
  <c r="X179" i="2"/>
  <c r="G179" i="2"/>
  <c r="N179" i="2"/>
  <c r="H179" i="2"/>
  <c r="U179" i="2"/>
  <c r="AJ179" i="2"/>
  <c r="AK178" i="2" l="1"/>
  <c r="AK171" i="2"/>
  <c r="AK176" i="2"/>
  <c r="AK170" i="2"/>
  <c r="AK177" i="2"/>
  <c r="AK172" i="2"/>
  <c r="AK175" i="2"/>
  <c r="AK173" i="2"/>
  <c r="AK174" i="2"/>
  <c r="AK168" i="2"/>
  <c r="AK169" i="2"/>
  <c r="B183" i="2" l="1"/>
  <c r="A183" i="2" s="1"/>
  <c r="B184" i="2" l="1"/>
  <c r="A184" i="2" s="1"/>
  <c r="B185" i="2" l="1"/>
  <c r="B186" i="2" s="1"/>
  <c r="A186" i="2" s="1"/>
  <c r="B187" i="2" l="1"/>
  <c r="A187" i="2" s="1"/>
  <c r="A185" i="2"/>
  <c r="B188" i="2" l="1"/>
  <c r="A188" i="2" s="1"/>
  <c r="B189" i="2" l="1"/>
  <c r="A189" i="2" s="1"/>
  <c r="B190" i="2" l="1"/>
  <c r="A190" i="2" s="1"/>
  <c r="B191" i="2" l="1"/>
  <c r="A191" i="2" s="1"/>
  <c r="B192" i="2" l="1"/>
  <c r="B193" i="2" s="1"/>
  <c r="V187" i="2" s="1"/>
  <c r="A192" i="2" l="1"/>
  <c r="M185" i="2"/>
  <c r="Q188" i="2"/>
  <c r="D189" i="2"/>
  <c r="X190" i="2"/>
  <c r="S189" i="2"/>
  <c r="M183" i="2"/>
  <c r="F187" i="2"/>
  <c r="Z186" i="2"/>
  <c r="T190" i="2"/>
  <c r="AA186" i="2"/>
  <c r="M190" i="2"/>
  <c r="C188" i="2"/>
  <c r="C190" i="2"/>
  <c r="Y185" i="2"/>
  <c r="L193" i="2"/>
  <c r="Q190" i="2"/>
  <c r="O193" i="2"/>
  <c r="R183" i="2"/>
  <c r="I190" i="2"/>
  <c r="K185" i="2"/>
  <c r="AG187" i="2"/>
  <c r="AA185" i="2"/>
  <c r="AG188" i="2"/>
  <c r="AI185" i="2"/>
  <c r="I192" i="2"/>
  <c r="I187" i="2"/>
  <c r="T189" i="2"/>
  <c r="AG189" i="2"/>
  <c r="AJ187" i="2"/>
  <c r="AA183" i="2"/>
  <c r="AG183" i="2"/>
  <c r="M188" i="2"/>
  <c r="O185" i="2"/>
  <c r="S186" i="2"/>
  <c r="J187" i="2"/>
  <c r="Y191" i="2"/>
  <c r="I189" i="2"/>
  <c r="P188" i="2"/>
  <c r="C193" i="2"/>
  <c r="D188" i="2"/>
  <c r="Q189" i="2"/>
  <c r="V192" i="2"/>
  <c r="AB193" i="2"/>
  <c r="L188" i="2"/>
  <c r="Z183" i="2"/>
  <c r="AC187" i="2"/>
  <c r="Q187" i="2"/>
  <c r="Z192" i="2"/>
  <c r="C192" i="2"/>
  <c r="E192" i="2"/>
  <c r="T187" i="2"/>
  <c r="AH189" i="2"/>
  <c r="AG184" i="2"/>
  <c r="AB190" i="2"/>
  <c r="E191" i="2"/>
  <c r="X193" i="2"/>
  <c r="AF186" i="2"/>
  <c r="AE187" i="2"/>
  <c r="AJ184" i="2"/>
  <c r="Z191" i="2"/>
  <c r="N185" i="2"/>
  <c r="J188" i="2"/>
  <c r="F184" i="2"/>
  <c r="AB187" i="2"/>
  <c r="I186" i="2"/>
  <c r="L183" i="2"/>
  <c r="U190" i="2"/>
  <c r="M186" i="2"/>
  <c r="AE190" i="2"/>
  <c r="U186" i="2"/>
  <c r="W193" i="2"/>
  <c r="AB184" i="2"/>
  <c r="Y184" i="2"/>
  <c r="S190" i="2"/>
  <c r="F190" i="2"/>
  <c r="AC185" i="2"/>
  <c r="G191" i="2"/>
  <c r="AD184" i="2"/>
  <c r="L190" i="2"/>
  <c r="X192" i="2"/>
  <c r="E188" i="2"/>
  <c r="F188" i="2"/>
  <c r="AF185" i="2"/>
  <c r="S191" i="2"/>
  <c r="Z189" i="2"/>
  <c r="V184" i="2"/>
  <c r="U189" i="2"/>
  <c r="AJ190" i="2"/>
  <c r="AI184" i="2"/>
  <c r="AI189" i="2"/>
  <c r="E183" i="2"/>
  <c r="AA192" i="2"/>
  <c r="V185" i="2"/>
  <c r="O188" i="2"/>
  <c r="W184" i="2"/>
  <c r="Y190" i="2"/>
  <c r="AA193" i="2"/>
  <c r="O190" i="2"/>
  <c r="W190" i="2"/>
  <c r="D191" i="2"/>
  <c r="O192" i="2"/>
  <c r="AH193" i="2"/>
  <c r="K190" i="2"/>
  <c r="Z187" i="2"/>
  <c r="F192" i="2"/>
  <c r="C183" i="2"/>
  <c r="Z185" i="2"/>
  <c r="J192" i="2"/>
  <c r="X191" i="2"/>
  <c r="C185" i="2"/>
  <c r="K192" i="2"/>
  <c r="D193" i="2"/>
  <c r="AC188" i="2"/>
  <c r="AA191" i="2"/>
  <c r="R189" i="2"/>
  <c r="P183" i="2"/>
  <c r="AC189" i="2"/>
  <c r="R184" i="2"/>
  <c r="AB183" i="2"/>
  <c r="E190" i="2"/>
  <c r="AA188" i="2"/>
  <c r="D184" i="2"/>
  <c r="AE184" i="2"/>
  <c r="S188" i="2"/>
  <c r="R191" i="2"/>
  <c r="AD188" i="2"/>
  <c r="S184" i="2"/>
  <c r="P186" i="2"/>
  <c r="AG190" i="2"/>
  <c r="E187" i="2"/>
  <c r="H185" i="2"/>
  <c r="O186" i="2"/>
  <c r="AG192" i="2"/>
  <c r="E189" i="2"/>
  <c r="S187" i="2"/>
  <c r="R185" i="2"/>
  <c r="U191" i="2"/>
  <c r="AG186" i="2"/>
  <c r="N183" i="2"/>
  <c r="K191" i="2"/>
  <c r="P185" i="2"/>
  <c r="AH188" i="2"/>
  <c r="I184" i="2"/>
  <c r="F189" i="2"/>
  <c r="Y186" i="2"/>
  <c r="F183" i="2"/>
  <c r="AF187" i="2"/>
  <c r="Y183" i="2"/>
  <c r="N184" i="2"/>
  <c r="U183" i="2"/>
  <c r="P187" i="2"/>
  <c r="T191" i="2"/>
  <c r="T192" i="2"/>
  <c r="K193" i="2"/>
  <c r="AC186" i="2"/>
  <c r="AB191" i="2"/>
  <c r="W192" i="2"/>
  <c r="Y192" i="2"/>
  <c r="H188" i="2"/>
  <c r="S193" i="2"/>
  <c r="AI186" i="2"/>
  <c r="AA190" i="2"/>
  <c r="N190" i="2"/>
  <c r="AE183" i="2"/>
  <c r="AD189" i="2"/>
  <c r="J190" i="2"/>
  <c r="AD185" i="2"/>
  <c r="H186" i="2"/>
  <c r="AH191" i="2"/>
  <c r="C186" i="2"/>
  <c r="H191" i="2"/>
  <c r="K187" i="2"/>
  <c r="W185" i="2"/>
  <c r="X189" i="2"/>
  <c r="D186" i="2"/>
  <c r="AC191" i="2"/>
  <c r="I191" i="2"/>
  <c r="AH190" i="2"/>
  <c r="AC183" i="2"/>
  <c r="AH183" i="2"/>
  <c r="C189" i="2"/>
  <c r="D187" i="2"/>
  <c r="AJ189" i="2"/>
  <c r="AH184" i="2"/>
  <c r="V183" i="2"/>
  <c r="N193" i="2"/>
  <c r="R187" i="2"/>
  <c r="Y193" i="2"/>
  <c r="AJ183" i="2"/>
  <c r="AB188" i="2"/>
  <c r="F191" i="2"/>
  <c r="V189" i="2"/>
  <c r="N188" i="2"/>
  <c r="Y187" i="2"/>
  <c r="AE193" i="2"/>
  <c r="H189" i="2"/>
  <c r="X188" i="2"/>
  <c r="Y188" i="2"/>
  <c r="U193" i="2"/>
  <c r="M189" i="2"/>
  <c r="L187" i="2"/>
  <c r="J183" i="2"/>
  <c r="AC192" i="2"/>
  <c r="Q192" i="2"/>
  <c r="AJ191" i="2"/>
  <c r="AI187" i="2"/>
  <c r="U192" i="2"/>
  <c r="AD183" i="2"/>
  <c r="P189" i="2"/>
  <c r="AJ186" i="2"/>
  <c r="J193" i="2"/>
  <c r="W186" i="2"/>
  <c r="AD190" i="2"/>
  <c r="AJ193" i="2"/>
  <c r="H192" i="2"/>
  <c r="W187" i="2"/>
  <c r="AG193" i="2"/>
  <c r="J186" i="2"/>
  <c r="K188" i="2"/>
  <c r="R193" i="2"/>
  <c r="AD186" i="2"/>
  <c r="L184" i="2"/>
  <c r="AI190" i="2"/>
  <c r="G192" i="2"/>
  <c r="J191" i="2"/>
  <c r="AF183" i="2"/>
  <c r="M193" i="2"/>
  <c r="V190" i="2"/>
  <c r="U184" i="2"/>
  <c r="AC193" i="2"/>
  <c r="AA187" i="2"/>
  <c r="AJ188" i="2"/>
  <c r="H184" i="2"/>
  <c r="R190" i="2"/>
  <c r="AI193" i="2"/>
  <c r="H187" i="2"/>
  <c r="AJ185" i="2"/>
  <c r="AD191" i="2"/>
  <c r="X184" i="2"/>
  <c r="AB185" i="2"/>
  <c r="L191" i="2"/>
  <c r="AH185" i="2"/>
  <c r="N189" i="2"/>
  <c r="K183" i="2"/>
  <c r="S183" i="2"/>
  <c r="O183" i="2"/>
  <c r="D183" i="2"/>
  <c r="AB189" i="2"/>
  <c r="G184" i="2"/>
  <c r="H193" i="2"/>
  <c r="AE192" i="2"/>
  <c r="AI188" i="2"/>
  <c r="O189" i="2"/>
  <c r="W188" i="2"/>
  <c r="AA184" i="2"/>
  <c r="T184" i="2"/>
  <c r="N191" i="2"/>
  <c r="E184" i="2"/>
  <c r="N187" i="2"/>
  <c r="U185" i="2"/>
  <c r="X183" i="2"/>
  <c r="P184" i="2"/>
  <c r="R192" i="2"/>
  <c r="I185" i="2"/>
  <c r="Z188" i="2"/>
  <c r="C184" i="2"/>
  <c r="J185" i="2"/>
  <c r="V191" i="2"/>
  <c r="Q183" i="2"/>
  <c r="E185" i="2"/>
  <c r="X186" i="2"/>
  <c r="L192" i="2"/>
  <c r="AF192" i="2"/>
  <c r="I193" i="2"/>
  <c r="AC184" i="2"/>
  <c r="T188" i="2"/>
  <c r="AI183" i="2"/>
  <c r="G186" i="2"/>
  <c r="L185" i="2"/>
  <c r="E193" i="2"/>
  <c r="AI191" i="2"/>
  <c r="K184" i="2"/>
  <c r="M191" i="2"/>
  <c r="AE186" i="2"/>
  <c r="Y189" i="2"/>
  <c r="F185" i="2"/>
  <c r="AF189" i="2"/>
  <c r="U187" i="2"/>
  <c r="AH187" i="2"/>
  <c r="J189" i="2"/>
  <c r="G185" i="2"/>
  <c r="Z184" i="2"/>
  <c r="AE185" i="2"/>
  <c r="T186" i="2"/>
  <c r="M187" i="2"/>
  <c r="X185" i="2"/>
  <c r="Q186" i="2"/>
  <c r="P193" i="2"/>
  <c r="P190" i="2"/>
  <c r="K189" i="2"/>
  <c r="Z190" i="2"/>
  <c r="G190" i="2"/>
  <c r="W189" i="2"/>
  <c r="G183" i="2"/>
  <c r="V188" i="2"/>
  <c r="AF188" i="2"/>
  <c r="AB192" i="2"/>
  <c r="P192" i="2"/>
  <c r="U188" i="2"/>
  <c r="D192" i="2"/>
  <c r="AG191" i="2"/>
  <c r="C191" i="2"/>
  <c r="AA189" i="2"/>
  <c r="AH186" i="2"/>
  <c r="V193" i="2"/>
  <c r="Q191" i="2"/>
  <c r="T185" i="2"/>
  <c r="AH192" i="2"/>
  <c r="Q193" i="2"/>
  <c r="AF190" i="2"/>
  <c r="O191" i="2"/>
  <c r="AD187" i="2"/>
  <c r="V186" i="2"/>
  <c r="N186" i="2"/>
  <c r="H183" i="2"/>
  <c r="AB186" i="2"/>
  <c r="O184" i="2"/>
  <c r="E186" i="2"/>
  <c r="AF184" i="2"/>
  <c r="Q185" i="2"/>
  <c r="R188" i="2"/>
  <c r="W191" i="2"/>
  <c r="Q184" i="2"/>
  <c r="O187" i="2"/>
  <c r="W183" i="2"/>
  <c r="F193" i="2"/>
  <c r="T183" i="2"/>
  <c r="G189" i="2"/>
  <c r="AG185" i="2"/>
  <c r="G193" i="2"/>
  <c r="AF193" i="2"/>
  <c r="AE189" i="2"/>
  <c r="AC190" i="2"/>
  <c r="N192" i="2"/>
  <c r="M184" i="2"/>
  <c r="G187" i="2"/>
  <c r="H190" i="2"/>
  <c r="J184" i="2"/>
  <c r="AD192" i="2"/>
  <c r="X187" i="2"/>
  <c r="G188" i="2"/>
  <c r="AE188" i="2"/>
  <c r="S185" i="2"/>
  <c r="AJ192" i="2"/>
  <c r="C187" i="2"/>
  <c r="M192" i="2"/>
  <c r="A193" i="2"/>
  <c r="R186" i="2"/>
  <c r="T193" i="2"/>
  <c r="F186" i="2"/>
  <c r="AD193" i="2"/>
  <c r="S192" i="2"/>
  <c r="AE191" i="2"/>
  <c r="Z193" i="2"/>
  <c r="AI192" i="2"/>
  <c r="L186" i="2"/>
  <c r="D190" i="2"/>
  <c r="I183" i="2"/>
  <c r="L189" i="2"/>
  <c r="D185" i="2"/>
  <c r="AF191" i="2"/>
  <c r="P191" i="2"/>
  <c r="K186" i="2"/>
  <c r="I188" i="2"/>
  <c r="J194" i="2" l="1"/>
  <c r="M194" i="2"/>
  <c r="U194" i="2"/>
  <c r="H194" i="2"/>
  <c r="I194" i="2"/>
  <c r="F194" i="2"/>
  <c r="E194" i="2"/>
  <c r="W194" i="2"/>
  <c r="AJ194" i="2"/>
  <c r="N194" i="2"/>
  <c r="Q194" i="2"/>
  <c r="C194" i="2"/>
  <c r="X194" i="2"/>
  <c r="L194" i="2"/>
  <c r="V194" i="2"/>
  <c r="G194" i="2"/>
  <c r="T194" i="2"/>
  <c r="K194" i="2"/>
  <c r="P194" i="2"/>
  <c r="R194" i="2"/>
  <c r="O194" i="2"/>
  <c r="S194" i="2"/>
  <c r="D194" i="2"/>
  <c r="AK190" i="2" l="1"/>
  <c r="AK185" i="2"/>
  <c r="AK187" i="2"/>
  <c r="AK193" i="2"/>
  <c r="AK188" i="2"/>
  <c r="AK192" i="2"/>
  <c r="AK186" i="2"/>
  <c r="AK184" i="2"/>
  <c r="AK183" i="2"/>
  <c r="AK189" i="2"/>
  <c r="AK191" i="2"/>
  <c r="B198" i="2" l="1"/>
  <c r="A198" i="2" s="1"/>
  <c r="B199" i="2" l="1"/>
  <c r="A199" i="2" s="1"/>
  <c r="B200" i="2" l="1"/>
  <c r="A200" i="2" s="1"/>
  <c r="B201" i="2" l="1"/>
  <c r="A201" i="2" s="1"/>
  <c r="B202" i="2" l="1"/>
  <c r="A202" i="2" s="1"/>
  <c r="B203" i="2" l="1"/>
  <c r="A203" i="2" s="1"/>
  <c r="B204" i="2" l="1"/>
  <c r="A204" i="2" s="1"/>
  <c r="B205" i="2" l="1"/>
  <c r="A205" i="2" s="1"/>
  <c r="B206" i="2" l="1"/>
  <c r="A206" i="2" s="1"/>
  <c r="B207" i="2" l="1"/>
  <c r="A207" i="2" s="1"/>
  <c r="B208" i="2" l="1"/>
  <c r="AI204" i="2" s="1"/>
  <c r="T207" i="2" l="1"/>
  <c r="U206" i="2"/>
  <c r="AD200" i="2"/>
  <c r="L207" i="2"/>
  <c r="H207" i="2"/>
  <c r="I205" i="2"/>
  <c r="H204" i="2"/>
  <c r="AG206" i="2"/>
  <c r="T204" i="2"/>
  <c r="AA203" i="2"/>
  <c r="N202" i="2"/>
  <c r="L199" i="2"/>
  <c r="K198" i="2"/>
  <c r="Z201" i="2"/>
  <c r="AH203" i="2"/>
  <c r="M204" i="2"/>
  <c r="AC206" i="2"/>
  <c r="AD199" i="2"/>
  <c r="J198" i="2"/>
  <c r="N200" i="2"/>
  <c r="AG198" i="2"/>
  <c r="AA198" i="2"/>
  <c r="AI201" i="2"/>
  <c r="AF202" i="2"/>
  <c r="Q206" i="2"/>
  <c r="AD202" i="2"/>
  <c r="D208" i="2"/>
  <c r="AH199" i="2"/>
  <c r="C199" i="2"/>
  <c r="P199" i="2"/>
  <c r="AF208" i="2"/>
  <c r="M205" i="2"/>
  <c r="J199" i="2"/>
  <c r="F207" i="2"/>
  <c r="K205" i="2"/>
  <c r="P202" i="2"/>
  <c r="N204" i="2"/>
  <c r="Y204" i="2"/>
  <c r="AG204" i="2"/>
  <c r="Z200" i="2"/>
  <c r="AG202" i="2"/>
  <c r="AG199" i="2"/>
  <c r="AD204" i="2"/>
  <c r="F199" i="2"/>
  <c r="AB203" i="2"/>
  <c r="AH201" i="2"/>
  <c r="Z202" i="2"/>
  <c r="J205" i="2"/>
  <c r="N201" i="2"/>
  <c r="T201" i="2"/>
  <c r="D201" i="2"/>
  <c r="G207" i="2"/>
  <c r="AJ198" i="2"/>
  <c r="E208" i="2"/>
  <c r="AJ206" i="2"/>
  <c r="D204" i="2"/>
  <c r="AE205" i="2"/>
  <c r="U208" i="2"/>
  <c r="AF198" i="2"/>
  <c r="D200" i="2"/>
  <c r="AI205" i="2"/>
  <c r="C200" i="2"/>
  <c r="AE198" i="2"/>
  <c r="R208" i="2"/>
  <c r="E204" i="2"/>
  <c r="AJ201" i="2"/>
  <c r="AH206" i="2"/>
  <c r="M207" i="2"/>
  <c r="AE204" i="2"/>
  <c r="AA207" i="2"/>
  <c r="U207" i="2"/>
  <c r="C205" i="2"/>
  <c r="I204" i="2"/>
  <c r="M201" i="2"/>
  <c r="AA199" i="2"/>
  <c r="Y198" i="2"/>
  <c r="V205" i="2"/>
  <c r="M206" i="2"/>
  <c r="U202" i="2"/>
  <c r="AI200" i="2"/>
  <c r="S205" i="2"/>
  <c r="X203" i="2"/>
  <c r="E200" i="2"/>
  <c r="M199" i="2"/>
  <c r="G206" i="2"/>
  <c r="T203" i="2"/>
  <c r="R200" i="2"/>
  <c r="H205" i="2"/>
  <c r="U200" i="2"/>
  <c r="S203" i="2"/>
  <c r="X204" i="2"/>
  <c r="D205" i="2"/>
  <c r="AD205" i="2"/>
  <c r="V200" i="2"/>
  <c r="C204" i="2"/>
  <c r="AH200" i="2"/>
  <c r="T208" i="2"/>
  <c r="I206" i="2"/>
  <c r="S199" i="2"/>
  <c r="O206" i="2"/>
  <c r="U198" i="2"/>
  <c r="J206" i="2"/>
  <c r="J207" i="2"/>
  <c r="P200" i="2"/>
  <c r="S206" i="2"/>
  <c r="G205" i="2"/>
  <c r="AD203" i="2"/>
  <c r="X208" i="2"/>
  <c r="H198" i="2"/>
  <c r="O201" i="2"/>
  <c r="AG207" i="2"/>
  <c r="X206" i="2"/>
  <c r="L205" i="2"/>
  <c r="AF199" i="2"/>
  <c r="S201" i="2"/>
  <c r="AC208" i="2"/>
  <c r="I208" i="2"/>
  <c r="AC203" i="2"/>
  <c r="AA205" i="2"/>
  <c r="C208" i="2"/>
  <c r="S200" i="2"/>
  <c r="Y203" i="2"/>
  <c r="R199" i="2"/>
  <c r="K207" i="2"/>
  <c r="X200" i="2"/>
  <c r="W201" i="2"/>
  <c r="G201" i="2"/>
  <c r="AC201" i="2"/>
  <c r="Z206" i="2"/>
  <c r="AH198" i="2"/>
  <c r="S208" i="2"/>
  <c r="U205" i="2"/>
  <c r="Z204" i="2"/>
  <c r="Y206" i="2"/>
  <c r="R205" i="2"/>
  <c r="AI206" i="2"/>
  <c r="AF206" i="2"/>
  <c r="AI198" i="2"/>
  <c r="M202" i="2"/>
  <c r="AH202" i="2"/>
  <c r="T205" i="2"/>
  <c r="C207" i="2"/>
  <c r="AG205" i="2"/>
  <c r="AI199" i="2"/>
  <c r="AE200" i="2"/>
  <c r="E207" i="2"/>
  <c r="AH207" i="2"/>
  <c r="W200" i="2"/>
  <c r="AI208" i="2"/>
  <c r="E201" i="2"/>
  <c r="AC198" i="2"/>
  <c r="AG200" i="2"/>
  <c r="J208" i="2"/>
  <c r="X202" i="2"/>
  <c r="Q200" i="2"/>
  <c r="K200" i="2"/>
  <c r="AC205" i="2"/>
  <c r="I199" i="2"/>
  <c r="AF205" i="2"/>
  <c r="H199" i="2"/>
  <c r="AD208" i="2"/>
  <c r="Q203" i="2"/>
  <c r="AI207" i="2"/>
  <c r="M200" i="2"/>
  <c r="R206" i="2"/>
  <c r="O199" i="2"/>
  <c r="AJ205" i="2"/>
  <c r="E202" i="2"/>
  <c r="T206" i="2"/>
  <c r="H203" i="2"/>
  <c r="U203" i="2"/>
  <c r="AE203" i="2"/>
  <c r="Q199" i="2"/>
  <c r="S204" i="2"/>
  <c r="AD198" i="2"/>
  <c r="Q201" i="2"/>
  <c r="AJ202" i="2"/>
  <c r="R198" i="2"/>
  <c r="I207" i="2"/>
  <c r="AA200" i="2"/>
  <c r="AF204" i="2"/>
  <c r="W208" i="2"/>
  <c r="Y200" i="2"/>
  <c r="W204" i="2"/>
  <c r="Z198" i="2"/>
  <c r="K201" i="2"/>
  <c r="J201" i="2"/>
  <c r="H201" i="2"/>
  <c r="AC202" i="2"/>
  <c r="R204" i="2"/>
  <c r="AJ208" i="2"/>
  <c r="AJ204" i="2"/>
  <c r="Q204" i="2"/>
  <c r="K206" i="2"/>
  <c r="S198" i="2"/>
  <c r="D198" i="2"/>
  <c r="W203" i="2"/>
  <c r="Y205" i="2"/>
  <c r="O205" i="2"/>
  <c r="U204" i="2"/>
  <c r="C202" i="2"/>
  <c r="G199" i="2"/>
  <c r="I203" i="2"/>
  <c r="T200" i="2"/>
  <c r="X199" i="2"/>
  <c r="P203" i="2"/>
  <c r="J203" i="2"/>
  <c r="V202" i="2"/>
  <c r="Z205" i="2"/>
  <c r="AB198" i="2"/>
  <c r="T202" i="2"/>
  <c r="AA204" i="2"/>
  <c r="AJ203" i="2"/>
  <c r="AG208" i="2"/>
  <c r="AG201" i="2"/>
  <c r="F205" i="2"/>
  <c r="F206" i="2"/>
  <c r="W202" i="2"/>
  <c r="AI203" i="2"/>
  <c r="Y202" i="2"/>
  <c r="G198" i="2"/>
  <c r="V201" i="2"/>
  <c r="I200" i="2"/>
  <c r="O203" i="2"/>
  <c r="E205" i="2"/>
  <c r="AE202" i="2"/>
  <c r="N205" i="2"/>
  <c r="H202" i="2"/>
  <c r="N207" i="2"/>
  <c r="F200" i="2"/>
  <c r="AC204" i="2"/>
  <c r="AH204" i="2"/>
  <c r="P205" i="2"/>
  <c r="AB206" i="2"/>
  <c r="AA206" i="2"/>
  <c r="Q208" i="2"/>
  <c r="AA201" i="2"/>
  <c r="AE206" i="2"/>
  <c r="D203" i="2"/>
  <c r="G202" i="2"/>
  <c r="AF201" i="2"/>
  <c r="AC199" i="2"/>
  <c r="W206" i="2"/>
  <c r="AH208" i="2"/>
  <c r="X201" i="2"/>
  <c r="AE208" i="2"/>
  <c r="X198" i="2"/>
  <c r="U201" i="2"/>
  <c r="T199" i="2"/>
  <c r="Y201" i="2"/>
  <c r="C201" i="2"/>
  <c r="AF203" i="2"/>
  <c r="AB200" i="2"/>
  <c r="L202" i="2"/>
  <c r="Q207" i="2"/>
  <c r="C198" i="2"/>
  <c r="AJ207" i="2"/>
  <c r="V199" i="2"/>
  <c r="C206" i="2"/>
  <c r="X207" i="2"/>
  <c r="AG203" i="2"/>
  <c r="O200" i="2"/>
  <c r="AF200" i="2"/>
  <c r="Q202" i="2"/>
  <c r="Z203" i="2"/>
  <c r="E206" i="2"/>
  <c r="G208" i="2"/>
  <c r="AF207" i="2"/>
  <c r="AE207" i="2"/>
  <c r="AD207" i="2"/>
  <c r="J204" i="2"/>
  <c r="F202" i="2"/>
  <c r="F204" i="2"/>
  <c r="V207" i="2"/>
  <c r="H208" i="2"/>
  <c r="L204" i="2"/>
  <c r="L198" i="2"/>
  <c r="F203" i="2"/>
  <c r="V204" i="2"/>
  <c r="W205" i="2"/>
  <c r="P204" i="2"/>
  <c r="AJ200" i="2"/>
  <c r="J202" i="2"/>
  <c r="AE199" i="2"/>
  <c r="R207" i="2"/>
  <c r="F198" i="2"/>
  <c r="Y208" i="2"/>
  <c r="C203" i="2"/>
  <c r="E198" i="2"/>
  <c r="K204" i="2"/>
  <c r="D206" i="2"/>
  <c r="K203" i="2"/>
  <c r="E203" i="2"/>
  <c r="R201" i="2"/>
  <c r="N199" i="2"/>
  <c r="O207" i="2"/>
  <c r="O202" i="2"/>
  <c r="H206" i="2"/>
  <c r="I202" i="2"/>
  <c r="P207" i="2"/>
  <c r="D207" i="2"/>
  <c r="AB199" i="2"/>
  <c r="E199" i="2"/>
  <c r="D199" i="2"/>
  <c r="N208" i="2"/>
  <c r="AB201" i="2"/>
  <c r="P201" i="2"/>
  <c r="P206" i="2"/>
  <c r="I198" i="2"/>
  <c r="F201" i="2"/>
  <c r="L201" i="2"/>
  <c r="V208" i="2"/>
  <c r="Q198" i="2"/>
  <c r="L206" i="2"/>
  <c r="AD206" i="2"/>
  <c r="O198" i="2"/>
  <c r="P208" i="2"/>
  <c r="AE201" i="2"/>
  <c r="L200" i="2"/>
  <c r="AH205" i="2"/>
  <c r="D202" i="2"/>
  <c r="N206" i="2"/>
  <c r="K199" i="2"/>
  <c r="Z207" i="2"/>
  <c r="R202" i="2"/>
  <c r="K208" i="2"/>
  <c r="AB204" i="2"/>
  <c r="W199" i="2"/>
  <c r="V203" i="2"/>
  <c r="AB208" i="2"/>
  <c r="S202" i="2"/>
  <c r="V206" i="2"/>
  <c r="W207" i="2"/>
  <c r="P198" i="2"/>
  <c r="Q205" i="2"/>
  <c r="T198" i="2"/>
  <c r="M198" i="2"/>
  <c r="AI202" i="2"/>
  <c r="AB202" i="2"/>
  <c r="O204" i="2"/>
  <c r="M208" i="2"/>
  <c r="W198" i="2"/>
  <c r="V198" i="2"/>
  <c r="AA208" i="2"/>
  <c r="AJ199" i="2"/>
  <c r="I201" i="2"/>
  <c r="AD201" i="2"/>
  <c r="AC207" i="2"/>
  <c r="G203" i="2"/>
  <c r="Z199" i="2"/>
  <c r="G200" i="2"/>
  <c r="N203" i="2"/>
  <c r="Z208" i="2"/>
  <c r="L208" i="2"/>
  <c r="H200" i="2"/>
  <c r="F208" i="2"/>
  <c r="Y207" i="2"/>
  <c r="AA202" i="2"/>
  <c r="J200" i="2"/>
  <c r="L203" i="2"/>
  <c r="S207" i="2"/>
  <c r="X205" i="2"/>
  <c r="AB205" i="2"/>
  <c r="M203" i="2"/>
  <c r="O208" i="2"/>
  <c r="K202" i="2"/>
  <c r="Y199" i="2"/>
  <c r="N198" i="2"/>
  <c r="AC200" i="2"/>
  <c r="G204" i="2"/>
  <c r="U199" i="2"/>
  <c r="A208" i="2"/>
  <c r="R203" i="2"/>
  <c r="AB207" i="2"/>
  <c r="F209" i="2" l="1"/>
  <c r="G209" i="2"/>
  <c r="S209" i="2"/>
  <c r="C209" i="2"/>
  <c r="U209" i="2"/>
  <c r="T209" i="2"/>
  <c r="K209" i="2"/>
  <c r="I209" i="2"/>
  <c r="W209" i="2"/>
  <c r="J209" i="2"/>
  <c r="P209" i="2"/>
  <c r="X209" i="2"/>
  <c r="N209" i="2"/>
  <c r="E209" i="2"/>
  <c r="O209" i="2"/>
  <c r="V209" i="2"/>
  <c r="L209" i="2"/>
  <c r="H209" i="2"/>
  <c r="R209" i="2"/>
  <c r="AJ209" i="2"/>
  <c r="M209" i="2"/>
  <c r="Q209" i="2"/>
  <c r="D209" i="2"/>
  <c r="AK207" i="2" l="1"/>
  <c r="AK200" i="2"/>
  <c r="AK198" i="2"/>
  <c r="AK201" i="2"/>
  <c r="AK206" i="2"/>
  <c r="AK204" i="2"/>
  <c r="AK203" i="2"/>
  <c r="AK199" i="2"/>
  <c r="AK205" i="2"/>
  <c r="AK208" i="2"/>
  <c r="AK202" i="2"/>
  <c r="B213" i="2" l="1"/>
  <c r="A213" i="2" s="1"/>
  <c r="B214" i="2" l="1"/>
  <c r="A214" i="2" s="1"/>
  <c r="B215" i="2" l="1"/>
  <c r="A215" i="2" s="1"/>
  <c r="B216" i="2" l="1"/>
  <c r="A216" i="2" s="1"/>
  <c r="B217" i="2" l="1"/>
  <c r="A217" i="2" s="1"/>
  <c r="B218" i="2" l="1"/>
  <c r="A218" i="2" s="1"/>
  <c r="B219" i="2" l="1"/>
  <c r="A219" i="2" s="1"/>
  <c r="B220" i="2" l="1"/>
  <c r="A220" i="2" s="1"/>
  <c r="B221" i="2" l="1"/>
  <c r="A221" i="2" s="1"/>
  <c r="B222" i="2" l="1"/>
  <c r="A222" i="2" s="1"/>
  <c r="B223" i="2" l="1"/>
  <c r="G214" i="2" s="1"/>
  <c r="Q220" i="2" l="1"/>
  <c r="Q218" i="2"/>
  <c r="F223" i="2"/>
  <c r="T213" i="2"/>
  <c r="T214" i="2"/>
  <c r="AJ214" i="2"/>
  <c r="L221" i="2"/>
  <c r="Z220" i="2"/>
  <c r="R220" i="2"/>
  <c r="AF218" i="2"/>
  <c r="AG220" i="2"/>
  <c r="K222" i="2"/>
  <c r="V218" i="2"/>
  <c r="AI215" i="2"/>
  <c r="AE220" i="2"/>
  <c r="K218" i="2"/>
  <c r="S213" i="2"/>
  <c r="AC216" i="2"/>
  <c r="S219" i="2"/>
  <c r="AC217" i="2"/>
  <c r="AD214" i="2"/>
  <c r="J221" i="2"/>
  <c r="AB222" i="2"/>
  <c r="I220" i="2"/>
  <c r="AE219" i="2"/>
  <c r="M219" i="2"/>
  <c r="D220" i="2"/>
  <c r="AE213" i="2"/>
  <c r="D214" i="2"/>
  <c r="AC221" i="2"/>
  <c r="Z214" i="2"/>
  <c r="F221" i="2"/>
  <c r="AI222" i="2"/>
  <c r="C213" i="2"/>
  <c r="AG218" i="2"/>
  <c r="AJ220" i="2"/>
  <c r="AE215" i="2"/>
  <c r="A223" i="2"/>
  <c r="G223" i="2"/>
  <c r="Y222" i="2"/>
  <c r="X216" i="2"/>
  <c r="H222" i="2"/>
  <c r="U219" i="2"/>
  <c r="AJ223" i="2"/>
  <c r="Y219" i="2"/>
  <c r="F215" i="2"/>
  <c r="AI214" i="2"/>
  <c r="W223" i="2"/>
  <c r="M220" i="2"/>
  <c r="W215" i="2"/>
  <c r="AD218" i="2"/>
  <c r="W213" i="2"/>
  <c r="AJ216" i="2"/>
  <c r="H218" i="2"/>
  <c r="U213" i="2"/>
  <c r="T215" i="2"/>
  <c r="N215" i="2"/>
  <c r="C214" i="2"/>
  <c r="AH214" i="2"/>
  <c r="Z216" i="2"/>
  <c r="AH221" i="2"/>
  <c r="AD216" i="2"/>
  <c r="AB223" i="2"/>
  <c r="S222" i="2"/>
  <c r="F220" i="2"/>
  <c r="G215" i="2"/>
  <c r="Y220" i="2"/>
  <c r="L215" i="2"/>
  <c r="Y218" i="2"/>
  <c r="G222" i="2"/>
  <c r="E219" i="2"/>
  <c r="Z217" i="2"/>
  <c r="V223" i="2"/>
  <c r="D219" i="2"/>
  <c r="F216" i="2"/>
  <c r="H223" i="2"/>
  <c r="R223" i="2"/>
  <c r="T223" i="2"/>
  <c r="U221" i="2"/>
  <c r="H213" i="2"/>
  <c r="J222" i="2"/>
  <c r="V215" i="2"/>
  <c r="Q216" i="2"/>
  <c r="I215" i="2"/>
  <c r="G219" i="2"/>
  <c r="E222" i="2"/>
  <c r="H221" i="2"/>
  <c r="AC220" i="2"/>
  <c r="O214" i="2"/>
  <c r="C220" i="2"/>
  <c r="AE223" i="2"/>
  <c r="F219" i="2"/>
  <c r="AG219" i="2"/>
  <c r="I223" i="2"/>
  <c r="O217" i="2"/>
  <c r="V221" i="2"/>
  <c r="N216" i="2"/>
  <c r="T220" i="2"/>
  <c r="AA219" i="2"/>
  <c r="X217" i="2"/>
  <c r="Z213" i="2"/>
  <c r="AH217" i="2"/>
  <c r="Z223" i="2"/>
  <c r="C215" i="2"/>
  <c r="O216" i="2"/>
  <c r="X219" i="2"/>
  <c r="AD223" i="2"/>
  <c r="R217" i="2"/>
  <c r="D222" i="2"/>
  <c r="E215" i="2"/>
  <c r="J216" i="2"/>
  <c r="P215" i="2"/>
  <c r="S216" i="2"/>
  <c r="Y215" i="2"/>
  <c r="D221" i="2"/>
  <c r="J213" i="2"/>
  <c r="P219" i="2"/>
  <c r="AJ213" i="2"/>
  <c r="X213" i="2"/>
  <c r="H217" i="2"/>
  <c r="O223" i="2"/>
  <c r="Z218" i="2"/>
  <c r="AF219" i="2"/>
  <c r="U215" i="2"/>
  <c r="N222" i="2"/>
  <c r="E214" i="2"/>
  <c r="Q223" i="2"/>
  <c r="AA220" i="2"/>
  <c r="E220" i="2"/>
  <c r="AE221" i="2"/>
  <c r="P218" i="2"/>
  <c r="AD221" i="2"/>
  <c r="I218" i="2"/>
  <c r="R213" i="2"/>
  <c r="O219" i="2"/>
  <c r="W216" i="2"/>
  <c r="E218" i="2"/>
  <c r="AC214" i="2"/>
  <c r="Q222" i="2"/>
  <c r="U218" i="2"/>
  <c r="E213" i="2"/>
  <c r="AA214" i="2"/>
  <c r="AH216" i="2"/>
  <c r="T222" i="2"/>
  <c r="AI221" i="2"/>
  <c r="V220" i="2"/>
  <c r="AA215" i="2"/>
  <c r="AJ221" i="2"/>
  <c r="L213" i="2"/>
  <c r="AH222" i="2"/>
  <c r="R218" i="2"/>
  <c r="AB220" i="2"/>
  <c r="L217" i="2"/>
  <c r="I213" i="2"/>
  <c r="L223" i="2"/>
  <c r="AH220" i="2"/>
  <c r="E217" i="2"/>
  <c r="G218" i="2"/>
  <c r="P221" i="2"/>
  <c r="AG216" i="2"/>
  <c r="C221" i="2"/>
  <c r="M215" i="2"/>
  <c r="V217" i="2"/>
  <c r="AD217" i="2"/>
  <c r="Q221" i="2"/>
  <c r="AF222" i="2"/>
  <c r="S215" i="2"/>
  <c r="E216" i="2"/>
  <c r="AF221" i="2"/>
  <c r="O222" i="2"/>
  <c r="J215" i="2"/>
  <c r="G216" i="2"/>
  <c r="W217" i="2"/>
  <c r="H219" i="2"/>
  <c r="R219" i="2"/>
  <c r="V222" i="2"/>
  <c r="M214" i="2"/>
  <c r="C216" i="2"/>
  <c r="Z215" i="2"/>
  <c r="H220" i="2"/>
  <c r="Y216" i="2"/>
  <c r="U216" i="2"/>
  <c r="I216" i="2"/>
  <c r="AG213" i="2"/>
  <c r="AJ217" i="2"/>
  <c r="F222" i="2"/>
  <c r="V216" i="2"/>
  <c r="AC222" i="2"/>
  <c r="V214" i="2"/>
  <c r="AG221" i="2"/>
  <c r="J217" i="2"/>
  <c r="K213" i="2"/>
  <c r="AI219" i="2"/>
  <c r="U217" i="2"/>
  <c r="AA217" i="2"/>
  <c r="AI217" i="2"/>
  <c r="O215" i="2"/>
  <c r="T221" i="2"/>
  <c r="M222" i="2"/>
  <c r="U223" i="2"/>
  <c r="AF220" i="2"/>
  <c r="AG222" i="2"/>
  <c r="T219" i="2"/>
  <c r="W220" i="2"/>
  <c r="T218" i="2"/>
  <c r="S220" i="2"/>
  <c r="P217" i="2"/>
  <c r="Z219" i="2"/>
  <c r="S221" i="2"/>
  <c r="L214" i="2"/>
  <c r="AC218" i="2"/>
  <c r="AI218" i="2"/>
  <c r="AB215" i="2"/>
  <c r="AH223" i="2"/>
  <c r="AD220" i="2"/>
  <c r="N214" i="2"/>
  <c r="AA223" i="2"/>
  <c r="P216" i="2"/>
  <c r="R221" i="2"/>
  <c r="F218" i="2"/>
  <c r="S214" i="2"/>
  <c r="AD219" i="2"/>
  <c r="S223" i="2"/>
  <c r="P214" i="2"/>
  <c r="V219" i="2"/>
  <c r="AA218" i="2"/>
  <c r="M223" i="2"/>
  <c r="AA216" i="2"/>
  <c r="AI223" i="2"/>
  <c r="C222" i="2"/>
  <c r="N217" i="2"/>
  <c r="AJ219" i="2"/>
  <c r="C223" i="2"/>
  <c r="U220" i="2"/>
  <c r="AH219" i="2"/>
  <c r="X215" i="2"/>
  <c r="H214" i="2"/>
  <c r="AF223" i="2"/>
  <c r="C217" i="2"/>
  <c r="I217" i="2"/>
  <c r="D213" i="2"/>
  <c r="AF213" i="2"/>
  <c r="K214" i="2"/>
  <c r="X220" i="2"/>
  <c r="P220" i="2"/>
  <c r="G220" i="2"/>
  <c r="Z221" i="2"/>
  <c r="D215" i="2"/>
  <c r="AJ222" i="2"/>
  <c r="X218" i="2"/>
  <c r="AG223" i="2"/>
  <c r="S218" i="2"/>
  <c r="AF214" i="2"/>
  <c r="AC223" i="2"/>
  <c r="O221" i="2"/>
  <c r="AB214" i="2"/>
  <c r="Q213" i="2"/>
  <c r="AG214" i="2"/>
  <c r="K220" i="2"/>
  <c r="L218" i="2"/>
  <c r="AC219" i="2"/>
  <c r="C219" i="2"/>
  <c r="Q217" i="2"/>
  <c r="AE216" i="2"/>
  <c r="K223" i="2"/>
  <c r="G221" i="2"/>
  <c r="I222" i="2"/>
  <c r="K221" i="2"/>
  <c r="N220" i="2"/>
  <c r="Q214" i="2"/>
  <c r="J219" i="2"/>
  <c r="N223" i="2"/>
  <c r="AJ215" i="2"/>
  <c r="AF216" i="2"/>
  <c r="AA221" i="2"/>
  <c r="AI216" i="2"/>
  <c r="AH215" i="2"/>
  <c r="W214" i="2"/>
  <c r="AF217" i="2"/>
  <c r="F213" i="2"/>
  <c r="AE217" i="2"/>
  <c r="X221" i="2"/>
  <c r="Y214" i="2"/>
  <c r="AI213" i="2"/>
  <c r="N219" i="2"/>
  <c r="F214" i="2"/>
  <c r="AD215" i="2"/>
  <c r="L219" i="2"/>
  <c r="J223" i="2"/>
  <c r="AB216" i="2"/>
  <c r="M218" i="2"/>
  <c r="AE214" i="2"/>
  <c r="L216" i="2"/>
  <c r="I214" i="2"/>
  <c r="Y217" i="2"/>
  <c r="G217" i="2"/>
  <c r="M221" i="2"/>
  <c r="N221" i="2"/>
  <c r="W221" i="2"/>
  <c r="AH213" i="2"/>
  <c r="U214" i="2"/>
  <c r="W218" i="2"/>
  <c r="D218" i="2"/>
  <c r="AA213" i="2"/>
  <c r="T216" i="2"/>
  <c r="AC215" i="2"/>
  <c r="G213" i="2"/>
  <c r="X214" i="2"/>
  <c r="M217" i="2"/>
  <c r="P213" i="2"/>
  <c r="I219" i="2"/>
  <c r="AG217" i="2"/>
  <c r="AF215" i="2"/>
  <c r="Y223" i="2"/>
  <c r="P222" i="2"/>
  <c r="M216" i="2"/>
  <c r="AD213" i="2"/>
  <c r="C218" i="2"/>
  <c r="H215" i="2"/>
  <c r="X222" i="2"/>
  <c r="M213" i="2"/>
  <c r="N218" i="2"/>
  <c r="Y221" i="2"/>
  <c r="S217" i="2"/>
  <c r="AC213" i="2"/>
  <c r="T217" i="2"/>
  <c r="AB221" i="2"/>
  <c r="X223" i="2"/>
  <c r="L220" i="2"/>
  <c r="AB213" i="2"/>
  <c r="K219" i="2"/>
  <c r="E223" i="2"/>
  <c r="AJ218" i="2"/>
  <c r="H216" i="2"/>
  <c r="K217" i="2"/>
  <c r="AA222" i="2"/>
  <c r="AE222" i="2"/>
  <c r="J220" i="2"/>
  <c r="R214" i="2"/>
  <c r="Q219" i="2"/>
  <c r="F217" i="2"/>
  <c r="N213" i="2"/>
  <c r="I221" i="2"/>
  <c r="O220" i="2"/>
  <c r="D216" i="2"/>
  <c r="O213" i="2"/>
  <c r="K216" i="2"/>
  <c r="AB219" i="2"/>
  <c r="O218" i="2"/>
  <c r="U222" i="2"/>
  <c r="K215" i="2"/>
  <c r="V213" i="2"/>
  <c r="Y213" i="2"/>
  <c r="W219" i="2"/>
  <c r="R215" i="2"/>
  <c r="Q215" i="2"/>
  <c r="J218" i="2"/>
  <c r="AB218" i="2"/>
  <c r="P223" i="2"/>
  <c r="AD222" i="2"/>
  <c r="AB217" i="2"/>
  <c r="D223" i="2"/>
  <c r="AH218" i="2"/>
  <c r="AE218" i="2"/>
  <c r="AG215" i="2"/>
  <c r="W222" i="2"/>
  <c r="E221" i="2"/>
  <c r="AI220" i="2"/>
  <c r="J214" i="2"/>
  <c r="D217" i="2"/>
  <c r="Z222" i="2"/>
  <c r="R216" i="2"/>
  <c r="R222" i="2"/>
  <c r="L222" i="2"/>
  <c r="V224" i="2" l="1"/>
  <c r="R224" i="2"/>
  <c r="O224" i="2"/>
  <c r="M224" i="2"/>
  <c r="F224" i="2"/>
  <c r="G224" i="2"/>
  <c r="T224" i="2"/>
  <c r="X224" i="2"/>
  <c r="P224" i="2"/>
  <c r="N224" i="2"/>
  <c r="U224" i="2"/>
  <c r="E224" i="2"/>
  <c r="J224" i="2"/>
  <c r="C224" i="2"/>
  <c r="I224" i="2"/>
  <c r="L224" i="2"/>
  <c r="D224" i="2"/>
  <c r="W224" i="2"/>
  <c r="H224" i="2"/>
  <c r="AJ224" i="2"/>
  <c r="S224" i="2"/>
  <c r="Q224" i="2"/>
  <c r="K224" i="2"/>
  <c r="AK218" i="2" l="1"/>
  <c r="AK214" i="2"/>
  <c r="AK217" i="2"/>
  <c r="AK220" i="2"/>
  <c r="AK223" i="2"/>
  <c r="AK216" i="2"/>
  <c r="AK215" i="2"/>
  <c r="AK221" i="2"/>
  <c r="AK219" i="2"/>
  <c r="AK213" i="2"/>
  <c r="AK222" i="2"/>
  <c r="B228" i="2" l="1"/>
  <c r="B229" i="2" s="1"/>
  <c r="A229" i="2" s="1"/>
  <c r="B230" i="2" l="1"/>
  <c r="A230" i="2" s="1"/>
  <c r="A228" i="2"/>
  <c r="B231" i="2" l="1"/>
  <c r="A231" i="2" s="1"/>
  <c r="B232" i="2" l="1"/>
  <c r="A232" i="2" s="1"/>
  <c r="B233" i="2" l="1"/>
  <c r="A233" i="2" s="1"/>
  <c r="B234" i="2" l="1"/>
  <c r="A234" i="2" s="1"/>
  <c r="B235" i="2" l="1"/>
  <c r="A235" i="2" s="1"/>
  <c r="B236" i="2" l="1"/>
  <c r="A236" i="2" s="1"/>
  <c r="B237" i="2" l="1"/>
  <c r="A237" i="2" s="1"/>
  <c r="B238" i="2" l="1"/>
  <c r="L229" i="2" s="1"/>
  <c r="R228" i="2" l="1"/>
  <c r="Q231" i="2"/>
  <c r="V237" i="2"/>
  <c r="P232" i="2"/>
  <c r="AB238" i="2"/>
  <c r="Y238" i="2"/>
  <c r="P230" i="2"/>
  <c r="P235" i="2"/>
  <c r="G229" i="2"/>
  <c r="R231" i="2"/>
  <c r="AA228" i="2"/>
  <c r="H230" i="2"/>
  <c r="T233" i="2"/>
  <c r="G232" i="2"/>
  <c r="Z235" i="2"/>
  <c r="F238" i="2"/>
  <c r="AJ228" i="2"/>
  <c r="U232" i="2"/>
  <c r="AE229" i="2"/>
  <c r="S233" i="2"/>
  <c r="W233" i="2"/>
  <c r="N231" i="2"/>
  <c r="AB228" i="2"/>
  <c r="J235" i="2"/>
  <c r="C237" i="2"/>
  <c r="V233" i="2"/>
  <c r="R233" i="2"/>
  <c r="AG234" i="2"/>
  <c r="AB232" i="2"/>
  <c r="T237" i="2"/>
  <c r="K233" i="2"/>
  <c r="Y230" i="2"/>
  <c r="J233" i="2"/>
  <c r="U237" i="2"/>
  <c r="K238" i="2"/>
  <c r="AG229" i="2"/>
  <c r="Y228" i="2"/>
  <c r="M229" i="2"/>
  <c r="P233" i="2"/>
  <c r="X232" i="2"/>
  <c r="X235" i="2"/>
  <c r="F237" i="2"/>
  <c r="D233" i="2"/>
  <c r="AJ238" i="2"/>
  <c r="J228" i="2"/>
  <c r="H234" i="2"/>
  <c r="AD230" i="2"/>
  <c r="AC228" i="2"/>
  <c r="F235" i="2"/>
  <c r="V229" i="2"/>
  <c r="F231" i="2"/>
  <c r="AJ237" i="2"/>
  <c r="I235" i="2"/>
  <c r="AA230" i="2"/>
  <c r="AH237" i="2"/>
  <c r="AD232" i="2"/>
  <c r="I236" i="2"/>
  <c r="AJ229" i="2"/>
  <c r="AD238" i="2"/>
  <c r="D230" i="2"/>
  <c r="AB229" i="2"/>
  <c r="X229" i="2"/>
  <c r="T231" i="2"/>
  <c r="AB233" i="2"/>
  <c r="AB230" i="2"/>
  <c r="W230" i="2"/>
  <c r="Y233" i="2"/>
  <c r="X230" i="2"/>
  <c r="M230" i="2"/>
  <c r="AA232" i="2"/>
  <c r="J234" i="2"/>
  <c r="U228" i="2"/>
  <c r="R230" i="2"/>
  <c r="AC232" i="2"/>
  <c r="S238" i="2"/>
  <c r="C229" i="2"/>
  <c r="AI228" i="2"/>
  <c r="H229" i="2"/>
  <c r="T228" i="2"/>
  <c r="C234" i="2"/>
  <c r="AI237" i="2"/>
  <c r="X238" i="2"/>
  <c r="X231" i="2"/>
  <c r="Q230" i="2"/>
  <c r="Y234" i="2"/>
  <c r="L228" i="2"/>
  <c r="K231" i="2"/>
  <c r="AG232" i="2"/>
  <c r="AF228" i="2"/>
  <c r="I229" i="2"/>
  <c r="D235" i="2"/>
  <c r="E235" i="2"/>
  <c r="V230" i="2"/>
  <c r="Q233" i="2"/>
  <c r="Q236" i="2"/>
  <c r="P236" i="2"/>
  <c r="AF233" i="2"/>
  <c r="R232" i="2"/>
  <c r="D238" i="2"/>
  <c r="Q228" i="2"/>
  <c r="E233" i="2"/>
  <c r="Q235" i="2"/>
  <c r="AG238" i="2"/>
  <c r="G234" i="2"/>
  <c r="AC230" i="2"/>
  <c r="P228" i="2"/>
  <c r="E228" i="2"/>
  <c r="AG228" i="2"/>
  <c r="AH232" i="2"/>
  <c r="W234" i="2"/>
  <c r="AF231" i="2"/>
  <c r="AF236" i="2"/>
  <c r="E237" i="2"/>
  <c r="C236" i="2"/>
  <c r="C235" i="2"/>
  <c r="U238" i="2"/>
  <c r="V235" i="2"/>
  <c r="AE230" i="2"/>
  <c r="M235" i="2"/>
  <c r="J237" i="2"/>
  <c r="AC235" i="2"/>
  <c r="R238" i="2"/>
  <c r="K234" i="2"/>
  <c r="AJ234" i="2"/>
  <c r="G230" i="2"/>
  <c r="G228" i="2"/>
  <c r="D236" i="2"/>
  <c r="D234" i="2"/>
  <c r="S231" i="2"/>
  <c r="N234" i="2"/>
  <c r="M231" i="2"/>
  <c r="H237" i="2"/>
  <c r="M234" i="2"/>
  <c r="O230" i="2"/>
  <c r="AH234" i="2"/>
  <c r="AE237" i="2"/>
  <c r="U235" i="2"/>
  <c r="Q234" i="2"/>
  <c r="Q237" i="2"/>
  <c r="Z231" i="2"/>
  <c r="K228" i="2"/>
  <c r="AG230" i="2"/>
  <c r="M237" i="2"/>
  <c r="W238" i="2"/>
  <c r="AB234" i="2"/>
  <c r="D237" i="2"/>
  <c r="T236" i="2"/>
  <c r="E236" i="2"/>
  <c r="E231" i="2"/>
  <c r="AA238" i="2"/>
  <c r="E230" i="2"/>
  <c r="AD233" i="2"/>
  <c r="AJ236" i="2"/>
  <c r="AH235" i="2"/>
  <c r="AJ233" i="2"/>
  <c r="AI235" i="2"/>
  <c r="AI233" i="2"/>
  <c r="G233" i="2"/>
  <c r="AJ231" i="2"/>
  <c r="AH236" i="2"/>
  <c r="D229" i="2"/>
  <c r="E238" i="2"/>
  <c r="D231" i="2"/>
  <c r="W235" i="2"/>
  <c r="A238" i="2"/>
  <c r="E229" i="2"/>
  <c r="W229" i="2"/>
  <c r="I232" i="2"/>
  <c r="J236" i="2"/>
  <c r="AE228" i="2"/>
  <c r="AH231" i="2"/>
  <c r="AE235" i="2"/>
  <c r="AE236" i="2"/>
  <c r="F236" i="2"/>
  <c r="AE232" i="2"/>
  <c r="AB231" i="2"/>
  <c r="AG237" i="2"/>
  <c r="AF229" i="2"/>
  <c r="Z233" i="2"/>
  <c r="AI238" i="2"/>
  <c r="Z228" i="2"/>
  <c r="T232" i="2"/>
  <c r="P234" i="2"/>
  <c r="AI231" i="2"/>
  <c r="J232" i="2"/>
  <c r="U230" i="2"/>
  <c r="Z232" i="2"/>
  <c r="AF234" i="2"/>
  <c r="X236" i="2"/>
  <c r="V231" i="2"/>
  <c r="Z238" i="2"/>
  <c r="AA237" i="2"/>
  <c r="U234" i="2"/>
  <c r="X228" i="2"/>
  <c r="AE234" i="2"/>
  <c r="F233" i="2"/>
  <c r="AG233" i="2"/>
  <c r="K230" i="2"/>
  <c r="S236" i="2"/>
  <c r="K235" i="2"/>
  <c r="L235" i="2"/>
  <c r="H236" i="2"/>
  <c r="H238" i="2"/>
  <c r="O229" i="2"/>
  <c r="Z230" i="2"/>
  <c r="O234" i="2"/>
  <c r="AF230" i="2"/>
  <c r="T238" i="2"/>
  <c r="P237" i="2"/>
  <c r="F230" i="2"/>
  <c r="F232" i="2"/>
  <c r="W231" i="2"/>
  <c r="O233" i="2"/>
  <c r="S232" i="2"/>
  <c r="AD237" i="2"/>
  <c r="G231" i="2"/>
  <c r="L236" i="2"/>
  <c r="K237" i="2"/>
  <c r="L238" i="2"/>
  <c r="N229" i="2"/>
  <c r="O237" i="2"/>
  <c r="AA235" i="2"/>
  <c r="AC234" i="2"/>
  <c r="L233" i="2"/>
  <c r="Y235" i="2"/>
  <c r="AE233" i="2"/>
  <c r="O235" i="2"/>
  <c r="N228" i="2"/>
  <c r="H228" i="2"/>
  <c r="N236" i="2"/>
  <c r="V238" i="2"/>
  <c r="C233" i="2"/>
  <c r="AH229" i="2"/>
  <c r="Y232" i="2"/>
  <c r="Q238" i="2"/>
  <c r="M228" i="2"/>
  <c r="Q229" i="2"/>
  <c r="AD234" i="2"/>
  <c r="S228" i="2"/>
  <c r="H232" i="2"/>
  <c r="P231" i="2"/>
  <c r="AD235" i="2"/>
  <c r="E232" i="2"/>
  <c r="U229" i="2"/>
  <c r="AJ230" i="2"/>
  <c r="O232" i="2"/>
  <c r="N232" i="2"/>
  <c r="M238" i="2"/>
  <c r="I238" i="2"/>
  <c r="S230" i="2"/>
  <c r="I230" i="2"/>
  <c r="H233" i="2"/>
  <c r="AD236" i="2"/>
  <c r="J229" i="2"/>
  <c r="R236" i="2"/>
  <c r="AB235" i="2"/>
  <c r="AI232" i="2"/>
  <c r="AB236" i="2"/>
  <c r="AI229" i="2"/>
  <c r="W237" i="2"/>
  <c r="AF238" i="2"/>
  <c r="AG235" i="2"/>
  <c r="C231" i="2"/>
  <c r="AJ235" i="2"/>
  <c r="G237" i="2"/>
  <c r="AB237" i="2"/>
  <c r="O238" i="2"/>
  <c r="M233" i="2"/>
  <c r="T234" i="2"/>
  <c r="AH238" i="2"/>
  <c r="S235" i="2"/>
  <c r="S237" i="2"/>
  <c r="AH230" i="2"/>
  <c r="L231" i="2"/>
  <c r="O231" i="2"/>
  <c r="AJ232" i="2"/>
  <c r="W228" i="2"/>
  <c r="AA231" i="2"/>
  <c r="V232" i="2"/>
  <c r="R235" i="2"/>
  <c r="S229" i="2"/>
  <c r="I228" i="2"/>
  <c r="AC233" i="2"/>
  <c r="P238" i="2"/>
  <c r="I234" i="2"/>
  <c r="X233" i="2"/>
  <c r="K232" i="2"/>
  <c r="G235" i="2"/>
  <c r="Y236" i="2"/>
  <c r="R237" i="2"/>
  <c r="U236" i="2"/>
  <c r="V228" i="2"/>
  <c r="AF235" i="2"/>
  <c r="F229" i="2"/>
  <c r="I233" i="2"/>
  <c r="T230" i="2"/>
  <c r="J231" i="2"/>
  <c r="N230" i="2"/>
  <c r="AC237" i="2"/>
  <c r="AF232" i="2"/>
  <c r="V234" i="2"/>
  <c r="K236" i="2"/>
  <c r="Y229" i="2"/>
  <c r="AG231" i="2"/>
  <c r="R234" i="2"/>
  <c r="AG236" i="2"/>
  <c r="U233" i="2"/>
  <c r="H235" i="2"/>
  <c r="AH228" i="2"/>
  <c r="J238" i="2"/>
  <c r="M232" i="2"/>
  <c r="AD231" i="2"/>
  <c r="V236" i="2"/>
  <c r="G238" i="2"/>
  <c r="Y237" i="2"/>
  <c r="W236" i="2"/>
  <c r="AE231" i="2"/>
  <c r="AC229" i="2"/>
  <c r="R229" i="2"/>
  <c r="AI236" i="2"/>
  <c r="AA229" i="2"/>
  <c r="Z237" i="2"/>
  <c r="D232" i="2"/>
  <c r="E234" i="2"/>
  <c r="P229" i="2"/>
  <c r="H231" i="2"/>
  <c r="N238" i="2"/>
  <c r="T229" i="2"/>
  <c r="G236" i="2"/>
  <c r="K229" i="2"/>
  <c r="Z234" i="2"/>
  <c r="C232" i="2"/>
  <c r="F228" i="2"/>
  <c r="L234" i="2"/>
  <c r="L230" i="2"/>
  <c r="AI234" i="2"/>
  <c r="T235" i="2"/>
  <c r="C228" i="2"/>
  <c r="W232" i="2"/>
  <c r="N237" i="2"/>
  <c r="AC236" i="2"/>
  <c r="M236" i="2"/>
  <c r="N235" i="2"/>
  <c r="AA236" i="2"/>
  <c r="I237" i="2"/>
  <c r="U231" i="2"/>
  <c r="AH233" i="2"/>
  <c r="L232" i="2"/>
  <c r="AD228" i="2"/>
  <c r="L237" i="2"/>
  <c r="AA233" i="2"/>
  <c r="I231" i="2"/>
  <c r="AI230" i="2"/>
  <c r="X237" i="2"/>
  <c r="AC231" i="2"/>
  <c r="AC238" i="2"/>
  <c r="S234" i="2"/>
  <c r="C238" i="2"/>
  <c r="N233" i="2"/>
  <c r="AF237" i="2"/>
  <c r="O236" i="2"/>
  <c r="Y231" i="2"/>
  <c r="J230" i="2"/>
  <c r="AA234" i="2"/>
  <c r="Q232" i="2"/>
  <c r="C230" i="2"/>
  <c r="D228" i="2"/>
  <c r="F234" i="2"/>
  <c r="Z229" i="2"/>
  <c r="O228" i="2"/>
  <c r="AD229" i="2"/>
  <c r="AE238" i="2"/>
  <c r="Z236" i="2"/>
  <c r="X234" i="2"/>
  <c r="N239" i="2" l="1"/>
  <c r="E239" i="2"/>
  <c r="F239" i="2"/>
  <c r="C239" i="2"/>
  <c r="L239" i="2"/>
  <c r="W239" i="2"/>
  <c r="R239" i="2"/>
  <c r="S239" i="2"/>
  <c r="I239" i="2"/>
  <c r="V239" i="2"/>
  <c r="AJ239" i="2"/>
  <c r="T239" i="2"/>
  <c r="M239" i="2"/>
  <c r="O239" i="2"/>
  <c r="G239" i="2"/>
  <c r="X239" i="2"/>
  <c r="D239" i="2"/>
  <c r="J239" i="2"/>
  <c r="U239" i="2"/>
  <c r="K239" i="2"/>
  <c r="H239" i="2"/>
  <c r="Q239" i="2"/>
  <c r="P239" i="2"/>
  <c r="AK238" i="2" l="1"/>
  <c r="AK237" i="2"/>
  <c r="AK236" i="2"/>
  <c r="AK232" i="2"/>
  <c r="AK235" i="2"/>
  <c r="AK233" i="2"/>
  <c r="AK231" i="2"/>
  <c r="AK228" i="2"/>
  <c r="AK230" i="2"/>
  <c r="AK234" i="2"/>
  <c r="AK229" i="2"/>
  <c r="B243" i="2" l="1"/>
  <c r="A243" i="2" s="1"/>
  <c r="B244" i="2" l="1"/>
  <c r="A244" i="2" s="1"/>
  <c r="B245" i="2" l="1"/>
  <c r="A245" i="2" s="1"/>
  <c r="B246" i="2" l="1"/>
  <c r="A246" i="2" s="1"/>
  <c r="B247" i="2" l="1"/>
  <c r="A247" i="2" s="1"/>
  <c r="B248" i="2" l="1"/>
  <c r="A248" i="2" s="1"/>
  <c r="B249" i="2" l="1"/>
  <c r="A249" i="2" s="1"/>
  <c r="B250" i="2" l="1"/>
  <c r="A250" i="2" s="1"/>
  <c r="B251" i="2" l="1"/>
  <c r="A251" i="2" s="1"/>
  <c r="B252" i="2" l="1"/>
  <c r="B253" i="2" s="1"/>
  <c r="V243" i="2" s="1"/>
  <c r="A252" i="2" l="1"/>
  <c r="AC251" i="2"/>
  <c r="R245" i="2"/>
  <c r="T246" i="2"/>
  <c r="AI248" i="2"/>
  <c r="T252" i="2"/>
  <c r="J247" i="2"/>
  <c r="V252" i="2"/>
  <c r="P250" i="2"/>
  <c r="AG247" i="2"/>
  <c r="AF253" i="2"/>
  <c r="AF250" i="2"/>
  <c r="L247" i="2"/>
  <c r="AD251" i="2"/>
  <c r="M248" i="2"/>
  <c r="H250" i="2"/>
  <c r="T253" i="2"/>
  <c r="M250" i="2"/>
  <c r="M246" i="2"/>
  <c r="AG248" i="2"/>
  <c r="K246" i="2"/>
  <c r="D248" i="2"/>
  <c r="AF248" i="2"/>
  <c r="S249" i="2"/>
  <c r="T243" i="2"/>
  <c r="AE243" i="2"/>
  <c r="N249" i="2"/>
  <c r="AI247" i="2"/>
  <c r="AG246" i="2"/>
  <c r="E248" i="2"/>
  <c r="N244" i="2"/>
  <c r="G247" i="2"/>
  <c r="AH247" i="2"/>
  <c r="AJ244" i="2"/>
  <c r="I250" i="2"/>
  <c r="V250" i="2"/>
  <c r="AD248" i="2"/>
  <c r="AI244" i="2"/>
  <c r="E244" i="2"/>
  <c r="I243" i="2"/>
  <c r="I245" i="2"/>
  <c r="AJ249" i="2"/>
  <c r="Z243" i="2"/>
  <c r="AF245" i="2"/>
  <c r="P252" i="2"/>
  <c r="F250" i="2"/>
  <c r="D243" i="2"/>
  <c r="K249" i="2"/>
  <c r="X243" i="2"/>
  <c r="C250" i="2"/>
  <c r="AC243" i="2"/>
  <c r="AH252" i="2"/>
  <c r="A253" i="2"/>
  <c r="H251" i="2"/>
  <c r="I253" i="2"/>
  <c r="C248" i="2"/>
  <c r="G243" i="2"/>
  <c r="AE252" i="2"/>
  <c r="U247" i="2"/>
  <c r="Y246" i="2"/>
  <c r="Z244" i="2"/>
  <c r="Q245" i="2"/>
  <c r="C246" i="2"/>
  <c r="O251" i="2"/>
  <c r="U250" i="2"/>
  <c r="AD246" i="2"/>
  <c r="O249" i="2"/>
  <c r="S253" i="2"/>
  <c r="I248" i="2"/>
  <c r="AA246" i="2"/>
  <c r="AD245" i="2"/>
  <c r="V248" i="2"/>
  <c r="U251" i="2"/>
  <c r="AH248" i="2"/>
  <c r="K250" i="2"/>
  <c r="L248" i="2"/>
  <c r="R246" i="2"/>
  <c r="AH249" i="2"/>
  <c r="H246" i="2"/>
  <c r="K244" i="2"/>
  <c r="AE247" i="2"/>
  <c r="AH246" i="2"/>
  <c r="L250" i="2"/>
  <c r="G252" i="2"/>
  <c r="S245" i="2"/>
  <c r="AJ248" i="2"/>
  <c r="E250" i="2"/>
  <c r="V251" i="2"/>
  <c r="AD249" i="2"/>
  <c r="AB253" i="2"/>
  <c r="AJ252" i="2"/>
  <c r="AF252" i="2"/>
  <c r="O253" i="2"/>
  <c r="S250" i="2"/>
  <c r="C244" i="2"/>
  <c r="W251" i="2"/>
  <c r="G246" i="2"/>
  <c r="V246" i="2"/>
  <c r="D244" i="2"/>
  <c r="F246" i="2"/>
  <c r="L249" i="2"/>
  <c r="J243" i="2"/>
  <c r="I246" i="2"/>
  <c r="AH253" i="2"/>
  <c r="AB247" i="2"/>
  <c r="AG253" i="2"/>
  <c r="AE245" i="2"/>
  <c r="K245" i="2"/>
  <c r="P245" i="2"/>
  <c r="AC252" i="2"/>
  <c r="Y252" i="2"/>
  <c r="E243" i="2"/>
  <c r="R249" i="2"/>
  <c r="D246" i="2"/>
  <c r="AE250" i="2"/>
  <c r="AA250" i="2"/>
  <c r="M251" i="2"/>
  <c r="AF244" i="2"/>
  <c r="W246" i="2"/>
  <c r="F252" i="2"/>
  <c r="N252" i="2"/>
  <c r="P249" i="2"/>
  <c r="D252" i="2"/>
  <c r="O250" i="2"/>
  <c r="AH250" i="2"/>
  <c r="Q251" i="2"/>
  <c r="Z252" i="2"/>
  <c r="E245" i="2"/>
  <c r="E247" i="2"/>
  <c r="E251" i="2"/>
  <c r="M249" i="2"/>
  <c r="AB246" i="2"/>
  <c r="AE246" i="2"/>
  <c r="N250" i="2"/>
  <c r="AA249" i="2"/>
  <c r="V244" i="2"/>
  <c r="AH244" i="2"/>
  <c r="AA243" i="2"/>
  <c r="K251" i="2"/>
  <c r="AG245" i="2"/>
  <c r="K243" i="2"/>
  <c r="AC245" i="2"/>
  <c r="P244" i="2"/>
  <c r="M247" i="2"/>
  <c r="H248" i="2"/>
  <c r="G244" i="2"/>
  <c r="S243" i="2"/>
  <c r="AF246" i="2"/>
  <c r="E253" i="2"/>
  <c r="J244" i="2"/>
  <c r="AE251" i="2"/>
  <c r="AG251" i="2"/>
  <c r="AB249" i="2"/>
  <c r="Y248" i="2"/>
  <c r="AB243" i="2"/>
  <c r="J252" i="2"/>
  <c r="R248" i="2"/>
  <c r="Q247" i="2"/>
  <c r="D249" i="2"/>
  <c r="Z253" i="2"/>
  <c r="J249" i="2"/>
  <c r="E249" i="2"/>
  <c r="AI253" i="2"/>
  <c r="S248" i="2"/>
  <c r="AE249" i="2"/>
  <c r="AG249" i="2"/>
  <c r="L244" i="2"/>
  <c r="R252" i="2"/>
  <c r="J250" i="2"/>
  <c r="Z248" i="2"/>
  <c r="U246" i="2"/>
  <c r="U248" i="2"/>
  <c r="AA244" i="2"/>
  <c r="C251" i="2"/>
  <c r="L252" i="2"/>
  <c r="AI250" i="2"/>
  <c r="O246" i="2"/>
  <c r="AJ251" i="2"/>
  <c r="O244" i="2"/>
  <c r="I251" i="2"/>
  <c r="E252" i="2"/>
  <c r="AJ245" i="2"/>
  <c r="AC253" i="2"/>
  <c r="Y243" i="2"/>
  <c r="T245" i="2"/>
  <c r="AC247" i="2"/>
  <c r="R247" i="2"/>
  <c r="N251" i="2"/>
  <c r="S244" i="2"/>
  <c r="M252" i="2"/>
  <c r="R243" i="2"/>
  <c r="W249" i="2"/>
  <c r="Q253" i="2"/>
  <c r="V249" i="2"/>
  <c r="U244" i="2"/>
  <c r="T251" i="2"/>
  <c r="L246" i="2"/>
  <c r="Z250" i="2"/>
  <c r="Y250" i="2"/>
  <c r="G253" i="2"/>
  <c r="P251" i="2"/>
  <c r="S247" i="2"/>
  <c r="L253" i="2"/>
  <c r="J246" i="2"/>
  <c r="W243" i="2"/>
  <c r="C243" i="2"/>
  <c r="F253" i="2"/>
  <c r="Z245" i="2"/>
  <c r="L251" i="2"/>
  <c r="U253" i="2"/>
  <c r="W245" i="2"/>
  <c r="AF249" i="2"/>
  <c r="F249" i="2"/>
  <c r="AD253" i="2"/>
  <c r="D253" i="2"/>
  <c r="AC249" i="2"/>
  <c r="X247" i="2"/>
  <c r="X253" i="2"/>
  <c r="AD252" i="2"/>
  <c r="F247" i="2"/>
  <c r="AI246" i="2"/>
  <c r="AJ247" i="2"/>
  <c r="AD250" i="2"/>
  <c r="X252" i="2"/>
  <c r="M244" i="2"/>
  <c r="I252" i="2"/>
  <c r="H244" i="2"/>
  <c r="F244" i="2"/>
  <c r="AB245" i="2"/>
  <c r="H245" i="2"/>
  <c r="S252" i="2"/>
  <c r="U252" i="2"/>
  <c r="M245" i="2"/>
  <c r="L245" i="2"/>
  <c r="Z246" i="2"/>
  <c r="C253" i="2"/>
  <c r="H249" i="2"/>
  <c r="E246" i="2"/>
  <c r="AC244" i="2"/>
  <c r="H253" i="2"/>
  <c r="O252" i="2"/>
  <c r="AE253" i="2"/>
  <c r="F251" i="2"/>
  <c r="AA247" i="2"/>
  <c r="AC248" i="2"/>
  <c r="J251" i="2"/>
  <c r="T247" i="2"/>
  <c r="W248" i="2"/>
  <c r="D251" i="2"/>
  <c r="W253" i="2"/>
  <c r="F248" i="2"/>
  <c r="AB252" i="2"/>
  <c r="Q249" i="2"/>
  <c r="AJ246" i="2"/>
  <c r="AI243" i="2"/>
  <c r="Y247" i="2"/>
  <c r="D247" i="2"/>
  <c r="L243" i="2"/>
  <c r="P248" i="2"/>
  <c r="Q250" i="2"/>
  <c r="R244" i="2"/>
  <c r="R251" i="2"/>
  <c r="AF251" i="2"/>
  <c r="AE244" i="2"/>
  <c r="X248" i="2"/>
  <c r="R250" i="2"/>
  <c r="AI245" i="2"/>
  <c r="C249" i="2"/>
  <c r="F245" i="2"/>
  <c r="AG252" i="2"/>
  <c r="X245" i="2"/>
  <c r="W244" i="2"/>
  <c r="AG243" i="2"/>
  <c r="P243" i="2"/>
  <c r="N246" i="2"/>
  <c r="N243" i="2"/>
  <c r="AB251" i="2"/>
  <c r="K248" i="2"/>
  <c r="O248" i="2"/>
  <c r="AB248" i="2"/>
  <c r="G251" i="2"/>
  <c r="AI252" i="2"/>
  <c r="N253" i="2"/>
  <c r="W250" i="2"/>
  <c r="K247" i="2"/>
  <c r="I244" i="2"/>
  <c r="C247" i="2"/>
  <c r="AC250" i="2"/>
  <c r="G248" i="2"/>
  <c r="Y251" i="2"/>
  <c r="X244" i="2"/>
  <c r="Q243" i="2"/>
  <c r="Q246" i="2"/>
  <c r="AF243" i="2"/>
  <c r="Y249" i="2"/>
  <c r="I249" i="2"/>
  <c r="AC246" i="2"/>
  <c r="AD247" i="2"/>
  <c r="N247" i="2"/>
  <c r="U243" i="2"/>
  <c r="AE248" i="2"/>
  <c r="N248" i="2"/>
  <c r="T250" i="2"/>
  <c r="Q252" i="2"/>
  <c r="AJ243" i="2"/>
  <c r="J248" i="2"/>
  <c r="D245" i="2"/>
  <c r="AJ253" i="2"/>
  <c r="H247" i="2"/>
  <c r="O243" i="2"/>
  <c r="M243" i="2"/>
  <c r="J253" i="2"/>
  <c r="Q244" i="2"/>
  <c r="Z251" i="2"/>
  <c r="AA248" i="2"/>
  <c r="Y245" i="2"/>
  <c r="Z249" i="2"/>
  <c r="AA245" i="2"/>
  <c r="V245" i="2"/>
  <c r="H252" i="2"/>
  <c r="G249" i="2"/>
  <c r="C245" i="2"/>
  <c r="O247" i="2"/>
  <c r="U249" i="2"/>
  <c r="H243" i="2"/>
  <c r="Y253" i="2"/>
  <c r="S246" i="2"/>
  <c r="T248" i="2"/>
  <c r="AG250" i="2"/>
  <c r="W252" i="2"/>
  <c r="N245" i="2"/>
  <c r="AA251" i="2"/>
  <c r="W247" i="2"/>
  <c r="X246" i="2"/>
  <c r="J245" i="2"/>
  <c r="AA253" i="2"/>
  <c r="P253" i="2"/>
  <c r="AD244" i="2"/>
  <c r="AJ250" i="2"/>
  <c r="AI251" i="2"/>
  <c r="T244" i="2"/>
  <c r="X250" i="2"/>
  <c r="AH251" i="2"/>
  <c r="AG244" i="2"/>
  <c r="D250" i="2"/>
  <c r="T249" i="2"/>
  <c r="X251" i="2"/>
  <c r="AI249" i="2"/>
  <c r="AB244" i="2"/>
  <c r="AB250" i="2"/>
  <c r="AH243" i="2"/>
  <c r="R253" i="2"/>
  <c r="Q248" i="2"/>
  <c r="AH245" i="2"/>
  <c r="AD243" i="2"/>
  <c r="G250" i="2"/>
  <c r="V247" i="2"/>
  <c r="Z247" i="2"/>
  <c r="AF247" i="2"/>
  <c r="S251" i="2"/>
  <c r="O245" i="2"/>
  <c r="V253" i="2"/>
  <c r="I247" i="2"/>
  <c r="X249" i="2"/>
  <c r="Y244" i="2"/>
  <c r="P246" i="2"/>
  <c r="U245" i="2"/>
  <c r="C252" i="2"/>
  <c r="P247" i="2"/>
  <c r="F243" i="2"/>
  <c r="G245" i="2"/>
  <c r="M253" i="2"/>
  <c r="AA252" i="2"/>
  <c r="K252" i="2"/>
  <c r="K253" i="2"/>
  <c r="C254" i="2" l="1"/>
  <c r="H254" i="2"/>
  <c r="L254" i="2"/>
  <c r="G254" i="2"/>
  <c r="P254" i="2"/>
  <c r="E254" i="2"/>
  <c r="J254" i="2"/>
  <c r="N254" i="2"/>
  <c r="D254" i="2"/>
  <c r="T254" i="2"/>
  <c r="X254" i="2"/>
  <c r="R254" i="2"/>
  <c r="M254" i="2"/>
  <c r="W254" i="2"/>
  <c r="I254" i="2"/>
  <c r="S254" i="2"/>
  <c r="K254" i="2"/>
  <c r="V254" i="2"/>
  <c r="O254" i="2"/>
  <c r="AJ254" i="2"/>
  <c r="Q254" i="2"/>
  <c r="F254" i="2"/>
  <c r="U254" i="2"/>
  <c r="AK246" i="2" l="1"/>
  <c r="AK245" i="2"/>
  <c r="AK244" i="2"/>
  <c r="AK247" i="2"/>
  <c r="AK253" i="2"/>
  <c r="AK248" i="2"/>
  <c r="AK249" i="2"/>
  <c r="AK252" i="2"/>
  <c r="AK243" i="2"/>
  <c r="AK250" i="2"/>
  <c r="AK251" i="2"/>
  <c r="B258" i="2" l="1"/>
  <c r="A258" i="2" s="1"/>
  <c r="B259" i="2" l="1"/>
  <c r="A259" i="2" s="1"/>
  <c r="B260" i="2" l="1"/>
  <c r="A260" i="2" s="1"/>
  <c r="B261" i="2" l="1"/>
  <c r="A261" i="2" s="1"/>
  <c r="B262" i="2" l="1"/>
  <c r="A262" i="2" s="1"/>
  <c r="B263" i="2" l="1"/>
  <c r="A263" i="2" s="1"/>
  <c r="B264" i="2" l="1"/>
  <c r="A264" i="2" s="1"/>
  <c r="B265" i="2" l="1"/>
  <c r="A265" i="2" s="1"/>
  <c r="B266" i="2" l="1"/>
  <c r="A266" i="2" s="1"/>
  <c r="B267" i="2" l="1"/>
  <c r="A267" i="2" s="1"/>
  <c r="B268" i="2" l="1"/>
  <c r="AF263" i="2" s="1"/>
  <c r="G259" i="2" l="1"/>
  <c r="O261" i="2"/>
  <c r="Y265" i="2"/>
  <c r="AD267" i="2"/>
  <c r="Z266" i="2"/>
  <c r="P268" i="2"/>
  <c r="T263" i="2"/>
  <c r="V267" i="2"/>
  <c r="T259" i="2"/>
  <c r="R268" i="2"/>
  <c r="U262" i="2"/>
  <c r="W259" i="2"/>
  <c r="AB264" i="2"/>
  <c r="X264" i="2"/>
  <c r="R260" i="2"/>
  <c r="AA259" i="2"/>
  <c r="D262" i="2"/>
  <c r="T260" i="2"/>
  <c r="D263" i="2"/>
  <c r="AE265" i="2"/>
  <c r="AE262" i="2"/>
  <c r="N265" i="2"/>
  <c r="Y264" i="2"/>
  <c r="N264" i="2"/>
  <c r="K261" i="2"/>
  <c r="G266" i="2"/>
  <c r="Z261" i="2"/>
  <c r="W267" i="2"/>
  <c r="J260" i="2"/>
  <c r="G258" i="2"/>
  <c r="AJ262" i="2"/>
  <c r="N262" i="2"/>
  <c r="Y258" i="2"/>
  <c r="AF261" i="2"/>
  <c r="G267" i="2"/>
  <c r="E258" i="2"/>
  <c r="G260" i="2"/>
  <c r="U264" i="2"/>
  <c r="N268" i="2"/>
  <c r="P266" i="2"/>
  <c r="AC262" i="2"/>
  <c r="AI268" i="2"/>
  <c r="M268" i="2"/>
  <c r="AC261" i="2"/>
  <c r="C263" i="2"/>
  <c r="Y268" i="2"/>
  <c r="L267" i="2"/>
  <c r="A268" i="2"/>
  <c r="I259" i="2"/>
  <c r="AB260" i="2"/>
  <c r="V262" i="2"/>
  <c r="F267" i="2"/>
  <c r="AD260" i="2"/>
  <c r="H268" i="2"/>
  <c r="AJ261" i="2"/>
  <c r="T266" i="2"/>
  <c r="O262" i="2"/>
  <c r="S268" i="2"/>
  <c r="V263" i="2"/>
  <c r="AI265" i="2"/>
  <c r="AE267" i="2"/>
  <c r="K267" i="2"/>
  <c r="AI258" i="2"/>
  <c r="V266" i="2"/>
  <c r="D266" i="2"/>
  <c r="O265" i="2"/>
  <c r="AC263" i="2"/>
  <c r="U258" i="2"/>
  <c r="W266" i="2"/>
  <c r="X261" i="2"/>
  <c r="I263" i="2"/>
  <c r="Q260" i="2"/>
  <c r="P267" i="2"/>
  <c r="S267" i="2"/>
  <c r="AC264" i="2"/>
  <c r="AD258" i="2"/>
  <c r="P260" i="2"/>
  <c r="AG268" i="2"/>
  <c r="U266" i="2"/>
  <c r="C265" i="2"/>
  <c r="U260" i="2"/>
  <c r="X259" i="2"/>
  <c r="Y266" i="2"/>
  <c r="AH260" i="2"/>
  <c r="X268" i="2"/>
  <c r="C267" i="2"/>
  <c r="AI264" i="2"/>
  <c r="T258" i="2"/>
  <c r="C258" i="2"/>
  <c r="J261" i="2"/>
  <c r="Y263" i="2"/>
  <c r="F263" i="2"/>
  <c r="O258" i="2"/>
  <c r="AI263" i="2"/>
  <c r="H260" i="2"/>
  <c r="M258" i="2"/>
  <c r="K263" i="2"/>
  <c r="R258" i="2"/>
  <c r="H265" i="2"/>
  <c r="X265" i="2"/>
  <c r="P259" i="2"/>
  <c r="W258" i="2"/>
  <c r="W260" i="2"/>
  <c r="J267" i="2"/>
  <c r="N263" i="2"/>
  <c r="H266" i="2"/>
  <c r="P258" i="2"/>
  <c r="I261" i="2"/>
  <c r="S259" i="2"/>
  <c r="C261" i="2"/>
  <c r="S262" i="2"/>
  <c r="H259" i="2"/>
  <c r="N259" i="2"/>
  <c r="C262" i="2"/>
  <c r="U259" i="2"/>
  <c r="O268" i="2"/>
  <c r="AC265" i="2"/>
  <c r="Q262" i="2"/>
  <c r="AF264" i="2"/>
  <c r="U265" i="2"/>
  <c r="J266" i="2"/>
  <c r="W264" i="2"/>
  <c r="Z267" i="2"/>
  <c r="L263" i="2"/>
  <c r="AA267" i="2"/>
  <c r="AC268" i="2"/>
  <c r="AE263" i="2"/>
  <c r="Z259" i="2"/>
  <c r="AF260" i="2"/>
  <c r="F265" i="2"/>
  <c r="AC259" i="2"/>
  <c r="AD262" i="2"/>
  <c r="T268" i="2"/>
  <c r="Q264" i="2"/>
  <c r="T264" i="2"/>
  <c r="Q265" i="2"/>
  <c r="J265" i="2"/>
  <c r="K259" i="2"/>
  <c r="P265" i="2"/>
  <c r="J263" i="2"/>
  <c r="AD263" i="2"/>
  <c r="W262" i="2"/>
  <c r="U261" i="2"/>
  <c r="H258" i="2"/>
  <c r="AC258" i="2"/>
  <c r="V259" i="2"/>
  <c r="F259" i="2"/>
  <c r="J268" i="2"/>
  <c r="U267" i="2"/>
  <c r="V265" i="2"/>
  <c r="H262" i="2"/>
  <c r="M259" i="2"/>
  <c r="W265" i="2"/>
  <c r="D265" i="2"/>
  <c r="G265" i="2"/>
  <c r="AA265" i="2"/>
  <c r="L259" i="2"/>
  <c r="AB266" i="2"/>
  <c r="E267" i="2"/>
  <c r="I258" i="2"/>
  <c r="C268" i="2"/>
  <c r="E268" i="2"/>
  <c r="AA268" i="2"/>
  <c r="AB268" i="2"/>
  <c r="P263" i="2"/>
  <c r="V258" i="2"/>
  <c r="AH268" i="2"/>
  <c r="Z262" i="2"/>
  <c r="G264" i="2"/>
  <c r="J264" i="2"/>
  <c r="AH267" i="2"/>
  <c r="H261" i="2"/>
  <c r="D258" i="2"/>
  <c r="M263" i="2"/>
  <c r="L258" i="2"/>
  <c r="R267" i="2"/>
  <c r="T261" i="2"/>
  <c r="AJ259" i="2"/>
  <c r="D267" i="2"/>
  <c r="M265" i="2"/>
  <c r="AH263" i="2"/>
  <c r="AG259" i="2"/>
  <c r="I264" i="2"/>
  <c r="AB262" i="2"/>
  <c r="G262" i="2"/>
  <c r="O263" i="2"/>
  <c r="N267" i="2"/>
  <c r="AD259" i="2"/>
  <c r="AG266" i="2"/>
  <c r="C260" i="2"/>
  <c r="W263" i="2"/>
  <c r="S265" i="2"/>
  <c r="AJ265" i="2"/>
  <c r="X267" i="2"/>
  <c r="AF259" i="2"/>
  <c r="M260" i="2"/>
  <c r="AA261" i="2"/>
  <c r="V261" i="2"/>
  <c r="AD264" i="2"/>
  <c r="K268" i="2"/>
  <c r="AI267" i="2"/>
  <c r="P261" i="2"/>
  <c r="S260" i="2"/>
  <c r="Q266" i="2"/>
  <c r="M264" i="2"/>
  <c r="AC267" i="2"/>
  <c r="O260" i="2"/>
  <c r="Y259" i="2"/>
  <c r="AI260" i="2"/>
  <c r="L264" i="2"/>
  <c r="AE264" i="2"/>
  <c r="AG260" i="2"/>
  <c r="E259" i="2"/>
  <c r="E266" i="2"/>
  <c r="AI262" i="2"/>
  <c r="Z258" i="2"/>
  <c r="X260" i="2"/>
  <c r="S261" i="2"/>
  <c r="AE268" i="2"/>
  <c r="AA260" i="2"/>
  <c r="D259" i="2"/>
  <c r="S258" i="2"/>
  <c r="G263" i="2"/>
  <c r="AB261" i="2"/>
  <c r="D268" i="2"/>
  <c r="E260" i="2"/>
  <c r="L261" i="2"/>
  <c r="E261" i="2"/>
  <c r="Y267" i="2"/>
  <c r="AG263" i="2"/>
  <c r="Z268" i="2"/>
  <c r="AG267" i="2"/>
  <c r="G268" i="2"/>
  <c r="F258" i="2"/>
  <c r="Z264" i="2"/>
  <c r="L265" i="2"/>
  <c r="Q259" i="2"/>
  <c r="W261" i="2"/>
  <c r="AA262" i="2"/>
  <c r="W268" i="2"/>
  <c r="N266" i="2"/>
  <c r="M262" i="2"/>
  <c r="S264" i="2"/>
  <c r="AG262" i="2"/>
  <c r="T265" i="2"/>
  <c r="AE258" i="2"/>
  <c r="D260" i="2"/>
  <c r="L266" i="2"/>
  <c r="AA264" i="2"/>
  <c r="AC260" i="2"/>
  <c r="O267" i="2"/>
  <c r="D264" i="2"/>
  <c r="AH262" i="2"/>
  <c r="F262" i="2"/>
  <c r="K260" i="2"/>
  <c r="E265" i="2"/>
  <c r="R261" i="2"/>
  <c r="AD261" i="2"/>
  <c r="AD266" i="2"/>
  <c r="Q267" i="2"/>
  <c r="K264" i="2"/>
  <c r="P264" i="2"/>
  <c r="K262" i="2"/>
  <c r="V264" i="2"/>
  <c r="F260" i="2"/>
  <c r="Y261" i="2"/>
  <c r="AF265" i="2"/>
  <c r="AD265" i="2"/>
  <c r="I262" i="2"/>
  <c r="AJ267" i="2"/>
  <c r="I268" i="2"/>
  <c r="E262" i="2"/>
  <c r="X262" i="2"/>
  <c r="AJ258" i="2"/>
  <c r="AJ263" i="2"/>
  <c r="N260" i="2"/>
  <c r="Z265" i="2"/>
  <c r="AE266" i="2"/>
  <c r="R263" i="2"/>
  <c r="AA258" i="2"/>
  <c r="AB263" i="2"/>
  <c r="N261" i="2"/>
  <c r="I267" i="2"/>
  <c r="Q263" i="2"/>
  <c r="U268" i="2"/>
  <c r="AF258" i="2"/>
  <c r="M266" i="2"/>
  <c r="AA263" i="2"/>
  <c r="R266" i="2"/>
  <c r="AH264" i="2"/>
  <c r="AG258" i="2"/>
  <c r="Y260" i="2"/>
  <c r="C266" i="2"/>
  <c r="C259" i="2"/>
  <c r="F266" i="2"/>
  <c r="X266" i="2"/>
  <c r="Q261" i="2"/>
  <c r="AI261" i="2"/>
  <c r="X263" i="2"/>
  <c r="AB265" i="2"/>
  <c r="F264" i="2"/>
  <c r="K265" i="2"/>
  <c r="AG264" i="2"/>
  <c r="V268" i="2"/>
  <c r="AF266" i="2"/>
  <c r="T267" i="2"/>
  <c r="Z260" i="2"/>
  <c r="E263" i="2"/>
  <c r="AF267" i="2"/>
  <c r="X258" i="2"/>
  <c r="L268" i="2"/>
  <c r="I265" i="2"/>
  <c r="AA266" i="2"/>
  <c r="AH258" i="2"/>
  <c r="AF268" i="2"/>
  <c r="AH261" i="2"/>
  <c r="E264" i="2"/>
  <c r="U263" i="2"/>
  <c r="K266" i="2"/>
  <c r="J258" i="2"/>
  <c r="I266" i="2"/>
  <c r="AE259" i="2"/>
  <c r="T262" i="2"/>
  <c r="S263" i="2"/>
  <c r="R265" i="2"/>
  <c r="R259" i="2"/>
  <c r="R264" i="2"/>
  <c r="AJ266" i="2"/>
  <c r="AB258" i="2"/>
  <c r="J259" i="2"/>
  <c r="F268" i="2"/>
  <c r="H264" i="2"/>
  <c r="J262" i="2"/>
  <c r="AH265" i="2"/>
  <c r="H267" i="2"/>
  <c r="AE260" i="2"/>
  <c r="I260" i="2"/>
  <c r="K258" i="2"/>
  <c r="Q258" i="2"/>
  <c r="AH266" i="2"/>
  <c r="AB259" i="2"/>
  <c r="Q268" i="2"/>
  <c r="AJ260" i="2"/>
  <c r="AJ268" i="2"/>
  <c r="O266" i="2"/>
  <c r="P262" i="2"/>
  <c r="H263" i="2"/>
  <c r="V260" i="2"/>
  <c r="C264" i="2"/>
  <c r="AI259" i="2"/>
  <c r="L260" i="2"/>
  <c r="AI266" i="2"/>
  <c r="G261" i="2"/>
  <c r="M267" i="2"/>
  <c r="AB267" i="2"/>
  <c r="AG265" i="2"/>
  <c r="O264" i="2"/>
  <c r="AH259" i="2"/>
  <c r="AJ264" i="2"/>
  <c r="M261" i="2"/>
  <c r="S266" i="2"/>
  <c r="Z263" i="2"/>
  <c r="AD268" i="2"/>
  <c r="O259" i="2"/>
  <c r="R262" i="2"/>
  <c r="N258" i="2"/>
  <c r="L262" i="2"/>
  <c r="Y262" i="2"/>
  <c r="F261" i="2"/>
  <c r="D261" i="2"/>
  <c r="AG261" i="2"/>
  <c r="AE261" i="2"/>
  <c r="AC266" i="2"/>
  <c r="AF262" i="2"/>
  <c r="V269" i="2" l="1"/>
  <c r="I269" i="2"/>
  <c r="G269" i="2"/>
  <c r="D269" i="2"/>
  <c r="N269" i="2"/>
  <c r="H269" i="2"/>
  <c r="Q269" i="2"/>
  <c r="X269" i="2"/>
  <c r="C269" i="2"/>
  <c r="AJ269" i="2"/>
  <c r="W269" i="2"/>
  <c r="K269" i="2"/>
  <c r="U269" i="2"/>
  <c r="E269" i="2"/>
  <c r="F269" i="2"/>
  <c r="S269" i="2"/>
  <c r="P269" i="2"/>
  <c r="O269" i="2"/>
  <c r="T269" i="2"/>
  <c r="M269" i="2"/>
  <c r="J269" i="2"/>
  <c r="R269" i="2"/>
  <c r="L269" i="2"/>
  <c r="AK261" i="2" l="1"/>
  <c r="AK259" i="2"/>
  <c r="AK262" i="2"/>
  <c r="AK264" i="2"/>
  <c r="AK267" i="2"/>
  <c r="AK266" i="2"/>
  <c r="AK268" i="2"/>
  <c r="AK260" i="2"/>
  <c r="AK263" i="2"/>
  <c r="AK265" i="2"/>
  <c r="AK258" i="2"/>
  <c r="B273" i="2" l="1"/>
  <c r="A273" i="2" s="1"/>
  <c r="B274" i="2" l="1"/>
  <c r="A274" i="2" s="1"/>
  <c r="B275" i="2" l="1"/>
  <c r="A275" i="2" s="1"/>
  <c r="B276" i="2" l="1"/>
  <c r="A276" i="2" s="1"/>
  <c r="B277" i="2" l="1"/>
  <c r="A277" i="2" s="1"/>
  <c r="B278" i="2" l="1"/>
  <c r="A278" i="2" s="1"/>
  <c r="B279" i="2" l="1"/>
  <c r="A279" i="2" s="1"/>
  <c r="B280" i="2" l="1"/>
  <c r="A280" i="2" s="1"/>
  <c r="B281" i="2" l="1"/>
  <c r="A281" i="2" s="1"/>
  <c r="B282" i="2" l="1"/>
  <c r="A282" i="2" s="1"/>
  <c r="B283" i="2" l="1"/>
  <c r="R274" i="2" s="1"/>
  <c r="U274" i="2" l="1"/>
  <c r="C274" i="2"/>
  <c r="R279" i="2"/>
  <c r="AB275" i="2"/>
  <c r="H277" i="2"/>
  <c r="K276" i="2"/>
  <c r="F281" i="2"/>
  <c r="U278" i="2"/>
  <c r="J283" i="2"/>
  <c r="AA274" i="2"/>
  <c r="M279" i="2"/>
  <c r="AH273" i="2"/>
  <c r="AE283" i="2"/>
  <c r="D273" i="2"/>
  <c r="V280" i="2"/>
  <c r="N275" i="2"/>
  <c r="O276" i="2"/>
  <c r="AB273" i="2"/>
  <c r="H283" i="2"/>
  <c r="C275" i="2"/>
  <c r="U275" i="2"/>
  <c r="AH279" i="2"/>
  <c r="AC283" i="2"/>
  <c r="AC275" i="2"/>
  <c r="U276" i="2"/>
  <c r="AD280" i="2"/>
  <c r="S283" i="2"/>
  <c r="I280" i="2"/>
  <c r="I277" i="2"/>
  <c r="P274" i="2"/>
  <c r="AJ277" i="2"/>
  <c r="Z281" i="2"/>
  <c r="AG274" i="2"/>
  <c r="AB282" i="2"/>
  <c r="D278" i="2"/>
  <c r="Z280" i="2"/>
  <c r="M281" i="2"/>
  <c r="M276" i="2"/>
  <c r="Q275" i="2"/>
  <c r="M273" i="2"/>
  <c r="AD279" i="2"/>
  <c r="E279" i="2"/>
  <c r="G279" i="2"/>
  <c r="F277" i="2"/>
  <c r="T274" i="2"/>
  <c r="AF280" i="2"/>
  <c r="AG282" i="2"/>
  <c r="V276" i="2"/>
  <c r="E278" i="2"/>
  <c r="Y279" i="2"/>
  <c r="AD281" i="2"/>
  <c r="V279" i="2"/>
  <c r="G274" i="2"/>
  <c r="L283" i="2"/>
  <c r="P279" i="2"/>
  <c r="Y281" i="2"/>
  <c r="U280" i="2"/>
  <c r="P276" i="2"/>
  <c r="F282" i="2"/>
  <c r="J274" i="2"/>
  <c r="AF281" i="2"/>
  <c r="D276" i="2"/>
  <c r="N279" i="2"/>
  <c r="K278" i="2"/>
  <c r="AC281" i="2"/>
  <c r="AI280" i="2"/>
  <c r="Z277" i="2"/>
  <c r="I275" i="2"/>
  <c r="AB279" i="2"/>
  <c r="T279" i="2"/>
  <c r="I273" i="2"/>
  <c r="AI281" i="2"/>
  <c r="P278" i="2"/>
  <c r="E282" i="2"/>
  <c r="I278" i="2"/>
  <c r="V281" i="2"/>
  <c r="C277" i="2"/>
  <c r="AB276" i="2"/>
  <c r="S275" i="2"/>
  <c r="X277" i="2"/>
  <c r="N283" i="2"/>
  <c r="R283" i="2"/>
  <c r="AE277" i="2"/>
  <c r="M278" i="2"/>
  <c r="W282" i="2"/>
  <c r="AA279" i="2"/>
  <c r="T281" i="2"/>
  <c r="M274" i="2"/>
  <c r="P273" i="2"/>
  <c r="E274" i="2"/>
  <c r="I274" i="2"/>
  <c r="H275" i="2"/>
  <c r="C278" i="2"/>
  <c r="AG273" i="2"/>
  <c r="AF274" i="2"/>
  <c r="AE279" i="2"/>
  <c r="X280" i="2"/>
  <c r="AI276" i="2"/>
  <c r="AF277" i="2"/>
  <c r="J277" i="2"/>
  <c r="AH278" i="2"/>
  <c r="F280" i="2"/>
  <c r="Q280" i="2"/>
  <c r="Q281" i="2"/>
  <c r="Q283" i="2"/>
  <c r="D277" i="2"/>
  <c r="AA282" i="2"/>
  <c r="AE276" i="2"/>
  <c r="AC282" i="2"/>
  <c r="AI279" i="2"/>
  <c r="AE274" i="2"/>
  <c r="S273" i="2"/>
  <c r="AB277" i="2"/>
  <c r="D282" i="2"/>
  <c r="Q274" i="2"/>
  <c r="F276" i="2"/>
  <c r="R276" i="2"/>
  <c r="AH281" i="2"/>
  <c r="U282" i="2"/>
  <c r="O281" i="2"/>
  <c r="G283" i="2"/>
  <c r="AB283" i="2"/>
  <c r="Q279" i="2"/>
  <c r="X282" i="2"/>
  <c r="AJ279" i="2"/>
  <c r="K279" i="2"/>
  <c r="AG280" i="2"/>
  <c r="AE278" i="2"/>
  <c r="M282" i="2"/>
  <c r="G273" i="2"/>
  <c r="T283" i="2"/>
  <c r="AJ276" i="2"/>
  <c r="G275" i="2"/>
  <c r="W283" i="2"/>
  <c r="E276" i="2"/>
  <c r="W274" i="2"/>
  <c r="R280" i="2"/>
  <c r="AF279" i="2"/>
  <c r="T278" i="2"/>
  <c r="AI274" i="2"/>
  <c r="P283" i="2"/>
  <c r="G277" i="2"/>
  <c r="O274" i="2"/>
  <c r="T275" i="2"/>
  <c r="U283" i="2"/>
  <c r="F283" i="2"/>
  <c r="AB280" i="2"/>
  <c r="U277" i="2"/>
  <c r="L275" i="2"/>
  <c r="Q276" i="2"/>
  <c r="L281" i="2"/>
  <c r="AG283" i="2"/>
  <c r="M283" i="2"/>
  <c r="Y278" i="2"/>
  <c r="W278" i="2"/>
  <c r="V277" i="2"/>
  <c r="J273" i="2"/>
  <c r="AC278" i="2"/>
  <c r="E283" i="2"/>
  <c r="X276" i="2"/>
  <c r="R277" i="2"/>
  <c r="D275" i="2"/>
  <c r="X283" i="2"/>
  <c r="AJ282" i="2"/>
  <c r="V282" i="2"/>
  <c r="AF283" i="2"/>
  <c r="AH276" i="2"/>
  <c r="G282" i="2"/>
  <c r="Q273" i="2"/>
  <c r="AJ280" i="2"/>
  <c r="AI278" i="2"/>
  <c r="F278" i="2"/>
  <c r="W281" i="2"/>
  <c r="AA276" i="2"/>
  <c r="AI273" i="2"/>
  <c r="H281" i="2"/>
  <c r="O275" i="2"/>
  <c r="Q278" i="2"/>
  <c r="V283" i="2"/>
  <c r="W280" i="2"/>
  <c r="Z282" i="2"/>
  <c r="T280" i="2"/>
  <c r="AJ273" i="2"/>
  <c r="N273" i="2"/>
  <c r="S282" i="2"/>
  <c r="S274" i="2"/>
  <c r="S280" i="2"/>
  <c r="AG275" i="2"/>
  <c r="AD276" i="2"/>
  <c r="Z279" i="2"/>
  <c r="AE281" i="2"/>
  <c r="AD274" i="2"/>
  <c r="AA277" i="2"/>
  <c r="Y273" i="2"/>
  <c r="AH282" i="2"/>
  <c r="R278" i="2"/>
  <c r="C282" i="2"/>
  <c r="I281" i="2"/>
  <c r="U279" i="2"/>
  <c r="Y275" i="2"/>
  <c r="AA281" i="2"/>
  <c r="Z275" i="2"/>
  <c r="H278" i="2"/>
  <c r="Q282" i="2"/>
  <c r="K275" i="2"/>
  <c r="R275" i="2"/>
  <c r="Z283" i="2"/>
  <c r="F273" i="2"/>
  <c r="AJ281" i="2"/>
  <c r="AD277" i="2"/>
  <c r="AC280" i="2"/>
  <c r="C273" i="2"/>
  <c r="X274" i="2"/>
  <c r="AH280" i="2"/>
  <c r="J281" i="2"/>
  <c r="D274" i="2"/>
  <c r="AC273" i="2"/>
  <c r="AH275" i="2"/>
  <c r="N277" i="2"/>
  <c r="J282" i="2"/>
  <c r="S277" i="2"/>
  <c r="V274" i="2"/>
  <c r="Y277" i="2"/>
  <c r="F275" i="2"/>
  <c r="AE280" i="2"/>
  <c r="L278" i="2"/>
  <c r="L274" i="2"/>
  <c r="A283" i="2"/>
  <c r="AH283" i="2"/>
  <c r="K281" i="2"/>
  <c r="D283" i="2"/>
  <c r="Y282" i="2"/>
  <c r="C283" i="2"/>
  <c r="J279" i="2"/>
  <c r="AG278" i="2"/>
  <c r="X278" i="2"/>
  <c r="W277" i="2"/>
  <c r="N278" i="2"/>
  <c r="AE273" i="2"/>
  <c r="H280" i="2"/>
  <c r="V278" i="2"/>
  <c r="W275" i="2"/>
  <c r="AC279" i="2"/>
  <c r="X275" i="2"/>
  <c r="J276" i="2"/>
  <c r="O279" i="2"/>
  <c r="D279" i="2"/>
  <c r="N281" i="2"/>
  <c r="G281" i="2"/>
  <c r="Y276" i="2"/>
  <c r="X273" i="2"/>
  <c r="AJ275" i="2"/>
  <c r="AJ274" i="2"/>
  <c r="L276" i="2"/>
  <c r="N282" i="2"/>
  <c r="AG279" i="2"/>
  <c r="AC274" i="2"/>
  <c r="J275" i="2"/>
  <c r="W279" i="2"/>
  <c r="G280" i="2"/>
  <c r="I276" i="2"/>
  <c r="S278" i="2"/>
  <c r="P282" i="2"/>
  <c r="D281" i="2"/>
  <c r="AF275" i="2"/>
  <c r="X279" i="2"/>
  <c r="AB278" i="2"/>
  <c r="AI283" i="2"/>
  <c r="AE275" i="2"/>
  <c r="AH277" i="2"/>
  <c r="K274" i="2"/>
  <c r="Z278" i="2"/>
  <c r="U281" i="2"/>
  <c r="AF273" i="2"/>
  <c r="N276" i="2"/>
  <c r="I282" i="2"/>
  <c r="L279" i="2"/>
  <c r="H282" i="2"/>
  <c r="L280" i="2"/>
  <c r="AD283" i="2"/>
  <c r="T282" i="2"/>
  <c r="O277" i="2"/>
  <c r="O280" i="2"/>
  <c r="O282" i="2"/>
  <c r="Z276" i="2"/>
  <c r="AI282" i="2"/>
  <c r="C276" i="2"/>
  <c r="AD278" i="2"/>
  <c r="AH274" i="2"/>
  <c r="W276" i="2"/>
  <c r="AI277" i="2"/>
  <c r="Y274" i="2"/>
  <c r="G278" i="2"/>
  <c r="W273" i="2"/>
  <c r="P275" i="2"/>
  <c r="R273" i="2"/>
  <c r="E277" i="2"/>
  <c r="G276" i="2"/>
  <c r="Y283" i="2"/>
  <c r="Y280" i="2"/>
  <c r="AE282" i="2"/>
  <c r="K280" i="2"/>
  <c r="E281" i="2"/>
  <c r="R281" i="2"/>
  <c r="AJ283" i="2"/>
  <c r="K282" i="2"/>
  <c r="L273" i="2"/>
  <c r="H279" i="2"/>
  <c r="M275" i="2"/>
  <c r="AA273" i="2"/>
  <c r="M277" i="2"/>
  <c r="AA283" i="2"/>
  <c r="H274" i="2"/>
  <c r="Z274" i="2"/>
  <c r="N274" i="2"/>
  <c r="AD275" i="2"/>
  <c r="P280" i="2"/>
  <c r="K277" i="2"/>
  <c r="AF276" i="2"/>
  <c r="AA275" i="2"/>
  <c r="AG281" i="2"/>
  <c r="V273" i="2"/>
  <c r="F279" i="2"/>
  <c r="L277" i="2"/>
  <c r="E273" i="2"/>
  <c r="S276" i="2"/>
  <c r="O283" i="2"/>
  <c r="P277" i="2"/>
  <c r="AF278" i="2"/>
  <c r="U273" i="2"/>
  <c r="F274" i="2"/>
  <c r="AB274" i="2"/>
  <c r="I279" i="2"/>
  <c r="O273" i="2"/>
  <c r="M280" i="2"/>
  <c r="AC277" i="2"/>
  <c r="C281" i="2"/>
  <c r="N280" i="2"/>
  <c r="AD273" i="2"/>
  <c r="H276" i="2"/>
  <c r="AB281" i="2"/>
  <c r="T273" i="2"/>
  <c r="AG277" i="2"/>
  <c r="S281" i="2"/>
  <c r="E280" i="2"/>
  <c r="Q277" i="2"/>
  <c r="T277" i="2"/>
  <c r="AG276" i="2"/>
  <c r="H273" i="2"/>
  <c r="AI275" i="2"/>
  <c r="J280" i="2"/>
  <c r="P281" i="2"/>
  <c r="Z273" i="2"/>
  <c r="I283" i="2"/>
  <c r="AJ278" i="2"/>
  <c r="J278" i="2"/>
  <c r="O278" i="2"/>
  <c r="AA280" i="2"/>
  <c r="AC276" i="2"/>
  <c r="X281" i="2"/>
  <c r="S279" i="2"/>
  <c r="D280" i="2"/>
  <c r="R282" i="2"/>
  <c r="V275" i="2"/>
  <c r="T276" i="2"/>
  <c r="E275" i="2"/>
  <c r="C279" i="2"/>
  <c r="AA278" i="2"/>
  <c r="C280" i="2"/>
  <c r="K283" i="2"/>
  <c r="K273" i="2"/>
  <c r="AD282" i="2"/>
  <c r="L282" i="2"/>
  <c r="AF282" i="2"/>
  <c r="V284" i="2" l="1"/>
  <c r="X284" i="2"/>
  <c r="Q284" i="2"/>
  <c r="C284" i="2"/>
  <c r="I284" i="2"/>
  <c r="K284" i="2"/>
  <c r="R284" i="2"/>
  <c r="AJ284" i="2"/>
  <c r="J284" i="2"/>
  <c r="F284" i="2"/>
  <c r="N284" i="2"/>
  <c r="G284" i="2"/>
  <c r="U284" i="2"/>
  <c r="T284" i="2"/>
  <c r="P284" i="2"/>
  <c r="W284" i="2"/>
  <c r="D284" i="2"/>
  <c r="M284" i="2"/>
  <c r="L284" i="2"/>
  <c r="H284" i="2"/>
  <c r="S284" i="2"/>
  <c r="E284" i="2"/>
  <c r="O284" i="2"/>
  <c r="AK279" i="2" l="1"/>
  <c r="AK276" i="2"/>
  <c r="AK278" i="2"/>
  <c r="AK280" i="2"/>
  <c r="AK275" i="2"/>
  <c r="AK277" i="2"/>
  <c r="AK273" i="2"/>
  <c r="AK281" i="2"/>
  <c r="AK282" i="2"/>
  <c r="AK283" i="2"/>
  <c r="AK274" i="2"/>
  <c r="B288" i="2" l="1"/>
  <c r="A288" i="2" s="1"/>
  <c r="B289" i="2" l="1"/>
  <c r="A289" i="2" s="1"/>
  <c r="B290" i="2" l="1"/>
  <c r="A290" i="2" s="1"/>
  <c r="B291" i="2" l="1"/>
  <c r="A291" i="2" s="1"/>
  <c r="B292" i="2" l="1"/>
  <c r="A292" i="2" s="1"/>
  <c r="B293" i="2" l="1"/>
  <c r="A293" i="2" s="1"/>
  <c r="B294" i="2" l="1"/>
  <c r="A294" i="2" s="1"/>
  <c r="B295" i="2" l="1"/>
  <c r="A295" i="2" s="1"/>
  <c r="B296" i="2" l="1"/>
  <c r="A296" i="2" s="1"/>
  <c r="B297" i="2" l="1"/>
  <c r="A297" i="2" s="1"/>
  <c r="B298" i="2" l="1"/>
  <c r="D296" i="2" s="1"/>
  <c r="N297" i="2" l="1"/>
  <c r="P288" i="2"/>
  <c r="M298" i="2"/>
  <c r="O289" i="2"/>
  <c r="R294" i="2"/>
  <c r="E294" i="2"/>
  <c r="S290" i="2"/>
  <c r="E292" i="2"/>
  <c r="AA292" i="2"/>
  <c r="A298" i="2"/>
  <c r="F293" i="2"/>
  <c r="AG289" i="2"/>
  <c r="AD290" i="2"/>
  <c r="P290" i="2"/>
  <c r="R293" i="2"/>
  <c r="H298" i="2"/>
  <c r="AF291" i="2"/>
  <c r="W292" i="2"/>
  <c r="AJ296" i="2"/>
  <c r="AI296" i="2"/>
  <c r="AE295" i="2"/>
  <c r="E297" i="2"/>
  <c r="AJ290" i="2"/>
  <c r="E298" i="2"/>
  <c r="M290" i="2"/>
  <c r="Q291" i="2"/>
  <c r="O293" i="2"/>
  <c r="F296" i="2"/>
  <c r="V293" i="2"/>
  <c r="AC289" i="2"/>
  <c r="F298" i="2"/>
  <c r="AC290" i="2"/>
  <c r="AA294" i="2"/>
  <c r="Y298" i="2"/>
  <c r="X296" i="2"/>
  <c r="L298" i="2"/>
  <c r="K296" i="2"/>
  <c r="G292" i="2"/>
  <c r="Z295" i="2"/>
  <c r="Z298" i="2"/>
  <c r="AG295" i="2"/>
  <c r="M291" i="2"/>
  <c r="U288" i="2"/>
  <c r="AH290" i="2"/>
  <c r="T288" i="2"/>
  <c r="Q295" i="2"/>
  <c r="W296" i="2"/>
  <c r="P295" i="2"/>
  <c r="D292" i="2"/>
  <c r="AC298" i="2"/>
  <c r="Y293" i="2"/>
  <c r="L290" i="2"/>
  <c r="AA291" i="2"/>
  <c r="P296" i="2"/>
  <c r="J297" i="2"/>
  <c r="L295" i="2"/>
  <c r="AD288" i="2"/>
  <c r="Q288" i="2"/>
  <c r="P294" i="2"/>
  <c r="L292" i="2"/>
  <c r="M296" i="2"/>
  <c r="AG292" i="2"/>
  <c r="O292" i="2"/>
  <c r="AC294" i="2"/>
  <c r="Y294" i="2"/>
  <c r="S292" i="2"/>
  <c r="AJ291" i="2"/>
  <c r="K291" i="2"/>
  <c r="AB296" i="2"/>
  <c r="AI291" i="2"/>
  <c r="AF295" i="2"/>
  <c r="AG297" i="2"/>
  <c r="AI290" i="2"/>
  <c r="H294" i="2"/>
  <c r="AD295" i="2"/>
  <c r="U291" i="2"/>
  <c r="K295" i="2"/>
  <c r="J290" i="2"/>
  <c r="G289" i="2"/>
  <c r="L297" i="2"/>
  <c r="I295" i="2"/>
  <c r="C298" i="2"/>
  <c r="P297" i="2"/>
  <c r="AD296" i="2"/>
  <c r="AJ298" i="2"/>
  <c r="AA290" i="2"/>
  <c r="X289" i="2"/>
  <c r="U292" i="2"/>
  <c r="I298" i="2"/>
  <c r="Z297" i="2"/>
  <c r="J291" i="2"/>
  <c r="AA289" i="2"/>
  <c r="J294" i="2"/>
  <c r="L289" i="2"/>
  <c r="T298" i="2"/>
  <c r="C295" i="2"/>
  <c r="D291" i="2"/>
  <c r="S296" i="2"/>
  <c r="F290" i="2"/>
  <c r="H295" i="2"/>
  <c r="U294" i="2"/>
  <c r="X288" i="2"/>
  <c r="AB297" i="2"/>
  <c r="H291" i="2"/>
  <c r="X295" i="2"/>
  <c r="Y290" i="2"/>
  <c r="AE291" i="2"/>
  <c r="V289" i="2"/>
  <c r="G288" i="2"/>
  <c r="Y288" i="2"/>
  <c r="H296" i="2"/>
  <c r="I296" i="2"/>
  <c r="AI298" i="2"/>
  <c r="I292" i="2"/>
  <c r="AE288" i="2"/>
  <c r="T291" i="2"/>
  <c r="O291" i="2"/>
  <c r="AG298" i="2"/>
  <c r="S295" i="2"/>
  <c r="J298" i="2"/>
  <c r="Y292" i="2"/>
  <c r="E290" i="2"/>
  <c r="F289" i="2"/>
  <c r="AF292" i="2"/>
  <c r="Y295" i="2"/>
  <c r="Q289" i="2"/>
  <c r="N291" i="2"/>
  <c r="K290" i="2"/>
  <c r="AJ294" i="2"/>
  <c r="U293" i="2"/>
  <c r="E288" i="2"/>
  <c r="AJ295" i="2"/>
  <c r="D294" i="2"/>
  <c r="I297" i="2"/>
  <c r="AE297" i="2"/>
  <c r="W294" i="2"/>
  <c r="Q297" i="2"/>
  <c r="N289" i="2"/>
  <c r="AD298" i="2"/>
  <c r="L293" i="2"/>
  <c r="E295" i="2"/>
  <c r="S288" i="2"/>
  <c r="W295" i="2"/>
  <c r="Z291" i="2"/>
  <c r="AA288" i="2"/>
  <c r="R291" i="2"/>
  <c r="AD291" i="2"/>
  <c r="AB291" i="2"/>
  <c r="AF289" i="2"/>
  <c r="U290" i="2"/>
  <c r="E296" i="2"/>
  <c r="Y289" i="2"/>
  <c r="AA297" i="2"/>
  <c r="AG293" i="2"/>
  <c r="Z289" i="2"/>
  <c r="M288" i="2"/>
  <c r="I293" i="2"/>
  <c r="K294" i="2"/>
  <c r="H289" i="2"/>
  <c r="K292" i="2"/>
  <c r="E291" i="2"/>
  <c r="Q294" i="2"/>
  <c r="L291" i="2"/>
  <c r="Y297" i="2"/>
  <c r="X290" i="2"/>
  <c r="AC296" i="2"/>
  <c r="T295" i="2"/>
  <c r="AC293" i="2"/>
  <c r="R298" i="2"/>
  <c r="AA296" i="2"/>
  <c r="AG291" i="2"/>
  <c r="R288" i="2"/>
  <c r="V290" i="2"/>
  <c r="U296" i="2"/>
  <c r="N294" i="2"/>
  <c r="AH289" i="2"/>
  <c r="AB293" i="2"/>
  <c r="T294" i="2"/>
  <c r="F295" i="2"/>
  <c r="G293" i="2"/>
  <c r="D288" i="2"/>
  <c r="G295" i="2"/>
  <c r="T297" i="2"/>
  <c r="J295" i="2"/>
  <c r="O290" i="2"/>
  <c r="AE290" i="2"/>
  <c r="G298" i="2"/>
  <c r="P291" i="2"/>
  <c r="L294" i="2"/>
  <c r="AE289" i="2"/>
  <c r="S293" i="2"/>
  <c r="AI289" i="2"/>
  <c r="X292" i="2"/>
  <c r="O295" i="2"/>
  <c r="C290" i="2"/>
  <c r="D290" i="2"/>
  <c r="N290" i="2"/>
  <c r="W297" i="2"/>
  <c r="AE296" i="2"/>
  <c r="AA298" i="2"/>
  <c r="M292" i="2"/>
  <c r="C294" i="2"/>
  <c r="W290" i="2"/>
  <c r="J289" i="2"/>
  <c r="AI295" i="2"/>
  <c r="E293" i="2"/>
  <c r="M294" i="2"/>
  <c r="D295" i="2"/>
  <c r="AJ289" i="2"/>
  <c r="W293" i="2"/>
  <c r="AG296" i="2"/>
  <c r="AH296" i="2"/>
  <c r="L296" i="2"/>
  <c r="AJ293" i="2"/>
  <c r="Z288" i="2"/>
  <c r="M289" i="2"/>
  <c r="C288" i="2"/>
  <c r="U295" i="2"/>
  <c r="AE294" i="2"/>
  <c r="O297" i="2"/>
  <c r="U289" i="2"/>
  <c r="S297" i="2"/>
  <c r="AI293" i="2"/>
  <c r="R295" i="2"/>
  <c r="H293" i="2"/>
  <c r="O288" i="2"/>
  <c r="AI288" i="2"/>
  <c r="D298" i="2"/>
  <c r="Y291" i="2"/>
  <c r="AI292" i="2"/>
  <c r="F292" i="2"/>
  <c r="AA293" i="2"/>
  <c r="N295" i="2"/>
  <c r="G296" i="2"/>
  <c r="N292" i="2"/>
  <c r="Q290" i="2"/>
  <c r="C291" i="2"/>
  <c r="AF293" i="2"/>
  <c r="T293" i="2"/>
  <c r="M297" i="2"/>
  <c r="D297" i="2"/>
  <c r="H290" i="2"/>
  <c r="Z294" i="2"/>
  <c r="I291" i="2"/>
  <c r="AF298" i="2"/>
  <c r="AA295" i="2"/>
  <c r="AF297" i="2"/>
  <c r="F297" i="2"/>
  <c r="V288" i="2"/>
  <c r="AI294" i="2"/>
  <c r="Z296" i="2"/>
  <c r="X294" i="2"/>
  <c r="AB292" i="2"/>
  <c r="L288" i="2"/>
  <c r="AB290" i="2"/>
  <c r="J296" i="2"/>
  <c r="M293" i="2"/>
  <c r="Q296" i="2"/>
  <c r="G297" i="2"/>
  <c r="AC297" i="2"/>
  <c r="M295" i="2"/>
  <c r="AJ297" i="2"/>
  <c r="Q292" i="2"/>
  <c r="I289" i="2"/>
  <c r="AD289" i="2"/>
  <c r="D293" i="2"/>
  <c r="X291" i="2"/>
  <c r="W298" i="2"/>
  <c r="R292" i="2"/>
  <c r="I288" i="2"/>
  <c r="K298" i="2"/>
  <c r="H297" i="2"/>
  <c r="AD292" i="2"/>
  <c r="P292" i="2"/>
  <c r="G294" i="2"/>
  <c r="K288" i="2"/>
  <c r="J292" i="2"/>
  <c r="X297" i="2"/>
  <c r="S298" i="2"/>
  <c r="P293" i="2"/>
  <c r="AD294" i="2"/>
  <c r="N296" i="2"/>
  <c r="G290" i="2"/>
  <c r="W291" i="2"/>
  <c r="F294" i="2"/>
  <c r="AB289" i="2"/>
  <c r="S291" i="2"/>
  <c r="AF288" i="2"/>
  <c r="V295" i="2"/>
  <c r="AI297" i="2"/>
  <c r="AD293" i="2"/>
  <c r="R296" i="2"/>
  <c r="S294" i="2"/>
  <c r="I290" i="2"/>
  <c r="V294" i="2"/>
  <c r="AF294" i="2"/>
  <c r="AB298" i="2"/>
  <c r="AC291" i="2"/>
  <c r="AG294" i="2"/>
  <c r="N293" i="2"/>
  <c r="Q293" i="2"/>
  <c r="AH295" i="2"/>
  <c r="C293" i="2"/>
  <c r="C296" i="2"/>
  <c r="R289" i="2"/>
  <c r="AE292" i="2"/>
  <c r="R290" i="2"/>
  <c r="AG290" i="2"/>
  <c r="V296" i="2"/>
  <c r="AC288" i="2"/>
  <c r="K293" i="2"/>
  <c r="AJ292" i="2"/>
  <c r="AE293" i="2"/>
  <c r="U297" i="2"/>
  <c r="X293" i="2"/>
  <c r="P289" i="2"/>
  <c r="AD297" i="2"/>
  <c r="T289" i="2"/>
  <c r="N298" i="2"/>
  <c r="C297" i="2"/>
  <c r="V298" i="2"/>
  <c r="AH291" i="2"/>
  <c r="AH293" i="2"/>
  <c r="V292" i="2"/>
  <c r="AC295" i="2"/>
  <c r="K297" i="2"/>
  <c r="AH292" i="2"/>
  <c r="W289" i="2"/>
  <c r="F288" i="2"/>
  <c r="D289" i="2"/>
  <c r="AH294" i="2"/>
  <c r="G291" i="2"/>
  <c r="AC292" i="2"/>
  <c r="K289" i="2"/>
  <c r="Y296" i="2"/>
  <c r="AB295" i="2"/>
  <c r="O298" i="2"/>
  <c r="F291" i="2"/>
  <c r="T292" i="2"/>
  <c r="Z290" i="2"/>
  <c r="C292" i="2"/>
  <c r="T296" i="2"/>
  <c r="AG288" i="2"/>
  <c r="T290" i="2"/>
  <c r="Z293" i="2"/>
  <c r="Z292" i="2"/>
  <c r="R297" i="2"/>
  <c r="O296" i="2"/>
  <c r="W288" i="2"/>
  <c r="E289" i="2"/>
  <c r="AH298" i="2"/>
  <c r="AB294" i="2"/>
  <c r="N288" i="2"/>
  <c r="AJ288" i="2"/>
  <c r="C289" i="2"/>
  <c r="I294" i="2"/>
  <c r="AF296" i="2"/>
  <c r="AF290" i="2"/>
  <c r="S289" i="2"/>
  <c r="AE298" i="2"/>
  <c r="H292" i="2"/>
  <c r="H288" i="2"/>
  <c r="J288" i="2"/>
  <c r="AH288" i="2"/>
  <c r="V297" i="2"/>
  <c r="V291" i="2"/>
  <c r="AH297" i="2"/>
  <c r="P298" i="2"/>
  <c r="J293" i="2"/>
  <c r="O294" i="2"/>
  <c r="AB288" i="2"/>
  <c r="Q298" i="2"/>
  <c r="U298" i="2"/>
  <c r="X298" i="2"/>
  <c r="X299" i="2" l="1"/>
  <c r="E299" i="2"/>
  <c r="L299" i="2"/>
  <c r="M299" i="2"/>
  <c r="K299" i="2"/>
  <c r="D299" i="2"/>
  <c r="N299" i="2"/>
  <c r="G299" i="2"/>
  <c r="S299" i="2"/>
  <c r="P299" i="2"/>
  <c r="W299" i="2"/>
  <c r="H299" i="2"/>
  <c r="C299" i="2"/>
  <c r="R299" i="2"/>
  <c r="U299" i="2"/>
  <c r="J299" i="2"/>
  <c r="Q299" i="2"/>
  <c r="I299" i="2"/>
  <c r="V299" i="2"/>
  <c r="AJ299" i="2"/>
  <c r="F299" i="2"/>
  <c r="O299" i="2"/>
  <c r="T299" i="2"/>
  <c r="AK293" i="2" l="1"/>
  <c r="AK296" i="2"/>
  <c r="AK291" i="2"/>
  <c r="AK289" i="2"/>
  <c r="AK295" i="2"/>
  <c r="AK294" i="2"/>
  <c r="AK292" i="2"/>
  <c r="AK298" i="2"/>
  <c r="AK297" i="2"/>
  <c r="AK288" i="2"/>
  <c r="AK290" i="2"/>
  <c r="B303" i="2" l="1"/>
  <c r="A303" i="2" s="1"/>
  <c r="B304" i="2" l="1"/>
  <c r="A304" i="2" s="1"/>
  <c r="B305" i="2" l="1"/>
  <c r="A305" i="2" s="1"/>
  <c r="B306" i="2" l="1"/>
  <c r="A306" i="2" s="1"/>
  <c r="B307" i="2" l="1"/>
  <c r="A307" i="2" s="1"/>
  <c r="B308" i="2" l="1"/>
  <c r="A308" i="2" s="1"/>
  <c r="B309" i="2" l="1"/>
  <c r="A309" i="2" s="1"/>
  <c r="B310" i="2" l="1"/>
  <c r="A310" i="2" s="1"/>
  <c r="B311" i="2" l="1"/>
  <c r="A311" i="2" s="1"/>
  <c r="B312" i="2" l="1"/>
  <c r="A312" i="2" s="1"/>
  <c r="B313" i="2" l="1"/>
  <c r="D303" i="2" s="1"/>
  <c r="I303" i="2" l="1"/>
  <c r="R305" i="2"/>
  <c r="X307" i="2"/>
  <c r="H307" i="2"/>
  <c r="J309" i="2"/>
  <c r="AH312" i="2"/>
  <c r="AJ312" i="2"/>
  <c r="AG306" i="2"/>
  <c r="AC308" i="2"/>
  <c r="V313" i="2"/>
  <c r="AC306" i="2"/>
  <c r="O304" i="2"/>
  <c r="AB312" i="2"/>
  <c r="F313" i="2"/>
  <c r="AG304" i="2"/>
  <c r="I304" i="2"/>
  <c r="AI306" i="2"/>
  <c r="AE303" i="2"/>
  <c r="I305" i="2"/>
  <c r="AB305" i="2"/>
  <c r="M307" i="2"/>
  <c r="N312" i="2"/>
  <c r="D313" i="2"/>
  <c r="Y308" i="2"/>
  <c r="T311" i="2"/>
  <c r="AF310" i="2"/>
  <c r="AE312" i="2"/>
  <c r="C303" i="2"/>
  <c r="D310" i="2"/>
  <c r="S312" i="2"/>
  <c r="W313" i="2"/>
  <c r="H306" i="2"/>
  <c r="Z306" i="2"/>
  <c r="U11" i="3"/>
  <c r="X11" i="3" s="1"/>
  <c r="K312" i="2"/>
  <c r="N309" i="2"/>
  <c r="AH309" i="2"/>
  <c r="P312" i="2"/>
  <c r="M306" i="2"/>
  <c r="R312" i="2"/>
  <c r="AH310" i="2"/>
  <c r="D307" i="2"/>
  <c r="V303" i="2"/>
  <c r="K306" i="2"/>
  <c r="AE306" i="2"/>
  <c r="J304" i="2"/>
  <c r="M308" i="2"/>
  <c r="AE304" i="2"/>
  <c r="X304" i="2"/>
  <c r="M305" i="2"/>
  <c r="G313" i="2"/>
  <c r="AJ307" i="2"/>
  <c r="H308" i="2"/>
  <c r="AH313" i="2"/>
  <c r="G308" i="2"/>
  <c r="AG310" i="2"/>
  <c r="K309" i="2"/>
  <c r="L313" i="2"/>
  <c r="R306" i="2"/>
  <c r="AH311" i="2"/>
  <c r="D304" i="2"/>
  <c r="AC303" i="2"/>
  <c r="U6" i="3"/>
  <c r="X6" i="3" s="1"/>
  <c r="AH303" i="2"/>
  <c r="R310" i="2"/>
  <c r="Q306" i="2"/>
  <c r="U306" i="2"/>
  <c r="AE308" i="2"/>
  <c r="V310" i="2"/>
  <c r="O305" i="2"/>
  <c r="S310" i="2"/>
  <c r="J307" i="2"/>
  <c r="O303" i="2"/>
  <c r="T309" i="2"/>
  <c r="U309" i="2"/>
  <c r="V312" i="2"/>
  <c r="U311" i="2"/>
  <c r="Q313" i="2"/>
  <c r="M304" i="2"/>
  <c r="J308" i="2"/>
  <c r="AI305" i="2"/>
  <c r="D312" i="2"/>
  <c r="C313" i="2"/>
  <c r="N307" i="2"/>
  <c r="AF303" i="2"/>
  <c r="G309" i="2"/>
  <c r="V309" i="2"/>
  <c r="S303" i="2"/>
  <c r="AA312" i="2"/>
  <c r="O313" i="2"/>
  <c r="E305" i="2"/>
  <c r="AE311" i="2"/>
  <c r="M312" i="2"/>
  <c r="AA306" i="2"/>
  <c r="U13" i="3"/>
  <c r="X13" i="3" s="1"/>
  <c r="P309" i="2"/>
  <c r="R313" i="2"/>
  <c r="AA305" i="2"/>
  <c r="J311" i="2"/>
  <c r="AC305" i="2"/>
  <c r="AG308" i="2"/>
  <c r="U4" i="3"/>
  <c r="X4" i="3" s="1"/>
  <c r="T312" i="2"/>
  <c r="Q310" i="2"/>
  <c r="U305" i="2"/>
  <c r="F306" i="2"/>
  <c r="E310" i="2"/>
  <c r="AF306" i="2"/>
  <c r="V308" i="2"/>
  <c r="AD313" i="2"/>
  <c r="AH305" i="2"/>
  <c r="K307" i="2"/>
  <c r="T306" i="2"/>
  <c r="E304" i="2"/>
  <c r="AJ309" i="2"/>
  <c r="M11" i="3" s="1"/>
  <c r="BW2649" i="3" s="1"/>
  <c r="H310" i="2"/>
  <c r="Q312" i="2"/>
  <c r="AA303" i="2"/>
  <c r="R308" i="2"/>
  <c r="Z310" i="2"/>
  <c r="R304" i="2"/>
  <c r="P311" i="2"/>
  <c r="E306" i="2"/>
  <c r="S305" i="2"/>
  <c r="R309" i="2"/>
  <c r="L306" i="2"/>
  <c r="Y306" i="2"/>
  <c r="U307" i="2"/>
  <c r="AJ311" i="2"/>
  <c r="U308" i="2"/>
  <c r="AB303" i="2"/>
  <c r="S308" i="2"/>
  <c r="Y304" i="2"/>
  <c r="X303" i="2"/>
  <c r="AF308" i="2"/>
  <c r="I312" i="2"/>
  <c r="G305" i="2"/>
  <c r="C307" i="2"/>
  <c r="AF309" i="2"/>
  <c r="AD310" i="2"/>
  <c r="K304" i="2"/>
  <c r="AI311" i="2"/>
  <c r="C312" i="2"/>
  <c r="L310" i="2"/>
  <c r="A313" i="2"/>
  <c r="U310" i="2"/>
  <c r="K303" i="2"/>
  <c r="I307" i="2"/>
  <c r="L305" i="2"/>
  <c r="AB309" i="2"/>
  <c r="AD311" i="2"/>
  <c r="AF305" i="2"/>
  <c r="Q305" i="2"/>
  <c r="J305" i="2"/>
  <c r="X311" i="2"/>
  <c r="E313" i="2"/>
  <c r="AJ308" i="2"/>
  <c r="AE309" i="2"/>
  <c r="E308" i="2"/>
  <c r="AJ303" i="2"/>
  <c r="D311" i="2"/>
  <c r="J313" i="2"/>
  <c r="AH304" i="2"/>
  <c r="M313" i="2"/>
  <c r="P308" i="2"/>
  <c r="U10" i="3"/>
  <c r="X10" i="3" s="1"/>
  <c r="AB313" i="2"/>
  <c r="AH307" i="2"/>
  <c r="I306" i="2"/>
  <c r="F312" i="2"/>
  <c r="T308" i="2"/>
  <c r="S307" i="2"/>
  <c r="AC311" i="2"/>
  <c r="I309" i="2"/>
  <c r="Z309" i="2"/>
  <c r="W311" i="2"/>
  <c r="AC313" i="2"/>
  <c r="V307" i="2"/>
  <c r="AF307" i="2"/>
  <c r="AD306" i="2"/>
  <c r="H309" i="2"/>
  <c r="W307" i="2"/>
  <c r="G311" i="2"/>
  <c r="J310" i="2"/>
  <c r="I313" i="2"/>
  <c r="W306" i="2"/>
  <c r="AB304" i="2"/>
  <c r="Y310" i="2"/>
  <c r="Q308" i="2"/>
  <c r="Z303" i="2"/>
  <c r="Z305" i="2"/>
  <c r="AA310" i="2"/>
  <c r="Y311" i="2"/>
  <c r="C310" i="2"/>
  <c r="AG303" i="2"/>
  <c r="D305" i="2"/>
  <c r="U313" i="2"/>
  <c r="C309" i="2"/>
  <c r="K313" i="2"/>
  <c r="Y305" i="2"/>
  <c r="S311" i="2"/>
  <c r="F308" i="2"/>
  <c r="AD303" i="2"/>
  <c r="F311" i="2"/>
  <c r="U304" i="2"/>
  <c r="Z311" i="2"/>
  <c r="AI303" i="2"/>
  <c r="Y307" i="2"/>
  <c r="W309" i="2"/>
  <c r="C311" i="2"/>
  <c r="E309" i="2"/>
  <c r="V311" i="2"/>
  <c r="W304" i="2"/>
  <c r="AE310" i="2"/>
  <c r="Z313" i="2"/>
  <c r="T310" i="2"/>
  <c r="U12" i="3"/>
  <c r="X12" i="3" s="1"/>
  <c r="P304" i="2"/>
  <c r="E303" i="2"/>
  <c r="AI312" i="2"/>
  <c r="G307" i="2"/>
  <c r="F303" i="2"/>
  <c r="AA311" i="2"/>
  <c r="N303" i="2"/>
  <c r="AE307" i="2"/>
  <c r="AF312" i="2"/>
  <c r="R307" i="2"/>
  <c r="I310" i="2"/>
  <c r="P310" i="2"/>
  <c r="H313" i="2"/>
  <c r="AC309" i="2"/>
  <c r="Q303" i="2"/>
  <c r="P313" i="2"/>
  <c r="J306" i="2"/>
  <c r="K311" i="2"/>
  <c r="W312" i="2"/>
  <c r="W305" i="2"/>
  <c r="AG307" i="2"/>
  <c r="H311" i="2"/>
  <c r="K308" i="2"/>
  <c r="N311" i="2"/>
  <c r="P303" i="2"/>
  <c r="AE313" i="2"/>
  <c r="AB308" i="2"/>
  <c r="AC307" i="2"/>
  <c r="C306" i="2"/>
  <c r="P307" i="2"/>
  <c r="AI309" i="2"/>
  <c r="X312" i="2"/>
  <c r="G306" i="2"/>
  <c r="S309" i="2"/>
  <c r="C304" i="2"/>
  <c r="AF313" i="2"/>
  <c r="O309" i="2"/>
  <c r="AC310" i="2"/>
  <c r="U303" i="2"/>
  <c r="AB306" i="2"/>
  <c r="L308" i="2"/>
  <c r="AA313" i="2"/>
  <c r="U5" i="3"/>
  <c r="X5" i="3" s="1"/>
  <c r="E311" i="2"/>
  <c r="G303" i="2"/>
  <c r="N313" i="2"/>
  <c r="Y309" i="2"/>
  <c r="Q307" i="2"/>
  <c r="M311" i="2"/>
  <c r="AG305" i="2"/>
  <c r="AC312" i="2"/>
  <c r="AC304" i="2"/>
  <c r="N310" i="2"/>
  <c r="D309" i="2"/>
  <c r="AA309" i="2"/>
  <c r="E312" i="2"/>
  <c r="AD305" i="2"/>
  <c r="M309" i="2"/>
  <c r="J312" i="2"/>
  <c r="O310" i="2"/>
  <c r="X306" i="2"/>
  <c r="AB310" i="2"/>
  <c r="G304" i="2"/>
  <c r="V304" i="2"/>
  <c r="N306" i="2"/>
  <c r="L304" i="2"/>
  <c r="Q309" i="2"/>
  <c r="O306" i="2"/>
  <c r="H304" i="2"/>
  <c r="L312" i="2"/>
  <c r="AD307" i="2"/>
  <c r="E307" i="2"/>
  <c r="O311" i="2"/>
  <c r="W308" i="2"/>
  <c r="AI313" i="2"/>
  <c r="AH308" i="2"/>
  <c r="X309" i="2"/>
  <c r="Q304" i="2"/>
  <c r="AJ310" i="2"/>
  <c r="M303" i="2"/>
  <c r="T313" i="2"/>
  <c r="F305" i="2"/>
  <c r="X310" i="2"/>
  <c r="D306" i="2"/>
  <c r="AJ306" i="2"/>
  <c r="AG312" i="2"/>
  <c r="T303" i="2"/>
  <c r="T304" i="2"/>
  <c r="AJ313" i="2"/>
  <c r="AJ304" i="2"/>
  <c r="P306" i="2"/>
  <c r="X308" i="2"/>
  <c r="C308" i="2"/>
  <c r="X313" i="2"/>
  <c r="U312" i="2"/>
  <c r="AD309" i="2"/>
  <c r="H312" i="2"/>
  <c r="U7" i="3"/>
  <c r="X7" i="3" s="1"/>
  <c r="L311" i="2"/>
  <c r="N304" i="2"/>
  <c r="X305" i="2"/>
  <c r="Y312" i="2"/>
  <c r="F307" i="2"/>
  <c r="AI307" i="2"/>
  <c r="Z308" i="2"/>
  <c r="O308" i="2"/>
  <c r="F309" i="2"/>
  <c r="L309" i="2"/>
  <c r="AD312" i="2"/>
  <c r="I308" i="2"/>
  <c r="G312" i="2"/>
  <c r="AG309" i="2"/>
  <c r="R303" i="2"/>
  <c r="Z307" i="2"/>
  <c r="AA304" i="2"/>
  <c r="U8" i="3"/>
  <c r="X8" i="3" s="1"/>
  <c r="AI310" i="2"/>
  <c r="G310" i="2"/>
  <c r="L307" i="2"/>
  <c r="AG313" i="2"/>
  <c r="V306" i="2"/>
  <c r="V305" i="2"/>
  <c r="AF311" i="2"/>
  <c r="R311" i="2"/>
  <c r="P305" i="2"/>
  <c r="N305" i="2"/>
  <c r="AD304" i="2"/>
  <c r="AB311" i="2"/>
  <c r="O307" i="2"/>
  <c r="W310" i="2"/>
  <c r="S304" i="2"/>
  <c r="Y313" i="2"/>
  <c r="AJ305" i="2"/>
  <c r="Z312" i="2"/>
  <c r="AG311" i="2"/>
  <c r="T305" i="2"/>
  <c r="I311" i="2"/>
  <c r="C305" i="2"/>
  <c r="U9" i="3"/>
  <c r="X9" i="3" s="1"/>
  <c r="S306" i="2"/>
  <c r="M310" i="2"/>
  <c r="AB307" i="2"/>
  <c r="AH306" i="2"/>
  <c r="F310" i="2"/>
  <c r="AA308" i="2"/>
  <c r="L303" i="2"/>
  <c r="Q311" i="2"/>
  <c r="J303" i="2"/>
  <c r="H303" i="2"/>
  <c r="F304" i="2"/>
  <c r="T307" i="2"/>
  <c r="AF304" i="2"/>
  <c r="H305" i="2"/>
  <c r="AE305" i="2"/>
  <c r="Z304" i="2"/>
  <c r="O312" i="2"/>
  <c r="K305" i="2"/>
  <c r="S313" i="2"/>
  <c r="K310" i="2"/>
  <c r="AD308" i="2"/>
  <c r="AI308" i="2"/>
  <c r="Y303" i="2"/>
  <c r="AI304" i="2"/>
  <c r="N308" i="2"/>
  <c r="W303" i="2"/>
  <c r="U3" i="3"/>
  <c r="V3" i="3" s="1"/>
  <c r="AA307" i="2"/>
  <c r="D308" i="2"/>
  <c r="M10" i="3"/>
  <c r="BQ1009" i="3" s="1"/>
  <c r="M5" i="3"/>
  <c r="AM1956" i="3" s="1"/>
  <c r="M9" i="3"/>
  <c r="BK640" i="3" s="1"/>
  <c r="M3" i="3"/>
  <c r="AA986" i="3" s="1"/>
  <c r="BW178" i="3"/>
  <c r="BW2164" i="3"/>
  <c r="BW2326" i="3"/>
  <c r="BW2510" i="3"/>
  <c r="BW686" i="3"/>
  <c r="BW201" i="3"/>
  <c r="BW848" i="3"/>
  <c r="Q11" i="3"/>
  <c r="BW1702" i="3"/>
  <c r="BW1864" i="3"/>
  <c r="BW2372" i="3"/>
  <c r="BW2718" i="3"/>
  <c r="BW155" i="3"/>
  <c r="BW2487" i="3"/>
  <c r="BW1333" i="3"/>
  <c r="BW2418" i="3"/>
  <c r="BW1471" i="3"/>
  <c r="BW1032" i="3"/>
  <c r="BW1402" i="3"/>
  <c r="BW40" i="3"/>
  <c r="BW2395" i="3"/>
  <c r="BW478" i="3"/>
  <c r="BW571" i="3"/>
  <c r="BW617" i="3"/>
  <c r="BW1494" i="3"/>
  <c r="BW1102" i="3"/>
  <c r="BW825" i="3"/>
  <c r="BW1240" i="3"/>
  <c r="BW409" i="3"/>
  <c r="BW2118" i="3"/>
  <c r="BW2626" i="3"/>
  <c r="M7" i="3"/>
  <c r="M4" i="3" l="1"/>
  <c r="BW1310" i="3"/>
  <c r="BW2187" i="3"/>
  <c r="BW2279" i="3"/>
  <c r="BW963" i="3"/>
  <c r="BW917" i="3"/>
  <c r="BW2002" i="3"/>
  <c r="BW2533" i="3"/>
  <c r="BW732" i="3"/>
  <c r="BW940" i="3"/>
  <c r="BW2302" i="3"/>
  <c r="BW1540" i="3"/>
  <c r="BW1587" i="3"/>
  <c r="BW755" i="3"/>
  <c r="BW1217" i="3"/>
  <c r="BW2441" i="3"/>
  <c r="BW132" i="3"/>
  <c r="BW2672" i="3"/>
  <c r="BW1933" i="3"/>
  <c r="BW802" i="3"/>
  <c r="BW663" i="3"/>
  <c r="BW432" i="3"/>
  <c r="BW1125" i="3"/>
  <c r="BW1956" i="3"/>
  <c r="BW1725" i="3"/>
  <c r="BW1056" i="3"/>
  <c r="U23" i="3"/>
  <c r="X23" i="3" s="1"/>
  <c r="BW86" i="3"/>
  <c r="BW2256" i="3"/>
  <c r="BW501" i="3"/>
  <c r="BW1818" i="3"/>
  <c r="M12" i="3"/>
  <c r="CC455" i="3" s="1"/>
  <c r="BW224" i="3"/>
  <c r="BW524" i="3"/>
  <c r="BW1356" i="3"/>
  <c r="BW2764" i="3"/>
  <c r="BW455" i="3"/>
  <c r="O11" i="3"/>
  <c r="S12" i="1" s="1"/>
  <c r="BW594" i="3"/>
  <c r="BW2072" i="3"/>
  <c r="BW1148" i="3"/>
  <c r="BW2095" i="3"/>
  <c r="BW2233" i="3"/>
  <c r="BW1633" i="3"/>
  <c r="BW871" i="3"/>
  <c r="BW894" i="3"/>
  <c r="BW986" i="3"/>
  <c r="BW386" i="3"/>
  <c r="BW1286" i="3"/>
  <c r="BW1194" i="3"/>
  <c r="BW340" i="3"/>
  <c r="BW1425" i="3"/>
  <c r="BW2580" i="3"/>
  <c r="BW1794" i="3"/>
  <c r="BW2741" i="3"/>
  <c r="BW2556" i="3"/>
  <c r="BW294" i="3"/>
  <c r="BW2141" i="3"/>
  <c r="BW363" i="3"/>
  <c r="BW1679" i="3"/>
  <c r="BW2464" i="3"/>
  <c r="BW317" i="3"/>
  <c r="BW1841" i="3"/>
  <c r="BW2810" i="3"/>
  <c r="BW63" i="3"/>
  <c r="BW640" i="3"/>
  <c r="BW548" i="3"/>
  <c r="BW1079" i="3"/>
  <c r="BW1009" i="3"/>
  <c r="BW2787" i="3"/>
  <c r="BW1771" i="3"/>
  <c r="BW1263" i="3"/>
  <c r="BW1171" i="3"/>
  <c r="BW270" i="3"/>
  <c r="BW1379" i="3"/>
  <c r="BW1448" i="3"/>
  <c r="BW1748" i="3"/>
  <c r="BW1564" i="3"/>
  <c r="BW2210" i="3"/>
  <c r="BW2603" i="3"/>
  <c r="BW1610" i="3"/>
  <c r="BW2025" i="3"/>
  <c r="BW1910" i="3"/>
  <c r="BW2349" i="3"/>
  <c r="BW1887" i="3"/>
  <c r="BW709" i="3"/>
  <c r="BW1979" i="3"/>
  <c r="BW247" i="3"/>
  <c r="BW109" i="3"/>
  <c r="BW778" i="3"/>
  <c r="BW2048" i="3"/>
  <c r="BW2695" i="3"/>
  <c r="BW1656" i="3"/>
  <c r="BW1517" i="3"/>
  <c r="CC894" i="3"/>
  <c r="M8" i="3"/>
  <c r="M6" i="3"/>
  <c r="CC2002" i="3"/>
  <c r="CC1471" i="3"/>
  <c r="CC2764" i="3"/>
  <c r="M2" i="3"/>
  <c r="J314" i="2"/>
  <c r="S314" i="2"/>
  <c r="O314" i="2"/>
  <c r="D314" i="2"/>
  <c r="BK686" i="3"/>
  <c r="BK663" i="3"/>
  <c r="BK478" i="3"/>
  <c r="U21" i="3"/>
  <c r="X21" i="3" s="1"/>
  <c r="BK986" i="3"/>
  <c r="Q314" i="2"/>
  <c r="E314" i="2"/>
  <c r="M314" i="2"/>
  <c r="R314" i="2"/>
  <c r="BK894" i="3"/>
  <c r="T314" i="2"/>
  <c r="U314" i="2"/>
  <c r="BQ1286" i="3"/>
  <c r="F314" i="2"/>
  <c r="L314" i="2"/>
  <c r="C314" i="2"/>
  <c r="BK1818" i="3"/>
  <c r="BK455" i="3"/>
  <c r="BQ432" i="3"/>
  <c r="BK2095" i="3"/>
  <c r="BK1864" i="3"/>
  <c r="BK132" i="3"/>
  <c r="BK1171" i="3"/>
  <c r="BK1587" i="3"/>
  <c r="BK2118" i="3"/>
  <c r="BK2072" i="3"/>
  <c r="K314" i="2"/>
  <c r="P314" i="2"/>
  <c r="BK802" i="3"/>
  <c r="BK2695" i="3"/>
  <c r="BK1794" i="3"/>
  <c r="O9" i="3"/>
  <c r="S10" i="1" s="1"/>
  <c r="BK2741" i="3"/>
  <c r="BK1725" i="3"/>
  <c r="BK1194" i="3"/>
  <c r="BK501" i="3"/>
  <c r="BK2418" i="3"/>
  <c r="BK709" i="3"/>
  <c r="BK548" i="3"/>
  <c r="BK732" i="3"/>
  <c r="BK848" i="3"/>
  <c r="BK201" i="3"/>
  <c r="BK2279" i="3"/>
  <c r="BK1679" i="3"/>
  <c r="AM363" i="3"/>
  <c r="AM640" i="3"/>
  <c r="AM1402" i="3"/>
  <c r="AM2741" i="3"/>
  <c r="AM571" i="3"/>
  <c r="AM340" i="3"/>
  <c r="AM1864" i="3"/>
  <c r="AM963" i="3"/>
  <c r="AM1818" i="3"/>
  <c r="AM2649" i="3"/>
  <c r="AM2441" i="3"/>
  <c r="AM1079" i="3"/>
  <c r="AM2279" i="3"/>
  <c r="AM1887" i="3"/>
  <c r="AM802" i="3"/>
  <c r="I314" i="2"/>
  <c r="V314" i="2"/>
  <c r="X314" i="2"/>
  <c r="N314" i="2"/>
  <c r="G314" i="2"/>
  <c r="W314" i="2"/>
  <c r="AM2672" i="3"/>
  <c r="AM2626" i="3"/>
  <c r="O5" i="3"/>
  <c r="AM1771" i="3"/>
  <c r="AM1009" i="3"/>
  <c r="AM1379" i="3"/>
  <c r="AM2210" i="3"/>
  <c r="AM917" i="3"/>
  <c r="BQ548" i="3"/>
  <c r="AM1032" i="3"/>
  <c r="AM86" i="3"/>
  <c r="AM1310" i="3"/>
  <c r="AM894" i="3"/>
  <c r="AM2256" i="3"/>
  <c r="AM2141" i="3"/>
  <c r="AM1194" i="3"/>
  <c r="AM2556" i="3"/>
  <c r="BQ1425" i="3"/>
  <c r="BQ1748" i="3"/>
  <c r="BQ1725" i="3"/>
  <c r="BQ1771" i="3"/>
  <c r="BQ1702" i="3"/>
  <c r="BQ1979" i="3"/>
  <c r="BQ2510" i="3"/>
  <c r="BQ86" i="3"/>
  <c r="BQ294" i="3"/>
  <c r="BQ1240" i="3"/>
  <c r="BQ709" i="3"/>
  <c r="BQ1448" i="3"/>
  <c r="BQ571" i="3"/>
  <c r="BQ2672" i="3"/>
  <c r="BQ2395" i="3"/>
  <c r="BQ2187" i="3"/>
  <c r="BQ1956" i="3"/>
  <c r="BQ201" i="3"/>
  <c r="BQ178" i="3"/>
  <c r="U22" i="3"/>
  <c r="X22" i="3" s="1"/>
  <c r="BK409" i="3"/>
  <c r="BK2810" i="3"/>
  <c r="BK1979" i="3"/>
  <c r="BK340" i="3"/>
  <c r="BK2510" i="3"/>
  <c r="BK1425" i="3"/>
  <c r="BK2556" i="3"/>
  <c r="BK594" i="3"/>
  <c r="BK432" i="3"/>
  <c r="BK2302" i="3"/>
  <c r="BK917" i="3"/>
  <c r="BQ894" i="3"/>
  <c r="BQ1794" i="3"/>
  <c r="BQ802" i="3"/>
  <c r="Q10" i="3"/>
  <c r="BQ1263" i="3"/>
  <c r="BQ2048" i="3"/>
  <c r="BQ455" i="3"/>
  <c r="BQ1310" i="3"/>
  <c r="BQ2695" i="3"/>
  <c r="BQ2464" i="3"/>
  <c r="BQ2787" i="3"/>
  <c r="BQ270" i="3"/>
  <c r="BQ478" i="3"/>
  <c r="BQ1540" i="3"/>
  <c r="AM317" i="3"/>
  <c r="AM1448" i="3"/>
  <c r="AM2025" i="3"/>
  <c r="AM1517" i="3"/>
  <c r="AM1286" i="3"/>
  <c r="AM2533" i="3"/>
  <c r="AM178" i="3"/>
  <c r="AM1471" i="3"/>
  <c r="AM1125" i="3"/>
  <c r="AM1540" i="3"/>
  <c r="AM501" i="3"/>
  <c r="AM732" i="3"/>
  <c r="AM1171" i="3"/>
  <c r="AM2395" i="3"/>
  <c r="AM1794" i="3"/>
  <c r="AM2695" i="3"/>
  <c r="AM871" i="3"/>
  <c r="AM2002" i="3"/>
  <c r="AM386" i="3"/>
  <c r="AM409" i="3"/>
  <c r="AM1910" i="3"/>
  <c r="AM986" i="3"/>
  <c r="AM224" i="3"/>
  <c r="AM2464" i="3"/>
  <c r="AM2418" i="3"/>
  <c r="AM201" i="3"/>
  <c r="AM40" i="3"/>
  <c r="AM2580" i="3"/>
  <c r="AM2072" i="3"/>
  <c r="AM1564" i="3"/>
  <c r="AM1725" i="3"/>
  <c r="X3" i="3"/>
  <c r="Y3" i="3" s="1"/>
  <c r="Y4" i="3" s="1"/>
  <c r="AM940" i="3"/>
  <c r="AM2787" i="3"/>
  <c r="AM2487" i="3"/>
  <c r="AM548" i="3"/>
  <c r="AM2095" i="3"/>
  <c r="AM1702" i="3"/>
  <c r="AM686" i="3"/>
  <c r="AM1425" i="3"/>
  <c r="AM155" i="3"/>
  <c r="AM1263" i="3"/>
  <c r="AM1633" i="3"/>
  <c r="AM825" i="3"/>
  <c r="AM2603" i="3"/>
  <c r="AM109" i="3"/>
  <c r="AM1102" i="3"/>
  <c r="AM1933" i="3"/>
  <c r="U17" i="3"/>
  <c r="X17" i="3" s="1"/>
  <c r="AM2164" i="3"/>
  <c r="AM2810" i="3"/>
  <c r="AM2187" i="3"/>
  <c r="AM2764" i="3"/>
  <c r="AM2349" i="3"/>
  <c r="AM1217" i="3"/>
  <c r="AM594" i="3"/>
  <c r="AM2048" i="3"/>
  <c r="AM1056" i="3"/>
  <c r="AM1240" i="3"/>
  <c r="Q5" i="3"/>
  <c r="AM132" i="3"/>
  <c r="AM2233" i="3"/>
  <c r="AM1656" i="3"/>
  <c r="AM294" i="3"/>
  <c r="AM478" i="3"/>
  <c r="AM2510" i="3"/>
  <c r="AM2372" i="3"/>
  <c r="AM1679" i="3"/>
  <c r="AM663" i="3"/>
  <c r="AM524" i="3"/>
  <c r="AM2118" i="3"/>
  <c r="AM778" i="3"/>
  <c r="AM432" i="3"/>
  <c r="AM270" i="3"/>
  <c r="AM2302" i="3"/>
  <c r="AM1333" i="3"/>
  <c r="AM617" i="3"/>
  <c r="AM1748" i="3"/>
  <c r="AM848" i="3"/>
  <c r="AM1587" i="3"/>
  <c r="AM247" i="3"/>
  <c r="AM1841" i="3"/>
  <c r="AM2326" i="3"/>
  <c r="AM1356" i="3"/>
  <c r="AM755" i="3"/>
  <c r="AM455" i="3"/>
  <c r="AM1148" i="3"/>
  <c r="AM1494" i="3"/>
  <c r="AM1979" i="3"/>
  <c r="AM709" i="3"/>
  <c r="AM1610" i="3"/>
  <c r="AM63" i="3"/>
  <c r="AM2718" i="3"/>
  <c r="H314" i="2"/>
  <c r="BQ1379" i="3"/>
  <c r="BQ871" i="3"/>
  <c r="BQ2741" i="3"/>
  <c r="BQ848" i="3"/>
  <c r="BQ524" i="3"/>
  <c r="BQ1194" i="3"/>
  <c r="BQ1356" i="3"/>
  <c r="BQ2418" i="3"/>
  <c r="BQ732" i="3"/>
  <c r="BQ1032" i="3"/>
  <c r="BQ2441" i="3"/>
  <c r="BQ2603" i="3"/>
  <c r="BQ2372" i="3"/>
  <c r="BQ2095" i="3"/>
  <c r="O10" i="3"/>
  <c r="S11" i="1" s="1"/>
  <c r="BQ1910" i="3"/>
  <c r="BQ2118" i="3"/>
  <c r="BQ1656" i="3"/>
  <c r="BQ2302" i="3"/>
  <c r="BQ2533" i="3"/>
  <c r="BQ386" i="3"/>
  <c r="BQ155" i="3"/>
  <c r="BQ1148" i="3"/>
  <c r="BQ640" i="3"/>
  <c r="BQ2164" i="3"/>
  <c r="BQ2556" i="3"/>
  <c r="BQ1587" i="3"/>
  <c r="BQ2764" i="3"/>
  <c r="BQ2233" i="3"/>
  <c r="BQ1402" i="3"/>
  <c r="BQ1633" i="3"/>
  <c r="BQ363" i="3"/>
  <c r="BQ2025" i="3"/>
  <c r="BQ1056" i="3"/>
  <c r="BQ317" i="3"/>
  <c r="BQ1564" i="3"/>
  <c r="BQ1079" i="3"/>
  <c r="BQ1517" i="3"/>
  <c r="BQ1102" i="3"/>
  <c r="BQ2279" i="3"/>
  <c r="BQ2072" i="3"/>
  <c r="BQ2718" i="3"/>
  <c r="BQ755" i="3"/>
  <c r="BQ2210" i="3"/>
  <c r="BQ1471" i="3"/>
  <c r="BQ1610" i="3"/>
  <c r="BQ132" i="3"/>
  <c r="BQ109" i="3"/>
  <c r="BQ40" i="3"/>
  <c r="BQ963" i="3"/>
  <c r="BQ2810" i="3"/>
  <c r="BQ1887" i="3"/>
  <c r="BQ1333" i="3"/>
  <c r="BQ2349" i="3"/>
  <c r="BQ2256" i="3"/>
  <c r="BQ501" i="3"/>
  <c r="AG917" i="3"/>
  <c r="AG1032" i="3"/>
  <c r="AG317" i="3"/>
  <c r="AG594" i="3"/>
  <c r="AG1286" i="3"/>
  <c r="AG1194" i="3"/>
  <c r="AG1841" i="3"/>
  <c r="AG2418" i="3"/>
  <c r="AG825" i="3"/>
  <c r="AG1356" i="3"/>
  <c r="AG294" i="3"/>
  <c r="AG2603" i="3"/>
  <c r="AG2187" i="3"/>
  <c r="Q4" i="3"/>
  <c r="AG2718" i="3"/>
  <c r="AG2787" i="3"/>
  <c r="AG871" i="3"/>
  <c r="AG2072" i="3"/>
  <c r="AG2048" i="3"/>
  <c r="AG1748" i="3"/>
  <c r="AG1471" i="3"/>
  <c r="AG2441" i="3"/>
  <c r="U16" i="3"/>
  <c r="X16" i="3" s="1"/>
  <c r="AG709" i="3"/>
  <c r="AG363" i="3"/>
  <c r="AG963" i="3"/>
  <c r="AG2533" i="3"/>
  <c r="AG1818" i="3"/>
  <c r="AG940" i="3"/>
  <c r="AG155" i="3"/>
  <c r="AG778" i="3"/>
  <c r="AG270" i="3"/>
  <c r="AG1079" i="3"/>
  <c r="AG1910" i="3"/>
  <c r="AG478" i="3"/>
  <c r="AG1125" i="3"/>
  <c r="AG1656" i="3"/>
  <c r="AG2741" i="3"/>
  <c r="AG2210" i="3"/>
  <c r="AG178" i="3"/>
  <c r="AG2464" i="3"/>
  <c r="AG2002" i="3"/>
  <c r="AG732" i="3"/>
  <c r="AG686" i="3"/>
  <c r="AG1794" i="3"/>
  <c r="AG1771" i="3"/>
  <c r="AG2233" i="3"/>
  <c r="AG1333" i="3"/>
  <c r="AG1009" i="3"/>
  <c r="AG1425" i="3"/>
  <c r="AG2095" i="3"/>
  <c r="AG1864" i="3"/>
  <c r="AG802" i="3"/>
  <c r="AG224" i="3"/>
  <c r="AG2302" i="3"/>
  <c r="AG663" i="3"/>
  <c r="AG1702" i="3"/>
  <c r="AG2349" i="3"/>
  <c r="AG2672" i="3"/>
  <c r="AG1564" i="3"/>
  <c r="AG2025" i="3"/>
  <c r="AG2164" i="3"/>
  <c r="AG1633" i="3"/>
  <c r="AG2510" i="3"/>
  <c r="AG63" i="3"/>
  <c r="AG2256" i="3"/>
  <c r="AG1402" i="3"/>
  <c r="AG2372" i="3"/>
  <c r="AG1725" i="3"/>
  <c r="AG1587" i="3"/>
  <c r="AG1448" i="3"/>
  <c r="AG1263" i="3"/>
  <c r="AG409" i="3"/>
  <c r="AG617" i="3"/>
  <c r="AG640" i="3"/>
  <c r="AG1217" i="3"/>
  <c r="AG1956" i="3"/>
  <c r="AG1240" i="3"/>
  <c r="AG848" i="3"/>
  <c r="AG2810" i="3"/>
  <c r="AG1540" i="3"/>
  <c r="AG1148" i="3"/>
  <c r="AG201" i="3"/>
  <c r="AG1517" i="3"/>
  <c r="AG548" i="3"/>
  <c r="AG1979" i="3"/>
  <c r="AG1102" i="3"/>
  <c r="AG2118" i="3"/>
  <c r="AG2626" i="3"/>
  <c r="AG1310" i="3"/>
  <c r="AG755" i="3"/>
  <c r="AG1610" i="3"/>
  <c r="AG1056" i="3"/>
  <c r="AG1933" i="3"/>
  <c r="O4" i="3"/>
  <c r="AG2487" i="3"/>
  <c r="AG1379" i="3"/>
  <c r="AG40" i="3"/>
  <c r="AG1494" i="3"/>
  <c r="AG386" i="3"/>
  <c r="AG340" i="3"/>
  <c r="AG2395" i="3"/>
  <c r="AG501" i="3"/>
  <c r="AG2695" i="3"/>
  <c r="BQ663" i="3"/>
  <c r="BQ2002" i="3"/>
  <c r="BQ340" i="3"/>
  <c r="BQ1125" i="3"/>
  <c r="BQ2326" i="3"/>
  <c r="BQ778" i="3"/>
  <c r="BQ1171" i="3"/>
  <c r="BQ917" i="3"/>
  <c r="BQ1679" i="3"/>
  <c r="BQ409" i="3"/>
  <c r="BQ224" i="3"/>
  <c r="BQ2626" i="3"/>
  <c r="BQ617" i="3"/>
  <c r="BQ1818" i="3"/>
  <c r="BQ2487" i="3"/>
  <c r="BQ940" i="3"/>
  <c r="BQ825" i="3"/>
  <c r="BQ1841" i="3"/>
  <c r="BQ63" i="3"/>
  <c r="BQ1933" i="3"/>
  <c r="BQ1217" i="3"/>
  <c r="BQ2649" i="3"/>
  <c r="BQ986" i="3"/>
  <c r="BQ2580" i="3"/>
  <c r="BQ594" i="3"/>
  <c r="BQ2141" i="3"/>
  <c r="BQ247" i="3"/>
  <c r="BQ1864" i="3"/>
  <c r="BQ1494" i="3"/>
  <c r="BQ686" i="3"/>
  <c r="AJ314" i="2"/>
  <c r="O13" i="3" s="1"/>
  <c r="S6" i="1" s="1"/>
  <c r="BK1702" i="3"/>
  <c r="BK40" i="3"/>
  <c r="BK2464" i="3"/>
  <c r="BK270" i="3"/>
  <c r="BK2672" i="3"/>
  <c r="BK778" i="3"/>
  <c r="BK940" i="3"/>
  <c r="BK1032" i="3"/>
  <c r="BK1517" i="3"/>
  <c r="BK155" i="3"/>
  <c r="BK1748" i="3"/>
  <c r="BK1933" i="3"/>
  <c r="BK1009" i="3"/>
  <c r="BK617" i="3"/>
  <c r="BK1379" i="3"/>
  <c r="BK2349" i="3"/>
  <c r="BK1610" i="3"/>
  <c r="BK2441" i="3"/>
  <c r="BK1217" i="3"/>
  <c r="BK1633" i="3"/>
  <c r="BK109" i="3"/>
  <c r="BK1356" i="3"/>
  <c r="BK63" i="3"/>
  <c r="BK1125" i="3"/>
  <c r="BK2487" i="3"/>
  <c r="BK2210" i="3"/>
  <c r="BK1910" i="3"/>
  <c r="BK1956" i="3"/>
  <c r="BK1056" i="3"/>
  <c r="BK1564" i="3"/>
  <c r="BK2533" i="3"/>
  <c r="BK1494" i="3"/>
  <c r="BK755" i="3"/>
  <c r="BK2256" i="3"/>
  <c r="BK1079" i="3"/>
  <c r="BK1656" i="3"/>
  <c r="BK294" i="3"/>
  <c r="BK2764" i="3"/>
  <c r="BK2187" i="3"/>
  <c r="BK1333" i="3"/>
  <c r="BK2580" i="3"/>
  <c r="BK1286" i="3"/>
  <c r="BK1841" i="3"/>
  <c r="BK1402" i="3"/>
  <c r="BK2048" i="3"/>
  <c r="BK363" i="3"/>
  <c r="BK2603" i="3"/>
  <c r="BK386" i="3"/>
  <c r="BK1887" i="3"/>
  <c r="BK2025" i="3"/>
  <c r="BK2649" i="3"/>
  <c r="BK1771" i="3"/>
  <c r="BK1240" i="3"/>
  <c r="BK1448" i="3"/>
  <c r="BK1540" i="3"/>
  <c r="BK1310" i="3"/>
  <c r="BK871" i="3"/>
  <c r="Q9" i="3"/>
  <c r="BK2395" i="3"/>
  <c r="BK224" i="3"/>
  <c r="BK86" i="3"/>
  <c r="BK963" i="3"/>
  <c r="BK1471" i="3"/>
  <c r="BK178" i="3"/>
  <c r="BK247" i="3"/>
  <c r="BK825" i="3"/>
  <c r="BK1102" i="3"/>
  <c r="BK2626" i="3"/>
  <c r="BK1148" i="3"/>
  <c r="AG2764" i="3"/>
  <c r="AG2279" i="3"/>
  <c r="AG1679" i="3"/>
  <c r="AG86" i="3"/>
  <c r="AG455" i="3"/>
  <c r="AG894" i="3"/>
  <c r="AG2326" i="3"/>
  <c r="AG1171" i="3"/>
  <c r="AG2580" i="3"/>
  <c r="AG2649" i="3"/>
  <c r="AG986" i="3"/>
  <c r="AG247" i="3"/>
  <c r="AG132" i="3"/>
  <c r="AG109" i="3"/>
  <c r="AG571" i="3"/>
  <c r="AG2556" i="3"/>
  <c r="AG524" i="3"/>
  <c r="AG432" i="3"/>
  <c r="AG1887" i="3"/>
  <c r="AG2141" i="3"/>
  <c r="W848" i="3"/>
  <c r="AA2395" i="3"/>
  <c r="AA640" i="3"/>
  <c r="AA1310" i="3"/>
  <c r="AA1702" i="3"/>
  <c r="AA709" i="3"/>
  <c r="AA178" i="3"/>
  <c r="AA2672" i="3"/>
  <c r="AA2603" i="3"/>
  <c r="AA2279" i="3"/>
  <c r="AA2025" i="3"/>
  <c r="AA663" i="3"/>
  <c r="AA1887" i="3"/>
  <c r="AA1564" i="3"/>
  <c r="AA432" i="3"/>
  <c r="AA940" i="3"/>
  <c r="AA1056" i="3"/>
  <c r="AA1425" i="3"/>
  <c r="AA732" i="3"/>
  <c r="AA1379" i="3"/>
  <c r="AA478" i="3"/>
  <c r="AA2372" i="3"/>
  <c r="AA2210" i="3"/>
  <c r="AA2072" i="3"/>
  <c r="AA1956" i="3"/>
  <c r="AA2118" i="3"/>
  <c r="AA917" i="3"/>
  <c r="AA571" i="3"/>
  <c r="AA2487" i="3"/>
  <c r="AA2787" i="3"/>
  <c r="AA386" i="3"/>
  <c r="AA1656" i="3"/>
  <c r="AA40" i="3"/>
  <c r="AA524" i="3"/>
  <c r="AA2002" i="3"/>
  <c r="AA2095" i="3"/>
  <c r="AA1748" i="3"/>
  <c r="AA501" i="3"/>
  <c r="AA848" i="3"/>
  <c r="AA2164" i="3"/>
  <c r="AA894" i="3"/>
  <c r="AA2580" i="3"/>
  <c r="AA409" i="3"/>
  <c r="AA1009" i="3"/>
  <c r="AA1540" i="3"/>
  <c r="BK2718" i="3"/>
  <c r="BK2164" i="3"/>
  <c r="BK2326" i="3"/>
  <c r="BK2787" i="3"/>
  <c r="BK571" i="3"/>
  <c r="BK2233" i="3"/>
  <c r="BK1263" i="3"/>
  <c r="BK2141" i="3"/>
  <c r="BK2372" i="3"/>
  <c r="BK2002" i="3"/>
  <c r="BK317" i="3"/>
  <c r="BK524" i="3"/>
  <c r="AA317" i="3"/>
  <c r="AA825" i="3"/>
  <c r="AA247" i="3"/>
  <c r="AA2718" i="3"/>
  <c r="AA1794" i="3"/>
  <c r="AA1448" i="3"/>
  <c r="AA1841" i="3"/>
  <c r="AA2741" i="3"/>
  <c r="AA594" i="3"/>
  <c r="AA2441" i="3"/>
  <c r="AA2326" i="3"/>
  <c r="AA294" i="3"/>
  <c r="AA1402" i="3"/>
  <c r="AA1356" i="3"/>
  <c r="AA1771" i="3"/>
  <c r="W1771" i="3"/>
  <c r="W40" i="3"/>
  <c r="W802" i="3"/>
  <c r="W825" i="3"/>
  <c r="W686" i="3"/>
  <c r="S14" i="1"/>
  <c r="W2464" i="3"/>
  <c r="W2649" i="3"/>
  <c r="W571" i="3"/>
  <c r="W1633" i="3"/>
  <c r="W2210" i="3"/>
  <c r="W2533" i="3"/>
  <c r="W1194" i="3"/>
  <c r="W501" i="3"/>
  <c r="AA2510" i="3"/>
  <c r="AA2695" i="3"/>
  <c r="AA63" i="3"/>
  <c r="AA155" i="3"/>
  <c r="AA2233" i="3"/>
  <c r="AA871" i="3"/>
  <c r="W247" i="3"/>
  <c r="AA2418" i="3"/>
  <c r="W478" i="3"/>
  <c r="AA224" i="3"/>
  <c r="W363" i="3"/>
  <c r="AA1494" i="3"/>
  <c r="AA1333" i="3"/>
  <c r="AA340" i="3"/>
  <c r="AA548" i="3"/>
  <c r="AA1263" i="3"/>
  <c r="AA455" i="3"/>
  <c r="AA201" i="3"/>
  <c r="AA1102" i="3"/>
  <c r="AA2556" i="3"/>
  <c r="AA363" i="3"/>
  <c r="W2441" i="3"/>
  <c r="AA2302" i="3"/>
  <c r="AA2187" i="3"/>
  <c r="AA2626" i="3"/>
  <c r="AA109" i="3"/>
  <c r="AA778" i="3"/>
  <c r="W2372" i="3"/>
  <c r="AA1240" i="3"/>
  <c r="AA1910" i="3"/>
  <c r="AA2141" i="3"/>
  <c r="AA270" i="3"/>
  <c r="AA617" i="3"/>
  <c r="AA1933" i="3"/>
  <c r="AA1286" i="3"/>
  <c r="AA2533" i="3"/>
  <c r="W640" i="3"/>
  <c r="Q4" i="1"/>
  <c r="O3" i="3"/>
  <c r="Q3" i="3"/>
  <c r="U4" i="1" s="1"/>
  <c r="AA1148" i="3"/>
  <c r="AA2256" i="3"/>
  <c r="AA2048" i="3"/>
  <c r="AA755" i="3"/>
  <c r="W2487" i="3"/>
  <c r="AA1032" i="3"/>
  <c r="AA1818" i="3"/>
  <c r="W86" i="3"/>
  <c r="W2233" i="3"/>
  <c r="AA86" i="3"/>
  <c r="W594" i="3"/>
  <c r="AA1171" i="3"/>
  <c r="AA1217" i="3"/>
  <c r="AA1864" i="3"/>
  <c r="AA2464" i="3"/>
  <c r="AA1979" i="3"/>
  <c r="AA802" i="3"/>
  <c r="W340" i="3"/>
  <c r="AA1610" i="3"/>
  <c r="AA1517" i="3"/>
  <c r="AA1587" i="3"/>
  <c r="U15" i="3"/>
  <c r="X15" i="3" s="1"/>
  <c r="AA1125" i="3"/>
  <c r="AA963" i="3"/>
  <c r="AA1079" i="3"/>
  <c r="AA1633" i="3"/>
  <c r="AA1194" i="3"/>
  <c r="AA1679" i="3"/>
  <c r="AA2810" i="3"/>
  <c r="AA2649" i="3"/>
  <c r="AA1471" i="3"/>
  <c r="AA2764" i="3"/>
  <c r="AA2349" i="3"/>
  <c r="AA686" i="3"/>
  <c r="AA132" i="3"/>
  <c r="AA1725" i="3"/>
  <c r="W155" i="3"/>
  <c r="W1956" i="3"/>
  <c r="W871" i="3"/>
  <c r="W2072" i="3"/>
  <c r="W1217" i="3"/>
  <c r="W2718" i="3"/>
  <c r="W409" i="3"/>
  <c r="W755" i="3"/>
  <c r="W986" i="3"/>
  <c r="W2141" i="3"/>
  <c r="W1818" i="3"/>
  <c r="W1979" i="3"/>
  <c r="W1702" i="3"/>
  <c r="W201" i="3"/>
  <c r="W2095" i="3"/>
  <c r="W2787" i="3"/>
  <c r="W1540" i="3"/>
  <c r="W1356" i="3"/>
  <c r="W1748" i="3"/>
  <c r="W732" i="3"/>
  <c r="W455" i="3"/>
  <c r="W224" i="3"/>
  <c r="W2810" i="3"/>
  <c r="W1587" i="3"/>
  <c r="W1679" i="3"/>
  <c r="W1402" i="3"/>
  <c r="W548" i="3"/>
  <c r="W1656" i="3"/>
  <c r="W178" i="3"/>
  <c r="W1864" i="3"/>
  <c r="W2395" i="3"/>
  <c r="W109" i="3"/>
  <c r="W2580" i="3"/>
  <c r="W317" i="3"/>
  <c r="W1517" i="3"/>
  <c r="W963" i="3"/>
  <c r="W2256" i="3"/>
  <c r="W2349" i="3"/>
  <c r="W2626" i="3"/>
  <c r="W1102" i="3"/>
  <c r="W778" i="3"/>
  <c r="W1933" i="3"/>
  <c r="W386" i="3"/>
  <c r="W1263" i="3"/>
  <c r="W2118" i="3"/>
  <c r="W1171" i="3"/>
  <c r="W1841" i="3"/>
  <c r="W1425" i="3"/>
  <c r="W1310" i="3"/>
  <c r="W617" i="3"/>
  <c r="W1056" i="3"/>
  <c r="W1725" i="3"/>
  <c r="W1148" i="3"/>
  <c r="W1240" i="3"/>
  <c r="W2002" i="3"/>
  <c r="W1564" i="3"/>
  <c r="W1032" i="3"/>
  <c r="W270" i="3"/>
  <c r="W2326" i="3"/>
  <c r="W2510" i="3"/>
  <c r="W294" i="3"/>
  <c r="W2695" i="3"/>
  <c r="W524" i="3"/>
  <c r="W1379" i="3"/>
  <c r="W894" i="3"/>
  <c r="W132" i="3"/>
  <c r="W2279" i="3"/>
  <c r="W940" i="3"/>
  <c r="W2187" i="3"/>
  <c r="W1471" i="3"/>
  <c r="W63" i="3"/>
  <c r="W2556" i="3"/>
  <c r="W2672" i="3"/>
  <c r="W1794" i="3"/>
  <c r="W1448" i="3"/>
  <c r="W2603" i="3"/>
  <c r="W1079" i="3"/>
  <c r="W2048" i="3"/>
  <c r="W1887" i="3"/>
  <c r="W2741" i="3"/>
  <c r="W1125" i="3"/>
  <c r="W1910" i="3"/>
  <c r="W2025" i="3"/>
  <c r="W2764" i="3"/>
  <c r="W2418" i="3"/>
  <c r="W917" i="3"/>
  <c r="W1610" i="3"/>
  <c r="W1494" i="3"/>
  <c r="W1333" i="3"/>
  <c r="W2302" i="3"/>
  <c r="W709" i="3"/>
  <c r="W1009" i="3"/>
  <c r="W432" i="3"/>
  <c r="W1286" i="3"/>
  <c r="W663" i="3"/>
  <c r="W2164" i="3"/>
  <c r="BM1933" i="3"/>
  <c r="BM1402" i="3"/>
  <c r="BM1818" i="3"/>
  <c r="BM1540" i="3"/>
  <c r="BM132" i="3"/>
  <c r="BM617" i="3"/>
  <c r="BM2649" i="3"/>
  <c r="BM1864" i="3"/>
  <c r="BM2187" i="3"/>
  <c r="BM1471" i="3"/>
  <c r="BM1702" i="3"/>
  <c r="BM1679" i="3"/>
  <c r="BM1910" i="3"/>
  <c r="BM2510" i="3"/>
  <c r="BM1333" i="3"/>
  <c r="BM2580" i="3"/>
  <c r="BM1494" i="3"/>
  <c r="BM848" i="3"/>
  <c r="BM2118" i="3"/>
  <c r="BM2002" i="3"/>
  <c r="BM2603" i="3"/>
  <c r="BM1794" i="3"/>
  <c r="Q3" i="1"/>
  <c r="BM432" i="3"/>
  <c r="BM963" i="3"/>
  <c r="BM2395" i="3"/>
  <c r="BM640" i="3"/>
  <c r="BM778" i="3"/>
  <c r="BM594" i="3"/>
  <c r="BM201" i="3"/>
  <c r="BM1032" i="3"/>
  <c r="BM1310" i="3"/>
  <c r="BM178" i="3"/>
  <c r="BM63" i="3"/>
  <c r="BM1217" i="3"/>
  <c r="BM2256" i="3"/>
  <c r="BM709" i="3"/>
  <c r="BM455" i="3"/>
  <c r="BM294" i="3"/>
  <c r="BM2141" i="3"/>
  <c r="BM2695" i="3"/>
  <c r="BM1748" i="3"/>
  <c r="BM1079" i="3"/>
  <c r="BM2164" i="3"/>
  <c r="BM2764" i="3"/>
  <c r="BM1656" i="3"/>
  <c r="BM1725" i="3"/>
  <c r="BM2718" i="3"/>
  <c r="BM2279" i="3"/>
  <c r="BM1887" i="3"/>
  <c r="BM1610" i="3"/>
  <c r="BM755" i="3"/>
  <c r="BM386" i="3"/>
  <c r="BM2556" i="3"/>
  <c r="BM1979" i="3"/>
  <c r="BM871" i="3"/>
  <c r="BM2464" i="3"/>
  <c r="BM2810" i="3"/>
  <c r="BM1102" i="3"/>
  <c r="BM1425" i="3"/>
  <c r="BM802" i="3"/>
  <c r="BM2326" i="3"/>
  <c r="BM1194" i="3"/>
  <c r="BM2072" i="3"/>
  <c r="BM2533" i="3"/>
  <c r="BM940" i="3"/>
  <c r="BM2418" i="3"/>
  <c r="BM2741" i="3"/>
  <c r="BM1841" i="3"/>
  <c r="BM317" i="3"/>
  <c r="BM270" i="3"/>
  <c r="BM1263" i="3"/>
  <c r="BM524" i="3"/>
  <c r="BM1956" i="3"/>
  <c r="BM1009" i="3"/>
  <c r="BM1587" i="3"/>
  <c r="BM340" i="3"/>
  <c r="BM732" i="3"/>
  <c r="BM1240" i="3"/>
  <c r="BM571" i="3"/>
  <c r="BA2441" i="3"/>
  <c r="BA1379" i="3"/>
  <c r="BA594" i="3"/>
  <c r="BA1910" i="3"/>
  <c r="BA686" i="3"/>
  <c r="BA2741" i="3"/>
  <c r="BA1794" i="3"/>
  <c r="BS2395" i="3"/>
  <c r="BA201" i="3"/>
  <c r="BA409" i="3"/>
  <c r="BA1148" i="3"/>
  <c r="BA478" i="3"/>
  <c r="BA1194" i="3"/>
  <c r="BA63" i="3"/>
  <c r="BA2118" i="3"/>
  <c r="BA2626" i="3"/>
  <c r="BS1794" i="3"/>
  <c r="BA2718" i="3"/>
  <c r="BA2464" i="3"/>
  <c r="BA732" i="3"/>
  <c r="BA455" i="3"/>
  <c r="BA1587" i="3"/>
  <c r="BA917" i="3"/>
  <c r="BA548" i="3"/>
  <c r="BA501" i="3"/>
  <c r="BS986" i="3"/>
  <c r="BA2395" i="3"/>
  <c r="BA802" i="3"/>
  <c r="BA2672" i="3"/>
  <c r="BA1725" i="3"/>
  <c r="BA1633" i="3"/>
  <c r="BA1887" i="3"/>
  <c r="BA2764" i="3"/>
  <c r="BA1956" i="3"/>
  <c r="BS1032" i="3"/>
  <c r="BS1356" i="3"/>
  <c r="BS1933" i="3"/>
  <c r="BS871" i="3"/>
  <c r="BS2649" i="3"/>
  <c r="BS294" i="3"/>
  <c r="BS2441" i="3"/>
  <c r="U1794" i="3"/>
  <c r="U663" i="3"/>
  <c r="CE340" i="3"/>
  <c r="CE63" i="3"/>
  <c r="AO1286" i="3"/>
  <c r="CE1310" i="3"/>
  <c r="U894" i="3"/>
  <c r="U802" i="3"/>
  <c r="AC2787" i="3"/>
  <c r="AI1794" i="3"/>
  <c r="AO1217" i="3"/>
  <c r="U178" i="3"/>
  <c r="U1771" i="3"/>
  <c r="CE1009" i="3"/>
  <c r="AI686" i="3"/>
  <c r="AC363" i="3"/>
  <c r="CE2672" i="3"/>
  <c r="U2626" i="3"/>
  <c r="U2118" i="3"/>
  <c r="CE2764" i="3"/>
  <c r="AC1610" i="3"/>
  <c r="AC755" i="3"/>
  <c r="AO1448" i="3"/>
  <c r="AC478" i="3"/>
  <c r="CE1517" i="3"/>
  <c r="AI1818" i="3"/>
  <c r="AO2556" i="3"/>
  <c r="M20" i="3"/>
  <c r="CE2810" i="3"/>
  <c r="AO270" i="3"/>
  <c r="AC709" i="3"/>
  <c r="CE802" i="3"/>
  <c r="CE1818" i="3"/>
  <c r="AC1841" i="3"/>
  <c r="CE2718" i="3"/>
  <c r="AI2372" i="3"/>
  <c r="BS732" i="3"/>
  <c r="BS2603" i="3"/>
  <c r="BS2233" i="3"/>
  <c r="BS2072" i="3"/>
  <c r="BS132" i="3"/>
  <c r="BS2626" i="3"/>
  <c r="BS2741" i="3"/>
  <c r="U917" i="3"/>
  <c r="U1587" i="3"/>
  <c r="AC40" i="3"/>
  <c r="AC109" i="3"/>
  <c r="CE1864" i="3"/>
  <c r="AO2072" i="3"/>
  <c r="U2695" i="3"/>
  <c r="CE1125" i="3"/>
  <c r="CE1956" i="3"/>
  <c r="AC2002" i="3"/>
  <c r="AI409" i="3"/>
  <c r="U640" i="3"/>
  <c r="CE848" i="3"/>
  <c r="AC825" i="3"/>
  <c r="AC2441" i="3"/>
  <c r="AI1079" i="3"/>
  <c r="U2025" i="3"/>
  <c r="U1217" i="3"/>
  <c r="AC2603" i="3"/>
  <c r="AI871" i="3"/>
  <c r="CE1425" i="3"/>
  <c r="AC663" i="3"/>
  <c r="AO1679" i="3"/>
  <c r="AO109" i="3"/>
  <c r="CE201" i="3"/>
  <c r="CE2556" i="3"/>
  <c r="AI709" i="3"/>
  <c r="AI1194" i="3"/>
  <c r="CE1102" i="3"/>
  <c r="AO1102" i="3"/>
  <c r="AO2025" i="3"/>
  <c r="AI1540" i="3"/>
  <c r="AO2164" i="3"/>
  <c r="AI2487" i="3"/>
  <c r="AI201" i="3"/>
  <c r="AO1240" i="3"/>
  <c r="BS86" i="3"/>
  <c r="BS1956" i="3"/>
  <c r="BS1333" i="3"/>
  <c r="BS224" i="3"/>
  <c r="BS1633" i="3"/>
  <c r="BS270" i="3"/>
  <c r="U1009" i="3"/>
  <c r="U1379" i="3"/>
  <c r="U317" i="3"/>
  <c r="AI2025" i="3"/>
  <c r="CE1679" i="3"/>
  <c r="AC917" i="3"/>
  <c r="U1933" i="3"/>
  <c r="U1102" i="3"/>
  <c r="M17" i="3"/>
  <c r="AC640" i="3"/>
  <c r="AO2233" i="3"/>
  <c r="AC2395" i="3"/>
  <c r="BM1379" i="3"/>
  <c r="BM2372" i="3"/>
  <c r="BM1171" i="3"/>
  <c r="BM1056" i="3"/>
  <c r="BM247" i="3"/>
  <c r="BM1286" i="3"/>
  <c r="BM1517" i="3"/>
  <c r="BM363" i="3"/>
  <c r="BM1148" i="3"/>
  <c r="BM2233" i="3"/>
  <c r="BM686" i="3"/>
  <c r="BM2048" i="3"/>
  <c r="BM917" i="3"/>
  <c r="BM478" i="3"/>
  <c r="BM548" i="3"/>
  <c r="BM86" i="3"/>
  <c r="BM2787" i="3"/>
  <c r="BA571" i="3"/>
  <c r="BA2556" i="3"/>
  <c r="BA2048" i="3"/>
  <c r="BA2187" i="3"/>
  <c r="BA963" i="3"/>
  <c r="BA1102" i="3"/>
  <c r="BA1610" i="3"/>
  <c r="BA1471" i="3"/>
  <c r="BS1702" i="3"/>
  <c r="BA40" i="3"/>
  <c r="BA1333" i="3"/>
  <c r="BA2695" i="3"/>
  <c r="BA1702" i="3"/>
  <c r="BA2095" i="3"/>
  <c r="BA1079" i="3"/>
  <c r="BA1217" i="3"/>
  <c r="BA1841" i="3"/>
  <c r="BS1448" i="3"/>
  <c r="BA1564" i="3"/>
  <c r="BA871" i="3"/>
  <c r="BA224" i="3"/>
  <c r="BA524" i="3"/>
  <c r="BA1009" i="3"/>
  <c r="BA432" i="3"/>
  <c r="BA2326" i="3"/>
  <c r="BA132" i="3"/>
  <c r="BS640" i="3"/>
  <c r="BA1286" i="3"/>
  <c r="BA940" i="3"/>
  <c r="BA2510" i="3"/>
  <c r="BM2210" i="3"/>
  <c r="BM1448" i="3"/>
  <c r="BM1771" i="3"/>
  <c r="BM1125" i="3"/>
  <c r="BM2441" i="3"/>
  <c r="BM2672" i="3"/>
  <c r="BM224" i="3"/>
  <c r="BM894" i="3"/>
  <c r="BM155" i="3"/>
  <c r="BM2349" i="3"/>
  <c r="BM109" i="3"/>
  <c r="BM2487" i="3"/>
  <c r="BM2095" i="3"/>
  <c r="BM40" i="3"/>
  <c r="BM986" i="3"/>
  <c r="BM1633" i="3"/>
  <c r="BM2626" i="3"/>
  <c r="BM663" i="3"/>
  <c r="BA1771" i="3"/>
  <c r="BA2141" i="3"/>
  <c r="BA2002" i="3"/>
  <c r="BA155" i="3"/>
  <c r="BA709" i="3"/>
  <c r="BA1933" i="3"/>
  <c r="BA270" i="3"/>
  <c r="BA2487" i="3"/>
  <c r="BS155" i="3"/>
  <c r="BA2233" i="3"/>
  <c r="BA894" i="3"/>
  <c r="BA1540" i="3"/>
  <c r="BA1679" i="3"/>
  <c r="BA1864" i="3"/>
  <c r="BA363" i="3"/>
  <c r="BA2580" i="3"/>
  <c r="BS917" i="3"/>
  <c r="BS409" i="3"/>
  <c r="BA2649" i="3"/>
  <c r="BA2533" i="3"/>
  <c r="BA1494" i="3"/>
  <c r="BA2025" i="3"/>
  <c r="BA1240" i="3"/>
  <c r="BA1125" i="3"/>
  <c r="BA294" i="3"/>
  <c r="BS2279" i="3"/>
  <c r="BS1310" i="3"/>
  <c r="BA2279" i="3"/>
  <c r="BA1517" i="3"/>
  <c r="BA1748" i="3"/>
  <c r="BA2072" i="3"/>
  <c r="BA1402" i="3"/>
  <c r="BA617" i="3"/>
  <c r="BA2256" i="3"/>
  <c r="BS1818" i="3"/>
  <c r="BS363" i="3"/>
  <c r="BS478" i="3"/>
  <c r="BS1217" i="3"/>
  <c r="BS617" i="3"/>
  <c r="BS1494" i="3"/>
  <c r="BS1864" i="3"/>
  <c r="U2002" i="3"/>
  <c r="U109" i="3"/>
  <c r="U247" i="3"/>
  <c r="CE2025" i="3"/>
  <c r="M25" i="3"/>
  <c r="AC2487" i="3"/>
  <c r="U1540" i="3"/>
  <c r="U1656" i="3"/>
  <c r="CE1656" i="3"/>
  <c r="AO1610" i="3"/>
  <c r="AC548" i="3"/>
  <c r="M23" i="3"/>
  <c r="U2302" i="3"/>
  <c r="U2095" i="3"/>
  <c r="AO1032" i="3"/>
  <c r="AO686" i="3"/>
  <c r="CE386" i="3"/>
  <c r="U1471" i="3"/>
  <c r="U2187" i="3"/>
  <c r="AO1356" i="3"/>
  <c r="AI63" i="3"/>
  <c r="CE1979" i="3"/>
  <c r="AC2510" i="3"/>
  <c r="CE594" i="3"/>
  <c r="AC2718" i="3"/>
  <c r="AO663" i="3"/>
  <c r="CE2418" i="3"/>
  <c r="CE1217" i="3"/>
  <c r="AO1056" i="3"/>
  <c r="AO1148" i="3"/>
  <c r="AO1979" i="3"/>
  <c r="AC871" i="3"/>
  <c r="AC86" i="3"/>
  <c r="AC1240" i="3"/>
  <c r="AI340" i="3"/>
  <c r="CE432" i="3"/>
  <c r="M21" i="3"/>
  <c r="BS1240" i="3"/>
  <c r="BS40" i="3"/>
  <c r="BS1425" i="3"/>
  <c r="BS594" i="3"/>
  <c r="BS1148" i="3"/>
  <c r="BS2002" i="3"/>
  <c r="U1633" i="3"/>
  <c r="U571" i="3"/>
  <c r="U270" i="3"/>
  <c r="CE2533" i="3"/>
  <c r="AO1425" i="3"/>
  <c r="AC1079" i="3"/>
  <c r="U1564" i="3"/>
  <c r="U1286" i="3"/>
  <c r="AI86" i="3"/>
  <c r="AO1125" i="3"/>
  <c r="AC1310" i="3"/>
  <c r="AO825" i="3"/>
  <c r="U2672" i="3"/>
  <c r="U2441" i="3"/>
  <c r="AO1841" i="3"/>
  <c r="AI1979" i="3"/>
  <c r="AC2741" i="3"/>
  <c r="U1240" i="3"/>
  <c r="U1032" i="3"/>
  <c r="AO1079" i="3"/>
  <c r="AC1286" i="3"/>
  <c r="AO386" i="3"/>
  <c r="AI548" i="3"/>
  <c r="AO1517" i="3"/>
  <c r="AO871" i="3"/>
  <c r="AI2626" i="3"/>
  <c r="CE1702" i="3"/>
  <c r="AC178" i="3"/>
  <c r="AI1240" i="3"/>
  <c r="AO2372" i="3"/>
  <c r="AO432" i="3"/>
  <c r="CE2464" i="3"/>
  <c r="CE2048" i="3"/>
  <c r="AO63" i="3"/>
  <c r="AC894" i="3"/>
  <c r="AC2580" i="3"/>
  <c r="BS2048" i="3"/>
  <c r="BS2372" i="3"/>
  <c r="BS1125" i="3"/>
  <c r="BS1748" i="3"/>
  <c r="BS1471" i="3"/>
  <c r="BS2118" i="3"/>
  <c r="BS386" i="3"/>
  <c r="U2395" i="3"/>
  <c r="U340" i="3"/>
  <c r="AC1263" i="3"/>
  <c r="AO2741" i="3"/>
  <c r="AC1887" i="3"/>
  <c r="AI1333" i="3"/>
  <c r="U524" i="3"/>
  <c r="AO571" i="3"/>
  <c r="AC2210" i="3"/>
  <c r="AC132" i="3"/>
  <c r="AO2718" i="3"/>
  <c r="U363" i="3"/>
  <c r="BM501" i="3"/>
  <c r="BA2810" i="3"/>
  <c r="BA109" i="3"/>
  <c r="BS663" i="3"/>
  <c r="BA2349" i="3"/>
  <c r="BS1402" i="3"/>
  <c r="BA1171" i="3"/>
  <c r="BA2418" i="3"/>
  <c r="BA247" i="3"/>
  <c r="BA1356" i="3"/>
  <c r="BA1056" i="3"/>
  <c r="BS2464" i="3"/>
  <c r="BS2764" i="3"/>
  <c r="BS1194" i="3"/>
  <c r="BS2187" i="3"/>
  <c r="U1125" i="3"/>
  <c r="M16" i="3"/>
  <c r="AO940" i="3"/>
  <c r="U940" i="3"/>
  <c r="AC340" i="3"/>
  <c r="U1425" i="3"/>
  <c r="AO2787" i="3"/>
  <c r="AI1425" i="3"/>
  <c r="U1494" i="3"/>
  <c r="AC2533" i="3"/>
  <c r="AC2141" i="3"/>
  <c r="AO1702" i="3"/>
  <c r="AC63" i="3"/>
  <c r="CE2002" i="3"/>
  <c r="AI1448" i="3"/>
  <c r="AO478" i="3"/>
  <c r="AO1887" i="3"/>
  <c r="AI155" i="3"/>
  <c r="BS963" i="3"/>
  <c r="BS825" i="3"/>
  <c r="BS2326" i="3"/>
  <c r="U709" i="3"/>
  <c r="AI1725" i="3"/>
  <c r="AC2418" i="3"/>
  <c r="U2464" i="3"/>
  <c r="AC2025" i="3"/>
  <c r="AO1194" i="3"/>
  <c r="U1310" i="3"/>
  <c r="AC2164" i="3"/>
  <c r="U2649" i="3"/>
  <c r="CE1333" i="3"/>
  <c r="CE2279" i="3"/>
  <c r="AO802" i="3"/>
  <c r="AC802" i="3"/>
  <c r="CE686" i="3"/>
  <c r="CE2487" i="3"/>
  <c r="AO2533" i="3"/>
  <c r="AI2002" i="3"/>
  <c r="AI2787" i="3"/>
  <c r="BS201" i="3"/>
  <c r="BS432" i="3"/>
  <c r="BS2787" i="3"/>
  <c r="U2810" i="3"/>
  <c r="AC1956" i="3"/>
  <c r="CE1263" i="3"/>
  <c r="U2556" i="3"/>
  <c r="AI2095" i="3"/>
  <c r="AI178" i="3"/>
  <c r="U1702" i="3"/>
  <c r="CE2164" i="3"/>
  <c r="AC2349" i="3"/>
  <c r="AC1009" i="3"/>
  <c r="AI617" i="3"/>
  <c r="U2072" i="3"/>
  <c r="U1448" i="3"/>
  <c r="AI2741" i="3"/>
  <c r="AI2141" i="3"/>
  <c r="AI1148" i="3"/>
  <c r="AO2810" i="3"/>
  <c r="CE1356" i="3"/>
  <c r="CE1771" i="3"/>
  <c r="CE478" i="3"/>
  <c r="CE732" i="3"/>
  <c r="CE1633" i="3"/>
  <c r="CE2187" i="3"/>
  <c r="AO155" i="3"/>
  <c r="AI2649" i="3"/>
  <c r="AI1171" i="3"/>
  <c r="AO409" i="3"/>
  <c r="AC1425" i="3"/>
  <c r="AI2464" i="3"/>
  <c r="AO1864" i="3"/>
  <c r="BS755" i="3"/>
  <c r="BS109" i="3"/>
  <c r="BS1610" i="3"/>
  <c r="BS940" i="3"/>
  <c r="BS894" i="3"/>
  <c r="BS1540" i="3"/>
  <c r="U986" i="3"/>
  <c r="CE640" i="3"/>
  <c r="U963" i="3"/>
  <c r="AO247" i="3"/>
  <c r="CE1032" i="3"/>
  <c r="AC2672" i="3"/>
  <c r="U2487" i="3"/>
  <c r="U617" i="3"/>
  <c r="AO732" i="3"/>
  <c r="AI2279" i="3"/>
  <c r="CE709" i="3"/>
  <c r="AI2533" i="3"/>
  <c r="U386" i="3"/>
  <c r="U1887" i="3"/>
  <c r="AO2487" i="3"/>
  <c r="AO1818" i="3"/>
  <c r="AI1471" i="3"/>
  <c r="U1079" i="3"/>
  <c r="U201" i="3"/>
  <c r="AC1864" i="3"/>
  <c r="CE2580" i="3"/>
  <c r="AI986" i="3"/>
  <c r="M18" i="3"/>
  <c r="AC1517" i="3"/>
  <c r="AI1933" i="3"/>
  <c r="AI1125" i="3"/>
  <c r="CE2441" i="3"/>
  <c r="AC1540" i="3"/>
  <c r="AI524" i="3"/>
  <c r="AC732" i="3"/>
  <c r="AO2649" i="3"/>
  <c r="AO2302" i="3"/>
  <c r="CE1540" i="3"/>
  <c r="AI1887" i="3"/>
  <c r="M24" i="3"/>
  <c r="AO1910" i="3"/>
  <c r="AC1102" i="3"/>
  <c r="AO2464" i="3"/>
  <c r="CE178" i="3"/>
  <c r="AU2372" i="3"/>
  <c r="AU594" i="3"/>
  <c r="AU1056" i="3"/>
  <c r="AU317" i="3"/>
  <c r="AU778" i="3"/>
  <c r="AU755" i="3"/>
  <c r="AU270" i="3"/>
  <c r="AU1771" i="3"/>
  <c r="BG501" i="3"/>
  <c r="BG2187" i="3"/>
  <c r="BG1425" i="3"/>
  <c r="CE1240" i="3"/>
  <c r="CE755" i="3"/>
  <c r="AU686" i="3"/>
  <c r="AU1333" i="3"/>
  <c r="AU1956" i="3"/>
  <c r="AU1841" i="3"/>
  <c r="BM2025" i="3"/>
  <c r="BM1356" i="3"/>
  <c r="BA386" i="3"/>
  <c r="BA1310" i="3"/>
  <c r="BA778" i="3"/>
  <c r="BA178" i="3"/>
  <c r="BA663" i="3"/>
  <c r="BA825" i="3"/>
  <c r="BS709" i="3"/>
  <c r="BA755" i="3"/>
  <c r="BA848" i="3"/>
  <c r="BA1425" i="3"/>
  <c r="BS2418" i="3"/>
  <c r="BS571" i="3"/>
  <c r="BS1887" i="3"/>
  <c r="U2256" i="3"/>
  <c r="U2764" i="3"/>
  <c r="AC1356" i="3"/>
  <c r="U294" i="3"/>
  <c r="AI755" i="3"/>
  <c r="AO709" i="3"/>
  <c r="U871" i="3"/>
  <c r="AI848" i="3"/>
  <c r="AC2372" i="3"/>
  <c r="U2372" i="3"/>
  <c r="AC778" i="3"/>
  <c r="AC1148" i="3"/>
  <c r="AI1633" i="3"/>
  <c r="CE2395" i="3"/>
  <c r="AC270" i="3"/>
  <c r="AO178" i="3"/>
  <c r="AC2256" i="3"/>
  <c r="AI1517" i="3"/>
  <c r="BS1263" i="3"/>
  <c r="BS2025" i="3"/>
  <c r="BS1009" i="3"/>
  <c r="BS1286" i="3"/>
  <c r="U1956" i="3"/>
  <c r="AC432" i="3"/>
  <c r="CE247" i="3"/>
  <c r="U2580" i="3"/>
  <c r="AI224" i="3"/>
  <c r="O2" i="3"/>
  <c r="AO2626" i="3"/>
  <c r="AO294" i="3"/>
  <c r="U14" i="3"/>
  <c r="AO2210" i="3"/>
  <c r="AI2233" i="3"/>
  <c r="AI2072" i="3"/>
  <c r="AO1794" i="3"/>
  <c r="CE2141" i="3"/>
  <c r="CE2649" i="3"/>
  <c r="AO617" i="3"/>
  <c r="AO201" i="3"/>
  <c r="AC2556" i="3"/>
  <c r="BS2164" i="3"/>
  <c r="BS1656" i="3"/>
  <c r="BS2210" i="3"/>
  <c r="U1171" i="3"/>
  <c r="AI2810" i="3"/>
  <c r="AI2349" i="3"/>
  <c r="U1356" i="3"/>
  <c r="AC1633" i="3"/>
  <c r="AC2695" i="3"/>
  <c r="U1056" i="3"/>
  <c r="AO1402" i="3"/>
  <c r="AC1171" i="3"/>
  <c r="AC2233" i="3"/>
  <c r="AO455" i="3"/>
  <c r="U1979" i="3"/>
  <c r="AI640" i="3"/>
  <c r="AO1633" i="3"/>
  <c r="AO317" i="3"/>
  <c r="M15" i="3"/>
  <c r="AO2279" i="3"/>
  <c r="CE2210" i="3"/>
  <c r="AI2695" i="3"/>
  <c r="AO224" i="3"/>
  <c r="AI247" i="3"/>
  <c r="AO548" i="3"/>
  <c r="CE617" i="3"/>
  <c r="AO1540" i="3"/>
  <c r="CE2302" i="3"/>
  <c r="CE871" i="3"/>
  <c r="AI2395" i="3"/>
  <c r="CE2095" i="3"/>
  <c r="AI2210" i="3"/>
  <c r="AC1194" i="3"/>
  <c r="BS848" i="3"/>
  <c r="BS1564" i="3"/>
  <c r="BS455" i="3"/>
  <c r="BS2349" i="3"/>
  <c r="BS501" i="3"/>
  <c r="BS2672" i="3"/>
  <c r="U2141" i="3"/>
  <c r="U63" i="3"/>
  <c r="U2718" i="3"/>
  <c r="AC201" i="3"/>
  <c r="AI1263" i="3"/>
  <c r="AI1102" i="3"/>
  <c r="U686" i="3"/>
  <c r="U224" i="3"/>
  <c r="CE132" i="3"/>
  <c r="CE963" i="3"/>
  <c r="AI1587" i="3"/>
  <c r="AO524" i="3"/>
  <c r="U1818" i="3"/>
  <c r="U86" i="3"/>
  <c r="CE501" i="3"/>
  <c r="AO640" i="3"/>
  <c r="CE363" i="3"/>
  <c r="U1910" i="3"/>
  <c r="U1864" i="3"/>
  <c r="CE2787" i="3"/>
  <c r="AI1656" i="3"/>
  <c r="AI1402" i="3"/>
  <c r="AI501" i="3"/>
  <c r="CE894" i="3"/>
  <c r="AC1564" i="3"/>
  <c r="AI1702" i="3"/>
  <c r="CE224" i="3"/>
  <c r="AI2187" i="3"/>
  <c r="CE778" i="3"/>
  <c r="AC2095" i="3"/>
  <c r="AC571" i="3"/>
  <c r="AC1725" i="3"/>
  <c r="AI1956" i="3"/>
  <c r="AI386" i="3"/>
  <c r="CE409" i="3"/>
  <c r="AI1310" i="3"/>
  <c r="CE524" i="3"/>
  <c r="CE1402" i="3"/>
  <c r="AC1771" i="3"/>
  <c r="AU1887" i="3"/>
  <c r="AU1633" i="3"/>
  <c r="AU1448" i="3"/>
  <c r="AU340" i="3"/>
  <c r="AU2118" i="3"/>
  <c r="AU894" i="3"/>
  <c r="AU1240" i="3"/>
  <c r="BG825" i="3"/>
  <c r="BG663" i="3"/>
  <c r="BG1217" i="3"/>
  <c r="AI2048" i="3"/>
  <c r="AI571" i="3"/>
  <c r="AC2326" i="3"/>
  <c r="AU986" i="3"/>
  <c r="AU2787" i="3"/>
  <c r="AU1748" i="3"/>
  <c r="AU1494" i="3"/>
  <c r="AU2141" i="3"/>
  <c r="AU2095" i="3"/>
  <c r="AU132" i="3"/>
  <c r="AU1564" i="3"/>
  <c r="BG1079" i="3"/>
  <c r="BG1171" i="3"/>
  <c r="BG340" i="3"/>
  <c r="AO1587" i="3"/>
  <c r="AC1933" i="3"/>
  <c r="AU848" i="3"/>
  <c r="AU917" i="3"/>
  <c r="AU2672" i="3"/>
  <c r="AU2002" i="3"/>
  <c r="AU247" i="3"/>
  <c r="AU155" i="3"/>
  <c r="AU86" i="3"/>
  <c r="AU2510" i="3"/>
  <c r="BG2349" i="3"/>
  <c r="BG1725" i="3"/>
  <c r="BG224" i="3"/>
  <c r="CE1587" i="3"/>
  <c r="BM1564" i="3"/>
  <c r="BM825" i="3"/>
  <c r="BA986" i="3"/>
  <c r="BA340" i="3"/>
  <c r="BA2372" i="3"/>
  <c r="BA1818" i="3"/>
  <c r="BA1263" i="3"/>
  <c r="BA2603" i="3"/>
  <c r="BA1979" i="3"/>
  <c r="BA2164" i="3"/>
  <c r="BA1032" i="3"/>
  <c r="BS548" i="3"/>
  <c r="BS802" i="3"/>
  <c r="BS524" i="3"/>
  <c r="BS2718" i="3"/>
  <c r="U432" i="3"/>
  <c r="AI432" i="3"/>
  <c r="CE2233" i="3"/>
  <c r="CE1748" i="3"/>
  <c r="CE2372" i="3"/>
  <c r="CE2072" i="3"/>
  <c r="U1517" i="3"/>
  <c r="AO1471" i="3"/>
  <c r="CE86" i="3"/>
  <c r="CE825" i="3"/>
  <c r="AO2672" i="3"/>
  <c r="AI2326" i="3"/>
  <c r="AC2302" i="3"/>
  <c r="AO363" i="3"/>
  <c r="AO1009" i="3"/>
  <c r="AC1448" i="3"/>
  <c r="CE1933" i="3"/>
  <c r="AI1564" i="3"/>
  <c r="BS1725" i="3"/>
  <c r="BS178" i="3"/>
  <c r="BS1587" i="3"/>
  <c r="U1148" i="3"/>
  <c r="U755" i="3"/>
  <c r="AC247" i="3"/>
  <c r="U1841" i="3"/>
  <c r="AO1263" i="3"/>
  <c r="AO2510" i="3"/>
  <c r="U2164" i="3"/>
  <c r="AO1494" i="3"/>
  <c r="AO1933" i="3"/>
  <c r="CE917" i="3"/>
  <c r="CE270" i="3"/>
  <c r="AI294" i="3"/>
  <c r="CE1448" i="3"/>
  <c r="AI109" i="3"/>
  <c r="AI2580" i="3"/>
  <c r="AI1841" i="3"/>
  <c r="AI2718" i="3"/>
  <c r="CE294" i="3"/>
  <c r="BS1517" i="3"/>
  <c r="BS1771" i="3"/>
  <c r="BS1079" i="3"/>
  <c r="BS63" i="3"/>
  <c r="U548" i="3"/>
  <c r="AI2256" i="3"/>
  <c r="AC1494" i="3"/>
  <c r="U2210" i="3"/>
  <c r="AO2695" i="3"/>
  <c r="U2233" i="3"/>
  <c r="U40" i="3"/>
  <c r="AI1679" i="3"/>
  <c r="AC1979" i="3"/>
  <c r="AO132" i="3"/>
  <c r="U2048" i="3"/>
  <c r="U1610" i="3"/>
  <c r="AO1379" i="3"/>
  <c r="AC524" i="3"/>
  <c r="AO594" i="3"/>
  <c r="AO2326" i="3"/>
  <c r="AI2672" i="3"/>
  <c r="AI363" i="3"/>
  <c r="AI270" i="3"/>
  <c r="AC2464" i="3"/>
  <c r="AO1310" i="3"/>
  <c r="CE455" i="3"/>
  <c r="AC386" i="3"/>
  <c r="AO755" i="3"/>
  <c r="AI317" i="3"/>
  <c r="AI802" i="3"/>
  <c r="AO1725" i="3"/>
  <c r="CE2326" i="3"/>
  <c r="AI40" i="3"/>
  <c r="CE1610" i="3"/>
  <c r="BS1171" i="3"/>
  <c r="BS1379" i="3"/>
  <c r="BS1056" i="3"/>
  <c r="BS2256" i="3"/>
  <c r="BS317" i="3"/>
  <c r="BS340" i="3"/>
  <c r="U1748" i="3"/>
  <c r="CE1148" i="3"/>
  <c r="U1402" i="3"/>
  <c r="AO1771" i="3"/>
  <c r="AO1171" i="3"/>
  <c r="AO340" i="3"/>
  <c r="U2418" i="3"/>
  <c r="U409" i="3"/>
  <c r="CE109" i="3"/>
  <c r="AO2048" i="3"/>
  <c r="CE1471" i="3"/>
  <c r="CE2695" i="3"/>
  <c r="U1333" i="3"/>
  <c r="M22" i="3"/>
  <c r="AO917" i="3"/>
  <c r="AO40" i="3"/>
  <c r="AC940" i="3"/>
  <c r="U2533" i="3"/>
  <c r="U501" i="3"/>
  <c r="AC2764" i="3"/>
  <c r="AI778" i="3"/>
  <c r="AI1494" i="3"/>
  <c r="AI1286" i="3"/>
  <c r="AO2349" i="3"/>
  <c r="AI1864" i="3"/>
  <c r="AO86" i="3"/>
  <c r="AC1679" i="3"/>
  <c r="AO963" i="3"/>
  <c r="AI2510" i="3"/>
  <c r="AO501" i="3"/>
  <c r="CE2349" i="3"/>
  <c r="CE986" i="3"/>
  <c r="CE1564" i="3"/>
  <c r="CE2256" i="3"/>
  <c r="CE1910" i="3"/>
  <c r="AO1333" i="3"/>
  <c r="AO848" i="3"/>
  <c r="AI2441" i="3"/>
  <c r="AC1125" i="3"/>
  <c r="AU478" i="3"/>
  <c r="AU2395" i="3"/>
  <c r="AU2048" i="3"/>
  <c r="AU2233" i="3"/>
  <c r="AU1587" i="3"/>
  <c r="AU1356" i="3"/>
  <c r="AU1310" i="3"/>
  <c r="BG1748" i="3"/>
  <c r="BG986" i="3"/>
  <c r="BG2395" i="3"/>
  <c r="AI663" i="3"/>
  <c r="AI2418" i="3"/>
  <c r="AO1564" i="3"/>
  <c r="AU409" i="3"/>
  <c r="AU1679" i="3"/>
  <c r="AU2210" i="3"/>
  <c r="BM409" i="3"/>
  <c r="BM2302" i="3"/>
  <c r="BA2787" i="3"/>
  <c r="BS2695" i="3"/>
  <c r="BA317" i="3"/>
  <c r="BA640" i="3"/>
  <c r="BA1448" i="3"/>
  <c r="BA2302" i="3"/>
  <c r="BA86" i="3"/>
  <c r="BA2210" i="3"/>
  <c r="BA1656" i="3"/>
  <c r="BS2487" i="3"/>
  <c r="BS2580" i="3"/>
  <c r="BS247" i="3"/>
  <c r="BS2510" i="3"/>
  <c r="Q2" i="3"/>
  <c r="U3" i="1" s="1"/>
  <c r="AI1056" i="3"/>
  <c r="AO2002" i="3"/>
  <c r="U2510" i="3"/>
  <c r="AO2187" i="3"/>
  <c r="CE2510" i="3"/>
  <c r="U2787" i="3"/>
  <c r="AI1610" i="3"/>
  <c r="U1679" i="3"/>
  <c r="CE1286" i="3"/>
  <c r="AC2187" i="3"/>
  <c r="AC2279" i="3"/>
  <c r="AI1356" i="3"/>
  <c r="AI2764" i="3"/>
  <c r="CE2603" i="3"/>
  <c r="AC686" i="3"/>
  <c r="AC155" i="3"/>
  <c r="AC1032" i="3"/>
  <c r="BS2533" i="3"/>
  <c r="BS2095" i="3"/>
  <c r="BS1910" i="3"/>
  <c r="U1725" i="3"/>
  <c r="AI1379" i="3"/>
  <c r="AI2603" i="3"/>
  <c r="U778" i="3"/>
  <c r="AC2810" i="3"/>
  <c r="AI2164" i="3"/>
  <c r="U848" i="3"/>
  <c r="CE155" i="3"/>
  <c r="AI940" i="3"/>
  <c r="CE571" i="3"/>
  <c r="CE1379" i="3"/>
  <c r="AC1379" i="3"/>
  <c r="AC1910" i="3"/>
  <c r="AC1818" i="3"/>
  <c r="AI2118" i="3"/>
  <c r="CE1725" i="3"/>
  <c r="AO2441" i="3"/>
  <c r="AI132" i="3"/>
  <c r="BS1679" i="3"/>
  <c r="BS2556" i="3"/>
  <c r="BS686" i="3"/>
  <c r="U2603" i="3"/>
  <c r="U2326" i="3"/>
  <c r="AO1748" i="3"/>
  <c r="U2279" i="3"/>
  <c r="AI825" i="3"/>
  <c r="AC2048" i="3"/>
  <c r="U2349" i="3"/>
  <c r="U1263" i="3"/>
  <c r="CE663" i="3"/>
  <c r="CE1056" i="3"/>
  <c r="AC963" i="3"/>
  <c r="U1194" i="3"/>
  <c r="U132" i="3"/>
  <c r="AC986" i="3"/>
  <c r="AO2118" i="3"/>
  <c r="AI963" i="3"/>
  <c r="AC1217" i="3"/>
  <c r="CE1194" i="3"/>
  <c r="AI594" i="3"/>
  <c r="AO1956" i="3"/>
  <c r="AO2603" i="3"/>
  <c r="CE40" i="3"/>
  <c r="AC1748" i="3"/>
  <c r="CE1794" i="3"/>
  <c r="AI455" i="3"/>
  <c r="AC2649" i="3"/>
  <c r="AI1910" i="3"/>
  <c r="AI1771" i="3"/>
  <c r="AI1748" i="3"/>
  <c r="AI732" i="3"/>
  <c r="BS2302" i="3"/>
  <c r="BS1979" i="3"/>
  <c r="BS1102" i="3"/>
  <c r="BS2810" i="3"/>
  <c r="BS1841" i="3"/>
  <c r="BS778" i="3"/>
  <c r="BS2141" i="3"/>
  <c r="U478" i="3"/>
  <c r="U732" i="3"/>
  <c r="CE317" i="3"/>
  <c r="CE1494" i="3"/>
  <c r="AC1333" i="3"/>
  <c r="AC1656" i="3"/>
  <c r="U2741" i="3"/>
  <c r="U825" i="3"/>
  <c r="AC317" i="3"/>
  <c r="AO894" i="3"/>
  <c r="AO2095" i="3"/>
  <c r="U155" i="3"/>
  <c r="U455" i="3"/>
  <c r="M19" i="3"/>
  <c r="AC2118" i="3"/>
  <c r="AO986" i="3"/>
  <c r="AC2626" i="3"/>
  <c r="U594" i="3"/>
  <c r="AO2395" i="3"/>
  <c r="AI1032" i="3"/>
  <c r="CE1887" i="3"/>
  <c r="AC1471" i="3"/>
  <c r="AI917" i="3"/>
  <c r="AO2141" i="3"/>
  <c r="CE1171" i="3"/>
  <c r="AC409" i="3"/>
  <c r="AC1587" i="3"/>
  <c r="AC1794" i="3"/>
  <c r="CE2626" i="3"/>
  <c r="AI1217" i="3"/>
  <c r="AI478" i="3"/>
  <c r="AC294" i="3"/>
  <c r="AC1702" i="3"/>
  <c r="AI2556" i="3"/>
  <c r="AC848" i="3"/>
  <c r="CE940" i="3"/>
  <c r="AC224" i="3"/>
  <c r="AO2418" i="3"/>
  <c r="AU178" i="3"/>
  <c r="AU548" i="3"/>
  <c r="AU1379" i="3"/>
  <c r="AU709" i="3"/>
  <c r="AU1725" i="3"/>
  <c r="AU2580" i="3"/>
  <c r="AU1864" i="3"/>
  <c r="AU63" i="3"/>
  <c r="BG963" i="3"/>
  <c r="BG1933" i="3"/>
  <c r="BG1471" i="3"/>
  <c r="AC617" i="3"/>
  <c r="AO2256" i="3"/>
  <c r="AC2072" i="3"/>
  <c r="AU294" i="3"/>
  <c r="AU524" i="3"/>
  <c r="AU2810" i="3"/>
  <c r="AU2649" i="3"/>
  <c r="AU2302" i="3"/>
  <c r="AU1009" i="3"/>
  <c r="AU963" i="3"/>
  <c r="BG640" i="3"/>
  <c r="BG524" i="3"/>
  <c r="BG201" i="3"/>
  <c r="CE2741" i="3"/>
  <c r="AC455" i="3"/>
  <c r="AO2580" i="3"/>
  <c r="AU2626" i="3"/>
  <c r="AU2256" i="3"/>
  <c r="AU1125" i="3"/>
  <c r="AU1148" i="3"/>
  <c r="AU1610" i="3"/>
  <c r="AU2441" i="3"/>
  <c r="AU432" i="3"/>
  <c r="BG1656" i="3"/>
  <c r="BG1310" i="3"/>
  <c r="BG1494" i="3"/>
  <c r="AC1056" i="3"/>
  <c r="AU1517" i="3"/>
  <c r="AU1910" i="3"/>
  <c r="BG294" i="3"/>
  <c r="AO1656" i="3"/>
  <c r="AU501" i="3"/>
  <c r="AU2349" i="3"/>
  <c r="AU1079" i="3"/>
  <c r="AU1818" i="3"/>
  <c r="BG755" i="3"/>
  <c r="BG1333" i="3"/>
  <c r="CE1841" i="3"/>
  <c r="CE1079" i="3"/>
  <c r="AU617" i="3"/>
  <c r="AU1979" i="3"/>
  <c r="AU1425" i="3"/>
  <c r="AU2695" i="3"/>
  <c r="AU224" i="3"/>
  <c r="AU825" i="3"/>
  <c r="AU571" i="3"/>
  <c r="BG386" i="3"/>
  <c r="BG1702" i="3"/>
  <c r="BG155" i="3"/>
  <c r="BG2810" i="3"/>
  <c r="BG317" i="3"/>
  <c r="BG1009" i="3"/>
  <c r="BG2279" i="3"/>
  <c r="BG455" i="3"/>
  <c r="BY548" i="3"/>
  <c r="BY1910" i="3"/>
  <c r="BY2095" i="3"/>
  <c r="BY2718" i="3"/>
  <c r="BY1379" i="3"/>
  <c r="BY1286" i="3"/>
  <c r="BY686" i="3"/>
  <c r="BG2695" i="3"/>
  <c r="BG2372" i="3"/>
  <c r="BG571" i="3"/>
  <c r="BG1910" i="3"/>
  <c r="BG1818" i="3"/>
  <c r="BY2649" i="3"/>
  <c r="BY2672" i="3"/>
  <c r="BY40" i="3"/>
  <c r="BY1656" i="3"/>
  <c r="BY802" i="3"/>
  <c r="BY2210" i="3"/>
  <c r="BY1079" i="3"/>
  <c r="BG1956" i="3"/>
  <c r="BG40" i="3"/>
  <c r="BG1794" i="3"/>
  <c r="BG2764" i="3"/>
  <c r="BG894" i="3"/>
  <c r="BY894" i="3"/>
  <c r="BY2810" i="3"/>
  <c r="BY2372" i="3"/>
  <c r="BY594" i="3"/>
  <c r="BY1979" i="3"/>
  <c r="BY2164" i="3"/>
  <c r="BY1956" i="3"/>
  <c r="BY1725" i="3"/>
  <c r="BG2256" i="3"/>
  <c r="BG2741" i="3"/>
  <c r="BG178" i="3"/>
  <c r="BG1679" i="3"/>
  <c r="BY1032" i="3"/>
  <c r="BY986" i="3"/>
  <c r="BY2441" i="3"/>
  <c r="BY848" i="3"/>
  <c r="BY1517" i="3"/>
  <c r="BY317" i="3"/>
  <c r="BY709" i="3"/>
  <c r="BY871" i="3"/>
  <c r="AU40" i="3"/>
  <c r="AU1656" i="3"/>
  <c r="BG270" i="3"/>
  <c r="BG940" i="3"/>
  <c r="AI1009" i="3"/>
  <c r="AU2741" i="3"/>
  <c r="AU1794" i="3"/>
  <c r="AU802" i="3"/>
  <c r="AU2487" i="3"/>
  <c r="BG2487" i="3"/>
  <c r="AO2764" i="3"/>
  <c r="AC594" i="3"/>
  <c r="AU2718" i="3"/>
  <c r="AU1471" i="3"/>
  <c r="AU363" i="3"/>
  <c r="AU2187" i="3"/>
  <c r="AU201" i="3"/>
  <c r="AU2764" i="3"/>
  <c r="AU109" i="3"/>
  <c r="AU1702" i="3"/>
  <c r="BG63" i="3"/>
  <c r="BG2025" i="3"/>
  <c r="BG2441" i="3"/>
  <c r="BG132" i="3"/>
  <c r="BG2118" i="3"/>
  <c r="BG432" i="3"/>
  <c r="BG1633" i="3"/>
  <c r="BY640" i="3"/>
  <c r="BY2187" i="3"/>
  <c r="BY1263" i="3"/>
  <c r="BY1633" i="3"/>
  <c r="BY2279" i="3"/>
  <c r="BY663" i="3"/>
  <c r="BY1540" i="3"/>
  <c r="BY294" i="3"/>
  <c r="BG1148" i="3"/>
  <c r="BG2626" i="3"/>
  <c r="BG2210" i="3"/>
  <c r="BG848" i="3"/>
  <c r="BG871" i="3"/>
  <c r="BY2510" i="3"/>
  <c r="BY1240" i="3"/>
  <c r="BY478" i="3"/>
  <c r="BY2395" i="3"/>
  <c r="BY2326" i="3"/>
  <c r="BY1587" i="3"/>
  <c r="BY2487" i="3"/>
  <c r="BG2002" i="3"/>
  <c r="BG2580" i="3"/>
  <c r="BG1356" i="3"/>
  <c r="BG1402" i="3"/>
  <c r="BG1864" i="3"/>
  <c r="BY1425" i="3"/>
  <c r="BY2048" i="3"/>
  <c r="BY270" i="3"/>
  <c r="BY340" i="3"/>
  <c r="BY86" i="3"/>
  <c r="BY1171" i="3"/>
  <c r="BY432" i="3"/>
  <c r="BG1979" i="3"/>
  <c r="BG1102" i="3"/>
  <c r="BG1286" i="3"/>
  <c r="BG2533" i="3"/>
  <c r="BG686" i="3"/>
  <c r="BY755" i="3"/>
  <c r="BY2302" i="3"/>
  <c r="BY732" i="3"/>
  <c r="BY178" i="3"/>
  <c r="BY1356" i="3"/>
  <c r="BY1333" i="3"/>
  <c r="BY1471" i="3"/>
  <c r="BG1263" i="3"/>
  <c r="AU1286" i="3"/>
  <c r="AU2279" i="3"/>
  <c r="BG1517" i="3"/>
  <c r="BG1448" i="3"/>
  <c r="CE2118" i="3"/>
  <c r="AU640" i="3"/>
  <c r="AU871" i="3"/>
  <c r="AU1540" i="3"/>
  <c r="AU1032" i="3"/>
  <c r="BG1125" i="3"/>
  <c r="CE548" i="3"/>
  <c r="AO778" i="3"/>
  <c r="AU1263" i="3"/>
  <c r="AU1102" i="3"/>
  <c r="AU455" i="3"/>
  <c r="AU2164" i="3"/>
  <c r="AU2603" i="3"/>
  <c r="AU732" i="3"/>
  <c r="AU2025" i="3"/>
  <c r="AU1194" i="3"/>
  <c r="BG594" i="3"/>
  <c r="BG1056" i="3"/>
  <c r="BG478" i="3"/>
  <c r="BG2718" i="3"/>
  <c r="BG2326" i="3"/>
  <c r="BG2233" i="3"/>
  <c r="BG2603" i="3"/>
  <c r="BY247" i="3"/>
  <c r="BY1564" i="3"/>
  <c r="BY524" i="3"/>
  <c r="BY1448" i="3"/>
  <c r="BY2787" i="3"/>
  <c r="BY363" i="3"/>
  <c r="BY778" i="3"/>
  <c r="BY1887" i="3"/>
  <c r="BG2787" i="3"/>
  <c r="BG2510" i="3"/>
  <c r="BG548" i="3"/>
  <c r="BG1240" i="3"/>
  <c r="BY963" i="3"/>
  <c r="BY2464" i="3"/>
  <c r="BY1494" i="3"/>
  <c r="BY1009" i="3"/>
  <c r="BY1771" i="3"/>
  <c r="BY501" i="3"/>
  <c r="BY571" i="3"/>
  <c r="BY386" i="3"/>
  <c r="BG1587" i="3"/>
  <c r="BG86" i="3"/>
  <c r="BG1194" i="3"/>
  <c r="BG2164" i="3"/>
  <c r="BY1864" i="3"/>
  <c r="BY1610" i="3"/>
  <c r="BY2764" i="3"/>
  <c r="BY109" i="3"/>
  <c r="BY2556" i="3"/>
  <c r="BY617" i="3"/>
  <c r="BY2233" i="3"/>
  <c r="BY2025" i="3"/>
  <c r="BG363" i="3"/>
  <c r="BG617" i="3"/>
  <c r="BG2649" i="3"/>
  <c r="BG1887" i="3"/>
  <c r="BG247" i="3"/>
  <c r="BY2626" i="3"/>
  <c r="BY1702" i="3"/>
  <c r="BY1217" i="3"/>
  <c r="BY825" i="3"/>
  <c r="BY2741" i="3"/>
  <c r="BY2256" i="3"/>
  <c r="BY2580" i="3"/>
  <c r="AU2326" i="3"/>
  <c r="AU386" i="3"/>
  <c r="BG709" i="3"/>
  <c r="AI894" i="3"/>
  <c r="AC501" i="3"/>
  <c r="AU2072" i="3"/>
  <c r="AU1933" i="3"/>
  <c r="AU1217" i="3"/>
  <c r="AU2533" i="3"/>
  <c r="BG1032" i="3"/>
  <c r="AC1402" i="3"/>
  <c r="AI2302" i="3"/>
  <c r="AU663" i="3"/>
  <c r="AU940" i="3"/>
  <c r="AU2464" i="3"/>
  <c r="AU1171" i="3"/>
  <c r="AU2418" i="3"/>
  <c r="AU2556" i="3"/>
  <c r="AU1402" i="3"/>
  <c r="BG2464" i="3"/>
  <c r="BG2141" i="3"/>
  <c r="BG1841" i="3"/>
  <c r="BG1540" i="3"/>
  <c r="BG917" i="3"/>
  <c r="BG2048" i="3"/>
  <c r="BG2302" i="3"/>
  <c r="BG2556" i="3"/>
  <c r="BY1402" i="3"/>
  <c r="BY63" i="3"/>
  <c r="BY1794" i="3"/>
  <c r="BY1056" i="3"/>
  <c r="BY455" i="3"/>
  <c r="BY2603" i="3"/>
  <c r="BY2141" i="3"/>
  <c r="BG778" i="3"/>
  <c r="BG732" i="3"/>
  <c r="BG1379" i="3"/>
  <c r="BG1610" i="3"/>
  <c r="BG802" i="3"/>
  <c r="BY155" i="3"/>
  <c r="BY1102" i="3"/>
  <c r="BY409" i="3"/>
  <c r="BY1679" i="3"/>
  <c r="BY1818" i="3"/>
  <c r="BY940" i="3"/>
  <c r="BY1194" i="3"/>
  <c r="BY1748" i="3"/>
  <c r="BG2672" i="3"/>
  <c r="BG2072" i="3"/>
  <c r="BG109" i="3"/>
  <c r="BG2095" i="3"/>
  <c r="BY201" i="3"/>
  <c r="BY2072" i="3"/>
  <c r="BY917" i="3"/>
  <c r="BY2418" i="3"/>
  <c r="BY1933" i="3"/>
  <c r="BY1148" i="3"/>
  <c r="BY1310" i="3"/>
  <c r="BY1125" i="3"/>
  <c r="BG1564" i="3"/>
  <c r="BG1771" i="3"/>
  <c r="BG409" i="3"/>
  <c r="BG2418" i="3"/>
  <c r="BY2695" i="3"/>
  <c r="BY2002" i="3"/>
  <c r="BY132" i="3"/>
  <c r="BY2533" i="3"/>
  <c r="BY224" i="3"/>
  <c r="BY2349" i="3"/>
  <c r="BY2118" i="3"/>
  <c r="BY1841" i="3"/>
  <c r="V4" i="3"/>
  <c r="V5" i="3" s="1"/>
  <c r="V6" i="3" s="1"/>
  <c r="AY2718" i="3"/>
  <c r="AY2326" i="3"/>
  <c r="AY455" i="3"/>
  <c r="AY1517" i="3"/>
  <c r="AY640" i="3"/>
  <c r="AY2372" i="3"/>
  <c r="AY340" i="3"/>
  <c r="AY1910" i="3"/>
  <c r="AY2649" i="3"/>
  <c r="AY2164" i="3"/>
  <c r="AY294" i="3"/>
  <c r="AY2487" i="3"/>
  <c r="AY2441" i="3"/>
  <c r="AY132" i="3"/>
  <c r="AY1240" i="3"/>
  <c r="AY548" i="3"/>
  <c r="AY40" i="3"/>
  <c r="AY109" i="3"/>
  <c r="AY1979" i="3"/>
  <c r="AY617" i="3"/>
  <c r="AY894" i="3"/>
  <c r="AY2302" i="3"/>
  <c r="AY1356" i="3"/>
  <c r="AY2279" i="3"/>
  <c r="AY63" i="3"/>
  <c r="AY778" i="3"/>
  <c r="AY1032" i="3"/>
  <c r="AY2672" i="3"/>
  <c r="AY1263" i="3"/>
  <c r="AY571" i="3"/>
  <c r="AY2025" i="3"/>
  <c r="AY247" i="3"/>
  <c r="U19" i="3"/>
  <c r="X19" i="3" s="1"/>
  <c r="AY2603" i="3"/>
  <c r="AY1656" i="3"/>
  <c r="AY1610" i="3"/>
  <c r="AY2533" i="3"/>
  <c r="AY2187" i="3"/>
  <c r="AY1217" i="3"/>
  <c r="AY1864" i="3"/>
  <c r="AY1540" i="3"/>
  <c r="AY1564" i="3"/>
  <c r="AY2741" i="3"/>
  <c r="AY2787" i="3"/>
  <c r="AY1818" i="3"/>
  <c r="AY848" i="3"/>
  <c r="AY2233" i="3"/>
  <c r="AY825" i="3"/>
  <c r="AY478" i="3"/>
  <c r="AY2556" i="3"/>
  <c r="AY1494" i="3"/>
  <c r="AY686" i="3"/>
  <c r="AY1310" i="3"/>
  <c r="AY270" i="3"/>
  <c r="AY2510" i="3"/>
  <c r="AY524" i="3"/>
  <c r="AY940" i="3"/>
  <c r="AY1148" i="3"/>
  <c r="AY1702" i="3"/>
  <c r="AY1679" i="3"/>
  <c r="AY1333" i="3"/>
  <c r="AY1956" i="3"/>
  <c r="AY2095" i="3"/>
  <c r="AY1748" i="3"/>
  <c r="AY1379" i="3"/>
  <c r="AY1079" i="3"/>
  <c r="AY1887" i="3"/>
  <c r="AY802" i="3"/>
  <c r="AY1171" i="3"/>
  <c r="AY317" i="3"/>
  <c r="AY2580" i="3"/>
  <c r="AY1009" i="3"/>
  <c r="AY432" i="3"/>
  <c r="AY2141" i="3"/>
  <c r="AY1841" i="3"/>
  <c r="AY1102" i="3"/>
  <c r="AY1725" i="3"/>
  <c r="AY155" i="3"/>
  <c r="AY986" i="3"/>
  <c r="AY363" i="3"/>
  <c r="AY755" i="3"/>
  <c r="AY594" i="3"/>
  <c r="AY2349" i="3"/>
  <c r="AY1771" i="3"/>
  <c r="AY1448" i="3"/>
  <c r="AY1194" i="3"/>
  <c r="AY2210" i="3"/>
  <c r="AY2626" i="3"/>
  <c r="AY1402" i="3"/>
  <c r="AY1125" i="3"/>
  <c r="AY732" i="3"/>
  <c r="AY2072" i="3"/>
  <c r="AY386" i="3"/>
  <c r="AY1587" i="3"/>
  <c r="AY501" i="3"/>
  <c r="AY709" i="3"/>
  <c r="AY409" i="3"/>
  <c r="O7" i="3"/>
  <c r="S8" i="1" s="1"/>
  <c r="AY917" i="3"/>
  <c r="AY2002" i="3"/>
  <c r="AY2764" i="3"/>
  <c r="AY2118" i="3"/>
  <c r="AY2464" i="3"/>
  <c r="AY86" i="3"/>
  <c r="AY2418" i="3"/>
  <c r="AY963" i="3"/>
  <c r="AY2695" i="3"/>
  <c r="AY1633" i="3"/>
  <c r="AY2256" i="3"/>
  <c r="AY1933" i="3"/>
  <c r="AY871" i="3"/>
  <c r="AY1286" i="3"/>
  <c r="AY1794" i="3"/>
  <c r="AY1425" i="3"/>
  <c r="AY663" i="3"/>
  <c r="AY178" i="3"/>
  <c r="AY224" i="3"/>
  <c r="AY2048" i="3"/>
  <c r="AY1056" i="3"/>
  <c r="Q7" i="3"/>
  <c r="AY2810" i="3"/>
  <c r="AY1471" i="3"/>
  <c r="AY2395" i="3"/>
  <c r="AY201" i="3"/>
  <c r="CC317" i="3" l="1"/>
  <c r="CC2395" i="3"/>
  <c r="CC2626" i="3"/>
  <c r="CC2556" i="3"/>
  <c r="CC1194" i="3"/>
  <c r="CC2256" i="3"/>
  <c r="CC755" i="3"/>
  <c r="CC686" i="3"/>
  <c r="CC1379" i="3"/>
  <c r="CC1079" i="3"/>
  <c r="CC1771" i="3"/>
  <c r="CC86" i="3"/>
  <c r="CC825" i="3"/>
  <c r="CC1032" i="3"/>
  <c r="CC1933" i="3"/>
  <c r="CC2025" i="3"/>
  <c r="CC2672" i="3"/>
  <c r="CC1679" i="3"/>
  <c r="CC1009" i="3"/>
  <c r="CC548" i="3"/>
  <c r="CC1864" i="3"/>
  <c r="CC1587" i="3"/>
  <c r="CC1494" i="3"/>
  <c r="CC178" i="3"/>
  <c r="CC732" i="3"/>
  <c r="CC1979" i="3"/>
  <c r="CC1633" i="3"/>
  <c r="CC224" i="3"/>
  <c r="CC1725" i="3"/>
  <c r="CC363" i="3"/>
  <c r="CC1310" i="3"/>
  <c r="CC940" i="3"/>
  <c r="CC1333" i="3"/>
  <c r="CC2741" i="3"/>
  <c r="CC155" i="3"/>
  <c r="CC1794" i="3"/>
  <c r="CC2580" i="3"/>
  <c r="CC2048" i="3"/>
  <c r="CC2210" i="3"/>
  <c r="CC917" i="3"/>
  <c r="CC132" i="3"/>
  <c r="CC986" i="3"/>
  <c r="CC524" i="3"/>
  <c r="CC2533" i="3"/>
  <c r="CC1610" i="3"/>
  <c r="CC1818" i="3"/>
  <c r="CC109" i="3"/>
  <c r="CC1217" i="3"/>
  <c r="CC1240" i="3"/>
  <c r="CC2510" i="3"/>
  <c r="CC2718" i="3"/>
  <c r="CC1748" i="3"/>
  <c r="CC1125" i="3"/>
  <c r="CC340" i="3"/>
  <c r="CC2810" i="3"/>
  <c r="CC1540" i="3"/>
  <c r="CC386" i="3"/>
  <c r="CC802" i="3"/>
  <c r="CC294" i="3"/>
  <c r="O12" i="3"/>
  <c r="CC1564" i="3"/>
  <c r="CC1102" i="3"/>
  <c r="CC1356" i="3"/>
  <c r="Q12" i="3"/>
  <c r="CC2141" i="3"/>
  <c r="CC2095" i="3"/>
  <c r="CC640" i="3"/>
  <c r="CC1702" i="3"/>
  <c r="CC2695" i="3"/>
  <c r="CC709" i="3"/>
  <c r="CC963" i="3"/>
  <c r="U24" i="3"/>
  <c r="X24" i="3" s="1"/>
  <c r="CC2372" i="3"/>
  <c r="CC201" i="3"/>
  <c r="CC778" i="3"/>
  <c r="CC1887" i="3"/>
  <c r="CC2464" i="3"/>
  <c r="CC2441" i="3"/>
  <c r="CC501" i="3"/>
  <c r="CC871" i="3"/>
  <c r="CC2787" i="3"/>
  <c r="CC1263" i="3"/>
  <c r="CC1656" i="3"/>
  <c r="CC2418" i="3"/>
  <c r="CC594" i="3"/>
  <c r="CC2233" i="3"/>
  <c r="CC848" i="3"/>
  <c r="CC2649" i="3"/>
  <c r="CC40" i="3"/>
  <c r="CC1910" i="3"/>
  <c r="CC2603" i="3"/>
  <c r="CC2349" i="3"/>
  <c r="CC2326" i="3"/>
  <c r="CC247" i="3"/>
  <c r="CC1517" i="3"/>
  <c r="CC1841" i="3"/>
  <c r="CC571" i="3"/>
  <c r="CC2164" i="3"/>
  <c r="CC63" i="3"/>
  <c r="CC2302" i="3"/>
  <c r="CC2187" i="3"/>
  <c r="CC2072" i="3"/>
  <c r="CC2279" i="3"/>
  <c r="CC1425" i="3"/>
  <c r="CC1148" i="3"/>
  <c r="CC663" i="3"/>
  <c r="CC1956" i="3"/>
  <c r="CC617" i="3"/>
  <c r="CC2487" i="3"/>
  <c r="CC270" i="3"/>
  <c r="CC2118" i="3"/>
  <c r="CC409" i="3"/>
  <c r="CC1286" i="3"/>
  <c r="CC478" i="3"/>
  <c r="CC1056" i="3"/>
  <c r="CC432" i="3"/>
  <c r="CC1171" i="3"/>
  <c r="CC1448" i="3"/>
  <c r="CC1402" i="3"/>
  <c r="AS1448" i="3"/>
  <c r="AS2326" i="3"/>
  <c r="AS617" i="3"/>
  <c r="AS709" i="3"/>
  <c r="AS2048" i="3"/>
  <c r="AS455" i="3"/>
  <c r="AS247" i="3"/>
  <c r="AS871" i="3"/>
  <c r="AS2603" i="3"/>
  <c r="AS1263" i="3"/>
  <c r="AS2672" i="3"/>
  <c r="AS1702" i="3"/>
  <c r="AS1725" i="3"/>
  <c r="AS501" i="3"/>
  <c r="AS1841" i="3"/>
  <c r="AS2095" i="3"/>
  <c r="AS640" i="3"/>
  <c r="AS663" i="3"/>
  <c r="AS432" i="3"/>
  <c r="AS1587" i="3"/>
  <c r="AS2487" i="3"/>
  <c r="AS2372" i="3"/>
  <c r="AS1679" i="3"/>
  <c r="AS2695" i="3"/>
  <c r="AS1240" i="3"/>
  <c r="AS2395" i="3"/>
  <c r="AS2441" i="3"/>
  <c r="AS1956" i="3"/>
  <c r="AS1125" i="3"/>
  <c r="Q6" i="3"/>
  <c r="AS2649" i="3"/>
  <c r="AS1748" i="3"/>
  <c r="AS1794" i="3"/>
  <c r="AS294" i="3"/>
  <c r="AS2210" i="3"/>
  <c r="AS1356" i="3"/>
  <c r="AS363" i="3"/>
  <c r="AS732" i="3"/>
  <c r="AS548" i="3"/>
  <c r="AS86" i="3"/>
  <c r="AS2164" i="3"/>
  <c r="AS1171" i="3"/>
  <c r="AS2025" i="3"/>
  <c r="AS2118" i="3"/>
  <c r="AS1379" i="3"/>
  <c r="AS1864" i="3"/>
  <c r="AS1818" i="3"/>
  <c r="AS1056" i="3"/>
  <c r="AS224" i="3"/>
  <c r="AS755" i="3"/>
  <c r="AS2764" i="3"/>
  <c r="AS2580" i="3"/>
  <c r="AS386" i="3"/>
  <c r="AS2349" i="3"/>
  <c r="AS1633" i="3"/>
  <c r="AS1887" i="3"/>
  <c r="AS201" i="3"/>
  <c r="AS917" i="3"/>
  <c r="AS317" i="3"/>
  <c r="AS270" i="3"/>
  <c r="AS802" i="3"/>
  <c r="AS524" i="3"/>
  <c r="AS132" i="3"/>
  <c r="AS1471" i="3"/>
  <c r="AS409" i="3"/>
  <c r="AS1425" i="3"/>
  <c r="AS2279" i="3"/>
  <c r="AS2810" i="3"/>
  <c r="AS2002" i="3"/>
  <c r="AS2464" i="3"/>
  <c r="AS1610" i="3"/>
  <c r="AS1771" i="3"/>
  <c r="AS2510" i="3"/>
  <c r="AS1032" i="3"/>
  <c r="AS2533" i="3"/>
  <c r="U18" i="3"/>
  <c r="X18" i="3" s="1"/>
  <c r="AS825" i="3"/>
  <c r="O6" i="3"/>
  <c r="S7" i="1" s="1"/>
  <c r="AS63" i="3"/>
  <c r="AS2418" i="3"/>
  <c r="AS109" i="3"/>
  <c r="AS1009" i="3"/>
  <c r="AS155" i="3"/>
  <c r="AS894" i="3"/>
  <c r="AS1656" i="3"/>
  <c r="AS778" i="3"/>
  <c r="AS1194" i="3"/>
  <c r="AS1933" i="3"/>
  <c r="AS2626" i="3"/>
  <c r="AS2187" i="3"/>
  <c r="AS340" i="3"/>
  <c r="AS1402" i="3"/>
  <c r="AS1148" i="3"/>
  <c r="AS2256" i="3"/>
  <c r="AS2787" i="3"/>
  <c r="AS2141" i="3"/>
  <c r="AS848" i="3"/>
  <c r="AS1540" i="3"/>
  <c r="AS963" i="3"/>
  <c r="AS940" i="3"/>
  <c r="AS1217" i="3"/>
  <c r="AS2302" i="3"/>
  <c r="AS2556" i="3"/>
  <c r="AS1494" i="3"/>
  <c r="AS2741" i="3"/>
  <c r="AS1079" i="3"/>
  <c r="AS571" i="3"/>
  <c r="AS1517" i="3"/>
  <c r="AS2233" i="3"/>
  <c r="AS1286" i="3"/>
  <c r="AS1102" i="3"/>
  <c r="AS1979" i="3"/>
  <c r="AS2718" i="3"/>
  <c r="AS178" i="3"/>
  <c r="AS1333" i="3"/>
  <c r="AS686" i="3"/>
  <c r="AS1310" i="3"/>
  <c r="AS478" i="3"/>
  <c r="AS2072" i="3"/>
  <c r="AS1910" i="3"/>
  <c r="AS986" i="3"/>
  <c r="AS1564" i="3"/>
  <c r="AS40" i="3"/>
  <c r="AS594" i="3"/>
  <c r="S13" i="1"/>
  <c r="BE2672" i="3"/>
  <c r="BE709" i="3"/>
  <c r="BE2326" i="3"/>
  <c r="BE2626" i="3"/>
  <c r="BE1032" i="3"/>
  <c r="BE86" i="3"/>
  <c r="BE940" i="3"/>
  <c r="BE594" i="3"/>
  <c r="BE963" i="3"/>
  <c r="BE825" i="3"/>
  <c r="BE2279" i="3"/>
  <c r="BE2210" i="3"/>
  <c r="BE2580" i="3"/>
  <c r="BE2810" i="3"/>
  <c r="BE2002" i="3"/>
  <c r="BE2302" i="3"/>
  <c r="BE1864" i="3"/>
  <c r="BE2487" i="3"/>
  <c r="BE1841" i="3"/>
  <c r="BE1194" i="3"/>
  <c r="BE2164" i="3"/>
  <c r="BE2603" i="3"/>
  <c r="BE432" i="3"/>
  <c r="BE617" i="3"/>
  <c r="BE1887" i="3"/>
  <c r="BE2095" i="3"/>
  <c r="BE2695" i="3"/>
  <c r="BE2187" i="3"/>
  <c r="BE1356" i="3"/>
  <c r="BE2072" i="3"/>
  <c r="BE2510" i="3"/>
  <c r="BE1794" i="3"/>
  <c r="BE455" i="3"/>
  <c r="BE1171" i="3"/>
  <c r="BE1471" i="3"/>
  <c r="BE201" i="3"/>
  <c r="BE1656" i="3"/>
  <c r="BE294" i="3"/>
  <c r="BE1818" i="3"/>
  <c r="BE270" i="3"/>
  <c r="BE755" i="3"/>
  <c r="BE40" i="3"/>
  <c r="BE1517" i="3"/>
  <c r="BE2118" i="3"/>
  <c r="BE548" i="3"/>
  <c r="BE1217" i="3"/>
  <c r="BE1079" i="3"/>
  <c r="BE409" i="3"/>
  <c r="BE2441" i="3"/>
  <c r="BE109" i="3"/>
  <c r="BE1979" i="3"/>
  <c r="BE571" i="3"/>
  <c r="BE871" i="3"/>
  <c r="BE778" i="3"/>
  <c r="BE224" i="3"/>
  <c r="BE63" i="3"/>
  <c r="BE802" i="3"/>
  <c r="BE1286" i="3"/>
  <c r="BE640" i="3"/>
  <c r="BE1956" i="3"/>
  <c r="BE2718" i="3"/>
  <c r="O8" i="3"/>
  <c r="S9" i="1" s="1"/>
  <c r="BE1448" i="3"/>
  <c r="BE478" i="3"/>
  <c r="BE1009" i="3"/>
  <c r="BE1679" i="3"/>
  <c r="BE2141" i="3"/>
  <c r="BE1310" i="3"/>
  <c r="BE1748" i="3"/>
  <c r="BE386" i="3"/>
  <c r="BE363" i="3"/>
  <c r="BE1102" i="3"/>
  <c r="BE1425" i="3"/>
  <c r="BE1725" i="3"/>
  <c r="BE1771" i="3"/>
  <c r="BE848" i="3"/>
  <c r="BE247" i="3"/>
  <c r="BE1263" i="3"/>
  <c r="BE2464" i="3"/>
  <c r="BE2048" i="3"/>
  <c r="BE2256" i="3"/>
  <c r="BE663" i="3"/>
  <c r="BE2533" i="3"/>
  <c r="BE132" i="3"/>
  <c r="BE524" i="3"/>
  <c r="BE178" i="3"/>
  <c r="BE2025" i="3"/>
  <c r="BE986" i="3"/>
  <c r="BE501" i="3"/>
  <c r="BE894" i="3"/>
  <c r="BE1702" i="3"/>
  <c r="BE2233" i="3"/>
  <c r="BE2418" i="3"/>
  <c r="BE1910" i="3"/>
  <c r="BE1240" i="3"/>
  <c r="BE2349" i="3"/>
  <c r="BE1402" i="3"/>
  <c r="BE340" i="3"/>
  <c r="U20" i="3"/>
  <c r="X20" i="3" s="1"/>
  <c r="BE2764" i="3"/>
  <c r="BE1564" i="3"/>
  <c r="BE2649" i="3"/>
  <c r="BE1148" i="3"/>
  <c r="BE732" i="3"/>
  <c r="BE317" i="3"/>
  <c r="BE2556" i="3"/>
  <c r="Q8" i="3"/>
  <c r="BE1610" i="3"/>
  <c r="BE1125" i="3"/>
  <c r="BE1587" i="3"/>
  <c r="BE1540" i="3"/>
  <c r="BE686" i="3"/>
  <c r="BE2395" i="3"/>
  <c r="BE155" i="3"/>
  <c r="BE2741" i="3"/>
  <c r="BE2372" i="3"/>
  <c r="BE1379" i="3"/>
  <c r="BE1494" i="3"/>
  <c r="BE1933" i="3"/>
  <c r="BE1333" i="3"/>
  <c r="BE2787" i="3"/>
  <c r="BE917" i="3"/>
  <c r="BE1056" i="3"/>
  <c r="BE1633" i="3"/>
  <c r="S3" i="1"/>
  <c r="AK306" i="2"/>
  <c r="S5" i="1"/>
  <c r="S4" i="1"/>
  <c r="AK312" i="2"/>
  <c r="AK307" i="2"/>
  <c r="AK310" i="2"/>
  <c r="AK309" i="2"/>
  <c r="AK308" i="2"/>
  <c r="AK305" i="2"/>
  <c r="Y5" i="3"/>
  <c r="Y6" i="3" s="1"/>
  <c r="AK313" i="2"/>
  <c r="AK303" i="2"/>
  <c r="AK311" i="2"/>
  <c r="AK304" i="2"/>
  <c r="Q6" i="1"/>
  <c r="Q12" i="1"/>
  <c r="Q13" i="1"/>
  <c r="Q5" i="1"/>
  <c r="Q19" i="1"/>
  <c r="Q17" i="1"/>
  <c r="Q14" i="1"/>
  <c r="Q18" i="1"/>
  <c r="Q15" i="1"/>
  <c r="Q16" i="1"/>
  <c r="Q7" i="1"/>
  <c r="P19" i="3"/>
  <c r="Q20" i="1"/>
  <c r="P22" i="3"/>
  <c r="Q23" i="1"/>
  <c r="P24" i="3"/>
  <c r="Q25" i="1"/>
  <c r="P21" i="3"/>
  <c r="Q22" i="1"/>
  <c r="P25" i="3"/>
  <c r="Q26" i="1"/>
  <c r="P20" i="3"/>
  <c r="Q21" i="1"/>
  <c r="P23" i="3"/>
  <c r="Q24" i="1"/>
  <c r="V7" i="3"/>
  <c r="V8" i="3" s="1"/>
  <c r="Q8" i="1"/>
  <c r="P15" i="3"/>
  <c r="X14" i="3"/>
  <c r="P16" i="3"/>
  <c r="Q9" i="1"/>
  <c r="Q10" i="1"/>
  <c r="P17" i="3"/>
  <c r="P18" i="3"/>
  <c r="Q11" i="1"/>
  <c r="Y7" i="3"/>
  <c r="T20" i="1" l="1"/>
  <c r="T24" i="1"/>
  <c r="T25" i="1"/>
  <c r="T15" i="1"/>
  <c r="T22" i="1"/>
  <c r="V9" i="3"/>
  <c r="V10" i="3" s="1"/>
  <c r="T23" i="1"/>
  <c r="T26" i="1"/>
  <c r="T18" i="1"/>
  <c r="T21" i="1"/>
  <c r="T16" i="1"/>
  <c r="T19" i="1"/>
  <c r="T14" i="1"/>
  <c r="T17" i="1"/>
  <c r="Y8" i="3"/>
  <c r="V11" i="3" l="1"/>
  <c r="V12" i="3"/>
  <c r="V13" i="3" s="1"/>
  <c r="Y9" i="3"/>
  <c r="V14" i="3" l="1"/>
  <c r="V15" i="3" s="1"/>
  <c r="Y10" i="3"/>
  <c r="V16" i="3" l="1"/>
  <c r="V17" i="3" s="1"/>
  <c r="Y11" i="3"/>
  <c r="V18" i="3" l="1"/>
  <c r="V19" i="3" s="1"/>
  <c r="V20" i="3" s="1"/>
  <c r="Y12" i="3"/>
  <c r="V21" i="3" l="1"/>
  <c r="V22" i="3" s="1"/>
  <c r="V23" i="3" s="1"/>
  <c r="V24" i="3" s="1"/>
  <c r="W6" i="3" s="1"/>
  <c r="B800" i="3" s="1"/>
  <c r="Y13" i="3"/>
  <c r="W13" i="3" l="1"/>
  <c r="B2578" i="3" s="1"/>
  <c r="W5" i="3"/>
  <c r="B546" i="3" s="1"/>
  <c r="W9" i="3"/>
  <c r="B1562" i="3" s="1"/>
  <c r="W11" i="3"/>
  <c r="B2070" i="3" s="1"/>
  <c r="W8" i="3"/>
  <c r="B1308" i="3" s="1"/>
  <c r="W4" i="3"/>
  <c r="B292" i="3" s="1"/>
  <c r="W10" i="3"/>
  <c r="B1816" i="3" s="1"/>
  <c r="W12" i="3"/>
  <c r="B2324" i="3" s="1"/>
  <c r="W7" i="3"/>
  <c r="B1054" i="3" s="1"/>
  <c r="W3" i="3"/>
  <c r="Y14" i="3"/>
  <c r="Y15" i="3" s="1"/>
  <c r="B38" i="3" l="1"/>
  <c r="Y16" i="3"/>
  <c r="Y17" i="3" s="1"/>
  <c r="Y18" i="3" l="1"/>
  <c r="Y19" i="3" l="1"/>
  <c r="Y20" i="3" s="1"/>
  <c r="Y21" i="3" l="1"/>
  <c r="Y22" i="3" s="1"/>
  <c r="Y23" i="3" l="1"/>
  <c r="Z7" i="3" s="1"/>
  <c r="Z3" i="3" l="1"/>
  <c r="Z13" i="3"/>
  <c r="Z4" i="3"/>
  <c r="Z6" i="3"/>
  <c r="A989" i="3" s="1"/>
  <c r="Z5" i="3"/>
  <c r="Z8" i="3"/>
  <c r="Z9" i="3"/>
  <c r="Z10" i="3"/>
  <c r="A406" i="3" s="1"/>
  <c r="Z11" i="3"/>
  <c r="Z12" i="3"/>
  <c r="A1901" i="3"/>
  <c r="A1029" i="3"/>
  <c r="A2158" i="3"/>
  <c r="A1282" i="3"/>
  <c r="A1028" i="3"/>
  <c r="A2039" i="3"/>
  <c r="A2344" i="3"/>
  <c r="A2063" i="3"/>
  <c r="A609" i="3"/>
  <c r="A914" i="3"/>
  <c r="A2714" i="3"/>
  <c r="A2227" i="3"/>
  <c r="A1531" i="3"/>
  <c r="A1515" i="3"/>
  <c r="A961" i="3"/>
  <c r="A2254" i="3"/>
  <c r="A615" i="3"/>
  <c r="A932" i="3"/>
  <c r="A655" i="3"/>
  <c r="A2294" i="3"/>
  <c r="A563" i="3"/>
  <c r="A2618" i="3"/>
  <c r="A2802" i="3"/>
  <c r="A424" i="3"/>
  <c r="A2571" i="3"/>
  <c r="A1439" i="3"/>
  <c r="A1554" i="3"/>
  <c r="A2525" i="3"/>
  <c r="A770" i="3"/>
  <c r="A817" i="3"/>
  <c r="A493" i="3"/>
  <c r="A1994" i="3"/>
  <c r="A239" i="3"/>
  <c r="A586" i="3"/>
  <c r="A1720" i="3"/>
  <c r="A1002" i="3"/>
  <c r="A589" i="3"/>
  <c r="A2457" i="3"/>
  <c r="A1074" i="3"/>
  <c r="A2134" i="3"/>
  <c r="A265" i="3"/>
  <c r="A1304" i="3"/>
  <c r="A889" i="3"/>
  <c r="A102" i="3"/>
  <c r="A748" i="3"/>
  <c r="A2734" i="3"/>
  <c r="A540" i="3"/>
  <c r="A1512" i="3"/>
  <c r="A2667" i="3"/>
  <c r="A1374" i="3"/>
  <c r="A517" i="3"/>
  <c r="A1097" i="3"/>
  <c r="A219" i="3"/>
  <c r="A2803" i="3"/>
  <c r="A2688" i="3"/>
  <c r="A2226" i="3"/>
  <c r="A1118" i="3"/>
  <c r="A866" i="3"/>
  <c r="A2644" i="3"/>
  <c r="A127" i="3"/>
  <c r="A496" i="3"/>
  <c r="A956" i="3"/>
  <c r="A427" i="3"/>
  <c r="A2619" i="3"/>
  <c r="A2180" i="3"/>
  <c r="A519" i="3"/>
  <c r="A448" i="3"/>
  <c r="A1256" i="3"/>
  <c r="A1210" i="3"/>
  <c r="A2157" i="3"/>
  <c r="A2503" i="3"/>
  <c r="A794" i="3"/>
  <c r="A2203" i="3"/>
  <c r="A1605" i="3"/>
  <c r="A1697" i="3"/>
  <c r="A1674" i="3"/>
  <c r="A1120" i="3"/>
  <c r="A796" i="3"/>
  <c r="A2295" i="3"/>
  <c r="A1279" i="3"/>
  <c r="A635" i="3"/>
  <c r="A1050" i="3"/>
  <c r="A2480" i="3"/>
  <c r="A633" i="3"/>
  <c r="A727" i="3"/>
  <c r="A1420" i="3"/>
  <c r="A494" i="3"/>
  <c r="A864" i="3"/>
  <c r="A681" i="3"/>
  <c r="A1397" i="3"/>
  <c r="A312" i="3"/>
  <c r="A1189" i="3"/>
  <c r="A171" i="3"/>
  <c r="A1489" i="3"/>
  <c r="A310" i="3"/>
  <c r="A379" i="3"/>
  <c r="A2713" i="3"/>
  <c r="A2711" i="3"/>
  <c r="A288" i="3"/>
  <c r="A286" i="3"/>
  <c r="A335" i="3"/>
  <c r="A2782" i="3"/>
  <c r="A402" i="3"/>
  <c r="A2596" i="3"/>
  <c r="A981" i="3"/>
  <c r="A2411" i="3"/>
  <c r="A1628" i="3"/>
  <c r="A587" i="3"/>
  <c r="A2088" i="3"/>
  <c r="A2388" i="3"/>
  <c r="A2572" i="3"/>
  <c r="A1164" i="3"/>
  <c r="A704" i="3"/>
  <c r="A1025" i="3"/>
  <c r="A843" i="3"/>
  <c r="A1351" i="3"/>
  <c r="A2828" i="3"/>
  <c r="A2826" i="3"/>
  <c r="A658" i="3"/>
  <c r="A450" i="3"/>
  <c r="A612" i="3"/>
  <c r="A1558" i="3"/>
  <c r="A358" i="3"/>
  <c r="A2598" i="3"/>
  <c r="A79" i="3"/>
  <c r="A820" i="3"/>
  <c r="A381" i="3"/>
  <c r="A471" i="3"/>
  <c r="A2780" i="3"/>
  <c r="A2342" i="3"/>
  <c r="A1072" i="3"/>
  <c r="A1143" i="3"/>
  <c r="A1095" i="3"/>
  <c r="A771" i="3"/>
  <c r="A773" i="3"/>
  <c r="A979" i="3"/>
  <c r="A194" i="3"/>
  <c r="A1302" i="3"/>
  <c r="A702" i="3"/>
  <c r="A356" i="3"/>
  <c r="A2665" i="3"/>
  <c r="A1535" i="3"/>
  <c r="A263" i="3"/>
  <c r="A333" i="3"/>
  <c r="A1466" i="3"/>
  <c r="A404" i="3"/>
  <c r="A1027" i="3"/>
  <c r="A56" i="3"/>
  <c r="A150" i="3"/>
  <c r="A58" i="3"/>
  <c r="A196" i="3"/>
  <c r="A148" i="3"/>
  <c r="A104" i="3"/>
  <c r="A125" i="3"/>
  <c r="A240" i="3"/>
  <c r="A81" i="3"/>
  <c r="A2505" i="3"/>
  <c r="A2367" i="3"/>
  <c r="A1462" i="3"/>
  <c r="A550" i="3"/>
  <c r="A2042" i="3"/>
  <c r="A1035" i="3" l="1"/>
  <c r="A805" i="3"/>
  <c r="A1532" i="3"/>
  <c r="A1626" i="3"/>
  <c r="A897" i="3"/>
  <c r="A1348" i="3"/>
  <c r="A273" i="3"/>
  <c r="A943" i="3"/>
  <c r="A1208" i="3"/>
  <c r="A828" i="3"/>
  <c r="A1168" i="3"/>
  <c r="A181" i="3"/>
  <c r="A966" i="3"/>
  <c r="A1603" i="3"/>
  <c r="A1580" i="3"/>
  <c r="A1012" i="3"/>
  <c r="A2113" i="3"/>
  <c r="A1930" i="3"/>
  <c r="A1266" i="3"/>
  <c r="A2552" i="3"/>
  <c r="A314" i="3"/>
  <c r="A158" i="3"/>
  <c r="A1584" i="3"/>
  <c r="A1422" i="3"/>
  <c r="A2161" i="3"/>
  <c r="A2606" i="3"/>
  <c r="A452" i="3"/>
  <c r="A1468" i="3"/>
  <c r="A429" i="3"/>
  <c r="A89" i="3"/>
  <c r="A803" i="3"/>
  <c r="A1128" i="3"/>
  <c r="A2270" i="3"/>
  <c r="A1924" i="3"/>
  <c r="A2483" i="3"/>
  <c r="A1774" i="3"/>
  <c r="A2398" i="3"/>
  <c r="A2559" i="3"/>
  <c r="A2236" i="3"/>
  <c r="A1773" i="3"/>
  <c r="A1335" i="3"/>
  <c r="A2196" i="3"/>
  <c r="A642" i="3"/>
  <c r="A2328" i="3"/>
  <c r="A2628" i="3"/>
  <c r="A988" i="3"/>
  <c r="A1288" i="3"/>
  <c r="A1820" i="3"/>
  <c r="A2420" i="3"/>
  <c r="A596" i="3"/>
  <c r="A573" i="3"/>
  <c r="A2522" i="3"/>
  <c r="A2605" i="3"/>
  <c r="A1889" i="3"/>
  <c r="A1681" i="3"/>
  <c r="A1727" i="3"/>
  <c r="A2074" i="3"/>
  <c r="A319" i="3"/>
  <c r="A1589" i="3"/>
  <c r="A526" i="3"/>
  <c r="A1912" i="3"/>
  <c r="A2120" i="3"/>
  <c r="A2397" i="3"/>
  <c r="A873" i="3"/>
  <c r="A1011" i="3"/>
  <c r="A1496" i="3"/>
  <c r="A1935" i="3"/>
  <c r="A1547" i="3"/>
  <c r="A1219" i="3"/>
  <c r="A2258" i="3"/>
  <c r="A1312" i="3"/>
  <c r="A1566" i="3"/>
  <c r="A503" i="3"/>
  <c r="A1704" i="3"/>
  <c r="A919" i="3"/>
  <c r="A1404" i="3"/>
  <c r="A619" i="3"/>
  <c r="A665" i="3"/>
  <c r="A711" i="3"/>
  <c r="A1358" i="3"/>
  <c r="A965" i="3"/>
  <c r="A2004" i="3"/>
  <c r="A2143" i="3"/>
  <c r="A2304" i="3"/>
  <c r="A942" i="3"/>
  <c r="A342" i="3"/>
  <c r="A1450" i="3"/>
  <c r="A1265" i="3"/>
  <c r="A1658" i="3"/>
  <c r="A2558" i="3"/>
  <c r="A2766" i="3"/>
  <c r="A2097" i="3"/>
  <c r="A1542" i="3"/>
  <c r="A1034" i="3"/>
  <c r="A850" i="3"/>
  <c r="A2489" i="3"/>
  <c r="A1473" i="3"/>
  <c r="A2443" i="3"/>
  <c r="A365" i="3"/>
  <c r="A434" i="3"/>
  <c r="A2674" i="3"/>
  <c r="A1242" i="3"/>
  <c r="A2466" i="3"/>
  <c r="A1635" i="3"/>
  <c r="A1519" i="3"/>
  <c r="A2235" i="3"/>
  <c r="A804" i="3"/>
  <c r="A2582" i="3"/>
  <c r="A2281" i="3"/>
  <c r="A2166" i="3"/>
  <c r="A1104" i="3"/>
  <c r="A2351" i="3"/>
  <c r="A2789" i="3"/>
  <c r="A1081" i="3"/>
  <c r="A1612" i="3"/>
  <c r="A1796" i="3"/>
  <c r="A1381" i="3"/>
  <c r="A457" i="3"/>
  <c r="A2812" i="3"/>
  <c r="A1750" i="3"/>
  <c r="A2535" i="3"/>
  <c r="A2050" i="3"/>
  <c r="A688" i="3"/>
  <c r="A757" i="3"/>
  <c r="A780" i="3"/>
  <c r="A734" i="3"/>
  <c r="A296" i="3"/>
  <c r="A1173" i="3"/>
  <c r="A1843" i="3"/>
  <c r="A2697" i="3"/>
  <c r="A827" i="3"/>
  <c r="A480" i="3"/>
  <c r="A1150" i="3"/>
  <c r="A388" i="3"/>
  <c r="A1958" i="3"/>
  <c r="A1866" i="3"/>
  <c r="A1981" i="3"/>
  <c r="A2027" i="3"/>
  <c r="A2374" i="3"/>
  <c r="A2189" i="3"/>
  <c r="A411" i="3"/>
  <c r="A2651" i="3"/>
  <c r="A2720" i="3"/>
  <c r="A1127" i="3"/>
  <c r="A896" i="3"/>
  <c r="A1058" i="3"/>
  <c r="A2212" i="3"/>
  <c r="A2743" i="3"/>
  <c r="A2512" i="3"/>
  <c r="A1427" i="3"/>
  <c r="A1196" i="3"/>
  <c r="A860" i="3"/>
  <c r="A228" i="3"/>
  <c r="A1806" i="3"/>
  <c r="A2014" i="3"/>
  <c r="A513" i="3"/>
  <c r="A1622" i="3"/>
  <c r="A2768" i="3"/>
  <c r="A1576" i="3"/>
  <c r="A318" i="3"/>
  <c r="A1160" i="3"/>
  <c r="A190" i="3"/>
  <c r="A536" i="3"/>
  <c r="A1637" i="3"/>
  <c r="A1229" i="3"/>
  <c r="A2545" i="3"/>
  <c r="A574" i="3"/>
  <c r="A1914" i="3"/>
  <c r="A1479" i="3"/>
  <c r="A2565" i="3"/>
  <c r="A1937" i="3"/>
  <c r="A2214" i="3"/>
  <c r="A251" i="3"/>
  <c r="A213" i="3"/>
  <c r="A1044" i="3"/>
  <c r="A883" i="3"/>
  <c r="A1483" i="3"/>
  <c r="A1252" i="3"/>
  <c r="A1091" i="3"/>
  <c r="A2407" i="3"/>
  <c r="A2615" i="3"/>
  <c r="A306" i="3"/>
  <c r="A1322" i="3"/>
  <c r="A2338" i="3"/>
  <c r="A1783" i="3"/>
  <c r="A2476" i="3"/>
  <c r="A2661" i="3"/>
  <c r="A2499" i="3"/>
  <c r="A1175" i="3"/>
  <c r="A1960" i="3"/>
  <c r="A390" i="3"/>
  <c r="A1406" i="3"/>
  <c r="A86" i="3"/>
  <c r="B86" i="3" s="1"/>
  <c r="A1544" i="3"/>
  <c r="A2008" i="3"/>
  <c r="A854" i="3"/>
  <c r="A352" i="3"/>
  <c r="A2753" i="3"/>
  <c r="A2384" i="3"/>
  <c r="A144" i="3"/>
  <c r="A259" i="3"/>
  <c r="A2361" i="3"/>
  <c r="A2107" i="3"/>
  <c r="A167" i="3"/>
  <c r="A1460" i="3"/>
  <c r="A2568" i="3"/>
  <c r="A2268" i="3"/>
  <c r="A1368" i="3"/>
  <c r="A375" i="3"/>
  <c r="A367" i="3"/>
  <c r="A1013" i="3"/>
  <c r="A667" i="3"/>
  <c r="A1822" i="3"/>
  <c r="A459" i="3"/>
  <c r="A837" i="3"/>
  <c r="A467" i="3"/>
  <c r="A2638" i="3"/>
  <c r="A2707" i="3"/>
  <c r="A75" i="3"/>
  <c r="A236" i="3"/>
  <c r="A421" i="3"/>
  <c r="A1021" i="3"/>
  <c r="A2199" i="3"/>
  <c r="A2730" i="3"/>
  <c r="A1298" i="3"/>
  <c r="A1922" i="3"/>
  <c r="A1991" i="3"/>
  <c r="A799" i="3"/>
  <c r="A781" i="3"/>
  <c r="A707" i="3"/>
  <c r="A199" i="3"/>
  <c r="A43" i="3"/>
  <c r="A1405" i="3"/>
  <c r="A1243" i="3"/>
  <c r="A2421" i="3"/>
  <c r="A2028" i="3"/>
  <c r="A66" i="3"/>
  <c r="A2490" i="3"/>
  <c r="A2790" i="3"/>
  <c r="A1691" i="3"/>
  <c r="A1313" i="3"/>
  <c r="A1174" i="3"/>
  <c r="A2375" i="3"/>
  <c r="A2282" i="3"/>
  <c r="A1289" i="3"/>
  <c r="A2190" i="3"/>
  <c r="A1821" i="3"/>
  <c r="A2629" i="3"/>
  <c r="A1359" i="3"/>
  <c r="A2326" i="3"/>
  <c r="B2326" i="3" s="1"/>
  <c r="A1149" i="3"/>
  <c r="A270" i="3"/>
  <c r="B270" i="3" s="1"/>
  <c r="A2369" i="3"/>
  <c r="A1827" i="3"/>
  <c r="A1804" i="3"/>
  <c r="A618" i="3"/>
  <c r="A2557" i="3"/>
  <c r="A2188" i="3"/>
  <c r="A1126" i="3"/>
  <c r="A71" i="3"/>
  <c r="A1951" i="3"/>
  <c r="A1524" i="3"/>
  <c r="A2576" i="3"/>
  <c r="A502" i="3"/>
  <c r="B502" i="3" s="1"/>
  <c r="A295" i="3"/>
  <c r="B295" i="3" s="1"/>
  <c r="A1598" i="3"/>
  <c r="A479" i="3"/>
  <c r="A1494" i="3"/>
  <c r="B1494" i="3" s="1"/>
  <c r="A1541" i="3"/>
  <c r="A109" i="3"/>
  <c r="B109" i="3" s="1"/>
  <c r="A2020" i="3"/>
  <c r="A2131" i="3"/>
  <c r="A371" i="3"/>
  <c r="A410" i="3"/>
  <c r="A2649" i="3"/>
  <c r="B2649" i="3" s="1"/>
  <c r="A225" i="3"/>
  <c r="A2119" i="3"/>
  <c r="A2280" i="3"/>
  <c r="A1033" i="3"/>
  <c r="A549" i="3"/>
  <c r="A2142" i="3"/>
  <c r="A1657" i="3"/>
  <c r="A1864" i="3"/>
  <c r="B1864" i="3" s="1"/>
  <c r="A640" i="3"/>
  <c r="B640" i="3" s="1"/>
  <c r="A2350" i="3"/>
  <c r="A1334" i="3"/>
  <c r="A2373" i="3"/>
  <c r="A710" i="3"/>
  <c r="A2650" i="3"/>
  <c r="A2511" i="3"/>
  <c r="A2332" i="3"/>
  <c r="A230" i="3"/>
  <c r="A1249" i="3"/>
  <c r="A2033" i="3"/>
  <c r="A155" i="3"/>
  <c r="B155" i="3" s="1"/>
  <c r="A1232" i="3"/>
  <c r="A1094" i="3"/>
  <c r="A675" i="3"/>
  <c r="A1692" i="3"/>
  <c r="A456" i="3"/>
  <c r="A2104" i="3"/>
  <c r="A341" i="3"/>
  <c r="A986" i="3"/>
  <c r="B986" i="3" s="1"/>
  <c r="A1102" i="3"/>
  <c r="B1102" i="3" s="1"/>
  <c r="A1217" i="3"/>
  <c r="B1217" i="3" s="1"/>
  <c r="A849" i="3"/>
  <c r="A964" i="3"/>
  <c r="A1357" i="3"/>
  <c r="A2604" i="3"/>
  <c r="A1448" i="3"/>
  <c r="B1448" i="3" s="1"/>
  <c r="A186" i="3"/>
  <c r="A140" i="3"/>
  <c r="A2346" i="3"/>
  <c r="A1163" i="3"/>
  <c r="A1710" i="3"/>
  <c r="A2149" i="3"/>
  <c r="A2438" i="3"/>
  <c r="A2242" i="3"/>
  <c r="A1295" i="3"/>
  <c r="A1500" i="3"/>
  <c r="A1735" i="3"/>
  <c r="A1573" i="3"/>
  <c r="A1662" i="3"/>
  <c r="A2473" i="3"/>
  <c r="A201" i="3"/>
  <c r="B201" i="3" s="1"/>
  <c r="A395" i="3"/>
  <c r="A525" i="3"/>
  <c r="A387" i="3"/>
  <c r="B387" i="3" s="1"/>
  <c r="A64" i="3"/>
  <c r="A1748" i="3"/>
  <c r="B1748" i="3" s="1"/>
  <c r="A202" i="3"/>
  <c r="A1841" i="3"/>
  <c r="B1841" i="3" s="1"/>
  <c r="A1125" i="3"/>
  <c r="B1125" i="3" s="1"/>
  <c r="A617" i="3"/>
  <c r="B617" i="3" s="1"/>
  <c r="A1310" i="3"/>
  <c r="B1310" i="3" s="1"/>
  <c r="A110" i="3"/>
  <c r="A1240" i="3"/>
  <c r="B1240" i="3" s="1"/>
  <c r="A2025" i="3"/>
  <c r="B2025" i="3" s="1"/>
  <c r="A2165" i="3"/>
  <c r="A1934" i="3"/>
  <c r="A1172" i="3"/>
  <c r="A2719" i="3"/>
  <c r="B2719" i="3" s="1"/>
  <c r="A2581" i="3"/>
  <c r="A2765" i="3"/>
  <c r="A987" i="3"/>
  <c r="A756" i="3"/>
  <c r="A2257" i="3"/>
  <c r="A2465" i="3"/>
  <c r="A2673" i="3"/>
  <c r="A1472" i="3"/>
  <c r="A2488" i="3"/>
  <c r="A664" i="3"/>
  <c r="A1911" i="3"/>
  <c r="A826" i="3"/>
  <c r="A1518" i="3"/>
  <c r="A1842" i="3"/>
  <c r="B1842" i="3" s="1"/>
  <c r="B1843" i="3" s="1"/>
  <c r="A1680" i="3"/>
  <c r="A2327" i="3"/>
  <c r="B2327" i="3" s="1"/>
  <c r="A1819" i="3"/>
  <c r="A2396" i="3"/>
  <c r="A2303" i="3"/>
  <c r="A2580" i="3"/>
  <c r="B2580" i="3" s="1"/>
  <c r="A2418" i="3"/>
  <c r="B2418" i="3" s="1"/>
  <c r="A156" i="3"/>
  <c r="A2603" i="3"/>
  <c r="B2603" i="3" s="1"/>
  <c r="A1771" i="3"/>
  <c r="B1771" i="3" s="1"/>
  <c r="A709" i="3"/>
  <c r="B709" i="3" s="1"/>
  <c r="A2810" i="3"/>
  <c r="B2810" i="3" s="1"/>
  <c r="A271" i="3"/>
  <c r="A2672" i="3"/>
  <c r="B2672" i="3" s="1"/>
  <c r="A1610" i="3"/>
  <c r="B1610" i="3" s="1"/>
  <c r="A1749" i="3"/>
  <c r="A779" i="3"/>
  <c r="A1218" i="3"/>
  <c r="A1241" i="3"/>
  <c r="A733" i="3"/>
  <c r="A1726" i="3"/>
  <c r="A1080" i="3"/>
  <c r="A2049" i="3"/>
  <c r="A2788" i="3"/>
  <c r="A641" i="3"/>
  <c r="A1980" i="3"/>
  <c r="B1980" i="3" s="1"/>
  <c r="A2696" i="3"/>
  <c r="A2234" i="3"/>
  <c r="A2811" i="3"/>
  <c r="A1311" i="3"/>
  <c r="A895" i="3"/>
  <c r="A2026" i="3"/>
  <c r="A1287" i="3"/>
  <c r="A1010" i="3"/>
  <c r="A1057" i="3"/>
  <c r="A2073" i="3"/>
  <c r="A2096" i="3"/>
  <c r="A1795" i="3"/>
  <c r="A1593" i="3"/>
  <c r="A2773" i="3"/>
  <c r="A115" i="3"/>
  <c r="A2727" i="3"/>
  <c r="A1408" i="3"/>
  <c r="A346" i="3"/>
  <c r="A1919" i="3"/>
  <c r="A537" i="3"/>
  <c r="A2819" i="3"/>
  <c r="A224" i="3"/>
  <c r="B224" i="3" s="1"/>
  <c r="A699" i="3"/>
  <c r="A1859" i="3"/>
  <c r="A766" i="3"/>
  <c r="A364" i="3"/>
  <c r="A997" i="3"/>
  <c r="A1263" i="3"/>
  <c r="B1263" i="3" s="1"/>
  <c r="A917" i="3"/>
  <c r="B917" i="3" s="1"/>
  <c r="A41" i="3"/>
  <c r="A2256" i="3"/>
  <c r="B2256" i="3" s="1"/>
  <c r="A248" i="3"/>
  <c r="A848" i="3"/>
  <c r="B848" i="3" s="1"/>
  <c r="A87" i="3"/>
  <c r="A133" i="3"/>
  <c r="A1425" i="3"/>
  <c r="B1425" i="3" s="1"/>
  <c r="A918" i="3"/>
  <c r="B918" i="3" s="1"/>
  <c r="B919" i="3" s="1"/>
  <c r="A1588" i="3"/>
  <c r="A572" i="3"/>
  <c r="A1495" i="3"/>
  <c r="B1495" i="3" s="1"/>
  <c r="A2442" i="3"/>
  <c r="A872" i="3"/>
  <c r="A1772" i="3"/>
  <c r="A2534" i="3"/>
  <c r="A2003" i="3"/>
  <c r="A1888" i="3"/>
  <c r="A595" i="3"/>
  <c r="A2627" i="3"/>
  <c r="A1634" i="3"/>
  <c r="A2742" i="3"/>
  <c r="A1426" i="3"/>
  <c r="A1380" i="3"/>
  <c r="A1403" i="3"/>
  <c r="A1103" i="3"/>
  <c r="B1103" i="3" s="1"/>
  <c r="B1104" i="3" s="1"/>
  <c r="A2419" i="3"/>
  <c r="A1865" i="3"/>
  <c r="A1611" i="3"/>
  <c r="B1611" i="3" s="1"/>
  <c r="B1612" i="3" s="1"/>
  <c r="A1264" i="3"/>
  <c r="A1565" i="3"/>
  <c r="A279" i="3"/>
  <c r="A648" i="3"/>
  <c r="A1781" i="3"/>
  <c r="A2218" i="3"/>
  <c r="A1085" i="3"/>
  <c r="A255" i="3"/>
  <c r="A486" i="3"/>
  <c r="A1620" i="3"/>
  <c r="A1987" i="3"/>
  <c r="A178" i="3"/>
  <c r="B178" i="3" s="1"/>
  <c r="A1372" i="3"/>
  <c r="A1456" i="3"/>
  <c r="A161" i="3"/>
  <c r="A1965" i="3"/>
  <c r="A1134" i="3"/>
  <c r="A253" i="3"/>
  <c r="A1477" i="3"/>
  <c r="A946" i="3"/>
  <c r="A2043" i="3"/>
  <c r="A1780" i="3"/>
  <c r="A530" i="3"/>
  <c r="A247" i="3"/>
  <c r="B247" i="3" s="1"/>
  <c r="A46" i="3"/>
  <c r="A1803" i="3"/>
  <c r="A328" i="3"/>
  <c r="A2449" i="3"/>
  <c r="A1202" i="3"/>
  <c r="A783" i="3"/>
  <c r="A1887" i="3"/>
  <c r="B1887" i="3" s="1"/>
  <c r="A1933" i="3"/>
  <c r="B1933" i="3" s="1"/>
  <c r="A686" i="3"/>
  <c r="B686" i="3" s="1"/>
  <c r="A548" i="3"/>
  <c r="B548" i="3" s="1"/>
  <c r="A2233" i="3"/>
  <c r="B2233" i="3" s="1"/>
  <c r="A1587" i="3"/>
  <c r="B1587" i="3" s="1"/>
  <c r="A1979" i="3"/>
  <c r="B1979" i="3" s="1"/>
  <c r="A2164" i="3"/>
  <c r="B2164" i="3" s="1"/>
  <c r="A802" i="3"/>
  <c r="B802" i="3" s="1"/>
  <c r="A663" i="3"/>
  <c r="B663" i="3" s="1"/>
  <c r="A1679" i="3"/>
  <c r="B1679" i="3" s="1"/>
  <c r="A2279" i="3"/>
  <c r="B2279" i="3" s="1"/>
  <c r="A1148" i="3"/>
  <c r="B1148" i="3" s="1"/>
  <c r="A594" i="3"/>
  <c r="B594" i="3" s="1"/>
  <c r="A2464" i="3"/>
  <c r="B2464" i="3" s="1"/>
  <c r="B2465" i="3" s="1"/>
  <c r="A478" i="3"/>
  <c r="B478" i="3" s="1"/>
  <c r="A1194" i="3"/>
  <c r="B1194" i="3" s="1"/>
  <c r="A2741" i="3"/>
  <c r="B2741" i="3" s="1"/>
  <c r="A2072" i="3"/>
  <c r="B2072" i="3" s="1"/>
  <c r="A2141" i="3"/>
  <c r="B2141" i="3" s="1"/>
  <c r="A2441" i="3"/>
  <c r="B2441" i="3" s="1"/>
  <c r="A2118" i="3"/>
  <c r="B2118" i="3" s="1"/>
  <c r="A2372" i="3"/>
  <c r="B2372" i="3" s="1"/>
  <c r="A1910" i="3"/>
  <c r="B1910" i="3" s="1"/>
  <c r="A571" i="3"/>
  <c r="B571" i="3" s="1"/>
  <c r="A1356" i="3"/>
  <c r="B1356" i="3" s="1"/>
  <c r="A294" i="3"/>
  <c r="B294" i="3" s="1"/>
  <c r="A2048" i="3"/>
  <c r="B2048" i="3" s="1"/>
  <c r="A2787" i="3"/>
  <c r="B2787" i="3" s="1"/>
  <c r="A2487" i="3"/>
  <c r="B2487" i="3" s="1"/>
  <c r="A1379" i="3"/>
  <c r="B1379" i="3" s="1"/>
  <c r="A1540" i="3"/>
  <c r="B1540" i="3" s="1"/>
  <c r="A2556" i="3"/>
  <c r="B2556" i="3" s="1"/>
  <c r="A778" i="3"/>
  <c r="B778" i="3" s="1"/>
  <c r="A340" i="3"/>
  <c r="B340" i="3" s="1"/>
  <c r="A1079" i="3"/>
  <c r="B1079" i="3" s="1"/>
  <c r="A455" i="3"/>
  <c r="B455" i="3" s="1"/>
  <c r="A409" i="3"/>
  <c r="B409" i="3" s="1"/>
  <c r="A2002" i="3"/>
  <c r="B2002" i="3" s="1"/>
  <c r="A2395" i="3"/>
  <c r="B2395" i="3" s="1"/>
  <c r="A894" i="3"/>
  <c r="B894" i="3" s="1"/>
  <c r="A1633" i="3"/>
  <c r="B1633" i="3" s="1"/>
  <c r="A871" i="3"/>
  <c r="B871" i="3" s="1"/>
  <c r="A825" i="3"/>
  <c r="B825" i="3" s="1"/>
  <c r="A524" i="3"/>
  <c r="B524" i="3" s="1"/>
  <c r="A2187" i="3"/>
  <c r="B2187" i="3" s="1"/>
  <c r="A963" i="3"/>
  <c r="B963" i="3" s="1"/>
  <c r="A1956" i="3"/>
  <c r="B1956" i="3" s="1"/>
  <c r="A363" i="3"/>
  <c r="B363" i="3" s="1"/>
  <c r="A2302" i="3"/>
  <c r="B2302" i="3" s="1"/>
  <c r="A432" i="3"/>
  <c r="B432" i="3" s="1"/>
  <c r="A2510" i="3"/>
  <c r="B2510" i="3" s="1"/>
  <c r="A2210" i="3"/>
  <c r="B2210" i="3" s="1"/>
  <c r="A732" i="3"/>
  <c r="B732" i="3" s="1"/>
  <c r="A2695" i="3"/>
  <c r="B2695" i="3" s="1"/>
  <c r="A1402" i="3"/>
  <c r="B1402" i="3" s="1"/>
  <c r="A1596" i="3"/>
  <c r="A1088" i="3"/>
  <c r="A118" i="3"/>
  <c r="A1140" i="3"/>
  <c r="A1071" i="3"/>
  <c r="A1754" i="3"/>
  <c r="A903" i="3"/>
  <c r="A2658" i="3"/>
  <c r="A1153" i="3"/>
  <c r="A671" i="3"/>
  <c r="A2635" i="3"/>
  <c r="A2655" i="3"/>
  <c r="A2310" i="3"/>
  <c r="A1916" i="3"/>
  <c r="A925" i="3"/>
  <c r="A995" i="3"/>
  <c r="A461" i="3"/>
  <c r="A763" i="3"/>
  <c r="A554" i="3"/>
  <c r="A369" i="3"/>
  <c r="A132" i="3"/>
  <c r="B132" i="3" s="1"/>
  <c r="A2298" i="3"/>
  <c r="A2061" i="3"/>
  <c r="A2530" i="3"/>
  <c r="A2170" i="3"/>
  <c r="A63" i="3"/>
  <c r="B63" i="3" s="1"/>
  <c r="A40" i="3"/>
  <c r="B40" i="3" s="1"/>
  <c r="A1064" i="3"/>
  <c r="A2173" i="3"/>
  <c r="A1800" i="3"/>
  <c r="A1317" i="3"/>
  <c r="A1782" i="3"/>
  <c r="A2681" i="3"/>
  <c r="A2095" i="3"/>
  <c r="B2095" i="3" s="1"/>
  <c r="A1471" i="3"/>
  <c r="B1471" i="3" s="1"/>
  <c r="A1517" i="3"/>
  <c r="B1517" i="3" s="1"/>
  <c r="A1656" i="3"/>
  <c r="B1656" i="3" s="1"/>
  <c r="A1818" i="3"/>
  <c r="B1818" i="3" s="1"/>
  <c r="A2533" i="3"/>
  <c r="B2533" i="3" s="1"/>
  <c r="A2626" i="3"/>
  <c r="B2626" i="3" s="1"/>
  <c r="A2718" i="3"/>
  <c r="B2718" i="3" s="1"/>
  <c r="A940" i="3"/>
  <c r="B940" i="3" s="1"/>
  <c r="A2764" i="3"/>
  <c r="B2764" i="3" s="1"/>
  <c r="A317" i="3"/>
  <c r="B317" i="3" s="1"/>
  <c r="A1056" i="3"/>
  <c r="B1056" i="3" s="1"/>
  <c r="A1794" i="3"/>
  <c r="B1794" i="3" s="1"/>
  <c r="A1009" i="3"/>
  <c r="B1009" i="3" s="1"/>
  <c r="A501" i="3"/>
  <c r="B501" i="3" s="1"/>
  <c r="A2349" i="3"/>
  <c r="B2349" i="3" s="1"/>
  <c r="A1032" i="3"/>
  <c r="B1032" i="3" s="1"/>
  <c r="A1171" i="3"/>
  <c r="B1171" i="3" s="1"/>
  <c r="A755" i="3"/>
  <c r="B755" i="3" s="1"/>
  <c r="A1333" i="3"/>
  <c r="B1333" i="3" s="1"/>
  <c r="B1334" i="3" s="1"/>
  <c r="B1335" i="3" s="1"/>
  <c r="A1725" i="3"/>
  <c r="B1725" i="3" s="1"/>
  <c r="A1286" i="3"/>
  <c r="B1286" i="3" s="1"/>
  <c r="A1702" i="3"/>
  <c r="B1702" i="3" s="1"/>
  <c r="A386" i="3"/>
  <c r="B386" i="3" s="1"/>
  <c r="A1564" i="3"/>
  <c r="B1564" i="3" s="1"/>
  <c r="A2347" i="3"/>
  <c r="A2357" i="3"/>
  <c r="A1411" i="3"/>
  <c r="A2056" i="3"/>
  <c r="A2747" i="3"/>
  <c r="A1457" i="3"/>
  <c r="A326" i="3"/>
  <c r="A1084" i="3"/>
  <c r="A1133" i="3"/>
  <c r="A209" i="3"/>
  <c r="A2401" i="3"/>
  <c r="A1523" i="3"/>
  <c r="A348" i="3"/>
  <c r="A232" i="3"/>
  <c r="A2564" i="3"/>
  <c r="A92" i="3"/>
  <c r="A487" i="3"/>
  <c r="A2816" i="3"/>
  <c r="A2770" i="3"/>
  <c r="A276" i="3"/>
  <c r="A2150" i="3"/>
  <c r="A2353" i="3"/>
  <c r="A1319" i="3"/>
  <c r="A1179" i="3"/>
  <c r="A2831" i="3"/>
  <c r="B2831" i="3" s="1"/>
  <c r="A672" i="3"/>
  <c r="A1918" i="3"/>
  <c r="A764" i="3"/>
  <c r="A2796" i="3"/>
  <c r="A949" i="3"/>
  <c r="A1111" i="3"/>
  <c r="A1200" i="3"/>
  <c r="A2216" i="3"/>
  <c r="A920" i="3"/>
  <c r="A851" i="3"/>
  <c r="A944" i="3"/>
  <c r="A1741" i="3"/>
  <c r="A2168" i="3"/>
  <c r="A874" i="3"/>
  <c r="A1254" i="3"/>
  <c r="A1881" i="3"/>
  <c r="A2647" i="3"/>
  <c r="B2647" i="3" s="1"/>
  <c r="A984" i="3"/>
  <c r="A1307" i="3"/>
  <c r="A130" i="3"/>
  <c r="A1192" i="3"/>
  <c r="A2738" i="3"/>
  <c r="A430" i="3"/>
  <c r="A112" i="3"/>
  <c r="A1428" i="3"/>
  <c r="A1867" i="3"/>
  <c r="A1613" i="3"/>
  <c r="A643" i="3"/>
  <c r="A1474" i="3"/>
  <c r="A620" i="3"/>
  <c r="A2536" i="3"/>
  <c r="A2652" i="3"/>
  <c r="A250" i="3"/>
  <c r="A2121" i="3"/>
  <c r="A2675" i="3"/>
  <c r="A2051" i="3"/>
  <c r="A2583" i="3"/>
  <c r="A1105" i="3"/>
  <c r="A2259" i="3"/>
  <c r="A1220" i="3"/>
  <c r="A1567" i="3"/>
  <c r="A1451" i="3"/>
  <c r="A227" i="3"/>
  <c r="A2444" i="3"/>
  <c r="A551" i="3"/>
  <c r="A1728" i="3"/>
  <c r="A1746" i="3"/>
  <c r="A2646" i="3"/>
  <c r="A522" i="3"/>
  <c r="A1931" i="3"/>
  <c r="A1561" i="3"/>
  <c r="A1366" i="3"/>
  <c r="A245" i="3"/>
  <c r="A1030" i="3"/>
  <c r="A2213" i="3"/>
  <c r="A1497" i="3"/>
  <c r="A1336" i="3"/>
  <c r="A2467" i="3"/>
  <c r="A2167" i="3"/>
  <c r="A2075" i="3"/>
  <c r="A712" i="3"/>
  <c r="A1082" i="3"/>
  <c r="A2352" i="3"/>
  <c r="A1520" i="3"/>
  <c r="A1197" i="3"/>
  <c r="A1751" i="3"/>
  <c r="A2513" i="3"/>
  <c r="A1382" i="3"/>
  <c r="A2721" i="3"/>
  <c r="A1659" i="3"/>
  <c r="A2329" i="3"/>
  <c r="A2144" i="3"/>
  <c r="A1797" i="3"/>
  <c r="A597" i="3"/>
  <c r="A689" i="3"/>
  <c r="A1959" i="3"/>
  <c r="A1705" i="3"/>
  <c r="A2098" i="3"/>
  <c r="A1543" i="3"/>
  <c r="A1844" i="3"/>
  <c r="A823" i="3"/>
  <c r="A2274" i="3"/>
  <c r="A2506" i="3"/>
  <c r="A185" i="3"/>
  <c r="A569" i="3"/>
  <c r="A280" i="3"/>
  <c r="A2807" i="3"/>
  <c r="A2323" i="3"/>
  <c r="A2069" i="3"/>
  <c r="A1469" i="3"/>
  <c r="A1059" i="3"/>
  <c r="A135" i="3"/>
  <c r="A1913" i="3"/>
  <c r="A2767" i="3"/>
  <c r="A2813" i="3"/>
  <c r="A735" i="3"/>
  <c r="A666" i="3"/>
  <c r="A1982" i="3"/>
  <c r="A1151" i="3"/>
  <c r="A1682" i="3"/>
  <c r="A758" i="3"/>
  <c r="A2305" i="3"/>
  <c r="A204" i="3"/>
  <c r="A2005" i="3"/>
  <c r="A1936" i="3"/>
  <c r="A2744" i="3"/>
  <c r="A1890" i="3"/>
  <c r="A1636" i="3"/>
  <c r="A2698" i="3"/>
  <c r="A1590" i="3"/>
  <c r="A1927" i="3"/>
  <c r="A2391" i="3"/>
  <c r="A444" i="3"/>
  <c r="A2547" i="3"/>
  <c r="A2016" i="3"/>
  <c r="A2410" i="3"/>
  <c r="A475" i="3"/>
  <c r="A2548" i="3"/>
  <c r="A1353" i="3"/>
  <c r="A1717" i="3"/>
  <c r="A1421" i="3"/>
  <c r="A2044" i="3"/>
  <c r="A1878" i="3"/>
  <c r="A2230" i="3"/>
  <c r="A1971" i="3"/>
  <c r="A2364" i="3"/>
  <c r="A1123" i="3"/>
  <c r="A1417" i="3"/>
  <c r="A1238" i="3"/>
  <c r="A2485" i="3"/>
  <c r="A1695" i="3"/>
  <c r="A1977" i="3"/>
  <c r="A1904" i="3"/>
  <c r="A2669" i="3"/>
  <c r="A1231" i="3"/>
  <c r="A2023" i="3"/>
  <c r="A915" i="3"/>
  <c r="A1446" i="3"/>
  <c r="A952" i="3"/>
  <c r="A868" i="3"/>
  <c r="A1347" i="3"/>
  <c r="A1560" i="3"/>
  <c r="A1786" i="3"/>
  <c r="A798" i="3"/>
  <c r="A1907" i="3"/>
  <c r="A2112" i="3"/>
  <c r="A1625" i="3"/>
  <c r="A498" i="3"/>
  <c r="A153" i="3"/>
  <c r="A2277" i="3"/>
  <c r="A2296" i="3"/>
  <c r="A2715" i="3"/>
  <c r="A1007" i="3"/>
  <c r="A1122" i="3"/>
  <c r="A2416" i="3"/>
  <c r="A222" i="3"/>
  <c r="A2185" i="3"/>
  <c r="A2575" i="3"/>
  <c r="A2600" i="3"/>
  <c r="A1284" i="3"/>
  <c r="A1648" i="3"/>
  <c r="A2341" i="3"/>
  <c r="A2433" i="3"/>
  <c r="A516" i="3"/>
  <c r="A2248" i="3"/>
  <c r="A2017" i="3"/>
  <c r="A1833" i="3"/>
  <c r="A262" i="3"/>
  <c r="A2687" i="3"/>
  <c r="A1258" i="3"/>
  <c r="A679" i="3"/>
  <c r="A958" i="3"/>
  <c r="A1651" i="3"/>
  <c r="A610" i="3"/>
  <c r="A1328" i="3"/>
  <c r="A2621" i="3"/>
  <c r="A725" i="3"/>
  <c r="A887" i="3"/>
  <c r="A1004" i="3"/>
  <c r="A910" i="3"/>
  <c r="A242" i="3"/>
  <c r="A818" i="3"/>
  <c r="A2690" i="3"/>
  <c r="A473" i="3"/>
  <c r="A217" i="3"/>
  <c r="A2526" i="3"/>
  <c r="A1048" i="3"/>
  <c r="A1582" i="3"/>
  <c r="A912" i="3"/>
  <c r="A1166" i="3"/>
  <c r="A1233" i="3"/>
  <c r="A2434" i="3"/>
  <c r="A2249" i="3"/>
  <c r="A1766" i="3"/>
  <c r="A2111" i="3"/>
  <c r="A2736" i="3"/>
  <c r="A1647" i="3"/>
  <c r="A2224" i="3"/>
  <c r="A1832" i="3"/>
  <c r="A1645" i="3"/>
  <c r="A1283" i="3"/>
  <c r="A147" i="3"/>
  <c r="A1763" i="3"/>
  <c r="A729" i="3"/>
  <c r="A1329" i="3"/>
  <c r="A1855" i="3"/>
  <c r="A1767" i="3"/>
  <c r="A1745" i="3"/>
  <c r="A1001" i="3"/>
  <c r="A1185" i="3"/>
  <c r="A499" i="3"/>
  <c r="A476" i="3"/>
  <c r="A1093" i="3"/>
  <c r="A730" i="3"/>
  <c r="A1300" i="3"/>
  <c r="A407" i="3"/>
  <c r="A2090" i="3"/>
  <c r="A638" i="3"/>
  <c r="A2554" i="3"/>
  <c r="A1146" i="3"/>
  <c r="A2231" i="3"/>
  <c r="A490" i="3"/>
  <c r="A929" i="3"/>
  <c r="A2737" i="3"/>
  <c r="A2829" i="3"/>
  <c r="A1995" i="3"/>
  <c r="A83" i="3"/>
  <c r="A2207" i="3"/>
  <c r="A1006" i="3"/>
  <c r="A845" i="3"/>
  <c r="A1052" i="3"/>
  <c r="A1954" i="3"/>
  <c r="A2508" i="3"/>
  <c r="A2529" i="3"/>
  <c r="A2645" i="3"/>
  <c r="A176" i="3"/>
  <c r="A338" i="3"/>
  <c r="A152" i="3"/>
  <c r="A2393" i="3"/>
  <c r="A938" i="3"/>
  <c r="A2439" i="3"/>
  <c r="A2414" i="3"/>
  <c r="A1538" i="3"/>
  <c r="A309" i="3"/>
  <c r="A2179" i="3"/>
  <c r="A170" i="3"/>
  <c r="A2710" i="3"/>
  <c r="A2317" i="3"/>
  <c r="A1879" i="3"/>
  <c r="A1925" i="3"/>
  <c r="A332" i="3"/>
  <c r="A193" i="3"/>
  <c r="A1235" i="3"/>
  <c r="A2365" i="3"/>
  <c r="A2272" i="3"/>
  <c r="A1743" i="3"/>
  <c r="A2318" i="3"/>
  <c r="A542" i="3"/>
  <c r="A841" i="3"/>
  <c r="A935" i="3"/>
  <c r="A2642" i="3"/>
  <c r="A2759" i="3"/>
  <c r="A566" i="3"/>
  <c r="A1443" i="3"/>
  <c r="A1141" i="3"/>
  <c r="A750" i="3"/>
  <c r="A2805" i="3"/>
  <c r="A425" i="3"/>
  <c r="A1812" i="3"/>
  <c r="A564" i="3"/>
  <c r="A1187" i="3"/>
  <c r="A933" i="3"/>
  <c r="A2549" i="3"/>
  <c r="A656" i="3"/>
  <c r="A1789" i="3"/>
  <c r="A173" i="3"/>
  <c r="A1212" i="3"/>
  <c r="A1281" i="3"/>
  <c r="A2757" i="3"/>
  <c r="A1578" i="3"/>
  <c r="A2132" i="3"/>
  <c r="A2779" i="3"/>
  <c r="A1970" i="3"/>
  <c r="A1714" i="3"/>
  <c r="A1903" i="3"/>
  <c r="A1668" i="3"/>
  <c r="A2436" i="3"/>
  <c r="A2322" i="3"/>
  <c r="A1629" i="3"/>
  <c r="A2062" i="3"/>
  <c r="A1993" i="3"/>
  <c r="A2156" i="3"/>
  <c r="A701" i="3"/>
  <c r="A1053" i="3"/>
  <c r="A2182" i="3"/>
  <c r="A2208" i="3"/>
  <c r="A1769" i="3"/>
  <c r="A107" i="3"/>
  <c r="A1585" i="3"/>
  <c r="A1331" i="3"/>
  <c r="A2368" i="3"/>
  <c r="A1839" i="3"/>
  <c r="A1215" i="3"/>
  <c r="A1787" i="3"/>
  <c r="A2139" i="3"/>
  <c r="A329" i="3"/>
  <c r="A1485" i="3"/>
  <c r="A1809" i="3"/>
  <c r="A2276" i="3"/>
  <c r="A2045" i="3"/>
  <c r="A1671" i="3"/>
  <c r="A1260" i="3"/>
  <c r="A2622" i="3"/>
  <c r="A337" i="3"/>
  <c r="A175" i="3"/>
  <c r="A2502" i="3"/>
  <c r="A2340" i="3"/>
  <c r="A77" i="3"/>
  <c r="A331" i="3"/>
  <c r="A192" i="3"/>
  <c r="A700" i="3"/>
  <c r="A261" i="3"/>
  <c r="A423" i="3"/>
  <c r="A792" i="3"/>
  <c r="A169" i="3"/>
  <c r="A284" i="3"/>
  <c r="A746" i="3"/>
  <c r="A54" i="3"/>
  <c r="A400" i="3"/>
  <c r="A238" i="3"/>
  <c r="A723" i="3"/>
  <c r="A146" i="3"/>
  <c r="A446" i="3"/>
  <c r="A631" i="3"/>
  <c r="A123" i="3"/>
  <c r="A677" i="3"/>
  <c r="A492" i="3"/>
  <c r="A377" i="3"/>
  <c r="A608" i="3"/>
  <c r="A354" i="3"/>
  <c r="A769" i="3"/>
  <c r="A654" i="3"/>
  <c r="A215" i="3"/>
  <c r="A515" i="3"/>
  <c r="A562" i="3"/>
  <c r="A308" i="3"/>
  <c r="A538" i="3"/>
  <c r="A585" i="3"/>
  <c r="A100" i="3"/>
  <c r="A469" i="3"/>
  <c r="A78" i="3"/>
  <c r="A2264" i="3"/>
  <c r="A440" i="3"/>
  <c r="A2267" i="3"/>
  <c r="A504" i="3"/>
  <c r="A65" i="3"/>
  <c r="A42" i="3"/>
  <c r="A527" i="3"/>
  <c r="A435" i="3"/>
  <c r="A389" i="3"/>
  <c r="A458" i="3"/>
  <c r="A272" i="3"/>
  <c r="A2815" i="3"/>
  <c r="A1661" i="3"/>
  <c r="A2469" i="3"/>
  <c r="A1730" i="3"/>
  <c r="A553" i="3"/>
  <c r="A1823" i="3"/>
  <c r="A2677" i="3"/>
  <c r="A45" i="3"/>
  <c r="A899" i="3"/>
  <c r="A275" i="3"/>
  <c r="A1592" i="3"/>
  <c r="A2400" i="3"/>
  <c r="A206" i="3"/>
  <c r="A1615" i="3"/>
  <c r="A229" i="3"/>
  <c r="A437" i="3"/>
  <c r="A691" i="3"/>
  <c r="A68" i="3"/>
  <c r="A645" i="3"/>
  <c r="A2146" i="3"/>
  <c r="A2100" i="3"/>
  <c r="A2007" i="3"/>
  <c r="A2608" i="3"/>
  <c r="A2769" i="3"/>
  <c r="A830" i="3"/>
  <c r="A2402" i="3"/>
  <c r="A696" i="3"/>
  <c r="A2263" i="3"/>
  <c r="A1042" i="3"/>
  <c r="A581" i="3"/>
  <c r="A2636" i="3"/>
  <c r="A1627" i="3"/>
  <c r="A2220" i="3"/>
  <c r="A208" i="3"/>
  <c r="A2517" i="3"/>
  <c r="A624" i="3"/>
  <c r="A1389" i="3"/>
  <c r="A1801" i="3"/>
  <c r="A165" i="3"/>
  <c r="A1320" i="3"/>
  <c r="A555" i="3"/>
  <c r="A1458" i="3"/>
  <c r="A1742" i="3"/>
  <c r="A2102" i="3"/>
  <c r="A1604" i="3"/>
  <c r="A534" i="3"/>
  <c r="A2702" i="3"/>
  <c r="A508" i="3"/>
  <c r="A1673" i="3"/>
  <c r="A693" i="3"/>
  <c r="A765" i="3"/>
  <c r="A1940" i="3"/>
  <c r="A1247" i="3"/>
  <c r="A1227" i="3"/>
  <c r="A50" i="3"/>
  <c r="A2127" i="3"/>
  <c r="A605" i="3"/>
  <c r="A212" i="3"/>
  <c r="A366" i="3"/>
  <c r="A134" i="3"/>
  <c r="A249" i="3"/>
  <c r="A320" i="3"/>
  <c r="A1709" i="3"/>
  <c r="A2785" i="3"/>
  <c r="B2785" i="3" s="1"/>
  <c r="A2539" i="3"/>
  <c r="A157" i="3"/>
  <c r="A481" i="3"/>
  <c r="A203" i="3"/>
  <c r="A88" i="3"/>
  <c r="A180" i="3"/>
  <c r="A412" i="3"/>
  <c r="A1799" i="3"/>
  <c r="A2446" i="3"/>
  <c r="A2654" i="3"/>
  <c r="A2515" i="3"/>
  <c r="A737" i="3"/>
  <c r="A1569" i="3"/>
  <c r="A1938" i="3"/>
  <c r="A1984" i="3"/>
  <c r="A2354" i="3"/>
  <c r="A2700" i="3"/>
  <c r="A183" i="3"/>
  <c r="A1846" i="3"/>
  <c r="A1684" i="3"/>
  <c r="A2030" i="3"/>
  <c r="A160" i="3"/>
  <c r="A1869" i="3"/>
  <c r="A922" i="3"/>
  <c r="A576" i="3"/>
  <c r="A91" i="3"/>
  <c r="A853" i="3"/>
  <c r="A414" i="3"/>
  <c r="A1961" i="3"/>
  <c r="A668" i="3"/>
  <c r="A1707" i="3"/>
  <c r="A2631" i="3"/>
  <c r="A2333" i="3"/>
  <c r="A301" i="3"/>
  <c r="A1270" i="3"/>
  <c r="A2289" i="3"/>
  <c r="A2151" i="3"/>
  <c r="A785" i="3"/>
  <c r="A1527" i="3"/>
  <c r="A1732" i="3"/>
  <c r="A858" i="3"/>
  <c r="A1897" i="3"/>
  <c r="A2359" i="3"/>
  <c r="A1650" i="3"/>
  <c r="A416" i="3"/>
  <c r="A2748" i="3"/>
  <c r="A2682" i="3"/>
  <c r="A488" i="3"/>
  <c r="A2217" i="3"/>
  <c r="A2587" i="3"/>
  <c r="A2286" i="3"/>
  <c r="A2751" i="3"/>
  <c r="A1871" i="3"/>
  <c r="A1112" i="3"/>
  <c r="A1550" i="3"/>
  <c r="A1581" i="3"/>
  <c r="A531" i="3"/>
  <c r="A1361" i="3"/>
  <c r="A2451" i="3"/>
  <c r="A2105" i="3"/>
  <c r="A254" i="3"/>
  <c r="A2174" i="3"/>
  <c r="A1109" i="3"/>
  <c r="A2728" i="3"/>
  <c r="A1894" i="3"/>
  <c r="A2312" i="3"/>
  <c r="A2079" i="3"/>
  <c r="A2794" i="3"/>
  <c r="A1315" i="3"/>
  <c r="A2817" i="3"/>
  <c r="A2613" i="3"/>
  <c r="A1778" i="3"/>
  <c r="A742" i="3"/>
  <c r="A855" i="3"/>
  <c r="A2356" i="3"/>
  <c r="A2705" i="3"/>
  <c r="A832" i="3"/>
  <c r="A1874" i="3"/>
  <c r="A1132" i="3"/>
  <c r="A2494" i="3"/>
  <c r="A327" i="3"/>
  <c r="A2405" i="3"/>
  <c r="A2194" i="3"/>
  <c r="A1776" i="3"/>
  <c r="A945" i="3"/>
  <c r="A991" i="3"/>
  <c r="A968" i="3"/>
  <c r="A807" i="3"/>
  <c r="A1915" i="3"/>
  <c r="A2492" i="3"/>
  <c r="A2423" i="3"/>
  <c r="A2169" i="3"/>
  <c r="A506" i="3"/>
  <c r="A2585" i="3"/>
  <c r="A2123" i="3"/>
  <c r="A1851" i="3"/>
  <c r="A950" i="3"/>
  <c r="A2679" i="3"/>
  <c r="A2382" i="3"/>
  <c r="A1089" i="3"/>
  <c r="A2566" i="3"/>
  <c r="A70" i="3"/>
  <c r="A304" i="3"/>
  <c r="A2032" i="3"/>
  <c r="A650" i="3"/>
  <c r="A1545" i="3"/>
  <c r="A465" i="3"/>
  <c r="A601" i="3"/>
  <c r="A370" i="3"/>
  <c r="A627" i="3"/>
  <c r="A716" i="3"/>
  <c r="A2128" i="3"/>
  <c r="A2771" i="3"/>
  <c r="A1293" i="3"/>
  <c r="A670" i="3"/>
  <c r="A1481" i="3"/>
  <c r="A973" i="3"/>
  <c r="A2309" i="3"/>
  <c r="A2197" i="3"/>
  <c r="A1811" i="3"/>
  <c r="A1224" i="3"/>
  <c r="A1201" i="3"/>
  <c r="A1499" i="3"/>
  <c r="A511" i="3"/>
  <c r="A1250" i="3"/>
  <c r="A1963" i="3"/>
  <c r="A719" i="3"/>
  <c r="A673" i="3"/>
  <c r="A139" i="3"/>
  <c r="A1296" i="3"/>
  <c r="A347" i="3"/>
  <c r="A1617" i="3"/>
  <c r="A904" i="3"/>
  <c r="A373" i="3"/>
  <c r="A905" i="3"/>
  <c r="A1251" i="3"/>
  <c r="A1113" i="3"/>
  <c r="A1921" i="3"/>
  <c r="A281" i="3"/>
  <c r="A1667" i="3"/>
  <c r="A651" i="3"/>
  <c r="A468" i="3"/>
  <c r="A1045" i="3"/>
  <c r="A1685" i="3"/>
  <c r="A2739" i="3"/>
  <c r="B2739" i="3" s="1"/>
  <c r="A602" i="3"/>
  <c r="A2283" i="3"/>
  <c r="A2038" i="3"/>
  <c r="A740" i="3"/>
  <c r="A999" i="3"/>
  <c r="A2591" i="3"/>
  <c r="A2337" i="3"/>
  <c r="A2290" i="3"/>
  <c r="A2567" i="3"/>
  <c r="A720" i="3"/>
  <c r="A97" i="3"/>
  <c r="A2521" i="3"/>
  <c r="A1274" i="3"/>
  <c r="A2152" i="3"/>
  <c r="A882" i="3"/>
  <c r="A1415" i="3"/>
  <c r="A99" i="3"/>
  <c r="A580" i="3"/>
  <c r="A1065" i="3"/>
  <c r="A2662" i="3"/>
  <c r="A1900" i="3"/>
  <c r="A969" i="3"/>
  <c r="A2680" i="3"/>
  <c r="A442" i="3"/>
  <c r="A111" i="3"/>
  <c r="A2261" i="3"/>
  <c r="A876" i="3"/>
  <c r="A2215" i="3"/>
  <c r="A2077" i="3"/>
  <c r="A483" i="3"/>
  <c r="A2746" i="3"/>
  <c r="A760" i="3"/>
  <c r="A1037" i="3"/>
  <c r="A2053" i="3"/>
  <c r="A460" i="3"/>
  <c r="A599" i="3"/>
  <c r="A714" i="3"/>
  <c r="A1765" i="3"/>
  <c r="A1178" i="3"/>
  <c r="A1989" i="3"/>
  <c r="A1343" i="3"/>
  <c r="A231" i="3"/>
  <c r="A2633" i="3"/>
  <c r="A2797" i="3"/>
  <c r="A393" i="3"/>
  <c r="A2448" i="3"/>
  <c r="A1755" i="3"/>
  <c r="A1986" i="3"/>
  <c r="A647" i="3"/>
  <c r="A1594" i="3"/>
  <c r="A2058" i="3"/>
  <c r="A142" i="3"/>
  <c r="A439" i="3"/>
  <c r="A462" i="3"/>
  <c r="A2148" i="3"/>
  <c r="A1016" i="3"/>
  <c r="A604" i="3"/>
  <c r="A1917" i="3"/>
  <c r="A1966" i="3"/>
  <c r="A578" i="3"/>
  <c r="A485" i="3"/>
  <c r="A2379" i="3"/>
  <c r="A2540" i="3"/>
  <c r="A1086" i="3"/>
  <c r="A1453" i="3"/>
  <c r="A1848" i="3"/>
  <c r="A996" i="3"/>
  <c r="A2590" i="3"/>
  <c r="A970" i="3"/>
  <c r="A324" i="3"/>
  <c r="A116" i="3"/>
  <c r="A1273" i="3"/>
  <c r="A119" i="3"/>
  <c r="A924" i="3"/>
  <c r="A1430" i="3"/>
  <c r="A2336" i="3"/>
  <c r="A2425" i="3"/>
  <c r="A162" i="3"/>
  <c r="A297" i="3"/>
  <c r="A2538" i="3"/>
  <c r="A1753" i="3"/>
  <c r="A2331" i="3"/>
  <c r="A252" i="3"/>
  <c r="A1892" i="3"/>
  <c r="A2284" i="3"/>
  <c r="A345" i="3"/>
  <c r="A1014" i="3"/>
  <c r="A2723" i="3"/>
  <c r="A2377" i="3"/>
  <c r="A2192" i="3"/>
  <c r="A622" i="3"/>
  <c r="A1788" i="3"/>
  <c r="A1435" i="3"/>
  <c r="A993" i="3"/>
  <c r="A1155" i="3"/>
  <c r="A2243" i="3"/>
  <c r="A188" i="3"/>
  <c r="A835" i="3"/>
  <c r="A2009" i="3"/>
  <c r="A419" i="3"/>
  <c r="A1039" i="3"/>
  <c r="A1181" i="3"/>
  <c r="A762" i="3"/>
  <c r="A2474" i="3"/>
  <c r="A2725" i="3"/>
  <c r="A350" i="3"/>
  <c r="A2774" i="3"/>
  <c r="A2820" i="3"/>
  <c r="A812" i="3"/>
  <c r="A1920" i="3"/>
  <c r="A1571" i="3"/>
  <c r="A878" i="3"/>
  <c r="A1384" i="3"/>
  <c r="A2543" i="3"/>
  <c r="A2035" i="3"/>
  <c r="A277" i="3"/>
  <c r="A1640" i="3"/>
  <c r="A2266" i="3"/>
  <c r="A1686" i="3"/>
  <c r="A1825" i="3"/>
  <c r="A1135" i="3"/>
  <c r="A396" i="3"/>
  <c r="A2520" i="3"/>
  <c r="A1663" i="3"/>
  <c r="A1338" i="3"/>
  <c r="A2659" i="3"/>
  <c r="A1719" i="3"/>
  <c r="A2012" i="3"/>
  <c r="A47" i="3"/>
  <c r="A1828" i="3"/>
  <c r="A1943" i="3"/>
  <c r="A2561" i="3"/>
  <c r="A137" i="3"/>
  <c r="A2307" i="3"/>
  <c r="A322" i="3"/>
  <c r="A2082" i="3"/>
  <c r="A93" i="3"/>
  <c r="A2497" i="3"/>
  <c r="A2428" i="3"/>
  <c r="A1204" i="3"/>
  <c r="A1063" i="3"/>
  <c r="A2125" i="3"/>
  <c r="A2171" i="3"/>
  <c r="A1158" i="3"/>
  <c r="A2706" i="3"/>
  <c r="A1713" i="3"/>
  <c r="A2498" i="3"/>
  <c r="A1182" i="3"/>
  <c r="A2544" i="3"/>
  <c r="A1392" i="3"/>
  <c r="A1831" i="3"/>
  <c r="A759" i="3"/>
  <c r="A1316" i="3"/>
  <c r="A1572" i="3"/>
  <c r="A237" i="3"/>
  <c r="A1595" i="3"/>
  <c r="A953" i="3"/>
  <c r="A836" i="3"/>
  <c r="A951" i="3"/>
  <c r="A2221" i="3"/>
  <c r="A2106" i="3"/>
  <c r="A2360" i="3"/>
  <c r="A1436" i="3"/>
  <c r="A2660" i="3"/>
  <c r="A1413" i="3"/>
  <c r="A1784" i="3"/>
  <c r="A436" i="3"/>
  <c r="A815" i="3"/>
  <c r="A1664" i="3"/>
  <c r="A1988" i="3"/>
  <c r="A2569" i="3"/>
  <c r="A1454" i="3"/>
  <c r="A1548" i="3"/>
  <c r="A2313" i="3"/>
  <c r="A1715" i="3"/>
  <c r="A507" i="3"/>
  <c r="A1777" i="3"/>
  <c r="A902" i="3"/>
  <c r="A1807" i="3"/>
  <c r="A1292" i="3"/>
  <c r="A2808" i="3"/>
  <c r="B2808" i="3" s="1"/>
  <c r="A552" i="3"/>
  <c r="A2454" i="3"/>
  <c r="A491" i="3"/>
  <c r="A2472" i="3"/>
  <c r="A2560" i="3"/>
  <c r="A626" i="3"/>
  <c r="A438" i="3"/>
  <c r="A1269" i="3"/>
  <c r="A145" i="3"/>
  <c r="A1176" i="3"/>
  <c r="A2493" i="3"/>
  <c r="A1459" i="3"/>
  <c r="A1092" i="3"/>
  <c r="A1546" i="3"/>
  <c r="A2519" i="3"/>
  <c r="A1138" i="3"/>
  <c r="A235" i="3"/>
  <c r="A2246" i="3"/>
  <c r="A2762" i="3"/>
  <c r="B2762" i="3" s="1"/>
  <c r="A1761" i="3"/>
  <c r="A420" i="3"/>
  <c r="A2541" i="3"/>
  <c r="A2381" i="3"/>
  <c r="A2385" i="3"/>
  <c r="A2639" i="3"/>
  <c r="A1221" i="3"/>
  <c r="A786" i="3"/>
  <c r="A1757" i="3"/>
  <c r="A2496" i="3"/>
  <c r="A1530" i="3"/>
  <c r="A560" i="3"/>
  <c r="A2475" i="3"/>
  <c r="A2500" i="3"/>
  <c r="A2708" i="3"/>
  <c r="A505" i="3"/>
  <c r="A2154" i="3"/>
  <c r="A838" i="3"/>
  <c r="A1733" i="3"/>
  <c r="A2777" i="3"/>
  <c r="A1706" i="3"/>
  <c r="A2516" i="3"/>
  <c r="A2206" i="3"/>
  <c r="A2399" i="3"/>
  <c r="A1850" i="3"/>
  <c r="A141" i="3"/>
  <c r="A1290" i="3"/>
  <c r="A1433" i="3"/>
  <c r="A1386" i="3"/>
  <c r="A556" i="3"/>
  <c r="A2678" i="3"/>
  <c r="A1455" i="3"/>
  <c r="A1203" i="3"/>
  <c r="A2335" i="3"/>
  <c r="A875" i="3"/>
  <c r="A2588" i="3"/>
  <c r="A302" i="3"/>
  <c r="A1614" i="3"/>
  <c r="A2612" i="3"/>
  <c r="A1734" i="3"/>
  <c r="A1339" i="3"/>
  <c r="A994" i="3"/>
  <c r="A1891" i="3"/>
  <c r="A2229" i="3"/>
  <c r="A768" i="3"/>
  <c r="A1225" i="3"/>
  <c r="A2052" i="3"/>
  <c r="A1847" i="3"/>
  <c r="A94" i="3"/>
  <c r="A168" i="3"/>
  <c r="A1230" i="3"/>
  <c r="A856" i="3"/>
  <c r="A1299" i="3"/>
  <c r="A1870" i="3"/>
  <c r="A2424" i="3"/>
  <c r="A2193" i="3"/>
  <c r="A717" i="3"/>
  <c r="A767" i="3"/>
  <c r="A2076" i="3"/>
  <c r="A598" i="3"/>
  <c r="A1041" i="3"/>
  <c r="A343" i="3"/>
  <c r="A226" i="3"/>
  <c r="A2238" i="3"/>
  <c r="A299" i="3"/>
  <c r="A2792" i="3"/>
  <c r="A1066" i="3"/>
  <c r="A901" i="3"/>
  <c r="A257" i="3"/>
  <c r="A1412" i="3"/>
  <c r="A96" i="3"/>
  <c r="A1019" i="3"/>
  <c r="A927" i="3"/>
  <c r="A2055" i="3"/>
  <c r="A73" i="3"/>
  <c r="A189" i="3"/>
  <c r="A2383" i="3"/>
  <c r="A1575" i="3"/>
  <c r="A974" i="3"/>
  <c r="A1877" i="3"/>
  <c r="A2172" i="3"/>
  <c r="A443" i="3"/>
  <c r="A1941" i="3"/>
  <c r="A2177" i="3"/>
  <c r="A1623" i="3"/>
  <c r="A1690" i="3"/>
  <c r="A1390" i="3"/>
  <c r="A1297" i="3"/>
  <c r="A697" i="3"/>
  <c r="A2729" i="3"/>
  <c r="A51" i="3"/>
  <c r="A143" i="3"/>
  <c r="A1043" i="3"/>
  <c r="A1341" i="3"/>
  <c r="A122" i="3"/>
  <c r="A510" i="3"/>
  <c r="A736" i="3"/>
  <c r="A2685" i="3"/>
  <c r="A606" i="3"/>
  <c r="A1228" i="3"/>
  <c r="A1478" i="3"/>
  <c r="A1501" i="3"/>
  <c r="A1301" i="3"/>
  <c r="A2339" i="3"/>
  <c r="A1464" i="3"/>
  <c r="A1248" i="3"/>
  <c r="A2219" i="3"/>
  <c r="A741" i="3"/>
  <c r="A1992" i="3"/>
  <c r="A2800" i="3"/>
  <c r="A1087" i="3"/>
  <c r="A1487" i="3"/>
  <c r="A2624" i="3"/>
  <c r="B2624" i="3" s="1"/>
  <c r="A718" i="3"/>
  <c r="A1738" i="3"/>
  <c r="A283" i="3"/>
  <c r="A2426" i="3"/>
  <c r="A2244" i="3"/>
  <c r="A782" i="3"/>
  <c r="A1018" i="3"/>
  <c r="A1905" i="3"/>
  <c r="A861" i="3"/>
  <c r="A2693" i="3"/>
  <c r="B2693" i="3" s="1"/>
  <c r="A1875" i="3"/>
  <c r="A260" i="3"/>
  <c r="A676" i="3"/>
  <c r="A948" i="3"/>
  <c r="A76" i="3"/>
  <c r="A976" i="3"/>
  <c r="A1503" i="3"/>
  <c r="A1570" i="3"/>
  <c r="A1854" i="3"/>
  <c r="A579" i="3"/>
  <c r="A652" i="3"/>
  <c r="A1845" i="3"/>
  <c r="A413" i="3"/>
  <c r="A514" i="3"/>
  <c r="A1276" i="3"/>
  <c r="A2818" i="3"/>
  <c r="A2775" i="3"/>
  <c r="A2495" i="3"/>
  <c r="A1349" i="3"/>
  <c r="A695" i="3"/>
  <c r="A1507" i="3"/>
  <c r="A816" i="3"/>
  <c r="A2553" i="3"/>
  <c r="A2057" i="3"/>
  <c r="A1638" i="3"/>
  <c r="A529" i="3"/>
  <c r="A114" i="3"/>
  <c r="A1522" i="3"/>
  <c r="A2471" i="3"/>
  <c r="A947" i="3"/>
  <c r="A211" i="3"/>
  <c r="A1696" i="3"/>
  <c r="A2610" i="3"/>
  <c r="A2563" i="3"/>
  <c r="A1407" i="3"/>
  <c r="A788" i="3"/>
  <c r="A234" i="3"/>
  <c r="A2240" i="3"/>
  <c r="A1090" i="3"/>
  <c r="A1367" i="3"/>
  <c r="A928" i="3"/>
  <c r="A1461" i="3"/>
  <c r="A1337" i="3"/>
  <c r="A1245" i="3"/>
  <c r="A349" i="3"/>
  <c r="A1669" i="3"/>
  <c r="A884" i="3"/>
  <c r="A1480" i="3"/>
  <c r="A1621" i="3"/>
  <c r="A1898" i="3"/>
  <c r="A2083" i="3"/>
  <c r="A2452" i="3"/>
  <c r="A789" i="3"/>
  <c r="A258" i="3"/>
  <c r="A1551" i="3"/>
  <c r="A813" i="3"/>
  <c r="A2752" i="3"/>
  <c r="A1923" i="3"/>
  <c r="A923" i="3"/>
  <c r="A908" i="3"/>
  <c r="A1244" i="3"/>
  <c r="A1418" i="3"/>
  <c r="A422" i="3"/>
  <c r="A1110" i="3"/>
  <c r="A2445" i="3"/>
  <c r="A715" i="3"/>
  <c r="A120" i="3"/>
  <c r="A2523" i="3"/>
  <c r="A790" i="3"/>
  <c r="A2114" i="3"/>
  <c r="A862" i="3"/>
  <c r="A1946" i="3"/>
  <c r="A722" i="3"/>
  <c r="A1226" i="3"/>
  <c r="A1779" i="3"/>
  <c r="A1553" i="3"/>
  <c r="A512" i="3"/>
  <c r="A2378" i="3"/>
  <c r="A1154" i="3"/>
  <c r="A1429" i="3"/>
  <c r="A971" i="3"/>
  <c r="A2754" i="3"/>
  <c r="A2823" i="3"/>
  <c r="A1385" i="3"/>
  <c r="A2821" i="3"/>
  <c r="A2085" i="3"/>
  <c r="A2392" i="3"/>
  <c r="A1688" i="3"/>
  <c r="A2546" i="3"/>
  <c r="A2601" i="3"/>
  <c r="B2601" i="3" s="1"/>
  <c r="A1344" i="3"/>
  <c r="A307" i="3"/>
  <c r="A926" i="3"/>
  <c r="A1646" i="3"/>
  <c r="A1046" i="3"/>
  <c r="A1574" i="3"/>
  <c r="A353" i="3"/>
  <c r="A2477" i="3"/>
  <c r="A535" i="3"/>
  <c r="A1872" i="3"/>
  <c r="A418" i="3"/>
  <c r="A1017" i="3"/>
  <c r="A2223" i="3"/>
  <c r="A214" i="3"/>
  <c r="A2427" i="3"/>
  <c r="A1482" i="3"/>
  <c r="A417" i="3"/>
  <c r="A829" i="3"/>
  <c r="A2450" i="3"/>
  <c r="A1577" i="3"/>
  <c r="A2081" i="3"/>
  <c r="A2376" i="3"/>
  <c r="A2269" i="3"/>
  <c r="A1826" i="3"/>
  <c r="A811" i="3"/>
  <c r="A1525" i="3"/>
  <c r="A1255" i="3"/>
  <c r="A2321" i="3"/>
  <c r="A808" i="3"/>
  <c r="A2091" i="3"/>
  <c r="A1180" i="3"/>
  <c r="A1475" i="3"/>
  <c r="A69" i="3"/>
  <c r="A1802" i="3"/>
  <c r="A831" i="3"/>
  <c r="A2183" i="3"/>
  <c r="A256" i="3"/>
  <c r="A2415" i="3"/>
  <c r="A2262" i="3"/>
  <c r="A67" i="3"/>
  <c r="A745" i="3"/>
  <c r="A1708" i="3"/>
  <c r="A2704" i="3"/>
  <c r="A880" i="3"/>
  <c r="A210" i="3"/>
  <c r="A2562" i="3"/>
  <c r="A1186" i="3"/>
  <c r="A415" i="3"/>
  <c r="A2724" i="3"/>
  <c r="A1521" i="3"/>
  <c r="A1939" i="3"/>
  <c r="A2491" i="3"/>
  <c r="A1177" i="3"/>
  <c r="A533" i="3"/>
  <c r="A1340" i="3"/>
  <c r="A1395" i="3"/>
  <c r="A1069" i="3"/>
  <c r="A1619" i="3"/>
  <c r="A607" i="3"/>
  <c r="A990" i="3"/>
  <c r="A2200" i="3"/>
  <c r="A1083" i="3"/>
  <c r="A1410" i="3"/>
  <c r="A1061" i="3"/>
  <c r="A1600" i="3"/>
  <c r="A397" i="3"/>
  <c r="A1775" i="3"/>
  <c r="A1267" i="3"/>
  <c r="A1129" i="3"/>
  <c r="A921" i="3"/>
  <c r="A2793" i="3"/>
  <c r="A1363" i="3"/>
  <c r="A1896" i="3"/>
  <c r="A184" i="3"/>
  <c r="A159" i="3"/>
  <c r="A2122" i="3"/>
  <c r="A954" i="3"/>
  <c r="A834" i="3"/>
  <c r="A464" i="3"/>
  <c r="A690" i="3"/>
  <c r="A2703" i="3"/>
  <c r="A1346" i="3"/>
  <c r="A2285" i="3"/>
  <c r="A2586" i="3"/>
  <c r="A330" i="3"/>
  <c r="A1928" i="3"/>
  <c r="A1687" i="3"/>
  <c r="A1893" i="3"/>
  <c r="A2265" i="3"/>
  <c r="A2147" i="3"/>
  <c r="A2795" i="3"/>
  <c r="A303" i="3"/>
  <c r="A1314" i="3"/>
  <c r="A2814" i="3"/>
  <c r="A207" i="3"/>
  <c r="A2447" i="3"/>
  <c r="A2308" i="3"/>
  <c r="A187" i="3"/>
  <c r="A839" i="3"/>
  <c r="A2468" i="3"/>
  <c r="A1272" i="3"/>
  <c r="A791" i="3"/>
  <c r="A630" i="3"/>
  <c r="A2461" i="3"/>
  <c r="A806" i="3"/>
  <c r="A1291" i="3"/>
  <c r="A394" i="3"/>
  <c r="A2772" i="3"/>
  <c r="A1038" i="3"/>
  <c r="A1036" i="3"/>
  <c r="A1157" i="3"/>
  <c r="A738" i="3"/>
  <c r="A713" i="3"/>
  <c r="A163" i="3"/>
  <c r="A2252" i="3"/>
  <c r="A600" i="3"/>
  <c r="A117" i="3"/>
  <c r="A621" i="3"/>
  <c r="A2124" i="3"/>
  <c r="A885" i="3"/>
  <c r="A1591" i="3"/>
  <c r="A2191" i="3"/>
  <c r="A833" i="3"/>
  <c r="A2239" i="3"/>
  <c r="A623" i="3"/>
  <c r="A2330" i="3"/>
  <c r="A323" i="3"/>
  <c r="A1660" i="3"/>
  <c r="A489" i="3"/>
  <c r="A532" i="3"/>
  <c r="A2518" i="3"/>
  <c r="A90" i="3"/>
  <c r="A977" i="3"/>
  <c r="A2355" i="3"/>
  <c r="A2542" i="3"/>
  <c r="A1756" i="3"/>
  <c r="A1510" i="3"/>
  <c r="A344" i="3"/>
  <c r="A164" i="3"/>
  <c r="A2653" i="3"/>
  <c r="A972" i="3"/>
  <c r="A2275" i="3"/>
  <c r="A898" i="3"/>
  <c r="A95" i="3"/>
  <c r="A1278" i="3"/>
  <c r="A1942" i="3"/>
  <c r="A1895" i="3"/>
  <c r="A1752" i="3"/>
  <c r="A1106" i="3"/>
  <c r="A1533" i="3"/>
  <c r="A2657" i="3"/>
  <c r="A2607" i="3"/>
  <c r="A1108" i="3"/>
  <c r="A2029" i="3"/>
  <c r="A1836" i="3"/>
  <c r="A2470" i="3"/>
  <c r="A625" i="3"/>
  <c r="A441" i="3"/>
  <c r="A2306" i="3"/>
  <c r="A1156" i="3"/>
  <c r="A72" i="3"/>
  <c r="A48" i="3"/>
  <c r="A2609" i="3"/>
  <c r="A2010" i="3"/>
  <c r="A2507" i="3"/>
  <c r="A583" i="3"/>
  <c r="A2616" i="3"/>
  <c r="A577" i="3"/>
  <c r="A2593" i="3"/>
  <c r="A2634" i="3"/>
  <c r="A2011" i="3"/>
  <c r="A2080" i="3"/>
  <c r="A466" i="3"/>
  <c r="A482" i="3"/>
  <c r="A1409" i="3"/>
  <c r="A2126" i="3"/>
  <c r="A321" i="3"/>
  <c r="A49" i="3"/>
  <c r="A509" i="3"/>
  <c r="A2589" i="3"/>
  <c r="A1342" i="3"/>
  <c r="A2288" i="3"/>
  <c r="A1498" i="3"/>
  <c r="A1666" i="3"/>
  <c r="A1616" i="3"/>
  <c r="A1062" i="3"/>
  <c r="A463" i="3"/>
  <c r="A2108" i="3"/>
  <c r="A1362" i="3"/>
  <c r="A2614" i="3"/>
  <c r="A1712" i="3"/>
  <c r="A1115" i="3"/>
  <c r="A1642" i="3"/>
  <c r="A1271" i="3"/>
  <c r="A2670" i="3"/>
  <c r="B2670" i="3" s="1"/>
  <c r="A2211" i="3" s="1"/>
  <c r="A374" i="3"/>
  <c r="A649" i="3"/>
  <c r="A2015" i="3"/>
  <c r="A2031" i="3"/>
  <c r="A992" i="3"/>
  <c r="A1383" i="3"/>
  <c r="A2066" i="3"/>
  <c r="A351" i="3"/>
  <c r="A1944" i="3"/>
  <c r="A2059" i="3"/>
  <c r="A1207" i="3"/>
  <c r="A399" i="3"/>
  <c r="A1505" i="3"/>
  <c r="A1476" i="3"/>
  <c r="A2656" i="3"/>
  <c r="A558" i="3"/>
  <c r="A368" i="3"/>
  <c r="A907" i="3"/>
  <c r="A1873" i="3"/>
  <c r="A1502" i="3"/>
  <c r="A1131" i="3"/>
  <c r="A1388" i="3"/>
  <c r="A2676" i="3"/>
  <c r="A1997" i="3"/>
  <c r="A967" i="3"/>
  <c r="A603" i="3"/>
  <c r="A1209" i="3"/>
  <c r="A644" i="3"/>
  <c r="A1568" i="3"/>
  <c r="A445" i="3"/>
  <c r="A1969" i="3"/>
  <c r="A376" i="3"/>
  <c r="A2726" i="3"/>
  <c r="A2431" i="3"/>
  <c r="A1962" i="3"/>
  <c r="A182" i="3"/>
  <c r="A2054" i="3"/>
  <c r="A694" i="3"/>
  <c r="A1643" i="3"/>
  <c r="A1000" i="3"/>
  <c r="A2791" i="3"/>
  <c r="A1326" i="3"/>
  <c r="A1758" i="3"/>
  <c r="A1665" i="3"/>
  <c r="A2241" i="3"/>
  <c r="A1294" i="3"/>
  <c r="A1387" i="3"/>
  <c r="A575" i="3"/>
  <c r="A2745" i="3"/>
  <c r="A2034" i="3"/>
  <c r="A1798" i="3"/>
  <c r="A2422" i="3"/>
  <c r="A1117" i="3"/>
  <c r="A1060" i="3"/>
  <c r="A744" i="3"/>
  <c r="A1711" i="3"/>
  <c r="A2722" i="3"/>
  <c r="A53" i="3"/>
  <c r="A721" i="3"/>
  <c r="A2701" i="3"/>
  <c r="A1431" i="3"/>
  <c r="A669" i="3"/>
  <c r="A1868" i="3"/>
  <c r="A559" i="3"/>
  <c r="A2198" i="3"/>
  <c r="A372" i="3"/>
  <c r="A1253" i="3"/>
  <c r="A1067" i="3"/>
  <c r="A743" i="3"/>
  <c r="A1159" i="3"/>
  <c r="A1152" i="3"/>
  <c r="A857" i="3"/>
  <c r="A2103" i="3"/>
  <c r="A2683" i="3"/>
  <c r="A1321" i="3"/>
  <c r="A809" i="3"/>
  <c r="A391" i="3"/>
  <c r="A1452" i="3"/>
  <c r="A1318" i="3"/>
  <c r="A1023" i="3"/>
  <c r="A528" i="3"/>
  <c r="A1824" i="3"/>
  <c r="A2749" i="3"/>
  <c r="A646" i="3"/>
  <c r="A2195" i="3"/>
  <c r="A1364" i="3"/>
  <c r="A2611" i="3"/>
  <c r="A1432" i="3"/>
  <c r="A2484" i="3"/>
  <c r="A392" i="3"/>
  <c r="A138" i="3"/>
  <c r="A1365" i="3"/>
  <c r="A2099" i="3"/>
  <c r="A113" i="3"/>
  <c r="A1689" i="3"/>
  <c r="A2380" i="3"/>
  <c r="A900" i="3"/>
  <c r="A2145" i="3"/>
  <c r="A1223" i="3"/>
  <c r="A1434" i="3"/>
  <c r="A1556" i="3"/>
  <c r="A233" i="3"/>
  <c r="A1974" i="3"/>
  <c r="A1246" i="3"/>
  <c r="A136" i="3"/>
  <c r="A1639" i="3"/>
  <c r="A877" i="3"/>
  <c r="A1729" i="3"/>
  <c r="A810" i="3"/>
  <c r="A1107" i="3"/>
  <c r="A325" i="3"/>
  <c r="A1526" i="3"/>
  <c r="A931" i="3"/>
  <c r="A2160" i="3"/>
  <c r="A44" i="3"/>
  <c r="A1641" i="3"/>
  <c r="A2101" i="3"/>
  <c r="A1222" i="3"/>
  <c r="A852" i="3"/>
  <c r="A787" i="3"/>
  <c r="A2358" i="3"/>
  <c r="A2237" i="3"/>
  <c r="A1549" i="3"/>
  <c r="A1130" i="3"/>
  <c r="A1882" i="3"/>
  <c r="A2287" i="3"/>
  <c r="A653" i="3"/>
  <c r="A298" i="3"/>
  <c r="A1597" i="3"/>
  <c r="A761" i="3"/>
  <c r="A1161" i="3"/>
  <c r="A1849" i="3"/>
  <c r="A191" i="3"/>
  <c r="A1441" i="3"/>
  <c r="A2315" i="3"/>
  <c r="A557" i="3"/>
  <c r="A2632" i="3"/>
  <c r="A1983" i="3"/>
  <c r="A2334" i="3"/>
  <c r="A1199" i="3"/>
  <c r="A2311" i="3"/>
  <c r="A2584" i="3"/>
  <c r="A2699" i="3"/>
  <c r="A698" i="3"/>
  <c r="A2362" i="3"/>
  <c r="A484" i="3"/>
  <c r="A1323" i="3"/>
  <c r="A2403" i="3"/>
  <c r="A2731" i="3"/>
  <c r="A2630" i="3"/>
  <c r="A1731" i="3"/>
  <c r="A1618" i="3"/>
  <c r="A692" i="3"/>
  <c r="A1268" i="3"/>
  <c r="A278" i="3"/>
  <c r="A2260" i="3"/>
  <c r="A1015" i="3"/>
  <c r="A274" i="3"/>
  <c r="A2716" i="3"/>
  <c r="B2716" i="3" s="1"/>
  <c r="A2078" i="3"/>
  <c r="A2404" i="3"/>
  <c r="A1198" i="3"/>
  <c r="A879" i="3"/>
  <c r="A205" i="3"/>
  <c r="A1360" i="3"/>
  <c r="A1040" i="3"/>
  <c r="A2514" i="3"/>
  <c r="A2537" i="3"/>
  <c r="A1369" i="3"/>
  <c r="A584" i="3"/>
  <c r="A1683" i="3"/>
  <c r="A300" i="3"/>
  <c r="A2408" i="3"/>
  <c r="A1184" i="3"/>
  <c r="A2750" i="3"/>
  <c r="A784" i="3"/>
  <c r="A1438" i="3"/>
  <c r="A2292" i="3"/>
  <c r="A2006" i="3"/>
  <c r="A1484" i="3"/>
  <c r="A1964" i="3"/>
  <c r="A2429" i="3"/>
  <c r="A74" i="3"/>
  <c r="A561" i="3"/>
  <c r="A2137" i="3"/>
  <c r="A739" i="3"/>
  <c r="A1504" i="3"/>
  <c r="A881" i="3"/>
  <c r="A313" i="3"/>
  <c r="A198" i="3"/>
  <c r="A1857" i="3"/>
  <c r="A106" i="3"/>
  <c r="A360" i="3"/>
  <c r="A1440" i="3"/>
  <c r="A2087" i="3"/>
  <c r="A2479" i="3"/>
  <c r="A2273" i="3"/>
  <c r="A1694" i="3"/>
  <c r="A1768" i="3"/>
  <c r="A1371" i="3"/>
  <c r="A285" i="3"/>
  <c r="A2827" i="3"/>
  <c r="A2345" i="3"/>
  <c r="A2664" i="3"/>
  <c r="A2595" i="3"/>
  <c r="A1949" i="3"/>
  <c r="A2459" i="3"/>
  <c r="A2482" i="3"/>
  <c r="A101" i="3"/>
  <c r="A1672" i="3"/>
  <c r="A268" i="3"/>
  <c r="A2133" i="3"/>
  <c r="A747" i="3"/>
  <c r="A1884" i="3"/>
  <c r="A1213" i="3"/>
  <c r="A1998" i="3"/>
  <c r="A543" i="3"/>
  <c r="A290" i="3"/>
  <c r="A2018" i="3"/>
  <c r="A2250" i="3"/>
  <c r="A1926" i="3"/>
  <c r="A355" i="3"/>
  <c r="A539" i="3"/>
  <c r="A937" i="3"/>
  <c r="A1972" i="3"/>
  <c r="A660" i="3"/>
  <c r="A2225" i="3"/>
  <c r="A1999" i="3"/>
  <c r="A2135" i="3"/>
  <c r="A1740" i="3"/>
  <c r="A2641" i="3"/>
  <c r="A1024" i="3"/>
  <c r="A2040" i="3"/>
  <c r="A1352" i="3"/>
  <c r="A913" i="3"/>
  <c r="A216" i="3"/>
  <c r="A470" i="3"/>
  <c r="A1856" i="3"/>
  <c r="A124" i="3"/>
  <c r="A632" i="3"/>
  <c r="A909" i="3"/>
  <c r="A1051" i="3"/>
  <c r="A2041" i="3"/>
  <c r="A378" i="3"/>
  <c r="A678" i="3"/>
  <c r="A2387" i="3"/>
  <c r="A611" i="3"/>
  <c r="A886" i="3"/>
  <c r="A793" i="3"/>
  <c r="A955" i="3"/>
  <c r="A2551" i="3"/>
  <c r="A2204" i="3"/>
  <c r="A2064" i="3"/>
  <c r="A2299" i="3"/>
  <c r="A1649" i="3"/>
  <c r="A978" i="3"/>
  <c r="A863" i="3"/>
  <c r="A2733" i="3"/>
  <c r="A105" i="3"/>
  <c r="A2390" i="3"/>
  <c r="A724" i="3"/>
  <c r="A2825" i="3"/>
  <c r="A2712" i="3"/>
  <c r="A305" i="3"/>
  <c r="A1022" i="3"/>
  <c r="A930" i="3"/>
  <c r="A1528" i="3"/>
  <c r="A1764" i="3"/>
  <c r="A1555" i="3"/>
  <c r="A1718" i="3"/>
  <c r="A1810" i="3"/>
  <c r="A2692" i="3"/>
  <c r="A1509" i="3"/>
  <c r="A1394" i="3"/>
  <c r="A1486" i="3"/>
  <c r="A1463" i="3"/>
  <c r="A1325" i="3"/>
  <c r="A1579" i="3"/>
  <c r="A2181" i="3"/>
  <c r="A1880" i="3"/>
  <c r="A1653" i="3"/>
  <c r="A1834" i="3"/>
  <c r="A244" i="3"/>
  <c r="A1537" i="3"/>
  <c r="A1985" i="3"/>
  <c r="A1693" i="3"/>
  <c r="A1716" i="3"/>
  <c r="A1601" i="3"/>
  <c r="A1398" i="3"/>
  <c r="A1214" i="3"/>
  <c r="A1630" i="3"/>
  <c r="A1814" i="3"/>
  <c r="A1237" i="3"/>
  <c r="A1902" i="3"/>
  <c r="A822" i="3"/>
  <c r="A960" i="3"/>
  <c r="A221" i="3"/>
  <c r="A1121" i="3"/>
  <c r="A1652" i="3"/>
  <c r="A1513" i="3"/>
  <c r="A936" i="3"/>
  <c r="A151" i="3"/>
  <c r="A1675" i="3"/>
  <c r="A1306" i="3"/>
  <c r="A1491" i="3"/>
  <c r="A1670" i="3"/>
  <c r="A1808" i="3"/>
  <c r="A774" i="3"/>
  <c r="A1098" i="3"/>
  <c r="A613" i="3"/>
  <c r="A266" i="3"/>
  <c r="A174" i="3"/>
  <c r="A1167" i="3"/>
  <c r="A1676" i="3"/>
  <c r="A1076" i="3"/>
  <c r="A2460" i="3"/>
  <c r="A2366" i="3"/>
  <c r="A1624" i="3"/>
  <c r="A1785" i="3"/>
  <c r="A1606" i="3"/>
  <c r="A821" i="3"/>
  <c r="A1929" i="3"/>
  <c r="A636" i="3"/>
  <c r="A2668" i="3"/>
  <c r="A2760" i="3"/>
  <c r="A591" i="3"/>
  <c r="A2599" i="3"/>
  <c r="A2623" i="3"/>
  <c r="A637" i="3"/>
  <c r="A1145" i="3"/>
  <c r="A1099" i="3"/>
  <c r="A1976" i="3"/>
  <c r="A197" i="3"/>
  <c r="A567" i="3"/>
  <c r="A60" i="3"/>
  <c r="A1005" i="3"/>
  <c r="A1536" i="3"/>
  <c r="A844" i="3"/>
  <c r="A1699" i="3"/>
  <c r="A1838" i="3"/>
  <c r="A2761" i="3"/>
  <c r="A1948" i="3"/>
  <c r="A2527" i="3"/>
  <c r="A1762" i="3"/>
  <c r="A1739" i="3"/>
  <c r="A1444" i="3"/>
  <c r="A1947" i="3"/>
  <c r="A728" i="3"/>
  <c r="A59" i="3"/>
  <c r="A405" i="3"/>
  <c r="A1144" i="3"/>
  <c r="A1075" i="3"/>
  <c r="A982" i="3"/>
  <c r="A1860" i="3"/>
  <c r="A2184" i="3"/>
  <c r="A568" i="3"/>
  <c r="A2691" i="3"/>
  <c r="A614" i="3"/>
  <c r="A983" i="3"/>
  <c r="A2253" i="3"/>
  <c r="A2804" i="3"/>
  <c r="A705" i="3"/>
  <c r="A959" i="3"/>
  <c r="A1975" i="3"/>
  <c r="A751" i="3"/>
  <c r="A1514" i="3"/>
  <c r="A1445" i="3"/>
  <c r="A1376" i="3"/>
  <c r="A1607" i="3"/>
  <c r="A1722" i="3"/>
  <c r="A2271" i="3"/>
  <c r="A2110" i="3"/>
  <c r="A2620" i="3"/>
  <c r="A2735" i="3"/>
  <c r="A2178" i="3"/>
  <c r="A2316" i="3"/>
  <c r="A2293" i="3"/>
  <c r="A2247" i="3"/>
  <c r="A2109" i="3"/>
  <c r="A2155" i="3"/>
  <c r="A2201" i="3"/>
  <c r="A2086" i="3"/>
  <c r="A934" i="3"/>
  <c r="A2389" i="3"/>
  <c r="A865" i="3"/>
  <c r="A2524" i="3"/>
  <c r="A2386" i="3"/>
  <c r="A2455" i="3"/>
  <c r="A2478" i="3"/>
  <c r="A2432" i="3"/>
  <c r="A957" i="3"/>
  <c r="A2409" i="3"/>
  <c r="A2570" i="3"/>
  <c r="A2504" i="3"/>
  <c r="A2501" i="3"/>
  <c r="A2363" i="3"/>
  <c r="B202" i="3"/>
  <c r="A2550" i="3"/>
  <c r="A287" i="3"/>
  <c r="A1165" i="3"/>
  <c r="A1096" i="3"/>
  <c r="A1003" i="3"/>
  <c r="A1119" i="3"/>
  <c r="A1442" i="3"/>
  <c r="A703" i="3"/>
  <c r="A311" i="3"/>
  <c r="A1234" i="3"/>
  <c r="A842" i="3"/>
  <c r="A1073" i="3"/>
  <c r="A2666" i="3"/>
  <c r="A1211" i="3"/>
  <c r="A680" i="3"/>
  <c r="A357" i="3"/>
  <c r="A634" i="3"/>
  <c r="A264" i="3"/>
  <c r="A2456" i="3"/>
  <c r="A840" i="3"/>
  <c r="A867" i="3"/>
  <c r="A2686" i="3"/>
  <c r="A520" i="3"/>
  <c r="A336" i="3"/>
  <c r="A359" i="3"/>
  <c r="A2755" i="3"/>
  <c r="A1721" i="3"/>
  <c r="A1259" i="3"/>
  <c r="A1490" i="3"/>
  <c r="A797" i="3"/>
  <c r="A1906" i="3"/>
  <c r="A2640" i="3"/>
  <c r="A126" i="3"/>
  <c r="A449" i="3"/>
  <c r="A772" i="3"/>
  <c r="A749" i="3"/>
  <c r="A495" i="3"/>
  <c r="A1188" i="3"/>
  <c r="A726" i="3"/>
  <c r="A1142" i="3"/>
  <c r="A980" i="3"/>
  <c r="A2758" i="3"/>
  <c r="A149" i="3"/>
  <c r="A2597" i="3"/>
  <c r="A334" i="3"/>
  <c r="A57" i="3"/>
  <c r="A2202" i="3"/>
  <c r="A1047" i="3"/>
  <c r="A1559" i="3"/>
  <c r="A428" i="3"/>
  <c r="A1375" i="3"/>
  <c r="A2732" i="3"/>
  <c r="A2594" i="3"/>
  <c r="A1744" i="3"/>
  <c r="A590" i="3"/>
  <c r="A2801" i="3"/>
  <c r="A474" i="3"/>
  <c r="A451" i="3"/>
  <c r="A2067" i="3"/>
  <c r="A497" i="3"/>
  <c r="A659" i="3"/>
  <c r="A289" i="3"/>
  <c r="A1511" i="3"/>
  <c r="A2412" i="3"/>
  <c r="A2435" i="3"/>
  <c r="A1049" i="3"/>
  <c r="A472" i="3"/>
  <c r="A1396" i="3"/>
  <c r="A2781" i="3"/>
  <c r="A1534" i="3"/>
  <c r="A195" i="3"/>
  <c r="A103" i="3"/>
  <c r="A447" i="3"/>
  <c r="A401" i="3"/>
  <c r="A1236" i="3"/>
  <c r="A1813" i="3"/>
  <c r="A2021" i="3"/>
  <c r="A172" i="3"/>
  <c r="A1488" i="3"/>
  <c r="A541" i="3"/>
  <c r="A911" i="3"/>
  <c r="A657" i="3"/>
  <c r="A2343" i="3"/>
  <c r="A241" i="3"/>
  <c r="A890" i="3"/>
  <c r="A1790" i="3"/>
  <c r="A795" i="3"/>
  <c r="A888" i="3"/>
  <c r="A588" i="3"/>
  <c r="A2573" i="3"/>
  <c r="A1465" i="3"/>
  <c r="A426" i="3"/>
  <c r="A1557" i="3"/>
  <c r="A2643" i="3"/>
  <c r="A565" i="3"/>
  <c r="A2481" i="3"/>
  <c r="A1373" i="3"/>
  <c r="A403" i="3"/>
  <c r="A1280" i="3"/>
  <c r="A2458" i="3"/>
  <c r="A518" i="3"/>
  <c r="A380" i="3"/>
  <c r="A1350" i="3"/>
  <c r="A819" i="3"/>
  <c r="A1327" i="3"/>
  <c r="A218" i="3"/>
  <c r="A80" i="3"/>
  <c r="A2756" i="3"/>
  <c r="A55" i="3"/>
  <c r="A2617" i="3"/>
  <c r="A1698" i="3"/>
  <c r="A1305" i="3"/>
  <c r="A1883" i="3"/>
  <c r="A243" i="3"/>
  <c r="A1952" i="3"/>
  <c r="A128" i="3"/>
  <c r="A2709" i="3"/>
  <c r="A2824" i="3"/>
  <c r="A1583" i="3"/>
  <c r="A1190" i="3"/>
  <c r="A82" i="3"/>
  <c r="A1467" i="3"/>
  <c r="A1837" i="3"/>
  <c r="A220" i="3"/>
  <c r="A2778" i="3"/>
  <c r="A382" i="3"/>
  <c r="A2663" i="3"/>
  <c r="A682" i="3"/>
  <c r="A1257" i="3"/>
  <c r="A1419" i="3"/>
  <c r="A1303" i="3"/>
  <c r="A2689" i="3"/>
  <c r="A1026" i="3"/>
  <c r="A1899" i="3"/>
  <c r="A98" i="3"/>
  <c r="A1529" i="3"/>
  <c r="A1275" i="3"/>
  <c r="A1968" i="3"/>
  <c r="A2453" i="3"/>
  <c r="A2222" i="3"/>
  <c r="A2822" i="3"/>
  <c r="A1506" i="3"/>
  <c r="A2430" i="3"/>
  <c r="A2130" i="3"/>
  <c r="A1599" i="3"/>
  <c r="A282" i="3"/>
  <c r="A1876" i="3"/>
  <c r="A2592" i="3"/>
  <c r="A121" i="3"/>
  <c r="A2314" i="3"/>
  <c r="A2776" i="3"/>
  <c r="A1068" i="3"/>
  <c r="A1737" i="3"/>
  <c r="A1206" i="3"/>
  <c r="A52" i="3"/>
  <c r="A1114" i="3"/>
  <c r="A2037" i="3"/>
  <c r="A2799" i="3"/>
  <c r="A1945" i="3"/>
  <c r="A1345" i="3"/>
  <c r="A1414" i="3"/>
  <c r="A2291" i="3"/>
  <c r="A2060" i="3"/>
  <c r="A2084" i="3"/>
  <c r="A1137" i="3"/>
  <c r="A1830" i="3"/>
  <c r="A1853" i="3"/>
  <c r="A2684" i="3"/>
  <c r="A398" i="3"/>
  <c r="A1391" i="3"/>
  <c r="A2153" i="3"/>
  <c r="A1552" i="3"/>
  <c r="A1437" i="3"/>
  <c r="A2245" i="3"/>
  <c r="A2176" i="3"/>
  <c r="A1760" i="3"/>
  <c r="A1183" i="3"/>
  <c r="A1990" i="3"/>
  <c r="A2013" i="3"/>
  <c r="A2637" i="3"/>
  <c r="A1020" i="3"/>
  <c r="A1759" i="3"/>
  <c r="A629" i="3"/>
  <c r="A2251" i="3"/>
  <c r="A1277" i="3"/>
  <c r="A2228" i="3"/>
  <c r="A1858" i="3"/>
  <c r="A2019" i="3"/>
  <c r="A1996" i="3"/>
  <c r="A2136" i="3"/>
  <c r="A1852" i="3"/>
  <c r="A2129" i="3"/>
  <c r="A1644" i="3"/>
  <c r="A166" i="3"/>
  <c r="A1136" i="3"/>
  <c r="A1162" i="3"/>
  <c r="A1070" i="3"/>
  <c r="A2205" i="3"/>
  <c r="A2297" i="3"/>
  <c r="A2159" i="3"/>
  <c r="A859" i="3"/>
  <c r="A1205" i="3"/>
  <c r="A2406" i="3"/>
  <c r="A2175" i="3"/>
  <c r="A1736" i="3"/>
  <c r="A1116" i="3"/>
  <c r="A1973" i="3"/>
  <c r="A1139" i="3"/>
  <c r="A1950" i="3"/>
  <c r="A1835" i="3"/>
  <c r="A1967" i="3"/>
  <c r="A1829" i="3"/>
  <c r="A2798" i="3"/>
  <c r="A2036" i="3"/>
  <c r="A1805" i="3"/>
  <c r="A2065" i="3"/>
  <c r="A2437" i="3"/>
  <c r="A2320" i="3"/>
  <c r="A814" i="3"/>
  <c r="A1423" i="3"/>
  <c r="A1377" i="3"/>
  <c r="A776" i="3"/>
  <c r="A1400" i="3"/>
  <c r="A2000" i="3"/>
  <c r="A2093" i="3"/>
  <c r="A361" i="3"/>
  <c r="A384" i="3"/>
  <c r="A1654" i="3"/>
  <c r="A2462" i="3"/>
  <c r="A2138" i="3"/>
  <c r="A1791" i="3"/>
  <c r="A2068" i="3"/>
  <c r="A2528" i="3"/>
  <c r="A1416" i="3"/>
  <c r="A2089" i="3"/>
  <c r="A2319" i="3"/>
  <c r="A1399" i="3"/>
  <c r="A291" i="3"/>
  <c r="A1077" i="3"/>
  <c r="A2116" i="3"/>
  <c r="A84" i="3"/>
  <c r="A1815" i="3"/>
  <c r="A892" i="3"/>
  <c r="A1700" i="3"/>
  <c r="A661" i="3"/>
  <c r="A846" i="3"/>
  <c r="A1631" i="3"/>
  <c r="A315" i="3"/>
  <c r="A1100" i="3"/>
  <c r="A383" i="3"/>
  <c r="A1330" i="3"/>
  <c r="A775" i="3"/>
  <c r="A752" i="3"/>
  <c r="A1861" i="3"/>
  <c r="A2783" i="3"/>
  <c r="A1602" i="3"/>
  <c r="A2022" i="3"/>
  <c r="A706" i="3"/>
  <c r="A906" i="3"/>
  <c r="A1792" i="3"/>
  <c r="A1908" i="3"/>
  <c r="A1885" i="3"/>
  <c r="A2531" i="3"/>
  <c r="A2784" i="3"/>
  <c r="A2830" i="3"/>
  <c r="A2162" i="3"/>
  <c r="A2577" i="3"/>
  <c r="A1862" i="3"/>
  <c r="A1677" i="3"/>
  <c r="A2046" i="3"/>
  <c r="A1169" i="3"/>
  <c r="A869" i="3"/>
  <c r="A1370" i="3"/>
  <c r="A1393" i="3"/>
  <c r="A1191" i="3"/>
  <c r="A544" i="3"/>
  <c r="A267" i="3"/>
  <c r="A683" i="3"/>
  <c r="A891" i="3"/>
  <c r="A2413" i="3"/>
  <c r="A2092" i="3"/>
  <c r="A582" i="3"/>
  <c r="A975" i="3"/>
  <c r="A998" i="3"/>
  <c r="A628" i="3"/>
  <c r="A674" i="3"/>
  <c r="A1261" i="3"/>
  <c r="A753" i="3"/>
  <c r="A684" i="3"/>
  <c r="A592" i="3"/>
  <c r="A2300" i="3"/>
  <c r="A1608" i="3"/>
  <c r="A453" i="3"/>
  <c r="A61" i="3"/>
  <c r="A545" i="3"/>
  <c r="A1723" i="3"/>
  <c r="A2370" i="3"/>
  <c r="A1354" i="3"/>
  <c r="A1492" i="3"/>
  <c r="A1324" i="3"/>
  <c r="A129" i="3"/>
  <c r="A1953" i="3"/>
  <c r="A2115" i="3"/>
  <c r="A2574" i="3"/>
  <c r="A521" i="3"/>
  <c r="A1508" i="3"/>
  <c r="A2806" i="3"/>
  <c r="B1541" i="3"/>
  <c r="B1542" i="3" s="1"/>
  <c r="B1819" i="3"/>
  <c r="B2257" i="3"/>
  <c r="B2673" i="3"/>
  <c r="B1172" i="3"/>
  <c r="B1033" i="3"/>
  <c r="B2142" i="3"/>
  <c r="B2049" i="3"/>
  <c r="B1426" i="3"/>
  <c r="B1427" i="3" s="1"/>
  <c r="B1634" i="3"/>
  <c r="B64" i="3"/>
  <c r="B2350" i="3" l="1"/>
  <c r="B2557" i="3"/>
  <c r="B803" i="3"/>
  <c r="B1496" i="3"/>
  <c r="B1497" i="3" s="1"/>
  <c r="B503" i="3"/>
  <c r="B41" i="3"/>
  <c r="B1173" i="3"/>
  <c r="B2328" i="3"/>
  <c r="B2329" i="3" s="1"/>
  <c r="B318" i="3"/>
  <c r="B2720" i="3"/>
  <c r="B133" i="3"/>
  <c r="B572" i="3"/>
  <c r="B573" i="3" s="1"/>
  <c r="B964" i="3"/>
  <c r="B1772" i="3"/>
  <c r="B2258" i="3"/>
  <c r="B2211" i="3"/>
  <c r="B2212" i="3" s="1"/>
  <c r="B1287" i="3"/>
  <c r="B2742" i="3"/>
  <c r="B1588" i="3"/>
  <c r="B2811" i="3"/>
  <c r="B2812" i="3" s="1"/>
  <c r="B2396" i="3"/>
  <c r="B2397" i="3" s="1"/>
  <c r="B2398" i="3" s="1"/>
  <c r="B641" i="3"/>
  <c r="B642" i="3" s="1"/>
  <c r="B549" i="3"/>
  <c r="B550" i="3" s="1"/>
  <c r="B271" i="3"/>
  <c r="B1174" i="3"/>
  <c r="B1175" i="3" s="1"/>
  <c r="B2026" i="3"/>
  <c r="B2765" i="3"/>
  <c r="B2766" i="3" s="1"/>
  <c r="B110" i="3"/>
  <c r="B111" i="3" s="1"/>
  <c r="B319" i="3"/>
  <c r="B2073" i="3"/>
  <c r="B225" i="3"/>
  <c r="B1726" i="3"/>
  <c r="B1727" i="3" s="1"/>
  <c r="B2096" i="3"/>
  <c r="B2097" i="3" s="1"/>
  <c r="B1357" i="3"/>
  <c r="B1358" i="3" s="1"/>
  <c r="B2119" i="3"/>
  <c r="B595" i="3"/>
  <c r="B596" i="3" s="1"/>
  <c r="B1057" i="3"/>
  <c r="B1241" i="3"/>
  <c r="B2419" i="3"/>
  <c r="B2420" i="3" s="1"/>
  <c r="B1518" i="3"/>
  <c r="B1519" i="3" s="1"/>
  <c r="B2488" i="3"/>
  <c r="B2581" i="3"/>
  <c r="B987" i="3"/>
  <c r="B988" i="3" s="1"/>
  <c r="B989" i="3" s="1"/>
  <c r="B2373" i="3"/>
  <c r="B2374" i="3" s="1"/>
  <c r="B1149" i="3"/>
  <c r="B87" i="3"/>
  <c r="B1218" i="3"/>
  <c r="B1219" i="3" s="1"/>
  <c r="B1865" i="3"/>
  <c r="B1866" i="3" s="1"/>
  <c r="B248" i="3"/>
  <c r="B2165" i="3"/>
  <c r="B2166" i="3" s="1"/>
  <c r="B1126" i="3"/>
  <c r="B1127" i="3" s="1"/>
  <c r="B2696" i="3"/>
  <c r="B2697" i="3" s="1"/>
  <c r="B2698" i="3" s="1"/>
  <c r="B1264" i="3"/>
  <c r="B1749" i="3"/>
  <c r="B1750" i="3" s="1"/>
  <c r="B1751" i="3" s="1"/>
  <c r="B156" i="3"/>
  <c r="B157" i="3" s="1"/>
  <c r="B618" i="3"/>
  <c r="B619" i="3" s="1"/>
  <c r="B710" i="3"/>
  <c r="B711" i="3" s="1"/>
  <c r="B1565" i="3"/>
  <c r="B1566" i="3" s="1"/>
  <c r="B1567" i="3" s="1"/>
  <c r="B779" i="3"/>
  <c r="B780" i="3" s="1"/>
  <c r="B781" i="3" s="1"/>
  <c r="B782" i="3" s="1"/>
  <c r="B1311" i="3"/>
  <c r="B1312" i="3" s="1"/>
  <c r="B2303" i="3"/>
  <c r="B2304" i="3" s="1"/>
  <c r="B2305" i="3" s="1"/>
  <c r="B203" i="3"/>
  <c r="B1888" i="3"/>
  <c r="B1889" i="3" s="1"/>
  <c r="B872" i="3"/>
  <c r="B873" i="3" s="1"/>
  <c r="B364" i="3"/>
  <c r="B2234" i="3"/>
  <c r="B2235" i="3" s="1"/>
  <c r="B733" i="3"/>
  <c r="B734" i="3" s="1"/>
  <c r="B456" i="3"/>
  <c r="B457" i="3" s="1"/>
  <c r="B1403" i="3"/>
  <c r="B2003" i="3"/>
  <c r="B2004" i="3" s="1"/>
  <c r="B2005" i="3" s="1"/>
  <c r="B2442" i="3"/>
  <c r="B2443" i="3" s="1"/>
  <c r="B2444" i="3" s="1"/>
  <c r="B2445" i="3" s="1"/>
  <c r="B525" i="3"/>
  <c r="B479" i="3"/>
  <c r="B480" i="3" s="1"/>
  <c r="B1380" i="3"/>
  <c r="B1381" i="3" s="1"/>
  <c r="B1795" i="3"/>
  <c r="B1796" i="3" s="1"/>
  <c r="B1010" i="3"/>
  <c r="B1472" i="3"/>
  <c r="B1473" i="3" s="1"/>
  <c r="B756" i="3"/>
  <c r="B757" i="3" s="1"/>
  <c r="B758" i="3" s="1"/>
  <c r="B341" i="3"/>
  <c r="B342" i="3" s="1"/>
  <c r="B2511" i="3"/>
  <c r="B2512" i="3" s="1"/>
  <c r="B2513" i="3" s="1"/>
  <c r="B2514" i="3" s="1"/>
  <c r="B2515" i="3" s="1"/>
  <c r="B1657" i="3"/>
  <c r="B1658" i="3" s="1"/>
  <c r="B1659" i="3" s="1"/>
  <c r="B1660" i="3" s="1"/>
  <c r="B2280" i="3"/>
  <c r="B2281" i="3" s="1"/>
  <c r="B410" i="3"/>
  <c r="B411" i="3" s="1"/>
  <c r="B2188" i="3"/>
  <c r="B826" i="3"/>
  <c r="B827" i="3" s="1"/>
  <c r="B828" i="3" s="1"/>
  <c r="B829" i="3" s="1"/>
  <c r="B204" i="3"/>
  <c r="B712" i="3"/>
  <c r="B713" i="3" s="1"/>
  <c r="B714" i="3" s="1"/>
  <c r="B2582" i="3"/>
  <c r="B2583" i="3" s="1"/>
  <c r="B2627" i="3"/>
  <c r="B2628" i="3" s="1"/>
  <c r="B2629" i="3" s="1"/>
  <c r="B1080" i="3"/>
  <c r="B1081" i="3" s="1"/>
  <c r="B1082" i="3" s="1"/>
  <c r="B2674" i="3"/>
  <c r="B2675" i="3" s="1"/>
  <c r="B2534" i="3"/>
  <c r="B2535" i="3" s="1"/>
  <c r="B296" i="3"/>
  <c r="B297" i="3" s="1"/>
  <c r="B365" i="3"/>
  <c r="B1773" i="3"/>
  <c r="B1774" i="3" s="1"/>
  <c r="B804" i="3"/>
  <c r="B805" i="3" s="1"/>
  <c r="B2558" i="3"/>
  <c r="B2559" i="3" s="1"/>
  <c r="B664" i="3"/>
  <c r="B665" i="3" s="1"/>
  <c r="B666" i="3" s="1"/>
  <c r="B667" i="3" s="1"/>
  <c r="B1934" i="3"/>
  <c r="B1935" i="3" s="1"/>
  <c r="B1936" i="3" s="1"/>
  <c r="B1937" i="3" s="1"/>
  <c r="B1404" i="3"/>
  <c r="B849" i="3"/>
  <c r="B850" i="3" s="1"/>
  <c r="B895" i="3"/>
  <c r="B896" i="3" s="1"/>
  <c r="B897" i="3" s="1"/>
  <c r="B2650" i="3"/>
  <c r="B2651" i="3" s="1"/>
  <c r="B1288" i="3"/>
  <c r="B1289" i="3" s="1"/>
  <c r="B965" i="3"/>
  <c r="B966" i="3" s="1"/>
  <c r="B2604" i="3"/>
  <c r="B2605" i="3" s="1"/>
  <c r="B2606" i="3" s="1"/>
  <c r="B2788" i="3"/>
  <c r="B2789" i="3" s="1"/>
  <c r="B2790" i="3" s="1"/>
  <c r="B2743" i="3"/>
  <c r="B2120" i="3"/>
  <c r="B1820" i="3"/>
  <c r="B1821" i="3" s="1"/>
  <c r="B1822" i="3" s="1"/>
  <c r="B1823" i="3" s="1"/>
  <c r="B1824" i="3" s="1"/>
  <c r="B1825" i="3" s="1"/>
  <c r="B1911" i="3"/>
  <c r="B1912" i="3" s="1"/>
  <c r="B1913" i="3" s="1"/>
  <c r="B1914" i="3" s="1"/>
  <c r="B1915" i="3" s="1"/>
  <c r="B1680" i="3"/>
  <c r="B1681" i="3" s="1"/>
  <c r="B1682" i="3" s="1"/>
  <c r="B1635" i="3"/>
  <c r="B1636" i="3" s="1"/>
  <c r="B1543" i="3"/>
  <c r="B1544" i="3" s="1"/>
  <c r="B388" i="3"/>
  <c r="B389" i="3" s="1"/>
  <c r="B2259" i="3"/>
  <c r="B2260" i="3" s="1"/>
  <c r="B1058" i="3"/>
  <c r="B1059" i="3" s="1"/>
  <c r="B2466" i="3"/>
  <c r="B2467" i="3" s="1"/>
  <c r="B226" i="3"/>
  <c r="B227" i="3" s="1"/>
  <c r="B205" i="3"/>
  <c r="B206" i="3" s="1"/>
  <c r="B1683" i="3"/>
  <c r="B159" i="3"/>
  <c r="B1844" i="3"/>
  <c r="B1845" i="3" s="1"/>
  <c r="B207" i="3"/>
  <c r="B551" i="3"/>
  <c r="B552" i="3" s="1"/>
  <c r="B990" i="3"/>
  <c r="B991" i="3" s="1"/>
  <c r="B2489" i="3"/>
  <c r="B1568" i="3"/>
  <c r="B1569" i="3" s="1"/>
  <c r="B2306" i="3"/>
  <c r="B2699" i="3"/>
  <c r="B1336" i="3"/>
  <c r="B134" i="3"/>
  <c r="B2767" i="3"/>
  <c r="B2721" i="3"/>
  <c r="B643" i="3"/>
  <c r="B1011" i="3"/>
  <c r="B1981" i="3"/>
  <c r="B2143" i="3"/>
  <c r="B1242" i="3"/>
  <c r="B1150" i="3"/>
  <c r="B2050" i="3"/>
  <c r="B1034" i="3"/>
  <c r="B2027" i="3"/>
  <c r="B2189" i="3"/>
  <c r="B1265" i="3"/>
  <c r="B920" i="3"/>
  <c r="B2074" i="3"/>
  <c r="B1428" i="3"/>
  <c r="B2351" i="3"/>
  <c r="B2352" i="3" s="1"/>
  <c r="B1613" i="3"/>
  <c r="B1105" i="3"/>
  <c r="B1589" i="3"/>
  <c r="B320" i="3"/>
  <c r="B65" i="3"/>
  <c r="B272" i="3"/>
  <c r="B42" i="3"/>
  <c r="B553" i="3"/>
  <c r="B249" i="3"/>
  <c r="B504" i="3"/>
  <c r="B88" i="3"/>
  <c r="B597" i="3" l="1"/>
  <c r="B598" i="3" s="1"/>
  <c r="B574" i="3"/>
  <c r="B2213" i="3"/>
  <c r="B2214" i="3" s="1"/>
  <c r="B2215" i="3" s="1"/>
  <c r="B715" i="3"/>
  <c r="B783" i="3"/>
  <c r="B784" i="3" s="1"/>
  <c r="B575" i="3"/>
  <c r="B576" i="3" s="1"/>
  <c r="B321" i="3"/>
  <c r="B298" i="3"/>
  <c r="B299" i="3" s="1"/>
  <c r="B300" i="3" s="1"/>
  <c r="B2399" i="3"/>
  <c r="B2400" i="3" s="1"/>
  <c r="B2584" i="3"/>
  <c r="B2585" i="3" s="1"/>
  <c r="B2586" i="3" s="1"/>
  <c r="B759" i="3"/>
  <c r="B2791" i="3"/>
  <c r="B2792" i="3" s="1"/>
  <c r="B1637" i="3"/>
  <c r="B1638" i="3" s="1"/>
  <c r="B1639" i="3" s="1"/>
  <c r="B1640" i="3" s="1"/>
  <c r="B1060" i="3"/>
  <c r="B1061" i="3" s="1"/>
  <c r="B1846" i="3"/>
  <c r="B1847" i="3" s="1"/>
  <c r="B1848" i="3" s="1"/>
  <c r="B2607" i="3"/>
  <c r="B2608" i="3" s="1"/>
  <c r="B2609" i="3" s="1"/>
  <c r="B2468" i="3"/>
  <c r="B2469" i="3" s="1"/>
  <c r="B1290" i="3"/>
  <c r="B1291" i="3" s="1"/>
  <c r="B1359" i="3"/>
  <c r="B1360" i="3" s="1"/>
  <c r="B2744" i="3"/>
  <c r="B2745" i="3" s="1"/>
  <c r="B158" i="3"/>
  <c r="B343" i="3"/>
  <c r="B112" i="3"/>
  <c r="B2098" i="3"/>
  <c r="B2099" i="3" s="1"/>
  <c r="B1382" i="3"/>
  <c r="B1383" i="3" s="1"/>
  <c r="B2421" i="3"/>
  <c r="B2422" i="3" s="1"/>
  <c r="B2121" i="3"/>
  <c r="B2122" i="3" s="1"/>
  <c r="B2167" i="3"/>
  <c r="B2168" i="3" s="1"/>
  <c r="B1405" i="3"/>
  <c r="B1406" i="3" s="1"/>
  <c r="B481" i="3"/>
  <c r="B482" i="3" s="1"/>
  <c r="B483" i="3" s="1"/>
  <c r="B412" i="3"/>
  <c r="B1128" i="3"/>
  <c r="B458" i="3"/>
  <c r="B459" i="3" s="1"/>
  <c r="B1083" i="3"/>
  <c r="B1084" i="3" s="1"/>
  <c r="B620" i="3"/>
  <c r="B366" i="3"/>
  <c r="B367" i="3" s="1"/>
  <c r="B874" i="3"/>
  <c r="B875" i="3" s="1"/>
  <c r="B621" i="3"/>
  <c r="B1684" i="3"/>
  <c r="B1685" i="3" s="1"/>
  <c r="B1686" i="3" s="1"/>
  <c r="B2700" i="3"/>
  <c r="B2701" i="3" s="1"/>
  <c r="B1938" i="3"/>
  <c r="B1939" i="3" s="1"/>
  <c r="B668" i="3"/>
  <c r="B669" i="3" s="1"/>
  <c r="B160" i="3"/>
  <c r="B161" i="3" s="1"/>
  <c r="B716" i="3"/>
  <c r="B717" i="3" s="1"/>
  <c r="B1890" i="3"/>
  <c r="B1891" i="3" s="1"/>
  <c r="B735" i="3"/>
  <c r="B736" i="3" s="1"/>
  <c r="B737" i="3" s="1"/>
  <c r="B526" i="3"/>
  <c r="B527" i="3" s="1"/>
  <c r="B898" i="3"/>
  <c r="B899" i="3" s="1"/>
  <c r="B2630" i="3"/>
  <c r="B2631" i="3" s="1"/>
  <c r="B2632" i="3" s="1"/>
  <c r="B2633" i="3" s="1"/>
  <c r="B851" i="3"/>
  <c r="B2536" i="3"/>
  <c r="B2652" i="3"/>
  <c r="B1916" i="3"/>
  <c r="B208" i="3"/>
  <c r="B209" i="3" s="1"/>
  <c r="B738" i="3"/>
  <c r="B113" i="3"/>
  <c r="B114" i="3" s="1"/>
  <c r="B115" i="3" s="1"/>
  <c r="B116" i="3" s="1"/>
  <c r="B1313" i="3"/>
  <c r="B1314" i="3" s="1"/>
  <c r="B1775" i="3"/>
  <c r="B1826" i="3"/>
  <c r="B1827" i="3" s="1"/>
  <c r="B2307" i="3"/>
  <c r="B2560" i="3"/>
  <c r="B2561" i="3" s="1"/>
  <c r="B162" i="3"/>
  <c r="B163" i="3" s="1"/>
  <c r="B2587" i="3"/>
  <c r="B599" i="3"/>
  <c r="B600" i="3" s="1"/>
  <c r="B322" i="3"/>
  <c r="B2028" i="3"/>
  <c r="B2029" i="3" s="1"/>
  <c r="B1012" i="3"/>
  <c r="B1752" i="3"/>
  <c r="B1753" i="3" s="1"/>
  <c r="B2490" i="3"/>
  <c r="B2491" i="3" s="1"/>
  <c r="B992" i="3"/>
  <c r="B993" i="3" s="1"/>
  <c r="B2144" i="3"/>
  <c r="B2145" i="3" s="1"/>
  <c r="B1545" i="3"/>
  <c r="B967" i="3"/>
  <c r="B968" i="3" s="1"/>
  <c r="B2516" i="3"/>
  <c r="B1151" i="3"/>
  <c r="B1152" i="3" s="1"/>
  <c r="B1982" i="3"/>
  <c r="B1983" i="3" s="1"/>
  <c r="B1984" i="3" s="1"/>
  <c r="B1337" i="3"/>
  <c r="B1570" i="3"/>
  <c r="B1176" i="3"/>
  <c r="B1520" i="3"/>
  <c r="B2282" i="3"/>
  <c r="B1035" i="3"/>
  <c r="B1036" i="3" s="1"/>
  <c r="B2330" i="3"/>
  <c r="B1474" i="3"/>
  <c r="B2123" i="3"/>
  <c r="B2051" i="3"/>
  <c r="B2052" i="3" s="1"/>
  <c r="B2261" i="3"/>
  <c r="B413" i="3"/>
  <c r="B2813" i="3"/>
  <c r="B1243" i="3"/>
  <c r="B1429" i="3"/>
  <c r="B2375" i="3"/>
  <c r="B2075" i="3"/>
  <c r="B2006" i="3"/>
  <c r="B1614" i="3"/>
  <c r="B1615" i="3" s="1"/>
  <c r="B806" i="3"/>
  <c r="B1797" i="3"/>
  <c r="B921" i="3"/>
  <c r="B1498" i="3"/>
  <c r="B2768" i="3"/>
  <c r="B2676" i="3"/>
  <c r="B2722" i="3"/>
  <c r="B2446" i="3"/>
  <c r="B135" i="3"/>
  <c r="B1220" i="3"/>
  <c r="B1266" i="3"/>
  <c r="B1267" i="3" s="1"/>
  <c r="B2190" i="3"/>
  <c r="B2191" i="3" s="1"/>
  <c r="B644" i="3"/>
  <c r="B1728" i="3"/>
  <c r="B1729" i="3" s="1"/>
  <c r="B2236" i="3"/>
  <c r="B2237" i="3" s="1"/>
  <c r="B1867" i="3"/>
  <c r="B1868" i="3" s="1"/>
  <c r="B2353" i="3"/>
  <c r="B1590" i="3"/>
  <c r="B1591" i="3" s="1"/>
  <c r="B1592" i="3" s="1"/>
  <c r="B1106" i="3"/>
  <c r="B1661" i="3"/>
  <c r="B505" i="3"/>
  <c r="B506" i="3" s="1"/>
  <c r="B577" i="3"/>
  <c r="B760" i="3"/>
  <c r="B43" i="3"/>
  <c r="B44" i="3" s="1"/>
  <c r="B273" i="3"/>
  <c r="B554" i="3"/>
  <c r="B250" i="3"/>
  <c r="B2216" i="3"/>
  <c r="B66" i="3"/>
  <c r="B2634" i="3"/>
  <c r="B2635" i="3" s="1"/>
  <c r="B2636" i="3" s="1"/>
  <c r="B785" i="3"/>
  <c r="B786" i="3" s="1"/>
  <c r="B830" i="3"/>
  <c r="B831" i="3" s="1"/>
  <c r="B832" i="3" s="1"/>
  <c r="B228" i="3"/>
  <c r="B89" i="3"/>
  <c r="B390" i="3"/>
  <c r="B368" i="3" l="1"/>
  <c r="B2124" i="3"/>
  <c r="B2125" i="3" s="1"/>
  <c r="B323" i="3"/>
  <c r="B414" i="3"/>
  <c r="B670" i="3"/>
  <c r="B2169" i="3"/>
  <c r="B2170" i="3" s="1"/>
  <c r="B718" i="3"/>
  <c r="B719" i="3" s="1"/>
  <c r="B720" i="3" s="1"/>
  <c r="B1384" i="3"/>
  <c r="B1385" i="3" s="1"/>
  <c r="B2702" i="3"/>
  <c r="B2703" i="3" s="1"/>
  <c r="B2704" i="3" s="1"/>
  <c r="B2705" i="3" s="1"/>
  <c r="B2706" i="3" s="1"/>
  <c r="B2707" i="3" s="1"/>
  <c r="B2708" i="3" s="1"/>
  <c r="B2709" i="3" s="1"/>
  <c r="B2710" i="3" s="1"/>
  <c r="B2711" i="3" s="1"/>
  <c r="B2712" i="3" s="1"/>
  <c r="B2713" i="3" s="1"/>
  <c r="B2423" i="3"/>
  <c r="B2424" i="3" s="1"/>
  <c r="B2793" i="3"/>
  <c r="B2794" i="3" s="1"/>
  <c r="B484" i="3"/>
  <c r="B344" i="3"/>
  <c r="B345" i="3" s="1"/>
  <c r="B346" i="3" s="1"/>
  <c r="B622" i="3"/>
  <c r="B2610" i="3"/>
  <c r="B2611" i="3" s="1"/>
  <c r="B2612" i="3" s="1"/>
  <c r="B1917" i="3"/>
  <c r="B1918" i="3" s="1"/>
  <c r="B2537" i="3"/>
  <c r="B1085" i="3"/>
  <c r="B460" i="3"/>
  <c r="B1129" i="3"/>
  <c r="B900" i="3"/>
  <c r="B901" i="3" s="1"/>
  <c r="B2470" i="3"/>
  <c r="B2471" i="3" s="1"/>
  <c r="B461" i="3"/>
  <c r="B671" i="3"/>
  <c r="B672" i="3" s="1"/>
  <c r="B739" i="3"/>
  <c r="B1940" i="3"/>
  <c r="B1892" i="3"/>
  <c r="B1893" i="3" s="1"/>
  <c r="B528" i="3"/>
  <c r="B529" i="3" s="1"/>
  <c r="B369" i="3"/>
  <c r="B370" i="3" s="1"/>
  <c r="B2653" i="3"/>
  <c r="B852" i="3"/>
  <c r="B210" i="3"/>
  <c r="B740" i="3"/>
  <c r="B741" i="3" s="1"/>
  <c r="B742" i="3" s="1"/>
  <c r="B994" i="3"/>
  <c r="B995" i="3" s="1"/>
  <c r="B1292" i="3"/>
  <c r="B1293" i="3" s="1"/>
  <c r="B969" i="3"/>
  <c r="B970" i="3" s="1"/>
  <c r="B1828" i="3"/>
  <c r="B1829" i="3" s="1"/>
  <c r="B2308" i="3"/>
  <c r="B1776" i="3"/>
  <c r="B2100" i="3"/>
  <c r="B2101" i="3" s="1"/>
  <c r="B2102" i="3" s="1"/>
  <c r="B787" i="3"/>
  <c r="B788" i="3" s="1"/>
  <c r="B789" i="3" s="1"/>
  <c r="B790" i="3" s="1"/>
  <c r="B1894" i="3"/>
  <c r="B1895" i="3" s="1"/>
  <c r="B1896" i="3" s="1"/>
  <c r="B2331" i="3"/>
  <c r="B2562" i="3"/>
  <c r="B2588" i="3"/>
  <c r="B301" i="3"/>
  <c r="B251" i="3"/>
  <c r="B252" i="3" s="1"/>
  <c r="B324" i="3"/>
  <c r="B2354" i="3"/>
  <c r="B2355" i="3" s="1"/>
  <c r="B1798" i="3"/>
  <c r="B1799" i="3" s="1"/>
  <c r="B1037" i="3"/>
  <c r="B1571" i="3"/>
  <c r="B1572" i="3" s="1"/>
  <c r="B1546" i="3"/>
  <c r="B1547" i="3" s="1"/>
  <c r="B1338" i="3"/>
  <c r="B578" i="3"/>
  <c r="B2517" i="3"/>
  <c r="B2518" i="3" s="1"/>
  <c r="B1754" i="3"/>
  <c r="B2283" i="3"/>
  <c r="B2284" i="3" s="1"/>
  <c r="B2285" i="3" s="1"/>
  <c r="B1013" i="3"/>
  <c r="B1014" i="3" s="1"/>
  <c r="B1107" i="3"/>
  <c r="B1108" i="3" s="1"/>
  <c r="B1687" i="3"/>
  <c r="B1688" i="3" s="1"/>
  <c r="B2677" i="3"/>
  <c r="B2678" i="3" s="1"/>
  <c r="B2814" i="3"/>
  <c r="B2815" i="3" s="1"/>
  <c r="B1800" i="3"/>
  <c r="B1475" i="3"/>
  <c r="B1985" i="3"/>
  <c r="B1986" i="3" s="1"/>
  <c r="B1641" i="3"/>
  <c r="B1616" i="3"/>
  <c r="B1617" i="3" s="1"/>
  <c r="B1593" i="3"/>
  <c r="B2053" i="3"/>
  <c r="B117" i="3"/>
  <c r="B118" i="3" s="1"/>
  <c r="B119" i="3" s="1"/>
  <c r="B1407" i="3"/>
  <c r="B1408" i="3" s="1"/>
  <c r="B1499" i="3"/>
  <c r="B1500" i="3" s="1"/>
  <c r="B1315" i="3"/>
  <c r="B1361" i="3"/>
  <c r="B1177" i="3"/>
  <c r="B415" i="3"/>
  <c r="B2007" i="3"/>
  <c r="B2008" i="3" s="1"/>
  <c r="B2262" i="3"/>
  <c r="B2263" i="3" s="1"/>
  <c r="B1521" i="3"/>
  <c r="B2447" i="3"/>
  <c r="B2448" i="3" s="1"/>
  <c r="B2146" i="3"/>
  <c r="B2147" i="3" s="1"/>
  <c r="B2148" i="3" s="1"/>
  <c r="B2746" i="3"/>
  <c r="B2492" i="3"/>
  <c r="B1244" i="3"/>
  <c r="B1062" i="3"/>
  <c r="B1063" i="3" s="1"/>
  <c r="B1064" i="3" s="1"/>
  <c r="B1730" i="3"/>
  <c r="B1731" i="3" s="1"/>
  <c r="B807" i="3"/>
  <c r="B2376" i="3"/>
  <c r="B2377" i="3" s="1"/>
  <c r="B2378" i="3" s="1"/>
  <c r="B1153" i="3"/>
  <c r="B2030" i="3"/>
  <c r="B2126" i="3"/>
  <c r="B2127" i="3" s="1"/>
  <c r="B2238" i="3"/>
  <c r="B2076" i="3"/>
  <c r="B2077" i="3" s="1"/>
  <c r="B2332" i="3"/>
  <c r="B1268" i="3"/>
  <c r="B1269" i="3" s="1"/>
  <c r="B2723" i="3"/>
  <c r="B2769" i="3"/>
  <c r="B922" i="3"/>
  <c r="B1430" i="3"/>
  <c r="B2401" i="3"/>
  <c r="B2402" i="3" s="1"/>
  <c r="B1386" i="3"/>
  <c r="B876" i="3"/>
  <c r="B877" i="3" s="1"/>
  <c r="B1221" i="3"/>
  <c r="B136" i="3"/>
  <c r="B645" i="3"/>
  <c r="B2192" i="3"/>
  <c r="B2637" i="3"/>
  <c r="B2638" i="3" s="1"/>
  <c r="B1662" i="3"/>
  <c r="B1869" i="3"/>
  <c r="B1870" i="3" s="1"/>
  <c r="B211" i="3"/>
  <c r="B212" i="3" s="1"/>
  <c r="B761" i="3"/>
  <c r="B485" i="3"/>
  <c r="B486" i="3" s="1"/>
  <c r="B487" i="3" s="1"/>
  <c r="B391" i="3"/>
  <c r="B392" i="3" s="1"/>
  <c r="B253" i="3"/>
  <c r="B623" i="3"/>
  <c r="B624" i="3" s="1"/>
  <c r="B625" i="3" s="1"/>
  <c r="B2217" i="3"/>
  <c r="B274" i="3"/>
  <c r="B1849" i="3"/>
  <c r="B1850" i="3" s="1"/>
  <c r="B1851" i="3" s="1"/>
  <c r="B229" i="3"/>
  <c r="B555" i="3"/>
  <c r="B556" i="3" s="1"/>
  <c r="B557" i="3" s="1"/>
  <c r="B833" i="3"/>
  <c r="B834" i="3" s="1"/>
  <c r="B67" i="3"/>
  <c r="B90" i="3"/>
  <c r="B45" i="3"/>
  <c r="B507" i="3"/>
  <c r="B601" i="3"/>
  <c r="B602" i="3" s="1"/>
  <c r="B673" i="3"/>
  <c r="B164" i="3"/>
  <c r="B213" i="3" l="1"/>
  <c r="B214" i="3" s="1"/>
  <c r="B674" i="3"/>
  <c r="B2171" i="3"/>
  <c r="B2172" i="3" s="1"/>
  <c r="B996" i="3"/>
  <c r="B997" i="3" s="1"/>
  <c r="B1109" i="3"/>
  <c r="B1110" i="3" s="1"/>
  <c r="B2613" i="3"/>
  <c r="B2614" i="3" s="1"/>
  <c r="B2615" i="3" s="1"/>
  <c r="B393" i="3"/>
  <c r="B2425" i="3"/>
  <c r="B2426" i="3" s="1"/>
  <c r="B2427" i="3" s="1"/>
  <c r="B347" i="3"/>
  <c r="B2795" i="3"/>
  <c r="B2796" i="3" s="1"/>
  <c r="B371" i="3"/>
  <c r="B372" i="3" s="1"/>
  <c r="B373" i="3" s="1"/>
  <c r="B374" i="3" s="1"/>
  <c r="B1919" i="3"/>
  <c r="B1920" i="3" s="1"/>
  <c r="B2356" i="3"/>
  <c r="B2357" i="3" s="1"/>
  <c r="B2358" i="3" s="1"/>
  <c r="B1130" i="3"/>
  <c r="B2538" i="3"/>
  <c r="B2539" i="3" s="1"/>
  <c r="B530" i="3"/>
  <c r="B531" i="3" s="1"/>
  <c r="B532" i="3" s="1"/>
  <c r="B1941" i="3"/>
  <c r="B462" i="3"/>
  <c r="B2472" i="3"/>
  <c r="B2473" i="3" s="1"/>
  <c r="B2474" i="3" s="1"/>
  <c r="B902" i="3"/>
  <c r="B903" i="3" s="1"/>
  <c r="B904" i="3" s="1"/>
  <c r="B905" i="3" s="1"/>
  <c r="B906" i="3" s="1"/>
  <c r="B1086" i="3"/>
  <c r="B853" i="3"/>
  <c r="B854" i="3" s="1"/>
  <c r="B743" i="3"/>
  <c r="B744" i="3" s="1"/>
  <c r="B745" i="3" s="1"/>
  <c r="B2654" i="3"/>
  <c r="B2655" i="3" s="1"/>
  <c r="B1830" i="3"/>
  <c r="B1831" i="3" s="1"/>
  <c r="B1689" i="3"/>
  <c r="B1690" i="3" s="1"/>
  <c r="B1691" i="3" s="1"/>
  <c r="B971" i="3"/>
  <c r="B972" i="3" s="1"/>
  <c r="B973" i="3" s="1"/>
  <c r="B1065" i="3"/>
  <c r="B1066" i="3" s="1"/>
  <c r="B1294" i="3"/>
  <c r="B1295" i="3" s="1"/>
  <c r="B1296" i="3" s="1"/>
  <c r="B1038" i="3"/>
  <c r="B1039" i="3" s="1"/>
  <c r="B1618" i="3"/>
  <c r="B1619" i="3" s="1"/>
  <c r="B2519" i="3"/>
  <c r="B2520" i="3" s="1"/>
  <c r="B2521" i="3" s="1"/>
  <c r="B1548" i="3"/>
  <c r="B1549" i="3" s="1"/>
  <c r="B325" i="3"/>
  <c r="B2359" i="3"/>
  <c r="B1897" i="3"/>
  <c r="B1898" i="3" s="1"/>
  <c r="B1899" i="3" s="1"/>
  <c r="B2054" i="3"/>
  <c r="B1777" i="3"/>
  <c r="B2309" i="3"/>
  <c r="B1270" i="3"/>
  <c r="B1271" i="3" s="1"/>
  <c r="B1362" i="3"/>
  <c r="B1363" i="3" s="1"/>
  <c r="B2589" i="3"/>
  <c r="B302" i="3"/>
  <c r="B579" i="3"/>
  <c r="B580" i="3" s="1"/>
  <c r="B835" i="3"/>
  <c r="B836" i="3" s="1"/>
  <c r="B837" i="3" s="1"/>
  <c r="B838" i="3" s="1"/>
  <c r="B1594" i="3"/>
  <c r="B1642" i="3"/>
  <c r="B1643" i="3" s="1"/>
  <c r="B1573" i="3"/>
  <c r="B1574" i="3" s="1"/>
  <c r="B2128" i="3"/>
  <c r="B2129" i="3" s="1"/>
  <c r="B1387" i="3"/>
  <c r="B2428" i="3"/>
  <c r="B2429" i="3" s="1"/>
  <c r="B2563" i="3"/>
  <c r="B2103" i="3"/>
  <c r="B2104" i="3" s="1"/>
  <c r="B1987" i="3"/>
  <c r="B1988" i="3" s="1"/>
  <c r="B1989" i="3" s="1"/>
  <c r="B2286" i="3"/>
  <c r="B2287" i="3" s="1"/>
  <c r="B1755" i="3"/>
  <c r="B416" i="3"/>
  <c r="B1178" i="3"/>
  <c r="B1179" i="3" s="1"/>
  <c r="B2333" i="3"/>
  <c r="B808" i="3"/>
  <c r="B809" i="3" s="1"/>
  <c r="B1339" i="3"/>
  <c r="B1340" i="3" s="1"/>
  <c r="B1501" i="3"/>
  <c r="B1502" i="3" s="1"/>
  <c r="B2009" i="3"/>
  <c r="B2010" i="3" s="1"/>
  <c r="B1522" i="3"/>
  <c r="B1523" i="3" s="1"/>
  <c r="B1524" i="3" s="1"/>
  <c r="B1316" i="3"/>
  <c r="B1317" i="3" s="1"/>
  <c r="B1318" i="3" s="1"/>
  <c r="B1319" i="3" s="1"/>
  <c r="B1801" i="3"/>
  <c r="B1802" i="3" s="1"/>
  <c r="B2055" i="3"/>
  <c r="B2449" i="3"/>
  <c r="B2450" i="3" s="1"/>
  <c r="B2451" i="3" s="1"/>
  <c r="B1732" i="3"/>
  <c r="B1733" i="3" s="1"/>
  <c r="B791" i="3"/>
  <c r="B792" i="3" s="1"/>
  <c r="B793" i="3" s="1"/>
  <c r="B794" i="3" s="1"/>
  <c r="B1245" i="3"/>
  <c r="B1246" i="3" s="1"/>
  <c r="B2816" i="3"/>
  <c r="B2817" i="3" s="1"/>
  <c r="B2818" i="3" s="1"/>
  <c r="B2819" i="3" s="1"/>
  <c r="B120" i="3"/>
  <c r="B121" i="3" s="1"/>
  <c r="B2639" i="3"/>
  <c r="B2640" i="3" s="1"/>
  <c r="B2493" i="3"/>
  <c r="B2494" i="3" s="1"/>
  <c r="B1015" i="3"/>
  <c r="B878" i="3"/>
  <c r="B879" i="3" s="1"/>
  <c r="B2031" i="3"/>
  <c r="B646" i="3"/>
  <c r="B647" i="3" s="1"/>
  <c r="B1431" i="3"/>
  <c r="B1432" i="3" s="1"/>
  <c r="B1433" i="3" s="1"/>
  <c r="B1434" i="3" s="1"/>
  <c r="B2379" i="3"/>
  <c r="B2239" i="3"/>
  <c r="B1476" i="3"/>
  <c r="B1871" i="3"/>
  <c r="B2403" i="3"/>
  <c r="B2404" i="3" s="1"/>
  <c r="B2405" i="3" s="1"/>
  <c r="B2149" i="3"/>
  <c r="B2150" i="3" s="1"/>
  <c r="B1154" i="3"/>
  <c r="B1155" i="3" s="1"/>
  <c r="B1156" i="3" s="1"/>
  <c r="B1157" i="3" s="1"/>
  <c r="B2747" i="3"/>
  <c r="B2748" i="3" s="1"/>
  <c r="B2264" i="3"/>
  <c r="B2770" i="3"/>
  <c r="B2724" i="3"/>
  <c r="B1388" i="3"/>
  <c r="B880" i="3"/>
  <c r="B1222" i="3"/>
  <c r="B1223" i="3" s="1"/>
  <c r="B2078" i="3"/>
  <c r="B2079" i="3" s="1"/>
  <c r="B2679" i="3"/>
  <c r="B923" i="3"/>
  <c r="B254" i="3"/>
  <c r="B255" i="3" s="1"/>
  <c r="B137" i="3"/>
  <c r="B46" i="3"/>
  <c r="B47" i="3" s="1"/>
  <c r="B2193" i="3"/>
  <c r="B2194" i="3" s="1"/>
  <c r="B2195" i="3" s="1"/>
  <c r="B1409" i="3"/>
  <c r="B1663" i="3"/>
  <c r="B762" i="3"/>
  <c r="B488" i="3"/>
  <c r="B489" i="3" s="1"/>
  <c r="B215" i="3"/>
  <c r="B216" i="3" s="1"/>
  <c r="B217" i="3" s="1"/>
  <c r="B2218" i="3"/>
  <c r="B2219" i="3" s="1"/>
  <c r="B394" i="3"/>
  <c r="B395" i="3" s="1"/>
  <c r="B1852" i="3"/>
  <c r="B1853" i="3" s="1"/>
  <c r="B1067" i="3"/>
  <c r="B626" i="3"/>
  <c r="B627" i="3" s="1"/>
  <c r="B628" i="3" s="1"/>
  <c r="B68" i="3"/>
  <c r="B69" i="3" s="1"/>
  <c r="B558" i="3"/>
  <c r="B275" i="3"/>
  <c r="B276" i="3" s="1"/>
  <c r="B277" i="3" s="1"/>
  <c r="B721" i="3"/>
  <c r="B722" i="3" s="1"/>
  <c r="B508" i="3"/>
  <c r="B91" i="3"/>
  <c r="B92" i="3" s="1"/>
  <c r="B603" i="3"/>
  <c r="B230" i="3"/>
  <c r="B165" i="3"/>
  <c r="B675" i="3"/>
  <c r="B2714" i="3"/>
  <c r="B2715" i="3" s="1"/>
  <c r="B998" i="3" l="1"/>
  <c r="B2430" i="3"/>
  <c r="B2431" i="3" s="1"/>
  <c r="B2432" i="3" s="1"/>
  <c r="B2433" i="3" s="1"/>
  <c r="B2434" i="3" s="1"/>
  <c r="B2435" i="3" s="1"/>
  <c r="B2360" i="3"/>
  <c r="B2361" i="3" s="1"/>
  <c r="B2362" i="3" s="1"/>
  <c r="B2616" i="3"/>
  <c r="B2617" i="3" s="1"/>
  <c r="B2173" i="3"/>
  <c r="B2174" i="3"/>
  <c r="B2175" i="3" s="1"/>
  <c r="B2176" i="3" s="1"/>
  <c r="B1111" i="3"/>
  <c r="B1112" i="3" s="1"/>
  <c r="B375" i="3"/>
  <c r="B376" i="3" s="1"/>
  <c r="B1832" i="3"/>
  <c r="B1833" i="3" s="1"/>
  <c r="B1834" i="3" s="1"/>
  <c r="B746" i="3"/>
  <c r="B747" i="3" s="1"/>
  <c r="B348" i="3"/>
  <c r="B2797" i="3"/>
  <c r="B2798" i="3" s="1"/>
  <c r="B2799" i="3" s="1"/>
  <c r="B2800" i="3" s="1"/>
  <c r="B2801" i="3" s="1"/>
  <c r="B2802" i="3" s="1"/>
  <c r="B2803" i="3" s="1"/>
  <c r="B2475" i="3"/>
  <c r="B463" i="3"/>
  <c r="B1131" i="3"/>
  <c r="B1921" i="3"/>
  <c r="B1922" i="3" s="1"/>
  <c r="B533" i="3"/>
  <c r="B534" i="3" s="1"/>
  <c r="B535" i="3" s="1"/>
  <c r="B1087" i="3"/>
  <c r="B1088" i="3" s="1"/>
  <c r="B1089" i="3" s="1"/>
  <c r="B855" i="3"/>
  <c r="B856" i="3" s="1"/>
  <c r="B1942" i="3"/>
  <c r="B2540" i="3"/>
  <c r="B2656" i="3"/>
  <c r="B974" i="3"/>
  <c r="B975" i="3" s="1"/>
  <c r="B2011" i="3"/>
  <c r="B2012" i="3" s="1"/>
  <c r="B2013" i="3" s="1"/>
  <c r="B907" i="3"/>
  <c r="B908" i="3" s="1"/>
  <c r="B909" i="3" s="1"/>
  <c r="B910" i="3" s="1"/>
  <c r="B1550" i="3"/>
  <c r="B1551" i="3" s="1"/>
  <c r="B1552" i="3" s="1"/>
  <c r="B1272" i="3"/>
  <c r="B1273" i="3" s="1"/>
  <c r="B1113" i="3"/>
  <c r="B1114" i="3" s="1"/>
  <c r="B1115" i="3" s="1"/>
  <c r="B1116" i="3" s="1"/>
  <c r="B1180" i="3"/>
  <c r="B1181" i="3" s="1"/>
  <c r="B1182" i="3" s="1"/>
  <c r="B1183" i="3" s="1"/>
  <c r="B1184" i="3" s="1"/>
  <c r="B1185" i="3" s="1"/>
  <c r="B1068" i="3"/>
  <c r="B1069" i="3" s="1"/>
  <c r="B2564" i="3"/>
  <c r="B1364" i="3"/>
  <c r="B1365" i="3" s="1"/>
  <c r="B2130" i="3"/>
  <c r="B2131" i="3" s="1"/>
  <c r="B2132" i="3" s="1"/>
  <c r="B2133" i="3" s="1"/>
  <c r="B1389" i="3"/>
  <c r="B1390" i="3" s="1"/>
  <c r="B1391" i="3" s="1"/>
  <c r="B1392" i="3" s="1"/>
  <c r="B1040" i="3"/>
  <c r="B1575" i="3"/>
  <c r="B1576" i="3" s="1"/>
  <c r="B1577" i="3" s="1"/>
  <c r="B1578" i="3" s="1"/>
  <c r="B1579" i="3" s="1"/>
  <c r="B2380" i="3"/>
  <c r="B2381" i="3" s="1"/>
  <c r="B1503" i="3"/>
  <c r="B1504" i="3" s="1"/>
  <c r="B1595" i="3"/>
  <c r="B1596" i="3" s="1"/>
  <c r="B1620" i="3"/>
  <c r="B581" i="3"/>
  <c r="B582" i="3" s="1"/>
  <c r="B583" i="3" s="1"/>
  <c r="B2080" i="3"/>
  <c r="B2081" i="3" s="1"/>
  <c r="B326" i="3"/>
  <c r="B1297" i="3"/>
  <c r="B1298" i="3" s="1"/>
  <c r="B48" i="3"/>
  <c r="B49" i="3" s="1"/>
  <c r="B1341" i="3"/>
  <c r="B1342" i="3" s="1"/>
  <c r="B417" i="3"/>
  <c r="B418" i="3" s="1"/>
  <c r="B763" i="3"/>
  <c r="B2288" i="3"/>
  <c r="B1525" i="3"/>
  <c r="B1526" i="3" s="1"/>
  <c r="B1778" i="3"/>
  <c r="B1779" i="3" s="1"/>
  <c r="B1780" i="3" s="1"/>
  <c r="B1803" i="3"/>
  <c r="B1804" i="3" s="1"/>
  <c r="B1805" i="3" s="1"/>
  <c r="B278" i="3"/>
  <c r="B279" i="3" s="1"/>
  <c r="B280" i="3" s="1"/>
  <c r="B1320" i="3"/>
  <c r="B1321" i="3" s="1"/>
  <c r="B2310" i="3"/>
  <c r="B1644" i="3"/>
  <c r="B1645" i="3" s="1"/>
  <c r="B1872" i="3"/>
  <c r="B1873" i="3" s="1"/>
  <c r="B2105" i="3"/>
  <c r="B2106" i="3" s="1"/>
  <c r="B2107" i="3" s="1"/>
  <c r="B2108" i="3" s="1"/>
  <c r="B2056" i="3"/>
  <c r="B2565" i="3"/>
  <c r="B509" i="3"/>
  <c r="B510" i="3" s="1"/>
  <c r="B511" i="3" s="1"/>
  <c r="B1158" i="3"/>
  <c r="B1159" i="3" s="1"/>
  <c r="B1160" i="3" s="1"/>
  <c r="B1161" i="3" s="1"/>
  <c r="B2151" i="3"/>
  <c r="B2152" i="3" s="1"/>
  <c r="B810" i="3"/>
  <c r="B2590" i="3"/>
  <c r="B303" i="3"/>
  <c r="B2334" i="3"/>
  <c r="B1734" i="3"/>
  <c r="B1735" i="3" s="1"/>
  <c r="B1900" i="3"/>
  <c r="B1901" i="3" s="1"/>
  <c r="B999" i="3"/>
  <c r="B122" i="3"/>
  <c r="B123" i="3" s="1"/>
  <c r="B124" i="3" s="1"/>
  <c r="B1756" i="3"/>
  <c r="B2820" i="3"/>
  <c r="B2821" i="3" s="1"/>
  <c r="B2822" i="3" s="1"/>
  <c r="B2495" i="3"/>
  <c r="B2496" i="3" s="1"/>
  <c r="B2452" i="3"/>
  <c r="B2453" i="3" s="1"/>
  <c r="B1016" i="3"/>
  <c r="B1017" i="3" s="1"/>
  <c r="B1247" i="3"/>
  <c r="B2771" i="3"/>
  <c r="B2032" i="3"/>
  <c r="B2033" i="3" s="1"/>
  <c r="B2406" i="3"/>
  <c r="B2407" i="3" s="1"/>
  <c r="B2408" i="3" s="1"/>
  <c r="B2409" i="3" s="1"/>
  <c r="B2410" i="3" s="1"/>
  <c r="B2240" i="3"/>
  <c r="B2241" i="3" s="1"/>
  <c r="B1692" i="3"/>
  <c r="B1693" i="3" s="1"/>
  <c r="B1477" i="3"/>
  <c r="B976" i="3"/>
  <c r="B648" i="3"/>
  <c r="B649" i="3" s="1"/>
  <c r="B2196" i="3"/>
  <c r="B2197" i="3" s="1"/>
  <c r="B2220" i="3"/>
  <c r="B2221" i="3" s="1"/>
  <c r="B2222" i="3" s="1"/>
  <c r="B1410" i="3"/>
  <c r="B1411" i="3" s="1"/>
  <c r="B2680" i="3"/>
  <c r="B2681" i="3" s="1"/>
  <c r="B2522" i="3"/>
  <c r="B1435" i="3"/>
  <c r="B1436" i="3" s="1"/>
  <c r="B2749" i="3"/>
  <c r="B2725" i="3"/>
  <c r="B2265" i="3"/>
  <c r="B2266" i="3" s="1"/>
  <c r="B629" i="3"/>
  <c r="B630" i="3" s="1"/>
  <c r="B795" i="3"/>
  <c r="B796" i="3" s="1"/>
  <c r="B1224" i="3"/>
  <c r="B924" i="3"/>
  <c r="B925" i="3" s="1"/>
  <c r="B926" i="3" s="1"/>
  <c r="B927" i="3" s="1"/>
  <c r="B881" i="3"/>
  <c r="B882" i="3" s="1"/>
  <c r="B396" i="3"/>
  <c r="B397" i="3" s="1"/>
  <c r="B256" i="3"/>
  <c r="B257" i="3" s="1"/>
  <c r="B2363" i="3"/>
  <c r="B2364" i="3" s="1"/>
  <c r="B138" i="3"/>
  <c r="B139" i="3" s="1"/>
  <c r="B140" i="3" s="1"/>
  <c r="B490" i="3"/>
  <c r="B491" i="3" s="1"/>
  <c r="B492" i="3" s="1"/>
  <c r="B1990" i="3"/>
  <c r="B1991" i="3" s="1"/>
  <c r="B723" i="3"/>
  <c r="B724" i="3" s="1"/>
  <c r="B1854" i="3"/>
  <c r="B1855" i="3" s="1"/>
  <c r="B1664" i="3"/>
  <c r="B1665" i="3" s="1"/>
  <c r="B218" i="3"/>
  <c r="B559" i="3"/>
  <c r="B560" i="3" s="1"/>
  <c r="B604" i="3"/>
  <c r="B231" i="3"/>
  <c r="B93" i="3"/>
  <c r="B70" i="3"/>
  <c r="B71" i="3" s="1"/>
  <c r="B72" i="3" s="1"/>
  <c r="C2698" i="3"/>
  <c r="G2698" i="3" s="1"/>
  <c r="B166" i="3"/>
  <c r="B167" i="3" s="1"/>
  <c r="B168" i="3" s="1"/>
  <c r="B676" i="3"/>
  <c r="B677" i="3" s="1"/>
  <c r="B678" i="3" s="1"/>
  <c r="B839" i="3"/>
  <c r="B840" i="3" s="1"/>
  <c r="C2697" i="3"/>
  <c r="E2697" i="3" s="1"/>
  <c r="C2700" i="3"/>
  <c r="O2700" i="3" s="1"/>
  <c r="C2701" i="3"/>
  <c r="J2701" i="3" s="1"/>
  <c r="C2702" i="3"/>
  <c r="D2702" i="3" s="1"/>
  <c r="C2705" i="3"/>
  <c r="G2705" i="3" s="1"/>
  <c r="C2695" i="3"/>
  <c r="K2695" i="3" s="1"/>
  <c r="C2699" i="3"/>
  <c r="D2699" i="3" s="1"/>
  <c r="C2696" i="3"/>
  <c r="H2696" i="3" s="1"/>
  <c r="C2704" i="3"/>
  <c r="J2704" i="3" s="1"/>
  <c r="C2703" i="3"/>
  <c r="K2703" i="3" s="1"/>
  <c r="B2641" i="3"/>
  <c r="B1835" i="3"/>
  <c r="B377" i="3" l="1"/>
  <c r="B378" i="3" s="1"/>
  <c r="B379" i="3" s="1"/>
  <c r="B380" i="3" s="1"/>
  <c r="B381" i="3" s="1"/>
  <c r="B382" i="3" s="1"/>
  <c r="B2618" i="3"/>
  <c r="B2619" i="3" s="1"/>
  <c r="B2177" i="3"/>
  <c r="B2178" i="3" s="1"/>
  <c r="B2179" i="3" s="1"/>
  <c r="B2804" i="3"/>
  <c r="B2805" i="3" s="1"/>
  <c r="B2806" i="3" s="1"/>
  <c r="B2476" i="3"/>
  <c r="B349" i="3"/>
  <c r="B2541" i="3"/>
  <c r="B2542" i="3" s="1"/>
  <c r="B1923" i="3"/>
  <c r="B1924" i="3" s="1"/>
  <c r="B2657" i="3"/>
  <c r="B1132" i="3"/>
  <c r="B1133" i="3" s="1"/>
  <c r="B1943" i="3"/>
  <c r="B464" i="3"/>
  <c r="B857" i="3"/>
  <c r="B1090" i="3"/>
  <c r="B1091" i="3" s="1"/>
  <c r="B1092" i="3" s="1"/>
  <c r="B1093" i="3" s="1"/>
  <c r="B536" i="3"/>
  <c r="B537" i="3" s="1"/>
  <c r="B538" i="3" s="1"/>
  <c r="B539" i="3" s="1"/>
  <c r="B540" i="3" s="1"/>
  <c r="B541" i="3" s="1"/>
  <c r="B383" i="3"/>
  <c r="B384" i="3" s="1"/>
  <c r="C373" i="3" s="1"/>
  <c r="N373" i="3" s="1"/>
  <c r="B977" i="3"/>
  <c r="B978" i="3" s="1"/>
  <c r="B979" i="3" s="1"/>
  <c r="B980" i="3" s="1"/>
  <c r="B981" i="3" s="1"/>
  <c r="B982" i="3" s="1"/>
  <c r="B2620" i="3"/>
  <c r="B1856" i="3"/>
  <c r="B1857" i="3" s="1"/>
  <c r="B1553" i="3"/>
  <c r="B1554" i="3" s="1"/>
  <c r="B1555" i="3" s="1"/>
  <c r="B1070" i="3"/>
  <c r="B1071" i="3" s="1"/>
  <c r="B1072" i="3" s="1"/>
  <c r="B1073" i="3" s="1"/>
  <c r="B1393" i="3"/>
  <c r="B1394" i="3" s="1"/>
  <c r="B1366" i="3"/>
  <c r="B1367" i="3" s="1"/>
  <c r="B1274" i="3"/>
  <c r="B1275" i="3" s="1"/>
  <c r="B2566" i="3"/>
  <c r="B2567" i="3" s="1"/>
  <c r="B1527" i="3"/>
  <c r="B1528" i="3" s="1"/>
  <c r="B1529" i="3" s="1"/>
  <c r="B2134" i="3"/>
  <c r="B2135" i="3" s="1"/>
  <c r="B2136" i="3" s="1"/>
  <c r="B2082" i="3"/>
  <c r="B2083" i="3" s="1"/>
  <c r="B2084" i="3" s="1"/>
  <c r="B1736" i="3"/>
  <c r="B1737" i="3" s="1"/>
  <c r="B1738" i="3" s="1"/>
  <c r="B1739" i="3" s="1"/>
  <c r="B1740" i="3" s="1"/>
  <c r="B1741" i="3" s="1"/>
  <c r="B1742" i="3" s="1"/>
  <c r="B1505" i="3"/>
  <c r="B1506" i="3" s="1"/>
  <c r="B911" i="3"/>
  <c r="B912" i="3" s="1"/>
  <c r="B1041" i="3"/>
  <c r="B1042" i="3" s="1"/>
  <c r="B125" i="3"/>
  <c r="B126" i="3" s="1"/>
  <c r="B127" i="3" s="1"/>
  <c r="B1621" i="3"/>
  <c r="B1622" i="3" s="1"/>
  <c r="B2682" i="3"/>
  <c r="B2683" i="3" s="1"/>
  <c r="B1412" i="3"/>
  <c r="B1413" i="3" s="1"/>
  <c r="B1248" i="3"/>
  <c r="B1249" i="3" s="1"/>
  <c r="B2289" i="3"/>
  <c r="B2290" i="3" s="1"/>
  <c r="B2291" i="3" s="1"/>
  <c r="B1580" i="3"/>
  <c r="B1581" i="3" s="1"/>
  <c r="G2701" i="3"/>
  <c r="B2057" i="3"/>
  <c r="B2058" i="3" s="1"/>
  <c r="B2059" i="3" s="1"/>
  <c r="B2060" i="3" s="1"/>
  <c r="B2061" i="3" s="1"/>
  <c r="B419" i="3"/>
  <c r="B420" i="3" s="1"/>
  <c r="B421" i="3" s="1"/>
  <c r="B422" i="3" s="1"/>
  <c r="B584" i="3"/>
  <c r="B585" i="3" s="1"/>
  <c r="B1597" i="3"/>
  <c r="B1598" i="3" s="1"/>
  <c r="B2497" i="3"/>
  <c r="B2498" i="3" s="1"/>
  <c r="B2499" i="3" s="1"/>
  <c r="B1299" i="3"/>
  <c r="B2382" i="3"/>
  <c r="B2383" i="3" s="1"/>
  <c r="B2384" i="3" s="1"/>
  <c r="B2385" i="3" s="1"/>
  <c r="B2034" i="3"/>
  <c r="B2035" i="3" s="1"/>
  <c r="B1781" i="3"/>
  <c r="B2591" i="3"/>
  <c r="B327" i="3"/>
  <c r="B2153" i="3"/>
  <c r="B2154" i="3" s="1"/>
  <c r="B811" i="3"/>
  <c r="B812" i="3" s="1"/>
  <c r="B1874" i="3"/>
  <c r="B1875" i="3" s="1"/>
  <c r="B2311" i="3"/>
  <c r="N2700" i="3"/>
  <c r="B2014" i="3"/>
  <c r="B2015" i="3" s="1"/>
  <c r="B2016" i="3" s="1"/>
  <c r="B2017" i="3" s="1"/>
  <c r="B2018" i="3" s="1"/>
  <c r="B2242" i="3"/>
  <c r="B2243" i="3" s="1"/>
  <c r="B2244" i="3" s="1"/>
  <c r="B2245" i="3" s="1"/>
  <c r="B2246" i="3" s="1"/>
  <c r="B2109" i="3"/>
  <c r="B2110" i="3" s="1"/>
  <c r="B2111" i="3" s="1"/>
  <c r="B2112" i="3" s="1"/>
  <c r="B2113" i="3" s="1"/>
  <c r="B2114" i="3" s="1"/>
  <c r="B2335" i="3"/>
  <c r="B764" i="3"/>
  <c r="B765" i="3" s="1"/>
  <c r="B766" i="3" s="1"/>
  <c r="B50" i="3"/>
  <c r="B51" i="3" s="1"/>
  <c r="B650" i="3"/>
  <c r="B651" i="3" s="1"/>
  <c r="B652" i="3" s="1"/>
  <c r="B653" i="3" s="1"/>
  <c r="B304" i="3"/>
  <c r="B1646" i="3"/>
  <c r="B1647" i="3" s="1"/>
  <c r="B1648" i="3" s="1"/>
  <c r="B1649" i="3" s="1"/>
  <c r="B1650" i="3" s="1"/>
  <c r="B1343" i="3"/>
  <c r="B1344" i="3" s="1"/>
  <c r="B1437" i="3"/>
  <c r="B1438" i="3" s="1"/>
  <c r="B1439" i="3" s="1"/>
  <c r="B2807" i="3"/>
  <c r="C2792" i="3" s="1"/>
  <c r="E2792" i="3" s="1"/>
  <c r="B1757" i="3"/>
  <c r="B1758" i="3" s="1"/>
  <c r="B1806" i="3"/>
  <c r="B1807" i="3" s="1"/>
  <c r="B1808" i="3" s="1"/>
  <c r="B1809" i="3" s="1"/>
  <c r="H2698" i="3"/>
  <c r="B1000" i="3"/>
  <c r="B2267" i="3"/>
  <c r="B2268" i="3" s="1"/>
  <c r="B2269" i="3" s="1"/>
  <c r="B2270" i="3" s="1"/>
  <c r="B2271" i="3" s="1"/>
  <c r="B2272" i="3" s="1"/>
  <c r="B2273" i="3" s="1"/>
  <c r="B2274" i="3" s="1"/>
  <c r="B2275" i="3" s="1"/>
  <c r="B2750" i="3"/>
  <c r="B2751" i="3" s="1"/>
  <c r="B2752" i="3" s="1"/>
  <c r="B2772" i="3"/>
  <c r="B2726" i="3"/>
  <c r="B2727" i="3" s="1"/>
  <c r="B2728" i="3" s="1"/>
  <c r="B2729" i="3" s="1"/>
  <c r="M2704" i="3"/>
  <c r="B2454" i="3"/>
  <c r="B1018" i="3"/>
  <c r="F2698" i="3"/>
  <c r="B2365" i="3"/>
  <c r="B2366" i="3" s="1"/>
  <c r="B1322" i="3"/>
  <c r="J2695" i="3"/>
  <c r="O2697" i="3"/>
  <c r="F2701" i="3"/>
  <c r="B631" i="3"/>
  <c r="B632" i="3" s="1"/>
  <c r="B633" i="3" s="1"/>
  <c r="D2701" i="3"/>
  <c r="B1478" i="3"/>
  <c r="B2823" i="3"/>
  <c r="B2824" i="3" s="1"/>
  <c r="O2695" i="3"/>
  <c r="I2695" i="3"/>
  <c r="B2198" i="3"/>
  <c r="B2199" i="3" s="1"/>
  <c r="E2701" i="3"/>
  <c r="G2704" i="3"/>
  <c r="K2701" i="3"/>
  <c r="M2701" i="3"/>
  <c r="B1694" i="3"/>
  <c r="L2697" i="3"/>
  <c r="L2695" i="3"/>
  <c r="B797" i="3"/>
  <c r="B798" i="3" s="1"/>
  <c r="H2697" i="3"/>
  <c r="M2698" i="3"/>
  <c r="M2695" i="3"/>
  <c r="N2695" i="3"/>
  <c r="B2523" i="3"/>
  <c r="J2696" i="3"/>
  <c r="B141" i="3"/>
  <c r="B142" i="3" s="1"/>
  <c r="B1162" i="3"/>
  <c r="B1163" i="3" s="1"/>
  <c r="B1164" i="3" s="1"/>
  <c r="B1165" i="3" s="1"/>
  <c r="B1166" i="3" s="1"/>
  <c r="B1167" i="3" s="1"/>
  <c r="B1168" i="3" s="1"/>
  <c r="B1225" i="3"/>
  <c r="B1226" i="3" s="1"/>
  <c r="K2705" i="3"/>
  <c r="B398" i="3"/>
  <c r="K2696" i="3"/>
  <c r="B679" i="3"/>
  <c r="B680" i="3" s="1"/>
  <c r="B681" i="3" s="1"/>
  <c r="B682" i="3" s="1"/>
  <c r="B928" i="3"/>
  <c r="B1666" i="3"/>
  <c r="B1667" i="3" s="1"/>
  <c r="B1668" i="3" s="1"/>
  <c r="B1669" i="3" s="1"/>
  <c r="B1670" i="3" s="1"/>
  <c r="B883" i="3"/>
  <c r="B258" i="3"/>
  <c r="F2696" i="3"/>
  <c r="M2696" i="3"/>
  <c r="I2700" i="3"/>
  <c r="I2696" i="3"/>
  <c r="O2696" i="3"/>
  <c r="K2697" i="3"/>
  <c r="G2695" i="3"/>
  <c r="F2695" i="3"/>
  <c r="H2695" i="3"/>
  <c r="G2697" i="3"/>
  <c r="D2697" i="3"/>
  <c r="D2695" i="3"/>
  <c r="E2695" i="3"/>
  <c r="O2702" i="3"/>
  <c r="N2698" i="3"/>
  <c r="L2698" i="3"/>
  <c r="B725" i="3"/>
  <c r="B726" i="3" s="1"/>
  <c r="B727" i="3" s="1"/>
  <c r="B728" i="3" s="1"/>
  <c r="B729" i="3" s="1"/>
  <c r="B730" i="3" s="1"/>
  <c r="K2698" i="3"/>
  <c r="J2700" i="3"/>
  <c r="I2698" i="3"/>
  <c r="O2698" i="3"/>
  <c r="J2698" i="3"/>
  <c r="M2700" i="3"/>
  <c r="J2703" i="3"/>
  <c r="B561" i="3"/>
  <c r="B562" i="3" s="1"/>
  <c r="B563" i="3" s="1"/>
  <c r="B564" i="3" s="1"/>
  <c r="B565" i="3" s="1"/>
  <c r="D2698" i="3"/>
  <c r="E2698" i="3"/>
  <c r="F2700" i="3"/>
  <c r="K2700" i="3"/>
  <c r="H2704" i="3"/>
  <c r="E2704" i="3"/>
  <c r="N2704" i="3"/>
  <c r="D2704" i="3"/>
  <c r="K2704" i="3"/>
  <c r="O2704" i="3"/>
  <c r="I2704" i="3"/>
  <c r="I2702" i="3"/>
  <c r="F2702" i="3"/>
  <c r="L2699" i="3"/>
  <c r="G2700" i="3"/>
  <c r="L2700" i="3"/>
  <c r="D2700" i="3"/>
  <c r="J2702" i="3"/>
  <c r="H2702" i="3"/>
  <c r="G2699" i="3"/>
  <c r="E2700" i="3"/>
  <c r="H2700" i="3"/>
  <c r="E2703" i="3"/>
  <c r="E2702" i="3"/>
  <c r="L2701" i="3"/>
  <c r="H2701" i="3"/>
  <c r="I2701" i="3"/>
  <c r="G2696" i="3"/>
  <c r="L2696" i="3"/>
  <c r="E2696" i="3"/>
  <c r="J2697" i="3"/>
  <c r="N2697" i="3"/>
  <c r="F2697" i="3"/>
  <c r="I2705" i="3"/>
  <c r="B1992" i="3"/>
  <c r="B1993" i="3" s="1"/>
  <c r="O2701" i="3"/>
  <c r="N2701" i="3"/>
  <c r="D2696" i="3"/>
  <c r="N2696" i="3"/>
  <c r="M2697" i="3"/>
  <c r="I2697" i="3"/>
  <c r="M2703" i="3"/>
  <c r="F2703" i="3"/>
  <c r="L2702" i="3"/>
  <c r="M2702" i="3"/>
  <c r="G2702" i="3"/>
  <c r="N2703" i="3"/>
  <c r="H2703" i="3"/>
  <c r="N2702" i="3"/>
  <c r="K2702" i="3"/>
  <c r="B841" i="3"/>
  <c r="B842" i="3" s="1"/>
  <c r="B843" i="3" s="1"/>
  <c r="B232" i="3"/>
  <c r="B233" i="3" s="1"/>
  <c r="L2704" i="3"/>
  <c r="F2704" i="3"/>
  <c r="D2705" i="3"/>
  <c r="B219" i="3"/>
  <c r="B220" i="3" s="1"/>
  <c r="B221" i="3" s="1"/>
  <c r="B222" i="3" s="1"/>
  <c r="C206" i="3" s="1"/>
  <c r="B2411" i="3"/>
  <c r="B2412" i="3" s="1"/>
  <c r="B281" i="3"/>
  <c r="B282" i="3" s="1"/>
  <c r="B283" i="3" s="1"/>
  <c r="B284" i="3" s="1"/>
  <c r="B1556" i="3"/>
  <c r="B1902" i="3"/>
  <c r="B605" i="3"/>
  <c r="B1395" i="3"/>
  <c r="B2223" i="3"/>
  <c r="H2699" i="3"/>
  <c r="M2699" i="3"/>
  <c r="J2699" i="3"/>
  <c r="L2705" i="3"/>
  <c r="B169" i="3"/>
  <c r="B170" i="3" s="1"/>
  <c r="B73" i="3"/>
  <c r="B74" i="3" s="1"/>
  <c r="B75" i="3" s="1"/>
  <c r="O2699" i="3"/>
  <c r="H2705" i="3"/>
  <c r="F2705" i="3"/>
  <c r="B512" i="3"/>
  <c r="B1117" i="3"/>
  <c r="B94" i="3"/>
  <c r="B95" i="3" s="1"/>
  <c r="B1186" i="3"/>
  <c r="B1187" i="3" s="1"/>
  <c r="E2699" i="3"/>
  <c r="F2699" i="3"/>
  <c r="N2699" i="3"/>
  <c r="O2703" i="3"/>
  <c r="D2703" i="3"/>
  <c r="I2703" i="3"/>
  <c r="M2705" i="3"/>
  <c r="E2705" i="3"/>
  <c r="N2705" i="3"/>
  <c r="K2699" i="3"/>
  <c r="I2699" i="3"/>
  <c r="G2703" i="3"/>
  <c r="L2703" i="3"/>
  <c r="O2705" i="3"/>
  <c r="J2705" i="3"/>
  <c r="B748" i="3"/>
  <c r="B493" i="3"/>
  <c r="B494" i="3" s="1"/>
  <c r="B495" i="3" s="1"/>
  <c r="B496" i="3" s="1"/>
  <c r="B497" i="3" s="1"/>
  <c r="B498" i="3" s="1"/>
  <c r="B499" i="3" s="1"/>
  <c r="C487" i="3" s="1"/>
  <c r="B2642" i="3"/>
  <c r="B1836" i="3"/>
  <c r="B2436" i="3"/>
  <c r="B2180" i="3" l="1"/>
  <c r="B2181" i="3" s="1"/>
  <c r="B2137" i="3"/>
  <c r="B542" i="3"/>
  <c r="B543" i="3" s="1"/>
  <c r="B544" i="3" s="1"/>
  <c r="B1925" i="3"/>
  <c r="B1926" i="3" s="1"/>
  <c r="B1927" i="3" s="1"/>
  <c r="B1928" i="3" s="1"/>
  <c r="B1929" i="3" s="1"/>
  <c r="B1930" i="3" s="1"/>
  <c r="B1931" i="3" s="1"/>
  <c r="B350" i="3"/>
  <c r="B351" i="3" s="1"/>
  <c r="B1134" i="3"/>
  <c r="B2477" i="3"/>
  <c r="B52" i="3"/>
  <c r="B2543" i="3"/>
  <c r="B858" i="3"/>
  <c r="B859" i="3" s="1"/>
  <c r="B860" i="3" s="1"/>
  <c r="B2658" i="3"/>
  <c r="B465" i="3"/>
  <c r="B1944" i="3"/>
  <c r="B1094" i="3"/>
  <c r="G373" i="3"/>
  <c r="C372" i="3"/>
  <c r="D372" i="3" s="1"/>
  <c r="K373" i="3"/>
  <c r="J373" i="3"/>
  <c r="C371" i="3"/>
  <c r="N371" i="3" s="1"/>
  <c r="H373" i="3"/>
  <c r="C366" i="3"/>
  <c r="K366" i="3" s="1"/>
  <c r="E373" i="3"/>
  <c r="L373" i="3"/>
  <c r="C363" i="3"/>
  <c r="I363" i="3" s="1"/>
  <c r="D373" i="3"/>
  <c r="F373" i="3"/>
  <c r="M373" i="3"/>
  <c r="C364" i="3"/>
  <c r="N364" i="3" s="1"/>
  <c r="C365" i="3"/>
  <c r="H365" i="3" s="1"/>
  <c r="O373" i="3"/>
  <c r="I373" i="3"/>
  <c r="C368" i="3"/>
  <c r="D368" i="3" s="1"/>
  <c r="C370" i="3"/>
  <c r="F370" i="3" s="1"/>
  <c r="C367" i="3"/>
  <c r="J367" i="3" s="1"/>
  <c r="C369" i="3"/>
  <c r="M369" i="3" s="1"/>
  <c r="B1557" i="3"/>
  <c r="B1558" i="3" s="1"/>
  <c r="B1559" i="3" s="1"/>
  <c r="B1560" i="3" s="1"/>
  <c r="B861" i="3"/>
  <c r="B1396" i="3"/>
  <c r="B1397" i="3" s="1"/>
  <c r="B1398" i="3" s="1"/>
  <c r="B1399" i="3" s="1"/>
  <c r="B1400" i="3" s="1"/>
  <c r="A941" i="3" s="1"/>
  <c r="B941" i="3" s="1"/>
  <c r="B1858" i="3"/>
  <c r="B1507" i="3"/>
  <c r="B1508" i="3" s="1"/>
  <c r="B1509" i="3" s="1"/>
  <c r="B1510" i="3" s="1"/>
  <c r="B1511" i="3" s="1"/>
  <c r="B1512" i="3" s="1"/>
  <c r="B1530" i="3"/>
  <c r="B1531" i="3" s="1"/>
  <c r="B1532" i="3" s="1"/>
  <c r="B1533" i="3" s="1"/>
  <c r="B983" i="3"/>
  <c r="B984" i="3" s="1"/>
  <c r="B2621" i="3"/>
  <c r="B128" i="3"/>
  <c r="B129" i="3" s="1"/>
  <c r="B130" i="3" s="1"/>
  <c r="C113" i="3" s="1"/>
  <c r="H113" i="3" s="1"/>
  <c r="B2019" i="3"/>
  <c r="B2020" i="3" s="1"/>
  <c r="B1276" i="3"/>
  <c r="B2276" i="3"/>
  <c r="B2277" i="3" s="1"/>
  <c r="C2789" i="3"/>
  <c r="I2789" i="3" s="1"/>
  <c r="H2792" i="3"/>
  <c r="N2792" i="3"/>
  <c r="C2797" i="3"/>
  <c r="E2797" i="3" s="1"/>
  <c r="B1250" i="3"/>
  <c r="B1251" i="3" s="1"/>
  <c r="B1252" i="3" s="1"/>
  <c r="B1253" i="3" s="1"/>
  <c r="B2115" i="3"/>
  <c r="B2312" i="3"/>
  <c r="B2592" i="3"/>
  <c r="B2062" i="3"/>
  <c r="B2063" i="3" s="1"/>
  <c r="B2064" i="3" s="1"/>
  <c r="B2065" i="3" s="1"/>
  <c r="B2825" i="3"/>
  <c r="B2826" i="3" s="1"/>
  <c r="B2827" i="3" s="1"/>
  <c r="B2828" i="3" s="1"/>
  <c r="B2829" i="3" s="1"/>
  <c r="B2830" i="3" s="1"/>
  <c r="B1599" i="3"/>
  <c r="B1600" i="3" s="1"/>
  <c r="B1043" i="3"/>
  <c r="B1044" i="3" s="1"/>
  <c r="B1045" i="3" s="1"/>
  <c r="B1046" i="3" s="1"/>
  <c r="B913" i="3"/>
  <c r="C2791" i="3"/>
  <c r="M2791" i="3" s="1"/>
  <c r="B2085" i="3"/>
  <c r="B2086" i="3" s="1"/>
  <c r="B1582" i="3"/>
  <c r="B1368" i="3"/>
  <c r="G2792" i="3"/>
  <c r="C2793" i="3"/>
  <c r="L2793" i="3" s="1"/>
  <c r="B1743" i="3"/>
  <c r="B1744" i="3" s="1"/>
  <c r="B1745" i="3" s="1"/>
  <c r="B1746" i="3" s="1"/>
  <c r="B1651" i="3"/>
  <c r="B1652" i="3" s="1"/>
  <c r="F2792" i="3"/>
  <c r="C2787" i="3"/>
  <c r="G2787" i="3" s="1"/>
  <c r="C2796" i="3"/>
  <c r="C2790" i="3"/>
  <c r="N2790" i="3" s="1"/>
  <c r="B2386" i="3"/>
  <c r="B2387" i="3" s="1"/>
  <c r="B1782" i="3"/>
  <c r="B1783" i="3" s="1"/>
  <c r="B1784" i="3" s="1"/>
  <c r="B1785" i="3" s="1"/>
  <c r="M2792" i="3"/>
  <c r="B813" i="3"/>
  <c r="B814" i="3" s="1"/>
  <c r="B815" i="3" s="1"/>
  <c r="B2036" i="3"/>
  <c r="B2037" i="3" s="1"/>
  <c r="D2792" i="3"/>
  <c r="L2792" i="3"/>
  <c r="J2792" i="3"/>
  <c r="I2792" i="3"/>
  <c r="C2788" i="3"/>
  <c r="I2788" i="3" s="1"/>
  <c r="B1414" i="3"/>
  <c r="B1415" i="3" s="1"/>
  <c r="K2792" i="3"/>
  <c r="C2794" i="3"/>
  <c r="H2794" i="3" s="1"/>
  <c r="C2795" i="3"/>
  <c r="M2795" i="3" s="1"/>
  <c r="O2792" i="3"/>
  <c r="B1876" i="3"/>
  <c r="B586" i="3"/>
  <c r="B1623" i="3"/>
  <c r="B1300" i="3"/>
  <c r="B2336" i="3"/>
  <c r="B2337" i="3" s="1"/>
  <c r="B2338" i="3" s="1"/>
  <c r="B328" i="3"/>
  <c r="B2155" i="3"/>
  <c r="B2156" i="3" s="1"/>
  <c r="B305" i="3"/>
  <c r="B1759" i="3"/>
  <c r="B1760" i="3" s="1"/>
  <c r="B1227" i="3"/>
  <c r="B1228" i="3" s="1"/>
  <c r="B1229" i="3" s="1"/>
  <c r="B1230" i="3" s="1"/>
  <c r="B1231" i="3" s="1"/>
  <c r="B1232" i="3" s="1"/>
  <c r="B2568" i="3"/>
  <c r="C715" i="3"/>
  <c r="G715" i="3" s="1"/>
  <c r="B2773" i="3"/>
  <c r="B2774" i="3" s="1"/>
  <c r="B2753" i="3"/>
  <c r="B2754" i="3" s="1"/>
  <c r="B2755" i="3" s="1"/>
  <c r="B2756" i="3" s="1"/>
  <c r="B1019" i="3"/>
  <c r="B1020" i="3" s="1"/>
  <c r="B1021" i="3" s="1"/>
  <c r="B2367" i="3"/>
  <c r="B2368" i="3" s="1"/>
  <c r="B2369" i="3" s="1"/>
  <c r="B1001" i="3"/>
  <c r="B634" i="3"/>
  <c r="B635" i="3" s="1"/>
  <c r="B2500" i="3"/>
  <c r="B2501" i="3" s="1"/>
  <c r="B2502" i="3" s="1"/>
  <c r="B2503" i="3" s="1"/>
  <c r="B234" i="3"/>
  <c r="B235" i="3" s="1"/>
  <c r="C717" i="3"/>
  <c r="N717" i="3" s="1"/>
  <c r="B683" i="3"/>
  <c r="B684" i="3" s="1"/>
  <c r="C670" i="3" s="1"/>
  <c r="B423" i="3"/>
  <c r="B424" i="3" s="1"/>
  <c r="B425" i="3" s="1"/>
  <c r="B2455" i="3"/>
  <c r="B1810" i="3"/>
  <c r="B1345" i="3"/>
  <c r="B1346" i="3" s="1"/>
  <c r="B1479" i="3"/>
  <c r="B1480" i="3" s="1"/>
  <c r="B1323" i="3"/>
  <c r="C713" i="3"/>
  <c r="F713" i="3" s="1"/>
  <c r="B844" i="3"/>
  <c r="B845" i="3" s="1"/>
  <c r="C719" i="3"/>
  <c r="L719" i="3" s="1"/>
  <c r="C709" i="3"/>
  <c r="O709" i="3" s="1"/>
  <c r="B143" i="3"/>
  <c r="B144" i="3" s="1"/>
  <c r="B1695" i="3"/>
  <c r="B1696" i="3" s="1"/>
  <c r="B1697" i="3" s="1"/>
  <c r="C718" i="3"/>
  <c r="I718" i="3" s="1"/>
  <c r="C711" i="3"/>
  <c r="H711" i="3" s="1"/>
  <c r="C714" i="3"/>
  <c r="G714" i="3" s="1"/>
  <c r="C716" i="3"/>
  <c r="K716" i="3" s="1"/>
  <c r="C712" i="3"/>
  <c r="E712" i="3" s="1"/>
  <c r="B1169" i="3"/>
  <c r="C1148" i="3" s="1"/>
  <c r="C710" i="3"/>
  <c r="D710" i="3" s="1"/>
  <c r="B2730" i="3"/>
  <c r="B2731" i="3" s="1"/>
  <c r="B2732" i="3" s="1"/>
  <c r="B2247" i="3"/>
  <c r="B2524" i="3"/>
  <c r="B2525" i="3" s="1"/>
  <c r="B2526" i="3" s="1"/>
  <c r="B399" i="3"/>
  <c r="B400" i="3" s="1"/>
  <c r="B1440" i="3"/>
  <c r="B1441" i="3" s="1"/>
  <c r="B1442" i="3" s="1"/>
  <c r="B929" i="3"/>
  <c r="B930" i="3" s="1"/>
  <c r="B654" i="3"/>
  <c r="B655" i="3" s="1"/>
  <c r="B656" i="3" s="1"/>
  <c r="B884" i="3"/>
  <c r="B2684" i="3"/>
  <c r="B259" i="3"/>
  <c r="B260" i="3" s="1"/>
  <c r="B566" i="3"/>
  <c r="B567" i="3" s="1"/>
  <c r="B568" i="3" s="1"/>
  <c r="B2292" i="3"/>
  <c r="B2293" i="3" s="1"/>
  <c r="B2294" i="3" s="1"/>
  <c r="B2200" i="3"/>
  <c r="B1994" i="3"/>
  <c r="B1671" i="3"/>
  <c r="B767" i="3"/>
  <c r="B768" i="3" s="1"/>
  <c r="B2138" i="3"/>
  <c r="B545" i="3"/>
  <c r="C534" i="3" s="1"/>
  <c r="E206" i="3"/>
  <c r="J206" i="3"/>
  <c r="L206" i="3"/>
  <c r="F206" i="3"/>
  <c r="K206" i="3"/>
  <c r="H206" i="3"/>
  <c r="N206" i="3"/>
  <c r="G206" i="3"/>
  <c r="O206" i="3"/>
  <c r="M206" i="3"/>
  <c r="D206" i="3"/>
  <c r="I206" i="3"/>
  <c r="C210" i="3"/>
  <c r="C204" i="3"/>
  <c r="C205" i="3"/>
  <c r="C208" i="3"/>
  <c r="C211" i="3"/>
  <c r="C202" i="3"/>
  <c r="C201" i="3"/>
  <c r="C209" i="3"/>
  <c r="C203" i="3"/>
  <c r="C207" i="3"/>
  <c r="B1074" i="3"/>
  <c r="B1075" i="3" s="1"/>
  <c r="B1076" i="3" s="1"/>
  <c r="B1077" i="3" s="1"/>
  <c r="B2413" i="3"/>
  <c r="B2414" i="3" s="1"/>
  <c r="B53" i="3"/>
  <c r="P2695" i="3" a="1"/>
  <c r="P2705" i="3" s="1"/>
  <c r="B285" i="3"/>
  <c r="B286" i="3" s="1"/>
  <c r="B287" i="3" s="1"/>
  <c r="B171" i="3"/>
  <c r="B172" i="3" s="1"/>
  <c r="B2224" i="3"/>
  <c r="B76" i="3"/>
  <c r="B77" i="3" s="1"/>
  <c r="B78" i="3" s="1"/>
  <c r="B79" i="3" s="1"/>
  <c r="B80" i="3" s="1"/>
  <c r="B513" i="3"/>
  <c r="B514" i="3" s="1"/>
  <c r="B606" i="3"/>
  <c r="B1903" i="3"/>
  <c r="B1118" i="3"/>
  <c r="B2182" i="3"/>
  <c r="B96" i="3"/>
  <c r="B1188" i="3"/>
  <c r="E363" i="3"/>
  <c r="B749" i="3"/>
  <c r="C481" i="3"/>
  <c r="D481" i="3" s="1"/>
  <c r="F487" i="3"/>
  <c r="N487" i="3"/>
  <c r="I487" i="3"/>
  <c r="J487" i="3"/>
  <c r="K487" i="3"/>
  <c r="H487" i="3"/>
  <c r="G487" i="3"/>
  <c r="D487" i="3"/>
  <c r="M487" i="3"/>
  <c r="L487" i="3"/>
  <c r="E487" i="3"/>
  <c r="O487" i="3"/>
  <c r="C486" i="3"/>
  <c r="C488" i="3"/>
  <c r="C479" i="3"/>
  <c r="C483" i="3"/>
  <c r="C478" i="3"/>
  <c r="C480" i="3"/>
  <c r="C482" i="3"/>
  <c r="C485" i="3"/>
  <c r="C484" i="3"/>
  <c r="H368" i="3"/>
  <c r="B1837" i="3"/>
  <c r="B1838" i="3" s="1"/>
  <c r="B1839" i="3" s="1"/>
  <c r="L372" i="3"/>
  <c r="L366" i="3"/>
  <c r="B2643" i="3"/>
  <c r="B1859" i="3"/>
  <c r="B799" i="3"/>
  <c r="C784" i="3" s="1"/>
  <c r="B2437" i="3"/>
  <c r="N372" i="3" l="1"/>
  <c r="F372" i="3"/>
  <c r="B54" i="3"/>
  <c r="J372" i="3"/>
  <c r="M372" i="3"/>
  <c r="O372" i="3"/>
  <c r="K371" i="3"/>
  <c r="E371" i="3"/>
  <c r="O371" i="3"/>
  <c r="J371" i="3"/>
  <c r="I366" i="3"/>
  <c r="E370" i="3"/>
  <c r="M365" i="3"/>
  <c r="F366" i="3"/>
  <c r="O366" i="3"/>
  <c r="H370" i="3"/>
  <c r="N366" i="3"/>
  <c r="J366" i="3"/>
  <c r="J370" i="3"/>
  <c r="F365" i="3"/>
  <c r="C1916" i="3"/>
  <c r="L1916" i="3" s="1"/>
  <c r="K372" i="3"/>
  <c r="E372" i="3"/>
  <c r="G372" i="3"/>
  <c r="G368" i="3"/>
  <c r="J363" i="3"/>
  <c r="H372" i="3"/>
  <c r="I372" i="3"/>
  <c r="J368" i="3"/>
  <c r="G363" i="3"/>
  <c r="M363" i="3"/>
  <c r="C1917" i="3"/>
  <c r="B1135" i="3"/>
  <c r="B1136" i="3" s="1"/>
  <c r="B1137" i="3" s="1"/>
  <c r="C1912" i="3"/>
  <c r="D2789" i="3"/>
  <c r="C1915" i="3"/>
  <c r="C1913" i="3"/>
  <c r="C1911" i="3"/>
  <c r="B862" i="3"/>
  <c r="B863" i="3" s="1"/>
  <c r="B864" i="3" s="1"/>
  <c r="B2544" i="3"/>
  <c r="C1914" i="3"/>
  <c r="C1920" i="3"/>
  <c r="C1910" i="3"/>
  <c r="E369" i="3"/>
  <c r="C1919" i="3"/>
  <c r="B352" i="3"/>
  <c r="B353" i="3" s="1"/>
  <c r="B2478" i="3"/>
  <c r="C1918" i="3"/>
  <c r="K370" i="3"/>
  <c r="G370" i="3"/>
  <c r="I365" i="3"/>
  <c r="J365" i="3"/>
  <c r="B1095" i="3"/>
  <c r="B1096" i="3" s="1"/>
  <c r="L370" i="3"/>
  <c r="N365" i="3"/>
  <c r="B1534" i="3"/>
  <c r="B1535" i="3" s="1"/>
  <c r="B1536" i="3" s="1"/>
  <c r="M366" i="3"/>
  <c r="H366" i="3"/>
  <c r="G366" i="3"/>
  <c r="M370" i="3"/>
  <c r="N370" i="3"/>
  <c r="O370" i="3"/>
  <c r="D365" i="3"/>
  <c r="K365" i="3"/>
  <c r="G365" i="3"/>
  <c r="B466" i="3"/>
  <c r="E366" i="3"/>
  <c r="D366" i="3"/>
  <c r="I370" i="3"/>
  <c r="E365" i="3"/>
  <c r="D370" i="3"/>
  <c r="L365" i="3"/>
  <c r="O365" i="3"/>
  <c r="B2659" i="3"/>
  <c r="B1945" i="3"/>
  <c r="B1946" i="3" s="1"/>
  <c r="B1947" i="3" s="1"/>
  <c r="B1948" i="3" s="1"/>
  <c r="M367" i="3"/>
  <c r="H367" i="3"/>
  <c r="N367" i="3"/>
  <c r="E367" i="3"/>
  <c r="K367" i="3"/>
  <c r="D367" i="3"/>
  <c r="I367" i="3"/>
  <c r="F367" i="3"/>
  <c r="G367" i="3"/>
  <c r="L367" i="3"/>
  <c r="O367" i="3"/>
  <c r="H371" i="3"/>
  <c r="D371" i="3"/>
  <c r="F371" i="3"/>
  <c r="J369" i="3"/>
  <c r="O369" i="3"/>
  <c r="G369" i="3"/>
  <c r="I369" i="3"/>
  <c r="G371" i="3"/>
  <c r="I371" i="3"/>
  <c r="L371" i="3"/>
  <c r="M371" i="3"/>
  <c r="N369" i="3"/>
  <c r="H369" i="3"/>
  <c r="E113" i="3"/>
  <c r="O368" i="3"/>
  <c r="N363" i="3"/>
  <c r="O363" i="3"/>
  <c r="L363" i="3"/>
  <c r="H363" i="3"/>
  <c r="F368" i="3"/>
  <c r="N368" i="3"/>
  <c r="K363" i="3"/>
  <c r="D363" i="3"/>
  <c r="F363" i="3"/>
  <c r="B1860" i="3"/>
  <c r="B1861" i="3" s="1"/>
  <c r="K369" i="3"/>
  <c r="L369" i="3"/>
  <c r="C2261" i="3"/>
  <c r="H2261" i="3" s="1"/>
  <c r="F369" i="3"/>
  <c r="D369" i="3"/>
  <c r="F364" i="3"/>
  <c r="G364" i="3"/>
  <c r="C118" i="3"/>
  <c r="H118" i="3" s="1"/>
  <c r="E368" i="3"/>
  <c r="K368" i="3"/>
  <c r="L368" i="3"/>
  <c r="M364" i="3"/>
  <c r="E364" i="3"/>
  <c r="I364" i="3"/>
  <c r="C116" i="3"/>
  <c r="G116" i="3" s="1"/>
  <c r="J113" i="3"/>
  <c r="C117" i="3"/>
  <c r="O117" i="3" s="1"/>
  <c r="C119" i="3"/>
  <c r="I119" i="3" s="1"/>
  <c r="D113" i="3"/>
  <c r="C110" i="3"/>
  <c r="I110" i="3" s="1"/>
  <c r="I368" i="3"/>
  <c r="M368" i="3"/>
  <c r="K364" i="3"/>
  <c r="D364" i="3"/>
  <c r="L364" i="3"/>
  <c r="O364" i="3"/>
  <c r="J364" i="3"/>
  <c r="H364" i="3"/>
  <c r="C2256" i="3"/>
  <c r="M2256" i="3" s="1"/>
  <c r="C2266" i="3"/>
  <c r="I2266" i="3" s="1"/>
  <c r="C2262" i="3"/>
  <c r="M2262" i="3" s="1"/>
  <c r="C2257" i="3"/>
  <c r="F2257" i="3" s="1"/>
  <c r="F113" i="3"/>
  <c r="M113" i="3"/>
  <c r="K113" i="3"/>
  <c r="C2264" i="3"/>
  <c r="D2264" i="3" s="1"/>
  <c r="C2259" i="3"/>
  <c r="H2259" i="3" s="1"/>
  <c r="C2258" i="3"/>
  <c r="D2258" i="3" s="1"/>
  <c r="C2820" i="3"/>
  <c r="E2820" i="3" s="1"/>
  <c r="C2265" i="3"/>
  <c r="I2265" i="3" s="1"/>
  <c r="C2263" i="3"/>
  <c r="G2263" i="3" s="1"/>
  <c r="C2260" i="3"/>
  <c r="L2260" i="3" s="1"/>
  <c r="B1513" i="3"/>
  <c r="B1514" i="3" s="1"/>
  <c r="B1515" i="3" s="1"/>
  <c r="C1502" i="3" s="1"/>
  <c r="B846" i="3"/>
  <c r="C832" i="3" s="1"/>
  <c r="E832" i="3" s="1"/>
  <c r="O2789" i="3"/>
  <c r="B2021" i="3"/>
  <c r="B2022" i="3" s="1"/>
  <c r="J2789" i="3"/>
  <c r="G717" i="3"/>
  <c r="I715" i="3"/>
  <c r="D715" i="3"/>
  <c r="O715" i="3"/>
  <c r="C966" i="3"/>
  <c r="I966" i="3" s="1"/>
  <c r="N2793" i="3"/>
  <c r="C964" i="3"/>
  <c r="N964" i="3" s="1"/>
  <c r="C967" i="3"/>
  <c r="M967" i="3" s="1"/>
  <c r="C971" i="3"/>
  <c r="J971" i="3" s="1"/>
  <c r="D2793" i="3"/>
  <c r="O2793" i="3"/>
  <c r="G2793" i="3"/>
  <c r="I2787" i="3"/>
  <c r="H2787" i="3"/>
  <c r="C973" i="3"/>
  <c r="I973" i="3" s="1"/>
  <c r="C965" i="3"/>
  <c r="H965" i="3" s="1"/>
  <c r="C972" i="3"/>
  <c r="K972" i="3" s="1"/>
  <c r="C963" i="3"/>
  <c r="L963" i="3" s="1"/>
  <c r="D964" i="3"/>
  <c r="C969" i="3"/>
  <c r="G969" i="3" s="1"/>
  <c r="C968" i="3"/>
  <c r="O968" i="3" s="1"/>
  <c r="C970" i="3"/>
  <c r="O970" i="3" s="1"/>
  <c r="I113" i="3"/>
  <c r="N113" i="3"/>
  <c r="G113" i="3"/>
  <c r="C111" i="3"/>
  <c r="H111" i="3" s="1"/>
  <c r="C114" i="3"/>
  <c r="M114" i="3" s="1"/>
  <c r="D719" i="3"/>
  <c r="J719" i="3"/>
  <c r="C115" i="3"/>
  <c r="G115" i="3" s="1"/>
  <c r="O113" i="3"/>
  <c r="L113" i="3"/>
  <c r="C112" i="3"/>
  <c r="L112" i="3" s="1"/>
  <c r="C109" i="3"/>
  <c r="J109" i="3" s="1"/>
  <c r="K718" i="3"/>
  <c r="D718" i="3"/>
  <c r="O718" i="3"/>
  <c r="H719" i="3"/>
  <c r="N719" i="3"/>
  <c r="E719" i="3"/>
  <c r="G719" i="3"/>
  <c r="C1730" i="3"/>
  <c r="H1730" i="3" s="1"/>
  <c r="B816" i="3"/>
  <c r="B817" i="3" s="1"/>
  <c r="B818" i="3" s="1"/>
  <c r="B819" i="3" s="1"/>
  <c r="B820" i="3" s="1"/>
  <c r="B821" i="3" s="1"/>
  <c r="B822" i="3" s="1"/>
  <c r="B823" i="3" s="1"/>
  <c r="B2622" i="3"/>
  <c r="B1277" i="3"/>
  <c r="K715" i="3"/>
  <c r="L2789" i="3"/>
  <c r="K2789" i="3"/>
  <c r="G2789" i="3"/>
  <c r="J718" i="3"/>
  <c r="H715" i="3"/>
  <c r="M719" i="3"/>
  <c r="J711" i="3"/>
  <c r="F718" i="3"/>
  <c r="N2789" i="3"/>
  <c r="E2789" i="3"/>
  <c r="H2789" i="3"/>
  <c r="F2797" i="3"/>
  <c r="F715" i="3"/>
  <c r="F2789" i="3"/>
  <c r="M2789" i="3"/>
  <c r="C2815" i="3"/>
  <c r="D2815" i="3" s="1"/>
  <c r="C2810" i="3"/>
  <c r="I2810" i="3" s="1"/>
  <c r="M2797" i="3"/>
  <c r="N711" i="3"/>
  <c r="H709" i="3"/>
  <c r="J709" i="3"/>
  <c r="I2790" i="3"/>
  <c r="B1601" i="3"/>
  <c r="B1602" i="3" s="1"/>
  <c r="I711" i="3"/>
  <c r="H2797" i="3"/>
  <c r="D2797" i="3"/>
  <c r="C2818" i="3"/>
  <c r="O2818" i="3" s="1"/>
  <c r="C2813" i="3"/>
  <c r="L2813" i="3" s="1"/>
  <c r="C2814" i="3"/>
  <c r="I2814" i="3" s="1"/>
  <c r="C1731" i="3"/>
  <c r="E1731" i="3" s="1"/>
  <c r="N2797" i="3"/>
  <c r="F2787" i="3"/>
  <c r="M2787" i="3"/>
  <c r="L2797" i="3"/>
  <c r="O716" i="3"/>
  <c r="K717" i="3"/>
  <c r="K2794" i="3"/>
  <c r="I2797" i="3"/>
  <c r="H716" i="3"/>
  <c r="C1725" i="3"/>
  <c r="I1725" i="3" s="1"/>
  <c r="O2797" i="3"/>
  <c r="G2797" i="3"/>
  <c r="L2794" i="3"/>
  <c r="E2787" i="3"/>
  <c r="K2797" i="3"/>
  <c r="J2797" i="3"/>
  <c r="E2791" i="3"/>
  <c r="D2794" i="3"/>
  <c r="D2787" i="3"/>
  <c r="K2787" i="3"/>
  <c r="N2787" i="3"/>
  <c r="M2794" i="3"/>
  <c r="J2794" i="3"/>
  <c r="O2794" i="3"/>
  <c r="D2791" i="3"/>
  <c r="I2794" i="3"/>
  <c r="I2791" i="3"/>
  <c r="N2794" i="3"/>
  <c r="E2794" i="3"/>
  <c r="J2787" i="3"/>
  <c r="L716" i="3"/>
  <c r="G2794" i="3"/>
  <c r="I717" i="3"/>
  <c r="B1583" i="3"/>
  <c r="B2313" i="3"/>
  <c r="B2314" i="3" s="1"/>
  <c r="B2116" i="3"/>
  <c r="D712" i="3"/>
  <c r="O719" i="3"/>
  <c r="N712" i="3"/>
  <c r="I719" i="3"/>
  <c r="F719" i="3"/>
  <c r="C1733" i="3"/>
  <c r="J1733" i="3" s="1"/>
  <c r="L712" i="3"/>
  <c r="G712" i="3"/>
  <c r="M718" i="3"/>
  <c r="K719" i="3"/>
  <c r="H712" i="3"/>
  <c r="O712" i="3"/>
  <c r="G718" i="3"/>
  <c r="C1726" i="3"/>
  <c r="E1726" i="3" s="1"/>
  <c r="C2816" i="3"/>
  <c r="K2816" i="3" s="1"/>
  <c r="B2593" i="3"/>
  <c r="B2594" i="3" s="1"/>
  <c r="B2595" i="3" s="1"/>
  <c r="B2596" i="3" s="1"/>
  <c r="B2597" i="3" s="1"/>
  <c r="B1653" i="3"/>
  <c r="J2788" i="3"/>
  <c r="F2790" i="3"/>
  <c r="B2038" i="3"/>
  <c r="B2039" i="3" s="1"/>
  <c r="D2790" i="3"/>
  <c r="B914" i="3"/>
  <c r="B915" i="3" s="1"/>
  <c r="N716" i="3"/>
  <c r="J715" i="3"/>
  <c r="N715" i="3"/>
  <c r="L715" i="3"/>
  <c r="C2811" i="3"/>
  <c r="N2811" i="3" s="1"/>
  <c r="I2793" i="3"/>
  <c r="F2793" i="3"/>
  <c r="F2795" i="3"/>
  <c r="G2795" i="3"/>
  <c r="N2788" i="3"/>
  <c r="J2793" i="3"/>
  <c r="J2790" i="3"/>
  <c r="E2790" i="3"/>
  <c r="L2790" i="3"/>
  <c r="M2790" i="3"/>
  <c r="D2262" i="3"/>
  <c r="M715" i="3"/>
  <c r="E715" i="3"/>
  <c r="C2817" i="3"/>
  <c r="M2817" i="3" s="1"/>
  <c r="C2812" i="3"/>
  <c r="M2812" i="3" s="1"/>
  <c r="C2819" i="3"/>
  <c r="N2819" i="3" s="1"/>
  <c r="H2793" i="3"/>
  <c r="M2793" i="3"/>
  <c r="K2788" i="3"/>
  <c r="H2795" i="3"/>
  <c r="E2793" i="3"/>
  <c r="K2793" i="3"/>
  <c r="O2790" i="3"/>
  <c r="G2790" i="3"/>
  <c r="B1369" i="3"/>
  <c r="B1370" i="3" s="1"/>
  <c r="F710" i="3"/>
  <c r="B1761" i="3"/>
  <c r="B1762" i="3" s="1"/>
  <c r="B1763" i="3" s="1"/>
  <c r="E716" i="3"/>
  <c r="D716" i="3"/>
  <c r="L709" i="3"/>
  <c r="C1734" i="3"/>
  <c r="H1734" i="3" s="1"/>
  <c r="C1727" i="3"/>
  <c r="N1727" i="3" s="1"/>
  <c r="C1735" i="3"/>
  <c r="K1735" i="3" s="1"/>
  <c r="I2795" i="3"/>
  <c r="F2791" i="3"/>
  <c r="J2791" i="3"/>
  <c r="J2795" i="3"/>
  <c r="N2791" i="3"/>
  <c r="O2791" i="3"/>
  <c r="B1047" i="3"/>
  <c r="B1048" i="3" s="1"/>
  <c r="H2790" i="3"/>
  <c r="K2790" i="3"/>
  <c r="N710" i="3"/>
  <c r="F716" i="3"/>
  <c r="M716" i="3"/>
  <c r="G716" i="3"/>
  <c r="C1732" i="3"/>
  <c r="D1732" i="3" s="1"/>
  <c r="C1728" i="3"/>
  <c r="E1728" i="3" s="1"/>
  <c r="C1729" i="3"/>
  <c r="K1729" i="3" s="1"/>
  <c r="N2795" i="3"/>
  <c r="L2791" i="3"/>
  <c r="K2795" i="3"/>
  <c r="G2791" i="3"/>
  <c r="J2796" i="3"/>
  <c r="K2796" i="3"/>
  <c r="L2796" i="3"/>
  <c r="G2796" i="3"/>
  <c r="O2796" i="3"/>
  <c r="D2796" i="3"/>
  <c r="H2796" i="3"/>
  <c r="N2796" i="3"/>
  <c r="E2796" i="3"/>
  <c r="F2796" i="3"/>
  <c r="I2796" i="3"/>
  <c r="M2796" i="3"/>
  <c r="D2795" i="3"/>
  <c r="O2795" i="3"/>
  <c r="H2791" i="3"/>
  <c r="K2791" i="3"/>
  <c r="L2795" i="3"/>
  <c r="O2787" i="3"/>
  <c r="L2787" i="3"/>
  <c r="B2087" i="3"/>
  <c r="B1416" i="3"/>
  <c r="B1417" i="3" s="1"/>
  <c r="B1418" i="3" s="1"/>
  <c r="B1301" i="3"/>
  <c r="I709" i="3"/>
  <c r="E709" i="3"/>
  <c r="D709" i="3"/>
  <c r="M709" i="3"/>
  <c r="K709" i="3"/>
  <c r="B1347" i="3"/>
  <c r="B1348" i="3" s="1"/>
  <c r="B1877" i="3"/>
  <c r="B587" i="3"/>
  <c r="F709" i="3"/>
  <c r="G709" i="3"/>
  <c r="N709" i="3"/>
  <c r="B2157" i="3"/>
  <c r="B2158" i="3" s="1"/>
  <c r="B2504" i="3"/>
  <c r="B2505" i="3" s="1"/>
  <c r="B1481" i="3"/>
  <c r="B1482" i="3" s="1"/>
  <c r="B1483" i="3" s="1"/>
  <c r="B1484" i="3" s="1"/>
  <c r="B1485" i="3" s="1"/>
  <c r="E2795" i="3"/>
  <c r="B1624" i="3"/>
  <c r="O714" i="3"/>
  <c r="D717" i="3"/>
  <c r="H714" i="3"/>
  <c r="O713" i="3"/>
  <c r="F2788" i="3"/>
  <c r="O2788" i="3"/>
  <c r="B1022" i="3"/>
  <c r="B1023" i="3" s="1"/>
  <c r="B1024" i="3" s="1"/>
  <c r="B1025" i="3" s="1"/>
  <c r="B1026" i="3" s="1"/>
  <c r="H2788" i="3"/>
  <c r="K713" i="3"/>
  <c r="L2788" i="3"/>
  <c r="G2788" i="3"/>
  <c r="M2788" i="3"/>
  <c r="H717" i="3"/>
  <c r="J714" i="3"/>
  <c r="L717" i="3"/>
  <c r="J717" i="3"/>
  <c r="F717" i="3"/>
  <c r="E717" i="3"/>
  <c r="E713" i="3"/>
  <c r="I714" i="3"/>
  <c r="M717" i="3"/>
  <c r="O717" i="3"/>
  <c r="E2788" i="3"/>
  <c r="D2788" i="3"/>
  <c r="F2794" i="3"/>
  <c r="B306" i="3"/>
  <c r="B329" i="3"/>
  <c r="B2339" i="3"/>
  <c r="B1786" i="3"/>
  <c r="B2569" i="3"/>
  <c r="G711" i="3"/>
  <c r="M711" i="3"/>
  <c r="J716" i="3"/>
  <c r="I716" i="3"/>
  <c r="H710" i="3"/>
  <c r="B2370" i="3"/>
  <c r="C2354" i="3" s="1"/>
  <c r="G2354" i="3" s="1"/>
  <c r="O710" i="3"/>
  <c r="G710" i="3"/>
  <c r="E711" i="3"/>
  <c r="L711" i="3"/>
  <c r="O711" i="3"/>
  <c r="B236" i="3"/>
  <c r="B237" i="3" s="1"/>
  <c r="B238" i="3" s="1"/>
  <c r="F711" i="3"/>
  <c r="K711" i="3"/>
  <c r="D711" i="3"/>
  <c r="E710" i="3"/>
  <c r="J710" i="3"/>
  <c r="L710" i="3"/>
  <c r="M710" i="3"/>
  <c r="I710" i="3"/>
  <c r="B2775" i="3"/>
  <c r="B1002" i="3"/>
  <c r="N714" i="3"/>
  <c r="G713" i="3"/>
  <c r="M713" i="3"/>
  <c r="L714" i="3"/>
  <c r="H713" i="3"/>
  <c r="L713" i="3"/>
  <c r="M714" i="3"/>
  <c r="I713" i="3"/>
  <c r="N713" i="3"/>
  <c r="E714" i="3"/>
  <c r="D713" i="3"/>
  <c r="P2696" i="3"/>
  <c r="K714" i="3"/>
  <c r="D714" i="3"/>
  <c r="F714" i="3"/>
  <c r="J713" i="3"/>
  <c r="B1811" i="3"/>
  <c r="P2698" i="3"/>
  <c r="B2456" i="3"/>
  <c r="J712" i="3"/>
  <c r="E718" i="3"/>
  <c r="K712" i="3"/>
  <c r="F712" i="3"/>
  <c r="I712" i="3"/>
  <c r="M712" i="3"/>
  <c r="C1158" i="3"/>
  <c r="D1158" i="3" s="1"/>
  <c r="N718" i="3"/>
  <c r="L718" i="3"/>
  <c r="B2066" i="3"/>
  <c r="B2067" i="3" s="1"/>
  <c r="B1324" i="3"/>
  <c r="H718" i="3"/>
  <c r="P2700" i="3"/>
  <c r="C1154" i="3"/>
  <c r="D1154" i="3" s="1"/>
  <c r="B1254" i="3"/>
  <c r="B1255" i="3" s="1"/>
  <c r="B1698" i="3"/>
  <c r="C1155" i="3"/>
  <c r="K1155" i="3" s="1"/>
  <c r="C1149" i="3"/>
  <c r="K1149" i="3" s="1"/>
  <c r="C1157" i="3"/>
  <c r="L1157" i="3" s="1"/>
  <c r="B2248" i="3"/>
  <c r="K710" i="3"/>
  <c r="C1152" i="3"/>
  <c r="H1152" i="3" s="1"/>
  <c r="C1156" i="3"/>
  <c r="N1156" i="3" s="1"/>
  <c r="C1150" i="3"/>
  <c r="O1150" i="3" s="1"/>
  <c r="C1153" i="3"/>
  <c r="N1153" i="3" s="1"/>
  <c r="C1151" i="3"/>
  <c r="F1151" i="3" s="1"/>
  <c r="B2733" i="3"/>
  <c r="B2527" i="3"/>
  <c r="P2704" i="3"/>
  <c r="P2697" i="3"/>
  <c r="P2695" i="3"/>
  <c r="G2260" i="3"/>
  <c r="B2415" i="3"/>
  <c r="B2416" i="3" s="1"/>
  <c r="B401" i="3"/>
  <c r="B402" i="3" s="1"/>
  <c r="B403" i="3" s="1"/>
  <c r="B2388" i="3"/>
  <c r="B2389" i="3" s="1"/>
  <c r="B2390" i="3" s="1"/>
  <c r="B1233" i="3"/>
  <c r="B1234" i="3" s="1"/>
  <c r="B1235" i="3" s="1"/>
  <c r="B1236" i="3" s="1"/>
  <c r="C531" i="3"/>
  <c r="E531" i="3" s="1"/>
  <c r="P2703" i="3"/>
  <c r="P2702" i="3"/>
  <c r="P2701" i="3"/>
  <c r="P2699" i="3"/>
  <c r="B2757" i="3"/>
  <c r="B2758" i="3" s="1"/>
  <c r="B2759" i="3" s="1"/>
  <c r="B931" i="3"/>
  <c r="B261" i="3"/>
  <c r="B262" i="3" s="1"/>
  <c r="B2685" i="3"/>
  <c r="B2686" i="3" s="1"/>
  <c r="B2687" i="3" s="1"/>
  <c r="B885" i="3"/>
  <c r="C1388" i="3"/>
  <c r="E1388" i="3" s="1"/>
  <c r="C529" i="3"/>
  <c r="M529" i="3" s="1"/>
  <c r="B569" i="3"/>
  <c r="C557" i="3" s="1"/>
  <c r="B1443" i="3"/>
  <c r="B1444" i="3" s="1"/>
  <c r="B2295" i="3"/>
  <c r="C528" i="3"/>
  <c r="G528" i="3" s="1"/>
  <c r="B145" i="3"/>
  <c r="C1384" i="3"/>
  <c r="O1384" i="3" s="1"/>
  <c r="C1389" i="3"/>
  <c r="N1389" i="3" s="1"/>
  <c r="C1381" i="3"/>
  <c r="F1381" i="3" s="1"/>
  <c r="C1380" i="3"/>
  <c r="G1380" i="3" s="1"/>
  <c r="C1379" i="3"/>
  <c r="D1379" i="3" s="1"/>
  <c r="C1383" i="3"/>
  <c r="E1383" i="3" s="1"/>
  <c r="C1387" i="3"/>
  <c r="I1387" i="3" s="1"/>
  <c r="C1385" i="3"/>
  <c r="H1385" i="3" s="1"/>
  <c r="C1382" i="3"/>
  <c r="F1382" i="3" s="1"/>
  <c r="C1386" i="3"/>
  <c r="F1386" i="3" s="1"/>
  <c r="B2201" i="3"/>
  <c r="C526" i="3"/>
  <c r="N526" i="3" s="1"/>
  <c r="C533" i="3"/>
  <c r="N533" i="3" s="1"/>
  <c r="C527" i="3"/>
  <c r="L527" i="3" s="1"/>
  <c r="C530" i="3"/>
  <c r="I530" i="3" s="1"/>
  <c r="C524" i="3"/>
  <c r="O524" i="3" s="1"/>
  <c r="C525" i="3"/>
  <c r="D525" i="3" s="1"/>
  <c r="C532" i="3"/>
  <c r="B1995" i="3"/>
  <c r="B1672" i="3"/>
  <c r="B942" i="3"/>
  <c r="B769" i="3"/>
  <c r="B770" i="3" s="1"/>
  <c r="B771" i="3" s="1"/>
  <c r="E1148" i="3"/>
  <c r="F1148" i="3"/>
  <c r="N1148" i="3"/>
  <c r="O1148" i="3"/>
  <c r="J1148" i="3"/>
  <c r="K1148" i="3"/>
  <c r="M1148" i="3"/>
  <c r="G1148" i="3"/>
  <c r="I1148" i="3"/>
  <c r="H1148" i="3"/>
  <c r="D1148" i="3"/>
  <c r="L1148" i="3"/>
  <c r="G534" i="3"/>
  <c r="I534" i="3"/>
  <c r="J534" i="3"/>
  <c r="D534" i="3"/>
  <c r="M534" i="3"/>
  <c r="F534" i="3"/>
  <c r="L534" i="3"/>
  <c r="O534" i="3"/>
  <c r="E534" i="3"/>
  <c r="K534" i="3"/>
  <c r="N534" i="3"/>
  <c r="H534" i="3"/>
  <c r="B2225" i="3"/>
  <c r="B2226" i="3" s="1"/>
  <c r="B2139" i="3"/>
  <c r="C2125" i="3" s="1"/>
  <c r="N201" i="3"/>
  <c r="J201" i="3"/>
  <c r="D201" i="3"/>
  <c r="L201" i="3"/>
  <c r="I201" i="3"/>
  <c r="G201" i="3"/>
  <c r="E201" i="3"/>
  <c r="M201" i="3"/>
  <c r="K201" i="3"/>
  <c r="H201" i="3"/>
  <c r="F201" i="3"/>
  <c r="O201" i="3"/>
  <c r="H205" i="3"/>
  <c r="K205" i="3"/>
  <c r="G205" i="3"/>
  <c r="I205" i="3"/>
  <c r="O205" i="3"/>
  <c r="M205" i="3"/>
  <c r="J205" i="3"/>
  <c r="E205" i="3"/>
  <c r="D205" i="3"/>
  <c r="N205" i="3"/>
  <c r="L205" i="3"/>
  <c r="F205" i="3"/>
  <c r="F207" i="3"/>
  <c r="H207" i="3"/>
  <c r="I207" i="3"/>
  <c r="D207" i="3"/>
  <c r="K207" i="3"/>
  <c r="G207" i="3"/>
  <c r="M207" i="3"/>
  <c r="O207" i="3"/>
  <c r="J207" i="3"/>
  <c r="L207" i="3"/>
  <c r="E207" i="3"/>
  <c r="N207" i="3"/>
  <c r="E202" i="3"/>
  <c r="D202" i="3"/>
  <c r="K202" i="3"/>
  <c r="G202" i="3"/>
  <c r="N202" i="3"/>
  <c r="J202" i="3"/>
  <c r="H202" i="3"/>
  <c r="F202" i="3"/>
  <c r="L202" i="3"/>
  <c r="M202" i="3"/>
  <c r="I202" i="3"/>
  <c r="O202" i="3"/>
  <c r="G204" i="3"/>
  <c r="I204" i="3"/>
  <c r="F204" i="3"/>
  <c r="N204" i="3"/>
  <c r="H204" i="3"/>
  <c r="K204" i="3"/>
  <c r="J204" i="3"/>
  <c r="O204" i="3"/>
  <c r="E204" i="3"/>
  <c r="D204" i="3"/>
  <c r="L204" i="3"/>
  <c r="M204" i="3"/>
  <c r="B81" i="3"/>
  <c r="O203" i="3"/>
  <c r="G203" i="3"/>
  <c r="J203" i="3"/>
  <c r="H203" i="3"/>
  <c r="D203" i="3"/>
  <c r="L203" i="3"/>
  <c r="N203" i="3"/>
  <c r="F203" i="3"/>
  <c r="E203" i="3"/>
  <c r="K203" i="3"/>
  <c r="M203" i="3"/>
  <c r="I203" i="3"/>
  <c r="O211" i="3"/>
  <c r="H211" i="3"/>
  <c r="J211" i="3"/>
  <c r="E211" i="3"/>
  <c r="D211" i="3"/>
  <c r="N211" i="3"/>
  <c r="G211" i="3"/>
  <c r="F211" i="3"/>
  <c r="I211" i="3"/>
  <c r="M211" i="3"/>
  <c r="L211" i="3"/>
  <c r="K211" i="3"/>
  <c r="N210" i="3"/>
  <c r="E210" i="3"/>
  <c r="K210" i="3"/>
  <c r="D210" i="3"/>
  <c r="L210" i="3"/>
  <c r="F210" i="3"/>
  <c r="M210" i="3"/>
  <c r="H210" i="3"/>
  <c r="O210" i="3"/>
  <c r="G210" i="3"/>
  <c r="J210" i="3"/>
  <c r="I210" i="3"/>
  <c r="B2183" i="3"/>
  <c r="B2184" i="3" s="1"/>
  <c r="B607" i="3"/>
  <c r="L209" i="3"/>
  <c r="H209" i="3"/>
  <c r="G209" i="3"/>
  <c r="J209" i="3"/>
  <c r="M209" i="3"/>
  <c r="I209" i="3"/>
  <c r="F209" i="3"/>
  <c r="K209" i="3"/>
  <c r="D209" i="3"/>
  <c r="O209" i="3"/>
  <c r="N209" i="3"/>
  <c r="E209" i="3"/>
  <c r="D208" i="3"/>
  <c r="N208" i="3"/>
  <c r="I208" i="3"/>
  <c r="M208" i="3"/>
  <c r="F208" i="3"/>
  <c r="J208" i="3"/>
  <c r="H208" i="3"/>
  <c r="L208" i="3"/>
  <c r="K208" i="3"/>
  <c r="G208" i="3"/>
  <c r="O208" i="3"/>
  <c r="E208" i="3"/>
  <c r="B657" i="3"/>
  <c r="B658" i="3" s="1"/>
  <c r="B173" i="3"/>
  <c r="B174" i="3" s="1"/>
  <c r="C1064" i="3"/>
  <c r="C1066" i="3"/>
  <c r="C1060" i="3"/>
  <c r="C1056" i="3"/>
  <c r="C1059" i="3"/>
  <c r="C1063" i="3"/>
  <c r="C1058" i="3"/>
  <c r="C1061" i="3"/>
  <c r="C1057" i="3"/>
  <c r="C1062" i="3"/>
  <c r="C1065" i="3"/>
  <c r="B288" i="3"/>
  <c r="B1904" i="3"/>
  <c r="J2820" i="3"/>
  <c r="B515" i="3"/>
  <c r="B97" i="3"/>
  <c r="B98" i="3" s="1"/>
  <c r="B1561" i="3"/>
  <c r="C1550" i="3" s="1"/>
  <c r="B1119" i="3"/>
  <c r="B1120" i="3" s="1"/>
  <c r="B636" i="3"/>
  <c r="B637" i="3" s="1"/>
  <c r="B638" i="3" s="1"/>
  <c r="A179" i="3" s="1"/>
  <c r="B179" i="3" s="1"/>
  <c r="B55" i="3"/>
  <c r="C663" i="3"/>
  <c r="O663" i="3" s="1"/>
  <c r="D670" i="3"/>
  <c r="O670" i="3"/>
  <c r="K670" i="3"/>
  <c r="E670" i="3"/>
  <c r="G670" i="3"/>
  <c r="J670" i="3"/>
  <c r="I670" i="3"/>
  <c r="F670" i="3"/>
  <c r="H670" i="3"/>
  <c r="N670" i="3"/>
  <c r="L670" i="3"/>
  <c r="M670" i="3"/>
  <c r="C666" i="3"/>
  <c r="C665" i="3"/>
  <c r="C672" i="3"/>
  <c r="C667" i="3"/>
  <c r="C668" i="3"/>
  <c r="C664" i="3"/>
  <c r="C669" i="3"/>
  <c r="C673" i="3"/>
  <c r="C671" i="3"/>
  <c r="C1823" i="3"/>
  <c r="J1823" i="3" s="1"/>
  <c r="B1189" i="3"/>
  <c r="B1190" i="3" s="1"/>
  <c r="B1191" i="3" s="1"/>
  <c r="C1821" i="3"/>
  <c r="M1821" i="3" s="1"/>
  <c r="C1828" i="3"/>
  <c r="E1828" i="3" s="1"/>
  <c r="C1827" i="3"/>
  <c r="D1827" i="3" s="1"/>
  <c r="B426" i="3"/>
  <c r="B427" i="3" s="1"/>
  <c r="B428" i="3" s="1"/>
  <c r="B429" i="3" s="1"/>
  <c r="B430" i="3" s="1"/>
  <c r="G481" i="3"/>
  <c r="C1818" i="3"/>
  <c r="I1818" i="3" s="1"/>
  <c r="N481" i="3"/>
  <c r="J481" i="3"/>
  <c r="C1819" i="3"/>
  <c r="K1819" i="3" s="1"/>
  <c r="C1820" i="3"/>
  <c r="M1820" i="3" s="1"/>
  <c r="C1826" i="3"/>
  <c r="L1826" i="3" s="1"/>
  <c r="C1825" i="3"/>
  <c r="H1825" i="3" s="1"/>
  <c r="C1824" i="3"/>
  <c r="I1824" i="3" s="1"/>
  <c r="B750" i="3"/>
  <c r="B751" i="3" s="1"/>
  <c r="I481" i="3"/>
  <c r="F481" i="3"/>
  <c r="M481" i="3"/>
  <c r="O481" i="3"/>
  <c r="H481" i="3"/>
  <c r="E481" i="3"/>
  <c r="L481" i="3"/>
  <c r="K481" i="3"/>
  <c r="I485" i="3"/>
  <c r="L485" i="3"/>
  <c r="N485" i="3"/>
  <c r="F485" i="3"/>
  <c r="M485" i="3"/>
  <c r="G485" i="3"/>
  <c r="H485" i="3"/>
  <c r="O485" i="3"/>
  <c r="E485" i="3"/>
  <c r="K485" i="3"/>
  <c r="J485" i="3"/>
  <c r="D485" i="3"/>
  <c r="O483" i="3"/>
  <c r="J483" i="3"/>
  <c r="I483" i="3"/>
  <c r="E483" i="3"/>
  <c r="D483" i="3"/>
  <c r="K483" i="3"/>
  <c r="N483" i="3"/>
  <c r="L483" i="3"/>
  <c r="G483" i="3"/>
  <c r="F483" i="3"/>
  <c r="H483" i="3"/>
  <c r="M483" i="3"/>
  <c r="I482" i="3"/>
  <c r="J482" i="3"/>
  <c r="M482" i="3"/>
  <c r="F482" i="3"/>
  <c r="N482" i="3"/>
  <c r="D482" i="3"/>
  <c r="K482" i="3"/>
  <c r="L482" i="3"/>
  <c r="G482" i="3"/>
  <c r="O482" i="3"/>
  <c r="H482" i="3"/>
  <c r="E482" i="3"/>
  <c r="J479" i="3"/>
  <c r="E479" i="3"/>
  <c r="F479" i="3"/>
  <c r="M479" i="3"/>
  <c r="G479" i="3"/>
  <c r="O479" i="3"/>
  <c r="D479" i="3"/>
  <c r="K479" i="3"/>
  <c r="H479" i="3"/>
  <c r="I479" i="3"/>
  <c r="L479" i="3"/>
  <c r="N479" i="3"/>
  <c r="D480" i="3"/>
  <c r="L480" i="3"/>
  <c r="G480" i="3"/>
  <c r="N480" i="3"/>
  <c r="M480" i="3"/>
  <c r="K480" i="3"/>
  <c r="E480" i="3"/>
  <c r="H480" i="3"/>
  <c r="O480" i="3"/>
  <c r="F480" i="3"/>
  <c r="I480" i="3"/>
  <c r="J480" i="3"/>
  <c r="G488" i="3"/>
  <c r="L488" i="3"/>
  <c r="E488" i="3"/>
  <c r="F488" i="3"/>
  <c r="I488" i="3"/>
  <c r="H488" i="3"/>
  <c r="J488" i="3"/>
  <c r="K488" i="3"/>
  <c r="D488" i="3"/>
  <c r="N488" i="3"/>
  <c r="O488" i="3"/>
  <c r="M488" i="3"/>
  <c r="I484" i="3"/>
  <c r="H484" i="3"/>
  <c r="D484" i="3"/>
  <c r="L484" i="3"/>
  <c r="K484" i="3"/>
  <c r="G484" i="3"/>
  <c r="E484" i="3"/>
  <c r="J484" i="3"/>
  <c r="M484" i="3"/>
  <c r="O484" i="3"/>
  <c r="F484" i="3"/>
  <c r="N484" i="3"/>
  <c r="I478" i="3"/>
  <c r="L478" i="3"/>
  <c r="M478" i="3"/>
  <c r="G478" i="3"/>
  <c r="E478" i="3"/>
  <c r="N478" i="3"/>
  <c r="O478" i="3"/>
  <c r="J478" i="3"/>
  <c r="D478" i="3"/>
  <c r="H478" i="3"/>
  <c r="F478" i="3"/>
  <c r="K478" i="3"/>
  <c r="M486" i="3"/>
  <c r="D486" i="3"/>
  <c r="L486" i="3"/>
  <c r="F486" i="3"/>
  <c r="G486" i="3"/>
  <c r="K486" i="3"/>
  <c r="H486" i="3"/>
  <c r="E486" i="3"/>
  <c r="J486" i="3"/>
  <c r="I486" i="3"/>
  <c r="O486" i="3"/>
  <c r="N486" i="3"/>
  <c r="C781" i="3"/>
  <c r="F781" i="3" s="1"/>
  <c r="C785" i="3"/>
  <c r="J785" i="3" s="1"/>
  <c r="C783" i="3"/>
  <c r="J783" i="3" s="1"/>
  <c r="C780" i="3"/>
  <c r="L780" i="3" s="1"/>
  <c r="C1822" i="3"/>
  <c r="C787" i="3"/>
  <c r="L787" i="3" s="1"/>
  <c r="B2644" i="3"/>
  <c r="J832" i="3"/>
  <c r="C788" i="3"/>
  <c r="J788" i="3" s="1"/>
  <c r="C779" i="3"/>
  <c r="H779" i="3" s="1"/>
  <c r="C778" i="3"/>
  <c r="E778" i="3" s="1"/>
  <c r="C782" i="3"/>
  <c r="H782" i="3" s="1"/>
  <c r="C786" i="3"/>
  <c r="G786" i="3" s="1"/>
  <c r="L784" i="3"/>
  <c r="G784" i="3"/>
  <c r="N784" i="3"/>
  <c r="H784" i="3"/>
  <c r="O784" i="3"/>
  <c r="M784" i="3"/>
  <c r="F784" i="3"/>
  <c r="K784" i="3"/>
  <c r="E784" i="3"/>
  <c r="J784" i="3"/>
  <c r="I784" i="3"/>
  <c r="D784" i="3"/>
  <c r="B2438" i="3"/>
  <c r="D117" i="3"/>
  <c r="F114" i="3"/>
  <c r="F119" i="3"/>
  <c r="M119" i="3"/>
  <c r="H119" i="3"/>
  <c r="F115" i="3" l="1"/>
  <c r="N109" i="3"/>
  <c r="N117" i="3"/>
  <c r="M115" i="3"/>
  <c r="L109" i="3"/>
  <c r="O109" i="3"/>
  <c r="E115" i="3"/>
  <c r="H109" i="3"/>
  <c r="I109" i="3"/>
  <c r="J111" i="3"/>
  <c r="I115" i="3"/>
  <c r="K115" i="3"/>
  <c r="D115" i="3"/>
  <c r="F109" i="3"/>
  <c r="B2479" i="3"/>
  <c r="E2266" i="3"/>
  <c r="D116" i="3"/>
  <c r="I2820" i="3"/>
  <c r="O1730" i="3"/>
  <c r="M117" i="3"/>
  <c r="M832" i="3"/>
  <c r="E117" i="3"/>
  <c r="C833" i="3"/>
  <c r="I833" i="3" s="1"/>
  <c r="I117" i="3"/>
  <c r="F117" i="3"/>
  <c r="C829" i="3"/>
  <c r="D829" i="3" s="1"/>
  <c r="B1537" i="3"/>
  <c r="B1538" i="3" s="1"/>
  <c r="C1517" i="3" s="1"/>
  <c r="I1916" i="3"/>
  <c r="D1916" i="3"/>
  <c r="J1916" i="3"/>
  <c r="E1916" i="3"/>
  <c r="O1916" i="3"/>
  <c r="M1916" i="3"/>
  <c r="G1916" i="3"/>
  <c r="F1916" i="3"/>
  <c r="L118" i="3"/>
  <c r="O110" i="3"/>
  <c r="E118" i="3"/>
  <c r="K1916" i="3"/>
  <c r="I118" i="3"/>
  <c r="B1138" i="3"/>
  <c r="B1139" i="3" s="1"/>
  <c r="B1140" i="3" s="1"/>
  <c r="B1141" i="3" s="1"/>
  <c r="B1142" i="3" s="1"/>
  <c r="H1916" i="3"/>
  <c r="N1916" i="3"/>
  <c r="H1917" i="3"/>
  <c r="M1917" i="3"/>
  <c r="L1917" i="3"/>
  <c r="D1917" i="3"/>
  <c r="E1917" i="3"/>
  <c r="J1917" i="3"/>
  <c r="O1917" i="3"/>
  <c r="F1917" i="3"/>
  <c r="N1917" i="3"/>
  <c r="K1917" i="3"/>
  <c r="I1917" i="3"/>
  <c r="G1917" i="3"/>
  <c r="I114" i="3"/>
  <c r="I116" i="3"/>
  <c r="N2820" i="3"/>
  <c r="E2262" i="3"/>
  <c r="J2262" i="3"/>
  <c r="O2262" i="3"/>
  <c r="N114" i="3"/>
  <c r="H116" i="3"/>
  <c r="G2820" i="3"/>
  <c r="E1918" i="3"/>
  <c r="G1918" i="3"/>
  <c r="J1918" i="3"/>
  <c r="L1918" i="3"/>
  <c r="N1918" i="3"/>
  <c r="O1918" i="3"/>
  <c r="D1918" i="3"/>
  <c r="I1918" i="3"/>
  <c r="F1918" i="3"/>
  <c r="H1918" i="3"/>
  <c r="M1918" i="3"/>
  <c r="K1918" i="3"/>
  <c r="B354" i="3"/>
  <c r="I1915" i="3"/>
  <c r="L1915" i="3"/>
  <c r="H1915" i="3"/>
  <c r="F1915" i="3"/>
  <c r="E1915" i="3"/>
  <c r="K1915" i="3"/>
  <c r="J1915" i="3"/>
  <c r="G1915" i="3"/>
  <c r="N1915" i="3"/>
  <c r="O1915" i="3"/>
  <c r="M1915" i="3"/>
  <c r="D1915" i="3"/>
  <c r="M1910" i="3"/>
  <c r="N1910" i="3"/>
  <c r="G1910" i="3"/>
  <c r="E1910" i="3"/>
  <c r="O1910" i="3"/>
  <c r="D1910" i="3"/>
  <c r="I1910" i="3"/>
  <c r="L1910" i="3"/>
  <c r="K1910" i="3"/>
  <c r="H1910" i="3"/>
  <c r="J1910" i="3"/>
  <c r="F1910" i="3"/>
  <c r="B2545" i="3"/>
  <c r="H1911" i="3"/>
  <c r="J1911" i="3"/>
  <c r="D1911" i="3"/>
  <c r="O1911" i="3"/>
  <c r="L1911" i="3"/>
  <c r="K1911" i="3"/>
  <c r="N1911" i="3"/>
  <c r="I1911" i="3"/>
  <c r="M1911" i="3"/>
  <c r="E1911" i="3"/>
  <c r="F1911" i="3"/>
  <c r="G1911" i="3"/>
  <c r="E1912" i="3"/>
  <c r="K1912" i="3"/>
  <c r="I1912" i="3"/>
  <c r="J1912" i="3"/>
  <c r="O1912" i="3"/>
  <c r="H1912" i="3"/>
  <c r="N1912" i="3"/>
  <c r="L1912" i="3"/>
  <c r="F1912" i="3"/>
  <c r="G1912" i="3"/>
  <c r="M1912" i="3"/>
  <c r="D1912" i="3"/>
  <c r="B2480" i="3"/>
  <c r="N1919" i="3"/>
  <c r="I1919" i="3"/>
  <c r="J1919" i="3"/>
  <c r="D1919" i="3"/>
  <c r="F1919" i="3"/>
  <c r="O1919" i="3"/>
  <c r="M1919" i="3"/>
  <c r="L1919" i="3"/>
  <c r="G1919" i="3"/>
  <c r="H1919" i="3"/>
  <c r="E1919" i="3"/>
  <c r="K1919" i="3"/>
  <c r="L1920" i="3"/>
  <c r="H1920" i="3"/>
  <c r="K1920" i="3"/>
  <c r="I1920" i="3"/>
  <c r="N1920" i="3"/>
  <c r="D1920" i="3"/>
  <c r="J1920" i="3"/>
  <c r="E1920" i="3"/>
  <c r="M1920" i="3"/>
  <c r="F1920" i="3"/>
  <c r="G1920" i="3"/>
  <c r="O1920" i="3"/>
  <c r="L1914" i="3"/>
  <c r="G1914" i="3"/>
  <c r="F1914" i="3"/>
  <c r="J1914" i="3"/>
  <c r="O1914" i="3"/>
  <c r="H1914" i="3"/>
  <c r="M1914" i="3"/>
  <c r="D1914" i="3"/>
  <c r="N1914" i="3"/>
  <c r="E1914" i="3"/>
  <c r="I1914" i="3"/>
  <c r="K1914" i="3"/>
  <c r="L1913" i="3"/>
  <c r="J1913" i="3"/>
  <c r="G1913" i="3"/>
  <c r="M1913" i="3"/>
  <c r="N1913" i="3"/>
  <c r="E1913" i="3"/>
  <c r="K1913" i="3"/>
  <c r="H1913" i="3"/>
  <c r="I1913" i="3"/>
  <c r="D1913" i="3"/>
  <c r="O1913" i="3"/>
  <c r="F1913" i="3"/>
  <c r="E2815" i="3"/>
  <c r="M2266" i="3"/>
  <c r="B467" i="3"/>
  <c r="B1097" i="3"/>
  <c r="B1098" i="3" s="1"/>
  <c r="B1099" i="3" s="1"/>
  <c r="B1100" i="3" s="1"/>
  <c r="C1084" i="3" s="1"/>
  <c r="L2263" i="3"/>
  <c r="E2263" i="3"/>
  <c r="B1949" i="3"/>
  <c r="B2660" i="3"/>
  <c r="L110" i="3"/>
  <c r="M966" i="3"/>
  <c r="E2258" i="3"/>
  <c r="H2266" i="3"/>
  <c r="M2258" i="3"/>
  <c r="O2260" i="3"/>
  <c r="H966" i="3"/>
  <c r="D110" i="3"/>
  <c r="F112" i="3"/>
  <c r="N2260" i="3"/>
  <c r="C826" i="3"/>
  <c r="G826" i="3" s="1"/>
  <c r="G2259" i="3"/>
  <c r="F2256" i="3"/>
  <c r="N2256" i="3"/>
  <c r="M2261" i="3"/>
  <c r="I832" i="3"/>
  <c r="G832" i="3"/>
  <c r="C834" i="3"/>
  <c r="O834" i="3" s="1"/>
  <c r="F832" i="3"/>
  <c r="L832" i="3"/>
  <c r="C828" i="3"/>
  <c r="O828" i="3" s="1"/>
  <c r="O2263" i="3"/>
  <c r="I2259" i="3"/>
  <c r="D832" i="3"/>
  <c r="K832" i="3"/>
  <c r="O832" i="3"/>
  <c r="C830" i="3"/>
  <c r="G830" i="3" s="1"/>
  <c r="C831" i="3"/>
  <c r="G831" i="3" s="1"/>
  <c r="N2261" i="3"/>
  <c r="H2256" i="3"/>
  <c r="L2259" i="3"/>
  <c r="H117" i="3"/>
  <c r="L117" i="3"/>
  <c r="J117" i="3"/>
  <c r="H115" i="3"/>
  <c r="N115" i="3"/>
  <c r="O115" i="3"/>
  <c r="G109" i="3"/>
  <c r="M109" i="3"/>
  <c r="K2820" i="3"/>
  <c r="N1730" i="3"/>
  <c r="H2262" i="3"/>
  <c r="L2262" i="3"/>
  <c r="N2262" i="3"/>
  <c r="G2262" i="3"/>
  <c r="K117" i="3"/>
  <c r="G117" i="3"/>
  <c r="J115" i="3"/>
  <c r="L115" i="3"/>
  <c r="D109" i="3"/>
  <c r="K109" i="3"/>
  <c r="E109" i="3"/>
  <c r="H2820" i="3"/>
  <c r="F2262" i="3"/>
  <c r="I2262" i="3"/>
  <c r="H832" i="3"/>
  <c r="N832" i="3"/>
  <c r="C827" i="3"/>
  <c r="H827" i="3" s="1"/>
  <c r="L2261" i="3"/>
  <c r="D2261" i="3"/>
  <c r="F2263" i="3"/>
  <c r="J2259" i="3"/>
  <c r="J2256" i="3"/>
  <c r="E2256" i="3"/>
  <c r="N2263" i="3"/>
  <c r="O2256" i="3"/>
  <c r="G2261" i="3"/>
  <c r="G2256" i="3"/>
  <c r="F2259" i="3"/>
  <c r="P363" i="3" a="1"/>
  <c r="P363" i="3" s="1"/>
  <c r="F2261" i="3"/>
  <c r="E2261" i="3"/>
  <c r="J2263" i="3"/>
  <c r="M2263" i="3"/>
  <c r="D2259" i="3"/>
  <c r="E2259" i="3"/>
  <c r="I2256" i="3"/>
  <c r="O2259" i="3"/>
  <c r="J2261" i="3"/>
  <c r="C825" i="3"/>
  <c r="G825" i="3" s="1"/>
  <c r="C835" i="3"/>
  <c r="D835" i="3" s="1"/>
  <c r="K2261" i="3"/>
  <c r="I2263" i="3"/>
  <c r="H2263" i="3"/>
  <c r="D2263" i="3"/>
  <c r="K2263" i="3"/>
  <c r="N2259" i="3"/>
  <c r="M2259" i="3"/>
  <c r="K2256" i="3"/>
  <c r="L2256" i="3"/>
  <c r="I2261" i="3"/>
  <c r="D2256" i="3"/>
  <c r="O2261" i="3"/>
  <c r="K2259" i="3"/>
  <c r="K2262" i="3"/>
  <c r="E119" i="3"/>
  <c r="J119" i="3"/>
  <c r="K114" i="3"/>
  <c r="J116" i="3"/>
  <c r="M116" i="3"/>
  <c r="G118" i="3"/>
  <c r="D118" i="3"/>
  <c r="K119" i="3"/>
  <c r="J114" i="3"/>
  <c r="L114" i="3"/>
  <c r="N116" i="3"/>
  <c r="M118" i="3"/>
  <c r="F973" i="3"/>
  <c r="O2258" i="3"/>
  <c r="H110" i="3"/>
  <c r="M110" i="3"/>
  <c r="E110" i="3"/>
  <c r="I112" i="3"/>
  <c r="B1862" i="3"/>
  <c r="C1841" i="3" s="1"/>
  <c r="M1841" i="3" s="1"/>
  <c r="E2260" i="3"/>
  <c r="I2260" i="3"/>
  <c r="H2260" i="3"/>
  <c r="E966" i="3"/>
  <c r="I2258" i="3"/>
  <c r="J2266" i="3"/>
  <c r="L2258" i="3"/>
  <c r="D2260" i="3"/>
  <c r="M2260" i="3"/>
  <c r="J2260" i="3"/>
  <c r="H2258" i="3"/>
  <c r="F2266" i="3"/>
  <c r="L2266" i="3"/>
  <c r="J2258" i="3"/>
  <c r="K2258" i="3"/>
  <c r="G2258" i="3"/>
  <c r="O972" i="3"/>
  <c r="O2266" i="3"/>
  <c r="G2266" i="3"/>
  <c r="N2266" i="3"/>
  <c r="N110" i="3"/>
  <c r="K110" i="3"/>
  <c r="F110" i="3"/>
  <c r="K112" i="3"/>
  <c r="J110" i="3"/>
  <c r="G110" i="3"/>
  <c r="F2260" i="3"/>
  <c r="K2260" i="3"/>
  <c r="O966" i="3"/>
  <c r="D2266" i="3"/>
  <c r="N2258" i="3"/>
  <c r="G972" i="3"/>
  <c r="N966" i="3"/>
  <c r="K2266" i="3"/>
  <c r="L119" i="3"/>
  <c r="D119" i="3"/>
  <c r="N119" i="3"/>
  <c r="H114" i="3"/>
  <c r="G114" i="3"/>
  <c r="D114" i="3"/>
  <c r="O116" i="3"/>
  <c r="K116" i="3"/>
  <c r="L116" i="3"/>
  <c r="O118" i="3"/>
  <c r="J118" i="3"/>
  <c r="D2265" i="3"/>
  <c r="H2265" i="3"/>
  <c r="G2264" i="3"/>
  <c r="I2257" i="3"/>
  <c r="M2264" i="3"/>
  <c r="H2257" i="3"/>
  <c r="K2257" i="3"/>
  <c r="O2257" i="3"/>
  <c r="E2265" i="3"/>
  <c r="J2265" i="3"/>
  <c r="G2265" i="3"/>
  <c r="J2264" i="3"/>
  <c r="K2264" i="3"/>
  <c r="J2257" i="3"/>
  <c r="O119" i="3"/>
  <c r="G119" i="3"/>
  <c r="O114" i="3"/>
  <c r="E114" i="3"/>
  <c r="F116" i="3"/>
  <c r="E116" i="3"/>
  <c r="N118" i="3"/>
  <c r="K118" i="3"/>
  <c r="F118" i="3"/>
  <c r="M2265" i="3"/>
  <c r="K2265" i="3"/>
  <c r="F2265" i="3"/>
  <c r="O2264" i="3"/>
  <c r="E2257" i="3"/>
  <c r="L2257" i="3"/>
  <c r="L973" i="3"/>
  <c r="H2264" i="3"/>
  <c r="D970" i="3"/>
  <c r="E2813" i="3"/>
  <c r="H2810" i="3"/>
  <c r="O112" i="3"/>
  <c r="D112" i="3"/>
  <c r="H112" i="3"/>
  <c r="F2820" i="3"/>
  <c r="D2820" i="3"/>
  <c r="M2820" i="3"/>
  <c r="F2813" i="3"/>
  <c r="E112" i="3"/>
  <c r="G112" i="3"/>
  <c r="J112" i="3"/>
  <c r="I111" i="3"/>
  <c r="E111" i="3"/>
  <c r="N112" i="3"/>
  <c r="M112" i="3"/>
  <c r="L2820" i="3"/>
  <c r="O2820" i="3"/>
  <c r="N2813" i="3"/>
  <c r="N2264" i="3"/>
  <c r="D2257" i="3"/>
  <c r="N2257" i="3"/>
  <c r="L2265" i="3"/>
  <c r="E2264" i="3"/>
  <c r="I2264" i="3"/>
  <c r="N2265" i="3"/>
  <c r="L2264" i="3"/>
  <c r="F2264" i="3"/>
  <c r="M2257" i="3"/>
  <c r="O2265" i="3"/>
  <c r="O973" i="3"/>
  <c r="G2257" i="3"/>
  <c r="L2810" i="3"/>
  <c r="J973" i="3"/>
  <c r="E973" i="3"/>
  <c r="I964" i="3"/>
  <c r="O964" i="3"/>
  <c r="J964" i="3"/>
  <c r="F2258" i="3"/>
  <c r="N1731" i="3"/>
  <c r="F964" i="3"/>
  <c r="K964" i="3"/>
  <c r="N973" i="3"/>
  <c r="L964" i="3"/>
  <c r="B865" i="3"/>
  <c r="B866" i="3" s="1"/>
  <c r="B867" i="3" s="1"/>
  <c r="J2813" i="3"/>
  <c r="C2358" i="3"/>
  <c r="M2358" i="3" s="1"/>
  <c r="C2349" i="3"/>
  <c r="L2349" i="3" s="1"/>
  <c r="G2813" i="3"/>
  <c r="D2813" i="3"/>
  <c r="E968" i="3"/>
  <c r="M968" i="3"/>
  <c r="G973" i="3"/>
  <c r="K973" i="3"/>
  <c r="L966" i="3"/>
  <c r="F966" i="3"/>
  <c r="G966" i="3"/>
  <c r="E972" i="3"/>
  <c r="D972" i="3"/>
  <c r="G964" i="3"/>
  <c r="K966" i="3"/>
  <c r="D966" i="3"/>
  <c r="J966" i="3"/>
  <c r="H972" i="3"/>
  <c r="M973" i="3"/>
  <c r="M964" i="3"/>
  <c r="L2815" i="3"/>
  <c r="J2815" i="3"/>
  <c r="O963" i="3"/>
  <c r="J972" i="3"/>
  <c r="L972" i="3"/>
  <c r="O971" i="3"/>
  <c r="M972" i="3"/>
  <c r="N972" i="3"/>
  <c r="F972" i="3"/>
  <c r="I972" i="3"/>
  <c r="D968" i="3"/>
  <c r="F968" i="3"/>
  <c r="F971" i="3"/>
  <c r="H2814" i="3"/>
  <c r="H970" i="3"/>
  <c r="F2354" i="3"/>
  <c r="E1730" i="3"/>
  <c r="J1730" i="3"/>
  <c r="H968" i="3"/>
  <c r="N968" i="3"/>
  <c r="I971" i="3"/>
  <c r="G971" i="3"/>
  <c r="I968" i="3"/>
  <c r="E971" i="3"/>
  <c r="H971" i="3"/>
  <c r="F1730" i="3"/>
  <c r="K1730" i="3"/>
  <c r="J968" i="3"/>
  <c r="L968" i="3"/>
  <c r="K968" i="3"/>
  <c r="N971" i="3"/>
  <c r="L971" i="3"/>
  <c r="D971" i="3"/>
  <c r="M971" i="3"/>
  <c r="F2819" i="3"/>
  <c r="E2814" i="3"/>
  <c r="F965" i="3"/>
  <c r="J2814" i="3"/>
  <c r="N2816" i="3"/>
  <c r="I2816" i="3"/>
  <c r="K967" i="3"/>
  <c r="O2815" i="3"/>
  <c r="H2815" i="3"/>
  <c r="N2815" i="3"/>
  <c r="J967" i="3"/>
  <c r="D965" i="3"/>
  <c r="G1725" i="3"/>
  <c r="L969" i="3"/>
  <c r="K965" i="3"/>
  <c r="G2815" i="3"/>
  <c r="K2815" i="3"/>
  <c r="M2815" i="3"/>
  <c r="E2818" i="3"/>
  <c r="F2815" i="3"/>
  <c r="I2815" i="3"/>
  <c r="N111" i="3"/>
  <c r="F1726" i="3"/>
  <c r="E967" i="3"/>
  <c r="O967" i="3"/>
  <c r="G967" i="3"/>
  <c r="E965" i="3"/>
  <c r="M965" i="3"/>
  <c r="I965" i="3"/>
  <c r="E970" i="3"/>
  <c r="K971" i="3"/>
  <c r="L965" i="3"/>
  <c r="G965" i="3"/>
  <c r="D111" i="3"/>
  <c r="O111" i="3"/>
  <c r="N967" i="3"/>
  <c r="I967" i="3"/>
  <c r="F967" i="3"/>
  <c r="D967" i="3"/>
  <c r="J965" i="3"/>
  <c r="N965" i="3"/>
  <c r="O965" i="3"/>
  <c r="I970" i="3"/>
  <c r="L970" i="3"/>
  <c r="G2817" i="3"/>
  <c r="F2810" i="3"/>
  <c r="N2810" i="3"/>
  <c r="H1732" i="3"/>
  <c r="N969" i="3"/>
  <c r="O969" i="3"/>
  <c r="D969" i="3"/>
  <c r="N963" i="3"/>
  <c r="E963" i="3"/>
  <c r="F970" i="3"/>
  <c r="M970" i="3"/>
  <c r="K2810" i="3"/>
  <c r="O1731" i="3"/>
  <c r="H969" i="3"/>
  <c r="M969" i="3"/>
  <c r="F963" i="3"/>
  <c r="H963" i="3"/>
  <c r="M963" i="3"/>
  <c r="G963" i="3"/>
  <c r="K969" i="3"/>
  <c r="H967" i="3"/>
  <c r="L967" i="3"/>
  <c r="M2810" i="3"/>
  <c r="O2810" i="3"/>
  <c r="K1731" i="3"/>
  <c r="I969" i="3"/>
  <c r="I963" i="3"/>
  <c r="D963" i="3"/>
  <c r="K963" i="3"/>
  <c r="J963" i="3"/>
  <c r="E969" i="3"/>
  <c r="H964" i="3"/>
  <c r="E964" i="3"/>
  <c r="O2813" i="3"/>
  <c r="H2813" i="3"/>
  <c r="K2813" i="3"/>
  <c r="L2819" i="3"/>
  <c r="I1730" i="3"/>
  <c r="M1730" i="3"/>
  <c r="L1730" i="3"/>
  <c r="D1726" i="3"/>
  <c r="L2816" i="3"/>
  <c r="D2816" i="3"/>
  <c r="G968" i="3"/>
  <c r="G2819" i="3"/>
  <c r="G1726" i="3"/>
  <c r="I1726" i="3"/>
  <c r="O2816" i="3"/>
  <c r="K2819" i="3"/>
  <c r="M2813" i="3"/>
  <c r="I2813" i="3"/>
  <c r="E2819" i="3"/>
  <c r="G1730" i="3"/>
  <c r="D1730" i="3"/>
  <c r="M1726" i="3"/>
  <c r="J1726" i="3"/>
  <c r="J2816" i="3"/>
  <c r="G970" i="3"/>
  <c r="J970" i="3"/>
  <c r="K970" i="3"/>
  <c r="D973" i="3"/>
  <c r="H973" i="3"/>
  <c r="J969" i="3"/>
  <c r="F969" i="3"/>
  <c r="N970" i="3"/>
  <c r="D2810" i="3"/>
  <c r="D1727" i="3"/>
  <c r="F1731" i="3"/>
  <c r="M1731" i="3"/>
  <c r="D1731" i="3"/>
  <c r="F2817" i="3"/>
  <c r="J2810" i="3"/>
  <c r="G2810" i="3"/>
  <c r="J1727" i="3"/>
  <c r="G1731" i="3"/>
  <c r="J1731" i="3"/>
  <c r="I1731" i="3"/>
  <c r="I2817" i="3"/>
  <c r="E2810" i="3"/>
  <c r="H1731" i="3"/>
  <c r="L1731" i="3"/>
  <c r="B1049" i="3"/>
  <c r="B1050" i="3" s="1"/>
  <c r="B1051" i="3" s="1"/>
  <c r="F2818" i="3"/>
  <c r="I1728" i="3"/>
  <c r="K1725" i="3"/>
  <c r="L1725" i="3"/>
  <c r="K2812" i="3"/>
  <c r="K2811" i="3"/>
  <c r="L2818" i="3"/>
  <c r="O1735" i="3"/>
  <c r="G111" i="3"/>
  <c r="L111" i="3"/>
  <c r="F111" i="3"/>
  <c r="G2811" i="3"/>
  <c r="K2818" i="3"/>
  <c r="D2818" i="3"/>
  <c r="J2818" i="3"/>
  <c r="E1733" i="3"/>
  <c r="D1728" i="3"/>
  <c r="D1735" i="3"/>
  <c r="D1725" i="3"/>
  <c r="H1725" i="3"/>
  <c r="J1725" i="3"/>
  <c r="I2811" i="3"/>
  <c r="M2818" i="3"/>
  <c r="H2818" i="3"/>
  <c r="I2818" i="3"/>
  <c r="N1733" i="3"/>
  <c r="K1728" i="3"/>
  <c r="G1735" i="3"/>
  <c r="F1725" i="3"/>
  <c r="E1725" i="3"/>
  <c r="M1725" i="3"/>
  <c r="J2812" i="3"/>
  <c r="K111" i="3"/>
  <c r="M111" i="3"/>
  <c r="D2812" i="3"/>
  <c r="G2818" i="3"/>
  <c r="N2818" i="3"/>
  <c r="F1733" i="3"/>
  <c r="N1725" i="3"/>
  <c r="O1725" i="3"/>
  <c r="K2354" i="3"/>
  <c r="M1734" i="3"/>
  <c r="B1278" i="3"/>
  <c r="B2623" i="3"/>
  <c r="C2612" i="3" s="1"/>
  <c r="J2819" i="3"/>
  <c r="I2819" i="3"/>
  <c r="H2819" i="3"/>
  <c r="L1726" i="3"/>
  <c r="K1726" i="3"/>
  <c r="N1726" i="3"/>
  <c r="H2816" i="3"/>
  <c r="G2816" i="3"/>
  <c r="E2816" i="3"/>
  <c r="M2819" i="3"/>
  <c r="D2819" i="3"/>
  <c r="O2819" i="3"/>
  <c r="O1726" i="3"/>
  <c r="H1726" i="3"/>
  <c r="M2816" i="3"/>
  <c r="F2816" i="3"/>
  <c r="H1733" i="3"/>
  <c r="G1733" i="3"/>
  <c r="O1728" i="3"/>
  <c r="N1728" i="3"/>
  <c r="F1728" i="3"/>
  <c r="N1735" i="3"/>
  <c r="H1735" i="3"/>
  <c r="I1735" i="3"/>
  <c r="G1728" i="3"/>
  <c r="L1728" i="3"/>
  <c r="J1728" i="3"/>
  <c r="J1735" i="3"/>
  <c r="M1735" i="3"/>
  <c r="F1735" i="3"/>
  <c r="I1149" i="3"/>
  <c r="O1733" i="3"/>
  <c r="H1728" i="3"/>
  <c r="M1728" i="3"/>
  <c r="E1735" i="3"/>
  <c r="L1735" i="3"/>
  <c r="I1734" i="3"/>
  <c r="F1734" i="3"/>
  <c r="B2315" i="3"/>
  <c r="B2316" i="3" s="1"/>
  <c r="B2317" i="3" s="1"/>
  <c r="B2318" i="3" s="1"/>
  <c r="B2319" i="3" s="1"/>
  <c r="B2320" i="3" s="1"/>
  <c r="H2354" i="3"/>
  <c r="L2817" i="3"/>
  <c r="M2354" i="3"/>
  <c r="H2817" i="3"/>
  <c r="E2817" i="3"/>
  <c r="D2817" i="3"/>
  <c r="D1733" i="3"/>
  <c r="L1733" i="3"/>
  <c r="I1733" i="3"/>
  <c r="J1734" i="3"/>
  <c r="D1734" i="3"/>
  <c r="O2817" i="3"/>
  <c r="N2817" i="3"/>
  <c r="D2354" i="3"/>
  <c r="O2354" i="3"/>
  <c r="C2351" i="3"/>
  <c r="F2351" i="3" s="1"/>
  <c r="K2817" i="3"/>
  <c r="J2817" i="3"/>
  <c r="M1733" i="3"/>
  <c r="K1733" i="3"/>
  <c r="G1734" i="3"/>
  <c r="B2506" i="3"/>
  <c r="B2507" i="3" s="1"/>
  <c r="O2812" i="3"/>
  <c r="H2812" i="3"/>
  <c r="L2812" i="3"/>
  <c r="L2811" i="3"/>
  <c r="M2811" i="3"/>
  <c r="D2811" i="3"/>
  <c r="G2814" i="3"/>
  <c r="L2814" i="3"/>
  <c r="N2814" i="3"/>
  <c r="N1732" i="3"/>
  <c r="J1732" i="3"/>
  <c r="M1727" i="3"/>
  <c r="E2812" i="3"/>
  <c r="O2811" i="3"/>
  <c r="F2811" i="3"/>
  <c r="M2814" i="3"/>
  <c r="K2814" i="3"/>
  <c r="D2814" i="3"/>
  <c r="F1732" i="3"/>
  <c r="I1732" i="3"/>
  <c r="O1727" i="3"/>
  <c r="I2812" i="3"/>
  <c r="N2812" i="3"/>
  <c r="H2811" i="3"/>
  <c r="G2812" i="3"/>
  <c r="F2812" i="3"/>
  <c r="E2811" i="3"/>
  <c r="J2811" i="3"/>
  <c r="F2814" i="3"/>
  <c r="O2814" i="3"/>
  <c r="M1732" i="3"/>
  <c r="K1727" i="3"/>
  <c r="L1727" i="3"/>
  <c r="B1603" i="3"/>
  <c r="N1729" i="3"/>
  <c r="E1729" i="3"/>
  <c r="C900" i="3"/>
  <c r="G900" i="3" s="1"/>
  <c r="C807" i="3"/>
  <c r="E807" i="3" s="1"/>
  <c r="C904" i="3"/>
  <c r="N904" i="3" s="1"/>
  <c r="C901" i="3"/>
  <c r="H901" i="3" s="1"/>
  <c r="D1729" i="3"/>
  <c r="C903" i="3"/>
  <c r="E903" i="3" s="1"/>
  <c r="D1157" i="3"/>
  <c r="I1729" i="3"/>
  <c r="G1729" i="3"/>
  <c r="C897" i="3"/>
  <c r="F897" i="3" s="1"/>
  <c r="D529" i="3"/>
  <c r="C2353" i="3"/>
  <c r="K2353" i="3" s="1"/>
  <c r="M1729" i="3"/>
  <c r="B1584" i="3"/>
  <c r="B2040" i="3"/>
  <c r="B2041" i="3" s="1"/>
  <c r="C2102" i="3"/>
  <c r="C2105" i="3"/>
  <c r="C2098" i="3"/>
  <c r="C2096" i="3"/>
  <c r="C2101" i="3"/>
  <c r="C2100" i="3"/>
  <c r="C2104" i="3"/>
  <c r="C2103" i="3"/>
  <c r="C2095" i="3"/>
  <c r="C2099" i="3"/>
  <c r="B1654" i="3"/>
  <c r="A1195" i="3" s="1"/>
  <c r="B1195" i="3" s="1"/>
  <c r="E2354" i="3"/>
  <c r="N2354" i="3"/>
  <c r="J2354" i="3"/>
  <c r="D1380" i="3"/>
  <c r="C2356" i="3"/>
  <c r="E2356" i="3" s="1"/>
  <c r="C2357" i="3"/>
  <c r="H2357" i="3" s="1"/>
  <c r="L1729" i="3"/>
  <c r="H1729" i="3"/>
  <c r="O1729" i="3"/>
  <c r="I2354" i="3"/>
  <c r="L2354" i="3"/>
  <c r="C2355" i="3"/>
  <c r="L2355" i="3" s="1"/>
  <c r="C2359" i="3"/>
  <c r="I2359" i="3" s="1"/>
  <c r="C2352" i="3"/>
  <c r="J2352" i="3" s="1"/>
  <c r="C2350" i="3"/>
  <c r="L2350" i="3" s="1"/>
  <c r="O1155" i="3"/>
  <c r="F1729" i="3"/>
  <c r="J1729" i="3"/>
  <c r="B1302" i="3"/>
  <c r="B1303" i="3" s="1"/>
  <c r="B1304" i="3" s="1"/>
  <c r="B1305" i="3" s="1"/>
  <c r="C2097" i="3"/>
  <c r="B588" i="3"/>
  <c r="B1371" i="3"/>
  <c r="B1372" i="3" s="1"/>
  <c r="P2787" i="3" a="1"/>
  <c r="P2791" i="3" s="1"/>
  <c r="P709" i="3" a="1"/>
  <c r="P716" i="3" s="1"/>
  <c r="O525" i="3"/>
  <c r="C2402" i="3"/>
  <c r="K2402" i="3" s="1"/>
  <c r="F1156" i="3"/>
  <c r="K1154" i="3"/>
  <c r="N1734" i="3"/>
  <c r="E1734" i="3"/>
  <c r="O1734" i="3"/>
  <c r="B1625" i="3"/>
  <c r="C898" i="3"/>
  <c r="C902" i="3"/>
  <c r="C895" i="3"/>
  <c r="G1156" i="3"/>
  <c r="K1734" i="3"/>
  <c r="L1734" i="3"/>
  <c r="B2598" i="3"/>
  <c r="B2599" i="3" s="1"/>
  <c r="C894" i="3"/>
  <c r="C899" i="3"/>
  <c r="C896" i="3"/>
  <c r="B1878" i="3"/>
  <c r="M1158" i="3"/>
  <c r="B1419" i="3"/>
  <c r="B1420" i="3" s="1"/>
  <c r="I1153" i="3"/>
  <c r="L1732" i="3"/>
  <c r="E1732" i="3"/>
  <c r="O1732" i="3"/>
  <c r="I1727" i="3"/>
  <c r="G1727" i="3"/>
  <c r="E1727" i="3"/>
  <c r="B2088" i="3"/>
  <c r="B2340" i="3"/>
  <c r="B2341" i="3" s="1"/>
  <c r="B2342" i="3" s="1"/>
  <c r="K1153" i="3"/>
  <c r="F1155" i="3"/>
  <c r="G1732" i="3"/>
  <c r="K1732" i="3"/>
  <c r="F1727" i="3"/>
  <c r="H1727" i="3"/>
  <c r="O1380" i="3"/>
  <c r="F529" i="3"/>
  <c r="H1154" i="3"/>
  <c r="Q2703" i="3"/>
  <c r="BQ2696" i="3" s="1"/>
  <c r="BT2695" i="3" s="1"/>
  <c r="BU2695" i="3" s="1"/>
  <c r="B1787" i="3"/>
  <c r="J1154" i="3"/>
  <c r="E1380" i="3"/>
  <c r="F1385" i="3"/>
  <c r="L1153" i="3"/>
  <c r="H1156" i="3"/>
  <c r="I1158" i="3"/>
  <c r="H1158" i="3"/>
  <c r="C802" i="3"/>
  <c r="N802" i="3" s="1"/>
  <c r="F1153" i="3"/>
  <c r="F1158" i="3"/>
  <c r="O1158" i="3"/>
  <c r="B1764" i="3"/>
  <c r="B1765" i="3" s="1"/>
  <c r="B1766" i="3" s="1"/>
  <c r="B1767" i="3" s="1"/>
  <c r="D1153" i="3"/>
  <c r="O1153" i="3"/>
  <c r="J1156" i="3"/>
  <c r="F1149" i="3"/>
  <c r="K1158" i="3"/>
  <c r="B307" i="3"/>
  <c r="J1388" i="3"/>
  <c r="I1823" i="3"/>
  <c r="K1388" i="3"/>
  <c r="F528" i="3"/>
  <c r="K1150" i="3"/>
  <c r="L1150" i="3"/>
  <c r="M531" i="3"/>
  <c r="B330" i="3"/>
  <c r="C806" i="3"/>
  <c r="C808" i="3"/>
  <c r="C804" i="3"/>
  <c r="N1823" i="3"/>
  <c r="N1388" i="3"/>
  <c r="F1388" i="3"/>
  <c r="O528" i="3"/>
  <c r="D528" i="3"/>
  <c r="I1150" i="3"/>
  <c r="J1150" i="3"/>
  <c r="L1155" i="3"/>
  <c r="M1155" i="3"/>
  <c r="D807" i="3"/>
  <c r="D1388" i="3"/>
  <c r="L528" i="3"/>
  <c r="H528" i="3"/>
  <c r="E1150" i="3"/>
  <c r="N1150" i="3"/>
  <c r="N1155" i="3"/>
  <c r="C812" i="3"/>
  <c r="C810" i="3"/>
  <c r="C805" i="3"/>
  <c r="O1382" i="3"/>
  <c r="L1388" i="3"/>
  <c r="I528" i="3"/>
  <c r="H1150" i="3"/>
  <c r="G1150" i="3"/>
  <c r="M1150" i="3"/>
  <c r="H1155" i="3"/>
  <c r="B2570" i="3"/>
  <c r="C809" i="3"/>
  <c r="C811" i="3"/>
  <c r="C803" i="3"/>
  <c r="J1153" i="3"/>
  <c r="H1153" i="3"/>
  <c r="M1153" i="3"/>
  <c r="D1149" i="3"/>
  <c r="N1158" i="3"/>
  <c r="J1158" i="3"/>
  <c r="L1158" i="3"/>
  <c r="G1153" i="3"/>
  <c r="E1153" i="3"/>
  <c r="G1158" i="3"/>
  <c r="E1158" i="3"/>
  <c r="I529" i="3"/>
  <c r="N529" i="3"/>
  <c r="N1154" i="3"/>
  <c r="M1154" i="3"/>
  <c r="J529" i="3"/>
  <c r="K529" i="3"/>
  <c r="I1152" i="3"/>
  <c r="I1154" i="3"/>
  <c r="I1155" i="3"/>
  <c r="D1155" i="3"/>
  <c r="E1155" i="3"/>
  <c r="F1150" i="3"/>
  <c r="D1150" i="3"/>
  <c r="J1155" i="3"/>
  <c r="G1155" i="3"/>
  <c r="O1151" i="3"/>
  <c r="O1152" i="3"/>
  <c r="B2776" i="3"/>
  <c r="B2777" i="3" s="1"/>
  <c r="Q2699" i="3"/>
  <c r="AS2696" i="3" s="1"/>
  <c r="AV2695" i="3" s="1"/>
  <c r="AX2695" i="3" s="1"/>
  <c r="Q2704" i="3"/>
  <c r="BW2696" i="3" s="1"/>
  <c r="BZ2695" i="3" s="1"/>
  <c r="CA2695" i="3" s="1"/>
  <c r="B1237" i="3"/>
  <c r="B1238" i="3" s="1"/>
  <c r="C1218" i="3" s="1"/>
  <c r="E1218" i="3" s="1"/>
  <c r="M1157" i="3"/>
  <c r="O1154" i="3"/>
  <c r="G1154" i="3"/>
  <c r="L1154" i="3"/>
  <c r="J1152" i="3"/>
  <c r="E1157" i="3"/>
  <c r="E1154" i="3"/>
  <c r="F1154" i="3"/>
  <c r="J1380" i="3"/>
  <c r="M1380" i="3"/>
  <c r="I1380" i="3"/>
  <c r="H1380" i="3"/>
  <c r="F1380" i="3"/>
  <c r="L1380" i="3"/>
  <c r="I1385" i="3"/>
  <c r="B1027" i="3"/>
  <c r="B1028" i="3" s="1"/>
  <c r="N1380" i="3"/>
  <c r="K1380" i="3"/>
  <c r="G1385" i="3"/>
  <c r="B1003" i="3"/>
  <c r="B1004" i="3" s="1"/>
  <c r="B1005" i="3" s="1"/>
  <c r="B1006" i="3" s="1"/>
  <c r="B1007" i="3" s="1"/>
  <c r="C988" i="3" s="1"/>
  <c r="Q2696" i="3"/>
  <c r="W2696" i="3" s="1"/>
  <c r="Q2697" i="3"/>
  <c r="AG2696" i="3" s="1"/>
  <c r="AJ2695" i="3" s="1"/>
  <c r="AL2695" i="3" s="1"/>
  <c r="Q2702" i="3"/>
  <c r="BK2696" i="3" s="1"/>
  <c r="BN2695" i="3" s="1"/>
  <c r="BP2695" i="3" s="1"/>
  <c r="K1383" i="3"/>
  <c r="E1151" i="3"/>
  <c r="G1151" i="3"/>
  <c r="L1152" i="3"/>
  <c r="D1152" i="3"/>
  <c r="M1152" i="3"/>
  <c r="J1157" i="3"/>
  <c r="I1157" i="3"/>
  <c r="H1157" i="3"/>
  <c r="K1151" i="3"/>
  <c r="I1151" i="3"/>
  <c r="E1152" i="3"/>
  <c r="G1152" i="3"/>
  <c r="F1152" i="3"/>
  <c r="N1157" i="3"/>
  <c r="G1157" i="3"/>
  <c r="F1157" i="3"/>
  <c r="J1389" i="3"/>
  <c r="N1151" i="3"/>
  <c r="N1152" i="3"/>
  <c r="K1152" i="3"/>
  <c r="K1157" i="3"/>
  <c r="O1157" i="3"/>
  <c r="B1812" i="3"/>
  <c r="B1813" i="3" s="1"/>
  <c r="B1349" i="3"/>
  <c r="B2457" i="3"/>
  <c r="Q2705" i="3"/>
  <c r="CC2696" i="3" s="1"/>
  <c r="CF2695" i="3" s="1"/>
  <c r="CH2695" i="3" s="1"/>
  <c r="Q2701" i="3"/>
  <c r="BE2696" i="3" s="1"/>
  <c r="BH2695" i="3" s="1"/>
  <c r="BI2695" i="3" s="1"/>
  <c r="Q2698" i="3"/>
  <c r="AM2696" i="3" s="1"/>
  <c r="AP2695" i="3" s="1"/>
  <c r="AR2695" i="3" s="1"/>
  <c r="J1151" i="3"/>
  <c r="M1151" i="3"/>
  <c r="D1151" i="3"/>
  <c r="L1156" i="3"/>
  <c r="K1156" i="3"/>
  <c r="E1156" i="3"/>
  <c r="N1149" i="3"/>
  <c r="E1149" i="3"/>
  <c r="G1149" i="3"/>
  <c r="B1256" i="3"/>
  <c r="B1257" i="3" s="1"/>
  <c r="Q2700" i="3"/>
  <c r="AY2696" i="3" s="1"/>
  <c r="BB2695" i="3" s="1"/>
  <c r="BC2695" i="3" s="1"/>
  <c r="Q2695" i="3"/>
  <c r="H1383" i="3"/>
  <c r="H1151" i="3"/>
  <c r="L1151" i="3"/>
  <c r="O1156" i="3"/>
  <c r="D1156" i="3"/>
  <c r="M1156" i="3"/>
  <c r="J1149" i="3"/>
  <c r="H1149" i="3"/>
  <c r="M1149" i="3"/>
  <c r="N531" i="3"/>
  <c r="B2068" i="3"/>
  <c r="L524" i="3"/>
  <c r="I1156" i="3"/>
  <c r="O1149" i="3"/>
  <c r="L1149" i="3"/>
  <c r="B1325" i="3"/>
  <c r="M1823" i="3"/>
  <c r="O1389" i="3"/>
  <c r="F1823" i="3"/>
  <c r="M1389" i="3"/>
  <c r="O1388" i="3"/>
  <c r="G1388" i="3"/>
  <c r="M1388" i="3"/>
  <c r="K528" i="3"/>
  <c r="M528" i="3"/>
  <c r="J528" i="3"/>
  <c r="K526" i="3"/>
  <c r="M526" i="3"/>
  <c r="L1382" i="3"/>
  <c r="G1384" i="3"/>
  <c r="I1388" i="3"/>
  <c r="H1388" i="3"/>
  <c r="N528" i="3"/>
  <c r="E528" i="3"/>
  <c r="B2249" i="3"/>
  <c r="B1699" i="3"/>
  <c r="B1700" i="3" s="1"/>
  <c r="I524" i="3"/>
  <c r="E1823" i="3"/>
  <c r="O1818" i="3"/>
  <c r="G1823" i="3"/>
  <c r="J1821" i="3"/>
  <c r="O526" i="3"/>
  <c r="H524" i="3"/>
  <c r="B2734" i="3"/>
  <c r="B2528" i="3"/>
  <c r="B1486" i="3"/>
  <c r="B1487" i="3" s="1"/>
  <c r="B1488" i="3" s="1"/>
  <c r="H1823" i="3"/>
  <c r="L1823" i="3"/>
  <c r="O1823" i="3"/>
  <c r="H1821" i="3"/>
  <c r="I1383" i="3"/>
  <c r="E529" i="3"/>
  <c r="O529" i="3"/>
  <c r="G529" i="3"/>
  <c r="D1823" i="3"/>
  <c r="K1823" i="3"/>
  <c r="N1821" i="3"/>
  <c r="H529" i="3"/>
  <c r="L529" i="3"/>
  <c r="M1381" i="3"/>
  <c r="K1386" i="3"/>
  <c r="F1387" i="3"/>
  <c r="F1827" i="3"/>
  <c r="J527" i="3"/>
  <c r="K1382" i="3"/>
  <c r="D1382" i="3"/>
  <c r="G1383" i="3"/>
  <c r="H1382" i="3"/>
  <c r="J1382" i="3"/>
  <c r="L1383" i="3"/>
  <c r="O1383" i="3"/>
  <c r="B175" i="3"/>
  <c r="B176" i="3" s="1"/>
  <c r="I531" i="3"/>
  <c r="J531" i="3"/>
  <c r="K531" i="3"/>
  <c r="O531" i="3"/>
  <c r="D531" i="3"/>
  <c r="F531" i="3"/>
  <c r="G531" i="3"/>
  <c r="B2391" i="3"/>
  <c r="B2392" i="3" s="1"/>
  <c r="L531" i="3"/>
  <c r="H531" i="3"/>
  <c r="M1382" i="3"/>
  <c r="G1382" i="3"/>
  <c r="N1382" i="3"/>
  <c r="N1383" i="3"/>
  <c r="F1383" i="3"/>
  <c r="M1383" i="3"/>
  <c r="E1382" i="3"/>
  <c r="I1382" i="3"/>
  <c r="D1383" i="3"/>
  <c r="J1383" i="3"/>
  <c r="B263" i="3"/>
  <c r="B264" i="3" s="1"/>
  <c r="B265" i="3" s="1"/>
  <c r="B266" i="3" s="1"/>
  <c r="B932" i="3"/>
  <c r="B886" i="3"/>
  <c r="B887" i="3" s="1"/>
  <c r="B2688" i="3"/>
  <c r="B2689" i="3" s="1"/>
  <c r="B2690" i="3" s="1"/>
  <c r="B2691" i="3" s="1"/>
  <c r="B2692" i="3" s="1"/>
  <c r="C1501" i="3"/>
  <c r="M1501" i="3" s="1"/>
  <c r="C1495" i="3"/>
  <c r="D1495" i="3" s="1"/>
  <c r="C1494" i="3"/>
  <c r="N1494" i="3" s="1"/>
  <c r="F557" i="3"/>
  <c r="E557" i="3"/>
  <c r="D557" i="3"/>
  <c r="I557" i="3"/>
  <c r="O557" i="3"/>
  <c r="H557" i="3"/>
  <c r="E1381" i="3"/>
  <c r="E1386" i="3"/>
  <c r="O1387" i="3"/>
  <c r="L1384" i="3"/>
  <c r="G525" i="3"/>
  <c r="K1818" i="3"/>
  <c r="L1821" i="3"/>
  <c r="G1821" i="3"/>
  <c r="J1386" i="3"/>
  <c r="G1386" i="3"/>
  <c r="E1384" i="3"/>
  <c r="I1384" i="3"/>
  <c r="B2227" i="3"/>
  <c r="B2228" i="3" s="1"/>
  <c r="B2229" i="3" s="1"/>
  <c r="M525" i="3"/>
  <c r="C1496" i="3"/>
  <c r="E1496" i="3" s="1"/>
  <c r="C1498" i="3"/>
  <c r="O1498" i="3" s="1"/>
  <c r="G1818" i="3"/>
  <c r="K1821" i="3"/>
  <c r="N1381" i="3"/>
  <c r="I1386" i="3"/>
  <c r="K1387" i="3"/>
  <c r="M1384" i="3"/>
  <c r="B2023" i="3"/>
  <c r="C2009" i="3" s="1"/>
  <c r="L2009" i="3" s="1"/>
  <c r="H1379" i="3"/>
  <c r="N1379" i="3"/>
  <c r="J1379" i="3"/>
  <c r="I1379" i="3"/>
  <c r="F1379" i="3"/>
  <c r="K1379" i="3"/>
  <c r="M1379" i="3"/>
  <c r="L1379" i="3"/>
  <c r="D1386" i="3"/>
  <c r="L1386" i="3"/>
  <c r="H1386" i="3"/>
  <c r="N1386" i="3"/>
  <c r="M1386" i="3"/>
  <c r="O1386" i="3"/>
  <c r="B2296" i="3"/>
  <c r="B2297" i="3" s="1"/>
  <c r="J557" i="3"/>
  <c r="L557" i="3"/>
  <c r="M557" i="3"/>
  <c r="N557" i="3"/>
  <c r="K557" i="3"/>
  <c r="G557" i="3"/>
  <c r="G1379" i="3"/>
  <c r="O1379" i="3"/>
  <c r="E1379" i="3"/>
  <c r="F1384" i="3"/>
  <c r="K1384" i="3"/>
  <c r="D1384" i="3"/>
  <c r="J1384" i="3"/>
  <c r="H1384" i="3"/>
  <c r="N1384" i="3"/>
  <c r="C548" i="3"/>
  <c r="C558" i="3"/>
  <c r="C549" i="3"/>
  <c r="C555" i="3"/>
  <c r="C552" i="3"/>
  <c r="C556" i="3"/>
  <c r="C554" i="3"/>
  <c r="C550" i="3"/>
  <c r="C551" i="3"/>
  <c r="C553" i="3"/>
  <c r="H1502" i="3"/>
  <c r="K1502" i="3"/>
  <c r="G1502" i="3"/>
  <c r="E1502" i="3"/>
  <c r="I1502" i="3"/>
  <c r="D1502" i="3"/>
  <c r="N1502" i="3"/>
  <c r="O1502" i="3"/>
  <c r="L1502" i="3"/>
  <c r="J1502" i="3"/>
  <c r="F1502" i="3"/>
  <c r="M1502" i="3"/>
  <c r="C1503" i="3"/>
  <c r="C1499" i="3"/>
  <c r="B1445" i="3"/>
  <c r="C1500" i="3"/>
  <c r="C1504" i="3"/>
  <c r="C1497" i="3"/>
  <c r="B943" i="3"/>
  <c r="B944" i="3" s="1"/>
  <c r="B945" i="3" s="1"/>
  <c r="B146" i="3"/>
  <c r="B147" i="3" s="1"/>
  <c r="B148" i="3" s="1"/>
  <c r="B149" i="3" s="1"/>
  <c r="L1818" i="3"/>
  <c r="N1818" i="3"/>
  <c r="E1818" i="3"/>
  <c r="E1827" i="3"/>
  <c r="I1381" i="3"/>
  <c r="J1381" i="3"/>
  <c r="H1381" i="3"/>
  <c r="J1385" i="3"/>
  <c r="E1385" i="3"/>
  <c r="O1385" i="3"/>
  <c r="D1387" i="3"/>
  <c r="J1387" i="3"/>
  <c r="G1387" i="3"/>
  <c r="H1389" i="3"/>
  <c r="F1389" i="3"/>
  <c r="E1389" i="3"/>
  <c r="G524" i="3"/>
  <c r="D524" i="3"/>
  <c r="M524" i="3"/>
  <c r="F526" i="3"/>
  <c r="H526" i="3"/>
  <c r="D1818" i="3"/>
  <c r="H1818" i="3"/>
  <c r="M1818" i="3"/>
  <c r="L1827" i="3"/>
  <c r="L1381" i="3"/>
  <c r="K1381" i="3"/>
  <c r="O1381" i="3"/>
  <c r="N1385" i="3"/>
  <c r="M1385" i="3"/>
  <c r="K1385" i="3"/>
  <c r="N1387" i="3"/>
  <c r="E1387" i="3"/>
  <c r="M1387" i="3"/>
  <c r="I1389" i="3"/>
  <c r="D1389" i="3"/>
  <c r="K1389" i="3"/>
  <c r="J524" i="3"/>
  <c r="E524" i="3"/>
  <c r="K524" i="3"/>
  <c r="G526" i="3"/>
  <c r="F1818" i="3"/>
  <c r="J1818" i="3"/>
  <c r="G1381" i="3"/>
  <c r="D1381" i="3"/>
  <c r="L1385" i="3"/>
  <c r="D1385" i="3"/>
  <c r="L1387" i="3"/>
  <c r="H1387" i="3"/>
  <c r="L1389" i="3"/>
  <c r="G1389" i="3"/>
  <c r="N524" i="3"/>
  <c r="F524" i="3"/>
  <c r="D526" i="3"/>
  <c r="J526" i="3"/>
  <c r="J533" i="3"/>
  <c r="E1819" i="3"/>
  <c r="M530" i="3"/>
  <c r="K533" i="3"/>
  <c r="L533" i="3"/>
  <c r="O533" i="3"/>
  <c r="I527" i="3"/>
  <c r="E527" i="3"/>
  <c r="B772" i="3"/>
  <c r="B773" i="3" s="1"/>
  <c r="B774" i="3" s="1"/>
  <c r="B775" i="3" s="1"/>
  <c r="B776" i="3" s="1"/>
  <c r="C758" i="3" s="1"/>
  <c r="E758" i="3" s="1"/>
  <c r="H525" i="3"/>
  <c r="E525" i="3"/>
  <c r="N525" i="3"/>
  <c r="G530" i="3"/>
  <c r="L525" i="3"/>
  <c r="K525" i="3"/>
  <c r="J525" i="3"/>
  <c r="L526" i="3"/>
  <c r="I525" i="3"/>
  <c r="F525" i="3"/>
  <c r="K527" i="3"/>
  <c r="N527" i="3"/>
  <c r="D527" i="3"/>
  <c r="H527" i="3"/>
  <c r="M527" i="3"/>
  <c r="F527" i="3"/>
  <c r="B2202" i="3"/>
  <c r="B2203" i="3" s="1"/>
  <c r="B2204" i="3" s="1"/>
  <c r="E526" i="3"/>
  <c r="I526" i="3"/>
  <c r="G527" i="3"/>
  <c r="O527" i="3"/>
  <c r="D533" i="3"/>
  <c r="M533" i="3"/>
  <c r="E533" i="3"/>
  <c r="F533" i="3"/>
  <c r="G533" i="3"/>
  <c r="I533" i="3"/>
  <c r="H533" i="3"/>
  <c r="F530" i="3"/>
  <c r="E530" i="3"/>
  <c r="O530" i="3"/>
  <c r="D530" i="3"/>
  <c r="K530" i="3"/>
  <c r="N530" i="3"/>
  <c r="H530" i="3"/>
  <c r="F1828" i="3"/>
  <c r="J530" i="3"/>
  <c r="L530" i="3"/>
  <c r="N532" i="3"/>
  <c r="H532" i="3"/>
  <c r="M532" i="3"/>
  <c r="J532" i="3"/>
  <c r="E532" i="3"/>
  <c r="O532" i="3"/>
  <c r="F532" i="3"/>
  <c r="K532" i="3"/>
  <c r="L532" i="3"/>
  <c r="G532" i="3"/>
  <c r="D532" i="3"/>
  <c r="I532" i="3"/>
  <c r="B1996" i="3"/>
  <c r="B1673" i="3"/>
  <c r="B1674" i="3" s="1"/>
  <c r="B1675" i="3" s="1"/>
  <c r="B2159" i="3"/>
  <c r="B2160" i="3" s="1"/>
  <c r="I1821" i="3"/>
  <c r="F1821" i="3"/>
  <c r="O1821" i="3"/>
  <c r="D1821" i="3"/>
  <c r="E1821" i="3"/>
  <c r="J835" i="3"/>
  <c r="M835" i="3"/>
  <c r="I835" i="3"/>
  <c r="M833" i="3"/>
  <c r="G1828" i="3"/>
  <c r="D1819" i="3"/>
  <c r="I1819" i="3"/>
  <c r="F1819" i="3"/>
  <c r="O1819" i="3"/>
  <c r="J1819" i="3"/>
  <c r="O1828" i="3"/>
  <c r="N1828" i="3"/>
  <c r="H1819" i="3"/>
  <c r="N1819" i="3"/>
  <c r="M1819" i="3"/>
  <c r="L1828" i="3"/>
  <c r="N825" i="3"/>
  <c r="L1819" i="3"/>
  <c r="G1819" i="3"/>
  <c r="I1828" i="3"/>
  <c r="M1828" i="3"/>
  <c r="D1828" i="3"/>
  <c r="H1828" i="3"/>
  <c r="O2125" i="3"/>
  <c r="H2125" i="3"/>
  <c r="G2125" i="3"/>
  <c r="F2125" i="3"/>
  <c r="K2125" i="3"/>
  <c r="J2125" i="3"/>
  <c r="I2125" i="3"/>
  <c r="E2125" i="3"/>
  <c r="L2125" i="3"/>
  <c r="D2125" i="3"/>
  <c r="N2125" i="3"/>
  <c r="M2125" i="3"/>
  <c r="C2120" i="3"/>
  <c r="C2123" i="3"/>
  <c r="C2124" i="3"/>
  <c r="C2118" i="3"/>
  <c r="C2128" i="3"/>
  <c r="C2122" i="3"/>
  <c r="C2127" i="3"/>
  <c r="C2121" i="3"/>
  <c r="C2126" i="3"/>
  <c r="C2119" i="3"/>
  <c r="B2185" i="3"/>
  <c r="C2170" i="3" s="1"/>
  <c r="J1825" i="3"/>
  <c r="B1121" i="3"/>
  <c r="B1122" i="3" s="1"/>
  <c r="B82" i="3"/>
  <c r="B83" i="3" s="1"/>
  <c r="B289" i="3"/>
  <c r="B659" i="3"/>
  <c r="B608" i="3"/>
  <c r="P201" i="3" a="1"/>
  <c r="F1057" i="3"/>
  <c r="M1057" i="3"/>
  <c r="L1057" i="3"/>
  <c r="H1057" i="3"/>
  <c r="I1057" i="3"/>
  <c r="K1057" i="3"/>
  <c r="N1057" i="3"/>
  <c r="E1057" i="3"/>
  <c r="J1057" i="3"/>
  <c r="O1057" i="3"/>
  <c r="G1057" i="3"/>
  <c r="D1057" i="3"/>
  <c r="H1059" i="3"/>
  <c r="K1059" i="3"/>
  <c r="G1059" i="3"/>
  <c r="M1059" i="3"/>
  <c r="E1059" i="3"/>
  <c r="D1059" i="3"/>
  <c r="J1059" i="3"/>
  <c r="N1059" i="3"/>
  <c r="I1059" i="3"/>
  <c r="L1059" i="3"/>
  <c r="O1059" i="3"/>
  <c r="F1059" i="3"/>
  <c r="I1064" i="3"/>
  <c r="F1064" i="3"/>
  <c r="K1064" i="3"/>
  <c r="H1064" i="3"/>
  <c r="O1064" i="3"/>
  <c r="G1064" i="3"/>
  <c r="J1064" i="3"/>
  <c r="M1064" i="3"/>
  <c r="D1064" i="3"/>
  <c r="N1064" i="3"/>
  <c r="L1064" i="3"/>
  <c r="E1064" i="3"/>
  <c r="H1061" i="3"/>
  <c r="O1061" i="3"/>
  <c r="M1061" i="3"/>
  <c r="F1061" i="3"/>
  <c r="I1061" i="3"/>
  <c r="G1061" i="3"/>
  <c r="E1061" i="3"/>
  <c r="L1061" i="3"/>
  <c r="D1061" i="3"/>
  <c r="N1061" i="3"/>
  <c r="K1061" i="3"/>
  <c r="J1061" i="3"/>
  <c r="L1056" i="3"/>
  <c r="M1056" i="3"/>
  <c r="D1056" i="3"/>
  <c r="G1056" i="3"/>
  <c r="E1056" i="3"/>
  <c r="N1056" i="3"/>
  <c r="H1056" i="3"/>
  <c r="J1056" i="3"/>
  <c r="I1056" i="3"/>
  <c r="F1056" i="3"/>
  <c r="K1056" i="3"/>
  <c r="O1056" i="3"/>
  <c r="M1065" i="3"/>
  <c r="G1065" i="3"/>
  <c r="D1065" i="3"/>
  <c r="F1065" i="3"/>
  <c r="I1065" i="3"/>
  <c r="K1065" i="3"/>
  <c r="N1065" i="3"/>
  <c r="E1065" i="3"/>
  <c r="L1065" i="3"/>
  <c r="J1065" i="3"/>
  <c r="H1065" i="3"/>
  <c r="O1065" i="3"/>
  <c r="K1058" i="3"/>
  <c r="N1058" i="3"/>
  <c r="J1058" i="3"/>
  <c r="O1058" i="3"/>
  <c r="F1058" i="3"/>
  <c r="L1058" i="3"/>
  <c r="I1058" i="3"/>
  <c r="E1058" i="3"/>
  <c r="M1058" i="3"/>
  <c r="H1058" i="3"/>
  <c r="D1058" i="3"/>
  <c r="G1058" i="3"/>
  <c r="J1060" i="3"/>
  <c r="I1060" i="3"/>
  <c r="N1060" i="3"/>
  <c r="K1060" i="3"/>
  <c r="O1060" i="3"/>
  <c r="D1060" i="3"/>
  <c r="F1060" i="3"/>
  <c r="L1060" i="3"/>
  <c r="G1060" i="3"/>
  <c r="M1060" i="3"/>
  <c r="H1060" i="3"/>
  <c r="E1060" i="3"/>
  <c r="F1062" i="3"/>
  <c r="K1062" i="3"/>
  <c r="H1062" i="3"/>
  <c r="I1062" i="3"/>
  <c r="E1062" i="3"/>
  <c r="N1062" i="3"/>
  <c r="J1062" i="3"/>
  <c r="M1062" i="3"/>
  <c r="O1062" i="3"/>
  <c r="L1062" i="3"/>
  <c r="G1062" i="3"/>
  <c r="D1062" i="3"/>
  <c r="J1063" i="3"/>
  <c r="L1063" i="3"/>
  <c r="D1063" i="3"/>
  <c r="F1063" i="3"/>
  <c r="M1063" i="3"/>
  <c r="E1063" i="3"/>
  <c r="G1063" i="3"/>
  <c r="H1063" i="3"/>
  <c r="N1063" i="3"/>
  <c r="O1063" i="3"/>
  <c r="K1063" i="3"/>
  <c r="I1063" i="3"/>
  <c r="M1066" i="3"/>
  <c r="K1066" i="3"/>
  <c r="G1066" i="3"/>
  <c r="D1066" i="3"/>
  <c r="O1066" i="3"/>
  <c r="J1066" i="3"/>
  <c r="E1066" i="3"/>
  <c r="L1066" i="3"/>
  <c r="I1066" i="3"/>
  <c r="F1066" i="3"/>
  <c r="H1066" i="3"/>
  <c r="N1066" i="3"/>
  <c r="B239" i="3"/>
  <c r="B240" i="3" s="1"/>
  <c r="B241" i="3" s="1"/>
  <c r="B242" i="3" s="1"/>
  <c r="J663" i="3"/>
  <c r="C1548" i="3"/>
  <c r="N1548" i="3" s="1"/>
  <c r="C1540" i="3"/>
  <c r="N1540" i="3" s="1"/>
  <c r="B1905" i="3"/>
  <c r="C1547" i="3"/>
  <c r="K1547" i="3" s="1"/>
  <c r="M1827" i="3"/>
  <c r="K1827" i="3"/>
  <c r="O1827" i="3"/>
  <c r="J831" i="3"/>
  <c r="H835" i="3"/>
  <c r="G835" i="3"/>
  <c r="B516" i="3"/>
  <c r="B517" i="3" s="1"/>
  <c r="I1827" i="3"/>
  <c r="J1827" i="3"/>
  <c r="H1827" i="3"/>
  <c r="G1827" i="3"/>
  <c r="N1827" i="3"/>
  <c r="L835" i="3"/>
  <c r="F663" i="3"/>
  <c r="B99" i="3"/>
  <c r="L1550" i="3"/>
  <c r="J1550" i="3"/>
  <c r="M1550" i="3"/>
  <c r="D1550" i="3"/>
  <c r="H1550" i="3"/>
  <c r="F1550" i="3"/>
  <c r="E1550" i="3"/>
  <c r="I1550" i="3"/>
  <c r="O1550" i="3"/>
  <c r="N1550" i="3"/>
  <c r="G1550" i="3"/>
  <c r="K1550" i="3"/>
  <c r="C626" i="3"/>
  <c r="C624" i="3"/>
  <c r="C618" i="3"/>
  <c r="C617" i="3"/>
  <c r="C619" i="3"/>
  <c r="C620" i="3"/>
  <c r="C622" i="3"/>
  <c r="C625" i="3"/>
  <c r="C623" i="3"/>
  <c r="C627" i="3"/>
  <c r="C621" i="3"/>
  <c r="C1546" i="3"/>
  <c r="C1541" i="3"/>
  <c r="C1545" i="3"/>
  <c r="B56" i="3"/>
  <c r="B57" i="3" s="1"/>
  <c r="B58" i="3" s="1"/>
  <c r="C1549" i="3"/>
  <c r="C1542" i="3"/>
  <c r="C1544" i="3"/>
  <c r="B180" i="3"/>
  <c r="B181" i="3" s="1"/>
  <c r="C1543" i="3"/>
  <c r="D663" i="3"/>
  <c r="N663" i="3"/>
  <c r="H663" i="3"/>
  <c r="I663" i="3"/>
  <c r="K663" i="3"/>
  <c r="G663" i="3"/>
  <c r="M663" i="3"/>
  <c r="H1820" i="3"/>
  <c r="G1825" i="3"/>
  <c r="H781" i="3"/>
  <c r="K1828" i="3"/>
  <c r="E1820" i="3"/>
  <c r="K1825" i="3"/>
  <c r="J1820" i="3"/>
  <c r="J1828" i="3"/>
  <c r="E663" i="3"/>
  <c r="L663" i="3"/>
  <c r="B1192" i="3"/>
  <c r="C1179" i="3" s="1"/>
  <c r="K1179" i="3" s="1"/>
  <c r="J671" i="3"/>
  <c r="E671" i="3"/>
  <c r="F671" i="3"/>
  <c r="L671" i="3"/>
  <c r="N671" i="3"/>
  <c r="M671" i="3"/>
  <c r="G671" i="3"/>
  <c r="D671" i="3"/>
  <c r="K671" i="3"/>
  <c r="H671" i="3"/>
  <c r="I671" i="3"/>
  <c r="O671" i="3"/>
  <c r="J668" i="3"/>
  <c r="M668" i="3"/>
  <c r="O668" i="3"/>
  <c r="E668" i="3"/>
  <c r="D668" i="3"/>
  <c r="N668" i="3"/>
  <c r="L668" i="3"/>
  <c r="K668" i="3"/>
  <c r="I668" i="3"/>
  <c r="F668" i="3"/>
  <c r="H668" i="3"/>
  <c r="G668" i="3"/>
  <c r="J666" i="3"/>
  <c r="F666" i="3"/>
  <c r="E666" i="3"/>
  <c r="D666" i="3"/>
  <c r="N666" i="3"/>
  <c r="I666" i="3"/>
  <c r="G666" i="3"/>
  <c r="K666" i="3"/>
  <c r="L666" i="3"/>
  <c r="O666" i="3"/>
  <c r="M666" i="3"/>
  <c r="H666" i="3"/>
  <c r="D673" i="3"/>
  <c r="L673" i="3"/>
  <c r="H673" i="3"/>
  <c r="M673" i="3"/>
  <c r="I673" i="3"/>
  <c r="K673" i="3"/>
  <c r="E673" i="3"/>
  <c r="G673" i="3"/>
  <c r="J673" i="3"/>
  <c r="F673" i="3"/>
  <c r="N673" i="3"/>
  <c r="O673" i="3"/>
  <c r="M667" i="3"/>
  <c r="J667" i="3"/>
  <c r="D667" i="3"/>
  <c r="K667" i="3"/>
  <c r="H667" i="3"/>
  <c r="O667" i="3"/>
  <c r="G667" i="3"/>
  <c r="I667" i="3"/>
  <c r="N667" i="3"/>
  <c r="E667" i="3"/>
  <c r="L667" i="3"/>
  <c r="F667" i="3"/>
  <c r="L781" i="3"/>
  <c r="G781" i="3"/>
  <c r="J781" i="3"/>
  <c r="O781" i="3"/>
  <c r="D833" i="3"/>
  <c r="L669" i="3"/>
  <c r="M669" i="3"/>
  <c r="O669" i="3"/>
  <c r="H669" i="3"/>
  <c r="E669" i="3"/>
  <c r="F669" i="3"/>
  <c r="K669" i="3"/>
  <c r="I669" i="3"/>
  <c r="J669" i="3"/>
  <c r="D669" i="3"/>
  <c r="G669" i="3"/>
  <c r="N669" i="3"/>
  <c r="J672" i="3"/>
  <c r="O672" i="3"/>
  <c r="M672" i="3"/>
  <c r="K672" i="3"/>
  <c r="F672" i="3"/>
  <c r="D672" i="3"/>
  <c r="H672" i="3"/>
  <c r="E672" i="3"/>
  <c r="L672" i="3"/>
  <c r="G672" i="3"/>
  <c r="I672" i="3"/>
  <c r="N672" i="3"/>
  <c r="I781" i="3"/>
  <c r="H833" i="3"/>
  <c r="M664" i="3"/>
  <c r="N664" i="3"/>
  <c r="E664" i="3"/>
  <c r="O664" i="3"/>
  <c r="H664" i="3"/>
  <c r="I664" i="3"/>
  <c r="J664" i="3"/>
  <c r="F664" i="3"/>
  <c r="L664" i="3"/>
  <c r="D664" i="3"/>
  <c r="K664" i="3"/>
  <c r="G664" i="3"/>
  <c r="E665" i="3"/>
  <c r="O665" i="3"/>
  <c r="H665" i="3"/>
  <c r="M665" i="3"/>
  <c r="K665" i="3"/>
  <c r="J665" i="3"/>
  <c r="L665" i="3"/>
  <c r="I665" i="3"/>
  <c r="G665" i="3"/>
  <c r="D665" i="3"/>
  <c r="F665" i="3"/>
  <c r="N665" i="3"/>
  <c r="G1826" i="3"/>
  <c r="O1824" i="3"/>
  <c r="K1826" i="3"/>
  <c r="E1826" i="3"/>
  <c r="H1826" i="3"/>
  <c r="D783" i="3"/>
  <c r="I1826" i="3"/>
  <c r="F1826" i="3"/>
  <c r="H1824" i="3"/>
  <c r="O785" i="3"/>
  <c r="K1824" i="3"/>
  <c r="G1824" i="3"/>
  <c r="M781" i="3"/>
  <c r="N781" i="3"/>
  <c r="K781" i="3"/>
  <c r="D1824" i="3"/>
  <c r="N1824" i="3"/>
  <c r="E781" i="3"/>
  <c r="D781" i="3"/>
  <c r="C418" i="3"/>
  <c r="C416" i="3"/>
  <c r="C419" i="3"/>
  <c r="C414" i="3"/>
  <c r="C409" i="3"/>
  <c r="C413" i="3"/>
  <c r="C412" i="3"/>
  <c r="C410" i="3"/>
  <c r="C411" i="3"/>
  <c r="C417" i="3"/>
  <c r="C415" i="3"/>
  <c r="K1820" i="3"/>
  <c r="N1825" i="3"/>
  <c r="D1825" i="3"/>
  <c r="F1820" i="3"/>
  <c r="I1820" i="3"/>
  <c r="L1820" i="3"/>
  <c r="E1825" i="3"/>
  <c r="O1825" i="3"/>
  <c r="I1825" i="3"/>
  <c r="M783" i="3"/>
  <c r="D787" i="3"/>
  <c r="O1820" i="3"/>
  <c r="N1820" i="3"/>
  <c r="L1825" i="3"/>
  <c r="G1820" i="3"/>
  <c r="D1820" i="3"/>
  <c r="F1825" i="3"/>
  <c r="M1825" i="3"/>
  <c r="E780" i="3"/>
  <c r="N783" i="3"/>
  <c r="O1826" i="3"/>
  <c r="D1826" i="3"/>
  <c r="M1826" i="3"/>
  <c r="E1824" i="3"/>
  <c r="F1824" i="3"/>
  <c r="L1824" i="3"/>
  <c r="G783" i="3"/>
  <c r="E785" i="3"/>
  <c r="I785" i="3"/>
  <c r="J787" i="3"/>
  <c r="L785" i="3"/>
  <c r="J1826" i="3"/>
  <c r="N1826" i="3"/>
  <c r="M1824" i="3"/>
  <c r="J1824" i="3"/>
  <c r="F783" i="3"/>
  <c r="L783" i="3"/>
  <c r="M787" i="3"/>
  <c r="K785" i="3"/>
  <c r="M785" i="3"/>
  <c r="M780" i="3"/>
  <c r="K783" i="3"/>
  <c r="I783" i="3"/>
  <c r="H783" i="3"/>
  <c r="G780" i="3"/>
  <c r="F780" i="3"/>
  <c r="H787" i="3"/>
  <c r="E787" i="3"/>
  <c r="G785" i="3"/>
  <c r="D785" i="3"/>
  <c r="N785" i="3"/>
  <c r="E783" i="3"/>
  <c r="O783" i="3"/>
  <c r="D780" i="3"/>
  <c r="O780" i="3"/>
  <c r="G787" i="3"/>
  <c r="H785" i="3"/>
  <c r="F785" i="3"/>
  <c r="L778" i="3"/>
  <c r="K780" i="3"/>
  <c r="I780" i="3"/>
  <c r="N780" i="3"/>
  <c r="N787" i="3"/>
  <c r="I787" i="3"/>
  <c r="K787" i="3"/>
  <c r="H780" i="3"/>
  <c r="J780" i="3"/>
  <c r="O787" i="3"/>
  <c r="F787" i="3"/>
  <c r="K778" i="3"/>
  <c r="I778" i="3"/>
  <c r="E786" i="3"/>
  <c r="J778" i="3"/>
  <c r="N779" i="3"/>
  <c r="F778" i="3"/>
  <c r="N778" i="3"/>
  <c r="B752" i="3"/>
  <c r="E788" i="3"/>
  <c r="P478" i="3" a="1"/>
  <c r="D786" i="3"/>
  <c r="E779" i="3"/>
  <c r="K786" i="3"/>
  <c r="G779" i="3"/>
  <c r="M788" i="3"/>
  <c r="F782" i="3"/>
  <c r="H788" i="3"/>
  <c r="N782" i="3"/>
  <c r="C1844" i="3"/>
  <c r="H1844" i="3" s="1"/>
  <c r="C1842" i="3"/>
  <c r="G1842" i="3" s="1"/>
  <c r="D1822" i="3"/>
  <c r="E1822" i="3"/>
  <c r="O1822" i="3"/>
  <c r="I1822" i="3"/>
  <c r="H1822" i="3"/>
  <c r="M1822" i="3"/>
  <c r="F1822" i="3"/>
  <c r="K1822" i="3"/>
  <c r="J1822" i="3"/>
  <c r="L1822" i="3"/>
  <c r="G1822" i="3"/>
  <c r="N1822" i="3"/>
  <c r="D788" i="3"/>
  <c r="L788" i="3"/>
  <c r="O786" i="3"/>
  <c r="J786" i="3"/>
  <c r="M786" i="3"/>
  <c r="H826" i="3"/>
  <c r="K829" i="3"/>
  <c r="J829" i="3"/>
  <c r="M829" i="3"/>
  <c r="O829" i="3"/>
  <c r="I829" i="3"/>
  <c r="E829" i="3"/>
  <c r="K788" i="3"/>
  <c r="O788" i="3"/>
  <c r="F788" i="3"/>
  <c r="N788" i="3"/>
  <c r="L786" i="3"/>
  <c r="F786" i="3"/>
  <c r="I786" i="3"/>
  <c r="D782" i="3"/>
  <c r="G778" i="3"/>
  <c r="D778" i="3"/>
  <c r="M778" i="3"/>
  <c r="B2645" i="3"/>
  <c r="B2646" i="3" s="1"/>
  <c r="M828" i="3"/>
  <c r="F828" i="3"/>
  <c r="N828" i="3"/>
  <c r="L828" i="3"/>
  <c r="G828" i="3"/>
  <c r="H828" i="3"/>
  <c r="L834" i="3"/>
  <c r="F827" i="3"/>
  <c r="M827" i="3"/>
  <c r="I788" i="3"/>
  <c r="G788" i="3"/>
  <c r="H786" i="3"/>
  <c r="N786" i="3"/>
  <c r="O778" i="3"/>
  <c r="H778" i="3"/>
  <c r="D830" i="3"/>
  <c r="F830" i="3"/>
  <c r="L1841" i="3"/>
  <c r="B404" i="3"/>
  <c r="M782" i="3"/>
  <c r="E782" i="3"/>
  <c r="K782" i="3"/>
  <c r="F779" i="3"/>
  <c r="L779" i="3"/>
  <c r="I779" i="3"/>
  <c r="I782" i="3"/>
  <c r="L782" i="3"/>
  <c r="J782" i="3"/>
  <c r="O779" i="3"/>
  <c r="K779" i="3"/>
  <c r="J779" i="3"/>
  <c r="G782" i="3"/>
  <c r="O782" i="3"/>
  <c r="D779" i="3"/>
  <c r="M779" i="3"/>
  <c r="B2760" i="3"/>
  <c r="C1845" i="3"/>
  <c r="C2398" i="3"/>
  <c r="G2398" i="3" s="1"/>
  <c r="B2439" i="3"/>
  <c r="C2422" i="3" s="1"/>
  <c r="C2404" i="3"/>
  <c r="C2401" i="3"/>
  <c r="A1957" i="3"/>
  <c r="B1957" i="3" s="1"/>
  <c r="C2395" i="3"/>
  <c r="C2396" i="3"/>
  <c r="C2405" i="3"/>
  <c r="C2399" i="3"/>
  <c r="C2397" i="3"/>
  <c r="C2400" i="3"/>
  <c r="C2403" i="3"/>
  <c r="J833" i="3" l="1"/>
  <c r="M830" i="3"/>
  <c r="F829" i="3"/>
  <c r="G829" i="3"/>
  <c r="H829" i="3"/>
  <c r="D826" i="3"/>
  <c r="O833" i="3"/>
  <c r="N831" i="3"/>
  <c r="F833" i="3"/>
  <c r="L833" i="3"/>
  <c r="K833" i="3"/>
  <c r="I825" i="3"/>
  <c r="L829" i="3"/>
  <c r="N829" i="3"/>
  <c r="E826" i="3"/>
  <c r="E833" i="3"/>
  <c r="N833" i="3"/>
  <c r="G833" i="3"/>
  <c r="H830" i="3"/>
  <c r="E830" i="3"/>
  <c r="F826" i="3"/>
  <c r="O826" i="3"/>
  <c r="J830" i="3"/>
  <c r="N826" i="3"/>
  <c r="I831" i="3"/>
  <c r="J825" i="3"/>
  <c r="O831" i="3"/>
  <c r="D825" i="3"/>
  <c r="O825" i="3"/>
  <c r="J828" i="3"/>
  <c r="K828" i="3"/>
  <c r="I828" i="3"/>
  <c r="E835" i="3"/>
  <c r="F835" i="3"/>
  <c r="O835" i="3"/>
  <c r="E828" i="3"/>
  <c r="D828" i="3"/>
  <c r="K2355" i="3"/>
  <c r="N835" i="3"/>
  <c r="K835" i="3"/>
  <c r="B1143" i="3"/>
  <c r="B1144" i="3" s="1"/>
  <c r="B1145" i="3" s="1"/>
  <c r="N830" i="3"/>
  <c r="K830" i="3"/>
  <c r="I830" i="3"/>
  <c r="J826" i="3"/>
  <c r="I826" i="3"/>
  <c r="K826" i="3"/>
  <c r="O2402" i="3"/>
  <c r="O830" i="3"/>
  <c r="L830" i="3"/>
  <c r="M826" i="3"/>
  <c r="L826" i="3"/>
  <c r="C1088" i="3"/>
  <c r="N1088" i="3" s="1"/>
  <c r="E1841" i="3"/>
  <c r="H834" i="3"/>
  <c r="C1846" i="3"/>
  <c r="M1846" i="3" s="1"/>
  <c r="D1841" i="3"/>
  <c r="L827" i="3"/>
  <c r="D834" i="3"/>
  <c r="P370" i="3"/>
  <c r="B2546" i="3"/>
  <c r="B2547" i="3" s="1"/>
  <c r="B2548" i="3" s="1"/>
  <c r="P1910" i="3" a="1"/>
  <c r="B355" i="3"/>
  <c r="C1079" i="3"/>
  <c r="F1079" i="3" s="1"/>
  <c r="C1086" i="3"/>
  <c r="N1086" i="3" s="1"/>
  <c r="B1146" i="3"/>
  <c r="C1125" i="3" s="1"/>
  <c r="C1080" i="3"/>
  <c r="E1080" i="3" s="1"/>
  <c r="B2481" i="3"/>
  <c r="C1081" i="3"/>
  <c r="N1081" i="3" s="1"/>
  <c r="M1088" i="3"/>
  <c r="B2661" i="3"/>
  <c r="C1083" i="3"/>
  <c r="B468" i="3"/>
  <c r="O1079" i="3"/>
  <c r="F1084" i="3"/>
  <c r="L1084" i="3"/>
  <c r="K1084" i="3"/>
  <c r="D1084" i="3"/>
  <c r="M1084" i="3"/>
  <c r="J1084" i="3"/>
  <c r="E1084" i="3"/>
  <c r="N1084" i="3"/>
  <c r="H1084" i="3"/>
  <c r="O1084" i="3"/>
  <c r="G1084" i="3"/>
  <c r="I1084" i="3"/>
  <c r="C1085" i="3"/>
  <c r="B1950" i="3"/>
  <c r="J1080" i="3"/>
  <c r="D1080" i="3"/>
  <c r="AI2696" i="3"/>
  <c r="C1082" i="3"/>
  <c r="C1089" i="3"/>
  <c r="C1087" i="3"/>
  <c r="E825" i="3"/>
  <c r="K825" i="3"/>
  <c r="E2349" i="3"/>
  <c r="O2349" i="3"/>
  <c r="G2349" i="3"/>
  <c r="M2349" i="3"/>
  <c r="J2349" i="3"/>
  <c r="F831" i="3"/>
  <c r="E831" i="3"/>
  <c r="B2508" i="3"/>
  <c r="C2497" i="3" s="1"/>
  <c r="K2349" i="3"/>
  <c r="F2349" i="3"/>
  <c r="D2349" i="3"/>
  <c r="H825" i="3"/>
  <c r="I2349" i="3"/>
  <c r="H831" i="3"/>
  <c r="K831" i="3"/>
  <c r="D831" i="3"/>
  <c r="M831" i="3"/>
  <c r="L831" i="3"/>
  <c r="L825" i="3"/>
  <c r="N2349" i="3"/>
  <c r="M825" i="3"/>
  <c r="H2349" i="3"/>
  <c r="F825" i="3"/>
  <c r="G827" i="3"/>
  <c r="C1848" i="3"/>
  <c r="J1841" i="3"/>
  <c r="F1841" i="3"/>
  <c r="O1841" i="3"/>
  <c r="C1851" i="3"/>
  <c r="N1851" i="3" s="1"/>
  <c r="P367" i="3"/>
  <c r="AQ2695" i="3"/>
  <c r="C1843" i="3"/>
  <c r="M1843" i="3" s="1"/>
  <c r="N1841" i="3"/>
  <c r="G1841" i="3"/>
  <c r="K1841" i="3"/>
  <c r="N827" i="3"/>
  <c r="J827" i="3"/>
  <c r="E827" i="3"/>
  <c r="M834" i="3"/>
  <c r="J834" i="3"/>
  <c r="N834" i="3"/>
  <c r="P369" i="3"/>
  <c r="P365" i="3"/>
  <c r="P364" i="3"/>
  <c r="N1218" i="3"/>
  <c r="P371" i="3"/>
  <c r="D2351" i="3"/>
  <c r="K827" i="3"/>
  <c r="D827" i="3"/>
  <c r="G834" i="3"/>
  <c r="E834" i="3"/>
  <c r="I834" i="3"/>
  <c r="C1847" i="3"/>
  <c r="J1847" i="3" s="1"/>
  <c r="P373" i="3"/>
  <c r="H2351" i="3"/>
  <c r="C1850" i="3"/>
  <c r="K1850" i="3" s="1"/>
  <c r="C1849" i="3"/>
  <c r="I1841" i="3"/>
  <c r="H1841" i="3"/>
  <c r="I827" i="3"/>
  <c r="O827" i="3"/>
  <c r="K834" i="3"/>
  <c r="F834" i="3"/>
  <c r="P368" i="3"/>
  <c r="P366" i="3"/>
  <c r="P372" i="3"/>
  <c r="G2351" i="3"/>
  <c r="E2358" i="3"/>
  <c r="H2358" i="3"/>
  <c r="K2358" i="3"/>
  <c r="G2358" i="3"/>
  <c r="L2358" i="3"/>
  <c r="I2358" i="3"/>
  <c r="D2358" i="3"/>
  <c r="J2358" i="3"/>
  <c r="N2358" i="3"/>
  <c r="O2358" i="3"/>
  <c r="F2358" i="3"/>
  <c r="C1220" i="3"/>
  <c r="J1220" i="3" s="1"/>
  <c r="B1052" i="3"/>
  <c r="B1053" i="3" s="1"/>
  <c r="C1033" i="3" s="1"/>
  <c r="P2256" i="3" a="1"/>
  <c r="P2262" i="3" s="1"/>
  <c r="B868" i="3"/>
  <c r="C1217" i="3"/>
  <c r="J1217" i="3" s="1"/>
  <c r="J1218" i="3"/>
  <c r="E2351" i="3"/>
  <c r="N2355" i="3"/>
  <c r="H1218" i="3"/>
  <c r="C1224" i="3"/>
  <c r="J1224" i="3" s="1"/>
  <c r="J2351" i="3"/>
  <c r="O2351" i="3"/>
  <c r="N2402" i="3"/>
  <c r="F2402" i="3"/>
  <c r="BD2695" i="3"/>
  <c r="BO2695" i="3"/>
  <c r="I1218" i="3"/>
  <c r="BJ2695" i="3"/>
  <c r="K1218" i="3"/>
  <c r="F1218" i="3"/>
  <c r="C1226" i="3"/>
  <c r="O1226" i="3" s="1"/>
  <c r="C1227" i="3"/>
  <c r="E1227" i="3" s="1"/>
  <c r="C1221" i="3"/>
  <c r="J1221" i="3" s="1"/>
  <c r="F2355" i="3"/>
  <c r="M1218" i="3"/>
  <c r="G1218" i="3"/>
  <c r="O1218" i="3"/>
  <c r="C1219" i="3"/>
  <c r="L1219" i="3" s="1"/>
  <c r="C1223" i="3"/>
  <c r="G1223" i="3" s="1"/>
  <c r="E2355" i="3"/>
  <c r="AU2696" i="3"/>
  <c r="D1218" i="3"/>
  <c r="L1218" i="3"/>
  <c r="C1225" i="3"/>
  <c r="F1225" i="3" s="1"/>
  <c r="C1222" i="3"/>
  <c r="I1222" i="3" s="1"/>
  <c r="H2355" i="3"/>
  <c r="I2355" i="3"/>
  <c r="E2402" i="3"/>
  <c r="L2402" i="3"/>
  <c r="I2402" i="3"/>
  <c r="H2402" i="3"/>
  <c r="J2402" i="3"/>
  <c r="M2402" i="3"/>
  <c r="D2402" i="3"/>
  <c r="G2402" i="3"/>
  <c r="M2350" i="3"/>
  <c r="BA2696" i="3"/>
  <c r="BG2696" i="3"/>
  <c r="K2359" i="3"/>
  <c r="F2359" i="3"/>
  <c r="CE2696" i="3"/>
  <c r="U2696" i="3"/>
  <c r="X2695" i="3" s="1"/>
  <c r="Y2695" i="3" s="1"/>
  <c r="G2353" i="3"/>
  <c r="N2351" i="3"/>
  <c r="K2351" i="3"/>
  <c r="M2351" i="3"/>
  <c r="O2355" i="3"/>
  <c r="D2355" i="3"/>
  <c r="G2355" i="3"/>
  <c r="M807" i="3"/>
  <c r="I897" i="3"/>
  <c r="L903" i="3"/>
  <c r="P109" i="3" a="1"/>
  <c r="P116" i="3" s="1"/>
  <c r="P963" i="3" a="1"/>
  <c r="P969" i="3" s="1"/>
  <c r="I2351" i="3"/>
  <c r="L2351" i="3"/>
  <c r="M2355" i="3"/>
  <c r="J2355" i="3"/>
  <c r="P2797" i="3"/>
  <c r="P2789" i="3"/>
  <c r="N897" i="3"/>
  <c r="O807" i="3"/>
  <c r="G2350" i="3"/>
  <c r="D2350" i="3"/>
  <c r="J2350" i="3"/>
  <c r="K2350" i="3"/>
  <c r="P709" i="3"/>
  <c r="E2350" i="3"/>
  <c r="AW2695" i="3"/>
  <c r="P718" i="3"/>
  <c r="N2350" i="3"/>
  <c r="O2350" i="3"/>
  <c r="H2350" i="3"/>
  <c r="I901" i="3"/>
  <c r="E900" i="3"/>
  <c r="P717" i="3"/>
  <c r="I2350" i="3"/>
  <c r="F2350" i="3"/>
  <c r="D901" i="3"/>
  <c r="I900" i="3"/>
  <c r="BV2695" i="3"/>
  <c r="B2042" i="3"/>
  <c r="B2043" i="3" s="1"/>
  <c r="G807" i="3"/>
  <c r="O897" i="3"/>
  <c r="O903" i="3"/>
  <c r="N2359" i="3"/>
  <c r="J807" i="3"/>
  <c r="L807" i="3"/>
  <c r="M2359" i="3"/>
  <c r="L2359" i="3"/>
  <c r="O2359" i="3"/>
  <c r="H2359" i="3"/>
  <c r="N2356" i="3"/>
  <c r="K900" i="3"/>
  <c r="E904" i="3"/>
  <c r="J903" i="3"/>
  <c r="B1279" i="3"/>
  <c r="B1280" i="3" s="1"/>
  <c r="B1281" i="3" s="1"/>
  <c r="B1282" i="3" s="1"/>
  <c r="B1283" i="3" s="1"/>
  <c r="D2612" i="3"/>
  <c r="K2612" i="3"/>
  <c r="J2612" i="3"/>
  <c r="G2612" i="3"/>
  <c r="E2612" i="3"/>
  <c r="H2612" i="3"/>
  <c r="M2612" i="3"/>
  <c r="I2612" i="3"/>
  <c r="N2612" i="3"/>
  <c r="F2612" i="3"/>
  <c r="L2612" i="3"/>
  <c r="O2612" i="3"/>
  <c r="C2605" i="3"/>
  <c r="C2608" i="3"/>
  <c r="C2606" i="3"/>
  <c r="C2603" i="3"/>
  <c r="C2613" i="3"/>
  <c r="C2609" i="3"/>
  <c r="C2610" i="3"/>
  <c r="C2611" i="3"/>
  <c r="C2604" i="3"/>
  <c r="C2607" i="3"/>
  <c r="N807" i="3"/>
  <c r="I807" i="3"/>
  <c r="K807" i="3"/>
  <c r="L897" i="3"/>
  <c r="K897" i="3"/>
  <c r="J897" i="3"/>
  <c r="H903" i="3"/>
  <c r="N903" i="3"/>
  <c r="K903" i="3"/>
  <c r="E897" i="3"/>
  <c r="D897" i="3"/>
  <c r="H897" i="3"/>
  <c r="I903" i="3"/>
  <c r="D903" i="3"/>
  <c r="F903" i="3"/>
  <c r="B1421" i="3"/>
  <c r="B1422" i="3" s="1"/>
  <c r="F807" i="3"/>
  <c r="H807" i="3"/>
  <c r="G897" i="3"/>
  <c r="M897" i="3"/>
  <c r="M901" i="3"/>
  <c r="G903" i="3"/>
  <c r="M903" i="3"/>
  <c r="J900" i="3"/>
  <c r="D900" i="3"/>
  <c r="N900" i="3"/>
  <c r="F900" i="3"/>
  <c r="O900" i="3"/>
  <c r="M900" i="3"/>
  <c r="L900" i="3"/>
  <c r="H900" i="3"/>
  <c r="B2321" i="3"/>
  <c r="B2322" i="3" s="1"/>
  <c r="B1604" i="3"/>
  <c r="AA2696" i="3"/>
  <c r="AD2695" i="3" s="1"/>
  <c r="AF2695" i="3" s="1"/>
  <c r="P711" i="3"/>
  <c r="L2352" i="3"/>
  <c r="O2352" i="3"/>
  <c r="F2352" i="3"/>
  <c r="H2353" i="3"/>
  <c r="J2353" i="3"/>
  <c r="E2353" i="3"/>
  <c r="L2357" i="3"/>
  <c r="M2353" i="3"/>
  <c r="P2788" i="3"/>
  <c r="M2357" i="3"/>
  <c r="E2357" i="3"/>
  <c r="D2357" i="3"/>
  <c r="K2357" i="3"/>
  <c r="N901" i="3"/>
  <c r="J901" i="3"/>
  <c r="F901" i="3"/>
  <c r="N2352" i="3"/>
  <c r="M2352" i="3"/>
  <c r="P719" i="3"/>
  <c r="AO2696" i="3"/>
  <c r="P713" i="3"/>
  <c r="P715" i="3"/>
  <c r="P710" i="3"/>
  <c r="G2352" i="3"/>
  <c r="H2352" i="3"/>
  <c r="I2352" i="3"/>
  <c r="E2352" i="3"/>
  <c r="D2352" i="3"/>
  <c r="D2353" i="3"/>
  <c r="L2353" i="3"/>
  <c r="O2353" i="3"/>
  <c r="N2353" i="3"/>
  <c r="G2357" i="3"/>
  <c r="I2353" i="3"/>
  <c r="N2357" i="3"/>
  <c r="G901" i="3"/>
  <c r="L901" i="3"/>
  <c r="E901" i="3"/>
  <c r="P712" i="3"/>
  <c r="P714" i="3"/>
  <c r="K2352" i="3"/>
  <c r="F2353" i="3"/>
  <c r="K901" i="3"/>
  <c r="O901" i="3"/>
  <c r="P2810" i="3" a="1"/>
  <c r="P2810" i="3" s="1"/>
  <c r="BM2696" i="3"/>
  <c r="D2359" i="3"/>
  <c r="J2359" i="3"/>
  <c r="G2359" i="3"/>
  <c r="K904" i="3"/>
  <c r="M2356" i="3"/>
  <c r="AK2695" i="3"/>
  <c r="E2359" i="3"/>
  <c r="D2356" i="3"/>
  <c r="M904" i="3"/>
  <c r="J904" i="3"/>
  <c r="G904" i="3"/>
  <c r="L904" i="3"/>
  <c r="I2356" i="3"/>
  <c r="O2356" i="3"/>
  <c r="F2356" i="3"/>
  <c r="J2356" i="3"/>
  <c r="G2356" i="3"/>
  <c r="I904" i="3"/>
  <c r="D904" i="3"/>
  <c r="O904" i="3"/>
  <c r="L2356" i="3"/>
  <c r="K2356" i="3"/>
  <c r="H2356" i="3"/>
  <c r="H904" i="3"/>
  <c r="F904" i="3"/>
  <c r="C1636" i="3"/>
  <c r="O1636" i="3" s="1"/>
  <c r="F802" i="3"/>
  <c r="G1498" i="3"/>
  <c r="P2787" i="3"/>
  <c r="P2796" i="3"/>
  <c r="J802" i="3"/>
  <c r="P2793" i="3"/>
  <c r="P2795" i="3"/>
  <c r="P2792" i="3"/>
  <c r="P1725" i="3" a="1"/>
  <c r="P1726" i="3" s="1"/>
  <c r="B1029" i="3"/>
  <c r="B1879" i="3"/>
  <c r="B1880" i="3" s="1"/>
  <c r="B1881" i="3" s="1"/>
  <c r="C1642" i="3"/>
  <c r="M1642" i="3" s="1"/>
  <c r="B1788" i="3"/>
  <c r="B1789" i="3" s="1"/>
  <c r="C1633" i="3"/>
  <c r="G1633" i="3" s="1"/>
  <c r="B2600" i="3"/>
  <c r="C2582" i="3" s="1"/>
  <c r="P2794" i="3"/>
  <c r="P2790" i="3"/>
  <c r="C1641" i="3"/>
  <c r="D1641" i="3" s="1"/>
  <c r="C1637" i="3"/>
  <c r="H1637" i="3" s="1"/>
  <c r="B1585" i="3"/>
  <c r="C1569" i="3" s="1"/>
  <c r="B1306" i="3"/>
  <c r="B1307" i="3" s="1"/>
  <c r="C1287" i="3" s="1"/>
  <c r="I2357" i="3"/>
  <c r="O2357" i="3"/>
  <c r="F2357" i="3"/>
  <c r="J2095" i="3"/>
  <c r="D2095" i="3"/>
  <c r="I2095" i="3"/>
  <c r="N2095" i="3"/>
  <c r="F2095" i="3"/>
  <c r="M2095" i="3"/>
  <c r="G2095" i="3"/>
  <c r="E2095" i="3"/>
  <c r="L2095" i="3"/>
  <c r="K2095" i="3"/>
  <c r="O2095" i="3"/>
  <c r="H2095" i="3"/>
  <c r="N2101" i="3"/>
  <c r="L2101" i="3"/>
  <c r="D2101" i="3"/>
  <c r="H2101" i="3"/>
  <c r="M2101" i="3"/>
  <c r="G2101" i="3"/>
  <c r="J2101" i="3"/>
  <c r="K2101" i="3"/>
  <c r="I2101" i="3"/>
  <c r="E2101" i="3"/>
  <c r="F2101" i="3"/>
  <c r="O2101" i="3"/>
  <c r="N2102" i="3"/>
  <c r="M2102" i="3"/>
  <c r="L2102" i="3"/>
  <c r="E2102" i="3"/>
  <c r="H2102" i="3"/>
  <c r="K2102" i="3"/>
  <c r="F2102" i="3"/>
  <c r="D2102" i="3"/>
  <c r="J2102" i="3"/>
  <c r="I2102" i="3"/>
  <c r="O2102" i="3"/>
  <c r="G2102" i="3"/>
  <c r="B589" i="3"/>
  <c r="B590" i="3" s="1"/>
  <c r="B591" i="3" s="1"/>
  <c r="B592" i="3" s="1"/>
  <c r="B1196" i="3"/>
  <c r="F2103" i="3"/>
  <c r="N2103" i="3"/>
  <c r="L2103" i="3"/>
  <c r="E2103" i="3"/>
  <c r="D2103" i="3"/>
  <c r="J2103" i="3"/>
  <c r="I2103" i="3"/>
  <c r="O2103" i="3"/>
  <c r="K2103" i="3"/>
  <c r="G2103" i="3"/>
  <c r="H2103" i="3"/>
  <c r="M2103" i="3"/>
  <c r="N2096" i="3"/>
  <c r="K2096" i="3"/>
  <c r="I2096" i="3"/>
  <c r="D2096" i="3"/>
  <c r="M2096" i="3"/>
  <c r="F2096" i="3"/>
  <c r="L2096" i="3"/>
  <c r="J2096" i="3"/>
  <c r="G2096" i="3"/>
  <c r="H2096" i="3"/>
  <c r="E2096" i="3"/>
  <c r="O2096" i="3"/>
  <c r="J2357" i="3"/>
  <c r="G802" i="3"/>
  <c r="B1626" i="3"/>
  <c r="L2097" i="3"/>
  <c r="I2097" i="3"/>
  <c r="M2097" i="3"/>
  <c r="O2097" i="3"/>
  <c r="K2097" i="3"/>
  <c r="G2097" i="3"/>
  <c r="E2097" i="3"/>
  <c r="D2097" i="3"/>
  <c r="J2097" i="3"/>
  <c r="N2097" i="3"/>
  <c r="H2097" i="3"/>
  <c r="F2097" i="3"/>
  <c r="C1643" i="3"/>
  <c r="C1635" i="3"/>
  <c r="C1640" i="3"/>
  <c r="G2104" i="3"/>
  <c r="F2104" i="3"/>
  <c r="E2104" i="3"/>
  <c r="K2104" i="3"/>
  <c r="D2104" i="3"/>
  <c r="I2104" i="3"/>
  <c r="H2104" i="3"/>
  <c r="N2104" i="3"/>
  <c r="M2104" i="3"/>
  <c r="L2104" i="3"/>
  <c r="O2104" i="3"/>
  <c r="J2104" i="3"/>
  <c r="O2098" i="3"/>
  <c r="K2098" i="3"/>
  <c r="F2098" i="3"/>
  <c r="J2098" i="3"/>
  <c r="M2098" i="3"/>
  <c r="I2098" i="3"/>
  <c r="D2098" i="3"/>
  <c r="L2098" i="3"/>
  <c r="G2098" i="3"/>
  <c r="N2098" i="3"/>
  <c r="H2098" i="3"/>
  <c r="E2098" i="3"/>
  <c r="C1634" i="3"/>
  <c r="C1638" i="3"/>
  <c r="C1639" i="3"/>
  <c r="I2099" i="3"/>
  <c r="D2099" i="3"/>
  <c r="G2099" i="3"/>
  <c r="M2099" i="3"/>
  <c r="N2099" i="3"/>
  <c r="F2099" i="3"/>
  <c r="K2099" i="3"/>
  <c r="L2099" i="3"/>
  <c r="J2099" i="3"/>
  <c r="E2099" i="3"/>
  <c r="O2099" i="3"/>
  <c r="H2099" i="3"/>
  <c r="F2100" i="3"/>
  <c r="I2100" i="3"/>
  <c r="L2100" i="3"/>
  <c r="E2100" i="3"/>
  <c r="O2100" i="3"/>
  <c r="N2100" i="3"/>
  <c r="M2100" i="3"/>
  <c r="J2100" i="3"/>
  <c r="H2100" i="3"/>
  <c r="G2100" i="3"/>
  <c r="K2100" i="3"/>
  <c r="D2100" i="3"/>
  <c r="M2105" i="3"/>
  <c r="H2105" i="3"/>
  <c r="J2105" i="3"/>
  <c r="I2105" i="3"/>
  <c r="L2105" i="3"/>
  <c r="F2105" i="3"/>
  <c r="O2105" i="3"/>
  <c r="G2105" i="3"/>
  <c r="N2105" i="3"/>
  <c r="K2105" i="3"/>
  <c r="D2105" i="3"/>
  <c r="E2105" i="3"/>
  <c r="J894" i="3"/>
  <c r="I894" i="3"/>
  <c r="N894" i="3"/>
  <c r="H894" i="3"/>
  <c r="G894" i="3"/>
  <c r="D894" i="3"/>
  <c r="F894" i="3"/>
  <c r="O894" i="3"/>
  <c r="K894" i="3"/>
  <c r="L894" i="3"/>
  <c r="E894" i="3"/>
  <c r="M894" i="3"/>
  <c r="O895" i="3"/>
  <c r="K895" i="3"/>
  <c r="J895" i="3"/>
  <c r="N895" i="3"/>
  <c r="E895" i="3"/>
  <c r="H895" i="3"/>
  <c r="M895" i="3"/>
  <c r="D895" i="3"/>
  <c r="F895" i="3"/>
  <c r="L895" i="3"/>
  <c r="G895" i="3"/>
  <c r="I895" i="3"/>
  <c r="M802" i="3"/>
  <c r="E802" i="3"/>
  <c r="I802" i="3"/>
  <c r="L902" i="3"/>
  <c r="I902" i="3"/>
  <c r="G902" i="3"/>
  <c r="D902" i="3"/>
  <c r="E902" i="3"/>
  <c r="K902" i="3"/>
  <c r="H902" i="3"/>
  <c r="J902" i="3"/>
  <c r="F902" i="3"/>
  <c r="M902" i="3"/>
  <c r="N902" i="3"/>
  <c r="O902" i="3"/>
  <c r="B1373" i="3"/>
  <c r="B1374" i="3" s="1"/>
  <c r="K802" i="3"/>
  <c r="H802" i="3"/>
  <c r="L802" i="3"/>
  <c r="B308" i="3"/>
  <c r="B2089" i="3"/>
  <c r="B2090" i="3" s="1"/>
  <c r="J896" i="3"/>
  <c r="D896" i="3"/>
  <c r="I896" i="3"/>
  <c r="N896" i="3"/>
  <c r="M896" i="3"/>
  <c r="G896" i="3"/>
  <c r="H896" i="3"/>
  <c r="L896" i="3"/>
  <c r="E896" i="3"/>
  <c r="F896" i="3"/>
  <c r="K896" i="3"/>
  <c r="O896" i="3"/>
  <c r="J898" i="3"/>
  <c r="H898" i="3"/>
  <c r="K898" i="3"/>
  <c r="F898" i="3"/>
  <c r="M898" i="3"/>
  <c r="O898" i="3"/>
  <c r="N898" i="3"/>
  <c r="G898" i="3"/>
  <c r="I898" i="3"/>
  <c r="L898" i="3"/>
  <c r="E898" i="3"/>
  <c r="D898" i="3"/>
  <c r="O802" i="3"/>
  <c r="D802" i="3"/>
  <c r="N899" i="3"/>
  <c r="F899" i="3"/>
  <c r="O899" i="3"/>
  <c r="M899" i="3"/>
  <c r="I899" i="3"/>
  <c r="L899" i="3"/>
  <c r="E899" i="3"/>
  <c r="D899" i="3"/>
  <c r="J899" i="3"/>
  <c r="H899" i="3"/>
  <c r="K899" i="3"/>
  <c r="G899" i="3"/>
  <c r="B2343" i="3"/>
  <c r="B2344" i="3" s="1"/>
  <c r="B331" i="3"/>
  <c r="AC2696" i="3"/>
  <c r="CB2695" i="3"/>
  <c r="C162" i="3"/>
  <c r="N162" i="3" s="1"/>
  <c r="CG2695" i="3"/>
  <c r="R2695" i="3"/>
  <c r="S2695" i="3" s="1"/>
  <c r="C159" i="3"/>
  <c r="L159" i="3" s="1"/>
  <c r="B1882" i="3"/>
  <c r="BS2696" i="3"/>
  <c r="BY2696" i="3"/>
  <c r="M809" i="3"/>
  <c r="O809" i="3"/>
  <c r="H809" i="3"/>
  <c r="E809" i="3"/>
  <c r="G809" i="3"/>
  <c r="N809" i="3"/>
  <c r="K809" i="3"/>
  <c r="D809" i="3"/>
  <c r="F809" i="3"/>
  <c r="I809" i="3"/>
  <c r="J809" i="3"/>
  <c r="L809" i="3"/>
  <c r="I812" i="3"/>
  <c r="E812" i="3"/>
  <c r="F812" i="3"/>
  <c r="O812" i="3"/>
  <c r="M812" i="3"/>
  <c r="D812" i="3"/>
  <c r="N812" i="3"/>
  <c r="H812" i="3"/>
  <c r="J812" i="3"/>
  <c r="G812" i="3"/>
  <c r="K812" i="3"/>
  <c r="L812" i="3"/>
  <c r="N804" i="3"/>
  <c r="G804" i="3"/>
  <c r="I804" i="3"/>
  <c r="F804" i="3"/>
  <c r="E804" i="3"/>
  <c r="H804" i="3"/>
  <c r="D804" i="3"/>
  <c r="K804" i="3"/>
  <c r="J804" i="3"/>
  <c r="O804" i="3"/>
  <c r="L804" i="3"/>
  <c r="M804" i="3"/>
  <c r="B2571" i="3"/>
  <c r="D808" i="3"/>
  <c r="M808" i="3"/>
  <c r="J808" i="3"/>
  <c r="N808" i="3"/>
  <c r="F808" i="3"/>
  <c r="E808" i="3"/>
  <c r="L808" i="3"/>
  <c r="H808" i="3"/>
  <c r="G808" i="3"/>
  <c r="K808" i="3"/>
  <c r="I808" i="3"/>
  <c r="O808" i="3"/>
  <c r="N803" i="3"/>
  <c r="O803" i="3"/>
  <c r="J803" i="3"/>
  <c r="H803" i="3"/>
  <c r="I803" i="3"/>
  <c r="L803" i="3"/>
  <c r="G803" i="3"/>
  <c r="K803" i="3"/>
  <c r="E803" i="3"/>
  <c r="M803" i="3"/>
  <c r="F803" i="3"/>
  <c r="D803" i="3"/>
  <c r="F805" i="3"/>
  <c r="M805" i="3"/>
  <c r="N805" i="3"/>
  <c r="H805" i="3"/>
  <c r="K805" i="3"/>
  <c r="J805" i="3"/>
  <c r="E805" i="3"/>
  <c r="L805" i="3"/>
  <c r="I805" i="3"/>
  <c r="G805" i="3"/>
  <c r="D805" i="3"/>
  <c r="O805" i="3"/>
  <c r="F806" i="3"/>
  <c r="M806" i="3"/>
  <c r="D806" i="3"/>
  <c r="L806" i="3"/>
  <c r="K806" i="3"/>
  <c r="H806" i="3"/>
  <c r="G806" i="3"/>
  <c r="O806" i="3"/>
  <c r="N806" i="3"/>
  <c r="J806" i="3"/>
  <c r="I806" i="3"/>
  <c r="E806" i="3"/>
  <c r="H811" i="3"/>
  <c r="K811" i="3"/>
  <c r="L811" i="3"/>
  <c r="I811" i="3"/>
  <c r="J811" i="3"/>
  <c r="F811" i="3"/>
  <c r="G811" i="3"/>
  <c r="D811" i="3"/>
  <c r="N811" i="3"/>
  <c r="O811" i="3"/>
  <c r="M811" i="3"/>
  <c r="E811" i="3"/>
  <c r="F810" i="3"/>
  <c r="D810" i="3"/>
  <c r="N810" i="3"/>
  <c r="O810" i="3"/>
  <c r="E810" i="3"/>
  <c r="H810" i="3"/>
  <c r="K810" i="3"/>
  <c r="M810" i="3"/>
  <c r="J810" i="3"/>
  <c r="L810" i="3"/>
  <c r="I810" i="3"/>
  <c r="G810" i="3"/>
  <c r="B2778" i="3"/>
  <c r="B2779" i="3" s="1"/>
  <c r="B2780" i="3" s="1"/>
  <c r="B2781" i="3" s="1"/>
  <c r="B2782" i="3" s="1"/>
  <c r="C992" i="3"/>
  <c r="N992" i="3" s="1"/>
  <c r="C991" i="3"/>
  <c r="J991" i="3" s="1"/>
  <c r="C987" i="3"/>
  <c r="K987" i="3" s="1"/>
  <c r="C995" i="3"/>
  <c r="L995" i="3" s="1"/>
  <c r="C993" i="3"/>
  <c r="C990" i="3"/>
  <c r="C989" i="3"/>
  <c r="C986" i="3"/>
  <c r="I988" i="3"/>
  <c r="F988" i="3"/>
  <c r="M988" i="3"/>
  <c r="D988" i="3"/>
  <c r="H988" i="3"/>
  <c r="J988" i="3"/>
  <c r="E988" i="3"/>
  <c r="K988" i="3"/>
  <c r="L988" i="3"/>
  <c r="N988" i="3"/>
  <c r="G988" i="3"/>
  <c r="O988" i="3"/>
  <c r="C996" i="3"/>
  <c r="C994" i="3"/>
  <c r="B1814" i="3"/>
  <c r="B1815" i="3" s="1"/>
  <c r="B1350" i="3"/>
  <c r="B1351" i="3" s="1"/>
  <c r="B1352" i="3" s="1"/>
  <c r="B2458" i="3"/>
  <c r="P1148" i="3" a="1"/>
  <c r="P1153" i="3" s="1"/>
  <c r="B2069" i="3"/>
  <c r="B1258" i="3"/>
  <c r="B1259" i="3" s="1"/>
  <c r="C160" i="3"/>
  <c r="K160" i="3" s="1"/>
  <c r="C163" i="3"/>
  <c r="M163" i="3" s="1"/>
  <c r="C165" i="3"/>
  <c r="I165" i="3" s="1"/>
  <c r="C161" i="3"/>
  <c r="D161" i="3" s="1"/>
  <c r="C155" i="3"/>
  <c r="I155" i="3" s="1"/>
  <c r="C156" i="3"/>
  <c r="J156" i="3" s="1"/>
  <c r="C164" i="3"/>
  <c r="K164" i="3" s="1"/>
  <c r="C157" i="3"/>
  <c r="F157" i="3" s="1"/>
  <c r="C158" i="3"/>
  <c r="K158" i="3" s="1"/>
  <c r="B1326" i="3"/>
  <c r="D1501" i="3"/>
  <c r="M758" i="3"/>
  <c r="H1501" i="3"/>
  <c r="F1501" i="3"/>
  <c r="G1501" i="3"/>
  <c r="O1501" i="3"/>
  <c r="K1501" i="3"/>
  <c r="C1680" i="3"/>
  <c r="C1686" i="3"/>
  <c r="C1679" i="3"/>
  <c r="C1687" i="3"/>
  <c r="C1685" i="3"/>
  <c r="B2250" i="3"/>
  <c r="C1683" i="3"/>
  <c r="C1688" i="3"/>
  <c r="C1682" i="3"/>
  <c r="C1689" i="3"/>
  <c r="C1681" i="3"/>
  <c r="C1684" i="3"/>
  <c r="O2009" i="3"/>
  <c r="B2393" i="3"/>
  <c r="C2377" i="3" s="1"/>
  <c r="B2735" i="3"/>
  <c r="B2736" i="3" s="1"/>
  <c r="B2737" i="3" s="1"/>
  <c r="B2529" i="3"/>
  <c r="L1501" i="3"/>
  <c r="N1501" i="3"/>
  <c r="J1501" i="3"/>
  <c r="E1501" i="3"/>
  <c r="I1501" i="3"/>
  <c r="B1489" i="3"/>
  <c r="O1494" i="3"/>
  <c r="I1494" i="3"/>
  <c r="K1494" i="3"/>
  <c r="M1496" i="3"/>
  <c r="K1498" i="3"/>
  <c r="N1498" i="3"/>
  <c r="I2009" i="3"/>
  <c r="O1496" i="3"/>
  <c r="C2011" i="3"/>
  <c r="L2011" i="3" s="1"/>
  <c r="C2012" i="3"/>
  <c r="N2012" i="3" s="1"/>
  <c r="E1494" i="3"/>
  <c r="L1496" i="3"/>
  <c r="I1496" i="3"/>
  <c r="C2008" i="3"/>
  <c r="J2008" i="3" s="1"/>
  <c r="M2009" i="3"/>
  <c r="F1494" i="3"/>
  <c r="J1494" i="3"/>
  <c r="N1496" i="3"/>
  <c r="K1496" i="3"/>
  <c r="B267" i="3"/>
  <c r="B268" i="3" s="1"/>
  <c r="L1498" i="3"/>
  <c r="M1498" i="3"/>
  <c r="N1495" i="3"/>
  <c r="E1495" i="3"/>
  <c r="B2230" i="3"/>
  <c r="B2231" i="3" s="1"/>
  <c r="H1498" i="3"/>
  <c r="F1495" i="3"/>
  <c r="C1524" i="3"/>
  <c r="F1524" i="3" s="1"/>
  <c r="C1523" i="3"/>
  <c r="H1523" i="3" s="1"/>
  <c r="C2490" i="3"/>
  <c r="G2490" i="3" s="1"/>
  <c r="C2489" i="3"/>
  <c r="J2489" i="3" s="1"/>
  <c r="C2491" i="3"/>
  <c r="I2491" i="3" s="1"/>
  <c r="C2492" i="3"/>
  <c r="G1494" i="3"/>
  <c r="M1494" i="3"/>
  <c r="L1494" i="3"/>
  <c r="L1495" i="3"/>
  <c r="M1495" i="3"/>
  <c r="I1495" i="3"/>
  <c r="C1518" i="3"/>
  <c r="M1518" i="3" s="1"/>
  <c r="C1522" i="3"/>
  <c r="N1522" i="3" s="1"/>
  <c r="C1527" i="3"/>
  <c r="J1527" i="3" s="1"/>
  <c r="D1494" i="3"/>
  <c r="H1494" i="3"/>
  <c r="H1495" i="3"/>
  <c r="K1495" i="3"/>
  <c r="G1495" i="3"/>
  <c r="C1521" i="3"/>
  <c r="N1521" i="3" s="1"/>
  <c r="C1526" i="3"/>
  <c r="F1526" i="3" s="1"/>
  <c r="C1519" i="3"/>
  <c r="D1519" i="3" s="1"/>
  <c r="C2496" i="3"/>
  <c r="C2494" i="3"/>
  <c r="J1495" i="3"/>
  <c r="O1495" i="3"/>
  <c r="C1520" i="3"/>
  <c r="O1520" i="3" s="1"/>
  <c r="C1525" i="3"/>
  <c r="I1525" i="3" s="1"/>
  <c r="B933" i="3"/>
  <c r="B934" i="3" s="1"/>
  <c r="B935" i="3" s="1"/>
  <c r="B936" i="3" s="1"/>
  <c r="B937" i="3" s="1"/>
  <c r="B938" i="3" s="1"/>
  <c r="C918" i="3" s="1"/>
  <c r="I1498" i="3"/>
  <c r="E1498" i="3"/>
  <c r="D1498" i="3"/>
  <c r="D1496" i="3"/>
  <c r="G1496" i="3"/>
  <c r="F1496" i="3"/>
  <c r="J1498" i="3"/>
  <c r="F1498" i="3"/>
  <c r="H1496" i="3"/>
  <c r="J1496" i="3"/>
  <c r="C2682" i="3"/>
  <c r="C2673" i="3"/>
  <c r="C2680" i="3"/>
  <c r="C2672" i="3"/>
  <c r="C2677" i="3"/>
  <c r="C2679" i="3"/>
  <c r="C2674" i="3"/>
  <c r="C2681" i="3"/>
  <c r="B888" i="3"/>
  <c r="B889" i="3" s="1"/>
  <c r="B890" i="3" s="1"/>
  <c r="C2678" i="3"/>
  <c r="C2675" i="3"/>
  <c r="C2676" i="3"/>
  <c r="C2003" i="3"/>
  <c r="G758" i="3"/>
  <c r="C2004" i="3"/>
  <c r="J2004" i="3" s="1"/>
  <c r="E2009" i="3"/>
  <c r="F2009" i="3"/>
  <c r="G2009" i="3"/>
  <c r="C2010" i="3"/>
  <c r="F2010" i="3" s="1"/>
  <c r="L758" i="3"/>
  <c r="C2006" i="3"/>
  <c r="F2006" i="3" s="1"/>
  <c r="H2009" i="3"/>
  <c r="N2009" i="3"/>
  <c r="K2009" i="3"/>
  <c r="C2007" i="3"/>
  <c r="L2007" i="3" s="1"/>
  <c r="D1517" i="3"/>
  <c r="O1517" i="3"/>
  <c r="N1517" i="3"/>
  <c r="J1517" i="3"/>
  <c r="E1517" i="3"/>
  <c r="L1517" i="3"/>
  <c r="I1517" i="3"/>
  <c r="M1517" i="3"/>
  <c r="K1517" i="3"/>
  <c r="F1517" i="3"/>
  <c r="H1517" i="3"/>
  <c r="G1517" i="3"/>
  <c r="H1540" i="3"/>
  <c r="C757" i="3"/>
  <c r="D757" i="3" s="1"/>
  <c r="C764" i="3"/>
  <c r="H764" i="3" s="1"/>
  <c r="C759" i="3"/>
  <c r="K759" i="3" s="1"/>
  <c r="C2005" i="3"/>
  <c r="J2005" i="3" s="1"/>
  <c r="D2009" i="3"/>
  <c r="J2009" i="3"/>
  <c r="C2002" i="3"/>
  <c r="B2298" i="3"/>
  <c r="B2299" i="3" s="1"/>
  <c r="B2300" i="3" s="1"/>
  <c r="C2284" i="3" s="1"/>
  <c r="I1497" i="3"/>
  <c r="H1497" i="3"/>
  <c r="K1497" i="3"/>
  <c r="F1497" i="3"/>
  <c r="J1497" i="3"/>
  <c r="E1497" i="3"/>
  <c r="O1497" i="3"/>
  <c r="M1497" i="3"/>
  <c r="L1497" i="3"/>
  <c r="N1497" i="3"/>
  <c r="D1497" i="3"/>
  <c r="G1497" i="3"/>
  <c r="H551" i="3"/>
  <c r="D551" i="3"/>
  <c r="L551" i="3"/>
  <c r="I551" i="3"/>
  <c r="G551" i="3"/>
  <c r="F551" i="3"/>
  <c r="M551" i="3"/>
  <c r="E551" i="3"/>
  <c r="N551" i="3"/>
  <c r="O551" i="3"/>
  <c r="K551" i="3"/>
  <c r="J551" i="3"/>
  <c r="H552" i="3"/>
  <c r="O552" i="3"/>
  <c r="D552" i="3"/>
  <c r="F552" i="3"/>
  <c r="L552" i="3"/>
  <c r="M552" i="3"/>
  <c r="E552" i="3"/>
  <c r="K552" i="3"/>
  <c r="I552" i="3"/>
  <c r="N552" i="3"/>
  <c r="J552" i="3"/>
  <c r="G552" i="3"/>
  <c r="M548" i="3"/>
  <c r="L548" i="3"/>
  <c r="H548" i="3"/>
  <c r="F548" i="3"/>
  <c r="O548" i="3"/>
  <c r="J548" i="3"/>
  <c r="E548" i="3"/>
  <c r="I548" i="3"/>
  <c r="K548" i="3"/>
  <c r="N548" i="3"/>
  <c r="D548" i="3"/>
  <c r="G548" i="3"/>
  <c r="B946" i="3"/>
  <c r="B947" i="3" s="1"/>
  <c r="F1504" i="3"/>
  <c r="O1504" i="3"/>
  <c r="J1504" i="3"/>
  <c r="K1504" i="3"/>
  <c r="H1504" i="3"/>
  <c r="I1504" i="3"/>
  <c r="G1504" i="3"/>
  <c r="L1504" i="3"/>
  <c r="D1504" i="3"/>
  <c r="E1504" i="3"/>
  <c r="M1504" i="3"/>
  <c r="N1504" i="3"/>
  <c r="B1446" i="3"/>
  <c r="C1429" i="3" s="1"/>
  <c r="I550" i="3"/>
  <c r="J550" i="3"/>
  <c r="N550" i="3"/>
  <c r="K550" i="3"/>
  <c r="E550" i="3"/>
  <c r="H550" i="3"/>
  <c r="M550" i="3"/>
  <c r="L550" i="3"/>
  <c r="F550" i="3"/>
  <c r="G550" i="3"/>
  <c r="O550" i="3"/>
  <c r="D550" i="3"/>
  <c r="D555" i="3"/>
  <c r="E555" i="3"/>
  <c r="H555" i="3"/>
  <c r="F555" i="3"/>
  <c r="N555" i="3"/>
  <c r="J555" i="3"/>
  <c r="I555" i="3"/>
  <c r="M555" i="3"/>
  <c r="O555" i="3"/>
  <c r="L555" i="3"/>
  <c r="G555" i="3"/>
  <c r="K555" i="3"/>
  <c r="N1500" i="3"/>
  <c r="J1500" i="3"/>
  <c r="O1500" i="3"/>
  <c r="I1500" i="3"/>
  <c r="H1500" i="3"/>
  <c r="G1500" i="3"/>
  <c r="E1500" i="3"/>
  <c r="F1500" i="3"/>
  <c r="L1500" i="3"/>
  <c r="M1500" i="3"/>
  <c r="K1500" i="3"/>
  <c r="D1500" i="3"/>
  <c r="O1499" i="3"/>
  <c r="E1499" i="3"/>
  <c r="F1499" i="3"/>
  <c r="N1499" i="3"/>
  <c r="G1499" i="3"/>
  <c r="I1499" i="3"/>
  <c r="J1499" i="3"/>
  <c r="K1499" i="3"/>
  <c r="M1499" i="3"/>
  <c r="L1499" i="3"/>
  <c r="D1499" i="3"/>
  <c r="H1499" i="3"/>
  <c r="I554" i="3"/>
  <c r="J554" i="3"/>
  <c r="L554" i="3"/>
  <c r="F554" i="3"/>
  <c r="D554" i="3"/>
  <c r="M554" i="3"/>
  <c r="N554" i="3"/>
  <c r="G554" i="3"/>
  <c r="O554" i="3"/>
  <c r="H554" i="3"/>
  <c r="E554" i="3"/>
  <c r="K554" i="3"/>
  <c r="N549" i="3"/>
  <c r="G549" i="3"/>
  <c r="O549" i="3"/>
  <c r="F549" i="3"/>
  <c r="M549" i="3"/>
  <c r="L549" i="3"/>
  <c r="D549" i="3"/>
  <c r="K549" i="3"/>
  <c r="H549" i="3"/>
  <c r="E549" i="3"/>
  <c r="J549" i="3"/>
  <c r="I549" i="3"/>
  <c r="I1503" i="3"/>
  <c r="O1503" i="3"/>
  <c r="F1503" i="3"/>
  <c r="G1503" i="3"/>
  <c r="H1503" i="3"/>
  <c r="E1503" i="3"/>
  <c r="N1503" i="3"/>
  <c r="J1503" i="3"/>
  <c r="M1503" i="3"/>
  <c r="D1503" i="3"/>
  <c r="K1503" i="3"/>
  <c r="L1503" i="3"/>
  <c r="M553" i="3"/>
  <c r="D553" i="3"/>
  <c r="H553" i="3"/>
  <c r="I553" i="3"/>
  <c r="O553" i="3"/>
  <c r="L553" i="3"/>
  <c r="F553" i="3"/>
  <c r="K553" i="3"/>
  <c r="J553" i="3"/>
  <c r="N553" i="3"/>
  <c r="G553" i="3"/>
  <c r="E553" i="3"/>
  <c r="D556" i="3"/>
  <c r="L556" i="3"/>
  <c r="N556" i="3"/>
  <c r="F556" i="3"/>
  <c r="I556" i="3"/>
  <c r="E556" i="3"/>
  <c r="M556" i="3"/>
  <c r="H556" i="3"/>
  <c r="G556" i="3"/>
  <c r="J556" i="3"/>
  <c r="O556" i="3"/>
  <c r="K556" i="3"/>
  <c r="H558" i="3"/>
  <c r="L558" i="3"/>
  <c r="E558" i="3"/>
  <c r="J558" i="3"/>
  <c r="G558" i="3"/>
  <c r="D558" i="3"/>
  <c r="F558" i="3"/>
  <c r="K558" i="3"/>
  <c r="M558" i="3"/>
  <c r="I558" i="3"/>
  <c r="N558" i="3"/>
  <c r="O558" i="3"/>
  <c r="B1768" i="3"/>
  <c r="B150" i="3"/>
  <c r="B151" i="3" s="1"/>
  <c r="B152" i="3" s="1"/>
  <c r="B153" i="3" s="1"/>
  <c r="P1379" i="3" a="1"/>
  <c r="P1386" i="3" s="1"/>
  <c r="C762" i="3"/>
  <c r="G762" i="3" s="1"/>
  <c r="N758" i="3"/>
  <c r="D758" i="3"/>
  <c r="I758" i="3"/>
  <c r="C763" i="3"/>
  <c r="G763" i="3" s="1"/>
  <c r="C765" i="3"/>
  <c r="K765" i="3" s="1"/>
  <c r="P524" i="3" a="1"/>
  <c r="P528" i="3" s="1"/>
  <c r="H758" i="3"/>
  <c r="F758" i="3"/>
  <c r="K758" i="3"/>
  <c r="C756" i="3"/>
  <c r="O756" i="3" s="1"/>
  <c r="C755" i="3"/>
  <c r="O755" i="3" s="1"/>
  <c r="C760" i="3"/>
  <c r="D760" i="3" s="1"/>
  <c r="J758" i="3"/>
  <c r="O758" i="3"/>
  <c r="C761" i="3"/>
  <c r="G761" i="3" s="1"/>
  <c r="B2205" i="3"/>
  <c r="D1548" i="3"/>
  <c r="B1997" i="3"/>
  <c r="B1998" i="3" s="1"/>
  <c r="B1123" i="3"/>
  <c r="C1109" i="3" s="1"/>
  <c r="K1109" i="3" s="1"/>
  <c r="B2161" i="3"/>
  <c r="B2162" i="3" s="1"/>
  <c r="A1703" i="3" s="1"/>
  <c r="B1703" i="3" s="1"/>
  <c r="B1676" i="3"/>
  <c r="B1677" i="3" s="1"/>
  <c r="J1548" i="3"/>
  <c r="I1548" i="3"/>
  <c r="E1548" i="3"/>
  <c r="M1548" i="3"/>
  <c r="O1548" i="3"/>
  <c r="J1540" i="3"/>
  <c r="B243" i="3"/>
  <c r="B244" i="3" s="1"/>
  <c r="B245" i="3" s="1"/>
  <c r="M1540" i="3"/>
  <c r="F1540" i="3"/>
  <c r="K1540" i="3"/>
  <c r="C2166" i="3"/>
  <c r="N2166" i="3" s="1"/>
  <c r="C1174" i="3"/>
  <c r="J1174" i="3" s="1"/>
  <c r="C2167" i="3"/>
  <c r="O2167" i="3" s="1"/>
  <c r="C2174" i="3"/>
  <c r="C2171" i="3"/>
  <c r="C2173" i="3"/>
  <c r="C2164" i="3"/>
  <c r="L1540" i="3"/>
  <c r="F1547" i="3"/>
  <c r="C2172" i="3"/>
  <c r="C2165" i="3"/>
  <c r="C2168" i="3"/>
  <c r="C2169" i="3"/>
  <c r="J2170" i="3"/>
  <c r="D2170" i="3"/>
  <c r="K2170" i="3"/>
  <c r="E2170" i="3"/>
  <c r="F2170" i="3"/>
  <c r="L2170" i="3"/>
  <c r="G2170" i="3"/>
  <c r="I2170" i="3"/>
  <c r="O2170" i="3"/>
  <c r="H2170" i="3"/>
  <c r="N2170" i="3"/>
  <c r="M2170" i="3"/>
  <c r="L2121" i="3"/>
  <c r="K2121" i="3"/>
  <c r="E2121" i="3"/>
  <c r="H2121" i="3"/>
  <c r="G2121" i="3"/>
  <c r="N2121" i="3"/>
  <c r="D2121" i="3"/>
  <c r="O2121" i="3"/>
  <c r="J2121" i="3"/>
  <c r="M2121" i="3"/>
  <c r="I2121" i="3"/>
  <c r="F2121" i="3"/>
  <c r="E2118" i="3"/>
  <c r="D2118" i="3"/>
  <c r="L2118" i="3"/>
  <c r="O2118" i="3"/>
  <c r="I2118" i="3"/>
  <c r="G2118" i="3"/>
  <c r="N2118" i="3"/>
  <c r="F2118" i="3"/>
  <c r="M2118" i="3"/>
  <c r="H2118" i="3"/>
  <c r="K2118" i="3"/>
  <c r="J2118" i="3"/>
  <c r="N2127" i="3"/>
  <c r="O2127" i="3"/>
  <c r="D2127" i="3"/>
  <c r="M2127" i="3"/>
  <c r="G2127" i="3"/>
  <c r="K2127" i="3"/>
  <c r="I2127" i="3"/>
  <c r="H2127" i="3"/>
  <c r="E2127" i="3"/>
  <c r="L2127" i="3"/>
  <c r="F2127" i="3"/>
  <c r="J2127" i="3"/>
  <c r="F2124" i="3"/>
  <c r="D2124" i="3"/>
  <c r="K2124" i="3"/>
  <c r="N2124" i="3"/>
  <c r="G2124" i="3"/>
  <c r="H2124" i="3"/>
  <c r="L2124" i="3"/>
  <c r="E2124" i="3"/>
  <c r="O2124" i="3"/>
  <c r="I2124" i="3"/>
  <c r="J2124" i="3"/>
  <c r="M2124" i="3"/>
  <c r="G2119" i="3"/>
  <c r="H2119" i="3"/>
  <c r="J2119" i="3"/>
  <c r="O2119" i="3"/>
  <c r="K2119" i="3"/>
  <c r="L2119" i="3"/>
  <c r="N2119" i="3"/>
  <c r="D2119" i="3"/>
  <c r="E2119" i="3"/>
  <c r="I2119" i="3"/>
  <c r="M2119" i="3"/>
  <c r="F2119" i="3"/>
  <c r="O2122" i="3"/>
  <c r="J2122" i="3"/>
  <c r="I2122" i="3"/>
  <c r="E2122" i="3"/>
  <c r="M2122" i="3"/>
  <c r="D2122" i="3"/>
  <c r="F2122" i="3"/>
  <c r="L2122" i="3"/>
  <c r="G2122" i="3"/>
  <c r="H2122" i="3"/>
  <c r="K2122" i="3"/>
  <c r="N2122" i="3"/>
  <c r="G2123" i="3"/>
  <c r="M2123" i="3"/>
  <c r="I2123" i="3"/>
  <c r="L2123" i="3"/>
  <c r="H2123" i="3"/>
  <c r="J2123" i="3"/>
  <c r="D2123" i="3"/>
  <c r="E2123" i="3"/>
  <c r="F2123" i="3"/>
  <c r="O2123" i="3"/>
  <c r="N2123" i="3"/>
  <c r="K2123" i="3"/>
  <c r="J2126" i="3"/>
  <c r="I2126" i="3"/>
  <c r="G2126" i="3"/>
  <c r="K2126" i="3"/>
  <c r="O2126" i="3"/>
  <c r="M2126" i="3"/>
  <c r="E2126" i="3"/>
  <c r="N2126" i="3"/>
  <c r="F2126" i="3"/>
  <c r="D2126" i="3"/>
  <c r="H2126" i="3"/>
  <c r="L2126" i="3"/>
  <c r="M2128" i="3"/>
  <c r="G2128" i="3"/>
  <c r="D2128" i="3"/>
  <c r="K2128" i="3"/>
  <c r="F2128" i="3"/>
  <c r="I2128" i="3"/>
  <c r="N2128" i="3"/>
  <c r="J2128" i="3"/>
  <c r="L2128" i="3"/>
  <c r="H2128" i="3"/>
  <c r="O2128" i="3"/>
  <c r="E2128" i="3"/>
  <c r="L2120" i="3"/>
  <c r="N2120" i="3"/>
  <c r="G2120" i="3"/>
  <c r="H2120" i="3"/>
  <c r="I2120" i="3"/>
  <c r="D2120" i="3"/>
  <c r="O2120" i="3"/>
  <c r="F2120" i="3"/>
  <c r="E2120" i="3"/>
  <c r="K2120" i="3"/>
  <c r="J2120" i="3"/>
  <c r="M2120" i="3"/>
  <c r="B84" i="3"/>
  <c r="C63" i="3" s="1"/>
  <c r="B869" i="3"/>
  <c r="C858" i="3" s="1"/>
  <c r="B660" i="3"/>
  <c r="B1906" i="3"/>
  <c r="B290" i="3"/>
  <c r="P201" i="3"/>
  <c r="P203" i="3"/>
  <c r="P210" i="3"/>
  <c r="P204" i="3"/>
  <c r="P208" i="3"/>
  <c r="P205" i="3"/>
  <c r="P209" i="3"/>
  <c r="P211" i="3"/>
  <c r="P207" i="3"/>
  <c r="P206" i="3"/>
  <c r="P202" i="3"/>
  <c r="B609" i="3"/>
  <c r="B610" i="3" s="1"/>
  <c r="P1056" i="3" a="1"/>
  <c r="F1844" i="3"/>
  <c r="G1540" i="3"/>
  <c r="I1540" i="3"/>
  <c r="D1540" i="3"/>
  <c r="G1547" i="3"/>
  <c r="O1540" i="3"/>
  <c r="E1540" i="3"/>
  <c r="I1547" i="3"/>
  <c r="C1177" i="3"/>
  <c r="H1177" i="3" s="1"/>
  <c r="M1179" i="3"/>
  <c r="O1547" i="3"/>
  <c r="L1547" i="3"/>
  <c r="H1547" i="3"/>
  <c r="K1548" i="3"/>
  <c r="G1548" i="3"/>
  <c r="H1548" i="3"/>
  <c r="H1179" i="3"/>
  <c r="J1547" i="3"/>
  <c r="N1547" i="3"/>
  <c r="M1547" i="3"/>
  <c r="L1548" i="3"/>
  <c r="F1548" i="3"/>
  <c r="D1547" i="3"/>
  <c r="E1547" i="3"/>
  <c r="B518" i="3"/>
  <c r="B519" i="3" s="1"/>
  <c r="B520" i="3" s="1"/>
  <c r="B521" i="3" s="1"/>
  <c r="B522" i="3" s="1"/>
  <c r="B182" i="3"/>
  <c r="B183" i="3" s="1"/>
  <c r="E1846" i="3"/>
  <c r="C1171" i="3"/>
  <c r="J1171" i="3" s="1"/>
  <c r="B100" i="3"/>
  <c r="K1846" i="3"/>
  <c r="G1179" i="3"/>
  <c r="B59" i="3"/>
  <c r="B60" i="3" s="1"/>
  <c r="I1544" i="3"/>
  <c r="K1544" i="3"/>
  <c r="E1544" i="3"/>
  <c r="O1544" i="3"/>
  <c r="M1544" i="3"/>
  <c r="G1544" i="3"/>
  <c r="N1544" i="3"/>
  <c r="L1544" i="3"/>
  <c r="J1544" i="3"/>
  <c r="F1544" i="3"/>
  <c r="H1544" i="3"/>
  <c r="D1544" i="3"/>
  <c r="F1541" i="3"/>
  <c r="N1541" i="3"/>
  <c r="J1541" i="3"/>
  <c r="G1541" i="3"/>
  <c r="H1541" i="3"/>
  <c r="O1541" i="3"/>
  <c r="M1541" i="3"/>
  <c r="K1541" i="3"/>
  <c r="E1541" i="3"/>
  <c r="L1541" i="3"/>
  <c r="D1541" i="3"/>
  <c r="I1541" i="3"/>
  <c r="E623" i="3"/>
  <c r="K623" i="3"/>
  <c r="F623" i="3"/>
  <c r="I623" i="3"/>
  <c r="J623" i="3"/>
  <c r="G623" i="3"/>
  <c r="H623" i="3"/>
  <c r="L623" i="3"/>
  <c r="M623" i="3"/>
  <c r="O623" i="3"/>
  <c r="D623" i="3"/>
  <c r="N623" i="3"/>
  <c r="J619" i="3"/>
  <c r="K619" i="3"/>
  <c r="M619" i="3"/>
  <c r="G619" i="3"/>
  <c r="O619" i="3"/>
  <c r="D619" i="3"/>
  <c r="I619" i="3"/>
  <c r="N619" i="3"/>
  <c r="H619" i="3"/>
  <c r="L619" i="3"/>
  <c r="F619" i="3"/>
  <c r="E619" i="3"/>
  <c r="O626" i="3"/>
  <c r="F626" i="3"/>
  <c r="D626" i="3"/>
  <c r="J626" i="3"/>
  <c r="I626" i="3"/>
  <c r="N626" i="3"/>
  <c r="G626" i="3"/>
  <c r="M626" i="3"/>
  <c r="L626" i="3"/>
  <c r="K626" i="3"/>
  <c r="H626" i="3"/>
  <c r="E626" i="3"/>
  <c r="O1542" i="3"/>
  <c r="K1542" i="3"/>
  <c r="F1542" i="3"/>
  <c r="I1542" i="3"/>
  <c r="G1542" i="3"/>
  <c r="M1542" i="3"/>
  <c r="E1542" i="3"/>
  <c r="J1542" i="3"/>
  <c r="H1542" i="3"/>
  <c r="D1542" i="3"/>
  <c r="N1542" i="3"/>
  <c r="L1542" i="3"/>
  <c r="D1546" i="3"/>
  <c r="E1546" i="3"/>
  <c r="O1546" i="3"/>
  <c r="J1546" i="3"/>
  <c r="G1546" i="3"/>
  <c r="N1546" i="3"/>
  <c r="M1546" i="3"/>
  <c r="F1546" i="3"/>
  <c r="K1546" i="3"/>
  <c r="L1546" i="3"/>
  <c r="H1546" i="3"/>
  <c r="I1546" i="3"/>
  <c r="O625" i="3"/>
  <c r="J625" i="3"/>
  <c r="I625" i="3"/>
  <c r="F625" i="3"/>
  <c r="D625" i="3"/>
  <c r="K625" i="3"/>
  <c r="G625" i="3"/>
  <c r="E625" i="3"/>
  <c r="M625" i="3"/>
  <c r="L625" i="3"/>
  <c r="H625" i="3"/>
  <c r="N625" i="3"/>
  <c r="D617" i="3"/>
  <c r="N617" i="3"/>
  <c r="F617" i="3"/>
  <c r="L617" i="3"/>
  <c r="M617" i="3"/>
  <c r="I617" i="3"/>
  <c r="O617" i="3"/>
  <c r="K617" i="3"/>
  <c r="G617" i="3"/>
  <c r="H617" i="3"/>
  <c r="J617" i="3"/>
  <c r="E617" i="3"/>
  <c r="E1543" i="3"/>
  <c r="K1543" i="3"/>
  <c r="G1543" i="3"/>
  <c r="I1543" i="3"/>
  <c r="D1543" i="3"/>
  <c r="J1543" i="3"/>
  <c r="F1543" i="3"/>
  <c r="L1543" i="3"/>
  <c r="O1543" i="3"/>
  <c r="M1543" i="3"/>
  <c r="H1543" i="3"/>
  <c r="N1543" i="3"/>
  <c r="L1549" i="3"/>
  <c r="K1549" i="3"/>
  <c r="M1549" i="3"/>
  <c r="H1549" i="3"/>
  <c r="F1549" i="3"/>
  <c r="N1549" i="3"/>
  <c r="D1549" i="3"/>
  <c r="J1549" i="3"/>
  <c r="I1549" i="3"/>
  <c r="E1549" i="3"/>
  <c r="O1549" i="3"/>
  <c r="G1549" i="3"/>
  <c r="K621" i="3"/>
  <c r="O621" i="3"/>
  <c r="H621" i="3"/>
  <c r="I621" i="3"/>
  <c r="N621" i="3"/>
  <c r="G621" i="3"/>
  <c r="D621" i="3"/>
  <c r="J621" i="3"/>
  <c r="M621" i="3"/>
  <c r="F621" i="3"/>
  <c r="E621" i="3"/>
  <c r="L621" i="3"/>
  <c r="K622" i="3"/>
  <c r="J622" i="3"/>
  <c r="G622" i="3"/>
  <c r="O622" i="3"/>
  <c r="N622" i="3"/>
  <c r="I622" i="3"/>
  <c r="E622" i="3"/>
  <c r="L622" i="3"/>
  <c r="F622" i="3"/>
  <c r="M622" i="3"/>
  <c r="D622" i="3"/>
  <c r="H622" i="3"/>
  <c r="N618" i="3"/>
  <c r="F618" i="3"/>
  <c r="E618" i="3"/>
  <c r="G618" i="3"/>
  <c r="D618" i="3"/>
  <c r="K618" i="3"/>
  <c r="J618" i="3"/>
  <c r="I618" i="3"/>
  <c r="L618" i="3"/>
  <c r="H618" i="3"/>
  <c r="O618" i="3"/>
  <c r="M618" i="3"/>
  <c r="H1545" i="3"/>
  <c r="O1545" i="3"/>
  <c r="M1545" i="3"/>
  <c r="D1545" i="3"/>
  <c r="J1545" i="3"/>
  <c r="L1545" i="3"/>
  <c r="K1545" i="3"/>
  <c r="N1545" i="3"/>
  <c r="E1545" i="3"/>
  <c r="F1545" i="3"/>
  <c r="I1545" i="3"/>
  <c r="G1545" i="3"/>
  <c r="K627" i="3"/>
  <c r="J627" i="3"/>
  <c r="H627" i="3"/>
  <c r="G627" i="3"/>
  <c r="O627" i="3"/>
  <c r="F627" i="3"/>
  <c r="L627" i="3"/>
  <c r="N627" i="3"/>
  <c r="D627" i="3"/>
  <c r="I627" i="3"/>
  <c r="M627" i="3"/>
  <c r="E627" i="3"/>
  <c r="G620" i="3"/>
  <c r="H620" i="3"/>
  <c r="D620" i="3"/>
  <c r="M620" i="3"/>
  <c r="J620" i="3"/>
  <c r="I620" i="3"/>
  <c r="L620" i="3"/>
  <c r="F620" i="3"/>
  <c r="K620" i="3"/>
  <c r="E620" i="3"/>
  <c r="N620" i="3"/>
  <c r="O620" i="3"/>
  <c r="N624" i="3"/>
  <c r="F624" i="3"/>
  <c r="M624" i="3"/>
  <c r="K624" i="3"/>
  <c r="J624" i="3"/>
  <c r="E624" i="3"/>
  <c r="D624" i="3"/>
  <c r="H624" i="3"/>
  <c r="G624" i="3"/>
  <c r="L624" i="3"/>
  <c r="O624" i="3"/>
  <c r="I624" i="3"/>
  <c r="C1176" i="3"/>
  <c r="C1175" i="3"/>
  <c r="N1175" i="3" s="1"/>
  <c r="O1179" i="3"/>
  <c r="E1179" i="3"/>
  <c r="I1179" i="3"/>
  <c r="C1180" i="3"/>
  <c r="K1844" i="3"/>
  <c r="J1844" i="3"/>
  <c r="M1844" i="3"/>
  <c r="C1173" i="3"/>
  <c r="G1173" i="3" s="1"/>
  <c r="N1179" i="3"/>
  <c r="L1179" i="3"/>
  <c r="D1179" i="3"/>
  <c r="P663" i="3" a="1"/>
  <c r="P669" i="3" s="1"/>
  <c r="L1844" i="3"/>
  <c r="C1181" i="3"/>
  <c r="G1181" i="3" s="1"/>
  <c r="J1179" i="3"/>
  <c r="F1179" i="3"/>
  <c r="C1172" i="3"/>
  <c r="F1172" i="3" s="1"/>
  <c r="C1178" i="3"/>
  <c r="H1178" i="3" s="1"/>
  <c r="K1226" i="3"/>
  <c r="H1851" i="3"/>
  <c r="D1846" i="3"/>
  <c r="H1846" i="3"/>
  <c r="O1846" i="3"/>
  <c r="F1846" i="3"/>
  <c r="L1846" i="3"/>
  <c r="G1846" i="3"/>
  <c r="N1846" i="3"/>
  <c r="N1844" i="3"/>
  <c r="I1844" i="3"/>
  <c r="F1842" i="3"/>
  <c r="D1851" i="3"/>
  <c r="L1842" i="3"/>
  <c r="G1844" i="3"/>
  <c r="D1844" i="3"/>
  <c r="D1842" i="3"/>
  <c r="J1851" i="3"/>
  <c r="J1225" i="3"/>
  <c r="I1226" i="3"/>
  <c r="J1842" i="3"/>
  <c r="H1842" i="3"/>
  <c r="E1842" i="3"/>
  <c r="O1844" i="3"/>
  <c r="E1844" i="3"/>
  <c r="M1842" i="3"/>
  <c r="N1842" i="3"/>
  <c r="O1842" i="3"/>
  <c r="K1851" i="3"/>
  <c r="E1851" i="3"/>
  <c r="L1851" i="3"/>
  <c r="K1217" i="3"/>
  <c r="I1851" i="3"/>
  <c r="O1851" i="3"/>
  <c r="M1851" i="3"/>
  <c r="I1842" i="3"/>
  <c r="K1842" i="3"/>
  <c r="F1851" i="3"/>
  <c r="G1851" i="3"/>
  <c r="L1226" i="3"/>
  <c r="E411" i="3"/>
  <c r="O411" i="3"/>
  <c r="F411" i="3"/>
  <c r="D411" i="3"/>
  <c r="M411" i="3"/>
  <c r="I411" i="3"/>
  <c r="K411" i="3"/>
  <c r="H411" i="3"/>
  <c r="L411" i="3"/>
  <c r="N411" i="3"/>
  <c r="J411" i="3"/>
  <c r="G411" i="3"/>
  <c r="O409" i="3"/>
  <c r="D409" i="3"/>
  <c r="K409" i="3"/>
  <c r="F409" i="3"/>
  <c r="I409" i="3"/>
  <c r="M409" i="3"/>
  <c r="H409" i="3"/>
  <c r="G409" i="3"/>
  <c r="J409" i="3"/>
  <c r="N409" i="3"/>
  <c r="E409" i="3"/>
  <c r="L409" i="3"/>
  <c r="N418" i="3"/>
  <c r="F418" i="3"/>
  <c r="L418" i="3"/>
  <c r="H418" i="3"/>
  <c r="I418" i="3"/>
  <c r="E418" i="3"/>
  <c r="D418" i="3"/>
  <c r="G418" i="3"/>
  <c r="K418" i="3"/>
  <c r="J418" i="3"/>
  <c r="M418" i="3"/>
  <c r="O418" i="3"/>
  <c r="O410" i="3"/>
  <c r="L410" i="3"/>
  <c r="M410" i="3"/>
  <c r="I410" i="3"/>
  <c r="D410" i="3"/>
  <c r="J410" i="3"/>
  <c r="G410" i="3"/>
  <c r="E410" i="3"/>
  <c r="F410" i="3"/>
  <c r="K410" i="3"/>
  <c r="N410" i="3"/>
  <c r="H410" i="3"/>
  <c r="M414" i="3"/>
  <c r="E414" i="3"/>
  <c r="N414" i="3"/>
  <c r="L414" i="3"/>
  <c r="J414" i="3"/>
  <c r="D414" i="3"/>
  <c r="F414" i="3"/>
  <c r="G414" i="3"/>
  <c r="K414" i="3"/>
  <c r="I414" i="3"/>
  <c r="H414" i="3"/>
  <c r="O414" i="3"/>
  <c r="K415" i="3"/>
  <c r="H415" i="3"/>
  <c r="L415" i="3"/>
  <c r="O415" i="3"/>
  <c r="E415" i="3"/>
  <c r="D415" i="3"/>
  <c r="J415" i="3"/>
  <c r="G415" i="3"/>
  <c r="M415" i="3"/>
  <c r="N415" i="3"/>
  <c r="F415" i="3"/>
  <c r="I415" i="3"/>
  <c r="I412" i="3"/>
  <c r="D412" i="3"/>
  <c r="M412" i="3"/>
  <c r="G412" i="3"/>
  <c r="K412" i="3"/>
  <c r="O412" i="3"/>
  <c r="H412" i="3"/>
  <c r="N412" i="3"/>
  <c r="F412" i="3"/>
  <c r="E412" i="3"/>
  <c r="J412" i="3"/>
  <c r="L412" i="3"/>
  <c r="L419" i="3"/>
  <c r="H419" i="3"/>
  <c r="J419" i="3"/>
  <c r="O419" i="3"/>
  <c r="I419" i="3"/>
  <c r="N419" i="3"/>
  <c r="F419" i="3"/>
  <c r="G419" i="3"/>
  <c r="K419" i="3"/>
  <c r="D419" i="3"/>
  <c r="E419" i="3"/>
  <c r="M419" i="3"/>
  <c r="O417" i="3"/>
  <c r="J417" i="3"/>
  <c r="M417" i="3"/>
  <c r="G417" i="3"/>
  <c r="L417" i="3"/>
  <c r="F417" i="3"/>
  <c r="E417" i="3"/>
  <c r="D417" i="3"/>
  <c r="H417" i="3"/>
  <c r="N417" i="3"/>
  <c r="K417" i="3"/>
  <c r="I417" i="3"/>
  <c r="O413" i="3"/>
  <c r="H413" i="3"/>
  <c r="N413" i="3"/>
  <c r="G413" i="3"/>
  <c r="D413" i="3"/>
  <c r="K413" i="3"/>
  <c r="L413" i="3"/>
  <c r="E413" i="3"/>
  <c r="M413" i="3"/>
  <c r="F413" i="3"/>
  <c r="I413" i="3"/>
  <c r="J413" i="3"/>
  <c r="N416" i="3"/>
  <c r="D416" i="3"/>
  <c r="M416" i="3"/>
  <c r="E416" i="3"/>
  <c r="K416" i="3"/>
  <c r="F416" i="3"/>
  <c r="L416" i="3"/>
  <c r="G416" i="3"/>
  <c r="H416" i="3"/>
  <c r="I416" i="3"/>
  <c r="J416" i="3"/>
  <c r="O416" i="3"/>
  <c r="O1221" i="3"/>
  <c r="E1847" i="3"/>
  <c r="E1219" i="3"/>
  <c r="M2398" i="3"/>
  <c r="F2398" i="3"/>
  <c r="L2398" i="3"/>
  <c r="K2398" i="3"/>
  <c r="J1846" i="3"/>
  <c r="I1846" i="3"/>
  <c r="M1847" i="3"/>
  <c r="I1847" i="3"/>
  <c r="N1847" i="3"/>
  <c r="F1847" i="3"/>
  <c r="D1847" i="3"/>
  <c r="O1847" i="3"/>
  <c r="G1847" i="3"/>
  <c r="K1847" i="3"/>
  <c r="H1847" i="3"/>
  <c r="L1847" i="3"/>
  <c r="P1818" i="3" a="1"/>
  <c r="P1825" i="3" s="1"/>
  <c r="B753" i="3"/>
  <c r="C735" i="3" s="1"/>
  <c r="P484" i="3"/>
  <c r="P481" i="3"/>
  <c r="P486" i="3"/>
  <c r="P482" i="3"/>
  <c r="P480" i="3"/>
  <c r="P479" i="3"/>
  <c r="P478" i="3"/>
  <c r="P487" i="3"/>
  <c r="P488" i="3"/>
  <c r="P483" i="3"/>
  <c r="P485" i="3"/>
  <c r="C2629" i="3"/>
  <c r="G2629" i="3" s="1"/>
  <c r="C2632" i="3"/>
  <c r="L2632" i="3" s="1"/>
  <c r="C2636" i="3"/>
  <c r="F2636" i="3" s="1"/>
  <c r="I2398" i="3"/>
  <c r="J2398" i="3"/>
  <c r="D2398" i="3"/>
  <c r="O2398" i="3"/>
  <c r="N2398" i="3"/>
  <c r="E2398" i="3"/>
  <c r="H2398" i="3"/>
  <c r="P778" i="3" a="1"/>
  <c r="P781" i="3" s="1"/>
  <c r="C2628" i="3"/>
  <c r="C2631" i="3"/>
  <c r="C2630" i="3"/>
  <c r="C2633" i="3"/>
  <c r="C2635" i="3"/>
  <c r="C2626" i="3"/>
  <c r="C2627" i="3"/>
  <c r="C2634" i="3"/>
  <c r="L1845" i="3"/>
  <c r="F1845" i="3"/>
  <c r="D1845" i="3"/>
  <c r="G1845" i="3"/>
  <c r="I1845" i="3"/>
  <c r="J1845" i="3"/>
  <c r="E1845" i="3"/>
  <c r="O1845" i="3"/>
  <c r="H1845" i="3"/>
  <c r="M1845" i="3"/>
  <c r="K1845" i="3"/>
  <c r="N1845" i="3"/>
  <c r="J1848" i="3"/>
  <c r="M1848" i="3"/>
  <c r="H1848" i="3"/>
  <c r="K1848" i="3"/>
  <c r="L1848" i="3"/>
  <c r="F1848" i="3"/>
  <c r="G1848" i="3"/>
  <c r="E1848" i="3"/>
  <c r="D1848" i="3"/>
  <c r="I1848" i="3"/>
  <c r="N1848" i="3"/>
  <c r="O1848" i="3"/>
  <c r="B2761" i="3"/>
  <c r="C2745" i="3" s="1"/>
  <c r="E1843" i="3"/>
  <c r="O1843" i="3"/>
  <c r="J1843" i="3"/>
  <c r="L1850" i="3"/>
  <c r="F1850" i="3"/>
  <c r="H1850" i="3"/>
  <c r="L1849" i="3"/>
  <c r="G1849" i="3"/>
  <c r="O1849" i="3"/>
  <c r="D1849" i="3"/>
  <c r="E1849" i="3"/>
  <c r="H1849" i="3"/>
  <c r="J1849" i="3"/>
  <c r="K1849" i="3"/>
  <c r="M1849" i="3"/>
  <c r="F1849" i="3"/>
  <c r="N1849" i="3"/>
  <c r="I1849" i="3"/>
  <c r="B405" i="3"/>
  <c r="B1958" i="3"/>
  <c r="P117" i="3"/>
  <c r="P115" i="3"/>
  <c r="C2427" i="3"/>
  <c r="D2427" i="3" s="1"/>
  <c r="J2422" i="3"/>
  <c r="G2422" i="3"/>
  <c r="F2422" i="3"/>
  <c r="O2422" i="3"/>
  <c r="H2422" i="3"/>
  <c r="D2422" i="3"/>
  <c r="N2422" i="3"/>
  <c r="K2422" i="3"/>
  <c r="M2422" i="3"/>
  <c r="E2422" i="3"/>
  <c r="I2422" i="3"/>
  <c r="L2422" i="3"/>
  <c r="C2418" i="3"/>
  <c r="C2423" i="3"/>
  <c r="C2420" i="3"/>
  <c r="C2428" i="3"/>
  <c r="C2426" i="3"/>
  <c r="C2425" i="3"/>
  <c r="C2419" i="3"/>
  <c r="C2424" i="3"/>
  <c r="C2421" i="3"/>
  <c r="K2400" i="3"/>
  <c r="F2400" i="3"/>
  <c r="D2400" i="3"/>
  <c r="J2400" i="3"/>
  <c r="H2400" i="3"/>
  <c r="G2400" i="3"/>
  <c r="N2400" i="3"/>
  <c r="I2400" i="3"/>
  <c r="O2400" i="3"/>
  <c r="L2400" i="3"/>
  <c r="E2400" i="3"/>
  <c r="M2400" i="3"/>
  <c r="I2397" i="3"/>
  <c r="F2397" i="3"/>
  <c r="M2397" i="3"/>
  <c r="H2397" i="3"/>
  <c r="E2397" i="3"/>
  <c r="L2397" i="3"/>
  <c r="D2397" i="3"/>
  <c r="K2397" i="3"/>
  <c r="J2397" i="3"/>
  <c r="G2397" i="3"/>
  <c r="O2397" i="3"/>
  <c r="N2397" i="3"/>
  <c r="J2395" i="3"/>
  <c r="E2395" i="3"/>
  <c r="O2395" i="3"/>
  <c r="H2395" i="3"/>
  <c r="I2395" i="3"/>
  <c r="M2395" i="3"/>
  <c r="D2395" i="3"/>
  <c r="N2395" i="3"/>
  <c r="K2395" i="3"/>
  <c r="L2395" i="3"/>
  <c r="F2395" i="3"/>
  <c r="G2395" i="3"/>
  <c r="F2399" i="3"/>
  <c r="I2399" i="3"/>
  <c r="D2399" i="3"/>
  <c r="E2399" i="3"/>
  <c r="N2399" i="3"/>
  <c r="M2399" i="3"/>
  <c r="K2399" i="3"/>
  <c r="O2399" i="3"/>
  <c r="G2399" i="3"/>
  <c r="L2399" i="3"/>
  <c r="H2399" i="3"/>
  <c r="J2399" i="3"/>
  <c r="I2405" i="3"/>
  <c r="L2405" i="3"/>
  <c r="H2405" i="3"/>
  <c r="O2405" i="3"/>
  <c r="M2405" i="3"/>
  <c r="N2405" i="3"/>
  <c r="J2405" i="3"/>
  <c r="K2405" i="3"/>
  <c r="D2405" i="3"/>
  <c r="F2405" i="3"/>
  <c r="G2405" i="3"/>
  <c r="E2405" i="3"/>
  <c r="L2401" i="3"/>
  <c r="E2401" i="3"/>
  <c r="O2401" i="3"/>
  <c r="H2401" i="3"/>
  <c r="J2401" i="3"/>
  <c r="G2401" i="3"/>
  <c r="M2401" i="3"/>
  <c r="N2401" i="3"/>
  <c r="K2401" i="3"/>
  <c r="I2401" i="3"/>
  <c r="F2401" i="3"/>
  <c r="D2401" i="3"/>
  <c r="H2403" i="3"/>
  <c r="F2403" i="3"/>
  <c r="N2403" i="3"/>
  <c r="K2403" i="3"/>
  <c r="J2403" i="3"/>
  <c r="L2403" i="3"/>
  <c r="D2403" i="3"/>
  <c r="E2403" i="3"/>
  <c r="G2403" i="3"/>
  <c r="I2403" i="3"/>
  <c r="O2403" i="3"/>
  <c r="M2403" i="3"/>
  <c r="N2396" i="3"/>
  <c r="F2396" i="3"/>
  <c r="L2396" i="3"/>
  <c r="M2396" i="3"/>
  <c r="I2396" i="3"/>
  <c r="K2396" i="3"/>
  <c r="D2396" i="3"/>
  <c r="E2396" i="3"/>
  <c r="O2396" i="3"/>
  <c r="G2396" i="3"/>
  <c r="J2396" i="3"/>
  <c r="H2396" i="3"/>
  <c r="K2404" i="3"/>
  <c r="O2404" i="3"/>
  <c r="H2404" i="3"/>
  <c r="E2404" i="3"/>
  <c r="G2404" i="3"/>
  <c r="I2404" i="3"/>
  <c r="N2404" i="3"/>
  <c r="F2404" i="3"/>
  <c r="M2404" i="3"/>
  <c r="J2404" i="3"/>
  <c r="D2404" i="3"/>
  <c r="L2404" i="3"/>
  <c r="O1086" i="3" l="1"/>
  <c r="P2817" i="3"/>
  <c r="D1081" i="3"/>
  <c r="M1079" i="3"/>
  <c r="H1223" i="3"/>
  <c r="L1217" i="3"/>
  <c r="I1223" i="3"/>
  <c r="Q367" i="3"/>
  <c r="AS364" i="3" s="1"/>
  <c r="K1079" i="3"/>
  <c r="C1132" i="3"/>
  <c r="F1227" i="3"/>
  <c r="K1081" i="3"/>
  <c r="E1081" i="3"/>
  <c r="O1225" i="3"/>
  <c r="M1225" i="3"/>
  <c r="C2487" i="3"/>
  <c r="M2487" i="3" s="1"/>
  <c r="C2493" i="3"/>
  <c r="C2495" i="3"/>
  <c r="H1080" i="3"/>
  <c r="K1080" i="3"/>
  <c r="L1081" i="3"/>
  <c r="H1081" i="3"/>
  <c r="G1850" i="3"/>
  <c r="O1850" i="3"/>
  <c r="D1850" i="3"/>
  <c r="K1843" i="3"/>
  <c r="H1843" i="3"/>
  <c r="F1843" i="3"/>
  <c r="L1225" i="3"/>
  <c r="E1225" i="3"/>
  <c r="J1850" i="3"/>
  <c r="N1850" i="3"/>
  <c r="M1850" i="3"/>
  <c r="N1843" i="3"/>
  <c r="I1843" i="3"/>
  <c r="D1843" i="3"/>
  <c r="K156" i="3"/>
  <c r="E1850" i="3"/>
  <c r="I1850" i="3"/>
  <c r="L1843" i="3"/>
  <c r="G1843" i="3"/>
  <c r="G1227" i="3"/>
  <c r="J1227" i="3"/>
  <c r="H1227" i="3"/>
  <c r="C2488" i="3"/>
  <c r="M1080" i="3"/>
  <c r="M1081" i="3"/>
  <c r="G1081" i="3"/>
  <c r="P112" i="3"/>
  <c r="P118" i="3"/>
  <c r="O1081" i="3"/>
  <c r="J1081" i="3"/>
  <c r="H1088" i="3"/>
  <c r="P119" i="3"/>
  <c r="K1086" i="3"/>
  <c r="K1088" i="3"/>
  <c r="P825" i="3" a="1"/>
  <c r="P834" i="3" s="1"/>
  <c r="Q373" i="3"/>
  <c r="CC364" i="3" s="1"/>
  <c r="CF363" i="3" s="1"/>
  <c r="CG363" i="3" s="1"/>
  <c r="I1086" i="3"/>
  <c r="M1086" i="3"/>
  <c r="E1086" i="3"/>
  <c r="D1088" i="3"/>
  <c r="I1088" i="3"/>
  <c r="F1088" i="3"/>
  <c r="G156" i="3"/>
  <c r="E1223" i="3"/>
  <c r="M1217" i="3"/>
  <c r="J1226" i="3"/>
  <c r="M1223" i="3"/>
  <c r="D1226" i="3"/>
  <c r="K1223" i="3"/>
  <c r="N1223" i="3"/>
  <c r="H1220" i="3"/>
  <c r="M1220" i="3"/>
  <c r="G1220" i="3"/>
  <c r="O1220" i="3"/>
  <c r="P2816" i="3"/>
  <c r="D1217" i="3"/>
  <c r="P1733" i="3"/>
  <c r="F1086" i="3"/>
  <c r="J1086" i="3"/>
  <c r="D1079" i="3"/>
  <c r="N1079" i="3"/>
  <c r="O1088" i="3"/>
  <c r="E1088" i="3"/>
  <c r="J1088" i="3"/>
  <c r="F1223" i="3"/>
  <c r="E1226" i="3"/>
  <c r="T2695" i="3"/>
  <c r="M156" i="3"/>
  <c r="F163" i="3"/>
  <c r="D1223" i="3"/>
  <c r="O1223" i="3"/>
  <c r="L1223" i="3"/>
  <c r="N1226" i="3"/>
  <c r="I1220" i="3"/>
  <c r="J1223" i="3"/>
  <c r="P2811" i="3"/>
  <c r="B1423" i="3"/>
  <c r="H1086" i="3"/>
  <c r="D1086" i="3"/>
  <c r="L1088" i="3"/>
  <c r="G1088" i="3"/>
  <c r="I1219" i="3"/>
  <c r="Q371" i="3"/>
  <c r="BQ364" i="3" s="1"/>
  <c r="BT363" i="3" s="1"/>
  <c r="BV363" i="3" s="1"/>
  <c r="Q366" i="3"/>
  <c r="AM364" i="3" s="1"/>
  <c r="G1080" i="3"/>
  <c r="I1081" i="3"/>
  <c r="F1081" i="3"/>
  <c r="G1086" i="3"/>
  <c r="L1086" i="3"/>
  <c r="J1079" i="3"/>
  <c r="Q372" i="3"/>
  <c r="BW364" i="3" s="1"/>
  <c r="BZ363" i="3" s="1"/>
  <c r="CB363" i="3" s="1"/>
  <c r="D1219" i="3"/>
  <c r="J1125" i="3"/>
  <c r="F1125" i="3"/>
  <c r="D1125" i="3"/>
  <c r="I1125" i="3"/>
  <c r="M1125" i="3"/>
  <c r="N1125" i="3"/>
  <c r="O1125" i="3"/>
  <c r="L1125" i="3"/>
  <c r="G1125" i="3"/>
  <c r="H1125" i="3"/>
  <c r="E1125" i="3"/>
  <c r="K1125" i="3"/>
  <c r="A687" i="3"/>
  <c r="B687" i="3" s="1"/>
  <c r="C1128" i="3"/>
  <c r="C1130" i="3"/>
  <c r="C1133" i="3"/>
  <c r="C1135" i="3"/>
  <c r="C1127" i="3"/>
  <c r="C1131" i="3"/>
  <c r="P1916" i="3"/>
  <c r="P1912" i="3"/>
  <c r="P1914" i="3"/>
  <c r="P1911" i="3"/>
  <c r="P1913" i="3"/>
  <c r="P1918" i="3"/>
  <c r="P1915" i="3"/>
  <c r="P1919" i="3"/>
  <c r="P1910" i="3"/>
  <c r="P1920" i="3"/>
  <c r="P1917" i="3"/>
  <c r="AE2695" i="3"/>
  <c r="N1080" i="3"/>
  <c r="F1080" i="3"/>
  <c r="O1080" i="3"/>
  <c r="I1079" i="3"/>
  <c r="G1079" i="3"/>
  <c r="H1079" i="3"/>
  <c r="C1126" i="3"/>
  <c r="C1129" i="3"/>
  <c r="B2549" i="3"/>
  <c r="E162" i="3"/>
  <c r="I1080" i="3"/>
  <c r="L1080" i="3"/>
  <c r="L1079" i="3"/>
  <c r="E1079" i="3"/>
  <c r="C1134" i="3"/>
  <c r="B2482" i="3"/>
  <c r="K1132" i="3"/>
  <c r="D1132" i="3"/>
  <c r="F1132" i="3"/>
  <c r="E1132" i="3"/>
  <c r="I1132" i="3"/>
  <c r="H1132" i="3"/>
  <c r="L1132" i="3"/>
  <c r="N1132" i="3"/>
  <c r="M1132" i="3"/>
  <c r="J1132" i="3"/>
  <c r="G1132" i="3"/>
  <c r="O1132" i="3"/>
  <c r="B356" i="3"/>
  <c r="M1222" i="3"/>
  <c r="O1082" i="3"/>
  <c r="E1082" i="3"/>
  <c r="N1082" i="3"/>
  <c r="D1082" i="3"/>
  <c r="F1082" i="3"/>
  <c r="J1082" i="3"/>
  <c r="K1082" i="3"/>
  <c r="H1082" i="3"/>
  <c r="L1082" i="3"/>
  <c r="I1082" i="3"/>
  <c r="G1082" i="3"/>
  <c r="M1082" i="3"/>
  <c r="P2819" i="3"/>
  <c r="P2818" i="3"/>
  <c r="P2813" i="3"/>
  <c r="P1735" i="3"/>
  <c r="F1083" i="3"/>
  <c r="N1083" i="3"/>
  <c r="H1083" i="3"/>
  <c r="G1083" i="3"/>
  <c r="I1083" i="3"/>
  <c r="D1083" i="3"/>
  <c r="M1083" i="3"/>
  <c r="K1083" i="3"/>
  <c r="J1083" i="3"/>
  <c r="E1083" i="3"/>
  <c r="L1083" i="3"/>
  <c r="O1083" i="3"/>
  <c r="P2820" i="3"/>
  <c r="P2814" i="3"/>
  <c r="P1732" i="3"/>
  <c r="Q365" i="3"/>
  <c r="AG364" i="3" s="1"/>
  <c r="K1087" i="3"/>
  <c r="H1087" i="3"/>
  <c r="I1087" i="3"/>
  <c r="M1087" i="3"/>
  <c r="F1087" i="3"/>
  <c r="N1087" i="3"/>
  <c r="L1087" i="3"/>
  <c r="G1087" i="3"/>
  <c r="O1087" i="3"/>
  <c r="E1087" i="3"/>
  <c r="D1087" i="3"/>
  <c r="J1087" i="3"/>
  <c r="K1089" i="3"/>
  <c r="M1089" i="3"/>
  <c r="L1089" i="3"/>
  <c r="D1089" i="3"/>
  <c r="H1089" i="3"/>
  <c r="N1089" i="3"/>
  <c r="F1089" i="3"/>
  <c r="J1089" i="3"/>
  <c r="O1089" i="3"/>
  <c r="G1089" i="3"/>
  <c r="E1089" i="3"/>
  <c r="I1089" i="3"/>
  <c r="B1951" i="3"/>
  <c r="B469" i="3"/>
  <c r="B2662" i="3"/>
  <c r="P2812" i="3"/>
  <c r="P2815" i="3"/>
  <c r="I1085" i="3"/>
  <c r="D1085" i="3"/>
  <c r="J1085" i="3"/>
  <c r="E1085" i="3"/>
  <c r="O1085" i="3"/>
  <c r="M1085" i="3"/>
  <c r="K1085" i="3"/>
  <c r="G1085" i="3"/>
  <c r="H1085" i="3"/>
  <c r="N1085" i="3"/>
  <c r="F1085" i="3"/>
  <c r="L1085" i="3"/>
  <c r="M162" i="3"/>
  <c r="P113" i="3"/>
  <c r="P111" i="3"/>
  <c r="Q369" i="3"/>
  <c r="BE364" i="3" s="1"/>
  <c r="BH363" i="3" s="1"/>
  <c r="BJ363" i="3" s="1"/>
  <c r="Q364" i="3"/>
  <c r="I1225" i="3"/>
  <c r="G1224" i="3"/>
  <c r="N1225" i="3"/>
  <c r="D1225" i="3"/>
  <c r="O1227" i="3"/>
  <c r="D1227" i="3"/>
  <c r="I1227" i="3"/>
  <c r="K1227" i="3"/>
  <c r="P110" i="3"/>
  <c r="P109" i="3"/>
  <c r="P114" i="3"/>
  <c r="Q368" i="3"/>
  <c r="AY364" i="3" s="1"/>
  <c r="Q363" i="3"/>
  <c r="U364" i="3" s="1"/>
  <c r="Q370" i="3"/>
  <c r="BK364" i="3" s="1"/>
  <c r="H1225" i="3"/>
  <c r="L1227" i="3"/>
  <c r="M1227" i="3"/>
  <c r="N1227" i="3"/>
  <c r="P2265" i="3"/>
  <c r="L1220" i="3"/>
  <c r="F162" i="3"/>
  <c r="G1225" i="3"/>
  <c r="K1225" i="3"/>
  <c r="N1220" i="3"/>
  <c r="K1220" i="3"/>
  <c r="P2260" i="3"/>
  <c r="P2264" i="3"/>
  <c r="F1221" i="3"/>
  <c r="E1220" i="3"/>
  <c r="D1220" i="3"/>
  <c r="F1220" i="3"/>
  <c r="P1729" i="3"/>
  <c r="P2258" i="3"/>
  <c r="K1219" i="3"/>
  <c r="N1219" i="3"/>
  <c r="N1221" i="3"/>
  <c r="L1221" i="3"/>
  <c r="I1224" i="3"/>
  <c r="M1221" i="3"/>
  <c r="G1221" i="3"/>
  <c r="E1222" i="3"/>
  <c r="O1222" i="3"/>
  <c r="F1224" i="3"/>
  <c r="K1221" i="3"/>
  <c r="P2263" i="3"/>
  <c r="P2256" i="3"/>
  <c r="P2257" i="3"/>
  <c r="P2261" i="3"/>
  <c r="M1219" i="3"/>
  <c r="K1224" i="3"/>
  <c r="E1224" i="3"/>
  <c r="I1221" i="3"/>
  <c r="D1224" i="3"/>
  <c r="H1221" i="3"/>
  <c r="N1222" i="3"/>
  <c r="P2259" i="3"/>
  <c r="P2266" i="3"/>
  <c r="Z2695" i="3"/>
  <c r="H160" i="3"/>
  <c r="H1224" i="3"/>
  <c r="O1224" i="3"/>
  <c r="D1221" i="3"/>
  <c r="N1224" i="3"/>
  <c r="M1224" i="3"/>
  <c r="F1222" i="3"/>
  <c r="L1224" i="3"/>
  <c r="G1219" i="3"/>
  <c r="M1226" i="3"/>
  <c r="F1217" i="3"/>
  <c r="F1226" i="3"/>
  <c r="G1226" i="3"/>
  <c r="G1217" i="3"/>
  <c r="O1217" i="3"/>
  <c r="H1226" i="3"/>
  <c r="I1217" i="3"/>
  <c r="E1217" i="3"/>
  <c r="N1217" i="3"/>
  <c r="H1217" i="3"/>
  <c r="L1222" i="3"/>
  <c r="D1222" i="3"/>
  <c r="H1219" i="3"/>
  <c r="H1222" i="3"/>
  <c r="E1221" i="3"/>
  <c r="G1222" i="3"/>
  <c r="J1222" i="3"/>
  <c r="K1222" i="3"/>
  <c r="J1219" i="3"/>
  <c r="F1219" i="3"/>
  <c r="O1219" i="3"/>
  <c r="N158" i="3"/>
  <c r="N160" i="3"/>
  <c r="G160" i="3"/>
  <c r="I160" i="3"/>
  <c r="J160" i="3"/>
  <c r="P967" i="3"/>
  <c r="P970" i="3"/>
  <c r="M160" i="3"/>
  <c r="P963" i="3"/>
  <c r="P971" i="3"/>
  <c r="D162" i="3"/>
  <c r="L162" i="3"/>
  <c r="J162" i="3"/>
  <c r="H164" i="3"/>
  <c r="M159" i="3"/>
  <c r="J164" i="3"/>
  <c r="G164" i="3"/>
  <c r="P964" i="3"/>
  <c r="P973" i="3"/>
  <c r="P972" i="3"/>
  <c r="J163" i="3"/>
  <c r="N156" i="3"/>
  <c r="O163" i="3"/>
  <c r="O156" i="3"/>
  <c r="P1728" i="3"/>
  <c r="P1730" i="3"/>
  <c r="P968" i="3"/>
  <c r="P965" i="3"/>
  <c r="P966" i="3"/>
  <c r="H162" i="3"/>
  <c r="G162" i="3"/>
  <c r="K162" i="3"/>
  <c r="O162" i="3"/>
  <c r="I162" i="3"/>
  <c r="Q718" i="3"/>
  <c r="BW710" i="3" s="1"/>
  <c r="BZ709" i="3" s="1"/>
  <c r="CA709" i="3" s="1"/>
  <c r="I164" i="3"/>
  <c r="Q715" i="3"/>
  <c r="BE710" i="3" s="1"/>
  <c r="BH709" i="3" s="1"/>
  <c r="BJ709" i="3" s="1"/>
  <c r="Q709" i="3"/>
  <c r="U710" i="3" s="1"/>
  <c r="O164" i="3"/>
  <c r="F159" i="3"/>
  <c r="N159" i="3"/>
  <c r="D163" i="3"/>
  <c r="H156" i="3"/>
  <c r="L156" i="3"/>
  <c r="P1731" i="3"/>
  <c r="P1727" i="3"/>
  <c r="L163" i="3"/>
  <c r="I163" i="3"/>
  <c r="E156" i="3"/>
  <c r="I156" i="3"/>
  <c r="D156" i="3"/>
  <c r="F156" i="3"/>
  <c r="P1734" i="3"/>
  <c r="P1725" i="3"/>
  <c r="Q717" i="3"/>
  <c r="BQ710" i="3" s="1"/>
  <c r="BT709" i="3" s="1"/>
  <c r="BU709" i="3" s="1"/>
  <c r="E1633" i="3"/>
  <c r="G161" i="3"/>
  <c r="Q716" i="3"/>
  <c r="BK710" i="3" s="1"/>
  <c r="BN709" i="3" s="1"/>
  <c r="BP709" i="3" s="1"/>
  <c r="Q719" i="3"/>
  <c r="CC710" i="3" s="1"/>
  <c r="CF709" i="3" s="1"/>
  <c r="CG709" i="3" s="1"/>
  <c r="Q712" i="3"/>
  <c r="AM710" i="3" s="1"/>
  <c r="Q713" i="3"/>
  <c r="AS710" i="3" s="1"/>
  <c r="Q714" i="3"/>
  <c r="AY710" i="3" s="1"/>
  <c r="BB709" i="3" s="1"/>
  <c r="BD709" i="3" s="1"/>
  <c r="Q710" i="3"/>
  <c r="AA710" i="3" s="1"/>
  <c r="AD709" i="3" s="1"/>
  <c r="Q711" i="3"/>
  <c r="AG710" i="3" s="1"/>
  <c r="Q2793" i="3"/>
  <c r="BE2788" i="3" s="1"/>
  <c r="BH2787" i="3" s="1"/>
  <c r="BJ2787" i="3" s="1"/>
  <c r="E161" i="3"/>
  <c r="I161" i="3"/>
  <c r="N161" i="3"/>
  <c r="F161" i="3"/>
  <c r="L161" i="3"/>
  <c r="L1633" i="3"/>
  <c r="J1633" i="3"/>
  <c r="K1633" i="3"/>
  <c r="B1284" i="3"/>
  <c r="C1263" i="3" s="1"/>
  <c r="I2611" i="3"/>
  <c r="L2611" i="3"/>
  <c r="K2611" i="3"/>
  <c r="G2611" i="3"/>
  <c r="D2611" i="3"/>
  <c r="H2611" i="3"/>
  <c r="E2611" i="3"/>
  <c r="M2611" i="3"/>
  <c r="N2611" i="3"/>
  <c r="F2611" i="3"/>
  <c r="J2611" i="3"/>
  <c r="O2611" i="3"/>
  <c r="L2603" i="3"/>
  <c r="O2603" i="3"/>
  <c r="I2603" i="3"/>
  <c r="H2603" i="3"/>
  <c r="E2603" i="3"/>
  <c r="D2603" i="3"/>
  <c r="J2603" i="3"/>
  <c r="K2603" i="3"/>
  <c r="N2603" i="3"/>
  <c r="F2603" i="3"/>
  <c r="M2603" i="3"/>
  <c r="G2603" i="3"/>
  <c r="O2610" i="3"/>
  <c r="M2610" i="3"/>
  <c r="N2610" i="3"/>
  <c r="E2610" i="3"/>
  <c r="D2610" i="3"/>
  <c r="G2610" i="3"/>
  <c r="H2610" i="3"/>
  <c r="K2610" i="3"/>
  <c r="F2610" i="3"/>
  <c r="I2610" i="3"/>
  <c r="J2610" i="3"/>
  <c r="L2610" i="3"/>
  <c r="L2606" i="3"/>
  <c r="O2606" i="3"/>
  <c r="I2606" i="3"/>
  <c r="D2606" i="3"/>
  <c r="M2606" i="3"/>
  <c r="J2606" i="3"/>
  <c r="N2606" i="3"/>
  <c r="F2606" i="3"/>
  <c r="K2606" i="3"/>
  <c r="G2606" i="3"/>
  <c r="H2606" i="3"/>
  <c r="E2606" i="3"/>
  <c r="F2607" i="3"/>
  <c r="L2607" i="3"/>
  <c r="N2607" i="3"/>
  <c r="K2607" i="3"/>
  <c r="J2607" i="3"/>
  <c r="H2607" i="3"/>
  <c r="I2607" i="3"/>
  <c r="M2607" i="3"/>
  <c r="G2607" i="3"/>
  <c r="D2607" i="3"/>
  <c r="E2607" i="3"/>
  <c r="O2607" i="3"/>
  <c r="L2609" i="3"/>
  <c r="E2609" i="3"/>
  <c r="F2609" i="3"/>
  <c r="D2609" i="3"/>
  <c r="G2609" i="3"/>
  <c r="J2609" i="3"/>
  <c r="I2609" i="3"/>
  <c r="K2609" i="3"/>
  <c r="H2609" i="3"/>
  <c r="O2609" i="3"/>
  <c r="M2609" i="3"/>
  <c r="N2609" i="3"/>
  <c r="I2608" i="3"/>
  <c r="D2608" i="3"/>
  <c r="G2608" i="3"/>
  <c r="H2608" i="3"/>
  <c r="M2608" i="3"/>
  <c r="N2608" i="3"/>
  <c r="J2608" i="3"/>
  <c r="O2608" i="3"/>
  <c r="K2608" i="3"/>
  <c r="L2608" i="3"/>
  <c r="E2608" i="3"/>
  <c r="F2608" i="3"/>
  <c r="O2604" i="3"/>
  <c r="M2604" i="3"/>
  <c r="G2604" i="3"/>
  <c r="K2604" i="3"/>
  <c r="I2604" i="3"/>
  <c r="F2604" i="3"/>
  <c r="H2604" i="3"/>
  <c r="J2604" i="3"/>
  <c r="L2604" i="3"/>
  <c r="D2604" i="3"/>
  <c r="N2604" i="3"/>
  <c r="E2604" i="3"/>
  <c r="J2613" i="3"/>
  <c r="K2613" i="3"/>
  <c r="I2613" i="3"/>
  <c r="O2613" i="3"/>
  <c r="N2613" i="3"/>
  <c r="F2613" i="3"/>
  <c r="E2613" i="3"/>
  <c r="M2613" i="3"/>
  <c r="L2613" i="3"/>
  <c r="D2613" i="3"/>
  <c r="G2613" i="3"/>
  <c r="H2613" i="3"/>
  <c r="E2605" i="3"/>
  <c r="H2605" i="3"/>
  <c r="M2605" i="3"/>
  <c r="K2605" i="3"/>
  <c r="L2605" i="3"/>
  <c r="N2605" i="3"/>
  <c r="J2605" i="3"/>
  <c r="I2605" i="3"/>
  <c r="O2605" i="3"/>
  <c r="D2605" i="3"/>
  <c r="G2605" i="3"/>
  <c r="F2605" i="3"/>
  <c r="M157" i="3"/>
  <c r="O161" i="3"/>
  <c r="J161" i="3"/>
  <c r="K161" i="3"/>
  <c r="M161" i="3"/>
  <c r="H161" i="3"/>
  <c r="B2323" i="3"/>
  <c r="C2310" i="3" s="1"/>
  <c r="B1605" i="3"/>
  <c r="J1636" i="3"/>
  <c r="C1567" i="3"/>
  <c r="M1567" i="3" s="1"/>
  <c r="M1633" i="3"/>
  <c r="Q2792" i="3"/>
  <c r="AY2788" i="3" s="1"/>
  <c r="BB2787" i="3" s="1"/>
  <c r="BD2787" i="3" s="1"/>
  <c r="F1633" i="3"/>
  <c r="N1633" i="3"/>
  <c r="D155" i="3"/>
  <c r="L160" i="3"/>
  <c r="F160" i="3"/>
  <c r="D160" i="3"/>
  <c r="I158" i="3"/>
  <c r="P1148" i="3"/>
  <c r="P1150" i="3"/>
  <c r="O160" i="3"/>
  <c r="E160" i="3"/>
  <c r="D158" i="3"/>
  <c r="H158" i="3"/>
  <c r="P1152" i="3"/>
  <c r="Q2788" i="3"/>
  <c r="AA2788" i="3" s="1"/>
  <c r="C2587" i="3"/>
  <c r="H2587" i="3" s="1"/>
  <c r="D1633" i="3"/>
  <c r="H1633" i="3"/>
  <c r="F1636" i="3"/>
  <c r="P1151" i="3"/>
  <c r="K1636" i="3"/>
  <c r="P2349" i="3" a="1"/>
  <c r="P2350" i="3" s="1"/>
  <c r="L1642" i="3"/>
  <c r="BC2787" i="3"/>
  <c r="H155" i="3"/>
  <c r="O159" i="3"/>
  <c r="Q2789" i="3"/>
  <c r="AG2788" i="3" s="1"/>
  <c r="AJ2787" i="3" s="1"/>
  <c r="AK2787" i="3" s="1"/>
  <c r="Q2790" i="3"/>
  <c r="AM2788" i="3" s="1"/>
  <c r="AP2787" i="3" s="1"/>
  <c r="Q2796" i="3"/>
  <c r="BW2788" i="3" s="1"/>
  <c r="C2583" i="3"/>
  <c r="M2583" i="3" s="1"/>
  <c r="C2584" i="3"/>
  <c r="F2584" i="3" s="1"/>
  <c r="D1636" i="3"/>
  <c r="N1636" i="3"/>
  <c r="E1636" i="3"/>
  <c r="O1642" i="3"/>
  <c r="G159" i="3"/>
  <c r="I159" i="3"/>
  <c r="H159" i="3"/>
  <c r="J159" i="3"/>
  <c r="L157" i="3"/>
  <c r="K159" i="3"/>
  <c r="D159" i="3"/>
  <c r="G165" i="3"/>
  <c r="Q2791" i="3"/>
  <c r="AS2788" i="3" s="1"/>
  <c r="AV2787" i="3" s="1"/>
  <c r="AX2787" i="3" s="1"/>
  <c r="Q2794" i="3"/>
  <c r="BK2788" i="3" s="1"/>
  <c r="BN2787" i="3" s="1"/>
  <c r="Q2787" i="3"/>
  <c r="Q2795" i="3"/>
  <c r="BQ2788" i="3" s="1"/>
  <c r="Q2797" i="3"/>
  <c r="CC2788" i="3" s="1"/>
  <c r="C2580" i="3"/>
  <c r="E2580" i="3" s="1"/>
  <c r="C2590" i="3"/>
  <c r="H2590" i="3" s="1"/>
  <c r="O1633" i="3"/>
  <c r="I1633" i="3"/>
  <c r="M1636" i="3"/>
  <c r="G1636" i="3"/>
  <c r="I1636" i="3"/>
  <c r="J1642" i="3"/>
  <c r="G157" i="3"/>
  <c r="G155" i="3"/>
  <c r="N165" i="3"/>
  <c r="E159" i="3"/>
  <c r="C2586" i="3"/>
  <c r="H2586" i="3" s="1"/>
  <c r="L1636" i="3"/>
  <c r="H1636" i="3"/>
  <c r="E1642" i="3"/>
  <c r="N1637" i="3"/>
  <c r="E1637" i="3"/>
  <c r="F1637" i="3"/>
  <c r="K1637" i="3"/>
  <c r="O1637" i="3"/>
  <c r="C1574" i="3"/>
  <c r="J1574" i="3" s="1"/>
  <c r="C2309" i="3"/>
  <c r="G2309" i="3" s="1"/>
  <c r="J1637" i="3"/>
  <c r="M1637" i="3"/>
  <c r="G1637" i="3"/>
  <c r="L1637" i="3"/>
  <c r="K1641" i="3"/>
  <c r="E1641" i="3"/>
  <c r="M158" i="3"/>
  <c r="J158" i="3"/>
  <c r="C2589" i="3"/>
  <c r="E2589" i="3" s="1"/>
  <c r="C2581" i="3"/>
  <c r="E2581" i="3" s="1"/>
  <c r="C2585" i="3"/>
  <c r="L2585" i="3" s="1"/>
  <c r="I1637" i="3"/>
  <c r="D1637" i="3"/>
  <c r="G1642" i="3"/>
  <c r="K1642" i="3"/>
  <c r="G158" i="3"/>
  <c r="O158" i="3"/>
  <c r="L158" i="3"/>
  <c r="F158" i="3"/>
  <c r="E158" i="3"/>
  <c r="C2588" i="3"/>
  <c r="M2588" i="3" s="1"/>
  <c r="B1197" i="3"/>
  <c r="N1641" i="3"/>
  <c r="E163" i="3"/>
  <c r="H163" i="3"/>
  <c r="N163" i="3"/>
  <c r="F164" i="3"/>
  <c r="L164" i="3"/>
  <c r="B1375" i="3"/>
  <c r="B1376" i="3" s="1"/>
  <c r="N1642" i="3"/>
  <c r="H1642" i="3"/>
  <c r="F1642" i="3"/>
  <c r="J1641" i="3"/>
  <c r="H1641" i="3"/>
  <c r="F1641" i="3"/>
  <c r="C1570" i="3"/>
  <c r="C1565" i="3"/>
  <c r="O1641" i="3"/>
  <c r="G1641" i="3"/>
  <c r="I1641" i="3"/>
  <c r="J1569" i="3"/>
  <c r="F1569" i="3"/>
  <c r="O1569" i="3"/>
  <c r="M1569" i="3"/>
  <c r="N1569" i="3"/>
  <c r="H1569" i="3"/>
  <c r="G1569" i="3"/>
  <c r="I1569" i="3"/>
  <c r="E1569" i="3"/>
  <c r="L1569" i="3"/>
  <c r="K1569" i="3"/>
  <c r="D1569" i="3"/>
  <c r="C1573" i="3"/>
  <c r="C1568" i="3"/>
  <c r="C1566" i="3"/>
  <c r="K163" i="3"/>
  <c r="G163" i="3"/>
  <c r="E164" i="3"/>
  <c r="N164" i="3"/>
  <c r="M164" i="3"/>
  <c r="D164" i="3"/>
  <c r="B1627" i="3"/>
  <c r="B1628" i="3" s="1"/>
  <c r="I1642" i="3"/>
  <c r="D1642" i="3"/>
  <c r="M1641" i="3"/>
  <c r="L1641" i="3"/>
  <c r="C1571" i="3"/>
  <c r="C1572" i="3"/>
  <c r="C1564" i="3"/>
  <c r="B1030" i="3"/>
  <c r="C1012" i="3" s="1"/>
  <c r="O1012" i="3" s="1"/>
  <c r="E1640" i="3"/>
  <c r="M1640" i="3"/>
  <c r="N1640" i="3"/>
  <c r="L1640" i="3"/>
  <c r="O1640" i="3"/>
  <c r="F1640" i="3"/>
  <c r="K1640" i="3"/>
  <c r="I1640" i="3"/>
  <c r="J1640" i="3"/>
  <c r="D1640" i="3"/>
  <c r="H1640" i="3"/>
  <c r="G1640" i="3"/>
  <c r="J1639" i="3"/>
  <c r="M1639" i="3"/>
  <c r="O1639" i="3"/>
  <c r="I1639" i="3"/>
  <c r="D1639" i="3"/>
  <c r="H1639" i="3"/>
  <c r="L1639" i="3"/>
  <c r="N1639" i="3"/>
  <c r="F1639" i="3"/>
  <c r="K1639" i="3"/>
  <c r="G1639" i="3"/>
  <c r="E1639" i="3"/>
  <c r="D1635" i="3"/>
  <c r="F1635" i="3"/>
  <c r="J1635" i="3"/>
  <c r="N1635" i="3"/>
  <c r="O1635" i="3"/>
  <c r="E1635" i="3"/>
  <c r="H1635" i="3"/>
  <c r="K1635" i="3"/>
  <c r="M1635" i="3"/>
  <c r="I1635" i="3"/>
  <c r="G1635" i="3"/>
  <c r="L1635" i="3"/>
  <c r="O157" i="3"/>
  <c r="E157" i="3"/>
  <c r="M155" i="3"/>
  <c r="F165" i="3"/>
  <c r="K157" i="3"/>
  <c r="N157" i="3"/>
  <c r="I157" i="3"/>
  <c r="F155" i="3"/>
  <c r="L155" i="3"/>
  <c r="O155" i="3"/>
  <c r="J165" i="3"/>
  <c r="H165" i="3"/>
  <c r="L165" i="3"/>
  <c r="D992" i="3"/>
  <c r="O1638" i="3"/>
  <c r="G1638" i="3"/>
  <c r="F1638" i="3"/>
  <c r="D1638" i="3"/>
  <c r="J1638" i="3"/>
  <c r="K1638" i="3"/>
  <c r="I1638" i="3"/>
  <c r="E1638" i="3"/>
  <c r="N1638" i="3"/>
  <c r="M1638" i="3"/>
  <c r="H1638" i="3"/>
  <c r="L1638" i="3"/>
  <c r="N1643" i="3"/>
  <c r="I1643" i="3"/>
  <c r="L1643" i="3"/>
  <c r="D1643" i="3"/>
  <c r="J1643" i="3"/>
  <c r="F1643" i="3"/>
  <c r="G1643" i="3"/>
  <c r="K1643" i="3"/>
  <c r="O1643" i="3"/>
  <c r="E1643" i="3"/>
  <c r="H1643" i="3"/>
  <c r="M1643" i="3"/>
  <c r="P2095" i="3" a="1"/>
  <c r="J157" i="3"/>
  <c r="K155" i="3"/>
  <c r="E155" i="3"/>
  <c r="K165" i="3"/>
  <c r="M165" i="3"/>
  <c r="H157" i="3"/>
  <c r="D157" i="3"/>
  <c r="N155" i="3"/>
  <c r="J155" i="3"/>
  <c r="D165" i="3"/>
  <c r="E165" i="3"/>
  <c r="O165" i="3"/>
  <c r="O1634" i="3"/>
  <c r="J1634" i="3"/>
  <c r="I1634" i="3"/>
  <c r="G1634" i="3"/>
  <c r="H1634" i="3"/>
  <c r="K1634" i="3"/>
  <c r="F1634" i="3"/>
  <c r="D1634" i="3"/>
  <c r="M1634" i="3"/>
  <c r="E1634" i="3"/>
  <c r="N1634" i="3"/>
  <c r="L1634" i="3"/>
  <c r="C1288" i="3"/>
  <c r="C1289" i="3"/>
  <c r="C1292" i="3"/>
  <c r="C1293" i="3"/>
  <c r="C1295" i="3"/>
  <c r="C1296" i="3"/>
  <c r="C1294" i="3"/>
  <c r="C1290" i="3"/>
  <c r="C1291" i="3"/>
  <c r="C1286" i="3"/>
  <c r="C577" i="3"/>
  <c r="C580" i="3"/>
  <c r="C575" i="3"/>
  <c r="C572" i="3"/>
  <c r="C574" i="3"/>
  <c r="C571" i="3"/>
  <c r="C579" i="3"/>
  <c r="C576" i="3"/>
  <c r="C573" i="3"/>
  <c r="C578" i="3"/>
  <c r="C581" i="3"/>
  <c r="B2345" i="3"/>
  <c r="B2091" i="3"/>
  <c r="N2582" i="3"/>
  <c r="K2582" i="3"/>
  <c r="J2582" i="3"/>
  <c r="G2582" i="3"/>
  <c r="M2582" i="3"/>
  <c r="O2582" i="3"/>
  <c r="F2582" i="3"/>
  <c r="L2582" i="3"/>
  <c r="E2582" i="3"/>
  <c r="D2582" i="3"/>
  <c r="I2582" i="3"/>
  <c r="H2582" i="3"/>
  <c r="D991" i="3"/>
  <c r="B309" i="3"/>
  <c r="B1790" i="3"/>
  <c r="B1791" i="3" s="1"/>
  <c r="P894" i="3" a="1"/>
  <c r="B332" i="3"/>
  <c r="O2580" i="3"/>
  <c r="P1158" i="3"/>
  <c r="B948" i="3"/>
  <c r="B949" i="3" s="1"/>
  <c r="P1157" i="3"/>
  <c r="B1883" i="3"/>
  <c r="N991" i="3"/>
  <c r="P1156" i="3"/>
  <c r="P1154" i="3"/>
  <c r="M1287" i="3"/>
  <c r="O1287" i="3"/>
  <c r="I1287" i="3"/>
  <c r="F1287" i="3"/>
  <c r="J1287" i="3"/>
  <c r="E1287" i="3"/>
  <c r="K1287" i="3"/>
  <c r="G1287" i="3"/>
  <c r="H1287" i="3"/>
  <c r="D1287" i="3"/>
  <c r="L1287" i="3"/>
  <c r="N1287" i="3"/>
  <c r="P1149" i="3"/>
  <c r="P1155" i="3"/>
  <c r="M992" i="3"/>
  <c r="E992" i="3"/>
  <c r="H992" i="3"/>
  <c r="O992" i="3"/>
  <c r="F992" i="3"/>
  <c r="K992" i="3"/>
  <c r="L992" i="3"/>
  <c r="I992" i="3"/>
  <c r="P802" i="3" a="1"/>
  <c r="P808" i="3" s="1"/>
  <c r="G992" i="3"/>
  <c r="J992" i="3"/>
  <c r="B2572" i="3"/>
  <c r="C2375" i="3"/>
  <c r="G2375" i="3" s="1"/>
  <c r="E991" i="3"/>
  <c r="L987" i="3"/>
  <c r="M987" i="3"/>
  <c r="F987" i="3"/>
  <c r="E2011" i="3"/>
  <c r="J987" i="3"/>
  <c r="H2008" i="3"/>
  <c r="H2011" i="3"/>
  <c r="G987" i="3"/>
  <c r="H987" i="3"/>
  <c r="F991" i="3"/>
  <c r="M991" i="3"/>
  <c r="L991" i="3"/>
  <c r="K991" i="3"/>
  <c r="O991" i="3"/>
  <c r="H991" i="3"/>
  <c r="B2783" i="3"/>
  <c r="B2784" i="3" s="1"/>
  <c r="C2770" i="3" s="1"/>
  <c r="J2770" i="3" s="1"/>
  <c r="D2008" i="3"/>
  <c r="G991" i="3"/>
  <c r="I991" i="3"/>
  <c r="G2012" i="3"/>
  <c r="N1524" i="3"/>
  <c r="G995" i="3"/>
  <c r="E987" i="3"/>
  <c r="D987" i="3"/>
  <c r="N987" i="3"/>
  <c r="D995" i="3"/>
  <c r="O987" i="3"/>
  <c r="I987" i="3"/>
  <c r="F995" i="3"/>
  <c r="O2012" i="3"/>
  <c r="L2012" i="3"/>
  <c r="O1524" i="3"/>
  <c r="C1795" i="3"/>
  <c r="M1795" i="3" s="1"/>
  <c r="C1800" i="3"/>
  <c r="F1800" i="3" s="1"/>
  <c r="M995" i="3"/>
  <c r="O995" i="3"/>
  <c r="H995" i="3"/>
  <c r="I2012" i="3"/>
  <c r="E2012" i="3"/>
  <c r="M1524" i="3"/>
  <c r="K1524" i="3"/>
  <c r="I995" i="3"/>
  <c r="K995" i="3"/>
  <c r="N995" i="3"/>
  <c r="H2012" i="3"/>
  <c r="I1524" i="3"/>
  <c r="J1524" i="3"/>
  <c r="C1797" i="3"/>
  <c r="H1797" i="3" s="1"/>
  <c r="E995" i="3"/>
  <c r="J995" i="3"/>
  <c r="J986" i="3"/>
  <c r="O986" i="3"/>
  <c r="E986" i="3"/>
  <c r="K986" i="3"/>
  <c r="M986" i="3"/>
  <c r="G986" i="3"/>
  <c r="D986" i="3"/>
  <c r="L986" i="3"/>
  <c r="N986" i="3"/>
  <c r="H986" i="3"/>
  <c r="I986" i="3"/>
  <c r="F986" i="3"/>
  <c r="F2012" i="3"/>
  <c r="D2012" i="3"/>
  <c r="K2012" i="3"/>
  <c r="E1524" i="3"/>
  <c r="L1524" i="3"/>
  <c r="H1524" i="3"/>
  <c r="M994" i="3"/>
  <c r="E994" i="3"/>
  <c r="N994" i="3"/>
  <c r="D994" i="3"/>
  <c r="J994" i="3"/>
  <c r="F994" i="3"/>
  <c r="I994" i="3"/>
  <c r="L994" i="3"/>
  <c r="O994" i="3"/>
  <c r="H994" i="3"/>
  <c r="G994" i="3"/>
  <c r="K994" i="3"/>
  <c r="D989" i="3"/>
  <c r="H989" i="3"/>
  <c r="J989" i="3"/>
  <c r="I989" i="3"/>
  <c r="E989" i="3"/>
  <c r="F989" i="3"/>
  <c r="N989" i="3"/>
  <c r="O989" i="3"/>
  <c r="K989" i="3"/>
  <c r="G989" i="3"/>
  <c r="M989" i="3"/>
  <c r="L989" i="3"/>
  <c r="C2220" i="3"/>
  <c r="I2220" i="3" s="1"/>
  <c r="E996" i="3"/>
  <c r="I996" i="3"/>
  <c r="F996" i="3"/>
  <c r="O996" i="3"/>
  <c r="J996" i="3"/>
  <c r="M996" i="3"/>
  <c r="L996" i="3"/>
  <c r="D996" i="3"/>
  <c r="N996" i="3"/>
  <c r="K996" i="3"/>
  <c r="H996" i="3"/>
  <c r="G996" i="3"/>
  <c r="O990" i="3"/>
  <c r="K990" i="3"/>
  <c r="E990" i="3"/>
  <c r="L990" i="3"/>
  <c r="F990" i="3"/>
  <c r="J990" i="3"/>
  <c r="I990" i="3"/>
  <c r="N990" i="3"/>
  <c r="M990" i="3"/>
  <c r="H990" i="3"/>
  <c r="D990" i="3"/>
  <c r="G990" i="3"/>
  <c r="J2012" i="3"/>
  <c r="M2012" i="3"/>
  <c r="D1524" i="3"/>
  <c r="G1524" i="3"/>
  <c r="C1803" i="3"/>
  <c r="H1803" i="3" s="1"/>
  <c r="C1799" i="3"/>
  <c r="G1799" i="3" s="1"/>
  <c r="C1802" i="3"/>
  <c r="F1802" i="3" s="1"/>
  <c r="C1798" i="3"/>
  <c r="D1798" i="3" s="1"/>
  <c r="F993" i="3"/>
  <c r="L993" i="3"/>
  <c r="K993" i="3"/>
  <c r="N993" i="3"/>
  <c r="H993" i="3"/>
  <c r="I993" i="3"/>
  <c r="M993" i="3"/>
  <c r="O993" i="3"/>
  <c r="J993" i="3"/>
  <c r="E993" i="3"/>
  <c r="D993" i="3"/>
  <c r="G993" i="3"/>
  <c r="B1353" i="3"/>
  <c r="C1801" i="3"/>
  <c r="G1801" i="3" s="1"/>
  <c r="O1518" i="3"/>
  <c r="C255" i="3"/>
  <c r="N255" i="3" s="1"/>
  <c r="C251" i="3"/>
  <c r="G251" i="3" s="1"/>
  <c r="C1804" i="3"/>
  <c r="C1796" i="3"/>
  <c r="C1794" i="3"/>
  <c r="C2287" i="3"/>
  <c r="I2287" i="3" s="1"/>
  <c r="L2008" i="3"/>
  <c r="G2008" i="3"/>
  <c r="F2008" i="3"/>
  <c r="M2008" i="3"/>
  <c r="E1519" i="3"/>
  <c r="B2459" i="3"/>
  <c r="C2054" i="3"/>
  <c r="C2055" i="3"/>
  <c r="C2049" i="3"/>
  <c r="C2052" i="3"/>
  <c r="C2053" i="3"/>
  <c r="C2057" i="3"/>
  <c r="C2058" i="3"/>
  <c r="C2050" i="3"/>
  <c r="C2051" i="3"/>
  <c r="C2048" i="3"/>
  <c r="C2056" i="3"/>
  <c r="K757" i="3"/>
  <c r="D2011" i="3"/>
  <c r="F2491" i="3"/>
  <c r="C2380" i="3"/>
  <c r="J2380" i="3" s="1"/>
  <c r="I2011" i="3"/>
  <c r="B1260" i="3"/>
  <c r="B1327" i="3"/>
  <c r="N2008" i="3"/>
  <c r="O2008" i="3"/>
  <c r="I2008" i="3"/>
  <c r="C2281" i="3"/>
  <c r="K2281" i="3" s="1"/>
  <c r="O1523" i="3"/>
  <c r="O757" i="3"/>
  <c r="I2007" i="3"/>
  <c r="E2008" i="3"/>
  <c r="K2008" i="3"/>
  <c r="J2490" i="3"/>
  <c r="M2007" i="3"/>
  <c r="D2006" i="3"/>
  <c r="N2011" i="3"/>
  <c r="J1525" i="3"/>
  <c r="G1519" i="3"/>
  <c r="L1527" i="3"/>
  <c r="H2491" i="3"/>
  <c r="C2381" i="3"/>
  <c r="M2381" i="3" s="1"/>
  <c r="F2007" i="3"/>
  <c r="E2006" i="3"/>
  <c r="O2011" i="3"/>
  <c r="N1525" i="3"/>
  <c r="K2491" i="3"/>
  <c r="L2490" i="3"/>
  <c r="B2044" i="3"/>
  <c r="B2045" i="3" s="1"/>
  <c r="B2046" i="3" s="1"/>
  <c r="B2251" i="3"/>
  <c r="B2252" i="3" s="1"/>
  <c r="J759" i="3"/>
  <c r="G2006" i="3"/>
  <c r="I1519" i="3"/>
  <c r="O2491" i="3"/>
  <c r="E1684" i="3"/>
  <c r="N1684" i="3"/>
  <c r="D1684" i="3"/>
  <c r="H1684" i="3"/>
  <c r="I1684" i="3"/>
  <c r="L1684" i="3"/>
  <c r="F1684" i="3"/>
  <c r="G1684" i="3"/>
  <c r="O1684" i="3"/>
  <c r="K1684" i="3"/>
  <c r="J1684" i="3"/>
  <c r="M1684" i="3"/>
  <c r="M1685" i="3"/>
  <c r="O1685" i="3"/>
  <c r="L1685" i="3"/>
  <c r="J1685" i="3"/>
  <c r="G1685" i="3"/>
  <c r="E1685" i="3"/>
  <c r="H1685" i="3"/>
  <c r="D1685" i="3"/>
  <c r="K1685" i="3"/>
  <c r="I1685" i="3"/>
  <c r="F1685" i="3"/>
  <c r="N1685" i="3"/>
  <c r="H1681" i="3"/>
  <c r="E1681" i="3"/>
  <c r="I1681" i="3"/>
  <c r="N1681" i="3"/>
  <c r="O1681" i="3"/>
  <c r="D1681" i="3"/>
  <c r="M1681" i="3"/>
  <c r="F1681" i="3"/>
  <c r="J1681" i="3"/>
  <c r="K1681" i="3"/>
  <c r="G1681" i="3"/>
  <c r="L1681" i="3"/>
  <c r="F1682" i="3"/>
  <c r="L1682" i="3"/>
  <c r="G1682" i="3"/>
  <c r="J1682" i="3"/>
  <c r="I1682" i="3"/>
  <c r="K1682" i="3"/>
  <c r="H1682" i="3"/>
  <c r="E1682" i="3"/>
  <c r="D1682" i="3"/>
  <c r="M1682" i="3"/>
  <c r="O1682" i="3"/>
  <c r="N1682" i="3"/>
  <c r="I1687" i="3"/>
  <c r="E1687" i="3"/>
  <c r="J1687" i="3"/>
  <c r="F1687" i="3"/>
  <c r="M1687" i="3"/>
  <c r="O1687" i="3"/>
  <c r="H1687" i="3"/>
  <c r="L1687" i="3"/>
  <c r="N1687" i="3"/>
  <c r="K1687" i="3"/>
  <c r="D1687" i="3"/>
  <c r="G1687" i="3"/>
  <c r="E1679" i="3"/>
  <c r="O1679" i="3"/>
  <c r="H1679" i="3"/>
  <c r="I1679" i="3"/>
  <c r="F1679" i="3"/>
  <c r="L1679" i="3"/>
  <c r="K1679" i="3"/>
  <c r="D1679" i="3"/>
  <c r="N1679" i="3"/>
  <c r="G1679" i="3"/>
  <c r="M1679" i="3"/>
  <c r="J1679" i="3"/>
  <c r="E1689" i="3"/>
  <c r="K1689" i="3"/>
  <c r="H1689" i="3"/>
  <c r="F1689" i="3"/>
  <c r="N1689" i="3"/>
  <c r="J1689" i="3"/>
  <c r="D1689" i="3"/>
  <c r="G1689" i="3"/>
  <c r="I1689" i="3"/>
  <c r="O1689" i="3"/>
  <c r="L1689" i="3"/>
  <c r="M1689" i="3"/>
  <c r="N1688" i="3"/>
  <c r="J1688" i="3"/>
  <c r="O1688" i="3"/>
  <c r="M1688" i="3"/>
  <c r="G1688" i="3"/>
  <c r="K1688" i="3"/>
  <c r="H1688" i="3"/>
  <c r="I1688" i="3"/>
  <c r="L1688" i="3"/>
  <c r="F1688" i="3"/>
  <c r="D1688" i="3"/>
  <c r="E1688" i="3"/>
  <c r="J1686" i="3"/>
  <c r="I1686" i="3"/>
  <c r="L1686" i="3"/>
  <c r="M1686" i="3"/>
  <c r="G1686" i="3"/>
  <c r="N1686" i="3"/>
  <c r="E1686" i="3"/>
  <c r="O1686" i="3"/>
  <c r="D1686" i="3"/>
  <c r="F1686" i="3"/>
  <c r="H1686" i="3"/>
  <c r="K1686" i="3"/>
  <c r="O1683" i="3"/>
  <c r="L1683" i="3"/>
  <c r="N1683" i="3"/>
  <c r="F1683" i="3"/>
  <c r="M1683" i="3"/>
  <c r="D1683" i="3"/>
  <c r="I1683" i="3"/>
  <c r="H1683" i="3"/>
  <c r="G1683" i="3"/>
  <c r="J1683" i="3"/>
  <c r="E1683" i="3"/>
  <c r="K1683" i="3"/>
  <c r="N1680" i="3"/>
  <c r="O1680" i="3"/>
  <c r="D1680" i="3"/>
  <c r="E1680" i="3"/>
  <c r="L1680" i="3"/>
  <c r="K1680" i="3"/>
  <c r="F1680" i="3"/>
  <c r="M1680" i="3"/>
  <c r="I1680" i="3"/>
  <c r="H1680" i="3"/>
  <c r="J1680" i="3"/>
  <c r="G1680" i="3"/>
  <c r="L1520" i="3"/>
  <c r="L1526" i="3"/>
  <c r="L1518" i="3"/>
  <c r="E2491" i="3"/>
  <c r="D2490" i="3"/>
  <c r="I2490" i="3"/>
  <c r="C2378" i="3"/>
  <c r="M2378" i="3" s="1"/>
  <c r="C2382" i="3"/>
  <c r="O2382" i="3" s="1"/>
  <c r="C2282" i="3"/>
  <c r="N2282" i="3" s="1"/>
  <c r="H1521" i="3"/>
  <c r="L2491" i="3"/>
  <c r="E2490" i="3"/>
  <c r="K2490" i="3"/>
  <c r="C2379" i="3"/>
  <c r="F2379" i="3" s="1"/>
  <c r="C2373" i="3"/>
  <c r="G2373" i="3" s="1"/>
  <c r="C2374" i="3"/>
  <c r="I2374" i="3" s="1"/>
  <c r="C2372" i="3"/>
  <c r="I2372" i="3" s="1"/>
  <c r="G1521" i="3"/>
  <c r="C2376" i="3"/>
  <c r="K2376" i="3" s="1"/>
  <c r="D1520" i="3"/>
  <c r="L1521" i="3"/>
  <c r="I1521" i="3"/>
  <c r="F1521" i="3"/>
  <c r="G1518" i="3"/>
  <c r="G2010" i="3"/>
  <c r="L1525" i="3"/>
  <c r="K1526" i="3"/>
  <c r="E1521" i="3"/>
  <c r="J1521" i="3"/>
  <c r="D1518" i="3"/>
  <c r="H1518" i="3"/>
  <c r="J2491" i="3"/>
  <c r="G2491" i="3"/>
  <c r="N2491" i="3"/>
  <c r="M2490" i="3"/>
  <c r="N2490" i="3"/>
  <c r="O2490" i="3"/>
  <c r="M757" i="3"/>
  <c r="I2004" i="3"/>
  <c r="I2010" i="3"/>
  <c r="N1520" i="3"/>
  <c r="I1526" i="3"/>
  <c r="D1521" i="3"/>
  <c r="K1521" i="3"/>
  <c r="I1518" i="3"/>
  <c r="M2491" i="3"/>
  <c r="D2491" i="3"/>
  <c r="F2490" i="3"/>
  <c r="H2490" i="3"/>
  <c r="B2738" i="3"/>
  <c r="C2725" i="3" s="1"/>
  <c r="B2530" i="3"/>
  <c r="H2004" i="3"/>
  <c r="N2007" i="3"/>
  <c r="H2007" i="3"/>
  <c r="I2006" i="3"/>
  <c r="G2011" i="3"/>
  <c r="J2011" i="3"/>
  <c r="M2011" i="3"/>
  <c r="G1525" i="3"/>
  <c r="E1525" i="3"/>
  <c r="F1525" i="3"/>
  <c r="O1526" i="3"/>
  <c r="G1526" i="3"/>
  <c r="N1526" i="3"/>
  <c r="E1527" i="3"/>
  <c r="J1518" i="3"/>
  <c r="E1518" i="3"/>
  <c r="F1518" i="3"/>
  <c r="I2489" i="3"/>
  <c r="B1490" i="3"/>
  <c r="O2004" i="3"/>
  <c r="O2007" i="3"/>
  <c r="J2006" i="3"/>
  <c r="N2006" i="3"/>
  <c r="F2011" i="3"/>
  <c r="K2011" i="3"/>
  <c r="N2010" i="3"/>
  <c r="M1525" i="3"/>
  <c r="K1525" i="3"/>
  <c r="O1525" i="3"/>
  <c r="M1526" i="3"/>
  <c r="J1526" i="3"/>
  <c r="H1526" i="3"/>
  <c r="N1527" i="3"/>
  <c r="H1527" i="3"/>
  <c r="K1518" i="3"/>
  <c r="N1518" i="3"/>
  <c r="I2005" i="3"/>
  <c r="D1525" i="3"/>
  <c r="H1525" i="3"/>
  <c r="D1526" i="3"/>
  <c r="E1526" i="3"/>
  <c r="M1527" i="3"/>
  <c r="K1527" i="3"/>
  <c r="D2005" i="3"/>
  <c r="G1527" i="3"/>
  <c r="I1527" i="3"/>
  <c r="D1527" i="3"/>
  <c r="L2489" i="3"/>
  <c r="P1388" i="3"/>
  <c r="G2005" i="3"/>
  <c r="C2286" i="3"/>
  <c r="O2286" i="3" s="1"/>
  <c r="O1521" i="3"/>
  <c r="M1521" i="3"/>
  <c r="O1527" i="3"/>
  <c r="F1527" i="3"/>
  <c r="H2489" i="3"/>
  <c r="P532" i="3"/>
  <c r="C2213" i="3"/>
  <c r="F2213" i="3" s="1"/>
  <c r="H2005" i="3"/>
  <c r="O2005" i="3"/>
  <c r="L2005" i="3"/>
  <c r="J1523" i="3"/>
  <c r="P1379" i="3"/>
  <c r="P527" i="3"/>
  <c r="C257" i="3"/>
  <c r="I257" i="3" s="1"/>
  <c r="I756" i="3"/>
  <c r="M2005" i="3"/>
  <c r="E2005" i="3"/>
  <c r="K2005" i="3"/>
  <c r="C2211" i="3"/>
  <c r="E2211" i="3" s="1"/>
  <c r="F2005" i="3"/>
  <c r="N2005" i="3"/>
  <c r="E1523" i="3"/>
  <c r="P1389" i="3"/>
  <c r="I757" i="3"/>
  <c r="E757" i="3"/>
  <c r="J757" i="3"/>
  <c r="F2004" i="3"/>
  <c r="C2288" i="3"/>
  <c r="D2288" i="3" s="1"/>
  <c r="C2283" i="3"/>
  <c r="H2283" i="3" s="1"/>
  <c r="L2010" i="3"/>
  <c r="C2285" i="3"/>
  <c r="I2285" i="3" s="1"/>
  <c r="I1522" i="3"/>
  <c r="P1384" i="3"/>
  <c r="G757" i="3"/>
  <c r="N757" i="3"/>
  <c r="L757" i="3"/>
  <c r="E1522" i="3"/>
  <c r="P1381" i="3"/>
  <c r="P1382" i="3"/>
  <c r="H757" i="3"/>
  <c r="F757" i="3"/>
  <c r="H761" i="3"/>
  <c r="I765" i="3"/>
  <c r="G2004" i="3"/>
  <c r="N2004" i="3"/>
  <c r="C2280" i="3"/>
  <c r="H2280" i="3" s="1"/>
  <c r="K2010" i="3"/>
  <c r="H2010" i="3"/>
  <c r="O1522" i="3"/>
  <c r="P533" i="3"/>
  <c r="P525" i="3"/>
  <c r="C252" i="3"/>
  <c r="H252" i="3" s="1"/>
  <c r="C247" i="3"/>
  <c r="O247" i="3" s="1"/>
  <c r="C250" i="3"/>
  <c r="K250" i="3" s="1"/>
  <c r="C2212" i="3"/>
  <c r="M2212" i="3" s="1"/>
  <c r="C2216" i="3"/>
  <c r="F2216" i="3" s="1"/>
  <c r="C2215" i="3"/>
  <c r="J2215" i="3" s="1"/>
  <c r="N759" i="3"/>
  <c r="I1523" i="3"/>
  <c r="F1523" i="3"/>
  <c r="M1523" i="3"/>
  <c r="H1520" i="3"/>
  <c r="E1520" i="3"/>
  <c r="M1520" i="3"/>
  <c r="K1519" i="3"/>
  <c r="F1519" i="3"/>
  <c r="N1519" i="3"/>
  <c r="G1522" i="3"/>
  <c r="H1522" i="3"/>
  <c r="J1522" i="3"/>
  <c r="H1109" i="3"/>
  <c r="P530" i="3"/>
  <c r="C256" i="3"/>
  <c r="L256" i="3" s="1"/>
  <c r="C249" i="3"/>
  <c r="D249" i="3" s="1"/>
  <c r="C248" i="3"/>
  <c r="J248" i="3" s="1"/>
  <c r="C253" i="3"/>
  <c r="I253" i="3" s="1"/>
  <c r="C2217" i="3"/>
  <c r="D2217" i="3" s="1"/>
  <c r="C2219" i="3"/>
  <c r="M2219" i="3" s="1"/>
  <c r="H759" i="3"/>
  <c r="M759" i="3"/>
  <c r="N1523" i="3"/>
  <c r="D1523" i="3"/>
  <c r="K1523" i="3"/>
  <c r="F1520" i="3"/>
  <c r="K1520" i="3"/>
  <c r="G1520" i="3"/>
  <c r="L1519" i="3"/>
  <c r="O1519" i="3"/>
  <c r="M1519" i="3"/>
  <c r="F1522" i="3"/>
  <c r="K1522" i="3"/>
  <c r="M1522" i="3"/>
  <c r="F2489" i="3"/>
  <c r="P524" i="3"/>
  <c r="J2166" i="3"/>
  <c r="C254" i="3"/>
  <c r="M254" i="3" s="1"/>
  <c r="C2214" i="3"/>
  <c r="M2214" i="3" s="1"/>
  <c r="C2210" i="3"/>
  <c r="I2210" i="3" s="1"/>
  <c r="C2218" i="3"/>
  <c r="D2218" i="3" s="1"/>
  <c r="O759" i="3"/>
  <c r="F759" i="3"/>
  <c r="G1523" i="3"/>
  <c r="L1523" i="3"/>
  <c r="J1520" i="3"/>
  <c r="I1520" i="3"/>
  <c r="J1519" i="3"/>
  <c r="H1519" i="3"/>
  <c r="L1522" i="3"/>
  <c r="D1522" i="3"/>
  <c r="J2377" i="3"/>
  <c r="E2377" i="3"/>
  <c r="F2377" i="3"/>
  <c r="I2377" i="3"/>
  <c r="G2377" i="3"/>
  <c r="N2377" i="3"/>
  <c r="M2377" i="3"/>
  <c r="H2377" i="3"/>
  <c r="K2377" i="3"/>
  <c r="D2377" i="3"/>
  <c r="O2377" i="3"/>
  <c r="L2377" i="3"/>
  <c r="M2497" i="3"/>
  <c r="J2497" i="3"/>
  <c r="F2497" i="3"/>
  <c r="E2497" i="3"/>
  <c r="H2497" i="3"/>
  <c r="K2497" i="3"/>
  <c r="G2497" i="3"/>
  <c r="O2497" i="3"/>
  <c r="D2497" i="3"/>
  <c r="I2497" i="3"/>
  <c r="N2497" i="3"/>
  <c r="L2497" i="3"/>
  <c r="C1430" i="3"/>
  <c r="D1430" i="3" s="1"/>
  <c r="M2492" i="3"/>
  <c r="K2492" i="3"/>
  <c r="G2492" i="3"/>
  <c r="N2492" i="3"/>
  <c r="H2492" i="3"/>
  <c r="D2492" i="3"/>
  <c r="L2492" i="3"/>
  <c r="E2492" i="3"/>
  <c r="O2492" i="3"/>
  <c r="J2492" i="3"/>
  <c r="I2492" i="3"/>
  <c r="F2492" i="3"/>
  <c r="O2489" i="3"/>
  <c r="G2489" i="3"/>
  <c r="E2489" i="3"/>
  <c r="K2489" i="3"/>
  <c r="D2489" i="3"/>
  <c r="M2489" i="3"/>
  <c r="N2489" i="3"/>
  <c r="O2493" i="3"/>
  <c r="D2493" i="3"/>
  <c r="H2493" i="3"/>
  <c r="G2493" i="3"/>
  <c r="K2493" i="3"/>
  <c r="E2493" i="3"/>
  <c r="L2493" i="3"/>
  <c r="F2493" i="3"/>
  <c r="M2493" i="3"/>
  <c r="I2493" i="3"/>
  <c r="N2493" i="3"/>
  <c r="J2493" i="3"/>
  <c r="L2495" i="3"/>
  <c r="G2495" i="3"/>
  <c r="O2495" i="3"/>
  <c r="I2495" i="3"/>
  <c r="D2495" i="3"/>
  <c r="E2495" i="3"/>
  <c r="F2495" i="3"/>
  <c r="K2495" i="3"/>
  <c r="M2495" i="3"/>
  <c r="N2495" i="3"/>
  <c r="J2495" i="3"/>
  <c r="H2495" i="3"/>
  <c r="L2488" i="3"/>
  <c r="E2488" i="3"/>
  <c r="K2488" i="3"/>
  <c r="M2488" i="3"/>
  <c r="I2488" i="3"/>
  <c r="H2488" i="3"/>
  <c r="F2488" i="3"/>
  <c r="N2488" i="3"/>
  <c r="D2488" i="3"/>
  <c r="O2488" i="3"/>
  <c r="G2488" i="3"/>
  <c r="J2488" i="3"/>
  <c r="M756" i="3"/>
  <c r="E765" i="3"/>
  <c r="J2494" i="3"/>
  <c r="F2494" i="3"/>
  <c r="L2494" i="3"/>
  <c r="D2494" i="3"/>
  <c r="N2494" i="3"/>
  <c r="E2494" i="3"/>
  <c r="M2494" i="3"/>
  <c r="G2494" i="3"/>
  <c r="O2494" i="3"/>
  <c r="I2494" i="3"/>
  <c r="H2494" i="3"/>
  <c r="K2494" i="3"/>
  <c r="P1385" i="3"/>
  <c r="P1383" i="3"/>
  <c r="G759" i="3"/>
  <c r="D759" i="3"/>
  <c r="L759" i="3"/>
  <c r="N756" i="3"/>
  <c r="D756" i="3"/>
  <c r="N765" i="3"/>
  <c r="J765" i="3"/>
  <c r="F2496" i="3"/>
  <c r="L2496" i="3"/>
  <c r="G2496" i="3"/>
  <c r="I2496" i="3"/>
  <c r="N2496" i="3"/>
  <c r="O2496" i="3"/>
  <c r="E2496" i="3"/>
  <c r="D2496" i="3"/>
  <c r="K2496" i="3"/>
  <c r="M2496" i="3"/>
  <c r="H2496" i="3"/>
  <c r="J2496" i="3"/>
  <c r="P1380" i="3"/>
  <c r="P1387" i="3"/>
  <c r="F2167" i="3"/>
  <c r="I759" i="3"/>
  <c r="E759" i="3"/>
  <c r="L756" i="3"/>
  <c r="H756" i="3"/>
  <c r="M765" i="3"/>
  <c r="F765" i="3"/>
  <c r="C922" i="3"/>
  <c r="M922" i="3" s="1"/>
  <c r="G2487" i="3"/>
  <c r="N2487" i="3"/>
  <c r="O2487" i="3"/>
  <c r="F2487" i="3"/>
  <c r="K2487" i="3"/>
  <c r="E2487" i="3"/>
  <c r="K764" i="3"/>
  <c r="K761" i="3"/>
  <c r="C1431" i="3"/>
  <c r="N1431" i="3" s="1"/>
  <c r="C925" i="3"/>
  <c r="C927" i="3"/>
  <c r="N2167" i="3"/>
  <c r="N764" i="3"/>
  <c r="F761" i="3"/>
  <c r="M2004" i="3"/>
  <c r="K2004" i="3"/>
  <c r="D2004" i="3"/>
  <c r="D2007" i="3"/>
  <c r="J2007" i="3"/>
  <c r="E2007" i="3"/>
  <c r="H2006" i="3"/>
  <c r="K2006" i="3"/>
  <c r="L2006" i="3"/>
  <c r="D2010" i="3"/>
  <c r="O2010" i="3"/>
  <c r="M2010" i="3"/>
  <c r="C1434" i="3"/>
  <c r="M1434" i="3" s="1"/>
  <c r="I918" i="3"/>
  <c r="N918" i="3"/>
  <c r="O918" i="3"/>
  <c r="D918" i="3"/>
  <c r="H918" i="3"/>
  <c r="M918" i="3"/>
  <c r="F918" i="3"/>
  <c r="J918" i="3"/>
  <c r="G918" i="3"/>
  <c r="E918" i="3"/>
  <c r="L918" i="3"/>
  <c r="K918" i="3"/>
  <c r="C920" i="3"/>
  <c r="C921" i="3"/>
  <c r="C923" i="3"/>
  <c r="J2167" i="3"/>
  <c r="L764" i="3"/>
  <c r="N755" i="3"/>
  <c r="C132" i="3"/>
  <c r="F132" i="3" s="1"/>
  <c r="L2004" i="3"/>
  <c r="E2004" i="3"/>
  <c r="K2007" i="3"/>
  <c r="G2007" i="3"/>
  <c r="M2006" i="3"/>
  <c r="O2006" i="3"/>
  <c r="J2010" i="3"/>
  <c r="E2010" i="3"/>
  <c r="C1427" i="3"/>
  <c r="O1427" i="3" s="1"/>
  <c r="C919" i="3"/>
  <c r="C926" i="3"/>
  <c r="C917" i="3"/>
  <c r="C924" i="3"/>
  <c r="K2678" i="3"/>
  <c r="I2678" i="3"/>
  <c r="D2678" i="3"/>
  <c r="G2678" i="3"/>
  <c r="N2678" i="3"/>
  <c r="H2678" i="3"/>
  <c r="E2678" i="3"/>
  <c r="J2678" i="3"/>
  <c r="L2678" i="3"/>
  <c r="M2678" i="3"/>
  <c r="F2678" i="3"/>
  <c r="O2678" i="3"/>
  <c r="H2674" i="3"/>
  <c r="K2674" i="3"/>
  <c r="L2674" i="3"/>
  <c r="G2674" i="3"/>
  <c r="D2674" i="3"/>
  <c r="O2674" i="3"/>
  <c r="M2674" i="3"/>
  <c r="I2674" i="3"/>
  <c r="J2674" i="3"/>
  <c r="E2674" i="3"/>
  <c r="N2674" i="3"/>
  <c r="F2674" i="3"/>
  <c r="K2680" i="3"/>
  <c r="H2680" i="3"/>
  <c r="L2680" i="3"/>
  <c r="I2680" i="3"/>
  <c r="O2680" i="3"/>
  <c r="N2680" i="3"/>
  <c r="F2680" i="3"/>
  <c r="J2680" i="3"/>
  <c r="E2680" i="3"/>
  <c r="M2680" i="3"/>
  <c r="G2680" i="3"/>
  <c r="D2680" i="3"/>
  <c r="I755" i="3"/>
  <c r="E2679" i="3"/>
  <c r="N2679" i="3"/>
  <c r="H2679" i="3"/>
  <c r="O2679" i="3"/>
  <c r="D2679" i="3"/>
  <c r="I2679" i="3"/>
  <c r="J2679" i="3"/>
  <c r="L2679" i="3"/>
  <c r="M2679" i="3"/>
  <c r="G2679" i="3"/>
  <c r="F2679" i="3"/>
  <c r="K2679" i="3"/>
  <c r="F2673" i="3"/>
  <c r="D2673" i="3"/>
  <c r="L2673" i="3"/>
  <c r="O2673" i="3"/>
  <c r="M2673" i="3"/>
  <c r="K2673" i="3"/>
  <c r="I2673" i="3"/>
  <c r="E2673" i="3"/>
  <c r="H2673" i="3"/>
  <c r="N2673" i="3"/>
  <c r="J2673" i="3"/>
  <c r="G2673" i="3"/>
  <c r="M762" i="3"/>
  <c r="N2676" i="3"/>
  <c r="H2676" i="3"/>
  <c r="D2676" i="3"/>
  <c r="K2676" i="3"/>
  <c r="J2676" i="3"/>
  <c r="O2676" i="3"/>
  <c r="F2676" i="3"/>
  <c r="M2676" i="3"/>
  <c r="E2676" i="3"/>
  <c r="I2676" i="3"/>
  <c r="L2676" i="3"/>
  <c r="G2676" i="3"/>
  <c r="G2677" i="3"/>
  <c r="J2677" i="3"/>
  <c r="H2677" i="3"/>
  <c r="K2677" i="3"/>
  <c r="D2677" i="3"/>
  <c r="E2677" i="3"/>
  <c r="N2677" i="3"/>
  <c r="M2677" i="3"/>
  <c r="I2677" i="3"/>
  <c r="F2677" i="3"/>
  <c r="L2677" i="3"/>
  <c r="O2677" i="3"/>
  <c r="D2682" i="3"/>
  <c r="E2682" i="3"/>
  <c r="G2682" i="3"/>
  <c r="M2682" i="3"/>
  <c r="O2682" i="3"/>
  <c r="N2682" i="3"/>
  <c r="I2682" i="3"/>
  <c r="H2682" i="3"/>
  <c r="K2682" i="3"/>
  <c r="J2682" i="3"/>
  <c r="F2682" i="3"/>
  <c r="L2682" i="3"/>
  <c r="D755" i="3"/>
  <c r="E2675" i="3"/>
  <c r="O2675" i="3"/>
  <c r="D2675" i="3"/>
  <c r="J2675" i="3"/>
  <c r="L2675" i="3"/>
  <c r="M2675" i="3"/>
  <c r="K2675" i="3"/>
  <c r="G2675" i="3"/>
  <c r="N2675" i="3"/>
  <c r="H2675" i="3"/>
  <c r="F2675" i="3"/>
  <c r="I2675" i="3"/>
  <c r="N2681" i="3"/>
  <c r="H2681" i="3"/>
  <c r="M2681" i="3"/>
  <c r="O2681" i="3"/>
  <c r="G2681" i="3"/>
  <c r="D2681" i="3"/>
  <c r="J2681" i="3"/>
  <c r="I2681" i="3"/>
  <c r="L2681" i="3"/>
  <c r="F2681" i="3"/>
  <c r="K2681" i="3"/>
  <c r="E2681" i="3"/>
  <c r="G2672" i="3"/>
  <c r="J2672" i="3"/>
  <c r="E2672" i="3"/>
  <c r="F2672" i="3"/>
  <c r="O2672" i="3"/>
  <c r="H2672" i="3"/>
  <c r="K2672" i="3"/>
  <c r="I2672" i="3"/>
  <c r="D2672" i="3"/>
  <c r="N2672" i="3"/>
  <c r="L2672" i="3"/>
  <c r="M2672" i="3"/>
  <c r="B1704" i="3"/>
  <c r="C133" i="3"/>
  <c r="E133" i="3" s="1"/>
  <c r="G1174" i="3"/>
  <c r="N1174" i="3"/>
  <c r="I764" i="3"/>
  <c r="J764" i="3"/>
  <c r="O764" i="3"/>
  <c r="G760" i="3"/>
  <c r="H763" i="3"/>
  <c r="O762" i="3"/>
  <c r="P1494" i="3" a="1"/>
  <c r="P1494" i="3" s="1"/>
  <c r="K1174" i="3"/>
  <c r="O1174" i="3"/>
  <c r="O1177" i="3"/>
  <c r="E764" i="3"/>
  <c r="F764" i="3"/>
  <c r="D764" i="3"/>
  <c r="L761" i="3"/>
  <c r="J760" i="3"/>
  <c r="M763" i="3"/>
  <c r="K762" i="3"/>
  <c r="C1433" i="3"/>
  <c r="L1433" i="3" s="1"/>
  <c r="G764" i="3"/>
  <c r="M764" i="3"/>
  <c r="E761" i="3"/>
  <c r="J761" i="3"/>
  <c r="N760" i="3"/>
  <c r="F763" i="3"/>
  <c r="I2002" i="3"/>
  <c r="F2002" i="3"/>
  <c r="M2002" i="3"/>
  <c r="J2002" i="3"/>
  <c r="E2002" i="3"/>
  <c r="O2002" i="3"/>
  <c r="K2002" i="3"/>
  <c r="L2002" i="3"/>
  <c r="D2002" i="3"/>
  <c r="N2002" i="3"/>
  <c r="G2002" i="3"/>
  <c r="H2002" i="3"/>
  <c r="L2003" i="3"/>
  <c r="J2003" i="3"/>
  <c r="D2003" i="3"/>
  <c r="E2003" i="3"/>
  <c r="K2003" i="3"/>
  <c r="H2003" i="3"/>
  <c r="F2003" i="3"/>
  <c r="N2003" i="3"/>
  <c r="M2003" i="3"/>
  <c r="I2003" i="3"/>
  <c r="O2003" i="3"/>
  <c r="G2003" i="3"/>
  <c r="K1033" i="3"/>
  <c r="N1033" i="3"/>
  <c r="O1033" i="3"/>
  <c r="H1033" i="3"/>
  <c r="L1033" i="3"/>
  <c r="E1033" i="3"/>
  <c r="M1033" i="3"/>
  <c r="F1033" i="3"/>
  <c r="G1033" i="3"/>
  <c r="D1033" i="3"/>
  <c r="I1033" i="3"/>
  <c r="J1033" i="3"/>
  <c r="C1111" i="3"/>
  <c r="H1111" i="3" s="1"/>
  <c r="B184" i="3"/>
  <c r="B185" i="3" s="1"/>
  <c r="B186" i="3" s="1"/>
  <c r="D1109" i="3"/>
  <c r="C1112" i="3"/>
  <c r="L1112" i="3" s="1"/>
  <c r="M760" i="3"/>
  <c r="I760" i="3"/>
  <c r="K760" i="3"/>
  <c r="N763" i="3"/>
  <c r="K763" i="3"/>
  <c r="I763" i="3"/>
  <c r="N762" i="3"/>
  <c r="I762" i="3"/>
  <c r="E762" i="3"/>
  <c r="H1429" i="3"/>
  <c r="L1429" i="3"/>
  <c r="K1429" i="3"/>
  <c r="O1429" i="3"/>
  <c r="D1429" i="3"/>
  <c r="J1429" i="3"/>
  <c r="N1429" i="3"/>
  <c r="F1429" i="3"/>
  <c r="E1429" i="3"/>
  <c r="I1429" i="3"/>
  <c r="G1429" i="3"/>
  <c r="M1429" i="3"/>
  <c r="C1040" i="3"/>
  <c r="C1039" i="3"/>
  <c r="C1032" i="3"/>
  <c r="C1041" i="3"/>
  <c r="C1037" i="3"/>
  <c r="C1036" i="3"/>
  <c r="C1034" i="3"/>
  <c r="C1042" i="3"/>
  <c r="C1038" i="3"/>
  <c r="P548" i="3" a="1"/>
  <c r="C2279" i="3"/>
  <c r="M1177" i="3"/>
  <c r="C1102" i="3"/>
  <c r="O1102" i="3" s="1"/>
  <c r="C1105" i="3"/>
  <c r="L1105" i="3" s="1"/>
  <c r="N761" i="3"/>
  <c r="D761" i="3"/>
  <c r="M761" i="3"/>
  <c r="H760" i="3"/>
  <c r="L760" i="3"/>
  <c r="E760" i="3"/>
  <c r="E763" i="3"/>
  <c r="D763" i="3"/>
  <c r="L763" i="3"/>
  <c r="F762" i="3"/>
  <c r="J762" i="3"/>
  <c r="L762" i="3"/>
  <c r="C1432" i="3"/>
  <c r="C1425" i="3"/>
  <c r="C1035" i="3"/>
  <c r="C2289" i="3"/>
  <c r="I1177" i="3"/>
  <c r="O1109" i="3"/>
  <c r="O761" i="3"/>
  <c r="I761" i="3"/>
  <c r="F760" i="3"/>
  <c r="O760" i="3"/>
  <c r="J763" i="3"/>
  <c r="O763" i="3"/>
  <c r="D762" i="3"/>
  <c r="H762" i="3"/>
  <c r="C1426" i="3"/>
  <c r="C1428" i="3"/>
  <c r="C1435" i="3"/>
  <c r="E2284" i="3"/>
  <c r="J2284" i="3"/>
  <c r="N2284" i="3"/>
  <c r="G2284" i="3"/>
  <c r="F2284" i="3"/>
  <c r="I2284" i="3"/>
  <c r="O2284" i="3"/>
  <c r="K2284" i="3"/>
  <c r="H2284" i="3"/>
  <c r="D2284" i="3"/>
  <c r="M2284" i="3"/>
  <c r="L2284" i="3"/>
  <c r="C141" i="3"/>
  <c r="O141" i="3" s="1"/>
  <c r="C142" i="3"/>
  <c r="L142" i="3" s="1"/>
  <c r="C135" i="3"/>
  <c r="M135" i="3" s="1"/>
  <c r="C134" i="3"/>
  <c r="M134" i="3" s="1"/>
  <c r="B1769" i="3"/>
  <c r="C1756" i="3" s="1"/>
  <c r="C136" i="3"/>
  <c r="O136" i="3" s="1"/>
  <c r="C137" i="3"/>
  <c r="F137" i="3" s="1"/>
  <c r="E755" i="3"/>
  <c r="K755" i="3"/>
  <c r="M755" i="3"/>
  <c r="F1174" i="3"/>
  <c r="E1174" i="3"/>
  <c r="P529" i="3"/>
  <c r="P531" i="3"/>
  <c r="P534" i="3"/>
  <c r="H755" i="3"/>
  <c r="G755" i="3"/>
  <c r="J755" i="3"/>
  <c r="G756" i="3"/>
  <c r="K756" i="3"/>
  <c r="E756" i="3"/>
  <c r="D765" i="3"/>
  <c r="H765" i="3"/>
  <c r="L765" i="3"/>
  <c r="D1174" i="3"/>
  <c r="H1174" i="3"/>
  <c r="P526" i="3"/>
  <c r="F755" i="3"/>
  <c r="L755" i="3"/>
  <c r="F756" i="3"/>
  <c r="J756" i="3"/>
  <c r="O765" i="3"/>
  <c r="G765" i="3"/>
  <c r="C140" i="3"/>
  <c r="C138" i="3"/>
  <c r="C139" i="3"/>
  <c r="M1171" i="3"/>
  <c r="F1177" i="3"/>
  <c r="G1177" i="3"/>
  <c r="K1177" i="3"/>
  <c r="L1177" i="3"/>
  <c r="D1177" i="3"/>
  <c r="D1171" i="3"/>
  <c r="M1174" i="3"/>
  <c r="I1174" i="3"/>
  <c r="L1174" i="3"/>
  <c r="C505" i="3"/>
  <c r="G505" i="3" s="1"/>
  <c r="B61" i="3"/>
  <c r="C49" i="3" s="1"/>
  <c r="F49" i="3" s="1"/>
  <c r="C1403" i="3"/>
  <c r="C1412" i="3"/>
  <c r="C1402" i="3"/>
  <c r="C1408" i="3"/>
  <c r="C1405" i="3"/>
  <c r="C1407" i="3"/>
  <c r="C1410" i="3"/>
  <c r="C1411" i="3"/>
  <c r="C1103" i="3"/>
  <c r="O1103" i="3" s="1"/>
  <c r="E1109" i="3"/>
  <c r="J1109" i="3"/>
  <c r="L1109" i="3"/>
  <c r="C1104" i="3"/>
  <c r="D1104" i="3" s="1"/>
  <c r="C1107" i="3"/>
  <c r="K1107" i="3" s="1"/>
  <c r="C1110" i="3"/>
  <c r="E1110" i="3" s="1"/>
  <c r="C1108" i="3"/>
  <c r="I1108" i="3" s="1"/>
  <c r="K2167" i="3"/>
  <c r="M2167" i="3"/>
  <c r="H2167" i="3"/>
  <c r="C1404" i="3"/>
  <c r="C1106" i="3"/>
  <c r="J1106" i="3" s="1"/>
  <c r="M1109" i="3"/>
  <c r="N1109" i="3"/>
  <c r="G1109" i="3"/>
  <c r="I2167" i="3"/>
  <c r="G2167" i="3"/>
  <c r="E2167" i="3"/>
  <c r="C1406" i="3"/>
  <c r="F1109" i="3"/>
  <c r="I1109" i="3"/>
  <c r="D2167" i="3"/>
  <c r="L2167" i="3"/>
  <c r="B2206" i="3"/>
  <c r="B2207" i="3" s="1"/>
  <c r="B2208" i="3" s="1"/>
  <c r="C1409" i="3"/>
  <c r="D1181" i="3"/>
  <c r="N1177" i="3"/>
  <c r="J1177" i="3"/>
  <c r="E1177" i="3"/>
  <c r="E1181" i="3"/>
  <c r="H1175" i="3"/>
  <c r="F1171" i="3"/>
  <c r="J1181" i="3"/>
  <c r="L1181" i="3"/>
  <c r="L1175" i="3"/>
  <c r="C2151" i="3"/>
  <c r="I2151" i="3" s="1"/>
  <c r="I1181" i="3"/>
  <c r="C2148" i="3"/>
  <c r="M2148" i="3" s="1"/>
  <c r="N1181" i="3"/>
  <c r="K1175" i="3"/>
  <c r="C2150" i="3"/>
  <c r="H2150" i="3" s="1"/>
  <c r="D2166" i="3"/>
  <c r="F2166" i="3"/>
  <c r="C2146" i="3"/>
  <c r="H2146" i="3" s="1"/>
  <c r="C2145" i="3"/>
  <c r="O2145" i="3" s="1"/>
  <c r="C2143" i="3"/>
  <c r="O2143" i="3" s="1"/>
  <c r="C2144" i="3"/>
  <c r="M2144" i="3" s="1"/>
  <c r="P1819" i="3"/>
  <c r="B1999" i="3"/>
  <c r="B2000" i="3" s="1"/>
  <c r="C1989" i="3" s="1"/>
  <c r="C1660" i="3"/>
  <c r="C1658" i="3"/>
  <c r="G1658" i="3" s="1"/>
  <c r="C1659" i="3"/>
  <c r="I1659" i="3" s="1"/>
  <c r="C1665" i="3"/>
  <c r="F1665" i="3" s="1"/>
  <c r="C1656" i="3"/>
  <c r="D1656" i="3" s="1"/>
  <c r="C1664" i="3"/>
  <c r="M1664" i="3" s="1"/>
  <c r="C1662" i="3"/>
  <c r="N1662" i="3" s="1"/>
  <c r="C1661" i="3"/>
  <c r="E1661" i="3" s="1"/>
  <c r="C1663" i="3"/>
  <c r="K1663" i="3" s="1"/>
  <c r="C1657" i="3"/>
  <c r="L1657" i="3" s="1"/>
  <c r="C1666" i="3"/>
  <c r="D1666" i="3" s="1"/>
  <c r="C2141" i="3"/>
  <c r="C2147" i="3"/>
  <c r="C2149" i="3"/>
  <c r="C2142" i="3"/>
  <c r="C853" i="3"/>
  <c r="E853" i="3" s="1"/>
  <c r="C72" i="3"/>
  <c r="E72" i="3" s="1"/>
  <c r="C64" i="3"/>
  <c r="N64" i="3" s="1"/>
  <c r="C65" i="3"/>
  <c r="F65" i="3" s="1"/>
  <c r="C71" i="3"/>
  <c r="F71" i="3" s="1"/>
  <c r="C67" i="3"/>
  <c r="F67" i="3" s="1"/>
  <c r="E2166" i="3"/>
  <c r="K2166" i="3"/>
  <c r="L2166" i="3"/>
  <c r="G2166" i="3"/>
  <c r="M2166" i="3"/>
  <c r="I2166" i="3"/>
  <c r="H2166" i="3"/>
  <c r="O2166" i="3"/>
  <c r="D2174" i="3"/>
  <c r="O2174" i="3"/>
  <c r="L2174" i="3"/>
  <c r="M2174" i="3"/>
  <c r="K2174" i="3"/>
  <c r="E2174" i="3"/>
  <c r="N2174" i="3"/>
  <c r="J2174" i="3"/>
  <c r="G2174" i="3"/>
  <c r="H2174" i="3"/>
  <c r="I2174" i="3"/>
  <c r="F2174" i="3"/>
  <c r="C850" i="3"/>
  <c r="L850" i="3" s="1"/>
  <c r="C66" i="3"/>
  <c r="E66" i="3" s="1"/>
  <c r="C73" i="3"/>
  <c r="K73" i="3" s="1"/>
  <c r="C68" i="3"/>
  <c r="D68" i="3" s="1"/>
  <c r="D2164" i="3"/>
  <c r="O2164" i="3"/>
  <c r="J2164" i="3"/>
  <c r="G2164" i="3"/>
  <c r="F2164" i="3"/>
  <c r="M2164" i="3"/>
  <c r="E2164" i="3"/>
  <c r="L2164" i="3"/>
  <c r="K2164" i="3"/>
  <c r="N2164" i="3"/>
  <c r="H2164" i="3"/>
  <c r="I2164" i="3"/>
  <c r="C854" i="3"/>
  <c r="K854" i="3" s="1"/>
  <c r="C69" i="3"/>
  <c r="E69" i="3" s="1"/>
  <c r="C70" i="3"/>
  <c r="H70" i="3" s="1"/>
  <c r="L2173" i="3"/>
  <c r="F2173" i="3"/>
  <c r="J2173" i="3"/>
  <c r="D2173" i="3"/>
  <c r="N2173" i="3"/>
  <c r="I2173" i="3"/>
  <c r="K2173" i="3"/>
  <c r="H2173" i="3"/>
  <c r="O2173" i="3"/>
  <c r="E2173" i="3"/>
  <c r="G2173" i="3"/>
  <c r="M2173" i="3"/>
  <c r="D2171" i="3"/>
  <c r="N2171" i="3"/>
  <c r="E2171" i="3"/>
  <c r="M2171" i="3"/>
  <c r="K2171" i="3"/>
  <c r="H2171" i="3"/>
  <c r="F2171" i="3"/>
  <c r="J2171" i="3"/>
  <c r="G2171" i="3"/>
  <c r="L2171" i="3"/>
  <c r="O2171" i="3"/>
  <c r="I2171" i="3"/>
  <c r="P1822" i="3"/>
  <c r="BV709" i="3"/>
  <c r="C510" i="3"/>
  <c r="O510" i="3" s="1"/>
  <c r="I2165" i="3"/>
  <c r="G2165" i="3"/>
  <c r="L2165" i="3"/>
  <c r="F2165" i="3"/>
  <c r="D2165" i="3"/>
  <c r="M2165" i="3"/>
  <c r="N2165" i="3"/>
  <c r="O2165" i="3"/>
  <c r="J2165" i="3"/>
  <c r="H2165" i="3"/>
  <c r="K2165" i="3"/>
  <c r="E2165" i="3"/>
  <c r="H2172" i="3"/>
  <c r="E2172" i="3"/>
  <c r="G2172" i="3"/>
  <c r="M2172" i="3"/>
  <c r="L2172" i="3"/>
  <c r="K2172" i="3"/>
  <c r="D2172" i="3"/>
  <c r="J2172" i="3"/>
  <c r="F2172" i="3"/>
  <c r="N2172" i="3"/>
  <c r="I2172" i="3"/>
  <c r="O2172" i="3"/>
  <c r="H2169" i="3"/>
  <c r="L2169" i="3"/>
  <c r="M2169" i="3"/>
  <c r="J2169" i="3"/>
  <c r="K2169" i="3"/>
  <c r="G2169" i="3"/>
  <c r="O2169" i="3"/>
  <c r="N2169" i="3"/>
  <c r="I2169" i="3"/>
  <c r="F2169" i="3"/>
  <c r="E2169" i="3"/>
  <c r="D2169" i="3"/>
  <c r="G2168" i="3"/>
  <c r="J2168" i="3"/>
  <c r="N2168" i="3"/>
  <c r="F2168" i="3"/>
  <c r="E2168" i="3"/>
  <c r="K2168" i="3"/>
  <c r="O2168" i="3"/>
  <c r="D2168" i="3"/>
  <c r="I2168" i="3"/>
  <c r="H2168" i="3"/>
  <c r="M2168" i="3"/>
  <c r="L2168" i="3"/>
  <c r="M858" i="3"/>
  <c r="K858" i="3"/>
  <c r="F858" i="3"/>
  <c r="N858" i="3"/>
  <c r="H858" i="3"/>
  <c r="J858" i="3"/>
  <c r="E858" i="3"/>
  <c r="L858" i="3"/>
  <c r="O858" i="3"/>
  <c r="G858" i="3"/>
  <c r="D858" i="3"/>
  <c r="I858" i="3"/>
  <c r="C849" i="3"/>
  <c r="P2118" i="3" a="1"/>
  <c r="C855" i="3"/>
  <c r="C848" i="3"/>
  <c r="C851" i="3"/>
  <c r="C857" i="3"/>
  <c r="C503" i="3"/>
  <c r="O503" i="3" s="1"/>
  <c r="C852" i="3"/>
  <c r="C856" i="3"/>
  <c r="N63" i="3"/>
  <c r="I63" i="3"/>
  <c r="D63" i="3"/>
  <c r="H63" i="3"/>
  <c r="G63" i="3"/>
  <c r="E63" i="3"/>
  <c r="M63" i="3"/>
  <c r="L63" i="3"/>
  <c r="F63" i="3"/>
  <c r="O63" i="3"/>
  <c r="J63" i="3"/>
  <c r="K63" i="3"/>
  <c r="C502" i="3"/>
  <c r="K502" i="3" s="1"/>
  <c r="C509" i="3"/>
  <c r="M509" i="3" s="1"/>
  <c r="C504" i="3"/>
  <c r="I504" i="3" s="1"/>
  <c r="C506" i="3"/>
  <c r="E506" i="3" s="1"/>
  <c r="D1173" i="3"/>
  <c r="Q2811" i="3"/>
  <c r="W2811" i="3" s="1"/>
  <c r="E1173" i="3"/>
  <c r="P666" i="3"/>
  <c r="B661" i="3"/>
  <c r="C650" i="3" s="1"/>
  <c r="B611" i="3"/>
  <c r="B612" i="3" s="1"/>
  <c r="C501" i="3"/>
  <c r="F501" i="3" s="1"/>
  <c r="Q205" i="3"/>
  <c r="AS202" i="3" s="1"/>
  <c r="Q208" i="3"/>
  <c r="BK202" i="3" s="1"/>
  <c r="BN201" i="3" s="1"/>
  <c r="BO201" i="3" s="1"/>
  <c r="Q203" i="3"/>
  <c r="AG202" i="3" s="1"/>
  <c r="Q201" i="3"/>
  <c r="Q202" i="3"/>
  <c r="Q210" i="3"/>
  <c r="BW202" i="3" s="1"/>
  <c r="BZ201" i="3" s="1"/>
  <c r="Q206" i="3"/>
  <c r="AY202" i="3" s="1"/>
  <c r="Q204" i="3"/>
  <c r="AM202" i="3" s="1"/>
  <c r="Q207" i="3"/>
  <c r="BE202" i="3" s="1"/>
  <c r="BH201" i="3" s="1"/>
  <c r="Q211" i="3"/>
  <c r="CC202" i="3" s="1"/>
  <c r="CF201" i="3" s="1"/>
  <c r="Q209" i="3"/>
  <c r="BQ202" i="3" s="1"/>
  <c r="BT201" i="3" s="1"/>
  <c r="B1907" i="3"/>
  <c r="C511" i="3"/>
  <c r="G511" i="3" s="1"/>
  <c r="B291" i="3"/>
  <c r="C272" i="3" s="1"/>
  <c r="P1065" i="3"/>
  <c r="P1060" i="3"/>
  <c r="P1057" i="3"/>
  <c r="P1059" i="3"/>
  <c r="P1058" i="3"/>
  <c r="P1056" i="3"/>
  <c r="P1066" i="3"/>
  <c r="P1061" i="3"/>
  <c r="P1064" i="3"/>
  <c r="P1063" i="3"/>
  <c r="P1062" i="3"/>
  <c r="I1172" i="3"/>
  <c r="L1171" i="3"/>
  <c r="P1826" i="3"/>
  <c r="O1181" i="3"/>
  <c r="K1181" i="3"/>
  <c r="F1181" i="3"/>
  <c r="N1171" i="3"/>
  <c r="M1181" i="3"/>
  <c r="H1181" i="3"/>
  <c r="M1173" i="3"/>
  <c r="H1171" i="3"/>
  <c r="O1171" i="3"/>
  <c r="K1171" i="3"/>
  <c r="C234" i="3"/>
  <c r="D234" i="3" s="1"/>
  <c r="C227" i="3"/>
  <c r="H227" i="3" s="1"/>
  <c r="C224" i="3"/>
  <c r="D224" i="3" s="1"/>
  <c r="C508" i="3"/>
  <c r="C228" i="3"/>
  <c r="I228" i="3" s="1"/>
  <c r="C226" i="3"/>
  <c r="I226" i="3" s="1"/>
  <c r="C225" i="3"/>
  <c r="N225" i="3" s="1"/>
  <c r="C507" i="3"/>
  <c r="H1173" i="3"/>
  <c r="F1173" i="3"/>
  <c r="K1173" i="3"/>
  <c r="E1175" i="3"/>
  <c r="I1175" i="3"/>
  <c r="G1175" i="3"/>
  <c r="C233" i="3"/>
  <c r="D233" i="3" s="1"/>
  <c r="C232" i="3"/>
  <c r="J232" i="3" s="1"/>
  <c r="C231" i="3"/>
  <c r="D231" i="3" s="1"/>
  <c r="P1821" i="3"/>
  <c r="P1823" i="3"/>
  <c r="I1173" i="3"/>
  <c r="N1173" i="3"/>
  <c r="O1173" i="3"/>
  <c r="J1175" i="3"/>
  <c r="F1175" i="3"/>
  <c r="M1175" i="3"/>
  <c r="C229" i="3"/>
  <c r="I229" i="3" s="1"/>
  <c r="P1818" i="3"/>
  <c r="P1828" i="3"/>
  <c r="P1820" i="3"/>
  <c r="P1827" i="3"/>
  <c r="P1824" i="3"/>
  <c r="W710" i="3"/>
  <c r="J1173" i="3"/>
  <c r="L1173" i="3"/>
  <c r="D1175" i="3"/>
  <c r="O1175" i="3"/>
  <c r="K1172" i="3"/>
  <c r="P1540" i="3" a="1"/>
  <c r="P1545" i="3" s="1"/>
  <c r="B101" i="3"/>
  <c r="G1171" i="3"/>
  <c r="E1171" i="3"/>
  <c r="I1171" i="3"/>
  <c r="C230" i="3"/>
  <c r="B891" i="3"/>
  <c r="P617" i="3" a="1"/>
  <c r="P668" i="3"/>
  <c r="P663" i="3"/>
  <c r="P670" i="3"/>
  <c r="P667" i="3"/>
  <c r="P671" i="3"/>
  <c r="BS710" i="3"/>
  <c r="G1178" i="3"/>
  <c r="N1178" i="3"/>
  <c r="N1172" i="3"/>
  <c r="E1172" i="3"/>
  <c r="M1172" i="3"/>
  <c r="H1172" i="3"/>
  <c r="G1172" i="3"/>
  <c r="L1172" i="3"/>
  <c r="O1172" i="3"/>
  <c r="O1180" i="3"/>
  <c r="E1180" i="3"/>
  <c r="N1180" i="3"/>
  <c r="I1180" i="3"/>
  <c r="L1180" i="3"/>
  <c r="D1180" i="3"/>
  <c r="H1180" i="3"/>
  <c r="J1180" i="3"/>
  <c r="G1180" i="3"/>
  <c r="F1180" i="3"/>
  <c r="K1180" i="3"/>
  <c r="M1180" i="3"/>
  <c r="X709" i="3"/>
  <c r="Y709" i="3" s="1"/>
  <c r="F1178" i="3"/>
  <c r="E1178" i="3"/>
  <c r="J1172" i="3"/>
  <c r="P672" i="3"/>
  <c r="P673" i="3"/>
  <c r="J1176" i="3"/>
  <c r="F1176" i="3"/>
  <c r="G1176" i="3"/>
  <c r="E1176" i="3"/>
  <c r="M1176" i="3"/>
  <c r="I1176" i="3"/>
  <c r="D1176" i="3"/>
  <c r="K1176" i="3"/>
  <c r="H1176" i="3"/>
  <c r="N1176" i="3"/>
  <c r="O1176" i="3"/>
  <c r="L1176" i="3"/>
  <c r="D1172" i="3"/>
  <c r="P664" i="3"/>
  <c r="P665" i="3"/>
  <c r="M1178" i="3"/>
  <c r="D1178" i="3"/>
  <c r="I1178" i="3"/>
  <c r="L1178" i="3"/>
  <c r="J1178" i="3"/>
  <c r="O1178" i="3"/>
  <c r="K1178" i="3"/>
  <c r="CE364" i="3"/>
  <c r="AU710" i="3"/>
  <c r="CH363" i="3"/>
  <c r="W364" i="3"/>
  <c r="X363" i="3" s="1"/>
  <c r="AU364" i="3"/>
  <c r="P409" i="3" a="1"/>
  <c r="J2632" i="3"/>
  <c r="E2632" i="3"/>
  <c r="G2632" i="3"/>
  <c r="P779" i="3"/>
  <c r="P827" i="3"/>
  <c r="D2632" i="3"/>
  <c r="I2632" i="3"/>
  <c r="BA364" i="3"/>
  <c r="BB363" i="3" s="1"/>
  <c r="BD363" i="3" s="1"/>
  <c r="N2629" i="3"/>
  <c r="F2632" i="3"/>
  <c r="H2636" i="3"/>
  <c r="CA363" i="3"/>
  <c r="AA364" i="3"/>
  <c r="AD363" i="3" s="1"/>
  <c r="AE363" i="3" s="1"/>
  <c r="BU363" i="3"/>
  <c r="BM364" i="3"/>
  <c r="P783" i="3"/>
  <c r="C734" i="3"/>
  <c r="D734" i="3" s="1"/>
  <c r="P782" i="3"/>
  <c r="H2632" i="3"/>
  <c r="N2632" i="3"/>
  <c r="O2632" i="3"/>
  <c r="P784" i="3"/>
  <c r="P778" i="3"/>
  <c r="M2632" i="3"/>
  <c r="K2632" i="3"/>
  <c r="C740" i="3"/>
  <c r="N740" i="3" s="1"/>
  <c r="C736" i="3"/>
  <c r="H736" i="3" s="1"/>
  <c r="J735" i="3"/>
  <c r="F735" i="3"/>
  <c r="N735" i="3"/>
  <c r="K735" i="3"/>
  <c r="I735" i="3"/>
  <c r="E735" i="3"/>
  <c r="D735" i="3"/>
  <c r="G735" i="3"/>
  <c r="H735" i="3"/>
  <c r="O735" i="3"/>
  <c r="M735" i="3"/>
  <c r="L735" i="3"/>
  <c r="C738" i="3"/>
  <c r="C733" i="3"/>
  <c r="C732" i="3"/>
  <c r="C742" i="3"/>
  <c r="C739" i="3"/>
  <c r="C737" i="3"/>
  <c r="C741" i="3"/>
  <c r="P780" i="3"/>
  <c r="P785" i="3"/>
  <c r="P788" i="3"/>
  <c r="P828" i="3"/>
  <c r="H2629" i="3"/>
  <c r="P787" i="3"/>
  <c r="P786" i="3"/>
  <c r="P826" i="3"/>
  <c r="E2629" i="3"/>
  <c r="P830" i="3"/>
  <c r="P832" i="3"/>
  <c r="P829" i="3"/>
  <c r="M2629" i="3"/>
  <c r="I2629" i="3"/>
  <c r="J2629" i="3"/>
  <c r="P825" i="3"/>
  <c r="P835" i="3"/>
  <c r="F2629" i="3"/>
  <c r="D2629" i="3"/>
  <c r="L2629" i="3"/>
  <c r="P833" i="3"/>
  <c r="P831" i="3"/>
  <c r="O2629" i="3"/>
  <c r="K2629" i="3"/>
  <c r="Q486" i="3"/>
  <c r="BQ479" i="3" s="1"/>
  <c r="BT478" i="3" s="1"/>
  <c r="Q481" i="3"/>
  <c r="AM479" i="3" s="1"/>
  <c r="Q488" i="3"/>
  <c r="CC479" i="3" s="1"/>
  <c r="CF478" i="3" s="1"/>
  <c r="Q483" i="3"/>
  <c r="AY479" i="3" s="1"/>
  <c r="Q478" i="3"/>
  <c r="Q485" i="3"/>
  <c r="BK479" i="3" s="1"/>
  <c r="Q484" i="3"/>
  <c r="BE479" i="3" s="1"/>
  <c r="BH478" i="3" s="1"/>
  <c r="Q480" i="3"/>
  <c r="AG479" i="3" s="1"/>
  <c r="Q487" i="3"/>
  <c r="BW479" i="3" s="1"/>
  <c r="BZ478" i="3" s="1"/>
  <c r="Q479" i="3"/>
  <c r="Q482" i="3"/>
  <c r="AS479" i="3" s="1"/>
  <c r="C2750" i="3"/>
  <c r="N2750" i="3" s="1"/>
  <c r="AE709" i="3"/>
  <c r="AF709" i="3"/>
  <c r="C2747" i="3"/>
  <c r="N2747" i="3" s="1"/>
  <c r="G2636" i="3"/>
  <c r="E2636" i="3"/>
  <c r="N2636" i="3"/>
  <c r="K2636" i="3"/>
  <c r="D2636" i="3"/>
  <c r="J2636" i="3"/>
  <c r="O2636" i="3"/>
  <c r="M2636" i="3"/>
  <c r="M2427" i="3"/>
  <c r="I2636" i="3"/>
  <c r="L2636" i="3"/>
  <c r="K2635" i="3"/>
  <c r="J2635" i="3"/>
  <c r="G2635" i="3"/>
  <c r="D2635" i="3"/>
  <c r="E2635" i="3"/>
  <c r="F2635" i="3"/>
  <c r="M2635" i="3"/>
  <c r="L2635" i="3"/>
  <c r="H2635" i="3"/>
  <c r="O2635" i="3"/>
  <c r="I2635" i="3"/>
  <c r="N2635" i="3"/>
  <c r="N2630" i="3"/>
  <c r="G2630" i="3"/>
  <c r="O2630" i="3"/>
  <c r="I2630" i="3"/>
  <c r="E2630" i="3"/>
  <c r="L2630" i="3"/>
  <c r="M2630" i="3"/>
  <c r="H2630" i="3"/>
  <c r="K2630" i="3"/>
  <c r="D2630" i="3"/>
  <c r="F2630" i="3"/>
  <c r="J2630" i="3"/>
  <c r="O2628" i="3"/>
  <c r="I2628" i="3"/>
  <c r="H2628" i="3"/>
  <c r="M2628" i="3"/>
  <c r="F2628" i="3"/>
  <c r="L2628" i="3"/>
  <c r="E2628" i="3"/>
  <c r="N2628" i="3"/>
  <c r="D2628" i="3"/>
  <c r="G2628" i="3"/>
  <c r="K2628" i="3"/>
  <c r="J2628" i="3"/>
  <c r="C2749" i="3"/>
  <c r="I2749" i="3" s="1"/>
  <c r="I2634" i="3"/>
  <c r="D2634" i="3"/>
  <c r="F2634" i="3"/>
  <c r="O2634" i="3"/>
  <c r="G2634" i="3"/>
  <c r="M2634" i="3"/>
  <c r="E2634" i="3"/>
  <c r="K2634" i="3"/>
  <c r="J2634" i="3"/>
  <c r="L2634" i="3"/>
  <c r="N2634" i="3"/>
  <c r="H2634" i="3"/>
  <c r="G2627" i="3"/>
  <c r="K2627" i="3"/>
  <c r="I2627" i="3"/>
  <c r="L2627" i="3"/>
  <c r="O2627" i="3"/>
  <c r="N2627" i="3"/>
  <c r="E2627" i="3"/>
  <c r="D2627" i="3"/>
  <c r="M2627" i="3"/>
  <c r="J2627" i="3"/>
  <c r="F2627" i="3"/>
  <c r="H2627" i="3"/>
  <c r="J2631" i="3"/>
  <c r="L2631" i="3"/>
  <c r="G2631" i="3"/>
  <c r="M2631" i="3"/>
  <c r="H2631" i="3"/>
  <c r="D2631" i="3"/>
  <c r="K2631" i="3"/>
  <c r="E2631" i="3"/>
  <c r="O2631" i="3"/>
  <c r="I2631" i="3"/>
  <c r="F2631" i="3"/>
  <c r="N2631" i="3"/>
  <c r="M2626" i="3"/>
  <c r="J2626" i="3"/>
  <c r="O2626" i="3"/>
  <c r="E2626" i="3"/>
  <c r="F2626" i="3"/>
  <c r="I2626" i="3"/>
  <c r="L2626" i="3"/>
  <c r="G2626" i="3"/>
  <c r="D2626" i="3"/>
  <c r="H2626" i="3"/>
  <c r="N2626" i="3"/>
  <c r="K2626" i="3"/>
  <c r="O2633" i="3"/>
  <c r="D2633" i="3"/>
  <c r="K2633" i="3"/>
  <c r="E2633" i="3"/>
  <c r="N2633" i="3"/>
  <c r="F2633" i="3"/>
  <c r="G2633" i="3"/>
  <c r="L2633" i="3"/>
  <c r="M2633" i="3"/>
  <c r="H2633" i="3"/>
  <c r="J2633" i="3"/>
  <c r="I2633" i="3"/>
  <c r="C2742" i="3"/>
  <c r="C2746" i="3"/>
  <c r="C2751" i="3"/>
  <c r="C2744" i="3"/>
  <c r="C2748" i="3"/>
  <c r="C2743" i="3"/>
  <c r="C2741" i="3"/>
  <c r="B406" i="3"/>
  <c r="B407" i="3" s="1"/>
  <c r="C395" i="3" s="1"/>
  <c r="K2745" i="3"/>
  <c r="J2745" i="3"/>
  <c r="L2745" i="3"/>
  <c r="N2745" i="3"/>
  <c r="O2745" i="3"/>
  <c r="D2745" i="3"/>
  <c r="I2745" i="3"/>
  <c r="H2745" i="3"/>
  <c r="F2745" i="3"/>
  <c r="G2745" i="3"/>
  <c r="M2745" i="3"/>
  <c r="E2745" i="3"/>
  <c r="F2427" i="3"/>
  <c r="N2427" i="3"/>
  <c r="H2427" i="3"/>
  <c r="I2427" i="3"/>
  <c r="E2427" i="3"/>
  <c r="B1959" i="3"/>
  <c r="L2427" i="3"/>
  <c r="O2427" i="3"/>
  <c r="K2427" i="3"/>
  <c r="G2427" i="3"/>
  <c r="J2427" i="3"/>
  <c r="N2425" i="3"/>
  <c r="G2425" i="3"/>
  <c r="J2425" i="3"/>
  <c r="I2425" i="3"/>
  <c r="D2425" i="3"/>
  <c r="E2425" i="3"/>
  <c r="O2425" i="3"/>
  <c r="L2425" i="3"/>
  <c r="K2425" i="3"/>
  <c r="M2425" i="3"/>
  <c r="H2425" i="3"/>
  <c r="F2425" i="3"/>
  <c r="M2423" i="3"/>
  <c r="N2423" i="3"/>
  <c r="O2423" i="3"/>
  <c r="J2423" i="3"/>
  <c r="K2423" i="3"/>
  <c r="E2423" i="3"/>
  <c r="I2423" i="3"/>
  <c r="G2423" i="3"/>
  <c r="F2423" i="3"/>
  <c r="D2423" i="3"/>
  <c r="L2423" i="3"/>
  <c r="H2423" i="3"/>
  <c r="J2421" i="3"/>
  <c r="H2421" i="3"/>
  <c r="O2421" i="3"/>
  <c r="N2421" i="3"/>
  <c r="D2421" i="3"/>
  <c r="I2421" i="3"/>
  <c r="M2421" i="3"/>
  <c r="F2421" i="3"/>
  <c r="E2421" i="3"/>
  <c r="L2421" i="3"/>
  <c r="K2421" i="3"/>
  <c r="G2421" i="3"/>
  <c r="H2426" i="3"/>
  <c r="G2426" i="3"/>
  <c r="K2426" i="3"/>
  <c r="J2426" i="3"/>
  <c r="D2426" i="3"/>
  <c r="I2426" i="3"/>
  <c r="E2426" i="3"/>
  <c r="N2426" i="3"/>
  <c r="L2426" i="3"/>
  <c r="F2426" i="3"/>
  <c r="M2426" i="3"/>
  <c r="O2426" i="3"/>
  <c r="N2424" i="3"/>
  <c r="J2424" i="3"/>
  <c r="O2424" i="3"/>
  <c r="D2424" i="3"/>
  <c r="L2424" i="3"/>
  <c r="M2424" i="3"/>
  <c r="G2424" i="3"/>
  <c r="H2424" i="3"/>
  <c r="I2424" i="3"/>
  <c r="F2424" i="3"/>
  <c r="E2424" i="3"/>
  <c r="K2424" i="3"/>
  <c r="G2428" i="3"/>
  <c r="O2428" i="3"/>
  <c r="L2428" i="3"/>
  <c r="H2428" i="3"/>
  <c r="N2428" i="3"/>
  <c r="M2428" i="3"/>
  <c r="I2428" i="3"/>
  <c r="D2428" i="3"/>
  <c r="E2428" i="3"/>
  <c r="K2428" i="3"/>
  <c r="F2428" i="3"/>
  <c r="J2428" i="3"/>
  <c r="K2419" i="3"/>
  <c r="F2419" i="3"/>
  <c r="E2419" i="3"/>
  <c r="L2419" i="3"/>
  <c r="I2419" i="3"/>
  <c r="H2419" i="3"/>
  <c r="N2419" i="3"/>
  <c r="D2419" i="3"/>
  <c r="G2419" i="3"/>
  <c r="M2419" i="3"/>
  <c r="O2419" i="3"/>
  <c r="J2419" i="3"/>
  <c r="K2420" i="3"/>
  <c r="I2420" i="3"/>
  <c r="J2420" i="3"/>
  <c r="G2420" i="3"/>
  <c r="H2420" i="3"/>
  <c r="O2420" i="3"/>
  <c r="M2420" i="3"/>
  <c r="D2420" i="3"/>
  <c r="L2420" i="3"/>
  <c r="F2420" i="3"/>
  <c r="E2420" i="3"/>
  <c r="N2420" i="3"/>
  <c r="K2418" i="3"/>
  <c r="D2418" i="3"/>
  <c r="L2418" i="3"/>
  <c r="H2418" i="3"/>
  <c r="M2418" i="3"/>
  <c r="E2418" i="3"/>
  <c r="O2418" i="3"/>
  <c r="N2418" i="3"/>
  <c r="F2418" i="3"/>
  <c r="J2418" i="3"/>
  <c r="I2418" i="3"/>
  <c r="G2418" i="3"/>
  <c r="P2395" i="3" a="1"/>
  <c r="P1841" i="3" l="1" a="1"/>
  <c r="P1842" i="3" s="1"/>
  <c r="D2487" i="3"/>
  <c r="H2487" i="3"/>
  <c r="L2487" i="3"/>
  <c r="AV363" i="3"/>
  <c r="AW363" i="3" s="1"/>
  <c r="BO709" i="3"/>
  <c r="J2487" i="3"/>
  <c r="I2487" i="3"/>
  <c r="P2487" i="3" s="1" a="1"/>
  <c r="B688" i="3"/>
  <c r="B689" i="3" s="1"/>
  <c r="Q112" i="3"/>
  <c r="AM110" i="3" s="1"/>
  <c r="Q2814" i="3"/>
  <c r="AS2811" i="3" s="1"/>
  <c r="AV2810" i="3" s="1"/>
  <c r="AX2810" i="3" s="1"/>
  <c r="BS364" i="3"/>
  <c r="AI364" i="3"/>
  <c r="AJ363" i="3" s="1"/>
  <c r="AL363" i="3" s="1"/>
  <c r="BG364" i="3"/>
  <c r="BY364" i="3"/>
  <c r="AO364" i="3"/>
  <c r="AP363" i="3" s="1"/>
  <c r="AR363" i="3" s="1"/>
  <c r="Q2813" i="3"/>
  <c r="AM2811" i="3" s="1"/>
  <c r="AP2810" i="3" s="1"/>
  <c r="AQ2810" i="3" s="1"/>
  <c r="Q110" i="3"/>
  <c r="AA110" i="3" s="1"/>
  <c r="AD109" i="3" s="1"/>
  <c r="Q2817" i="3"/>
  <c r="BK2811" i="3" s="1"/>
  <c r="BN2810" i="3" s="1"/>
  <c r="BP2810" i="3" s="1"/>
  <c r="Q2812" i="3"/>
  <c r="AG2811" i="3" s="1"/>
  <c r="AJ2810" i="3" s="1"/>
  <c r="AK2810" i="3" s="1"/>
  <c r="Q2818" i="3"/>
  <c r="BQ2811" i="3" s="1"/>
  <c r="BT2810" i="3" s="1"/>
  <c r="BV2810" i="3" s="1"/>
  <c r="P1217" i="3" a="1"/>
  <c r="P1217" i="3" s="1"/>
  <c r="Q111" i="3"/>
  <c r="AG110" i="3" s="1"/>
  <c r="Q2819" i="3"/>
  <c r="BW2811" i="3" s="1"/>
  <c r="BZ2810" i="3" s="1"/>
  <c r="CB2810" i="3" s="1"/>
  <c r="BG710" i="3"/>
  <c r="CE710" i="3"/>
  <c r="Q109" i="3"/>
  <c r="U110" i="3" s="1"/>
  <c r="Q119" i="3"/>
  <c r="CC110" i="3" s="1"/>
  <c r="CF109" i="3" s="1"/>
  <c r="CG109" i="3" s="1"/>
  <c r="BN363" i="3"/>
  <c r="BO363" i="3" s="1"/>
  <c r="Q113" i="3"/>
  <c r="AS110" i="3" s="1"/>
  <c r="Q117" i="3"/>
  <c r="BQ110" i="3" s="1"/>
  <c r="BT109" i="3" s="1"/>
  <c r="BU109" i="3" s="1"/>
  <c r="Q114" i="3"/>
  <c r="AY110" i="3" s="1"/>
  <c r="R363" i="3"/>
  <c r="T363" i="3" s="1"/>
  <c r="BA710" i="3"/>
  <c r="Q2815" i="3"/>
  <c r="AY2811" i="3" s="1"/>
  <c r="BB2810" i="3" s="1"/>
  <c r="BC2810" i="3" s="1"/>
  <c r="Q2816" i="3"/>
  <c r="BE2811" i="3" s="1"/>
  <c r="BH2810" i="3" s="1"/>
  <c r="BI2810" i="3" s="1"/>
  <c r="Q118" i="3"/>
  <c r="BW110" i="3" s="1"/>
  <c r="AC364" i="3"/>
  <c r="Q2820" i="3"/>
  <c r="Q116" i="3"/>
  <c r="BK110" i="3" s="1"/>
  <c r="BN109" i="3" s="1"/>
  <c r="BP109" i="3" s="1"/>
  <c r="Q115" i="3"/>
  <c r="BE110" i="3" s="1"/>
  <c r="BH109" i="3" s="1"/>
  <c r="BI109" i="3" s="1"/>
  <c r="Q2810" i="3"/>
  <c r="U2811" i="3" s="1"/>
  <c r="X2810" i="3" s="1"/>
  <c r="B357" i="3"/>
  <c r="O1134" i="3"/>
  <c r="N1134" i="3"/>
  <c r="M1134" i="3"/>
  <c r="I1134" i="3"/>
  <c r="J1134" i="3"/>
  <c r="G1134" i="3"/>
  <c r="L1134" i="3"/>
  <c r="K1134" i="3"/>
  <c r="D1134" i="3"/>
  <c r="E1134" i="3"/>
  <c r="F1134" i="3"/>
  <c r="H1134" i="3"/>
  <c r="N1126" i="3"/>
  <c r="J1126" i="3"/>
  <c r="L1126" i="3"/>
  <c r="O1126" i="3"/>
  <c r="E1126" i="3"/>
  <c r="M1126" i="3"/>
  <c r="I1126" i="3"/>
  <c r="G1126" i="3"/>
  <c r="F1126" i="3"/>
  <c r="D1126" i="3"/>
  <c r="K1126" i="3"/>
  <c r="H1126" i="3"/>
  <c r="J1127" i="3"/>
  <c r="N1127" i="3"/>
  <c r="O1127" i="3"/>
  <c r="D1127" i="3"/>
  <c r="G1127" i="3"/>
  <c r="L1127" i="3"/>
  <c r="H1127" i="3"/>
  <c r="K1127" i="3"/>
  <c r="M1127" i="3"/>
  <c r="I1127" i="3"/>
  <c r="F1127" i="3"/>
  <c r="E1127" i="3"/>
  <c r="O1128" i="3"/>
  <c r="K1128" i="3"/>
  <c r="D1128" i="3"/>
  <c r="J1128" i="3"/>
  <c r="N1128" i="3"/>
  <c r="I1128" i="3"/>
  <c r="F1128" i="3"/>
  <c r="E1128" i="3"/>
  <c r="H1128" i="3"/>
  <c r="L1128" i="3"/>
  <c r="G1128" i="3"/>
  <c r="M1128" i="3"/>
  <c r="K1135" i="3"/>
  <c r="I1135" i="3"/>
  <c r="G1135" i="3"/>
  <c r="F1135" i="3"/>
  <c r="L1135" i="3"/>
  <c r="H1135" i="3"/>
  <c r="O1135" i="3"/>
  <c r="E1135" i="3"/>
  <c r="N1135" i="3"/>
  <c r="D1135" i="3"/>
  <c r="J1135" i="3"/>
  <c r="M1135" i="3"/>
  <c r="B690" i="3"/>
  <c r="B2550" i="3"/>
  <c r="Q1914" i="3"/>
  <c r="AS1911" i="3" s="1"/>
  <c r="AV1910" i="3" s="1"/>
  <c r="Q1913" i="3"/>
  <c r="AM1911" i="3" s="1"/>
  <c r="AP1910" i="3" s="1"/>
  <c r="Q1918" i="3"/>
  <c r="BQ1911" i="3" s="1"/>
  <c r="BT1910" i="3" s="1"/>
  <c r="Q1917" i="3"/>
  <c r="BK1911" i="3" s="1"/>
  <c r="Q1919" i="3"/>
  <c r="BW1911" i="3" s="1"/>
  <c r="BZ1910" i="3" s="1"/>
  <c r="Q1912" i="3"/>
  <c r="AG1911" i="3" s="1"/>
  <c r="AJ1910" i="3" s="1"/>
  <c r="Q1915" i="3"/>
  <c r="AY1911" i="3" s="1"/>
  <c r="BB1910" i="3" s="1"/>
  <c r="Q1911" i="3"/>
  <c r="Q1920" i="3"/>
  <c r="CC1911" i="3" s="1"/>
  <c r="CF1910" i="3" s="1"/>
  <c r="Q1916" i="3"/>
  <c r="BE1911" i="3" s="1"/>
  <c r="BH1910" i="3" s="1"/>
  <c r="Q1910" i="3"/>
  <c r="K1133" i="3"/>
  <c r="L1133" i="3"/>
  <c r="I1133" i="3"/>
  <c r="D1133" i="3"/>
  <c r="H1133" i="3"/>
  <c r="M1133" i="3"/>
  <c r="J1133" i="3"/>
  <c r="F1133" i="3"/>
  <c r="N1133" i="3"/>
  <c r="G1133" i="3"/>
  <c r="E1133" i="3"/>
  <c r="O1133" i="3"/>
  <c r="B2483" i="3"/>
  <c r="B2484" i="3" s="1"/>
  <c r="H1129" i="3"/>
  <c r="N1129" i="3"/>
  <c r="J1129" i="3"/>
  <c r="K1129" i="3"/>
  <c r="D1129" i="3"/>
  <c r="L1129" i="3"/>
  <c r="E1129" i="3"/>
  <c r="I1129" i="3"/>
  <c r="G1129" i="3"/>
  <c r="F1129" i="3"/>
  <c r="O1129" i="3"/>
  <c r="M1129" i="3"/>
  <c r="M1131" i="3"/>
  <c r="N1131" i="3"/>
  <c r="O1131" i="3"/>
  <c r="I1131" i="3"/>
  <c r="E1131" i="3"/>
  <c r="H1131" i="3"/>
  <c r="F1131" i="3"/>
  <c r="D1131" i="3"/>
  <c r="G1131" i="3"/>
  <c r="K1131" i="3"/>
  <c r="J1131" i="3"/>
  <c r="L1131" i="3"/>
  <c r="J1130" i="3"/>
  <c r="L1130" i="3"/>
  <c r="K1130" i="3"/>
  <c r="E1130" i="3"/>
  <c r="D1130" i="3"/>
  <c r="N1130" i="3"/>
  <c r="F1130" i="3"/>
  <c r="I1130" i="3"/>
  <c r="G1130" i="3"/>
  <c r="H1130" i="3"/>
  <c r="O1130" i="3"/>
  <c r="M1130" i="3"/>
  <c r="Q968" i="3"/>
  <c r="AY964" i="3" s="1"/>
  <c r="P1079" i="3" a="1"/>
  <c r="P1084" i="3" s="1"/>
  <c r="AC710" i="3"/>
  <c r="P2351" i="3"/>
  <c r="Q965" i="3"/>
  <c r="AG964" i="3" s="1"/>
  <c r="AI710" i="3"/>
  <c r="AJ709" i="3" s="1"/>
  <c r="AL709" i="3" s="1"/>
  <c r="B470" i="3"/>
  <c r="Q969" i="3"/>
  <c r="BE964" i="3" s="1"/>
  <c r="BH963" i="3" s="1"/>
  <c r="BJ963" i="3" s="1"/>
  <c r="Q2258" i="3"/>
  <c r="AG2257" i="3" s="1"/>
  <c r="AJ2256" i="3" s="1"/>
  <c r="AK2256" i="3" s="1"/>
  <c r="BM710" i="3"/>
  <c r="Q967" i="3"/>
  <c r="AS964" i="3" s="1"/>
  <c r="B1952" i="3"/>
  <c r="CH709" i="3"/>
  <c r="BY710" i="3"/>
  <c r="CB709" i="3"/>
  <c r="F2580" i="3"/>
  <c r="Q2257" i="3"/>
  <c r="AA2257" i="3" s="1"/>
  <c r="AD2256" i="3" s="1"/>
  <c r="B2663" i="3"/>
  <c r="B2664" i="3" s="1"/>
  <c r="B2665" i="3" s="1"/>
  <c r="Q973" i="3"/>
  <c r="CC964" i="3" s="1"/>
  <c r="CF963" i="3" s="1"/>
  <c r="CG963" i="3" s="1"/>
  <c r="Q970" i="3"/>
  <c r="BK964" i="3" s="1"/>
  <c r="BN963" i="3" s="1"/>
  <c r="BP963" i="3" s="1"/>
  <c r="Q966" i="3"/>
  <c r="AM964" i="3" s="1"/>
  <c r="Q964" i="3"/>
  <c r="AA964" i="3" s="1"/>
  <c r="AD963" i="3" s="1"/>
  <c r="Q972" i="3"/>
  <c r="BW964" i="3" s="1"/>
  <c r="Q963" i="3"/>
  <c r="BG964" i="3" s="1"/>
  <c r="Q971" i="3"/>
  <c r="BQ964" i="3" s="1"/>
  <c r="Q2263" i="3"/>
  <c r="BK2257" i="3" s="1"/>
  <c r="Q2259" i="3"/>
  <c r="AM2257" i="3" s="1"/>
  <c r="AP2256" i="3" s="1"/>
  <c r="Q2266" i="3"/>
  <c r="CC2257" i="3" s="1"/>
  <c r="CF2256" i="3" s="1"/>
  <c r="Q2256" i="3"/>
  <c r="Q2262" i="3"/>
  <c r="BE2257" i="3" s="1"/>
  <c r="Q2264" i="3"/>
  <c r="BQ2257" i="3" s="1"/>
  <c r="Q2260" i="3"/>
  <c r="AS2257" i="3" s="1"/>
  <c r="Q2265" i="3"/>
  <c r="BW2257" i="3" s="1"/>
  <c r="Q2261" i="3"/>
  <c r="AY2257" i="3" s="1"/>
  <c r="Q1725" i="3"/>
  <c r="BS1726" i="3" s="1"/>
  <c r="Q1734" i="3"/>
  <c r="BW1726" i="3" s="1"/>
  <c r="BZ1725" i="3" s="1"/>
  <c r="CA1725" i="3" s="1"/>
  <c r="Q1726" i="3"/>
  <c r="AO710" i="3"/>
  <c r="AP709" i="3" s="1"/>
  <c r="AR709" i="3" s="1"/>
  <c r="AW2787" i="3"/>
  <c r="B1377" i="3"/>
  <c r="C1359" i="3" s="1"/>
  <c r="AI2788" i="3"/>
  <c r="L2587" i="3"/>
  <c r="O1800" i="3"/>
  <c r="F2586" i="3"/>
  <c r="O2587" i="3"/>
  <c r="H2589" i="3"/>
  <c r="D2587" i="3"/>
  <c r="L2581" i="3"/>
  <c r="M1802" i="3"/>
  <c r="G2587" i="3"/>
  <c r="J2587" i="3"/>
  <c r="K2587" i="3"/>
  <c r="I2589" i="3"/>
  <c r="H2588" i="3"/>
  <c r="E2587" i="3"/>
  <c r="I2587" i="3"/>
  <c r="F2587" i="3"/>
  <c r="O2589" i="3"/>
  <c r="O2588" i="3"/>
  <c r="N2587" i="3"/>
  <c r="M2587" i="3"/>
  <c r="N2588" i="3"/>
  <c r="Q1733" i="3"/>
  <c r="BQ1726" i="3" s="1"/>
  <c r="BT1725" i="3" s="1"/>
  <c r="BV1725" i="3" s="1"/>
  <c r="M2586" i="3"/>
  <c r="D2581" i="3"/>
  <c r="N2581" i="3"/>
  <c r="BA2788" i="3"/>
  <c r="Q1732" i="3"/>
  <c r="BK1726" i="3" s="1"/>
  <c r="R709" i="3"/>
  <c r="T709" i="3" s="1"/>
  <c r="BI709" i="3"/>
  <c r="Q1727" i="3"/>
  <c r="AG1726" i="3" s="1"/>
  <c r="Q1730" i="3"/>
  <c r="AY1726" i="3" s="1"/>
  <c r="Q1728" i="3"/>
  <c r="AM1726" i="3" s="1"/>
  <c r="AP1725" i="3" s="1"/>
  <c r="AQ1725" i="3" s="1"/>
  <c r="AV709" i="3"/>
  <c r="AW709" i="3" s="1"/>
  <c r="Q1729" i="3"/>
  <c r="AS1726" i="3" s="1"/>
  <c r="Q1735" i="3"/>
  <c r="CC1726" i="3" s="1"/>
  <c r="CF1725" i="3" s="1"/>
  <c r="CG1725" i="3" s="1"/>
  <c r="Q1731" i="3"/>
  <c r="BE1726" i="3" s="1"/>
  <c r="AL2787" i="3"/>
  <c r="P2356" i="3"/>
  <c r="P2358" i="3"/>
  <c r="F2581" i="3"/>
  <c r="P2353" i="3"/>
  <c r="P2352" i="3"/>
  <c r="I2581" i="3"/>
  <c r="M2581" i="3"/>
  <c r="BI2787" i="3"/>
  <c r="I2580" i="3"/>
  <c r="I2586" i="3"/>
  <c r="G2581" i="3"/>
  <c r="O2581" i="3"/>
  <c r="H2581" i="3"/>
  <c r="K2584" i="3"/>
  <c r="J2581" i="3"/>
  <c r="K2581" i="3"/>
  <c r="H2584" i="3"/>
  <c r="I2584" i="3"/>
  <c r="K2309" i="3"/>
  <c r="L2584" i="3"/>
  <c r="D1012" i="3"/>
  <c r="D2590" i="3"/>
  <c r="G1012" i="3"/>
  <c r="L2590" i="3"/>
  <c r="J1012" i="3"/>
  <c r="G2590" i="3"/>
  <c r="P2357" i="3"/>
  <c r="P2354" i="3"/>
  <c r="P2359" i="3"/>
  <c r="E2590" i="3"/>
  <c r="J2590" i="3"/>
  <c r="K2590" i="3"/>
  <c r="I1567" i="3"/>
  <c r="AC2788" i="3"/>
  <c r="AD2787" i="3" s="1"/>
  <c r="AF2787" i="3" s="1"/>
  <c r="F2590" i="3"/>
  <c r="O2590" i="3"/>
  <c r="I2590" i="3"/>
  <c r="H1567" i="3"/>
  <c r="P2355" i="3"/>
  <c r="P2349" i="3"/>
  <c r="M2590" i="3"/>
  <c r="N2590" i="3"/>
  <c r="E2583" i="3"/>
  <c r="E1567" i="3"/>
  <c r="W2788" i="3"/>
  <c r="C2303" i="3"/>
  <c r="E2303" i="3" s="1"/>
  <c r="G2220" i="3"/>
  <c r="E2220" i="3"/>
  <c r="C2302" i="3"/>
  <c r="H2302" i="3" s="1"/>
  <c r="C2307" i="3"/>
  <c r="I2307" i="3" s="1"/>
  <c r="D1263" i="3"/>
  <c r="K1263" i="3"/>
  <c r="G1263" i="3"/>
  <c r="L1263" i="3"/>
  <c r="H1263" i="3"/>
  <c r="M1263" i="3"/>
  <c r="F1263" i="3"/>
  <c r="O1263" i="3"/>
  <c r="N1263" i="3"/>
  <c r="I1263" i="3"/>
  <c r="E1263" i="3"/>
  <c r="J1263" i="3"/>
  <c r="C1273" i="3"/>
  <c r="C1268" i="3"/>
  <c r="C1272" i="3"/>
  <c r="C1266" i="3"/>
  <c r="C1269" i="3"/>
  <c r="C1265" i="3"/>
  <c r="C1270" i="3"/>
  <c r="C1264" i="3"/>
  <c r="C1267" i="3"/>
  <c r="C1271" i="3"/>
  <c r="C2306" i="3"/>
  <c r="O2306" i="3" s="1"/>
  <c r="J2310" i="3"/>
  <c r="F2310" i="3"/>
  <c r="G2310" i="3"/>
  <c r="E2310" i="3"/>
  <c r="O2310" i="3"/>
  <c r="H2310" i="3"/>
  <c r="I2310" i="3"/>
  <c r="K2310" i="3"/>
  <c r="D2310" i="3"/>
  <c r="N2310" i="3"/>
  <c r="M2310" i="3"/>
  <c r="L2310" i="3"/>
  <c r="J2307" i="3"/>
  <c r="O1567" i="3"/>
  <c r="L1567" i="3"/>
  <c r="D1567" i="3"/>
  <c r="H1012" i="3"/>
  <c r="I1012" i="3"/>
  <c r="G2584" i="3"/>
  <c r="N2585" i="3"/>
  <c r="G2303" i="3"/>
  <c r="J1567" i="3"/>
  <c r="G1567" i="3"/>
  <c r="K1567" i="3"/>
  <c r="P2603" i="3" a="1"/>
  <c r="N1012" i="3"/>
  <c r="M2584" i="3"/>
  <c r="N1567" i="3"/>
  <c r="F1567" i="3"/>
  <c r="E2375" i="3"/>
  <c r="E2584" i="3"/>
  <c r="D2584" i="3"/>
  <c r="J2584" i="3"/>
  <c r="C2308" i="3"/>
  <c r="C2304" i="3"/>
  <c r="C2305" i="3"/>
  <c r="C2311" i="3"/>
  <c r="C2312" i="3"/>
  <c r="B1606" i="3"/>
  <c r="J255" i="3"/>
  <c r="N2584" i="3"/>
  <c r="O2584" i="3"/>
  <c r="F1012" i="3"/>
  <c r="K1012" i="3"/>
  <c r="M1012" i="3"/>
  <c r="K2583" i="3"/>
  <c r="F2585" i="3"/>
  <c r="F2309" i="3"/>
  <c r="L1012" i="3"/>
  <c r="E1012" i="3"/>
  <c r="H2583" i="3"/>
  <c r="D2309" i="3"/>
  <c r="H2585" i="3"/>
  <c r="AQ2787" i="3"/>
  <c r="AR2787" i="3"/>
  <c r="E257" i="3"/>
  <c r="L251" i="3"/>
  <c r="D2580" i="3"/>
  <c r="L2580" i="3"/>
  <c r="K2580" i="3"/>
  <c r="J2589" i="3"/>
  <c r="F2589" i="3"/>
  <c r="M2589" i="3"/>
  <c r="G2586" i="3"/>
  <c r="L2586" i="3"/>
  <c r="O2586" i="3"/>
  <c r="L2588" i="3"/>
  <c r="D2588" i="3"/>
  <c r="E2588" i="3"/>
  <c r="B1629" i="3"/>
  <c r="B1630" i="3" s="1"/>
  <c r="N2580" i="3"/>
  <c r="H2580" i="3"/>
  <c r="G2580" i="3"/>
  <c r="D2589" i="3"/>
  <c r="N2589" i="3"/>
  <c r="L2589" i="3"/>
  <c r="D2586" i="3"/>
  <c r="E2586" i="3"/>
  <c r="N2586" i="3"/>
  <c r="G2588" i="3"/>
  <c r="I2588" i="3"/>
  <c r="K2588" i="3"/>
  <c r="J2580" i="3"/>
  <c r="M2580" i="3"/>
  <c r="G2589" i="3"/>
  <c r="K2589" i="3"/>
  <c r="J2586" i="3"/>
  <c r="K2586" i="3"/>
  <c r="J2588" i="3"/>
  <c r="F2588" i="3"/>
  <c r="C1016" i="3"/>
  <c r="I1016" i="3" s="1"/>
  <c r="C1009" i="3"/>
  <c r="F1009" i="3" s="1"/>
  <c r="H1574" i="3"/>
  <c r="K1574" i="3"/>
  <c r="M1574" i="3"/>
  <c r="F1574" i="3"/>
  <c r="P155" i="3" a="1"/>
  <c r="O1574" i="3"/>
  <c r="D1574" i="3"/>
  <c r="L257" i="3"/>
  <c r="E251" i="3"/>
  <c r="H251" i="3"/>
  <c r="O2287" i="3"/>
  <c r="R2787" i="3"/>
  <c r="T2787" i="3" s="1"/>
  <c r="D2583" i="3"/>
  <c r="N2583" i="3"/>
  <c r="F2583" i="3"/>
  <c r="M2585" i="3"/>
  <c r="J2585" i="3"/>
  <c r="I2585" i="3"/>
  <c r="M2309" i="3"/>
  <c r="J2309" i="3"/>
  <c r="E2309" i="3"/>
  <c r="C1015" i="3"/>
  <c r="L1015" i="3" s="1"/>
  <c r="C1014" i="3"/>
  <c r="G1014" i="3" s="1"/>
  <c r="BS2788" i="3"/>
  <c r="BT2787" i="3" s="1"/>
  <c r="BY2788" i="3"/>
  <c r="BZ2787" i="3" s="1"/>
  <c r="U2788" i="3"/>
  <c r="X2787" i="3" s="1"/>
  <c r="AU2788" i="3"/>
  <c r="AO2788" i="3"/>
  <c r="BG2788" i="3"/>
  <c r="BM2788" i="3"/>
  <c r="CE2788" i="3"/>
  <c r="CF2787" i="3" s="1"/>
  <c r="D2287" i="3"/>
  <c r="I2583" i="3"/>
  <c r="O2583" i="3"/>
  <c r="L2583" i="3"/>
  <c r="D2585" i="3"/>
  <c r="G2585" i="3"/>
  <c r="O2585" i="3"/>
  <c r="H2309" i="3"/>
  <c r="N2309" i="3"/>
  <c r="L2309" i="3"/>
  <c r="BP2787" i="3"/>
  <c r="BO2787" i="3"/>
  <c r="D247" i="3"/>
  <c r="M251" i="3"/>
  <c r="O251" i="3"/>
  <c r="D257" i="3"/>
  <c r="K251" i="3"/>
  <c r="G2583" i="3"/>
  <c r="J2583" i="3"/>
  <c r="E2585" i="3"/>
  <c r="K2585" i="3"/>
  <c r="O2309" i="3"/>
  <c r="I2309" i="3"/>
  <c r="C1011" i="3"/>
  <c r="D1011" i="3" s="1"/>
  <c r="Q1158" i="3"/>
  <c r="CC1149" i="3" s="1"/>
  <c r="CF1148" i="3" s="1"/>
  <c r="CH1148" i="3" s="1"/>
  <c r="C1019" i="3"/>
  <c r="E1019" i="3" s="1"/>
  <c r="D251" i="3"/>
  <c r="I251" i="3"/>
  <c r="F251" i="3"/>
  <c r="D2375" i="3"/>
  <c r="L1797" i="3"/>
  <c r="E1574" i="3"/>
  <c r="L1574" i="3"/>
  <c r="N1574" i="3"/>
  <c r="N251" i="3"/>
  <c r="J251" i="3"/>
  <c r="G1574" i="3"/>
  <c r="I1574" i="3"/>
  <c r="P809" i="3"/>
  <c r="G1800" i="3"/>
  <c r="Q1156" i="3"/>
  <c r="BQ1149" i="3" s="1"/>
  <c r="BT1148" i="3" s="1"/>
  <c r="BU1148" i="3" s="1"/>
  <c r="N1800" i="3"/>
  <c r="B1631" i="3"/>
  <c r="C1018" i="3"/>
  <c r="M1018" i="3" s="1"/>
  <c r="B950" i="3"/>
  <c r="B951" i="3" s="1"/>
  <c r="B952" i="3" s="1"/>
  <c r="B953" i="3" s="1"/>
  <c r="E2287" i="3"/>
  <c r="L2287" i="3"/>
  <c r="M2375" i="3"/>
  <c r="C1010" i="3"/>
  <c r="D1010" i="3" s="1"/>
  <c r="M2287" i="3"/>
  <c r="F2380" i="3"/>
  <c r="L2375" i="3"/>
  <c r="H2375" i="3"/>
  <c r="F2372" i="3"/>
  <c r="B1198" i="3"/>
  <c r="N252" i="3"/>
  <c r="K2287" i="3"/>
  <c r="I2281" i="3"/>
  <c r="I2380" i="3"/>
  <c r="N2375" i="3"/>
  <c r="Q1153" i="3"/>
  <c r="AY1149" i="3" s="1"/>
  <c r="BB1148" i="3" s="1"/>
  <c r="BD1148" i="3" s="1"/>
  <c r="P1633" i="3" a="1"/>
  <c r="P1633" i="3" s="1"/>
  <c r="F1572" i="3"/>
  <c r="L1572" i="3"/>
  <c r="K1572" i="3"/>
  <c r="G1572" i="3"/>
  <c r="H1572" i="3"/>
  <c r="N1572" i="3"/>
  <c r="E1572" i="3"/>
  <c r="M1572" i="3"/>
  <c r="J1572" i="3"/>
  <c r="D1572" i="3"/>
  <c r="O1572" i="3"/>
  <c r="I1572" i="3"/>
  <c r="E1568" i="3"/>
  <c r="G1568" i="3"/>
  <c r="J1568" i="3"/>
  <c r="F1568" i="3"/>
  <c r="M1568" i="3"/>
  <c r="O1568" i="3"/>
  <c r="K1568" i="3"/>
  <c r="L1568" i="3"/>
  <c r="H1568" i="3"/>
  <c r="D1568" i="3"/>
  <c r="N1568" i="3"/>
  <c r="I1568" i="3"/>
  <c r="J2220" i="3"/>
  <c r="H2220" i="3"/>
  <c r="Q1148" i="3"/>
  <c r="M1571" i="3"/>
  <c r="L1571" i="3"/>
  <c r="D1571" i="3"/>
  <c r="F1571" i="3"/>
  <c r="K1571" i="3"/>
  <c r="O1571" i="3"/>
  <c r="J1571" i="3"/>
  <c r="E1571" i="3"/>
  <c r="H1571" i="3"/>
  <c r="I1571" i="3"/>
  <c r="G1571" i="3"/>
  <c r="N1571" i="3"/>
  <c r="O1573" i="3"/>
  <c r="N1573" i="3"/>
  <c r="M1573" i="3"/>
  <c r="I1573" i="3"/>
  <c r="H1573" i="3"/>
  <c r="F1573" i="3"/>
  <c r="E1573" i="3"/>
  <c r="J1573" i="3"/>
  <c r="K1573" i="3"/>
  <c r="G1573" i="3"/>
  <c r="D1573" i="3"/>
  <c r="L1573" i="3"/>
  <c r="M255" i="3"/>
  <c r="L255" i="3"/>
  <c r="O2220" i="3"/>
  <c r="L2220" i="3"/>
  <c r="H255" i="3"/>
  <c r="E255" i="3"/>
  <c r="N2220" i="3"/>
  <c r="D2220" i="3"/>
  <c r="M2220" i="3"/>
  <c r="K2220" i="3"/>
  <c r="F2220" i="3"/>
  <c r="N2381" i="3"/>
  <c r="L1565" i="3"/>
  <c r="K1565" i="3"/>
  <c r="M1565" i="3"/>
  <c r="G1565" i="3"/>
  <c r="N1565" i="3"/>
  <c r="I1565" i="3"/>
  <c r="E1565" i="3"/>
  <c r="O1565" i="3"/>
  <c r="J1565" i="3"/>
  <c r="F1565" i="3"/>
  <c r="D1565" i="3"/>
  <c r="H1565" i="3"/>
  <c r="F255" i="3"/>
  <c r="N2213" i="3"/>
  <c r="L2213" i="3"/>
  <c r="M2380" i="3"/>
  <c r="C1013" i="3"/>
  <c r="C1017" i="3"/>
  <c r="K1564" i="3"/>
  <c r="D1564" i="3"/>
  <c r="J1564" i="3"/>
  <c r="E1564" i="3"/>
  <c r="O1564" i="3"/>
  <c r="F1564" i="3"/>
  <c r="M1564" i="3"/>
  <c r="H1564" i="3"/>
  <c r="N1564" i="3"/>
  <c r="I1564" i="3"/>
  <c r="L1564" i="3"/>
  <c r="G1564" i="3"/>
  <c r="D1566" i="3"/>
  <c r="I1566" i="3"/>
  <c r="E1566" i="3"/>
  <c r="N1566" i="3"/>
  <c r="K1566" i="3"/>
  <c r="G1566" i="3"/>
  <c r="H1566" i="3"/>
  <c r="J1566" i="3"/>
  <c r="F1566" i="3"/>
  <c r="O1566" i="3"/>
  <c r="L1566" i="3"/>
  <c r="M1566" i="3"/>
  <c r="I1570" i="3"/>
  <c r="K1570" i="3"/>
  <c r="O1570" i="3"/>
  <c r="E1570" i="3"/>
  <c r="D1570" i="3"/>
  <c r="H1570" i="3"/>
  <c r="N1570" i="3"/>
  <c r="F1570" i="3"/>
  <c r="L1570" i="3"/>
  <c r="G1570" i="3"/>
  <c r="J1570" i="3"/>
  <c r="M1570" i="3"/>
  <c r="B1792" i="3"/>
  <c r="C1780" i="3" s="1"/>
  <c r="Q1150" i="3"/>
  <c r="AG1149" i="3" s="1"/>
  <c r="AJ1148" i="3" s="1"/>
  <c r="AL1148" i="3" s="1"/>
  <c r="Q1155" i="3"/>
  <c r="BK1149" i="3" s="1"/>
  <c r="BN1148" i="3" s="1"/>
  <c r="BP1148" i="3" s="1"/>
  <c r="N2287" i="3"/>
  <c r="G2287" i="3"/>
  <c r="H2287" i="3"/>
  <c r="D2281" i="3"/>
  <c r="J2281" i="3"/>
  <c r="L2380" i="3"/>
  <c r="H2380" i="3"/>
  <c r="G1795" i="3"/>
  <c r="G1797" i="3"/>
  <c r="L1290" i="3"/>
  <c r="G1290" i="3"/>
  <c r="O1290" i="3"/>
  <c r="H1290" i="3"/>
  <c r="F1290" i="3"/>
  <c r="M1290" i="3"/>
  <c r="D1290" i="3"/>
  <c r="J1290" i="3"/>
  <c r="N1290" i="3"/>
  <c r="E1290" i="3"/>
  <c r="K1290" i="3"/>
  <c r="I1290" i="3"/>
  <c r="M1293" i="3"/>
  <c r="L1293" i="3"/>
  <c r="E1293" i="3"/>
  <c r="I1293" i="3"/>
  <c r="H1293" i="3"/>
  <c r="D1293" i="3"/>
  <c r="G1293" i="3"/>
  <c r="F1293" i="3"/>
  <c r="O1293" i="3"/>
  <c r="K1293" i="3"/>
  <c r="J1293" i="3"/>
  <c r="N1293" i="3"/>
  <c r="F2287" i="3"/>
  <c r="J2287" i="3"/>
  <c r="F2281" i="3"/>
  <c r="L2281" i="3"/>
  <c r="G2380" i="3"/>
  <c r="E1797" i="3"/>
  <c r="K1294" i="3"/>
  <c r="O1294" i="3"/>
  <c r="J1294" i="3"/>
  <c r="G1294" i="3"/>
  <c r="M1294" i="3"/>
  <c r="N1294" i="3"/>
  <c r="I1294" i="3"/>
  <c r="L1294" i="3"/>
  <c r="E1294" i="3"/>
  <c r="D1294" i="3"/>
  <c r="F1294" i="3"/>
  <c r="H1294" i="3"/>
  <c r="D1292" i="3"/>
  <c r="O1292" i="3"/>
  <c r="H1292" i="3"/>
  <c r="L1292" i="3"/>
  <c r="K1292" i="3"/>
  <c r="E1292" i="3"/>
  <c r="G1292" i="3"/>
  <c r="I1292" i="3"/>
  <c r="F1292" i="3"/>
  <c r="J1292" i="3"/>
  <c r="M1292" i="3"/>
  <c r="N1292" i="3"/>
  <c r="P2102" i="3"/>
  <c r="P2103" i="3"/>
  <c r="P2105" i="3"/>
  <c r="P2104" i="3"/>
  <c r="P2099" i="3"/>
  <c r="P2096" i="3"/>
  <c r="P2098" i="3"/>
  <c r="P2095" i="3"/>
  <c r="P2101" i="3"/>
  <c r="P2100" i="3"/>
  <c r="P2097" i="3"/>
  <c r="G2281" i="3"/>
  <c r="J1286" i="3"/>
  <c r="D1286" i="3"/>
  <c r="L1286" i="3"/>
  <c r="I1286" i="3"/>
  <c r="K1286" i="3"/>
  <c r="N1286" i="3"/>
  <c r="E1286" i="3"/>
  <c r="G1286" i="3"/>
  <c r="H1286" i="3"/>
  <c r="F1286" i="3"/>
  <c r="M1286" i="3"/>
  <c r="O1286" i="3"/>
  <c r="G1296" i="3"/>
  <c r="H1296" i="3"/>
  <c r="K1296" i="3"/>
  <c r="F1296" i="3"/>
  <c r="I1296" i="3"/>
  <c r="L1296" i="3"/>
  <c r="O1296" i="3"/>
  <c r="M1296" i="3"/>
  <c r="D1296" i="3"/>
  <c r="J1296" i="3"/>
  <c r="N1296" i="3"/>
  <c r="E1296" i="3"/>
  <c r="G1289" i="3"/>
  <c r="M1289" i="3"/>
  <c r="N1289" i="3"/>
  <c r="L1289" i="3"/>
  <c r="D1289" i="3"/>
  <c r="F1289" i="3"/>
  <c r="J1289" i="3"/>
  <c r="K1289" i="3"/>
  <c r="I1289" i="3"/>
  <c r="H1289" i="3"/>
  <c r="O1289" i="3"/>
  <c r="E1289" i="3"/>
  <c r="I1291" i="3"/>
  <c r="M1291" i="3"/>
  <c r="E1291" i="3"/>
  <c r="L1291" i="3"/>
  <c r="N1291" i="3"/>
  <c r="H1291" i="3"/>
  <c r="O1291" i="3"/>
  <c r="J1291" i="3"/>
  <c r="K1291" i="3"/>
  <c r="F1291" i="3"/>
  <c r="D1291" i="3"/>
  <c r="G1291" i="3"/>
  <c r="G1295" i="3"/>
  <c r="I1295" i="3"/>
  <c r="K1295" i="3"/>
  <c r="H1295" i="3"/>
  <c r="M1295" i="3"/>
  <c r="N1295" i="3"/>
  <c r="O1295" i="3"/>
  <c r="J1295" i="3"/>
  <c r="E1295" i="3"/>
  <c r="L1295" i="3"/>
  <c r="D1295" i="3"/>
  <c r="F1295" i="3"/>
  <c r="O1288" i="3"/>
  <c r="J1288" i="3"/>
  <c r="H1288" i="3"/>
  <c r="E1288" i="3"/>
  <c r="F1288" i="3"/>
  <c r="G1288" i="3"/>
  <c r="L1288" i="3"/>
  <c r="D1288" i="3"/>
  <c r="M1288" i="3"/>
  <c r="K1288" i="3"/>
  <c r="I1288" i="3"/>
  <c r="N1288" i="3"/>
  <c r="F573" i="3"/>
  <c r="M573" i="3"/>
  <c r="E573" i="3"/>
  <c r="N573" i="3"/>
  <c r="O573" i="3"/>
  <c r="J573" i="3"/>
  <c r="K573" i="3"/>
  <c r="G573" i="3"/>
  <c r="I573" i="3"/>
  <c r="H573" i="3"/>
  <c r="D573" i="3"/>
  <c r="L573" i="3"/>
  <c r="G574" i="3"/>
  <c r="L574" i="3"/>
  <c r="J574" i="3"/>
  <c r="E574" i="3"/>
  <c r="N574" i="3"/>
  <c r="K574" i="3"/>
  <c r="D574" i="3"/>
  <c r="O574" i="3"/>
  <c r="H574" i="3"/>
  <c r="I574" i="3"/>
  <c r="M574" i="3"/>
  <c r="F574" i="3"/>
  <c r="F577" i="3"/>
  <c r="E577" i="3"/>
  <c r="J577" i="3"/>
  <c r="L577" i="3"/>
  <c r="M577" i="3"/>
  <c r="D577" i="3"/>
  <c r="N577" i="3"/>
  <c r="H577" i="3"/>
  <c r="G577" i="3"/>
  <c r="I577" i="3"/>
  <c r="K577" i="3"/>
  <c r="O577" i="3"/>
  <c r="F2375" i="3"/>
  <c r="O2375" i="3"/>
  <c r="K2375" i="3"/>
  <c r="P899" i="3"/>
  <c r="P904" i="3"/>
  <c r="P894" i="3"/>
  <c r="P895" i="3"/>
  <c r="P903" i="3"/>
  <c r="P896" i="3"/>
  <c r="P902" i="3"/>
  <c r="P898" i="3"/>
  <c r="P901" i="3"/>
  <c r="P900" i="3"/>
  <c r="P897" i="3"/>
  <c r="B310" i="3"/>
  <c r="B311" i="3" s="1"/>
  <c r="B2346" i="3"/>
  <c r="N576" i="3"/>
  <c r="O576" i="3"/>
  <c r="I576" i="3"/>
  <c r="L576" i="3"/>
  <c r="E576" i="3"/>
  <c r="F576" i="3"/>
  <c r="D576" i="3"/>
  <c r="K576" i="3"/>
  <c r="J576" i="3"/>
  <c r="G576" i="3"/>
  <c r="M576" i="3"/>
  <c r="H576" i="3"/>
  <c r="I572" i="3"/>
  <c r="N572" i="3"/>
  <c r="F572" i="3"/>
  <c r="L572" i="3"/>
  <c r="G572" i="3"/>
  <c r="D572" i="3"/>
  <c r="M572" i="3"/>
  <c r="H572" i="3"/>
  <c r="O572" i="3"/>
  <c r="E572" i="3"/>
  <c r="J572" i="3"/>
  <c r="K572" i="3"/>
  <c r="G2378" i="3"/>
  <c r="J2375" i="3"/>
  <c r="I2375" i="3"/>
  <c r="Q1157" i="3"/>
  <c r="BW1149" i="3" s="1"/>
  <c r="BZ1148" i="3" s="1"/>
  <c r="CA1148" i="3" s="1"/>
  <c r="B333" i="3"/>
  <c r="G581" i="3"/>
  <c r="E581" i="3"/>
  <c r="I581" i="3"/>
  <c r="D581" i="3"/>
  <c r="N581" i="3"/>
  <c r="F581" i="3"/>
  <c r="H581" i="3"/>
  <c r="J581" i="3"/>
  <c r="L581" i="3"/>
  <c r="M581" i="3"/>
  <c r="O581" i="3"/>
  <c r="K581" i="3"/>
  <c r="J579" i="3"/>
  <c r="I579" i="3"/>
  <c r="N579" i="3"/>
  <c r="K579" i="3"/>
  <c r="L579" i="3"/>
  <c r="O579" i="3"/>
  <c r="M579" i="3"/>
  <c r="E579" i="3"/>
  <c r="F579" i="3"/>
  <c r="G579" i="3"/>
  <c r="H579" i="3"/>
  <c r="D579" i="3"/>
  <c r="G575" i="3"/>
  <c r="J575" i="3"/>
  <c r="N575" i="3"/>
  <c r="I575" i="3"/>
  <c r="H575" i="3"/>
  <c r="K575" i="3"/>
  <c r="M575" i="3"/>
  <c r="F575" i="3"/>
  <c r="L575" i="3"/>
  <c r="E575" i="3"/>
  <c r="D575" i="3"/>
  <c r="O575" i="3"/>
  <c r="B2092" i="3"/>
  <c r="B2093" i="3" s="1"/>
  <c r="K578" i="3"/>
  <c r="O578" i="3"/>
  <c r="I578" i="3"/>
  <c r="D578" i="3"/>
  <c r="M578" i="3"/>
  <c r="N578" i="3"/>
  <c r="F578" i="3"/>
  <c r="G578" i="3"/>
  <c r="J578" i="3"/>
  <c r="H578" i="3"/>
  <c r="E578" i="3"/>
  <c r="L578" i="3"/>
  <c r="N571" i="3"/>
  <c r="M571" i="3"/>
  <c r="F571" i="3"/>
  <c r="H571" i="3"/>
  <c r="D571" i="3"/>
  <c r="J571" i="3"/>
  <c r="K571" i="3"/>
  <c r="O571" i="3"/>
  <c r="I571" i="3"/>
  <c r="L571" i="3"/>
  <c r="G571" i="3"/>
  <c r="E571" i="3"/>
  <c r="G580" i="3"/>
  <c r="E580" i="3"/>
  <c r="M580" i="3"/>
  <c r="K580" i="3"/>
  <c r="L580" i="3"/>
  <c r="F580" i="3"/>
  <c r="H580" i="3"/>
  <c r="N580" i="3"/>
  <c r="D580" i="3"/>
  <c r="I580" i="3"/>
  <c r="O580" i="3"/>
  <c r="J580" i="3"/>
  <c r="D255" i="3"/>
  <c r="G255" i="3"/>
  <c r="K255" i="3"/>
  <c r="Q1149" i="3"/>
  <c r="AA1149" i="3" s="1"/>
  <c r="AD1148" i="3" s="1"/>
  <c r="Q1152" i="3"/>
  <c r="AS1149" i="3" s="1"/>
  <c r="N1795" i="3"/>
  <c r="P805" i="3"/>
  <c r="B1884" i="3"/>
  <c r="I255" i="3"/>
  <c r="O255" i="3"/>
  <c r="Q1154" i="3"/>
  <c r="BE1149" i="3" s="1"/>
  <c r="BH1148" i="3" s="1"/>
  <c r="BJ1148" i="3" s="1"/>
  <c r="Q1151" i="3"/>
  <c r="AM1149" i="3" s="1"/>
  <c r="M2288" i="3"/>
  <c r="B2573" i="3"/>
  <c r="B2574" i="3" s="1"/>
  <c r="B2575" i="3" s="1"/>
  <c r="B2576" i="3" s="1"/>
  <c r="B2577" i="3" s="1"/>
  <c r="O2381" i="3"/>
  <c r="C2767" i="3"/>
  <c r="O2767" i="3" s="1"/>
  <c r="P806" i="3"/>
  <c r="P802" i="3"/>
  <c r="J1797" i="3"/>
  <c r="M1797" i="3"/>
  <c r="I1800" i="3"/>
  <c r="H1800" i="3"/>
  <c r="K1800" i="3"/>
  <c r="I1797" i="3"/>
  <c r="N1797" i="3"/>
  <c r="F1803" i="3"/>
  <c r="D1800" i="3"/>
  <c r="M1800" i="3"/>
  <c r="E1800" i="3"/>
  <c r="P807" i="3"/>
  <c r="D1797" i="3"/>
  <c r="K1797" i="3"/>
  <c r="G1803" i="3"/>
  <c r="L1800" i="3"/>
  <c r="J1800" i="3"/>
  <c r="P804" i="3"/>
  <c r="L2376" i="3"/>
  <c r="J249" i="3"/>
  <c r="D1803" i="3"/>
  <c r="L1803" i="3"/>
  <c r="E2217" i="3"/>
  <c r="N2218" i="3"/>
  <c r="J1803" i="3"/>
  <c r="O1803" i="3"/>
  <c r="P803" i="3"/>
  <c r="P810" i="3"/>
  <c r="P811" i="3"/>
  <c r="P812" i="3"/>
  <c r="O1795" i="3"/>
  <c r="C2765" i="3"/>
  <c r="N2765" i="3" s="1"/>
  <c r="C2771" i="3"/>
  <c r="N2771" i="3" s="1"/>
  <c r="F256" i="3"/>
  <c r="K2283" i="3"/>
  <c r="H2381" i="3"/>
  <c r="H1795" i="3"/>
  <c r="C2766" i="3"/>
  <c r="F2766" i="3" s="1"/>
  <c r="C2773" i="3"/>
  <c r="O2773" i="3" s="1"/>
  <c r="D250" i="3"/>
  <c r="F2381" i="3"/>
  <c r="I1795" i="3"/>
  <c r="D1795" i="3"/>
  <c r="C2768" i="3"/>
  <c r="G2768" i="3" s="1"/>
  <c r="L2770" i="3"/>
  <c r="O1106" i="3"/>
  <c r="M257" i="3"/>
  <c r="G257" i="3"/>
  <c r="N257" i="3"/>
  <c r="O249" i="3"/>
  <c r="O2217" i="3"/>
  <c r="J2213" i="3"/>
  <c r="O2213" i="3"/>
  <c r="J2374" i="3"/>
  <c r="K2770" i="3"/>
  <c r="M2217" i="3"/>
  <c r="K257" i="3"/>
  <c r="F257" i="3"/>
  <c r="O257" i="3"/>
  <c r="F249" i="3"/>
  <c r="L249" i="3"/>
  <c r="F2217" i="3"/>
  <c r="H2217" i="3"/>
  <c r="M2213" i="3"/>
  <c r="G2213" i="3"/>
  <c r="N2281" i="3"/>
  <c r="H2281" i="3"/>
  <c r="M2281" i="3"/>
  <c r="E2374" i="3"/>
  <c r="D2380" i="3"/>
  <c r="K2380" i="3"/>
  <c r="N2380" i="3"/>
  <c r="J257" i="3"/>
  <c r="H257" i="3"/>
  <c r="I249" i="3"/>
  <c r="E249" i="3"/>
  <c r="J2217" i="3"/>
  <c r="K2213" i="3"/>
  <c r="H2213" i="3"/>
  <c r="I2213" i="3"/>
  <c r="O2281" i="3"/>
  <c r="E2281" i="3"/>
  <c r="D2378" i="3"/>
  <c r="O2380" i="3"/>
  <c r="E2380" i="3"/>
  <c r="E1799" i="3"/>
  <c r="C2772" i="3"/>
  <c r="K2772" i="3" s="1"/>
  <c r="C2774" i="3"/>
  <c r="K2774" i="3" s="1"/>
  <c r="G2770" i="3"/>
  <c r="E2770" i="3"/>
  <c r="F2770" i="3"/>
  <c r="H2770" i="3"/>
  <c r="C2764" i="3"/>
  <c r="H2764" i="3" s="1"/>
  <c r="M2770" i="3"/>
  <c r="N2770" i="3"/>
  <c r="D2770" i="3"/>
  <c r="D256" i="3"/>
  <c r="I250" i="3"/>
  <c r="N2379" i="3"/>
  <c r="L2381" i="3"/>
  <c r="N1803" i="3"/>
  <c r="I1803" i="3"/>
  <c r="E1803" i="3"/>
  <c r="J256" i="3"/>
  <c r="F250" i="3"/>
  <c r="J2381" i="3"/>
  <c r="O1797" i="3"/>
  <c r="F1797" i="3"/>
  <c r="K1803" i="3"/>
  <c r="M1803" i="3"/>
  <c r="C2769" i="3"/>
  <c r="E2769" i="3" s="1"/>
  <c r="I2770" i="3"/>
  <c r="O2770" i="3"/>
  <c r="F1106" i="3"/>
  <c r="G256" i="3"/>
  <c r="I256" i="3"/>
  <c r="E250" i="3"/>
  <c r="K2211" i="3"/>
  <c r="G1430" i="3"/>
  <c r="I2381" i="3"/>
  <c r="E2381" i="3"/>
  <c r="G2381" i="3"/>
  <c r="M1798" i="3"/>
  <c r="M256" i="3"/>
  <c r="L250" i="3"/>
  <c r="G250" i="3"/>
  <c r="D2211" i="3"/>
  <c r="I2211" i="3"/>
  <c r="H2214" i="3"/>
  <c r="F2283" i="3"/>
  <c r="L2379" i="3"/>
  <c r="K2381" i="3"/>
  <c r="D2381" i="3"/>
  <c r="L1801" i="3"/>
  <c r="F254" i="3"/>
  <c r="D2379" i="3"/>
  <c r="H1799" i="3"/>
  <c r="O1801" i="3"/>
  <c r="E1802" i="3"/>
  <c r="N1799" i="3"/>
  <c r="D1801" i="3"/>
  <c r="J1802" i="3"/>
  <c r="L252" i="3"/>
  <c r="F2282" i="3"/>
  <c r="N2373" i="3"/>
  <c r="K1795" i="3"/>
  <c r="F1795" i="3"/>
  <c r="J1795" i="3"/>
  <c r="J1799" i="3"/>
  <c r="L1799" i="3"/>
  <c r="J1798" i="3"/>
  <c r="N1801" i="3"/>
  <c r="E1798" i="3"/>
  <c r="H254" i="3"/>
  <c r="K252" i="3"/>
  <c r="G252" i="3"/>
  <c r="E253" i="3"/>
  <c r="F2210" i="3"/>
  <c r="G2282" i="3"/>
  <c r="F1798" i="3"/>
  <c r="I254" i="3"/>
  <c r="D252" i="3"/>
  <c r="F252" i="3"/>
  <c r="K253" i="3"/>
  <c r="O2212" i="3"/>
  <c r="I2282" i="3"/>
  <c r="L2286" i="3"/>
  <c r="E1795" i="3"/>
  <c r="L1795" i="3"/>
  <c r="N1798" i="3"/>
  <c r="F1799" i="3"/>
  <c r="M1801" i="3"/>
  <c r="J1801" i="3"/>
  <c r="D2212" i="3"/>
  <c r="H1802" i="3"/>
  <c r="L1802" i="3"/>
  <c r="G1802" i="3"/>
  <c r="P986" i="3" a="1"/>
  <c r="M252" i="3"/>
  <c r="O252" i="3"/>
  <c r="E252" i="3"/>
  <c r="H253" i="3"/>
  <c r="N253" i="3"/>
  <c r="D2382" i="3"/>
  <c r="H2372" i="3"/>
  <c r="I1799" i="3"/>
  <c r="K1799" i="3"/>
  <c r="D1799" i="3"/>
  <c r="I1801" i="3"/>
  <c r="H1801" i="3"/>
  <c r="K1801" i="3"/>
  <c r="I1802" i="3"/>
  <c r="D1802" i="3"/>
  <c r="O1802" i="3"/>
  <c r="J252" i="3"/>
  <c r="I252" i="3"/>
  <c r="O253" i="3"/>
  <c r="J253" i="3"/>
  <c r="I2212" i="3"/>
  <c r="N2212" i="3"/>
  <c r="E2283" i="3"/>
  <c r="I2286" i="3"/>
  <c r="G2382" i="3"/>
  <c r="O1799" i="3"/>
  <c r="M1799" i="3"/>
  <c r="F1801" i="3"/>
  <c r="E1801" i="3"/>
  <c r="N1802" i="3"/>
  <c r="K1802" i="3"/>
  <c r="I1798" i="3"/>
  <c r="H1798" i="3"/>
  <c r="K1798" i="3"/>
  <c r="G1798" i="3"/>
  <c r="L1798" i="3"/>
  <c r="O1798" i="3"/>
  <c r="L2218" i="3"/>
  <c r="K2282" i="3"/>
  <c r="J2282" i="3"/>
  <c r="D2280" i="3"/>
  <c r="O2373" i="3"/>
  <c r="E2373" i="3"/>
  <c r="M2376" i="3"/>
  <c r="B1354" i="3"/>
  <c r="C1336" i="3" s="1"/>
  <c r="O2282" i="3"/>
  <c r="E2282" i="3"/>
  <c r="I2373" i="3"/>
  <c r="J2373" i="3"/>
  <c r="G248" i="3"/>
  <c r="L2282" i="3"/>
  <c r="H2282" i="3"/>
  <c r="H2373" i="3"/>
  <c r="E2376" i="3"/>
  <c r="N2210" i="3"/>
  <c r="N2288" i="3"/>
  <c r="Q1387" i="3"/>
  <c r="BQ1380" i="3" s="1"/>
  <c r="BT1379" i="3" s="1"/>
  <c r="BV1379" i="3" s="1"/>
  <c r="M2382" i="3"/>
  <c r="N2372" i="3"/>
  <c r="O1794" i="3"/>
  <c r="J1794" i="3"/>
  <c r="H1794" i="3"/>
  <c r="E1794" i="3"/>
  <c r="L1794" i="3"/>
  <c r="G1794" i="3"/>
  <c r="K1794" i="3"/>
  <c r="I1794" i="3"/>
  <c r="F1794" i="3"/>
  <c r="D1794" i="3"/>
  <c r="N1794" i="3"/>
  <c r="M1794" i="3"/>
  <c r="K1106" i="3"/>
  <c r="G1106" i="3"/>
  <c r="N254" i="3"/>
  <c r="O254" i="3"/>
  <c r="L248" i="3"/>
  <c r="M2280" i="3"/>
  <c r="L1106" i="3"/>
  <c r="N1106" i="3"/>
  <c r="H1106" i="3"/>
  <c r="H247" i="3"/>
  <c r="F247" i="3"/>
  <c r="D254" i="3"/>
  <c r="K254" i="3"/>
  <c r="G254" i="3"/>
  <c r="K248" i="3"/>
  <c r="E248" i="3"/>
  <c r="O2215" i="3"/>
  <c r="K2210" i="3"/>
  <c r="E2213" i="3"/>
  <c r="K2285" i="3"/>
  <c r="E2288" i="3"/>
  <c r="N2382" i="3"/>
  <c r="O2378" i="3"/>
  <c r="E2372" i="3"/>
  <c r="J1796" i="3"/>
  <c r="M1796" i="3"/>
  <c r="I1796" i="3"/>
  <c r="L1796" i="3"/>
  <c r="E1796" i="3"/>
  <c r="N1796" i="3"/>
  <c r="H1796" i="3"/>
  <c r="F1796" i="3"/>
  <c r="K1796" i="3"/>
  <c r="D1796" i="3"/>
  <c r="O1796" i="3"/>
  <c r="G1796" i="3"/>
  <c r="E247" i="3"/>
  <c r="K247" i="3"/>
  <c r="E254" i="3"/>
  <c r="G2210" i="3"/>
  <c r="L2210" i="3"/>
  <c r="M1106" i="3"/>
  <c r="E1106" i="3"/>
  <c r="N247" i="3"/>
  <c r="J254" i="3"/>
  <c r="L254" i="3"/>
  <c r="M248" i="3"/>
  <c r="N248" i="3"/>
  <c r="I2219" i="3"/>
  <c r="F2215" i="3"/>
  <c r="I2214" i="3"/>
  <c r="G2280" i="3"/>
  <c r="L1430" i="3"/>
  <c r="K2374" i="3"/>
  <c r="J2382" i="3"/>
  <c r="F2382" i="3"/>
  <c r="H2378" i="3"/>
  <c r="K2372" i="3"/>
  <c r="F1804" i="3"/>
  <c r="H1804" i="3"/>
  <c r="O1804" i="3"/>
  <c r="N1804" i="3"/>
  <c r="J1804" i="3"/>
  <c r="E1804" i="3"/>
  <c r="L1804" i="3"/>
  <c r="M1804" i="3"/>
  <c r="D1804" i="3"/>
  <c r="G1804" i="3"/>
  <c r="K1804" i="3"/>
  <c r="I1804" i="3"/>
  <c r="L133" i="3"/>
  <c r="F2376" i="3"/>
  <c r="D2376" i="3"/>
  <c r="N2376" i="3"/>
  <c r="D253" i="3"/>
  <c r="F253" i="3"/>
  <c r="L253" i="3"/>
  <c r="F2212" i="3"/>
  <c r="L2212" i="3"/>
  <c r="M2282" i="3"/>
  <c r="D2282" i="3"/>
  <c r="K2212" i="3"/>
  <c r="M2373" i="3"/>
  <c r="D2373" i="3"/>
  <c r="K2373" i="3"/>
  <c r="I2376" i="3"/>
  <c r="G2376" i="3"/>
  <c r="J2376" i="3"/>
  <c r="C47" i="3"/>
  <c r="K47" i="3" s="1"/>
  <c r="M253" i="3"/>
  <c r="G253" i="3"/>
  <c r="L2373" i="3"/>
  <c r="F2373" i="3"/>
  <c r="H2376" i="3"/>
  <c r="O2376" i="3"/>
  <c r="B2460" i="3"/>
  <c r="B2461" i="3" s="1"/>
  <c r="D2050" i="3"/>
  <c r="H2050" i="3"/>
  <c r="E2050" i="3"/>
  <c r="M2050" i="3"/>
  <c r="I2050" i="3"/>
  <c r="N2050" i="3"/>
  <c r="J2050" i="3"/>
  <c r="K2050" i="3"/>
  <c r="G2050" i="3"/>
  <c r="O2050" i="3"/>
  <c r="F2050" i="3"/>
  <c r="L2050" i="3"/>
  <c r="I2052" i="3"/>
  <c r="K2052" i="3"/>
  <c r="H2052" i="3"/>
  <c r="M2052" i="3"/>
  <c r="F2052" i="3"/>
  <c r="J2052" i="3"/>
  <c r="D2052" i="3"/>
  <c r="L2052" i="3"/>
  <c r="G2052" i="3"/>
  <c r="E2052" i="3"/>
  <c r="O2052" i="3"/>
  <c r="N2052" i="3"/>
  <c r="J2056" i="3"/>
  <c r="H2056" i="3"/>
  <c r="G2056" i="3"/>
  <c r="K2056" i="3"/>
  <c r="M2056" i="3"/>
  <c r="L2056" i="3"/>
  <c r="E2056" i="3"/>
  <c r="N2056" i="3"/>
  <c r="D2056" i="3"/>
  <c r="O2056" i="3"/>
  <c r="F2056" i="3"/>
  <c r="I2056" i="3"/>
  <c r="E2058" i="3"/>
  <c r="F2058" i="3"/>
  <c r="N2058" i="3"/>
  <c r="M2058" i="3"/>
  <c r="O2058" i="3"/>
  <c r="G2058" i="3"/>
  <c r="K2058" i="3"/>
  <c r="D2058" i="3"/>
  <c r="L2058" i="3"/>
  <c r="J2058" i="3"/>
  <c r="I2058" i="3"/>
  <c r="H2058" i="3"/>
  <c r="O2049" i="3"/>
  <c r="J2049" i="3"/>
  <c r="M2049" i="3"/>
  <c r="L2049" i="3"/>
  <c r="K2049" i="3"/>
  <c r="E2049" i="3"/>
  <c r="N2049" i="3"/>
  <c r="F2049" i="3"/>
  <c r="G2049" i="3"/>
  <c r="D2049" i="3"/>
  <c r="H2049" i="3"/>
  <c r="I2049" i="3"/>
  <c r="D2048" i="3"/>
  <c r="G2048" i="3"/>
  <c r="N2048" i="3"/>
  <c r="K2048" i="3"/>
  <c r="E2048" i="3"/>
  <c r="O2048" i="3"/>
  <c r="H2048" i="3"/>
  <c r="J2048" i="3"/>
  <c r="L2048" i="3"/>
  <c r="M2048" i="3"/>
  <c r="I2048" i="3"/>
  <c r="F2048" i="3"/>
  <c r="D2057" i="3"/>
  <c r="O2057" i="3"/>
  <c r="H2057" i="3"/>
  <c r="G2057" i="3"/>
  <c r="F2057" i="3"/>
  <c r="J2057" i="3"/>
  <c r="L2057" i="3"/>
  <c r="M2057" i="3"/>
  <c r="E2057" i="3"/>
  <c r="I2057" i="3"/>
  <c r="K2057" i="3"/>
  <c r="N2057" i="3"/>
  <c r="H2055" i="3"/>
  <c r="N2055" i="3"/>
  <c r="G2055" i="3"/>
  <c r="O2055" i="3"/>
  <c r="D2055" i="3"/>
  <c r="J2055" i="3"/>
  <c r="E2055" i="3"/>
  <c r="K2055" i="3"/>
  <c r="I2055" i="3"/>
  <c r="F2055" i="3"/>
  <c r="M2055" i="3"/>
  <c r="L2055" i="3"/>
  <c r="G2051" i="3"/>
  <c r="I2051" i="3"/>
  <c r="L2051" i="3"/>
  <c r="H2051" i="3"/>
  <c r="E2051" i="3"/>
  <c r="O2051" i="3"/>
  <c r="M2051" i="3"/>
  <c r="K2051" i="3"/>
  <c r="N2051" i="3"/>
  <c r="J2051" i="3"/>
  <c r="D2051" i="3"/>
  <c r="F2051" i="3"/>
  <c r="L2053" i="3"/>
  <c r="E2053" i="3"/>
  <c r="I2053" i="3"/>
  <c r="H2053" i="3"/>
  <c r="D2053" i="3"/>
  <c r="G2053" i="3"/>
  <c r="M2053" i="3"/>
  <c r="N2053" i="3"/>
  <c r="J2053" i="3"/>
  <c r="F2053" i="3"/>
  <c r="K2053" i="3"/>
  <c r="O2053" i="3"/>
  <c r="E2054" i="3"/>
  <c r="I2054" i="3"/>
  <c r="F2054" i="3"/>
  <c r="N2054" i="3"/>
  <c r="M2054" i="3"/>
  <c r="L2054" i="3"/>
  <c r="G2054" i="3"/>
  <c r="O2054" i="3"/>
  <c r="D2054" i="3"/>
  <c r="J2054" i="3"/>
  <c r="K2054" i="3"/>
  <c r="H2054" i="3"/>
  <c r="B1261" i="3"/>
  <c r="C1244" i="3" s="1"/>
  <c r="N509" i="3"/>
  <c r="N256" i="3"/>
  <c r="O256" i="3"/>
  <c r="H256" i="3"/>
  <c r="M250" i="3"/>
  <c r="H250" i="3"/>
  <c r="J250" i="3"/>
  <c r="N2211" i="3"/>
  <c r="H2218" i="3"/>
  <c r="O2285" i="3"/>
  <c r="N2283" i="3"/>
  <c r="I2283" i="3"/>
  <c r="G2283" i="3"/>
  <c r="N2286" i="3"/>
  <c r="D2213" i="3"/>
  <c r="L2374" i="3"/>
  <c r="J2379" i="3"/>
  <c r="G2379" i="3"/>
  <c r="O2379" i="3"/>
  <c r="O2211" i="3"/>
  <c r="J2211" i="3"/>
  <c r="G2211" i="3"/>
  <c r="O2283" i="3"/>
  <c r="L2283" i="3"/>
  <c r="J2283" i="3"/>
  <c r="M2286" i="3"/>
  <c r="H2379" i="3"/>
  <c r="I2379" i="3"/>
  <c r="M2379" i="3"/>
  <c r="L2211" i="3"/>
  <c r="E256" i="3"/>
  <c r="K256" i="3"/>
  <c r="N250" i="3"/>
  <c r="O250" i="3"/>
  <c r="H2211" i="3"/>
  <c r="M2211" i="3"/>
  <c r="O2218" i="3"/>
  <c r="M2285" i="3"/>
  <c r="D2283" i="3"/>
  <c r="M2283" i="3"/>
  <c r="F2211" i="3"/>
  <c r="H2286" i="3"/>
  <c r="D2374" i="3"/>
  <c r="H2374" i="3"/>
  <c r="K2379" i="3"/>
  <c r="E2379" i="3"/>
  <c r="E2378" i="3"/>
  <c r="J2378" i="3"/>
  <c r="B1328" i="3"/>
  <c r="J2218" i="3"/>
  <c r="M2218" i="3"/>
  <c r="E2212" i="3"/>
  <c r="M1111" i="3"/>
  <c r="I1663" i="3"/>
  <c r="J2212" i="3"/>
  <c r="G2212" i="3"/>
  <c r="I2218" i="3"/>
  <c r="F2218" i="3"/>
  <c r="K1430" i="3"/>
  <c r="O2210" i="3"/>
  <c r="H2382" i="3"/>
  <c r="L2382" i="3"/>
  <c r="I2382" i="3"/>
  <c r="L2372" i="3"/>
  <c r="O2372" i="3"/>
  <c r="M2372" i="3"/>
  <c r="G2218" i="3"/>
  <c r="H2212" i="3"/>
  <c r="E2382" i="3"/>
  <c r="K2382" i="3"/>
  <c r="B2253" i="3"/>
  <c r="B2254" i="3" s="1"/>
  <c r="F2214" i="3"/>
  <c r="G2215" i="3"/>
  <c r="G247" i="3"/>
  <c r="L247" i="3"/>
  <c r="I247" i="3"/>
  <c r="F248" i="3"/>
  <c r="O248" i="3"/>
  <c r="D248" i="3"/>
  <c r="J2219" i="3"/>
  <c r="K2219" i="3"/>
  <c r="E2215" i="3"/>
  <c r="O2280" i="3"/>
  <c r="E1427" i="3"/>
  <c r="L2288" i="3"/>
  <c r="F2286" i="3"/>
  <c r="E2286" i="3"/>
  <c r="N2374" i="3"/>
  <c r="F2374" i="3"/>
  <c r="G2374" i="3"/>
  <c r="I2378" i="3"/>
  <c r="K2378" i="3"/>
  <c r="L2378" i="3"/>
  <c r="C2025" i="3"/>
  <c r="M2025" i="3" s="1"/>
  <c r="AR1725" i="3"/>
  <c r="M247" i="3"/>
  <c r="J247" i="3"/>
  <c r="I248" i="3"/>
  <c r="H248" i="3"/>
  <c r="D2219" i="3"/>
  <c r="D2215" i="3"/>
  <c r="J2280" i="3"/>
  <c r="N2280" i="3"/>
  <c r="J2288" i="3"/>
  <c r="K2288" i="3"/>
  <c r="K2286" i="3"/>
  <c r="G2286" i="3"/>
  <c r="M2374" i="3"/>
  <c r="O2374" i="3"/>
  <c r="F2378" i="3"/>
  <c r="N2378" i="3"/>
  <c r="C2030" i="3"/>
  <c r="C2032" i="3"/>
  <c r="W964" i="3"/>
  <c r="AI964" i="3"/>
  <c r="AJ963" i="3" s="1"/>
  <c r="C2028" i="3"/>
  <c r="C2035" i="3"/>
  <c r="C2031" i="3"/>
  <c r="P1679" i="3" a="1"/>
  <c r="C2033" i="3"/>
  <c r="C2034" i="3"/>
  <c r="C2026" i="3"/>
  <c r="C2027" i="3"/>
  <c r="C2029" i="3"/>
  <c r="G509" i="3"/>
  <c r="D2210" i="3"/>
  <c r="H1430" i="3"/>
  <c r="E1430" i="3"/>
  <c r="J1430" i="3"/>
  <c r="J2210" i="3"/>
  <c r="Q1389" i="3"/>
  <c r="CC1380" i="3" s="1"/>
  <c r="CF1379" i="3" s="1"/>
  <c r="CH1379" i="3" s="1"/>
  <c r="C2722" i="3"/>
  <c r="L2722" i="3" s="1"/>
  <c r="I1430" i="3"/>
  <c r="N1430" i="3"/>
  <c r="M1430" i="3"/>
  <c r="J2372" i="3"/>
  <c r="D2372" i="3"/>
  <c r="G2372" i="3"/>
  <c r="E2210" i="3"/>
  <c r="M2210" i="3"/>
  <c r="H2210" i="3"/>
  <c r="N132" i="3"/>
  <c r="G1431" i="3"/>
  <c r="O1430" i="3"/>
  <c r="F1430" i="3"/>
  <c r="C2718" i="3"/>
  <c r="O2718" i="3" s="1"/>
  <c r="M1433" i="3"/>
  <c r="P1517" i="3" a="1"/>
  <c r="P1522" i="3" s="1"/>
  <c r="P1496" i="3"/>
  <c r="Q1379" i="3"/>
  <c r="CE1380" i="3" s="1"/>
  <c r="N1111" i="3"/>
  <c r="I1102" i="3"/>
  <c r="L2219" i="3"/>
  <c r="O2219" i="3"/>
  <c r="E2219" i="3"/>
  <c r="N2215" i="3"/>
  <c r="K2215" i="3"/>
  <c r="I2215" i="3"/>
  <c r="D133" i="3"/>
  <c r="L2280" i="3"/>
  <c r="E2280" i="3"/>
  <c r="F2280" i="3"/>
  <c r="M2215" i="3"/>
  <c r="G1427" i="3"/>
  <c r="F2288" i="3"/>
  <c r="O2288" i="3"/>
  <c r="I2288" i="3"/>
  <c r="D1433" i="3"/>
  <c r="C2720" i="3"/>
  <c r="C2723" i="3"/>
  <c r="C2726" i="3"/>
  <c r="C2719" i="3"/>
  <c r="E1102" i="3"/>
  <c r="J133" i="3"/>
  <c r="K133" i="3"/>
  <c r="C2724" i="3"/>
  <c r="F2724" i="3" s="1"/>
  <c r="C2727" i="3"/>
  <c r="C2728" i="3"/>
  <c r="J1111" i="3"/>
  <c r="F505" i="3"/>
  <c r="Q1383" i="3"/>
  <c r="AS1380" i="3" s="1"/>
  <c r="I1111" i="3"/>
  <c r="N2219" i="3"/>
  <c r="L2215" i="3"/>
  <c r="K2214" i="3"/>
  <c r="L2214" i="3"/>
  <c r="G2214" i="3"/>
  <c r="N133" i="3"/>
  <c r="G133" i="3"/>
  <c r="K2280" i="3"/>
  <c r="I2280" i="3"/>
  <c r="K1427" i="3"/>
  <c r="G2288" i="3"/>
  <c r="H2288" i="3"/>
  <c r="C2721" i="3"/>
  <c r="J2721" i="3" s="1"/>
  <c r="N2725" i="3"/>
  <c r="L2725" i="3"/>
  <c r="H2725" i="3"/>
  <c r="M2725" i="3"/>
  <c r="E2725" i="3"/>
  <c r="F2725" i="3"/>
  <c r="G2725" i="3"/>
  <c r="D2725" i="3"/>
  <c r="I2725" i="3"/>
  <c r="O2725" i="3"/>
  <c r="K2725" i="3"/>
  <c r="J2725" i="3"/>
  <c r="P1501" i="3"/>
  <c r="G1102" i="3"/>
  <c r="B2531" i="3"/>
  <c r="C2520" i="3" s="1"/>
  <c r="G132" i="3"/>
  <c r="B1491" i="3"/>
  <c r="Q1384" i="3"/>
  <c r="AY1380" i="3" s="1"/>
  <c r="Q1381" i="3"/>
  <c r="AG1380" i="3" s="1"/>
  <c r="F1111" i="3"/>
  <c r="N68" i="3"/>
  <c r="K1112" i="3"/>
  <c r="O2214" i="3"/>
  <c r="E2214" i="3"/>
  <c r="M1427" i="3"/>
  <c r="E1433" i="3"/>
  <c r="O1433" i="3"/>
  <c r="D1111" i="3"/>
  <c r="M1665" i="3"/>
  <c r="F1663" i="3"/>
  <c r="I68" i="3"/>
  <c r="D2214" i="3"/>
  <c r="N2214" i="3"/>
  <c r="J2214" i="3"/>
  <c r="H2219" i="3"/>
  <c r="I1427" i="3"/>
  <c r="J1427" i="3"/>
  <c r="N1433" i="3"/>
  <c r="K1433" i="3"/>
  <c r="H2215" i="3"/>
  <c r="I1106" i="3"/>
  <c r="D1106" i="3"/>
  <c r="J73" i="3"/>
  <c r="D70" i="3"/>
  <c r="N1105" i="3"/>
  <c r="D2286" i="3"/>
  <c r="J2286" i="3"/>
  <c r="Q1380" i="3"/>
  <c r="W1380" i="3" s="1"/>
  <c r="Y363" i="3"/>
  <c r="Z363" i="3"/>
  <c r="C44" i="3"/>
  <c r="F44" i="3" s="1"/>
  <c r="Q1385" i="3"/>
  <c r="BE1380" i="3" s="1"/>
  <c r="Q1388" i="3"/>
  <c r="BW1380" i="3" s="1"/>
  <c r="BZ1379" i="3" s="1"/>
  <c r="CB1379" i="3" s="1"/>
  <c r="G1103" i="3"/>
  <c r="J49" i="3"/>
  <c r="K249" i="3"/>
  <c r="M249" i="3"/>
  <c r="G249" i="3"/>
  <c r="K2217" i="3"/>
  <c r="G2217" i="3"/>
  <c r="N2217" i="3"/>
  <c r="H1102" i="3"/>
  <c r="I2216" i="3"/>
  <c r="N2216" i="3"/>
  <c r="I132" i="3"/>
  <c r="J2285" i="3"/>
  <c r="F2285" i="3"/>
  <c r="E2285" i="3"/>
  <c r="M2216" i="3"/>
  <c r="O1431" i="3"/>
  <c r="C45" i="3"/>
  <c r="E45" i="3" s="1"/>
  <c r="O2216" i="3"/>
  <c r="G2216" i="3"/>
  <c r="K2216" i="3"/>
  <c r="E132" i="3"/>
  <c r="N2285" i="3"/>
  <c r="G2285" i="3"/>
  <c r="L2285" i="3"/>
  <c r="K1431" i="3"/>
  <c r="L1431" i="3"/>
  <c r="J1434" i="3"/>
  <c r="H2216" i="3"/>
  <c r="L2216" i="3"/>
  <c r="J71" i="3"/>
  <c r="Q1386" i="3"/>
  <c r="BK1380" i="3" s="1"/>
  <c r="Q1382" i="3"/>
  <c r="AM1380" i="3" s="1"/>
  <c r="E505" i="3"/>
  <c r="E1663" i="3"/>
  <c r="H249" i="3"/>
  <c r="N249" i="3"/>
  <c r="L1102" i="3"/>
  <c r="K68" i="3"/>
  <c r="I2217" i="3"/>
  <c r="L2217" i="3"/>
  <c r="N1112" i="3"/>
  <c r="G1112" i="3"/>
  <c r="D2216" i="3"/>
  <c r="J2216" i="3"/>
  <c r="E2216" i="3"/>
  <c r="M1112" i="3"/>
  <c r="K132" i="3"/>
  <c r="O132" i="3"/>
  <c r="D2285" i="3"/>
  <c r="H2285" i="3"/>
  <c r="H1431" i="3"/>
  <c r="M1431" i="3"/>
  <c r="N1434" i="3"/>
  <c r="G2144" i="3"/>
  <c r="H922" i="3"/>
  <c r="J134" i="3"/>
  <c r="Q525" i="3"/>
  <c r="AA525" i="3" s="1"/>
  <c r="J2150" i="3"/>
  <c r="E1105" i="3"/>
  <c r="K1105" i="3"/>
  <c r="M1105" i="3"/>
  <c r="D137" i="3"/>
  <c r="K1434" i="3"/>
  <c r="H1434" i="3"/>
  <c r="Q533" i="3"/>
  <c r="BW525" i="3" s="1"/>
  <c r="L1111" i="3"/>
  <c r="K1111" i="3"/>
  <c r="O1111" i="3"/>
  <c r="BO2810" i="3"/>
  <c r="L1658" i="3"/>
  <c r="D1657" i="3"/>
  <c r="J1102" i="3"/>
  <c r="L2150" i="3"/>
  <c r="J1107" i="3"/>
  <c r="M1102" i="3"/>
  <c r="F1105" i="3"/>
  <c r="H135" i="3"/>
  <c r="M133" i="3"/>
  <c r="O133" i="3"/>
  <c r="F133" i="3"/>
  <c r="J132" i="3"/>
  <c r="M132" i="3"/>
  <c r="D132" i="3"/>
  <c r="J1431" i="3"/>
  <c r="I1431" i="3"/>
  <c r="F1431" i="3"/>
  <c r="F1434" i="3"/>
  <c r="O1434" i="3"/>
  <c r="G1111" i="3"/>
  <c r="E1111" i="3"/>
  <c r="H69" i="3"/>
  <c r="O73" i="3"/>
  <c r="K1102" i="3"/>
  <c r="F1102" i="3"/>
  <c r="E2150" i="3"/>
  <c r="D1102" i="3"/>
  <c r="N1102" i="3"/>
  <c r="I133" i="3"/>
  <c r="H133" i="3"/>
  <c r="H132" i="3"/>
  <c r="L132" i="3"/>
  <c r="D1431" i="3"/>
  <c r="E1431" i="3"/>
  <c r="G1434" i="3"/>
  <c r="I1434" i="3"/>
  <c r="L1434" i="3"/>
  <c r="M1663" i="3"/>
  <c r="I1104" i="3"/>
  <c r="E137" i="3"/>
  <c r="P1504" i="3"/>
  <c r="O922" i="3"/>
  <c r="K2218" i="3"/>
  <c r="E2218" i="3"/>
  <c r="H1663" i="3"/>
  <c r="N1663" i="3"/>
  <c r="H73" i="3"/>
  <c r="H1104" i="3"/>
  <c r="D1110" i="3"/>
  <c r="P1502" i="3"/>
  <c r="J922" i="3"/>
  <c r="F2219" i="3"/>
  <c r="G2219" i="3"/>
  <c r="K135" i="3"/>
  <c r="H136" i="3"/>
  <c r="I142" i="3"/>
  <c r="P1503" i="3"/>
  <c r="D922" i="3"/>
  <c r="E922" i="3"/>
  <c r="I135" i="3"/>
  <c r="P1497" i="3"/>
  <c r="F922" i="3"/>
  <c r="K922" i="3"/>
  <c r="G2145" i="3"/>
  <c r="J137" i="3"/>
  <c r="O135" i="3"/>
  <c r="P1498" i="3"/>
  <c r="P1495" i="3"/>
  <c r="G922" i="3"/>
  <c r="I922" i="3"/>
  <c r="N922" i="3"/>
  <c r="L922" i="3"/>
  <c r="Q524" i="3"/>
  <c r="U525" i="3" s="1"/>
  <c r="K141" i="3"/>
  <c r="E135" i="3"/>
  <c r="L510" i="3"/>
  <c r="N504" i="3"/>
  <c r="M1662" i="3"/>
  <c r="N70" i="3"/>
  <c r="L68" i="3"/>
  <c r="M65" i="3"/>
  <c r="M1658" i="3"/>
  <c r="E1658" i="3"/>
  <c r="M2150" i="3"/>
  <c r="G2150" i="3"/>
  <c r="N2150" i="3"/>
  <c r="N1104" i="3"/>
  <c r="E1104" i="3"/>
  <c r="M1104" i="3"/>
  <c r="G1104" i="3"/>
  <c r="G1105" i="3"/>
  <c r="O1105" i="3"/>
  <c r="D1105" i="3"/>
  <c r="I137" i="3"/>
  <c r="J135" i="3"/>
  <c r="L135" i="3"/>
  <c r="H134" i="3"/>
  <c r="F1427" i="3"/>
  <c r="D1427" i="3"/>
  <c r="L1427" i="3"/>
  <c r="J1433" i="3"/>
  <c r="G1433" i="3"/>
  <c r="I1433" i="3"/>
  <c r="E1434" i="3"/>
  <c r="D1434" i="3"/>
  <c r="K2150" i="3"/>
  <c r="F2150" i="3"/>
  <c r="I2150" i="3"/>
  <c r="E1107" i="3"/>
  <c r="G70" i="3"/>
  <c r="M68" i="3"/>
  <c r="E68" i="3"/>
  <c r="L853" i="3"/>
  <c r="D1658" i="3"/>
  <c r="D2150" i="3"/>
  <c r="O2150" i="3"/>
  <c r="K1104" i="3"/>
  <c r="O1104" i="3"/>
  <c r="J1104" i="3"/>
  <c r="L1104" i="3"/>
  <c r="F1104" i="3"/>
  <c r="B1705" i="3"/>
  <c r="B1706" i="3" s="1"/>
  <c r="H1105" i="3"/>
  <c r="J1105" i="3"/>
  <c r="I1105" i="3"/>
  <c r="K137" i="3"/>
  <c r="M137" i="3"/>
  <c r="G135" i="3"/>
  <c r="D135" i="3"/>
  <c r="N1427" i="3"/>
  <c r="H1427" i="3"/>
  <c r="H1433" i="3"/>
  <c r="F1433" i="3"/>
  <c r="O504" i="3"/>
  <c r="BD2810" i="3"/>
  <c r="M926" i="3"/>
  <c r="G926" i="3"/>
  <c r="F926" i="3"/>
  <c r="H926" i="3"/>
  <c r="K926" i="3"/>
  <c r="N926" i="3"/>
  <c r="O926" i="3"/>
  <c r="E926" i="3"/>
  <c r="D926" i="3"/>
  <c r="L926" i="3"/>
  <c r="J926" i="3"/>
  <c r="I926" i="3"/>
  <c r="D923" i="3"/>
  <c r="F923" i="3"/>
  <c r="O923" i="3"/>
  <c r="H923" i="3"/>
  <c r="K923" i="3"/>
  <c r="I923" i="3"/>
  <c r="G923" i="3"/>
  <c r="E923" i="3"/>
  <c r="N923" i="3"/>
  <c r="J923" i="3"/>
  <c r="M923" i="3"/>
  <c r="L923" i="3"/>
  <c r="K919" i="3"/>
  <c r="O919" i="3"/>
  <c r="M919" i="3"/>
  <c r="F919" i="3"/>
  <c r="N919" i="3"/>
  <c r="D919" i="3"/>
  <c r="L919" i="3"/>
  <c r="G919" i="3"/>
  <c r="H919" i="3"/>
  <c r="E919" i="3"/>
  <c r="J919" i="3"/>
  <c r="I919" i="3"/>
  <c r="L921" i="3"/>
  <c r="K921" i="3"/>
  <c r="H921" i="3"/>
  <c r="E921" i="3"/>
  <c r="D921" i="3"/>
  <c r="G921" i="3"/>
  <c r="F921" i="3"/>
  <c r="M921" i="3"/>
  <c r="I921" i="3"/>
  <c r="N921" i="3"/>
  <c r="J921" i="3"/>
  <c r="O921" i="3"/>
  <c r="O924" i="3"/>
  <c r="L924" i="3"/>
  <c r="M924" i="3"/>
  <c r="D924" i="3"/>
  <c r="I924" i="3"/>
  <c r="K924" i="3"/>
  <c r="H924" i="3"/>
  <c r="G924" i="3"/>
  <c r="E924" i="3"/>
  <c r="F924" i="3"/>
  <c r="N924" i="3"/>
  <c r="J924" i="3"/>
  <c r="I920" i="3"/>
  <c r="L920" i="3"/>
  <c r="H920" i="3"/>
  <c r="O920" i="3"/>
  <c r="F920" i="3"/>
  <c r="M920" i="3"/>
  <c r="N920" i="3"/>
  <c r="D920" i="3"/>
  <c r="E920" i="3"/>
  <c r="K920" i="3"/>
  <c r="G920" i="3"/>
  <c r="J920" i="3"/>
  <c r="K927" i="3"/>
  <c r="H927" i="3"/>
  <c r="D927" i="3"/>
  <c r="O927" i="3"/>
  <c r="N927" i="3"/>
  <c r="F927" i="3"/>
  <c r="J927" i="3"/>
  <c r="E927" i="3"/>
  <c r="G927" i="3"/>
  <c r="M927" i="3"/>
  <c r="L927" i="3"/>
  <c r="I927" i="3"/>
  <c r="L2148" i="3"/>
  <c r="K917" i="3"/>
  <c r="M917" i="3"/>
  <c r="L917" i="3"/>
  <c r="F917" i="3"/>
  <c r="I917" i="3"/>
  <c r="D917" i="3"/>
  <c r="H917" i="3"/>
  <c r="E917" i="3"/>
  <c r="O917" i="3"/>
  <c r="G917" i="3"/>
  <c r="J917" i="3"/>
  <c r="N917" i="3"/>
  <c r="K925" i="3"/>
  <c r="H925" i="3"/>
  <c r="I925" i="3"/>
  <c r="J925" i="3"/>
  <c r="F925" i="3"/>
  <c r="O925" i="3"/>
  <c r="G925" i="3"/>
  <c r="L925" i="3"/>
  <c r="E925" i="3"/>
  <c r="M925" i="3"/>
  <c r="N925" i="3"/>
  <c r="D925" i="3"/>
  <c r="P2672" i="3" a="1"/>
  <c r="N1658" i="3"/>
  <c r="E1664" i="3"/>
  <c r="K136" i="3"/>
  <c r="O142" i="3"/>
  <c r="F134" i="3"/>
  <c r="P1499" i="3"/>
  <c r="P1500" i="3"/>
  <c r="I136" i="3"/>
  <c r="F142" i="3"/>
  <c r="F136" i="3"/>
  <c r="G136" i="3"/>
  <c r="G142" i="3"/>
  <c r="J142" i="3"/>
  <c r="H142" i="3"/>
  <c r="J136" i="3"/>
  <c r="M136" i="3"/>
  <c r="K142" i="3"/>
  <c r="E142" i="3"/>
  <c r="M142" i="3"/>
  <c r="P2002" i="3" a="1"/>
  <c r="P2007" i="3" s="1"/>
  <c r="P755" i="3" a="1"/>
  <c r="P759" i="3" s="1"/>
  <c r="Q531" i="3"/>
  <c r="BK525" i="3" s="1"/>
  <c r="N136" i="3"/>
  <c r="L136" i="3"/>
  <c r="D142" i="3"/>
  <c r="N142" i="3"/>
  <c r="Q530" i="3"/>
  <c r="BE525" i="3" s="1"/>
  <c r="Q529" i="3"/>
  <c r="AY525" i="3" s="1"/>
  <c r="L504" i="3"/>
  <c r="Q528" i="3"/>
  <c r="AS525" i="3" s="1"/>
  <c r="Q527" i="3"/>
  <c r="AM525" i="3" s="1"/>
  <c r="L66" i="3"/>
  <c r="O1658" i="3"/>
  <c r="H1657" i="3"/>
  <c r="J1658" i="3"/>
  <c r="K1664" i="3"/>
  <c r="I2146" i="3"/>
  <c r="M2151" i="3"/>
  <c r="D1108" i="3"/>
  <c r="E1108" i="3"/>
  <c r="O1112" i="3"/>
  <c r="E141" i="3"/>
  <c r="N134" i="3"/>
  <c r="G134" i="3"/>
  <c r="Q534" i="3"/>
  <c r="CC525" i="3" s="1"/>
  <c r="CF524" i="3" s="1"/>
  <c r="CG524" i="3" s="1"/>
  <c r="I1112" i="3"/>
  <c r="H1112" i="3"/>
  <c r="G2151" i="3"/>
  <c r="D1112" i="3"/>
  <c r="C1757" i="3"/>
  <c r="H1757" i="3" s="1"/>
  <c r="Q526" i="3"/>
  <c r="AG525" i="3" s="1"/>
  <c r="Q532" i="3"/>
  <c r="BQ525" i="3" s="1"/>
  <c r="I67" i="3"/>
  <c r="K1658" i="3"/>
  <c r="E1112" i="3"/>
  <c r="G1664" i="3"/>
  <c r="O2151" i="3"/>
  <c r="G1108" i="3"/>
  <c r="F1112" i="3"/>
  <c r="J1112" i="3"/>
  <c r="D141" i="3"/>
  <c r="D134" i="3"/>
  <c r="H503" i="3"/>
  <c r="H1432" i="3"/>
  <c r="J1432" i="3"/>
  <c r="L1432" i="3"/>
  <c r="D1432" i="3"/>
  <c r="N1432" i="3"/>
  <c r="G1432" i="3"/>
  <c r="M1432" i="3"/>
  <c r="O1432" i="3"/>
  <c r="I1432" i="3"/>
  <c r="E1432" i="3"/>
  <c r="K1432" i="3"/>
  <c r="F1432" i="3"/>
  <c r="P548" i="3"/>
  <c r="P557" i="3"/>
  <c r="P553" i="3"/>
  <c r="P556" i="3"/>
  <c r="P552" i="3"/>
  <c r="P551" i="3"/>
  <c r="P549" i="3"/>
  <c r="P554" i="3"/>
  <c r="P555" i="3"/>
  <c r="P558" i="3"/>
  <c r="P550" i="3"/>
  <c r="N1036" i="3"/>
  <c r="D1036" i="3"/>
  <c r="K1036" i="3"/>
  <c r="O1036" i="3"/>
  <c r="H1036" i="3"/>
  <c r="J1036" i="3"/>
  <c r="L1036" i="3"/>
  <c r="M1036" i="3"/>
  <c r="G1036" i="3"/>
  <c r="F1036" i="3"/>
  <c r="E1036" i="3"/>
  <c r="I1036" i="3"/>
  <c r="I1039" i="3"/>
  <c r="L1039" i="3"/>
  <c r="H1039" i="3"/>
  <c r="F1039" i="3"/>
  <c r="K1039" i="3"/>
  <c r="M1039" i="3"/>
  <c r="E1039" i="3"/>
  <c r="O1039" i="3"/>
  <c r="J1039" i="3"/>
  <c r="D1039" i="3"/>
  <c r="G1039" i="3"/>
  <c r="N1039" i="3"/>
  <c r="M141" i="3"/>
  <c r="H141" i="3"/>
  <c r="I141" i="3"/>
  <c r="N1435" i="3"/>
  <c r="M1435" i="3"/>
  <c r="I1435" i="3"/>
  <c r="D1435" i="3"/>
  <c r="G1435" i="3"/>
  <c r="H1435" i="3"/>
  <c r="E1435" i="3"/>
  <c r="F1435" i="3"/>
  <c r="L1435" i="3"/>
  <c r="J1435" i="3"/>
  <c r="O1435" i="3"/>
  <c r="K1435" i="3"/>
  <c r="J2289" i="3"/>
  <c r="K2289" i="3"/>
  <c r="E2289" i="3"/>
  <c r="H2289" i="3"/>
  <c r="D2289" i="3"/>
  <c r="L2289" i="3"/>
  <c r="N2289" i="3"/>
  <c r="G2289" i="3"/>
  <c r="M2289" i="3"/>
  <c r="I2289" i="3"/>
  <c r="F2289" i="3"/>
  <c r="O2289" i="3"/>
  <c r="L1038" i="3"/>
  <c r="D1038" i="3"/>
  <c r="M1038" i="3"/>
  <c r="G1038" i="3"/>
  <c r="F1038" i="3"/>
  <c r="H1038" i="3"/>
  <c r="J1038" i="3"/>
  <c r="I1038" i="3"/>
  <c r="O1038" i="3"/>
  <c r="E1038" i="3"/>
  <c r="K1038" i="3"/>
  <c r="N1038" i="3"/>
  <c r="F1037" i="3"/>
  <c r="M1037" i="3"/>
  <c r="D1037" i="3"/>
  <c r="L1037" i="3"/>
  <c r="E1037" i="3"/>
  <c r="N1037" i="3"/>
  <c r="K1037" i="3"/>
  <c r="J1037" i="3"/>
  <c r="O1037" i="3"/>
  <c r="I1037" i="3"/>
  <c r="G1037" i="3"/>
  <c r="H1037" i="3"/>
  <c r="K1040" i="3"/>
  <c r="M1040" i="3"/>
  <c r="J1040" i="3"/>
  <c r="G1040" i="3"/>
  <c r="I1040" i="3"/>
  <c r="N1040" i="3"/>
  <c r="F1040" i="3"/>
  <c r="L1040" i="3"/>
  <c r="H1040" i="3"/>
  <c r="E1040" i="3"/>
  <c r="O1040" i="3"/>
  <c r="D1040" i="3"/>
  <c r="G510" i="3"/>
  <c r="N503" i="3"/>
  <c r="E509" i="3"/>
  <c r="AA2811" i="3"/>
  <c r="AD2810" i="3" s="1"/>
  <c r="AF2810" i="3" s="1"/>
  <c r="E1662" i="3"/>
  <c r="J2144" i="3"/>
  <c r="D2151" i="3"/>
  <c r="L1107" i="3"/>
  <c r="G137" i="3"/>
  <c r="O137" i="3"/>
  <c r="L137" i="3"/>
  <c r="J141" i="3"/>
  <c r="F141" i="3"/>
  <c r="L141" i="3"/>
  <c r="I134" i="3"/>
  <c r="O134" i="3"/>
  <c r="L134" i="3"/>
  <c r="K1428" i="3"/>
  <c r="H1428" i="3"/>
  <c r="J1428" i="3"/>
  <c r="E1428" i="3"/>
  <c r="N1428" i="3"/>
  <c r="O1428" i="3"/>
  <c r="L1428" i="3"/>
  <c r="G1428" i="3"/>
  <c r="F1428" i="3"/>
  <c r="D1428" i="3"/>
  <c r="M1428" i="3"/>
  <c r="I1428" i="3"/>
  <c r="G1035" i="3"/>
  <c r="I1035" i="3"/>
  <c r="J1035" i="3"/>
  <c r="H1035" i="3"/>
  <c r="O1035" i="3"/>
  <c r="M1035" i="3"/>
  <c r="E1035" i="3"/>
  <c r="D1035" i="3"/>
  <c r="K1035" i="3"/>
  <c r="L1035" i="3"/>
  <c r="F1035" i="3"/>
  <c r="N1035" i="3"/>
  <c r="D1042" i="3"/>
  <c r="G1042" i="3"/>
  <c r="O1042" i="3"/>
  <c r="F1042" i="3"/>
  <c r="I1042" i="3"/>
  <c r="J1042" i="3"/>
  <c r="M1042" i="3"/>
  <c r="L1042" i="3"/>
  <c r="H1042" i="3"/>
  <c r="K1042" i="3"/>
  <c r="E1042" i="3"/>
  <c r="N1042" i="3"/>
  <c r="D1041" i="3"/>
  <c r="M1041" i="3"/>
  <c r="G1041" i="3"/>
  <c r="N1041" i="3"/>
  <c r="J1041" i="3"/>
  <c r="F1041" i="3"/>
  <c r="O1041" i="3"/>
  <c r="I1041" i="3"/>
  <c r="K1041" i="3"/>
  <c r="H1041" i="3"/>
  <c r="L1041" i="3"/>
  <c r="E1041" i="3"/>
  <c r="L503" i="3"/>
  <c r="N72" i="3"/>
  <c r="H2151" i="3"/>
  <c r="E2151" i="3"/>
  <c r="F1107" i="3"/>
  <c r="H1107" i="3"/>
  <c r="H137" i="3"/>
  <c r="N137" i="3"/>
  <c r="N141" i="3"/>
  <c r="G141" i="3"/>
  <c r="F135" i="3"/>
  <c r="N135" i="3"/>
  <c r="E136" i="3"/>
  <c r="D136" i="3"/>
  <c r="E134" i="3"/>
  <c r="K134" i="3"/>
  <c r="C1754" i="3"/>
  <c r="I1754" i="3" s="1"/>
  <c r="G1426" i="3"/>
  <c r="F1426" i="3"/>
  <c r="L1426" i="3"/>
  <c r="H1426" i="3"/>
  <c r="K1426" i="3"/>
  <c r="I1426" i="3"/>
  <c r="E1426" i="3"/>
  <c r="N1426" i="3"/>
  <c r="D1426" i="3"/>
  <c r="O1426" i="3"/>
  <c r="J1426" i="3"/>
  <c r="M1426" i="3"/>
  <c r="E1425" i="3"/>
  <c r="I1425" i="3"/>
  <c r="K1425" i="3"/>
  <c r="M1425" i="3"/>
  <c r="J1425" i="3"/>
  <c r="O1425" i="3"/>
  <c r="L1425" i="3"/>
  <c r="D1425" i="3"/>
  <c r="H1425" i="3"/>
  <c r="F1425" i="3"/>
  <c r="G1425" i="3"/>
  <c r="N1425" i="3"/>
  <c r="J2279" i="3"/>
  <c r="M2279" i="3"/>
  <c r="N2279" i="3"/>
  <c r="D2279" i="3"/>
  <c r="I2279" i="3"/>
  <c r="G2279" i="3"/>
  <c r="E2279" i="3"/>
  <c r="O2279" i="3"/>
  <c r="L2279" i="3"/>
  <c r="H2279" i="3"/>
  <c r="F2279" i="3"/>
  <c r="K2279" i="3"/>
  <c r="L1034" i="3"/>
  <c r="E1034" i="3"/>
  <c r="J1034" i="3"/>
  <c r="D1034" i="3"/>
  <c r="M1034" i="3"/>
  <c r="F1034" i="3"/>
  <c r="O1034" i="3"/>
  <c r="H1034" i="3"/>
  <c r="K1034" i="3"/>
  <c r="I1034" i="3"/>
  <c r="G1034" i="3"/>
  <c r="N1034" i="3"/>
  <c r="L1032" i="3"/>
  <c r="M1032" i="3"/>
  <c r="N1032" i="3"/>
  <c r="F1032" i="3"/>
  <c r="O1032" i="3"/>
  <c r="D1032" i="3"/>
  <c r="K1032" i="3"/>
  <c r="E1032" i="3"/>
  <c r="I1032" i="3"/>
  <c r="J1032" i="3"/>
  <c r="G1032" i="3"/>
  <c r="H1032" i="3"/>
  <c r="H1756" i="3"/>
  <c r="J1756" i="3"/>
  <c r="I1756" i="3"/>
  <c r="E1756" i="3"/>
  <c r="L1756" i="3"/>
  <c r="G1756" i="3"/>
  <c r="N1756" i="3"/>
  <c r="M1756" i="3"/>
  <c r="F1756" i="3"/>
  <c r="O1756" i="3"/>
  <c r="K1756" i="3"/>
  <c r="D1756" i="3"/>
  <c r="C1752" i="3"/>
  <c r="C1755" i="3"/>
  <c r="B187" i="3"/>
  <c r="C1748" i="3"/>
  <c r="C1753" i="3"/>
  <c r="C1750" i="3"/>
  <c r="C1751" i="3"/>
  <c r="C1758" i="3"/>
  <c r="C1749" i="3"/>
  <c r="G1657" i="3"/>
  <c r="O1664" i="3"/>
  <c r="K2146" i="3"/>
  <c r="I2145" i="3"/>
  <c r="J138" i="3"/>
  <c r="H138" i="3"/>
  <c r="E138" i="3"/>
  <c r="N138" i="3"/>
  <c r="G138" i="3"/>
  <c r="O138" i="3"/>
  <c r="D138" i="3"/>
  <c r="L138" i="3"/>
  <c r="K138" i="3"/>
  <c r="M138" i="3"/>
  <c r="I138" i="3"/>
  <c r="F138" i="3"/>
  <c r="E140" i="3"/>
  <c r="M140" i="3"/>
  <c r="H140" i="3"/>
  <c r="I140" i="3"/>
  <c r="K140" i="3"/>
  <c r="D140" i="3"/>
  <c r="J140" i="3"/>
  <c r="O140" i="3"/>
  <c r="G140" i="3"/>
  <c r="F140" i="3"/>
  <c r="N140" i="3"/>
  <c r="L140" i="3"/>
  <c r="M1657" i="3"/>
  <c r="J1657" i="3"/>
  <c r="N1657" i="3"/>
  <c r="O1657" i="3"/>
  <c r="I1664" i="3"/>
  <c r="K2145" i="3"/>
  <c r="N139" i="3"/>
  <c r="K139" i="3"/>
  <c r="G139" i="3"/>
  <c r="H139" i="3"/>
  <c r="M139" i="3"/>
  <c r="D139" i="3"/>
  <c r="L139" i="3"/>
  <c r="O139" i="3"/>
  <c r="F139" i="3"/>
  <c r="E139" i="3"/>
  <c r="I139" i="3"/>
  <c r="J139" i="3"/>
  <c r="N501" i="3"/>
  <c r="S709" i="3"/>
  <c r="L225" i="3"/>
  <c r="L226" i="3"/>
  <c r="K67" i="3"/>
  <c r="J2143" i="3"/>
  <c r="K225" i="3"/>
  <c r="F226" i="3"/>
  <c r="G504" i="3"/>
  <c r="H504" i="3"/>
  <c r="G1663" i="3"/>
  <c r="D1663" i="3"/>
  <c r="J1663" i="3"/>
  <c r="M69" i="3"/>
  <c r="E73" i="3"/>
  <c r="M73" i="3"/>
  <c r="H65" i="3"/>
  <c r="E67" i="3"/>
  <c r="J853" i="3"/>
  <c r="K1659" i="3"/>
  <c r="M1656" i="3"/>
  <c r="K2148" i="3"/>
  <c r="F2143" i="3"/>
  <c r="F2151" i="3"/>
  <c r="L2151" i="3"/>
  <c r="N2151" i="3"/>
  <c r="F1108" i="3"/>
  <c r="L1108" i="3"/>
  <c r="J1108" i="3"/>
  <c r="O1108" i="3"/>
  <c r="N1108" i="3"/>
  <c r="G225" i="3"/>
  <c r="F504" i="3"/>
  <c r="L1663" i="3"/>
  <c r="O1663" i="3"/>
  <c r="G73" i="3"/>
  <c r="G65" i="3"/>
  <c r="D853" i="3"/>
  <c r="I853" i="3"/>
  <c r="O1656" i="3"/>
  <c r="F2146" i="3"/>
  <c r="K2151" i="3"/>
  <c r="J2151" i="3"/>
  <c r="K1108" i="3"/>
  <c r="H1108" i="3"/>
  <c r="M1108" i="3"/>
  <c r="CC2811" i="3"/>
  <c r="CF2810" i="3" s="1"/>
  <c r="CG2810" i="3" s="1"/>
  <c r="M501" i="3"/>
  <c r="G501" i="3"/>
  <c r="L234" i="3"/>
  <c r="O501" i="3"/>
  <c r="F503" i="3"/>
  <c r="AW2810" i="3"/>
  <c r="O1665" i="3"/>
  <c r="G1662" i="3"/>
  <c r="N1661" i="3"/>
  <c r="N69" i="3"/>
  <c r="I69" i="3"/>
  <c r="F73" i="3"/>
  <c r="D73" i="3"/>
  <c r="N73" i="3"/>
  <c r="G66" i="3"/>
  <c r="E71" i="3"/>
  <c r="F853" i="3"/>
  <c r="I854" i="3"/>
  <c r="AO2811" i="3"/>
  <c r="L2145" i="3"/>
  <c r="H2145" i="3"/>
  <c r="M2143" i="3"/>
  <c r="O1107" i="3"/>
  <c r="M1107" i="3"/>
  <c r="I510" i="3"/>
  <c r="E501" i="3"/>
  <c r="L501" i="3"/>
  <c r="J503" i="3"/>
  <c r="E503" i="3"/>
  <c r="K1665" i="3"/>
  <c r="G69" i="3"/>
  <c r="J69" i="3"/>
  <c r="I73" i="3"/>
  <c r="L73" i="3"/>
  <c r="O66" i="3"/>
  <c r="K71" i="3"/>
  <c r="E854" i="3"/>
  <c r="E1659" i="3"/>
  <c r="D2145" i="3"/>
  <c r="J2148" i="3"/>
  <c r="I1107" i="3"/>
  <c r="N1107" i="3"/>
  <c r="D1107" i="3"/>
  <c r="G1107" i="3"/>
  <c r="K224" i="3"/>
  <c r="D502" i="3"/>
  <c r="CE2811" i="3"/>
  <c r="J1665" i="3"/>
  <c r="I1665" i="3"/>
  <c r="D1665" i="3"/>
  <c r="F1661" i="3"/>
  <c r="O1661" i="3"/>
  <c r="I65" i="3"/>
  <c r="D65" i="3"/>
  <c r="K65" i="3"/>
  <c r="L64" i="3"/>
  <c r="N67" i="3"/>
  <c r="J67" i="3"/>
  <c r="D67" i="3"/>
  <c r="H2143" i="3"/>
  <c r="L2143" i="3"/>
  <c r="K2143" i="3"/>
  <c r="D225" i="3"/>
  <c r="I225" i="3"/>
  <c r="C40" i="3"/>
  <c r="M40" i="3" s="1"/>
  <c r="F224" i="3"/>
  <c r="F1103" i="3"/>
  <c r="D49" i="3"/>
  <c r="N502" i="3"/>
  <c r="N1665" i="3"/>
  <c r="H1665" i="3"/>
  <c r="L1665" i="3"/>
  <c r="I1661" i="3"/>
  <c r="K1661" i="3"/>
  <c r="J65" i="3"/>
  <c r="L65" i="3"/>
  <c r="O65" i="3"/>
  <c r="M64" i="3"/>
  <c r="M67" i="3"/>
  <c r="H67" i="3"/>
  <c r="L67" i="3"/>
  <c r="G1661" i="3"/>
  <c r="J1661" i="3"/>
  <c r="M1661" i="3"/>
  <c r="J2145" i="3"/>
  <c r="N2145" i="3"/>
  <c r="E2145" i="3"/>
  <c r="H2148" i="3"/>
  <c r="N2143" i="3"/>
  <c r="I2143" i="3"/>
  <c r="G2143" i="3"/>
  <c r="E225" i="3"/>
  <c r="O227" i="3"/>
  <c r="I224" i="3"/>
  <c r="I1103" i="3"/>
  <c r="N49" i="3"/>
  <c r="L505" i="3"/>
  <c r="G1665" i="3"/>
  <c r="E1665" i="3"/>
  <c r="N65" i="3"/>
  <c r="E65" i="3"/>
  <c r="I64" i="3"/>
  <c r="G67" i="3"/>
  <c r="O67" i="3"/>
  <c r="L1661" i="3"/>
  <c r="F2145" i="3"/>
  <c r="M2145" i="3"/>
  <c r="E2148" i="3"/>
  <c r="G2148" i="3"/>
  <c r="D2143" i="3"/>
  <c r="E2143" i="3"/>
  <c r="Q1818" i="3"/>
  <c r="U1819" i="3" s="1"/>
  <c r="X1818" i="3" s="1"/>
  <c r="C46" i="3"/>
  <c r="K46" i="3" s="1"/>
  <c r="C43" i="3"/>
  <c r="G43" i="3" s="1"/>
  <c r="M1103" i="3"/>
  <c r="H1103" i="3"/>
  <c r="K1103" i="3"/>
  <c r="C41" i="3"/>
  <c r="G41" i="3" s="1"/>
  <c r="G49" i="3"/>
  <c r="O49" i="3"/>
  <c r="M49" i="3"/>
  <c r="K505" i="3"/>
  <c r="M505" i="3"/>
  <c r="I505" i="3"/>
  <c r="K1662" i="3"/>
  <c r="L1662" i="3"/>
  <c r="F1662" i="3"/>
  <c r="O70" i="3"/>
  <c r="K70" i="3"/>
  <c r="F70" i="3"/>
  <c r="F72" i="3"/>
  <c r="E64" i="3"/>
  <c r="G64" i="3"/>
  <c r="F64" i="3"/>
  <c r="O1659" i="3"/>
  <c r="D2146" i="3"/>
  <c r="J2146" i="3"/>
  <c r="M2146" i="3"/>
  <c r="I1110" i="3"/>
  <c r="O1110" i="3"/>
  <c r="J1110" i="3"/>
  <c r="C48" i="3"/>
  <c r="M48" i="3" s="1"/>
  <c r="C50" i="3"/>
  <c r="J50" i="3" s="1"/>
  <c r="D1103" i="3"/>
  <c r="J1103" i="3"/>
  <c r="E1103" i="3"/>
  <c r="N228" i="3"/>
  <c r="E49" i="3"/>
  <c r="L49" i="3"/>
  <c r="H49" i="3"/>
  <c r="I511" i="3"/>
  <c r="J510" i="3"/>
  <c r="H501" i="3"/>
  <c r="D501" i="3"/>
  <c r="K501" i="3"/>
  <c r="O505" i="3"/>
  <c r="N505" i="3"/>
  <c r="J505" i="3"/>
  <c r="I503" i="3"/>
  <c r="M503" i="3"/>
  <c r="D503" i="3"/>
  <c r="K504" i="3"/>
  <c r="D504" i="3"/>
  <c r="M504" i="3"/>
  <c r="D1662" i="3"/>
  <c r="J1662" i="3"/>
  <c r="I1662" i="3"/>
  <c r="M70" i="3"/>
  <c r="J70" i="3"/>
  <c r="L70" i="3"/>
  <c r="D69" i="3"/>
  <c r="L69" i="3"/>
  <c r="F69" i="3"/>
  <c r="F68" i="3"/>
  <c r="G68" i="3"/>
  <c r="O68" i="3"/>
  <c r="D72" i="3"/>
  <c r="D64" i="3"/>
  <c r="J64" i="3"/>
  <c r="O64" i="3"/>
  <c r="I1658" i="3"/>
  <c r="H1658" i="3"/>
  <c r="F1657" i="3"/>
  <c r="F1658" i="3"/>
  <c r="D1664" i="3"/>
  <c r="O2146" i="3"/>
  <c r="E2146" i="3"/>
  <c r="N2146" i="3"/>
  <c r="N2148" i="3"/>
  <c r="D2148" i="3"/>
  <c r="I2148" i="3"/>
  <c r="K2144" i="3"/>
  <c r="I2144" i="3"/>
  <c r="H1110" i="3"/>
  <c r="N1110" i="3"/>
  <c r="L1110" i="3"/>
  <c r="L1103" i="3"/>
  <c r="N1103" i="3"/>
  <c r="J228" i="3"/>
  <c r="C42" i="3"/>
  <c r="F42" i="3" s="1"/>
  <c r="I49" i="3"/>
  <c r="K49" i="3"/>
  <c r="F510" i="3"/>
  <c r="K510" i="3"/>
  <c r="J501" i="3"/>
  <c r="I501" i="3"/>
  <c r="D505" i="3"/>
  <c r="H505" i="3"/>
  <c r="K503" i="3"/>
  <c r="G503" i="3"/>
  <c r="J504" i="3"/>
  <c r="E504" i="3"/>
  <c r="BG2811" i="3"/>
  <c r="O1662" i="3"/>
  <c r="H1662" i="3"/>
  <c r="I70" i="3"/>
  <c r="E70" i="3"/>
  <c r="K69" i="3"/>
  <c r="O69" i="3"/>
  <c r="H68" i="3"/>
  <c r="J68" i="3"/>
  <c r="H64" i="3"/>
  <c r="K64" i="3"/>
  <c r="M850" i="3"/>
  <c r="H850" i="3"/>
  <c r="G1666" i="3"/>
  <c r="K850" i="3"/>
  <c r="N1659" i="3"/>
  <c r="E1657" i="3"/>
  <c r="K1657" i="3"/>
  <c r="I1657" i="3"/>
  <c r="H1664" i="3"/>
  <c r="L1664" i="3"/>
  <c r="G2146" i="3"/>
  <c r="L2146" i="3"/>
  <c r="O2148" i="3"/>
  <c r="F2148" i="3"/>
  <c r="N2144" i="3"/>
  <c r="H2144" i="3"/>
  <c r="G1110" i="3"/>
  <c r="K1110" i="3"/>
  <c r="C2189" i="3"/>
  <c r="C2192" i="3"/>
  <c r="C2188" i="3"/>
  <c r="CB1725" i="3"/>
  <c r="AA1726" i="3"/>
  <c r="W1726" i="3"/>
  <c r="AO1726" i="3"/>
  <c r="M1110" i="3"/>
  <c r="F1110" i="3"/>
  <c r="O1411" i="3"/>
  <c r="E1411" i="3"/>
  <c r="M1411" i="3"/>
  <c r="N1411" i="3"/>
  <c r="L1411" i="3"/>
  <c r="G1411" i="3"/>
  <c r="D1411" i="3"/>
  <c r="J1411" i="3"/>
  <c r="I1411" i="3"/>
  <c r="F1411" i="3"/>
  <c r="K1411" i="3"/>
  <c r="H1411" i="3"/>
  <c r="F1408" i="3"/>
  <c r="O1408" i="3"/>
  <c r="I1408" i="3"/>
  <c r="D1408" i="3"/>
  <c r="M1408" i="3"/>
  <c r="E1408" i="3"/>
  <c r="N1408" i="3"/>
  <c r="G1408" i="3"/>
  <c r="J1408" i="3"/>
  <c r="H1408" i="3"/>
  <c r="K1408" i="3"/>
  <c r="L1408" i="3"/>
  <c r="E1409" i="3"/>
  <c r="D1409" i="3"/>
  <c r="G1409" i="3"/>
  <c r="M1409" i="3"/>
  <c r="J1409" i="3"/>
  <c r="I1409" i="3"/>
  <c r="F1409" i="3"/>
  <c r="O1409" i="3"/>
  <c r="H1409" i="3"/>
  <c r="K1409" i="3"/>
  <c r="L1409" i="3"/>
  <c r="N1409" i="3"/>
  <c r="M1406" i="3"/>
  <c r="D1406" i="3"/>
  <c r="G1406" i="3"/>
  <c r="I1406" i="3"/>
  <c r="E1406" i="3"/>
  <c r="L1406" i="3"/>
  <c r="K1406" i="3"/>
  <c r="J1406" i="3"/>
  <c r="N1406" i="3"/>
  <c r="F1406" i="3"/>
  <c r="O1406" i="3"/>
  <c r="H1406" i="3"/>
  <c r="M1404" i="3"/>
  <c r="O1404" i="3"/>
  <c r="E1404" i="3"/>
  <c r="L1404" i="3"/>
  <c r="K1404" i="3"/>
  <c r="G1404" i="3"/>
  <c r="H1404" i="3"/>
  <c r="D1404" i="3"/>
  <c r="N1404" i="3"/>
  <c r="F1404" i="3"/>
  <c r="I1404" i="3"/>
  <c r="J1404" i="3"/>
  <c r="J1410" i="3"/>
  <c r="F1410" i="3"/>
  <c r="E1410" i="3"/>
  <c r="H1410" i="3"/>
  <c r="L1410" i="3"/>
  <c r="G1410" i="3"/>
  <c r="D1410" i="3"/>
  <c r="N1410" i="3"/>
  <c r="I1410" i="3"/>
  <c r="M1410" i="3"/>
  <c r="K1410" i="3"/>
  <c r="O1410" i="3"/>
  <c r="N1402" i="3"/>
  <c r="E1402" i="3"/>
  <c r="K1402" i="3"/>
  <c r="H1402" i="3"/>
  <c r="D1402" i="3"/>
  <c r="M1402" i="3"/>
  <c r="F1402" i="3"/>
  <c r="G1402" i="3"/>
  <c r="L1402" i="3"/>
  <c r="O1402" i="3"/>
  <c r="J1402" i="3"/>
  <c r="I1402" i="3"/>
  <c r="N1407" i="3"/>
  <c r="H1407" i="3"/>
  <c r="K1407" i="3"/>
  <c r="M1407" i="3"/>
  <c r="O1407" i="3"/>
  <c r="J1407" i="3"/>
  <c r="G1407" i="3"/>
  <c r="I1407" i="3"/>
  <c r="D1407" i="3"/>
  <c r="F1407" i="3"/>
  <c r="E1407" i="3"/>
  <c r="L1407" i="3"/>
  <c r="I1412" i="3"/>
  <c r="L1412" i="3"/>
  <c r="N1412" i="3"/>
  <c r="D1412" i="3"/>
  <c r="O1412" i="3"/>
  <c r="J1412" i="3"/>
  <c r="G1412" i="3"/>
  <c r="E1412" i="3"/>
  <c r="F1412" i="3"/>
  <c r="H1412" i="3"/>
  <c r="M1412" i="3"/>
  <c r="K1412" i="3"/>
  <c r="C2193" i="3"/>
  <c r="D2193" i="3" s="1"/>
  <c r="CH1725" i="3"/>
  <c r="K1405" i="3"/>
  <c r="D1405" i="3"/>
  <c r="N1405" i="3"/>
  <c r="F1405" i="3"/>
  <c r="J1405" i="3"/>
  <c r="L1405" i="3"/>
  <c r="G1405" i="3"/>
  <c r="O1405" i="3"/>
  <c r="I1405" i="3"/>
  <c r="H1405" i="3"/>
  <c r="M1405" i="3"/>
  <c r="E1405" i="3"/>
  <c r="N1403" i="3"/>
  <c r="F1403" i="3"/>
  <c r="J1403" i="3"/>
  <c r="D1403" i="3"/>
  <c r="L1403" i="3"/>
  <c r="O1403" i="3"/>
  <c r="K1403" i="3"/>
  <c r="G1403" i="3"/>
  <c r="E1403" i="3"/>
  <c r="I1403" i="3"/>
  <c r="H1403" i="3"/>
  <c r="M1403" i="3"/>
  <c r="BY2811" i="3"/>
  <c r="AU2811" i="3"/>
  <c r="BS2811" i="3"/>
  <c r="J66" i="3"/>
  <c r="M66" i="3"/>
  <c r="F66" i="3"/>
  <c r="I506" i="3"/>
  <c r="N66" i="3"/>
  <c r="I66" i="3"/>
  <c r="H66" i="3"/>
  <c r="J234" i="3"/>
  <c r="D228" i="3"/>
  <c r="D66" i="3"/>
  <c r="K66" i="3"/>
  <c r="C2196" i="3"/>
  <c r="C2190" i="3"/>
  <c r="C2195" i="3"/>
  <c r="C2191" i="3"/>
  <c r="C2197" i="3"/>
  <c r="C2187" i="3"/>
  <c r="C2194" i="3"/>
  <c r="G229" i="3"/>
  <c r="N229" i="3"/>
  <c r="D229" i="3"/>
  <c r="N232" i="3"/>
  <c r="E229" i="3"/>
  <c r="F232" i="3"/>
  <c r="BI363" i="3"/>
  <c r="F229" i="3"/>
  <c r="O229" i="3"/>
  <c r="O232" i="3"/>
  <c r="I1656" i="3"/>
  <c r="H853" i="3"/>
  <c r="M853" i="3"/>
  <c r="J1656" i="3"/>
  <c r="N1656" i="3"/>
  <c r="L2144" i="3"/>
  <c r="D2144" i="3"/>
  <c r="O2144" i="3"/>
  <c r="K1656" i="3"/>
  <c r="F1656" i="3"/>
  <c r="F2144" i="3"/>
  <c r="E2144" i="3"/>
  <c r="F234" i="3"/>
  <c r="K511" i="3"/>
  <c r="E511" i="3"/>
  <c r="L506" i="3"/>
  <c r="K506" i="3"/>
  <c r="C1981" i="3"/>
  <c r="I1981" i="3" s="1"/>
  <c r="H2747" i="3"/>
  <c r="G234" i="3"/>
  <c r="O511" i="3"/>
  <c r="H511" i="3"/>
  <c r="M506" i="3"/>
  <c r="N506" i="3"/>
  <c r="C1985" i="3"/>
  <c r="I1985" i="3" s="1"/>
  <c r="H234" i="3"/>
  <c r="M234" i="3"/>
  <c r="N511" i="3"/>
  <c r="Q1819" i="3"/>
  <c r="D506" i="3"/>
  <c r="P1218" i="3"/>
  <c r="N227" i="3"/>
  <c r="K509" i="3"/>
  <c r="F509" i="3"/>
  <c r="L509" i="3"/>
  <c r="M71" i="3"/>
  <c r="H71" i="3"/>
  <c r="I71" i="3"/>
  <c r="I72" i="3"/>
  <c r="L72" i="3"/>
  <c r="K72" i="3"/>
  <c r="G854" i="3"/>
  <c r="H854" i="3"/>
  <c r="M854" i="3"/>
  <c r="J854" i="3"/>
  <c r="N850" i="3"/>
  <c r="D1659" i="3"/>
  <c r="F1659" i="3"/>
  <c r="C1983" i="3"/>
  <c r="C1986" i="3"/>
  <c r="Q1828" i="3"/>
  <c r="CC1819" i="3" s="1"/>
  <c r="CF1818" i="3" s="1"/>
  <c r="CH1818" i="3" s="1"/>
  <c r="K234" i="3"/>
  <c r="E234" i="3"/>
  <c r="I234" i="3"/>
  <c r="L227" i="3"/>
  <c r="J227" i="3"/>
  <c r="L511" i="3"/>
  <c r="D511" i="3"/>
  <c r="M511" i="3"/>
  <c r="J509" i="3"/>
  <c r="D509" i="3"/>
  <c r="O509" i="3"/>
  <c r="F502" i="3"/>
  <c r="AI2811" i="3"/>
  <c r="G71" i="3"/>
  <c r="O71" i="3"/>
  <c r="L71" i="3"/>
  <c r="J72" i="3"/>
  <c r="O72" i="3"/>
  <c r="M72" i="3"/>
  <c r="L854" i="3"/>
  <c r="O850" i="3"/>
  <c r="J1659" i="3"/>
  <c r="L1659" i="3"/>
  <c r="C1984" i="3"/>
  <c r="C1982" i="3"/>
  <c r="C1980" i="3"/>
  <c r="BP201" i="3"/>
  <c r="N234" i="3"/>
  <c r="O234" i="3"/>
  <c r="K227" i="3"/>
  <c r="E227" i="3"/>
  <c r="O226" i="3"/>
  <c r="F511" i="3"/>
  <c r="J511" i="3"/>
  <c r="H509" i="3"/>
  <c r="I509" i="3"/>
  <c r="D71" i="3"/>
  <c r="N71" i="3"/>
  <c r="G72" i="3"/>
  <c r="H72" i="3"/>
  <c r="I850" i="3"/>
  <c r="F850" i="3"/>
  <c r="M1659" i="3"/>
  <c r="D850" i="3"/>
  <c r="H1659" i="3"/>
  <c r="G1659" i="3"/>
  <c r="O1989" i="3"/>
  <c r="M1989" i="3"/>
  <c r="J1989" i="3"/>
  <c r="K1989" i="3"/>
  <c r="E1989" i="3"/>
  <c r="N1989" i="3"/>
  <c r="D1989" i="3"/>
  <c r="L1989" i="3"/>
  <c r="H1989" i="3"/>
  <c r="G1989" i="3"/>
  <c r="F1989" i="3"/>
  <c r="I1989" i="3"/>
  <c r="C1979" i="3"/>
  <c r="C1987" i="3"/>
  <c r="C1988" i="3"/>
  <c r="J2141" i="3"/>
  <c r="F2141" i="3"/>
  <c r="L2141" i="3"/>
  <c r="M2141" i="3"/>
  <c r="N2141" i="3"/>
  <c r="K2141" i="3"/>
  <c r="H2141" i="3"/>
  <c r="O2141" i="3"/>
  <c r="G2141" i="3"/>
  <c r="E2141" i="3"/>
  <c r="I2141" i="3"/>
  <c r="D2141" i="3"/>
  <c r="H1661" i="3"/>
  <c r="D1661" i="3"/>
  <c r="M2142" i="3"/>
  <c r="J2142" i="3"/>
  <c r="D2142" i="3"/>
  <c r="O2142" i="3"/>
  <c r="G2142" i="3"/>
  <c r="H2142" i="3"/>
  <c r="N2142" i="3"/>
  <c r="I2142" i="3"/>
  <c r="K2142" i="3"/>
  <c r="E2142" i="3"/>
  <c r="L2142" i="3"/>
  <c r="F2142" i="3"/>
  <c r="J1666" i="3"/>
  <c r="N1666" i="3"/>
  <c r="K1666" i="3"/>
  <c r="I1666" i="3"/>
  <c r="H1666" i="3"/>
  <c r="L1666" i="3"/>
  <c r="E1666" i="3"/>
  <c r="M1666" i="3"/>
  <c r="O1666" i="3"/>
  <c r="F1666" i="3"/>
  <c r="M2149" i="3"/>
  <c r="G2149" i="3"/>
  <c r="E2149" i="3"/>
  <c r="H2149" i="3"/>
  <c r="K2149" i="3"/>
  <c r="O2149" i="3"/>
  <c r="L2149" i="3"/>
  <c r="J2149" i="3"/>
  <c r="I2149" i="3"/>
  <c r="F2149" i="3"/>
  <c r="D2149" i="3"/>
  <c r="N2149" i="3"/>
  <c r="F1664" i="3"/>
  <c r="J1664" i="3"/>
  <c r="N1664" i="3"/>
  <c r="D2147" i="3"/>
  <c r="I2147" i="3"/>
  <c r="H2147" i="3"/>
  <c r="M2147" i="3"/>
  <c r="E2147" i="3"/>
  <c r="J2147" i="3"/>
  <c r="G2147" i="3"/>
  <c r="K2147" i="3"/>
  <c r="N2147" i="3"/>
  <c r="O2147" i="3"/>
  <c r="L2147" i="3"/>
  <c r="F2147" i="3"/>
  <c r="H1656" i="3"/>
  <c r="G1656" i="3"/>
  <c r="L1656" i="3"/>
  <c r="E1656" i="3"/>
  <c r="L1660" i="3"/>
  <c r="F1660" i="3"/>
  <c r="M1660" i="3"/>
  <c r="D1660" i="3"/>
  <c r="H1660" i="3"/>
  <c r="O1660" i="3"/>
  <c r="G1660" i="3"/>
  <c r="N1660" i="3"/>
  <c r="J1660" i="3"/>
  <c r="K1660" i="3"/>
  <c r="E1660" i="3"/>
  <c r="I1660" i="3"/>
  <c r="G232" i="3"/>
  <c r="D232" i="3"/>
  <c r="H231" i="3"/>
  <c r="L232" i="3"/>
  <c r="G853" i="3"/>
  <c r="N853" i="3"/>
  <c r="O853" i="3"/>
  <c r="K853" i="3"/>
  <c r="M232" i="3"/>
  <c r="H232" i="3"/>
  <c r="I232" i="3"/>
  <c r="K232" i="3"/>
  <c r="E232" i="3"/>
  <c r="D854" i="3"/>
  <c r="N854" i="3"/>
  <c r="O854" i="3"/>
  <c r="F854" i="3"/>
  <c r="E850" i="3"/>
  <c r="J850" i="3"/>
  <c r="G850" i="3"/>
  <c r="Q1820" i="3"/>
  <c r="AG1819" i="3" s="1"/>
  <c r="AJ1818" i="3" s="1"/>
  <c r="AK1818" i="3" s="1"/>
  <c r="P1841" i="3"/>
  <c r="I233" i="3"/>
  <c r="Q1825" i="3"/>
  <c r="BK1819" i="3" s="1"/>
  <c r="Q1827" i="3"/>
  <c r="BW1819" i="3" s="1"/>
  <c r="BZ1818" i="3" s="1"/>
  <c r="CB1818" i="3" s="1"/>
  <c r="N226" i="3"/>
  <c r="M226" i="3"/>
  <c r="K226" i="3"/>
  <c r="E224" i="3"/>
  <c r="M224" i="3"/>
  <c r="G224" i="3"/>
  <c r="I502" i="3"/>
  <c r="M502" i="3"/>
  <c r="H502" i="3"/>
  <c r="Q1822" i="3"/>
  <c r="AS1819" i="3" s="1"/>
  <c r="AV1818" i="3" s="1"/>
  <c r="AX1818" i="3" s="1"/>
  <c r="Q1823" i="3"/>
  <c r="AY1819" i="3" s="1"/>
  <c r="BB1818" i="3" s="1"/>
  <c r="BD1818" i="3" s="1"/>
  <c r="Z709" i="3"/>
  <c r="H225" i="3"/>
  <c r="J225" i="3"/>
  <c r="M225" i="3"/>
  <c r="F227" i="3"/>
  <c r="G227" i="3"/>
  <c r="D227" i="3"/>
  <c r="E226" i="3"/>
  <c r="G226" i="3"/>
  <c r="H226" i="3"/>
  <c r="J224" i="3"/>
  <c r="O224" i="3"/>
  <c r="L224" i="3"/>
  <c r="K228" i="3"/>
  <c r="K233" i="3"/>
  <c r="H510" i="3"/>
  <c r="N510" i="3"/>
  <c r="E510" i="3"/>
  <c r="J506" i="3"/>
  <c r="H506" i="3"/>
  <c r="G506" i="3"/>
  <c r="L502" i="3"/>
  <c r="J502" i="3"/>
  <c r="E502" i="3"/>
  <c r="Q1821" i="3"/>
  <c r="AM1819" i="3" s="1"/>
  <c r="AP1818" i="3" s="1"/>
  <c r="AR1818" i="3" s="1"/>
  <c r="Q1826" i="3"/>
  <c r="BQ1819" i="3" s="1"/>
  <c r="BT1818" i="3" s="1"/>
  <c r="BU1818" i="3" s="1"/>
  <c r="Q1824" i="3"/>
  <c r="BE1819" i="3" s="1"/>
  <c r="F225" i="3"/>
  <c r="O225" i="3"/>
  <c r="I227" i="3"/>
  <c r="M227" i="3"/>
  <c r="D226" i="3"/>
  <c r="J226" i="3"/>
  <c r="H224" i="3"/>
  <c r="N224" i="3"/>
  <c r="H228" i="3"/>
  <c r="L228" i="3"/>
  <c r="N233" i="3"/>
  <c r="M510" i="3"/>
  <c r="D510" i="3"/>
  <c r="O506" i="3"/>
  <c r="F506" i="3"/>
  <c r="O502" i="3"/>
  <c r="G502" i="3"/>
  <c r="P2164" i="3" a="1"/>
  <c r="C1360" i="3"/>
  <c r="C1365" i="3"/>
  <c r="C1366" i="3"/>
  <c r="C1358" i="3"/>
  <c r="C1357" i="3"/>
  <c r="C1362" i="3"/>
  <c r="C1364" i="3"/>
  <c r="C1361" i="3"/>
  <c r="P1548" i="3"/>
  <c r="C646" i="3"/>
  <c r="J646" i="3" s="1"/>
  <c r="O852" i="3"/>
  <c r="F852" i="3"/>
  <c r="H852" i="3"/>
  <c r="J852" i="3"/>
  <c r="L852" i="3"/>
  <c r="K852" i="3"/>
  <c r="M852" i="3"/>
  <c r="I852" i="3"/>
  <c r="N852" i="3"/>
  <c r="G852" i="3"/>
  <c r="D852" i="3"/>
  <c r="E852" i="3"/>
  <c r="I851" i="3"/>
  <c r="N851" i="3"/>
  <c r="H851" i="3"/>
  <c r="L851" i="3"/>
  <c r="F851" i="3"/>
  <c r="K851" i="3"/>
  <c r="D851" i="3"/>
  <c r="E851" i="3"/>
  <c r="O851" i="3"/>
  <c r="M851" i="3"/>
  <c r="G851" i="3"/>
  <c r="J851" i="3"/>
  <c r="P1541" i="3"/>
  <c r="C642" i="3"/>
  <c r="M642" i="3" s="1"/>
  <c r="I848" i="3"/>
  <c r="M848" i="3"/>
  <c r="H848" i="3"/>
  <c r="K848" i="3"/>
  <c r="J848" i="3"/>
  <c r="L848" i="3"/>
  <c r="G848" i="3"/>
  <c r="E848" i="3"/>
  <c r="F848" i="3"/>
  <c r="N848" i="3"/>
  <c r="D848" i="3"/>
  <c r="O848" i="3"/>
  <c r="E849" i="3"/>
  <c r="K849" i="3"/>
  <c r="J849" i="3"/>
  <c r="L849" i="3"/>
  <c r="O849" i="3"/>
  <c r="M849" i="3"/>
  <c r="D849" i="3"/>
  <c r="I849" i="3"/>
  <c r="F849" i="3"/>
  <c r="N849" i="3"/>
  <c r="H849" i="3"/>
  <c r="G849" i="3"/>
  <c r="P1546" i="3"/>
  <c r="P1544" i="3"/>
  <c r="O855" i="3"/>
  <c r="K855" i="3"/>
  <c r="J855" i="3"/>
  <c r="L855" i="3"/>
  <c r="F855" i="3"/>
  <c r="E855" i="3"/>
  <c r="N855" i="3"/>
  <c r="D855" i="3"/>
  <c r="H855" i="3"/>
  <c r="M855" i="3"/>
  <c r="I855" i="3"/>
  <c r="G855" i="3"/>
  <c r="P1547" i="3"/>
  <c r="P1542" i="3"/>
  <c r="G856" i="3"/>
  <c r="E856" i="3"/>
  <c r="I856" i="3"/>
  <c r="H856" i="3"/>
  <c r="K856" i="3"/>
  <c r="J856" i="3"/>
  <c r="M856" i="3"/>
  <c r="D856" i="3"/>
  <c r="O856" i="3"/>
  <c r="N856" i="3"/>
  <c r="F856" i="3"/>
  <c r="L856" i="3"/>
  <c r="I857" i="3"/>
  <c r="L857" i="3"/>
  <c r="F857" i="3"/>
  <c r="J857" i="3"/>
  <c r="M857" i="3"/>
  <c r="D857" i="3"/>
  <c r="H857" i="3"/>
  <c r="G857" i="3"/>
  <c r="O857" i="3"/>
  <c r="E857" i="3"/>
  <c r="N857" i="3"/>
  <c r="K857" i="3"/>
  <c r="P2118" i="3"/>
  <c r="P2127" i="3"/>
  <c r="P2125" i="3"/>
  <c r="P2123" i="3"/>
  <c r="P2121" i="3"/>
  <c r="P2126" i="3"/>
  <c r="P2122" i="3"/>
  <c r="P2120" i="3"/>
  <c r="P2124" i="3"/>
  <c r="P2128" i="3"/>
  <c r="P2119" i="3"/>
  <c r="L231" i="3"/>
  <c r="M229" i="3"/>
  <c r="K229" i="3"/>
  <c r="L229" i="3"/>
  <c r="P1550" i="3"/>
  <c r="P1549" i="3"/>
  <c r="I231" i="3"/>
  <c r="J231" i="3"/>
  <c r="J229" i="3"/>
  <c r="H229" i="3"/>
  <c r="O231" i="3"/>
  <c r="M231" i="3"/>
  <c r="P1543" i="3"/>
  <c r="P1540" i="3"/>
  <c r="C647" i="3"/>
  <c r="C644" i="3"/>
  <c r="C640" i="3"/>
  <c r="C645" i="3"/>
  <c r="C643" i="3"/>
  <c r="C648" i="3"/>
  <c r="I650" i="3"/>
  <c r="O650" i="3"/>
  <c r="K650" i="3"/>
  <c r="L650" i="3"/>
  <c r="J650" i="3"/>
  <c r="N650" i="3"/>
  <c r="E650" i="3"/>
  <c r="F650" i="3"/>
  <c r="M650" i="3"/>
  <c r="H650" i="3"/>
  <c r="G650" i="3"/>
  <c r="D650" i="3"/>
  <c r="C641" i="3"/>
  <c r="C649" i="3"/>
  <c r="O272" i="3"/>
  <c r="E272" i="3"/>
  <c r="K272" i="3"/>
  <c r="G272" i="3"/>
  <c r="J272" i="3"/>
  <c r="I272" i="3"/>
  <c r="M272" i="3"/>
  <c r="N272" i="3"/>
  <c r="D272" i="3"/>
  <c r="F272" i="3"/>
  <c r="L272" i="3"/>
  <c r="H272" i="3"/>
  <c r="C277" i="3"/>
  <c r="C270" i="3"/>
  <c r="C273" i="3"/>
  <c r="C278" i="3"/>
  <c r="CH201" i="3"/>
  <c r="CG201" i="3"/>
  <c r="CB201" i="3"/>
  <c r="CA201" i="3"/>
  <c r="C271" i="3"/>
  <c r="C276" i="3"/>
  <c r="BI201" i="3"/>
  <c r="BJ201" i="3"/>
  <c r="W202" i="3"/>
  <c r="AA202" i="3"/>
  <c r="AD201" i="3" s="1"/>
  <c r="C274" i="3"/>
  <c r="C280" i="3"/>
  <c r="B1908" i="3"/>
  <c r="C1894" i="3" s="1"/>
  <c r="U202" i="3"/>
  <c r="X201" i="3" s="1"/>
  <c r="BG202" i="3"/>
  <c r="AC202" i="3"/>
  <c r="R201" i="3"/>
  <c r="AU202" i="3"/>
  <c r="AV201" i="3" s="1"/>
  <c r="BS202" i="3"/>
  <c r="AO202" i="3"/>
  <c r="AP201" i="3" s="1"/>
  <c r="BM202" i="3"/>
  <c r="CE202" i="3"/>
  <c r="BY202" i="3"/>
  <c r="BA202" i="3"/>
  <c r="BB201" i="3" s="1"/>
  <c r="AI202" i="3"/>
  <c r="AJ201" i="3" s="1"/>
  <c r="B613" i="3"/>
  <c r="B614" i="3" s="1"/>
  <c r="B615" i="3" s="1"/>
  <c r="C279" i="3"/>
  <c r="C275" i="3"/>
  <c r="BV201" i="3"/>
  <c r="BU201" i="3"/>
  <c r="Q1059" i="3"/>
  <c r="AM1057" i="3" s="1"/>
  <c r="Q1063" i="3"/>
  <c r="BK1057" i="3" s="1"/>
  <c r="BN1056" i="3" s="1"/>
  <c r="Q1066" i="3"/>
  <c r="CC1057" i="3" s="1"/>
  <c r="CF1056" i="3" s="1"/>
  <c r="Q1064" i="3"/>
  <c r="BQ1057" i="3" s="1"/>
  <c r="BT1056" i="3" s="1"/>
  <c r="Q1062" i="3"/>
  <c r="BE1057" i="3" s="1"/>
  <c r="BH1056" i="3" s="1"/>
  <c r="Q1061" i="3"/>
  <c r="AY1057" i="3" s="1"/>
  <c r="BB1056" i="3" s="1"/>
  <c r="Q1057" i="3"/>
  <c r="Q1060" i="3"/>
  <c r="AS1057" i="3" s="1"/>
  <c r="Q1056" i="3"/>
  <c r="Q1065" i="3"/>
  <c r="BW1057" i="3" s="1"/>
  <c r="BZ1056" i="3" s="1"/>
  <c r="Q1058" i="3"/>
  <c r="AG1057" i="3" s="1"/>
  <c r="G228" i="3"/>
  <c r="E228" i="3"/>
  <c r="O228" i="3"/>
  <c r="N231" i="3"/>
  <c r="G231" i="3"/>
  <c r="K231" i="3"/>
  <c r="O233" i="3"/>
  <c r="H233" i="3"/>
  <c r="F233" i="3"/>
  <c r="J233" i="3"/>
  <c r="E233" i="3"/>
  <c r="G233" i="3"/>
  <c r="M228" i="3"/>
  <c r="F228" i="3"/>
  <c r="F231" i="3"/>
  <c r="E231" i="3"/>
  <c r="M233" i="3"/>
  <c r="L233" i="3"/>
  <c r="B102" i="3"/>
  <c r="B103" i="3" s="1"/>
  <c r="Y2810" i="3"/>
  <c r="Z2810" i="3"/>
  <c r="G508" i="3"/>
  <c r="N508" i="3"/>
  <c r="H508" i="3"/>
  <c r="L508" i="3"/>
  <c r="J508" i="3"/>
  <c r="D508" i="3"/>
  <c r="M508" i="3"/>
  <c r="K508" i="3"/>
  <c r="E508" i="3"/>
  <c r="O508" i="3"/>
  <c r="I508" i="3"/>
  <c r="F508" i="3"/>
  <c r="M507" i="3"/>
  <c r="D507" i="3"/>
  <c r="L507" i="3"/>
  <c r="O507" i="3"/>
  <c r="E507" i="3"/>
  <c r="G507" i="3"/>
  <c r="I507" i="3"/>
  <c r="H507" i="3"/>
  <c r="J507" i="3"/>
  <c r="F507" i="3"/>
  <c r="N507" i="3"/>
  <c r="K507" i="3"/>
  <c r="P1227" i="3"/>
  <c r="P1220" i="3"/>
  <c r="P1223" i="3"/>
  <c r="AX709" i="3"/>
  <c r="K230" i="3"/>
  <c r="G230" i="3"/>
  <c r="O230" i="3"/>
  <c r="E230" i="3"/>
  <c r="N230" i="3"/>
  <c r="I230" i="3"/>
  <c r="J230" i="3"/>
  <c r="H230" i="3"/>
  <c r="D230" i="3"/>
  <c r="L230" i="3"/>
  <c r="F230" i="3"/>
  <c r="M230" i="3"/>
  <c r="P618" i="3"/>
  <c r="P623" i="3"/>
  <c r="P621" i="3"/>
  <c r="P620" i="3"/>
  <c r="P625" i="3"/>
  <c r="P622" i="3"/>
  <c r="P617" i="3"/>
  <c r="P624" i="3"/>
  <c r="P626" i="3"/>
  <c r="P627" i="3"/>
  <c r="P619" i="3"/>
  <c r="B892" i="3"/>
  <c r="C872" i="3" s="1"/>
  <c r="F2747" i="3"/>
  <c r="P1171" i="3" a="1"/>
  <c r="P1171" i="3" s="1"/>
  <c r="AK363" i="3"/>
  <c r="BC709" i="3"/>
  <c r="Q784" i="3"/>
  <c r="BE779" i="3" s="1"/>
  <c r="BH778" i="3" s="1"/>
  <c r="BJ778" i="3" s="1"/>
  <c r="L2747" i="3"/>
  <c r="Q664" i="3"/>
  <c r="Q670" i="3"/>
  <c r="BK664" i="3" s="1"/>
  <c r="BN663" i="3" s="1"/>
  <c r="Q668" i="3"/>
  <c r="AY664" i="3" s="1"/>
  <c r="BB663" i="3" s="1"/>
  <c r="Q673" i="3"/>
  <c r="CC664" i="3" s="1"/>
  <c r="CF663" i="3" s="1"/>
  <c r="Q665" i="3"/>
  <c r="AG664" i="3" s="1"/>
  <c r="AJ663" i="3" s="1"/>
  <c r="Q663" i="3"/>
  <c r="Q666" i="3"/>
  <c r="AM664" i="3" s="1"/>
  <c r="AP663" i="3" s="1"/>
  <c r="Q669" i="3"/>
  <c r="BE664" i="3" s="1"/>
  <c r="BH663" i="3" s="1"/>
  <c r="Q671" i="3"/>
  <c r="BQ664" i="3" s="1"/>
  <c r="BT663" i="3" s="1"/>
  <c r="Q672" i="3"/>
  <c r="BW664" i="3" s="1"/>
  <c r="BZ663" i="3" s="1"/>
  <c r="Q667" i="3"/>
  <c r="AS664" i="3" s="1"/>
  <c r="AV663" i="3" s="1"/>
  <c r="AX363" i="3"/>
  <c r="P1226" i="3"/>
  <c r="P1222" i="3"/>
  <c r="P1224" i="3"/>
  <c r="P1225" i="3"/>
  <c r="Q786" i="3"/>
  <c r="BQ779" i="3" s="1"/>
  <c r="P1219" i="3"/>
  <c r="P1221" i="3"/>
  <c r="Q780" i="3"/>
  <c r="AG779" i="3" s="1"/>
  <c r="L2749" i="3"/>
  <c r="AF363" i="3"/>
  <c r="BC363" i="3"/>
  <c r="J2747" i="3"/>
  <c r="E2747" i="3"/>
  <c r="M2747" i="3"/>
  <c r="Q782" i="3"/>
  <c r="AS779" i="3" s="1"/>
  <c r="P417" i="3"/>
  <c r="P412" i="3"/>
  <c r="P410" i="3"/>
  <c r="P411" i="3"/>
  <c r="P414" i="3"/>
  <c r="P416" i="3"/>
  <c r="P415" i="3"/>
  <c r="P418" i="3"/>
  <c r="P419" i="3"/>
  <c r="P409" i="3"/>
  <c r="P413" i="3"/>
  <c r="Q788" i="3"/>
  <c r="CC779" i="3" s="1"/>
  <c r="CF778" i="3" s="1"/>
  <c r="CH778" i="3" s="1"/>
  <c r="S363" i="3"/>
  <c r="K2749" i="3"/>
  <c r="D2747" i="3"/>
  <c r="O2747" i="3"/>
  <c r="I2747" i="3"/>
  <c r="BP363" i="3"/>
  <c r="I736" i="3"/>
  <c r="G740" i="3"/>
  <c r="K2747" i="3"/>
  <c r="G2747" i="3"/>
  <c r="N736" i="3"/>
  <c r="Q826" i="3"/>
  <c r="F736" i="3"/>
  <c r="P1849" i="3"/>
  <c r="Q833" i="3"/>
  <c r="BQ826" i="3" s="1"/>
  <c r="L736" i="3"/>
  <c r="E736" i="3"/>
  <c r="K736" i="3"/>
  <c r="G734" i="3"/>
  <c r="N734" i="3"/>
  <c r="I734" i="3"/>
  <c r="E734" i="3"/>
  <c r="J734" i="3"/>
  <c r="I2750" i="3"/>
  <c r="Q827" i="3"/>
  <c r="AG826" i="3" s="1"/>
  <c r="M2750" i="3"/>
  <c r="J736" i="3"/>
  <c r="M736" i="3"/>
  <c r="O736" i="3"/>
  <c r="M734" i="3"/>
  <c r="H734" i="3"/>
  <c r="O734" i="3"/>
  <c r="F734" i="3"/>
  <c r="F2750" i="3"/>
  <c r="D736" i="3"/>
  <c r="G736" i="3"/>
  <c r="K734" i="3"/>
  <c r="L734" i="3"/>
  <c r="L740" i="3"/>
  <c r="J2749" i="3"/>
  <c r="D740" i="3"/>
  <c r="Q787" i="3"/>
  <c r="BW779" i="3" s="1"/>
  <c r="Q831" i="3"/>
  <c r="BE826" i="3" s="1"/>
  <c r="Q825" i="3"/>
  <c r="U826" i="3" s="1"/>
  <c r="K740" i="3"/>
  <c r="H740" i="3"/>
  <c r="M740" i="3"/>
  <c r="Q830" i="3"/>
  <c r="AY826" i="3" s="1"/>
  <c r="Q828" i="3"/>
  <c r="AM826" i="3" s="1"/>
  <c r="D2750" i="3"/>
  <c r="J2750" i="3"/>
  <c r="E2750" i="3"/>
  <c r="M2749" i="3"/>
  <c r="H2749" i="3"/>
  <c r="F2749" i="3"/>
  <c r="Q779" i="3"/>
  <c r="AA779" i="3" s="1"/>
  <c r="Q778" i="3"/>
  <c r="U779" i="3" s="1"/>
  <c r="Q781" i="3"/>
  <c r="AM779" i="3" s="1"/>
  <c r="Q829" i="3"/>
  <c r="AS826" i="3" s="1"/>
  <c r="Q835" i="3"/>
  <c r="CC826" i="3" s="1"/>
  <c r="CF825" i="3" s="1"/>
  <c r="CG825" i="3" s="1"/>
  <c r="Q834" i="3"/>
  <c r="BW826" i="3" s="1"/>
  <c r="G2750" i="3"/>
  <c r="H2750" i="3"/>
  <c r="K2750" i="3"/>
  <c r="N2749" i="3"/>
  <c r="D2749" i="3"/>
  <c r="G2749" i="3"/>
  <c r="J740" i="3"/>
  <c r="O740" i="3"/>
  <c r="F740" i="3"/>
  <c r="Q783" i="3"/>
  <c r="AY779" i="3" s="1"/>
  <c r="Q785" i="3"/>
  <c r="BK779" i="3" s="1"/>
  <c r="Q832" i="3"/>
  <c r="BK826" i="3" s="1"/>
  <c r="O2750" i="3"/>
  <c r="L2750" i="3"/>
  <c r="E2749" i="3"/>
  <c r="O2749" i="3"/>
  <c r="E740" i="3"/>
  <c r="I740" i="3"/>
  <c r="O742" i="3"/>
  <c r="I742" i="3"/>
  <c r="G742" i="3"/>
  <c r="M742" i="3"/>
  <c r="E742" i="3"/>
  <c r="N742" i="3"/>
  <c r="H742" i="3"/>
  <c r="L742" i="3"/>
  <c r="F742" i="3"/>
  <c r="K742" i="3"/>
  <c r="D742" i="3"/>
  <c r="J742" i="3"/>
  <c r="M741" i="3"/>
  <c r="G741" i="3"/>
  <c r="J741" i="3"/>
  <c r="E741" i="3"/>
  <c r="I741" i="3"/>
  <c r="K741" i="3"/>
  <c r="F741" i="3"/>
  <c r="D741" i="3"/>
  <c r="L741" i="3"/>
  <c r="N741" i="3"/>
  <c r="O741" i="3"/>
  <c r="H741" i="3"/>
  <c r="N737" i="3"/>
  <c r="L737" i="3"/>
  <c r="M737" i="3"/>
  <c r="I737" i="3"/>
  <c r="D737" i="3"/>
  <c r="E737" i="3"/>
  <c r="G737" i="3"/>
  <c r="H737" i="3"/>
  <c r="K737" i="3"/>
  <c r="F737" i="3"/>
  <c r="J737" i="3"/>
  <c r="O737" i="3"/>
  <c r="N732" i="3"/>
  <c r="O732" i="3"/>
  <c r="H732" i="3"/>
  <c r="G732" i="3"/>
  <c r="F732" i="3"/>
  <c r="J732" i="3"/>
  <c r="K732" i="3"/>
  <c r="M732" i="3"/>
  <c r="L732" i="3"/>
  <c r="D732" i="3"/>
  <c r="I732" i="3"/>
  <c r="E732" i="3"/>
  <c r="H738" i="3"/>
  <c r="J738" i="3"/>
  <c r="L738" i="3"/>
  <c r="M738" i="3"/>
  <c r="E738" i="3"/>
  <c r="I738" i="3"/>
  <c r="K738" i="3"/>
  <c r="F738" i="3"/>
  <c r="O738" i="3"/>
  <c r="D738" i="3"/>
  <c r="G738" i="3"/>
  <c r="N738" i="3"/>
  <c r="K733" i="3"/>
  <c r="L733" i="3"/>
  <c r="E733" i="3"/>
  <c r="I733" i="3"/>
  <c r="F733" i="3"/>
  <c r="J733" i="3"/>
  <c r="N733" i="3"/>
  <c r="O733" i="3"/>
  <c r="M733" i="3"/>
  <c r="H733" i="3"/>
  <c r="D733" i="3"/>
  <c r="G733" i="3"/>
  <c r="J739" i="3"/>
  <c r="O739" i="3"/>
  <c r="F739" i="3"/>
  <c r="N739" i="3"/>
  <c r="I739" i="3"/>
  <c r="K739" i="3"/>
  <c r="D739" i="3"/>
  <c r="G739" i="3"/>
  <c r="H739" i="3"/>
  <c r="L739" i="3"/>
  <c r="E739" i="3"/>
  <c r="M739" i="3"/>
  <c r="P1848" i="3"/>
  <c r="BJ478" i="3"/>
  <c r="BI478" i="3"/>
  <c r="CH478" i="3"/>
  <c r="CG478" i="3"/>
  <c r="W479" i="3"/>
  <c r="AA479" i="3"/>
  <c r="CB478" i="3"/>
  <c r="CA478" i="3"/>
  <c r="AU479" i="3"/>
  <c r="AV478" i="3" s="1"/>
  <c r="U479" i="3"/>
  <c r="CE479" i="3"/>
  <c r="AO479" i="3"/>
  <c r="AP478" i="3" s="1"/>
  <c r="BM479" i="3"/>
  <c r="BN478" i="3" s="1"/>
  <c r="BA479" i="3"/>
  <c r="BB478" i="3" s="1"/>
  <c r="AC479" i="3"/>
  <c r="AI479" i="3"/>
  <c r="AJ478" i="3" s="1"/>
  <c r="BY479" i="3"/>
  <c r="BS479" i="3"/>
  <c r="BG479" i="3"/>
  <c r="R478" i="3"/>
  <c r="BV478" i="3"/>
  <c r="BU478" i="3"/>
  <c r="BM110" i="3"/>
  <c r="C390" i="3"/>
  <c r="N390" i="3" s="1"/>
  <c r="C393" i="3"/>
  <c r="G393" i="3" s="1"/>
  <c r="BV109" i="3"/>
  <c r="C389" i="3"/>
  <c r="G389" i="3" s="1"/>
  <c r="C387" i="3"/>
  <c r="H387" i="3" s="1"/>
  <c r="BJ109" i="3"/>
  <c r="C396" i="3"/>
  <c r="D396" i="3" s="1"/>
  <c r="C392" i="3"/>
  <c r="G392" i="3" s="1"/>
  <c r="C388" i="3"/>
  <c r="D388" i="3" s="1"/>
  <c r="P1845" i="3"/>
  <c r="P1847" i="3"/>
  <c r="P1844" i="3"/>
  <c r="P1851" i="3"/>
  <c r="P1846" i="3"/>
  <c r="P2626" i="3" a="1"/>
  <c r="C386" i="3"/>
  <c r="F386" i="3" s="1"/>
  <c r="C391" i="3"/>
  <c r="E391" i="3" s="1"/>
  <c r="P1850" i="3"/>
  <c r="P1843" i="3"/>
  <c r="AC110" i="3"/>
  <c r="CE110" i="3"/>
  <c r="K2744" i="3"/>
  <c r="N2744" i="3"/>
  <c r="H2744" i="3"/>
  <c r="M2744" i="3"/>
  <c r="I2744" i="3"/>
  <c r="G2744" i="3"/>
  <c r="E2744" i="3"/>
  <c r="D2744" i="3"/>
  <c r="L2744" i="3"/>
  <c r="F2744" i="3"/>
  <c r="O2744" i="3"/>
  <c r="J2744" i="3"/>
  <c r="BA110" i="3"/>
  <c r="AO110" i="3"/>
  <c r="E2741" i="3"/>
  <c r="J2741" i="3"/>
  <c r="D2741" i="3"/>
  <c r="M2741" i="3"/>
  <c r="L2741" i="3"/>
  <c r="N2741" i="3"/>
  <c r="I2741" i="3"/>
  <c r="G2741" i="3"/>
  <c r="H2741" i="3"/>
  <c r="F2741" i="3"/>
  <c r="K2741" i="3"/>
  <c r="O2741" i="3"/>
  <c r="N2751" i="3"/>
  <c r="H2751" i="3"/>
  <c r="J2751" i="3"/>
  <c r="L2751" i="3"/>
  <c r="G2751" i="3"/>
  <c r="E2751" i="3"/>
  <c r="F2751" i="3"/>
  <c r="M2751" i="3"/>
  <c r="O2751" i="3"/>
  <c r="K2751" i="3"/>
  <c r="D2751" i="3"/>
  <c r="I2751" i="3"/>
  <c r="D2743" i="3"/>
  <c r="H2743" i="3"/>
  <c r="N2743" i="3"/>
  <c r="L2743" i="3"/>
  <c r="J2743" i="3"/>
  <c r="F2743" i="3"/>
  <c r="O2743" i="3"/>
  <c r="G2743" i="3"/>
  <c r="I2743" i="3"/>
  <c r="M2743" i="3"/>
  <c r="K2743" i="3"/>
  <c r="E2743" i="3"/>
  <c r="H2746" i="3"/>
  <c r="O2746" i="3"/>
  <c r="M2746" i="3"/>
  <c r="D2746" i="3"/>
  <c r="F2746" i="3"/>
  <c r="K2746" i="3"/>
  <c r="J2746" i="3"/>
  <c r="G2746" i="3"/>
  <c r="I2746" i="3"/>
  <c r="N2746" i="3"/>
  <c r="E2746" i="3"/>
  <c r="L2746" i="3"/>
  <c r="D395" i="3"/>
  <c r="J395" i="3"/>
  <c r="O395" i="3"/>
  <c r="M395" i="3"/>
  <c r="K395" i="3"/>
  <c r="F395" i="3"/>
  <c r="E395" i="3"/>
  <c r="L395" i="3"/>
  <c r="I395" i="3"/>
  <c r="N395" i="3"/>
  <c r="G395" i="3"/>
  <c r="H395" i="3"/>
  <c r="H2748" i="3"/>
  <c r="M2748" i="3"/>
  <c r="E2748" i="3"/>
  <c r="J2748" i="3"/>
  <c r="I2748" i="3"/>
  <c r="F2748" i="3"/>
  <c r="O2748" i="3"/>
  <c r="D2748" i="3"/>
  <c r="K2748" i="3"/>
  <c r="G2748" i="3"/>
  <c r="L2748" i="3"/>
  <c r="N2748" i="3"/>
  <c r="M2742" i="3"/>
  <c r="F2742" i="3"/>
  <c r="N2742" i="3"/>
  <c r="L2742" i="3"/>
  <c r="E2742" i="3"/>
  <c r="G2742" i="3"/>
  <c r="K2742" i="3"/>
  <c r="H2742" i="3"/>
  <c r="J2742" i="3"/>
  <c r="D2742" i="3"/>
  <c r="I2742" i="3"/>
  <c r="O2742" i="3"/>
  <c r="C394" i="3"/>
  <c r="W110" i="3"/>
  <c r="X109" i="3" s="1"/>
  <c r="B1960" i="3"/>
  <c r="B1961" i="3" s="1"/>
  <c r="AP109" i="3"/>
  <c r="AQ109" i="3" s="1"/>
  <c r="AI110" i="3"/>
  <c r="AJ109" i="3" s="1"/>
  <c r="AK109" i="3" s="1"/>
  <c r="BS110" i="3"/>
  <c r="R109" i="3"/>
  <c r="S109" i="3" s="1"/>
  <c r="P2418" i="3" a="1"/>
  <c r="AE109" i="3"/>
  <c r="AF109" i="3"/>
  <c r="P156" i="3"/>
  <c r="P160" i="3"/>
  <c r="P163" i="3"/>
  <c r="P159" i="3"/>
  <c r="P165" i="3"/>
  <c r="P161" i="3"/>
  <c r="P164" i="3"/>
  <c r="P162" i="3"/>
  <c r="P155" i="3"/>
  <c r="P158" i="3"/>
  <c r="P157" i="3"/>
  <c r="P2400" i="3"/>
  <c r="P2399" i="3"/>
  <c r="P2401" i="3"/>
  <c r="P2396" i="3"/>
  <c r="P2405" i="3"/>
  <c r="P2403" i="3"/>
  <c r="P2402" i="3"/>
  <c r="P2397" i="3"/>
  <c r="P2404" i="3"/>
  <c r="P2395" i="3"/>
  <c r="P2398" i="3"/>
  <c r="AC2811" i="3" l="1"/>
  <c r="CA2810" i="3"/>
  <c r="R1725" i="3"/>
  <c r="BY110" i="3"/>
  <c r="BZ109" i="3" s="1"/>
  <c r="CA109" i="3" s="1"/>
  <c r="BB109" i="3"/>
  <c r="BD109" i="3" s="1"/>
  <c r="AQ363" i="3"/>
  <c r="R2810" i="3"/>
  <c r="T2810" i="3" s="1"/>
  <c r="BG110" i="3"/>
  <c r="CH109" i="3"/>
  <c r="AU110" i="3"/>
  <c r="AV109" i="3" s="1"/>
  <c r="AX109" i="3" s="1"/>
  <c r="CG1148" i="3"/>
  <c r="BA2811" i="3"/>
  <c r="BJ2810" i="3"/>
  <c r="AL2810" i="3"/>
  <c r="BM964" i="3"/>
  <c r="BI963" i="3"/>
  <c r="AU964" i="3"/>
  <c r="BO963" i="3"/>
  <c r="C1363" i="3"/>
  <c r="C1356" i="3"/>
  <c r="BM2811" i="3"/>
  <c r="AR2810" i="3"/>
  <c r="BU2810" i="3"/>
  <c r="BA964" i="3"/>
  <c r="BB963" i="3" s="1"/>
  <c r="Q2359" i="3"/>
  <c r="CC2350" i="3" s="1"/>
  <c r="CF2349" i="3" s="1"/>
  <c r="CH2349" i="3" s="1"/>
  <c r="Q2350" i="3"/>
  <c r="AA2350" i="3" s="1"/>
  <c r="AD2349" i="3" s="1"/>
  <c r="Q2351" i="3"/>
  <c r="AG2350" i="3" s="1"/>
  <c r="AJ2349" i="3" s="1"/>
  <c r="Q2349" i="3"/>
  <c r="U2350" i="3" s="1"/>
  <c r="X2349" i="3" s="1"/>
  <c r="Z2349" i="3" s="1"/>
  <c r="AQ709" i="3"/>
  <c r="AK709" i="3"/>
  <c r="Q2353" i="3"/>
  <c r="AS2350" i="3" s="1"/>
  <c r="AV2349" i="3" s="1"/>
  <c r="AW2349" i="3" s="1"/>
  <c r="BA1726" i="3"/>
  <c r="BB1725" i="3" s="1"/>
  <c r="BC1725" i="3" s="1"/>
  <c r="BM1726" i="3"/>
  <c r="BN1725" i="3" s="1"/>
  <c r="Q2355" i="3"/>
  <c r="BE2350" i="3" s="1"/>
  <c r="BH2349" i="3" s="1"/>
  <c r="AO964" i="3"/>
  <c r="AP963" i="3" s="1"/>
  <c r="CH963" i="3"/>
  <c r="Q2357" i="3"/>
  <c r="BQ2350" i="3" s="1"/>
  <c r="BT2349" i="3" s="1"/>
  <c r="BU1725" i="3"/>
  <c r="Q2356" i="3"/>
  <c r="BK2350" i="3" s="1"/>
  <c r="BN2349" i="3" s="1"/>
  <c r="BO2349" i="3" s="1"/>
  <c r="Q2358" i="3"/>
  <c r="BW2350" i="3" s="1"/>
  <c r="BZ2349" i="3" s="1"/>
  <c r="CB2349" i="3" s="1"/>
  <c r="BV1148" i="3"/>
  <c r="BC1148" i="3"/>
  <c r="AI1726" i="3"/>
  <c r="AJ1725" i="3" s="1"/>
  <c r="AU1726" i="3"/>
  <c r="AV1725" i="3" s="1"/>
  <c r="AX1725" i="3" s="1"/>
  <c r="BY1726" i="3"/>
  <c r="Q2352" i="3"/>
  <c r="AM2350" i="3" s="1"/>
  <c r="AP2349" i="3" s="1"/>
  <c r="AQ2349" i="3" s="1"/>
  <c r="BY964" i="3"/>
  <c r="BZ963" i="3" s="1"/>
  <c r="AV963" i="3"/>
  <c r="AX963" i="3" s="1"/>
  <c r="CE1726" i="3"/>
  <c r="BG1726" i="3"/>
  <c r="BH1725" i="3" s="1"/>
  <c r="AK1148" i="3"/>
  <c r="AC1726" i="3"/>
  <c r="U1726" i="3"/>
  <c r="X1725" i="3" s="1"/>
  <c r="Z1725" i="3" s="1"/>
  <c r="Q2354" i="3"/>
  <c r="AY2350" i="3" s="1"/>
  <c r="BB2349" i="3" s="1"/>
  <c r="BC2349" i="3" s="1"/>
  <c r="W1149" i="3"/>
  <c r="BM1149" i="3"/>
  <c r="CE1149" i="3"/>
  <c r="P1125" i="3" a="1"/>
  <c r="P1128" i="3" s="1"/>
  <c r="BJ1910" i="3"/>
  <c r="BI1910" i="3"/>
  <c r="AK1910" i="3"/>
  <c r="AL1910" i="3"/>
  <c r="AQ1910" i="3"/>
  <c r="AR1910" i="3"/>
  <c r="CH1910" i="3"/>
  <c r="CG1910" i="3"/>
  <c r="CB1910" i="3"/>
  <c r="CA1910" i="3"/>
  <c r="AW1910" i="3"/>
  <c r="AX1910" i="3"/>
  <c r="B358" i="3"/>
  <c r="R963" i="3"/>
  <c r="T963" i="3" s="1"/>
  <c r="BS964" i="3"/>
  <c r="BT963" i="3" s="1"/>
  <c r="AC964" i="3"/>
  <c r="AE2787" i="3"/>
  <c r="AL2256" i="3"/>
  <c r="B2666" i="3"/>
  <c r="B2667" i="3" s="1"/>
  <c r="B2668" i="3" s="1"/>
  <c r="W1911" i="3"/>
  <c r="AA1911" i="3"/>
  <c r="AD1910" i="3" s="1"/>
  <c r="B2551" i="3"/>
  <c r="B2552" i="3" s="1"/>
  <c r="B2553" i="3" s="1"/>
  <c r="CE964" i="3"/>
  <c r="U964" i="3"/>
  <c r="X963" i="3" s="1"/>
  <c r="Z963" i="3" s="1"/>
  <c r="B2485" i="3"/>
  <c r="C2465" i="3" s="1"/>
  <c r="AI1911" i="3"/>
  <c r="AO1911" i="3"/>
  <c r="BA1911" i="3"/>
  <c r="R1910" i="3"/>
  <c r="BG1911" i="3"/>
  <c r="CE1911" i="3"/>
  <c r="AU1911" i="3"/>
  <c r="U1911" i="3"/>
  <c r="X1910" i="3" s="1"/>
  <c r="BM1911" i="3"/>
  <c r="BN1910" i="3" s="1"/>
  <c r="BS1911" i="3"/>
  <c r="AC1911" i="3"/>
  <c r="BY1911" i="3"/>
  <c r="BC1910" i="3"/>
  <c r="BD1910" i="3"/>
  <c r="BV1910" i="3"/>
  <c r="BU1910" i="3"/>
  <c r="B691" i="3"/>
  <c r="P1080" i="3"/>
  <c r="P1082" i="3"/>
  <c r="P1083" i="3"/>
  <c r="P1089" i="3"/>
  <c r="P1079" i="3"/>
  <c r="P1081" i="3"/>
  <c r="P1086" i="3"/>
  <c r="P1088" i="3"/>
  <c r="W2257" i="3"/>
  <c r="P1087" i="3"/>
  <c r="P1085" i="3"/>
  <c r="AE2256" i="3"/>
  <c r="AF2256" i="3"/>
  <c r="M1359" i="3"/>
  <c r="L1359" i="3"/>
  <c r="G1359" i="3"/>
  <c r="D1359" i="3"/>
  <c r="J1359" i="3"/>
  <c r="I1359" i="3"/>
  <c r="F1359" i="3"/>
  <c r="E1359" i="3"/>
  <c r="H1359" i="3"/>
  <c r="K1359" i="3"/>
  <c r="O1359" i="3"/>
  <c r="N1359" i="3"/>
  <c r="B1953" i="3"/>
  <c r="B1954" i="3" s="1"/>
  <c r="C1937" i="3" s="1"/>
  <c r="B471" i="3"/>
  <c r="CE2257" i="3"/>
  <c r="BY2257" i="3"/>
  <c r="BZ2256" i="3" s="1"/>
  <c r="AU2257" i="3"/>
  <c r="AV2256" i="3" s="1"/>
  <c r="U2257" i="3"/>
  <c r="X2256" i="3" s="1"/>
  <c r="AO2257" i="3"/>
  <c r="AC2257" i="3"/>
  <c r="BG2257" i="3"/>
  <c r="BH2256" i="3" s="1"/>
  <c r="R2256" i="3"/>
  <c r="BA2257" i="3"/>
  <c r="BB2256" i="3" s="1"/>
  <c r="BM2257" i="3"/>
  <c r="BN2256" i="3" s="1"/>
  <c r="AI2257" i="3"/>
  <c r="BS2257" i="3"/>
  <c r="BT2256" i="3" s="1"/>
  <c r="CH2256" i="3"/>
  <c r="CG2256" i="3"/>
  <c r="AQ2256" i="3"/>
  <c r="AR2256" i="3"/>
  <c r="E1015" i="3"/>
  <c r="AU1149" i="3"/>
  <c r="K2302" i="3"/>
  <c r="AC1149" i="3"/>
  <c r="E2302" i="3"/>
  <c r="H1009" i="3"/>
  <c r="CG1379" i="3"/>
  <c r="C1611" i="3"/>
  <c r="G1611" i="3" s="1"/>
  <c r="E1009" i="3"/>
  <c r="S2787" i="3"/>
  <c r="C1618" i="3"/>
  <c r="J1618" i="3" s="1"/>
  <c r="C1617" i="3"/>
  <c r="E1617" i="3" s="1"/>
  <c r="C1619" i="3"/>
  <c r="K1619" i="3" s="1"/>
  <c r="C1610" i="3"/>
  <c r="O1610" i="3" s="1"/>
  <c r="C1615" i="3"/>
  <c r="F1615" i="3" s="1"/>
  <c r="C1613" i="3"/>
  <c r="I1613" i="3" s="1"/>
  <c r="C1614" i="3"/>
  <c r="D1614" i="3" s="1"/>
  <c r="C1616" i="3"/>
  <c r="E1616" i="3" s="1"/>
  <c r="C1612" i="3"/>
  <c r="O1612" i="3" s="1"/>
  <c r="C1620" i="3"/>
  <c r="E1620" i="3" s="1"/>
  <c r="M1015" i="3"/>
  <c r="E2768" i="3"/>
  <c r="BU1379" i="3"/>
  <c r="CB1148" i="3"/>
  <c r="J1015" i="3"/>
  <c r="O1015" i="3"/>
  <c r="G1015" i="3"/>
  <c r="BI1148" i="3"/>
  <c r="BA1149" i="3"/>
  <c r="BY1149" i="3"/>
  <c r="U1149" i="3"/>
  <c r="X1148" i="3" s="1"/>
  <c r="O1014" i="3"/>
  <c r="O1016" i="3"/>
  <c r="H1011" i="3"/>
  <c r="M2307" i="3"/>
  <c r="M2303" i="3"/>
  <c r="N1016" i="3"/>
  <c r="F1016" i="3"/>
  <c r="P1643" i="3"/>
  <c r="G1009" i="3"/>
  <c r="N1015" i="3"/>
  <c r="I1015" i="3"/>
  <c r="I2306" i="3"/>
  <c r="F2307" i="3"/>
  <c r="D2307" i="3"/>
  <c r="N2307" i="3"/>
  <c r="G2307" i="3"/>
  <c r="L2307" i="3"/>
  <c r="K2307" i="3"/>
  <c r="H2307" i="3"/>
  <c r="I2303" i="3"/>
  <c r="F2303" i="3"/>
  <c r="D1015" i="3"/>
  <c r="H1015" i="3"/>
  <c r="E2307" i="3"/>
  <c r="O2307" i="3"/>
  <c r="D2306" i="3"/>
  <c r="I2302" i="3"/>
  <c r="M2302" i="3"/>
  <c r="G2302" i="3"/>
  <c r="L1011" i="3"/>
  <c r="L1018" i="3"/>
  <c r="G1016" i="3"/>
  <c r="E1016" i="3"/>
  <c r="M1016" i="3"/>
  <c r="N2302" i="3"/>
  <c r="E2306" i="3"/>
  <c r="J2306" i="3"/>
  <c r="L2302" i="3"/>
  <c r="D2302" i="3"/>
  <c r="F1014" i="3"/>
  <c r="E1018" i="3"/>
  <c r="L1016" i="3"/>
  <c r="D1016" i="3"/>
  <c r="J1016" i="3"/>
  <c r="H2306" i="3"/>
  <c r="J2302" i="3"/>
  <c r="L2306" i="3"/>
  <c r="O2302" i="3"/>
  <c r="J1011" i="3"/>
  <c r="D1014" i="3"/>
  <c r="H1016" i="3"/>
  <c r="K1016" i="3"/>
  <c r="G2306" i="3"/>
  <c r="N2306" i="3"/>
  <c r="F2302" i="3"/>
  <c r="K2306" i="3"/>
  <c r="H2303" i="3"/>
  <c r="N2303" i="3"/>
  <c r="D2303" i="3"/>
  <c r="J2303" i="3"/>
  <c r="L2303" i="3"/>
  <c r="K2303" i="3"/>
  <c r="O2303" i="3"/>
  <c r="J1264" i="3"/>
  <c r="F1264" i="3"/>
  <c r="L1264" i="3"/>
  <c r="H1264" i="3"/>
  <c r="K1264" i="3"/>
  <c r="M1264" i="3"/>
  <c r="G1264" i="3"/>
  <c r="N1264" i="3"/>
  <c r="O1264" i="3"/>
  <c r="E1264" i="3"/>
  <c r="I1264" i="3"/>
  <c r="D1264" i="3"/>
  <c r="N1266" i="3"/>
  <c r="L1266" i="3"/>
  <c r="M1266" i="3"/>
  <c r="J1266" i="3"/>
  <c r="H1266" i="3"/>
  <c r="G1266" i="3"/>
  <c r="K1266" i="3"/>
  <c r="D1266" i="3"/>
  <c r="E1266" i="3"/>
  <c r="O1266" i="3"/>
  <c r="F1266" i="3"/>
  <c r="I1266" i="3"/>
  <c r="I1270" i="3"/>
  <c r="N1270" i="3"/>
  <c r="F1270" i="3"/>
  <c r="G1270" i="3"/>
  <c r="L1270" i="3"/>
  <c r="D1270" i="3"/>
  <c r="M1270" i="3"/>
  <c r="J1270" i="3"/>
  <c r="O1270" i="3"/>
  <c r="H1270" i="3"/>
  <c r="E1270" i="3"/>
  <c r="K1270" i="3"/>
  <c r="O1272" i="3"/>
  <c r="L1272" i="3"/>
  <c r="G1272" i="3"/>
  <c r="K1272" i="3"/>
  <c r="I1272" i="3"/>
  <c r="J1272" i="3"/>
  <c r="E1272" i="3"/>
  <c r="H1272" i="3"/>
  <c r="F1272" i="3"/>
  <c r="M1272" i="3"/>
  <c r="D1272" i="3"/>
  <c r="N1272" i="3"/>
  <c r="K1271" i="3"/>
  <c r="J1271" i="3"/>
  <c r="H1271" i="3"/>
  <c r="M1271" i="3"/>
  <c r="F1271" i="3"/>
  <c r="I1271" i="3"/>
  <c r="O1271" i="3"/>
  <c r="L1271" i="3"/>
  <c r="G1271" i="3"/>
  <c r="N1271" i="3"/>
  <c r="E1271" i="3"/>
  <c r="D1271" i="3"/>
  <c r="E1265" i="3"/>
  <c r="I1265" i="3"/>
  <c r="H1265" i="3"/>
  <c r="F1265" i="3"/>
  <c r="G1265" i="3"/>
  <c r="D1265" i="3"/>
  <c r="N1265" i="3"/>
  <c r="J1265" i="3"/>
  <c r="K1265" i="3"/>
  <c r="O1265" i="3"/>
  <c r="M1265" i="3"/>
  <c r="L1265" i="3"/>
  <c r="D1268" i="3"/>
  <c r="I1268" i="3"/>
  <c r="G1268" i="3"/>
  <c r="J1268" i="3"/>
  <c r="E1268" i="3"/>
  <c r="O1268" i="3"/>
  <c r="L1268" i="3"/>
  <c r="M1268" i="3"/>
  <c r="H1268" i="3"/>
  <c r="K1268" i="3"/>
  <c r="N1268" i="3"/>
  <c r="F1268" i="3"/>
  <c r="H1267" i="3"/>
  <c r="K1267" i="3"/>
  <c r="I1267" i="3"/>
  <c r="N1267" i="3"/>
  <c r="M1267" i="3"/>
  <c r="G1267" i="3"/>
  <c r="J1267" i="3"/>
  <c r="F1267" i="3"/>
  <c r="O1267" i="3"/>
  <c r="D1267" i="3"/>
  <c r="E1267" i="3"/>
  <c r="L1267" i="3"/>
  <c r="G1269" i="3"/>
  <c r="N1269" i="3"/>
  <c r="F1269" i="3"/>
  <c r="D1269" i="3"/>
  <c r="K1269" i="3"/>
  <c r="H1269" i="3"/>
  <c r="E1269" i="3"/>
  <c r="M1269" i="3"/>
  <c r="I1269" i="3"/>
  <c r="L1269" i="3"/>
  <c r="O1269" i="3"/>
  <c r="J1269" i="3"/>
  <c r="J1273" i="3"/>
  <c r="M1273" i="3"/>
  <c r="K1273" i="3"/>
  <c r="F1273" i="3"/>
  <c r="N1273" i="3"/>
  <c r="H1273" i="3"/>
  <c r="D1273" i="3"/>
  <c r="G1273" i="3"/>
  <c r="I1273" i="3"/>
  <c r="E1273" i="3"/>
  <c r="L1273" i="3"/>
  <c r="O1273" i="3"/>
  <c r="M2306" i="3"/>
  <c r="F2306" i="3"/>
  <c r="P2604" i="3"/>
  <c r="P2610" i="3"/>
  <c r="P2605" i="3"/>
  <c r="P2603" i="3"/>
  <c r="P2611" i="3"/>
  <c r="P2612" i="3"/>
  <c r="P2613" i="3"/>
  <c r="P2609" i="3"/>
  <c r="P2607" i="3"/>
  <c r="P2606" i="3"/>
  <c r="P2608" i="3"/>
  <c r="K1009" i="3"/>
  <c r="J1009" i="3"/>
  <c r="N1009" i="3"/>
  <c r="E2312" i="3"/>
  <c r="J2312" i="3"/>
  <c r="L2312" i="3"/>
  <c r="G2312" i="3"/>
  <c r="K2312" i="3"/>
  <c r="I2312" i="3"/>
  <c r="O2312" i="3"/>
  <c r="F2312" i="3"/>
  <c r="M2312" i="3"/>
  <c r="N2312" i="3"/>
  <c r="D2312" i="3"/>
  <c r="H2312" i="3"/>
  <c r="G2308" i="3"/>
  <c r="O2308" i="3"/>
  <c r="E2308" i="3"/>
  <c r="D2308" i="3"/>
  <c r="N2308" i="3"/>
  <c r="J2308" i="3"/>
  <c r="I2308" i="3"/>
  <c r="K2308" i="3"/>
  <c r="M2308" i="3"/>
  <c r="H2308" i="3"/>
  <c r="F2308" i="3"/>
  <c r="L2308" i="3"/>
  <c r="N1010" i="3"/>
  <c r="M1009" i="3"/>
  <c r="L1009" i="3"/>
  <c r="I1009" i="3"/>
  <c r="E2311" i="3"/>
  <c r="K2311" i="3"/>
  <c r="J2311" i="3"/>
  <c r="O2311" i="3"/>
  <c r="H2311" i="3"/>
  <c r="G2311" i="3"/>
  <c r="N2311" i="3"/>
  <c r="M2311" i="3"/>
  <c r="F2311" i="3"/>
  <c r="D2311" i="3"/>
  <c r="I2311" i="3"/>
  <c r="L2311" i="3"/>
  <c r="K2305" i="3"/>
  <c r="M2305" i="3"/>
  <c r="G2305" i="3"/>
  <c r="I2305" i="3"/>
  <c r="E2305" i="3"/>
  <c r="L2305" i="3"/>
  <c r="J2305" i="3"/>
  <c r="H2305" i="3"/>
  <c r="F2305" i="3"/>
  <c r="N2305" i="3"/>
  <c r="O2305" i="3"/>
  <c r="D2305" i="3"/>
  <c r="AO1149" i="3"/>
  <c r="AP1148" i="3" s="1"/>
  <c r="O1009" i="3"/>
  <c r="D1009" i="3"/>
  <c r="F1015" i="3"/>
  <c r="K1015" i="3"/>
  <c r="B1607" i="3"/>
  <c r="B1608" i="3" s="1"/>
  <c r="D2304" i="3"/>
  <c r="H2304" i="3"/>
  <c r="E2304" i="3"/>
  <c r="N2304" i="3"/>
  <c r="I2304" i="3"/>
  <c r="G2304" i="3"/>
  <c r="O2304" i="3"/>
  <c r="M2304" i="3"/>
  <c r="K2304" i="3"/>
  <c r="F2304" i="3"/>
  <c r="L2304" i="3"/>
  <c r="J2304" i="3"/>
  <c r="C1777" i="3"/>
  <c r="H1777" i="3" s="1"/>
  <c r="K1010" i="3"/>
  <c r="AI1149" i="3"/>
  <c r="H1010" i="3"/>
  <c r="N1018" i="3"/>
  <c r="E1010" i="3"/>
  <c r="M1010" i="3"/>
  <c r="I1010" i="3"/>
  <c r="L1019" i="3"/>
  <c r="BS1149" i="3"/>
  <c r="P1636" i="3"/>
  <c r="N1019" i="3"/>
  <c r="AV1148" i="3"/>
  <c r="AW1148" i="3" s="1"/>
  <c r="P1641" i="3"/>
  <c r="G1010" i="3"/>
  <c r="J1010" i="3"/>
  <c r="F1010" i="3"/>
  <c r="H1019" i="3"/>
  <c r="J1019" i="3"/>
  <c r="L2767" i="3"/>
  <c r="L1010" i="3"/>
  <c r="O1010" i="3"/>
  <c r="K1019" i="3"/>
  <c r="I1019" i="3"/>
  <c r="M1019" i="3"/>
  <c r="D1019" i="3"/>
  <c r="F2765" i="3"/>
  <c r="O1019" i="3"/>
  <c r="G1019" i="3"/>
  <c r="F1019" i="3"/>
  <c r="C2566" i="3"/>
  <c r="D2566" i="3" s="1"/>
  <c r="P2580" i="3" a="1"/>
  <c r="P2585" i="3" s="1"/>
  <c r="C1776" i="3"/>
  <c r="J1776" i="3" s="1"/>
  <c r="E1011" i="3"/>
  <c r="O1011" i="3"/>
  <c r="N1011" i="3"/>
  <c r="E1014" i="3"/>
  <c r="N1014" i="3"/>
  <c r="J1014" i="3"/>
  <c r="O1018" i="3"/>
  <c r="K1018" i="3"/>
  <c r="J1018" i="3"/>
  <c r="Y2787" i="3"/>
  <c r="Z2787" i="3"/>
  <c r="C1781" i="3"/>
  <c r="G1781" i="3" s="1"/>
  <c r="C1778" i="3"/>
  <c r="BO1148" i="3"/>
  <c r="B312" i="3"/>
  <c r="B313" i="3" s="1"/>
  <c r="B314" i="3" s="1"/>
  <c r="B315" i="3" s="1"/>
  <c r="C1771" i="3"/>
  <c r="G1771" i="3" s="1"/>
  <c r="C1775" i="3"/>
  <c r="K1775" i="3" s="1"/>
  <c r="C1779" i="3"/>
  <c r="L1779" i="3" s="1"/>
  <c r="I1011" i="3"/>
  <c r="M1011" i="3"/>
  <c r="K1011" i="3"/>
  <c r="L1014" i="3"/>
  <c r="M1014" i="3"/>
  <c r="I1014" i="3"/>
  <c r="H1018" i="3"/>
  <c r="G1018" i="3"/>
  <c r="I1018" i="3"/>
  <c r="CB2787" i="3"/>
  <c r="CA2787" i="3"/>
  <c r="CG2787" i="3"/>
  <c r="CH2787" i="3"/>
  <c r="R1148" i="3"/>
  <c r="T1148" i="3" s="1"/>
  <c r="BG1149" i="3"/>
  <c r="C1772" i="3"/>
  <c r="H1772" i="3" s="1"/>
  <c r="C1773" i="3"/>
  <c r="K1773" i="3" s="1"/>
  <c r="C1774" i="3"/>
  <c r="L1774" i="3" s="1"/>
  <c r="F1011" i="3"/>
  <c r="G1011" i="3"/>
  <c r="K1014" i="3"/>
  <c r="H1014" i="3"/>
  <c r="F1018" i="3"/>
  <c r="D1018" i="3"/>
  <c r="BU2787" i="3"/>
  <c r="BV2787" i="3"/>
  <c r="O1775" i="3"/>
  <c r="P1637" i="3"/>
  <c r="P1635" i="3"/>
  <c r="P1639" i="3"/>
  <c r="P1642" i="3"/>
  <c r="P1640" i="3"/>
  <c r="D2771" i="3"/>
  <c r="P1634" i="3"/>
  <c r="P1638" i="3"/>
  <c r="F2774" i="3"/>
  <c r="H2769" i="3"/>
  <c r="D2772" i="3"/>
  <c r="C2560" i="3"/>
  <c r="F2560" i="3" s="1"/>
  <c r="C2563" i="3"/>
  <c r="O2563" i="3" s="1"/>
  <c r="M2774" i="3"/>
  <c r="O2774" i="3"/>
  <c r="H2766" i="3"/>
  <c r="B1199" i="3"/>
  <c r="C2559" i="3"/>
  <c r="O2559" i="3" s="1"/>
  <c r="C2078" i="3"/>
  <c r="D2078" i="3" s="1"/>
  <c r="C2082" i="3"/>
  <c r="D2082" i="3" s="1"/>
  <c r="H1780" i="3"/>
  <c r="M1780" i="3"/>
  <c r="J1780" i="3"/>
  <c r="I1780" i="3"/>
  <c r="N1780" i="3"/>
  <c r="L1780" i="3"/>
  <c r="G1780" i="3"/>
  <c r="D1780" i="3"/>
  <c r="F1780" i="3"/>
  <c r="E1780" i="3"/>
  <c r="O1780" i="3"/>
  <c r="K1780" i="3"/>
  <c r="M1013" i="3"/>
  <c r="N1013" i="3"/>
  <c r="J1013" i="3"/>
  <c r="D1013" i="3"/>
  <c r="H1013" i="3"/>
  <c r="I1013" i="3"/>
  <c r="G1013" i="3"/>
  <c r="F1013" i="3"/>
  <c r="L1013" i="3"/>
  <c r="K1013" i="3"/>
  <c r="E1013" i="3"/>
  <c r="O1013" i="3"/>
  <c r="G2767" i="3"/>
  <c r="P1564" i="3" a="1"/>
  <c r="E2774" i="3"/>
  <c r="N2767" i="3"/>
  <c r="K2767" i="3"/>
  <c r="M2766" i="3"/>
  <c r="C2079" i="3"/>
  <c r="G2079" i="3" s="1"/>
  <c r="B1885" i="3"/>
  <c r="C1872" i="3" s="1"/>
  <c r="F47" i="3"/>
  <c r="CE525" i="3"/>
  <c r="L2774" i="3"/>
  <c r="D2774" i="3"/>
  <c r="H2767" i="3"/>
  <c r="F2767" i="3"/>
  <c r="O1017" i="3"/>
  <c r="F1017" i="3"/>
  <c r="D1017" i="3"/>
  <c r="E1017" i="3"/>
  <c r="H1017" i="3"/>
  <c r="L1017" i="3"/>
  <c r="J1017" i="3"/>
  <c r="G1017" i="3"/>
  <c r="M1017" i="3"/>
  <c r="K1017" i="3"/>
  <c r="I1017" i="3"/>
  <c r="N1017" i="3"/>
  <c r="B2347" i="3"/>
  <c r="C2334" i="3" s="1"/>
  <c r="K2771" i="3"/>
  <c r="H2771" i="3"/>
  <c r="D1617" i="3"/>
  <c r="L1618" i="3"/>
  <c r="G2769" i="3"/>
  <c r="E2771" i="3"/>
  <c r="F2771" i="3"/>
  <c r="O2772" i="3"/>
  <c r="F2768" i="3"/>
  <c r="C2564" i="3"/>
  <c r="J2564" i="3" s="1"/>
  <c r="C2074" i="3"/>
  <c r="L2074" i="3" s="1"/>
  <c r="Q2104" i="3"/>
  <c r="BW2096" i="3" s="1"/>
  <c r="BZ2095" i="3" s="1"/>
  <c r="Q2099" i="3"/>
  <c r="AS2096" i="3" s="1"/>
  <c r="AV2095" i="3" s="1"/>
  <c r="Q2101" i="3"/>
  <c r="BE2096" i="3" s="1"/>
  <c r="BH2095" i="3" s="1"/>
  <c r="Q2103" i="3"/>
  <c r="BQ2096" i="3" s="1"/>
  <c r="Q2095" i="3"/>
  <c r="Q2100" i="3"/>
  <c r="AY2096" i="3" s="1"/>
  <c r="BB2095" i="3" s="1"/>
  <c r="Q2105" i="3"/>
  <c r="CC2096" i="3" s="1"/>
  <c r="CF2095" i="3" s="1"/>
  <c r="Q2098" i="3"/>
  <c r="AM2096" i="3" s="1"/>
  <c r="AP2095" i="3" s="1"/>
  <c r="Q2097" i="3"/>
  <c r="AG2096" i="3" s="1"/>
  <c r="AJ2095" i="3" s="1"/>
  <c r="Q2096" i="3"/>
  <c r="Q2102" i="3"/>
  <c r="BK2096" i="3" s="1"/>
  <c r="H1610" i="3"/>
  <c r="D1610" i="3"/>
  <c r="L1610" i="3"/>
  <c r="E1610" i="3"/>
  <c r="G1610" i="3"/>
  <c r="F1610" i="3"/>
  <c r="G1615" i="3"/>
  <c r="K1615" i="3"/>
  <c r="D1615" i="3"/>
  <c r="O1613" i="3"/>
  <c r="I2769" i="3"/>
  <c r="I2771" i="3"/>
  <c r="M2772" i="3"/>
  <c r="H2768" i="3"/>
  <c r="Q810" i="3"/>
  <c r="BQ803" i="3" s="1"/>
  <c r="C2073" i="3"/>
  <c r="D2073" i="3" s="1"/>
  <c r="P1286" i="3" a="1"/>
  <c r="J1616" i="3"/>
  <c r="L1616" i="3"/>
  <c r="F1616" i="3"/>
  <c r="G1616" i="3"/>
  <c r="D1616" i="3"/>
  <c r="O1616" i="3"/>
  <c r="F1612" i="3"/>
  <c r="D1612" i="3"/>
  <c r="H1612" i="3"/>
  <c r="L2769" i="3"/>
  <c r="F2769" i="3"/>
  <c r="N2769" i="3"/>
  <c r="D2765" i="3"/>
  <c r="L2772" i="3"/>
  <c r="N2772" i="3"/>
  <c r="G2772" i="3"/>
  <c r="P571" i="3" a="1"/>
  <c r="B334" i="3"/>
  <c r="Q898" i="3"/>
  <c r="AS895" i="3" s="1"/>
  <c r="AV894" i="3" s="1"/>
  <c r="Q894" i="3"/>
  <c r="Q900" i="3"/>
  <c r="BE895" i="3" s="1"/>
  <c r="BH894" i="3" s="1"/>
  <c r="Q903" i="3"/>
  <c r="BW895" i="3" s="1"/>
  <c r="Q897" i="3"/>
  <c r="AM895" i="3" s="1"/>
  <c r="Q901" i="3"/>
  <c r="BK895" i="3" s="1"/>
  <c r="BN894" i="3" s="1"/>
  <c r="Q899" i="3"/>
  <c r="AY895" i="3" s="1"/>
  <c r="BB894" i="3" s="1"/>
  <c r="Q896" i="3"/>
  <c r="AG895" i="3" s="1"/>
  <c r="AJ894" i="3" s="1"/>
  <c r="Q902" i="3"/>
  <c r="BQ895" i="3" s="1"/>
  <c r="Q904" i="3"/>
  <c r="CC895" i="3" s="1"/>
  <c r="CF894" i="3" s="1"/>
  <c r="Q895" i="3"/>
  <c r="J47" i="3"/>
  <c r="O2769" i="3"/>
  <c r="D2769" i="3"/>
  <c r="M2769" i="3"/>
  <c r="L2771" i="3"/>
  <c r="M2771" i="3"/>
  <c r="J2771" i="3"/>
  <c r="E2765" i="3"/>
  <c r="I2774" i="3"/>
  <c r="N2774" i="3"/>
  <c r="H2774" i="3"/>
  <c r="J2772" i="3"/>
  <c r="F2772" i="3"/>
  <c r="H2772" i="3"/>
  <c r="C2556" i="3"/>
  <c r="L2556" i="3" s="1"/>
  <c r="C2081" i="3"/>
  <c r="C2075" i="3"/>
  <c r="C2072" i="3"/>
  <c r="C2076" i="3"/>
  <c r="C2080" i="3"/>
  <c r="O47" i="3"/>
  <c r="K2769" i="3"/>
  <c r="J2769" i="3"/>
  <c r="G2771" i="3"/>
  <c r="O2771" i="3"/>
  <c r="I2765" i="3"/>
  <c r="J2774" i="3"/>
  <c r="G2774" i="3"/>
  <c r="I2772" i="3"/>
  <c r="E2772" i="3"/>
  <c r="C2565" i="3"/>
  <c r="G2565" i="3" s="1"/>
  <c r="C2557" i="3"/>
  <c r="I2557" i="3" s="1"/>
  <c r="C2562" i="3"/>
  <c r="M2562" i="3" s="1"/>
  <c r="C2558" i="3"/>
  <c r="J2558" i="3" s="1"/>
  <c r="C2077" i="3"/>
  <c r="M47" i="3"/>
  <c r="D47" i="3"/>
  <c r="L47" i="3"/>
  <c r="E47" i="3"/>
  <c r="I47" i="3"/>
  <c r="AA1380" i="3"/>
  <c r="AD1379" i="3" s="1"/>
  <c r="AE1379" i="3" s="1"/>
  <c r="O2768" i="3"/>
  <c r="D2766" i="3"/>
  <c r="J2766" i="3"/>
  <c r="H47" i="3"/>
  <c r="G47" i="3"/>
  <c r="N47" i="3"/>
  <c r="F2025" i="3"/>
  <c r="L2768" i="3"/>
  <c r="K2768" i="3"/>
  <c r="I2766" i="3"/>
  <c r="L2766" i="3"/>
  <c r="Q803" i="3"/>
  <c r="AA803" i="3" s="1"/>
  <c r="D2767" i="3"/>
  <c r="E2767" i="3"/>
  <c r="I2767" i="3"/>
  <c r="I2768" i="3"/>
  <c r="D2768" i="3"/>
  <c r="N2768" i="3"/>
  <c r="E2766" i="3"/>
  <c r="K2766" i="3"/>
  <c r="G2766" i="3"/>
  <c r="CA1379" i="3"/>
  <c r="J2767" i="3"/>
  <c r="M2767" i="3"/>
  <c r="M2768" i="3"/>
  <c r="J2768" i="3"/>
  <c r="J2773" i="3"/>
  <c r="O2766" i="3"/>
  <c r="N2766" i="3"/>
  <c r="Q805" i="3"/>
  <c r="AM803" i="3" s="1"/>
  <c r="C2561" i="3"/>
  <c r="C1339" i="3"/>
  <c r="F1339" i="3" s="1"/>
  <c r="Q807" i="3"/>
  <c r="AY803" i="3" s="1"/>
  <c r="BB802" i="3" s="1"/>
  <c r="BD802" i="3" s="1"/>
  <c r="O45" i="3"/>
  <c r="K45" i="3"/>
  <c r="J2765" i="3"/>
  <c r="M2773" i="3"/>
  <c r="E2773" i="3"/>
  <c r="Q811" i="3"/>
  <c r="BW803" i="3" s="1"/>
  <c r="Q808" i="3"/>
  <c r="BE803" i="3" s="1"/>
  <c r="BH802" i="3" s="1"/>
  <c r="BJ802" i="3" s="1"/>
  <c r="Q806" i="3"/>
  <c r="AS803" i="3" s="1"/>
  <c r="AV802" i="3" s="1"/>
  <c r="AW802" i="3" s="1"/>
  <c r="I45" i="3"/>
  <c r="P755" i="3"/>
  <c r="K2765" i="3"/>
  <c r="G2773" i="3"/>
  <c r="D2773" i="3"/>
  <c r="Q804" i="3"/>
  <c r="AG803" i="3" s="1"/>
  <c r="Q809" i="3"/>
  <c r="BK803" i="3" s="1"/>
  <c r="BN802" i="3" s="1"/>
  <c r="BO802" i="3" s="1"/>
  <c r="Q802" i="3"/>
  <c r="L2773" i="3"/>
  <c r="Q812" i="3"/>
  <c r="CC803" i="3" s="1"/>
  <c r="CF802" i="3" s="1"/>
  <c r="CH802" i="3" s="1"/>
  <c r="P1527" i="3"/>
  <c r="AU1380" i="3"/>
  <c r="AV1379" i="3" s="1"/>
  <c r="AX1379" i="3" s="1"/>
  <c r="H44" i="3"/>
  <c r="U1380" i="3"/>
  <c r="X1379" i="3" s="1"/>
  <c r="Z1379" i="3" s="1"/>
  <c r="O2765" i="3"/>
  <c r="L2765" i="3"/>
  <c r="G2765" i="3"/>
  <c r="I2773" i="3"/>
  <c r="K2773" i="3"/>
  <c r="F2773" i="3"/>
  <c r="O2764" i="3"/>
  <c r="M2764" i="3"/>
  <c r="H2765" i="3"/>
  <c r="M2765" i="3"/>
  <c r="H2773" i="3"/>
  <c r="N2773" i="3"/>
  <c r="F2764" i="3"/>
  <c r="I2764" i="3"/>
  <c r="L2764" i="3"/>
  <c r="G44" i="3"/>
  <c r="BM1380" i="3"/>
  <c r="BN1379" i="3" s="1"/>
  <c r="BP1379" i="3" s="1"/>
  <c r="P1519" i="3"/>
  <c r="E44" i="3"/>
  <c r="K2764" i="3"/>
  <c r="E2764" i="3"/>
  <c r="N2764" i="3"/>
  <c r="D2764" i="3"/>
  <c r="G2764" i="3"/>
  <c r="J2764" i="3"/>
  <c r="BV1818" i="3"/>
  <c r="N44" i="3"/>
  <c r="J44" i="3"/>
  <c r="N45" i="3"/>
  <c r="H45" i="3"/>
  <c r="AE2810" i="3"/>
  <c r="P1520" i="3"/>
  <c r="E2718" i="3"/>
  <c r="D44" i="3"/>
  <c r="G45" i="3"/>
  <c r="F1336" i="3"/>
  <c r="E1336" i="3"/>
  <c r="O1336" i="3"/>
  <c r="R1379" i="3"/>
  <c r="S1379" i="3" s="1"/>
  <c r="AC1380" i="3"/>
  <c r="BA1380" i="3"/>
  <c r="BB1379" i="3" s="1"/>
  <c r="BC1379" i="3" s="1"/>
  <c r="C1335" i="3"/>
  <c r="L1335" i="3" s="1"/>
  <c r="C1337" i="3"/>
  <c r="F1337" i="3" s="1"/>
  <c r="I44" i="3"/>
  <c r="O44" i="3"/>
  <c r="L44" i="3"/>
  <c r="BG1380" i="3"/>
  <c r="BH1379" i="3" s="1"/>
  <c r="BI1379" i="3" s="1"/>
  <c r="AO1380" i="3"/>
  <c r="D45" i="3"/>
  <c r="L45" i="3"/>
  <c r="F45" i="3"/>
  <c r="CH524" i="3"/>
  <c r="P1521" i="3"/>
  <c r="P1523" i="3"/>
  <c r="K2718" i="3"/>
  <c r="D1336" i="3"/>
  <c r="I1336" i="3"/>
  <c r="P1518" i="3"/>
  <c r="P1526" i="3"/>
  <c r="M1336" i="3"/>
  <c r="J1336" i="3"/>
  <c r="K44" i="3"/>
  <c r="M44" i="3"/>
  <c r="N48" i="3"/>
  <c r="BS1380" i="3"/>
  <c r="BY1380" i="3"/>
  <c r="M45" i="3"/>
  <c r="J45" i="3"/>
  <c r="P1517" i="3"/>
  <c r="P1525" i="3"/>
  <c r="N2718" i="3"/>
  <c r="N1336" i="3"/>
  <c r="K1336" i="3"/>
  <c r="L1336" i="3"/>
  <c r="P987" i="3"/>
  <c r="P994" i="3"/>
  <c r="P993" i="3"/>
  <c r="P986" i="3"/>
  <c r="P995" i="3"/>
  <c r="P996" i="3"/>
  <c r="P991" i="3"/>
  <c r="P988" i="3"/>
  <c r="P989" i="3"/>
  <c r="P992" i="3"/>
  <c r="P990" i="3"/>
  <c r="C1340" i="3"/>
  <c r="C1338" i="3"/>
  <c r="C1342" i="3"/>
  <c r="P1794" i="3" a="1"/>
  <c r="P1803" i="3" s="1"/>
  <c r="C1343" i="3"/>
  <c r="E1757" i="3"/>
  <c r="P247" i="3" a="1"/>
  <c r="P255" i="3" s="1"/>
  <c r="B2462" i="3"/>
  <c r="C2444" i="3" s="1"/>
  <c r="K2444" i="3" s="1"/>
  <c r="G1336" i="3"/>
  <c r="H1336" i="3"/>
  <c r="C1334" i="3"/>
  <c r="C1341" i="3"/>
  <c r="C1333" i="3"/>
  <c r="D48" i="3"/>
  <c r="AP1379" i="3"/>
  <c r="AQ1379" i="3" s="1"/>
  <c r="AI1380" i="3"/>
  <c r="AJ1379" i="3" s="1"/>
  <c r="AL1379" i="3" s="1"/>
  <c r="K48" i="3"/>
  <c r="I46" i="3"/>
  <c r="J2718" i="3"/>
  <c r="G42" i="3"/>
  <c r="P1524" i="3"/>
  <c r="D2718" i="3"/>
  <c r="C1245" i="3"/>
  <c r="E1245" i="3" s="1"/>
  <c r="C1240" i="3"/>
  <c r="H1240" i="3" s="1"/>
  <c r="C1242" i="3"/>
  <c r="H1242" i="3" s="1"/>
  <c r="C1249" i="3"/>
  <c r="I1249" i="3" s="1"/>
  <c r="C1246" i="3"/>
  <c r="I1246" i="3" s="1"/>
  <c r="C1241" i="3"/>
  <c r="J1241" i="3" s="1"/>
  <c r="C1247" i="3"/>
  <c r="H1247" i="3" s="1"/>
  <c r="P2048" i="3" a="1"/>
  <c r="M1244" i="3"/>
  <c r="E1244" i="3"/>
  <c r="N1244" i="3"/>
  <c r="F1244" i="3"/>
  <c r="I1244" i="3"/>
  <c r="O1244" i="3"/>
  <c r="G1244" i="3"/>
  <c r="J1244" i="3"/>
  <c r="D1244" i="3"/>
  <c r="H1244" i="3"/>
  <c r="L1244" i="3"/>
  <c r="K1244" i="3"/>
  <c r="F2718" i="3"/>
  <c r="G2718" i="3"/>
  <c r="C1248" i="3"/>
  <c r="C1243" i="3"/>
  <c r="I2718" i="3"/>
  <c r="L2718" i="3"/>
  <c r="C1250" i="3"/>
  <c r="Y1725" i="3"/>
  <c r="O42" i="3"/>
  <c r="E46" i="3"/>
  <c r="P2372" i="3" a="1"/>
  <c r="P2379" i="3" s="1"/>
  <c r="B1329" i="3"/>
  <c r="C2238" i="3"/>
  <c r="F2238" i="3" s="1"/>
  <c r="C2242" i="3"/>
  <c r="O2242" i="3" s="1"/>
  <c r="C2240" i="3"/>
  <c r="N2240" i="3" s="1"/>
  <c r="D42" i="3"/>
  <c r="K40" i="3"/>
  <c r="E2025" i="3"/>
  <c r="K42" i="3"/>
  <c r="H40" i="3"/>
  <c r="N2025" i="3"/>
  <c r="C2235" i="3"/>
  <c r="G2235" i="3" s="1"/>
  <c r="C2234" i="3"/>
  <c r="N2234" i="3" s="1"/>
  <c r="C2241" i="3"/>
  <c r="E2241" i="3" s="1"/>
  <c r="O2025" i="3"/>
  <c r="D2025" i="3"/>
  <c r="K2025" i="3"/>
  <c r="C2237" i="3"/>
  <c r="K2237" i="3" s="1"/>
  <c r="M42" i="3"/>
  <c r="D46" i="3"/>
  <c r="H46" i="3"/>
  <c r="M2718" i="3"/>
  <c r="H2718" i="3"/>
  <c r="C2233" i="3"/>
  <c r="O2233" i="3" s="1"/>
  <c r="C2239" i="3"/>
  <c r="E2239" i="3" s="1"/>
  <c r="H2025" i="3"/>
  <c r="J2025" i="3"/>
  <c r="I2025" i="3"/>
  <c r="C2236" i="3"/>
  <c r="J2236" i="3" s="1"/>
  <c r="I42" i="3"/>
  <c r="O46" i="3"/>
  <c r="F46" i="3"/>
  <c r="AO525" i="3"/>
  <c r="L2025" i="3"/>
  <c r="G2025" i="3"/>
  <c r="C2243" i="3"/>
  <c r="N2243" i="3" s="1"/>
  <c r="M2722" i="3"/>
  <c r="N2722" i="3"/>
  <c r="H2722" i="3"/>
  <c r="P2005" i="3"/>
  <c r="J2722" i="3"/>
  <c r="O2722" i="3"/>
  <c r="F2721" i="3"/>
  <c r="F2722" i="3"/>
  <c r="K2722" i="3"/>
  <c r="I2724" i="3"/>
  <c r="O2724" i="3"/>
  <c r="D2027" i="3"/>
  <c r="I2027" i="3"/>
  <c r="M2027" i="3"/>
  <c r="K2027" i="3"/>
  <c r="H2027" i="3"/>
  <c r="E2027" i="3"/>
  <c r="J2027" i="3"/>
  <c r="G2027" i="3"/>
  <c r="N2027" i="3"/>
  <c r="L2027" i="3"/>
  <c r="O2027" i="3"/>
  <c r="F2027" i="3"/>
  <c r="L2033" i="3"/>
  <c r="F2033" i="3"/>
  <c r="J2033" i="3"/>
  <c r="E2033" i="3"/>
  <c r="O2033" i="3"/>
  <c r="M2033" i="3"/>
  <c r="G2033" i="3"/>
  <c r="H2033" i="3"/>
  <c r="I2033" i="3"/>
  <c r="D2033" i="3"/>
  <c r="N2033" i="3"/>
  <c r="K2033" i="3"/>
  <c r="M2028" i="3"/>
  <c r="D2028" i="3"/>
  <c r="F2028" i="3"/>
  <c r="N2028" i="3"/>
  <c r="H2028" i="3"/>
  <c r="I2028" i="3"/>
  <c r="E2028" i="3"/>
  <c r="J2028" i="3"/>
  <c r="L2028" i="3"/>
  <c r="K2028" i="3"/>
  <c r="G2028" i="3"/>
  <c r="O2028" i="3"/>
  <c r="S963" i="3"/>
  <c r="BU963" i="3"/>
  <c r="BV963" i="3"/>
  <c r="N2030" i="3"/>
  <c r="D2030" i="3"/>
  <c r="I2030" i="3"/>
  <c r="O2030" i="3"/>
  <c r="E2030" i="3"/>
  <c r="M2030" i="3"/>
  <c r="F2030" i="3"/>
  <c r="J2030" i="3"/>
  <c r="H2030" i="3"/>
  <c r="K2030" i="3"/>
  <c r="L2030" i="3"/>
  <c r="G2030" i="3"/>
  <c r="Y963" i="3"/>
  <c r="I2722" i="3"/>
  <c r="D2722" i="3"/>
  <c r="I2721" i="3"/>
  <c r="M2724" i="3"/>
  <c r="M2026" i="3"/>
  <c r="N2026" i="3"/>
  <c r="G2026" i="3"/>
  <c r="H2026" i="3"/>
  <c r="I2026" i="3"/>
  <c r="E2026" i="3"/>
  <c r="D2026" i="3"/>
  <c r="O2026" i="3"/>
  <c r="K2026" i="3"/>
  <c r="J2026" i="3"/>
  <c r="F2026" i="3"/>
  <c r="L2026" i="3"/>
  <c r="H2031" i="3"/>
  <c r="O2031" i="3"/>
  <c r="K2031" i="3"/>
  <c r="D2031" i="3"/>
  <c r="I2031" i="3"/>
  <c r="J2031" i="3"/>
  <c r="G2031" i="3"/>
  <c r="L2031" i="3"/>
  <c r="E2031" i="3"/>
  <c r="N2031" i="3"/>
  <c r="F2031" i="3"/>
  <c r="M2031" i="3"/>
  <c r="AQ963" i="3"/>
  <c r="AR963" i="3"/>
  <c r="BD963" i="3"/>
  <c r="BC963" i="3"/>
  <c r="AE963" i="3"/>
  <c r="AF963" i="3"/>
  <c r="O2029" i="3"/>
  <c r="M2029" i="3"/>
  <c r="H2029" i="3"/>
  <c r="I2029" i="3"/>
  <c r="E2029" i="3"/>
  <c r="N2029" i="3"/>
  <c r="G2029" i="3"/>
  <c r="K2029" i="3"/>
  <c r="D2029" i="3"/>
  <c r="F2029" i="3"/>
  <c r="L2029" i="3"/>
  <c r="J2029" i="3"/>
  <c r="J2034" i="3"/>
  <c r="L2034" i="3"/>
  <c r="F2034" i="3"/>
  <c r="N2034" i="3"/>
  <c r="H2034" i="3"/>
  <c r="M2034" i="3"/>
  <c r="E2034" i="3"/>
  <c r="I2034" i="3"/>
  <c r="G2034" i="3"/>
  <c r="O2034" i="3"/>
  <c r="K2034" i="3"/>
  <c r="D2034" i="3"/>
  <c r="P1683" i="3"/>
  <c r="P1687" i="3"/>
  <c r="P1681" i="3"/>
  <c r="P1686" i="3"/>
  <c r="P1685" i="3"/>
  <c r="P1684" i="3"/>
  <c r="P1680" i="3"/>
  <c r="P1688" i="3"/>
  <c r="P1682" i="3"/>
  <c r="P1679" i="3"/>
  <c r="P1689" i="3"/>
  <c r="D2035" i="3"/>
  <c r="N2035" i="3"/>
  <c r="L2035" i="3"/>
  <c r="M2035" i="3"/>
  <c r="F2035" i="3"/>
  <c r="H2035" i="3"/>
  <c r="E2035" i="3"/>
  <c r="K2035" i="3"/>
  <c r="G2035" i="3"/>
  <c r="I2035" i="3"/>
  <c r="O2035" i="3"/>
  <c r="J2035" i="3"/>
  <c r="CA963" i="3"/>
  <c r="CB963" i="3"/>
  <c r="AL963" i="3"/>
  <c r="AK963" i="3"/>
  <c r="AW963" i="3"/>
  <c r="F2032" i="3"/>
  <c r="E2032" i="3"/>
  <c r="G2032" i="3"/>
  <c r="N2032" i="3"/>
  <c r="J2032" i="3"/>
  <c r="M2032" i="3"/>
  <c r="D2032" i="3"/>
  <c r="L2032" i="3"/>
  <c r="I2032" i="3"/>
  <c r="O2032" i="3"/>
  <c r="H2032" i="3"/>
  <c r="K2032" i="3"/>
  <c r="G1757" i="3"/>
  <c r="P2004" i="3"/>
  <c r="I1757" i="3"/>
  <c r="E2722" i="3"/>
  <c r="G2722" i="3"/>
  <c r="K2721" i="3"/>
  <c r="E2721" i="3"/>
  <c r="E2724" i="3"/>
  <c r="J2724" i="3"/>
  <c r="G2724" i="3"/>
  <c r="N1757" i="3"/>
  <c r="N2721" i="3"/>
  <c r="G2721" i="3"/>
  <c r="L2724" i="3"/>
  <c r="K2724" i="3"/>
  <c r="N2724" i="3"/>
  <c r="C2512" i="3"/>
  <c r="E2512" i="3" s="1"/>
  <c r="M2721" i="3"/>
  <c r="D2721" i="3"/>
  <c r="L2721" i="3"/>
  <c r="H2724" i="3"/>
  <c r="D2724" i="3"/>
  <c r="C2516" i="3"/>
  <c r="O2516" i="3" s="1"/>
  <c r="C2517" i="3"/>
  <c r="N2517" i="3" s="1"/>
  <c r="AD1725" i="3"/>
  <c r="AE1725" i="3" s="1"/>
  <c r="AW1818" i="3"/>
  <c r="J42" i="3"/>
  <c r="H42" i="3"/>
  <c r="L42" i="3"/>
  <c r="G46" i="3"/>
  <c r="N46" i="3"/>
  <c r="L46" i="3"/>
  <c r="E42" i="3"/>
  <c r="N42" i="3"/>
  <c r="L40" i="3"/>
  <c r="M46" i="3"/>
  <c r="J46" i="3"/>
  <c r="O2721" i="3"/>
  <c r="H2721" i="3"/>
  <c r="M2719" i="3"/>
  <c r="G2719" i="3"/>
  <c r="O2719" i="3"/>
  <c r="K2719" i="3"/>
  <c r="D2719" i="3"/>
  <c r="J2719" i="3"/>
  <c r="I2719" i="3"/>
  <c r="F2719" i="3"/>
  <c r="N2719" i="3"/>
  <c r="H2719" i="3"/>
  <c r="E2719" i="3"/>
  <c r="L2719" i="3"/>
  <c r="B1707" i="3"/>
  <c r="B1708" i="3" s="1"/>
  <c r="B1709" i="3" s="1"/>
  <c r="B1710" i="3" s="1"/>
  <c r="E2726" i="3"/>
  <c r="H2726" i="3"/>
  <c r="N2726" i="3"/>
  <c r="F2726" i="3"/>
  <c r="K2726" i="3"/>
  <c r="G2726" i="3"/>
  <c r="L2726" i="3"/>
  <c r="J2726" i="3"/>
  <c r="D2726" i="3"/>
  <c r="M2726" i="3"/>
  <c r="O2726" i="3"/>
  <c r="I2726" i="3"/>
  <c r="BM1819" i="3"/>
  <c r="J43" i="3"/>
  <c r="C2514" i="3"/>
  <c r="K2514" i="3" s="1"/>
  <c r="C2511" i="3"/>
  <c r="N2511" i="3" s="1"/>
  <c r="H2728" i="3"/>
  <c r="D2728" i="3"/>
  <c r="I2728" i="3"/>
  <c r="M2728" i="3"/>
  <c r="E2728" i="3"/>
  <c r="L2728" i="3"/>
  <c r="G2728" i="3"/>
  <c r="F2728" i="3"/>
  <c r="O2728" i="3"/>
  <c r="N2728" i="3"/>
  <c r="J2728" i="3"/>
  <c r="K2728" i="3"/>
  <c r="N2723" i="3"/>
  <c r="K2723" i="3"/>
  <c r="I2723" i="3"/>
  <c r="D2723" i="3"/>
  <c r="M2723" i="3"/>
  <c r="O2723" i="3"/>
  <c r="L2723" i="3"/>
  <c r="F2723" i="3"/>
  <c r="G2723" i="3"/>
  <c r="J2723" i="3"/>
  <c r="E2723" i="3"/>
  <c r="H2723" i="3"/>
  <c r="AO1819" i="3"/>
  <c r="Q1504" i="3"/>
  <c r="CC1495" i="3" s="1"/>
  <c r="CF1494" i="3" s="1"/>
  <c r="CG1494" i="3" s="1"/>
  <c r="C2510" i="3"/>
  <c r="M2510" i="3" s="1"/>
  <c r="H2727" i="3"/>
  <c r="I2727" i="3"/>
  <c r="F2727" i="3"/>
  <c r="G2727" i="3"/>
  <c r="J2727" i="3"/>
  <c r="D2727" i="3"/>
  <c r="E2727" i="3"/>
  <c r="N2727" i="3"/>
  <c r="M2727" i="3"/>
  <c r="O2727" i="3"/>
  <c r="L2727" i="3"/>
  <c r="K2727" i="3"/>
  <c r="I2720" i="3"/>
  <c r="L2720" i="3"/>
  <c r="G2720" i="3"/>
  <c r="F2720" i="3"/>
  <c r="H2720" i="3"/>
  <c r="D2720" i="3"/>
  <c r="J2720" i="3"/>
  <c r="K2720" i="3"/>
  <c r="O2720" i="3"/>
  <c r="M2720" i="3"/>
  <c r="E2720" i="3"/>
  <c r="N2720" i="3"/>
  <c r="N50" i="3"/>
  <c r="N2193" i="3"/>
  <c r="P2002" i="3"/>
  <c r="B188" i="3"/>
  <c r="P2006" i="3"/>
  <c r="C2519" i="3"/>
  <c r="C2515" i="3"/>
  <c r="G2520" i="3"/>
  <c r="I2520" i="3"/>
  <c r="O2520" i="3"/>
  <c r="F2520" i="3"/>
  <c r="K2520" i="3"/>
  <c r="L2520" i="3"/>
  <c r="M2520" i="3"/>
  <c r="D2520" i="3"/>
  <c r="N2520" i="3"/>
  <c r="H2520" i="3"/>
  <c r="E2520" i="3"/>
  <c r="J2520" i="3"/>
  <c r="C2513" i="3"/>
  <c r="C2518" i="3"/>
  <c r="AC1819" i="3"/>
  <c r="AL1818" i="3"/>
  <c r="M1757" i="3"/>
  <c r="D1757" i="3"/>
  <c r="P2003" i="3"/>
  <c r="B1492" i="3"/>
  <c r="C1471" i="3" s="1"/>
  <c r="BS1819" i="3"/>
  <c r="AI1819" i="3"/>
  <c r="W826" i="3"/>
  <c r="AX2349" i="3"/>
  <c r="P763" i="3"/>
  <c r="CE1819" i="3"/>
  <c r="W2350" i="3"/>
  <c r="P758" i="3"/>
  <c r="W1819" i="3"/>
  <c r="Q1502" i="3"/>
  <c r="BQ1495" i="3" s="1"/>
  <c r="BT1494" i="3" s="1"/>
  <c r="BU1494" i="3" s="1"/>
  <c r="P2210" i="3" a="1"/>
  <c r="P2211" i="3" s="1"/>
  <c r="O41" i="3"/>
  <c r="W525" i="3"/>
  <c r="X524" i="3" s="1"/>
  <c r="Y524" i="3" s="1"/>
  <c r="AU525" i="3"/>
  <c r="AV524" i="3" s="1"/>
  <c r="AW524" i="3" s="1"/>
  <c r="BG525" i="3"/>
  <c r="BH524" i="3" s="1"/>
  <c r="BJ524" i="3" s="1"/>
  <c r="AU1819" i="3"/>
  <c r="AA1819" i="3"/>
  <c r="AD1818" i="3" s="1"/>
  <c r="AE1818" i="3" s="1"/>
  <c r="BC1818" i="3"/>
  <c r="K41" i="3"/>
  <c r="BA525" i="3"/>
  <c r="BB524" i="3" s="1"/>
  <c r="BC524" i="3" s="1"/>
  <c r="BS525" i="3"/>
  <c r="BT524" i="3" s="1"/>
  <c r="BU524" i="3" s="1"/>
  <c r="AI525" i="3"/>
  <c r="AJ524" i="3" s="1"/>
  <c r="AL524" i="3" s="1"/>
  <c r="BY525" i="3"/>
  <c r="BZ524" i="3" s="1"/>
  <c r="CB524" i="3" s="1"/>
  <c r="BM525" i="3"/>
  <c r="BN524" i="3" s="1"/>
  <c r="BO524" i="3" s="1"/>
  <c r="L2193" i="3"/>
  <c r="Q1499" i="3"/>
  <c r="AY1495" i="3" s="1"/>
  <c r="E50" i="3"/>
  <c r="AC525" i="3"/>
  <c r="P765" i="3"/>
  <c r="I2193" i="3"/>
  <c r="AQ1818" i="3"/>
  <c r="BP2349" i="3"/>
  <c r="I50" i="3"/>
  <c r="AP524" i="3"/>
  <c r="AR524" i="3" s="1"/>
  <c r="R524" i="3"/>
  <c r="S524" i="3" s="1"/>
  <c r="P757" i="3"/>
  <c r="P762" i="3"/>
  <c r="E2193" i="3"/>
  <c r="J2193" i="3"/>
  <c r="Q1495" i="3"/>
  <c r="AA1495" i="3" s="1"/>
  <c r="Q1501" i="3"/>
  <c r="BK1495" i="3" s="1"/>
  <c r="BN1494" i="3" s="1"/>
  <c r="BP1494" i="3" s="1"/>
  <c r="Q1494" i="3"/>
  <c r="Q1498" i="3"/>
  <c r="AS1495" i="3" s="1"/>
  <c r="Q1496" i="3"/>
  <c r="AG1495" i="3" s="1"/>
  <c r="Q1500" i="3"/>
  <c r="BE1495" i="3" s="1"/>
  <c r="Q1503" i="3"/>
  <c r="BW1495" i="3" s="1"/>
  <c r="BZ1494" i="3" s="1"/>
  <c r="CA1494" i="3" s="1"/>
  <c r="Q1497" i="3"/>
  <c r="AM1495" i="3" s="1"/>
  <c r="I41" i="3"/>
  <c r="L43" i="3"/>
  <c r="P761" i="3"/>
  <c r="P764" i="3"/>
  <c r="O1757" i="3"/>
  <c r="L1757" i="3"/>
  <c r="K1757" i="3"/>
  <c r="P2012" i="3"/>
  <c r="P2010" i="3"/>
  <c r="P2008" i="3"/>
  <c r="P2490" i="3"/>
  <c r="P2492" i="3"/>
  <c r="P2495" i="3"/>
  <c r="P2496" i="3"/>
  <c r="P2494" i="3"/>
  <c r="P2489" i="3"/>
  <c r="P2491" i="3"/>
  <c r="P2487" i="3"/>
  <c r="P2497" i="3"/>
  <c r="P2488" i="3"/>
  <c r="P2493" i="3"/>
  <c r="F41" i="3"/>
  <c r="I43" i="3"/>
  <c r="M43" i="3"/>
  <c r="P756" i="3"/>
  <c r="P760" i="3"/>
  <c r="K1754" i="3"/>
  <c r="J1757" i="3"/>
  <c r="F1757" i="3"/>
  <c r="P2011" i="3"/>
  <c r="P2009" i="3"/>
  <c r="M41" i="3"/>
  <c r="E41" i="3"/>
  <c r="N43" i="3"/>
  <c r="F43" i="3"/>
  <c r="P917" i="3" a="1"/>
  <c r="P2679" i="3"/>
  <c r="P2681" i="3"/>
  <c r="P2674" i="3"/>
  <c r="P2677" i="3"/>
  <c r="P2680" i="3"/>
  <c r="P2678" i="3"/>
  <c r="P2682" i="3"/>
  <c r="P2675" i="3"/>
  <c r="P2676" i="3"/>
  <c r="P2672" i="3"/>
  <c r="P2673" i="3"/>
  <c r="P1425" i="3" a="1"/>
  <c r="P1435" i="3" s="1"/>
  <c r="CG2349" i="3"/>
  <c r="CE2350" i="3"/>
  <c r="J41" i="3"/>
  <c r="L41" i="3"/>
  <c r="N41" i="3"/>
  <c r="O43" i="3"/>
  <c r="K43" i="3"/>
  <c r="H43" i="3"/>
  <c r="D1754" i="3"/>
  <c r="BM2350" i="3"/>
  <c r="D41" i="3"/>
  <c r="H41" i="3"/>
  <c r="D43" i="3"/>
  <c r="E43" i="3"/>
  <c r="N1754" i="3"/>
  <c r="CG1818" i="3"/>
  <c r="N40" i="3"/>
  <c r="F1754" i="3"/>
  <c r="L1754" i="3"/>
  <c r="M1754" i="3"/>
  <c r="Q550" i="3"/>
  <c r="AG549" i="3" s="1"/>
  <c r="Q552" i="3"/>
  <c r="AS549" i="3" s="1"/>
  <c r="AV548" i="3" s="1"/>
  <c r="Q553" i="3"/>
  <c r="AY549" i="3" s="1"/>
  <c r="BB548" i="3" s="1"/>
  <c r="Q554" i="3"/>
  <c r="BE549" i="3" s="1"/>
  <c r="BH548" i="3" s="1"/>
  <c r="Q551" i="3"/>
  <c r="AM549" i="3" s="1"/>
  <c r="Q557" i="3"/>
  <c r="BW549" i="3" s="1"/>
  <c r="BZ548" i="3" s="1"/>
  <c r="Q558" i="3"/>
  <c r="CC549" i="3" s="1"/>
  <c r="CF548" i="3" s="1"/>
  <c r="Q555" i="3"/>
  <c r="BK549" i="3" s="1"/>
  <c r="BN548" i="3" s="1"/>
  <c r="Q549" i="3"/>
  <c r="Q548" i="3"/>
  <c r="Q556" i="3"/>
  <c r="BQ549" i="3" s="1"/>
  <c r="BT548" i="3" s="1"/>
  <c r="BA1819" i="3"/>
  <c r="H50" i="3"/>
  <c r="K50" i="3"/>
  <c r="O50" i="3"/>
  <c r="O40" i="3"/>
  <c r="E40" i="3"/>
  <c r="BN1818" i="3"/>
  <c r="BO1818" i="3" s="1"/>
  <c r="BD2349" i="3"/>
  <c r="M50" i="3"/>
  <c r="L50" i="3"/>
  <c r="D50" i="3"/>
  <c r="F40" i="3"/>
  <c r="J40" i="3"/>
  <c r="G40" i="3"/>
  <c r="CH2810" i="3"/>
  <c r="E1754" i="3"/>
  <c r="O1754" i="3"/>
  <c r="G1754" i="3"/>
  <c r="P1032" i="3" a="1"/>
  <c r="P2279" i="3" a="1"/>
  <c r="BY1819" i="3"/>
  <c r="BG1819" i="3"/>
  <c r="BH1818" i="3" s="1"/>
  <c r="G50" i="3"/>
  <c r="F50" i="3"/>
  <c r="D40" i="3"/>
  <c r="I40" i="3"/>
  <c r="J1754" i="3"/>
  <c r="H1754" i="3"/>
  <c r="I1758" i="3"/>
  <c r="L1758" i="3"/>
  <c r="D1758" i="3"/>
  <c r="G1758" i="3"/>
  <c r="J1758" i="3"/>
  <c r="E1758" i="3"/>
  <c r="K1758" i="3"/>
  <c r="N1758" i="3"/>
  <c r="F1758" i="3"/>
  <c r="H1758" i="3"/>
  <c r="M1758" i="3"/>
  <c r="O1758" i="3"/>
  <c r="F1748" i="3"/>
  <c r="H1748" i="3"/>
  <c r="J1748" i="3"/>
  <c r="O1748" i="3"/>
  <c r="K1748" i="3"/>
  <c r="I1748" i="3"/>
  <c r="D1748" i="3"/>
  <c r="N1748" i="3"/>
  <c r="M1748" i="3"/>
  <c r="E1748" i="3"/>
  <c r="L1748" i="3"/>
  <c r="G1748" i="3"/>
  <c r="G1751" i="3"/>
  <c r="H1751" i="3"/>
  <c r="I1751" i="3"/>
  <c r="F1751" i="3"/>
  <c r="L1751" i="3"/>
  <c r="N1751" i="3"/>
  <c r="O1751" i="3"/>
  <c r="J1751" i="3"/>
  <c r="K1751" i="3"/>
  <c r="M1751" i="3"/>
  <c r="D1751" i="3"/>
  <c r="E1751" i="3"/>
  <c r="G1750" i="3"/>
  <c r="H1750" i="3"/>
  <c r="L1750" i="3"/>
  <c r="F1750" i="3"/>
  <c r="O1750" i="3"/>
  <c r="K1750" i="3"/>
  <c r="D1750" i="3"/>
  <c r="N1750" i="3"/>
  <c r="J1750" i="3"/>
  <c r="E1750" i="3"/>
  <c r="M1750" i="3"/>
  <c r="I1750" i="3"/>
  <c r="K1755" i="3"/>
  <c r="I1755" i="3"/>
  <c r="M1755" i="3"/>
  <c r="G1755" i="3"/>
  <c r="O1755" i="3"/>
  <c r="E1755" i="3"/>
  <c r="J1755" i="3"/>
  <c r="L1755" i="3"/>
  <c r="N1755" i="3"/>
  <c r="F1755" i="3"/>
  <c r="H1755" i="3"/>
  <c r="D1755" i="3"/>
  <c r="P132" i="3" a="1"/>
  <c r="P136" i="3" s="1"/>
  <c r="O1749" i="3"/>
  <c r="I1749" i="3"/>
  <c r="N1749" i="3"/>
  <c r="K1749" i="3"/>
  <c r="M1749" i="3"/>
  <c r="F1749" i="3"/>
  <c r="J1749" i="3"/>
  <c r="H1749" i="3"/>
  <c r="D1749" i="3"/>
  <c r="L1749" i="3"/>
  <c r="G1749" i="3"/>
  <c r="E1749" i="3"/>
  <c r="L1753" i="3"/>
  <c r="H1753" i="3"/>
  <c r="G1753" i="3"/>
  <c r="N1753" i="3"/>
  <c r="J1753" i="3"/>
  <c r="D1753" i="3"/>
  <c r="O1753" i="3"/>
  <c r="K1753" i="3"/>
  <c r="M1753" i="3"/>
  <c r="I1753" i="3"/>
  <c r="E1753" i="3"/>
  <c r="F1753" i="3"/>
  <c r="L1752" i="3"/>
  <c r="D1752" i="3"/>
  <c r="J1752" i="3"/>
  <c r="O1752" i="3"/>
  <c r="H1752" i="3"/>
  <c r="G1752" i="3"/>
  <c r="M1752" i="3"/>
  <c r="E1752" i="3"/>
  <c r="N1752" i="3"/>
  <c r="I1752" i="3"/>
  <c r="K1752" i="3"/>
  <c r="F1752" i="3"/>
  <c r="E1985" i="3"/>
  <c r="K1985" i="3"/>
  <c r="N1981" i="3"/>
  <c r="H2193" i="3"/>
  <c r="G2193" i="3"/>
  <c r="F1981" i="3"/>
  <c r="L1981" i="3"/>
  <c r="E1981" i="3"/>
  <c r="F1985" i="3"/>
  <c r="K2193" i="3"/>
  <c r="O2193" i="3"/>
  <c r="F2193" i="3"/>
  <c r="M2193" i="3"/>
  <c r="P1656" i="3" a="1"/>
  <c r="P1663" i="3" s="1"/>
  <c r="P63" i="3" a="1"/>
  <c r="P70" i="3" s="1"/>
  <c r="P1102" i="3" a="1"/>
  <c r="P1104" i="3" s="1"/>
  <c r="CA1818" i="3"/>
  <c r="I48" i="3"/>
  <c r="E48" i="3"/>
  <c r="H48" i="3"/>
  <c r="R1818" i="3"/>
  <c r="S1818" i="3" s="1"/>
  <c r="J48" i="3"/>
  <c r="G48" i="3"/>
  <c r="L48" i="3"/>
  <c r="O48" i="3"/>
  <c r="F48" i="3"/>
  <c r="F642" i="3"/>
  <c r="O642" i="3"/>
  <c r="D642" i="3"/>
  <c r="T1725" i="3"/>
  <c r="S1725" i="3"/>
  <c r="N2188" i="3"/>
  <c r="O2188" i="3"/>
  <c r="K2188" i="3"/>
  <c r="L2188" i="3"/>
  <c r="D2188" i="3"/>
  <c r="F2188" i="3"/>
  <c r="E2188" i="3"/>
  <c r="I2188" i="3"/>
  <c r="G2188" i="3"/>
  <c r="J2188" i="3"/>
  <c r="M2188" i="3"/>
  <c r="H2188" i="3"/>
  <c r="P1402" i="3" a="1"/>
  <c r="BI1725" i="3"/>
  <c r="BJ1725" i="3"/>
  <c r="BO1725" i="3"/>
  <c r="BP1725" i="3"/>
  <c r="M2192" i="3"/>
  <c r="E2192" i="3"/>
  <c r="H2192" i="3"/>
  <c r="L2192" i="3"/>
  <c r="D2192" i="3"/>
  <c r="G2192" i="3"/>
  <c r="J2192" i="3"/>
  <c r="N2192" i="3"/>
  <c r="I2192" i="3"/>
  <c r="F2192" i="3"/>
  <c r="O2192" i="3"/>
  <c r="K2192" i="3"/>
  <c r="AL1725" i="3"/>
  <c r="AK1725" i="3"/>
  <c r="O2189" i="3"/>
  <c r="D2189" i="3"/>
  <c r="J2189" i="3"/>
  <c r="I2189" i="3"/>
  <c r="G2189" i="3"/>
  <c r="H2189" i="3"/>
  <c r="N2189" i="3"/>
  <c r="K2189" i="3"/>
  <c r="L2189" i="3"/>
  <c r="F2189" i="3"/>
  <c r="E2189" i="3"/>
  <c r="M2189" i="3"/>
  <c r="H646" i="3"/>
  <c r="N1985" i="3"/>
  <c r="H1985" i="3"/>
  <c r="D1985" i="3"/>
  <c r="M1985" i="3"/>
  <c r="G1985" i="3"/>
  <c r="L1985" i="3"/>
  <c r="J1981" i="3"/>
  <c r="G1981" i="3"/>
  <c r="D1981" i="3"/>
  <c r="J1985" i="3"/>
  <c r="O1985" i="3"/>
  <c r="H1981" i="3"/>
  <c r="O1981" i="3"/>
  <c r="M2194" i="3"/>
  <c r="I2194" i="3"/>
  <c r="J2194" i="3"/>
  <c r="N2194" i="3"/>
  <c r="D2194" i="3"/>
  <c r="F2194" i="3"/>
  <c r="H2194" i="3"/>
  <c r="O2194" i="3"/>
  <c r="E2194" i="3"/>
  <c r="L2194" i="3"/>
  <c r="G2194" i="3"/>
  <c r="K2194" i="3"/>
  <c r="D2191" i="3"/>
  <c r="O2191" i="3"/>
  <c r="I2191" i="3"/>
  <c r="L2191" i="3"/>
  <c r="G2191" i="3"/>
  <c r="M2191" i="3"/>
  <c r="H2191" i="3"/>
  <c r="N2191" i="3"/>
  <c r="J2191" i="3"/>
  <c r="E2191" i="3"/>
  <c r="F2191" i="3"/>
  <c r="K2191" i="3"/>
  <c r="D2195" i="3"/>
  <c r="N2195" i="3"/>
  <c r="G2195" i="3"/>
  <c r="H2195" i="3"/>
  <c r="E2195" i="3"/>
  <c r="L2195" i="3"/>
  <c r="F2195" i="3"/>
  <c r="J2195" i="3"/>
  <c r="K2195" i="3"/>
  <c r="O2195" i="3"/>
  <c r="M2195" i="3"/>
  <c r="I2195" i="3"/>
  <c r="Q1540" i="3"/>
  <c r="U1541" i="3" s="1"/>
  <c r="X1540" i="3" s="1"/>
  <c r="H2187" i="3"/>
  <c r="O2187" i="3"/>
  <c r="D2187" i="3"/>
  <c r="G2187" i="3"/>
  <c r="N2187" i="3"/>
  <c r="K2187" i="3"/>
  <c r="M2187" i="3"/>
  <c r="E2187" i="3"/>
  <c r="F2187" i="3"/>
  <c r="I2187" i="3"/>
  <c r="L2187" i="3"/>
  <c r="J2187" i="3"/>
  <c r="G2190" i="3"/>
  <c r="D2190" i="3"/>
  <c r="F2190" i="3"/>
  <c r="H2190" i="3"/>
  <c r="K2190" i="3"/>
  <c r="M2190" i="3"/>
  <c r="N2190" i="3"/>
  <c r="I2190" i="3"/>
  <c r="L2190" i="3"/>
  <c r="O2190" i="3"/>
  <c r="E2190" i="3"/>
  <c r="J2190" i="3"/>
  <c r="M1981" i="3"/>
  <c r="K1981" i="3"/>
  <c r="M2197" i="3"/>
  <c r="H2197" i="3"/>
  <c r="E2197" i="3"/>
  <c r="L2197" i="3"/>
  <c r="N2197" i="3"/>
  <c r="I2197" i="3"/>
  <c r="O2197" i="3"/>
  <c r="F2197" i="3"/>
  <c r="G2197" i="3"/>
  <c r="K2197" i="3"/>
  <c r="J2197" i="3"/>
  <c r="D2197" i="3"/>
  <c r="E2196" i="3"/>
  <c r="G2196" i="3"/>
  <c r="D2196" i="3"/>
  <c r="I2196" i="3"/>
  <c r="N2196" i="3"/>
  <c r="F2196" i="3"/>
  <c r="H2196" i="3"/>
  <c r="L2196" i="3"/>
  <c r="O2196" i="3"/>
  <c r="J2196" i="3"/>
  <c r="K2196" i="3"/>
  <c r="M2196" i="3"/>
  <c r="CH825" i="3"/>
  <c r="BA779" i="3"/>
  <c r="BI778" i="3"/>
  <c r="I646" i="3"/>
  <c r="F646" i="3"/>
  <c r="E642" i="3"/>
  <c r="O1988" i="3"/>
  <c r="J1988" i="3"/>
  <c r="D1988" i="3"/>
  <c r="M1988" i="3"/>
  <c r="K1988" i="3"/>
  <c r="E1988" i="3"/>
  <c r="I1988" i="3"/>
  <c r="H1988" i="3"/>
  <c r="F1988" i="3"/>
  <c r="G1988" i="3"/>
  <c r="L1988" i="3"/>
  <c r="N1988" i="3"/>
  <c r="E1982" i="3"/>
  <c r="I1982" i="3"/>
  <c r="F1982" i="3"/>
  <c r="D1982" i="3"/>
  <c r="J1982" i="3"/>
  <c r="O1982" i="3"/>
  <c r="N1982" i="3"/>
  <c r="G1982" i="3"/>
  <c r="L1982" i="3"/>
  <c r="K1982" i="3"/>
  <c r="H1982" i="3"/>
  <c r="M1982" i="3"/>
  <c r="F1986" i="3"/>
  <c r="K1986" i="3"/>
  <c r="I1986" i="3"/>
  <c r="N1986" i="3"/>
  <c r="E1986" i="3"/>
  <c r="J1986" i="3"/>
  <c r="H1986" i="3"/>
  <c r="G1986" i="3"/>
  <c r="O1986" i="3"/>
  <c r="D1986" i="3"/>
  <c r="L1986" i="3"/>
  <c r="M1986" i="3"/>
  <c r="J1987" i="3"/>
  <c r="E1987" i="3"/>
  <c r="L1987" i="3"/>
  <c r="H1987" i="3"/>
  <c r="M1987" i="3"/>
  <c r="K1987" i="3"/>
  <c r="G1987" i="3"/>
  <c r="D1987" i="3"/>
  <c r="F1987" i="3"/>
  <c r="O1987" i="3"/>
  <c r="I1987" i="3"/>
  <c r="N1987" i="3"/>
  <c r="L1984" i="3"/>
  <c r="D1984" i="3"/>
  <c r="F1984" i="3"/>
  <c r="J1984" i="3"/>
  <c r="H1984" i="3"/>
  <c r="E1984" i="3"/>
  <c r="G1984" i="3"/>
  <c r="N1984" i="3"/>
  <c r="M1984" i="3"/>
  <c r="O1984" i="3"/>
  <c r="I1984" i="3"/>
  <c r="K1984" i="3"/>
  <c r="D1983" i="3"/>
  <c r="J1983" i="3"/>
  <c r="E1983" i="3"/>
  <c r="N1983" i="3"/>
  <c r="H1983" i="3"/>
  <c r="G1983" i="3"/>
  <c r="M1983" i="3"/>
  <c r="K1983" i="3"/>
  <c r="L1983" i="3"/>
  <c r="I1983" i="3"/>
  <c r="O1983" i="3"/>
  <c r="F1983" i="3"/>
  <c r="S2810" i="3"/>
  <c r="L642" i="3"/>
  <c r="J642" i="3"/>
  <c r="I1979" i="3"/>
  <c r="N1979" i="3"/>
  <c r="D1979" i="3"/>
  <c r="O1979" i="3"/>
  <c r="E1979" i="3"/>
  <c r="M1979" i="3"/>
  <c r="L1979" i="3"/>
  <c r="H1979" i="3"/>
  <c r="F1979" i="3"/>
  <c r="G1979" i="3"/>
  <c r="K1979" i="3"/>
  <c r="J1979" i="3"/>
  <c r="K1980" i="3"/>
  <c r="D1980" i="3"/>
  <c r="H1980" i="3"/>
  <c r="F1980" i="3"/>
  <c r="E1980" i="3"/>
  <c r="I1980" i="3"/>
  <c r="N1980" i="3"/>
  <c r="L1980" i="3"/>
  <c r="J1980" i="3"/>
  <c r="O1980" i="3"/>
  <c r="M1980" i="3"/>
  <c r="G1980" i="3"/>
  <c r="P2141" i="3" a="1"/>
  <c r="Q1546" i="3"/>
  <c r="BE1541" i="3" s="1"/>
  <c r="BM779" i="3"/>
  <c r="BN778" i="3" s="1"/>
  <c r="BO778" i="3" s="1"/>
  <c r="Q1549" i="3"/>
  <c r="BW1541" i="3" s="1"/>
  <c r="BZ1540" i="3" s="1"/>
  <c r="CA1540" i="3" s="1"/>
  <c r="M646" i="3"/>
  <c r="K646" i="3"/>
  <c r="G646" i="3"/>
  <c r="D646" i="3"/>
  <c r="O646" i="3"/>
  <c r="E646" i="3"/>
  <c r="N646" i="3"/>
  <c r="L646" i="3"/>
  <c r="Z1148" i="3"/>
  <c r="Y1148" i="3"/>
  <c r="AE1148" i="3"/>
  <c r="AF1148" i="3"/>
  <c r="Q1550" i="3"/>
  <c r="CC1541" i="3" s="1"/>
  <c r="CF1540" i="3" s="1"/>
  <c r="CH1540" i="3" s="1"/>
  <c r="CG778" i="3"/>
  <c r="I388" i="3"/>
  <c r="Q1544" i="3"/>
  <c r="AS1541" i="3" s="1"/>
  <c r="Q1541" i="3"/>
  <c r="W1541" i="3" s="1"/>
  <c r="Q1543" i="3"/>
  <c r="AM1541" i="3" s="1"/>
  <c r="Q1542" i="3"/>
  <c r="AG1541" i="3" s="1"/>
  <c r="Q1548" i="3"/>
  <c r="BQ1541" i="3" s="1"/>
  <c r="BT1540" i="3" s="1"/>
  <c r="BU1540" i="3" s="1"/>
  <c r="Q1545" i="3"/>
  <c r="AY1541" i="3" s="1"/>
  <c r="Q1547" i="3"/>
  <c r="BK1541" i="3" s="1"/>
  <c r="N642" i="3"/>
  <c r="G642" i="3"/>
  <c r="I642" i="3"/>
  <c r="K642" i="3"/>
  <c r="H642" i="3"/>
  <c r="O1363" i="3"/>
  <c r="N1363" i="3"/>
  <c r="H1363" i="3"/>
  <c r="F1363" i="3"/>
  <c r="J1363" i="3"/>
  <c r="M1363" i="3"/>
  <c r="K1363" i="3"/>
  <c r="D1363" i="3"/>
  <c r="G1363" i="3"/>
  <c r="E1363" i="3"/>
  <c r="L1363" i="3"/>
  <c r="I1363" i="3"/>
  <c r="J1356" i="3"/>
  <c r="O1356" i="3"/>
  <c r="N1356" i="3"/>
  <c r="F1356" i="3"/>
  <c r="L1356" i="3"/>
  <c r="M1356" i="3"/>
  <c r="D1356" i="3"/>
  <c r="H1356" i="3"/>
  <c r="K1356" i="3"/>
  <c r="G1356" i="3"/>
  <c r="E1356" i="3"/>
  <c r="I1356" i="3"/>
  <c r="D1361" i="3"/>
  <c r="L1361" i="3"/>
  <c r="M1361" i="3"/>
  <c r="I1361" i="3"/>
  <c r="F1361" i="3"/>
  <c r="G1361" i="3"/>
  <c r="H1361" i="3"/>
  <c r="K1361" i="3"/>
  <c r="E1361" i="3"/>
  <c r="J1361" i="3"/>
  <c r="N1361" i="3"/>
  <c r="O1361" i="3"/>
  <c r="D1357" i="3"/>
  <c r="L1357" i="3"/>
  <c r="I1357" i="3"/>
  <c r="M1357" i="3"/>
  <c r="E1357" i="3"/>
  <c r="N1357" i="3"/>
  <c r="G1357" i="3"/>
  <c r="F1357" i="3"/>
  <c r="H1357" i="3"/>
  <c r="O1357" i="3"/>
  <c r="K1357" i="3"/>
  <c r="J1357" i="3"/>
  <c r="F1365" i="3"/>
  <c r="H1365" i="3"/>
  <c r="M1365" i="3"/>
  <c r="K1365" i="3"/>
  <c r="J1365" i="3"/>
  <c r="N1365" i="3"/>
  <c r="L1365" i="3"/>
  <c r="E1365" i="3"/>
  <c r="I1365" i="3"/>
  <c r="O1365" i="3"/>
  <c r="G1365" i="3"/>
  <c r="D1365" i="3"/>
  <c r="M1364" i="3"/>
  <c r="E1364" i="3"/>
  <c r="I1364" i="3"/>
  <c r="D1364" i="3"/>
  <c r="K1364" i="3"/>
  <c r="F1364" i="3"/>
  <c r="J1364" i="3"/>
  <c r="N1364" i="3"/>
  <c r="O1364" i="3"/>
  <c r="H1364" i="3"/>
  <c r="L1364" i="3"/>
  <c r="G1364" i="3"/>
  <c r="E1358" i="3"/>
  <c r="F1358" i="3"/>
  <c r="J1358" i="3"/>
  <c r="I1358" i="3"/>
  <c r="G1358" i="3"/>
  <c r="H1358" i="3"/>
  <c r="O1358" i="3"/>
  <c r="K1358" i="3"/>
  <c r="N1358" i="3"/>
  <c r="L1358" i="3"/>
  <c r="D1358" i="3"/>
  <c r="M1358" i="3"/>
  <c r="G1360" i="3"/>
  <c r="E1360" i="3"/>
  <c r="J1360" i="3"/>
  <c r="D1360" i="3"/>
  <c r="M1360" i="3"/>
  <c r="I1360" i="3"/>
  <c r="K1360" i="3"/>
  <c r="O1360" i="3"/>
  <c r="F1360" i="3"/>
  <c r="L1360" i="3"/>
  <c r="H1360" i="3"/>
  <c r="N1360" i="3"/>
  <c r="D1362" i="3"/>
  <c r="I1362" i="3"/>
  <c r="J1362" i="3"/>
  <c r="N1362" i="3"/>
  <c r="M1362" i="3"/>
  <c r="G1362" i="3"/>
  <c r="L1362" i="3"/>
  <c r="E1362" i="3"/>
  <c r="O1362" i="3"/>
  <c r="H1362" i="3"/>
  <c r="K1362" i="3"/>
  <c r="F1362" i="3"/>
  <c r="F1366" i="3"/>
  <c r="L1366" i="3"/>
  <c r="O1366" i="3"/>
  <c r="K1366" i="3"/>
  <c r="D1366" i="3"/>
  <c r="H1366" i="3"/>
  <c r="E1366" i="3"/>
  <c r="N1366" i="3"/>
  <c r="G1366" i="3"/>
  <c r="I1366" i="3"/>
  <c r="J1366" i="3"/>
  <c r="M1366" i="3"/>
  <c r="P2168" i="3"/>
  <c r="P2169" i="3"/>
  <c r="P2165" i="3"/>
  <c r="P2171" i="3"/>
  <c r="P2173" i="3"/>
  <c r="P2174" i="3"/>
  <c r="P2167" i="3"/>
  <c r="P2170" i="3"/>
  <c r="P2166" i="3"/>
  <c r="P2172" i="3"/>
  <c r="P2164" i="3"/>
  <c r="J388" i="3"/>
  <c r="F389" i="3"/>
  <c r="H389" i="3"/>
  <c r="I389" i="3"/>
  <c r="C601" i="3"/>
  <c r="D601" i="3" s="1"/>
  <c r="Q2124" i="3"/>
  <c r="BE2119" i="3" s="1"/>
  <c r="BH2118" i="3" s="1"/>
  <c r="Q2128" i="3"/>
  <c r="CC2119" i="3" s="1"/>
  <c r="CF2118" i="3" s="1"/>
  <c r="Q2126" i="3"/>
  <c r="BQ2119" i="3" s="1"/>
  <c r="BT2118" i="3" s="1"/>
  <c r="Q2121" i="3"/>
  <c r="AM2119" i="3" s="1"/>
  <c r="AP2118" i="3" s="1"/>
  <c r="Q2122" i="3"/>
  <c r="AS2119" i="3" s="1"/>
  <c r="AV2118" i="3" s="1"/>
  <c r="Q2119" i="3"/>
  <c r="Q2125" i="3"/>
  <c r="BK2119" i="3" s="1"/>
  <c r="BN2118" i="3" s="1"/>
  <c r="Q2127" i="3"/>
  <c r="BW2119" i="3" s="1"/>
  <c r="BZ2118" i="3" s="1"/>
  <c r="Q2120" i="3"/>
  <c r="AG2119" i="3" s="1"/>
  <c r="AJ2118" i="3" s="1"/>
  <c r="Q2118" i="3"/>
  <c r="Q2123" i="3"/>
  <c r="AY2119" i="3" s="1"/>
  <c r="BB2118" i="3" s="1"/>
  <c r="P848" i="3" a="1"/>
  <c r="C595" i="3"/>
  <c r="I595" i="3" s="1"/>
  <c r="C1887" i="3"/>
  <c r="K1887" i="3" s="1"/>
  <c r="C1890" i="3"/>
  <c r="M1890" i="3" s="1"/>
  <c r="C1892" i="3"/>
  <c r="H1892" i="3" s="1"/>
  <c r="C1891" i="3"/>
  <c r="N1891" i="3" s="1"/>
  <c r="C1893" i="3"/>
  <c r="M1893" i="3" s="1"/>
  <c r="C1888" i="3"/>
  <c r="N1888" i="3" s="1"/>
  <c r="I649" i="3"/>
  <c r="H649" i="3"/>
  <c r="G649" i="3"/>
  <c r="J649" i="3"/>
  <c r="L649" i="3"/>
  <c r="F649" i="3"/>
  <c r="K649" i="3"/>
  <c r="D649" i="3"/>
  <c r="O649" i="3"/>
  <c r="E649" i="3"/>
  <c r="N649" i="3"/>
  <c r="M649" i="3"/>
  <c r="K647" i="3"/>
  <c r="N647" i="3"/>
  <c r="F647" i="3"/>
  <c r="I647" i="3"/>
  <c r="E647" i="3"/>
  <c r="H647" i="3"/>
  <c r="J647" i="3"/>
  <c r="G647" i="3"/>
  <c r="O647" i="3"/>
  <c r="D647" i="3"/>
  <c r="M647" i="3"/>
  <c r="L647" i="3"/>
  <c r="C1895" i="3"/>
  <c r="N1895" i="3" s="1"/>
  <c r="F641" i="3"/>
  <c r="K641" i="3"/>
  <c r="G641" i="3"/>
  <c r="N641" i="3"/>
  <c r="M641" i="3"/>
  <c r="H641" i="3"/>
  <c r="O641" i="3"/>
  <c r="J641" i="3"/>
  <c r="L641" i="3"/>
  <c r="E641" i="3"/>
  <c r="D641" i="3"/>
  <c r="I641" i="3"/>
  <c r="O648" i="3"/>
  <c r="H648" i="3"/>
  <c r="M648" i="3"/>
  <c r="N648" i="3"/>
  <c r="K648" i="3"/>
  <c r="J648" i="3"/>
  <c r="G648" i="3"/>
  <c r="E648" i="3"/>
  <c r="L648" i="3"/>
  <c r="I648" i="3"/>
  <c r="F648" i="3"/>
  <c r="D648" i="3"/>
  <c r="D643" i="3"/>
  <c r="N643" i="3"/>
  <c r="J643" i="3"/>
  <c r="K643" i="3"/>
  <c r="F643" i="3"/>
  <c r="H643" i="3"/>
  <c r="O643" i="3"/>
  <c r="L643" i="3"/>
  <c r="E643" i="3"/>
  <c r="G643" i="3"/>
  <c r="M643" i="3"/>
  <c r="I643" i="3"/>
  <c r="F640" i="3"/>
  <c r="K640" i="3"/>
  <c r="M640" i="3"/>
  <c r="N640" i="3"/>
  <c r="I640" i="3"/>
  <c r="D640" i="3"/>
  <c r="L640" i="3"/>
  <c r="O640" i="3"/>
  <c r="H640" i="3"/>
  <c r="E640" i="3"/>
  <c r="G640" i="3"/>
  <c r="J640" i="3"/>
  <c r="O645" i="3"/>
  <c r="J645" i="3"/>
  <c r="H645" i="3"/>
  <c r="E645" i="3"/>
  <c r="L645" i="3"/>
  <c r="G645" i="3"/>
  <c r="K645" i="3"/>
  <c r="N645" i="3"/>
  <c r="I645" i="3"/>
  <c r="F645" i="3"/>
  <c r="D645" i="3"/>
  <c r="M645" i="3"/>
  <c r="H644" i="3"/>
  <c r="G644" i="3"/>
  <c r="K644" i="3"/>
  <c r="I644" i="3"/>
  <c r="O644" i="3"/>
  <c r="J644" i="3"/>
  <c r="L644" i="3"/>
  <c r="M644" i="3"/>
  <c r="F644" i="3"/>
  <c r="E644" i="3"/>
  <c r="D644" i="3"/>
  <c r="N644" i="3"/>
  <c r="D279" i="3"/>
  <c r="I279" i="3"/>
  <c r="K279" i="3"/>
  <c r="L279" i="3"/>
  <c r="M279" i="3"/>
  <c r="G279" i="3"/>
  <c r="N279" i="3"/>
  <c r="E279" i="3"/>
  <c r="F279" i="3"/>
  <c r="H279" i="3"/>
  <c r="J279" i="3"/>
  <c r="O279" i="3"/>
  <c r="C602" i="3"/>
  <c r="C596" i="3"/>
  <c r="C598" i="3"/>
  <c r="AX201" i="3"/>
  <c r="AW201" i="3"/>
  <c r="Z201" i="3"/>
  <c r="Y201" i="3"/>
  <c r="G1894" i="3"/>
  <c r="E1894" i="3"/>
  <c r="K1894" i="3"/>
  <c r="M1894" i="3"/>
  <c r="I1894" i="3"/>
  <c r="O1894" i="3"/>
  <c r="H1894" i="3"/>
  <c r="D1894" i="3"/>
  <c r="F1894" i="3"/>
  <c r="J1894" i="3"/>
  <c r="L1894" i="3"/>
  <c r="N1894" i="3"/>
  <c r="AF201" i="3"/>
  <c r="AE201" i="3"/>
  <c r="I270" i="3"/>
  <c r="K270" i="3"/>
  <c r="J270" i="3"/>
  <c r="H270" i="3"/>
  <c r="F270" i="3"/>
  <c r="E270" i="3"/>
  <c r="G270" i="3"/>
  <c r="D270" i="3"/>
  <c r="O270" i="3"/>
  <c r="N270" i="3"/>
  <c r="L270" i="3"/>
  <c r="M270" i="3"/>
  <c r="C604" i="3"/>
  <c r="AL201" i="3"/>
  <c r="AK201" i="3"/>
  <c r="S201" i="3"/>
  <c r="T201" i="3"/>
  <c r="A1449" i="3"/>
  <c r="B1449" i="3" s="1"/>
  <c r="C1889" i="3"/>
  <c r="C1897" i="3"/>
  <c r="C1896" i="3"/>
  <c r="C600" i="3"/>
  <c r="M277" i="3"/>
  <c r="K277" i="3"/>
  <c r="D277" i="3"/>
  <c r="J277" i="3"/>
  <c r="F277" i="3"/>
  <c r="N277" i="3"/>
  <c r="O277" i="3"/>
  <c r="G277" i="3"/>
  <c r="L277" i="3"/>
  <c r="E277" i="3"/>
  <c r="H277" i="3"/>
  <c r="I277" i="3"/>
  <c r="C603" i="3"/>
  <c r="AD524" i="3"/>
  <c r="BD201" i="3"/>
  <c r="BC201" i="3"/>
  <c r="AR201" i="3"/>
  <c r="AQ201" i="3"/>
  <c r="J280" i="3"/>
  <c r="K280" i="3"/>
  <c r="F280" i="3"/>
  <c r="N280" i="3"/>
  <c r="O280" i="3"/>
  <c r="D280" i="3"/>
  <c r="I280" i="3"/>
  <c r="L280" i="3"/>
  <c r="H280" i="3"/>
  <c r="M280" i="3"/>
  <c r="G280" i="3"/>
  <c r="E280" i="3"/>
  <c r="F276" i="3"/>
  <c r="O276" i="3"/>
  <c r="N276" i="3"/>
  <c r="G276" i="3"/>
  <c r="D276" i="3"/>
  <c r="L276" i="3"/>
  <c r="E276" i="3"/>
  <c r="M276" i="3"/>
  <c r="K276" i="3"/>
  <c r="H276" i="3"/>
  <c r="J276" i="3"/>
  <c r="I276" i="3"/>
  <c r="C599" i="3"/>
  <c r="J278" i="3"/>
  <c r="O278" i="3"/>
  <c r="D278" i="3"/>
  <c r="L278" i="3"/>
  <c r="H278" i="3"/>
  <c r="E278" i="3"/>
  <c r="M278" i="3"/>
  <c r="I278" i="3"/>
  <c r="G278" i="3"/>
  <c r="F278" i="3"/>
  <c r="K278" i="3"/>
  <c r="N278" i="3"/>
  <c r="C597" i="3"/>
  <c r="B104" i="3"/>
  <c r="B105" i="3" s="1"/>
  <c r="L275" i="3"/>
  <c r="E275" i="3"/>
  <c r="N275" i="3"/>
  <c r="G275" i="3"/>
  <c r="O275" i="3"/>
  <c r="I275" i="3"/>
  <c r="D275" i="3"/>
  <c r="J275" i="3"/>
  <c r="K275" i="3"/>
  <c r="M275" i="3"/>
  <c r="H275" i="3"/>
  <c r="F275" i="3"/>
  <c r="O274" i="3"/>
  <c r="J274" i="3"/>
  <c r="F274" i="3"/>
  <c r="H274" i="3"/>
  <c r="E274" i="3"/>
  <c r="N274" i="3"/>
  <c r="K274" i="3"/>
  <c r="I274" i="3"/>
  <c r="D274" i="3"/>
  <c r="L274" i="3"/>
  <c r="M274" i="3"/>
  <c r="G274" i="3"/>
  <c r="D271" i="3"/>
  <c r="M271" i="3"/>
  <c r="F271" i="3"/>
  <c r="H271" i="3"/>
  <c r="O271" i="3"/>
  <c r="K271" i="3"/>
  <c r="I271" i="3"/>
  <c r="L271" i="3"/>
  <c r="N271" i="3"/>
  <c r="J271" i="3"/>
  <c r="G271" i="3"/>
  <c r="E271" i="3"/>
  <c r="C594" i="3"/>
  <c r="D273" i="3"/>
  <c r="G273" i="3"/>
  <c r="H273" i="3"/>
  <c r="M273" i="3"/>
  <c r="I273" i="3"/>
  <c r="L273" i="3"/>
  <c r="K273" i="3"/>
  <c r="J273" i="3"/>
  <c r="F273" i="3"/>
  <c r="N273" i="3"/>
  <c r="E273" i="3"/>
  <c r="O273" i="3"/>
  <c r="AA1057" i="3"/>
  <c r="AD1056" i="3" s="1"/>
  <c r="W1057" i="3"/>
  <c r="CH1056" i="3"/>
  <c r="CG1056" i="3"/>
  <c r="CA1056" i="3"/>
  <c r="CB1056" i="3"/>
  <c r="BD1056" i="3"/>
  <c r="BC1056" i="3"/>
  <c r="BP1056" i="3"/>
  <c r="BO1056" i="3"/>
  <c r="U1057" i="3"/>
  <c r="X1056" i="3" s="1"/>
  <c r="BG1057" i="3"/>
  <c r="R1056" i="3"/>
  <c r="BA1057" i="3"/>
  <c r="AU1057" i="3"/>
  <c r="AV1056" i="3" s="1"/>
  <c r="BM1057" i="3"/>
  <c r="AC1057" i="3"/>
  <c r="AI1057" i="3"/>
  <c r="AJ1056" i="3" s="1"/>
  <c r="AO1057" i="3"/>
  <c r="AP1056" i="3" s="1"/>
  <c r="BS1057" i="3"/>
  <c r="BY1057" i="3"/>
  <c r="CE1057" i="3"/>
  <c r="BI1056" i="3"/>
  <c r="BJ1056" i="3"/>
  <c r="BU1056" i="3"/>
  <c r="BV1056" i="3"/>
  <c r="E387" i="3"/>
  <c r="P224" i="3" a="1"/>
  <c r="P233" i="3" s="1"/>
  <c r="G388" i="3"/>
  <c r="K388" i="3"/>
  <c r="O389" i="3"/>
  <c r="P501" i="3" a="1"/>
  <c r="P501" i="3" s="1"/>
  <c r="F388" i="3"/>
  <c r="E388" i="3"/>
  <c r="N389" i="3"/>
  <c r="K389" i="3"/>
  <c r="N386" i="3"/>
  <c r="Q1220" i="3"/>
  <c r="AM1218" i="3" s="1"/>
  <c r="P1173" i="3"/>
  <c r="AA826" i="3"/>
  <c r="Q1224" i="3"/>
  <c r="BK1218" i="3" s="1"/>
  <c r="P1181" i="3"/>
  <c r="P1172" i="3"/>
  <c r="B954" i="3"/>
  <c r="B955" i="3" s="1"/>
  <c r="P1180" i="3"/>
  <c r="P1176" i="3"/>
  <c r="P1177" i="3"/>
  <c r="Q619" i="3"/>
  <c r="AG618" i="3" s="1"/>
  <c r="Q624" i="3"/>
  <c r="BK618" i="3" s="1"/>
  <c r="Q627" i="3"/>
  <c r="CC618" i="3" s="1"/>
  <c r="CF617" i="3" s="1"/>
  <c r="Q626" i="3"/>
  <c r="BW618" i="3" s="1"/>
  <c r="BZ617" i="3" s="1"/>
  <c r="Q618" i="3"/>
  <c r="Q623" i="3"/>
  <c r="BE618" i="3" s="1"/>
  <c r="BH617" i="3" s="1"/>
  <c r="Q620" i="3"/>
  <c r="AM618" i="3" s="1"/>
  <c r="Q625" i="3"/>
  <c r="BQ618" i="3" s="1"/>
  <c r="BT617" i="3" s="1"/>
  <c r="Q622" i="3"/>
  <c r="AY618" i="3" s="1"/>
  <c r="Q621" i="3"/>
  <c r="AS618" i="3" s="1"/>
  <c r="Q617" i="3"/>
  <c r="P1179" i="3"/>
  <c r="P1174" i="3"/>
  <c r="P1178" i="3"/>
  <c r="P1175" i="3"/>
  <c r="L872" i="3"/>
  <c r="N872" i="3"/>
  <c r="M872" i="3"/>
  <c r="G872" i="3"/>
  <c r="O872" i="3"/>
  <c r="D872" i="3"/>
  <c r="E872" i="3"/>
  <c r="K872" i="3"/>
  <c r="H872" i="3"/>
  <c r="J872" i="3"/>
  <c r="I872" i="3"/>
  <c r="F872" i="3"/>
  <c r="A433" i="3"/>
  <c r="B433" i="3" s="1"/>
  <c r="C881" i="3"/>
  <c r="C873" i="3"/>
  <c r="C871" i="3"/>
  <c r="C877" i="3"/>
  <c r="C880" i="3"/>
  <c r="C878" i="3"/>
  <c r="C874" i="3"/>
  <c r="C875" i="3"/>
  <c r="C876" i="3"/>
  <c r="C879" i="3"/>
  <c r="Q1218" i="3"/>
  <c r="AA1218" i="3" s="1"/>
  <c r="AD1217" i="3" s="1"/>
  <c r="BI663" i="3"/>
  <c r="BJ663" i="3"/>
  <c r="CH663" i="3"/>
  <c r="CG663" i="3"/>
  <c r="BA826" i="3"/>
  <c r="BB825" i="3" s="1"/>
  <c r="AW663" i="3"/>
  <c r="AX663" i="3"/>
  <c r="AR663" i="3"/>
  <c r="AQ663" i="3"/>
  <c r="BC663" i="3"/>
  <c r="BD663" i="3"/>
  <c r="CA663" i="3"/>
  <c r="CB663" i="3"/>
  <c r="AI664" i="3"/>
  <c r="AC664" i="3"/>
  <c r="BY664" i="3"/>
  <c r="BG664" i="3"/>
  <c r="U664" i="3"/>
  <c r="X663" i="3" s="1"/>
  <c r="CE664" i="3"/>
  <c r="AU664" i="3"/>
  <c r="R663" i="3"/>
  <c r="BM664" i="3"/>
  <c r="AO664" i="3"/>
  <c r="BA664" i="3"/>
  <c r="BS664" i="3"/>
  <c r="BP663" i="3"/>
  <c r="BO663" i="3"/>
  <c r="BV663" i="3"/>
  <c r="BU663" i="3"/>
  <c r="AL663" i="3"/>
  <c r="AK663" i="3"/>
  <c r="W664" i="3"/>
  <c r="AA664" i="3"/>
  <c r="AD663" i="3" s="1"/>
  <c r="Q1226" i="3"/>
  <c r="BW1218" i="3" s="1"/>
  <c r="Q1217" i="3"/>
  <c r="U1218" i="3" s="1"/>
  <c r="Q1222" i="3"/>
  <c r="AY1218" i="3" s="1"/>
  <c r="BB1217" i="3" s="1"/>
  <c r="BC1217" i="3" s="1"/>
  <c r="N392" i="3"/>
  <c r="Q1223" i="3"/>
  <c r="BE1218" i="3" s="1"/>
  <c r="BH1217" i="3" s="1"/>
  <c r="BJ1217" i="3" s="1"/>
  <c r="Q1219" i="3"/>
  <c r="AG1218" i="3" s="1"/>
  <c r="Q1227" i="3"/>
  <c r="CC1218" i="3" s="1"/>
  <c r="CF1217" i="3" s="1"/>
  <c r="CG1217" i="3" s="1"/>
  <c r="Q1225" i="3"/>
  <c r="BQ1218" i="3" s="1"/>
  <c r="BT1217" i="3" s="1"/>
  <c r="BV1217" i="3" s="1"/>
  <c r="Q1221" i="3"/>
  <c r="AS1218" i="3" s="1"/>
  <c r="BG779" i="3"/>
  <c r="O390" i="3"/>
  <c r="AI826" i="3"/>
  <c r="AJ825" i="3" s="1"/>
  <c r="AL825" i="3" s="1"/>
  <c r="L390" i="3"/>
  <c r="O387" i="3"/>
  <c r="H390" i="3"/>
  <c r="G387" i="3"/>
  <c r="M390" i="3"/>
  <c r="D390" i="3"/>
  <c r="F387" i="3"/>
  <c r="K390" i="3"/>
  <c r="X825" i="3"/>
  <c r="Y825" i="3" s="1"/>
  <c r="AD478" i="3"/>
  <c r="AF478" i="3" s="1"/>
  <c r="AO826" i="3"/>
  <c r="AP825" i="3" s="1"/>
  <c r="AR825" i="3" s="1"/>
  <c r="Q419" i="3"/>
  <c r="CC410" i="3" s="1"/>
  <c r="CF409" i="3" s="1"/>
  <c r="Q412" i="3"/>
  <c r="AM410" i="3" s="1"/>
  <c r="AP409" i="3" s="1"/>
  <c r="Q410" i="3"/>
  <c r="Q414" i="3"/>
  <c r="AY410" i="3" s="1"/>
  <c r="BB409" i="3" s="1"/>
  <c r="Q416" i="3"/>
  <c r="BK410" i="3" s="1"/>
  <c r="BN409" i="3" s="1"/>
  <c r="Q417" i="3"/>
  <c r="BQ410" i="3" s="1"/>
  <c r="BT409" i="3" s="1"/>
  <c r="Q411" i="3"/>
  <c r="AG410" i="3" s="1"/>
  <c r="AJ409" i="3" s="1"/>
  <c r="Q415" i="3"/>
  <c r="BE410" i="3" s="1"/>
  <c r="BH409" i="3" s="1"/>
  <c r="Q409" i="3"/>
  <c r="Q418" i="3"/>
  <c r="BW410" i="3" s="1"/>
  <c r="BZ409" i="3" s="1"/>
  <c r="Q413" i="3"/>
  <c r="AS410" i="3" s="1"/>
  <c r="AV409" i="3" s="1"/>
  <c r="BS779" i="3"/>
  <c r="BT778" i="3" s="1"/>
  <c r="BU778" i="3" s="1"/>
  <c r="BY779" i="3"/>
  <c r="BZ778" i="3" s="1"/>
  <c r="CA778" i="3" s="1"/>
  <c r="BY826" i="3"/>
  <c r="BZ825" i="3" s="1"/>
  <c r="CB825" i="3" s="1"/>
  <c r="W779" i="3"/>
  <c r="X778" i="3" s="1"/>
  <c r="Y778" i="3" s="1"/>
  <c r="BS826" i="3"/>
  <c r="BT825" i="3" s="1"/>
  <c r="BU825" i="3" s="1"/>
  <c r="N393" i="3"/>
  <c r="X478" i="3"/>
  <c r="Y478" i="3" s="1"/>
  <c r="AI779" i="3"/>
  <c r="AJ778" i="3" s="1"/>
  <c r="AK778" i="3" s="1"/>
  <c r="BG826" i="3"/>
  <c r="BH825" i="3" s="1"/>
  <c r="BJ825" i="3" s="1"/>
  <c r="CE779" i="3"/>
  <c r="AU779" i="3"/>
  <c r="AV778" i="3" s="1"/>
  <c r="AX778" i="3" s="1"/>
  <c r="I387" i="3"/>
  <c r="M387" i="3"/>
  <c r="M392" i="3"/>
  <c r="AC826" i="3"/>
  <c r="CE826" i="3"/>
  <c r="M386" i="3"/>
  <c r="O386" i="3"/>
  <c r="AO779" i="3"/>
  <c r="AP778" i="3" s="1"/>
  <c r="AQ778" i="3" s="1"/>
  <c r="AC779" i="3"/>
  <c r="AD778" i="3" s="1"/>
  <c r="F392" i="3"/>
  <c r="AU826" i="3"/>
  <c r="AV825" i="3" s="1"/>
  <c r="AX825" i="3" s="1"/>
  <c r="BM826" i="3"/>
  <c r="BN825" i="3" s="1"/>
  <c r="BO825" i="3" s="1"/>
  <c r="D386" i="3"/>
  <c r="M388" i="3"/>
  <c r="H388" i="3"/>
  <c r="O388" i="3"/>
  <c r="J389" i="3"/>
  <c r="L389" i="3"/>
  <c r="E389" i="3"/>
  <c r="N388" i="3"/>
  <c r="L388" i="3"/>
  <c r="D389" i="3"/>
  <c r="M389" i="3"/>
  <c r="D392" i="3"/>
  <c r="L392" i="3"/>
  <c r="O392" i="3"/>
  <c r="E392" i="3"/>
  <c r="J392" i="3"/>
  <c r="K392" i="3"/>
  <c r="E393" i="3"/>
  <c r="I392" i="3"/>
  <c r="H392" i="3"/>
  <c r="M396" i="3"/>
  <c r="M393" i="3"/>
  <c r="R778" i="3"/>
  <c r="T778" i="3" s="1"/>
  <c r="I386" i="3"/>
  <c r="BC109" i="3"/>
  <c r="BB778" i="3"/>
  <c r="BD778" i="3" s="1"/>
  <c r="N387" i="3"/>
  <c r="D387" i="3"/>
  <c r="L387" i="3"/>
  <c r="J390" i="3"/>
  <c r="F390" i="3"/>
  <c r="E390" i="3"/>
  <c r="H396" i="3"/>
  <c r="E386" i="3"/>
  <c r="J386" i="3"/>
  <c r="K387" i="3"/>
  <c r="J387" i="3"/>
  <c r="G390" i="3"/>
  <c r="I390" i="3"/>
  <c r="G396" i="3"/>
  <c r="R825" i="3"/>
  <c r="S825" i="3" s="1"/>
  <c r="H386" i="3"/>
  <c r="K386" i="3"/>
  <c r="Y109" i="3"/>
  <c r="Z109" i="3"/>
  <c r="AL109" i="3"/>
  <c r="P732" i="3" a="1"/>
  <c r="Q1845" i="3"/>
  <c r="AS1842" i="3" s="1"/>
  <c r="AV1841" i="3" s="1"/>
  <c r="AW1841" i="3" s="1"/>
  <c r="K396" i="3"/>
  <c r="E396" i="3"/>
  <c r="O396" i="3"/>
  <c r="D393" i="3"/>
  <c r="L393" i="3"/>
  <c r="F393" i="3"/>
  <c r="L396" i="3"/>
  <c r="J396" i="3"/>
  <c r="F396" i="3"/>
  <c r="K393" i="3"/>
  <c r="O393" i="3"/>
  <c r="H393" i="3"/>
  <c r="I396" i="3"/>
  <c r="N396" i="3"/>
  <c r="J393" i="3"/>
  <c r="I393" i="3"/>
  <c r="D391" i="3"/>
  <c r="BC478" i="3"/>
  <c r="BD478" i="3"/>
  <c r="AE2349" i="3"/>
  <c r="AF2349" i="3"/>
  <c r="BO478" i="3"/>
  <c r="BP478" i="3"/>
  <c r="AW478" i="3"/>
  <c r="AX478" i="3"/>
  <c r="S478" i="3"/>
  <c r="T478" i="3"/>
  <c r="AK478" i="3"/>
  <c r="AL478" i="3"/>
  <c r="AQ478" i="3"/>
  <c r="AR478" i="3"/>
  <c r="L391" i="3"/>
  <c r="K391" i="3"/>
  <c r="Q1850" i="3"/>
  <c r="BW1842" i="3" s="1"/>
  <c r="BZ1841" i="3" s="1"/>
  <c r="CB1841" i="3" s="1"/>
  <c r="Q1848" i="3"/>
  <c r="BK1842" i="3" s="1"/>
  <c r="AR109" i="3"/>
  <c r="CB109" i="3"/>
  <c r="F391" i="3"/>
  <c r="O391" i="3"/>
  <c r="M391" i="3"/>
  <c r="AK2349" i="3"/>
  <c r="AL2349" i="3"/>
  <c r="J391" i="3"/>
  <c r="N391" i="3"/>
  <c r="I391" i="3"/>
  <c r="BV2349" i="3"/>
  <c r="BU2349" i="3"/>
  <c r="H391" i="3"/>
  <c r="G391" i="3"/>
  <c r="BJ2349" i="3"/>
  <c r="BI2349" i="3"/>
  <c r="Q1844" i="3"/>
  <c r="AM1842" i="3" s="1"/>
  <c r="AP1841" i="3" s="1"/>
  <c r="AR1841" i="3" s="1"/>
  <c r="AW109" i="3"/>
  <c r="Q1847" i="3"/>
  <c r="BE1842" i="3" s="1"/>
  <c r="BH1841" i="3" s="1"/>
  <c r="BJ1841" i="3" s="1"/>
  <c r="Q1841" i="3"/>
  <c r="U1842" i="3" s="1"/>
  <c r="X1841" i="3" s="1"/>
  <c r="Q1849" i="3"/>
  <c r="BQ1842" i="3" s="1"/>
  <c r="BT1841" i="3" s="1"/>
  <c r="BV1841" i="3" s="1"/>
  <c r="Q1851" i="3"/>
  <c r="CC1842" i="3" s="1"/>
  <c r="CF1841" i="3" s="1"/>
  <c r="CG1841" i="3" s="1"/>
  <c r="Q1842" i="3"/>
  <c r="AA1842" i="3" s="1"/>
  <c r="AD1841" i="3" s="1"/>
  <c r="P2631" i="3"/>
  <c r="P2636" i="3"/>
  <c r="P2630" i="3"/>
  <c r="P2633" i="3"/>
  <c r="P2635" i="3"/>
  <c r="P2627" i="3"/>
  <c r="P2628" i="3"/>
  <c r="P2634" i="3"/>
  <c r="P2629" i="3"/>
  <c r="P2626" i="3"/>
  <c r="P2632" i="3"/>
  <c r="Q1846" i="3"/>
  <c r="AY1842" i="3" s="1"/>
  <c r="BB1841" i="3" s="1"/>
  <c r="BC1841" i="3" s="1"/>
  <c r="Q1843" i="3"/>
  <c r="AG1842" i="3" s="1"/>
  <c r="AJ1841" i="3" s="1"/>
  <c r="AL1841" i="3" s="1"/>
  <c r="L386" i="3"/>
  <c r="G386" i="3"/>
  <c r="B1962" i="3"/>
  <c r="B1963" i="3" s="1"/>
  <c r="J394" i="3"/>
  <c r="I394" i="3"/>
  <c r="O394" i="3"/>
  <c r="G394" i="3"/>
  <c r="H394" i="3"/>
  <c r="M394" i="3"/>
  <c r="N394" i="3"/>
  <c r="K394" i="3"/>
  <c r="E394" i="3"/>
  <c r="D394" i="3"/>
  <c r="F394" i="3"/>
  <c r="L394" i="3"/>
  <c r="P2741" i="3" a="1"/>
  <c r="Y1818" i="3"/>
  <c r="Z1818" i="3"/>
  <c r="T109" i="3"/>
  <c r="BO109" i="3"/>
  <c r="P2420" i="3"/>
  <c r="P2419" i="3"/>
  <c r="P2422" i="3"/>
  <c r="P2423" i="3"/>
  <c r="P2425" i="3"/>
  <c r="P2428" i="3"/>
  <c r="P2426" i="3"/>
  <c r="P2427" i="3"/>
  <c r="P2418" i="3"/>
  <c r="P2421" i="3"/>
  <c r="P2424" i="3"/>
  <c r="Q2398" i="3"/>
  <c r="AM2396" i="3" s="1"/>
  <c r="AP2395" i="3" s="1"/>
  <c r="Q2397" i="3"/>
  <c r="AG2396" i="3" s="1"/>
  <c r="AJ2395" i="3" s="1"/>
  <c r="Q2400" i="3"/>
  <c r="AY2396" i="3" s="1"/>
  <c r="BB2395" i="3" s="1"/>
  <c r="Q2402" i="3"/>
  <c r="BK2396" i="3" s="1"/>
  <c r="BN2395" i="3" s="1"/>
  <c r="Q2395" i="3"/>
  <c r="Q2403" i="3"/>
  <c r="BQ2396" i="3" s="1"/>
  <c r="BT2395" i="3" s="1"/>
  <c r="Q2405" i="3"/>
  <c r="CC2396" i="3" s="1"/>
  <c r="CF2395" i="3" s="1"/>
  <c r="Q2404" i="3"/>
  <c r="BW2396" i="3" s="1"/>
  <c r="BZ2395" i="3" s="1"/>
  <c r="Q2401" i="3"/>
  <c r="BE2396" i="3" s="1"/>
  <c r="BH2395" i="3" s="1"/>
  <c r="Q2399" i="3"/>
  <c r="AS2396" i="3" s="1"/>
  <c r="AV2395" i="3" s="1"/>
  <c r="Q2396" i="3"/>
  <c r="Q157" i="3"/>
  <c r="AG156" i="3" s="1"/>
  <c r="AJ155" i="3" s="1"/>
  <c r="Q160" i="3"/>
  <c r="AY156" i="3" s="1"/>
  <c r="BB155" i="3" s="1"/>
  <c r="Q161" i="3"/>
  <c r="BE156" i="3" s="1"/>
  <c r="BH155" i="3" s="1"/>
  <c r="Q163" i="3"/>
  <c r="BQ156" i="3" s="1"/>
  <c r="BT155" i="3" s="1"/>
  <c r="Q159" i="3"/>
  <c r="AS156" i="3" s="1"/>
  <c r="AV155" i="3" s="1"/>
  <c r="Q155" i="3"/>
  <c r="Q165" i="3"/>
  <c r="CC156" i="3" s="1"/>
  <c r="CF155" i="3" s="1"/>
  <c r="Q164" i="3"/>
  <c r="BW156" i="3" s="1"/>
  <c r="Q158" i="3"/>
  <c r="AM156" i="3" s="1"/>
  <c r="AP155" i="3" s="1"/>
  <c r="Q156" i="3"/>
  <c r="Q162" i="3"/>
  <c r="BK156" i="3" s="1"/>
  <c r="BN155" i="3" s="1"/>
  <c r="E1612" i="3" l="1"/>
  <c r="M1612" i="3"/>
  <c r="L1612" i="3"/>
  <c r="O1615" i="3"/>
  <c r="H1615" i="3"/>
  <c r="N1615" i="3"/>
  <c r="M1618" i="3"/>
  <c r="I1618" i="3"/>
  <c r="N1612" i="3"/>
  <c r="G1612" i="3"/>
  <c r="I1612" i="3"/>
  <c r="L1615" i="3"/>
  <c r="I1615" i="3"/>
  <c r="J1615" i="3"/>
  <c r="E1618" i="3"/>
  <c r="G1618" i="3"/>
  <c r="AR2349" i="3"/>
  <c r="K1612" i="3"/>
  <c r="J1612" i="3"/>
  <c r="M1615" i="3"/>
  <c r="E1615" i="3"/>
  <c r="F1618" i="3"/>
  <c r="H1611" i="3"/>
  <c r="L1620" i="3"/>
  <c r="AW1725" i="3"/>
  <c r="AI2350" i="3"/>
  <c r="R2349" i="3"/>
  <c r="S2349" i="3" s="1"/>
  <c r="BS2350" i="3"/>
  <c r="BG2350" i="3"/>
  <c r="CA2349" i="3"/>
  <c r="BD1725" i="3"/>
  <c r="Y2349" i="3"/>
  <c r="BY2350" i="3"/>
  <c r="AC2350" i="3"/>
  <c r="BA2350" i="3"/>
  <c r="AO2350" i="3"/>
  <c r="AU2350" i="3"/>
  <c r="D1620" i="3"/>
  <c r="E1613" i="3"/>
  <c r="N1620" i="3"/>
  <c r="N1611" i="3"/>
  <c r="B2669" i="3"/>
  <c r="C2649" i="3" s="1"/>
  <c r="F1611" i="3"/>
  <c r="H1617" i="3"/>
  <c r="I1614" i="3"/>
  <c r="C2652" i="3"/>
  <c r="J2652" i="3" s="1"/>
  <c r="O1619" i="3"/>
  <c r="C1934" i="3"/>
  <c r="F1934" i="3" s="1"/>
  <c r="BJ1818" i="3"/>
  <c r="BI1818" i="3"/>
  <c r="AQ1148" i="3"/>
  <c r="AR1148" i="3"/>
  <c r="P1126" i="3"/>
  <c r="Q1083" i="3"/>
  <c r="AS1080" i="3" s="1"/>
  <c r="AV1079" i="3" s="1"/>
  <c r="AW1079" i="3" s="1"/>
  <c r="Q1082" i="3"/>
  <c r="AM1080" i="3" s="1"/>
  <c r="P1132" i="3"/>
  <c r="Q1089" i="3"/>
  <c r="CC1080" i="3" s="1"/>
  <c r="CF1079" i="3" s="1"/>
  <c r="CG1079" i="3" s="1"/>
  <c r="P1133" i="3"/>
  <c r="P1130" i="3"/>
  <c r="P1125" i="3"/>
  <c r="E2560" i="3"/>
  <c r="M1616" i="3"/>
  <c r="I1616" i="3"/>
  <c r="N1616" i="3"/>
  <c r="N1610" i="3"/>
  <c r="I1610" i="3"/>
  <c r="M1610" i="3"/>
  <c r="Q1081" i="3"/>
  <c r="AG1080" i="3" s="1"/>
  <c r="P1135" i="3"/>
  <c r="P1127" i="3"/>
  <c r="P1129" i="3"/>
  <c r="H1616" i="3"/>
  <c r="K1616" i="3"/>
  <c r="K1610" i="3"/>
  <c r="J1610" i="3"/>
  <c r="P1131" i="3"/>
  <c r="P1134" i="3"/>
  <c r="Q1087" i="3"/>
  <c r="BQ1080" i="3" s="1"/>
  <c r="BT1079" i="3" s="1"/>
  <c r="Z1910" i="3"/>
  <c r="Y1910" i="3"/>
  <c r="T1910" i="3"/>
  <c r="S1910" i="3"/>
  <c r="O2465" i="3"/>
  <c r="F2465" i="3"/>
  <c r="J2465" i="3"/>
  <c r="N2465" i="3"/>
  <c r="E2465" i="3"/>
  <c r="L2465" i="3"/>
  <c r="K2465" i="3"/>
  <c r="G2465" i="3"/>
  <c r="M2465" i="3"/>
  <c r="H2465" i="3"/>
  <c r="I2465" i="3"/>
  <c r="D2465" i="3"/>
  <c r="AF1910" i="3"/>
  <c r="AE1910" i="3"/>
  <c r="C2466" i="3"/>
  <c r="C2468" i="3"/>
  <c r="Q1088" i="3"/>
  <c r="BW1080" i="3" s="1"/>
  <c r="BZ1079" i="3" s="1"/>
  <c r="CA1079" i="3" s="1"/>
  <c r="Q1086" i="3"/>
  <c r="BK1080" i="3" s="1"/>
  <c r="BN1079" i="3" s="1"/>
  <c r="BP1079" i="3" s="1"/>
  <c r="C2467" i="3"/>
  <c r="B359" i="3"/>
  <c r="B360" i="3" s="1"/>
  <c r="C2470" i="3"/>
  <c r="J1614" i="3"/>
  <c r="Q1079" i="3"/>
  <c r="Q1080" i="3"/>
  <c r="AA1080" i="3" s="1"/>
  <c r="AD1079" i="3" s="1"/>
  <c r="C2473" i="3"/>
  <c r="C2471" i="3"/>
  <c r="H1614" i="3"/>
  <c r="N1619" i="3"/>
  <c r="Q1084" i="3"/>
  <c r="AY1080" i="3" s="1"/>
  <c r="Q1085" i="3"/>
  <c r="BE1080" i="3" s="1"/>
  <c r="B692" i="3"/>
  <c r="BP1910" i="3"/>
  <c r="BO1910" i="3"/>
  <c r="C2472" i="3"/>
  <c r="B2554" i="3"/>
  <c r="C2536" i="3" s="1"/>
  <c r="C2464" i="3"/>
  <c r="C2474" i="3"/>
  <c r="C2469" i="3"/>
  <c r="BD1379" i="3"/>
  <c r="L1937" i="3"/>
  <c r="D1937" i="3"/>
  <c r="K1937" i="3"/>
  <c r="H1937" i="3"/>
  <c r="O1937" i="3"/>
  <c r="N1937" i="3"/>
  <c r="J1937" i="3"/>
  <c r="G1937" i="3"/>
  <c r="E1937" i="3"/>
  <c r="F1937" i="3"/>
  <c r="I1937" i="3"/>
  <c r="M1937" i="3"/>
  <c r="K1777" i="3"/>
  <c r="G1620" i="3"/>
  <c r="H1620" i="3"/>
  <c r="D1613" i="3"/>
  <c r="D1611" i="3"/>
  <c r="M1611" i="3"/>
  <c r="E1611" i="3"/>
  <c r="L1617" i="3"/>
  <c r="F1620" i="3"/>
  <c r="I1620" i="3"/>
  <c r="F1613" i="3"/>
  <c r="O1611" i="3"/>
  <c r="I1611" i="3"/>
  <c r="J1611" i="3"/>
  <c r="G1617" i="3"/>
  <c r="B472" i="3"/>
  <c r="C1939" i="3"/>
  <c r="C1938" i="3"/>
  <c r="C1941" i="3"/>
  <c r="C1943" i="3"/>
  <c r="C1935" i="3"/>
  <c r="C1933" i="3"/>
  <c r="C1940" i="3"/>
  <c r="C1936" i="3"/>
  <c r="C1942" i="3"/>
  <c r="AX1148" i="3"/>
  <c r="J1620" i="3"/>
  <c r="M1620" i="3"/>
  <c r="G1613" i="3"/>
  <c r="H1613" i="3"/>
  <c r="L1611" i="3"/>
  <c r="K1611" i="3"/>
  <c r="F1617" i="3"/>
  <c r="N1617" i="3"/>
  <c r="AX1079" i="3"/>
  <c r="CH1079" i="3"/>
  <c r="G1934" i="3"/>
  <c r="BU1079" i="3"/>
  <c r="BV1079" i="3"/>
  <c r="H2652" i="3"/>
  <c r="F2652" i="3"/>
  <c r="E2652" i="3"/>
  <c r="BU2256" i="3"/>
  <c r="BV2256" i="3"/>
  <c r="T2256" i="3"/>
  <c r="S2256" i="3"/>
  <c r="Y2256" i="3"/>
  <c r="Z2256" i="3"/>
  <c r="BJ2256" i="3"/>
  <c r="BI2256" i="3"/>
  <c r="AX2256" i="3"/>
  <c r="AW2256" i="3"/>
  <c r="BP2256" i="3"/>
  <c r="BO2256" i="3"/>
  <c r="CB2256" i="3"/>
  <c r="CA2256" i="3"/>
  <c r="BD2256" i="3"/>
  <c r="BC2256" i="3"/>
  <c r="P2590" i="3"/>
  <c r="D1777" i="3"/>
  <c r="AW1379" i="3"/>
  <c r="H1619" i="3"/>
  <c r="K1614" i="3"/>
  <c r="E1614" i="3"/>
  <c r="G1614" i="3"/>
  <c r="J1619" i="3"/>
  <c r="G1619" i="3"/>
  <c r="M1619" i="3"/>
  <c r="L2560" i="3"/>
  <c r="M1614" i="3"/>
  <c r="O1614" i="3"/>
  <c r="F1614" i="3"/>
  <c r="E1619" i="3"/>
  <c r="D1619" i="3"/>
  <c r="L1619" i="3"/>
  <c r="H2560" i="3"/>
  <c r="L1614" i="3"/>
  <c r="N1614" i="3"/>
  <c r="I1619" i="3"/>
  <c r="F1619" i="3"/>
  <c r="O1618" i="3"/>
  <c r="H1618" i="3"/>
  <c r="N1618" i="3"/>
  <c r="K1618" i="3"/>
  <c r="D1618" i="3"/>
  <c r="AR1379" i="3"/>
  <c r="P257" i="3"/>
  <c r="S1148" i="3"/>
  <c r="M1777" i="3"/>
  <c r="P247" i="3"/>
  <c r="N1777" i="3"/>
  <c r="N2563" i="3"/>
  <c r="C304" i="3"/>
  <c r="D304" i="3" s="1"/>
  <c r="N2560" i="3"/>
  <c r="I2560" i="3"/>
  <c r="F1777" i="3"/>
  <c r="E1777" i="3"/>
  <c r="K1613" i="3"/>
  <c r="L1613" i="3"/>
  <c r="N1613" i="3"/>
  <c r="I1617" i="3"/>
  <c r="K1617" i="3"/>
  <c r="M1617" i="3"/>
  <c r="K2560" i="3"/>
  <c r="G2560" i="3"/>
  <c r="O1777" i="3"/>
  <c r="K1620" i="3"/>
  <c r="O1620" i="3"/>
  <c r="M1613" i="3"/>
  <c r="J1613" i="3"/>
  <c r="O1617" i="3"/>
  <c r="J1617" i="3"/>
  <c r="M1775" i="3"/>
  <c r="E1775" i="3"/>
  <c r="H1775" i="3"/>
  <c r="O2560" i="3"/>
  <c r="M2560" i="3"/>
  <c r="N2082" i="3"/>
  <c r="H1771" i="3"/>
  <c r="N2559" i="3"/>
  <c r="AF1379" i="3"/>
  <c r="N2566" i="3"/>
  <c r="D1772" i="3"/>
  <c r="N1779" i="3"/>
  <c r="J2566" i="3"/>
  <c r="L2566" i="3"/>
  <c r="K1776" i="3"/>
  <c r="K1779" i="3"/>
  <c r="E2566" i="3"/>
  <c r="O2566" i="3"/>
  <c r="H2566" i="3"/>
  <c r="D2563" i="3"/>
  <c r="G1772" i="3"/>
  <c r="G2566" i="3"/>
  <c r="I2566" i="3"/>
  <c r="K2566" i="3"/>
  <c r="O2078" i="3"/>
  <c r="F1775" i="3"/>
  <c r="G1775" i="3"/>
  <c r="F2566" i="3"/>
  <c r="M2566" i="3"/>
  <c r="K2563" i="3"/>
  <c r="L1772" i="3"/>
  <c r="M2082" i="3"/>
  <c r="I2078" i="3"/>
  <c r="J1775" i="3"/>
  <c r="D1775" i="3"/>
  <c r="I1771" i="3"/>
  <c r="E1781" i="3"/>
  <c r="L1777" i="3"/>
  <c r="J1777" i="3"/>
  <c r="M2074" i="3"/>
  <c r="M1771" i="3"/>
  <c r="C1591" i="3"/>
  <c r="G1591" i="3" s="1"/>
  <c r="G2559" i="3"/>
  <c r="P2588" i="3"/>
  <c r="E2559" i="3"/>
  <c r="I2082" i="3"/>
  <c r="N2564" i="3"/>
  <c r="C300" i="3"/>
  <c r="K300" i="3" s="1"/>
  <c r="P2586" i="3"/>
  <c r="P1263" i="3" a="1"/>
  <c r="N2558" i="3"/>
  <c r="C1597" i="3"/>
  <c r="G1597" i="3" s="1"/>
  <c r="Q2603" i="3"/>
  <c r="Q2613" i="3"/>
  <c r="CC2604" i="3" s="1"/>
  <c r="CF2603" i="3" s="1"/>
  <c r="Q2608" i="3"/>
  <c r="AY2604" i="3" s="1"/>
  <c r="BB2603" i="3" s="1"/>
  <c r="Q2609" i="3"/>
  <c r="BE2604" i="3" s="1"/>
  <c r="BH2603" i="3" s="1"/>
  <c r="Q2610" i="3"/>
  <c r="BK2604" i="3" s="1"/>
  <c r="BN2603" i="3" s="1"/>
  <c r="Q2607" i="3"/>
  <c r="AS2604" i="3" s="1"/>
  <c r="AV2603" i="3" s="1"/>
  <c r="Q2612" i="3"/>
  <c r="BW2604" i="3" s="1"/>
  <c r="BZ2603" i="3" s="1"/>
  <c r="Q2611" i="3"/>
  <c r="BQ2604" i="3" s="1"/>
  <c r="BT2603" i="3" s="1"/>
  <c r="Q2606" i="3"/>
  <c r="AM2604" i="3" s="1"/>
  <c r="AP2603" i="3" s="1"/>
  <c r="Q2604" i="3"/>
  <c r="Q2605" i="3"/>
  <c r="AG2604" i="3" s="1"/>
  <c r="AJ2603" i="3" s="1"/>
  <c r="P2302" i="3" a="1"/>
  <c r="P2310" i="3" s="1"/>
  <c r="K2236" i="3"/>
  <c r="K1591" i="3"/>
  <c r="BJ1379" i="3"/>
  <c r="BO1379" i="3"/>
  <c r="H2559" i="3"/>
  <c r="J2559" i="3"/>
  <c r="K2559" i="3"/>
  <c r="C301" i="3"/>
  <c r="K301" i="3" s="1"/>
  <c r="C294" i="3"/>
  <c r="G294" i="3" s="1"/>
  <c r="E2074" i="3"/>
  <c r="P2584" i="3"/>
  <c r="P2587" i="3"/>
  <c r="E1779" i="3"/>
  <c r="H1779" i="3"/>
  <c r="C1596" i="3"/>
  <c r="O2243" i="3"/>
  <c r="I2559" i="3"/>
  <c r="D2559" i="3"/>
  <c r="M2559" i="3"/>
  <c r="P2581" i="3"/>
  <c r="P2582" i="3"/>
  <c r="P2583" i="3"/>
  <c r="C1593" i="3"/>
  <c r="F2559" i="3"/>
  <c r="L2559" i="3"/>
  <c r="K2558" i="3"/>
  <c r="G1777" i="3"/>
  <c r="I1777" i="3"/>
  <c r="P2589" i="3"/>
  <c r="P2580" i="3"/>
  <c r="O2079" i="3"/>
  <c r="C1588" i="3"/>
  <c r="C1589" i="3"/>
  <c r="C1594" i="3"/>
  <c r="C1590" i="3"/>
  <c r="C1595" i="3"/>
  <c r="C1587" i="3"/>
  <c r="C1592" i="3"/>
  <c r="J1771" i="3"/>
  <c r="E1771" i="3"/>
  <c r="D1771" i="3"/>
  <c r="G2078" i="3"/>
  <c r="K1781" i="3"/>
  <c r="M1774" i="3"/>
  <c r="G2074" i="3"/>
  <c r="L1771" i="3"/>
  <c r="N1771" i="3"/>
  <c r="K1771" i="3"/>
  <c r="I2079" i="3"/>
  <c r="L2078" i="3"/>
  <c r="H2078" i="3"/>
  <c r="M1781" i="3"/>
  <c r="O1771" i="3"/>
  <c r="F1771" i="3"/>
  <c r="I2073" i="3"/>
  <c r="F2078" i="3"/>
  <c r="J1774" i="3"/>
  <c r="M2565" i="3"/>
  <c r="M2558" i="3"/>
  <c r="L2558" i="3"/>
  <c r="D2556" i="3"/>
  <c r="M2078" i="3"/>
  <c r="N2078" i="3"/>
  <c r="J2078" i="3"/>
  <c r="D1774" i="3"/>
  <c r="Y1379" i="3"/>
  <c r="C1868" i="3"/>
  <c r="N1868" i="3" s="1"/>
  <c r="K2078" i="3"/>
  <c r="E2078" i="3"/>
  <c r="I2556" i="3"/>
  <c r="C1865" i="3"/>
  <c r="M1865" i="3" s="1"/>
  <c r="O1774" i="3"/>
  <c r="G2557" i="3"/>
  <c r="J1779" i="3"/>
  <c r="G1774" i="3"/>
  <c r="E1774" i="3"/>
  <c r="Q1636" i="3"/>
  <c r="AM1634" i="3" s="1"/>
  <c r="F2557" i="3"/>
  <c r="O1772" i="3"/>
  <c r="I1772" i="3"/>
  <c r="E1772" i="3"/>
  <c r="E2082" i="3"/>
  <c r="G2082" i="3"/>
  <c r="F2082" i="3"/>
  <c r="Q1639" i="3"/>
  <c r="BE1634" i="3" s="1"/>
  <c r="BH1633" i="3" s="1"/>
  <c r="BI1633" i="3" s="1"/>
  <c r="G1779" i="3"/>
  <c r="I1779" i="3"/>
  <c r="J2560" i="3"/>
  <c r="D2560" i="3"/>
  <c r="M1772" i="3"/>
  <c r="J1772" i="3"/>
  <c r="F1772" i="3"/>
  <c r="L2082" i="3"/>
  <c r="K2082" i="3"/>
  <c r="H2082" i="3"/>
  <c r="Q1635" i="3"/>
  <c r="AG1634" i="3" s="1"/>
  <c r="O1779" i="3"/>
  <c r="F1779" i="3"/>
  <c r="J2557" i="3"/>
  <c r="K1772" i="3"/>
  <c r="N1772" i="3"/>
  <c r="J2082" i="3"/>
  <c r="O2082" i="3"/>
  <c r="Q1643" i="3"/>
  <c r="CC1634" i="3" s="1"/>
  <c r="CF1633" i="3" s="1"/>
  <c r="CG1633" i="3" s="1"/>
  <c r="H1773" i="3"/>
  <c r="N1773" i="3"/>
  <c r="M1773" i="3"/>
  <c r="H2558" i="3"/>
  <c r="M2557" i="3"/>
  <c r="N2557" i="3"/>
  <c r="E2557" i="3"/>
  <c r="G2563" i="3"/>
  <c r="F2563" i="3"/>
  <c r="H2563" i="3"/>
  <c r="C302" i="3"/>
  <c r="O302" i="3" s="1"/>
  <c r="C297" i="3"/>
  <c r="K297" i="3" s="1"/>
  <c r="C1871" i="3"/>
  <c r="H1871" i="3" s="1"/>
  <c r="F2074" i="3"/>
  <c r="H2074" i="3"/>
  <c r="O2074" i="3"/>
  <c r="C1864" i="3"/>
  <c r="J1864" i="3" s="1"/>
  <c r="J2079" i="3"/>
  <c r="E2073" i="3"/>
  <c r="J2073" i="3"/>
  <c r="C1874" i="3"/>
  <c r="M1874" i="3" s="1"/>
  <c r="Q1641" i="3"/>
  <c r="BQ1634" i="3" s="1"/>
  <c r="BT1633" i="3" s="1"/>
  <c r="BU1633" i="3" s="1"/>
  <c r="Q1634" i="3"/>
  <c r="AA1634" i="3" s="1"/>
  <c r="AD1633" i="3" s="1"/>
  <c r="Q1637" i="3"/>
  <c r="AS1634" i="3" s="1"/>
  <c r="I1773" i="3"/>
  <c r="J1773" i="3"/>
  <c r="G1773" i="3"/>
  <c r="N1775" i="3"/>
  <c r="D1779" i="3"/>
  <c r="M1779" i="3"/>
  <c r="L2557" i="3"/>
  <c r="K2557" i="3"/>
  <c r="O2557" i="3"/>
  <c r="I2563" i="3"/>
  <c r="J2563" i="3"/>
  <c r="M2563" i="3"/>
  <c r="C298" i="3"/>
  <c r="K298" i="3" s="1"/>
  <c r="C296" i="3"/>
  <c r="J296" i="3" s="1"/>
  <c r="C1870" i="3"/>
  <c r="H1870" i="3" s="1"/>
  <c r="C1866" i="3"/>
  <c r="G1866" i="3" s="1"/>
  <c r="K2074" i="3"/>
  <c r="N2074" i="3"/>
  <c r="I2074" i="3"/>
  <c r="M2079" i="3"/>
  <c r="O2073" i="3"/>
  <c r="Q1633" i="3"/>
  <c r="CE1634" i="3" s="1"/>
  <c r="Q1638" i="3"/>
  <c r="AY1634" i="3" s="1"/>
  <c r="L1773" i="3"/>
  <c r="F1773" i="3"/>
  <c r="E1773" i="3"/>
  <c r="I1775" i="3"/>
  <c r="L1775" i="3"/>
  <c r="O1778" i="3"/>
  <c r="E1778" i="3"/>
  <c r="F1778" i="3"/>
  <c r="K1778" i="3"/>
  <c r="N1778" i="3"/>
  <c r="G1778" i="3"/>
  <c r="L1778" i="3"/>
  <c r="H1778" i="3"/>
  <c r="J1778" i="3"/>
  <c r="I1778" i="3"/>
  <c r="M1778" i="3"/>
  <c r="D1778" i="3"/>
  <c r="AK1379" i="3"/>
  <c r="D2557" i="3"/>
  <c r="H2557" i="3"/>
  <c r="L2563" i="3"/>
  <c r="E2563" i="3"/>
  <c r="C295" i="3"/>
  <c r="E295" i="3" s="1"/>
  <c r="C299" i="3"/>
  <c r="N299" i="3" s="1"/>
  <c r="C303" i="3"/>
  <c r="D303" i="3" s="1"/>
  <c r="C1873" i="3"/>
  <c r="J1873" i="3" s="1"/>
  <c r="C1869" i="3"/>
  <c r="D1869" i="3" s="1"/>
  <c r="D2074" i="3"/>
  <c r="J2074" i="3"/>
  <c r="N2079" i="3"/>
  <c r="F2079" i="3"/>
  <c r="G2073" i="3"/>
  <c r="Q1640" i="3"/>
  <c r="BK1634" i="3" s="1"/>
  <c r="Q1642" i="3"/>
  <c r="BW1634" i="3" s="1"/>
  <c r="BZ1633" i="3" s="1"/>
  <c r="CB1633" i="3" s="1"/>
  <c r="D1773" i="3"/>
  <c r="O1773" i="3"/>
  <c r="H1774" i="3"/>
  <c r="I1774" i="3"/>
  <c r="N1774" i="3"/>
  <c r="K1774" i="3"/>
  <c r="F1774" i="3"/>
  <c r="N1781" i="3"/>
  <c r="J1781" i="3"/>
  <c r="I1781" i="3"/>
  <c r="L1781" i="3"/>
  <c r="H1781" i="3"/>
  <c r="D1781" i="3"/>
  <c r="O1781" i="3"/>
  <c r="F1781" i="3"/>
  <c r="H1776" i="3"/>
  <c r="D1776" i="3"/>
  <c r="O1776" i="3"/>
  <c r="G1776" i="3"/>
  <c r="E1776" i="3"/>
  <c r="M1776" i="3"/>
  <c r="L1776" i="3"/>
  <c r="I1776" i="3"/>
  <c r="F1776" i="3"/>
  <c r="N1776" i="3"/>
  <c r="T1379" i="3"/>
  <c r="G2564" i="3"/>
  <c r="F2565" i="3"/>
  <c r="H2564" i="3"/>
  <c r="I2564" i="3"/>
  <c r="E2564" i="3"/>
  <c r="M2564" i="3"/>
  <c r="O2558" i="3"/>
  <c r="N2565" i="3"/>
  <c r="BP802" i="3"/>
  <c r="H2565" i="3"/>
  <c r="L2565" i="3"/>
  <c r="I2565" i="3"/>
  <c r="E2334" i="3"/>
  <c r="G2334" i="3"/>
  <c r="F2334" i="3"/>
  <c r="N2334" i="3"/>
  <c r="L2334" i="3"/>
  <c r="J2334" i="3"/>
  <c r="M2334" i="3"/>
  <c r="H2334" i="3"/>
  <c r="O2334" i="3"/>
  <c r="D2334" i="3"/>
  <c r="BC802" i="3"/>
  <c r="O2562" i="3"/>
  <c r="F2556" i="3"/>
  <c r="G2556" i="3"/>
  <c r="E2556" i="3"/>
  <c r="N2556" i="3"/>
  <c r="B1200" i="3"/>
  <c r="K2556" i="3"/>
  <c r="J2556" i="3"/>
  <c r="H2556" i="3"/>
  <c r="W803" i="3"/>
  <c r="P1009" i="3" a="1"/>
  <c r="P1010" i="3" s="1"/>
  <c r="M1872" i="3"/>
  <c r="F1872" i="3"/>
  <c r="K1872" i="3"/>
  <c r="D1872" i="3"/>
  <c r="E1872" i="3"/>
  <c r="O1872" i="3"/>
  <c r="N1872" i="3"/>
  <c r="H1872" i="3"/>
  <c r="J1872" i="3"/>
  <c r="I1872" i="3"/>
  <c r="G1872" i="3"/>
  <c r="L1872" i="3"/>
  <c r="L2564" i="3"/>
  <c r="K2564" i="3"/>
  <c r="O2564" i="3"/>
  <c r="E2558" i="3"/>
  <c r="G2558" i="3"/>
  <c r="D2558" i="3"/>
  <c r="N2562" i="3"/>
  <c r="M2556" i="3"/>
  <c r="O2556" i="3"/>
  <c r="I2334" i="3"/>
  <c r="K2334" i="3"/>
  <c r="D2079" i="3"/>
  <c r="K2079" i="3"/>
  <c r="L2079" i="3"/>
  <c r="F2073" i="3"/>
  <c r="M2073" i="3"/>
  <c r="C2335" i="3"/>
  <c r="C2330" i="3"/>
  <c r="C2336" i="3"/>
  <c r="C2331" i="3"/>
  <c r="C2332" i="3"/>
  <c r="C2327" i="3"/>
  <c r="C2329" i="3"/>
  <c r="P1568" i="3"/>
  <c r="P1569" i="3"/>
  <c r="P1565" i="3"/>
  <c r="P1574" i="3"/>
  <c r="P1564" i="3"/>
  <c r="P1572" i="3"/>
  <c r="P1570" i="3"/>
  <c r="P1573" i="3"/>
  <c r="P1567" i="3"/>
  <c r="P1566" i="3"/>
  <c r="P1571" i="3"/>
  <c r="C1867" i="3"/>
  <c r="D2564" i="3"/>
  <c r="F2564" i="3"/>
  <c r="F2558" i="3"/>
  <c r="I2558" i="3"/>
  <c r="E2079" i="3"/>
  <c r="H2079" i="3"/>
  <c r="L2073" i="3"/>
  <c r="H2073" i="3"/>
  <c r="C2333" i="3"/>
  <c r="C2326" i="3"/>
  <c r="E2562" i="3"/>
  <c r="C2328" i="3"/>
  <c r="AA2096" i="3"/>
  <c r="AD2095" i="3" s="1"/>
  <c r="W2096" i="3"/>
  <c r="BD2095" i="3"/>
  <c r="BC2095" i="3"/>
  <c r="AW2095" i="3"/>
  <c r="AX2095" i="3"/>
  <c r="I1337" i="3"/>
  <c r="Q1520" i="3"/>
  <c r="AM1518" i="3" s="1"/>
  <c r="I2562" i="3"/>
  <c r="K2562" i="3"/>
  <c r="F2562" i="3"/>
  <c r="K2565" i="3"/>
  <c r="O2565" i="3"/>
  <c r="J2565" i="3"/>
  <c r="P1290" i="3"/>
  <c r="P1296" i="3"/>
  <c r="P1292" i="3"/>
  <c r="P1288" i="3"/>
  <c r="P1287" i="3"/>
  <c r="P1293" i="3"/>
  <c r="P1289" i="3"/>
  <c r="P1286" i="3"/>
  <c r="P1291" i="3"/>
  <c r="P1295" i="3"/>
  <c r="P1294" i="3"/>
  <c r="AL2095" i="3"/>
  <c r="AK2095" i="3"/>
  <c r="BG2096" i="3"/>
  <c r="BM2096" i="3"/>
  <c r="BN2095" i="3" s="1"/>
  <c r="R2095" i="3"/>
  <c r="BS2096" i="3"/>
  <c r="BT2095" i="3" s="1"/>
  <c r="CE2096" i="3"/>
  <c r="BA2096" i="3"/>
  <c r="U2096" i="3"/>
  <c r="X2095" i="3" s="1"/>
  <c r="BY2096" i="3"/>
  <c r="AI2096" i="3"/>
  <c r="AC2096" i="3"/>
  <c r="AU2096" i="3"/>
  <c r="AO2096" i="3"/>
  <c r="CB2095" i="3"/>
  <c r="CA2095" i="3"/>
  <c r="I1339" i="3"/>
  <c r="CG802" i="3"/>
  <c r="H2562" i="3"/>
  <c r="G2562" i="3"/>
  <c r="J2562" i="3"/>
  <c r="BS803" i="3"/>
  <c r="BT802" i="3" s="1"/>
  <c r="BU802" i="3" s="1"/>
  <c r="AQ2095" i="3"/>
  <c r="AR2095" i="3"/>
  <c r="D2562" i="3"/>
  <c r="L2562" i="3"/>
  <c r="E2565" i="3"/>
  <c r="D2565" i="3"/>
  <c r="K2073" i="3"/>
  <c r="N2073" i="3"/>
  <c r="CH2095" i="3"/>
  <c r="CG2095" i="3"/>
  <c r="BI2095" i="3"/>
  <c r="BJ2095" i="3"/>
  <c r="P254" i="3"/>
  <c r="D2076" i="3"/>
  <c r="L2076" i="3"/>
  <c r="E2076" i="3"/>
  <c r="F2076" i="3"/>
  <c r="O2076" i="3"/>
  <c r="K2076" i="3"/>
  <c r="N2076" i="3"/>
  <c r="M2076" i="3"/>
  <c r="G2076" i="3"/>
  <c r="J2076" i="3"/>
  <c r="I2076" i="3"/>
  <c r="H2076" i="3"/>
  <c r="AA895" i="3"/>
  <c r="AD894" i="3" s="1"/>
  <c r="W895" i="3"/>
  <c r="BC894" i="3"/>
  <c r="BD894" i="3"/>
  <c r="BJ894" i="3"/>
  <c r="BI894" i="3"/>
  <c r="P581" i="3"/>
  <c r="P576" i="3"/>
  <c r="P577" i="3"/>
  <c r="P580" i="3"/>
  <c r="P579" i="3"/>
  <c r="P574" i="3"/>
  <c r="P572" i="3"/>
  <c r="P575" i="3"/>
  <c r="P573" i="3"/>
  <c r="P571" i="3"/>
  <c r="P578" i="3"/>
  <c r="BI802" i="3"/>
  <c r="O2072" i="3"/>
  <c r="F2072" i="3"/>
  <c r="L2072" i="3"/>
  <c r="E2072" i="3"/>
  <c r="K2072" i="3"/>
  <c r="J2072" i="3"/>
  <c r="I2072" i="3"/>
  <c r="N2072" i="3"/>
  <c r="H2072" i="3"/>
  <c r="G2072" i="3"/>
  <c r="D2072" i="3"/>
  <c r="M2072" i="3"/>
  <c r="CG894" i="3"/>
  <c r="CH894" i="3"/>
  <c r="BP894" i="3"/>
  <c r="BO894" i="3"/>
  <c r="R894" i="3"/>
  <c r="AO895" i="3"/>
  <c r="AP894" i="3" s="1"/>
  <c r="BA895" i="3"/>
  <c r="AI895" i="3"/>
  <c r="U895" i="3"/>
  <c r="X894" i="3" s="1"/>
  <c r="AC895" i="3"/>
  <c r="AU895" i="3"/>
  <c r="BM895" i="3"/>
  <c r="BS895" i="3"/>
  <c r="BT894" i="3" s="1"/>
  <c r="BY895" i="3"/>
  <c r="BZ894" i="3" s="1"/>
  <c r="BG895" i="3"/>
  <c r="CE895" i="3"/>
  <c r="K1339" i="3"/>
  <c r="J1337" i="3"/>
  <c r="O2077" i="3"/>
  <c r="H2077" i="3"/>
  <c r="G2077" i="3"/>
  <c r="J2077" i="3"/>
  <c r="E2077" i="3"/>
  <c r="L2077" i="3"/>
  <c r="F2077" i="3"/>
  <c r="D2077" i="3"/>
  <c r="M2077" i="3"/>
  <c r="K2077" i="3"/>
  <c r="I2077" i="3"/>
  <c r="N2077" i="3"/>
  <c r="L2075" i="3"/>
  <c r="N2075" i="3"/>
  <c r="H2075" i="3"/>
  <c r="K2075" i="3"/>
  <c r="I2075" i="3"/>
  <c r="G2075" i="3"/>
  <c r="M2075" i="3"/>
  <c r="O2075" i="3"/>
  <c r="F2075" i="3"/>
  <c r="E2075" i="3"/>
  <c r="D2075" i="3"/>
  <c r="J2075" i="3"/>
  <c r="AX894" i="3"/>
  <c r="AW894" i="3"/>
  <c r="Q1525" i="3"/>
  <c r="BQ1518" i="3" s="1"/>
  <c r="D2080" i="3"/>
  <c r="K2080" i="3"/>
  <c r="M2080" i="3"/>
  <c r="J2080" i="3"/>
  <c r="H2080" i="3"/>
  <c r="E2080" i="3"/>
  <c r="O2080" i="3"/>
  <c r="F2080" i="3"/>
  <c r="L2080" i="3"/>
  <c r="G2080" i="3"/>
  <c r="I2080" i="3"/>
  <c r="N2080" i="3"/>
  <c r="E2081" i="3"/>
  <c r="O2081" i="3"/>
  <c r="H2081" i="3"/>
  <c r="K2081" i="3"/>
  <c r="N2081" i="3"/>
  <c r="L2081" i="3"/>
  <c r="D2081" i="3"/>
  <c r="M2081" i="3"/>
  <c r="F2081" i="3"/>
  <c r="J2081" i="3"/>
  <c r="G2081" i="3"/>
  <c r="I2081" i="3"/>
  <c r="AL894" i="3"/>
  <c r="AK894" i="3"/>
  <c r="B335" i="3"/>
  <c r="J1245" i="3"/>
  <c r="P252" i="3"/>
  <c r="F2239" i="3"/>
  <c r="Q1522" i="3"/>
  <c r="AY1518" i="3" s="1"/>
  <c r="BP524" i="3"/>
  <c r="P253" i="3"/>
  <c r="P2375" i="3"/>
  <c r="E2561" i="3"/>
  <c r="D2561" i="3"/>
  <c r="K2561" i="3"/>
  <c r="N2561" i="3"/>
  <c r="O2561" i="3"/>
  <c r="G2561" i="3"/>
  <c r="H2561" i="3"/>
  <c r="L2561" i="3"/>
  <c r="I2561" i="3"/>
  <c r="F2561" i="3"/>
  <c r="M2561" i="3"/>
  <c r="J2561" i="3"/>
  <c r="P251" i="3"/>
  <c r="P250" i="3"/>
  <c r="P256" i="3"/>
  <c r="J1339" i="3"/>
  <c r="M1339" i="3"/>
  <c r="N1339" i="3"/>
  <c r="O1339" i="3"/>
  <c r="P248" i="3"/>
  <c r="P249" i="3"/>
  <c r="E1339" i="3"/>
  <c r="D1339" i="3"/>
  <c r="H1339" i="3"/>
  <c r="G1339" i="3"/>
  <c r="CE803" i="3"/>
  <c r="I2239" i="3"/>
  <c r="M1247" i="3"/>
  <c r="AU803" i="3"/>
  <c r="AX802" i="3"/>
  <c r="G2234" i="3"/>
  <c r="L1339" i="3"/>
  <c r="P2764" i="3" a="1"/>
  <c r="P2772" i="3" s="1"/>
  <c r="BY803" i="3"/>
  <c r="BZ802" i="3" s="1"/>
  <c r="CA802" i="3" s="1"/>
  <c r="Q1527" i="3"/>
  <c r="CC1518" i="3" s="1"/>
  <c r="CF1517" i="3" s="1"/>
  <c r="CH1517" i="3" s="1"/>
  <c r="T1818" i="3"/>
  <c r="AF1818" i="3"/>
  <c r="AX524" i="3"/>
  <c r="AF1725" i="3"/>
  <c r="Q1518" i="3"/>
  <c r="W1518" i="3" s="1"/>
  <c r="P2380" i="3"/>
  <c r="H2239" i="3"/>
  <c r="K1247" i="3"/>
  <c r="D1335" i="3"/>
  <c r="U803" i="3"/>
  <c r="X802" i="3" s="1"/>
  <c r="Y802" i="3" s="1"/>
  <c r="BM803" i="3"/>
  <c r="AO803" i="3"/>
  <c r="AP802" i="3" s="1"/>
  <c r="AQ802" i="3" s="1"/>
  <c r="L1242" i="3"/>
  <c r="BG803" i="3"/>
  <c r="AC803" i="3"/>
  <c r="AD802" i="3" s="1"/>
  <c r="AI803" i="3"/>
  <c r="AJ802" i="3" s="1"/>
  <c r="Q1526" i="3"/>
  <c r="BW1518" i="3" s="1"/>
  <c r="Q1519" i="3"/>
  <c r="AG1518" i="3" s="1"/>
  <c r="H2234" i="3"/>
  <c r="G1246" i="3"/>
  <c r="R802" i="3"/>
  <c r="S802" i="3" s="1"/>
  <c r="BA803" i="3"/>
  <c r="BI524" i="3"/>
  <c r="B1711" i="3"/>
  <c r="B1712" i="3" s="1"/>
  <c r="Q1517" i="3"/>
  <c r="U1518" i="3" s="1"/>
  <c r="X1517" i="3" s="1"/>
  <c r="Q1524" i="3"/>
  <c r="BK1518" i="3" s="1"/>
  <c r="CH1494" i="3"/>
  <c r="Q1523" i="3"/>
  <c r="BE1518" i="3" s="1"/>
  <c r="Q1521" i="3"/>
  <c r="AS1518" i="3" s="1"/>
  <c r="K1335" i="3"/>
  <c r="H2516" i="3"/>
  <c r="N2239" i="3"/>
  <c r="I2234" i="3"/>
  <c r="O1337" i="3"/>
  <c r="L1337" i="3"/>
  <c r="N1337" i="3"/>
  <c r="O2239" i="3"/>
  <c r="E2234" i="3"/>
  <c r="F1242" i="3"/>
  <c r="K1337" i="3"/>
  <c r="M1337" i="3"/>
  <c r="M1246" i="3"/>
  <c r="T2349" i="3"/>
  <c r="D1240" i="3"/>
  <c r="H1241" i="3"/>
  <c r="E1335" i="3"/>
  <c r="O2241" i="3"/>
  <c r="L1249" i="3"/>
  <c r="G1240" i="3"/>
  <c r="K2238" i="3"/>
  <c r="D1241" i="3"/>
  <c r="P2381" i="3"/>
  <c r="P2374" i="3"/>
  <c r="N1245" i="3"/>
  <c r="O1247" i="3"/>
  <c r="N1242" i="3"/>
  <c r="E1242" i="3"/>
  <c r="F2444" i="3"/>
  <c r="N1335" i="3"/>
  <c r="F1335" i="3"/>
  <c r="G1335" i="3"/>
  <c r="J1335" i="3"/>
  <c r="I1335" i="3"/>
  <c r="M1335" i="3"/>
  <c r="O1335" i="3"/>
  <c r="P2373" i="3"/>
  <c r="P2378" i="3"/>
  <c r="N1247" i="3"/>
  <c r="I1247" i="3"/>
  <c r="G1242" i="3"/>
  <c r="H1335" i="3"/>
  <c r="BP1818" i="3"/>
  <c r="P2377" i="3"/>
  <c r="N1241" i="3"/>
  <c r="D1247" i="3"/>
  <c r="F1247" i="3"/>
  <c r="K1242" i="3"/>
  <c r="C2441" i="3"/>
  <c r="K2441" i="3" s="1"/>
  <c r="P1795" i="3"/>
  <c r="D1337" i="3"/>
  <c r="G1337" i="3"/>
  <c r="E1337" i="3"/>
  <c r="H1337" i="3"/>
  <c r="AQ524" i="3"/>
  <c r="AK524" i="3"/>
  <c r="G1245" i="3"/>
  <c r="L1245" i="3"/>
  <c r="G1241" i="3"/>
  <c r="I1241" i="3"/>
  <c r="L1240" i="3"/>
  <c r="J1240" i="3"/>
  <c r="I1240" i="3"/>
  <c r="C2448" i="3"/>
  <c r="G2448" i="3" s="1"/>
  <c r="C2442" i="3"/>
  <c r="M2442" i="3" s="1"/>
  <c r="E2444" i="3"/>
  <c r="P1801" i="3"/>
  <c r="D1245" i="3"/>
  <c r="F1245" i="3"/>
  <c r="M1245" i="3"/>
  <c r="M1241" i="3"/>
  <c r="F1241" i="3"/>
  <c r="E1240" i="3"/>
  <c r="N1240" i="3"/>
  <c r="C2450" i="3"/>
  <c r="J2450" i="3" s="1"/>
  <c r="J2444" i="3"/>
  <c r="N2444" i="3"/>
  <c r="P1794" i="3"/>
  <c r="P1796" i="3"/>
  <c r="Q987" i="3"/>
  <c r="Q990" i="3"/>
  <c r="AS987" i="3" s="1"/>
  <c r="Q988" i="3"/>
  <c r="AG987" i="3" s="1"/>
  <c r="Q986" i="3"/>
  <c r="Q996" i="3"/>
  <c r="CC987" i="3" s="1"/>
  <c r="CF986" i="3" s="1"/>
  <c r="Q992" i="3"/>
  <c r="BE987" i="3" s="1"/>
  <c r="Q989" i="3"/>
  <c r="AM987" i="3" s="1"/>
  <c r="Q994" i="3"/>
  <c r="BQ987" i="3" s="1"/>
  <c r="Q991" i="3"/>
  <c r="AY987" i="3" s="1"/>
  <c r="Q993" i="3"/>
  <c r="BK987" i="3" s="1"/>
  <c r="Q995" i="3"/>
  <c r="BW987" i="3" s="1"/>
  <c r="I1245" i="3"/>
  <c r="O1245" i="3"/>
  <c r="E1241" i="3"/>
  <c r="K1241" i="3"/>
  <c r="K1240" i="3"/>
  <c r="M1240" i="3"/>
  <c r="C2443" i="3"/>
  <c r="N2443" i="3" s="1"/>
  <c r="I2444" i="3"/>
  <c r="H2444" i="3"/>
  <c r="P1799" i="3"/>
  <c r="D2239" i="3"/>
  <c r="M2234" i="3"/>
  <c r="K2234" i="3"/>
  <c r="O2236" i="3"/>
  <c r="E1246" i="3"/>
  <c r="K1245" i="3"/>
  <c r="H1245" i="3"/>
  <c r="G1247" i="3"/>
  <c r="E1247" i="3"/>
  <c r="I1242" i="3"/>
  <c r="O1242" i="3"/>
  <c r="D1242" i="3"/>
  <c r="C2446" i="3"/>
  <c r="K2446" i="3" s="1"/>
  <c r="C2449" i="3"/>
  <c r="J2449" i="3" s="1"/>
  <c r="L2444" i="3"/>
  <c r="G2444" i="3"/>
  <c r="M2444" i="3"/>
  <c r="P1797" i="3"/>
  <c r="P1804" i="3"/>
  <c r="P1800" i="3"/>
  <c r="M1333" i="3"/>
  <c r="N1333" i="3"/>
  <c r="K1333" i="3"/>
  <c r="L1333" i="3"/>
  <c r="O1333" i="3"/>
  <c r="E1333" i="3"/>
  <c r="J1333" i="3"/>
  <c r="H1333" i="3"/>
  <c r="F1333" i="3"/>
  <c r="D1333" i="3"/>
  <c r="G1333" i="3"/>
  <c r="I1333" i="3"/>
  <c r="H1340" i="3"/>
  <c r="E1340" i="3"/>
  <c r="D1340" i="3"/>
  <c r="J1340" i="3"/>
  <c r="F1340" i="3"/>
  <c r="N1340" i="3"/>
  <c r="O1340" i="3"/>
  <c r="L1340" i="3"/>
  <c r="K1340" i="3"/>
  <c r="I1340" i="3"/>
  <c r="G1340" i="3"/>
  <c r="M1340" i="3"/>
  <c r="N1341" i="3"/>
  <c r="M1341" i="3"/>
  <c r="H1341" i="3"/>
  <c r="I1341" i="3"/>
  <c r="F1341" i="3"/>
  <c r="D1341" i="3"/>
  <c r="L1341" i="3"/>
  <c r="G1341" i="3"/>
  <c r="O1341" i="3"/>
  <c r="K1341" i="3"/>
  <c r="J1341" i="3"/>
  <c r="E1341" i="3"/>
  <c r="M1343" i="3"/>
  <c r="G1343" i="3"/>
  <c r="F1343" i="3"/>
  <c r="L1343" i="3"/>
  <c r="J1343" i="3"/>
  <c r="I1343" i="3"/>
  <c r="K1343" i="3"/>
  <c r="D1343" i="3"/>
  <c r="E1343" i="3"/>
  <c r="O1343" i="3"/>
  <c r="N1343" i="3"/>
  <c r="H1343" i="3"/>
  <c r="C2445" i="3"/>
  <c r="M2445" i="3" s="1"/>
  <c r="C2451" i="3"/>
  <c r="H2451" i="3" s="1"/>
  <c r="O2444" i="3"/>
  <c r="D2444" i="3"/>
  <c r="C2447" i="3"/>
  <c r="O2447" i="3" s="1"/>
  <c r="P1798" i="3"/>
  <c r="P1802" i="3"/>
  <c r="K1334" i="3"/>
  <c r="N1334" i="3"/>
  <c r="I1334" i="3"/>
  <c r="D1334" i="3"/>
  <c r="L1334" i="3"/>
  <c r="G1334" i="3"/>
  <c r="H1334" i="3"/>
  <c r="J1334" i="3"/>
  <c r="M1334" i="3"/>
  <c r="E1334" i="3"/>
  <c r="F1334" i="3"/>
  <c r="O1334" i="3"/>
  <c r="N1342" i="3"/>
  <c r="G1342" i="3"/>
  <c r="D1342" i="3"/>
  <c r="K1342" i="3"/>
  <c r="J1342" i="3"/>
  <c r="F1342" i="3"/>
  <c r="O1342" i="3"/>
  <c r="I1342" i="3"/>
  <c r="H1342" i="3"/>
  <c r="E1342" i="3"/>
  <c r="L1342" i="3"/>
  <c r="M1342" i="3"/>
  <c r="F2236" i="3"/>
  <c r="I1338" i="3"/>
  <c r="K1338" i="3"/>
  <c r="L1338" i="3"/>
  <c r="J1338" i="3"/>
  <c r="G1338" i="3"/>
  <c r="N1338" i="3"/>
  <c r="E1338" i="3"/>
  <c r="D1338" i="3"/>
  <c r="F1338" i="3"/>
  <c r="H1338" i="3"/>
  <c r="O1338" i="3"/>
  <c r="M1338" i="3"/>
  <c r="L2239" i="3"/>
  <c r="G2239" i="3"/>
  <c r="K2239" i="3"/>
  <c r="J2234" i="3"/>
  <c r="F2234" i="3"/>
  <c r="O2234" i="3"/>
  <c r="L2236" i="3"/>
  <c r="M2236" i="3"/>
  <c r="M2243" i="3"/>
  <c r="G2238" i="3"/>
  <c r="L1246" i="3"/>
  <c r="K1246" i="3"/>
  <c r="J1246" i="3"/>
  <c r="O1241" i="3"/>
  <c r="L1241" i="3"/>
  <c r="J1247" i="3"/>
  <c r="L1247" i="3"/>
  <c r="M1242" i="3"/>
  <c r="J1242" i="3"/>
  <c r="O1240" i="3"/>
  <c r="F1240" i="3"/>
  <c r="F1246" i="3"/>
  <c r="N1246" i="3"/>
  <c r="H1246" i="3"/>
  <c r="CA524" i="3"/>
  <c r="BD524" i="3"/>
  <c r="P2382" i="3"/>
  <c r="P2372" i="3"/>
  <c r="L2514" i="3"/>
  <c r="M2239" i="3"/>
  <c r="J2239" i="3"/>
  <c r="L2234" i="3"/>
  <c r="D2234" i="3"/>
  <c r="G2236" i="3"/>
  <c r="O1246" i="3"/>
  <c r="D1246" i="3"/>
  <c r="D1249" i="3"/>
  <c r="F1249" i="3"/>
  <c r="K2510" i="3"/>
  <c r="J2514" i="3"/>
  <c r="D2242" i="3"/>
  <c r="O2510" i="3"/>
  <c r="N2241" i="3"/>
  <c r="N2242" i="3"/>
  <c r="J2517" i="3"/>
  <c r="E2510" i="3"/>
  <c r="M2514" i="3"/>
  <c r="G2241" i="3"/>
  <c r="H2242" i="3"/>
  <c r="P2376" i="3"/>
  <c r="I2516" i="3"/>
  <c r="L2511" i="3"/>
  <c r="L2241" i="3"/>
  <c r="H2241" i="3"/>
  <c r="O2235" i="3"/>
  <c r="K2240" i="3"/>
  <c r="L2243" i="3"/>
  <c r="J2238" i="3"/>
  <c r="N2238" i="3"/>
  <c r="N1249" i="3"/>
  <c r="G1249" i="3"/>
  <c r="E1249" i="3"/>
  <c r="N2450" i="3"/>
  <c r="M2512" i="3"/>
  <c r="E2240" i="3"/>
  <c r="H1249" i="3"/>
  <c r="M1249" i="3"/>
  <c r="J1249" i="3"/>
  <c r="G2512" i="3"/>
  <c r="F2241" i="3"/>
  <c r="L2238" i="3"/>
  <c r="O1249" i="3"/>
  <c r="K1249" i="3"/>
  <c r="H2233" i="3"/>
  <c r="G2240" i="3"/>
  <c r="M2240" i="3"/>
  <c r="P2057" i="3"/>
  <c r="P2050" i="3"/>
  <c r="P2054" i="3"/>
  <c r="P2052" i="3"/>
  <c r="P2051" i="3"/>
  <c r="P2058" i="3"/>
  <c r="P2056" i="3"/>
  <c r="P2048" i="3"/>
  <c r="P2053" i="3"/>
  <c r="P2055" i="3"/>
  <c r="P2049" i="3"/>
  <c r="K2233" i="3"/>
  <c r="M2235" i="3"/>
  <c r="H2240" i="3"/>
  <c r="F2240" i="3"/>
  <c r="J2233" i="3"/>
  <c r="F2235" i="3"/>
  <c r="I2240" i="3"/>
  <c r="L2240" i="3"/>
  <c r="D2240" i="3"/>
  <c r="T524" i="3"/>
  <c r="L2517" i="3"/>
  <c r="J2516" i="3"/>
  <c r="O2237" i="3"/>
  <c r="J2242" i="3"/>
  <c r="I2242" i="3"/>
  <c r="L2242" i="3"/>
  <c r="M2238" i="3"/>
  <c r="E2238" i="3"/>
  <c r="K1243" i="3"/>
  <c r="G1243" i="3"/>
  <c r="N1243" i="3"/>
  <c r="I1243" i="3"/>
  <c r="F1243" i="3"/>
  <c r="J1243" i="3"/>
  <c r="M1243" i="3"/>
  <c r="D1243" i="3"/>
  <c r="E1243" i="3"/>
  <c r="H1243" i="3"/>
  <c r="O1243" i="3"/>
  <c r="L1243" i="3"/>
  <c r="F1250" i="3"/>
  <c r="K1250" i="3"/>
  <c r="O1250" i="3"/>
  <c r="I1250" i="3"/>
  <c r="G1250" i="3"/>
  <c r="J1250" i="3"/>
  <c r="M1250" i="3"/>
  <c r="H1250" i="3"/>
  <c r="N1250" i="3"/>
  <c r="E1250" i="3"/>
  <c r="L1250" i="3"/>
  <c r="D1250" i="3"/>
  <c r="I1248" i="3"/>
  <c r="H1248" i="3"/>
  <c r="N1248" i="3"/>
  <c r="M1248" i="3"/>
  <c r="O1248" i="3"/>
  <c r="E1248" i="3"/>
  <c r="J1248" i="3"/>
  <c r="L1248" i="3"/>
  <c r="F1248" i="3"/>
  <c r="K1248" i="3"/>
  <c r="D1248" i="3"/>
  <c r="G1248" i="3"/>
  <c r="O2517" i="3"/>
  <c r="E2517" i="3"/>
  <c r="G2242" i="3"/>
  <c r="M2242" i="3"/>
  <c r="F2242" i="3"/>
  <c r="G2517" i="3"/>
  <c r="H2517" i="3"/>
  <c r="J2240" i="3"/>
  <c r="O2240" i="3"/>
  <c r="E2242" i="3"/>
  <c r="K2242" i="3"/>
  <c r="O2238" i="3"/>
  <c r="I2238" i="3"/>
  <c r="M2511" i="3"/>
  <c r="F2237" i="3"/>
  <c r="I2243" i="3"/>
  <c r="D2238" i="3"/>
  <c r="H2238" i="3"/>
  <c r="I2511" i="3"/>
  <c r="E2237" i="3"/>
  <c r="F2243" i="3"/>
  <c r="B1330" i="3"/>
  <c r="L2512" i="3"/>
  <c r="J2512" i="3"/>
  <c r="H2237" i="3"/>
  <c r="I2237" i="3"/>
  <c r="BV524" i="3"/>
  <c r="Q764" i="3"/>
  <c r="BW756" i="3" s="1"/>
  <c r="K2512" i="3"/>
  <c r="I2517" i="3"/>
  <c r="F2517" i="3"/>
  <c r="M2517" i="3"/>
  <c r="M2241" i="3"/>
  <c r="I2241" i="3"/>
  <c r="K2241" i="3"/>
  <c r="H2236" i="3"/>
  <c r="I2236" i="3"/>
  <c r="E2236" i="3"/>
  <c r="D2237" i="3"/>
  <c r="N2237" i="3"/>
  <c r="K2243" i="3"/>
  <c r="J2243" i="3"/>
  <c r="P1102" i="3"/>
  <c r="P2210" i="3"/>
  <c r="O2512" i="3"/>
  <c r="D2517" i="3"/>
  <c r="K2517" i="3"/>
  <c r="J2241" i="3"/>
  <c r="D2241" i="3"/>
  <c r="N2236" i="3"/>
  <c r="D2236" i="3"/>
  <c r="L2237" i="3"/>
  <c r="G2237" i="3"/>
  <c r="G2243" i="3"/>
  <c r="H2243" i="3"/>
  <c r="N2512" i="3"/>
  <c r="D2512" i="3"/>
  <c r="I2512" i="3"/>
  <c r="G2516" i="3"/>
  <c r="N2516" i="3"/>
  <c r="K2516" i="3"/>
  <c r="H2511" i="3"/>
  <c r="O2511" i="3"/>
  <c r="J2511" i="3"/>
  <c r="I2233" i="3"/>
  <c r="L2233" i="3"/>
  <c r="F2233" i="3"/>
  <c r="H2235" i="3"/>
  <c r="K2235" i="3"/>
  <c r="I2235" i="3"/>
  <c r="J2237" i="3"/>
  <c r="M2237" i="3"/>
  <c r="E2243" i="3"/>
  <c r="D2243" i="3"/>
  <c r="E2516" i="3"/>
  <c r="M2516" i="3"/>
  <c r="F2516" i="3"/>
  <c r="D2511" i="3"/>
  <c r="G2511" i="3"/>
  <c r="K2511" i="3"/>
  <c r="N2233" i="3"/>
  <c r="D2233" i="3"/>
  <c r="E2233" i="3"/>
  <c r="L2235" i="3"/>
  <c r="E2235" i="3"/>
  <c r="J2235" i="3"/>
  <c r="CB1494" i="3"/>
  <c r="F2512" i="3"/>
  <c r="H2512" i="3"/>
  <c r="L2516" i="3"/>
  <c r="D2516" i="3"/>
  <c r="F2511" i="3"/>
  <c r="E2511" i="3"/>
  <c r="G2233" i="3"/>
  <c r="M2233" i="3"/>
  <c r="D2235" i="3"/>
  <c r="N2235" i="3"/>
  <c r="Q1679" i="3"/>
  <c r="Q1680" i="3"/>
  <c r="Q1683" i="3"/>
  <c r="AS1680" i="3" s="1"/>
  <c r="AV1679" i="3" s="1"/>
  <c r="Q1682" i="3"/>
  <c r="AM1680" i="3" s="1"/>
  <c r="AP1679" i="3" s="1"/>
  <c r="Q1687" i="3"/>
  <c r="BQ1680" i="3" s="1"/>
  <c r="BT1679" i="3" s="1"/>
  <c r="Q1685" i="3"/>
  <c r="BE1680" i="3" s="1"/>
  <c r="Q1689" i="3"/>
  <c r="CC1680" i="3" s="1"/>
  <c r="CF1679" i="3" s="1"/>
  <c r="Q1688" i="3"/>
  <c r="BW1680" i="3" s="1"/>
  <c r="BZ1679" i="3" s="1"/>
  <c r="Q1684" i="3"/>
  <c r="AY1680" i="3" s="1"/>
  <c r="BB1679" i="3" s="1"/>
  <c r="Q1681" i="3"/>
  <c r="AG1680" i="3" s="1"/>
  <c r="AJ1679" i="3" s="1"/>
  <c r="Q1686" i="3"/>
  <c r="BK1680" i="3" s="1"/>
  <c r="BN1679" i="3" s="1"/>
  <c r="P2025" i="3" a="1"/>
  <c r="Q760" i="3"/>
  <c r="AY756" i="3" s="1"/>
  <c r="BV1494" i="3"/>
  <c r="P2217" i="3"/>
  <c r="BO1494" i="3"/>
  <c r="Q765" i="3"/>
  <c r="CC756" i="3" s="1"/>
  <c r="CF755" i="3" s="1"/>
  <c r="CH755" i="3" s="1"/>
  <c r="Q2011" i="3"/>
  <c r="BW2003" i="3" s="1"/>
  <c r="BZ2002" i="3" s="1"/>
  <c r="CB2002" i="3" s="1"/>
  <c r="AC1495" i="3"/>
  <c r="P2718" i="3" a="1"/>
  <c r="P2721" i="3" s="1"/>
  <c r="AD1494" i="3"/>
  <c r="AF1494" i="3" s="1"/>
  <c r="D2510" i="3"/>
  <c r="N2510" i="3"/>
  <c r="I2510" i="3"/>
  <c r="O2514" i="3"/>
  <c r="D2514" i="3"/>
  <c r="E2514" i="3"/>
  <c r="P2213" i="3"/>
  <c r="F2510" i="3"/>
  <c r="L2510" i="3"/>
  <c r="J2510" i="3"/>
  <c r="F2514" i="3"/>
  <c r="N2514" i="3"/>
  <c r="G2514" i="3"/>
  <c r="BM1495" i="3"/>
  <c r="G2510" i="3"/>
  <c r="H2510" i="3"/>
  <c r="H2514" i="3"/>
  <c r="I2514" i="3"/>
  <c r="B189" i="3"/>
  <c r="C1476" i="3"/>
  <c r="E1476" i="3" s="1"/>
  <c r="L2515" i="3"/>
  <c r="F2515" i="3"/>
  <c r="I2515" i="3"/>
  <c r="M2515" i="3"/>
  <c r="G2515" i="3"/>
  <c r="N2515" i="3"/>
  <c r="D2515" i="3"/>
  <c r="J2515" i="3"/>
  <c r="E2515" i="3"/>
  <c r="O2515" i="3"/>
  <c r="K2515" i="3"/>
  <c r="H2515" i="3"/>
  <c r="K2518" i="3"/>
  <c r="H2518" i="3"/>
  <c r="E2518" i="3"/>
  <c r="G2518" i="3"/>
  <c r="M2518" i="3"/>
  <c r="L2518" i="3"/>
  <c r="J2518" i="3"/>
  <c r="D2518" i="3"/>
  <c r="O2518" i="3"/>
  <c r="I2518" i="3"/>
  <c r="F2518" i="3"/>
  <c r="N2518" i="3"/>
  <c r="D2519" i="3"/>
  <c r="K2519" i="3"/>
  <c r="J2519" i="3"/>
  <c r="F2519" i="3"/>
  <c r="H2519" i="3"/>
  <c r="M2519" i="3"/>
  <c r="G2519" i="3"/>
  <c r="L2519" i="3"/>
  <c r="O2519" i="3"/>
  <c r="N2519" i="3"/>
  <c r="I2519" i="3"/>
  <c r="E2519" i="3"/>
  <c r="O2513" i="3"/>
  <c r="E2513" i="3"/>
  <c r="L2513" i="3"/>
  <c r="N2513" i="3"/>
  <c r="G2513" i="3"/>
  <c r="K2513" i="3"/>
  <c r="F2513" i="3"/>
  <c r="J2513" i="3"/>
  <c r="H2513" i="3"/>
  <c r="D2513" i="3"/>
  <c r="M2513" i="3"/>
  <c r="I2513" i="3"/>
  <c r="K1471" i="3"/>
  <c r="O1471" i="3"/>
  <c r="D1471" i="3"/>
  <c r="L1471" i="3"/>
  <c r="I1471" i="3"/>
  <c r="F1471" i="3"/>
  <c r="J1471" i="3"/>
  <c r="E1471" i="3"/>
  <c r="M1471" i="3"/>
  <c r="N1471" i="3"/>
  <c r="G1471" i="3"/>
  <c r="H1471" i="3"/>
  <c r="P2218" i="3"/>
  <c r="P2212" i="3"/>
  <c r="P2219" i="3"/>
  <c r="H1476" i="3"/>
  <c r="Q758" i="3"/>
  <c r="AM756" i="3" s="1"/>
  <c r="P2220" i="3"/>
  <c r="C1474" i="3"/>
  <c r="C1472" i="3"/>
  <c r="C1477" i="3"/>
  <c r="C1478" i="3"/>
  <c r="C1480" i="3"/>
  <c r="C1481" i="3"/>
  <c r="C1475" i="3"/>
  <c r="C1479" i="3"/>
  <c r="C1473" i="3"/>
  <c r="AU1495" i="3"/>
  <c r="AV1494" i="3" s="1"/>
  <c r="AO1495" i="3"/>
  <c r="AP1494" i="3" s="1"/>
  <c r="P2216" i="3"/>
  <c r="P2215" i="3"/>
  <c r="P2214" i="3"/>
  <c r="Q759" i="3"/>
  <c r="AS756" i="3" s="1"/>
  <c r="Q755" i="3"/>
  <c r="U756" i="3" s="1"/>
  <c r="Q761" i="3"/>
  <c r="BE756" i="3" s="1"/>
  <c r="BG1495" i="3"/>
  <c r="BH1494" i="3" s="1"/>
  <c r="BS1495" i="3"/>
  <c r="U1495" i="3"/>
  <c r="X1494" i="3" s="1"/>
  <c r="Z1494" i="3" s="1"/>
  <c r="Q2009" i="3"/>
  <c r="BK2003" i="3" s="1"/>
  <c r="Q763" i="3"/>
  <c r="BQ756" i="3" s="1"/>
  <c r="Q762" i="3"/>
  <c r="BK756" i="3" s="1"/>
  <c r="BN755" i="3" s="1"/>
  <c r="BO755" i="3" s="1"/>
  <c r="Q756" i="3"/>
  <c r="AA756" i="3" s="1"/>
  <c r="BY1495" i="3"/>
  <c r="R1494" i="3"/>
  <c r="S1494" i="3" s="1"/>
  <c r="CE1495" i="3"/>
  <c r="Q2003" i="3"/>
  <c r="AA2003" i="3" s="1"/>
  <c r="AD2002" i="3" s="1"/>
  <c r="Q757" i="3"/>
  <c r="AG756" i="3" s="1"/>
  <c r="AI1495" i="3"/>
  <c r="AJ1494" i="3" s="1"/>
  <c r="BA1495" i="3"/>
  <c r="BB1494" i="3" s="1"/>
  <c r="BC1494" i="3" s="1"/>
  <c r="Q2005" i="3"/>
  <c r="AM2003" i="3" s="1"/>
  <c r="AP2002" i="3" s="1"/>
  <c r="AR2002" i="3" s="1"/>
  <c r="Q2006" i="3"/>
  <c r="AS2003" i="3" s="1"/>
  <c r="AU1541" i="3"/>
  <c r="AV1540" i="3" s="1"/>
  <c r="AX1540" i="3" s="1"/>
  <c r="Q2010" i="3"/>
  <c r="BQ2003" i="3" s="1"/>
  <c r="Q2002" i="3"/>
  <c r="W1495" i="3"/>
  <c r="Q2004" i="3"/>
  <c r="AG2003" i="3" s="1"/>
  <c r="AJ2002" i="3" s="1"/>
  <c r="AL2002" i="3" s="1"/>
  <c r="Q2008" i="3"/>
  <c r="BE2003" i="3" s="1"/>
  <c r="Q2007" i="3"/>
  <c r="AY2003" i="3" s="1"/>
  <c r="Q2012" i="3"/>
  <c r="CC2003" i="3" s="1"/>
  <c r="CF2002" i="3" s="1"/>
  <c r="CH2002" i="3" s="1"/>
  <c r="K1892" i="3"/>
  <c r="P1425" i="3"/>
  <c r="Q2488" i="3"/>
  <c r="Q2491" i="3"/>
  <c r="AS2488" i="3" s="1"/>
  <c r="Q2497" i="3"/>
  <c r="CC2488" i="3" s="1"/>
  <c r="CF2487" i="3" s="1"/>
  <c r="Q2493" i="3"/>
  <c r="BE2488" i="3" s="1"/>
  <c r="BH2487" i="3" s="1"/>
  <c r="Q2495" i="3"/>
  <c r="BQ2488" i="3" s="1"/>
  <c r="Q2492" i="3"/>
  <c r="AY2488" i="3" s="1"/>
  <c r="Q2490" i="3"/>
  <c r="AM2488" i="3" s="1"/>
  <c r="Q2496" i="3"/>
  <c r="BW2488" i="3" s="1"/>
  <c r="Q2489" i="3"/>
  <c r="AG2488" i="3" s="1"/>
  <c r="AJ2487" i="3" s="1"/>
  <c r="Q2487" i="3"/>
  <c r="Q2494" i="3"/>
  <c r="BK2488" i="3" s="1"/>
  <c r="P1430" i="3"/>
  <c r="P1433" i="3"/>
  <c r="P925" i="3"/>
  <c r="P927" i="3"/>
  <c r="P924" i="3"/>
  <c r="P919" i="3"/>
  <c r="P926" i="3"/>
  <c r="P920" i="3"/>
  <c r="P918" i="3"/>
  <c r="P923" i="3"/>
  <c r="P922" i="3"/>
  <c r="P921" i="3"/>
  <c r="P917" i="3"/>
  <c r="P1429" i="3"/>
  <c r="P1426" i="3"/>
  <c r="P1431" i="3"/>
  <c r="P1428" i="3"/>
  <c r="P1434" i="3"/>
  <c r="I1887" i="3"/>
  <c r="P1427" i="3"/>
  <c r="P1432" i="3"/>
  <c r="Q2680" i="3"/>
  <c r="BQ2673" i="3" s="1"/>
  <c r="BT2672" i="3" s="1"/>
  <c r="Q2677" i="3"/>
  <c r="AY2673" i="3" s="1"/>
  <c r="BB2672" i="3" s="1"/>
  <c r="Q2676" i="3"/>
  <c r="AS2673" i="3" s="1"/>
  <c r="AV2672" i="3" s="1"/>
  <c r="Q2673" i="3"/>
  <c r="Q2681" i="3"/>
  <c r="BW2673" i="3" s="1"/>
  <c r="BZ2672" i="3" s="1"/>
  <c r="Q2672" i="3"/>
  <c r="Q2679" i="3"/>
  <c r="BK2673" i="3" s="1"/>
  <c r="BN2672" i="3" s="1"/>
  <c r="Q2678" i="3"/>
  <c r="BE2673" i="3" s="1"/>
  <c r="BH2672" i="3" s="1"/>
  <c r="Q2675" i="3"/>
  <c r="AM2673" i="3" s="1"/>
  <c r="AP2672" i="3" s="1"/>
  <c r="Q2674" i="3"/>
  <c r="AG2673" i="3" s="1"/>
  <c r="AJ2672" i="3" s="1"/>
  <c r="Q2682" i="3"/>
  <c r="CC2673" i="3" s="1"/>
  <c r="CF2672" i="3" s="1"/>
  <c r="P139" i="3"/>
  <c r="P71" i="3"/>
  <c r="P64" i="3"/>
  <c r="E1892" i="3"/>
  <c r="P73" i="3"/>
  <c r="CE549" i="3"/>
  <c r="AU549" i="3"/>
  <c r="BS549" i="3"/>
  <c r="BG549" i="3"/>
  <c r="BY549" i="3"/>
  <c r="R548" i="3"/>
  <c r="U549" i="3"/>
  <c r="AI549" i="3"/>
  <c r="AJ548" i="3" s="1"/>
  <c r="AO549" i="3"/>
  <c r="AP548" i="3" s="1"/>
  <c r="BA549" i="3"/>
  <c r="BM549" i="3"/>
  <c r="AC549" i="3"/>
  <c r="CA548" i="3"/>
  <c r="CB548" i="3"/>
  <c r="AW548" i="3"/>
  <c r="AX548" i="3"/>
  <c r="P72" i="3"/>
  <c r="P65" i="3"/>
  <c r="P63" i="3"/>
  <c r="P2286" i="3"/>
  <c r="P2287" i="3"/>
  <c r="P2282" i="3"/>
  <c r="P2279" i="3"/>
  <c r="P2281" i="3"/>
  <c r="P2289" i="3"/>
  <c r="P2280" i="3"/>
  <c r="P2288" i="3"/>
  <c r="P2283" i="3"/>
  <c r="P2284" i="3"/>
  <c r="P2285" i="3"/>
  <c r="W549" i="3"/>
  <c r="AA549" i="3"/>
  <c r="G1893" i="3"/>
  <c r="F601" i="3"/>
  <c r="P66" i="3"/>
  <c r="P67" i="3"/>
  <c r="P141" i="3"/>
  <c r="P1032" i="3"/>
  <c r="P1038" i="3"/>
  <c r="P1033" i="3"/>
  <c r="P1039" i="3"/>
  <c r="P1041" i="3"/>
  <c r="P1040" i="3"/>
  <c r="P1042" i="3"/>
  <c r="P1034" i="3"/>
  <c r="P1035" i="3"/>
  <c r="P1036" i="3"/>
  <c r="P1037" i="3"/>
  <c r="BP548" i="3"/>
  <c r="BO548" i="3"/>
  <c r="BI548" i="3"/>
  <c r="BJ548" i="3"/>
  <c r="P69" i="3"/>
  <c r="P68" i="3"/>
  <c r="BV548" i="3"/>
  <c r="BU548" i="3"/>
  <c r="CG548" i="3"/>
  <c r="CH548" i="3"/>
  <c r="BD548" i="3"/>
  <c r="BC548" i="3"/>
  <c r="P133" i="3"/>
  <c r="P140" i="3"/>
  <c r="P138" i="3"/>
  <c r="P135" i="3"/>
  <c r="P134" i="3"/>
  <c r="P132" i="3"/>
  <c r="P1748" i="3" a="1"/>
  <c r="P137" i="3"/>
  <c r="P142" i="3"/>
  <c r="L601" i="3"/>
  <c r="F1892" i="3"/>
  <c r="O1892" i="3"/>
  <c r="H1895" i="3"/>
  <c r="BI825" i="3"/>
  <c r="CG1540" i="3"/>
  <c r="J1892" i="3"/>
  <c r="M1892" i="3"/>
  <c r="AA1541" i="3"/>
  <c r="AD1540" i="3" s="1"/>
  <c r="AF1540" i="3" s="1"/>
  <c r="AK825" i="3"/>
  <c r="AI1541" i="3"/>
  <c r="CB1540" i="3"/>
  <c r="AO1541" i="3"/>
  <c r="AP1540" i="3" s="1"/>
  <c r="AQ1540" i="3" s="1"/>
  <c r="P1108" i="3"/>
  <c r="P1109" i="3"/>
  <c r="L1887" i="3"/>
  <c r="J1893" i="3"/>
  <c r="H601" i="3"/>
  <c r="N601" i="3"/>
  <c r="CE1541" i="3"/>
  <c r="P1111" i="3"/>
  <c r="P1112" i="3"/>
  <c r="P1106" i="3"/>
  <c r="P1107" i="3"/>
  <c r="O1887" i="3"/>
  <c r="G1887" i="3"/>
  <c r="M595" i="3"/>
  <c r="I1893" i="3"/>
  <c r="O1893" i="3"/>
  <c r="E601" i="3"/>
  <c r="BS1541" i="3"/>
  <c r="P1105" i="3"/>
  <c r="P1110" i="3"/>
  <c r="P1103" i="3"/>
  <c r="F1887" i="3"/>
  <c r="J1887" i="3"/>
  <c r="D1893" i="3"/>
  <c r="K1893" i="3"/>
  <c r="O601" i="3"/>
  <c r="D595" i="3"/>
  <c r="AW825" i="3"/>
  <c r="E595" i="3"/>
  <c r="P40" i="3" a="1"/>
  <c r="P43" i="3" s="1"/>
  <c r="BP778" i="3"/>
  <c r="N1890" i="3"/>
  <c r="BA1541" i="3"/>
  <c r="BB1540" i="3" s="1"/>
  <c r="BC1540" i="3" s="1"/>
  <c r="AJ1540" i="3"/>
  <c r="AK1540" i="3" s="1"/>
  <c r="CE1218" i="3"/>
  <c r="AC1541" i="3"/>
  <c r="BG1541" i="3"/>
  <c r="BH1540" i="3" s="1"/>
  <c r="BJ1540" i="3" s="1"/>
  <c r="P1660" i="3"/>
  <c r="F1888" i="3"/>
  <c r="K1891" i="3"/>
  <c r="P1664" i="3"/>
  <c r="P1665" i="3"/>
  <c r="P1656" i="3"/>
  <c r="P1662" i="3"/>
  <c r="O1888" i="3"/>
  <c r="H1891" i="3"/>
  <c r="F1890" i="3"/>
  <c r="P1661" i="3"/>
  <c r="P1657" i="3"/>
  <c r="P1658" i="3"/>
  <c r="P1659" i="3"/>
  <c r="P1666" i="3"/>
  <c r="P1402" i="3"/>
  <c r="P1403" i="3"/>
  <c r="P1408" i="3"/>
  <c r="P1407" i="3"/>
  <c r="P1405" i="3"/>
  <c r="P1411" i="3"/>
  <c r="P1412" i="3"/>
  <c r="P1404" i="3"/>
  <c r="P1409" i="3"/>
  <c r="P1406" i="3"/>
  <c r="P1410" i="3"/>
  <c r="E1895" i="3"/>
  <c r="P2187" i="3" a="1"/>
  <c r="L1890" i="3"/>
  <c r="I1888" i="3"/>
  <c r="G1891" i="3"/>
  <c r="D1895" i="3"/>
  <c r="N1887" i="3"/>
  <c r="M1887" i="3"/>
  <c r="E1887" i="3"/>
  <c r="N1893" i="3"/>
  <c r="H1893" i="3"/>
  <c r="E1893" i="3"/>
  <c r="I1892" i="3"/>
  <c r="N1892" i="3"/>
  <c r="G1892" i="3"/>
  <c r="M601" i="3"/>
  <c r="G601" i="3"/>
  <c r="Z825" i="3"/>
  <c r="D1887" i="3"/>
  <c r="H1887" i="3"/>
  <c r="F1893" i="3"/>
  <c r="L1893" i="3"/>
  <c r="D1892" i="3"/>
  <c r="L1892" i="3"/>
  <c r="K601" i="3"/>
  <c r="I601" i="3"/>
  <c r="J601" i="3"/>
  <c r="P1979" i="3" a="1"/>
  <c r="P2144" i="3"/>
  <c r="P2141" i="3"/>
  <c r="P2151" i="3"/>
  <c r="P2149" i="3"/>
  <c r="P2146" i="3"/>
  <c r="P2147" i="3"/>
  <c r="P2148" i="3"/>
  <c r="P2145" i="3"/>
  <c r="P2150" i="3"/>
  <c r="P2143" i="3"/>
  <c r="P2142" i="3"/>
  <c r="R1540" i="3"/>
  <c r="T1540" i="3" s="1"/>
  <c r="BM1541" i="3"/>
  <c r="BN1540" i="3" s="1"/>
  <c r="BP1540" i="3" s="1"/>
  <c r="D1888" i="3"/>
  <c r="H1888" i="3"/>
  <c r="L1888" i="3"/>
  <c r="Z524" i="3"/>
  <c r="I1891" i="3"/>
  <c r="O1891" i="3"/>
  <c r="M1891" i="3"/>
  <c r="E1890" i="3"/>
  <c r="D1890" i="3"/>
  <c r="G1890" i="3"/>
  <c r="BV1540" i="3"/>
  <c r="G1888" i="3"/>
  <c r="K1888" i="3"/>
  <c r="E1888" i="3"/>
  <c r="E1891" i="3"/>
  <c r="J1891" i="3"/>
  <c r="D1891" i="3"/>
  <c r="K1890" i="3"/>
  <c r="O1890" i="3"/>
  <c r="I1890" i="3"/>
  <c r="BY1541" i="3"/>
  <c r="M1888" i="3"/>
  <c r="J1888" i="3"/>
  <c r="L1891" i="3"/>
  <c r="F1891" i="3"/>
  <c r="J1890" i="3"/>
  <c r="H1890" i="3"/>
  <c r="P225" i="3"/>
  <c r="AD825" i="3"/>
  <c r="AE825" i="3" s="1"/>
  <c r="AL778" i="3"/>
  <c r="AW778" i="3"/>
  <c r="P232" i="3"/>
  <c r="P230" i="3"/>
  <c r="BC778" i="3"/>
  <c r="BV825" i="3"/>
  <c r="BI1217" i="3"/>
  <c r="J595" i="3"/>
  <c r="G595" i="3"/>
  <c r="L595" i="3"/>
  <c r="F1895" i="3"/>
  <c r="G1895" i="3"/>
  <c r="O1895" i="3"/>
  <c r="F595" i="3"/>
  <c r="K595" i="3"/>
  <c r="O595" i="3"/>
  <c r="K1895" i="3"/>
  <c r="L1895" i="3"/>
  <c r="J1895" i="3"/>
  <c r="CB778" i="3"/>
  <c r="CA825" i="3"/>
  <c r="N595" i="3"/>
  <c r="H595" i="3"/>
  <c r="M1895" i="3"/>
  <c r="I1895" i="3"/>
  <c r="P227" i="3"/>
  <c r="AR778" i="3"/>
  <c r="AQ825" i="3"/>
  <c r="P231" i="3"/>
  <c r="P234" i="3"/>
  <c r="Q2174" i="3"/>
  <c r="CC2165" i="3" s="1"/>
  <c r="CF2164" i="3" s="1"/>
  <c r="Q2168" i="3"/>
  <c r="AS2165" i="3" s="1"/>
  <c r="AV2164" i="3" s="1"/>
  <c r="Q2165" i="3"/>
  <c r="Q2167" i="3"/>
  <c r="AM2165" i="3" s="1"/>
  <c r="AP2164" i="3" s="1"/>
  <c r="Q2171" i="3"/>
  <c r="BK2165" i="3" s="1"/>
  <c r="BN2164" i="3" s="1"/>
  <c r="Q2164" i="3"/>
  <c r="Q2170" i="3"/>
  <c r="BE2165" i="3" s="1"/>
  <c r="BH2164" i="3" s="1"/>
  <c r="Q2166" i="3"/>
  <c r="AG2165" i="3" s="1"/>
  <c r="AJ2164" i="3" s="1"/>
  <c r="Q2173" i="3"/>
  <c r="BW2165" i="3" s="1"/>
  <c r="BZ2164" i="3" s="1"/>
  <c r="Q2169" i="3"/>
  <c r="AY2165" i="3" s="1"/>
  <c r="BB2164" i="3" s="1"/>
  <c r="Q2172" i="3"/>
  <c r="BQ2165" i="3" s="1"/>
  <c r="BT2164" i="3" s="1"/>
  <c r="P1356" i="3" a="1"/>
  <c r="BV778" i="3"/>
  <c r="BP825" i="3"/>
  <c r="BU1217" i="3"/>
  <c r="P226" i="3"/>
  <c r="P228" i="3"/>
  <c r="P508" i="3"/>
  <c r="AI1218" i="3"/>
  <c r="AJ1217" i="3" s="1"/>
  <c r="AL1217" i="3" s="1"/>
  <c r="B106" i="3"/>
  <c r="B107" i="3" s="1"/>
  <c r="C86" i="3" s="1"/>
  <c r="P849" i="3"/>
  <c r="P858" i="3"/>
  <c r="P848" i="3"/>
  <c r="P855" i="3"/>
  <c r="P851" i="3"/>
  <c r="P852" i="3"/>
  <c r="P857" i="3"/>
  <c r="P853" i="3"/>
  <c r="P850" i="3"/>
  <c r="P854" i="3"/>
  <c r="P856" i="3"/>
  <c r="CA2118" i="3"/>
  <c r="CB2118" i="3"/>
  <c r="AR2118" i="3"/>
  <c r="AQ2118" i="3"/>
  <c r="BC2118" i="3"/>
  <c r="BD2118" i="3"/>
  <c r="BO2118" i="3"/>
  <c r="BP2118" i="3"/>
  <c r="BU2118" i="3"/>
  <c r="BV2118" i="3"/>
  <c r="BM2119" i="3"/>
  <c r="U2119" i="3"/>
  <c r="X2118" i="3" s="1"/>
  <c r="BS2119" i="3"/>
  <c r="AC2119" i="3"/>
  <c r="CE2119" i="3"/>
  <c r="BA2119" i="3"/>
  <c r="BG2119" i="3"/>
  <c r="AU2119" i="3"/>
  <c r="AI2119" i="3"/>
  <c r="AO2119" i="3"/>
  <c r="R2118" i="3"/>
  <c r="BY2119" i="3"/>
  <c r="W2119" i="3"/>
  <c r="AA2119" i="3"/>
  <c r="AD2118" i="3" s="1"/>
  <c r="CH2118" i="3"/>
  <c r="CG2118" i="3"/>
  <c r="AK2118" i="3"/>
  <c r="AL2118" i="3"/>
  <c r="AX2118" i="3"/>
  <c r="AW2118" i="3"/>
  <c r="BI2118" i="3"/>
  <c r="BJ2118" i="3"/>
  <c r="P509" i="3"/>
  <c r="P229" i="3"/>
  <c r="P224" i="3"/>
  <c r="P503" i="3"/>
  <c r="P506" i="3"/>
  <c r="P504" i="3"/>
  <c r="P507" i="3"/>
  <c r="P505" i="3"/>
  <c r="P510" i="3"/>
  <c r="P640" i="3" a="1"/>
  <c r="P511" i="3"/>
  <c r="P502" i="3"/>
  <c r="Q1176" i="3"/>
  <c r="AY1172" i="3" s="1"/>
  <c r="BB1171" i="3" s="1"/>
  <c r="BC1171" i="3" s="1"/>
  <c r="M599" i="3"/>
  <c r="F599" i="3"/>
  <c r="D599" i="3"/>
  <c r="I599" i="3"/>
  <c r="G599" i="3"/>
  <c r="J599" i="3"/>
  <c r="L599" i="3"/>
  <c r="O599" i="3"/>
  <c r="N599" i="3"/>
  <c r="E599" i="3"/>
  <c r="K599" i="3"/>
  <c r="H599" i="3"/>
  <c r="F1896" i="3"/>
  <c r="M1896" i="3"/>
  <c r="O1896" i="3"/>
  <c r="J1896" i="3"/>
  <c r="G1896" i="3"/>
  <c r="H1896" i="3"/>
  <c r="D1896" i="3"/>
  <c r="I1896" i="3"/>
  <c r="K1896" i="3"/>
  <c r="E1896" i="3"/>
  <c r="L1896" i="3"/>
  <c r="N1896" i="3"/>
  <c r="I594" i="3"/>
  <c r="M594" i="3"/>
  <c r="O594" i="3"/>
  <c r="J594" i="3"/>
  <c r="H594" i="3"/>
  <c r="N594" i="3"/>
  <c r="K594" i="3"/>
  <c r="D594" i="3"/>
  <c r="E594" i="3"/>
  <c r="F594" i="3"/>
  <c r="L594" i="3"/>
  <c r="G594" i="3"/>
  <c r="AE524" i="3"/>
  <c r="AF524" i="3"/>
  <c r="M600" i="3"/>
  <c r="D600" i="3"/>
  <c r="E600" i="3"/>
  <c r="F600" i="3"/>
  <c r="H600" i="3"/>
  <c r="O600" i="3"/>
  <c r="K600" i="3"/>
  <c r="I600" i="3"/>
  <c r="J600" i="3"/>
  <c r="L600" i="3"/>
  <c r="N600" i="3"/>
  <c r="G600" i="3"/>
  <c r="K1897" i="3"/>
  <c r="J1897" i="3"/>
  <c r="O1897" i="3"/>
  <c r="M1897" i="3"/>
  <c r="L1897" i="3"/>
  <c r="I1897" i="3"/>
  <c r="N1897" i="3"/>
  <c r="E1897" i="3"/>
  <c r="F1897" i="3"/>
  <c r="G1897" i="3"/>
  <c r="H1897" i="3"/>
  <c r="D1897" i="3"/>
  <c r="G598" i="3"/>
  <c r="K598" i="3"/>
  <c r="H598" i="3"/>
  <c r="I598" i="3"/>
  <c r="E598" i="3"/>
  <c r="L598" i="3"/>
  <c r="N598" i="3"/>
  <c r="O598" i="3"/>
  <c r="J598" i="3"/>
  <c r="D598" i="3"/>
  <c r="F598" i="3"/>
  <c r="M598" i="3"/>
  <c r="N603" i="3"/>
  <c r="L603" i="3"/>
  <c r="G603" i="3"/>
  <c r="M603" i="3"/>
  <c r="I603" i="3"/>
  <c r="J603" i="3"/>
  <c r="O603" i="3"/>
  <c r="F603" i="3"/>
  <c r="K603" i="3"/>
  <c r="D603" i="3"/>
  <c r="H603" i="3"/>
  <c r="E603" i="3"/>
  <c r="L1889" i="3"/>
  <c r="K1889" i="3"/>
  <c r="G1889" i="3"/>
  <c r="H1889" i="3"/>
  <c r="F1889" i="3"/>
  <c r="D1889" i="3"/>
  <c r="I1889" i="3"/>
  <c r="N1889" i="3"/>
  <c r="J1889" i="3"/>
  <c r="M1889" i="3"/>
  <c r="E1889" i="3"/>
  <c r="O1889" i="3"/>
  <c r="K604" i="3"/>
  <c r="L604" i="3"/>
  <c r="O604" i="3"/>
  <c r="D604" i="3"/>
  <c r="H604" i="3"/>
  <c r="F604" i="3"/>
  <c r="J604" i="3"/>
  <c r="G604" i="3"/>
  <c r="M604" i="3"/>
  <c r="N604" i="3"/>
  <c r="I604" i="3"/>
  <c r="E604" i="3"/>
  <c r="L596" i="3"/>
  <c r="E596" i="3"/>
  <c r="F596" i="3"/>
  <c r="H596" i="3"/>
  <c r="I596" i="3"/>
  <c r="N596" i="3"/>
  <c r="J596" i="3"/>
  <c r="K596" i="3"/>
  <c r="G596" i="3"/>
  <c r="M596" i="3"/>
  <c r="O596" i="3"/>
  <c r="D596" i="3"/>
  <c r="I597" i="3"/>
  <c r="L597" i="3"/>
  <c r="E597" i="3"/>
  <c r="M597" i="3"/>
  <c r="H597" i="3"/>
  <c r="G597" i="3"/>
  <c r="K597" i="3"/>
  <c r="J597" i="3"/>
  <c r="F597" i="3"/>
  <c r="O597" i="3"/>
  <c r="D597" i="3"/>
  <c r="N597" i="3"/>
  <c r="B1450" i="3"/>
  <c r="B1451" i="3" s="1"/>
  <c r="P270" i="3" a="1"/>
  <c r="F602" i="3"/>
  <c r="N602" i="3"/>
  <c r="E602" i="3"/>
  <c r="G602" i="3"/>
  <c r="O602" i="3"/>
  <c r="M602" i="3"/>
  <c r="H602" i="3"/>
  <c r="I602" i="3"/>
  <c r="L602" i="3"/>
  <c r="K602" i="3"/>
  <c r="D602" i="3"/>
  <c r="J602" i="3"/>
  <c r="CH1217" i="3"/>
  <c r="BD1217" i="3"/>
  <c r="Q1171" i="3"/>
  <c r="U1172" i="3" s="1"/>
  <c r="X1171" i="3" s="1"/>
  <c r="Y1171" i="3" s="1"/>
  <c r="AQ1056" i="3"/>
  <c r="AR1056" i="3"/>
  <c r="AX1056" i="3"/>
  <c r="AW1056" i="3"/>
  <c r="Y1056" i="3"/>
  <c r="Z1056" i="3"/>
  <c r="Q1181" i="3"/>
  <c r="CC1172" i="3" s="1"/>
  <c r="CF1171" i="3" s="1"/>
  <c r="AL1056" i="3"/>
  <c r="AK1056" i="3"/>
  <c r="Q1172" i="3"/>
  <c r="AA1172" i="3" s="1"/>
  <c r="AD1171" i="3" s="1"/>
  <c r="AF1171" i="3" s="1"/>
  <c r="T1056" i="3"/>
  <c r="S1056" i="3"/>
  <c r="AE1056" i="3"/>
  <c r="AF1056" i="3"/>
  <c r="BD825" i="3"/>
  <c r="BC825" i="3"/>
  <c r="W1218" i="3"/>
  <c r="AO1218" i="3"/>
  <c r="AP1217" i="3" s="1"/>
  <c r="AQ1217" i="3" s="1"/>
  <c r="AC1218" i="3"/>
  <c r="Q1178" i="3"/>
  <c r="BK1172" i="3" s="1"/>
  <c r="BN1171" i="3" s="1"/>
  <c r="Q1177" i="3"/>
  <c r="BE1172" i="3" s="1"/>
  <c r="BH1171" i="3" s="1"/>
  <c r="Q1175" i="3"/>
  <c r="AS1172" i="3" s="1"/>
  <c r="AV1171" i="3" s="1"/>
  <c r="Q1180" i="3"/>
  <c r="BW1172" i="3" s="1"/>
  <c r="BZ1171" i="3" s="1"/>
  <c r="Q1173" i="3"/>
  <c r="F876" i="3"/>
  <c r="K876" i="3"/>
  <c r="H876" i="3"/>
  <c r="I876" i="3"/>
  <c r="E876" i="3"/>
  <c r="O876" i="3"/>
  <c r="D876" i="3"/>
  <c r="M876" i="3"/>
  <c r="G876" i="3"/>
  <c r="J876" i="3"/>
  <c r="N876" i="3"/>
  <c r="L876" i="3"/>
  <c r="H880" i="3"/>
  <c r="D880" i="3"/>
  <c r="J880" i="3"/>
  <c r="I880" i="3"/>
  <c r="F880" i="3"/>
  <c r="N880" i="3"/>
  <c r="M880" i="3"/>
  <c r="K880" i="3"/>
  <c r="L880" i="3"/>
  <c r="O880" i="3"/>
  <c r="E880" i="3"/>
  <c r="G880" i="3"/>
  <c r="G881" i="3"/>
  <c r="O881" i="3"/>
  <c r="F881" i="3"/>
  <c r="L881" i="3"/>
  <c r="D881" i="3"/>
  <c r="E881" i="3"/>
  <c r="K881" i="3"/>
  <c r="N881" i="3"/>
  <c r="J881" i="3"/>
  <c r="H881" i="3"/>
  <c r="M881" i="3"/>
  <c r="I881" i="3"/>
  <c r="AI618" i="3"/>
  <c r="AJ617" i="3" s="1"/>
  <c r="R617" i="3"/>
  <c r="BG618" i="3"/>
  <c r="BS618" i="3"/>
  <c r="BM618" i="3"/>
  <c r="BN617" i="3" s="1"/>
  <c r="AO618" i="3"/>
  <c r="AP617" i="3" s="1"/>
  <c r="AU618" i="3"/>
  <c r="AV617" i="3" s="1"/>
  <c r="BA618" i="3"/>
  <c r="BB617" i="3" s="1"/>
  <c r="U618" i="3"/>
  <c r="AC618" i="3"/>
  <c r="CE618" i="3"/>
  <c r="BY618" i="3"/>
  <c r="CH617" i="3"/>
  <c r="CG617" i="3"/>
  <c r="AU1218" i="3"/>
  <c r="AV1217" i="3" s="1"/>
  <c r="AX1217" i="3" s="1"/>
  <c r="BM1218" i="3"/>
  <c r="BN1217" i="3" s="1"/>
  <c r="BO1217" i="3" s="1"/>
  <c r="Q1174" i="3"/>
  <c r="AM1172" i="3" s="1"/>
  <c r="AP1171" i="3" s="1"/>
  <c r="AR1171" i="3" s="1"/>
  <c r="G875" i="3"/>
  <c r="J875" i="3"/>
  <c r="N875" i="3"/>
  <c r="O875" i="3"/>
  <c r="D875" i="3"/>
  <c r="H875" i="3"/>
  <c r="E875" i="3"/>
  <c r="L875" i="3"/>
  <c r="K875" i="3"/>
  <c r="M875" i="3"/>
  <c r="I875" i="3"/>
  <c r="F875" i="3"/>
  <c r="L877" i="3"/>
  <c r="D877" i="3"/>
  <c r="K877" i="3"/>
  <c r="O877" i="3"/>
  <c r="N877" i="3"/>
  <c r="F877" i="3"/>
  <c r="G877" i="3"/>
  <c r="J877" i="3"/>
  <c r="M877" i="3"/>
  <c r="H877" i="3"/>
  <c r="E877" i="3"/>
  <c r="I877" i="3"/>
  <c r="B434" i="3"/>
  <c r="BJ617" i="3"/>
  <c r="BI617" i="3"/>
  <c r="BS1218" i="3"/>
  <c r="BA1218" i="3"/>
  <c r="BG1218" i="3"/>
  <c r="Q1179" i="3"/>
  <c r="BQ1172" i="3" s="1"/>
  <c r="BT1171" i="3" s="1"/>
  <c r="BU1171" i="3" s="1"/>
  <c r="L874" i="3"/>
  <c r="O874" i="3"/>
  <c r="H874" i="3"/>
  <c r="D874" i="3"/>
  <c r="E874" i="3"/>
  <c r="M874" i="3"/>
  <c r="G874" i="3"/>
  <c r="F874" i="3"/>
  <c r="I874" i="3"/>
  <c r="N874" i="3"/>
  <c r="K874" i="3"/>
  <c r="J874" i="3"/>
  <c r="K871" i="3"/>
  <c r="E871" i="3"/>
  <c r="O871" i="3"/>
  <c r="L871" i="3"/>
  <c r="F871" i="3"/>
  <c r="J871" i="3"/>
  <c r="N871" i="3"/>
  <c r="I871" i="3"/>
  <c r="H871" i="3"/>
  <c r="D871" i="3"/>
  <c r="G871" i="3"/>
  <c r="M871" i="3"/>
  <c r="AA618" i="3"/>
  <c r="AD617" i="3" s="1"/>
  <c r="W618" i="3"/>
  <c r="B956" i="3"/>
  <c r="L879" i="3"/>
  <c r="O879" i="3"/>
  <c r="H879" i="3"/>
  <c r="I879" i="3"/>
  <c r="M879" i="3"/>
  <c r="K879" i="3"/>
  <c r="E879" i="3"/>
  <c r="J879" i="3"/>
  <c r="D879" i="3"/>
  <c r="G879" i="3"/>
  <c r="F879" i="3"/>
  <c r="N879" i="3"/>
  <c r="E878" i="3"/>
  <c r="K878" i="3"/>
  <c r="G878" i="3"/>
  <c r="M878" i="3"/>
  <c r="J878" i="3"/>
  <c r="O878" i="3"/>
  <c r="D878" i="3"/>
  <c r="I878" i="3"/>
  <c r="N878" i="3"/>
  <c r="F878" i="3"/>
  <c r="L878" i="3"/>
  <c r="H878" i="3"/>
  <c r="N873" i="3"/>
  <c r="J873" i="3"/>
  <c r="K873" i="3"/>
  <c r="I873" i="3"/>
  <c r="O873" i="3"/>
  <c r="M873" i="3"/>
  <c r="E873" i="3"/>
  <c r="G873" i="3"/>
  <c r="H873" i="3"/>
  <c r="D873" i="3"/>
  <c r="L873" i="3"/>
  <c r="F873" i="3"/>
  <c r="Y1540" i="3"/>
  <c r="Z1540" i="3"/>
  <c r="BV617" i="3"/>
  <c r="BU617" i="3"/>
  <c r="CB617" i="3"/>
  <c r="CA617" i="3"/>
  <c r="Y663" i="3"/>
  <c r="Z663" i="3"/>
  <c r="AF663" i="3"/>
  <c r="AE663" i="3"/>
  <c r="S663" i="3"/>
  <c r="T663" i="3"/>
  <c r="AE478" i="3"/>
  <c r="X1217" i="3"/>
  <c r="Z1217" i="3" s="1"/>
  <c r="R1217" i="3"/>
  <c r="S1217" i="3" s="1"/>
  <c r="BY1218" i="3"/>
  <c r="BZ1217" i="3" s="1"/>
  <c r="CB1217" i="3" s="1"/>
  <c r="CA1841" i="3"/>
  <c r="Z478" i="3"/>
  <c r="U410" i="3"/>
  <c r="X409" i="3" s="1"/>
  <c r="R409" i="3"/>
  <c r="BS410" i="3"/>
  <c r="BY410" i="3"/>
  <c r="BG410" i="3"/>
  <c r="AI410" i="3"/>
  <c r="AU410" i="3"/>
  <c r="AC410" i="3"/>
  <c r="CE410" i="3"/>
  <c r="BM410" i="3"/>
  <c r="AO410" i="3"/>
  <c r="BA410" i="3"/>
  <c r="BP409" i="3"/>
  <c r="BO409" i="3"/>
  <c r="CH409" i="3"/>
  <c r="CG409" i="3"/>
  <c r="BI409" i="3"/>
  <c r="BJ409" i="3"/>
  <c r="BC409" i="3"/>
  <c r="BD409" i="3"/>
  <c r="W1842" i="3"/>
  <c r="AX409" i="3"/>
  <c r="AW409" i="3"/>
  <c r="AK409" i="3"/>
  <c r="AL409" i="3"/>
  <c r="AA410" i="3"/>
  <c r="AD409" i="3" s="1"/>
  <c r="W410" i="3"/>
  <c r="CA409" i="3"/>
  <c r="CB409" i="3"/>
  <c r="BV409" i="3"/>
  <c r="BU409" i="3"/>
  <c r="AR409" i="3"/>
  <c r="AQ409" i="3"/>
  <c r="BI1841" i="3"/>
  <c r="AQ1841" i="3"/>
  <c r="AX1841" i="3"/>
  <c r="T825" i="3"/>
  <c r="BM1842" i="3"/>
  <c r="BN1841" i="3" s="1"/>
  <c r="BG1842" i="3"/>
  <c r="S778" i="3"/>
  <c r="B1964" i="3"/>
  <c r="B1965" i="3" s="1"/>
  <c r="B1966" i="3" s="1"/>
  <c r="AK1841" i="3"/>
  <c r="CH1841" i="3"/>
  <c r="BU1841" i="3"/>
  <c r="Z778" i="3"/>
  <c r="AO1842" i="3"/>
  <c r="CE1842" i="3"/>
  <c r="AI1842" i="3"/>
  <c r="BS1842" i="3"/>
  <c r="BA1842" i="3"/>
  <c r="BY1842" i="3"/>
  <c r="AU1842" i="3"/>
  <c r="P737" i="3"/>
  <c r="P735" i="3"/>
  <c r="P732" i="3"/>
  <c r="P733" i="3"/>
  <c r="P736" i="3"/>
  <c r="P742" i="3"/>
  <c r="P739" i="3"/>
  <c r="P740" i="3"/>
  <c r="P741" i="3"/>
  <c r="P734" i="3"/>
  <c r="P738" i="3"/>
  <c r="AC1842" i="3"/>
  <c r="AE1217" i="3"/>
  <c r="AF1217" i="3"/>
  <c r="P386" i="3" a="1"/>
  <c r="P394" i="3" s="1"/>
  <c r="BD1841" i="3"/>
  <c r="Q2632" i="3"/>
  <c r="BE2627" i="3" s="1"/>
  <c r="BH2626" i="3" s="1"/>
  <c r="Q2634" i="3"/>
  <c r="BQ2627" i="3" s="1"/>
  <c r="BT2626" i="3" s="1"/>
  <c r="Q2627" i="3"/>
  <c r="Q2626" i="3"/>
  <c r="Q2628" i="3"/>
  <c r="AG2627" i="3" s="1"/>
  <c r="AJ2626" i="3" s="1"/>
  <c r="Q2630" i="3"/>
  <c r="AS2627" i="3" s="1"/>
  <c r="AV2626" i="3" s="1"/>
  <c r="Q2631" i="3"/>
  <c r="AY2627" i="3" s="1"/>
  <c r="BB2626" i="3" s="1"/>
  <c r="Q2629" i="3"/>
  <c r="AM2627" i="3" s="1"/>
  <c r="AP2626" i="3" s="1"/>
  <c r="Q2633" i="3"/>
  <c r="BK2627" i="3" s="1"/>
  <c r="BN2626" i="3" s="1"/>
  <c r="Q2635" i="3"/>
  <c r="BW2627" i="3" s="1"/>
  <c r="BZ2626" i="3" s="1"/>
  <c r="Q2636" i="3"/>
  <c r="CC2627" i="3" s="1"/>
  <c r="CF2626" i="3" s="1"/>
  <c r="R1841" i="3"/>
  <c r="T1841" i="3" s="1"/>
  <c r="P2744" i="3"/>
  <c r="P2748" i="3"/>
  <c r="P2746" i="3"/>
  <c r="P2749" i="3"/>
  <c r="P2745" i="3"/>
  <c r="P2747" i="3"/>
  <c r="P2743" i="3"/>
  <c r="P2742" i="3"/>
  <c r="P2751" i="3"/>
  <c r="P2750" i="3"/>
  <c r="P2741" i="3"/>
  <c r="AF1841" i="3"/>
  <c r="AE1841" i="3"/>
  <c r="Z1841" i="3"/>
  <c r="Y1841" i="3"/>
  <c r="AF778" i="3"/>
  <c r="AE778" i="3"/>
  <c r="Q2422" i="3"/>
  <c r="AS2419" i="3" s="1"/>
  <c r="AV2418" i="3" s="1"/>
  <c r="Q2425" i="3"/>
  <c r="BK2419" i="3" s="1"/>
  <c r="BN2418" i="3" s="1"/>
  <c r="Q2427" i="3"/>
  <c r="BW2419" i="3" s="1"/>
  <c r="BZ2418" i="3" s="1"/>
  <c r="Q2418" i="3"/>
  <c r="Q2426" i="3"/>
  <c r="BQ2419" i="3" s="1"/>
  <c r="BT2418" i="3" s="1"/>
  <c r="Q2424" i="3"/>
  <c r="BE2419" i="3" s="1"/>
  <c r="BH2418" i="3" s="1"/>
  <c r="Q2419" i="3"/>
  <c r="Q2421" i="3"/>
  <c r="AM2419" i="3" s="1"/>
  <c r="AP2418" i="3" s="1"/>
  <c r="Q2423" i="3"/>
  <c r="AY2419" i="3" s="1"/>
  <c r="BB2418" i="3" s="1"/>
  <c r="Q2420" i="3"/>
  <c r="AG2419" i="3" s="1"/>
  <c r="AJ2418" i="3" s="1"/>
  <c r="Q2428" i="3"/>
  <c r="CC2419" i="3" s="1"/>
  <c r="CF2418" i="3" s="1"/>
  <c r="AA156" i="3"/>
  <c r="AD155" i="3" s="1"/>
  <c r="W156" i="3"/>
  <c r="BY156" i="3"/>
  <c r="BZ155" i="3" s="1"/>
  <c r="AC156" i="3"/>
  <c r="U156" i="3"/>
  <c r="X155" i="3" s="1"/>
  <c r="BA156" i="3"/>
  <c r="AU156" i="3"/>
  <c r="R155" i="3"/>
  <c r="BG156" i="3"/>
  <c r="BM156" i="3"/>
  <c r="AO156" i="3"/>
  <c r="AI156" i="3"/>
  <c r="BS156" i="3"/>
  <c r="CE156" i="3"/>
  <c r="BC155" i="3"/>
  <c r="BD155" i="3"/>
  <c r="AW2395" i="3"/>
  <c r="AX2395" i="3"/>
  <c r="BV2395" i="3"/>
  <c r="BU2395" i="3"/>
  <c r="AL2395" i="3"/>
  <c r="AK2395" i="3"/>
  <c r="AQ155" i="3"/>
  <c r="AR155" i="3"/>
  <c r="AW155" i="3"/>
  <c r="AX155" i="3"/>
  <c r="AK155" i="3"/>
  <c r="AL155" i="3"/>
  <c r="BI2395" i="3"/>
  <c r="BJ2395" i="3"/>
  <c r="CE2396" i="3"/>
  <c r="BY2396" i="3"/>
  <c r="BM2396" i="3"/>
  <c r="BA2396" i="3"/>
  <c r="AI2396" i="3"/>
  <c r="BG2396" i="3"/>
  <c r="BS2396" i="3"/>
  <c r="R2395" i="3"/>
  <c r="AU2396" i="3"/>
  <c r="AO2396" i="3"/>
  <c r="AC2396" i="3"/>
  <c r="U2396" i="3"/>
  <c r="X2395" i="3" s="1"/>
  <c r="AQ2395" i="3"/>
  <c r="AR2395" i="3"/>
  <c r="BU155" i="3"/>
  <c r="BV155" i="3"/>
  <c r="CB2395" i="3"/>
  <c r="CA2395" i="3"/>
  <c r="BO2395" i="3"/>
  <c r="BP2395" i="3"/>
  <c r="BO155" i="3"/>
  <c r="BP155" i="3"/>
  <c r="CG155" i="3"/>
  <c r="CH155" i="3"/>
  <c r="BI155" i="3"/>
  <c r="BJ155" i="3"/>
  <c r="AA2396" i="3"/>
  <c r="AD2395" i="3" s="1"/>
  <c r="W2396" i="3"/>
  <c r="CH2395" i="3"/>
  <c r="CG2395" i="3"/>
  <c r="BC2395" i="3"/>
  <c r="BD2395" i="3"/>
  <c r="C2656" i="3" l="1"/>
  <c r="Q1135" i="3"/>
  <c r="CC1126" i="3" s="1"/>
  <c r="CF1125" i="3" s="1"/>
  <c r="K1934" i="3"/>
  <c r="M1934" i="3"/>
  <c r="D1934" i="3"/>
  <c r="J1934" i="3"/>
  <c r="O1934" i="3"/>
  <c r="H1934" i="3"/>
  <c r="I1934" i="3"/>
  <c r="N1934" i="3"/>
  <c r="BM1080" i="3"/>
  <c r="L1934" i="3"/>
  <c r="E1934" i="3"/>
  <c r="H304" i="3"/>
  <c r="D2652" i="3"/>
  <c r="K2652" i="3"/>
  <c r="O2652" i="3"/>
  <c r="CB1079" i="3"/>
  <c r="H2656" i="3"/>
  <c r="F2656" i="3"/>
  <c r="D2656" i="3"/>
  <c r="AO1080" i="3"/>
  <c r="AP1079" i="3" s="1"/>
  <c r="C2657" i="3"/>
  <c r="M2652" i="3"/>
  <c r="L2652" i="3"/>
  <c r="G2652" i="3"/>
  <c r="J2656" i="3"/>
  <c r="E2656" i="3"/>
  <c r="L2656" i="3"/>
  <c r="C2655" i="3"/>
  <c r="K2655" i="3" s="1"/>
  <c r="C2653" i="3"/>
  <c r="C2654" i="3"/>
  <c r="N2652" i="3"/>
  <c r="I2652" i="3"/>
  <c r="M2656" i="3"/>
  <c r="O2656" i="3"/>
  <c r="C2650" i="3"/>
  <c r="C2651" i="3"/>
  <c r="L2651" i="3" s="1"/>
  <c r="M2649" i="3"/>
  <c r="H2649" i="3"/>
  <c r="G2649" i="3"/>
  <c r="K2649" i="3"/>
  <c r="F2649" i="3"/>
  <c r="E2649" i="3"/>
  <c r="J2649" i="3"/>
  <c r="I2649" i="3"/>
  <c r="N2649" i="3"/>
  <c r="D2649" i="3"/>
  <c r="O2649" i="3"/>
  <c r="L2649" i="3"/>
  <c r="I294" i="3"/>
  <c r="AI1080" i="3"/>
  <c r="AJ1079" i="3" s="1"/>
  <c r="AK1079" i="3" s="1"/>
  <c r="Q1128" i="3"/>
  <c r="AM1126" i="3" s="1"/>
  <c r="F2655" i="3"/>
  <c r="AU1080" i="3"/>
  <c r="M2655" i="3"/>
  <c r="Q1126" i="3"/>
  <c r="W1126" i="3" s="1"/>
  <c r="C2659" i="3"/>
  <c r="C2658" i="3"/>
  <c r="L304" i="3"/>
  <c r="J304" i="3"/>
  <c r="N294" i="3"/>
  <c r="BO1079" i="3"/>
  <c r="G2650" i="3"/>
  <c r="J2650" i="3"/>
  <c r="E2650" i="3"/>
  <c r="AC1080" i="3"/>
  <c r="Q1129" i="3"/>
  <c r="AS1126" i="3" s="1"/>
  <c r="Q1132" i="3"/>
  <c r="BK1126" i="3" s="1"/>
  <c r="BN1125" i="3" s="1"/>
  <c r="BP1125" i="3" s="1"/>
  <c r="Q1127" i="3"/>
  <c r="AG1126" i="3" s="1"/>
  <c r="E304" i="3"/>
  <c r="N304" i="3"/>
  <c r="O2650" i="3"/>
  <c r="F2650" i="3"/>
  <c r="M2650" i="3"/>
  <c r="I2651" i="3"/>
  <c r="Q1133" i="3"/>
  <c r="BQ1126" i="3" s="1"/>
  <c r="BT1125" i="3" s="1"/>
  <c r="Q1130" i="3"/>
  <c r="AY1126" i="3" s="1"/>
  <c r="BB1125" i="3" s="1"/>
  <c r="Q1125" i="3"/>
  <c r="BY1126" i="3" s="1"/>
  <c r="F304" i="3"/>
  <c r="H294" i="3"/>
  <c r="N2650" i="3"/>
  <c r="I2650" i="3"/>
  <c r="BA1080" i="3"/>
  <c r="BB1079" i="3" s="1"/>
  <c r="BD1079" i="3" s="1"/>
  <c r="J2651" i="3"/>
  <c r="Q1131" i="3"/>
  <c r="BE1126" i="3" s="1"/>
  <c r="BH1125" i="3" s="1"/>
  <c r="BI1125" i="3" s="1"/>
  <c r="Q1134" i="3"/>
  <c r="BW1126" i="3" s="1"/>
  <c r="BZ1125" i="3" s="1"/>
  <c r="CB1125" i="3" s="1"/>
  <c r="BO2095" i="3"/>
  <c r="BP2095" i="3"/>
  <c r="R1079" i="3"/>
  <c r="S1079" i="3" s="1"/>
  <c r="W1080" i="3"/>
  <c r="C2534" i="3"/>
  <c r="C2537" i="3"/>
  <c r="F2537" i="3" s="1"/>
  <c r="C2538" i="3"/>
  <c r="H2538" i="3" s="1"/>
  <c r="C2539" i="3"/>
  <c r="L2539" i="3" s="1"/>
  <c r="C2540" i="3"/>
  <c r="C2535" i="3"/>
  <c r="K2535" i="3" s="1"/>
  <c r="C2541" i="3"/>
  <c r="H2541" i="3" s="1"/>
  <c r="C2533" i="3"/>
  <c r="F2533" i="3" s="1"/>
  <c r="G2534" i="3"/>
  <c r="F2534" i="3"/>
  <c r="O2534" i="3"/>
  <c r="N2534" i="3"/>
  <c r="L2534" i="3"/>
  <c r="K2534" i="3"/>
  <c r="H2534" i="3"/>
  <c r="E2534" i="3"/>
  <c r="I2534" i="3"/>
  <c r="D2534" i="3"/>
  <c r="J2534" i="3"/>
  <c r="M2534" i="3"/>
  <c r="N2535" i="3"/>
  <c r="J2471" i="3"/>
  <c r="H2471" i="3"/>
  <c r="F2471" i="3"/>
  <c r="I2471" i="3"/>
  <c r="E2471" i="3"/>
  <c r="G2471" i="3"/>
  <c r="O2471" i="3"/>
  <c r="M2471" i="3"/>
  <c r="N2471" i="3"/>
  <c r="L2471" i="3"/>
  <c r="D2471" i="3"/>
  <c r="K2471" i="3"/>
  <c r="L2467" i="3"/>
  <c r="G2467" i="3"/>
  <c r="M2467" i="3"/>
  <c r="D2467" i="3"/>
  <c r="E2467" i="3"/>
  <c r="F2467" i="3"/>
  <c r="N2467" i="3"/>
  <c r="O2467" i="3"/>
  <c r="I2467" i="3"/>
  <c r="K2467" i="3"/>
  <c r="H2467" i="3"/>
  <c r="J2467" i="3"/>
  <c r="G2466" i="3"/>
  <c r="I2466" i="3"/>
  <c r="J2466" i="3"/>
  <c r="M2466" i="3"/>
  <c r="O2466" i="3"/>
  <c r="N2466" i="3"/>
  <c r="K2466" i="3"/>
  <c r="F2466" i="3"/>
  <c r="L2466" i="3"/>
  <c r="H2466" i="3"/>
  <c r="E2466" i="3"/>
  <c r="D2466" i="3"/>
  <c r="CH1125" i="3"/>
  <c r="CG1125" i="3"/>
  <c r="J2469" i="3"/>
  <c r="H2469" i="3"/>
  <c r="D2469" i="3"/>
  <c r="G2469" i="3"/>
  <c r="K2469" i="3"/>
  <c r="I2469" i="3"/>
  <c r="F2469" i="3"/>
  <c r="N2469" i="3"/>
  <c r="M2469" i="3"/>
  <c r="E2469" i="3"/>
  <c r="L2469" i="3"/>
  <c r="O2469" i="3"/>
  <c r="L2537" i="3"/>
  <c r="O2537" i="3"/>
  <c r="J2537" i="3"/>
  <c r="D2537" i="3"/>
  <c r="M2537" i="3"/>
  <c r="E2537" i="3"/>
  <c r="O304" i="3"/>
  <c r="K304" i="3"/>
  <c r="G304" i="3"/>
  <c r="CE1080" i="3"/>
  <c r="BY1080" i="3"/>
  <c r="BS1080" i="3"/>
  <c r="BO1125" i="3"/>
  <c r="I2474" i="3"/>
  <c r="M2474" i="3"/>
  <c r="G2474" i="3"/>
  <c r="O2474" i="3"/>
  <c r="L2474" i="3"/>
  <c r="J2474" i="3"/>
  <c r="F2474" i="3"/>
  <c r="K2474" i="3"/>
  <c r="H2474" i="3"/>
  <c r="N2474" i="3"/>
  <c r="E2474" i="3"/>
  <c r="D2474" i="3"/>
  <c r="E2536" i="3"/>
  <c r="L2536" i="3"/>
  <c r="J2536" i="3"/>
  <c r="G2536" i="3"/>
  <c r="F2536" i="3"/>
  <c r="K2536" i="3"/>
  <c r="I2536" i="3"/>
  <c r="N2536" i="3"/>
  <c r="O2536" i="3"/>
  <c r="D2536" i="3"/>
  <c r="M2536" i="3"/>
  <c r="H2536" i="3"/>
  <c r="C2542" i="3"/>
  <c r="I2473" i="3"/>
  <c r="K2473" i="3"/>
  <c r="O2473" i="3"/>
  <c r="G2473" i="3"/>
  <c r="J2473" i="3"/>
  <c r="H2473" i="3"/>
  <c r="M2473" i="3"/>
  <c r="N2473" i="3"/>
  <c r="F2473" i="3"/>
  <c r="D2473" i="3"/>
  <c r="L2473" i="3"/>
  <c r="E2473" i="3"/>
  <c r="G2470" i="3"/>
  <c r="H2470" i="3"/>
  <c r="I2470" i="3"/>
  <c r="K2470" i="3"/>
  <c r="L2470" i="3"/>
  <c r="O2470" i="3"/>
  <c r="E2470" i="3"/>
  <c r="J2470" i="3"/>
  <c r="F2470" i="3"/>
  <c r="M2470" i="3"/>
  <c r="D2470" i="3"/>
  <c r="N2470" i="3"/>
  <c r="I304" i="3"/>
  <c r="M304" i="3"/>
  <c r="U1080" i="3"/>
  <c r="X1079" i="3" s="1"/>
  <c r="Y1079" i="3" s="1"/>
  <c r="BG1080" i="3"/>
  <c r="BH1079" i="3" s="1"/>
  <c r="BJ1079" i="3" s="1"/>
  <c r="BV1125" i="3"/>
  <c r="BU1125" i="3"/>
  <c r="BD1125" i="3"/>
  <c r="BC1125" i="3"/>
  <c r="CE1126" i="3"/>
  <c r="G2464" i="3"/>
  <c r="I2464" i="3"/>
  <c r="K2464" i="3"/>
  <c r="J2464" i="3"/>
  <c r="E2464" i="3"/>
  <c r="F2464" i="3"/>
  <c r="D2464" i="3"/>
  <c r="O2464" i="3"/>
  <c r="N2464" i="3"/>
  <c r="L2464" i="3"/>
  <c r="H2464" i="3"/>
  <c r="M2464" i="3"/>
  <c r="I2540" i="3"/>
  <c r="M2540" i="3"/>
  <c r="K2540" i="3"/>
  <c r="E2540" i="3"/>
  <c r="H2540" i="3"/>
  <c r="N2540" i="3"/>
  <c r="F2540" i="3"/>
  <c r="D2540" i="3"/>
  <c r="O2540" i="3"/>
  <c r="L2540" i="3"/>
  <c r="J2540" i="3"/>
  <c r="G2540" i="3"/>
  <c r="K2472" i="3"/>
  <c r="J2472" i="3"/>
  <c r="F2472" i="3"/>
  <c r="L2472" i="3"/>
  <c r="M2472" i="3"/>
  <c r="N2472" i="3"/>
  <c r="G2472" i="3"/>
  <c r="H2472" i="3"/>
  <c r="E2472" i="3"/>
  <c r="O2472" i="3"/>
  <c r="I2472" i="3"/>
  <c r="D2472" i="3"/>
  <c r="B693" i="3"/>
  <c r="B361" i="3"/>
  <c r="L2468" i="3"/>
  <c r="J2468" i="3"/>
  <c r="G2468" i="3"/>
  <c r="H2468" i="3"/>
  <c r="M2468" i="3"/>
  <c r="N2468" i="3"/>
  <c r="F2468" i="3"/>
  <c r="O2468" i="3"/>
  <c r="D2468" i="3"/>
  <c r="I2468" i="3"/>
  <c r="K2468" i="3"/>
  <c r="E2468" i="3"/>
  <c r="C2543" i="3"/>
  <c r="P1610" i="3" a="1"/>
  <c r="P1618" i="3" s="1"/>
  <c r="D300" i="3"/>
  <c r="F1936" i="3"/>
  <c r="K1936" i="3"/>
  <c r="E1936" i="3"/>
  <c r="D1936" i="3"/>
  <c r="O1936" i="3"/>
  <c r="I1936" i="3"/>
  <c r="J1936" i="3"/>
  <c r="G1936" i="3"/>
  <c r="M1936" i="3"/>
  <c r="H1936" i="3"/>
  <c r="N1936" i="3"/>
  <c r="L1936" i="3"/>
  <c r="N1943" i="3"/>
  <c r="F1943" i="3"/>
  <c r="D1943" i="3"/>
  <c r="I1943" i="3"/>
  <c r="H1943" i="3"/>
  <c r="M1943" i="3"/>
  <c r="J1943" i="3"/>
  <c r="G1943" i="3"/>
  <c r="O1943" i="3"/>
  <c r="K1943" i="3"/>
  <c r="E1943" i="3"/>
  <c r="L1943" i="3"/>
  <c r="AR1079" i="3"/>
  <c r="AQ1079" i="3"/>
  <c r="E1864" i="3"/>
  <c r="J1940" i="3"/>
  <c r="I1940" i="3"/>
  <c r="G1940" i="3"/>
  <c r="M1940" i="3"/>
  <c r="E1940" i="3"/>
  <c r="K1940" i="3"/>
  <c r="D1940" i="3"/>
  <c r="N1940" i="3"/>
  <c r="L1940" i="3"/>
  <c r="F1940" i="3"/>
  <c r="H1940" i="3"/>
  <c r="O1940" i="3"/>
  <c r="N1941" i="3"/>
  <c r="H1941" i="3"/>
  <c r="J1941" i="3"/>
  <c r="L1941" i="3"/>
  <c r="E1941" i="3"/>
  <c r="I1941" i="3"/>
  <c r="D1941" i="3"/>
  <c r="O1941" i="3"/>
  <c r="G1941" i="3"/>
  <c r="F1941" i="3"/>
  <c r="K1941" i="3"/>
  <c r="M1941" i="3"/>
  <c r="J1933" i="3"/>
  <c r="L1933" i="3"/>
  <c r="M1933" i="3"/>
  <c r="O1933" i="3"/>
  <c r="G1933" i="3"/>
  <c r="H1933" i="3"/>
  <c r="F1933" i="3"/>
  <c r="E1933" i="3"/>
  <c r="K1933" i="3"/>
  <c r="I1933" i="3"/>
  <c r="N1933" i="3"/>
  <c r="D1933" i="3"/>
  <c r="L1938" i="3"/>
  <c r="J1938" i="3"/>
  <c r="M1938" i="3"/>
  <c r="N1938" i="3"/>
  <c r="G1938" i="3"/>
  <c r="O1938" i="3"/>
  <c r="I1938" i="3"/>
  <c r="D1938" i="3"/>
  <c r="K1938" i="3"/>
  <c r="E1938" i="3"/>
  <c r="F1938" i="3"/>
  <c r="H1938" i="3"/>
  <c r="B473" i="3"/>
  <c r="O1942" i="3"/>
  <c r="L1942" i="3"/>
  <c r="E1942" i="3"/>
  <c r="D1942" i="3"/>
  <c r="N1942" i="3"/>
  <c r="H1942" i="3"/>
  <c r="M1942" i="3"/>
  <c r="F1942" i="3"/>
  <c r="G1942" i="3"/>
  <c r="J1942" i="3"/>
  <c r="K1942" i="3"/>
  <c r="I1942" i="3"/>
  <c r="L1935" i="3"/>
  <c r="D1935" i="3"/>
  <c r="I1935" i="3"/>
  <c r="O1935" i="3"/>
  <c r="F1935" i="3"/>
  <c r="G1935" i="3"/>
  <c r="H1935" i="3"/>
  <c r="M1935" i="3"/>
  <c r="N1935" i="3"/>
  <c r="J1935" i="3"/>
  <c r="E1935" i="3"/>
  <c r="K1935" i="3"/>
  <c r="D1939" i="3"/>
  <c r="H1939" i="3"/>
  <c r="N1939" i="3"/>
  <c r="E1939" i="3"/>
  <c r="O1939" i="3"/>
  <c r="M1939" i="3"/>
  <c r="J1939" i="3"/>
  <c r="I1939" i="3"/>
  <c r="L1939" i="3"/>
  <c r="G1939" i="3"/>
  <c r="K1939" i="3"/>
  <c r="F1939" i="3"/>
  <c r="AE1079" i="3"/>
  <c r="AF1079" i="3"/>
  <c r="AL1079" i="3"/>
  <c r="J295" i="3"/>
  <c r="F301" i="3"/>
  <c r="L296" i="3"/>
  <c r="N296" i="3"/>
  <c r="H296" i="3"/>
  <c r="N301" i="3"/>
  <c r="BJ1633" i="3"/>
  <c r="E294" i="3"/>
  <c r="K294" i="3"/>
  <c r="O294" i="3"/>
  <c r="F1871" i="3"/>
  <c r="F1864" i="3"/>
  <c r="H1864" i="3"/>
  <c r="J294" i="3"/>
  <c r="F294" i="3"/>
  <c r="M294" i="3"/>
  <c r="L294" i="3"/>
  <c r="D294" i="3"/>
  <c r="L1869" i="3"/>
  <c r="M297" i="3"/>
  <c r="M300" i="3"/>
  <c r="M301" i="3"/>
  <c r="J1869" i="3"/>
  <c r="I295" i="3"/>
  <c r="J300" i="3"/>
  <c r="I1591" i="3"/>
  <c r="BV802" i="3"/>
  <c r="D1873" i="3"/>
  <c r="J302" i="3"/>
  <c r="H1865" i="3"/>
  <c r="K1868" i="3"/>
  <c r="I296" i="3"/>
  <c r="K296" i="3"/>
  <c r="F295" i="3"/>
  <c r="G1869" i="3"/>
  <c r="M1869" i="3"/>
  <c r="G295" i="3"/>
  <c r="N1869" i="3"/>
  <c r="O296" i="3"/>
  <c r="H295" i="3"/>
  <c r="K295" i="3"/>
  <c r="I1869" i="3"/>
  <c r="AR548" i="3"/>
  <c r="AQ548" i="3"/>
  <c r="AK802" i="3"/>
  <c r="AL802" i="3"/>
  <c r="AF802" i="3"/>
  <c r="AE802" i="3"/>
  <c r="Q2582" i="3"/>
  <c r="AG2581" i="3" s="1"/>
  <c r="AJ2580" i="3" s="1"/>
  <c r="AL2580" i="3" s="1"/>
  <c r="I298" i="3"/>
  <c r="N300" i="3"/>
  <c r="G300" i="3"/>
  <c r="O1871" i="3"/>
  <c r="N1871" i="3"/>
  <c r="F1865" i="3"/>
  <c r="K1865" i="3"/>
  <c r="L1868" i="3"/>
  <c r="G1873" i="3"/>
  <c r="M298" i="3"/>
  <c r="O300" i="3"/>
  <c r="L300" i="3"/>
  <c r="L1871" i="3"/>
  <c r="G1865" i="3"/>
  <c r="H1868" i="3"/>
  <c r="I1873" i="3"/>
  <c r="L298" i="3"/>
  <c r="H300" i="3"/>
  <c r="I300" i="3"/>
  <c r="M1871" i="3"/>
  <c r="I1871" i="3"/>
  <c r="J1865" i="3"/>
  <c r="O1868" i="3"/>
  <c r="P2305" i="3"/>
  <c r="H1591" i="3"/>
  <c r="L1591" i="3"/>
  <c r="F1591" i="3"/>
  <c r="E1591" i="3"/>
  <c r="Q2583" i="3"/>
  <c r="AM2581" i="3" s="1"/>
  <c r="AP2580" i="3" s="1"/>
  <c r="AR2580" i="3" s="1"/>
  <c r="K302" i="3"/>
  <c r="D1870" i="3"/>
  <c r="Q2586" i="3"/>
  <c r="BE2581" i="3" s="1"/>
  <c r="BH2580" i="3" s="1"/>
  <c r="BJ2580" i="3" s="1"/>
  <c r="P2311" i="3"/>
  <c r="J1597" i="3"/>
  <c r="I302" i="3"/>
  <c r="F300" i="3"/>
  <c r="E300" i="3"/>
  <c r="P2302" i="3"/>
  <c r="I1597" i="3"/>
  <c r="H302" i="3"/>
  <c r="P2309" i="3"/>
  <c r="K1597" i="3"/>
  <c r="O1597" i="3"/>
  <c r="L1597" i="3"/>
  <c r="H1597" i="3"/>
  <c r="E299" i="3"/>
  <c r="D296" i="3"/>
  <c r="G296" i="3"/>
  <c r="E296" i="3"/>
  <c r="M295" i="3"/>
  <c r="N295" i="3"/>
  <c r="D295" i="3"/>
  <c r="E1869" i="3"/>
  <c r="O1869" i="3"/>
  <c r="H1869" i="3"/>
  <c r="P2306" i="3"/>
  <c r="N1597" i="3"/>
  <c r="E1597" i="3"/>
  <c r="M1597" i="3"/>
  <c r="K299" i="3"/>
  <c r="M296" i="3"/>
  <c r="F296" i="3"/>
  <c r="L295" i="3"/>
  <c r="O295" i="3"/>
  <c r="F1869" i="3"/>
  <c r="K1869" i="3"/>
  <c r="BV1633" i="3"/>
  <c r="P2303" i="3"/>
  <c r="P2308" i="3"/>
  <c r="F1597" i="3"/>
  <c r="D1597" i="3"/>
  <c r="Q2587" i="3"/>
  <c r="BK2581" i="3" s="1"/>
  <c r="BN2580" i="3" s="1"/>
  <c r="BP2580" i="3" s="1"/>
  <c r="J301" i="3"/>
  <c r="G301" i="3"/>
  <c r="E301" i="3"/>
  <c r="K1866" i="3"/>
  <c r="Q2585" i="3"/>
  <c r="AY2581" i="3" s="1"/>
  <c r="BB2580" i="3" s="1"/>
  <c r="BD2580" i="3" s="1"/>
  <c r="Q2580" i="3"/>
  <c r="CE2581" i="3" s="1"/>
  <c r="F299" i="3"/>
  <c r="J297" i="3"/>
  <c r="F302" i="3"/>
  <c r="N302" i="3"/>
  <c r="D301" i="3"/>
  <c r="H301" i="3"/>
  <c r="I301" i="3"/>
  <c r="K1870" i="3"/>
  <c r="D1865" i="3"/>
  <c r="D1868" i="3"/>
  <c r="F1868" i="3"/>
  <c r="Q2581" i="3"/>
  <c r="AA2581" i="3" s="1"/>
  <c r="AD2580" i="3" s="1"/>
  <c r="Q2588" i="3"/>
  <c r="BQ2581" i="3" s="1"/>
  <c r="BT2580" i="3" s="1"/>
  <c r="BU2580" i="3" s="1"/>
  <c r="Q2590" i="3"/>
  <c r="CC2581" i="3" s="1"/>
  <c r="CF2580" i="3" s="1"/>
  <c r="CG2580" i="3" s="1"/>
  <c r="M1591" i="3"/>
  <c r="D1591" i="3"/>
  <c r="J1591" i="3"/>
  <c r="E297" i="3"/>
  <c r="L301" i="3"/>
  <c r="O301" i="3"/>
  <c r="Q2584" i="3"/>
  <c r="AS2581" i="3" s="1"/>
  <c r="AV2580" i="3" s="1"/>
  <c r="AW2580" i="3" s="1"/>
  <c r="Q2589" i="3"/>
  <c r="BW2581" i="3" s="1"/>
  <c r="BZ2580" i="3" s="1"/>
  <c r="CB2580" i="3" s="1"/>
  <c r="O1591" i="3"/>
  <c r="N1591" i="3"/>
  <c r="J299" i="3"/>
  <c r="G299" i="3"/>
  <c r="O299" i="3"/>
  <c r="J1870" i="3"/>
  <c r="I1870" i="3"/>
  <c r="I299" i="3"/>
  <c r="D299" i="3"/>
  <c r="L299" i="3"/>
  <c r="L302" i="3"/>
  <c r="G302" i="3"/>
  <c r="E302" i="3"/>
  <c r="E1870" i="3"/>
  <c r="N1865" i="3"/>
  <c r="L1865" i="3"/>
  <c r="E1865" i="3"/>
  <c r="E1868" i="3"/>
  <c r="G1868" i="3"/>
  <c r="J1868" i="3"/>
  <c r="W1634" i="3"/>
  <c r="H299" i="3"/>
  <c r="M299" i="3"/>
  <c r="D302" i="3"/>
  <c r="M302" i="3"/>
  <c r="O1870" i="3"/>
  <c r="O1865" i="3"/>
  <c r="I1865" i="3"/>
  <c r="I1868" i="3"/>
  <c r="M1868" i="3"/>
  <c r="P1270" i="3"/>
  <c r="P1271" i="3"/>
  <c r="P1269" i="3"/>
  <c r="P1268" i="3"/>
  <c r="P1264" i="3"/>
  <c r="P1273" i="3"/>
  <c r="P1266" i="3"/>
  <c r="P1272" i="3"/>
  <c r="P1265" i="3"/>
  <c r="P1263" i="3"/>
  <c r="P1267" i="3"/>
  <c r="AK2603" i="3"/>
  <c r="AL2603" i="3"/>
  <c r="CB2603" i="3"/>
  <c r="CA2603" i="3"/>
  <c r="BC2603" i="3"/>
  <c r="BD2603" i="3"/>
  <c r="P2304" i="3"/>
  <c r="W2604" i="3"/>
  <c r="AA2604" i="3"/>
  <c r="AD2603" i="3" s="1"/>
  <c r="AX2603" i="3"/>
  <c r="AW2603" i="3"/>
  <c r="CG2603" i="3"/>
  <c r="CH2603" i="3"/>
  <c r="AQ2603" i="3"/>
  <c r="AR2603" i="3"/>
  <c r="BO2603" i="3"/>
  <c r="BP2603" i="3"/>
  <c r="CE2604" i="3"/>
  <c r="AU2604" i="3"/>
  <c r="U2604" i="3"/>
  <c r="X2603" i="3" s="1"/>
  <c r="BY2604" i="3"/>
  <c r="BS2604" i="3"/>
  <c r="AO2604" i="3"/>
  <c r="BM2604" i="3"/>
  <c r="AC2604" i="3"/>
  <c r="BA2604" i="3"/>
  <c r="BG2604" i="3"/>
  <c r="AI2604" i="3"/>
  <c r="R2603" i="3"/>
  <c r="BU2603" i="3"/>
  <c r="BV2603" i="3"/>
  <c r="BI2603" i="3"/>
  <c r="BJ2603" i="3"/>
  <c r="P2307" i="3"/>
  <c r="P2312" i="3"/>
  <c r="D1592" i="3"/>
  <c r="E1592" i="3"/>
  <c r="L1592" i="3"/>
  <c r="I1592" i="3"/>
  <c r="K1592" i="3"/>
  <c r="M1592" i="3"/>
  <c r="N1592" i="3"/>
  <c r="G1592" i="3"/>
  <c r="H1592" i="3"/>
  <c r="J1592" i="3"/>
  <c r="F1592" i="3"/>
  <c r="O1592" i="3"/>
  <c r="N1594" i="3"/>
  <c r="K1594" i="3"/>
  <c r="M1594" i="3"/>
  <c r="D1594" i="3"/>
  <c r="O1594" i="3"/>
  <c r="J1594" i="3"/>
  <c r="L1594" i="3"/>
  <c r="H1594" i="3"/>
  <c r="E1594" i="3"/>
  <c r="I1594" i="3"/>
  <c r="G1594" i="3"/>
  <c r="F1594" i="3"/>
  <c r="E298" i="3"/>
  <c r="F298" i="3"/>
  <c r="O1873" i="3"/>
  <c r="N1864" i="3"/>
  <c r="D1874" i="3"/>
  <c r="J1874" i="3"/>
  <c r="N1587" i="3"/>
  <c r="L1587" i="3"/>
  <c r="H1587" i="3"/>
  <c r="M1587" i="3"/>
  <c r="K1587" i="3"/>
  <c r="D1587" i="3"/>
  <c r="I1587" i="3"/>
  <c r="F1587" i="3"/>
  <c r="G1587" i="3"/>
  <c r="E1587" i="3"/>
  <c r="J1587" i="3"/>
  <c r="O1587" i="3"/>
  <c r="D1589" i="3"/>
  <c r="N1589" i="3"/>
  <c r="H1589" i="3"/>
  <c r="J1589" i="3"/>
  <c r="I1589" i="3"/>
  <c r="O1589" i="3"/>
  <c r="G1589" i="3"/>
  <c r="K1589" i="3"/>
  <c r="E1589" i="3"/>
  <c r="M1589" i="3"/>
  <c r="F1589" i="3"/>
  <c r="L1589" i="3"/>
  <c r="O1874" i="3"/>
  <c r="G1595" i="3"/>
  <c r="O1595" i="3"/>
  <c r="K1595" i="3"/>
  <c r="N1595" i="3"/>
  <c r="E1595" i="3"/>
  <c r="J1595" i="3"/>
  <c r="M1595" i="3"/>
  <c r="I1595" i="3"/>
  <c r="D1595" i="3"/>
  <c r="L1595" i="3"/>
  <c r="F1595" i="3"/>
  <c r="H1595" i="3"/>
  <c r="D1588" i="3"/>
  <c r="J1588" i="3"/>
  <c r="E1588" i="3"/>
  <c r="G1588" i="3"/>
  <c r="I1588" i="3"/>
  <c r="M1588" i="3"/>
  <c r="O1588" i="3"/>
  <c r="F1588" i="3"/>
  <c r="K1588" i="3"/>
  <c r="N1588" i="3"/>
  <c r="H1588" i="3"/>
  <c r="L1588" i="3"/>
  <c r="J298" i="3"/>
  <c r="E1873" i="3"/>
  <c r="H1873" i="3"/>
  <c r="I1864" i="3"/>
  <c r="CA1633" i="3"/>
  <c r="E1590" i="3"/>
  <c r="J1590" i="3"/>
  <c r="L1590" i="3"/>
  <c r="K1590" i="3"/>
  <c r="O1590" i="3"/>
  <c r="G1590" i="3"/>
  <c r="N1590" i="3"/>
  <c r="I1590" i="3"/>
  <c r="F1590" i="3"/>
  <c r="D1590" i="3"/>
  <c r="M1590" i="3"/>
  <c r="H1590" i="3"/>
  <c r="N1593" i="3"/>
  <c r="M1593" i="3"/>
  <c r="K1593" i="3"/>
  <c r="E1593" i="3"/>
  <c r="J1593" i="3"/>
  <c r="I1593" i="3"/>
  <c r="D1593" i="3"/>
  <c r="H1593" i="3"/>
  <c r="L1593" i="3"/>
  <c r="F1593" i="3"/>
  <c r="O1593" i="3"/>
  <c r="G1593" i="3"/>
  <c r="M1596" i="3"/>
  <c r="D1596" i="3"/>
  <c r="J1596" i="3"/>
  <c r="E1596" i="3"/>
  <c r="N1596" i="3"/>
  <c r="H1596" i="3"/>
  <c r="I1596" i="3"/>
  <c r="F1596" i="3"/>
  <c r="L1596" i="3"/>
  <c r="K1596" i="3"/>
  <c r="O1596" i="3"/>
  <c r="G1596" i="3"/>
  <c r="G298" i="3"/>
  <c r="H298" i="3"/>
  <c r="D298" i="3"/>
  <c r="D1871" i="3"/>
  <c r="G1871" i="3"/>
  <c r="J1871" i="3"/>
  <c r="M1873" i="3"/>
  <c r="L1873" i="3"/>
  <c r="N1873" i="3"/>
  <c r="O1864" i="3"/>
  <c r="K1864" i="3"/>
  <c r="H1874" i="3"/>
  <c r="K1874" i="3"/>
  <c r="L1874" i="3"/>
  <c r="N1874" i="3"/>
  <c r="F1874" i="3"/>
  <c r="G1874" i="3"/>
  <c r="M1864" i="3"/>
  <c r="O298" i="3"/>
  <c r="N298" i="3"/>
  <c r="E1871" i="3"/>
  <c r="K1871" i="3"/>
  <c r="K1873" i="3"/>
  <c r="F1873" i="3"/>
  <c r="L1864" i="3"/>
  <c r="D1864" i="3"/>
  <c r="G1864" i="3"/>
  <c r="I1874" i="3"/>
  <c r="E1874" i="3"/>
  <c r="BA1634" i="3"/>
  <c r="BM1634" i="3"/>
  <c r="N303" i="3"/>
  <c r="G303" i="3"/>
  <c r="I1866" i="3"/>
  <c r="K303" i="3"/>
  <c r="L1866" i="3"/>
  <c r="BB1633" i="3"/>
  <c r="BD1633" i="3" s="1"/>
  <c r="CH1633" i="3"/>
  <c r="AU1634" i="3"/>
  <c r="AV1633" i="3" s="1"/>
  <c r="AW1633" i="3" s="1"/>
  <c r="BY1634" i="3"/>
  <c r="M1870" i="3"/>
  <c r="F1870" i="3"/>
  <c r="L1870" i="3"/>
  <c r="U1634" i="3"/>
  <c r="X1633" i="3" s="1"/>
  <c r="Z1633" i="3" s="1"/>
  <c r="BS1634" i="3"/>
  <c r="AC1634" i="3"/>
  <c r="K2442" i="3"/>
  <c r="G1870" i="3"/>
  <c r="N1870" i="3"/>
  <c r="AI1634" i="3"/>
  <c r="AJ1633" i="3" s="1"/>
  <c r="AL1633" i="3" s="1"/>
  <c r="Q254" i="3"/>
  <c r="BK248" i="3" s="1"/>
  <c r="P1771" i="3" a="1"/>
  <c r="P1773" i="3" s="1"/>
  <c r="F303" i="3"/>
  <c r="L303" i="3"/>
  <c r="I303" i="3"/>
  <c r="F297" i="3"/>
  <c r="D297" i="3"/>
  <c r="N297" i="3"/>
  <c r="D1866" i="3"/>
  <c r="F1866" i="3"/>
  <c r="M1866" i="3"/>
  <c r="O303" i="3"/>
  <c r="M303" i="3"/>
  <c r="J303" i="3"/>
  <c r="H297" i="3"/>
  <c r="I297" i="3"/>
  <c r="L297" i="3"/>
  <c r="N1866" i="3"/>
  <c r="O1866" i="3"/>
  <c r="J1866" i="3"/>
  <c r="R1633" i="3"/>
  <c r="T1633" i="3" s="1"/>
  <c r="H303" i="3"/>
  <c r="E303" i="3"/>
  <c r="G297" i="3"/>
  <c r="O297" i="3"/>
  <c r="H1866" i="3"/>
  <c r="E1866" i="3"/>
  <c r="BG1634" i="3"/>
  <c r="BN1633" i="3"/>
  <c r="BO1633" i="3" s="1"/>
  <c r="AO1634" i="3"/>
  <c r="AP1633" i="3" s="1"/>
  <c r="AQ1633" i="3" s="1"/>
  <c r="AA1518" i="3"/>
  <c r="AD1517" i="3" s="1"/>
  <c r="AE1517" i="3" s="1"/>
  <c r="P2771" i="3"/>
  <c r="BG1518" i="3"/>
  <c r="P1012" i="3"/>
  <c r="P1014" i="3"/>
  <c r="Q257" i="3"/>
  <c r="CC248" i="3" s="1"/>
  <c r="P1011" i="3"/>
  <c r="P1013" i="3"/>
  <c r="P1019" i="3"/>
  <c r="P1016" i="3"/>
  <c r="B1201" i="3"/>
  <c r="O2450" i="3"/>
  <c r="Q255" i="3"/>
  <c r="BQ248" i="3" s="1"/>
  <c r="P1015" i="3"/>
  <c r="P1009" i="3"/>
  <c r="AW1540" i="3"/>
  <c r="P1018" i="3"/>
  <c r="P1017" i="3"/>
  <c r="Q256" i="3"/>
  <c r="BW248" i="3" s="1"/>
  <c r="Q253" i="3"/>
  <c r="BE248" i="3" s="1"/>
  <c r="F2450" i="3"/>
  <c r="Z802" i="3"/>
  <c r="G2327" i="3"/>
  <c r="K2327" i="3"/>
  <c r="E2327" i="3"/>
  <c r="J2327" i="3"/>
  <c r="O2327" i="3"/>
  <c r="D2327" i="3"/>
  <c r="N2327" i="3"/>
  <c r="F2327" i="3"/>
  <c r="I2327" i="3"/>
  <c r="M2327" i="3"/>
  <c r="H2327" i="3"/>
  <c r="L2327" i="3"/>
  <c r="J2330" i="3"/>
  <c r="L2330" i="3"/>
  <c r="I2330" i="3"/>
  <c r="O2330" i="3"/>
  <c r="K2330" i="3"/>
  <c r="G2330" i="3"/>
  <c r="E2330" i="3"/>
  <c r="H2330" i="3"/>
  <c r="N2330" i="3"/>
  <c r="M2330" i="3"/>
  <c r="D2330" i="3"/>
  <c r="F2330" i="3"/>
  <c r="BY1518" i="3"/>
  <c r="BZ1517" i="3" s="1"/>
  <c r="CA1517" i="3" s="1"/>
  <c r="H2450" i="3"/>
  <c r="I2332" i="3"/>
  <c r="L2332" i="3"/>
  <c r="H2332" i="3"/>
  <c r="D2332" i="3"/>
  <c r="N2332" i="3"/>
  <c r="E2332" i="3"/>
  <c r="O2332" i="3"/>
  <c r="F2332" i="3"/>
  <c r="M2332" i="3"/>
  <c r="K2332" i="3"/>
  <c r="G2332" i="3"/>
  <c r="J2332" i="3"/>
  <c r="N2335" i="3"/>
  <c r="G2335" i="3"/>
  <c r="J2335" i="3"/>
  <c r="H2335" i="3"/>
  <c r="K2335" i="3"/>
  <c r="E2335" i="3"/>
  <c r="M2335" i="3"/>
  <c r="D2335" i="3"/>
  <c r="L2335" i="3"/>
  <c r="O2335" i="3"/>
  <c r="I2335" i="3"/>
  <c r="F2335" i="3"/>
  <c r="AK2002" i="3"/>
  <c r="CG1517" i="3"/>
  <c r="G2450" i="3"/>
  <c r="I2450" i="3"/>
  <c r="Q251" i="3"/>
  <c r="AS248" i="3" s="1"/>
  <c r="G2328" i="3"/>
  <c r="M2328" i="3"/>
  <c r="L2328" i="3"/>
  <c r="D2328" i="3"/>
  <c r="K2328" i="3"/>
  <c r="I2328" i="3"/>
  <c r="H2328" i="3"/>
  <c r="F2328" i="3"/>
  <c r="J2328" i="3"/>
  <c r="N2328" i="3"/>
  <c r="O2328" i="3"/>
  <c r="E2328" i="3"/>
  <c r="L2326" i="3"/>
  <c r="I2326" i="3"/>
  <c r="H2326" i="3"/>
  <c r="G2326" i="3"/>
  <c r="J2326" i="3"/>
  <c r="O2326" i="3"/>
  <c r="K2326" i="3"/>
  <c r="M2326" i="3"/>
  <c r="D2326" i="3"/>
  <c r="E2326" i="3"/>
  <c r="F2326" i="3"/>
  <c r="N2326" i="3"/>
  <c r="Q1570" i="3"/>
  <c r="BE1565" i="3" s="1"/>
  <c r="BH1564" i="3" s="1"/>
  <c r="Q1573" i="3"/>
  <c r="BW1565" i="3" s="1"/>
  <c r="BZ1564" i="3" s="1"/>
  <c r="Q1565" i="3"/>
  <c r="Q1566" i="3"/>
  <c r="AG1565" i="3" s="1"/>
  <c r="AJ1564" i="3" s="1"/>
  <c r="Q1571" i="3"/>
  <c r="BK1565" i="3" s="1"/>
  <c r="BN1564" i="3" s="1"/>
  <c r="Q1569" i="3"/>
  <c r="AY1565" i="3" s="1"/>
  <c r="BB1564" i="3" s="1"/>
  <c r="Q1567" i="3"/>
  <c r="AM1565" i="3" s="1"/>
  <c r="AP1564" i="3" s="1"/>
  <c r="Q1574" i="3"/>
  <c r="CC1565" i="3" s="1"/>
  <c r="CF1564" i="3" s="1"/>
  <c r="Q1572" i="3"/>
  <c r="BQ1565" i="3" s="1"/>
  <c r="BT1564" i="3" s="1"/>
  <c r="Q1568" i="3"/>
  <c r="AS1565" i="3" s="1"/>
  <c r="AV1564" i="3" s="1"/>
  <c r="Q1564" i="3"/>
  <c r="K2331" i="3"/>
  <c r="H2331" i="3"/>
  <c r="D2331" i="3"/>
  <c r="G2331" i="3"/>
  <c r="M2331" i="3"/>
  <c r="I2331" i="3"/>
  <c r="L2331" i="3"/>
  <c r="F2331" i="3"/>
  <c r="O2331" i="3"/>
  <c r="J2331" i="3"/>
  <c r="N2331" i="3"/>
  <c r="E2331" i="3"/>
  <c r="H2333" i="3"/>
  <c r="I2333" i="3"/>
  <c r="G2333" i="3"/>
  <c r="J2333" i="3"/>
  <c r="L2333" i="3"/>
  <c r="E2333" i="3"/>
  <c r="N2333" i="3"/>
  <c r="F2333" i="3"/>
  <c r="M2333" i="3"/>
  <c r="K2333" i="3"/>
  <c r="O2333" i="3"/>
  <c r="D2333" i="3"/>
  <c r="H1867" i="3"/>
  <c r="F1867" i="3"/>
  <c r="N1867" i="3"/>
  <c r="E1867" i="3"/>
  <c r="J1867" i="3"/>
  <c r="L1867" i="3"/>
  <c r="M1867" i="3"/>
  <c r="D1867" i="3"/>
  <c r="K1867" i="3"/>
  <c r="I1867" i="3"/>
  <c r="G1867" i="3"/>
  <c r="O1867" i="3"/>
  <c r="O2329" i="3"/>
  <c r="E2329" i="3"/>
  <c r="F2329" i="3"/>
  <c r="J2329" i="3"/>
  <c r="N2329" i="3"/>
  <c r="M2329" i="3"/>
  <c r="K2329" i="3"/>
  <c r="H2329" i="3"/>
  <c r="D2329" i="3"/>
  <c r="L2329" i="3"/>
  <c r="G2329" i="3"/>
  <c r="I2329" i="3"/>
  <c r="O2336" i="3"/>
  <c r="K2336" i="3"/>
  <c r="N2336" i="3"/>
  <c r="J2336" i="3"/>
  <c r="D2336" i="3"/>
  <c r="H2336" i="3"/>
  <c r="G2336" i="3"/>
  <c r="E2336" i="3"/>
  <c r="L2336" i="3"/>
  <c r="M2336" i="3"/>
  <c r="F2336" i="3"/>
  <c r="I2336" i="3"/>
  <c r="AF1633" i="3"/>
  <c r="AE1633" i="3"/>
  <c r="Y2095" i="3"/>
  <c r="Z2095" i="3"/>
  <c r="S2095" i="3"/>
  <c r="T2095" i="3"/>
  <c r="AX1633" i="3"/>
  <c r="BM1518" i="3"/>
  <c r="BN1517" i="3" s="1"/>
  <c r="BP1517" i="3" s="1"/>
  <c r="N2448" i="3"/>
  <c r="Q1286" i="3"/>
  <c r="Q1290" i="3"/>
  <c r="AS1287" i="3" s="1"/>
  <c r="Q1287" i="3"/>
  <c r="Q1288" i="3"/>
  <c r="AG1287" i="3" s="1"/>
  <c r="AJ1286" i="3" s="1"/>
  <c r="AL1286" i="3" s="1"/>
  <c r="Q1293" i="3"/>
  <c r="BK1287" i="3" s="1"/>
  <c r="BN1286" i="3" s="1"/>
  <c r="Q1295" i="3"/>
  <c r="BW1287" i="3" s="1"/>
  <c r="Q1291" i="3"/>
  <c r="AY1287" i="3" s="1"/>
  <c r="Q1294" i="3"/>
  <c r="BQ1287" i="3" s="1"/>
  <c r="BT1286" i="3" s="1"/>
  <c r="Q1292" i="3"/>
  <c r="BE1287" i="3" s="1"/>
  <c r="BH1286" i="3" s="1"/>
  <c r="Q1289" i="3"/>
  <c r="AM1287" i="3" s="1"/>
  <c r="AP1286" i="3" s="1"/>
  <c r="Q1296" i="3"/>
  <c r="CC1287" i="3" s="1"/>
  <c r="CF1286" i="3" s="1"/>
  <c r="Q250" i="3"/>
  <c r="AM248" i="3" s="1"/>
  <c r="Q247" i="3"/>
  <c r="U248" i="3" s="1"/>
  <c r="Q249" i="3"/>
  <c r="AG248" i="3" s="1"/>
  <c r="AU1518" i="3"/>
  <c r="AV1517" i="3" s="1"/>
  <c r="AW1517" i="3" s="1"/>
  <c r="CE1518" i="3"/>
  <c r="O2448" i="3"/>
  <c r="K2450" i="3"/>
  <c r="E2450" i="3"/>
  <c r="L2450" i="3"/>
  <c r="Q248" i="3"/>
  <c r="AA248" i="3" s="1"/>
  <c r="Q252" i="3"/>
  <c r="AY248" i="3" s="1"/>
  <c r="AI1518" i="3"/>
  <c r="I2448" i="3"/>
  <c r="M2450" i="3"/>
  <c r="D2450" i="3"/>
  <c r="P1611" i="3"/>
  <c r="P1615" i="3"/>
  <c r="BV2095" i="3"/>
  <c r="BU2095" i="3"/>
  <c r="AF2095" i="3"/>
  <c r="AE2095" i="3"/>
  <c r="BU894" i="3"/>
  <c r="BV894" i="3"/>
  <c r="Z894" i="3"/>
  <c r="Y894" i="3"/>
  <c r="S894" i="3"/>
  <c r="T894" i="3"/>
  <c r="B336" i="3"/>
  <c r="F2441" i="3"/>
  <c r="P2072" i="3" a="1"/>
  <c r="AF894" i="3"/>
  <c r="AE894" i="3"/>
  <c r="P2556" i="3" a="1"/>
  <c r="P2562" i="3" s="1"/>
  <c r="CA894" i="3"/>
  <c r="CB894" i="3"/>
  <c r="AR894" i="3"/>
  <c r="AQ894" i="3"/>
  <c r="Q572" i="3"/>
  <c r="Q575" i="3"/>
  <c r="AS572" i="3" s="1"/>
  <c r="Q578" i="3"/>
  <c r="BK572" i="3" s="1"/>
  <c r="BN571" i="3" s="1"/>
  <c r="Q581" i="3"/>
  <c r="CC572" i="3" s="1"/>
  <c r="CF571" i="3" s="1"/>
  <c r="Q573" i="3"/>
  <c r="AG572" i="3" s="1"/>
  <c r="Q577" i="3"/>
  <c r="BE572" i="3" s="1"/>
  <c r="BH571" i="3" s="1"/>
  <c r="Q576" i="3"/>
  <c r="AY572" i="3" s="1"/>
  <c r="Q574" i="3"/>
  <c r="AM572" i="3" s="1"/>
  <c r="AP571" i="3" s="1"/>
  <c r="Q579" i="3"/>
  <c r="BQ572" i="3" s="1"/>
  <c r="BT571" i="3" s="1"/>
  <c r="Q571" i="3"/>
  <c r="Q580" i="3"/>
  <c r="BW572" i="3" s="1"/>
  <c r="BZ571" i="3" s="1"/>
  <c r="Y1494" i="3"/>
  <c r="AJ1517" i="3"/>
  <c r="AL1517" i="3" s="1"/>
  <c r="H2442" i="3"/>
  <c r="J2441" i="3"/>
  <c r="G2441" i="3"/>
  <c r="P2767" i="3"/>
  <c r="CB802" i="3"/>
  <c r="AC1518" i="3"/>
  <c r="H2443" i="3"/>
  <c r="E2441" i="3"/>
  <c r="I2441" i="3"/>
  <c r="E2443" i="3"/>
  <c r="N2441" i="3"/>
  <c r="Q2378" i="3"/>
  <c r="BE2373" i="3" s="1"/>
  <c r="BH2372" i="3" s="1"/>
  <c r="BJ2372" i="3" s="1"/>
  <c r="B1713" i="3"/>
  <c r="B1714" i="3" s="1"/>
  <c r="L2448" i="3"/>
  <c r="K2448" i="3"/>
  <c r="AO1518" i="3"/>
  <c r="AP1517" i="3" s="1"/>
  <c r="AQ1517" i="3" s="1"/>
  <c r="M2448" i="3"/>
  <c r="BS756" i="3"/>
  <c r="BS1518" i="3"/>
  <c r="BT1517" i="3" s="1"/>
  <c r="BV1517" i="3" s="1"/>
  <c r="BH1517" i="3"/>
  <c r="BJ1517" i="3" s="1"/>
  <c r="I2443" i="3"/>
  <c r="M2441" i="3"/>
  <c r="O2441" i="3"/>
  <c r="D2441" i="3"/>
  <c r="P2764" i="3"/>
  <c r="P2773" i="3"/>
  <c r="P2766" i="3"/>
  <c r="AR802" i="3"/>
  <c r="BA1518" i="3"/>
  <c r="BB1517" i="3" s="1"/>
  <c r="BC1517" i="3" s="1"/>
  <c r="R1517" i="3"/>
  <c r="T1517" i="3" s="1"/>
  <c r="I2449" i="3"/>
  <c r="P2774" i="3"/>
  <c r="P2765" i="3"/>
  <c r="P2769" i="3"/>
  <c r="T802" i="3"/>
  <c r="J2442" i="3"/>
  <c r="E2446" i="3"/>
  <c r="L2441" i="3"/>
  <c r="H2441" i="3"/>
  <c r="P2770" i="3"/>
  <c r="P2768" i="3"/>
  <c r="K2449" i="3"/>
  <c r="Q2374" i="3"/>
  <c r="AG2373" i="3" s="1"/>
  <c r="AJ2372" i="3" s="1"/>
  <c r="AK2372" i="3" s="1"/>
  <c r="Q1800" i="3"/>
  <c r="BE1795" i="3" s="1"/>
  <c r="BD1540" i="3"/>
  <c r="X548" i="3"/>
  <c r="Z548" i="3" s="1"/>
  <c r="E2448" i="3"/>
  <c r="J2448" i="3"/>
  <c r="F2448" i="3"/>
  <c r="W756" i="3"/>
  <c r="AD548" i="3"/>
  <c r="AF548" i="3" s="1"/>
  <c r="H2448" i="3"/>
  <c r="D2448" i="3"/>
  <c r="O2449" i="3"/>
  <c r="K2451" i="3"/>
  <c r="Q2382" i="3"/>
  <c r="CC2373" i="3" s="1"/>
  <c r="CF2372" i="3" s="1"/>
  <c r="CH2372" i="3" s="1"/>
  <c r="M2451" i="3"/>
  <c r="I2446" i="3"/>
  <c r="Q1803" i="3"/>
  <c r="BW1795" i="3" s="1"/>
  <c r="BZ1794" i="3" s="1"/>
  <c r="CA1794" i="3" s="1"/>
  <c r="F2446" i="3"/>
  <c r="G2445" i="3"/>
  <c r="D2445" i="3"/>
  <c r="N2447" i="3"/>
  <c r="Q2372" i="3"/>
  <c r="U2373" i="3" s="1"/>
  <c r="X2372" i="3" s="1"/>
  <c r="Q2381" i="3"/>
  <c r="BW2373" i="3" s="1"/>
  <c r="O2445" i="3"/>
  <c r="D2447" i="3"/>
  <c r="AU756" i="3"/>
  <c r="Q2376" i="3"/>
  <c r="AS2373" i="3" s="1"/>
  <c r="AV2372" i="3" s="1"/>
  <c r="AX2372" i="3" s="1"/>
  <c r="J2447" i="3"/>
  <c r="Q1799" i="3"/>
  <c r="AY1795" i="3" s="1"/>
  <c r="CE756" i="3"/>
  <c r="BG756" i="3"/>
  <c r="AE1494" i="3"/>
  <c r="CA2002" i="3"/>
  <c r="N2449" i="3"/>
  <c r="L2449" i="3"/>
  <c r="H2449" i="3"/>
  <c r="O2451" i="3"/>
  <c r="Q1797" i="3"/>
  <c r="AM1795" i="3" s="1"/>
  <c r="Q1802" i="3"/>
  <c r="BQ1795" i="3" s="1"/>
  <c r="BT1794" i="3" s="1"/>
  <c r="BV1794" i="3" s="1"/>
  <c r="Q2375" i="3"/>
  <c r="AM2373" i="3" s="1"/>
  <c r="AP2372" i="3" s="1"/>
  <c r="AR2372" i="3" s="1"/>
  <c r="F2449" i="3"/>
  <c r="D2449" i="3"/>
  <c r="G2449" i="3"/>
  <c r="I2451" i="3"/>
  <c r="G2451" i="3"/>
  <c r="Q1804" i="3"/>
  <c r="CC1795" i="3" s="1"/>
  <c r="CF1794" i="3" s="1"/>
  <c r="CG1794" i="3" s="1"/>
  <c r="E2449" i="3"/>
  <c r="M2449" i="3"/>
  <c r="E2451" i="3"/>
  <c r="Q2377" i="3"/>
  <c r="AY2373" i="3" s="1"/>
  <c r="Q2380" i="3"/>
  <c r="BQ2373" i="3" s="1"/>
  <c r="Q2379" i="3"/>
  <c r="BK2373" i="3" s="1"/>
  <c r="BN2372" i="3" s="1"/>
  <c r="BP2372" i="3" s="1"/>
  <c r="O2442" i="3"/>
  <c r="N2442" i="3"/>
  <c r="I2442" i="3"/>
  <c r="J2443" i="3"/>
  <c r="M2443" i="3"/>
  <c r="D2443" i="3"/>
  <c r="M2446" i="3"/>
  <c r="H2446" i="3"/>
  <c r="N2446" i="3"/>
  <c r="D2451" i="3"/>
  <c r="N2451" i="3"/>
  <c r="L2451" i="3"/>
  <c r="N2445" i="3"/>
  <c r="I2445" i="3"/>
  <c r="E2445" i="3"/>
  <c r="G2447" i="3"/>
  <c r="F2447" i="3"/>
  <c r="Q1794" i="3"/>
  <c r="AI1795" i="3" s="1"/>
  <c r="Q1796" i="3"/>
  <c r="AG1795" i="3" s="1"/>
  <c r="AJ1794" i="3" s="1"/>
  <c r="AK1794" i="3" s="1"/>
  <c r="Q1795" i="3"/>
  <c r="W1795" i="3" s="1"/>
  <c r="M2447" i="3"/>
  <c r="CG986" i="3"/>
  <c r="CH986" i="3"/>
  <c r="W987" i="3"/>
  <c r="AA987" i="3"/>
  <c r="AD986" i="3" s="1"/>
  <c r="BM756" i="3"/>
  <c r="Q2373" i="3"/>
  <c r="AA2373" i="3" s="1"/>
  <c r="AD2372" i="3" s="1"/>
  <c r="L2442" i="3"/>
  <c r="F2442" i="3"/>
  <c r="D2442" i="3"/>
  <c r="L2443" i="3"/>
  <c r="K2443" i="3"/>
  <c r="G2443" i="3"/>
  <c r="L2446" i="3"/>
  <c r="G2446" i="3"/>
  <c r="J2446" i="3"/>
  <c r="J2451" i="3"/>
  <c r="F2451" i="3"/>
  <c r="H2445" i="3"/>
  <c r="J2445" i="3"/>
  <c r="F2445" i="3"/>
  <c r="Q1798" i="3"/>
  <c r="AS1795" i="3" s="1"/>
  <c r="Q1801" i="3"/>
  <c r="BK1795" i="3" s="1"/>
  <c r="R986" i="3"/>
  <c r="BS987" i="3"/>
  <c r="BT986" i="3" s="1"/>
  <c r="AI987" i="3"/>
  <c r="AJ986" i="3" s="1"/>
  <c r="BA987" i="3"/>
  <c r="BB986" i="3" s="1"/>
  <c r="U987" i="3"/>
  <c r="X986" i="3" s="1"/>
  <c r="AO987" i="3"/>
  <c r="AP986" i="3" s="1"/>
  <c r="BM987" i="3"/>
  <c r="BN986" i="3" s="1"/>
  <c r="BY987" i="3"/>
  <c r="BZ986" i="3" s="1"/>
  <c r="AC987" i="3"/>
  <c r="BG987" i="3"/>
  <c r="BH986" i="3" s="1"/>
  <c r="AU987" i="3"/>
  <c r="AV986" i="3" s="1"/>
  <c r="CE987" i="3"/>
  <c r="G2442" i="3"/>
  <c r="E2442" i="3"/>
  <c r="F2443" i="3"/>
  <c r="O2443" i="3"/>
  <c r="O2446" i="3"/>
  <c r="D2446" i="3"/>
  <c r="K2445" i="3"/>
  <c r="L2445" i="3"/>
  <c r="K2447" i="3"/>
  <c r="P1333" i="3" a="1"/>
  <c r="E2447" i="3"/>
  <c r="H2447" i="3"/>
  <c r="L2447" i="3"/>
  <c r="I2447" i="3"/>
  <c r="P1240" i="3" a="1"/>
  <c r="P1242" i="3" s="1"/>
  <c r="Q2050" i="3"/>
  <c r="AG2049" i="3" s="1"/>
  <c r="Q2049" i="3"/>
  <c r="Q2054" i="3"/>
  <c r="BE2049" i="3" s="1"/>
  <c r="Q2055" i="3"/>
  <c r="BK2049" i="3" s="1"/>
  <c r="Q2056" i="3"/>
  <c r="BQ2049" i="3" s="1"/>
  <c r="BT2048" i="3" s="1"/>
  <c r="Q2058" i="3"/>
  <c r="CC2049" i="3" s="1"/>
  <c r="CF2048" i="3" s="1"/>
  <c r="Q2048" i="3"/>
  <c r="Q2057" i="3"/>
  <c r="BW2049" i="3" s="1"/>
  <c r="BZ2048" i="3" s="1"/>
  <c r="Q2051" i="3"/>
  <c r="AM2049" i="3" s="1"/>
  <c r="Q2052" i="3"/>
  <c r="AS2049" i="3" s="1"/>
  <c r="Q2053" i="3"/>
  <c r="AY2049" i="3" s="1"/>
  <c r="P2233" i="3" a="1"/>
  <c r="P2238" i="3" s="1"/>
  <c r="AR1540" i="3"/>
  <c r="CG755" i="3"/>
  <c r="B1331" i="3"/>
  <c r="C1317" i="3" s="1"/>
  <c r="P47" i="3"/>
  <c r="P48" i="3"/>
  <c r="BP755" i="3"/>
  <c r="P49" i="3"/>
  <c r="BY756" i="3"/>
  <c r="BZ755" i="3" s="1"/>
  <c r="CB755" i="3" s="1"/>
  <c r="BA756" i="3"/>
  <c r="BB755" i="3" s="1"/>
  <c r="BC755" i="3" s="1"/>
  <c r="P50" i="3"/>
  <c r="P42" i="3"/>
  <c r="P40" i="3"/>
  <c r="BI1540" i="3"/>
  <c r="J1476" i="3"/>
  <c r="F1476" i="3"/>
  <c r="Q2218" i="3"/>
  <c r="BQ2211" i="3" s="1"/>
  <c r="BT2210" i="3" s="1"/>
  <c r="BU2210" i="3" s="1"/>
  <c r="P2031" i="3"/>
  <c r="P2027" i="3"/>
  <c r="P2033" i="3"/>
  <c r="P2034" i="3"/>
  <c r="P2035" i="3"/>
  <c r="P2032" i="3"/>
  <c r="P2028" i="3"/>
  <c r="P2030" i="3"/>
  <c r="P2026" i="3"/>
  <c r="P2025" i="3"/>
  <c r="P2029" i="3"/>
  <c r="BC1679" i="3"/>
  <c r="BD1679" i="3"/>
  <c r="BU1679" i="3"/>
  <c r="BV1679" i="3"/>
  <c r="U1680" i="3"/>
  <c r="X1679" i="3" s="1"/>
  <c r="AU1680" i="3"/>
  <c r="CE1680" i="3"/>
  <c r="R1679" i="3"/>
  <c r="AI1680" i="3"/>
  <c r="AC1680" i="3"/>
  <c r="BM1680" i="3"/>
  <c r="BG1680" i="3"/>
  <c r="BH1679" i="3" s="1"/>
  <c r="BY1680" i="3"/>
  <c r="BA1680" i="3"/>
  <c r="AO1680" i="3"/>
  <c r="BS1680" i="3"/>
  <c r="CB1679" i="3"/>
  <c r="CA1679" i="3"/>
  <c r="AR1679" i="3"/>
  <c r="AQ1679" i="3"/>
  <c r="BP1679" i="3"/>
  <c r="BO1679" i="3"/>
  <c r="CH1679" i="3"/>
  <c r="CG1679" i="3"/>
  <c r="AW1679" i="3"/>
  <c r="AX1679" i="3"/>
  <c r="AK1679" i="3"/>
  <c r="AL1679" i="3"/>
  <c r="W1680" i="3"/>
  <c r="AA1680" i="3"/>
  <c r="AD1679" i="3" s="1"/>
  <c r="AC756" i="3"/>
  <c r="AD755" i="3" s="1"/>
  <c r="Q2217" i="3"/>
  <c r="BK2211" i="3" s="1"/>
  <c r="BN2210" i="3" s="1"/>
  <c r="BP2210" i="3" s="1"/>
  <c r="D1476" i="3"/>
  <c r="N1476" i="3"/>
  <c r="L1476" i="3"/>
  <c r="AI756" i="3"/>
  <c r="AJ755" i="3" s="1"/>
  <c r="AL755" i="3" s="1"/>
  <c r="AV755" i="3"/>
  <c r="AW755" i="3" s="1"/>
  <c r="CG2002" i="3"/>
  <c r="M1476" i="3"/>
  <c r="I1476" i="3"/>
  <c r="G1476" i="3"/>
  <c r="O1476" i="3"/>
  <c r="K1476" i="3"/>
  <c r="P2723" i="3"/>
  <c r="BB2487" i="3"/>
  <c r="BC2487" i="3" s="1"/>
  <c r="P2725" i="3"/>
  <c r="P2724" i="3"/>
  <c r="P2722" i="3"/>
  <c r="P2726" i="3"/>
  <c r="P2510" i="3" a="1"/>
  <c r="P2510" i="3" s="1"/>
  <c r="P2718" i="3"/>
  <c r="P2719" i="3"/>
  <c r="P2720" i="3"/>
  <c r="P2727" i="3"/>
  <c r="P2728" i="3"/>
  <c r="AL1494" i="3"/>
  <c r="AK1494" i="3"/>
  <c r="AW1494" i="3"/>
  <c r="AX1494" i="3"/>
  <c r="BT755" i="3"/>
  <c r="BV755" i="3" s="1"/>
  <c r="Q2211" i="3"/>
  <c r="W2211" i="3" s="1"/>
  <c r="T1494" i="3"/>
  <c r="BY2003" i="3"/>
  <c r="B190" i="3"/>
  <c r="Q2213" i="3"/>
  <c r="AM2211" i="3" s="1"/>
  <c r="AP2210" i="3" s="1"/>
  <c r="AR2210" i="3" s="1"/>
  <c r="H1473" i="3"/>
  <c r="K1473" i="3"/>
  <c r="M1473" i="3"/>
  <c r="L1473" i="3"/>
  <c r="O1473" i="3"/>
  <c r="J1473" i="3"/>
  <c r="D1473" i="3"/>
  <c r="N1473" i="3"/>
  <c r="E1473" i="3"/>
  <c r="F1473" i="3"/>
  <c r="I1473" i="3"/>
  <c r="G1473" i="3"/>
  <c r="H1480" i="3"/>
  <c r="O1480" i="3"/>
  <c r="I1480" i="3"/>
  <c r="G1480" i="3"/>
  <c r="N1480" i="3"/>
  <c r="J1480" i="3"/>
  <c r="K1480" i="3"/>
  <c r="M1480" i="3"/>
  <c r="F1480" i="3"/>
  <c r="D1480" i="3"/>
  <c r="E1480" i="3"/>
  <c r="L1480" i="3"/>
  <c r="H1474" i="3"/>
  <c r="N1474" i="3"/>
  <c r="K1474" i="3"/>
  <c r="O1474" i="3"/>
  <c r="F1474" i="3"/>
  <c r="G1474" i="3"/>
  <c r="M1474" i="3"/>
  <c r="E1474" i="3"/>
  <c r="L1474" i="3"/>
  <c r="I1474" i="3"/>
  <c r="J1474" i="3"/>
  <c r="D1474" i="3"/>
  <c r="Q2212" i="3"/>
  <c r="AG2211" i="3" s="1"/>
  <c r="AJ2210" i="3" s="1"/>
  <c r="AL2210" i="3" s="1"/>
  <c r="Q2215" i="3"/>
  <c r="AY2211" i="3" s="1"/>
  <c r="BB2210" i="3" s="1"/>
  <c r="BD2210" i="3" s="1"/>
  <c r="Q2220" i="3"/>
  <c r="CC2211" i="3" s="1"/>
  <c r="CF2210" i="3" s="1"/>
  <c r="I1479" i="3"/>
  <c r="F1479" i="3"/>
  <c r="O1479" i="3"/>
  <c r="K1479" i="3"/>
  <c r="N1479" i="3"/>
  <c r="M1479" i="3"/>
  <c r="J1479" i="3"/>
  <c r="G1479" i="3"/>
  <c r="E1479" i="3"/>
  <c r="D1479" i="3"/>
  <c r="L1479" i="3"/>
  <c r="H1479" i="3"/>
  <c r="N1478" i="3"/>
  <c r="D1478" i="3"/>
  <c r="J1478" i="3"/>
  <c r="M1478" i="3"/>
  <c r="G1478" i="3"/>
  <c r="O1478" i="3"/>
  <c r="E1478" i="3"/>
  <c r="H1478" i="3"/>
  <c r="I1478" i="3"/>
  <c r="L1478" i="3"/>
  <c r="K1478" i="3"/>
  <c r="F1478" i="3"/>
  <c r="Q2210" i="3"/>
  <c r="Q2214" i="3"/>
  <c r="AS2211" i="3" s="1"/>
  <c r="AV2210" i="3" s="1"/>
  <c r="Q2216" i="3"/>
  <c r="BE2211" i="3" s="1"/>
  <c r="BH2210" i="3" s="1"/>
  <c r="AQ2002" i="3"/>
  <c r="D1475" i="3"/>
  <c r="M1475" i="3"/>
  <c r="I1475" i="3"/>
  <c r="K1475" i="3"/>
  <c r="O1475" i="3"/>
  <c r="G1475" i="3"/>
  <c r="L1475" i="3"/>
  <c r="F1475" i="3"/>
  <c r="J1475" i="3"/>
  <c r="H1475" i="3"/>
  <c r="E1475" i="3"/>
  <c r="N1475" i="3"/>
  <c r="M1477" i="3"/>
  <c r="L1477" i="3"/>
  <c r="H1477" i="3"/>
  <c r="D1477" i="3"/>
  <c r="E1477" i="3"/>
  <c r="F1477" i="3"/>
  <c r="K1477" i="3"/>
  <c r="J1477" i="3"/>
  <c r="I1477" i="3"/>
  <c r="O1477" i="3"/>
  <c r="G1477" i="3"/>
  <c r="N1477" i="3"/>
  <c r="G1481" i="3"/>
  <c r="H1481" i="3"/>
  <c r="O1481" i="3"/>
  <c r="D1481" i="3"/>
  <c r="E1481" i="3"/>
  <c r="K1481" i="3"/>
  <c r="L1481" i="3"/>
  <c r="M1481" i="3"/>
  <c r="J1481" i="3"/>
  <c r="I1481" i="3"/>
  <c r="F1481" i="3"/>
  <c r="N1481" i="3"/>
  <c r="L1472" i="3"/>
  <c r="D1472" i="3"/>
  <c r="E1472" i="3"/>
  <c r="I1472" i="3"/>
  <c r="J1472" i="3"/>
  <c r="G1472" i="3"/>
  <c r="F1472" i="3"/>
  <c r="M1472" i="3"/>
  <c r="O1472" i="3"/>
  <c r="N1472" i="3"/>
  <c r="K1472" i="3"/>
  <c r="H1472" i="3"/>
  <c r="AQ1494" i="3"/>
  <c r="AR1494" i="3"/>
  <c r="BJ1494" i="3"/>
  <c r="BI1494" i="3"/>
  <c r="W2003" i="3"/>
  <c r="AE1540" i="3"/>
  <c r="BD1494" i="3"/>
  <c r="BH755" i="3"/>
  <c r="Q2219" i="3"/>
  <c r="BW2211" i="3" s="1"/>
  <c r="BZ2210" i="3" s="1"/>
  <c r="CA2210" i="3" s="1"/>
  <c r="AF825" i="3"/>
  <c r="P45" i="3"/>
  <c r="P46" i="3"/>
  <c r="R2002" i="3"/>
  <c r="S2002" i="3" s="1"/>
  <c r="P44" i="3"/>
  <c r="P41" i="3"/>
  <c r="AO756" i="3"/>
  <c r="AP755" i="3" s="1"/>
  <c r="AR755" i="3" s="1"/>
  <c r="R755" i="3"/>
  <c r="T755" i="3" s="1"/>
  <c r="BM2003" i="3"/>
  <c r="BN2002" i="3" s="1"/>
  <c r="BO2002" i="3" s="1"/>
  <c r="AU2003" i="3"/>
  <c r="AV2002" i="3" s="1"/>
  <c r="Q1435" i="3"/>
  <c r="CC1426" i="3" s="1"/>
  <c r="CF1425" i="3" s="1"/>
  <c r="CH1425" i="3" s="1"/>
  <c r="BA2003" i="3"/>
  <c r="BB2002" i="3" s="1"/>
  <c r="BS2003" i="3"/>
  <c r="BT2002" i="3" s="1"/>
  <c r="BG2003" i="3"/>
  <c r="BH2002" i="3" s="1"/>
  <c r="AO2003" i="3"/>
  <c r="AC2003" i="3"/>
  <c r="AI2003" i="3"/>
  <c r="AK1217" i="3"/>
  <c r="BO1540" i="3"/>
  <c r="CE2003" i="3"/>
  <c r="U2003" i="3"/>
  <c r="X2002" i="3" s="1"/>
  <c r="Z2002" i="3" s="1"/>
  <c r="Q65" i="3"/>
  <c r="AG64" i="3" s="1"/>
  <c r="Q1433" i="3"/>
  <c r="BQ1426" i="3" s="1"/>
  <c r="BT1425" i="3" s="1"/>
  <c r="BU1425" i="3" s="1"/>
  <c r="Q1110" i="3"/>
  <c r="BQ1103" i="3" s="1"/>
  <c r="BT1102" i="3" s="1"/>
  <c r="BU1102" i="3" s="1"/>
  <c r="Q1425" i="3"/>
  <c r="Q73" i="3"/>
  <c r="CC64" i="3" s="1"/>
  <c r="CF63" i="3" s="1"/>
  <c r="CG63" i="3" s="1"/>
  <c r="AO2488" i="3"/>
  <c r="AP2487" i="3" s="1"/>
  <c r="BA2488" i="3"/>
  <c r="AC2488" i="3"/>
  <c r="AI2488" i="3"/>
  <c r="U2488" i="3"/>
  <c r="X2487" i="3" s="1"/>
  <c r="R2487" i="3"/>
  <c r="BM2488" i="3"/>
  <c r="BN2487" i="3" s="1"/>
  <c r="BY2488" i="3"/>
  <c r="BZ2487" i="3" s="1"/>
  <c r="CE2488" i="3"/>
  <c r="BS2488" i="3"/>
  <c r="BT2487" i="3" s="1"/>
  <c r="BG2488" i="3"/>
  <c r="AU2488" i="3"/>
  <c r="AV2487" i="3" s="1"/>
  <c r="Q1428" i="3"/>
  <c r="AM1426" i="3" s="1"/>
  <c r="AP1425" i="3" s="1"/>
  <c r="AQ1425" i="3" s="1"/>
  <c r="Q1426" i="3"/>
  <c r="W1426" i="3" s="1"/>
  <c r="Q1427" i="3"/>
  <c r="AG1426" i="3" s="1"/>
  <c r="AJ1425" i="3" s="1"/>
  <c r="AL1425" i="3" s="1"/>
  <c r="AL2487" i="3"/>
  <c r="AK2487" i="3"/>
  <c r="AA2488" i="3"/>
  <c r="AD2487" i="3" s="1"/>
  <c r="W2488" i="3"/>
  <c r="Q72" i="3"/>
  <c r="BW64" i="3" s="1"/>
  <c r="BZ63" i="3" s="1"/>
  <c r="CA63" i="3" s="1"/>
  <c r="Q1434" i="3"/>
  <c r="BW1426" i="3" s="1"/>
  <c r="BZ1425" i="3" s="1"/>
  <c r="CB1425" i="3" s="1"/>
  <c r="Q1431" i="3"/>
  <c r="BE1426" i="3" s="1"/>
  <c r="BH1425" i="3" s="1"/>
  <c r="BJ1425" i="3" s="1"/>
  <c r="Q1430" i="3"/>
  <c r="AY1426" i="3" s="1"/>
  <c r="BJ2487" i="3"/>
  <c r="BI2487" i="3"/>
  <c r="AL1540" i="3"/>
  <c r="Q1432" i="3"/>
  <c r="BK1426" i="3" s="1"/>
  <c r="BN1425" i="3" s="1"/>
  <c r="BO1425" i="3" s="1"/>
  <c r="Q1429" i="3"/>
  <c r="AS1426" i="3" s="1"/>
  <c r="AV1425" i="3" s="1"/>
  <c r="AW1425" i="3" s="1"/>
  <c r="CH2487" i="3"/>
  <c r="CG2487" i="3"/>
  <c r="Q922" i="3"/>
  <c r="AY918" i="3" s="1"/>
  <c r="Q924" i="3"/>
  <c r="BK918" i="3" s="1"/>
  <c r="Q921" i="3"/>
  <c r="AS918" i="3" s="1"/>
  <c r="Q918" i="3"/>
  <c r="Q923" i="3"/>
  <c r="BE918" i="3" s="1"/>
  <c r="Q925" i="3"/>
  <c r="BQ918" i="3" s="1"/>
  <c r="BT917" i="3" s="1"/>
  <c r="Q917" i="3"/>
  <c r="Q927" i="3"/>
  <c r="CC918" i="3" s="1"/>
  <c r="CF917" i="3" s="1"/>
  <c r="Q919" i="3"/>
  <c r="AG918" i="3" s="1"/>
  <c r="AJ917" i="3" s="1"/>
  <c r="Q920" i="3"/>
  <c r="AM918" i="3" s="1"/>
  <c r="Q926" i="3"/>
  <c r="BW918" i="3" s="1"/>
  <c r="BZ917" i="3" s="1"/>
  <c r="AK2672" i="3"/>
  <c r="AL2672" i="3"/>
  <c r="AI2673" i="3"/>
  <c r="AC2673" i="3"/>
  <c r="BY2673" i="3"/>
  <c r="BM2673" i="3"/>
  <c r="CE2673" i="3"/>
  <c r="R2672" i="3"/>
  <c r="BA2673" i="3"/>
  <c r="BS2673" i="3"/>
  <c r="AU2673" i="3"/>
  <c r="AO2673" i="3"/>
  <c r="BG2673" i="3"/>
  <c r="U2673" i="3"/>
  <c r="X2672" i="3" s="1"/>
  <c r="BC2672" i="3"/>
  <c r="BD2672" i="3"/>
  <c r="AR2672" i="3"/>
  <c r="AQ2672" i="3"/>
  <c r="CA2672" i="3"/>
  <c r="CB2672" i="3"/>
  <c r="BV2672" i="3"/>
  <c r="BU2672" i="3"/>
  <c r="Q137" i="3"/>
  <c r="AY133" i="3" s="1"/>
  <c r="BI2672" i="3"/>
  <c r="BJ2672" i="3"/>
  <c r="W2673" i="3"/>
  <c r="AA2673" i="3"/>
  <c r="AD2672" i="3" s="1"/>
  <c r="CG2672" i="3"/>
  <c r="CH2672" i="3"/>
  <c r="BP2672" i="3"/>
  <c r="BO2672" i="3"/>
  <c r="AW2672" i="3"/>
  <c r="AX2672" i="3"/>
  <c r="Q133" i="3"/>
  <c r="W133" i="3" s="1"/>
  <c r="Q142" i="3"/>
  <c r="CC133" i="3" s="1"/>
  <c r="CF132" i="3" s="1"/>
  <c r="CG132" i="3" s="1"/>
  <c r="Q64" i="3"/>
  <c r="AA64" i="3" s="1"/>
  <c r="AD63" i="3" s="1"/>
  <c r="Q1112" i="3"/>
  <c r="CC1103" i="3" s="1"/>
  <c r="CF1102" i="3" s="1"/>
  <c r="CG1102" i="3" s="1"/>
  <c r="Q67" i="3"/>
  <c r="AS64" i="3" s="1"/>
  <c r="Q69" i="3"/>
  <c r="BE64" i="3" s="1"/>
  <c r="BH63" i="3" s="1"/>
  <c r="BJ63" i="3" s="1"/>
  <c r="Q134" i="3"/>
  <c r="AG133" i="3" s="1"/>
  <c r="AR1517" i="3"/>
  <c r="Q66" i="3"/>
  <c r="AM64" i="3" s="1"/>
  <c r="AP63" i="3" s="1"/>
  <c r="AQ63" i="3" s="1"/>
  <c r="Q71" i="3"/>
  <c r="BQ64" i="3" s="1"/>
  <c r="BT63" i="3" s="1"/>
  <c r="BV63" i="3" s="1"/>
  <c r="Q70" i="3"/>
  <c r="BK64" i="3" s="1"/>
  <c r="BN63" i="3" s="1"/>
  <c r="BO63" i="3" s="1"/>
  <c r="Q132" i="3"/>
  <c r="Z1517" i="3"/>
  <c r="Y1517" i="3"/>
  <c r="BD1171" i="3"/>
  <c r="Q231" i="3"/>
  <c r="BK225" i="3" s="1"/>
  <c r="BN224" i="3" s="1"/>
  <c r="BP224" i="3" s="1"/>
  <c r="Q68" i="3"/>
  <c r="AY64" i="3" s="1"/>
  <c r="BB63" i="3" s="1"/>
  <c r="BD63" i="3" s="1"/>
  <c r="Q63" i="3"/>
  <c r="U64" i="3" s="1"/>
  <c r="Q141" i="3"/>
  <c r="BW133" i="3" s="1"/>
  <c r="AL548" i="3"/>
  <c r="AK548" i="3"/>
  <c r="Q136" i="3"/>
  <c r="AS133" i="3" s="1"/>
  <c r="Q138" i="3"/>
  <c r="BE133" i="3" s="1"/>
  <c r="BH132" i="3" s="1"/>
  <c r="BI132" i="3" s="1"/>
  <c r="Q135" i="3"/>
  <c r="AM133" i="3" s="1"/>
  <c r="Q1038" i="3"/>
  <c r="BE1033" i="3" s="1"/>
  <c r="Q1036" i="3"/>
  <c r="AS1033" i="3" s="1"/>
  <c r="Q1034" i="3"/>
  <c r="AG1033" i="3" s="1"/>
  <c r="Q1037" i="3"/>
  <c r="AY1033" i="3" s="1"/>
  <c r="Q1041" i="3"/>
  <c r="BW1033" i="3" s="1"/>
  <c r="BZ1032" i="3" s="1"/>
  <c r="Q1032" i="3"/>
  <c r="Q1042" i="3"/>
  <c r="CC1033" i="3" s="1"/>
  <c r="CF1032" i="3" s="1"/>
  <c r="Q1040" i="3"/>
  <c r="BQ1033" i="3" s="1"/>
  <c r="BT1032" i="3" s="1"/>
  <c r="Q1033" i="3"/>
  <c r="Q1035" i="3"/>
  <c r="AM1033" i="3" s="1"/>
  <c r="Q1039" i="3"/>
  <c r="BK1033" i="3" s="1"/>
  <c r="Q2280" i="3"/>
  <c r="Q2289" i="3"/>
  <c r="CC2280" i="3" s="1"/>
  <c r="CF2279" i="3" s="1"/>
  <c r="Q2283" i="3"/>
  <c r="AS2280" i="3" s="1"/>
  <c r="AV2279" i="3" s="1"/>
  <c r="Q2284" i="3"/>
  <c r="AY2280" i="3" s="1"/>
  <c r="BB2279" i="3" s="1"/>
  <c r="Q2287" i="3"/>
  <c r="BQ2280" i="3" s="1"/>
  <c r="Q2281" i="3"/>
  <c r="AG2280" i="3" s="1"/>
  <c r="AJ2279" i="3" s="1"/>
  <c r="Q2282" i="3"/>
  <c r="AM2280" i="3" s="1"/>
  <c r="Q2288" i="3"/>
  <c r="BW2280" i="3" s="1"/>
  <c r="Q2285" i="3"/>
  <c r="BE2280" i="3" s="1"/>
  <c r="Q2286" i="3"/>
  <c r="BK2280" i="3" s="1"/>
  <c r="BN2279" i="3" s="1"/>
  <c r="Q2279" i="3"/>
  <c r="T548" i="3"/>
  <c r="S548" i="3"/>
  <c r="Q139" i="3"/>
  <c r="BK133" i="3" s="1"/>
  <c r="BN132" i="3" s="1"/>
  <c r="Q140" i="3"/>
  <c r="BQ133" i="3" s="1"/>
  <c r="BT132" i="3" s="1"/>
  <c r="BV132" i="3" s="1"/>
  <c r="AF2002" i="3"/>
  <c r="AE2002" i="3"/>
  <c r="P1755" i="3"/>
  <c r="P1756" i="3"/>
  <c r="P1750" i="3"/>
  <c r="P1753" i="3"/>
  <c r="P1749" i="3"/>
  <c r="P1754" i="3"/>
  <c r="P1758" i="3"/>
  <c r="P1751" i="3"/>
  <c r="P1757" i="3"/>
  <c r="P1748" i="3"/>
  <c r="P1752" i="3"/>
  <c r="Q1104" i="3"/>
  <c r="AG1103" i="3" s="1"/>
  <c r="Q1657" i="3"/>
  <c r="S1540" i="3"/>
  <c r="Q1106" i="3"/>
  <c r="AS1103" i="3" s="1"/>
  <c r="Q1107" i="3"/>
  <c r="AY1103" i="3" s="1"/>
  <c r="C90" i="3"/>
  <c r="L90" i="3" s="1"/>
  <c r="C94" i="3"/>
  <c r="K94" i="3" s="1"/>
  <c r="Q1660" i="3"/>
  <c r="AS1657" i="3" s="1"/>
  <c r="AV1656" i="3" s="1"/>
  <c r="AX1656" i="3" s="1"/>
  <c r="Q1656" i="3"/>
  <c r="AW1217" i="3"/>
  <c r="Q1108" i="3"/>
  <c r="BE1103" i="3" s="1"/>
  <c r="BH1102" i="3" s="1"/>
  <c r="BI1102" i="3" s="1"/>
  <c r="Q1103" i="3"/>
  <c r="AA1103" i="3" s="1"/>
  <c r="AD1102" i="3" s="1"/>
  <c r="Q1105" i="3"/>
  <c r="AM1103" i="3" s="1"/>
  <c r="AP1102" i="3" s="1"/>
  <c r="AQ1102" i="3" s="1"/>
  <c r="Q1111" i="3"/>
  <c r="BW1103" i="3" s="1"/>
  <c r="BZ1102" i="3" s="1"/>
  <c r="CB1102" i="3" s="1"/>
  <c r="Q1102" i="3"/>
  <c r="Q1109" i="3"/>
  <c r="BK1103" i="3" s="1"/>
  <c r="BN1102" i="3" s="1"/>
  <c r="BP1102" i="3" s="1"/>
  <c r="Q1658" i="3"/>
  <c r="AG1657" i="3" s="1"/>
  <c r="AJ1656" i="3" s="1"/>
  <c r="AK1656" i="3" s="1"/>
  <c r="C95" i="3"/>
  <c r="K95" i="3" s="1"/>
  <c r="C88" i="3"/>
  <c r="M88" i="3" s="1"/>
  <c r="W1172" i="3"/>
  <c r="Q1659" i="3"/>
  <c r="Q1662" i="3"/>
  <c r="BE1657" i="3" s="1"/>
  <c r="Q1665" i="3"/>
  <c r="BW1657" i="3" s="1"/>
  <c r="BZ1656" i="3" s="1"/>
  <c r="CB1656" i="3" s="1"/>
  <c r="Q1661" i="3"/>
  <c r="AY1657" i="3" s="1"/>
  <c r="Q1664" i="3"/>
  <c r="BQ1657" i="3" s="1"/>
  <c r="BT1656" i="3" s="1"/>
  <c r="BV1656" i="3" s="1"/>
  <c r="Q1663" i="3"/>
  <c r="BK1657" i="3" s="1"/>
  <c r="BN1656" i="3" s="1"/>
  <c r="Q1666" i="3"/>
  <c r="CC1657" i="3" s="1"/>
  <c r="CF1656" i="3" s="1"/>
  <c r="CG1656" i="3" s="1"/>
  <c r="Q1403" i="3"/>
  <c r="Q1406" i="3"/>
  <c r="AS1403" i="3" s="1"/>
  <c r="Q1411" i="3"/>
  <c r="BW1403" i="3" s="1"/>
  <c r="BZ1402" i="3" s="1"/>
  <c r="Q1405" i="3"/>
  <c r="AM1403" i="3" s="1"/>
  <c r="AP1402" i="3" s="1"/>
  <c r="Q1407" i="3"/>
  <c r="AY1403" i="3" s="1"/>
  <c r="Q1402" i="3"/>
  <c r="Q1409" i="3"/>
  <c r="BK1403" i="3" s="1"/>
  <c r="BN1402" i="3" s="1"/>
  <c r="Q1404" i="3"/>
  <c r="AG1403" i="3" s="1"/>
  <c r="AJ1402" i="3" s="1"/>
  <c r="Q1410" i="3"/>
  <c r="BQ1403" i="3" s="1"/>
  <c r="BT1402" i="3" s="1"/>
  <c r="Q1412" i="3"/>
  <c r="CC1403" i="3" s="1"/>
  <c r="CF1402" i="3" s="1"/>
  <c r="Q1408" i="3"/>
  <c r="BE1403" i="3" s="1"/>
  <c r="BH1402" i="3" s="1"/>
  <c r="AI1172" i="3"/>
  <c r="B435" i="3"/>
  <c r="B436" i="3" s="1"/>
  <c r="B437" i="3" s="1"/>
  <c r="B438" i="3" s="1"/>
  <c r="P2190" i="3"/>
  <c r="P2188" i="3"/>
  <c r="P2196" i="3"/>
  <c r="P2187" i="3"/>
  <c r="P2191" i="3"/>
  <c r="P2189" i="3"/>
  <c r="P2194" i="3"/>
  <c r="P2192" i="3"/>
  <c r="P2193" i="3"/>
  <c r="P2197" i="3"/>
  <c r="P2195" i="3"/>
  <c r="Q507" i="3"/>
  <c r="BE502" i="3" s="1"/>
  <c r="Q227" i="3"/>
  <c r="AM225" i="3" s="1"/>
  <c r="Q225" i="3"/>
  <c r="AA225" i="3" s="1"/>
  <c r="P1982" i="3"/>
  <c r="P1984" i="3"/>
  <c r="P1985" i="3"/>
  <c r="P1986" i="3"/>
  <c r="P1983" i="3"/>
  <c r="P1988" i="3"/>
  <c r="P1980" i="3"/>
  <c r="P1989" i="3"/>
  <c r="P1981" i="3"/>
  <c r="P1987" i="3"/>
  <c r="P1979" i="3"/>
  <c r="Z1171" i="3"/>
  <c r="Q2144" i="3"/>
  <c r="AM2142" i="3" s="1"/>
  <c r="AP2141" i="3" s="1"/>
  <c r="Q2141" i="3"/>
  <c r="Q2143" i="3"/>
  <c r="AG2142" i="3" s="1"/>
  <c r="AJ2141" i="3" s="1"/>
  <c r="Q2147" i="3"/>
  <c r="BE2142" i="3" s="1"/>
  <c r="BH2141" i="3" s="1"/>
  <c r="Q2151" i="3"/>
  <c r="CC2142" i="3" s="1"/>
  <c r="CF2141" i="3" s="1"/>
  <c r="Q2148" i="3"/>
  <c r="BK2142" i="3" s="1"/>
  <c r="BN2141" i="3" s="1"/>
  <c r="Q2142" i="3"/>
  <c r="Q2145" i="3"/>
  <c r="AS2142" i="3" s="1"/>
  <c r="AV2141" i="3" s="1"/>
  <c r="Q2146" i="3"/>
  <c r="AY2142" i="3" s="1"/>
  <c r="BB2141" i="3" s="1"/>
  <c r="Q2150" i="3"/>
  <c r="BW2142" i="3" s="1"/>
  <c r="BZ2141" i="3" s="1"/>
  <c r="Q2149" i="3"/>
  <c r="BQ2142" i="3" s="1"/>
  <c r="BT2141" i="3" s="1"/>
  <c r="X755" i="3"/>
  <c r="Y755" i="3" s="1"/>
  <c r="Y1217" i="3"/>
  <c r="Q503" i="3"/>
  <c r="AG502" i="3" s="1"/>
  <c r="Q504" i="3"/>
  <c r="AM502" i="3" s="1"/>
  <c r="BV1171" i="3"/>
  <c r="Q229" i="3"/>
  <c r="AY225" i="3" s="1"/>
  <c r="Q232" i="3"/>
  <c r="BQ225" i="3" s="1"/>
  <c r="Q228" i="3"/>
  <c r="AS225" i="3" s="1"/>
  <c r="Q226" i="3"/>
  <c r="AG225" i="3" s="1"/>
  <c r="Q234" i="3"/>
  <c r="CC225" i="3" s="1"/>
  <c r="CF224" i="3" s="1"/>
  <c r="CH224" i="3" s="1"/>
  <c r="Q510" i="3"/>
  <c r="BW502" i="3" s="1"/>
  <c r="BZ501" i="3" s="1"/>
  <c r="CA501" i="3" s="1"/>
  <c r="Q505" i="3"/>
  <c r="AS502" i="3" s="1"/>
  <c r="CA1217" i="3"/>
  <c r="Q233" i="3"/>
  <c r="BW225" i="3" s="1"/>
  <c r="Q509" i="3"/>
  <c r="BQ502" i="3" s="1"/>
  <c r="BT501" i="3" s="1"/>
  <c r="BV501" i="3" s="1"/>
  <c r="Q506" i="3"/>
  <c r="AY502" i="3" s="1"/>
  <c r="CE1172" i="3"/>
  <c r="AU1172" i="3"/>
  <c r="Q501" i="3"/>
  <c r="U502" i="3" s="1"/>
  <c r="Q502" i="3"/>
  <c r="AA502" i="3" s="1"/>
  <c r="Q511" i="3"/>
  <c r="CC502" i="3" s="1"/>
  <c r="CF501" i="3" s="1"/>
  <c r="CG501" i="3" s="1"/>
  <c r="AQ1171" i="3"/>
  <c r="Q224" i="3"/>
  <c r="Q230" i="3"/>
  <c r="BE225" i="3" s="1"/>
  <c r="Q508" i="3"/>
  <c r="BK502" i="3" s="1"/>
  <c r="BN501" i="3" s="1"/>
  <c r="BP501" i="3" s="1"/>
  <c r="C93" i="3"/>
  <c r="BV2164" i="3"/>
  <c r="BU2164" i="3"/>
  <c r="BI2164" i="3"/>
  <c r="BJ2164" i="3"/>
  <c r="W2165" i="3"/>
  <c r="AA2165" i="3"/>
  <c r="AD2164" i="3" s="1"/>
  <c r="BC2164" i="3"/>
  <c r="BD2164" i="3"/>
  <c r="AI2165" i="3"/>
  <c r="BM2165" i="3"/>
  <c r="AO2165" i="3"/>
  <c r="R2164" i="3"/>
  <c r="CE2165" i="3"/>
  <c r="AU2165" i="3"/>
  <c r="U2165" i="3"/>
  <c r="X2164" i="3" s="1"/>
  <c r="BS2165" i="3"/>
  <c r="AC2165" i="3"/>
  <c r="BY2165" i="3"/>
  <c r="BG2165" i="3"/>
  <c r="BA2165" i="3"/>
  <c r="AX2164" i="3"/>
  <c r="AW2164" i="3"/>
  <c r="CB2164" i="3"/>
  <c r="CA2164" i="3"/>
  <c r="BP2164" i="3"/>
  <c r="BO2164" i="3"/>
  <c r="CH2164" i="3"/>
  <c r="CG2164" i="3"/>
  <c r="P1356" i="3"/>
  <c r="P1358" i="3"/>
  <c r="P1360" i="3"/>
  <c r="P1363" i="3"/>
  <c r="P1357" i="3"/>
  <c r="P1362" i="3"/>
  <c r="P1364" i="3"/>
  <c r="P1359" i="3"/>
  <c r="P1366" i="3"/>
  <c r="P1365" i="3"/>
  <c r="P1361" i="3"/>
  <c r="AK2164" i="3"/>
  <c r="AL2164" i="3"/>
  <c r="AQ2164" i="3"/>
  <c r="AR2164" i="3"/>
  <c r="H86" i="3"/>
  <c r="J86" i="3"/>
  <c r="F86" i="3"/>
  <c r="K86" i="3"/>
  <c r="M86" i="3"/>
  <c r="O86" i="3"/>
  <c r="I86" i="3"/>
  <c r="E86" i="3"/>
  <c r="L86" i="3"/>
  <c r="G86" i="3"/>
  <c r="D86" i="3"/>
  <c r="N86" i="3"/>
  <c r="C96" i="3"/>
  <c r="C92" i="3"/>
  <c r="C87" i="3"/>
  <c r="C89" i="3"/>
  <c r="C91" i="3"/>
  <c r="S2118" i="3"/>
  <c r="T2118" i="3"/>
  <c r="AF2118" i="3"/>
  <c r="AE2118" i="3"/>
  <c r="Z2118" i="3"/>
  <c r="Y2118" i="3"/>
  <c r="Q853" i="3"/>
  <c r="AY849" i="3" s="1"/>
  <c r="Q848" i="3"/>
  <c r="Q856" i="3"/>
  <c r="BQ849" i="3" s="1"/>
  <c r="Q851" i="3"/>
  <c r="AM849" i="3" s="1"/>
  <c r="Q854" i="3"/>
  <c r="BE849" i="3" s="1"/>
  <c r="Q852" i="3"/>
  <c r="AS849" i="3" s="1"/>
  <c r="Q857" i="3"/>
  <c r="BW849" i="3" s="1"/>
  <c r="Q858" i="3"/>
  <c r="CC849" i="3" s="1"/>
  <c r="CF848" i="3" s="1"/>
  <c r="Q850" i="3"/>
  <c r="AG849" i="3" s="1"/>
  <c r="Q849" i="3"/>
  <c r="Q855" i="3"/>
  <c r="BK849" i="3" s="1"/>
  <c r="R1171" i="3"/>
  <c r="S1171" i="3" s="1"/>
  <c r="AE1171" i="3"/>
  <c r="BY1172" i="3"/>
  <c r="P642" i="3"/>
  <c r="P643" i="3"/>
  <c r="P641" i="3"/>
  <c r="P649" i="3"/>
  <c r="P644" i="3"/>
  <c r="P645" i="3"/>
  <c r="P648" i="3"/>
  <c r="P647" i="3"/>
  <c r="P640" i="3"/>
  <c r="P646" i="3"/>
  <c r="P650" i="3"/>
  <c r="AR1217" i="3"/>
  <c r="BP1217" i="3"/>
  <c r="AO1172" i="3"/>
  <c r="B1452" i="3"/>
  <c r="B1453" i="3" s="1"/>
  <c r="P1887" i="3" a="1"/>
  <c r="P1889" i="3" s="1"/>
  <c r="P594" i="3" a="1"/>
  <c r="P273" i="3"/>
  <c r="P276" i="3"/>
  <c r="P274" i="3"/>
  <c r="P270" i="3"/>
  <c r="P271" i="3"/>
  <c r="P272" i="3"/>
  <c r="P278" i="3"/>
  <c r="P280" i="3"/>
  <c r="P277" i="3"/>
  <c r="P279" i="3"/>
  <c r="P275" i="3"/>
  <c r="CH1171" i="3"/>
  <c r="CG1171" i="3"/>
  <c r="BM1172" i="3"/>
  <c r="B957" i="3"/>
  <c r="B958" i="3" s="1"/>
  <c r="T1217" i="3"/>
  <c r="BA1172" i="3"/>
  <c r="AE617" i="3"/>
  <c r="AF617" i="3"/>
  <c r="P871" i="3" a="1"/>
  <c r="X617" i="3"/>
  <c r="BP617" i="3"/>
  <c r="BO617" i="3"/>
  <c r="BJ1171" i="3"/>
  <c r="BI1171" i="3"/>
  <c r="BS1172" i="3"/>
  <c r="BD617" i="3"/>
  <c r="BC617" i="3"/>
  <c r="AG1172" i="3"/>
  <c r="AJ1171" i="3" s="1"/>
  <c r="AC1172" i="3"/>
  <c r="BP1171" i="3"/>
  <c r="BO1171" i="3"/>
  <c r="AK617" i="3"/>
  <c r="AL617" i="3"/>
  <c r="AW617" i="3"/>
  <c r="AX617" i="3"/>
  <c r="CA1171" i="3"/>
  <c r="CB1171" i="3"/>
  <c r="BG1172" i="3"/>
  <c r="AQ617" i="3"/>
  <c r="AR617" i="3"/>
  <c r="S617" i="3"/>
  <c r="T617" i="3"/>
  <c r="AW1171" i="3"/>
  <c r="AX1171" i="3"/>
  <c r="B1967" i="3"/>
  <c r="B1968" i="3" s="1"/>
  <c r="B1969" i="3" s="1"/>
  <c r="BO1841" i="3"/>
  <c r="BP1841" i="3"/>
  <c r="S409" i="3"/>
  <c r="T409" i="3"/>
  <c r="Y409" i="3"/>
  <c r="Z409" i="3"/>
  <c r="AE409" i="3"/>
  <c r="AF409" i="3"/>
  <c r="P386" i="3"/>
  <c r="Q735" i="3"/>
  <c r="AM733" i="3" s="1"/>
  <c r="Q736" i="3"/>
  <c r="AS733" i="3" s="1"/>
  <c r="Q741" i="3"/>
  <c r="BW733" i="3" s="1"/>
  <c r="BZ732" i="3" s="1"/>
  <c r="Q734" i="3"/>
  <c r="AG733" i="3" s="1"/>
  <c r="Q733" i="3"/>
  <c r="Q732" i="3"/>
  <c r="Q739" i="3"/>
  <c r="BK733" i="3" s="1"/>
  <c r="BN732" i="3" s="1"/>
  <c r="Q737" i="3"/>
  <c r="AY733" i="3" s="1"/>
  <c r="Q742" i="3"/>
  <c r="CC733" i="3" s="1"/>
  <c r="CF732" i="3" s="1"/>
  <c r="Q740" i="3"/>
  <c r="BQ733" i="3" s="1"/>
  <c r="BT732" i="3" s="1"/>
  <c r="Q738" i="3"/>
  <c r="BE733" i="3" s="1"/>
  <c r="P390" i="3"/>
  <c r="P388" i="3"/>
  <c r="P395" i="3"/>
  <c r="P389" i="3"/>
  <c r="P393" i="3"/>
  <c r="P387" i="3"/>
  <c r="P396" i="3"/>
  <c r="P392" i="3"/>
  <c r="P391" i="3"/>
  <c r="S1841" i="3"/>
  <c r="CH2626" i="3"/>
  <c r="CG2626" i="3"/>
  <c r="BD2626" i="3"/>
  <c r="BC2626" i="3"/>
  <c r="AA2627" i="3"/>
  <c r="AD2626" i="3" s="1"/>
  <c r="W2627" i="3"/>
  <c r="CA2626" i="3"/>
  <c r="CB2626" i="3"/>
  <c r="AX2626" i="3"/>
  <c r="AW2626" i="3"/>
  <c r="BU2626" i="3"/>
  <c r="BV2626" i="3"/>
  <c r="BP2626" i="3"/>
  <c r="BO2626" i="3"/>
  <c r="AK2626" i="3"/>
  <c r="AL2626" i="3"/>
  <c r="BJ2626" i="3"/>
  <c r="BI2626" i="3"/>
  <c r="AR2626" i="3"/>
  <c r="AQ2626" i="3"/>
  <c r="BS2627" i="3"/>
  <c r="BY2627" i="3"/>
  <c r="BM2627" i="3"/>
  <c r="BG2627" i="3"/>
  <c r="AO2627" i="3"/>
  <c r="AC2627" i="3"/>
  <c r="BA2627" i="3"/>
  <c r="AU2627" i="3"/>
  <c r="CE2627" i="3"/>
  <c r="AI2627" i="3"/>
  <c r="U2627" i="3"/>
  <c r="X2626" i="3" s="1"/>
  <c r="R2626" i="3"/>
  <c r="Q2742" i="3"/>
  <c r="Q2747" i="3"/>
  <c r="BE2742" i="3" s="1"/>
  <c r="BH2741" i="3" s="1"/>
  <c r="Q2749" i="3"/>
  <c r="BQ2742" i="3" s="1"/>
  <c r="BT2741" i="3" s="1"/>
  <c r="Q2745" i="3"/>
  <c r="AS2742" i="3" s="1"/>
  <c r="AV2741" i="3" s="1"/>
  <c r="Q2743" i="3"/>
  <c r="AG2742" i="3" s="1"/>
  <c r="AJ2741" i="3" s="1"/>
  <c r="Q2748" i="3"/>
  <c r="BK2742" i="3" s="1"/>
  <c r="BN2741" i="3" s="1"/>
  <c r="Q2744" i="3"/>
  <c r="AM2742" i="3" s="1"/>
  <c r="AP2741" i="3" s="1"/>
  <c r="Q2751" i="3"/>
  <c r="CC2742" i="3" s="1"/>
  <c r="CF2741" i="3" s="1"/>
  <c r="Q2746" i="3"/>
  <c r="AY2742" i="3" s="1"/>
  <c r="BB2741" i="3" s="1"/>
  <c r="Q2741" i="3"/>
  <c r="Q2750" i="3"/>
  <c r="BW2742" i="3" s="1"/>
  <c r="BZ2741" i="3" s="1"/>
  <c r="BC2418" i="3"/>
  <c r="BD2418" i="3"/>
  <c r="BV2418" i="3"/>
  <c r="BU2418" i="3"/>
  <c r="AX2418" i="3"/>
  <c r="AW2418" i="3"/>
  <c r="AR2418" i="3"/>
  <c r="AQ2418" i="3"/>
  <c r="AU2419" i="3"/>
  <c r="R2418" i="3"/>
  <c r="AI2419" i="3"/>
  <c r="AC2419" i="3"/>
  <c r="BS2419" i="3"/>
  <c r="BA2419" i="3"/>
  <c r="U2419" i="3"/>
  <c r="X2418" i="3" s="1"/>
  <c r="BM2419" i="3"/>
  <c r="BG2419" i="3"/>
  <c r="CE2419" i="3"/>
  <c r="BY2419" i="3"/>
  <c r="AO2419" i="3"/>
  <c r="CH2418" i="3"/>
  <c r="CG2418" i="3"/>
  <c r="W2419" i="3"/>
  <c r="AA2419" i="3"/>
  <c r="AD2418" i="3" s="1"/>
  <c r="CB2418" i="3"/>
  <c r="CA2418" i="3"/>
  <c r="AK2418" i="3"/>
  <c r="AL2418" i="3"/>
  <c r="BI2418" i="3"/>
  <c r="BJ2418" i="3"/>
  <c r="BO2418" i="3"/>
  <c r="BP2418" i="3"/>
  <c r="AE2395" i="3"/>
  <c r="AF2395" i="3"/>
  <c r="CA155" i="3"/>
  <c r="CB155" i="3"/>
  <c r="Z2395" i="3"/>
  <c r="Y2395" i="3"/>
  <c r="T2395" i="3"/>
  <c r="S2395" i="3"/>
  <c r="Y155" i="3"/>
  <c r="Z155" i="3"/>
  <c r="AE155" i="3"/>
  <c r="AF155" i="3"/>
  <c r="T155" i="3"/>
  <c r="S155" i="3"/>
  <c r="K2656" i="3" l="1"/>
  <c r="G2656" i="3"/>
  <c r="I2656" i="3"/>
  <c r="N2656" i="3"/>
  <c r="N2537" i="3"/>
  <c r="I2537" i="3"/>
  <c r="K2537" i="3"/>
  <c r="J2535" i="3"/>
  <c r="N2651" i="3"/>
  <c r="E2651" i="3"/>
  <c r="G2537" i="3"/>
  <c r="H2537" i="3"/>
  <c r="G2651" i="3"/>
  <c r="F2651" i="3"/>
  <c r="E2655" i="3"/>
  <c r="E2535" i="3"/>
  <c r="O2651" i="3"/>
  <c r="H2655" i="3"/>
  <c r="BC1079" i="3"/>
  <c r="F2539" i="3"/>
  <c r="AA1126" i="3"/>
  <c r="AD1125" i="3" s="1"/>
  <c r="P1616" i="3"/>
  <c r="I2539" i="3"/>
  <c r="D2538" i="3"/>
  <c r="D2533" i="3"/>
  <c r="AI1126" i="3"/>
  <c r="AJ1125" i="3" s="1"/>
  <c r="AL1125" i="3" s="1"/>
  <c r="I2535" i="3"/>
  <c r="CA1125" i="3"/>
  <c r="L2535" i="3"/>
  <c r="K2650" i="3"/>
  <c r="D2650" i="3"/>
  <c r="L2650" i="3"/>
  <c r="H2650" i="3"/>
  <c r="F2654" i="3"/>
  <c r="J2654" i="3"/>
  <c r="K2654" i="3"/>
  <c r="I2654" i="3"/>
  <c r="G2654" i="3"/>
  <c r="M2654" i="3"/>
  <c r="L2654" i="3"/>
  <c r="D2654" i="3"/>
  <c r="H2654" i="3"/>
  <c r="O2654" i="3"/>
  <c r="N2654" i="3"/>
  <c r="E2654" i="3"/>
  <c r="F2653" i="3"/>
  <c r="I2653" i="3"/>
  <c r="H2653" i="3"/>
  <c r="N2653" i="3"/>
  <c r="K2653" i="3"/>
  <c r="L2653" i="3"/>
  <c r="O2653" i="3"/>
  <c r="E2653" i="3"/>
  <c r="J2653" i="3"/>
  <c r="D2653" i="3"/>
  <c r="G2653" i="3"/>
  <c r="M2653" i="3"/>
  <c r="N2657" i="3"/>
  <c r="D2657" i="3"/>
  <c r="G2657" i="3"/>
  <c r="M2657" i="3"/>
  <c r="O2657" i="3"/>
  <c r="K2657" i="3"/>
  <c r="I2657" i="3"/>
  <c r="E2657" i="3"/>
  <c r="H2657" i="3"/>
  <c r="F2657" i="3"/>
  <c r="L2657" i="3"/>
  <c r="J2657" i="3"/>
  <c r="H2651" i="3"/>
  <c r="M2651" i="3"/>
  <c r="D2651" i="3"/>
  <c r="K2651" i="3"/>
  <c r="G2655" i="3"/>
  <c r="J2655" i="3"/>
  <c r="L2655" i="3"/>
  <c r="D2655" i="3"/>
  <c r="N2655" i="3"/>
  <c r="I2655" i="3"/>
  <c r="O2655" i="3"/>
  <c r="BI2580" i="3"/>
  <c r="T1079" i="3"/>
  <c r="BA1126" i="3"/>
  <c r="BM1126" i="3"/>
  <c r="AU1126" i="3"/>
  <c r="AV1125" i="3" s="1"/>
  <c r="AW1125" i="3" s="1"/>
  <c r="O2538" i="3"/>
  <c r="I2538" i="3"/>
  <c r="K2541" i="3"/>
  <c r="N2658" i="3"/>
  <c r="F2658" i="3"/>
  <c r="H2658" i="3"/>
  <c r="K2658" i="3"/>
  <c r="L2658" i="3"/>
  <c r="I2658" i="3"/>
  <c r="G2658" i="3"/>
  <c r="D2658" i="3"/>
  <c r="J2658" i="3"/>
  <c r="E2658" i="3"/>
  <c r="O2658" i="3"/>
  <c r="M2658" i="3"/>
  <c r="U1126" i="3"/>
  <c r="X1125" i="3" s="1"/>
  <c r="BG1126" i="3"/>
  <c r="AO1126" i="3"/>
  <c r="AP1125" i="3" s="1"/>
  <c r="AQ1125" i="3" s="1"/>
  <c r="L2538" i="3"/>
  <c r="N2538" i="3"/>
  <c r="M2535" i="3"/>
  <c r="O2535" i="3"/>
  <c r="G2535" i="3"/>
  <c r="BJ1125" i="3"/>
  <c r="J2659" i="3"/>
  <c r="G2659" i="3"/>
  <c r="H2659" i="3"/>
  <c r="O2659" i="3"/>
  <c r="K2659" i="3"/>
  <c r="D2659" i="3"/>
  <c r="L2659" i="3"/>
  <c r="E2659" i="3"/>
  <c r="M2659" i="3"/>
  <c r="F2659" i="3"/>
  <c r="I2659" i="3"/>
  <c r="N2659" i="3"/>
  <c r="F2541" i="3"/>
  <c r="Z1079" i="3"/>
  <c r="AC1126" i="3"/>
  <c r="BS1126" i="3"/>
  <c r="K2538" i="3"/>
  <c r="F2535" i="3"/>
  <c r="H2535" i="3"/>
  <c r="D2535" i="3"/>
  <c r="AK2580" i="3"/>
  <c r="BO2580" i="3"/>
  <c r="P1610" i="3"/>
  <c r="P1617" i="3"/>
  <c r="P1612" i="3"/>
  <c r="E2539" i="3"/>
  <c r="F2538" i="3"/>
  <c r="J2538" i="3"/>
  <c r="M2538" i="3"/>
  <c r="N2541" i="3"/>
  <c r="L2541" i="3"/>
  <c r="P1619" i="3"/>
  <c r="P1620" i="3"/>
  <c r="P1613" i="3"/>
  <c r="N2539" i="3"/>
  <c r="R1125" i="3"/>
  <c r="S1125" i="3" s="1"/>
  <c r="G2538" i="3"/>
  <c r="E2538" i="3"/>
  <c r="J2533" i="3"/>
  <c r="E2541" i="3"/>
  <c r="D2541" i="3"/>
  <c r="P1614" i="3"/>
  <c r="M2539" i="3"/>
  <c r="G2539" i="3"/>
  <c r="I2533" i="3"/>
  <c r="N2533" i="3"/>
  <c r="H2533" i="3"/>
  <c r="M2533" i="3"/>
  <c r="D2539" i="3"/>
  <c r="O2539" i="3"/>
  <c r="J2539" i="3"/>
  <c r="K2533" i="3"/>
  <c r="O2533" i="3"/>
  <c r="L2533" i="3"/>
  <c r="M2541" i="3"/>
  <c r="I2541" i="3"/>
  <c r="G2541" i="3"/>
  <c r="K2539" i="3"/>
  <c r="H2539" i="3"/>
  <c r="G2533" i="3"/>
  <c r="E2533" i="3"/>
  <c r="J2541" i="3"/>
  <c r="O2541" i="3"/>
  <c r="C346" i="3"/>
  <c r="C340" i="3"/>
  <c r="C350" i="3"/>
  <c r="C342" i="3"/>
  <c r="C344" i="3"/>
  <c r="C345" i="3"/>
  <c r="C348" i="3"/>
  <c r="C347" i="3"/>
  <c r="AX1125" i="3"/>
  <c r="C341" i="3"/>
  <c r="AF1125" i="3"/>
  <c r="AE1125" i="3"/>
  <c r="C343" i="3"/>
  <c r="P2464" i="3" a="1"/>
  <c r="Z1125" i="3"/>
  <c r="Y1125" i="3"/>
  <c r="M2542" i="3"/>
  <c r="N2542" i="3"/>
  <c r="I2542" i="3"/>
  <c r="J2542" i="3"/>
  <c r="G2542" i="3"/>
  <c r="L2542" i="3"/>
  <c r="H2542" i="3"/>
  <c r="D2542" i="3"/>
  <c r="F2542" i="3"/>
  <c r="K2542" i="3"/>
  <c r="O2542" i="3"/>
  <c r="E2542" i="3"/>
  <c r="BI1079" i="3"/>
  <c r="B694" i="3"/>
  <c r="C349" i="3"/>
  <c r="H2543" i="3"/>
  <c r="O2543" i="3"/>
  <c r="G2543" i="3"/>
  <c r="I2543" i="3"/>
  <c r="F2543" i="3"/>
  <c r="K2543" i="3"/>
  <c r="L2543" i="3"/>
  <c r="N2543" i="3"/>
  <c r="D2543" i="3"/>
  <c r="J2543" i="3"/>
  <c r="E2543" i="3"/>
  <c r="M2543" i="3"/>
  <c r="AK1125" i="3"/>
  <c r="AQ2580" i="3"/>
  <c r="B474" i="3"/>
  <c r="B475" i="3" s="1"/>
  <c r="B476" i="3" s="1"/>
  <c r="P1933" i="3" a="1"/>
  <c r="AX2580" i="3"/>
  <c r="CB1517" i="3"/>
  <c r="BC2580" i="3"/>
  <c r="CH2580" i="3"/>
  <c r="BO1517" i="3"/>
  <c r="BU1517" i="3"/>
  <c r="CA2580" i="3"/>
  <c r="AF1517" i="3"/>
  <c r="AR1633" i="3"/>
  <c r="W2581" i="3"/>
  <c r="BG2581" i="3"/>
  <c r="AK1517" i="3"/>
  <c r="BS2581" i="3"/>
  <c r="AK1633" i="3"/>
  <c r="BV2580" i="3"/>
  <c r="BM2581" i="3"/>
  <c r="AX1517" i="3"/>
  <c r="BY2581" i="3"/>
  <c r="Y548" i="3"/>
  <c r="R2580" i="3"/>
  <c r="T2580" i="3" s="1"/>
  <c r="AI2581" i="3"/>
  <c r="CE248" i="3"/>
  <c r="CF247" i="3" s="1"/>
  <c r="CH247" i="3" s="1"/>
  <c r="AC2581" i="3"/>
  <c r="BA2581" i="3"/>
  <c r="U2581" i="3"/>
  <c r="X2580" i="3" s="1"/>
  <c r="Z2580" i="3" s="1"/>
  <c r="BC1633" i="3"/>
  <c r="Q2309" i="3"/>
  <c r="BK2303" i="3" s="1"/>
  <c r="BN2302" i="3" s="1"/>
  <c r="BP2302" i="3" s="1"/>
  <c r="S1517" i="3"/>
  <c r="AW2372" i="3"/>
  <c r="AU2581" i="3"/>
  <c r="AO2581" i="3"/>
  <c r="S1633" i="3"/>
  <c r="Q2311" i="3"/>
  <c r="BW2303" i="3" s="1"/>
  <c r="BZ2302" i="3" s="1"/>
  <c r="CA2302" i="3" s="1"/>
  <c r="Q2312" i="3"/>
  <c r="CC2303" i="3" s="1"/>
  <c r="CF2302" i="3" s="1"/>
  <c r="CH2302" i="3" s="1"/>
  <c r="BO2302" i="3"/>
  <c r="Q2305" i="3"/>
  <c r="AM2303" i="3" s="1"/>
  <c r="AP2302" i="3" s="1"/>
  <c r="Q2303" i="3"/>
  <c r="Q2306" i="3"/>
  <c r="AS2303" i="3" s="1"/>
  <c r="AV2302" i="3" s="1"/>
  <c r="Q2302" i="3"/>
  <c r="Q2310" i="3"/>
  <c r="BQ2303" i="3" s="1"/>
  <c r="BT2302" i="3" s="1"/>
  <c r="Q2308" i="3"/>
  <c r="BE2303" i="3" s="1"/>
  <c r="BH2302" i="3" s="1"/>
  <c r="Q2307" i="3"/>
  <c r="AY2303" i="3" s="1"/>
  <c r="BB2302" i="3" s="1"/>
  <c r="Q2304" i="3"/>
  <c r="Q1263" i="3"/>
  <c r="Q1267" i="3"/>
  <c r="AS1264" i="3" s="1"/>
  <c r="Q1266" i="3"/>
  <c r="AM1264" i="3" s="1"/>
  <c r="AP1263" i="3" s="1"/>
  <c r="Q1264" i="3"/>
  <c r="Q1270" i="3"/>
  <c r="BK1264" i="3" s="1"/>
  <c r="Q1268" i="3"/>
  <c r="AY1264" i="3" s="1"/>
  <c r="Q1272" i="3"/>
  <c r="BW1264" i="3" s="1"/>
  <c r="Q1269" i="3"/>
  <c r="BE1264" i="3" s="1"/>
  <c r="Q1273" i="3"/>
  <c r="CC1264" i="3" s="1"/>
  <c r="CF1263" i="3" s="1"/>
  <c r="Q1265" i="3"/>
  <c r="AG1264" i="3" s="1"/>
  <c r="Q1271" i="3"/>
  <c r="BQ1264" i="3" s="1"/>
  <c r="BT1263" i="3" s="1"/>
  <c r="Y2603" i="3"/>
  <c r="Z2603" i="3"/>
  <c r="T2603" i="3"/>
  <c r="S2603" i="3"/>
  <c r="AE2603" i="3"/>
  <c r="AF2603" i="3"/>
  <c r="P1587" i="3" a="1"/>
  <c r="BP1633" i="3"/>
  <c r="CA755" i="3"/>
  <c r="AE755" i="3"/>
  <c r="AF755" i="3"/>
  <c r="BG248" i="3"/>
  <c r="BH247" i="3" s="1"/>
  <c r="BI247" i="3" s="1"/>
  <c r="BY248" i="3"/>
  <c r="BZ247" i="3" s="1"/>
  <c r="Y1633" i="3"/>
  <c r="P1771" i="3"/>
  <c r="P1779" i="3"/>
  <c r="Q1018" i="3"/>
  <c r="BW1010" i="3" s="1"/>
  <c r="BZ1009" i="3" s="1"/>
  <c r="CA1009" i="3" s="1"/>
  <c r="P1781" i="3"/>
  <c r="P1778" i="3"/>
  <c r="P1780" i="3"/>
  <c r="P1777" i="3"/>
  <c r="P1776" i="3"/>
  <c r="P1775" i="3"/>
  <c r="Q1012" i="3"/>
  <c r="AM1010" i="3" s="1"/>
  <c r="P294" i="3" a="1"/>
  <c r="P300" i="3" s="1"/>
  <c r="P1772" i="3"/>
  <c r="P1774" i="3"/>
  <c r="BG2373" i="3"/>
  <c r="AK1286" i="3"/>
  <c r="W248" i="3"/>
  <c r="Q1009" i="3"/>
  <c r="U1010" i="3" s="1"/>
  <c r="AC248" i="3"/>
  <c r="AD247" i="3" s="1"/>
  <c r="AE247" i="3" s="1"/>
  <c r="BS248" i="3"/>
  <c r="BT247" i="3" s="1"/>
  <c r="BU247" i="3" s="1"/>
  <c r="BD1517" i="3"/>
  <c r="BA248" i="3"/>
  <c r="BB247" i="3" s="1"/>
  <c r="BD247" i="3" s="1"/>
  <c r="Q1013" i="3"/>
  <c r="AS1010" i="3" s="1"/>
  <c r="P2558" i="3"/>
  <c r="Q1019" i="3"/>
  <c r="CC1010" i="3" s="1"/>
  <c r="CF1009" i="3" s="1"/>
  <c r="CG1009" i="3" s="1"/>
  <c r="Q1017" i="3"/>
  <c r="BQ1010" i="3" s="1"/>
  <c r="Q1014" i="3"/>
  <c r="AY1010" i="3" s="1"/>
  <c r="AU248" i="3"/>
  <c r="AV247" i="3" s="1"/>
  <c r="AO248" i="3"/>
  <c r="AP247" i="3" s="1"/>
  <c r="AQ247" i="3" s="1"/>
  <c r="AI248" i="3"/>
  <c r="AJ247" i="3" s="1"/>
  <c r="AK247" i="3" s="1"/>
  <c r="P2564" i="3"/>
  <c r="Q1011" i="3"/>
  <c r="AG1010" i="3" s="1"/>
  <c r="Q1016" i="3"/>
  <c r="BK1010" i="3" s="1"/>
  <c r="BM248" i="3"/>
  <c r="BN247" i="3" s="1"/>
  <c r="BP247" i="3" s="1"/>
  <c r="R247" i="3"/>
  <c r="S247" i="3" s="1"/>
  <c r="Q1010" i="3"/>
  <c r="W1010" i="3" s="1"/>
  <c r="Q1015" i="3"/>
  <c r="BE1010" i="3" s="1"/>
  <c r="P2557" i="3"/>
  <c r="P2561" i="3"/>
  <c r="P2563" i="3"/>
  <c r="B1202" i="3"/>
  <c r="B1203" i="3" s="1"/>
  <c r="BI1517" i="3"/>
  <c r="CG2372" i="3"/>
  <c r="CB1794" i="3"/>
  <c r="P1864" i="3" a="1"/>
  <c r="P1870" i="3" s="1"/>
  <c r="AX1564" i="3"/>
  <c r="AW1564" i="3"/>
  <c r="BD1564" i="3"/>
  <c r="BC1564" i="3"/>
  <c r="CB1564" i="3"/>
  <c r="CA1564" i="3"/>
  <c r="AR1425" i="3"/>
  <c r="BI2372" i="3"/>
  <c r="P2560" i="3"/>
  <c r="P2565" i="3"/>
  <c r="P2559" i="3"/>
  <c r="BU1564" i="3"/>
  <c r="BV1564" i="3"/>
  <c r="BP1564" i="3"/>
  <c r="BO1564" i="3"/>
  <c r="BJ1564" i="3"/>
  <c r="BI1564" i="3"/>
  <c r="P2326" i="3" a="1"/>
  <c r="AA1010" i="3"/>
  <c r="AD1009" i="3" s="1"/>
  <c r="CH1564" i="3"/>
  <c r="CG1564" i="3"/>
  <c r="AL1564" i="3"/>
  <c r="AK1564" i="3"/>
  <c r="P2556" i="3"/>
  <c r="P2566" i="3"/>
  <c r="R1564" i="3"/>
  <c r="AI1565" i="3"/>
  <c r="AO1565" i="3"/>
  <c r="CE1565" i="3"/>
  <c r="U1565" i="3"/>
  <c r="X1564" i="3" s="1"/>
  <c r="AU1565" i="3"/>
  <c r="BS1565" i="3"/>
  <c r="BY1565" i="3"/>
  <c r="AC1565" i="3"/>
  <c r="BM1565" i="3"/>
  <c r="BG1565" i="3"/>
  <c r="BA1565" i="3"/>
  <c r="AQ1564" i="3"/>
  <c r="AR1564" i="3"/>
  <c r="AA1565" i="3"/>
  <c r="AD1564" i="3" s="1"/>
  <c r="W1565" i="3"/>
  <c r="AR1286" i="3"/>
  <c r="AQ1286" i="3"/>
  <c r="BJ1286" i="3"/>
  <c r="BI1286" i="3"/>
  <c r="BO1286" i="3"/>
  <c r="BP1286" i="3"/>
  <c r="AI1287" i="3"/>
  <c r="CE1287" i="3"/>
  <c r="U1287" i="3"/>
  <c r="X1286" i="3" s="1"/>
  <c r="BS1287" i="3"/>
  <c r="AU1287" i="3"/>
  <c r="AV1286" i="3" s="1"/>
  <c r="BG1287" i="3"/>
  <c r="BM1287" i="3"/>
  <c r="AO1287" i="3"/>
  <c r="BY1287" i="3"/>
  <c r="BZ1286" i="3" s="1"/>
  <c r="R1286" i="3"/>
  <c r="BA1287" i="3"/>
  <c r="BB1286" i="3" s="1"/>
  <c r="AC1287" i="3"/>
  <c r="Q2765" i="3"/>
  <c r="W2765" i="3" s="1"/>
  <c r="BU1286" i="3"/>
  <c r="BV1286" i="3"/>
  <c r="Q1611" i="3"/>
  <c r="CH1286" i="3"/>
  <c r="CG1286" i="3"/>
  <c r="AA1287" i="3"/>
  <c r="AD1286" i="3" s="1"/>
  <c r="W1287" i="3"/>
  <c r="BV571" i="3"/>
  <c r="BU571" i="3"/>
  <c r="AA572" i="3"/>
  <c r="W572" i="3"/>
  <c r="AF2580" i="3"/>
  <c r="AE2580" i="3"/>
  <c r="AR571" i="3"/>
  <c r="AQ571" i="3"/>
  <c r="CG571" i="3"/>
  <c r="CH571" i="3"/>
  <c r="B337" i="3"/>
  <c r="BA2373" i="3"/>
  <c r="BB2372" i="3" s="1"/>
  <c r="BD2372" i="3" s="1"/>
  <c r="W2373" i="3"/>
  <c r="BU1794" i="3"/>
  <c r="B1715" i="3"/>
  <c r="CA571" i="3"/>
  <c r="CB571" i="3"/>
  <c r="BP571" i="3"/>
  <c r="BO571" i="3"/>
  <c r="P2076" i="3"/>
  <c r="P2073" i="3"/>
  <c r="P2078" i="3"/>
  <c r="P2082" i="3"/>
  <c r="P2079" i="3"/>
  <c r="P2072" i="3"/>
  <c r="P2081" i="3"/>
  <c r="P2074" i="3"/>
  <c r="P2075" i="3"/>
  <c r="P2077" i="3"/>
  <c r="P2080" i="3"/>
  <c r="S2580" i="3"/>
  <c r="Q2770" i="3"/>
  <c r="BE2765" i="3" s="1"/>
  <c r="BH2764" i="3" s="1"/>
  <c r="BJ2764" i="3" s="1"/>
  <c r="Q2771" i="3"/>
  <c r="BK2765" i="3" s="1"/>
  <c r="BN2764" i="3" s="1"/>
  <c r="BP2764" i="3" s="1"/>
  <c r="AI572" i="3"/>
  <c r="AJ571" i="3" s="1"/>
  <c r="U572" i="3"/>
  <c r="BS572" i="3"/>
  <c r="AC572" i="3"/>
  <c r="AO572" i="3"/>
  <c r="BM572" i="3"/>
  <c r="BA572" i="3"/>
  <c r="BB571" i="3" s="1"/>
  <c r="BG572" i="3"/>
  <c r="R571" i="3"/>
  <c r="BY572" i="3"/>
  <c r="CE572" i="3"/>
  <c r="AU572" i="3"/>
  <c r="AV571" i="3" s="1"/>
  <c r="BJ571" i="3"/>
  <c r="BI571" i="3"/>
  <c r="BM2373" i="3"/>
  <c r="AU2373" i="3"/>
  <c r="CE2373" i="3"/>
  <c r="CH1794" i="3"/>
  <c r="Q2764" i="3"/>
  <c r="CE2765" i="3" s="1"/>
  <c r="BU755" i="3"/>
  <c r="AL2372" i="3"/>
  <c r="AC2373" i="3"/>
  <c r="AO2373" i="3"/>
  <c r="Q2766" i="3"/>
  <c r="AG2765" i="3" s="1"/>
  <c r="AJ2764" i="3" s="1"/>
  <c r="AK2764" i="3" s="1"/>
  <c r="BY2373" i="3"/>
  <c r="Q2774" i="3"/>
  <c r="CC2765" i="3" s="1"/>
  <c r="CF2764" i="3" s="1"/>
  <c r="CH2764" i="3" s="1"/>
  <c r="Q2773" i="3"/>
  <c r="BW2765" i="3" s="1"/>
  <c r="BZ2764" i="3" s="1"/>
  <c r="CB2764" i="3" s="1"/>
  <c r="Q2769" i="3"/>
  <c r="AY2765" i="3" s="1"/>
  <c r="BB2764" i="3" s="1"/>
  <c r="BC2764" i="3" s="1"/>
  <c r="Q2772" i="3"/>
  <c r="BQ2765" i="3" s="1"/>
  <c r="BT2764" i="3" s="1"/>
  <c r="BU2764" i="3" s="1"/>
  <c r="Q2768" i="3"/>
  <c r="AS2765" i="3" s="1"/>
  <c r="AV2764" i="3" s="1"/>
  <c r="AW2764" i="3" s="1"/>
  <c r="Q2767" i="3"/>
  <c r="AM2765" i="3" s="1"/>
  <c r="AP2764" i="3" s="1"/>
  <c r="AQ2764" i="3" s="1"/>
  <c r="AX755" i="3"/>
  <c r="BS2373" i="3"/>
  <c r="BT2372" i="3" s="1"/>
  <c r="BZ2372" i="3"/>
  <c r="CA2372" i="3" s="1"/>
  <c r="AI2373" i="3"/>
  <c r="AQ2372" i="3"/>
  <c r="BO2372" i="3"/>
  <c r="BA1795" i="3"/>
  <c r="BB1794" i="3" s="1"/>
  <c r="BC1794" i="3" s="1"/>
  <c r="BM1795" i="3"/>
  <c r="R2372" i="3"/>
  <c r="T2372" i="3" s="1"/>
  <c r="BD755" i="3"/>
  <c r="BM2211" i="3"/>
  <c r="U1795" i="3"/>
  <c r="X1794" i="3" s="1"/>
  <c r="Y1794" i="3" s="1"/>
  <c r="AU1795" i="3"/>
  <c r="AV1794" i="3" s="1"/>
  <c r="AX1794" i="3" s="1"/>
  <c r="BY1795" i="3"/>
  <c r="CE1795" i="3"/>
  <c r="AA1795" i="3"/>
  <c r="AD1794" i="3" s="1"/>
  <c r="AF1794" i="3" s="1"/>
  <c r="AE548" i="3"/>
  <c r="BS1795" i="3"/>
  <c r="AO1795" i="3"/>
  <c r="AP1794" i="3" s="1"/>
  <c r="AR1794" i="3" s="1"/>
  <c r="AK755" i="3"/>
  <c r="AL1794" i="3"/>
  <c r="AC1795" i="3"/>
  <c r="BN1794" i="3"/>
  <c r="BO1794" i="3" s="1"/>
  <c r="R1794" i="3"/>
  <c r="T1794" i="3" s="1"/>
  <c r="AQ755" i="3"/>
  <c r="AA1426" i="3"/>
  <c r="AD1425" i="3" s="1"/>
  <c r="AE1425" i="3" s="1"/>
  <c r="CG1425" i="3"/>
  <c r="AO1426" i="3"/>
  <c r="P2441" i="3" a="1"/>
  <c r="P2442" i="3" s="1"/>
  <c r="BJ986" i="3"/>
  <c r="BI986" i="3"/>
  <c r="AQ986" i="3"/>
  <c r="AR986" i="3"/>
  <c r="BU986" i="3"/>
  <c r="BV986" i="3"/>
  <c r="AE986" i="3"/>
  <c r="AF986" i="3"/>
  <c r="S755" i="3"/>
  <c r="BV1425" i="3"/>
  <c r="AA2211" i="3"/>
  <c r="AD2210" i="3" s="1"/>
  <c r="BG1795" i="3"/>
  <c r="BH1794" i="3" s="1"/>
  <c r="BI1794" i="3" s="1"/>
  <c r="Z986" i="3"/>
  <c r="Y986" i="3"/>
  <c r="T986" i="3"/>
  <c r="S986" i="3"/>
  <c r="CB986" i="3"/>
  <c r="CA986" i="3"/>
  <c r="BC986" i="3"/>
  <c r="BD986" i="3"/>
  <c r="AX986" i="3"/>
  <c r="AW986" i="3"/>
  <c r="BO986" i="3"/>
  <c r="BP986" i="3"/>
  <c r="AK986" i="3"/>
  <c r="AL986" i="3"/>
  <c r="P1334" i="3"/>
  <c r="P1341" i="3"/>
  <c r="P1340" i="3"/>
  <c r="P1338" i="3"/>
  <c r="P1336" i="3"/>
  <c r="P1342" i="3"/>
  <c r="P1333" i="3"/>
  <c r="P1335" i="3"/>
  <c r="P1339" i="3"/>
  <c r="P1343" i="3"/>
  <c r="P1337" i="3"/>
  <c r="BO2210" i="3"/>
  <c r="P2235" i="3"/>
  <c r="P2240" i="3"/>
  <c r="P1250" i="3"/>
  <c r="P2242" i="3"/>
  <c r="P1248" i="3"/>
  <c r="P2237" i="3"/>
  <c r="P2233" i="3"/>
  <c r="P1247" i="3"/>
  <c r="P1249" i="3"/>
  <c r="P1240" i="3"/>
  <c r="AU2049" i="3"/>
  <c r="AV2048" i="3" s="1"/>
  <c r="BA2049" i="3"/>
  <c r="BB2048" i="3" s="1"/>
  <c r="BY2049" i="3"/>
  <c r="R2048" i="3"/>
  <c r="BG2049" i="3"/>
  <c r="BH2048" i="3" s="1"/>
  <c r="BM2049" i="3"/>
  <c r="BN2048" i="3" s="1"/>
  <c r="AI2049" i="3"/>
  <c r="AJ2048" i="3" s="1"/>
  <c r="AO2049" i="3"/>
  <c r="AP2048" i="3" s="1"/>
  <c r="BS2049" i="3"/>
  <c r="U2049" i="3"/>
  <c r="X2048" i="3" s="1"/>
  <c r="AC2049" i="3"/>
  <c r="CE2049" i="3"/>
  <c r="P2234" i="3"/>
  <c r="P2239" i="3"/>
  <c r="P2241" i="3"/>
  <c r="P1246" i="3"/>
  <c r="P1245" i="3"/>
  <c r="P1244" i="3"/>
  <c r="CH2048" i="3"/>
  <c r="CG2048" i="3"/>
  <c r="W2049" i="3"/>
  <c r="AA2049" i="3"/>
  <c r="AD2048" i="3" s="1"/>
  <c r="Q47" i="3"/>
  <c r="BK41" i="3" s="1"/>
  <c r="BN40" i="3" s="1"/>
  <c r="BP40" i="3" s="1"/>
  <c r="P2243" i="3"/>
  <c r="P2236" i="3"/>
  <c r="P1241" i="3"/>
  <c r="P1243" i="3"/>
  <c r="BU2048" i="3"/>
  <c r="BV2048" i="3"/>
  <c r="CB2048" i="3"/>
  <c r="CA2048" i="3"/>
  <c r="C1320" i="3"/>
  <c r="L1320" i="3" s="1"/>
  <c r="BV2210" i="3"/>
  <c r="C1319" i="3"/>
  <c r="O1319" i="3" s="1"/>
  <c r="C1316" i="3"/>
  <c r="C1318" i="3"/>
  <c r="C1312" i="3"/>
  <c r="C1311" i="3"/>
  <c r="C1314" i="3"/>
  <c r="Q45" i="3"/>
  <c r="AY41" i="3" s="1"/>
  <c r="BB40" i="3" s="1"/>
  <c r="BC40" i="3" s="1"/>
  <c r="C1315" i="3"/>
  <c r="C1313" i="3"/>
  <c r="AA133" i="3"/>
  <c r="AD132" i="3" s="1"/>
  <c r="AE132" i="3" s="1"/>
  <c r="K1317" i="3"/>
  <c r="G1317" i="3"/>
  <c r="L1317" i="3"/>
  <c r="I1317" i="3"/>
  <c r="O1317" i="3"/>
  <c r="H1317" i="3"/>
  <c r="M1317" i="3"/>
  <c r="J1317" i="3"/>
  <c r="N1317" i="3"/>
  <c r="D1317" i="3"/>
  <c r="F1317" i="3"/>
  <c r="E1317" i="3"/>
  <c r="C1310" i="3"/>
  <c r="BO224" i="3"/>
  <c r="Q48" i="3"/>
  <c r="BQ41" i="3" s="1"/>
  <c r="BV1102" i="3"/>
  <c r="CB63" i="3"/>
  <c r="Y2002" i="3"/>
  <c r="Q2728" i="3"/>
  <c r="CC2719" i="3" s="1"/>
  <c r="CF2718" i="3" s="1"/>
  <c r="CG2718" i="3" s="1"/>
  <c r="Q2721" i="3"/>
  <c r="AM2719" i="3" s="1"/>
  <c r="AP2718" i="3" s="1"/>
  <c r="AR2718" i="3" s="1"/>
  <c r="CA1425" i="3"/>
  <c r="BJ1679" i="3"/>
  <c r="BI1679" i="3"/>
  <c r="T1679" i="3"/>
  <c r="S1679" i="3"/>
  <c r="BC2210" i="3"/>
  <c r="Q2027" i="3"/>
  <c r="AG2026" i="3" s="1"/>
  <c r="AJ2025" i="3" s="1"/>
  <c r="Q2032" i="3"/>
  <c r="BK2026" i="3" s="1"/>
  <c r="BN2025" i="3" s="1"/>
  <c r="Q2035" i="3"/>
  <c r="CC2026" i="3" s="1"/>
  <c r="CF2025" i="3" s="1"/>
  <c r="Q2025" i="3"/>
  <c r="Q2034" i="3"/>
  <c r="BW2026" i="3" s="1"/>
  <c r="BZ2025" i="3" s="1"/>
  <c r="Q2028" i="3"/>
  <c r="AM2026" i="3" s="1"/>
  <c r="AP2025" i="3" s="1"/>
  <c r="Q2029" i="3"/>
  <c r="AS2026" i="3" s="1"/>
  <c r="AV2025" i="3" s="1"/>
  <c r="Q2033" i="3"/>
  <c r="BQ2026" i="3" s="1"/>
  <c r="BT2025" i="3" s="1"/>
  <c r="Q2031" i="3"/>
  <c r="BE2026" i="3" s="1"/>
  <c r="BH2025" i="3" s="1"/>
  <c r="Q2030" i="3"/>
  <c r="AY2026" i="3" s="1"/>
  <c r="BB2025" i="3" s="1"/>
  <c r="Q2026" i="3"/>
  <c r="AF1679" i="3"/>
  <c r="AE1679" i="3"/>
  <c r="Z1679" i="3"/>
  <c r="Y1679" i="3"/>
  <c r="T2002" i="3"/>
  <c r="Q2726" i="3"/>
  <c r="BQ2719" i="3" s="1"/>
  <c r="BT2718" i="3" s="1"/>
  <c r="BV2718" i="3" s="1"/>
  <c r="Q40" i="3"/>
  <c r="AX2487" i="3"/>
  <c r="AW2487" i="3"/>
  <c r="Q50" i="3"/>
  <c r="CC41" i="3" s="1"/>
  <c r="CF40" i="3" s="1"/>
  <c r="CG40" i="3" s="1"/>
  <c r="Q44" i="3"/>
  <c r="AS41" i="3" s="1"/>
  <c r="Q46" i="3"/>
  <c r="BE41" i="3" s="1"/>
  <c r="BH40" i="3" s="1"/>
  <c r="BI40" i="3" s="1"/>
  <c r="BD2487" i="3"/>
  <c r="BS2211" i="3"/>
  <c r="Q42" i="3"/>
  <c r="AG41" i="3" s="1"/>
  <c r="Q49" i="3"/>
  <c r="BW41" i="3" s="1"/>
  <c r="Q41" i="3"/>
  <c r="BU501" i="3"/>
  <c r="BP2002" i="3"/>
  <c r="BI1425" i="3"/>
  <c r="AC2211" i="3"/>
  <c r="AK2210" i="3"/>
  <c r="P2517" i="3"/>
  <c r="Q2724" i="3"/>
  <c r="BE2719" i="3" s="1"/>
  <c r="BH2718" i="3" s="1"/>
  <c r="BJ2718" i="3" s="1"/>
  <c r="Q43" i="3"/>
  <c r="AM41" i="3" s="1"/>
  <c r="P2520" i="3"/>
  <c r="AI2211" i="3"/>
  <c r="CE2211" i="3"/>
  <c r="P2516" i="3"/>
  <c r="P2512" i="3"/>
  <c r="P2518" i="3"/>
  <c r="Q2719" i="3"/>
  <c r="W2719" i="3" s="1"/>
  <c r="Q2718" i="3"/>
  <c r="BA2211" i="3"/>
  <c r="BG2211" i="3"/>
  <c r="AO2211" i="3"/>
  <c r="P2511" i="3"/>
  <c r="P2515" i="3"/>
  <c r="P2519" i="3"/>
  <c r="Q2723" i="3"/>
  <c r="AY2719" i="3" s="1"/>
  <c r="BB2718" i="3" s="1"/>
  <c r="BC2718" i="3" s="1"/>
  <c r="Q2720" i="3"/>
  <c r="AG2719" i="3" s="1"/>
  <c r="AJ2718" i="3" s="1"/>
  <c r="AK2718" i="3" s="1"/>
  <c r="Q2722" i="3"/>
  <c r="AS2719" i="3" s="1"/>
  <c r="AV2718" i="3" s="1"/>
  <c r="AW2718" i="3" s="1"/>
  <c r="AU1426" i="3"/>
  <c r="P2513" i="3"/>
  <c r="P2514" i="3"/>
  <c r="Q2727" i="3"/>
  <c r="BW2719" i="3" s="1"/>
  <c r="BZ2718" i="3" s="1"/>
  <c r="CA2718" i="3" s="1"/>
  <c r="Q2725" i="3"/>
  <c r="BK2719" i="3" s="1"/>
  <c r="BN2718" i="3" s="1"/>
  <c r="BO2718" i="3" s="1"/>
  <c r="BC2002" i="3"/>
  <c r="BD2002" i="3"/>
  <c r="BU2002" i="3"/>
  <c r="BV2002" i="3"/>
  <c r="AX1425" i="3"/>
  <c r="BY2211" i="3"/>
  <c r="B191" i="3"/>
  <c r="P1471" i="3" a="1"/>
  <c r="P1477" i="3" s="1"/>
  <c r="AQ2210" i="3"/>
  <c r="BM133" i="3"/>
  <c r="AX2210" i="3"/>
  <c r="AW2210" i="3"/>
  <c r="AR63" i="3"/>
  <c r="U2211" i="3"/>
  <c r="X2210" i="3" s="1"/>
  <c r="AU2211" i="3"/>
  <c r="R2210" i="3"/>
  <c r="T2210" i="3" s="1"/>
  <c r="BI2210" i="3"/>
  <c r="BJ2210" i="3"/>
  <c r="CH2210" i="3"/>
  <c r="CG2210" i="3"/>
  <c r="BJ2002" i="3"/>
  <c r="BI2002" i="3"/>
  <c r="AX2002" i="3"/>
  <c r="AW2002" i="3"/>
  <c r="BI755" i="3"/>
  <c r="BJ755" i="3"/>
  <c r="AO64" i="3"/>
  <c r="M90" i="3"/>
  <c r="O95" i="3"/>
  <c r="CH63" i="3"/>
  <c r="AI64" i="3"/>
  <c r="AJ63" i="3" s="1"/>
  <c r="AK63" i="3" s="1"/>
  <c r="BC63" i="3"/>
  <c r="BP1425" i="3"/>
  <c r="CE64" i="3"/>
  <c r="BS64" i="3"/>
  <c r="CB2210" i="3"/>
  <c r="BS133" i="3"/>
  <c r="CE1657" i="3"/>
  <c r="W1657" i="3"/>
  <c r="CE133" i="3"/>
  <c r="AC1657" i="3"/>
  <c r="U133" i="3"/>
  <c r="X132" i="3" s="1"/>
  <c r="Y132" i="3" s="1"/>
  <c r="CH1102" i="3"/>
  <c r="AI133" i="3"/>
  <c r="AJ132" i="3" s="1"/>
  <c r="AL132" i="3" s="1"/>
  <c r="BS1426" i="3"/>
  <c r="AW1656" i="3"/>
  <c r="BG1103" i="3"/>
  <c r="BG133" i="3"/>
  <c r="AK1425" i="3"/>
  <c r="BM1426" i="3"/>
  <c r="BG1426" i="3"/>
  <c r="BA1426" i="3"/>
  <c r="BB1425" i="3" s="1"/>
  <c r="BD1425" i="3" s="1"/>
  <c r="CH132" i="3"/>
  <c r="U1426" i="3"/>
  <c r="X1425" i="3" s="1"/>
  <c r="Y1425" i="3" s="1"/>
  <c r="AC1426" i="3"/>
  <c r="BY1426" i="3"/>
  <c r="AU133" i="3"/>
  <c r="CE1426" i="3"/>
  <c r="AC225" i="3"/>
  <c r="AD224" i="3" s="1"/>
  <c r="AE224" i="3" s="1"/>
  <c r="W225" i="3"/>
  <c r="BA1103" i="3"/>
  <c r="M94" i="3"/>
  <c r="M95" i="3"/>
  <c r="BY225" i="3"/>
  <c r="CH501" i="3"/>
  <c r="I88" i="3"/>
  <c r="BY133" i="3"/>
  <c r="BZ132" i="3" s="1"/>
  <c r="CA132" i="3" s="1"/>
  <c r="BJ132" i="3"/>
  <c r="AC133" i="3"/>
  <c r="R1425" i="3"/>
  <c r="S1425" i="3" s="1"/>
  <c r="BG225" i="3"/>
  <c r="BH224" i="3" s="1"/>
  <c r="AI225" i="3"/>
  <c r="AJ224" i="3" s="1"/>
  <c r="CG224" i="3"/>
  <c r="G90" i="3"/>
  <c r="H88" i="3"/>
  <c r="D94" i="3"/>
  <c r="BP63" i="3"/>
  <c r="W64" i="3"/>
  <c r="X63" i="3" s="1"/>
  <c r="Z63" i="3" s="1"/>
  <c r="BY64" i="3"/>
  <c r="AC64" i="3"/>
  <c r="BU1656" i="3"/>
  <c r="AI1426" i="3"/>
  <c r="F90" i="3"/>
  <c r="H95" i="3"/>
  <c r="L88" i="3"/>
  <c r="N94" i="3"/>
  <c r="BG64" i="3"/>
  <c r="BA225" i="3"/>
  <c r="BB224" i="3" s="1"/>
  <c r="W502" i="3"/>
  <c r="X501" i="3" s="1"/>
  <c r="Y501" i="3" s="1"/>
  <c r="Y2372" i="3"/>
  <c r="Z2372" i="3"/>
  <c r="AF2372" i="3"/>
  <c r="AE2372" i="3"/>
  <c r="CA2487" i="3"/>
  <c r="CB2487" i="3"/>
  <c r="BO1102" i="3"/>
  <c r="D90" i="3"/>
  <c r="J95" i="3"/>
  <c r="BP2487" i="3"/>
  <c r="BO2487" i="3"/>
  <c r="N90" i="3"/>
  <c r="O90" i="3"/>
  <c r="E95" i="3"/>
  <c r="L95" i="3"/>
  <c r="CE225" i="3"/>
  <c r="AU225" i="3"/>
  <c r="AV224" i="3" s="1"/>
  <c r="J90" i="3"/>
  <c r="H90" i="3"/>
  <c r="K90" i="3"/>
  <c r="I95" i="3"/>
  <c r="G95" i="3"/>
  <c r="F95" i="3"/>
  <c r="BU63" i="3"/>
  <c r="BI63" i="3"/>
  <c r="AE2487" i="3"/>
  <c r="AF2487" i="3"/>
  <c r="BV2487" i="3"/>
  <c r="BU2487" i="3"/>
  <c r="S2487" i="3"/>
  <c r="T2487" i="3"/>
  <c r="U225" i="3"/>
  <c r="I90" i="3"/>
  <c r="E90" i="3"/>
  <c r="D95" i="3"/>
  <c r="N95" i="3"/>
  <c r="AU64" i="3"/>
  <c r="AV63" i="3" s="1"/>
  <c r="AW63" i="3" s="1"/>
  <c r="BA64" i="3"/>
  <c r="BM64" i="3"/>
  <c r="CA1656" i="3"/>
  <c r="Y2487" i="3"/>
  <c r="Z2487" i="3"/>
  <c r="AQ2487" i="3"/>
  <c r="AR2487" i="3"/>
  <c r="CG917" i="3"/>
  <c r="CH917" i="3"/>
  <c r="AA918" i="3"/>
  <c r="W918" i="3"/>
  <c r="CB917" i="3"/>
  <c r="CA917" i="3"/>
  <c r="AI918" i="3"/>
  <c r="BA918" i="3"/>
  <c r="BB917" i="3" s="1"/>
  <c r="BG918" i="3"/>
  <c r="BH917" i="3" s="1"/>
  <c r="R917" i="3"/>
  <c r="AO918" i="3"/>
  <c r="AP917" i="3" s="1"/>
  <c r="AC918" i="3"/>
  <c r="AU918" i="3"/>
  <c r="AV917" i="3" s="1"/>
  <c r="BS918" i="3"/>
  <c r="BM918" i="3"/>
  <c r="BN917" i="3" s="1"/>
  <c r="BY918" i="3"/>
  <c r="CE918" i="3"/>
  <c r="U918" i="3"/>
  <c r="X917" i="3" s="1"/>
  <c r="BU917" i="3"/>
  <c r="BV917" i="3"/>
  <c r="AL917" i="3"/>
  <c r="AK917" i="3"/>
  <c r="Y2672" i="3"/>
  <c r="Z2672" i="3"/>
  <c r="CA1102" i="3"/>
  <c r="AF2672" i="3"/>
  <c r="AE2672" i="3"/>
  <c r="T2672" i="3"/>
  <c r="S2672" i="3"/>
  <c r="BU132" i="3"/>
  <c r="BS225" i="3"/>
  <c r="D88" i="3"/>
  <c r="F88" i="3"/>
  <c r="O88" i="3"/>
  <c r="L94" i="3"/>
  <c r="F94" i="3"/>
  <c r="E94" i="3"/>
  <c r="R63" i="3"/>
  <c r="T63" i="3" s="1"/>
  <c r="AV132" i="3"/>
  <c r="AW132" i="3" s="1"/>
  <c r="BZ224" i="3"/>
  <c r="CA224" i="3" s="1"/>
  <c r="J88" i="3"/>
  <c r="N88" i="3"/>
  <c r="K88" i="3"/>
  <c r="O94" i="3"/>
  <c r="J94" i="3"/>
  <c r="I94" i="3"/>
  <c r="AO1103" i="3"/>
  <c r="AO133" i="3"/>
  <c r="AP132" i="3" s="1"/>
  <c r="AQ132" i="3" s="1"/>
  <c r="E88" i="3"/>
  <c r="G88" i="3"/>
  <c r="H94" i="3"/>
  <c r="G94" i="3"/>
  <c r="AE1102" i="3"/>
  <c r="AF1102" i="3"/>
  <c r="AI1103" i="3"/>
  <c r="AJ1102" i="3" s="1"/>
  <c r="AK1102" i="3" s="1"/>
  <c r="BS1657" i="3"/>
  <c r="BY1657" i="3"/>
  <c r="AL1656" i="3"/>
  <c r="AA2280" i="3"/>
  <c r="AD2279" i="3" s="1"/>
  <c r="W2280" i="3"/>
  <c r="AU1033" i="3"/>
  <c r="AV1032" i="3" s="1"/>
  <c r="AO1033" i="3"/>
  <c r="AP1032" i="3" s="1"/>
  <c r="BS1033" i="3"/>
  <c r="U1033" i="3"/>
  <c r="CE1033" i="3"/>
  <c r="BM1033" i="3"/>
  <c r="BN1032" i="3" s="1"/>
  <c r="BY1033" i="3"/>
  <c r="BG1033" i="3"/>
  <c r="BH1032" i="3" s="1"/>
  <c r="AI1033" i="3"/>
  <c r="AJ1032" i="3" s="1"/>
  <c r="AC1033" i="3"/>
  <c r="BA1033" i="3"/>
  <c r="BB1032" i="3" s="1"/>
  <c r="R1032" i="3"/>
  <c r="BS502" i="3"/>
  <c r="BO501" i="3"/>
  <c r="AU1657" i="3"/>
  <c r="R1102" i="3"/>
  <c r="S1102" i="3" s="1"/>
  <c r="R132" i="3"/>
  <c r="S132" i="3" s="1"/>
  <c r="BD2279" i="3"/>
  <c r="BC2279" i="3"/>
  <c r="W1033" i="3"/>
  <c r="AA1033" i="3"/>
  <c r="AD1032" i="3" s="1"/>
  <c r="CB1032" i="3"/>
  <c r="CA1032" i="3"/>
  <c r="AI502" i="3"/>
  <c r="AJ501" i="3" s="1"/>
  <c r="AL501" i="3" s="1"/>
  <c r="R501" i="3"/>
  <c r="S501" i="3" s="1"/>
  <c r="BB1102" i="3"/>
  <c r="BM1657" i="3"/>
  <c r="CH1656" i="3"/>
  <c r="U1657" i="3"/>
  <c r="X1656" i="3" s="1"/>
  <c r="BA133" i="3"/>
  <c r="BB132" i="3" s="1"/>
  <c r="BC132" i="3" s="1"/>
  <c r="BP132" i="3"/>
  <c r="BO132" i="3"/>
  <c r="AO2280" i="3"/>
  <c r="AP2279" i="3" s="1"/>
  <c r="AU2280" i="3"/>
  <c r="U2280" i="3"/>
  <c r="X2279" i="3" s="1"/>
  <c r="AC2280" i="3"/>
  <c r="BG2280" i="3"/>
  <c r="BH2279" i="3" s="1"/>
  <c r="BM2280" i="3"/>
  <c r="CE2280" i="3"/>
  <c r="AI2280" i="3"/>
  <c r="BS2280" i="3"/>
  <c r="BT2279" i="3" s="1"/>
  <c r="BA2280" i="3"/>
  <c r="BY2280" i="3"/>
  <c r="BZ2279" i="3" s="1"/>
  <c r="R2279" i="3"/>
  <c r="AW2279" i="3"/>
  <c r="AX2279" i="3"/>
  <c r="BV1032" i="3"/>
  <c r="BU1032" i="3"/>
  <c r="BP2279" i="3"/>
  <c r="BO2279" i="3"/>
  <c r="AL2279" i="3"/>
  <c r="AK2279" i="3"/>
  <c r="CG2279" i="3"/>
  <c r="CH2279" i="3"/>
  <c r="CH1032" i="3"/>
  <c r="CG1032" i="3"/>
  <c r="Q1753" i="3"/>
  <c r="AY1749" i="3" s="1"/>
  <c r="Q1758" i="3"/>
  <c r="CC1749" i="3" s="1"/>
  <c r="CF1748" i="3" s="1"/>
  <c r="Q1754" i="3"/>
  <c r="BE1749" i="3" s="1"/>
  <c r="Q1757" i="3"/>
  <c r="BW1749" i="3" s="1"/>
  <c r="BZ1748" i="3" s="1"/>
  <c r="Q1748" i="3"/>
  <c r="Q1751" i="3"/>
  <c r="AM1749" i="3" s="1"/>
  <c r="Q1749" i="3"/>
  <c r="Q1756" i="3"/>
  <c r="BQ1749" i="3" s="1"/>
  <c r="BT1748" i="3" s="1"/>
  <c r="Q1750" i="3"/>
  <c r="AG1749" i="3" s="1"/>
  <c r="Q1752" i="3"/>
  <c r="AS1749" i="3" s="1"/>
  <c r="Q1755" i="3"/>
  <c r="BK1749" i="3" s="1"/>
  <c r="Z755" i="3"/>
  <c r="BY1103" i="3"/>
  <c r="W1103" i="3"/>
  <c r="BA1657" i="3"/>
  <c r="BB1656" i="3" s="1"/>
  <c r="BS1103" i="3"/>
  <c r="BM1103" i="3"/>
  <c r="AO1657" i="3"/>
  <c r="CE1103" i="3"/>
  <c r="BM502" i="3"/>
  <c r="BA502" i="3"/>
  <c r="BB501" i="3" s="1"/>
  <c r="BD501" i="3" s="1"/>
  <c r="AR1102" i="3"/>
  <c r="AO502" i="3"/>
  <c r="AP501" i="3" s="1"/>
  <c r="AU502" i="3"/>
  <c r="AV501" i="3" s="1"/>
  <c r="AC502" i="3"/>
  <c r="AD501" i="3" s="1"/>
  <c r="CB501" i="3"/>
  <c r="AU1103" i="3"/>
  <c r="AV1102" i="3" s="1"/>
  <c r="CE502" i="3"/>
  <c r="BY502" i="3"/>
  <c r="BG502" i="3"/>
  <c r="BH501" i="3" s="1"/>
  <c r="BJ501" i="3" s="1"/>
  <c r="T1171" i="3"/>
  <c r="BJ1102" i="3"/>
  <c r="R1656" i="3"/>
  <c r="BG1657" i="3"/>
  <c r="BH1656" i="3" s="1"/>
  <c r="AA1657" i="3"/>
  <c r="AD1656" i="3" s="1"/>
  <c r="AC1103" i="3"/>
  <c r="U1103" i="3"/>
  <c r="X1102" i="3" s="1"/>
  <c r="BP1656" i="3"/>
  <c r="BO1656" i="3"/>
  <c r="AM1657" i="3"/>
  <c r="AP1656" i="3" s="1"/>
  <c r="AI1657" i="3"/>
  <c r="AK1402" i="3"/>
  <c r="AL1402" i="3"/>
  <c r="AQ1402" i="3"/>
  <c r="AR1402" i="3"/>
  <c r="BI1402" i="3"/>
  <c r="BJ1402" i="3"/>
  <c r="BO1402" i="3"/>
  <c r="BP1402" i="3"/>
  <c r="CA1402" i="3"/>
  <c r="CB1402" i="3"/>
  <c r="CG1402" i="3"/>
  <c r="CH1402" i="3"/>
  <c r="CE1403" i="3"/>
  <c r="BG1403" i="3"/>
  <c r="AI1403" i="3"/>
  <c r="AO1403" i="3"/>
  <c r="R1402" i="3"/>
  <c r="BS1403" i="3"/>
  <c r="AC1403" i="3"/>
  <c r="AU1403" i="3"/>
  <c r="AV1402" i="3" s="1"/>
  <c r="BM1403" i="3"/>
  <c r="U1403" i="3"/>
  <c r="X1402" i="3" s="1"/>
  <c r="BA1403" i="3"/>
  <c r="BB1402" i="3" s="1"/>
  <c r="BY1403" i="3"/>
  <c r="BV1402" i="3"/>
  <c r="BU1402" i="3"/>
  <c r="W1403" i="3"/>
  <c r="AA1403" i="3"/>
  <c r="AD1402" i="3" s="1"/>
  <c r="Q2196" i="3"/>
  <c r="BW2188" i="3" s="1"/>
  <c r="BZ2187" i="3" s="1"/>
  <c r="Q2195" i="3"/>
  <c r="BQ2188" i="3" s="1"/>
  <c r="Q2190" i="3"/>
  <c r="AM2188" i="3" s="1"/>
  <c r="AP2187" i="3" s="1"/>
  <c r="Q2189" i="3"/>
  <c r="AG2188" i="3" s="1"/>
  <c r="AJ2187" i="3" s="1"/>
  <c r="Q2194" i="3"/>
  <c r="BK2188" i="3" s="1"/>
  <c r="Q2187" i="3"/>
  <c r="Q2191" i="3"/>
  <c r="AS2188" i="3" s="1"/>
  <c r="AV2187" i="3" s="1"/>
  <c r="Q2193" i="3"/>
  <c r="BE2188" i="3" s="1"/>
  <c r="BH2187" i="3" s="1"/>
  <c r="Q2188" i="3"/>
  <c r="Q2197" i="3"/>
  <c r="CC2188" i="3" s="1"/>
  <c r="CF2187" i="3" s="1"/>
  <c r="Q2192" i="3"/>
  <c r="AY2188" i="3" s="1"/>
  <c r="BB2187" i="3" s="1"/>
  <c r="Q1983" i="3"/>
  <c r="AS1980" i="3" s="1"/>
  <c r="Q1985" i="3"/>
  <c r="BE1980" i="3" s="1"/>
  <c r="BH1979" i="3" s="1"/>
  <c r="Q1982" i="3"/>
  <c r="AM1980" i="3" s="1"/>
  <c r="Q1987" i="3"/>
  <c r="BQ1980" i="3" s="1"/>
  <c r="Q1979" i="3"/>
  <c r="Q1981" i="3"/>
  <c r="AG1980" i="3" s="1"/>
  <c r="AJ1979" i="3" s="1"/>
  <c r="Q1984" i="3"/>
  <c r="AY1980" i="3" s="1"/>
  <c r="Q1988" i="3"/>
  <c r="BW1980" i="3" s="1"/>
  <c r="Q1986" i="3"/>
  <c r="BK1980" i="3" s="1"/>
  <c r="BN1979" i="3" s="1"/>
  <c r="Q1989" i="3"/>
  <c r="CC1980" i="3" s="1"/>
  <c r="CF1979" i="3" s="1"/>
  <c r="Q1980" i="3"/>
  <c r="AW2141" i="3"/>
  <c r="AX2141" i="3"/>
  <c r="BI2141" i="3"/>
  <c r="BJ2141" i="3"/>
  <c r="BU2141" i="3"/>
  <c r="BV2141" i="3"/>
  <c r="AA2142" i="3"/>
  <c r="AD2141" i="3" s="1"/>
  <c r="W2142" i="3"/>
  <c r="AK2141" i="3"/>
  <c r="AL2141" i="3"/>
  <c r="CA2141" i="3"/>
  <c r="CB2141" i="3"/>
  <c r="BP2141" i="3"/>
  <c r="BO2141" i="3"/>
  <c r="U2142" i="3"/>
  <c r="X2141" i="3" s="1"/>
  <c r="BY2142" i="3"/>
  <c r="BM2142" i="3"/>
  <c r="BS2142" i="3"/>
  <c r="R2141" i="3"/>
  <c r="BG2142" i="3"/>
  <c r="AI2142" i="3"/>
  <c r="BA2142" i="3"/>
  <c r="AO2142" i="3"/>
  <c r="AU2142" i="3"/>
  <c r="AC2142" i="3"/>
  <c r="CE2142" i="3"/>
  <c r="BC2141" i="3"/>
  <c r="BD2141" i="3"/>
  <c r="CG2141" i="3"/>
  <c r="CH2141" i="3"/>
  <c r="AR2141" i="3"/>
  <c r="AQ2141" i="3"/>
  <c r="AO225" i="3"/>
  <c r="AP224" i="3" s="1"/>
  <c r="AQ224" i="3" s="1"/>
  <c r="BT224" i="3"/>
  <c r="BV224" i="3" s="1"/>
  <c r="BM225" i="3"/>
  <c r="R224" i="3"/>
  <c r="S224" i="3" s="1"/>
  <c r="Y2164" i="3"/>
  <c r="Z2164" i="3"/>
  <c r="AE2164" i="3"/>
  <c r="AF2164" i="3"/>
  <c r="Q1364" i="3"/>
  <c r="BQ1357" i="3" s="1"/>
  <c r="BT1356" i="3" s="1"/>
  <c r="Q1361" i="3"/>
  <c r="AY1357" i="3" s="1"/>
  <c r="Q1359" i="3"/>
  <c r="AM1357" i="3" s="1"/>
  <c r="Q1363" i="3"/>
  <c r="BK1357" i="3" s="1"/>
  <c r="Q1366" i="3"/>
  <c r="CC1357" i="3" s="1"/>
  <c r="CF1356" i="3" s="1"/>
  <c r="Q1360" i="3"/>
  <c r="AS1357" i="3" s="1"/>
  <c r="Q1358" i="3"/>
  <c r="AG1357" i="3" s="1"/>
  <c r="Q1356" i="3"/>
  <c r="Q1357" i="3"/>
  <c r="Q1362" i="3"/>
  <c r="BE1357" i="3" s="1"/>
  <c r="Q1365" i="3"/>
  <c r="BW1357" i="3" s="1"/>
  <c r="BZ1356" i="3" s="1"/>
  <c r="S2164" i="3"/>
  <c r="T2164" i="3"/>
  <c r="E93" i="3"/>
  <c r="I93" i="3"/>
  <c r="H93" i="3"/>
  <c r="F93" i="3"/>
  <c r="N93" i="3"/>
  <c r="G93" i="3"/>
  <c r="O93" i="3"/>
  <c r="D93" i="3"/>
  <c r="K93" i="3"/>
  <c r="J93" i="3"/>
  <c r="M93" i="3"/>
  <c r="L93" i="3"/>
  <c r="G89" i="3"/>
  <c r="L89" i="3"/>
  <c r="F89" i="3"/>
  <c r="J89" i="3"/>
  <c r="I89" i="3"/>
  <c r="O89" i="3"/>
  <c r="H89" i="3"/>
  <c r="E89" i="3"/>
  <c r="K89" i="3"/>
  <c r="N89" i="3"/>
  <c r="M89" i="3"/>
  <c r="D89" i="3"/>
  <c r="N87" i="3"/>
  <c r="D87" i="3"/>
  <c r="G87" i="3"/>
  <c r="F87" i="3"/>
  <c r="E87" i="3"/>
  <c r="K87" i="3"/>
  <c r="M87" i="3"/>
  <c r="I87" i="3"/>
  <c r="J87" i="3"/>
  <c r="L87" i="3"/>
  <c r="H87" i="3"/>
  <c r="O87" i="3"/>
  <c r="J92" i="3"/>
  <c r="O92" i="3"/>
  <c r="G92" i="3"/>
  <c r="E92" i="3"/>
  <c r="H92" i="3"/>
  <c r="M92" i="3"/>
  <c r="K92" i="3"/>
  <c r="D92" i="3"/>
  <c r="L92" i="3"/>
  <c r="I92" i="3"/>
  <c r="N92" i="3"/>
  <c r="F92" i="3"/>
  <c r="H91" i="3"/>
  <c r="F91" i="3"/>
  <c r="O91" i="3"/>
  <c r="N91" i="3"/>
  <c r="K91" i="3"/>
  <c r="D91" i="3"/>
  <c r="L91" i="3"/>
  <c r="M91" i="3"/>
  <c r="J91" i="3"/>
  <c r="G91" i="3"/>
  <c r="E91" i="3"/>
  <c r="I91" i="3"/>
  <c r="J96" i="3"/>
  <c r="E96" i="3"/>
  <c r="H96" i="3"/>
  <c r="F96" i="3"/>
  <c r="I96" i="3"/>
  <c r="O96" i="3"/>
  <c r="D96" i="3"/>
  <c r="N96" i="3"/>
  <c r="K96" i="3"/>
  <c r="M96" i="3"/>
  <c r="L96" i="3"/>
  <c r="G96" i="3"/>
  <c r="CH848" i="3"/>
  <c r="CG848" i="3"/>
  <c r="X247" i="3"/>
  <c r="Z247" i="3" s="1"/>
  <c r="AA849" i="3"/>
  <c r="AD848" i="3" s="1"/>
  <c r="W849" i="3"/>
  <c r="BA849" i="3"/>
  <c r="BB848" i="3" s="1"/>
  <c r="BS849" i="3"/>
  <c r="BT848" i="3" s="1"/>
  <c r="CE849" i="3"/>
  <c r="BY849" i="3"/>
  <c r="BZ848" i="3" s="1"/>
  <c r="BG849" i="3"/>
  <c r="BH848" i="3" s="1"/>
  <c r="AI849" i="3"/>
  <c r="AJ848" i="3" s="1"/>
  <c r="R848" i="3"/>
  <c r="AU849" i="3"/>
  <c r="AV848" i="3" s="1"/>
  <c r="AO849" i="3"/>
  <c r="AP848" i="3" s="1"/>
  <c r="BM849" i="3"/>
  <c r="BN848" i="3" s="1"/>
  <c r="U849" i="3"/>
  <c r="X848" i="3" s="1"/>
  <c r="AC849" i="3"/>
  <c r="B1454" i="3"/>
  <c r="B1455" i="3" s="1"/>
  <c r="AE63" i="3"/>
  <c r="AF63" i="3"/>
  <c r="P1897" i="3"/>
  <c r="P1893" i="3"/>
  <c r="P1895" i="3"/>
  <c r="P1896" i="3"/>
  <c r="P1890" i="3"/>
  <c r="P1887" i="3"/>
  <c r="AX247" i="3"/>
  <c r="AW247" i="3"/>
  <c r="P1894" i="3"/>
  <c r="P1888" i="3"/>
  <c r="Q642" i="3"/>
  <c r="AG641" i="3" s="1"/>
  <c r="Q645" i="3"/>
  <c r="AY641" i="3" s="1"/>
  <c r="Q649" i="3"/>
  <c r="BW641" i="3" s="1"/>
  <c r="Q643" i="3"/>
  <c r="AM641" i="3" s="1"/>
  <c r="Q640" i="3"/>
  <c r="Q644" i="3"/>
  <c r="AS641" i="3" s="1"/>
  <c r="Q648" i="3"/>
  <c r="BQ641" i="3" s="1"/>
  <c r="Q641" i="3"/>
  <c r="Q647" i="3"/>
  <c r="BK641" i="3" s="1"/>
  <c r="Q646" i="3"/>
  <c r="BE641" i="3" s="1"/>
  <c r="BH640" i="3" s="1"/>
  <c r="Q650" i="3"/>
  <c r="CC641" i="3" s="1"/>
  <c r="CF640" i="3" s="1"/>
  <c r="P1892" i="3"/>
  <c r="P1891" i="3"/>
  <c r="BV247" i="3"/>
  <c r="CB247" i="3"/>
  <c r="CA247" i="3"/>
  <c r="CG247" i="3"/>
  <c r="Q280" i="3"/>
  <c r="CC271" i="3" s="1"/>
  <c r="CF270" i="3" s="1"/>
  <c r="Q278" i="3"/>
  <c r="BQ271" i="3" s="1"/>
  <c r="Q279" i="3"/>
  <c r="BW271" i="3" s="1"/>
  <c r="Q272" i="3"/>
  <c r="AG271" i="3" s="1"/>
  <c r="Q273" i="3"/>
  <c r="AM271" i="3" s="1"/>
  <c r="Q277" i="3"/>
  <c r="BK271" i="3" s="1"/>
  <c r="Q274" i="3"/>
  <c r="AS271" i="3" s="1"/>
  <c r="Q270" i="3"/>
  <c r="Q276" i="3"/>
  <c r="BE271" i="3" s="1"/>
  <c r="BH270" i="3" s="1"/>
  <c r="Q271" i="3"/>
  <c r="Q275" i="3"/>
  <c r="AY271" i="3" s="1"/>
  <c r="B959" i="3"/>
  <c r="B960" i="3" s="1"/>
  <c r="B961" i="3" s="1"/>
  <c r="P598" i="3"/>
  <c r="P597" i="3"/>
  <c r="P603" i="3"/>
  <c r="P601" i="3"/>
  <c r="P602" i="3"/>
  <c r="P595" i="3"/>
  <c r="P596" i="3"/>
  <c r="P600" i="3"/>
  <c r="P594" i="3"/>
  <c r="P604" i="3"/>
  <c r="P599" i="3"/>
  <c r="B1970" i="3"/>
  <c r="B1971" i="3" s="1"/>
  <c r="B1972" i="3" s="1"/>
  <c r="B1973" i="3" s="1"/>
  <c r="B439" i="3"/>
  <c r="B440" i="3" s="1"/>
  <c r="AL1171" i="3"/>
  <c r="AK1171" i="3"/>
  <c r="P873" i="3"/>
  <c r="P881" i="3"/>
  <c r="P871" i="3"/>
  <c r="P878" i="3"/>
  <c r="P879" i="3"/>
  <c r="P874" i="3"/>
  <c r="P875" i="3"/>
  <c r="P880" i="3"/>
  <c r="P876" i="3"/>
  <c r="P877" i="3"/>
  <c r="P872" i="3"/>
  <c r="Y617" i="3"/>
  <c r="Z617" i="3"/>
  <c r="AF1009" i="3"/>
  <c r="AE1009" i="3"/>
  <c r="Q389" i="3"/>
  <c r="AM387" i="3" s="1"/>
  <c r="AP386" i="3" s="1"/>
  <c r="AQ386" i="3" s="1"/>
  <c r="Q393" i="3"/>
  <c r="BK387" i="3" s="1"/>
  <c r="BN386" i="3" s="1"/>
  <c r="BO386" i="3" s="1"/>
  <c r="BO732" i="3"/>
  <c r="BP732" i="3"/>
  <c r="CA732" i="3"/>
  <c r="CB732" i="3"/>
  <c r="BU732" i="3"/>
  <c r="BV732" i="3"/>
  <c r="AU733" i="3"/>
  <c r="AV732" i="3" s="1"/>
  <c r="AC733" i="3"/>
  <c r="BG733" i="3"/>
  <c r="BH732" i="3" s="1"/>
  <c r="R732" i="3"/>
  <c r="BM733" i="3"/>
  <c r="U733" i="3"/>
  <c r="X732" i="3" s="1"/>
  <c r="BS733" i="3"/>
  <c r="AI733" i="3"/>
  <c r="AJ732" i="3" s="1"/>
  <c r="BA733" i="3"/>
  <c r="BB732" i="3" s="1"/>
  <c r="BY733" i="3"/>
  <c r="CE733" i="3"/>
  <c r="AO733" i="3"/>
  <c r="AP732" i="3" s="1"/>
  <c r="Q390" i="3"/>
  <c r="AS387" i="3" s="1"/>
  <c r="AV386" i="3" s="1"/>
  <c r="AX386" i="3" s="1"/>
  <c r="CH732" i="3"/>
  <c r="CG732" i="3"/>
  <c r="AA733" i="3"/>
  <c r="AD732" i="3" s="1"/>
  <c r="W733" i="3"/>
  <c r="Q388" i="3"/>
  <c r="AG387" i="3" s="1"/>
  <c r="AJ386" i="3" s="1"/>
  <c r="AK386" i="3" s="1"/>
  <c r="Q391" i="3"/>
  <c r="AY387" i="3" s="1"/>
  <c r="BB386" i="3" s="1"/>
  <c r="BC386" i="3" s="1"/>
  <c r="Q396" i="3"/>
  <c r="CC387" i="3" s="1"/>
  <c r="CF386" i="3" s="1"/>
  <c r="CH386" i="3" s="1"/>
  <c r="Q392" i="3"/>
  <c r="BE387" i="3" s="1"/>
  <c r="BH386" i="3" s="1"/>
  <c r="BI386" i="3" s="1"/>
  <c r="Q387" i="3"/>
  <c r="AA387" i="3" s="1"/>
  <c r="Q394" i="3"/>
  <c r="BQ387" i="3" s="1"/>
  <c r="BT386" i="3" s="1"/>
  <c r="BU386" i="3" s="1"/>
  <c r="Q386" i="3"/>
  <c r="Q395" i="3"/>
  <c r="BW387" i="3" s="1"/>
  <c r="BZ386" i="3" s="1"/>
  <c r="CB386" i="3" s="1"/>
  <c r="T2626" i="3"/>
  <c r="S2626" i="3"/>
  <c r="Y2626" i="3"/>
  <c r="Z2626" i="3"/>
  <c r="AE2626" i="3"/>
  <c r="AF2626" i="3"/>
  <c r="CB2741" i="3"/>
  <c r="CA2741" i="3"/>
  <c r="AR2741" i="3"/>
  <c r="AQ2741" i="3"/>
  <c r="BU2741" i="3"/>
  <c r="BV2741" i="3"/>
  <c r="BM2742" i="3"/>
  <c r="R2741" i="3"/>
  <c r="BG2742" i="3"/>
  <c r="AI2742" i="3"/>
  <c r="U2742" i="3"/>
  <c r="X2741" i="3" s="1"/>
  <c r="BY2742" i="3"/>
  <c r="CE2742" i="3"/>
  <c r="AO2742" i="3"/>
  <c r="AC2742" i="3"/>
  <c r="AU2742" i="3"/>
  <c r="BS2742" i="3"/>
  <c r="BA2742" i="3"/>
  <c r="BP2741" i="3"/>
  <c r="BO2741" i="3"/>
  <c r="BI2741" i="3"/>
  <c r="BJ2741" i="3"/>
  <c r="BD2741" i="3"/>
  <c r="BC2741" i="3"/>
  <c r="AK2741" i="3"/>
  <c r="AL2741" i="3"/>
  <c r="W2742" i="3"/>
  <c r="AA2742" i="3"/>
  <c r="AD2741" i="3" s="1"/>
  <c r="CG2741" i="3"/>
  <c r="CH2741" i="3"/>
  <c r="AW2741" i="3"/>
  <c r="AX2741" i="3"/>
  <c r="T2418" i="3"/>
  <c r="S2418" i="3"/>
  <c r="AE2418" i="3"/>
  <c r="AF2418" i="3"/>
  <c r="Y2418" i="3"/>
  <c r="Z2418" i="3"/>
  <c r="Q1618" i="3" l="1"/>
  <c r="BQ1611" i="3" s="1"/>
  <c r="BT1610" i="3" s="1"/>
  <c r="Q1610" i="3"/>
  <c r="P2649" i="3" a="1"/>
  <c r="P2653" i="3" s="1"/>
  <c r="Q1615" i="3"/>
  <c r="AY1611" i="3" s="1"/>
  <c r="Q1616" i="3"/>
  <c r="BE1611" i="3" s="1"/>
  <c r="Q1619" i="3"/>
  <c r="BW1611" i="3" s="1"/>
  <c r="BZ1610" i="3" s="1"/>
  <c r="CA1610" i="3" s="1"/>
  <c r="Q1614" i="3"/>
  <c r="AS1611" i="3" s="1"/>
  <c r="BC247" i="3"/>
  <c r="AL247" i="3"/>
  <c r="Q1617" i="3"/>
  <c r="BK1611" i="3" s="1"/>
  <c r="Q1612" i="3"/>
  <c r="AG1611" i="3" s="1"/>
  <c r="Q1620" i="3"/>
  <c r="CC1611" i="3" s="1"/>
  <c r="CF1610" i="3" s="1"/>
  <c r="CG1610" i="3" s="1"/>
  <c r="AR1125" i="3"/>
  <c r="BO247" i="3"/>
  <c r="Q1613" i="3"/>
  <c r="AM1611" i="3" s="1"/>
  <c r="T1125" i="3"/>
  <c r="AW1402" i="3"/>
  <c r="AX1402" i="3"/>
  <c r="BC1656" i="3"/>
  <c r="BD1656" i="3"/>
  <c r="BV2372" i="3"/>
  <c r="BU2372" i="3"/>
  <c r="P2533" i="3" a="1"/>
  <c r="P2541" i="3" s="1"/>
  <c r="J347" i="3"/>
  <c r="N347" i="3"/>
  <c r="E347" i="3"/>
  <c r="L347" i="3"/>
  <c r="O347" i="3"/>
  <c r="I347" i="3"/>
  <c r="G347" i="3"/>
  <c r="H347" i="3"/>
  <c r="D347" i="3"/>
  <c r="F347" i="3"/>
  <c r="K347" i="3"/>
  <c r="M347" i="3"/>
  <c r="F342" i="3"/>
  <c r="J342" i="3"/>
  <c r="K342" i="3"/>
  <c r="I342" i="3"/>
  <c r="G342" i="3"/>
  <c r="E342" i="3"/>
  <c r="L342" i="3"/>
  <c r="H342" i="3"/>
  <c r="D342" i="3"/>
  <c r="O342" i="3"/>
  <c r="M342" i="3"/>
  <c r="N342" i="3"/>
  <c r="P2468" i="3"/>
  <c r="P2474" i="3"/>
  <c r="P2464" i="3"/>
  <c r="P2469" i="3"/>
  <c r="P2465" i="3"/>
  <c r="P2472" i="3"/>
  <c r="P2473" i="3"/>
  <c r="P2471" i="3"/>
  <c r="P2467" i="3"/>
  <c r="P2470" i="3"/>
  <c r="P2466" i="3"/>
  <c r="J341" i="3"/>
  <c r="F341" i="3"/>
  <c r="G341" i="3"/>
  <c r="E341" i="3"/>
  <c r="O341" i="3"/>
  <c r="H341" i="3"/>
  <c r="N341" i="3"/>
  <c r="K341" i="3"/>
  <c r="D341" i="3"/>
  <c r="I341" i="3"/>
  <c r="L341" i="3"/>
  <c r="M341" i="3"/>
  <c r="I348" i="3"/>
  <c r="M348" i="3"/>
  <c r="E348" i="3"/>
  <c r="N348" i="3"/>
  <c r="O348" i="3"/>
  <c r="F348" i="3"/>
  <c r="L348" i="3"/>
  <c r="K348" i="3"/>
  <c r="D348" i="3"/>
  <c r="J348" i="3"/>
  <c r="H348" i="3"/>
  <c r="G348" i="3"/>
  <c r="N350" i="3"/>
  <c r="K350" i="3"/>
  <c r="J350" i="3"/>
  <c r="H350" i="3"/>
  <c r="L350" i="3"/>
  <c r="O350" i="3"/>
  <c r="F350" i="3"/>
  <c r="I350" i="3"/>
  <c r="D350" i="3"/>
  <c r="M350" i="3"/>
  <c r="G350" i="3"/>
  <c r="E350" i="3"/>
  <c r="C462" i="3"/>
  <c r="F462" i="3" s="1"/>
  <c r="F349" i="3"/>
  <c r="M349" i="3"/>
  <c r="E349" i="3"/>
  <c r="N349" i="3"/>
  <c r="J349" i="3"/>
  <c r="L349" i="3"/>
  <c r="D349" i="3"/>
  <c r="I349" i="3"/>
  <c r="O349" i="3"/>
  <c r="H349" i="3"/>
  <c r="G349" i="3"/>
  <c r="K349" i="3"/>
  <c r="O343" i="3"/>
  <c r="I343" i="3"/>
  <c r="F343" i="3"/>
  <c r="N343" i="3"/>
  <c r="J343" i="3"/>
  <c r="K343" i="3"/>
  <c r="D343" i="3"/>
  <c r="H343" i="3"/>
  <c r="G343" i="3"/>
  <c r="M343" i="3"/>
  <c r="L343" i="3"/>
  <c r="E343" i="3"/>
  <c r="G345" i="3"/>
  <c r="M345" i="3"/>
  <c r="O345" i="3"/>
  <c r="J345" i="3"/>
  <c r="I345" i="3"/>
  <c r="K345" i="3"/>
  <c r="E345" i="3"/>
  <c r="N345" i="3"/>
  <c r="D345" i="3"/>
  <c r="H345" i="3"/>
  <c r="L345" i="3"/>
  <c r="F345" i="3"/>
  <c r="J340" i="3"/>
  <c r="E340" i="3"/>
  <c r="G340" i="3"/>
  <c r="K340" i="3"/>
  <c r="D340" i="3"/>
  <c r="N340" i="3"/>
  <c r="F340" i="3"/>
  <c r="O340" i="3"/>
  <c r="I340" i="3"/>
  <c r="H340" i="3"/>
  <c r="L340" i="3"/>
  <c r="M340" i="3"/>
  <c r="C465" i="3"/>
  <c r="K465" i="3" s="1"/>
  <c r="B695" i="3"/>
  <c r="L344" i="3"/>
  <c r="G344" i="3"/>
  <c r="D344" i="3"/>
  <c r="E344" i="3"/>
  <c r="J344" i="3"/>
  <c r="K344" i="3"/>
  <c r="F344" i="3"/>
  <c r="O344" i="3"/>
  <c r="M344" i="3"/>
  <c r="I344" i="3"/>
  <c r="H344" i="3"/>
  <c r="N344" i="3"/>
  <c r="H346" i="3"/>
  <c r="F346" i="3"/>
  <c r="L346" i="3"/>
  <c r="E346" i="3"/>
  <c r="M346" i="3"/>
  <c r="J346" i="3"/>
  <c r="O346" i="3"/>
  <c r="N346" i="3"/>
  <c r="D346" i="3"/>
  <c r="K346" i="3"/>
  <c r="G346" i="3"/>
  <c r="I346" i="3"/>
  <c r="C459" i="3"/>
  <c r="C455" i="3"/>
  <c r="C460" i="3"/>
  <c r="C458" i="3"/>
  <c r="C461" i="3"/>
  <c r="C457" i="3"/>
  <c r="C464" i="3"/>
  <c r="C463" i="3"/>
  <c r="C456" i="3"/>
  <c r="P1941" i="3"/>
  <c r="P1942" i="3"/>
  <c r="P1935" i="3"/>
  <c r="P1936" i="3"/>
  <c r="P1938" i="3"/>
  <c r="P1943" i="3"/>
  <c r="P1934" i="3"/>
  <c r="P1933" i="3"/>
  <c r="P1939" i="3"/>
  <c r="P1937" i="3"/>
  <c r="P1940" i="3"/>
  <c r="BJ247" i="3"/>
  <c r="AR247" i="3"/>
  <c r="CG2302" i="3"/>
  <c r="BY2303" i="3"/>
  <c r="T247" i="3"/>
  <c r="X224" i="3"/>
  <c r="Y224" i="3" s="1"/>
  <c r="Y2580" i="3"/>
  <c r="CB2302" i="3"/>
  <c r="P301" i="3"/>
  <c r="BS1010" i="3"/>
  <c r="P299" i="3"/>
  <c r="CB1009" i="3"/>
  <c r="BO40" i="3"/>
  <c r="P304" i="3"/>
  <c r="AR501" i="3"/>
  <c r="AQ501" i="3"/>
  <c r="AK732" i="3"/>
  <c r="AL732" i="3"/>
  <c r="X1032" i="3"/>
  <c r="Z1032" i="3" s="1"/>
  <c r="R2302" i="3"/>
  <c r="AI1010" i="3"/>
  <c r="AC1010" i="3"/>
  <c r="CE1010" i="3"/>
  <c r="BA2303" i="3"/>
  <c r="BM2303" i="3"/>
  <c r="U2303" i="3"/>
  <c r="X2302" i="3" s="1"/>
  <c r="AI2303" i="3"/>
  <c r="BG2303" i="3"/>
  <c r="AU2303" i="3"/>
  <c r="CE2303" i="3"/>
  <c r="AO2303" i="3"/>
  <c r="BS2303" i="3"/>
  <c r="BC2302" i="3"/>
  <c r="BD2302" i="3"/>
  <c r="AW2302" i="3"/>
  <c r="AX2302" i="3"/>
  <c r="BI2302" i="3"/>
  <c r="BJ2302" i="3"/>
  <c r="AA2303" i="3"/>
  <c r="AD2302" i="3" s="1"/>
  <c r="W2303" i="3"/>
  <c r="BU2302" i="3"/>
  <c r="BV2302" i="3"/>
  <c r="AR2302" i="3"/>
  <c r="AQ2302" i="3"/>
  <c r="AG2303" i="3"/>
  <c r="AJ2302" i="3" s="1"/>
  <c r="AC2303" i="3"/>
  <c r="W1264" i="3"/>
  <c r="AA1264" i="3"/>
  <c r="AD1263" i="3" s="1"/>
  <c r="BU1263" i="3"/>
  <c r="BV1263" i="3"/>
  <c r="AR1263" i="3"/>
  <c r="AQ1263" i="3"/>
  <c r="CH1263" i="3"/>
  <c r="CG1263" i="3"/>
  <c r="AI1264" i="3"/>
  <c r="AJ1263" i="3" s="1"/>
  <c r="BA1264" i="3"/>
  <c r="BB1263" i="3" s="1"/>
  <c r="AC1264" i="3"/>
  <c r="BS1264" i="3"/>
  <c r="BG1264" i="3"/>
  <c r="BH1263" i="3" s="1"/>
  <c r="BM1264" i="3"/>
  <c r="BN1263" i="3" s="1"/>
  <c r="R1263" i="3"/>
  <c r="BY1264" i="3"/>
  <c r="BZ1263" i="3" s="1"/>
  <c r="AO1264" i="3"/>
  <c r="AU1264" i="3"/>
  <c r="AV1263" i="3" s="1"/>
  <c r="CE1264" i="3"/>
  <c r="U1264" i="3"/>
  <c r="X1263" i="3" s="1"/>
  <c r="CH1009" i="3"/>
  <c r="S2372" i="3"/>
  <c r="P1864" i="3"/>
  <c r="P1593" i="3"/>
  <c r="P1595" i="3"/>
  <c r="P1588" i="3"/>
  <c r="P1594" i="3"/>
  <c r="P1597" i="3"/>
  <c r="P1590" i="3"/>
  <c r="P1587" i="3"/>
  <c r="P1592" i="3"/>
  <c r="P1591" i="3"/>
  <c r="P1589" i="3"/>
  <c r="P1596" i="3"/>
  <c r="P302" i="3"/>
  <c r="P298" i="3"/>
  <c r="AA2765" i="3"/>
  <c r="AD2764" i="3" s="1"/>
  <c r="AE2764" i="3" s="1"/>
  <c r="P303" i="3"/>
  <c r="P294" i="3"/>
  <c r="P297" i="3"/>
  <c r="P296" i="3"/>
  <c r="P295" i="3"/>
  <c r="P1874" i="3"/>
  <c r="BI2764" i="3"/>
  <c r="P1872" i="3"/>
  <c r="AO1010" i="3"/>
  <c r="AP1009" i="3" s="1"/>
  <c r="AR1009" i="3" s="1"/>
  <c r="Q1772" i="3"/>
  <c r="AA1772" i="3" s="1"/>
  <c r="AD1771" i="3" s="1"/>
  <c r="Q1775" i="3"/>
  <c r="AS1772" i="3" s="1"/>
  <c r="Q1779" i="3"/>
  <c r="BQ1772" i="3" s="1"/>
  <c r="CE41" i="3"/>
  <c r="P1865" i="3"/>
  <c r="P1869" i="3"/>
  <c r="P1868" i="3"/>
  <c r="BA1010" i="3"/>
  <c r="BG1010" i="3"/>
  <c r="BH1009" i="3" s="1"/>
  <c r="BI1009" i="3" s="1"/>
  <c r="Q1777" i="3"/>
  <c r="BE1772" i="3" s="1"/>
  <c r="BH1771" i="3" s="1"/>
  <c r="W41" i="3"/>
  <c r="P1873" i="3"/>
  <c r="BY1010" i="3"/>
  <c r="AJ1009" i="3"/>
  <c r="AK1009" i="3" s="1"/>
  <c r="AU1010" i="3"/>
  <c r="AV1009" i="3" s="1"/>
  <c r="AX1009" i="3" s="1"/>
  <c r="Q1776" i="3"/>
  <c r="AY1772" i="3" s="1"/>
  <c r="Q1781" i="3"/>
  <c r="CC1772" i="3" s="1"/>
  <c r="CF1771" i="3" s="1"/>
  <c r="Q2566" i="3"/>
  <c r="CC2557" i="3" s="1"/>
  <c r="CF2556" i="3" s="1"/>
  <c r="CG2556" i="3" s="1"/>
  <c r="Q1778" i="3"/>
  <c r="BK1772" i="3" s="1"/>
  <c r="Q1774" i="3"/>
  <c r="AM1772" i="3" s="1"/>
  <c r="Q1780" i="3"/>
  <c r="BW1772" i="3" s="1"/>
  <c r="Q1771" i="3"/>
  <c r="BA1772" i="3" s="1"/>
  <c r="Q1773" i="3"/>
  <c r="AG1772" i="3" s="1"/>
  <c r="AJ1771" i="3" s="1"/>
  <c r="Q2565" i="3"/>
  <c r="BW2557" i="3" s="1"/>
  <c r="BZ2556" i="3" s="1"/>
  <c r="CB2556" i="3" s="1"/>
  <c r="BM41" i="3"/>
  <c r="BT1009" i="3"/>
  <c r="BU1009" i="3" s="1"/>
  <c r="Q2561" i="3"/>
  <c r="AY2557" i="3" s="1"/>
  <c r="BB2556" i="3" s="1"/>
  <c r="BD2556" i="3" s="1"/>
  <c r="R1009" i="3"/>
  <c r="S1009" i="3" s="1"/>
  <c r="BM1010" i="3"/>
  <c r="BN1009" i="3" s="1"/>
  <c r="BP1009" i="3" s="1"/>
  <c r="X1009" i="3"/>
  <c r="Y1009" i="3" s="1"/>
  <c r="Q2556" i="3"/>
  <c r="CE2557" i="3" s="1"/>
  <c r="Q2558" i="3"/>
  <c r="AG2557" i="3" s="1"/>
  <c r="AJ2556" i="3" s="1"/>
  <c r="AK2556" i="3" s="1"/>
  <c r="Q2562" i="3"/>
  <c r="BE2557" i="3" s="1"/>
  <c r="BH2556" i="3" s="1"/>
  <c r="BJ2556" i="3" s="1"/>
  <c r="BO2764" i="3"/>
  <c r="Q2564" i="3"/>
  <c r="BQ2557" i="3" s="1"/>
  <c r="BT2556" i="3" s="1"/>
  <c r="BV2556" i="3" s="1"/>
  <c r="Q2560" i="3"/>
  <c r="AS2557" i="3" s="1"/>
  <c r="AV2556" i="3" s="1"/>
  <c r="AX2556" i="3" s="1"/>
  <c r="Q2557" i="3"/>
  <c r="W2557" i="3" s="1"/>
  <c r="Q2559" i="3"/>
  <c r="AM2557" i="3" s="1"/>
  <c r="AP2556" i="3" s="1"/>
  <c r="AQ2556" i="3" s="1"/>
  <c r="Q2563" i="3"/>
  <c r="BK2557" i="3" s="1"/>
  <c r="BN2556" i="3" s="1"/>
  <c r="BO2556" i="3" s="1"/>
  <c r="BB1009" i="3"/>
  <c r="BD1009" i="3" s="1"/>
  <c r="P1871" i="3"/>
  <c r="BC2372" i="3"/>
  <c r="BD1794" i="3"/>
  <c r="P1866" i="3"/>
  <c r="CB2372" i="3"/>
  <c r="P1867" i="3"/>
  <c r="B1204" i="3"/>
  <c r="AE1564" i="3"/>
  <c r="AF1564" i="3"/>
  <c r="X571" i="3"/>
  <c r="Y571" i="3" s="1"/>
  <c r="AD571" i="3"/>
  <c r="AE571" i="3" s="1"/>
  <c r="CG2764" i="3"/>
  <c r="Z1564" i="3"/>
  <c r="Y1564" i="3"/>
  <c r="S1564" i="3"/>
  <c r="T1564" i="3"/>
  <c r="P2336" i="3"/>
  <c r="P2334" i="3"/>
  <c r="P2332" i="3"/>
  <c r="P2330" i="3"/>
  <c r="P2328" i="3"/>
  <c r="P2333" i="3"/>
  <c r="P2326" i="3"/>
  <c r="P2327" i="3"/>
  <c r="P2335" i="3"/>
  <c r="P2331" i="3"/>
  <c r="P2329" i="3"/>
  <c r="BS2765" i="3"/>
  <c r="BD2764" i="3"/>
  <c r="AE1286" i="3"/>
  <c r="AF1286" i="3"/>
  <c r="CA1286" i="3"/>
  <c r="CB1286" i="3"/>
  <c r="AX1286" i="3"/>
  <c r="AW1286" i="3"/>
  <c r="W1611" i="3"/>
  <c r="AA1611" i="3"/>
  <c r="AD1610" i="3" s="1"/>
  <c r="AO1611" i="3"/>
  <c r="AP1610" i="3" s="1"/>
  <c r="BA1611" i="3"/>
  <c r="BB1610" i="3" s="1"/>
  <c r="BS1611" i="3"/>
  <c r="AI1611" i="3"/>
  <c r="AJ1610" i="3" s="1"/>
  <c r="BY1611" i="3"/>
  <c r="BG1611" i="3"/>
  <c r="BH1610" i="3" s="1"/>
  <c r="BM1611" i="3"/>
  <c r="CE1611" i="3"/>
  <c r="U1611" i="3"/>
  <c r="X1610" i="3" s="1"/>
  <c r="AC1611" i="3"/>
  <c r="BV1610" i="3"/>
  <c r="BU1610" i="3"/>
  <c r="AQ1794" i="3"/>
  <c r="BV2764" i="3"/>
  <c r="CB1610" i="3"/>
  <c r="BC1286" i="3"/>
  <c r="BD1286" i="3"/>
  <c r="Y1286" i="3"/>
  <c r="Z1286" i="3"/>
  <c r="AE1794" i="3"/>
  <c r="AO2765" i="3"/>
  <c r="AX2764" i="3"/>
  <c r="AL2764" i="3"/>
  <c r="CH1610" i="3"/>
  <c r="T1286" i="3"/>
  <c r="S1286" i="3"/>
  <c r="BG2765" i="3"/>
  <c r="AC2765" i="3"/>
  <c r="T571" i="3"/>
  <c r="S571" i="3"/>
  <c r="AL571" i="3"/>
  <c r="AK571" i="3"/>
  <c r="Q2075" i="3"/>
  <c r="AM2073" i="3" s="1"/>
  <c r="AP2072" i="3" s="1"/>
  <c r="Q2080" i="3"/>
  <c r="BQ2073" i="3" s="1"/>
  <c r="BT2072" i="3" s="1"/>
  <c r="Q2074" i="3"/>
  <c r="AG2073" i="3" s="1"/>
  <c r="AJ2072" i="3" s="1"/>
  <c r="Q2077" i="3"/>
  <c r="AY2073" i="3" s="1"/>
  <c r="BB2072" i="3" s="1"/>
  <c r="Q2076" i="3"/>
  <c r="AS2073" i="3" s="1"/>
  <c r="AV2072" i="3" s="1"/>
  <c r="Q2073" i="3"/>
  <c r="Q2081" i="3"/>
  <c r="BW2073" i="3" s="1"/>
  <c r="BZ2072" i="3" s="1"/>
  <c r="Q2079" i="3"/>
  <c r="BK2073" i="3" s="1"/>
  <c r="BN2072" i="3" s="1"/>
  <c r="Q2082" i="3"/>
  <c r="CC2073" i="3" s="1"/>
  <c r="CF2072" i="3" s="1"/>
  <c r="Q2078" i="3"/>
  <c r="BE2073" i="3" s="1"/>
  <c r="BH2072" i="3" s="1"/>
  <c r="Q2072" i="3"/>
  <c r="AW1794" i="3"/>
  <c r="BY2765" i="3"/>
  <c r="U2765" i="3"/>
  <c r="X2764" i="3" s="1"/>
  <c r="Z2764" i="3" s="1"/>
  <c r="CA2764" i="3"/>
  <c r="AX571" i="3"/>
  <c r="AW571" i="3"/>
  <c r="BA2765" i="3"/>
  <c r="BD571" i="3"/>
  <c r="BC571" i="3"/>
  <c r="B1716" i="3"/>
  <c r="B338" i="3"/>
  <c r="C324" i="3" s="1"/>
  <c r="S1794" i="3"/>
  <c r="AR2764" i="3"/>
  <c r="BJ40" i="3"/>
  <c r="BP1794" i="3"/>
  <c r="Z1794" i="3"/>
  <c r="BM2765" i="3"/>
  <c r="BD40" i="3"/>
  <c r="R2764" i="3"/>
  <c r="T2764" i="3" s="1"/>
  <c r="AI2765" i="3"/>
  <c r="AU2765" i="3"/>
  <c r="BA41" i="3"/>
  <c r="AA41" i="3"/>
  <c r="CH40" i="3"/>
  <c r="U41" i="3"/>
  <c r="CH2718" i="3"/>
  <c r="AU41" i="3"/>
  <c r="AV40" i="3" s="1"/>
  <c r="AX40" i="3" s="1"/>
  <c r="AO41" i="3"/>
  <c r="AP40" i="3" s="1"/>
  <c r="AQ40" i="3" s="1"/>
  <c r="BD132" i="3"/>
  <c r="AL2718" i="3"/>
  <c r="BY41" i="3"/>
  <c r="AC41" i="3"/>
  <c r="R40" i="3"/>
  <c r="T40" i="3" s="1"/>
  <c r="BC1425" i="3"/>
  <c r="AQ2718" i="3"/>
  <c r="P2449" i="3"/>
  <c r="AF132" i="3"/>
  <c r="BG41" i="3"/>
  <c r="AI41" i="3"/>
  <c r="AJ40" i="3" s="1"/>
  <c r="AK40" i="3" s="1"/>
  <c r="AL63" i="3"/>
  <c r="BI2718" i="3"/>
  <c r="P2447" i="3"/>
  <c r="P2448" i="3"/>
  <c r="AK132" i="3"/>
  <c r="CB2718" i="3"/>
  <c r="P2451" i="3"/>
  <c r="BS41" i="3"/>
  <c r="BT40" i="3" s="1"/>
  <c r="BU40" i="3" s="1"/>
  <c r="AF1425" i="3"/>
  <c r="P2445" i="3"/>
  <c r="P2443" i="3"/>
  <c r="BZ40" i="3"/>
  <c r="CB40" i="3" s="1"/>
  <c r="P2441" i="3"/>
  <c r="P2450" i="3"/>
  <c r="P2444" i="3"/>
  <c r="BD2718" i="3"/>
  <c r="Q2239" i="3"/>
  <c r="BE2234" i="3" s="1"/>
  <c r="Q1245" i="3"/>
  <c r="AY1241" i="3" s="1"/>
  <c r="P2446" i="3"/>
  <c r="BJ1794" i="3"/>
  <c r="AE2210" i="3"/>
  <c r="AF2210" i="3"/>
  <c r="Q1333" i="3"/>
  <c r="Q1339" i="3"/>
  <c r="BE1334" i="3" s="1"/>
  <c r="Q1342" i="3"/>
  <c r="BW1334" i="3" s="1"/>
  <c r="BZ1333" i="3" s="1"/>
  <c r="Q1336" i="3"/>
  <c r="AM1334" i="3" s="1"/>
  <c r="Q1338" i="3"/>
  <c r="AY1334" i="3" s="1"/>
  <c r="Q1343" i="3"/>
  <c r="CC1334" i="3" s="1"/>
  <c r="CF1333" i="3" s="1"/>
  <c r="Q1337" i="3"/>
  <c r="AS1334" i="3" s="1"/>
  <c r="Q1334" i="3"/>
  <c r="Q1335" i="3"/>
  <c r="AG1334" i="3" s="1"/>
  <c r="Q1340" i="3"/>
  <c r="BK1334" i="3" s="1"/>
  <c r="BN1333" i="3" s="1"/>
  <c r="Q1341" i="3"/>
  <c r="BQ1334" i="3" s="1"/>
  <c r="BT1333" i="3" s="1"/>
  <c r="Q2243" i="3"/>
  <c r="CC2234" i="3" s="1"/>
  <c r="CF2233" i="3" s="1"/>
  <c r="CH2233" i="3" s="1"/>
  <c r="O1320" i="3"/>
  <c r="Q2234" i="3"/>
  <c r="W2234" i="3" s="1"/>
  <c r="I1319" i="3"/>
  <c r="Q2241" i="3"/>
  <c r="BQ2234" i="3" s="1"/>
  <c r="BY2719" i="3"/>
  <c r="Q2236" i="3"/>
  <c r="AM2234" i="3" s="1"/>
  <c r="AP2233" i="3" s="1"/>
  <c r="AR2233" i="3" s="1"/>
  <c r="Q2237" i="3"/>
  <c r="AS2234" i="3" s="1"/>
  <c r="Q2233" i="3"/>
  <c r="U2234" i="3" s="1"/>
  <c r="X2233" i="3" s="1"/>
  <c r="Q1246" i="3"/>
  <c r="BE1241" i="3" s="1"/>
  <c r="Q2242" i="3"/>
  <c r="BW2234" i="3" s="1"/>
  <c r="BZ2233" i="3" s="1"/>
  <c r="CA2233" i="3" s="1"/>
  <c r="Q2240" i="3"/>
  <c r="BK2234" i="3" s="1"/>
  <c r="BN2233" i="3" s="1"/>
  <c r="BP2233" i="3" s="1"/>
  <c r="M1319" i="3"/>
  <c r="N1320" i="3"/>
  <c r="Q1249" i="3"/>
  <c r="BW1241" i="3" s="1"/>
  <c r="U2719" i="3"/>
  <c r="X2718" i="3" s="1"/>
  <c r="Y2718" i="3" s="1"/>
  <c r="Q2238" i="3"/>
  <c r="AY2234" i="3" s="1"/>
  <c r="Q2235" i="3"/>
  <c r="AG2234" i="3" s="1"/>
  <c r="AJ2233" i="3" s="1"/>
  <c r="AK2233" i="3" s="1"/>
  <c r="N1319" i="3"/>
  <c r="F1319" i="3"/>
  <c r="E1319" i="3"/>
  <c r="G1319" i="3"/>
  <c r="J1320" i="3"/>
  <c r="I1320" i="3"/>
  <c r="Q1247" i="3"/>
  <c r="BK1241" i="3" s="1"/>
  <c r="L1319" i="3"/>
  <c r="K1319" i="3"/>
  <c r="J1319" i="3"/>
  <c r="H1320" i="3"/>
  <c r="G1320" i="3"/>
  <c r="Q1243" i="3"/>
  <c r="AM1241" i="3" s="1"/>
  <c r="Q1250" i="3"/>
  <c r="CC1241" i="3" s="1"/>
  <c r="CF1240" i="3" s="1"/>
  <c r="CH1240" i="3" s="1"/>
  <c r="D1319" i="3"/>
  <c r="H1319" i="3"/>
  <c r="K1320" i="3"/>
  <c r="Q1242" i="3"/>
  <c r="AG1241" i="3" s="1"/>
  <c r="AL2048" i="3"/>
  <c r="AK2048" i="3"/>
  <c r="M1320" i="3"/>
  <c r="F1320" i="3"/>
  <c r="D1320" i="3"/>
  <c r="Q1240" i="3"/>
  <c r="Q1248" i="3"/>
  <c r="BQ1241" i="3" s="1"/>
  <c r="BT1240" i="3" s="1"/>
  <c r="BV1240" i="3" s="1"/>
  <c r="Q1244" i="3"/>
  <c r="AS1241" i="3" s="1"/>
  <c r="AF2048" i="3"/>
  <c r="AE2048" i="3"/>
  <c r="Y2048" i="3"/>
  <c r="Z2048" i="3"/>
  <c r="BO2048" i="3"/>
  <c r="BP2048" i="3"/>
  <c r="BC2048" i="3"/>
  <c r="BD2048" i="3"/>
  <c r="E1320" i="3"/>
  <c r="Q1241" i="3"/>
  <c r="W1241" i="3" s="1"/>
  <c r="BI2048" i="3"/>
  <c r="BJ2048" i="3"/>
  <c r="AX2048" i="3"/>
  <c r="AW2048" i="3"/>
  <c r="AQ2048" i="3"/>
  <c r="AR2048" i="3"/>
  <c r="S2048" i="3"/>
  <c r="T2048" i="3"/>
  <c r="AX63" i="3"/>
  <c r="AX132" i="3"/>
  <c r="CB224" i="3"/>
  <c r="BA2719" i="3"/>
  <c r="L1313" i="3"/>
  <c r="O1313" i="3"/>
  <c r="K1313" i="3"/>
  <c r="H1313" i="3"/>
  <c r="N1313" i="3"/>
  <c r="G1313" i="3"/>
  <c r="J1313" i="3"/>
  <c r="M1313" i="3"/>
  <c r="E1313" i="3"/>
  <c r="F1313" i="3"/>
  <c r="D1313" i="3"/>
  <c r="I1313" i="3"/>
  <c r="J1311" i="3"/>
  <c r="M1311" i="3"/>
  <c r="K1311" i="3"/>
  <c r="O1311" i="3"/>
  <c r="F1311" i="3"/>
  <c r="I1311" i="3"/>
  <c r="N1311" i="3"/>
  <c r="H1311" i="3"/>
  <c r="G1311" i="3"/>
  <c r="E1311" i="3"/>
  <c r="L1311" i="3"/>
  <c r="D1311" i="3"/>
  <c r="O1315" i="3"/>
  <c r="L1315" i="3"/>
  <c r="J1315" i="3"/>
  <c r="D1315" i="3"/>
  <c r="N1315" i="3"/>
  <c r="F1315" i="3"/>
  <c r="G1315" i="3"/>
  <c r="H1315" i="3"/>
  <c r="M1315" i="3"/>
  <c r="E1315" i="3"/>
  <c r="K1315" i="3"/>
  <c r="I1315" i="3"/>
  <c r="K1312" i="3"/>
  <c r="O1312" i="3"/>
  <c r="N1312" i="3"/>
  <c r="D1312" i="3"/>
  <c r="I1312" i="3"/>
  <c r="F1312" i="3"/>
  <c r="J1312" i="3"/>
  <c r="G1312" i="3"/>
  <c r="E1312" i="3"/>
  <c r="M1312" i="3"/>
  <c r="H1312" i="3"/>
  <c r="L1312" i="3"/>
  <c r="K1310" i="3"/>
  <c r="M1310" i="3"/>
  <c r="D1310" i="3"/>
  <c r="N1310" i="3"/>
  <c r="F1310" i="3"/>
  <c r="E1310" i="3"/>
  <c r="J1310" i="3"/>
  <c r="I1310" i="3"/>
  <c r="H1310" i="3"/>
  <c r="O1310" i="3"/>
  <c r="G1310" i="3"/>
  <c r="L1310" i="3"/>
  <c r="L1318" i="3"/>
  <c r="F1318" i="3"/>
  <c r="K1318" i="3"/>
  <c r="I1318" i="3"/>
  <c r="O1318" i="3"/>
  <c r="D1318" i="3"/>
  <c r="G1318" i="3"/>
  <c r="H1318" i="3"/>
  <c r="M1318" i="3"/>
  <c r="N1318" i="3"/>
  <c r="E1318" i="3"/>
  <c r="J1318" i="3"/>
  <c r="L1314" i="3"/>
  <c r="O1314" i="3"/>
  <c r="K1314" i="3"/>
  <c r="F1314" i="3"/>
  <c r="H1314" i="3"/>
  <c r="I1314" i="3"/>
  <c r="J1314" i="3"/>
  <c r="M1314" i="3"/>
  <c r="G1314" i="3"/>
  <c r="N1314" i="3"/>
  <c r="D1314" i="3"/>
  <c r="E1314" i="3"/>
  <c r="M1316" i="3"/>
  <c r="J1316" i="3"/>
  <c r="N1316" i="3"/>
  <c r="O1316" i="3"/>
  <c r="G1316" i="3"/>
  <c r="D1316" i="3"/>
  <c r="E1316" i="3"/>
  <c r="I1316" i="3"/>
  <c r="K1316" i="3"/>
  <c r="L1316" i="3"/>
  <c r="H1316" i="3"/>
  <c r="F1316" i="3"/>
  <c r="T501" i="3"/>
  <c r="AA2719" i="3"/>
  <c r="AD2718" i="3" s="1"/>
  <c r="AF2718" i="3" s="1"/>
  <c r="BU2718" i="3"/>
  <c r="T1425" i="3"/>
  <c r="Q2510" i="3"/>
  <c r="CE2511" i="3" s="1"/>
  <c r="Z132" i="3"/>
  <c r="AI2719" i="3"/>
  <c r="AO2719" i="3"/>
  <c r="BU2025" i="3"/>
  <c r="BV2025" i="3"/>
  <c r="AI2026" i="3"/>
  <c r="BY2026" i="3"/>
  <c r="BA2026" i="3"/>
  <c r="AC2026" i="3"/>
  <c r="BM2026" i="3"/>
  <c r="BS2026" i="3"/>
  <c r="CE2026" i="3"/>
  <c r="AO2026" i="3"/>
  <c r="R2025" i="3"/>
  <c r="BG2026" i="3"/>
  <c r="U2026" i="3"/>
  <c r="X2025" i="3" s="1"/>
  <c r="AU2026" i="3"/>
  <c r="Q2515" i="3"/>
  <c r="AY2511" i="3" s="1"/>
  <c r="W2026" i="3"/>
  <c r="AA2026" i="3"/>
  <c r="AD2025" i="3" s="1"/>
  <c r="AW2025" i="3"/>
  <c r="AX2025" i="3"/>
  <c r="CH2025" i="3"/>
  <c r="CG2025" i="3"/>
  <c r="BC2025" i="3"/>
  <c r="BD2025" i="3"/>
  <c r="AR2025" i="3"/>
  <c r="AQ2025" i="3"/>
  <c r="BP2025" i="3"/>
  <c r="BO2025" i="3"/>
  <c r="BI2025" i="3"/>
  <c r="BJ2025" i="3"/>
  <c r="CA2025" i="3"/>
  <c r="CB2025" i="3"/>
  <c r="AL2025" i="3"/>
  <c r="AK2025" i="3"/>
  <c r="Q2519" i="3"/>
  <c r="BW2511" i="3" s="1"/>
  <c r="Q2520" i="3"/>
  <c r="CC2511" i="3" s="1"/>
  <c r="CF2510" i="3" s="1"/>
  <c r="CG2510" i="3" s="1"/>
  <c r="BP2718" i="3"/>
  <c r="Q2516" i="3"/>
  <c r="BE2511" i="3" s="1"/>
  <c r="BS2719" i="3"/>
  <c r="Q2514" i="3"/>
  <c r="AS2511" i="3" s="1"/>
  <c r="AV2510" i="3" s="1"/>
  <c r="AW2510" i="3" s="1"/>
  <c r="Q2512" i="3"/>
  <c r="AG2511" i="3" s="1"/>
  <c r="AJ2510" i="3" s="1"/>
  <c r="AK2510" i="3" s="1"/>
  <c r="R2718" i="3"/>
  <c r="T2718" i="3" s="1"/>
  <c r="AX2718" i="3"/>
  <c r="Z1425" i="3"/>
  <c r="Q2513" i="3"/>
  <c r="AM2511" i="3" s="1"/>
  <c r="AP2510" i="3" s="1"/>
  <c r="AQ2510" i="3" s="1"/>
  <c r="Q2517" i="3"/>
  <c r="BK2511" i="3" s="1"/>
  <c r="BN2510" i="3" s="1"/>
  <c r="BP2510" i="3" s="1"/>
  <c r="Q2518" i="3"/>
  <c r="BQ2511" i="3" s="1"/>
  <c r="BG2719" i="3"/>
  <c r="AC2719" i="3"/>
  <c r="AU2719" i="3"/>
  <c r="AR132" i="3"/>
  <c r="Q2511" i="3"/>
  <c r="AA2511" i="3" s="1"/>
  <c r="AD2510" i="3" s="1"/>
  <c r="CE2719" i="3"/>
  <c r="BM2719" i="3"/>
  <c r="AW224" i="3"/>
  <c r="AX224" i="3"/>
  <c r="AW501" i="3"/>
  <c r="AX501" i="3"/>
  <c r="AX732" i="3"/>
  <c r="AW732" i="3"/>
  <c r="CB132" i="3"/>
  <c r="S2210" i="3"/>
  <c r="P1476" i="3"/>
  <c r="P1481" i="3"/>
  <c r="B192" i="3"/>
  <c r="P1473" i="3"/>
  <c r="P1479" i="3"/>
  <c r="P1475" i="3"/>
  <c r="P1480" i="3"/>
  <c r="P1471" i="3"/>
  <c r="P1474" i="3"/>
  <c r="P1478" i="3"/>
  <c r="P1472" i="3"/>
  <c r="Y2210" i="3"/>
  <c r="Z2210" i="3"/>
  <c r="AR732" i="3"/>
  <c r="AQ732" i="3"/>
  <c r="BJ732" i="3"/>
  <c r="BI732" i="3"/>
  <c r="BJ224" i="3"/>
  <c r="BI224" i="3"/>
  <c r="BD732" i="3"/>
  <c r="BC732" i="3"/>
  <c r="BD224" i="3"/>
  <c r="BC224" i="3"/>
  <c r="S63" i="3"/>
  <c r="BJ1656" i="3"/>
  <c r="BI1656" i="3"/>
  <c r="AE501" i="3"/>
  <c r="AF501" i="3"/>
  <c r="AK501" i="3"/>
  <c r="BI501" i="3"/>
  <c r="AL1102" i="3"/>
  <c r="AD917" i="3"/>
  <c r="AE917" i="3" s="1"/>
  <c r="BD917" i="3"/>
  <c r="BC917" i="3"/>
  <c r="BP917" i="3"/>
  <c r="BO917" i="3"/>
  <c r="AR917" i="3"/>
  <c r="AQ917" i="3"/>
  <c r="Z917" i="3"/>
  <c r="Y917" i="3"/>
  <c r="S917" i="3"/>
  <c r="T917" i="3"/>
  <c r="AX917" i="3"/>
  <c r="AW917" i="3"/>
  <c r="BJ917" i="3"/>
  <c r="BI917" i="3"/>
  <c r="BC501" i="3"/>
  <c r="T1102" i="3"/>
  <c r="T132" i="3"/>
  <c r="CB2279" i="3"/>
  <c r="CA2279" i="3"/>
  <c r="Z2279" i="3"/>
  <c r="Y2279" i="3"/>
  <c r="Z1656" i="3"/>
  <c r="Y1656" i="3"/>
  <c r="AE1032" i="3"/>
  <c r="AF1032" i="3"/>
  <c r="S1032" i="3"/>
  <c r="T1032" i="3"/>
  <c r="BJ1032" i="3"/>
  <c r="BI1032" i="3"/>
  <c r="BD1032" i="3"/>
  <c r="BC1032" i="3"/>
  <c r="AE2279" i="3"/>
  <c r="AF2279" i="3"/>
  <c r="BV2279" i="3"/>
  <c r="BU2279" i="3"/>
  <c r="BJ2279" i="3"/>
  <c r="BI2279" i="3"/>
  <c r="AR2279" i="3"/>
  <c r="AQ2279" i="3"/>
  <c r="BO1032" i="3"/>
  <c r="BP1032" i="3"/>
  <c r="AQ1032" i="3"/>
  <c r="AR1032" i="3"/>
  <c r="BU224" i="3"/>
  <c r="S2279" i="3"/>
  <c r="T2279" i="3"/>
  <c r="BD1102" i="3"/>
  <c r="BC1102" i="3"/>
  <c r="AL1032" i="3"/>
  <c r="AK1032" i="3"/>
  <c r="AW1032" i="3"/>
  <c r="AX1032" i="3"/>
  <c r="BV1748" i="3"/>
  <c r="BU1748" i="3"/>
  <c r="CB1748" i="3"/>
  <c r="CA1748" i="3"/>
  <c r="AF247" i="3"/>
  <c r="W1749" i="3"/>
  <c r="AA1749" i="3"/>
  <c r="AD1748" i="3" s="1"/>
  <c r="AF224" i="3"/>
  <c r="CG1748" i="3"/>
  <c r="CH1748" i="3"/>
  <c r="BG1749" i="3"/>
  <c r="BH1748" i="3" s="1"/>
  <c r="AC1749" i="3"/>
  <c r="BS1749" i="3"/>
  <c r="U1749" i="3"/>
  <c r="X1748" i="3" s="1"/>
  <c r="BA1749" i="3"/>
  <c r="BB1748" i="3" s="1"/>
  <c r="CE1749" i="3"/>
  <c r="BY1749" i="3"/>
  <c r="BM1749" i="3"/>
  <c r="BN1748" i="3" s="1"/>
  <c r="AI1749" i="3"/>
  <c r="AJ1748" i="3" s="1"/>
  <c r="AO1749" i="3"/>
  <c r="AP1748" i="3" s="1"/>
  <c r="AU1749" i="3"/>
  <c r="AV1748" i="3" s="1"/>
  <c r="R1748" i="3"/>
  <c r="AX1102" i="3"/>
  <c r="AW1102" i="3"/>
  <c r="T1656" i="3"/>
  <c r="S1656" i="3"/>
  <c r="AE1656" i="3"/>
  <c r="AF1656" i="3"/>
  <c r="Y1102" i="3"/>
  <c r="Z1102" i="3"/>
  <c r="CA386" i="3"/>
  <c r="Z501" i="3"/>
  <c r="Y247" i="3"/>
  <c r="T224" i="3"/>
  <c r="AQ1656" i="3"/>
  <c r="AR1656" i="3"/>
  <c r="B1974" i="3"/>
  <c r="B1975" i="3" s="1"/>
  <c r="B1976" i="3" s="1"/>
  <c r="B1977" i="3" s="1"/>
  <c r="Y63" i="3"/>
  <c r="BV386" i="3"/>
  <c r="AE1402" i="3"/>
  <c r="AF1402" i="3"/>
  <c r="BC1402" i="3"/>
  <c r="BD1402" i="3"/>
  <c r="Z1402" i="3"/>
  <c r="Y1402" i="3"/>
  <c r="S1402" i="3"/>
  <c r="T1402" i="3"/>
  <c r="BJ2187" i="3"/>
  <c r="BI2187" i="3"/>
  <c r="AL2187" i="3"/>
  <c r="AK2187" i="3"/>
  <c r="BD2187" i="3"/>
  <c r="BC2187" i="3"/>
  <c r="AX2187" i="3"/>
  <c r="AW2187" i="3"/>
  <c r="AR2187" i="3"/>
  <c r="AQ2187" i="3"/>
  <c r="CH2187" i="3"/>
  <c r="CG2187" i="3"/>
  <c r="AC2188" i="3"/>
  <c r="CE2188" i="3"/>
  <c r="BS2188" i="3"/>
  <c r="BT2187" i="3" s="1"/>
  <c r="BM2188" i="3"/>
  <c r="BN2187" i="3" s="1"/>
  <c r="AU2188" i="3"/>
  <c r="BG2188" i="3"/>
  <c r="U2188" i="3"/>
  <c r="X2187" i="3" s="1"/>
  <c r="AO2188" i="3"/>
  <c r="R2187" i="3"/>
  <c r="BA2188" i="3"/>
  <c r="AI2188" i="3"/>
  <c r="BY2188" i="3"/>
  <c r="AA2188" i="3"/>
  <c r="AD2187" i="3" s="1"/>
  <c r="W2188" i="3"/>
  <c r="CB2187" i="3"/>
  <c r="CA2187" i="3"/>
  <c r="Z224" i="3"/>
  <c r="AR224" i="3"/>
  <c r="W1980" i="3"/>
  <c r="AA1980" i="3"/>
  <c r="AD1979" i="3" s="1"/>
  <c r="CG1979" i="3"/>
  <c r="CH1979" i="3"/>
  <c r="AK1979" i="3"/>
  <c r="AL1979" i="3"/>
  <c r="BJ1979" i="3"/>
  <c r="BI1979" i="3"/>
  <c r="BP1979" i="3"/>
  <c r="BO1979" i="3"/>
  <c r="BM1980" i="3"/>
  <c r="BY1980" i="3"/>
  <c r="BZ1979" i="3" s="1"/>
  <c r="AO1980" i="3"/>
  <c r="AP1979" i="3" s="1"/>
  <c r="CE1980" i="3"/>
  <c r="AI1980" i="3"/>
  <c r="AC1980" i="3"/>
  <c r="U1980" i="3"/>
  <c r="X1979" i="3" s="1"/>
  <c r="AU1980" i="3"/>
  <c r="AV1979" i="3" s="1"/>
  <c r="R1979" i="3"/>
  <c r="BA1980" i="3"/>
  <c r="BB1979" i="3" s="1"/>
  <c r="BS1980" i="3"/>
  <c r="BT1979" i="3" s="1"/>
  <c r="BG1980" i="3"/>
  <c r="AE2141" i="3"/>
  <c r="AF2141" i="3"/>
  <c r="T2141" i="3"/>
  <c r="S2141" i="3"/>
  <c r="Y2141" i="3"/>
  <c r="Z2141" i="3"/>
  <c r="C942" i="3"/>
  <c r="H942" i="3" s="1"/>
  <c r="C949" i="3"/>
  <c r="L949" i="3" s="1"/>
  <c r="AK224" i="3"/>
  <c r="AL224" i="3"/>
  <c r="Q1890" i="3"/>
  <c r="AM1888" i="3" s="1"/>
  <c r="AP1887" i="3" s="1"/>
  <c r="AQ1887" i="3" s="1"/>
  <c r="C945" i="3"/>
  <c r="G945" i="3" s="1"/>
  <c r="Q1891" i="3"/>
  <c r="AS1888" i="3" s="1"/>
  <c r="AV1887" i="3" s="1"/>
  <c r="AX1887" i="3" s="1"/>
  <c r="Q1893" i="3"/>
  <c r="BE1888" i="3" s="1"/>
  <c r="BH1887" i="3" s="1"/>
  <c r="BI1887" i="3" s="1"/>
  <c r="P86" i="3" a="1"/>
  <c r="P91" i="3" s="1"/>
  <c r="Q1889" i="3"/>
  <c r="AG1888" i="3" s="1"/>
  <c r="AJ1887" i="3" s="1"/>
  <c r="AL1887" i="3" s="1"/>
  <c r="BD386" i="3"/>
  <c r="C948" i="3"/>
  <c r="L948" i="3" s="1"/>
  <c r="C940" i="3"/>
  <c r="D940" i="3" s="1"/>
  <c r="Q1894" i="3"/>
  <c r="BK1888" i="3" s="1"/>
  <c r="Q1892" i="3"/>
  <c r="AY1888" i="3" s="1"/>
  <c r="BB1887" i="3" s="1"/>
  <c r="BC1887" i="3" s="1"/>
  <c r="C950" i="3"/>
  <c r="C943" i="3"/>
  <c r="J943" i="3" s="1"/>
  <c r="C941" i="3"/>
  <c r="F941" i="3" s="1"/>
  <c r="Q1895" i="3"/>
  <c r="BQ1888" i="3" s="1"/>
  <c r="BT1887" i="3" s="1"/>
  <c r="BU1887" i="3" s="1"/>
  <c r="Q1887" i="3"/>
  <c r="Q1897" i="3"/>
  <c r="CC1888" i="3" s="1"/>
  <c r="CF1887" i="3" s="1"/>
  <c r="CG1887" i="3" s="1"/>
  <c r="AW386" i="3"/>
  <c r="C946" i="3"/>
  <c r="M946" i="3" s="1"/>
  <c r="C947" i="3"/>
  <c r="C944" i="3"/>
  <c r="G944" i="3" s="1"/>
  <c r="Q1888" i="3"/>
  <c r="W1888" i="3" s="1"/>
  <c r="Q1896" i="3"/>
  <c r="BW1888" i="3" s="1"/>
  <c r="BZ1887" i="3" s="1"/>
  <c r="CA1887" i="3" s="1"/>
  <c r="CB1356" i="3"/>
  <c r="CA1356" i="3"/>
  <c r="AA1357" i="3"/>
  <c r="AD1356" i="3" s="1"/>
  <c r="W1357" i="3"/>
  <c r="CH1356" i="3"/>
  <c r="CG1356" i="3"/>
  <c r="BU1356" i="3"/>
  <c r="BV1356" i="3"/>
  <c r="AI1357" i="3"/>
  <c r="AJ1356" i="3" s="1"/>
  <c r="AO1357" i="3"/>
  <c r="AP1356" i="3" s="1"/>
  <c r="AC1357" i="3"/>
  <c r="U1357" i="3"/>
  <c r="X1356" i="3" s="1"/>
  <c r="R1356" i="3"/>
  <c r="CE1357" i="3"/>
  <c r="AU1357" i="3"/>
  <c r="AV1356" i="3" s="1"/>
  <c r="BG1357" i="3"/>
  <c r="BH1356" i="3" s="1"/>
  <c r="BS1357" i="3"/>
  <c r="BM1357" i="3"/>
  <c r="BN1356" i="3" s="1"/>
  <c r="BA1357" i="3"/>
  <c r="BB1356" i="3" s="1"/>
  <c r="BY1357" i="3"/>
  <c r="BP848" i="3"/>
  <c r="BO848" i="3"/>
  <c r="AK848" i="3"/>
  <c r="AL848" i="3"/>
  <c r="BU848" i="3"/>
  <c r="BV848" i="3"/>
  <c r="AQ848" i="3"/>
  <c r="AR848" i="3"/>
  <c r="BI848" i="3"/>
  <c r="BJ848" i="3"/>
  <c r="BD848" i="3"/>
  <c r="BC848" i="3"/>
  <c r="AW848" i="3"/>
  <c r="AX848" i="3"/>
  <c r="CB848" i="3"/>
  <c r="CA848" i="3"/>
  <c r="Y848" i="3"/>
  <c r="Z848" i="3"/>
  <c r="S848" i="3"/>
  <c r="T848" i="3"/>
  <c r="AE848" i="3"/>
  <c r="AF848" i="3"/>
  <c r="B1456" i="3"/>
  <c r="B1457" i="3" s="1"/>
  <c r="B1458" i="3" s="1"/>
  <c r="BA641" i="3"/>
  <c r="BB640" i="3" s="1"/>
  <c r="BM641" i="3"/>
  <c r="BN640" i="3" s="1"/>
  <c r="AO641" i="3"/>
  <c r="AP640" i="3" s="1"/>
  <c r="BG641" i="3"/>
  <c r="R640" i="3"/>
  <c r="AI641" i="3"/>
  <c r="AJ640" i="3" s="1"/>
  <c r="BS641" i="3"/>
  <c r="BT640" i="3" s="1"/>
  <c r="U641" i="3"/>
  <c r="X640" i="3" s="1"/>
  <c r="BY641" i="3"/>
  <c r="BZ640" i="3" s="1"/>
  <c r="CE641" i="3"/>
  <c r="AC641" i="3"/>
  <c r="AU641" i="3"/>
  <c r="AV640" i="3" s="1"/>
  <c r="W641" i="3"/>
  <c r="AA641" i="3"/>
  <c r="AD640" i="3" s="1"/>
  <c r="CG640" i="3"/>
  <c r="CH640" i="3"/>
  <c r="BI640" i="3"/>
  <c r="BJ640" i="3"/>
  <c r="BI270" i="3"/>
  <c r="BJ270" i="3"/>
  <c r="CH270" i="3"/>
  <c r="CG270" i="3"/>
  <c r="Q597" i="3"/>
  <c r="AM595" i="3" s="1"/>
  <c r="Q598" i="3"/>
  <c r="AS595" i="3" s="1"/>
  <c r="Q601" i="3"/>
  <c r="BK595" i="3" s="1"/>
  <c r="Q599" i="3"/>
  <c r="AY595" i="3" s="1"/>
  <c r="Q594" i="3"/>
  <c r="Q595" i="3"/>
  <c r="Q602" i="3"/>
  <c r="BQ595" i="3" s="1"/>
  <c r="BT594" i="3" s="1"/>
  <c r="Q604" i="3"/>
  <c r="CC595" i="3" s="1"/>
  <c r="CF594" i="3" s="1"/>
  <c r="Q600" i="3"/>
  <c r="BE595" i="3" s="1"/>
  <c r="BH594" i="3" s="1"/>
  <c r="Q596" i="3"/>
  <c r="AG595" i="3" s="1"/>
  <c r="Q603" i="3"/>
  <c r="BW595" i="3" s="1"/>
  <c r="BZ594" i="3" s="1"/>
  <c r="U271" i="3"/>
  <c r="BM271" i="3"/>
  <c r="BN270" i="3" s="1"/>
  <c r="AO271" i="3"/>
  <c r="AP270" i="3" s="1"/>
  <c r="BG271" i="3"/>
  <c r="R270" i="3"/>
  <c r="AU271" i="3"/>
  <c r="AV270" i="3" s="1"/>
  <c r="BA271" i="3"/>
  <c r="BB270" i="3" s="1"/>
  <c r="BY271" i="3"/>
  <c r="BZ270" i="3" s="1"/>
  <c r="AC271" i="3"/>
  <c r="CE271" i="3"/>
  <c r="AI271" i="3"/>
  <c r="AJ270" i="3" s="1"/>
  <c r="BS271" i="3"/>
  <c r="BT270" i="3" s="1"/>
  <c r="AA271" i="3"/>
  <c r="W271" i="3"/>
  <c r="B441" i="3"/>
  <c r="Q881" i="3"/>
  <c r="CC872" i="3" s="1"/>
  <c r="CF871" i="3" s="1"/>
  <c r="Q874" i="3"/>
  <c r="AM872" i="3" s="1"/>
  <c r="Q879" i="3"/>
  <c r="BQ872" i="3" s="1"/>
  <c r="Q873" i="3"/>
  <c r="AG872" i="3" s="1"/>
  <c r="Q872" i="3"/>
  <c r="Q878" i="3"/>
  <c r="BK872" i="3" s="1"/>
  <c r="Q876" i="3"/>
  <c r="AY872" i="3" s="1"/>
  <c r="Q877" i="3"/>
  <c r="BE872" i="3" s="1"/>
  <c r="BH871" i="3" s="1"/>
  <c r="Q875" i="3"/>
  <c r="AS872" i="3" s="1"/>
  <c r="Q871" i="3"/>
  <c r="Q880" i="3"/>
  <c r="BW872" i="3" s="1"/>
  <c r="BZ871" i="3" s="1"/>
  <c r="BP386" i="3"/>
  <c r="AR386" i="3"/>
  <c r="W387" i="3"/>
  <c r="BA387" i="3"/>
  <c r="AL386" i="3"/>
  <c r="BJ386" i="3"/>
  <c r="AO387" i="3"/>
  <c r="AU387" i="3"/>
  <c r="AI387" i="3"/>
  <c r="CG386" i="3"/>
  <c r="BM387" i="3"/>
  <c r="BS387" i="3"/>
  <c r="S732" i="3"/>
  <c r="T732" i="3"/>
  <c r="AE732" i="3"/>
  <c r="AF732" i="3"/>
  <c r="Y732" i="3"/>
  <c r="Z732" i="3"/>
  <c r="R386" i="3"/>
  <c r="T386" i="3" s="1"/>
  <c r="BG387" i="3"/>
  <c r="AC387" i="3"/>
  <c r="AD386" i="3" s="1"/>
  <c r="U387" i="3"/>
  <c r="X386" i="3" s="1"/>
  <c r="Y386" i="3" s="1"/>
  <c r="BY387" i="3"/>
  <c r="CE387" i="3"/>
  <c r="AF2741" i="3"/>
  <c r="AE2741" i="3"/>
  <c r="S2741" i="3"/>
  <c r="T2741" i="3"/>
  <c r="Z2741" i="3"/>
  <c r="Y2741" i="3"/>
  <c r="AU1611" i="3" l="1"/>
  <c r="AV1610" i="3" s="1"/>
  <c r="P2649" i="3"/>
  <c r="P2650" i="3"/>
  <c r="H465" i="3"/>
  <c r="P2659" i="3"/>
  <c r="Q2649" i="3" s="1"/>
  <c r="P2651" i="3"/>
  <c r="P2658" i="3"/>
  <c r="P2656" i="3"/>
  <c r="L465" i="3"/>
  <c r="P2654" i="3"/>
  <c r="P2652" i="3"/>
  <c r="P2657" i="3"/>
  <c r="G465" i="3"/>
  <c r="P2655" i="3"/>
  <c r="BN1610" i="3"/>
  <c r="Q2651" i="3"/>
  <c r="AG2650" i="3" s="1"/>
  <c r="AJ2649" i="3" s="1"/>
  <c r="AL2649" i="3" s="1"/>
  <c r="AL2578" i="3" s="1"/>
  <c r="R1610" i="3"/>
  <c r="Y1032" i="3"/>
  <c r="O462" i="3"/>
  <c r="BO2187" i="3"/>
  <c r="BP2187" i="3"/>
  <c r="K462" i="3"/>
  <c r="E462" i="3"/>
  <c r="P2543" i="3"/>
  <c r="P2536" i="3"/>
  <c r="F465" i="3"/>
  <c r="D465" i="3"/>
  <c r="N465" i="3"/>
  <c r="P2542" i="3"/>
  <c r="P2534" i="3"/>
  <c r="P2539" i="3"/>
  <c r="O465" i="3"/>
  <c r="M465" i="3"/>
  <c r="I465" i="3"/>
  <c r="P2537" i="3"/>
  <c r="P2533" i="3"/>
  <c r="P2535" i="3"/>
  <c r="J465" i="3"/>
  <c r="E465" i="3"/>
  <c r="P2538" i="3"/>
  <c r="P2540" i="3"/>
  <c r="CB270" i="3"/>
  <c r="CA270" i="3"/>
  <c r="J462" i="3"/>
  <c r="G462" i="3"/>
  <c r="D462" i="3"/>
  <c r="Q2464" i="3"/>
  <c r="Q2468" i="3"/>
  <c r="AS2465" i="3" s="1"/>
  <c r="AV2464" i="3" s="1"/>
  <c r="Q2471" i="3"/>
  <c r="BK2465" i="3" s="1"/>
  <c r="BN2464" i="3" s="1"/>
  <c r="Q2473" i="3"/>
  <c r="BW2465" i="3" s="1"/>
  <c r="BZ2464" i="3" s="1"/>
  <c r="Q2466" i="3"/>
  <c r="AG2465" i="3" s="1"/>
  <c r="AJ2464" i="3" s="1"/>
  <c r="Q2470" i="3"/>
  <c r="BE2465" i="3" s="1"/>
  <c r="BH2464" i="3" s="1"/>
  <c r="Q2474" i="3"/>
  <c r="CC2465" i="3" s="1"/>
  <c r="CF2464" i="3" s="1"/>
  <c r="Q2472" i="3"/>
  <c r="BQ2465" i="3" s="1"/>
  <c r="BT2464" i="3" s="1"/>
  <c r="Q2467" i="3"/>
  <c r="AM2465" i="3" s="1"/>
  <c r="AP2464" i="3" s="1"/>
  <c r="Q2469" i="3"/>
  <c r="AY2465" i="3" s="1"/>
  <c r="BB2464" i="3" s="1"/>
  <c r="Q2465" i="3"/>
  <c r="L462" i="3"/>
  <c r="N462" i="3"/>
  <c r="H462" i="3"/>
  <c r="B696" i="3"/>
  <c r="I462" i="3"/>
  <c r="M462" i="3"/>
  <c r="P340" i="3" a="1"/>
  <c r="Q1936" i="3"/>
  <c r="AM1934" i="3" s="1"/>
  <c r="AP1933" i="3" s="1"/>
  <c r="Q1938" i="3"/>
  <c r="AY1934" i="3" s="1"/>
  <c r="BB1933" i="3" s="1"/>
  <c r="Q1939" i="3"/>
  <c r="BE1934" i="3" s="1"/>
  <c r="Q1940" i="3"/>
  <c r="BK1934" i="3" s="1"/>
  <c r="Q1943" i="3"/>
  <c r="CC1934" i="3" s="1"/>
  <c r="CF1933" i="3" s="1"/>
  <c r="Q1935" i="3"/>
  <c r="AG1934" i="3" s="1"/>
  <c r="AJ1933" i="3" s="1"/>
  <c r="Q1934" i="3"/>
  <c r="Q1937" i="3"/>
  <c r="AS1934" i="3" s="1"/>
  <c r="AV1933" i="3" s="1"/>
  <c r="Q1941" i="3"/>
  <c r="BQ1934" i="3" s="1"/>
  <c r="BT1933" i="3" s="1"/>
  <c r="Q1933" i="3"/>
  <c r="Q1942" i="3"/>
  <c r="BW1934" i="3" s="1"/>
  <c r="BZ1933" i="3" s="1"/>
  <c r="D456" i="3"/>
  <c r="J456" i="3"/>
  <c r="I456" i="3"/>
  <c r="H456" i="3"/>
  <c r="K456" i="3"/>
  <c r="M456" i="3"/>
  <c r="G456" i="3"/>
  <c r="O456" i="3"/>
  <c r="F456" i="3"/>
  <c r="N456" i="3"/>
  <c r="E456" i="3"/>
  <c r="L456" i="3"/>
  <c r="N461" i="3"/>
  <c r="G461" i="3"/>
  <c r="K461" i="3"/>
  <c r="J461" i="3"/>
  <c r="F461" i="3"/>
  <c r="O461" i="3"/>
  <c r="L461" i="3"/>
  <c r="I461" i="3"/>
  <c r="E461" i="3"/>
  <c r="D461" i="3"/>
  <c r="M461" i="3"/>
  <c r="H461" i="3"/>
  <c r="D459" i="3"/>
  <c r="N459" i="3"/>
  <c r="H459" i="3"/>
  <c r="K459" i="3"/>
  <c r="O459" i="3"/>
  <c r="I459" i="3"/>
  <c r="L459" i="3"/>
  <c r="M459" i="3"/>
  <c r="G459" i="3"/>
  <c r="F459" i="3"/>
  <c r="E459" i="3"/>
  <c r="J459" i="3"/>
  <c r="AK2649" i="3"/>
  <c r="AK2578" i="3" s="1"/>
  <c r="J463" i="3"/>
  <c r="H463" i="3"/>
  <c r="O463" i="3"/>
  <c r="D463" i="3"/>
  <c r="K463" i="3"/>
  <c r="I463" i="3"/>
  <c r="F463" i="3"/>
  <c r="M463" i="3"/>
  <c r="N463" i="3"/>
  <c r="L463" i="3"/>
  <c r="G463" i="3"/>
  <c r="E463" i="3"/>
  <c r="G458" i="3"/>
  <c r="D458" i="3"/>
  <c r="I458" i="3"/>
  <c r="O458" i="3"/>
  <c r="L458" i="3"/>
  <c r="J458" i="3"/>
  <c r="K458" i="3"/>
  <c r="E458" i="3"/>
  <c r="M458" i="3"/>
  <c r="N458" i="3"/>
  <c r="F458" i="3"/>
  <c r="H458" i="3"/>
  <c r="J464" i="3"/>
  <c r="M464" i="3"/>
  <c r="D464" i="3"/>
  <c r="F464" i="3"/>
  <c r="E464" i="3"/>
  <c r="L464" i="3"/>
  <c r="G464" i="3"/>
  <c r="I464" i="3"/>
  <c r="N464" i="3"/>
  <c r="H464" i="3"/>
  <c r="O464" i="3"/>
  <c r="K464" i="3"/>
  <c r="E460" i="3"/>
  <c r="K460" i="3"/>
  <c r="O460" i="3"/>
  <c r="M460" i="3"/>
  <c r="J460" i="3"/>
  <c r="L460" i="3"/>
  <c r="F460" i="3"/>
  <c r="I460" i="3"/>
  <c r="G460" i="3"/>
  <c r="D460" i="3"/>
  <c r="N460" i="3"/>
  <c r="H460" i="3"/>
  <c r="L457" i="3"/>
  <c r="K457" i="3"/>
  <c r="E457" i="3"/>
  <c r="O457" i="3"/>
  <c r="H457" i="3"/>
  <c r="F457" i="3"/>
  <c r="N457" i="3"/>
  <c r="G457" i="3"/>
  <c r="D457" i="3"/>
  <c r="I457" i="3"/>
  <c r="J457" i="3"/>
  <c r="M457" i="3"/>
  <c r="G455" i="3"/>
  <c r="D455" i="3"/>
  <c r="I455" i="3"/>
  <c r="H455" i="3"/>
  <c r="M455" i="3"/>
  <c r="N455" i="3"/>
  <c r="L455" i="3"/>
  <c r="F455" i="3"/>
  <c r="O455" i="3"/>
  <c r="J455" i="3"/>
  <c r="K455" i="3"/>
  <c r="E455" i="3"/>
  <c r="BJ1009" i="3"/>
  <c r="Z1009" i="3"/>
  <c r="Q298" i="3"/>
  <c r="AS295" i="3" s="1"/>
  <c r="AV294" i="3" s="1"/>
  <c r="AW294" i="3" s="1"/>
  <c r="AL1009" i="3"/>
  <c r="BV1009" i="3"/>
  <c r="Q294" i="3"/>
  <c r="U295" i="3" s="1"/>
  <c r="AR40" i="3"/>
  <c r="CA40" i="3"/>
  <c r="AF2764" i="3"/>
  <c r="AU2557" i="3"/>
  <c r="AL40" i="3"/>
  <c r="BP2556" i="3"/>
  <c r="CA2556" i="3"/>
  <c r="BM2557" i="3"/>
  <c r="AL2233" i="3"/>
  <c r="U2557" i="3"/>
  <c r="X2556" i="3" s="1"/>
  <c r="Z2556" i="3" s="1"/>
  <c r="BC2556" i="3"/>
  <c r="AW2556" i="3"/>
  <c r="BG2557" i="3"/>
  <c r="BU2556" i="3"/>
  <c r="T2302" i="3"/>
  <c r="S2302" i="3"/>
  <c r="Q299" i="3"/>
  <c r="AY295" i="3" s="1"/>
  <c r="BB294" i="3" s="1"/>
  <c r="BC294" i="3" s="1"/>
  <c r="AQ1009" i="3"/>
  <c r="BS2557" i="3"/>
  <c r="AL2556" i="3"/>
  <c r="AF2302" i="3"/>
  <c r="AE2302" i="3"/>
  <c r="Y2302" i="3"/>
  <c r="Z2302" i="3"/>
  <c r="AL2302" i="3"/>
  <c r="AK2302" i="3"/>
  <c r="Z1263" i="3"/>
  <c r="Y1263" i="3"/>
  <c r="CA1263" i="3"/>
  <c r="CB1263" i="3"/>
  <c r="S1263" i="3"/>
  <c r="T1263" i="3"/>
  <c r="AW1263" i="3"/>
  <c r="AX1263" i="3"/>
  <c r="BP1263" i="3"/>
  <c r="BO1263" i="3"/>
  <c r="BD1263" i="3"/>
  <c r="BC1263" i="3"/>
  <c r="AF1263" i="3"/>
  <c r="AE1263" i="3"/>
  <c r="BJ1263" i="3"/>
  <c r="BI1263" i="3"/>
  <c r="AL1263" i="3"/>
  <c r="AK1263" i="3"/>
  <c r="Q303" i="3"/>
  <c r="BW295" i="3" s="1"/>
  <c r="BZ294" i="3" s="1"/>
  <c r="CB294" i="3" s="1"/>
  <c r="BJ1771" i="3"/>
  <c r="BI1771" i="3"/>
  <c r="CH2556" i="3"/>
  <c r="AA2557" i="3"/>
  <c r="AD2556" i="3" s="1"/>
  <c r="AF2556" i="3" s="1"/>
  <c r="Q295" i="3"/>
  <c r="Q301" i="3"/>
  <c r="BK295" i="3" s="1"/>
  <c r="BN294" i="3" s="1"/>
  <c r="BP294" i="3" s="1"/>
  <c r="BY2557" i="3"/>
  <c r="Q302" i="3"/>
  <c r="BQ295" i="3" s="1"/>
  <c r="BT294" i="3" s="1"/>
  <c r="BV294" i="3" s="1"/>
  <c r="Q296" i="3"/>
  <c r="AG295" i="3" s="1"/>
  <c r="Q304" i="3"/>
  <c r="CC295" i="3" s="1"/>
  <c r="CF294" i="3" s="1"/>
  <c r="CG294" i="3" s="1"/>
  <c r="Q1597" i="3"/>
  <c r="CC1588" i="3" s="1"/>
  <c r="CF1587" i="3" s="1"/>
  <c r="Q1596" i="3"/>
  <c r="BW1588" i="3" s="1"/>
  <c r="BZ1587" i="3" s="1"/>
  <c r="Q1587" i="3"/>
  <c r="Q1594" i="3"/>
  <c r="BK1588" i="3" s="1"/>
  <c r="BN1587" i="3" s="1"/>
  <c r="Q1590" i="3"/>
  <c r="AM1588" i="3" s="1"/>
  <c r="AP1587" i="3" s="1"/>
  <c r="Q1591" i="3"/>
  <c r="AS1588" i="3" s="1"/>
  <c r="Q1592" i="3"/>
  <c r="AY1588" i="3" s="1"/>
  <c r="BB1587" i="3" s="1"/>
  <c r="Q1588" i="3"/>
  <c r="Q1589" i="3"/>
  <c r="AG1588" i="3" s="1"/>
  <c r="Q1593" i="3"/>
  <c r="BE1588" i="3" s="1"/>
  <c r="Q1595" i="3"/>
  <c r="BQ1588" i="3" s="1"/>
  <c r="BT1587" i="3" s="1"/>
  <c r="Q297" i="3"/>
  <c r="AM295" i="3" s="1"/>
  <c r="AP294" i="3" s="1"/>
  <c r="AQ294" i="3" s="1"/>
  <c r="Q300" i="3"/>
  <c r="BE295" i="3" s="1"/>
  <c r="BH294" i="3" s="1"/>
  <c r="BJ294" i="3" s="1"/>
  <c r="BY1772" i="3"/>
  <c r="BZ1771" i="3" s="1"/>
  <c r="BB1771" i="3"/>
  <c r="BC1771" i="3" s="1"/>
  <c r="AF1771" i="3"/>
  <c r="AE1771" i="3"/>
  <c r="W1772" i="3"/>
  <c r="BO1009" i="3"/>
  <c r="X40" i="3"/>
  <c r="Y40" i="3" s="1"/>
  <c r="BI2556" i="3"/>
  <c r="AD40" i="3"/>
  <c r="AF40" i="3" s="1"/>
  <c r="BA2557" i="3"/>
  <c r="T1009" i="3"/>
  <c r="BC1009" i="3"/>
  <c r="AW1009" i="3"/>
  <c r="Q1868" i="3"/>
  <c r="AS1865" i="3" s="1"/>
  <c r="AV1864" i="3" s="1"/>
  <c r="AW1864" i="3" s="1"/>
  <c r="R1771" i="3"/>
  <c r="T1771" i="3" s="1"/>
  <c r="AO2557" i="3"/>
  <c r="AC2557" i="3"/>
  <c r="CG1771" i="3"/>
  <c r="CH1771" i="3"/>
  <c r="AL1771" i="3"/>
  <c r="AK1771" i="3"/>
  <c r="Q1871" i="3"/>
  <c r="BK1865" i="3" s="1"/>
  <c r="BN1864" i="3" s="1"/>
  <c r="BO1864" i="3" s="1"/>
  <c r="U1772" i="3"/>
  <c r="X1771" i="3" s="1"/>
  <c r="AU1772" i="3"/>
  <c r="AV1771" i="3" s="1"/>
  <c r="BM1772" i="3"/>
  <c r="BN1771" i="3" s="1"/>
  <c r="AI1772" i="3"/>
  <c r="BG1772" i="3"/>
  <c r="AC1772" i="3"/>
  <c r="BS1772" i="3"/>
  <c r="BT1771" i="3" s="1"/>
  <c r="CE1772" i="3"/>
  <c r="AO1772" i="3"/>
  <c r="AP1771" i="3" s="1"/>
  <c r="Q1866" i="3"/>
  <c r="AG1865" i="3" s="1"/>
  <c r="AJ1864" i="3" s="1"/>
  <c r="AK1864" i="3" s="1"/>
  <c r="Q1869" i="3"/>
  <c r="AY1865" i="3" s="1"/>
  <c r="BB1864" i="3" s="1"/>
  <c r="BD1864" i="3" s="1"/>
  <c r="R2556" i="3"/>
  <c r="T2556" i="3" s="1"/>
  <c r="Q1865" i="3"/>
  <c r="Y2764" i="3"/>
  <c r="Q1872" i="3"/>
  <c r="BQ1865" i="3" s="1"/>
  <c r="BT1864" i="3" s="1"/>
  <c r="BU1864" i="3" s="1"/>
  <c r="AR2556" i="3"/>
  <c r="AF571" i="3"/>
  <c r="AI2557" i="3"/>
  <c r="Q1873" i="3"/>
  <c r="BW1865" i="3" s="1"/>
  <c r="BZ1864" i="3" s="1"/>
  <c r="B1205" i="3"/>
  <c r="Q1874" i="3"/>
  <c r="CC1865" i="3" s="1"/>
  <c r="CF1864" i="3" s="1"/>
  <c r="Z571" i="3"/>
  <c r="Q1870" i="3"/>
  <c r="BE1865" i="3" s="1"/>
  <c r="BH1864" i="3" s="1"/>
  <c r="Q1867" i="3"/>
  <c r="AM1865" i="3" s="1"/>
  <c r="AP1864" i="3" s="1"/>
  <c r="Q1864" i="3"/>
  <c r="S2764" i="3"/>
  <c r="C326" i="3"/>
  <c r="M326" i="3" s="1"/>
  <c r="Q2334" i="3"/>
  <c r="BQ2327" i="3" s="1"/>
  <c r="BT2326" i="3" s="1"/>
  <c r="Q2332" i="3"/>
  <c r="BE2327" i="3" s="1"/>
  <c r="BH2326" i="3" s="1"/>
  <c r="Q2335" i="3"/>
  <c r="BW2327" i="3" s="1"/>
  <c r="BZ2326" i="3" s="1"/>
  <c r="Q2336" i="3"/>
  <c r="CC2327" i="3" s="1"/>
  <c r="CF2326" i="3" s="1"/>
  <c r="Q2326" i="3"/>
  <c r="Q2328" i="3"/>
  <c r="AG2327" i="3" s="1"/>
  <c r="AJ2326" i="3" s="1"/>
  <c r="Q2331" i="3"/>
  <c r="AY2327" i="3" s="1"/>
  <c r="BB2326" i="3" s="1"/>
  <c r="Q2327" i="3"/>
  <c r="Q2329" i="3"/>
  <c r="AM2327" i="3" s="1"/>
  <c r="AP2326" i="3" s="1"/>
  <c r="Q2333" i="3"/>
  <c r="BK2327" i="3" s="1"/>
  <c r="BN2326" i="3" s="1"/>
  <c r="Q2330" i="3"/>
  <c r="AS2327" i="3" s="1"/>
  <c r="AV2326" i="3" s="1"/>
  <c r="AA2234" i="3"/>
  <c r="AD2233" i="3" s="1"/>
  <c r="AF2233" i="3" s="1"/>
  <c r="S1610" i="3"/>
  <c r="T1610" i="3"/>
  <c r="AX1610" i="3"/>
  <c r="AW1610" i="3"/>
  <c r="AF1610" i="3"/>
  <c r="AE1610" i="3"/>
  <c r="C325" i="3"/>
  <c r="E325" i="3" s="1"/>
  <c r="Z1610" i="3"/>
  <c r="Y1610" i="3"/>
  <c r="BJ1610" i="3"/>
  <c r="BI1610" i="3"/>
  <c r="C327" i="3"/>
  <c r="H327" i="3" s="1"/>
  <c r="BD1610" i="3"/>
  <c r="BC1610" i="3"/>
  <c r="C318" i="3"/>
  <c r="J318" i="3" s="1"/>
  <c r="BP1610" i="3"/>
  <c r="BO1610" i="3"/>
  <c r="AK1610" i="3"/>
  <c r="AL1610" i="3"/>
  <c r="AR1610" i="3"/>
  <c r="AQ1610" i="3"/>
  <c r="F324" i="3"/>
  <c r="N324" i="3"/>
  <c r="L324" i="3"/>
  <c r="D324" i="3"/>
  <c r="H324" i="3"/>
  <c r="K324" i="3"/>
  <c r="J324" i="3"/>
  <c r="M324" i="3"/>
  <c r="E324" i="3"/>
  <c r="G324" i="3"/>
  <c r="I324" i="3"/>
  <c r="O324" i="3"/>
  <c r="BV40" i="3"/>
  <c r="B1717" i="3"/>
  <c r="CE2073" i="3"/>
  <c r="R2072" i="3"/>
  <c r="BY2073" i="3"/>
  <c r="U2073" i="3"/>
  <c r="X2072" i="3" s="1"/>
  <c r="BM2073" i="3"/>
  <c r="BG2073" i="3"/>
  <c r="BS2073" i="3"/>
  <c r="AO2073" i="3"/>
  <c r="AU2073" i="3"/>
  <c r="AI2073" i="3"/>
  <c r="BA2073" i="3"/>
  <c r="AC2073" i="3"/>
  <c r="CB2072" i="3"/>
  <c r="CA2072" i="3"/>
  <c r="CA2070" i="3" s="1"/>
  <c r="AL2072" i="3"/>
  <c r="AK2072" i="3"/>
  <c r="BJ2072" i="3"/>
  <c r="BI2072" i="3"/>
  <c r="W2073" i="3"/>
  <c r="AA2073" i="3"/>
  <c r="AD2072" i="3" s="1"/>
  <c r="BU2072" i="3"/>
  <c r="BV2072" i="3"/>
  <c r="C317" i="3"/>
  <c r="C320" i="3"/>
  <c r="C319" i="3"/>
  <c r="C322" i="3"/>
  <c r="C321" i="3"/>
  <c r="CH2072" i="3"/>
  <c r="CH2070" i="3" s="1"/>
  <c r="CG2072" i="3"/>
  <c r="AX2072" i="3"/>
  <c r="AW2072" i="3"/>
  <c r="AR2072" i="3"/>
  <c r="AR2070" i="3" s="1"/>
  <c r="AQ2072" i="3"/>
  <c r="BP2072" i="3"/>
  <c r="BP2070" i="3" s="1"/>
  <c r="BO2072" i="3"/>
  <c r="BC2072" i="3"/>
  <c r="BD2072" i="3"/>
  <c r="C323" i="3"/>
  <c r="BU1240" i="3"/>
  <c r="BY2234" i="3"/>
  <c r="AU1241" i="3"/>
  <c r="BM2234" i="3"/>
  <c r="Z2718" i="3"/>
  <c r="Q2442" i="3"/>
  <c r="AA2442" i="3" s="1"/>
  <c r="AD2441" i="3" s="1"/>
  <c r="AX294" i="3"/>
  <c r="AO2234" i="3"/>
  <c r="AW40" i="3"/>
  <c r="S40" i="3"/>
  <c r="AL2510" i="3"/>
  <c r="AC2511" i="3"/>
  <c r="Q2447" i="3"/>
  <c r="BE2442" i="3" s="1"/>
  <c r="BH2441" i="3" s="1"/>
  <c r="BJ2441" i="3" s="1"/>
  <c r="BA2234" i="3"/>
  <c r="CB2233" i="3"/>
  <c r="CG1240" i="3"/>
  <c r="AV1240" i="3"/>
  <c r="AW1240" i="3" s="1"/>
  <c r="Q2451" i="3"/>
  <c r="CC2442" i="3" s="1"/>
  <c r="CF2441" i="3" s="1"/>
  <c r="CG2441" i="3" s="1"/>
  <c r="Q2450" i="3"/>
  <c r="BW2442" i="3" s="1"/>
  <c r="K942" i="3"/>
  <c r="Q2446" i="3"/>
  <c r="AY2442" i="3" s="1"/>
  <c r="BB2441" i="3" s="1"/>
  <c r="BD2441" i="3" s="1"/>
  <c r="BS2234" i="3"/>
  <c r="BT2233" i="3" s="1"/>
  <c r="BV2233" i="3" s="1"/>
  <c r="AO1241" i="3"/>
  <c r="AP1240" i="3" s="1"/>
  <c r="AR1240" i="3" s="1"/>
  <c r="Q2443" i="3"/>
  <c r="AG2442" i="3" s="1"/>
  <c r="AJ2441" i="3" s="1"/>
  <c r="AK2441" i="3" s="1"/>
  <c r="Q2444" i="3"/>
  <c r="AM2442" i="3" s="1"/>
  <c r="AP2441" i="3" s="1"/>
  <c r="AQ2441" i="3" s="1"/>
  <c r="Q2448" i="3"/>
  <c r="BK2442" i="3" s="1"/>
  <c r="BN2441" i="3" s="1"/>
  <c r="BO2441" i="3" s="1"/>
  <c r="Q2449" i="3"/>
  <c r="BQ2442" i="3" s="1"/>
  <c r="Q2445" i="3"/>
  <c r="AS2442" i="3" s="1"/>
  <c r="AV2441" i="3" s="1"/>
  <c r="AX2441" i="3" s="1"/>
  <c r="Q2441" i="3"/>
  <c r="AA1334" i="3"/>
  <c r="AD1333" i="3" s="1"/>
  <c r="W1334" i="3"/>
  <c r="BB2233" i="3"/>
  <c r="BC2233" i="3" s="1"/>
  <c r="CG2233" i="3"/>
  <c r="BU1333" i="3"/>
  <c r="BV1333" i="3"/>
  <c r="CA1333" i="3"/>
  <c r="CB1333" i="3"/>
  <c r="BO2233" i="3"/>
  <c r="AU2234" i="3"/>
  <c r="AV2233" i="3" s="1"/>
  <c r="AX2233" i="3" s="1"/>
  <c r="AQ2233" i="3"/>
  <c r="BP1333" i="3"/>
  <c r="BO1333" i="3"/>
  <c r="CH1333" i="3"/>
  <c r="CG1333" i="3"/>
  <c r="R1333" i="3"/>
  <c r="BM1334" i="3"/>
  <c r="AI1334" i="3"/>
  <c r="AJ1333" i="3" s="1"/>
  <c r="CE1334" i="3"/>
  <c r="AU1334" i="3"/>
  <c r="AV1333" i="3" s="1"/>
  <c r="AO1334" i="3"/>
  <c r="AP1333" i="3" s="1"/>
  <c r="AC1334" i="3"/>
  <c r="U1334" i="3"/>
  <c r="X1333" i="3" s="1"/>
  <c r="BA1334" i="3"/>
  <c r="BB1333" i="3" s="1"/>
  <c r="BS1334" i="3"/>
  <c r="BY1334" i="3"/>
  <c r="BG1334" i="3"/>
  <c r="BH1333" i="3" s="1"/>
  <c r="AA1241" i="3"/>
  <c r="AD1240" i="3" s="1"/>
  <c r="AE1240" i="3" s="1"/>
  <c r="BS1241" i="3"/>
  <c r="CE1241" i="3"/>
  <c r="AI1241" i="3"/>
  <c r="AJ1240" i="3" s="1"/>
  <c r="AK1240" i="3" s="1"/>
  <c r="BM1241" i="3"/>
  <c r="BN1240" i="3" s="1"/>
  <c r="BO1240" i="3" s="1"/>
  <c r="BA1241" i="3"/>
  <c r="BB1240" i="3" s="1"/>
  <c r="BD1240" i="3" s="1"/>
  <c r="W2511" i="3"/>
  <c r="U1241" i="3"/>
  <c r="X1240" i="3" s="1"/>
  <c r="Y1240" i="3" s="1"/>
  <c r="BY1241" i="3"/>
  <c r="BZ1240" i="3" s="1"/>
  <c r="CA1240" i="3" s="1"/>
  <c r="AX2510" i="3"/>
  <c r="U2511" i="3"/>
  <c r="X2510" i="3" s="1"/>
  <c r="Z2510" i="3" s="1"/>
  <c r="AE2718" i="3"/>
  <c r="BG2234" i="3"/>
  <c r="BH2233" i="3" s="1"/>
  <c r="BJ2233" i="3" s="1"/>
  <c r="R2233" i="3"/>
  <c r="T2233" i="3" s="1"/>
  <c r="CE2234" i="3"/>
  <c r="BG1241" i="3"/>
  <c r="BH1240" i="3" s="1"/>
  <c r="BI1240" i="3" s="1"/>
  <c r="AC1241" i="3"/>
  <c r="AU2511" i="3"/>
  <c r="AC2234" i="3"/>
  <c r="AI2234" i="3"/>
  <c r="R1240" i="3"/>
  <c r="T1240" i="3" s="1"/>
  <c r="BY2511" i="3"/>
  <c r="BZ2510" i="3" s="1"/>
  <c r="CA2510" i="3" s="1"/>
  <c r="CH2510" i="3"/>
  <c r="P1310" i="3" a="1"/>
  <c r="C1960" i="3"/>
  <c r="N1960" i="3" s="1"/>
  <c r="F945" i="3"/>
  <c r="BO2510" i="3"/>
  <c r="AO2511" i="3"/>
  <c r="BG2511" i="3"/>
  <c r="BH2510" i="3" s="1"/>
  <c r="BI2510" i="3" s="1"/>
  <c r="BS2511" i="3"/>
  <c r="Q1475" i="3"/>
  <c r="AS1472" i="3" s="1"/>
  <c r="AI2511" i="3"/>
  <c r="AR2510" i="3"/>
  <c r="S2718" i="3"/>
  <c r="Z2233" i="3"/>
  <c r="Y2233" i="3"/>
  <c r="Q1474" i="3"/>
  <c r="AM1472" i="3" s="1"/>
  <c r="S2025" i="3"/>
  <c r="T2025" i="3"/>
  <c r="AE2025" i="3"/>
  <c r="AF2025" i="3"/>
  <c r="Y2025" i="3"/>
  <c r="Z2025" i="3"/>
  <c r="BA2511" i="3"/>
  <c r="BB2510" i="3" s="1"/>
  <c r="BD2510" i="3" s="1"/>
  <c r="R2510" i="3"/>
  <c r="T2510" i="3" s="1"/>
  <c r="BM2511" i="3"/>
  <c r="BT2510" i="3"/>
  <c r="BV2510" i="3" s="1"/>
  <c r="AX1979" i="3"/>
  <c r="AW1979" i="3"/>
  <c r="Q1477" i="3"/>
  <c r="BE1472" i="3" s="1"/>
  <c r="BH1471" i="3" s="1"/>
  <c r="BI1471" i="3" s="1"/>
  <c r="I941" i="3"/>
  <c r="AW1887" i="3"/>
  <c r="Q1481" i="3"/>
  <c r="CC1472" i="3" s="1"/>
  <c r="CF1471" i="3" s="1"/>
  <c r="CG1471" i="3" s="1"/>
  <c r="Q1471" i="3"/>
  <c r="Q1472" i="3"/>
  <c r="AA1472" i="3" s="1"/>
  <c r="AD1471" i="3" s="1"/>
  <c r="Q1473" i="3"/>
  <c r="AG1472" i="3" s="1"/>
  <c r="Q1478" i="3"/>
  <c r="BK1472" i="3" s="1"/>
  <c r="BN1471" i="3" s="1"/>
  <c r="BP1471" i="3" s="1"/>
  <c r="Q1480" i="3"/>
  <c r="BW1472" i="3" s="1"/>
  <c r="BZ1471" i="3" s="1"/>
  <c r="CB1471" i="3" s="1"/>
  <c r="Q1479" i="3"/>
  <c r="BQ1472" i="3" s="1"/>
  <c r="BT1471" i="3" s="1"/>
  <c r="BU1471" i="3" s="1"/>
  <c r="B442" i="3"/>
  <c r="B443" i="3" s="1"/>
  <c r="B444" i="3" s="1"/>
  <c r="B445" i="3" s="1"/>
  <c r="B193" i="3"/>
  <c r="Q1476" i="3"/>
  <c r="AY1472" i="3" s="1"/>
  <c r="BU2510" i="3"/>
  <c r="AF2510" i="3"/>
  <c r="AE2510" i="3"/>
  <c r="BD1748" i="3"/>
  <c r="BC1748" i="3"/>
  <c r="BI1748" i="3"/>
  <c r="BJ1748" i="3"/>
  <c r="BU2187" i="3"/>
  <c r="BV2187" i="3"/>
  <c r="F946" i="3"/>
  <c r="D942" i="3"/>
  <c r="C1956" i="3"/>
  <c r="N1956" i="3" s="1"/>
  <c r="C1958" i="3"/>
  <c r="L1958" i="3" s="1"/>
  <c r="H945" i="3"/>
  <c r="D946" i="3"/>
  <c r="O945" i="3"/>
  <c r="AF917" i="3"/>
  <c r="C1961" i="3"/>
  <c r="D1961" i="3" s="1"/>
  <c r="C1957" i="3"/>
  <c r="G1957" i="3" s="1"/>
  <c r="E945" i="3"/>
  <c r="N945" i="3"/>
  <c r="C1962" i="3"/>
  <c r="K1962" i="3" s="1"/>
  <c r="C1966" i="3"/>
  <c r="M1966" i="3" s="1"/>
  <c r="C1964" i="3"/>
  <c r="J1964" i="3" s="1"/>
  <c r="M945" i="3"/>
  <c r="L945" i="3"/>
  <c r="D945" i="3"/>
  <c r="M943" i="3"/>
  <c r="AK1887" i="3"/>
  <c r="J945" i="3"/>
  <c r="AC1888" i="3"/>
  <c r="C1963" i="3"/>
  <c r="F1963" i="3" s="1"/>
  <c r="C1959" i="3"/>
  <c r="L1959" i="3" s="1"/>
  <c r="C1965" i="3"/>
  <c r="M1965" i="3" s="1"/>
  <c r="K945" i="3"/>
  <c r="I945" i="3"/>
  <c r="G943" i="3"/>
  <c r="U1888" i="3"/>
  <c r="X1887" i="3" s="1"/>
  <c r="Y1887" i="3" s="1"/>
  <c r="I946" i="3"/>
  <c r="AR1887" i="3"/>
  <c r="H948" i="3"/>
  <c r="T1748" i="3"/>
  <c r="S1748" i="3"/>
  <c r="Z1748" i="3"/>
  <c r="Y1748" i="3"/>
  <c r="M948" i="3"/>
  <c r="E948" i="3"/>
  <c r="P90" i="3"/>
  <c r="P93" i="3"/>
  <c r="AI1888" i="3"/>
  <c r="AX1748" i="3"/>
  <c r="AW1748" i="3"/>
  <c r="AE1748" i="3"/>
  <c r="AF1748" i="3"/>
  <c r="BO1748" i="3"/>
  <c r="BP1748" i="3"/>
  <c r="D948" i="3"/>
  <c r="K948" i="3"/>
  <c r="P94" i="3"/>
  <c r="P89" i="3"/>
  <c r="CE1888" i="3"/>
  <c r="AR1748" i="3"/>
  <c r="AQ1748" i="3"/>
  <c r="P96" i="3"/>
  <c r="N948" i="3"/>
  <c r="P87" i="3"/>
  <c r="AL1748" i="3"/>
  <c r="AK1748" i="3"/>
  <c r="BJ1887" i="3"/>
  <c r="BD1887" i="3"/>
  <c r="AA1888" i="3"/>
  <c r="AD1887" i="3" s="1"/>
  <c r="AF1887" i="3" s="1"/>
  <c r="CH1887" i="3"/>
  <c r="M942" i="3"/>
  <c r="CB1887" i="3"/>
  <c r="E943" i="3"/>
  <c r="L943" i="3"/>
  <c r="BY1888" i="3"/>
  <c r="K944" i="3"/>
  <c r="D943" i="3"/>
  <c r="O943" i="3"/>
  <c r="P95" i="3"/>
  <c r="P92" i="3"/>
  <c r="P86" i="3"/>
  <c r="X270" i="3"/>
  <c r="Y270" i="3" s="1"/>
  <c r="AF2187" i="3"/>
  <c r="AE2187" i="3"/>
  <c r="S2187" i="3"/>
  <c r="T2187" i="3"/>
  <c r="Y2187" i="3"/>
  <c r="Z2187" i="3"/>
  <c r="H940" i="3"/>
  <c r="F942" i="3"/>
  <c r="E942" i="3"/>
  <c r="BA1888" i="3"/>
  <c r="L942" i="3"/>
  <c r="N942" i="3"/>
  <c r="G942" i="3"/>
  <c r="O942" i="3"/>
  <c r="P88" i="3"/>
  <c r="BG1888" i="3"/>
  <c r="BV1887" i="3"/>
  <c r="BM1888" i="3"/>
  <c r="BN1887" i="3" s="1"/>
  <c r="BP1887" i="3" s="1"/>
  <c r="K949" i="3"/>
  <c r="I949" i="3"/>
  <c r="BS1888" i="3"/>
  <c r="O949" i="3"/>
  <c r="J949" i="3"/>
  <c r="N949" i="3"/>
  <c r="G949" i="3"/>
  <c r="D949" i="3"/>
  <c r="BC1979" i="3"/>
  <c r="BD1979" i="3"/>
  <c r="CA1979" i="3"/>
  <c r="CB1979" i="3"/>
  <c r="S1979" i="3"/>
  <c r="T1979" i="3"/>
  <c r="H949" i="3"/>
  <c r="AE1979" i="3"/>
  <c r="AF1979" i="3"/>
  <c r="BU1979" i="3"/>
  <c r="BV1979" i="3"/>
  <c r="Z1979" i="3"/>
  <c r="Y1979" i="3"/>
  <c r="AR1979" i="3"/>
  <c r="AQ1979" i="3"/>
  <c r="J942" i="3"/>
  <c r="I942" i="3"/>
  <c r="F949" i="3"/>
  <c r="E949" i="3"/>
  <c r="M949" i="3"/>
  <c r="R1887" i="3"/>
  <c r="T1887" i="3" s="1"/>
  <c r="AU1888" i="3"/>
  <c r="AO1888" i="3"/>
  <c r="H946" i="3"/>
  <c r="N946" i="3"/>
  <c r="L946" i="3"/>
  <c r="J946" i="3"/>
  <c r="G946" i="3"/>
  <c r="E946" i="3"/>
  <c r="O946" i="3"/>
  <c r="K946" i="3"/>
  <c r="D950" i="3"/>
  <c r="H950" i="3"/>
  <c r="E950" i="3"/>
  <c r="I950" i="3"/>
  <c r="M950" i="3"/>
  <c r="N950" i="3"/>
  <c r="G950" i="3"/>
  <c r="J950" i="3"/>
  <c r="L950" i="3"/>
  <c r="K950" i="3"/>
  <c r="O950" i="3"/>
  <c r="F950" i="3"/>
  <c r="E940" i="3"/>
  <c r="L940" i="3"/>
  <c r="I940" i="3"/>
  <c r="M940" i="3"/>
  <c r="O940" i="3"/>
  <c r="K940" i="3"/>
  <c r="N940" i="3"/>
  <c r="F940" i="3"/>
  <c r="G940" i="3"/>
  <c r="J940" i="3"/>
  <c r="O948" i="3"/>
  <c r="F948" i="3"/>
  <c r="G948" i="3"/>
  <c r="J948" i="3"/>
  <c r="I948" i="3"/>
  <c r="M944" i="3"/>
  <c r="N944" i="3"/>
  <c r="H944" i="3"/>
  <c r="F944" i="3"/>
  <c r="D944" i="3"/>
  <c r="O944" i="3"/>
  <c r="J944" i="3"/>
  <c r="L944" i="3"/>
  <c r="I944" i="3"/>
  <c r="E944" i="3"/>
  <c r="L941" i="3"/>
  <c r="G941" i="3"/>
  <c r="K941" i="3"/>
  <c r="J941" i="3"/>
  <c r="N941" i="3"/>
  <c r="M941" i="3"/>
  <c r="D941" i="3"/>
  <c r="H941" i="3"/>
  <c r="O941" i="3"/>
  <c r="E941" i="3"/>
  <c r="L947" i="3"/>
  <c r="J947" i="3"/>
  <c r="K947" i="3"/>
  <c r="I947" i="3"/>
  <c r="H947" i="3"/>
  <c r="M947" i="3"/>
  <c r="N947" i="3"/>
  <c r="E947" i="3"/>
  <c r="F947" i="3"/>
  <c r="G947" i="3"/>
  <c r="O947" i="3"/>
  <c r="D947" i="3"/>
  <c r="H943" i="3"/>
  <c r="K943" i="3"/>
  <c r="I943" i="3"/>
  <c r="F943" i="3"/>
  <c r="N943" i="3"/>
  <c r="BO1356" i="3"/>
  <c r="BP1356" i="3"/>
  <c r="AR1356" i="3"/>
  <c r="AQ1356" i="3"/>
  <c r="S1356" i="3"/>
  <c r="T1356" i="3"/>
  <c r="AL1356" i="3"/>
  <c r="AK1356" i="3"/>
  <c r="BI1356" i="3"/>
  <c r="BJ1356" i="3"/>
  <c r="Y1356" i="3"/>
  <c r="Z1356" i="3"/>
  <c r="BD1356" i="3"/>
  <c r="BC1356" i="3"/>
  <c r="AW1356" i="3"/>
  <c r="AX1356" i="3"/>
  <c r="AE1356" i="3"/>
  <c r="AF1356" i="3"/>
  <c r="AD270" i="3"/>
  <c r="AE270" i="3" s="1"/>
  <c r="B1459" i="3"/>
  <c r="AE640" i="3"/>
  <c r="AF640" i="3"/>
  <c r="AK640" i="3"/>
  <c r="AL640" i="3"/>
  <c r="BP640" i="3"/>
  <c r="BO640" i="3"/>
  <c r="CB640" i="3"/>
  <c r="CA640" i="3"/>
  <c r="S640" i="3"/>
  <c r="T640" i="3"/>
  <c r="BC640" i="3"/>
  <c r="BD640" i="3"/>
  <c r="AX640" i="3"/>
  <c r="AW640" i="3"/>
  <c r="Z640" i="3"/>
  <c r="Y640" i="3"/>
  <c r="BV640" i="3"/>
  <c r="BU640" i="3"/>
  <c r="AQ640" i="3"/>
  <c r="AR640" i="3"/>
  <c r="AW270" i="3"/>
  <c r="AX270" i="3"/>
  <c r="BP270" i="3"/>
  <c r="BO270" i="3"/>
  <c r="BJ594" i="3"/>
  <c r="BI594" i="3"/>
  <c r="R594" i="3"/>
  <c r="AU595" i="3"/>
  <c r="AV594" i="3" s="1"/>
  <c r="BM595" i="3"/>
  <c r="BN594" i="3" s="1"/>
  <c r="AC595" i="3"/>
  <c r="CE595" i="3"/>
  <c r="BA595" i="3"/>
  <c r="BB594" i="3" s="1"/>
  <c r="BG595" i="3"/>
  <c r="AO595" i="3"/>
  <c r="AP594" i="3" s="1"/>
  <c r="BY595" i="3"/>
  <c r="BS595" i="3"/>
  <c r="AI595" i="3"/>
  <c r="AJ594" i="3" s="1"/>
  <c r="U595" i="3"/>
  <c r="X594" i="3" s="1"/>
  <c r="S270" i="3"/>
  <c r="T270" i="3"/>
  <c r="CG594" i="3"/>
  <c r="CH594" i="3"/>
  <c r="BV270" i="3"/>
  <c r="BU270" i="3"/>
  <c r="CA594" i="3"/>
  <c r="CB594" i="3"/>
  <c r="BU594" i="3"/>
  <c r="BV594" i="3"/>
  <c r="AL270" i="3"/>
  <c r="AK270" i="3"/>
  <c r="BD270" i="3"/>
  <c r="BC270" i="3"/>
  <c r="AR270" i="3"/>
  <c r="AQ270" i="3"/>
  <c r="W595" i="3"/>
  <c r="AA595" i="3"/>
  <c r="AD594" i="3" s="1"/>
  <c r="BJ871" i="3"/>
  <c r="BI871" i="3"/>
  <c r="CA871" i="3"/>
  <c r="CB871" i="3"/>
  <c r="AC872" i="3"/>
  <c r="U872" i="3"/>
  <c r="X871" i="3" s="1"/>
  <c r="AU872" i="3"/>
  <c r="AV871" i="3" s="1"/>
  <c r="BG872" i="3"/>
  <c r="BY872" i="3"/>
  <c r="R871" i="3"/>
  <c r="BS872" i="3"/>
  <c r="BT871" i="3" s="1"/>
  <c r="BM872" i="3"/>
  <c r="BN871" i="3" s="1"/>
  <c r="AO872" i="3"/>
  <c r="AP871" i="3" s="1"/>
  <c r="BA872" i="3"/>
  <c r="BB871" i="3" s="1"/>
  <c r="CE872" i="3"/>
  <c r="AI872" i="3"/>
  <c r="AJ871" i="3" s="1"/>
  <c r="AA872" i="3"/>
  <c r="AD871" i="3" s="1"/>
  <c r="W872" i="3"/>
  <c r="CH871" i="3"/>
  <c r="CG871" i="3"/>
  <c r="AE386" i="3"/>
  <c r="AF386" i="3"/>
  <c r="Z386" i="3"/>
  <c r="S386" i="3"/>
  <c r="AC2650" i="3" l="1"/>
  <c r="U2650" i="3"/>
  <c r="X2649" i="3" s="1"/>
  <c r="CE2650" i="3"/>
  <c r="Q2652" i="3"/>
  <c r="AM2650" i="3" s="1"/>
  <c r="AP2649" i="3" s="1"/>
  <c r="Q2659" i="3"/>
  <c r="Q2653" i="3"/>
  <c r="Q2658" i="3"/>
  <c r="Q2655" i="3"/>
  <c r="Q2654" i="3"/>
  <c r="Q2657" i="3"/>
  <c r="Q2650" i="3"/>
  <c r="Q2656" i="3"/>
  <c r="Q2533" i="3"/>
  <c r="CE2534" i="3" s="1"/>
  <c r="Q2538" i="3"/>
  <c r="AY2534" i="3" s="1"/>
  <c r="BB2533" i="3" s="1"/>
  <c r="BC2533" i="3" s="1"/>
  <c r="Q2537" i="3"/>
  <c r="AS2534" i="3" s="1"/>
  <c r="AV2533" i="3" s="1"/>
  <c r="AW2533" i="3" s="1"/>
  <c r="Q2541" i="3"/>
  <c r="BQ2534" i="3" s="1"/>
  <c r="BT2533" i="3" s="1"/>
  <c r="BV2533" i="3" s="1"/>
  <c r="AX1333" i="3"/>
  <c r="AW1333" i="3"/>
  <c r="AR294" i="3"/>
  <c r="Q2540" i="3"/>
  <c r="BK2534" i="3" s="1"/>
  <c r="BN2533" i="3" s="1"/>
  <c r="BP2533" i="3" s="1"/>
  <c r="Q2539" i="3"/>
  <c r="BE2534" i="3" s="1"/>
  <c r="BH2533" i="3" s="1"/>
  <c r="BJ2533" i="3" s="1"/>
  <c r="AU2442" i="3"/>
  <c r="Q2536" i="3"/>
  <c r="AM2534" i="3" s="1"/>
  <c r="AP2533" i="3" s="1"/>
  <c r="AR2533" i="3" s="1"/>
  <c r="Q2535" i="3"/>
  <c r="AG2534" i="3" s="1"/>
  <c r="AJ2533" i="3" s="1"/>
  <c r="AK2533" i="3" s="1"/>
  <c r="Q2542" i="3"/>
  <c r="BW2534" i="3" s="1"/>
  <c r="BZ2533" i="3" s="1"/>
  <c r="CA2533" i="3" s="1"/>
  <c r="Q2534" i="3"/>
  <c r="Q2543" i="3"/>
  <c r="CC2534" i="3" s="1"/>
  <c r="CF2533" i="3" s="1"/>
  <c r="CG2533" i="3" s="1"/>
  <c r="CB2533" i="3"/>
  <c r="B697" i="3"/>
  <c r="AA2465" i="3"/>
  <c r="AD2464" i="3" s="1"/>
  <c r="W2465" i="3"/>
  <c r="CH2464" i="3"/>
  <c r="CG2464" i="3"/>
  <c r="BO2464" i="3"/>
  <c r="BP2464" i="3"/>
  <c r="P342" i="3"/>
  <c r="P350" i="3"/>
  <c r="P349" i="3"/>
  <c r="P348" i="3"/>
  <c r="P343" i="3"/>
  <c r="P347" i="3"/>
  <c r="P344" i="3"/>
  <c r="P340" i="3"/>
  <c r="P341" i="3"/>
  <c r="P345" i="3"/>
  <c r="P346" i="3"/>
  <c r="BD2464" i="3"/>
  <c r="BC2464" i="3"/>
  <c r="BI2464" i="3"/>
  <c r="BJ2464" i="3"/>
  <c r="AW2464" i="3"/>
  <c r="AX2464" i="3"/>
  <c r="BD2533" i="3"/>
  <c r="AX2533" i="3"/>
  <c r="BS2534" i="3"/>
  <c r="AU2534" i="3"/>
  <c r="AC2534" i="3"/>
  <c r="AQ2464" i="3"/>
  <c r="AR2464" i="3"/>
  <c r="AK2464" i="3"/>
  <c r="AL2464" i="3"/>
  <c r="AO2465" i="3"/>
  <c r="BA2465" i="3"/>
  <c r="R2464" i="3"/>
  <c r="U2465" i="3"/>
  <c r="X2464" i="3" s="1"/>
  <c r="BG2465" i="3"/>
  <c r="AC2465" i="3"/>
  <c r="CE2465" i="3"/>
  <c r="BS2465" i="3"/>
  <c r="BM2465" i="3"/>
  <c r="AU2465" i="3"/>
  <c r="BY2465" i="3"/>
  <c r="AI2465" i="3"/>
  <c r="BO2533" i="3"/>
  <c r="BI2533" i="3"/>
  <c r="BV2464" i="3"/>
  <c r="BU2464" i="3"/>
  <c r="CA2464" i="3"/>
  <c r="CB2464" i="3"/>
  <c r="AW1933" i="3"/>
  <c r="AX1933" i="3"/>
  <c r="CB1933" i="3"/>
  <c r="CA1933" i="3"/>
  <c r="AA1934" i="3"/>
  <c r="AD1933" i="3" s="1"/>
  <c r="W1934" i="3"/>
  <c r="P455" i="3" a="1"/>
  <c r="AI1934" i="3"/>
  <c r="U1934" i="3"/>
  <c r="X1933" i="3" s="1"/>
  <c r="BY1934" i="3"/>
  <c r="BA1934" i="3"/>
  <c r="AO1934" i="3"/>
  <c r="AC1934" i="3"/>
  <c r="BS1934" i="3"/>
  <c r="BG1934" i="3"/>
  <c r="BH1933" i="3" s="1"/>
  <c r="AU1934" i="3"/>
  <c r="BM1934" i="3"/>
  <c r="BN1933" i="3" s="1"/>
  <c r="CE1934" i="3"/>
  <c r="R1933" i="3"/>
  <c r="AL1933" i="3"/>
  <c r="AK1933" i="3"/>
  <c r="BC1933" i="3"/>
  <c r="BD1933" i="3"/>
  <c r="Z2649" i="3"/>
  <c r="Z2578" i="3" s="1"/>
  <c r="Y2649" i="3"/>
  <c r="Y2578" i="3" s="1"/>
  <c r="BU1933" i="3"/>
  <c r="BV1933" i="3"/>
  <c r="CG1933" i="3"/>
  <c r="CH1933" i="3"/>
  <c r="AQ1933" i="3"/>
  <c r="AR1933" i="3"/>
  <c r="Z40" i="3"/>
  <c r="AE2556" i="3"/>
  <c r="CA294" i="3"/>
  <c r="BD294" i="3"/>
  <c r="BU294" i="3"/>
  <c r="BI294" i="3"/>
  <c r="H325" i="3"/>
  <c r="BO294" i="3"/>
  <c r="AE40" i="3"/>
  <c r="AE2233" i="3"/>
  <c r="CH294" i="3"/>
  <c r="BG295" i="3"/>
  <c r="H326" i="3"/>
  <c r="BS295" i="3"/>
  <c r="AL2070" i="3"/>
  <c r="BY295" i="3"/>
  <c r="BA295" i="3"/>
  <c r="AU295" i="3"/>
  <c r="AI295" i="3"/>
  <c r="AJ294" i="3" s="1"/>
  <c r="AL294" i="3" s="1"/>
  <c r="Y2556" i="3"/>
  <c r="R294" i="3"/>
  <c r="S294" i="3" s="1"/>
  <c r="CE295" i="3"/>
  <c r="AO295" i="3"/>
  <c r="AA295" i="3"/>
  <c r="AK2070" i="3"/>
  <c r="BD1771" i="3"/>
  <c r="W295" i="3"/>
  <c r="X294" i="3" s="1"/>
  <c r="Z294" i="3" s="1"/>
  <c r="AC295" i="3"/>
  <c r="BM295" i="3"/>
  <c r="M327" i="3"/>
  <c r="G326" i="3"/>
  <c r="E326" i="3"/>
  <c r="CB1587" i="3"/>
  <c r="CA1587" i="3"/>
  <c r="AR1587" i="3"/>
  <c r="AQ1587" i="3"/>
  <c r="CH1587" i="3"/>
  <c r="CG1587" i="3"/>
  <c r="W1588" i="3"/>
  <c r="AA1588" i="3"/>
  <c r="AD1587" i="3" s="1"/>
  <c r="BP1587" i="3"/>
  <c r="BO1587" i="3"/>
  <c r="BV1587" i="3"/>
  <c r="BU1587" i="3"/>
  <c r="BC1587" i="3"/>
  <c r="BD1587" i="3"/>
  <c r="BM1588" i="3"/>
  <c r="R1587" i="3"/>
  <c r="BG1588" i="3"/>
  <c r="BH1587" i="3" s="1"/>
  <c r="BS1588" i="3"/>
  <c r="AO1588" i="3"/>
  <c r="AU1588" i="3"/>
  <c r="AV1587" i="3" s="1"/>
  <c r="CE1588" i="3"/>
  <c r="BY1588" i="3"/>
  <c r="U1588" i="3"/>
  <c r="X1587" i="3" s="1"/>
  <c r="BA1588" i="3"/>
  <c r="AC1588" i="3"/>
  <c r="AI1588" i="3"/>
  <c r="AJ1587" i="3" s="1"/>
  <c r="CB1771" i="3"/>
  <c r="CA1771" i="3"/>
  <c r="BP2441" i="3"/>
  <c r="AX1864" i="3"/>
  <c r="AW2441" i="3"/>
  <c r="J326" i="3"/>
  <c r="D326" i="3"/>
  <c r="K327" i="3"/>
  <c r="O326" i="3"/>
  <c r="O318" i="3"/>
  <c r="H318" i="3"/>
  <c r="O325" i="3"/>
  <c r="AL1864" i="3"/>
  <c r="AR2441" i="3"/>
  <c r="L318" i="3"/>
  <c r="BP1864" i="3"/>
  <c r="M325" i="3"/>
  <c r="AI2442" i="3"/>
  <c r="BC1864" i="3"/>
  <c r="S1771" i="3"/>
  <c r="S2556" i="3"/>
  <c r="AR1771" i="3"/>
  <c r="AQ1771" i="3"/>
  <c r="Y1771" i="3"/>
  <c r="Z1771" i="3"/>
  <c r="BV1771" i="3"/>
  <c r="BU1771" i="3"/>
  <c r="BO1771" i="3"/>
  <c r="BP1771" i="3"/>
  <c r="BV1864" i="3"/>
  <c r="AX1771" i="3"/>
  <c r="AW1771" i="3"/>
  <c r="AQ2070" i="3"/>
  <c r="CB2070" i="3"/>
  <c r="M318" i="3"/>
  <c r="G318" i="3"/>
  <c r="D318" i="3"/>
  <c r="L325" i="3"/>
  <c r="D325" i="3"/>
  <c r="BU2233" i="3"/>
  <c r="BU2070" i="3" s="1"/>
  <c r="K318" i="3"/>
  <c r="I318" i="3"/>
  <c r="N318" i="3"/>
  <c r="G325" i="3"/>
  <c r="F325" i="3"/>
  <c r="K325" i="3"/>
  <c r="AA1865" i="3"/>
  <c r="AD1864" i="3" s="1"/>
  <c r="W1865" i="3"/>
  <c r="BJ2070" i="3"/>
  <c r="E318" i="3"/>
  <c r="F318" i="3"/>
  <c r="N325" i="3"/>
  <c r="I325" i="3"/>
  <c r="J325" i="3"/>
  <c r="CB1864" i="3"/>
  <c r="CA1864" i="3"/>
  <c r="CG1864" i="3"/>
  <c r="CH1864" i="3"/>
  <c r="B1206" i="3"/>
  <c r="BJ1864" i="3"/>
  <c r="BI1864" i="3"/>
  <c r="G1959" i="3"/>
  <c r="BC2441" i="3"/>
  <c r="K326" i="3"/>
  <c r="I326" i="3"/>
  <c r="F326" i="3"/>
  <c r="AL2441" i="3"/>
  <c r="J327" i="3"/>
  <c r="N326" i="3"/>
  <c r="L326" i="3"/>
  <c r="BG1865" i="3"/>
  <c r="AU1865" i="3"/>
  <c r="U1865" i="3"/>
  <c r="X1864" i="3" s="1"/>
  <c r="AO1865" i="3"/>
  <c r="BS1865" i="3"/>
  <c r="BY1865" i="3"/>
  <c r="CE1865" i="3"/>
  <c r="AC1865" i="3"/>
  <c r="BM1865" i="3"/>
  <c r="R1864" i="3"/>
  <c r="BA1865" i="3"/>
  <c r="AI1865" i="3"/>
  <c r="AQ1864" i="3"/>
  <c r="AR1864" i="3"/>
  <c r="BO2326" i="3"/>
  <c r="BP2326" i="3"/>
  <c r="AL2326" i="3"/>
  <c r="AK2326" i="3"/>
  <c r="BJ2326" i="3"/>
  <c r="BI2326" i="3"/>
  <c r="BC2070" i="3"/>
  <c r="AR2326" i="3"/>
  <c r="AQ2326" i="3"/>
  <c r="CE2327" i="3"/>
  <c r="AC2327" i="3"/>
  <c r="AU2327" i="3"/>
  <c r="R2326" i="3"/>
  <c r="AO2327" i="3"/>
  <c r="U2327" i="3"/>
  <c r="X2326" i="3" s="1"/>
  <c r="BY2327" i="3"/>
  <c r="BA2327" i="3"/>
  <c r="BM2327" i="3"/>
  <c r="BS2327" i="3"/>
  <c r="AI2327" i="3"/>
  <c r="BG2327" i="3"/>
  <c r="BV2326" i="3"/>
  <c r="BU2326" i="3"/>
  <c r="B1718" i="3"/>
  <c r="B1719" i="3" s="1"/>
  <c r="B1720" i="3" s="1"/>
  <c r="AA2327" i="3"/>
  <c r="AD2326" i="3" s="1"/>
  <c r="W2327" i="3"/>
  <c r="CH2326" i="3"/>
  <c r="CG2326" i="3"/>
  <c r="AX2326" i="3"/>
  <c r="AW2326" i="3"/>
  <c r="BC2326" i="3"/>
  <c r="BD2326" i="3"/>
  <c r="CB2326" i="3"/>
  <c r="CA2326" i="3"/>
  <c r="BO2070" i="3"/>
  <c r="O327" i="3"/>
  <c r="N327" i="3"/>
  <c r="G327" i="3"/>
  <c r="AQ1240" i="3"/>
  <c r="CH2441" i="3"/>
  <c r="I327" i="3"/>
  <c r="F327" i="3"/>
  <c r="E327" i="3"/>
  <c r="AC2442" i="3"/>
  <c r="L327" i="3"/>
  <c r="D327" i="3"/>
  <c r="K323" i="3"/>
  <c r="M323" i="3"/>
  <c r="I323" i="3"/>
  <c r="E323" i="3"/>
  <c r="N323" i="3"/>
  <c r="H323" i="3"/>
  <c r="D323" i="3"/>
  <c r="L323" i="3"/>
  <c r="O323" i="3"/>
  <c r="G323" i="3"/>
  <c r="F323" i="3"/>
  <c r="J323" i="3"/>
  <c r="J322" i="3"/>
  <c r="K322" i="3"/>
  <c r="F322" i="3"/>
  <c r="L322" i="3"/>
  <c r="O322" i="3"/>
  <c r="I322" i="3"/>
  <c r="D322" i="3"/>
  <c r="H322" i="3"/>
  <c r="E322" i="3"/>
  <c r="G322" i="3"/>
  <c r="N322" i="3"/>
  <c r="M322" i="3"/>
  <c r="D319" i="3"/>
  <c r="J319" i="3"/>
  <c r="E319" i="3"/>
  <c r="O319" i="3"/>
  <c r="K319" i="3"/>
  <c r="L319" i="3"/>
  <c r="N319" i="3"/>
  <c r="H319" i="3"/>
  <c r="G319" i="3"/>
  <c r="M319" i="3"/>
  <c r="F319" i="3"/>
  <c r="I319" i="3"/>
  <c r="S2072" i="3"/>
  <c r="T2072" i="3"/>
  <c r="T2070" i="3" s="1"/>
  <c r="W2442" i="3"/>
  <c r="D320" i="3"/>
  <c r="J320" i="3"/>
  <c r="M320" i="3"/>
  <c r="E320" i="3"/>
  <c r="H320" i="3"/>
  <c r="L320" i="3"/>
  <c r="N320" i="3"/>
  <c r="K320" i="3"/>
  <c r="O320" i="3"/>
  <c r="I320" i="3"/>
  <c r="G320" i="3"/>
  <c r="F320" i="3"/>
  <c r="AX1240" i="3"/>
  <c r="AF1240" i="3"/>
  <c r="AX2070" i="3"/>
  <c r="CG2070" i="3"/>
  <c r="D321" i="3"/>
  <c r="I321" i="3"/>
  <c r="M321" i="3"/>
  <c r="F321" i="3"/>
  <c r="H321" i="3"/>
  <c r="G321" i="3"/>
  <c r="O321" i="3"/>
  <c r="J321" i="3"/>
  <c r="L321" i="3"/>
  <c r="K321" i="3"/>
  <c r="E321" i="3"/>
  <c r="N321" i="3"/>
  <c r="N317" i="3"/>
  <c r="F317" i="3"/>
  <c r="K317" i="3"/>
  <c r="I317" i="3"/>
  <c r="G317" i="3"/>
  <c r="J317" i="3"/>
  <c r="L317" i="3"/>
  <c r="O317" i="3"/>
  <c r="D317" i="3"/>
  <c r="E317" i="3"/>
  <c r="M317" i="3"/>
  <c r="H317" i="3"/>
  <c r="AF2072" i="3"/>
  <c r="AF2070" i="3" s="1"/>
  <c r="AE2072" i="3"/>
  <c r="AE2070" i="3" s="1"/>
  <c r="Z2072" i="3"/>
  <c r="Z2070" i="3" s="1"/>
  <c r="Y2072" i="3"/>
  <c r="Y2070" i="3" s="1"/>
  <c r="BI2441" i="3"/>
  <c r="O1957" i="3"/>
  <c r="BI2233" i="3"/>
  <c r="BI2070" i="3" s="1"/>
  <c r="BG2442" i="3"/>
  <c r="BY2442" i="3"/>
  <c r="BZ2441" i="3" s="1"/>
  <c r="CA2441" i="3" s="1"/>
  <c r="BS2442" i="3"/>
  <c r="BT2441" i="3" s="1"/>
  <c r="BM2442" i="3"/>
  <c r="CE2442" i="3"/>
  <c r="BA2442" i="3"/>
  <c r="U2442" i="3"/>
  <c r="X2441" i="3" s="1"/>
  <c r="Z2441" i="3" s="1"/>
  <c r="AW2233" i="3"/>
  <c r="AW2070" i="3" s="1"/>
  <c r="E1963" i="3"/>
  <c r="O1960" i="3"/>
  <c r="L1960" i="3"/>
  <c r="J1960" i="3"/>
  <c r="H1966" i="3"/>
  <c r="CB2510" i="3"/>
  <c r="BD2233" i="3"/>
  <c r="BD2070" i="3" s="1"/>
  <c r="BC1240" i="3"/>
  <c r="S2233" i="3"/>
  <c r="F1959" i="3"/>
  <c r="M1958" i="3"/>
  <c r="BJ1240" i="3"/>
  <c r="BP1240" i="3"/>
  <c r="CB1240" i="3"/>
  <c r="AU1472" i="3"/>
  <c r="F1966" i="3"/>
  <c r="H1962" i="3"/>
  <c r="R2441" i="3"/>
  <c r="T2441" i="3" s="1"/>
  <c r="AO2442" i="3"/>
  <c r="M1957" i="3"/>
  <c r="E1957" i="3"/>
  <c r="K1966" i="3"/>
  <c r="S1240" i="3"/>
  <c r="O1958" i="3"/>
  <c r="D1958" i="3"/>
  <c r="CA1471" i="3"/>
  <c r="AL1240" i="3"/>
  <c r="M1959" i="3"/>
  <c r="Z1240" i="3"/>
  <c r="AQ1333" i="3"/>
  <c r="AR1333" i="3"/>
  <c r="BD1333" i="3"/>
  <c r="BC1333" i="3"/>
  <c r="T1333" i="3"/>
  <c r="S1333" i="3"/>
  <c r="BJ1333" i="3"/>
  <c r="BI1333" i="3"/>
  <c r="Y1333" i="3"/>
  <c r="Z1333" i="3"/>
  <c r="AE1333" i="3"/>
  <c r="AF1333" i="3"/>
  <c r="AK1333" i="3"/>
  <c r="AL1333" i="3"/>
  <c r="H1960" i="3"/>
  <c r="M1960" i="3"/>
  <c r="D1960" i="3"/>
  <c r="I1959" i="3"/>
  <c r="CH1471" i="3"/>
  <c r="Y2510" i="3"/>
  <c r="S2510" i="3"/>
  <c r="D1959" i="3"/>
  <c r="F1960" i="3"/>
  <c r="E1960" i="3"/>
  <c r="G1960" i="3"/>
  <c r="M1961" i="3"/>
  <c r="J1959" i="3"/>
  <c r="K1960" i="3"/>
  <c r="I1960" i="3"/>
  <c r="L1956" i="3"/>
  <c r="AV1471" i="3"/>
  <c r="AX1471" i="3" s="1"/>
  <c r="AF2441" i="3"/>
  <c r="AE2441" i="3"/>
  <c r="I1965" i="3"/>
  <c r="G1956" i="3"/>
  <c r="BJ1471" i="3"/>
  <c r="BJ2510" i="3"/>
  <c r="P1312" i="3"/>
  <c r="P1314" i="3"/>
  <c r="P1313" i="3"/>
  <c r="P1311" i="3"/>
  <c r="P1320" i="3"/>
  <c r="P1316" i="3"/>
  <c r="P1310" i="3"/>
  <c r="P1315" i="3"/>
  <c r="P1319" i="3"/>
  <c r="P1318" i="3"/>
  <c r="P1317" i="3"/>
  <c r="D1965" i="3"/>
  <c r="O1961" i="3"/>
  <c r="G1962" i="3"/>
  <c r="Z1887" i="3"/>
  <c r="L1965" i="3"/>
  <c r="K1961" i="3"/>
  <c r="I1956" i="3"/>
  <c r="N1962" i="3"/>
  <c r="BY1472" i="3"/>
  <c r="BO1471" i="3"/>
  <c r="BC2510" i="3"/>
  <c r="BS1472" i="3"/>
  <c r="AC1472" i="3"/>
  <c r="CE1472" i="3"/>
  <c r="BV1471" i="3"/>
  <c r="BV2070" i="3"/>
  <c r="W1472" i="3"/>
  <c r="J1965" i="3"/>
  <c r="O1965" i="3"/>
  <c r="K1965" i="3"/>
  <c r="J1961" i="3"/>
  <c r="G1961" i="3"/>
  <c r="L1961" i="3"/>
  <c r="D1956" i="3"/>
  <c r="K1956" i="3"/>
  <c r="F1956" i="3"/>
  <c r="M1962" i="3"/>
  <c r="O1962" i="3"/>
  <c r="L1962" i="3"/>
  <c r="H1965" i="3"/>
  <c r="N1965" i="3"/>
  <c r="G1965" i="3"/>
  <c r="F1961" i="3"/>
  <c r="N1961" i="3"/>
  <c r="I1961" i="3"/>
  <c r="H1956" i="3"/>
  <c r="O1956" i="3"/>
  <c r="J1956" i="3"/>
  <c r="F1962" i="3"/>
  <c r="E1962" i="3"/>
  <c r="I1962" i="3"/>
  <c r="BG1472" i="3"/>
  <c r="E1965" i="3"/>
  <c r="F1965" i="3"/>
  <c r="H1961" i="3"/>
  <c r="E1961" i="3"/>
  <c r="M1956" i="3"/>
  <c r="E1956" i="3"/>
  <c r="D1962" i="3"/>
  <c r="J1962" i="3"/>
  <c r="D1966" i="3"/>
  <c r="I1966" i="3"/>
  <c r="F1958" i="3"/>
  <c r="N1958" i="3"/>
  <c r="J1958" i="3"/>
  <c r="I1957" i="3"/>
  <c r="D1957" i="3"/>
  <c r="J1957" i="3"/>
  <c r="O1966" i="3"/>
  <c r="N1966" i="3"/>
  <c r="E1966" i="3"/>
  <c r="E1958" i="3"/>
  <c r="H1958" i="3"/>
  <c r="K1958" i="3"/>
  <c r="H1957" i="3"/>
  <c r="L1957" i="3"/>
  <c r="N1957" i="3"/>
  <c r="L1966" i="3"/>
  <c r="G1958" i="3"/>
  <c r="I1958" i="3"/>
  <c r="F1957" i="3"/>
  <c r="K1957" i="3"/>
  <c r="G1966" i="3"/>
  <c r="J1966" i="3"/>
  <c r="BM1472" i="3"/>
  <c r="L1963" i="3"/>
  <c r="K1964" i="3"/>
  <c r="R1471" i="3"/>
  <c r="T1471" i="3" s="1"/>
  <c r="BA1472" i="3"/>
  <c r="BB1471" i="3" s="1"/>
  <c r="U1472" i="3"/>
  <c r="X1471" i="3" s="1"/>
  <c r="Y1471" i="3" s="1"/>
  <c r="M1964" i="3"/>
  <c r="I1963" i="3"/>
  <c r="E1964" i="3"/>
  <c r="AI1472" i="3"/>
  <c r="AJ1471" i="3" s="1"/>
  <c r="AL1471" i="3" s="1"/>
  <c r="AO1472" i="3"/>
  <c r="AP1471" i="3" s="1"/>
  <c r="AQ1471" i="3" s="1"/>
  <c r="B194" i="3"/>
  <c r="AF1471" i="3"/>
  <c r="AE1471" i="3"/>
  <c r="J1963" i="3"/>
  <c r="K1963" i="3"/>
  <c r="F1964" i="3"/>
  <c r="G1964" i="3"/>
  <c r="H1964" i="3"/>
  <c r="Z270" i="3"/>
  <c r="M1963" i="3"/>
  <c r="O1963" i="3"/>
  <c r="G1963" i="3"/>
  <c r="N1963" i="3"/>
  <c r="O1964" i="3"/>
  <c r="L1964" i="3"/>
  <c r="I1964" i="3"/>
  <c r="D1963" i="3"/>
  <c r="H1963" i="3"/>
  <c r="N1964" i="3"/>
  <c r="D1964" i="3"/>
  <c r="O1959" i="3"/>
  <c r="N1959" i="3"/>
  <c r="K1959" i="3"/>
  <c r="AE1887" i="3"/>
  <c r="H1959" i="3"/>
  <c r="E1959" i="3"/>
  <c r="Q86" i="3"/>
  <c r="Q91" i="3"/>
  <c r="AY87" i="3" s="1"/>
  <c r="Q96" i="3"/>
  <c r="CC87" i="3" s="1"/>
  <c r="CF86" i="3" s="1"/>
  <c r="CG86" i="3" s="1"/>
  <c r="Q87" i="3"/>
  <c r="AA87" i="3" s="1"/>
  <c r="AD86" i="3" s="1"/>
  <c r="BO1887" i="3"/>
  <c r="Q92" i="3"/>
  <c r="BE87" i="3" s="1"/>
  <c r="BH86" i="3" s="1"/>
  <c r="BJ86" i="3" s="1"/>
  <c r="Q88" i="3"/>
  <c r="AG87" i="3" s="1"/>
  <c r="Q95" i="3"/>
  <c r="BW87" i="3" s="1"/>
  <c r="BZ86" i="3" s="1"/>
  <c r="CA86" i="3" s="1"/>
  <c r="Q89" i="3"/>
  <c r="AM87" i="3" s="1"/>
  <c r="Q94" i="3"/>
  <c r="BQ87" i="3" s="1"/>
  <c r="BT86" i="3" s="1"/>
  <c r="BU86" i="3" s="1"/>
  <c r="Q90" i="3"/>
  <c r="AS87" i="3" s="1"/>
  <c r="Q93" i="3"/>
  <c r="BK87" i="3" s="1"/>
  <c r="AF270" i="3"/>
  <c r="S1887" i="3"/>
  <c r="P940" i="3" a="1"/>
  <c r="B1460" i="3"/>
  <c r="AL594" i="3"/>
  <c r="AK594" i="3"/>
  <c r="BP594" i="3"/>
  <c r="BO594" i="3"/>
  <c r="AE594" i="3"/>
  <c r="AF594" i="3"/>
  <c r="BD594" i="3"/>
  <c r="BC594" i="3"/>
  <c r="AX594" i="3"/>
  <c r="AW594" i="3"/>
  <c r="T594" i="3"/>
  <c r="S594" i="3"/>
  <c r="Y594" i="3"/>
  <c r="Z594" i="3"/>
  <c r="AR594" i="3"/>
  <c r="AQ594" i="3"/>
  <c r="B446" i="3"/>
  <c r="AL871" i="3"/>
  <c r="AK871" i="3"/>
  <c r="BP871" i="3"/>
  <c r="BO871" i="3"/>
  <c r="BU871" i="3"/>
  <c r="BV871" i="3"/>
  <c r="AX871" i="3"/>
  <c r="AW871" i="3"/>
  <c r="BD871" i="3"/>
  <c r="BC871" i="3"/>
  <c r="T871" i="3"/>
  <c r="S871" i="3"/>
  <c r="Y871" i="3"/>
  <c r="Z871" i="3"/>
  <c r="AF871" i="3"/>
  <c r="AE871" i="3"/>
  <c r="AR871" i="3"/>
  <c r="AQ871" i="3"/>
  <c r="BA2534" i="3" l="1"/>
  <c r="U2534" i="3"/>
  <c r="X2533" i="3" s="1"/>
  <c r="BI2324" i="3"/>
  <c r="CH2533" i="3"/>
  <c r="AI2534" i="3"/>
  <c r="CC2650" i="3"/>
  <c r="CF2649" i="3" s="1"/>
  <c r="BY2650" i="3"/>
  <c r="AI2650" i="3"/>
  <c r="T294" i="3"/>
  <c r="BD2324" i="3"/>
  <c r="CG2324" i="3"/>
  <c r="AO2534" i="3"/>
  <c r="BY2534" i="3"/>
  <c r="AQ2533" i="3"/>
  <c r="AQ2324" i="3" s="1"/>
  <c r="AR2649" i="3"/>
  <c r="AR2578" i="3" s="1"/>
  <c r="AQ2649" i="3"/>
  <c r="AQ2578" i="3" s="1"/>
  <c r="AS2650" i="3"/>
  <c r="AV2649" i="3" s="1"/>
  <c r="AO2650" i="3"/>
  <c r="BQ2650" i="3"/>
  <c r="BT2649" i="3" s="1"/>
  <c r="BM2650" i="3"/>
  <c r="AY2650" i="3"/>
  <c r="BB2649" i="3" s="1"/>
  <c r="AU2650" i="3"/>
  <c r="BK2650" i="3"/>
  <c r="BN2649" i="3" s="1"/>
  <c r="BG2650" i="3"/>
  <c r="BE2650" i="3"/>
  <c r="BH2649" i="3" s="1"/>
  <c r="BA2650" i="3"/>
  <c r="AA2650" i="3"/>
  <c r="AD2649" i="3" s="1"/>
  <c r="R2649" i="3"/>
  <c r="W2650" i="3"/>
  <c r="BW2650" i="3"/>
  <c r="BZ2649" i="3" s="1"/>
  <c r="BS2650" i="3"/>
  <c r="AX2324" i="3"/>
  <c r="BO2324" i="3"/>
  <c r="BM2534" i="3"/>
  <c r="BG2534" i="3"/>
  <c r="BU2533" i="3"/>
  <c r="AL2533" i="3"/>
  <c r="R2533" i="3"/>
  <c r="T2533" i="3" s="1"/>
  <c r="BJ1933" i="3"/>
  <c r="BI1933" i="3"/>
  <c r="BU2441" i="3"/>
  <c r="BV2441" i="3"/>
  <c r="AA2534" i="3"/>
  <c r="AD2533" i="3" s="1"/>
  <c r="AF2533" i="3" s="1"/>
  <c r="W2534" i="3"/>
  <c r="AK2324" i="3"/>
  <c r="Y2464" i="3"/>
  <c r="Z2464" i="3"/>
  <c r="S2464" i="3"/>
  <c r="T2464" i="3"/>
  <c r="Q347" i="3"/>
  <c r="BK341" i="3" s="1"/>
  <c r="Q343" i="3"/>
  <c r="AM341" i="3" s="1"/>
  <c r="Q342" i="3"/>
  <c r="AG341" i="3" s="1"/>
  <c r="AJ340" i="3" s="1"/>
  <c r="Q345" i="3"/>
  <c r="AY341" i="3" s="1"/>
  <c r="BB340" i="3" s="1"/>
  <c r="Q340" i="3"/>
  <c r="Q348" i="3"/>
  <c r="BQ341" i="3" s="1"/>
  <c r="BT340" i="3" s="1"/>
  <c r="Q349" i="3"/>
  <c r="BW341" i="3" s="1"/>
  <c r="BZ340" i="3" s="1"/>
  <c r="Q344" i="3"/>
  <c r="AS341" i="3" s="1"/>
  <c r="Q341" i="3"/>
  <c r="Q346" i="3"/>
  <c r="BE341" i="3" s="1"/>
  <c r="Q350" i="3"/>
  <c r="CC341" i="3" s="1"/>
  <c r="CF340" i="3" s="1"/>
  <c r="B698" i="3"/>
  <c r="B699" i="3" s="1"/>
  <c r="B700" i="3" s="1"/>
  <c r="B701" i="3" s="1"/>
  <c r="Z2533" i="3"/>
  <c r="Y2533" i="3"/>
  <c r="AF2464" i="3"/>
  <c r="AE2464" i="3"/>
  <c r="S2533" i="3"/>
  <c r="S1933" i="3"/>
  <c r="T1933" i="3"/>
  <c r="P461" i="3"/>
  <c r="P459" i="3"/>
  <c r="P457" i="3"/>
  <c r="P465" i="3"/>
  <c r="P458" i="3"/>
  <c r="P463" i="3"/>
  <c r="P456" i="3"/>
  <c r="P464" i="3"/>
  <c r="P462" i="3"/>
  <c r="P460" i="3"/>
  <c r="P455" i="3"/>
  <c r="BP1933" i="3"/>
  <c r="BO1933" i="3"/>
  <c r="Y1933" i="3"/>
  <c r="Z1933" i="3"/>
  <c r="AE1933" i="3"/>
  <c r="AF1933" i="3"/>
  <c r="BJ2324" i="3"/>
  <c r="AR2324" i="3"/>
  <c r="AK294" i="3"/>
  <c r="AD294" i="3"/>
  <c r="Y294" i="3"/>
  <c r="AW2324" i="3"/>
  <c r="BP2324" i="3"/>
  <c r="AL2324" i="3"/>
  <c r="B1721" i="3"/>
  <c r="B1722" i="3" s="1"/>
  <c r="AW1587" i="3"/>
  <c r="AX1587" i="3"/>
  <c r="T1587" i="3"/>
  <c r="S1587" i="3"/>
  <c r="AE1587" i="3"/>
  <c r="AF1587" i="3"/>
  <c r="Y1587" i="3"/>
  <c r="Z1587" i="3"/>
  <c r="AK1587" i="3"/>
  <c r="AL1587" i="3"/>
  <c r="CB2441" i="3"/>
  <c r="CB2324" i="3" s="1"/>
  <c r="BI1587" i="3"/>
  <c r="BJ1587" i="3"/>
  <c r="CA2324" i="3"/>
  <c r="BV2324" i="3"/>
  <c r="AE1864" i="3"/>
  <c r="AF1864" i="3"/>
  <c r="Y2441" i="3"/>
  <c r="CH2324" i="3"/>
  <c r="B1207" i="3"/>
  <c r="B1208" i="3" s="1"/>
  <c r="BC2324" i="3"/>
  <c r="S2070" i="3"/>
  <c r="R2070" i="3" s="1"/>
  <c r="Z1864" i="3"/>
  <c r="Y1864" i="3"/>
  <c r="S1864" i="3"/>
  <c r="T1864" i="3"/>
  <c r="AE2326" i="3"/>
  <c r="AF2326" i="3"/>
  <c r="Y2326" i="3"/>
  <c r="Z2326" i="3"/>
  <c r="S2326" i="3"/>
  <c r="T2326" i="3"/>
  <c r="S2441" i="3"/>
  <c r="P317" i="3" a="1"/>
  <c r="P319" i="3" s="1"/>
  <c r="AW1471" i="3"/>
  <c r="Q1318" i="3"/>
  <c r="BQ1311" i="3" s="1"/>
  <c r="BT1310" i="3" s="1"/>
  <c r="Q1319" i="3"/>
  <c r="BW1311" i="3" s="1"/>
  <c r="BZ1310" i="3" s="1"/>
  <c r="Q1317" i="3"/>
  <c r="BK1311" i="3" s="1"/>
  <c r="BN1310" i="3" s="1"/>
  <c r="Q1311" i="3"/>
  <c r="Q1310" i="3"/>
  <c r="Q1320" i="3"/>
  <c r="CC1311" i="3" s="1"/>
  <c r="CF1310" i="3" s="1"/>
  <c r="Q1312" i="3"/>
  <c r="AG1311" i="3" s="1"/>
  <c r="AJ1310" i="3" s="1"/>
  <c r="Q1315" i="3"/>
  <c r="AY1311" i="3" s="1"/>
  <c r="Q1314" i="3"/>
  <c r="AS1311" i="3" s="1"/>
  <c r="AV1310" i="3" s="1"/>
  <c r="Q1316" i="3"/>
  <c r="BE1311" i="3" s="1"/>
  <c r="BH1310" i="3" s="1"/>
  <c r="Q1313" i="3"/>
  <c r="AM1311" i="3" s="1"/>
  <c r="AP1310" i="3" s="1"/>
  <c r="AK1471" i="3"/>
  <c r="BD1471" i="3"/>
  <c r="BC1471" i="3"/>
  <c r="Z1471" i="3"/>
  <c r="S1471" i="3"/>
  <c r="AR1471" i="3"/>
  <c r="B195" i="3"/>
  <c r="CB86" i="3"/>
  <c r="BS87" i="3"/>
  <c r="AU87" i="3"/>
  <c r="CE87" i="3"/>
  <c r="W87" i="3"/>
  <c r="BY87" i="3"/>
  <c r="CH86" i="3"/>
  <c r="BA87" i="3"/>
  <c r="BB86" i="3" s="1"/>
  <c r="BD86" i="3" s="1"/>
  <c r="P1956" i="3" a="1"/>
  <c r="P1966" i="3" s="1"/>
  <c r="U87" i="3"/>
  <c r="BM87" i="3"/>
  <c r="BN86" i="3" s="1"/>
  <c r="BP86" i="3" s="1"/>
  <c r="BV86" i="3"/>
  <c r="BI86" i="3"/>
  <c r="AI87" i="3"/>
  <c r="AJ86" i="3" s="1"/>
  <c r="AK86" i="3" s="1"/>
  <c r="AO87" i="3"/>
  <c r="AV86" i="3"/>
  <c r="AX86" i="3" s="1"/>
  <c r="AC87" i="3"/>
  <c r="R86" i="3"/>
  <c r="T86" i="3" s="1"/>
  <c r="BG87" i="3"/>
  <c r="AP86" i="3"/>
  <c r="AR86" i="3" s="1"/>
  <c r="P947" i="3"/>
  <c r="P940" i="3"/>
  <c r="P948" i="3"/>
  <c r="P950" i="3"/>
  <c r="P941" i="3"/>
  <c r="P942" i="3"/>
  <c r="P949" i="3"/>
  <c r="P943" i="3"/>
  <c r="P946" i="3"/>
  <c r="P944" i="3"/>
  <c r="P945" i="3"/>
  <c r="B1461" i="3"/>
  <c r="AF86" i="3"/>
  <c r="AE86" i="3"/>
  <c r="B447" i="3"/>
  <c r="B448" i="3" s="1"/>
  <c r="CH2649" i="3" l="1"/>
  <c r="CH2578" i="3" s="1"/>
  <c r="CG2649" i="3"/>
  <c r="CG2578" i="3" s="1"/>
  <c r="T2324" i="3"/>
  <c r="BU2324" i="3"/>
  <c r="AW2649" i="3"/>
  <c r="AW2578" i="3" s="1"/>
  <c r="AX2649" i="3"/>
  <c r="AX2578" i="3" s="1"/>
  <c r="AE2533" i="3"/>
  <c r="CB2649" i="3"/>
  <c r="CB2578" i="3" s="1"/>
  <c r="CA2649" i="3"/>
  <c r="CA2578" i="3" s="1"/>
  <c r="BJ2649" i="3"/>
  <c r="BJ2578" i="3" s="1"/>
  <c r="BI2649" i="3"/>
  <c r="BI2578" i="3" s="1"/>
  <c r="BC2649" i="3"/>
  <c r="BC2578" i="3" s="1"/>
  <c r="BD2649" i="3"/>
  <c r="BD2578" i="3" s="1"/>
  <c r="T2649" i="3"/>
  <c r="T2578" i="3" s="1"/>
  <c r="R2578" i="3" s="1"/>
  <c r="S2649" i="3"/>
  <c r="S2578" i="3" s="1"/>
  <c r="AE2649" i="3"/>
  <c r="AE2578" i="3" s="1"/>
  <c r="AF2649" i="3"/>
  <c r="AF2578" i="3" s="1"/>
  <c r="BO2649" i="3"/>
  <c r="BO2578" i="3" s="1"/>
  <c r="BP2649" i="3"/>
  <c r="BP2578" i="3" s="1"/>
  <c r="BU2649" i="3"/>
  <c r="BU2578" i="3" s="1"/>
  <c r="BV2649" i="3"/>
  <c r="BV2578" i="3" s="1"/>
  <c r="BV340" i="3"/>
  <c r="BU340" i="3"/>
  <c r="AF2324" i="3"/>
  <c r="AA341" i="3"/>
  <c r="W341" i="3"/>
  <c r="U341" i="3"/>
  <c r="X340" i="3" s="1"/>
  <c r="AU341" i="3"/>
  <c r="AV340" i="3" s="1"/>
  <c r="BA341" i="3"/>
  <c r="AO341" i="3"/>
  <c r="AP340" i="3" s="1"/>
  <c r="BM341" i="3"/>
  <c r="BN340" i="3" s="1"/>
  <c r="BS341" i="3"/>
  <c r="AC341" i="3"/>
  <c r="AD340" i="3" s="1"/>
  <c r="AI341" i="3"/>
  <c r="R340" i="3"/>
  <c r="CE341" i="3"/>
  <c r="BG341" i="3"/>
  <c r="BH340" i="3" s="1"/>
  <c r="BY341" i="3"/>
  <c r="AE2324" i="3"/>
  <c r="B702" i="3"/>
  <c r="BC340" i="3"/>
  <c r="BD340" i="3"/>
  <c r="Z2324" i="3"/>
  <c r="CG340" i="3"/>
  <c r="CH340" i="3"/>
  <c r="CB340" i="3"/>
  <c r="CA340" i="3"/>
  <c r="AK340" i="3"/>
  <c r="AL340" i="3"/>
  <c r="Q461" i="3"/>
  <c r="BE456" i="3" s="1"/>
  <c r="BH455" i="3" s="1"/>
  <c r="Q462" i="3"/>
  <c r="BK456" i="3" s="1"/>
  <c r="BN455" i="3" s="1"/>
  <c r="Q455" i="3"/>
  <c r="Q463" i="3"/>
  <c r="BQ456" i="3" s="1"/>
  <c r="Q465" i="3"/>
  <c r="CC456" i="3" s="1"/>
  <c r="CF455" i="3" s="1"/>
  <c r="Q459" i="3"/>
  <c r="AS456" i="3" s="1"/>
  <c r="Q457" i="3"/>
  <c r="AG456" i="3" s="1"/>
  <c r="Q460" i="3"/>
  <c r="AY456" i="3" s="1"/>
  <c r="Q464" i="3"/>
  <c r="BW456" i="3" s="1"/>
  <c r="Q456" i="3"/>
  <c r="Q458" i="3"/>
  <c r="AM456" i="3" s="1"/>
  <c r="X86" i="3"/>
  <c r="Y86" i="3" s="1"/>
  <c r="AF294" i="3"/>
  <c r="AE294" i="3"/>
  <c r="Y2324" i="3"/>
  <c r="B1209" i="3"/>
  <c r="B1210" i="3" s="1"/>
  <c r="B1211" i="3" s="1"/>
  <c r="B1212" i="3" s="1"/>
  <c r="S2324" i="3"/>
  <c r="R2324" i="3" s="1"/>
  <c r="P317" i="3"/>
  <c r="P318" i="3"/>
  <c r="P323" i="3"/>
  <c r="P324" i="3"/>
  <c r="P326" i="3"/>
  <c r="P322" i="3"/>
  <c r="P327" i="3"/>
  <c r="P325" i="3"/>
  <c r="P320" i="3"/>
  <c r="P321" i="3"/>
  <c r="B1723" i="3"/>
  <c r="C1706" i="3" s="1"/>
  <c r="BC86" i="3"/>
  <c r="P1960" i="3"/>
  <c r="P1957" i="3"/>
  <c r="P1963" i="3"/>
  <c r="P1964" i="3"/>
  <c r="BO86" i="3"/>
  <c r="P1961" i="3"/>
  <c r="P1959" i="3"/>
  <c r="P1956" i="3"/>
  <c r="P1962" i="3"/>
  <c r="AQ1310" i="3"/>
  <c r="AR1310" i="3"/>
  <c r="AK1310" i="3"/>
  <c r="AL1310" i="3"/>
  <c r="BO1310" i="3"/>
  <c r="BP1310" i="3"/>
  <c r="BI1310" i="3"/>
  <c r="BJ1310" i="3"/>
  <c r="CH1310" i="3"/>
  <c r="CG1310" i="3"/>
  <c r="CA1310" i="3"/>
  <c r="CB1310" i="3"/>
  <c r="AW1310" i="3"/>
  <c r="AX1310" i="3"/>
  <c r="AC1311" i="3"/>
  <c r="CE1311" i="3"/>
  <c r="AO1311" i="3"/>
  <c r="AI1311" i="3"/>
  <c r="BA1311" i="3"/>
  <c r="BB1310" i="3" s="1"/>
  <c r="BM1311" i="3"/>
  <c r="U1311" i="3"/>
  <c r="X1310" i="3" s="1"/>
  <c r="R1310" i="3"/>
  <c r="BG1311" i="3"/>
  <c r="BY1311" i="3"/>
  <c r="BS1311" i="3"/>
  <c r="AU1311" i="3"/>
  <c r="BU1310" i="3"/>
  <c r="BV1310" i="3"/>
  <c r="W1311" i="3"/>
  <c r="AA1311" i="3"/>
  <c r="AD1310" i="3" s="1"/>
  <c r="P1958" i="3"/>
  <c r="P1965" i="3"/>
  <c r="B196" i="3"/>
  <c r="B197" i="3" s="1"/>
  <c r="Z86" i="3"/>
  <c r="AW86" i="3"/>
  <c r="AQ86" i="3"/>
  <c r="AL86" i="3"/>
  <c r="S86" i="3"/>
  <c r="B449" i="3"/>
  <c r="B450" i="3" s="1"/>
  <c r="Q942" i="3"/>
  <c r="AG941" i="3" s="1"/>
  <c r="AJ940" i="3" s="1"/>
  <c r="Q943" i="3"/>
  <c r="AM941" i="3" s="1"/>
  <c r="Q945" i="3"/>
  <c r="AY941" i="3" s="1"/>
  <c r="Q946" i="3"/>
  <c r="BE941" i="3" s="1"/>
  <c r="Q949" i="3"/>
  <c r="BW941" i="3" s="1"/>
  <c r="Q941" i="3"/>
  <c r="Q940" i="3"/>
  <c r="Q944" i="3"/>
  <c r="AS941" i="3" s="1"/>
  <c r="Q948" i="3"/>
  <c r="BQ941" i="3" s="1"/>
  <c r="BT940" i="3" s="1"/>
  <c r="BV940" i="3" s="1"/>
  <c r="BV800" i="3" s="1"/>
  <c r="Q950" i="3"/>
  <c r="CC941" i="3" s="1"/>
  <c r="CF940" i="3" s="1"/>
  <c r="CH940" i="3" s="1"/>
  <c r="CH800" i="3" s="1"/>
  <c r="Q947" i="3"/>
  <c r="BK941" i="3" s="1"/>
  <c r="BN940" i="3" s="1"/>
  <c r="BP940" i="3" s="1"/>
  <c r="BP800" i="3" s="1"/>
  <c r="B1462" i="3"/>
  <c r="B1463" i="3" s="1"/>
  <c r="B1464" i="3" s="1"/>
  <c r="B1465" i="3" s="1"/>
  <c r="AF340" i="3" l="1"/>
  <c r="AE340" i="3"/>
  <c r="AW340" i="3"/>
  <c r="AX340" i="3"/>
  <c r="B703" i="3"/>
  <c r="S340" i="3"/>
  <c r="T340" i="3"/>
  <c r="BO340" i="3"/>
  <c r="BP340" i="3"/>
  <c r="Z340" i="3"/>
  <c r="Y340" i="3"/>
  <c r="BI340" i="3"/>
  <c r="BJ340" i="3"/>
  <c r="AR340" i="3"/>
  <c r="AQ340" i="3"/>
  <c r="R455" i="3"/>
  <c r="U456" i="3"/>
  <c r="X455" i="3" s="1"/>
  <c r="BY456" i="3"/>
  <c r="BZ455" i="3" s="1"/>
  <c r="CE456" i="3"/>
  <c r="BA456" i="3"/>
  <c r="BB455" i="3" s="1"/>
  <c r="BM456" i="3"/>
  <c r="AU456" i="3"/>
  <c r="AV455" i="3" s="1"/>
  <c r="AC456" i="3"/>
  <c r="AO456" i="3"/>
  <c r="AP455" i="3" s="1"/>
  <c r="AI456" i="3"/>
  <c r="AJ455" i="3" s="1"/>
  <c r="BG456" i="3"/>
  <c r="BS456" i="3"/>
  <c r="BT455" i="3" s="1"/>
  <c r="W456" i="3"/>
  <c r="AA456" i="3"/>
  <c r="AD455" i="3" s="1"/>
  <c r="BP455" i="3"/>
  <c r="BO455" i="3"/>
  <c r="CH455" i="3"/>
  <c r="CG455" i="3"/>
  <c r="BJ455" i="3"/>
  <c r="BI455" i="3"/>
  <c r="Q324" i="3"/>
  <c r="BK318" i="3" s="1"/>
  <c r="BN317" i="3" s="1"/>
  <c r="BO317" i="3" s="1"/>
  <c r="Q325" i="3"/>
  <c r="BQ318" i="3" s="1"/>
  <c r="BT317" i="3" s="1"/>
  <c r="BV317" i="3" s="1"/>
  <c r="Q319" i="3"/>
  <c r="AG318" i="3" s="1"/>
  <c r="Q327" i="3"/>
  <c r="CC318" i="3" s="1"/>
  <c r="CF317" i="3" s="1"/>
  <c r="CH317" i="3" s="1"/>
  <c r="Q318" i="3"/>
  <c r="AA318" i="3" s="1"/>
  <c r="Q322" i="3"/>
  <c r="AY318" i="3" s="1"/>
  <c r="BB317" i="3" s="1"/>
  <c r="BD317" i="3" s="1"/>
  <c r="B1213" i="3"/>
  <c r="B1214" i="3" s="1"/>
  <c r="C1712" i="3"/>
  <c r="O1712" i="3" s="1"/>
  <c r="C1703" i="3"/>
  <c r="E1703" i="3" s="1"/>
  <c r="Q317" i="3"/>
  <c r="U318" i="3" s="1"/>
  <c r="Q326" i="3"/>
  <c r="BW318" i="3" s="1"/>
  <c r="BZ317" i="3" s="1"/>
  <c r="CA317" i="3" s="1"/>
  <c r="Q323" i="3"/>
  <c r="BE318" i="3" s="1"/>
  <c r="BH317" i="3" s="1"/>
  <c r="BJ317" i="3" s="1"/>
  <c r="C1709" i="3"/>
  <c r="G1709" i="3" s="1"/>
  <c r="Q321" i="3"/>
  <c r="AS318" i="3" s="1"/>
  <c r="AV317" i="3" s="1"/>
  <c r="AW317" i="3" s="1"/>
  <c r="Q320" i="3"/>
  <c r="AM318" i="3" s="1"/>
  <c r="AP317" i="3" s="1"/>
  <c r="AQ317" i="3" s="1"/>
  <c r="K1706" i="3"/>
  <c r="I1706" i="3"/>
  <c r="F1706" i="3"/>
  <c r="D1706" i="3"/>
  <c r="M1706" i="3"/>
  <c r="O1706" i="3"/>
  <c r="L1706" i="3"/>
  <c r="C1707" i="3"/>
  <c r="C1702" i="3"/>
  <c r="C1711" i="3"/>
  <c r="C1705" i="3"/>
  <c r="C1704" i="3"/>
  <c r="C1710" i="3"/>
  <c r="C1708" i="3"/>
  <c r="H1706" i="3"/>
  <c r="E1706" i="3"/>
  <c r="G1706" i="3"/>
  <c r="N1706" i="3"/>
  <c r="J1706" i="3"/>
  <c r="BU317" i="3"/>
  <c r="Q1956" i="3"/>
  <c r="Q1965" i="3"/>
  <c r="BW1957" i="3" s="1"/>
  <c r="BZ1956" i="3" s="1"/>
  <c r="CB1956" i="3" s="1"/>
  <c r="CB1816" i="3" s="1"/>
  <c r="Q1961" i="3"/>
  <c r="AY1957" i="3" s="1"/>
  <c r="BB1956" i="3" s="1"/>
  <c r="BC1956" i="3" s="1"/>
  <c r="BC1816" i="3" s="1"/>
  <c r="Q1957" i="3"/>
  <c r="AA1957" i="3" s="1"/>
  <c r="AD1956" i="3" s="1"/>
  <c r="Q1958" i="3"/>
  <c r="AG1957" i="3" s="1"/>
  <c r="AJ1956" i="3" s="1"/>
  <c r="AL1956" i="3" s="1"/>
  <c r="AL1816" i="3" s="1"/>
  <c r="Q1959" i="3"/>
  <c r="AM1957" i="3" s="1"/>
  <c r="AP1956" i="3" s="1"/>
  <c r="AQ1956" i="3" s="1"/>
  <c r="AQ1816" i="3" s="1"/>
  <c r="Q1962" i="3"/>
  <c r="BE1957" i="3" s="1"/>
  <c r="BH1956" i="3" s="1"/>
  <c r="BI1956" i="3" s="1"/>
  <c r="BI1816" i="3" s="1"/>
  <c r="Q1966" i="3"/>
  <c r="CC1957" i="3" s="1"/>
  <c r="CF1956" i="3" s="1"/>
  <c r="CH1956" i="3" s="1"/>
  <c r="CH1816" i="3" s="1"/>
  <c r="Q1963" i="3"/>
  <c r="BK1957" i="3" s="1"/>
  <c r="Q1960" i="3"/>
  <c r="AS1957" i="3" s="1"/>
  <c r="AV1956" i="3" s="1"/>
  <c r="AX1956" i="3" s="1"/>
  <c r="AX1816" i="3" s="1"/>
  <c r="Q1964" i="3"/>
  <c r="BQ1957" i="3" s="1"/>
  <c r="BT1956" i="3" s="1"/>
  <c r="BV1956" i="3" s="1"/>
  <c r="BV1816" i="3" s="1"/>
  <c r="BC1310" i="3"/>
  <c r="BD1310" i="3"/>
  <c r="AE1310" i="3"/>
  <c r="AF1310" i="3"/>
  <c r="T1310" i="3"/>
  <c r="S1310" i="3"/>
  <c r="Y1310" i="3"/>
  <c r="Z1310" i="3"/>
  <c r="B198" i="3"/>
  <c r="BO940" i="3"/>
  <c r="BO800" i="3" s="1"/>
  <c r="CG940" i="3"/>
  <c r="CG800" i="3" s="1"/>
  <c r="BU940" i="3"/>
  <c r="BU800" i="3" s="1"/>
  <c r="BS941" i="3"/>
  <c r="AI941" i="3"/>
  <c r="BA941" i="3"/>
  <c r="BB940" i="3" s="1"/>
  <c r="BY941" i="3"/>
  <c r="BZ940" i="3" s="1"/>
  <c r="AU941" i="3"/>
  <c r="AV940" i="3" s="1"/>
  <c r="AO941" i="3"/>
  <c r="AP940" i="3" s="1"/>
  <c r="R940" i="3"/>
  <c r="BM941" i="3"/>
  <c r="U941" i="3"/>
  <c r="X940" i="3" s="1"/>
  <c r="BG941" i="3"/>
  <c r="BH940" i="3" s="1"/>
  <c r="CE941" i="3"/>
  <c r="AC941" i="3"/>
  <c r="AA941" i="3"/>
  <c r="AD940" i="3" s="1"/>
  <c r="W941" i="3"/>
  <c r="AL940" i="3"/>
  <c r="AL800" i="3" s="1"/>
  <c r="AK940" i="3"/>
  <c r="AK800" i="3" s="1"/>
  <c r="B1466" i="3"/>
  <c r="B1467" i="3" s="1"/>
  <c r="B451" i="3"/>
  <c r="V26" i="1"/>
  <c r="V23" i="1"/>
  <c r="AK1956" i="3" l="1"/>
  <c r="AK1816" i="3" s="1"/>
  <c r="BP317" i="3"/>
  <c r="B704" i="3"/>
  <c r="BU455" i="3"/>
  <c r="BV455" i="3"/>
  <c r="AX455" i="3"/>
  <c r="AW455" i="3"/>
  <c r="CA455" i="3"/>
  <c r="CB455" i="3"/>
  <c r="AF455" i="3"/>
  <c r="AE455" i="3"/>
  <c r="AK455" i="3"/>
  <c r="AL455" i="3"/>
  <c r="Y455" i="3"/>
  <c r="Z455" i="3"/>
  <c r="AQ455" i="3"/>
  <c r="AR455" i="3"/>
  <c r="BC455" i="3"/>
  <c r="BD455" i="3"/>
  <c r="S455" i="3"/>
  <c r="T455" i="3"/>
  <c r="CA1956" i="3"/>
  <c r="CA1816" i="3" s="1"/>
  <c r="K1709" i="3"/>
  <c r="G1712" i="3"/>
  <c r="BC317" i="3"/>
  <c r="AX317" i="3"/>
  <c r="H1712" i="3"/>
  <c r="F1712" i="3"/>
  <c r="J1712" i="3"/>
  <c r="BI317" i="3"/>
  <c r="E1712" i="3"/>
  <c r="H1703" i="3"/>
  <c r="D1703" i="3"/>
  <c r="L1712" i="3"/>
  <c r="K1712" i="3"/>
  <c r="AC318" i="3"/>
  <c r="AD317" i="3" s="1"/>
  <c r="H1709" i="3"/>
  <c r="I1709" i="3"/>
  <c r="CG317" i="3"/>
  <c r="O1709" i="3"/>
  <c r="M1703" i="3"/>
  <c r="AI318" i="3"/>
  <c r="AJ317" i="3" s="1"/>
  <c r="AK317" i="3" s="1"/>
  <c r="R317" i="3"/>
  <c r="T317" i="3" s="1"/>
  <c r="AI1957" i="3"/>
  <c r="BS318" i="3"/>
  <c r="BG318" i="3"/>
  <c r="AO318" i="3"/>
  <c r="J1709" i="3"/>
  <c r="F1709" i="3"/>
  <c r="B1215" i="3"/>
  <c r="C1198" i="3" s="1"/>
  <c r="AR317" i="3"/>
  <c r="CB317" i="3"/>
  <c r="BA318" i="3"/>
  <c r="BM318" i="3"/>
  <c r="U1957" i="3"/>
  <c r="X1956" i="3" s="1"/>
  <c r="Z1956" i="3" s="1"/>
  <c r="Z1816" i="3" s="1"/>
  <c r="W318" i="3"/>
  <c r="X317" i="3" s="1"/>
  <c r="Y317" i="3" s="1"/>
  <c r="AU318" i="3"/>
  <c r="BY318" i="3"/>
  <c r="CE318" i="3"/>
  <c r="E1709" i="3"/>
  <c r="I1703" i="3"/>
  <c r="C1201" i="3"/>
  <c r="O1201" i="3" s="1"/>
  <c r="AW1956" i="3"/>
  <c r="AW1816" i="3" s="1"/>
  <c r="BD1956" i="3"/>
  <c r="BD1816" i="3" s="1"/>
  <c r="AO1957" i="3"/>
  <c r="L1709" i="3"/>
  <c r="D1709" i="3"/>
  <c r="M1709" i="3"/>
  <c r="N1709" i="3"/>
  <c r="O1703" i="3"/>
  <c r="L1703" i="3"/>
  <c r="J1703" i="3"/>
  <c r="N1703" i="3"/>
  <c r="F1703" i="3"/>
  <c r="K1703" i="3"/>
  <c r="G1703" i="3"/>
  <c r="I1712" i="3"/>
  <c r="N1712" i="3"/>
  <c r="M1712" i="3"/>
  <c r="D1712" i="3"/>
  <c r="E1704" i="3"/>
  <c r="I1704" i="3"/>
  <c r="F1704" i="3"/>
  <c r="K1704" i="3"/>
  <c r="M1704" i="3"/>
  <c r="H1704" i="3"/>
  <c r="N1704" i="3"/>
  <c r="O1704" i="3"/>
  <c r="L1704" i="3"/>
  <c r="G1704" i="3"/>
  <c r="J1704" i="3"/>
  <c r="D1704" i="3"/>
  <c r="K1707" i="3"/>
  <c r="D1707" i="3"/>
  <c r="O1707" i="3"/>
  <c r="F1707" i="3"/>
  <c r="E1707" i="3"/>
  <c r="L1707" i="3"/>
  <c r="I1707" i="3"/>
  <c r="M1707" i="3"/>
  <c r="G1707" i="3"/>
  <c r="H1707" i="3"/>
  <c r="J1707" i="3"/>
  <c r="N1707" i="3"/>
  <c r="W1957" i="3"/>
  <c r="G1705" i="3"/>
  <c r="H1705" i="3"/>
  <c r="L1705" i="3"/>
  <c r="J1705" i="3"/>
  <c r="N1705" i="3"/>
  <c r="M1705" i="3"/>
  <c r="O1705" i="3"/>
  <c r="D1705" i="3"/>
  <c r="K1705" i="3"/>
  <c r="E1705" i="3"/>
  <c r="I1705" i="3"/>
  <c r="F1705" i="3"/>
  <c r="CE1957" i="3"/>
  <c r="I1708" i="3"/>
  <c r="K1708" i="3"/>
  <c r="M1708" i="3"/>
  <c r="F1708" i="3"/>
  <c r="N1708" i="3"/>
  <c r="G1708" i="3"/>
  <c r="E1708" i="3"/>
  <c r="O1708" i="3"/>
  <c r="J1708" i="3"/>
  <c r="L1708" i="3"/>
  <c r="D1708" i="3"/>
  <c r="H1708" i="3"/>
  <c r="M1711" i="3"/>
  <c r="G1711" i="3"/>
  <c r="E1711" i="3"/>
  <c r="H1711" i="3"/>
  <c r="I1711" i="3"/>
  <c r="J1711" i="3"/>
  <c r="L1711" i="3"/>
  <c r="D1711" i="3"/>
  <c r="F1711" i="3"/>
  <c r="K1711" i="3"/>
  <c r="O1711" i="3"/>
  <c r="N1711" i="3"/>
  <c r="AC1957" i="3"/>
  <c r="BS1957" i="3"/>
  <c r="BG1957" i="3"/>
  <c r="BY1957" i="3"/>
  <c r="H1710" i="3"/>
  <c r="L1710" i="3"/>
  <c r="N1710" i="3"/>
  <c r="M1710" i="3"/>
  <c r="I1710" i="3"/>
  <c r="D1710" i="3"/>
  <c r="F1710" i="3"/>
  <c r="E1710" i="3"/>
  <c r="O1710" i="3"/>
  <c r="J1710" i="3"/>
  <c r="G1710" i="3"/>
  <c r="K1710" i="3"/>
  <c r="K1702" i="3"/>
  <c r="L1702" i="3"/>
  <c r="H1702" i="3"/>
  <c r="E1702" i="3"/>
  <c r="I1702" i="3"/>
  <c r="D1702" i="3"/>
  <c r="N1702" i="3"/>
  <c r="O1702" i="3"/>
  <c r="M1702" i="3"/>
  <c r="J1702" i="3"/>
  <c r="G1702" i="3"/>
  <c r="F1702" i="3"/>
  <c r="BA1957" i="3"/>
  <c r="BM1957" i="3"/>
  <c r="BN1956" i="3" s="1"/>
  <c r="BO1956" i="3" s="1"/>
  <c r="BO1816" i="3" s="1"/>
  <c r="AU1957" i="3"/>
  <c r="BJ1956" i="3"/>
  <c r="BJ1816" i="3" s="1"/>
  <c r="R1956" i="3"/>
  <c r="T1956" i="3" s="1"/>
  <c r="BU1956" i="3"/>
  <c r="BU1816" i="3" s="1"/>
  <c r="AR1956" i="3"/>
  <c r="AR1816" i="3" s="1"/>
  <c r="B199" i="3"/>
  <c r="CG1956" i="3"/>
  <c r="CG1816" i="3" s="1"/>
  <c r="CA940" i="3"/>
  <c r="CA800" i="3" s="1"/>
  <c r="CB940" i="3"/>
  <c r="CB800" i="3" s="1"/>
  <c r="S940" i="3"/>
  <c r="S800" i="3" s="1"/>
  <c r="T940" i="3"/>
  <c r="T800" i="3" s="1"/>
  <c r="BC940" i="3"/>
  <c r="BC800" i="3" s="1"/>
  <c r="BD940" i="3"/>
  <c r="BD800" i="3" s="1"/>
  <c r="BI940" i="3"/>
  <c r="BI800" i="3" s="1"/>
  <c r="BJ940" i="3"/>
  <c r="BJ800" i="3" s="1"/>
  <c r="AR940" i="3"/>
  <c r="AR800" i="3" s="1"/>
  <c r="AQ940" i="3"/>
  <c r="AQ800" i="3" s="1"/>
  <c r="AF940" i="3"/>
  <c r="AF800" i="3" s="1"/>
  <c r="AE940" i="3"/>
  <c r="AE800" i="3" s="1"/>
  <c r="Y940" i="3"/>
  <c r="Y800" i="3" s="1"/>
  <c r="Z940" i="3"/>
  <c r="Z800" i="3" s="1"/>
  <c r="AX940" i="3"/>
  <c r="AX800" i="3" s="1"/>
  <c r="AW940" i="3"/>
  <c r="AW800" i="3" s="1"/>
  <c r="B1468" i="3"/>
  <c r="B452" i="3"/>
  <c r="V24" i="1"/>
  <c r="W24" i="1"/>
  <c r="W26" i="1"/>
  <c r="W23" i="1"/>
  <c r="U26" i="1"/>
  <c r="U23" i="1"/>
  <c r="U24" i="1"/>
  <c r="AF1956" i="3"/>
  <c r="AF1816" i="3" s="1"/>
  <c r="AE1956" i="3"/>
  <c r="AE1816" i="3" s="1"/>
  <c r="Y1956" i="3"/>
  <c r="Y1816" i="3" s="1"/>
  <c r="B705" i="3" l="1"/>
  <c r="S317" i="3"/>
  <c r="AE317" i="3"/>
  <c r="AF317" i="3"/>
  <c r="C1194" i="3"/>
  <c r="K1194" i="3" s="1"/>
  <c r="C1199" i="3"/>
  <c r="L1199" i="3" s="1"/>
  <c r="K1201" i="3"/>
  <c r="D1201" i="3"/>
  <c r="O1198" i="3"/>
  <c r="J1198" i="3"/>
  <c r="I1198" i="3"/>
  <c r="D1198" i="3"/>
  <c r="F1198" i="3"/>
  <c r="L1198" i="3"/>
  <c r="G1198" i="3"/>
  <c r="K1198" i="3"/>
  <c r="E1198" i="3"/>
  <c r="H1198" i="3"/>
  <c r="M1198" i="3"/>
  <c r="N1198" i="3"/>
  <c r="C1195" i="3"/>
  <c r="F1195" i="3" s="1"/>
  <c r="J1201" i="3"/>
  <c r="L1201" i="3"/>
  <c r="C1196" i="3"/>
  <c r="I1196" i="3" s="1"/>
  <c r="AL317" i="3"/>
  <c r="C1200" i="3"/>
  <c r="K1200" i="3" s="1"/>
  <c r="H1201" i="3"/>
  <c r="N1201" i="3"/>
  <c r="C1202" i="3"/>
  <c r="G1202" i="3" s="1"/>
  <c r="BP1956" i="3"/>
  <c r="BP1816" i="3" s="1"/>
  <c r="C1197" i="3"/>
  <c r="O1197" i="3" s="1"/>
  <c r="C1203" i="3"/>
  <c r="F1203" i="3" s="1"/>
  <c r="I1201" i="3"/>
  <c r="M1201" i="3"/>
  <c r="E1201" i="3"/>
  <c r="C1204" i="3"/>
  <c r="G1201" i="3"/>
  <c r="F1201" i="3"/>
  <c r="S1956" i="3"/>
  <c r="S1816" i="3" s="1"/>
  <c r="Z317" i="3"/>
  <c r="P1702" i="3" a="1"/>
  <c r="P1711" i="3" s="1"/>
  <c r="C185" i="3"/>
  <c r="C183" i="3"/>
  <c r="C181" i="3"/>
  <c r="C188" i="3"/>
  <c r="C184" i="3"/>
  <c r="C180" i="3"/>
  <c r="C179" i="3"/>
  <c r="C187" i="3"/>
  <c r="C178" i="3"/>
  <c r="C182" i="3"/>
  <c r="C186" i="3"/>
  <c r="T1816" i="3"/>
  <c r="R800" i="3"/>
  <c r="B1469" i="3"/>
  <c r="B453" i="3"/>
  <c r="M1197" i="3" l="1"/>
  <c r="B706" i="3"/>
  <c r="L1197" i="3"/>
  <c r="K1199" i="3"/>
  <c r="K1197" i="3"/>
  <c r="G1194" i="3"/>
  <c r="E1197" i="3"/>
  <c r="H1197" i="3"/>
  <c r="D1197" i="3"/>
  <c r="F1194" i="3"/>
  <c r="F1197" i="3"/>
  <c r="D1195" i="3"/>
  <c r="K1202" i="3"/>
  <c r="H1195" i="3"/>
  <c r="J1194" i="3"/>
  <c r="D1194" i="3"/>
  <c r="N1194" i="3"/>
  <c r="O1195" i="3"/>
  <c r="N1195" i="3"/>
  <c r="N1202" i="3"/>
  <c r="L1194" i="3"/>
  <c r="O1194" i="3"/>
  <c r="K1195" i="3"/>
  <c r="E1194" i="3"/>
  <c r="H1194" i="3"/>
  <c r="I1195" i="3"/>
  <c r="H1202" i="3"/>
  <c r="J1195" i="3"/>
  <c r="M1195" i="3"/>
  <c r="L1202" i="3"/>
  <c r="D1202" i="3"/>
  <c r="G1195" i="3"/>
  <c r="I1194" i="3"/>
  <c r="M1194" i="3"/>
  <c r="L1195" i="3"/>
  <c r="E1195" i="3"/>
  <c r="D1199" i="3"/>
  <c r="O1202" i="3"/>
  <c r="F1202" i="3"/>
  <c r="L1200" i="3"/>
  <c r="N1199" i="3"/>
  <c r="G1200" i="3"/>
  <c r="J1199" i="3"/>
  <c r="M1200" i="3"/>
  <c r="F1199" i="3"/>
  <c r="M1199" i="3"/>
  <c r="N1200" i="3"/>
  <c r="G1199" i="3"/>
  <c r="O1199" i="3"/>
  <c r="E1199" i="3"/>
  <c r="R1816" i="3"/>
  <c r="I1197" i="3"/>
  <c r="N1197" i="3"/>
  <c r="J1200" i="3"/>
  <c r="O1200" i="3"/>
  <c r="F1200" i="3"/>
  <c r="O1203" i="3"/>
  <c r="D1200" i="3"/>
  <c r="E1200" i="3"/>
  <c r="J1197" i="3"/>
  <c r="G1197" i="3"/>
  <c r="H1203" i="3"/>
  <c r="I1200" i="3"/>
  <c r="H1200" i="3"/>
  <c r="M1203" i="3"/>
  <c r="I1203" i="3"/>
  <c r="I1199" i="3"/>
  <c r="H1199" i="3"/>
  <c r="J1203" i="3"/>
  <c r="K1203" i="3"/>
  <c r="D1196" i="3"/>
  <c r="E1203" i="3"/>
  <c r="D1203" i="3"/>
  <c r="G1203" i="3"/>
  <c r="O1204" i="3"/>
  <c r="I1204" i="3"/>
  <c r="G1204" i="3"/>
  <c r="M1204" i="3"/>
  <c r="E1204" i="3"/>
  <c r="D1204" i="3"/>
  <c r="N1204" i="3"/>
  <c r="J1204" i="3"/>
  <c r="K1204" i="3"/>
  <c r="H1204" i="3"/>
  <c r="F1204" i="3"/>
  <c r="L1204" i="3"/>
  <c r="O1196" i="3"/>
  <c r="N1196" i="3"/>
  <c r="F1196" i="3"/>
  <c r="G1196" i="3"/>
  <c r="N1203" i="3"/>
  <c r="L1203" i="3"/>
  <c r="K1196" i="3"/>
  <c r="L1196" i="3"/>
  <c r="M1196" i="3"/>
  <c r="J1196" i="3"/>
  <c r="E1196" i="3"/>
  <c r="H1196" i="3"/>
  <c r="J1202" i="3"/>
  <c r="E1202" i="3"/>
  <c r="I1202" i="3"/>
  <c r="M1202" i="3"/>
  <c r="P1708" i="3"/>
  <c r="P1705" i="3"/>
  <c r="P1707" i="3"/>
  <c r="P1712" i="3"/>
  <c r="P1709" i="3"/>
  <c r="P1703" i="3"/>
  <c r="P1710" i="3"/>
  <c r="P1706" i="3"/>
  <c r="P1704" i="3"/>
  <c r="P1702" i="3"/>
  <c r="F187" i="3"/>
  <c r="N187" i="3"/>
  <c r="M187" i="3"/>
  <c r="O187" i="3"/>
  <c r="E187" i="3"/>
  <c r="L187" i="3"/>
  <c r="K187" i="3"/>
  <c r="G187" i="3"/>
  <c r="I187" i="3"/>
  <c r="H187" i="3"/>
  <c r="D187" i="3"/>
  <c r="J187" i="3"/>
  <c r="E188" i="3"/>
  <c r="N188" i="3"/>
  <c r="H188" i="3"/>
  <c r="K188" i="3"/>
  <c r="D188" i="3"/>
  <c r="F188" i="3"/>
  <c r="L188" i="3"/>
  <c r="I188" i="3"/>
  <c r="O188" i="3"/>
  <c r="J188" i="3"/>
  <c r="G188" i="3"/>
  <c r="M188" i="3"/>
  <c r="O186" i="3"/>
  <c r="E186" i="3"/>
  <c r="K186" i="3"/>
  <c r="I186" i="3"/>
  <c r="D186" i="3"/>
  <c r="H186" i="3"/>
  <c r="G186" i="3"/>
  <c r="F186" i="3"/>
  <c r="N186" i="3"/>
  <c r="M186" i="3"/>
  <c r="J186" i="3"/>
  <c r="L186" i="3"/>
  <c r="N179" i="3"/>
  <c r="L179" i="3"/>
  <c r="E179" i="3"/>
  <c r="H179" i="3"/>
  <c r="M179" i="3"/>
  <c r="J179" i="3"/>
  <c r="O179" i="3"/>
  <c r="I179" i="3"/>
  <c r="F179" i="3"/>
  <c r="K179" i="3"/>
  <c r="D179" i="3"/>
  <c r="G179" i="3"/>
  <c r="I181" i="3"/>
  <c r="K181" i="3"/>
  <c r="O181" i="3"/>
  <c r="F181" i="3"/>
  <c r="E181" i="3"/>
  <c r="G181" i="3"/>
  <c r="L181" i="3"/>
  <c r="N181" i="3"/>
  <c r="M181" i="3"/>
  <c r="J181" i="3"/>
  <c r="H181" i="3"/>
  <c r="D181" i="3"/>
  <c r="D182" i="3"/>
  <c r="N182" i="3"/>
  <c r="G182" i="3"/>
  <c r="H182" i="3"/>
  <c r="L182" i="3"/>
  <c r="J182" i="3"/>
  <c r="F182" i="3"/>
  <c r="E182" i="3"/>
  <c r="M182" i="3"/>
  <c r="O182" i="3"/>
  <c r="I182" i="3"/>
  <c r="K182" i="3"/>
  <c r="E180" i="3"/>
  <c r="L180" i="3"/>
  <c r="K180" i="3"/>
  <c r="J180" i="3"/>
  <c r="F180" i="3"/>
  <c r="M180" i="3"/>
  <c r="G180" i="3"/>
  <c r="O180" i="3"/>
  <c r="I180" i="3"/>
  <c r="N180" i="3"/>
  <c r="D180" i="3"/>
  <c r="H180" i="3"/>
  <c r="N183" i="3"/>
  <c r="M183" i="3"/>
  <c r="K183" i="3"/>
  <c r="L183" i="3"/>
  <c r="E183" i="3"/>
  <c r="O183" i="3"/>
  <c r="J183" i="3"/>
  <c r="H183" i="3"/>
  <c r="F183" i="3"/>
  <c r="D183" i="3"/>
  <c r="G183" i="3"/>
  <c r="I183" i="3"/>
  <c r="O178" i="3"/>
  <c r="M178" i="3"/>
  <c r="K178" i="3"/>
  <c r="E178" i="3"/>
  <c r="H178" i="3"/>
  <c r="L178" i="3"/>
  <c r="N178" i="3"/>
  <c r="J178" i="3"/>
  <c r="D178" i="3"/>
  <c r="I178" i="3"/>
  <c r="G178" i="3"/>
  <c r="F178" i="3"/>
  <c r="I184" i="3"/>
  <c r="F184" i="3"/>
  <c r="G184" i="3"/>
  <c r="E184" i="3"/>
  <c r="J184" i="3"/>
  <c r="D184" i="3"/>
  <c r="O184" i="3"/>
  <c r="L184" i="3"/>
  <c r="N184" i="3"/>
  <c r="H184" i="3"/>
  <c r="M184" i="3"/>
  <c r="K184" i="3"/>
  <c r="N185" i="3"/>
  <c r="K185" i="3"/>
  <c r="J185" i="3"/>
  <c r="G185" i="3"/>
  <c r="H185" i="3"/>
  <c r="I185" i="3"/>
  <c r="L185" i="3"/>
  <c r="M185" i="3"/>
  <c r="F185" i="3"/>
  <c r="D185" i="3"/>
  <c r="O185" i="3"/>
  <c r="E185" i="3"/>
  <c r="C1448" i="3"/>
  <c r="C1452" i="3"/>
  <c r="C1450" i="3"/>
  <c r="C1458" i="3"/>
  <c r="C1455" i="3"/>
  <c r="C1453" i="3"/>
  <c r="C1449" i="3"/>
  <c r="C1451" i="3"/>
  <c r="C1456" i="3"/>
  <c r="C1454" i="3"/>
  <c r="C1457" i="3"/>
  <c r="C440" i="3"/>
  <c r="I440" i="3" s="1"/>
  <c r="C436" i="3"/>
  <c r="L436" i="3" s="1"/>
  <c r="C439" i="3"/>
  <c r="E439" i="3" s="1"/>
  <c r="C438" i="3"/>
  <c r="M438" i="3" s="1"/>
  <c r="C434" i="3"/>
  <c r="I434" i="3" s="1"/>
  <c r="C435" i="3"/>
  <c r="F435" i="3" s="1"/>
  <c r="C433" i="3"/>
  <c r="C432" i="3"/>
  <c r="C441" i="3"/>
  <c r="C437" i="3"/>
  <c r="C442" i="3"/>
  <c r="V22" i="1"/>
  <c r="V25" i="1"/>
  <c r="W22" i="1"/>
  <c r="W25" i="1"/>
  <c r="B707" i="3" l="1"/>
  <c r="C689" i="3" s="1"/>
  <c r="P1194" i="3" a="1"/>
  <c r="P1200" i="3" s="1"/>
  <c r="Q1704" i="3"/>
  <c r="AG1703" i="3" s="1"/>
  <c r="Q1703" i="3"/>
  <c r="W1703" i="3" s="1"/>
  <c r="Q1702" i="3"/>
  <c r="U1703" i="3" s="1"/>
  <c r="X1702" i="3" s="1"/>
  <c r="Y1702" i="3" s="1"/>
  <c r="Y1562" i="3" s="1"/>
  <c r="Q1710" i="3"/>
  <c r="BQ1703" i="3" s="1"/>
  <c r="BT1702" i="3" s="1"/>
  <c r="Q1709" i="3"/>
  <c r="BK1703" i="3" s="1"/>
  <c r="BN1702" i="3" s="1"/>
  <c r="Q1707" i="3"/>
  <c r="AY1703" i="3" s="1"/>
  <c r="BB1702" i="3" s="1"/>
  <c r="Q1712" i="3"/>
  <c r="CC1703" i="3" s="1"/>
  <c r="CF1702" i="3" s="1"/>
  <c r="Q1711" i="3"/>
  <c r="Q1705" i="3"/>
  <c r="Q1706" i="3"/>
  <c r="AS1703" i="3" s="1"/>
  <c r="Q1708" i="3"/>
  <c r="BE1703" i="3" s="1"/>
  <c r="BH1702" i="3" s="1"/>
  <c r="P178" i="3" a="1"/>
  <c r="H436" i="3"/>
  <c r="J436" i="3"/>
  <c r="J440" i="3"/>
  <c r="I436" i="3"/>
  <c r="E436" i="3"/>
  <c r="O439" i="3"/>
  <c r="K440" i="3"/>
  <c r="O440" i="3"/>
  <c r="G440" i="3"/>
  <c r="F440" i="3"/>
  <c r="M436" i="3"/>
  <c r="N436" i="3"/>
  <c r="E440" i="3"/>
  <c r="O436" i="3"/>
  <c r="K436" i="3"/>
  <c r="F436" i="3"/>
  <c r="D440" i="3"/>
  <c r="M440" i="3"/>
  <c r="L440" i="3"/>
  <c r="J434" i="3"/>
  <c r="O434" i="3"/>
  <c r="G434" i="3"/>
  <c r="D434" i="3"/>
  <c r="L434" i="3"/>
  <c r="N434" i="3"/>
  <c r="G436" i="3"/>
  <c r="D436" i="3"/>
  <c r="H440" i="3"/>
  <c r="N440" i="3"/>
  <c r="F434" i="3"/>
  <c r="M434" i="3"/>
  <c r="K434" i="3"/>
  <c r="E434" i="3"/>
  <c r="H434" i="3"/>
  <c r="I439" i="3"/>
  <c r="J438" i="3"/>
  <c r="D438" i="3"/>
  <c r="K439" i="3"/>
  <c r="K438" i="3"/>
  <c r="J439" i="3"/>
  <c r="E438" i="3"/>
  <c r="D439" i="3"/>
  <c r="K435" i="3"/>
  <c r="L1451" i="3"/>
  <c r="G1451" i="3"/>
  <c r="F1451" i="3"/>
  <c r="H1451" i="3"/>
  <c r="D1451" i="3"/>
  <c r="J1451" i="3"/>
  <c r="O1451" i="3"/>
  <c r="E1451" i="3"/>
  <c r="N1451" i="3"/>
  <c r="K1451" i="3"/>
  <c r="I1451" i="3"/>
  <c r="M1451" i="3"/>
  <c r="K1458" i="3"/>
  <c r="M1458" i="3"/>
  <c r="E1458" i="3"/>
  <c r="G1458" i="3"/>
  <c r="F1458" i="3"/>
  <c r="O1458" i="3"/>
  <c r="N1458" i="3"/>
  <c r="D1458" i="3"/>
  <c r="I1458" i="3"/>
  <c r="H1458" i="3"/>
  <c r="L1458" i="3"/>
  <c r="J1458" i="3"/>
  <c r="H1457" i="3"/>
  <c r="O1457" i="3"/>
  <c r="M1457" i="3"/>
  <c r="E1457" i="3"/>
  <c r="N1457" i="3"/>
  <c r="G1457" i="3"/>
  <c r="L1457" i="3"/>
  <c r="K1457" i="3"/>
  <c r="D1457" i="3"/>
  <c r="I1457" i="3"/>
  <c r="F1457" i="3"/>
  <c r="J1457" i="3"/>
  <c r="O1449" i="3"/>
  <c r="K1449" i="3"/>
  <c r="F1449" i="3"/>
  <c r="N1449" i="3"/>
  <c r="D1449" i="3"/>
  <c r="J1449" i="3"/>
  <c r="I1449" i="3"/>
  <c r="H1449" i="3"/>
  <c r="G1449" i="3"/>
  <c r="M1449" i="3"/>
  <c r="E1449" i="3"/>
  <c r="L1449" i="3"/>
  <c r="I1450" i="3"/>
  <c r="F1450" i="3"/>
  <c r="J1450" i="3"/>
  <c r="L1450" i="3"/>
  <c r="M1450" i="3"/>
  <c r="H1450" i="3"/>
  <c r="N1450" i="3"/>
  <c r="G1450" i="3"/>
  <c r="D1450" i="3"/>
  <c r="K1450" i="3"/>
  <c r="E1450" i="3"/>
  <c r="O1450" i="3"/>
  <c r="I435" i="3"/>
  <c r="N1454" i="3"/>
  <c r="E1454" i="3"/>
  <c r="J1454" i="3"/>
  <c r="O1454" i="3"/>
  <c r="D1454" i="3"/>
  <c r="M1454" i="3"/>
  <c r="H1454" i="3"/>
  <c r="G1454" i="3"/>
  <c r="L1454" i="3"/>
  <c r="F1454" i="3"/>
  <c r="K1454" i="3"/>
  <c r="I1454" i="3"/>
  <c r="D1453" i="3"/>
  <c r="M1453" i="3"/>
  <c r="I1453" i="3"/>
  <c r="L1453" i="3"/>
  <c r="K1453" i="3"/>
  <c r="N1453" i="3"/>
  <c r="F1453" i="3"/>
  <c r="H1453" i="3"/>
  <c r="G1453" i="3"/>
  <c r="O1453" i="3"/>
  <c r="E1453" i="3"/>
  <c r="J1453" i="3"/>
  <c r="L1452" i="3"/>
  <c r="F1452" i="3"/>
  <c r="I1452" i="3"/>
  <c r="G1452" i="3"/>
  <c r="N1452" i="3"/>
  <c r="J1452" i="3"/>
  <c r="O1452" i="3"/>
  <c r="M1452" i="3"/>
  <c r="E1452" i="3"/>
  <c r="K1452" i="3"/>
  <c r="H1452" i="3"/>
  <c r="D1452" i="3"/>
  <c r="O438" i="3"/>
  <c r="F439" i="3"/>
  <c r="M439" i="3"/>
  <c r="L435" i="3"/>
  <c r="N1456" i="3"/>
  <c r="I1456" i="3"/>
  <c r="K1456" i="3"/>
  <c r="L1456" i="3"/>
  <c r="E1456" i="3"/>
  <c r="M1456" i="3"/>
  <c r="G1456" i="3"/>
  <c r="J1456" i="3"/>
  <c r="O1456" i="3"/>
  <c r="D1456" i="3"/>
  <c r="F1456" i="3"/>
  <c r="H1456" i="3"/>
  <c r="M1455" i="3"/>
  <c r="N1455" i="3"/>
  <c r="I1455" i="3"/>
  <c r="D1455" i="3"/>
  <c r="G1455" i="3"/>
  <c r="O1455" i="3"/>
  <c r="H1455" i="3"/>
  <c r="L1455" i="3"/>
  <c r="F1455" i="3"/>
  <c r="K1455" i="3"/>
  <c r="J1455" i="3"/>
  <c r="E1455" i="3"/>
  <c r="G1448" i="3"/>
  <c r="E1448" i="3"/>
  <c r="J1448" i="3"/>
  <c r="F1448" i="3"/>
  <c r="M1448" i="3"/>
  <c r="I1448" i="3"/>
  <c r="D1448" i="3"/>
  <c r="K1448" i="3"/>
  <c r="O1448" i="3"/>
  <c r="L1448" i="3"/>
  <c r="H1448" i="3"/>
  <c r="N1448" i="3"/>
  <c r="O435" i="3"/>
  <c r="H438" i="3"/>
  <c r="F438" i="3"/>
  <c r="L438" i="3"/>
  <c r="N438" i="3"/>
  <c r="N439" i="3"/>
  <c r="L439" i="3"/>
  <c r="E435" i="3"/>
  <c r="J435" i="3"/>
  <c r="D435" i="3"/>
  <c r="I438" i="3"/>
  <c r="G438" i="3"/>
  <c r="H439" i="3"/>
  <c r="G439" i="3"/>
  <c r="N435" i="3"/>
  <c r="M435" i="3"/>
  <c r="G435" i="3"/>
  <c r="H435" i="3"/>
  <c r="O437" i="3"/>
  <c r="H437" i="3"/>
  <c r="K437" i="3"/>
  <c r="D437" i="3"/>
  <c r="G437" i="3"/>
  <c r="I437" i="3"/>
  <c r="J437" i="3"/>
  <c r="F437" i="3"/>
  <c r="E437" i="3"/>
  <c r="M437" i="3"/>
  <c r="L437" i="3"/>
  <c r="N437" i="3"/>
  <c r="M441" i="3"/>
  <c r="K441" i="3"/>
  <c r="J441" i="3"/>
  <c r="O441" i="3"/>
  <c r="D441" i="3"/>
  <c r="N441" i="3"/>
  <c r="I441" i="3"/>
  <c r="F441" i="3"/>
  <c r="E441" i="3"/>
  <c r="G441" i="3"/>
  <c r="L441" i="3"/>
  <c r="H441" i="3"/>
  <c r="H432" i="3"/>
  <c r="O432" i="3"/>
  <c r="L432" i="3"/>
  <c r="J432" i="3"/>
  <c r="F432" i="3"/>
  <c r="I432" i="3"/>
  <c r="K432" i="3"/>
  <c r="D432" i="3"/>
  <c r="G432" i="3"/>
  <c r="E432" i="3"/>
  <c r="M432" i="3"/>
  <c r="N432" i="3"/>
  <c r="D442" i="3"/>
  <c r="J442" i="3"/>
  <c r="L442" i="3"/>
  <c r="I442" i="3"/>
  <c r="H442" i="3"/>
  <c r="E442" i="3"/>
  <c r="K442" i="3"/>
  <c r="G442" i="3"/>
  <c r="O442" i="3"/>
  <c r="F442" i="3"/>
  <c r="M442" i="3"/>
  <c r="N442" i="3"/>
  <c r="E433" i="3"/>
  <c r="J433" i="3"/>
  <c r="O433" i="3"/>
  <c r="K433" i="3"/>
  <c r="I433" i="3"/>
  <c r="G433" i="3"/>
  <c r="L433" i="3"/>
  <c r="M433" i="3"/>
  <c r="H433" i="3"/>
  <c r="F433" i="3"/>
  <c r="N433" i="3"/>
  <c r="D433" i="3"/>
  <c r="U22" i="1"/>
  <c r="U25" i="1"/>
  <c r="C694" i="3" l="1"/>
  <c r="E694" i="3" s="1"/>
  <c r="E689" i="3"/>
  <c r="J689" i="3"/>
  <c r="I689" i="3"/>
  <c r="M689" i="3"/>
  <c r="F689" i="3"/>
  <c r="N689" i="3"/>
  <c r="D689" i="3"/>
  <c r="H689" i="3"/>
  <c r="O689" i="3"/>
  <c r="K689" i="3"/>
  <c r="G689" i="3"/>
  <c r="L689" i="3"/>
  <c r="C687" i="3"/>
  <c r="C686" i="3"/>
  <c r="C688" i="3"/>
  <c r="C696" i="3"/>
  <c r="C690" i="3"/>
  <c r="C691" i="3"/>
  <c r="C692" i="3"/>
  <c r="C693" i="3"/>
  <c r="C695" i="3"/>
  <c r="P1196" i="3"/>
  <c r="P1195" i="3"/>
  <c r="P1194" i="3"/>
  <c r="P1203" i="3"/>
  <c r="P1197" i="3"/>
  <c r="P1204" i="3"/>
  <c r="P1202" i="3"/>
  <c r="P1201" i="3"/>
  <c r="P1199" i="3"/>
  <c r="P1198" i="3"/>
  <c r="Z1702" i="3"/>
  <c r="Z1562" i="3" s="1"/>
  <c r="AC1703" i="3"/>
  <c r="CE1703" i="3"/>
  <c r="BY1703" i="3"/>
  <c r="AA1703" i="3"/>
  <c r="AD1702" i="3" s="1"/>
  <c r="R1702" i="3"/>
  <c r="AO1703" i="3"/>
  <c r="AM1703" i="3"/>
  <c r="AI1703" i="3"/>
  <c r="AJ1702" i="3" s="1"/>
  <c r="CG1702" i="3"/>
  <c r="CG1562" i="3" s="1"/>
  <c r="CH1702" i="3"/>
  <c r="CH1562" i="3" s="1"/>
  <c r="BP1702" i="3"/>
  <c r="BP1562" i="3" s="1"/>
  <c r="BO1702" i="3"/>
  <c r="BO1562" i="3" s="1"/>
  <c r="BA1703" i="3"/>
  <c r="BW1703" i="3"/>
  <c r="BZ1702" i="3" s="1"/>
  <c r="BS1703" i="3"/>
  <c r="BC1702" i="3"/>
  <c r="BC1562" i="3" s="1"/>
  <c r="BD1702" i="3"/>
  <c r="BD1562" i="3" s="1"/>
  <c r="BV1702" i="3"/>
  <c r="BV1562" i="3" s="1"/>
  <c r="BU1702" i="3"/>
  <c r="BU1562" i="3" s="1"/>
  <c r="BJ1702" i="3"/>
  <c r="BJ1562" i="3" s="1"/>
  <c r="BI1702" i="3"/>
  <c r="BI1562" i="3" s="1"/>
  <c r="BM1703" i="3"/>
  <c r="BG1703" i="3"/>
  <c r="AU1703" i="3"/>
  <c r="AV1702" i="3" s="1"/>
  <c r="P182" i="3"/>
  <c r="P185" i="3"/>
  <c r="P181" i="3"/>
  <c r="P180" i="3"/>
  <c r="P188" i="3"/>
  <c r="P187" i="3"/>
  <c r="P178" i="3"/>
  <c r="P179" i="3"/>
  <c r="P184" i="3"/>
  <c r="P183" i="3"/>
  <c r="P186" i="3"/>
  <c r="P1448" i="3" a="1"/>
  <c r="P432" i="3" a="1"/>
  <c r="P438" i="3" s="1"/>
  <c r="H694" i="3" l="1"/>
  <c r="J694" i="3"/>
  <c r="M694" i="3"/>
  <c r="G694" i="3"/>
  <c r="D694" i="3"/>
  <c r="N694" i="3"/>
  <c r="I694" i="3"/>
  <c r="F694" i="3"/>
  <c r="K694" i="3"/>
  <c r="O694" i="3"/>
  <c r="L694" i="3"/>
  <c r="J693" i="3"/>
  <c r="K693" i="3"/>
  <c r="O693" i="3"/>
  <c r="N693" i="3"/>
  <c r="M693" i="3"/>
  <c r="L693" i="3"/>
  <c r="G693" i="3"/>
  <c r="H693" i="3"/>
  <c r="E693" i="3"/>
  <c r="D693" i="3"/>
  <c r="F693" i="3"/>
  <c r="I693" i="3"/>
  <c r="J696" i="3"/>
  <c r="K696" i="3"/>
  <c r="F696" i="3"/>
  <c r="G696" i="3"/>
  <c r="H696" i="3"/>
  <c r="L696" i="3"/>
  <c r="E696" i="3"/>
  <c r="O696" i="3"/>
  <c r="I696" i="3"/>
  <c r="D696" i="3"/>
  <c r="N696" i="3"/>
  <c r="M696" i="3"/>
  <c r="K692" i="3"/>
  <c r="D692" i="3"/>
  <c r="H692" i="3"/>
  <c r="O692" i="3"/>
  <c r="E692" i="3"/>
  <c r="J692" i="3"/>
  <c r="I692" i="3"/>
  <c r="G692" i="3"/>
  <c r="F692" i="3"/>
  <c r="N692" i="3"/>
  <c r="M692" i="3"/>
  <c r="L692" i="3"/>
  <c r="O688" i="3"/>
  <c r="I688" i="3"/>
  <c r="H688" i="3"/>
  <c r="E688" i="3"/>
  <c r="K688" i="3"/>
  <c r="L688" i="3"/>
  <c r="F688" i="3"/>
  <c r="N688" i="3"/>
  <c r="M688" i="3"/>
  <c r="G688" i="3"/>
  <c r="D688" i="3"/>
  <c r="J688" i="3"/>
  <c r="O691" i="3"/>
  <c r="K691" i="3"/>
  <c r="F691" i="3"/>
  <c r="H691" i="3"/>
  <c r="M691" i="3"/>
  <c r="J691" i="3"/>
  <c r="L691" i="3"/>
  <c r="D691" i="3"/>
  <c r="E691" i="3"/>
  <c r="N691" i="3"/>
  <c r="G691" i="3"/>
  <c r="I691" i="3"/>
  <c r="D686" i="3"/>
  <c r="G686" i="3"/>
  <c r="F686" i="3"/>
  <c r="J686" i="3"/>
  <c r="I686" i="3"/>
  <c r="K686" i="3"/>
  <c r="E686" i="3"/>
  <c r="N686" i="3"/>
  <c r="M686" i="3"/>
  <c r="L686" i="3"/>
  <c r="O686" i="3"/>
  <c r="H686" i="3"/>
  <c r="E695" i="3"/>
  <c r="I695" i="3"/>
  <c r="F695" i="3"/>
  <c r="J695" i="3"/>
  <c r="L695" i="3"/>
  <c r="H695" i="3"/>
  <c r="O695" i="3"/>
  <c r="K695" i="3"/>
  <c r="N695" i="3"/>
  <c r="D695" i="3"/>
  <c r="M695" i="3"/>
  <c r="G695" i="3"/>
  <c r="F690" i="3"/>
  <c r="D690" i="3"/>
  <c r="N690" i="3"/>
  <c r="I690" i="3"/>
  <c r="J690" i="3"/>
  <c r="H690" i="3"/>
  <c r="K690" i="3"/>
  <c r="E690" i="3"/>
  <c r="O690" i="3"/>
  <c r="L690" i="3"/>
  <c r="G690" i="3"/>
  <c r="M690" i="3"/>
  <c r="F687" i="3"/>
  <c r="O687" i="3"/>
  <c r="G687" i="3"/>
  <c r="N687" i="3"/>
  <c r="I687" i="3"/>
  <c r="H687" i="3"/>
  <c r="D687" i="3"/>
  <c r="J687" i="3"/>
  <c r="K687" i="3"/>
  <c r="M687" i="3"/>
  <c r="L687" i="3"/>
  <c r="E687" i="3"/>
  <c r="Q1202" i="3"/>
  <c r="BQ1195" i="3" s="1"/>
  <c r="BT1194" i="3" s="1"/>
  <c r="BV1194" i="3" s="1"/>
  <c r="BV1054" i="3" s="1"/>
  <c r="Q1196" i="3"/>
  <c r="AG1195" i="3" s="1"/>
  <c r="AP1702" i="3"/>
  <c r="Q1195" i="3"/>
  <c r="W1195" i="3" s="1"/>
  <c r="Q1199" i="3"/>
  <c r="AY1195" i="3" s="1"/>
  <c r="Q1200" i="3"/>
  <c r="BE1195" i="3" s="1"/>
  <c r="BH1194" i="3" s="1"/>
  <c r="BI1194" i="3" s="1"/>
  <c r="BI1054" i="3" s="1"/>
  <c r="Q1201" i="3"/>
  <c r="BK1195" i="3" s="1"/>
  <c r="BN1194" i="3" s="1"/>
  <c r="BO1194" i="3" s="1"/>
  <c r="BO1054" i="3" s="1"/>
  <c r="Q1204" i="3"/>
  <c r="CC1195" i="3" s="1"/>
  <c r="CF1194" i="3" s="1"/>
  <c r="CG1194" i="3" s="1"/>
  <c r="CG1054" i="3" s="1"/>
  <c r="Q1194" i="3"/>
  <c r="U1195" i="3" s="1"/>
  <c r="X1194" i="3" s="1"/>
  <c r="Q1198" i="3"/>
  <c r="AS1195" i="3" s="1"/>
  <c r="AV1194" i="3" s="1"/>
  <c r="AW1194" i="3" s="1"/>
  <c r="AW1054" i="3" s="1"/>
  <c r="Q1197" i="3"/>
  <c r="AM1195" i="3" s="1"/>
  <c r="Q1203" i="3"/>
  <c r="BW1195" i="3" s="1"/>
  <c r="BZ1194" i="3" s="1"/>
  <c r="CB1194" i="3" s="1"/>
  <c r="CB1054" i="3" s="1"/>
  <c r="AE1702" i="3"/>
  <c r="AE1562" i="3" s="1"/>
  <c r="AF1702" i="3"/>
  <c r="AF1562" i="3" s="1"/>
  <c r="AK1702" i="3"/>
  <c r="AK1562" i="3" s="1"/>
  <c r="AL1702" i="3"/>
  <c r="AL1562" i="3" s="1"/>
  <c r="CA1702" i="3"/>
  <c r="CA1562" i="3" s="1"/>
  <c r="CB1702" i="3"/>
  <c r="CB1562" i="3" s="1"/>
  <c r="AR1702" i="3"/>
  <c r="AR1562" i="3" s="1"/>
  <c r="AQ1702" i="3"/>
  <c r="AQ1562" i="3" s="1"/>
  <c r="AW1702" i="3"/>
  <c r="AW1562" i="3" s="1"/>
  <c r="AX1702" i="3"/>
  <c r="AX1562" i="3" s="1"/>
  <c r="S1702" i="3"/>
  <c r="S1562" i="3" s="1"/>
  <c r="T1702" i="3"/>
  <c r="T1562" i="3" s="1"/>
  <c r="Q185" i="3"/>
  <c r="BK179" i="3" s="1"/>
  <c r="BN178" i="3" s="1"/>
  <c r="Q186" i="3"/>
  <c r="BQ179" i="3" s="1"/>
  <c r="BT178" i="3" s="1"/>
  <c r="Q179" i="3"/>
  <c r="Q182" i="3"/>
  <c r="AS179" i="3" s="1"/>
  <c r="Q188" i="3"/>
  <c r="CC179" i="3" s="1"/>
  <c r="CF178" i="3" s="1"/>
  <c r="Q183" i="3"/>
  <c r="AY179" i="3" s="1"/>
  <c r="BB178" i="3" s="1"/>
  <c r="Q181" i="3"/>
  <c r="AM179" i="3" s="1"/>
  <c r="Q184" i="3"/>
  <c r="BE179" i="3" s="1"/>
  <c r="BH178" i="3" s="1"/>
  <c r="Q180" i="3"/>
  <c r="AG179" i="3" s="1"/>
  <c r="Q178" i="3"/>
  <c r="Q187" i="3"/>
  <c r="BW179" i="3" s="1"/>
  <c r="BZ178" i="3" s="1"/>
  <c r="P1451" i="3"/>
  <c r="P1456" i="3"/>
  <c r="P1458" i="3"/>
  <c r="P1454" i="3"/>
  <c r="P1453" i="3"/>
  <c r="P1450" i="3"/>
  <c r="P1452" i="3"/>
  <c r="P1457" i="3"/>
  <c r="P1449" i="3"/>
  <c r="P1448" i="3"/>
  <c r="P1455" i="3"/>
  <c r="P433" i="3"/>
  <c r="P434" i="3"/>
  <c r="P437" i="3"/>
  <c r="P435" i="3"/>
  <c r="P439" i="3"/>
  <c r="P440" i="3"/>
  <c r="P436" i="3"/>
  <c r="P441" i="3"/>
  <c r="P432" i="3"/>
  <c r="P442" i="3"/>
  <c r="BJ1194" i="3" l="1"/>
  <c r="BJ1054" i="3" s="1"/>
  <c r="BP1194" i="3"/>
  <c r="BP1054" i="3" s="1"/>
  <c r="P686" i="3" a="1"/>
  <c r="BU1194" i="3"/>
  <c r="BU1054" i="3" s="1"/>
  <c r="AA1195" i="3"/>
  <c r="AD1194" i="3" s="1"/>
  <c r="AE1194" i="3" s="1"/>
  <c r="AE1054" i="3" s="1"/>
  <c r="BS1195" i="3"/>
  <c r="R1194" i="3"/>
  <c r="T1194" i="3" s="1"/>
  <c r="T1054" i="3" s="1"/>
  <c r="CH1194" i="3"/>
  <c r="CH1054" i="3" s="1"/>
  <c r="AO1195" i="3"/>
  <c r="AP1194" i="3" s="1"/>
  <c r="AR1194" i="3" s="1"/>
  <c r="AR1054" i="3" s="1"/>
  <c r="CA1194" i="3"/>
  <c r="CA1054" i="3" s="1"/>
  <c r="BY1195" i="3"/>
  <c r="AI1195" i="3"/>
  <c r="AJ1194" i="3" s="1"/>
  <c r="AL1194" i="3" s="1"/>
  <c r="AL1054" i="3" s="1"/>
  <c r="AU1195" i="3"/>
  <c r="AX1194" i="3"/>
  <c r="AX1054" i="3" s="1"/>
  <c r="BM1195" i="3"/>
  <c r="BA1195" i="3"/>
  <c r="BB1194" i="3" s="1"/>
  <c r="BC1194" i="3" s="1"/>
  <c r="BC1054" i="3" s="1"/>
  <c r="BG1195" i="3"/>
  <c r="CE1195" i="3"/>
  <c r="AC1195" i="3"/>
  <c r="R1562" i="3"/>
  <c r="Y1194" i="3"/>
  <c r="Y1054" i="3" s="1"/>
  <c r="Z1194" i="3"/>
  <c r="Z1054" i="3" s="1"/>
  <c r="BJ178" i="3"/>
  <c r="BJ38" i="3" s="1"/>
  <c r="BI178" i="3"/>
  <c r="BI38" i="3" s="1"/>
  <c r="CB178" i="3"/>
  <c r="CB38" i="3" s="1"/>
  <c r="CA178" i="3"/>
  <c r="CA38" i="3" s="1"/>
  <c r="W179" i="3"/>
  <c r="AA179" i="3"/>
  <c r="AD178" i="3" s="1"/>
  <c r="AU179" i="3"/>
  <c r="AV178" i="3" s="1"/>
  <c r="AI179" i="3"/>
  <c r="AJ178" i="3" s="1"/>
  <c r="BA179" i="3"/>
  <c r="AC179" i="3"/>
  <c r="BS179" i="3"/>
  <c r="U179" i="3"/>
  <c r="X178" i="3" s="1"/>
  <c r="Z178" i="3" s="1"/>
  <c r="Z38" i="3" s="1"/>
  <c r="BG179" i="3"/>
  <c r="AO179" i="3"/>
  <c r="AP178" i="3" s="1"/>
  <c r="R178" i="3"/>
  <c r="CE179" i="3"/>
  <c r="BY179" i="3"/>
  <c r="BM179" i="3"/>
  <c r="BD178" i="3"/>
  <c r="BD38" i="3" s="1"/>
  <c r="BC178" i="3"/>
  <c r="BC38" i="3" s="1"/>
  <c r="BU178" i="3"/>
  <c r="BU38" i="3" s="1"/>
  <c r="BV178" i="3"/>
  <c r="BV38" i="3" s="1"/>
  <c r="CG178" i="3"/>
  <c r="CG38" i="3" s="1"/>
  <c r="CH178" i="3"/>
  <c r="CH38" i="3" s="1"/>
  <c r="BO178" i="3"/>
  <c r="BO38" i="3" s="1"/>
  <c r="BP178" i="3"/>
  <c r="BP38" i="3" s="1"/>
  <c r="Q437" i="3"/>
  <c r="AY433" i="3" s="1"/>
  <c r="BB432" i="3" s="1"/>
  <c r="BC432" i="3" s="1"/>
  <c r="BC292" i="3" s="1"/>
  <c r="Q442" i="3"/>
  <c r="CC433" i="3" s="1"/>
  <c r="CF432" i="3" s="1"/>
  <c r="CG432" i="3" s="1"/>
  <c r="CG292" i="3" s="1"/>
  <c r="Q1454" i="3"/>
  <c r="BE1449" i="3" s="1"/>
  <c r="BH1448" i="3" s="1"/>
  <c r="Q1448" i="3"/>
  <c r="Q1456" i="3"/>
  <c r="BQ1449" i="3" s="1"/>
  <c r="BT1448" i="3" s="1"/>
  <c r="Q1451" i="3"/>
  <c r="AM1449" i="3" s="1"/>
  <c r="Q1457" i="3"/>
  <c r="BW1449" i="3" s="1"/>
  <c r="BZ1448" i="3" s="1"/>
  <c r="Q1455" i="3"/>
  <c r="BK1449" i="3" s="1"/>
  <c r="BN1448" i="3" s="1"/>
  <c r="Q1449" i="3"/>
  <c r="Q1452" i="3"/>
  <c r="AS1449" i="3" s="1"/>
  <c r="AV1448" i="3" s="1"/>
  <c r="Q1450" i="3"/>
  <c r="AG1449" i="3" s="1"/>
  <c r="Q1453" i="3"/>
  <c r="AY1449" i="3" s="1"/>
  <c r="Q1458" i="3"/>
  <c r="CC1449" i="3" s="1"/>
  <c r="CF1448" i="3" s="1"/>
  <c r="Q432" i="3"/>
  <c r="Q434" i="3"/>
  <c r="AG433" i="3" s="1"/>
  <c r="AJ432" i="3" s="1"/>
  <c r="AK432" i="3" s="1"/>
  <c r="AK292" i="3" s="1"/>
  <c r="Q439" i="3"/>
  <c r="BK433" i="3" s="1"/>
  <c r="BN432" i="3" s="1"/>
  <c r="BO432" i="3" s="1"/>
  <c r="BO292" i="3" s="1"/>
  <c r="Q436" i="3"/>
  <c r="AS433" i="3" s="1"/>
  <c r="AV432" i="3" s="1"/>
  <c r="AW432" i="3" s="1"/>
  <c r="AW292" i="3" s="1"/>
  <c r="Q440" i="3"/>
  <c r="BQ433" i="3" s="1"/>
  <c r="BT432" i="3" s="1"/>
  <c r="BU432" i="3" s="1"/>
  <c r="BU292" i="3" s="1"/>
  <c r="Q435" i="3"/>
  <c r="AM433" i="3" s="1"/>
  <c r="AP432" i="3" s="1"/>
  <c r="AR432" i="3" s="1"/>
  <c r="AR292" i="3" s="1"/>
  <c r="Q433" i="3"/>
  <c r="Q441" i="3"/>
  <c r="BW433" i="3" s="1"/>
  <c r="BZ432" i="3" s="1"/>
  <c r="CA432" i="3" s="1"/>
  <c r="CA292" i="3" s="1"/>
  <c r="Q438" i="3"/>
  <c r="BE433" i="3" s="1"/>
  <c r="W14" i="1"/>
  <c r="AQ1194" i="3" l="1"/>
  <c r="AQ1054" i="3" s="1"/>
  <c r="AF1194" i="3"/>
  <c r="AF1054" i="3" s="1"/>
  <c r="P689" i="3"/>
  <c r="P688" i="3"/>
  <c r="P691" i="3"/>
  <c r="P694" i="3"/>
  <c r="P690" i="3"/>
  <c r="P692" i="3"/>
  <c r="P695" i="3"/>
  <c r="P696" i="3"/>
  <c r="P687" i="3"/>
  <c r="P693" i="3"/>
  <c r="P686" i="3"/>
  <c r="AK1194" i="3"/>
  <c r="AK1054" i="3" s="1"/>
  <c r="S1194" i="3"/>
  <c r="S1054" i="3" s="1"/>
  <c r="R1054" i="3" s="1"/>
  <c r="BD1194" i="3"/>
  <c r="BD1054" i="3" s="1"/>
  <c r="Y178" i="3"/>
  <c r="Y38" i="3" s="1"/>
  <c r="AK178" i="3"/>
  <c r="AK38" i="3" s="1"/>
  <c r="AL178" i="3"/>
  <c r="AL38" i="3" s="1"/>
  <c r="T178" i="3"/>
  <c r="T38" i="3" s="1"/>
  <c r="S178" i="3"/>
  <c r="S38" i="3" s="1"/>
  <c r="AX178" i="3"/>
  <c r="AX38" i="3" s="1"/>
  <c r="AW178" i="3"/>
  <c r="AW38" i="3" s="1"/>
  <c r="AQ178" i="3"/>
  <c r="AQ38" i="3" s="1"/>
  <c r="AR178" i="3"/>
  <c r="AR38" i="3" s="1"/>
  <c r="AE178" i="3"/>
  <c r="AE38" i="3" s="1"/>
  <c r="AF178" i="3"/>
  <c r="AF38" i="3" s="1"/>
  <c r="AU433" i="3"/>
  <c r="BD432" i="3"/>
  <c r="BD292" i="3" s="1"/>
  <c r="W433" i="3"/>
  <c r="BV432" i="3"/>
  <c r="BV292" i="3" s="1"/>
  <c r="AL432" i="3"/>
  <c r="AL292" i="3" s="1"/>
  <c r="BM433" i="3"/>
  <c r="AX432" i="3"/>
  <c r="AX292" i="3" s="1"/>
  <c r="CE433" i="3"/>
  <c r="U433" i="3"/>
  <c r="X432" i="3" s="1"/>
  <c r="Y432" i="3" s="1"/>
  <c r="Y292" i="3" s="1"/>
  <c r="CH432" i="3"/>
  <c r="CH292" i="3" s="1"/>
  <c r="BY433" i="3"/>
  <c r="AQ432" i="3"/>
  <c r="AQ292" i="3" s="1"/>
  <c r="BP432" i="3"/>
  <c r="BP292" i="3" s="1"/>
  <c r="AI433" i="3"/>
  <c r="BA433" i="3"/>
  <c r="BS433" i="3"/>
  <c r="CB432" i="3"/>
  <c r="CB292" i="3" s="1"/>
  <c r="AC433" i="3"/>
  <c r="BG433" i="3"/>
  <c r="BH432" i="3" s="1"/>
  <c r="AA433" i="3"/>
  <c r="R432" i="3"/>
  <c r="S432" i="3" s="1"/>
  <c r="S292" i="3" s="1"/>
  <c r="AO433" i="3"/>
  <c r="AW1448" i="3"/>
  <c r="AW1308" i="3" s="1"/>
  <c r="AX1448" i="3"/>
  <c r="AX1308" i="3" s="1"/>
  <c r="CG1448" i="3"/>
  <c r="CG1308" i="3" s="1"/>
  <c r="CH1448" i="3"/>
  <c r="CH1308" i="3" s="1"/>
  <c r="AA1449" i="3"/>
  <c r="AD1448" i="3" s="1"/>
  <c r="W1449" i="3"/>
  <c r="BV1448" i="3"/>
  <c r="BV1308" i="3" s="1"/>
  <c r="BU1448" i="3"/>
  <c r="BU1308" i="3" s="1"/>
  <c r="BO1448" i="3"/>
  <c r="BO1308" i="3" s="1"/>
  <c r="BP1448" i="3"/>
  <c r="BP1308" i="3" s="1"/>
  <c r="BG1449" i="3"/>
  <c r="U1449" i="3"/>
  <c r="X1448" i="3" s="1"/>
  <c r="AI1449" i="3"/>
  <c r="AJ1448" i="3" s="1"/>
  <c r="BS1449" i="3"/>
  <c r="BM1449" i="3"/>
  <c r="CE1449" i="3"/>
  <c r="AC1449" i="3"/>
  <c r="AO1449" i="3"/>
  <c r="AP1448" i="3" s="1"/>
  <c r="R1448" i="3"/>
  <c r="AU1449" i="3"/>
  <c r="BY1449" i="3"/>
  <c r="BA1449" i="3"/>
  <c r="BB1448" i="3" s="1"/>
  <c r="CA1448" i="3"/>
  <c r="CA1308" i="3" s="1"/>
  <c r="CB1448" i="3"/>
  <c r="CB1308" i="3" s="1"/>
  <c r="BJ1448" i="3"/>
  <c r="BJ1308" i="3" s="1"/>
  <c r="BI1448" i="3"/>
  <c r="BI1308" i="3" s="1"/>
  <c r="V14" i="1"/>
  <c r="Q693" i="3" l="1"/>
  <c r="BK687" i="3" s="1"/>
  <c r="BN686" i="3" s="1"/>
  <c r="Q696" i="3"/>
  <c r="CC687" i="3" s="1"/>
  <c r="CF686" i="3" s="1"/>
  <c r="Q688" i="3"/>
  <c r="AG687" i="3" s="1"/>
  <c r="Q689" i="3"/>
  <c r="AM687" i="3" s="1"/>
  <c r="AP686" i="3" s="1"/>
  <c r="Q691" i="3"/>
  <c r="AY687" i="3" s="1"/>
  <c r="BB686" i="3" s="1"/>
  <c r="Q695" i="3"/>
  <c r="BW687" i="3" s="1"/>
  <c r="BZ686" i="3" s="1"/>
  <c r="Q692" i="3"/>
  <c r="BE687" i="3" s="1"/>
  <c r="BH686" i="3" s="1"/>
  <c r="Q687" i="3"/>
  <c r="Q686" i="3"/>
  <c r="Q690" i="3"/>
  <c r="AS687" i="3" s="1"/>
  <c r="Q694" i="3"/>
  <c r="BQ687" i="3" s="1"/>
  <c r="BT686" i="3" s="1"/>
  <c r="R17" i="3"/>
  <c r="R23" i="3"/>
  <c r="R22" i="3"/>
  <c r="S15" i="3"/>
  <c r="S22" i="3"/>
  <c r="R21" i="3"/>
  <c r="R15" i="3"/>
  <c r="V15" i="1" s="1"/>
  <c r="R38" i="3"/>
  <c r="Q15" i="3" s="1"/>
  <c r="Z432" i="3"/>
  <c r="Z292" i="3" s="1"/>
  <c r="BJ432" i="3"/>
  <c r="BJ292" i="3" s="1"/>
  <c r="BI432" i="3"/>
  <c r="BI292" i="3" s="1"/>
  <c r="AD432" i="3"/>
  <c r="R19" i="3"/>
  <c r="V19" i="1" s="1"/>
  <c r="R18" i="3"/>
  <c r="T432" i="3"/>
  <c r="T292" i="3" s="1"/>
  <c r="S19" i="3"/>
  <c r="W19" i="1" s="1"/>
  <c r="R16" i="3"/>
  <c r="U5" i="1"/>
  <c r="BC1448" i="3"/>
  <c r="BC1308" i="3" s="1"/>
  <c r="BD1448" i="3"/>
  <c r="BD1308" i="3" s="1"/>
  <c r="AQ1448" i="3"/>
  <c r="AQ1308" i="3" s="1"/>
  <c r="AR1448" i="3"/>
  <c r="AR1308" i="3" s="1"/>
  <c r="AK1448" i="3"/>
  <c r="AK1308" i="3" s="1"/>
  <c r="AL1448" i="3"/>
  <c r="AL1308" i="3" s="1"/>
  <c r="AF1448" i="3"/>
  <c r="AF1308" i="3" s="1"/>
  <c r="AE1448" i="3"/>
  <c r="AE1308" i="3" s="1"/>
  <c r="Z1448" i="3"/>
  <c r="Z1308" i="3" s="1"/>
  <c r="Y1448" i="3"/>
  <c r="Y1308" i="3" s="1"/>
  <c r="T1448" i="3"/>
  <c r="T1308" i="3" s="1"/>
  <c r="S25" i="3" s="1"/>
  <c r="S1448" i="3"/>
  <c r="S1308" i="3" s="1"/>
  <c r="R25" i="3" s="1"/>
  <c r="V17" i="1"/>
  <c r="CB686" i="3" l="1"/>
  <c r="CB546" i="3" s="1"/>
  <c r="S11" i="3" s="1"/>
  <c r="P11" i="3" s="1"/>
  <c r="T12" i="1" s="1"/>
  <c r="CA686" i="3"/>
  <c r="CA546" i="3" s="1"/>
  <c r="R11" i="3" s="1"/>
  <c r="CG686" i="3"/>
  <c r="CG546" i="3" s="1"/>
  <c r="R12" i="3" s="1"/>
  <c r="V13" i="1" s="1"/>
  <c r="CH686" i="3"/>
  <c r="CH546" i="3" s="1"/>
  <c r="S12" i="3" s="1"/>
  <c r="W13" i="1" s="1"/>
  <c r="U687" i="3"/>
  <c r="X686" i="3" s="1"/>
  <c r="AC687" i="3"/>
  <c r="BM687" i="3"/>
  <c r="AU687" i="3"/>
  <c r="AV686" i="3" s="1"/>
  <c r="BY687" i="3"/>
  <c r="BG687" i="3"/>
  <c r="AI687" i="3"/>
  <c r="AJ686" i="3" s="1"/>
  <c r="CE687" i="3"/>
  <c r="AO687" i="3"/>
  <c r="R686" i="3"/>
  <c r="BS687" i="3"/>
  <c r="BA687" i="3"/>
  <c r="BD686" i="3"/>
  <c r="BD546" i="3" s="1"/>
  <c r="BC686" i="3"/>
  <c r="BC546" i="3" s="1"/>
  <c r="R7" i="3" s="1"/>
  <c r="BO686" i="3"/>
  <c r="BO546" i="3" s="1"/>
  <c r="R9" i="3" s="1"/>
  <c r="BP686" i="3"/>
  <c r="BP546" i="3" s="1"/>
  <c r="S9" i="3" s="1"/>
  <c r="AA687" i="3"/>
  <c r="AD686" i="3" s="1"/>
  <c r="W687" i="3"/>
  <c r="AQ686" i="3"/>
  <c r="AQ546" i="3" s="1"/>
  <c r="R5" i="3" s="1"/>
  <c r="AR686" i="3"/>
  <c r="AR546" i="3" s="1"/>
  <c r="S5" i="3" s="1"/>
  <c r="W6" i="1" s="1"/>
  <c r="S7" i="3"/>
  <c r="BU686" i="3"/>
  <c r="BU546" i="3" s="1"/>
  <c r="R10" i="3" s="1"/>
  <c r="V11" i="1" s="1"/>
  <c r="BV686" i="3"/>
  <c r="BV546" i="3" s="1"/>
  <c r="S10" i="3" s="1"/>
  <c r="BJ686" i="3"/>
  <c r="BJ546" i="3" s="1"/>
  <c r="S8" i="3" s="1"/>
  <c r="BI686" i="3"/>
  <c r="BI546" i="3" s="1"/>
  <c r="R8" i="3" s="1"/>
  <c r="R292" i="3"/>
  <c r="Q16" i="3" s="1"/>
  <c r="U16" i="1" s="1"/>
  <c r="S23" i="3"/>
  <c r="S21" i="3"/>
  <c r="R20" i="3"/>
  <c r="V21" i="1" s="1"/>
  <c r="R24" i="3"/>
  <c r="S20" i="3"/>
  <c r="S24" i="3"/>
  <c r="S16" i="3"/>
  <c r="W16" i="1" s="1"/>
  <c r="AF432" i="3"/>
  <c r="AF292" i="3" s="1"/>
  <c r="AE432" i="3"/>
  <c r="AE292" i="3" s="1"/>
  <c r="V12" i="1"/>
  <c r="V16" i="1"/>
  <c r="S18" i="3"/>
  <c r="W12" i="1" s="1"/>
  <c r="S17" i="3"/>
  <c r="W15" i="1"/>
  <c r="U14" i="1"/>
  <c r="V10" i="1"/>
  <c r="W8" i="1"/>
  <c r="R1308" i="3"/>
  <c r="Q17" i="3"/>
  <c r="U13" i="1" s="1"/>
  <c r="V18" i="1"/>
  <c r="Q19" i="3"/>
  <c r="Q21" i="3"/>
  <c r="P10" i="3" l="1"/>
  <c r="T11" i="1" s="1"/>
  <c r="P12" i="3"/>
  <c r="T13" i="1" s="1"/>
  <c r="W21" i="1"/>
  <c r="P8" i="3"/>
  <c r="T9" i="1" s="1"/>
  <c r="V9" i="1"/>
  <c r="V8" i="1"/>
  <c r="P7" i="3"/>
  <c r="T8" i="1" s="1"/>
  <c r="V6" i="1"/>
  <c r="P5" i="3"/>
  <c r="T6" i="1" s="1"/>
  <c r="Y686" i="3"/>
  <c r="Y546" i="3" s="1"/>
  <c r="R2" i="3" s="1"/>
  <c r="Z686" i="3"/>
  <c r="Z546" i="3" s="1"/>
  <c r="S2" i="3" s="1"/>
  <c r="W3" i="1" s="1"/>
  <c r="V20" i="1"/>
  <c r="S686" i="3"/>
  <c r="S546" i="3" s="1"/>
  <c r="T686" i="3"/>
  <c r="T546" i="3" s="1"/>
  <c r="AE686" i="3"/>
  <c r="AE546" i="3" s="1"/>
  <c r="R3" i="3" s="1"/>
  <c r="V4" i="1" s="1"/>
  <c r="AF686" i="3"/>
  <c r="AF546" i="3" s="1"/>
  <c r="S3" i="3" s="1"/>
  <c r="W4" i="1" s="1"/>
  <c r="P9" i="3"/>
  <c r="T10" i="1" s="1"/>
  <c r="AX686" i="3"/>
  <c r="AX546" i="3" s="1"/>
  <c r="S6" i="3" s="1"/>
  <c r="W7" i="1" s="1"/>
  <c r="AW686" i="3"/>
  <c r="AW546" i="3" s="1"/>
  <c r="R6" i="3" s="1"/>
  <c r="AK686" i="3"/>
  <c r="AK546" i="3" s="1"/>
  <c r="R4" i="3" s="1"/>
  <c r="AL686" i="3"/>
  <c r="AL546" i="3" s="1"/>
  <c r="S4" i="3" s="1"/>
  <c r="W5" i="1" s="1"/>
  <c r="W20" i="1"/>
  <c r="Q18" i="3"/>
  <c r="U18" i="1" s="1"/>
  <c r="Q23" i="3"/>
  <c r="Q24" i="3"/>
  <c r="Q25" i="3"/>
  <c r="W9" i="1"/>
  <c r="W10" i="1"/>
  <c r="U19" i="1"/>
  <c r="W17" i="1"/>
  <c r="W11" i="1"/>
  <c r="W18" i="1"/>
  <c r="Q22" i="3"/>
  <c r="Q20" i="3"/>
  <c r="U21" i="1" s="1"/>
  <c r="U15" i="1"/>
  <c r="U6" i="1"/>
  <c r="U12" i="1"/>
  <c r="U10" i="1"/>
  <c r="U7" i="1"/>
  <c r="U9" i="1"/>
  <c r="U17" i="1"/>
  <c r="U8" i="1"/>
  <c r="U11" i="1" l="1"/>
  <c r="R546" i="3"/>
  <c r="V5" i="1"/>
  <c r="P4" i="3"/>
  <c r="T5" i="1" s="1"/>
  <c r="V3" i="1"/>
  <c r="P2" i="3"/>
  <c r="T3" i="1" s="1"/>
  <c r="P3" i="3"/>
  <c r="T4" i="1" s="1"/>
  <c r="V7" i="1"/>
  <c r="P6" i="3"/>
  <c r="T7" i="1" s="1"/>
  <c r="U20" i="1"/>
</calcChain>
</file>

<file path=xl/sharedStrings.xml><?xml version="1.0" encoding="utf-8"?>
<sst xmlns="http://schemas.openxmlformats.org/spreadsheetml/2006/main" count="10538" uniqueCount="93">
  <si>
    <t>&lt;=</t>
  </si>
  <si>
    <t>Base</t>
  </si>
  <si>
    <t>X1</t>
  </si>
  <si>
    <r>
      <t>C</t>
    </r>
    <r>
      <rPr>
        <b/>
        <vertAlign val="subscript"/>
        <sz val="11"/>
        <color theme="1"/>
        <rFont val="Calibri"/>
        <family val="2"/>
        <charset val="161"/>
        <scheme val="minor"/>
      </rPr>
      <t>B</t>
    </r>
  </si>
  <si>
    <r>
      <t>C</t>
    </r>
    <r>
      <rPr>
        <b/>
        <vertAlign val="subscript"/>
        <sz val="11"/>
        <color theme="1"/>
        <rFont val="Calibri"/>
        <family val="2"/>
        <charset val="161"/>
        <scheme val="minor"/>
      </rPr>
      <t>j</t>
    </r>
  </si>
  <si>
    <r>
      <t>C</t>
    </r>
    <r>
      <rPr>
        <b/>
        <vertAlign val="subscript"/>
        <sz val="11"/>
        <color theme="1"/>
        <rFont val="Calibri"/>
        <family val="2"/>
        <charset val="161"/>
        <scheme val="minor"/>
      </rPr>
      <t>j</t>
    </r>
    <r>
      <rPr>
        <b/>
        <sz val="11"/>
        <color theme="1"/>
        <rFont val="Calibri"/>
        <family val="2"/>
        <charset val="161"/>
        <scheme val="minor"/>
      </rPr>
      <t>-Z</t>
    </r>
    <r>
      <rPr>
        <b/>
        <vertAlign val="subscript"/>
        <sz val="11"/>
        <color theme="1"/>
        <rFont val="Calibri"/>
        <family val="2"/>
        <charset val="161"/>
        <scheme val="minor"/>
      </rPr>
      <t>j</t>
    </r>
  </si>
  <si>
    <t>X2</t>
  </si>
  <si>
    <t>1)</t>
  </si>
  <si>
    <t>2)</t>
  </si>
  <si>
    <t>RHS</t>
  </si>
  <si>
    <t>Ratio</t>
  </si>
  <si>
    <t>Maximize</t>
  </si>
  <si>
    <t>Solution</t>
  </si>
  <si>
    <t>Lower bound</t>
  </si>
  <si>
    <t>Upper bound</t>
  </si>
  <si>
    <t>X3</t>
  </si>
  <si>
    <t>&gt;=</t>
  </si>
  <si>
    <t>Helper</t>
  </si>
  <si>
    <t>Variables</t>
  </si>
  <si>
    <t>Positive</t>
  </si>
  <si>
    <t>Not part of the solution</t>
  </si>
  <si>
    <t>Part of the solution</t>
  </si>
  <si>
    <t>Sensitivity analysis for right hand side</t>
  </si>
  <si>
    <t>Rest</t>
  </si>
  <si>
    <t>Direction</t>
  </si>
  <si>
    <t>Upper</t>
  </si>
  <si>
    <t>Lower</t>
  </si>
  <si>
    <t>Variable</t>
  </si>
  <si>
    <t>Constraints</t>
  </si>
  <si>
    <t>Status</t>
  </si>
  <si>
    <t>Solution value</t>
  </si>
  <si>
    <t>Total distribution</t>
  </si>
  <si>
    <t>Right hand side</t>
  </si>
  <si>
    <t>Left hand side</t>
  </si>
  <si>
    <t>Shadow price</t>
  </si>
  <si>
    <t>Reduced cost</t>
  </si>
  <si>
    <t>X4</t>
  </si>
  <si>
    <t>X5</t>
  </si>
  <si>
    <t>X6</t>
  </si>
  <si>
    <t>X7</t>
  </si>
  <si>
    <t>X8</t>
  </si>
  <si>
    <t>X9</t>
  </si>
  <si>
    <t>X10</t>
  </si>
  <si>
    <t>X11</t>
  </si>
  <si>
    <t>C12</t>
  </si>
  <si>
    <t>C13</t>
  </si>
  <si>
    <t>C14</t>
  </si>
  <si>
    <t>C15</t>
  </si>
  <si>
    <t>C16</t>
  </si>
  <si>
    <t>C17</t>
  </si>
  <si>
    <t>C18</t>
  </si>
  <si>
    <t>C19</t>
  </si>
  <si>
    <t>C20</t>
  </si>
  <si>
    <t>C21</t>
  </si>
  <si>
    <t>C22</t>
  </si>
  <si>
    <t>Constraint</t>
  </si>
  <si>
    <t>Data</t>
  </si>
  <si>
    <t xml:space="preserve"> </t>
  </si>
  <si>
    <t>Minimize</t>
  </si>
  <si>
    <t>=</t>
  </si>
  <si>
    <t>Type</t>
  </si>
  <si>
    <t>3)</t>
  </si>
  <si>
    <t>4)</t>
  </si>
  <si>
    <t>5)</t>
  </si>
  <si>
    <t>6)</t>
  </si>
  <si>
    <t>7)</t>
  </si>
  <si>
    <t>8)</t>
  </si>
  <si>
    <t>9)</t>
  </si>
  <si>
    <t>10)</t>
  </si>
  <si>
    <t>11)</t>
  </si>
  <si>
    <t>Slack / Surplus</t>
  </si>
  <si>
    <t>12)</t>
  </si>
  <si>
    <t>13)</t>
  </si>
  <si>
    <t>14)</t>
  </si>
  <si>
    <t>15)</t>
  </si>
  <si>
    <t>16)</t>
  </si>
  <si>
    <t>17)</t>
  </si>
  <si>
    <t>18)</t>
  </si>
  <si>
    <t>19)</t>
  </si>
  <si>
    <t>20)</t>
  </si>
  <si>
    <t>21)</t>
  </si>
  <si>
    <t xml:space="preserve">                                                                                                         Sensitivity analysis for profits / costs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</si>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</sst>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.0000"/>
    <numFmt numFmtId="165" formatCode="#,##0.000000000000000"/>
  </numFmts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161"/>
      <scheme val="minor"/>
    </font>
    <font>
      <b/>
      <vertAlign val="subscript"/>
      <sz val="11"/>
      <color theme="1"/>
      <name val="Calibri"/>
      <family val="2"/>
      <charset val="161"/>
      <scheme val="minor"/>
    </font>
    <font>
      <sz val="11"/>
      <color rgb="FFFF0000"/>
      <name val="Calibri"/>
      <family val="2"/>
      <charset val="161"/>
      <scheme val="minor"/>
    </font>
    <font>
      <sz val="11"/>
      <name val="Calibri"/>
      <family val="2"/>
      <charset val="161"/>
      <scheme val="minor"/>
    </font>
    <font>
      <b/>
      <sz val="11"/>
      <name val="Calibri"/>
      <family val="2"/>
      <charset val="161"/>
      <scheme val="minor"/>
    </font>
    <font>
      <sz val="11"/>
      <name val="Calibri"/>
      <family val="2"/>
      <charset val="161"/>
    </font>
    <font>
      <sz val="10"/>
      <name val="Arial"/>
      <family val="2"/>
      <charset val="161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</borders>
  <cellStyleXfs count="2">
    <xf numFmtId="0" fontId="0" fillId="0" borderId="0"/>
    <xf numFmtId="0" fontId="7" fillId="0" borderId="0"/>
  </cellStyleXfs>
  <cellXfs count="53">
    <xf numFmtId="0" fontId="0" fillId="0" borderId="0" xfId="0"/>
    <xf numFmtId="4" fontId="0" fillId="0" borderId="0" xfId="0" applyNumberFormat="1" applyAlignment="1">
      <alignment horizontal="center" vertical="center"/>
    </xf>
    <xf numFmtId="4" fontId="1" fillId="0" borderId="0" xfId="0" applyNumberFormat="1" applyFont="1" applyAlignment="1">
      <alignment horizontal="center" vertical="center"/>
    </xf>
    <xf numFmtId="4" fontId="3" fillId="0" borderId="0" xfId="0" applyNumberFormat="1" applyFont="1" applyAlignment="1">
      <alignment horizontal="center" vertical="center"/>
    </xf>
    <xf numFmtId="4" fontId="4" fillId="0" borderId="0" xfId="0" applyNumberFormat="1" applyFont="1" applyAlignment="1">
      <alignment horizontal="center" vertical="center"/>
    </xf>
    <xf numFmtId="4" fontId="5" fillId="0" borderId="0" xfId="0" applyNumberFormat="1" applyFont="1" applyAlignment="1">
      <alignment horizontal="center" vertical="center"/>
    </xf>
    <xf numFmtId="2" fontId="4" fillId="0" borderId="0" xfId="0" applyNumberFormat="1" applyFont="1" applyAlignment="1">
      <alignment horizontal="center" vertical="center"/>
    </xf>
    <xf numFmtId="4" fontId="5" fillId="0" borderId="0" xfId="0" applyNumberFormat="1" applyFont="1" applyAlignment="1">
      <alignment horizontal="center" vertical="center"/>
    </xf>
    <xf numFmtId="4" fontId="4" fillId="0" borderId="0" xfId="0" applyNumberFormat="1" applyFont="1" applyAlignment="1">
      <alignment horizontal="center" vertical="center"/>
    </xf>
    <xf numFmtId="4" fontId="5" fillId="2" borderId="0" xfId="0" applyNumberFormat="1" applyFont="1" applyFill="1" applyAlignment="1">
      <alignment horizontal="center" vertical="center"/>
    </xf>
    <xf numFmtId="4" fontId="5" fillId="0" borderId="0" xfId="0" applyNumberFormat="1" applyFont="1" applyAlignment="1">
      <alignment horizontal="center" vertical="center"/>
    </xf>
    <xf numFmtId="4" fontId="5" fillId="0" borderId="0" xfId="0" applyNumberFormat="1" applyFont="1" applyAlignment="1">
      <alignment vertical="center"/>
    </xf>
    <xf numFmtId="4" fontId="4" fillId="0" borderId="0" xfId="0" applyNumberFormat="1" applyFont="1" applyFill="1" applyAlignment="1">
      <alignment horizontal="center" vertical="center"/>
    </xf>
    <xf numFmtId="4" fontId="5" fillId="0" borderId="0" xfId="0" applyNumberFormat="1" applyFont="1" applyAlignment="1">
      <alignment horizontal="center" vertical="center"/>
    </xf>
    <xf numFmtId="4" fontId="4" fillId="0" borderId="0" xfId="0" applyNumberFormat="1" applyFont="1" applyFill="1" applyAlignment="1">
      <alignment vertical="center"/>
    </xf>
    <xf numFmtId="4" fontId="5" fillId="0" borderId="0" xfId="0" applyNumberFormat="1" applyFont="1" applyAlignment="1">
      <alignment horizontal="center" vertical="center"/>
    </xf>
    <xf numFmtId="4" fontId="4" fillId="2" borderId="0" xfId="0" applyNumberFormat="1" applyFont="1" applyFill="1" applyAlignment="1">
      <alignment horizontal="center" vertical="center"/>
    </xf>
    <xf numFmtId="4" fontId="5" fillId="0" borderId="0" xfId="0" applyNumberFormat="1" applyFont="1" applyAlignment="1">
      <alignment horizontal="center" vertical="center"/>
    </xf>
    <xf numFmtId="4" fontId="4" fillId="0" borderId="1" xfId="0" applyNumberFormat="1" applyFont="1" applyBorder="1" applyAlignment="1">
      <alignment horizontal="center" vertical="center"/>
    </xf>
    <xf numFmtId="4" fontId="5" fillId="0" borderId="1" xfId="0" applyNumberFormat="1" applyFont="1" applyBorder="1" applyAlignment="1">
      <alignment horizontal="center" vertical="center"/>
    </xf>
    <xf numFmtId="4" fontId="5" fillId="2" borderId="1" xfId="0" applyNumberFormat="1" applyFont="1" applyFill="1" applyBorder="1" applyAlignment="1">
      <alignment horizontal="center" vertical="center"/>
    </xf>
    <xf numFmtId="4" fontId="4" fillId="0" borderId="1" xfId="0" applyNumberFormat="1" applyFont="1" applyFill="1" applyBorder="1" applyAlignment="1">
      <alignment horizontal="center" vertical="center"/>
    </xf>
    <xf numFmtId="4" fontId="4" fillId="0" borderId="0" xfId="0" applyNumberFormat="1" applyFont="1" applyBorder="1" applyAlignment="1">
      <alignment horizontal="center" vertical="center"/>
    </xf>
    <xf numFmtId="4" fontId="5" fillId="0" borderId="0" xfId="0" applyNumberFormat="1" applyFont="1" applyBorder="1" applyAlignment="1">
      <alignment horizontal="center" vertical="center"/>
    </xf>
    <xf numFmtId="4" fontId="5" fillId="0" borderId="0" xfId="0" applyNumberFormat="1" applyFont="1" applyAlignment="1">
      <alignment horizontal="center" vertical="center"/>
    </xf>
    <xf numFmtId="4" fontId="6" fillId="0" borderId="0" xfId="0" applyNumberFormat="1" applyFont="1" applyAlignment="1">
      <alignment horizontal="center" vertical="center"/>
    </xf>
    <xf numFmtId="164" fontId="4" fillId="0" borderId="0" xfId="0" applyNumberFormat="1" applyFont="1" applyAlignment="1">
      <alignment horizontal="center" vertical="center"/>
    </xf>
    <xf numFmtId="4" fontId="5" fillId="0" borderId="0" xfId="0" applyNumberFormat="1" applyFont="1" applyAlignment="1">
      <alignment horizontal="center" vertical="center"/>
    </xf>
    <xf numFmtId="4" fontId="5" fillId="2" borderId="0" xfId="0" applyNumberFormat="1" applyFont="1" applyFill="1" applyAlignment="1">
      <alignment horizontal="center" vertical="center"/>
    </xf>
    <xf numFmtId="4" fontId="5" fillId="0" borderId="0" xfId="0" applyNumberFormat="1" applyFont="1" applyAlignment="1">
      <alignment horizontal="center" vertical="center"/>
    </xf>
    <xf numFmtId="164" fontId="5" fillId="0" borderId="0" xfId="0" applyNumberFormat="1" applyFont="1" applyAlignment="1">
      <alignment horizontal="center" vertical="center"/>
    </xf>
    <xf numFmtId="4" fontId="5" fillId="0" borderId="0" xfId="0" applyNumberFormat="1" applyFont="1" applyAlignment="1">
      <alignment horizontal="center" vertical="center"/>
    </xf>
    <xf numFmtId="4" fontId="4" fillId="0" borderId="0" xfId="0" applyNumberFormat="1" applyFont="1" applyAlignment="1">
      <alignment horizontal="center" vertical="center"/>
    </xf>
    <xf numFmtId="4" fontId="5" fillId="0" borderId="0" xfId="0" applyNumberFormat="1" applyFont="1" applyAlignment="1">
      <alignment horizontal="center" vertical="center"/>
    </xf>
    <xf numFmtId="4" fontId="4" fillId="0" borderId="0" xfId="0" applyNumberFormat="1" applyFont="1" applyAlignment="1">
      <alignment horizontal="center" vertical="center"/>
    </xf>
    <xf numFmtId="4" fontId="5" fillId="2" borderId="0" xfId="0" applyNumberFormat="1" applyFont="1" applyFill="1" applyAlignment="1">
      <alignment horizontal="center" vertical="center"/>
    </xf>
    <xf numFmtId="4" fontId="4" fillId="0" borderId="0" xfId="0" applyNumberFormat="1" applyFont="1" applyAlignment="1">
      <alignment horizontal="center" vertical="center"/>
    </xf>
    <xf numFmtId="4" fontId="4" fillId="0" borderId="0" xfId="0" applyNumberFormat="1" applyFont="1" applyAlignment="1">
      <alignment horizontal="center" vertical="center"/>
    </xf>
    <xf numFmtId="4" fontId="5" fillId="0" borderId="0" xfId="0" applyNumberFormat="1" applyFont="1" applyAlignment="1">
      <alignment horizontal="center" vertical="center"/>
    </xf>
    <xf numFmtId="4" fontId="4" fillId="0" borderId="0" xfId="0" applyNumberFormat="1" applyFont="1" applyAlignment="1">
      <alignment horizontal="center" vertical="center"/>
    </xf>
    <xf numFmtId="4" fontId="4" fillId="0" borderId="0" xfId="0" applyNumberFormat="1" applyFont="1" applyAlignment="1">
      <alignment horizontal="center" vertical="center"/>
    </xf>
    <xf numFmtId="165" fontId="5" fillId="2" borderId="0" xfId="0" applyNumberFormat="1" applyFont="1" applyFill="1" applyAlignment="1">
      <alignment horizontal="center" vertical="center"/>
    </xf>
    <xf numFmtId="4" fontId="4" fillId="0" borderId="0" xfId="0" applyNumberFormat="1" applyFont="1" applyAlignment="1">
      <alignment horizontal="center" vertical="center"/>
    </xf>
    <xf numFmtId="4" fontId="5" fillId="0" borderId="0" xfId="0" applyNumberFormat="1" applyFont="1" applyAlignment="1">
      <alignment horizontal="center" vertical="center"/>
    </xf>
    <xf numFmtId="4" fontId="5" fillId="0" borderId="0" xfId="0" applyNumberFormat="1" applyFont="1" applyAlignment="1">
      <alignment horizontal="center" vertical="center"/>
    </xf>
    <xf numFmtId="4" fontId="4" fillId="0" borderId="0" xfId="0" applyNumberFormat="1" applyFont="1" applyAlignment="1">
      <alignment horizontal="center" vertical="center"/>
    </xf>
    <xf numFmtId="4" fontId="5" fillId="0" borderId="0" xfId="0" applyNumberFormat="1" applyFont="1" applyAlignment="1">
      <alignment horizontal="center" vertical="center"/>
    </xf>
    <xf numFmtId="164" fontId="5" fillId="0" borderId="0" xfId="0" applyNumberFormat="1" applyFont="1" applyAlignment="1">
      <alignment horizontal="center" vertical="center"/>
    </xf>
    <xf numFmtId="4" fontId="4" fillId="0" borderId="0" xfId="0" applyNumberFormat="1" applyFont="1" applyAlignment="1">
      <alignment horizontal="center" vertical="center"/>
    </xf>
    <xf numFmtId="4" fontId="5" fillId="2" borderId="0" xfId="0" applyNumberFormat="1" applyFont="1" applyFill="1" applyAlignment="1">
      <alignment horizontal="center" vertical="center"/>
    </xf>
    <xf numFmtId="4" fontId="5" fillId="2" borderId="2" xfId="0" applyNumberFormat="1" applyFont="1" applyFill="1" applyBorder="1" applyAlignment="1">
      <alignment horizontal="center" vertical="center"/>
    </xf>
    <xf numFmtId="4" fontId="5" fillId="0" borderId="0" xfId="0" applyNumberFormat="1" applyFont="1" applyAlignment="1">
      <alignment horizontal="left" vertical="center"/>
    </xf>
    <xf numFmtId="4" fontId="5" fillId="0" borderId="0" xfId="0" applyNumberFormat="1" applyFont="1" applyBorder="1" applyAlignment="1">
      <alignment horizontal="center" vertical="center"/>
    </xf>
  </cellXfs>
  <cellStyles count="2">
    <cellStyle name="Normal" xfId="0" builtinId="0"/>
    <cellStyle name="Normal 2" xfId="1" xr:uid="{3EF944B1-3F4E-4DD1-9359-D85D0FE1D9E4}"/>
  </cellStyles>
  <dxfs count="11"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numFmt numFmtId="1" formatCode="0"/>
    </dxf>
    <dxf>
      <font>
        <b/>
        <i val="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26"/>
  <sheetViews>
    <sheetView tabSelected="1" zoomScale="92" zoomScaleNormal="92" workbookViewId="0">
      <selection activeCell="A2" sqref="A2"/>
    </sheetView>
  </sheetViews>
  <sheetFormatPr baseColWidth="10" defaultColWidth="9.1640625" defaultRowHeight="15" x14ac:dyDescent="0.2"/>
  <cols>
    <col min="1" max="1" width="9.6640625" style="29" bestFit="1" customWidth="1"/>
    <col min="2" max="12" width="7.5" style="8" bestFit="1" customWidth="1"/>
    <col min="13" max="13" width="3.1640625" style="38" bestFit="1" customWidth="1"/>
    <col min="14" max="14" width="10.1640625" style="8" bestFit="1" customWidth="1"/>
    <col min="15" max="15" width="3" style="48" customWidth="1"/>
    <col min="16" max="16" width="11.33203125" style="26" bestFit="1" customWidth="1"/>
    <col min="17" max="17" width="13.83203125" style="26" bestFit="1" customWidth="1"/>
    <col min="18" max="18" width="10.5" style="26" bestFit="1" customWidth="1"/>
    <col min="19" max="19" width="16.6640625" style="26" bestFit="1" customWidth="1"/>
    <col min="20" max="20" width="14" style="26" bestFit="1" customWidth="1"/>
    <col min="21" max="22" width="13.1640625" style="26" bestFit="1" customWidth="1"/>
    <col min="23" max="23" width="13.5" style="26" bestFit="1" customWidth="1"/>
    <col min="24" max="16384" width="9.1640625" style="8"/>
  </cols>
  <sheetData>
    <row r="1" spans="1:23" s="29" customFormat="1" x14ac:dyDescent="0.2">
      <c r="A1" s="46" t="s">
        <v>56</v>
      </c>
      <c r="B1" s="46"/>
      <c r="C1" s="46"/>
      <c r="D1" s="46"/>
      <c r="E1" s="46"/>
      <c r="F1" s="46"/>
      <c r="G1" s="46"/>
      <c r="H1" s="46"/>
      <c r="I1" s="46"/>
      <c r="J1" s="46"/>
      <c r="K1" s="46"/>
      <c r="L1" s="46"/>
      <c r="M1" s="46"/>
      <c r="N1" s="46"/>
      <c r="O1" s="48"/>
      <c r="P1" s="47" t="s">
        <v>12</v>
      </c>
      <c r="Q1" s="47"/>
      <c r="R1" s="47"/>
      <c r="S1" s="47"/>
      <c r="T1" s="47"/>
      <c r="U1" s="47"/>
      <c r="V1" s="47"/>
      <c r="W1" s="47"/>
    </row>
    <row r="2" spans="1:23" s="29" customFormat="1" x14ac:dyDescent="0.2">
      <c r="B2" s="29" t="s">
        <v>2</v>
      </c>
      <c r="C2" s="44" t="s">
        <v>6</v>
      </c>
      <c r="D2" s="44" t="s">
        <v>15</v>
      </c>
      <c r="E2" s="44" t="s">
        <v>36</v>
      </c>
      <c r="F2" s="44" t="s">
        <v>37</v>
      </c>
      <c r="G2" s="44" t="s">
        <v>38</v>
      </c>
      <c r="H2" s="44" t="s">
        <v>39</v>
      </c>
      <c r="I2" s="44" t="s">
        <v>40</v>
      </c>
      <c r="J2" s="44" t="s">
        <v>41</v>
      </c>
      <c r="K2" s="44" t="s">
        <v>42</v>
      </c>
      <c r="L2" s="44" t="s">
        <v>43</v>
      </c>
      <c r="M2" s="38"/>
      <c r="N2" s="29" t="s">
        <v>9</v>
      </c>
      <c r="O2" s="48"/>
      <c r="P2" s="30" t="str">
        <f>IFERROR(INDEX('Sensitivity analysis'!$A$1:$S$25,MATCH(SMALL('Sensitivity analysis'!$T$1:$T$25,1),'Sensitivity analysis'!$T$1:$T$25,0),1)," ")</f>
        <v>Variables</v>
      </c>
      <c r="Q2" s="30" t="str">
        <f>IFERROR(INDEX('Sensitivity analysis'!$A$1:$S$25,MATCH(SMALL('Sensitivity analysis'!$T$1:$T$25,1),'Sensitivity analysis'!$T$1:$T$25,0),13)," ")</f>
        <v>Solution value</v>
      </c>
      <c r="R2" s="30" t="str">
        <f>IFERROR(INDEX('Sensitivity analysis'!$A$1:$S$25,MATCH(SMALL('Sensitivity analysis'!$T$1:$T$25,1),'Sensitivity analysis'!$T$1:$T$25,0),14)," ")</f>
        <v>Unit profit</v>
      </c>
      <c r="S2" s="30" t="str">
        <f>IFERROR(INDEX('Sensitivity analysis'!$A$1:$S$25,MATCH(SMALL('Sensitivity analysis'!$T$1:$T$25,1),'Sensitivity analysis'!$T$1:$T$25,0),15)," ")</f>
        <v>Total distribution</v>
      </c>
      <c r="T2" s="30" t="str">
        <f>IFERROR(INDEX('Sensitivity analysis'!$A$1:$S$25,MATCH(SMALL('Sensitivity analysis'!$T$1:$T$25,1),'Sensitivity analysis'!$T$1:$T$25,0),16)," ")</f>
        <v>Reduced cost</v>
      </c>
      <c r="U2" s="30" t="str">
        <f>IFERROR(INDEX('Sensitivity analysis'!$A$1:$S$25,MATCH(SMALL('Sensitivity analysis'!$T$1:$T$25,1),'Sensitivity analysis'!$T$1:$T$25,0),17)," ")</f>
        <v>Status</v>
      </c>
      <c r="V2" s="30" t="str">
        <f>IFERROR(INDEX('Sensitivity analysis'!$A$1:$S$25,MATCH(SMALL('Sensitivity analysis'!$T$1:$T$25,1),'Sensitivity analysis'!$T$1:$T$25,0),18)," ")</f>
        <v>Lower bound</v>
      </c>
      <c r="W2" s="30" t="str">
        <f>IFERROR(INDEX('Sensitivity analysis'!$A$1:$S$25,MATCH(SMALL('Sensitivity analysis'!$T$1:$T$25,1),'Sensitivity analysis'!$T$1:$T$25,0),19)," ")</f>
        <v>Upper bound</v>
      </c>
    </row>
    <row r="3" spans="1:23" x14ac:dyDescent="0.2">
      <c r="A3" s="29" t="s">
        <v>11</v>
      </c>
      <c r="B3" s="8">
        <v>150</v>
      </c>
      <c r="C3" s="8">
        <v>200</v>
      </c>
      <c r="D3" s="8">
        <v>350</v>
      </c>
      <c r="P3" s="26" t="str">
        <f>IFERROR(INDEX('Sensitivity analysis'!$A$1:$S$25,MATCH(SMALL('Sensitivity analysis'!$T$1:$T$25,2),'Sensitivity analysis'!$T$1:$T$25,0),1)," ")</f>
        <v>X1</v>
      </c>
      <c r="Q3" s="26">
        <f>IFERROR(INDEX('Sensitivity analysis'!$A$1:$S$25,MATCH(SMALL('Sensitivity analysis'!$T$1:$T$25,2),'Sensitivity analysis'!$T$1:$T$25,0),13)," ")</f>
        <v>100.00000000000001</v>
      </c>
      <c r="R3" s="26">
        <f>IFERROR(INDEX('Sensitivity analysis'!$A$1:$S$25,MATCH(SMALL('Sensitivity analysis'!$T$1:$T$25,2),'Sensitivity analysis'!$T$1:$T$25,0),14)," ")</f>
        <v>150</v>
      </c>
      <c r="S3" s="26">
        <f>IFERROR(INDEX('Sensitivity analysis'!$A$1:$S$25,MATCH(SMALL('Sensitivity analysis'!$T$1:$T$25,2),'Sensitivity analysis'!$T$1:$T$25,0),15)," ")</f>
        <v>15000.000000000002</v>
      </c>
      <c r="T3" s="26">
        <f>IFERROR(INDEX('Sensitivity analysis'!$A$1:$S$25,MATCH(SMALL('Sensitivity analysis'!$T$1:$T$25,2),'Sensitivity analysis'!$T$1:$T$25,0),16)," ")</f>
        <v>0</v>
      </c>
      <c r="U3" s="26" t="str">
        <f>IFERROR(INDEX('Sensitivity analysis'!$A$1:$S$25,MATCH(SMALL('Sensitivity analysis'!$T$1:$T$25,2),'Sensitivity analysis'!$T$1:$T$25,0),17)," ")</f>
        <v>Basic</v>
      </c>
      <c r="V3" s="26">
        <f>IFERROR(INDEX('Sensitivity analysis'!$A$1:$S$25,MATCH(SMALL('Sensitivity analysis'!$T$1:$T$25,2),'Sensitivity analysis'!$T$1:$T$25,0),18)," ")</f>
        <v>116.66666666666669</v>
      </c>
      <c r="W3" s="26">
        <f>IFERROR(INDEX('Sensitivity analysis'!$A$1:$S$25,MATCH(SMALL('Sensitivity analysis'!$T$1:$T$25,2),'Sensitivity analysis'!$T$1:$T$25,0),19)," ")</f>
        <v>189.99999999999994</v>
      </c>
    </row>
    <row r="4" spans="1:23" x14ac:dyDescent="0.2">
      <c r="A4" s="29" t="s">
        <v>82</v>
      </c>
      <c r="B4" s="36">
        <v>1</v>
      </c>
      <c r="C4" s="36">
        <v>1</v>
      </c>
      <c r="D4" s="8">
        <v>1</v>
      </c>
      <c r="M4" s="38" t="s">
        <v>0</v>
      </c>
      <c r="N4" s="8">
        <v>550</v>
      </c>
      <c r="P4" s="26" t="str">
        <f>IFERROR(INDEX('Sensitivity analysis'!$A$1:$S$25,MATCH(SMALL('Sensitivity analysis'!$T$1:$T$25,3),'Sensitivity analysis'!$T$1:$T$25,0),1)," ")</f>
        <v>X2</v>
      </c>
      <c r="Q4" s="26">
        <f>IFERROR(INDEX('Sensitivity analysis'!$A$1:$S$25,MATCH(SMALL('Sensitivity analysis'!$T$1:$T$25,3),'Sensitivity analysis'!$T$1:$T$25,0),13)," ")</f>
        <v>0</v>
      </c>
      <c r="R4" s="26">
        <f>IFERROR(INDEX('Sensitivity analysis'!$A$1:$S$25,MATCH(SMALL('Sensitivity analysis'!$T$1:$T$25,3),'Sensitivity analysis'!$T$1:$T$25,0),14)," ")</f>
        <v>200</v>
      </c>
      <c r="S4" s="26">
        <f>IFERROR(INDEX('Sensitivity analysis'!$A$1:$S$25,MATCH(SMALL('Sensitivity analysis'!$T$1:$T$25,3),'Sensitivity analysis'!$T$1:$T$25,0),15)," ")</f>
        <v>0</v>
      </c>
      <c r="T4" s="26">
        <f>IFERROR(INDEX('Sensitivity analysis'!$A$1:$S$25,MATCH(SMALL('Sensitivity analysis'!$T$1:$T$25,3),'Sensitivity analysis'!$T$1:$T$25,0),16)," ")</f>
        <v>-49.999999999999943</v>
      </c>
      <c r="U4" s="26" t="str">
        <f>IFERROR(INDEX('Sensitivity analysis'!$A$1:$S$25,MATCH(SMALL('Sensitivity analysis'!$T$1:$T$25,3),'Sensitivity analysis'!$T$1:$T$25,0),17)," ")</f>
        <v>Non basic</v>
      </c>
      <c r="V4" s="26" t="str">
        <f>IFERROR(INDEX('Sensitivity analysis'!$A$1:$S$25,MATCH(SMALL('Sensitivity analysis'!$T$1:$T$25,3),'Sensitivity analysis'!$T$1:$T$25,0),18)," ")</f>
        <v>-M</v>
      </c>
      <c r="W4" s="26">
        <f>IFERROR(INDEX('Sensitivity analysis'!$A$1:$S$25,MATCH(SMALL('Sensitivity analysis'!$T$1:$T$25,3),'Sensitivity analysis'!$T$1:$T$25,0),19)," ")</f>
        <v>249.99999999999994</v>
      </c>
    </row>
    <row r="5" spans="1:23" x14ac:dyDescent="0.2">
      <c r="A5" s="29" t="s">
        <v>83</v>
      </c>
      <c r="B5" s="36">
        <v>1</v>
      </c>
      <c r="C5" s="36">
        <v>3</v>
      </c>
      <c r="D5" s="8">
        <v>2</v>
      </c>
      <c r="M5" s="38" t="s">
        <v>0</v>
      </c>
      <c r="N5" s="8">
        <v>1000</v>
      </c>
      <c r="P5" s="26" t="str">
        <f>IFERROR(INDEX('Sensitivity analysis'!$A$1:$S$25,MATCH(SMALL('Sensitivity analysis'!$T$1:$T$25,4),'Sensitivity analysis'!$T$1:$T$25,0),1)," ")</f>
        <v>X3</v>
      </c>
      <c r="Q5" s="26">
        <f>IFERROR(INDEX('Sensitivity analysis'!$A$1:$S$25,MATCH(SMALL('Sensitivity analysis'!$T$1:$T$25,4),'Sensitivity analysis'!$T$1:$T$25,0),13)," ")</f>
        <v>300</v>
      </c>
      <c r="R5" s="26">
        <f>IFERROR(INDEX('Sensitivity analysis'!$A$1:$S$25,MATCH(SMALL('Sensitivity analysis'!$T$1:$T$25,4),'Sensitivity analysis'!$T$1:$T$25,0),14)," ")</f>
        <v>350</v>
      </c>
      <c r="S5" s="26">
        <f>IFERROR(INDEX('Sensitivity analysis'!$A$1:$S$25,MATCH(SMALL('Sensitivity analysis'!$T$1:$T$25,4),'Sensitivity analysis'!$T$1:$T$25,0),15)," ")</f>
        <v>105000</v>
      </c>
      <c r="T5" s="26">
        <f>IFERROR(INDEX('Sensitivity analysis'!$A$1:$S$25,MATCH(SMALL('Sensitivity analysis'!$T$1:$T$25,4),'Sensitivity analysis'!$T$1:$T$25,0),16)," ")</f>
        <v>0</v>
      </c>
      <c r="U5" s="26" t="str">
        <f>IFERROR(INDEX('Sensitivity analysis'!$A$1:$S$25,MATCH(SMALL('Sensitivity analysis'!$T$1:$T$25,4),'Sensitivity analysis'!$T$1:$T$25,0),17)," ")</f>
        <v>Basic</v>
      </c>
      <c r="V5" s="26">
        <f>IFERROR(INDEX('Sensitivity analysis'!$A$1:$S$25,MATCH(SMALL('Sensitivity analysis'!$T$1:$T$25,4),'Sensitivity analysis'!$T$1:$T$25,0),18)," ")</f>
        <v>310</v>
      </c>
      <c r="W5" s="26">
        <f>IFERROR(INDEX('Sensitivity analysis'!$A$1:$S$25,MATCH(SMALL('Sensitivity analysis'!$T$1:$T$25,4),'Sensitivity analysis'!$T$1:$T$25,0),19)," ")</f>
        <v>450</v>
      </c>
    </row>
    <row r="6" spans="1:23" x14ac:dyDescent="0.2">
      <c r="A6" s="44" t="s">
        <v>84</v>
      </c>
      <c r="B6" s="36">
        <v>2</v>
      </c>
      <c r="C6" s="36">
        <v>5</v>
      </c>
      <c r="D6" s="8">
        <v>6</v>
      </c>
      <c r="M6" s="38" t="s">
        <v>0</v>
      </c>
      <c r="N6" s="8">
        <v>2000</v>
      </c>
      <c r="P6" s="26" t="str">
        <f>IFERROR(INDEX('Sensitivity analysis'!$A$1:$S$25,MATCH(SMALL('Sensitivity analysis'!$T$1:$T$25,5),'Sensitivity analysis'!$T$1:$T$25,0),1)," ")</f>
        <v>Max value:</v>
      </c>
      <c r="Q6" s="26" t="str">
        <f>IFERROR(INDEX('Sensitivity analysis'!$A$1:$S$25,MATCH(SMALL('Sensitivity analysis'!$T$1:$T$25,5),'Sensitivity analysis'!$T$1:$T$25,0),13)," ")</f>
        <v xml:space="preserve"> </v>
      </c>
      <c r="R6" s="26" t="str">
        <f>IFERROR(INDEX('Sensitivity analysis'!$A$1:$S$25,MATCH(SMALL('Sensitivity analysis'!$T$1:$T$25,5),'Sensitivity analysis'!$T$1:$T$25,0),14)," ")</f>
        <v xml:space="preserve"> </v>
      </c>
      <c r="S6" s="26">
        <f>IFERROR(INDEX('Sensitivity analysis'!$A$1:$S$25,MATCH(SMALL('Sensitivity analysis'!$T$1:$T$25,5),'Sensitivity analysis'!$T$1:$T$25,0),15)," ")</f>
        <v>120000</v>
      </c>
      <c r="T6" s="26" t="str">
        <f>IFERROR(INDEX('Sensitivity analysis'!$A$1:$S$25,MATCH(SMALL('Sensitivity analysis'!$T$1:$T$25,5),'Sensitivity analysis'!$T$1:$T$25,0),16)," ")</f>
        <v xml:space="preserve"> </v>
      </c>
      <c r="U6" s="26" t="str">
        <f>IFERROR(INDEX('Sensitivity analysis'!$A$1:$S$25,MATCH(SMALL('Sensitivity analysis'!$T$1:$T$25,5),'Sensitivity analysis'!$T$1:$T$25,0),17)," ")</f>
        <v xml:space="preserve"> </v>
      </c>
      <c r="V6" s="26" t="str">
        <f>IFERROR(INDEX('Sensitivity analysis'!$A$1:$S$25,MATCH(SMALL('Sensitivity analysis'!$T$1:$T$25,5),'Sensitivity analysis'!$T$1:$T$25,0),18)," ")</f>
        <v xml:space="preserve"> </v>
      </c>
      <c r="W6" s="26" t="str">
        <f>IFERROR(INDEX('Sensitivity analysis'!$A$1:$S$25,MATCH(SMALL('Sensitivity analysis'!$T$1:$T$25,5),'Sensitivity analysis'!$T$1:$T$25,0),19)," ")</f>
        <v xml:space="preserve"> </v>
      </c>
    </row>
    <row r="7" spans="1:23" x14ac:dyDescent="0.2">
      <c r="A7" s="44" t="s">
        <v>85</v>
      </c>
      <c r="B7" s="8">
        <v>1</v>
      </c>
      <c r="C7" s="8">
        <v>0</v>
      </c>
      <c r="D7" s="8">
        <v>1</v>
      </c>
      <c r="M7" s="38" t="s">
        <v>0</v>
      </c>
      <c r="N7" s="8">
        <v>400</v>
      </c>
      <c r="P7" s="26" t="str">
        <f>IFERROR(INDEX('Sensitivity analysis'!$A$1:$S$25,MATCH(SMALL('Sensitivity analysis'!$T$1:$T$25,6),'Sensitivity analysis'!$T$1:$T$25,0),1)," ")</f>
        <v>Constraints</v>
      </c>
      <c r="Q7" s="26" t="str">
        <f>IFERROR(INDEX('Sensitivity analysis'!$A$1:$S$25,MATCH(SMALL('Sensitivity analysis'!$T$1:$T$25,6),'Sensitivity analysis'!$T$1:$T$25,0),13)," ")</f>
        <v>Left hand side</v>
      </c>
      <c r="R7" s="26" t="str">
        <f>IFERROR(INDEX('Sensitivity analysis'!$A$1:$S$25,MATCH(SMALL('Sensitivity analysis'!$T$1:$T$25,6),'Sensitivity analysis'!$T$1:$T$25,0),14)," ")</f>
        <v>Direction</v>
      </c>
      <c r="S7" s="26" t="str">
        <f>IFERROR(INDEX('Sensitivity analysis'!$A$1:$S$25,MATCH(SMALL('Sensitivity analysis'!$T$1:$T$25,6),'Sensitivity analysis'!$T$1:$T$25,0),15)," ")</f>
        <v>Right hand side</v>
      </c>
      <c r="T7" s="26" t="str">
        <f>IFERROR(INDEX('Sensitivity analysis'!$A$1:$S$25,MATCH(SMALL('Sensitivity analysis'!$T$1:$T$25,6),'Sensitivity analysis'!$T$1:$T$25,0),16)," ")</f>
        <v>Slack / Surplus</v>
      </c>
      <c r="U7" s="26" t="str">
        <f>IFERROR(INDEX('Sensitivity analysis'!$A$1:$S$25,MATCH(SMALL('Sensitivity analysis'!$T$1:$T$25,6),'Sensitivity analysis'!$T$1:$T$25,0),17)," ")</f>
        <v>Shadow price</v>
      </c>
      <c r="V7" s="26" t="str">
        <f>IFERROR(INDEX('Sensitivity analysis'!$A$1:$S$25,MATCH(SMALL('Sensitivity analysis'!$T$1:$T$25,6),'Sensitivity analysis'!$T$1:$T$25,0),18)," ")</f>
        <v>Lower bound</v>
      </c>
      <c r="W7" s="26" t="str">
        <f>IFERROR(INDEX('Sensitivity analysis'!$A$1:$S$25,MATCH(SMALL('Sensitivity analysis'!$T$1:$T$25,6),'Sensitivity analysis'!$T$1:$T$25,0),19)," ")</f>
        <v>Upper bound</v>
      </c>
    </row>
    <row r="8" spans="1:23" x14ac:dyDescent="0.2">
      <c r="A8" s="44" t="s">
        <v>86</v>
      </c>
      <c r="M8" s="38" t="s">
        <v>0</v>
      </c>
      <c r="P8" s="26" t="str">
        <f>IFERROR(INDEX('Sensitivity analysis'!$A$1:$S$25,MATCH(SMALL('Sensitivity analysis'!$T$1:$T$25,7),'Sensitivity analysis'!$T$1:$T$25,0),1)," ")</f>
        <v>C1</v>
      </c>
      <c r="Q8" s="26">
        <f>IFERROR(INDEX('Sensitivity analysis'!$A$1:$S$25,MATCH(SMALL('Sensitivity analysis'!$T$1:$T$25,7),'Sensitivity analysis'!$T$1:$T$25,0),13)," ")</f>
        <v>400</v>
      </c>
      <c r="R8" s="26" t="str">
        <f>IFERROR(INDEX('Sensitivity analysis'!$A$1:$S$25,MATCH(SMALL('Sensitivity analysis'!$T$1:$T$25,7),'Sensitivity analysis'!$T$1:$T$25,0),14)," ")</f>
        <v>&lt;=</v>
      </c>
      <c r="S8" s="26">
        <f>IFERROR(INDEX('Sensitivity analysis'!$A$1:$S$25,MATCH(SMALL('Sensitivity analysis'!$T$1:$T$25,7),'Sensitivity analysis'!$T$1:$T$25,0),15)," ")</f>
        <v>550</v>
      </c>
      <c r="T8" s="26">
        <f>IFERROR(INDEX('Sensitivity analysis'!$A$1:$S$25,MATCH(SMALL('Sensitivity analysis'!$T$1:$T$25,7),'Sensitivity analysis'!$T$1:$T$25,0),16)," ")</f>
        <v>150</v>
      </c>
      <c r="U8" s="26">
        <f>IFERROR(INDEX('Sensitivity analysis'!$A$1:$S$25,MATCH(SMALL('Sensitivity analysis'!$T$1:$T$25,7),'Sensitivity analysis'!$T$1:$T$25,0),17)," ")</f>
        <v>0</v>
      </c>
      <c r="V8" s="26">
        <f>IFERROR(INDEX('Sensitivity analysis'!$A$1:$S$25,MATCH(SMALL('Sensitivity analysis'!$T$1:$T$25,7),'Sensitivity analysis'!$T$1:$T$25,0),18)," ")</f>
        <v>400</v>
      </c>
      <c r="W8" s="26" t="str">
        <f>IFERROR(INDEX('Sensitivity analysis'!$A$1:$S$25,MATCH(SMALL('Sensitivity analysis'!$T$1:$T$25,7),'Sensitivity analysis'!$T$1:$T$25,0),19)," ")</f>
        <v>M</v>
      </c>
    </row>
    <row r="9" spans="1:23" x14ac:dyDescent="0.2">
      <c r="A9" s="44" t="s">
        <v>87</v>
      </c>
      <c r="M9" s="38" t="s">
        <v>0</v>
      </c>
      <c r="P9" s="26" t="str">
        <f>IFERROR(INDEX('Sensitivity analysis'!$A$1:$S$25,MATCH(SMALL('Sensitivity analysis'!$T$1:$T$25,8),'Sensitivity analysis'!$T$1:$T$25,0),1)," ")</f>
        <v>C2</v>
      </c>
      <c r="Q9" s="26">
        <f>IFERROR(INDEX('Sensitivity analysis'!$A$1:$S$25,MATCH(SMALL('Sensitivity analysis'!$T$1:$T$25,8),'Sensitivity analysis'!$T$1:$T$25,0),13)," ")</f>
        <v>700</v>
      </c>
      <c r="R9" s="26" t="str">
        <f>IFERROR(INDEX('Sensitivity analysis'!$A$1:$S$25,MATCH(SMALL('Sensitivity analysis'!$T$1:$T$25,8),'Sensitivity analysis'!$T$1:$T$25,0),14)," ")</f>
        <v>&lt;=</v>
      </c>
      <c r="S9" s="26">
        <f>IFERROR(INDEX('Sensitivity analysis'!$A$1:$S$25,MATCH(SMALL('Sensitivity analysis'!$T$1:$T$25,8),'Sensitivity analysis'!$T$1:$T$25,0),15)," ")</f>
        <v>1000</v>
      </c>
      <c r="T9" s="26">
        <f>IFERROR(INDEX('Sensitivity analysis'!$A$1:$S$25,MATCH(SMALL('Sensitivity analysis'!$T$1:$T$25,8),'Sensitivity analysis'!$T$1:$T$25,0),16)," ")</f>
        <v>300</v>
      </c>
      <c r="U9" s="26">
        <f>IFERROR(INDEX('Sensitivity analysis'!$A$1:$S$25,MATCH(SMALL('Sensitivity analysis'!$T$1:$T$25,8),'Sensitivity analysis'!$T$1:$T$25,0),17)," ")</f>
        <v>0</v>
      </c>
      <c r="V9" s="26">
        <f>IFERROR(INDEX('Sensitivity analysis'!$A$1:$S$25,MATCH(SMALL('Sensitivity analysis'!$T$1:$T$25,8),'Sensitivity analysis'!$T$1:$T$25,0),18)," ")</f>
        <v>700</v>
      </c>
      <c r="W9" s="26" t="str">
        <f>IFERROR(INDEX('Sensitivity analysis'!$A$1:$S$25,MATCH(SMALL('Sensitivity analysis'!$T$1:$T$25,8),'Sensitivity analysis'!$T$1:$T$25,0),19)," ")</f>
        <v>M</v>
      </c>
    </row>
    <row r="10" spans="1:23" x14ac:dyDescent="0.2">
      <c r="A10" s="44" t="s">
        <v>88</v>
      </c>
      <c r="M10" s="38" t="s">
        <v>0</v>
      </c>
      <c r="P10" s="26" t="str">
        <f>IFERROR(INDEX('Sensitivity analysis'!$A$1:$S$25,MATCH(SMALL('Sensitivity analysis'!$T$1:$T$25,9),'Sensitivity analysis'!$T$1:$T$25,0),1)," ")</f>
        <v>C3</v>
      </c>
      <c r="Q10" s="26">
        <f>IFERROR(INDEX('Sensitivity analysis'!$A$1:$S$25,MATCH(SMALL('Sensitivity analysis'!$T$1:$T$25,9),'Sensitivity analysis'!$T$1:$T$25,0),13)," ")</f>
        <v>2000</v>
      </c>
      <c r="R10" s="26" t="str">
        <f>IFERROR(INDEX('Sensitivity analysis'!$A$1:$S$25,MATCH(SMALL('Sensitivity analysis'!$T$1:$T$25,9),'Sensitivity analysis'!$T$1:$T$25,0),14)," ")</f>
        <v>&lt;=</v>
      </c>
      <c r="S10" s="26">
        <f>IFERROR(INDEX('Sensitivity analysis'!$A$1:$S$25,MATCH(SMALL('Sensitivity analysis'!$T$1:$T$25,9),'Sensitivity analysis'!$T$1:$T$25,0),15)," ")</f>
        <v>2000</v>
      </c>
      <c r="T10" s="26">
        <f>IFERROR(INDEX('Sensitivity analysis'!$A$1:$S$25,MATCH(SMALL('Sensitivity analysis'!$T$1:$T$25,9),'Sensitivity analysis'!$T$1:$T$25,0),16)," ")</f>
        <v>0</v>
      </c>
      <c r="U10" s="26">
        <f>IFERROR(INDEX('Sensitivity analysis'!$A$1:$S$25,MATCH(SMALL('Sensitivity analysis'!$T$1:$T$25,9),'Sensitivity analysis'!$T$1:$T$25,0),17)," ")</f>
        <v>50</v>
      </c>
      <c r="V10" s="26">
        <f>IFERROR(INDEX('Sensitivity analysis'!$A$1:$S$25,MATCH(SMALL('Sensitivity analysis'!$T$1:$T$25,9),'Sensitivity analysis'!$T$1:$T$25,0),18)," ")</f>
        <v>800</v>
      </c>
      <c r="W10" s="26">
        <f>IFERROR(INDEX('Sensitivity analysis'!$A$1:$S$25,MATCH(SMALL('Sensitivity analysis'!$T$1:$T$25,9),'Sensitivity analysis'!$T$1:$T$25,0),19)," ")</f>
        <v>2400</v>
      </c>
    </row>
    <row r="11" spans="1:23" x14ac:dyDescent="0.2">
      <c r="A11" s="44" t="s">
        <v>89</v>
      </c>
      <c r="M11" s="38" t="s">
        <v>0</v>
      </c>
      <c r="P11" s="26" t="str">
        <f>IFERROR(INDEX('Sensitivity analysis'!$A$1:$S$25,MATCH(SMALL('Sensitivity analysis'!$T$1:$T$25,10),'Sensitivity analysis'!$T$1:$T$25,0),1)," ")</f>
        <v>C4</v>
      </c>
      <c r="Q11" s="26">
        <f>IFERROR(INDEX('Sensitivity analysis'!$A$1:$S$25,MATCH(SMALL('Sensitivity analysis'!$T$1:$T$25,10),'Sensitivity analysis'!$T$1:$T$25,0),13)," ")</f>
        <v>400</v>
      </c>
      <c r="R11" s="26" t="str">
        <f>IFERROR(INDEX('Sensitivity analysis'!$A$1:$S$25,MATCH(SMALL('Sensitivity analysis'!$T$1:$T$25,10),'Sensitivity analysis'!$T$1:$T$25,0),14)," ")</f>
        <v>&lt;=</v>
      </c>
      <c r="S11" s="26">
        <f>IFERROR(INDEX('Sensitivity analysis'!$A$1:$S$25,MATCH(SMALL('Sensitivity analysis'!$T$1:$T$25,10),'Sensitivity analysis'!$T$1:$T$25,0),15)," ")</f>
        <v>400</v>
      </c>
      <c r="T11" s="26">
        <f>IFERROR(INDEX('Sensitivity analysis'!$A$1:$S$25,MATCH(SMALL('Sensitivity analysis'!$T$1:$T$25,10),'Sensitivity analysis'!$T$1:$T$25,0),16)," ")</f>
        <v>0</v>
      </c>
      <c r="U11" s="26">
        <f>IFERROR(INDEX('Sensitivity analysis'!$A$1:$S$25,MATCH(SMALL('Sensitivity analysis'!$T$1:$T$25,10),'Sensitivity analysis'!$T$1:$T$25,0),17)," ")</f>
        <v>50.000000000000043</v>
      </c>
      <c r="V11" s="26">
        <f>IFERROR(INDEX('Sensitivity analysis'!$A$1:$S$25,MATCH(SMALL('Sensitivity analysis'!$T$1:$T$25,10),'Sensitivity analysis'!$T$1:$T$25,0),18)," ")</f>
        <v>333.33333333333331</v>
      </c>
      <c r="W11" s="26">
        <f>IFERROR(INDEX('Sensitivity analysis'!$A$1:$S$25,MATCH(SMALL('Sensitivity analysis'!$T$1:$T$25,10),'Sensitivity analysis'!$T$1:$T$25,0),19)," ")</f>
        <v>550</v>
      </c>
    </row>
    <row r="12" spans="1:23" x14ac:dyDescent="0.2">
      <c r="A12" s="44" t="s">
        <v>90</v>
      </c>
      <c r="M12" s="38" t="s">
        <v>0</v>
      </c>
      <c r="P12" s="26" t="str">
        <f>IFERROR(INDEX('Sensitivity analysis'!$A$1:$S$25,MATCH(SMALL('Sensitivity analysis'!$T$1:$T$25,11),'Sensitivity analysis'!$T$1:$T$25,0),1)," ")</f>
        <v xml:space="preserve"> </v>
      </c>
      <c r="Q12" s="26" t="str">
        <f>IFERROR(INDEX('Sensitivity analysis'!$A$1:$S$25,MATCH(SMALL('Sensitivity analysis'!$T$1:$T$25,11),'Sensitivity analysis'!$T$1:$T$25,0),13)," ")</f>
        <v xml:space="preserve"> </v>
      </c>
      <c r="R12" s="26" t="str">
        <f>IFERROR(INDEX('Sensitivity analysis'!$A$1:$S$25,MATCH(SMALL('Sensitivity analysis'!$T$1:$T$25,11),'Sensitivity analysis'!$T$1:$T$25,0),14)," ")</f>
        <v xml:space="preserve"> </v>
      </c>
      <c r="S12" s="26" t="str">
        <f>IFERROR(INDEX('Sensitivity analysis'!$A$1:$S$25,MATCH(SMALL('Sensitivity analysis'!$T$1:$T$25,11),'Sensitivity analysis'!$T$1:$T$25,0),15)," ")</f>
        <v xml:space="preserve"> </v>
      </c>
      <c r="T12" s="26" t="str">
        <f>IFERROR(INDEX('Sensitivity analysis'!$A$1:$S$25,MATCH(SMALL('Sensitivity analysis'!$T$1:$T$25,11),'Sensitivity analysis'!$T$1:$T$25,0),16)," ")</f>
        <v xml:space="preserve"> </v>
      </c>
      <c r="U12" s="26" t="str">
        <f>IFERROR(INDEX('Sensitivity analysis'!$A$1:$S$25,MATCH(SMALL('Sensitivity analysis'!$T$1:$T$25,11),'Sensitivity analysis'!$T$1:$T$25,0),17)," ")</f>
        <v xml:space="preserve"> </v>
      </c>
      <c r="V12" s="26" t="str">
        <f>IFERROR(INDEX('Sensitivity analysis'!$A$1:$S$25,MATCH(SMALL('Sensitivity analysis'!$T$1:$T$25,11),'Sensitivity analysis'!$T$1:$T$25,0),18)," ")</f>
        <v xml:space="preserve"> </v>
      </c>
      <c r="W12" s="26" t="str">
        <f>IFERROR(INDEX('Sensitivity analysis'!$A$1:$S$25,MATCH(SMALL('Sensitivity analysis'!$T$1:$T$25,11),'Sensitivity analysis'!$T$1:$T$25,0),19)," ")</f>
        <v xml:space="preserve"> </v>
      </c>
    </row>
    <row r="13" spans="1:23" x14ac:dyDescent="0.2">
      <c r="A13" s="44" t="s">
        <v>91</v>
      </c>
      <c r="M13" s="38" t="s">
        <v>0</v>
      </c>
      <c r="P13" s="26" t="str">
        <f>IFERROR(INDEX('Sensitivity analysis'!$A$1:$S$25,MATCH(SMALL('Sensitivity analysis'!$T$1:$T$25,12),'Sensitivity analysis'!$T$1:$T$25,0),1)," ")</f>
        <v xml:space="preserve"> </v>
      </c>
      <c r="Q13" s="26" t="str">
        <f>IFERROR(INDEX('Sensitivity analysis'!$A$1:$S$25,MATCH(SMALL('Sensitivity analysis'!$T$1:$T$25,12),'Sensitivity analysis'!$T$1:$T$25,0),13)," ")</f>
        <v xml:space="preserve"> </v>
      </c>
      <c r="R13" s="26" t="str">
        <f>IFERROR(INDEX('Sensitivity analysis'!$A$1:$S$25,MATCH(SMALL('Sensitivity analysis'!$T$1:$T$25,12),'Sensitivity analysis'!$T$1:$T$25,0),14)," ")</f>
        <v xml:space="preserve"> </v>
      </c>
      <c r="S13" s="26" t="str">
        <f>IFERROR(INDEX('Sensitivity analysis'!$A$1:$S$25,MATCH(SMALL('Sensitivity analysis'!$T$1:$T$25,12),'Sensitivity analysis'!$T$1:$T$25,0),15)," ")</f>
        <v xml:space="preserve"> </v>
      </c>
      <c r="T13" s="26" t="str">
        <f>IFERROR(INDEX('Sensitivity analysis'!$A$1:$S$25,MATCH(SMALL('Sensitivity analysis'!$T$1:$T$25,12),'Sensitivity analysis'!$T$1:$T$25,0),16)," ")</f>
        <v xml:space="preserve"> </v>
      </c>
      <c r="U13" s="26" t="str">
        <f>IFERROR(INDEX('Sensitivity analysis'!$A$1:$S$25,MATCH(SMALL('Sensitivity analysis'!$T$1:$T$25,12),'Sensitivity analysis'!$T$1:$T$25,0),17)," ")</f>
        <v xml:space="preserve"> </v>
      </c>
      <c r="V13" s="26" t="str">
        <f>IFERROR(INDEX('Sensitivity analysis'!$A$1:$S$25,MATCH(SMALL('Sensitivity analysis'!$T$1:$T$25,12),'Sensitivity analysis'!$T$1:$T$25,0),18)," ")</f>
        <v xml:space="preserve"> </v>
      </c>
      <c r="W13" s="26" t="str">
        <f>IFERROR(INDEX('Sensitivity analysis'!$A$1:$S$25,MATCH(SMALL('Sensitivity analysis'!$T$1:$T$25,12),'Sensitivity analysis'!$T$1:$T$25,0),19)," ")</f>
        <v xml:space="preserve"> </v>
      </c>
    </row>
    <row r="14" spans="1:23" x14ac:dyDescent="0.2">
      <c r="A14" s="44" t="s">
        <v>92</v>
      </c>
      <c r="M14" s="38" t="s">
        <v>0</v>
      </c>
      <c r="P14" s="26" t="str">
        <f>IFERROR(INDEX('Sensitivity analysis'!$A$1:$S$25,MATCH(SMALL('Sensitivity analysis'!$T$1:$T$25,13),'Sensitivity analysis'!$T$1:$T$25,0),1)," ")</f>
        <v xml:space="preserve"> </v>
      </c>
      <c r="Q14" s="26" t="str">
        <f>IFERROR(INDEX('Sensitivity analysis'!$A$1:$S$25,MATCH(SMALL('Sensitivity analysis'!$T$1:$T$25,13),'Sensitivity analysis'!$T$1:$T$25,0),13)," ")</f>
        <v xml:space="preserve"> </v>
      </c>
      <c r="R14" s="26" t="str">
        <f>IFERROR(INDEX('Sensitivity analysis'!$A$1:$S$25,MATCH(SMALL('Sensitivity analysis'!$T$1:$T$25,13),'Sensitivity analysis'!$T$1:$T$25,0),14)," ")</f>
        <v xml:space="preserve"> </v>
      </c>
      <c r="S14" s="26" t="str">
        <f>IFERROR(INDEX('Sensitivity analysis'!$A$1:$S$25,MATCH(SMALL('Sensitivity analysis'!$T$1:$T$25,13),'Sensitivity analysis'!$T$1:$T$25,0),15)," ")</f>
        <v xml:space="preserve"> </v>
      </c>
      <c r="T14" s="26" t="str">
        <f>IFERROR(INDEX('Sensitivity analysis'!$A$1:$S$25,MATCH(SMALL('Sensitivity analysis'!$T$1:$T$25,13),'Sensitivity analysis'!$T$1:$T$25,0),16)," ")</f>
        <v xml:space="preserve"> </v>
      </c>
      <c r="U14" s="26" t="str">
        <f>IFERROR(INDEX('Sensitivity analysis'!$A$1:$S$25,MATCH(SMALL('Sensitivity analysis'!$T$1:$T$25,13),'Sensitivity analysis'!$T$1:$T$25,0),17)," ")</f>
        <v xml:space="preserve"> </v>
      </c>
      <c r="V14" s="26" t="str">
        <f>IFERROR(INDEX('Sensitivity analysis'!$A$1:$S$25,MATCH(SMALL('Sensitivity analysis'!$T$1:$T$25,13),'Sensitivity analysis'!$T$1:$T$25,0),18)," ")</f>
        <v xml:space="preserve"> </v>
      </c>
      <c r="W14" s="26" t="str">
        <f>IFERROR(INDEX('Sensitivity analysis'!$A$1:$S$25,MATCH(SMALL('Sensitivity analysis'!$T$1:$T$25,13),'Sensitivity analysis'!$T$1:$T$25,0),19)," ")</f>
        <v xml:space="preserve"> </v>
      </c>
    </row>
    <row r="15" spans="1:23" x14ac:dyDescent="0.2">
      <c r="P15" s="26" t="str">
        <f>IFERROR(INDEX('Sensitivity analysis'!$A$1:$S$25,MATCH(SMALL('Sensitivity analysis'!$T$1:$T$25,14),'Sensitivity analysis'!$T$1:$T$25,0),1)," ")</f>
        <v xml:space="preserve"> </v>
      </c>
      <c r="Q15" s="26" t="str">
        <f>IFERROR(INDEX('Sensitivity analysis'!$A$1:$S$25,MATCH(SMALL('Sensitivity analysis'!$T$1:$T$25,14),'Sensitivity analysis'!$T$1:$T$25,0),13)," ")</f>
        <v xml:space="preserve"> </v>
      </c>
      <c r="R15" s="26" t="str">
        <f>IFERROR(INDEX('Sensitivity analysis'!$A$1:$S$25,MATCH(SMALL('Sensitivity analysis'!$T$1:$T$25,14),'Sensitivity analysis'!$T$1:$T$25,0),14)," ")</f>
        <v xml:space="preserve"> </v>
      </c>
      <c r="S15" s="26" t="str">
        <f>IFERROR(INDEX('Sensitivity analysis'!$A$1:$S$25,MATCH(SMALL('Sensitivity analysis'!$T$1:$T$25,14),'Sensitivity analysis'!$T$1:$T$25,0),15)," ")</f>
        <v xml:space="preserve"> </v>
      </c>
      <c r="T15" s="26" t="str">
        <f>IFERROR(INDEX('Sensitivity analysis'!$A$1:$S$25,MATCH(SMALL('Sensitivity analysis'!$T$1:$T$25,14),'Sensitivity analysis'!$T$1:$T$25,0),16)," ")</f>
        <v xml:space="preserve"> </v>
      </c>
      <c r="U15" s="26" t="str">
        <f>IFERROR(INDEX('Sensitivity analysis'!$A$1:$S$25,MATCH(SMALL('Sensitivity analysis'!$T$1:$T$25,14),'Sensitivity analysis'!$T$1:$T$25,0),17)," ")</f>
        <v xml:space="preserve"> </v>
      </c>
      <c r="V15" s="26" t="str">
        <f>IFERROR(INDEX('Sensitivity analysis'!$A$1:$S$25,MATCH(SMALL('Sensitivity analysis'!$T$1:$T$25,14),'Sensitivity analysis'!$T$1:$T$25,0),18)," ")</f>
        <v xml:space="preserve"> </v>
      </c>
      <c r="W15" s="26" t="str">
        <f>IFERROR(INDEX('Sensitivity analysis'!$A$1:$S$25,MATCH(SMALL('Sensitivity analysis'!$T$1:$T$25,14),'Sensitivity analysis'!$T$1:$T$25,0),19)," ")</f>
        <v xml:space="preserve"> </v>
      </c>
    </row>
    <row r="16" spans="1:23" s="29" customFormat="1" x14ac:dyDescent="0.2">
      <c r="B16" s="8"/>
      <c r="C16" s="8"/>
      <c r="D16" s="8"/>
      <c r="E16" s="8"/>
      <c r="F16" s="8"/>
      <c r="G16" s="8"/>
      <c r="H16" s="8"/>
      <c r="I16" s="8"/>
      <c r="J16" s="8"/>
      <c r="K16" s="8"/>
      <c r="L16" s="8"/>
      <c r="M16" s="38"/>
      <c r="N16" s="8"/>
      <c r="O16" s="48"/>
      <c r="P16" s="26" t="str">
        <f>IFERROR(INDEX('Sensitivity analysis'!$A$1:$S$25,MATCH(SMALL('Sensitivity analysis'!$T$1:$T$25,15),'Sensitivity analysis'!$T$1:$T$25,0),1)," ")</f>
        <v xml:space="preserve"> </v>
      </c>
      <c r="Q16" s="26" t="str">
        <f>IFERROR(INDEX('Sensitivity analysis'!$A$1:$S$25,MATCH(SMALL('Sensitivity analysis'!$T$1:$T$25,15),'Sensitivity analysis'!$T$1:$T$25,0),13)," ")</f>
        <v xml:space="preserve"> </v>
      </c>
      <c r="R16" s="26" t="str">
        <f>IFERROR(INDEX('Sensitivity analysis'!$A$1:$S$25,MATCH(SMALL('Sensitivity analysis'!$T$1:$T$25,15),'Sensitivity analysis'!$T$1:$T$25,0),14)," ")</f>
        <v xml:space="preserve"> </v>
      </c>
      <c r="S16" s="26" t="str">
        <f>IFERROR(INDEX('Sensitivity analysis'!$A$1:$S$25,MATCH(SMALL('Sensitivity analysis'!$T$1:$T$25,15),'Sensitivity analysis'!$T$1:$T$25,0),15)," ")</f>
        <v xml:space="preserve"> </v>
      </c>
      <c r="T16" s="26" t="str">
        <f>IFERROR(INDEX('Sensitivity analysis'!$A$1:$S$25,MATCH(SMALL('Sensitivity analysis'!$T$1:$T$25,15),'Sensitivity analysis'!$T$1:$T$25,0),16)," ")</f>
        <v xml:space="preserve"> </v>
      </c>
      <c r="U16" s="26" t="str">
        <f>IFERROR(INDEX('Sensitivity analysis'!$A$1:$S$25,MATCH(SMALL('Sensitivity analysis'!$T$1:$T$25,15),'Sensitivity analysis'!$T$1:$T$25,0),17)," ")</f>
        <v xml:space="preserve"> </v>
      </c>
      <c r="V16" s="26" t="str">
        <f>IFERROR(INDEX('Sensitivity analysis'!$A$1:$S$25,MATCH(SMALL('Sensitivity analysis'!$T$1:$T$25,15),'Sensitivity analysis'!$T$1:$T$25,0),18)," ")</f>
        <v xml:space="preserve"> </v>
      </c>
      <c r="W16" s="26" t="str">
        <f>IFERROR(INDEX('Sensitivity analysis'!$A$1:$S$25,MATCH(SMALL('Sensitivity analysis'!$T$1:$T$25,15),'Sensitivity analysis'!$T$1:$T$25,0),19)," ")</f>
        <v xml:space="preserve"> </v>
      </c>
    </row>
    <row r="17" spans="2:23" x14ac:dyDescent="0.2">
      <c r="P17" s="26" t="str">
        <f>IFERROR(INDEX('Sensitivity analysis'!$A$1:$S$25,MATCH(SMALL('Sensitivity analysis'!$T$1:$T$25,16),'Sensitivity analysis'!$T$1:$T$25,0),1)," ")</f>
        <v xml:space="preserve"> </v>
      </c>
      <c r="Q17" s="26" t="str">
        <f>IFERROR(INDEX('Sensitivity analysis'!$A$1:$S$25,MATCH(SMALL('Sensitivity analysis'!$T$1:$T$25,16),'Sensitivity analysis'!$T$1:$T$25,0),13)," ")</f>
        <v xml:space="preserve"> </v>
      </c>
      <c r="R17" s="26" t="str">
        <f>IFERROR(INDEX('Sensitivity analysis'!$A$1:$S$25,MATCH(SMALL('Sensitivity analysis'!$T$1:$T$25,16),'Sensitivity analysis'!$T$1:$T$25,0),14)," ")</f>
        <v xml:space="preserve"> </v>
      </c>
      <c r="S17" s="26" t="str">
        <f>IFERROR(INDEX('Sensitivity analysis'!$A$1:$S$25,MATCH(SMALL('Sensitivity analysis'!$T$1:$T$25,16),'Sensitivity analysis'!$T$1:$T$25,0),15)," ")</f>
        <v xml:space="preserve"> </v>
      </c>
      <c r="T17" s="26" t="str">
        <f>IFERROR(INDEX('Sensitivity analysis'!$A$1:$S$25,MATCH(SMALL('Sensitivity analysis'!$T$1:$T$25,16),'Sensitivity analysis'!$T$1:$T$25,0),16)," ")</f>
        <v xml:space="preserve"> </v>
      </c>
      <c r="U17" s="26" t="str">
        <f>IFERROR(INDEX('Sensitivity analysis'!$A$1:$S$25,MATCH(SMALL('Sensitivity analysis'!$T$1:$T$25,16),'Sensitivity analysis'!$T$1:$T$25,0),17)," ")</f>
        <v xml:space="preserve"> </v>
      </c>
      <c r="V17" s="26" t="str">
        <f>IFERROR(INDEX('Sensitivity analysis'!$A$1:$S$25,MATCH(SMALL('Sensitivity analysis'!$T$1:$T$25,16),'Sensitivity analysis'!$T$1:$T$25,0),18)," ")</f>
        <v xml:space="preserve"> </v>
      </c>
      <c r="W17" s="26" t="str">
        <f>IFERROR(INDEX('Sensitivity analysis'!$A$1:$S$25,MATCH(SMALL('Sensitivity analysis'!$T$1:$T$25,16),'Sensitivity analysis'!$T$1:$T$25,0),19)," ")</f>
        <v xml:space="preserve"> </v>
      </c>
    </row>
    <row r="18" spans="2:23" x14ac:dyDescent="0.2">
      <c r="P18" s="26" t="str">
        <f>IFERROR(INDEX('Sensitivity analysis'!$A$1:$S$25,MATCH(SMALL('Sensitivity analysis'!$T$1:$T$25,17),'Sensitivity analysis'!$T$1:$T$25,0),1)," ")</f>
        <v xml:space="preserve"> </v>
      </c>
      <c r="Q18" s="26" t="str">
        <f>IFERROR(INDEX('Sensitivity analysis'!$A$1:$S$25,MATCH(SMALL('Sensitivity analysis'!$T$1:$T$25,17),'Sensitivity analysis'!$T$1:$T$25,0),13)," ")</f>
        <v xml:space="preserve"> </v>
      </c>
      <c r="R18" s="26" t="str">
        <f>IFERROR(INDEX('Sensitivity analysis'!$A$1:$S$25,MATCH(SMALL('Sensitivity analysis'!$T$1:$T$25,17),'Sensitivity analysis'!$T$1:$T$25,0),14)," ")</f>
        <v xml:space="preserve"> </v>
      </c>
      <c r="S18" s="26" t="str">
        <f>IFERROR(INDEX('Sensitivity analysis'!$A$1:$S$25,MATCH(SMALL('Sensitivity analysis'!$T$1:$T$25,17),'Sensitivity analysis'!$T$1:$T$25,0),15)," ")</f>
        <v xml:space="preserve"> </v>
      </c>
      <c r="T18" s="26" t="str">
        <f>IFERROR(INDEX('Sensitivity analysis'!$A$1:$S$25,MATCH(SMALL('Sensitivity analysis'!$T$1:$T$25,17),'Sensitivity analysis'!$T$1:$T$25,0),16)," ")</f>
        <v xml:space="preserve"> </v>
      </c>
      <c r="U18" s="26" t="str">
        <f>IFERROR(INDEX('Sensitivity analysis'!$A$1:$S$25,MATCH(SMALL('Sensitivity analysis'!$T$1:$T$25,17),'Sensitivity analysis'!$T$1:$T$25,0),17)," ")</f>
        <v xml:space="preserve"> </v>
      </c>
      <c r="V18" s="26" t="str">
        <f>IFERROR(INDEX('Sensitivity analysis'!$A$1:$S$25,MATCH(SMALL('Sensitivity analysis'!$T$1:$T$25,17),'Sensitivity analysis'!$T$1:$T$25,0),18)," ")</f>
        <v xml:space="preserve"> </v>
      </c>
      <c r="W18" s="26" t="str">
        <f>IFERROR(INDEX('Sensitivity analysis'!$A$1:$S$25,MATCH(SMALL('Sensitivity analysis'!$T$1:$T$25,17),'Sensitivity analysis'!$T$1:$T$25,0),19)," ")</f>
        <v xml:space="preserve"> </v>
      </c>
    </row>
    <row r="19" spans="2:23" x14ac:dyDescent="0.2">
      <c r="P19" s="26" t="str">
        <f>IFERROR(INDEX('Sensitivity analysis'!$A$1:$S$25,MATCH(SMALL('Sensitivity analysis'!$T$1:$T$25,18),'Sensitivity analysis'!$T$1:$T$25,0),1)," ")</f>
        <v xml:space="preserve"> </v>
      </c>
      <c r="Q19" s="26" t="str">
        <f>IFERROR(INDEX('Sensitivity analysis'!$A$1:$S$25,MATCH(SMALL('Sensitivity analysis'!$T$1:$T$25,18),'Sensitivity analysis'!$T$1:$T$25,0),13)," ")</f>
        <v xml:space="preserve"> </v>
      </c>
      <c r="R19" s="26" t="str">
        <f>IFERROR(INDEX('Sensitivity analysis'!$A$1:$S$25,MATCH(SMALL('Sensitivity analysis'!$T$1:$T$25,18),'Sensitivity analysis'!$T$1:$T$25,0),14)," ")</f>
        <v xml:space="preserve"> </v>
      </c>
      <c r="S19" s="26" t="str">
        <f>IFERROR(INDEX('Sensitivity analysis'!$A$1:$S$25,MATCH(SMALL('Sensitivity analysis'!$T$1:$T$25,18),'Sensitivity analysis'!$T$1:$T$25,0),15)," ")</f>
        <v xml:space="preserve"> </v>
      </c>
      <c r="T19" s="26" t="str">
        <f>IFERROR(INDEX('Sensitivity analysis'!$A$1:$S$25,MATCH(SMALL('Sensitivity analysis'!$T$1:$T$25,18),'Sensitivity analysis'!$T$1:$T$25,0),16)," ")</f>
        <v xml:space="preserve"> </v>
      </c>
      <c r="U19" s="26" t="str">
        <f>IFERROR(INDEX('Sensitivity analysis'!$A$1:$S$25,MATCH(SMALL('Sensitivity analysis'!$T$1:$T$25,18),'Sensitivity analysis'!$T$1:$T$25,0),17)," ")</f>
        <v xml:space="preserve"> </v>
      </c>
      <c r="V19" s="26" t="str">
        <f>IFERROR(INDEX('Sensitivity analysis'!$A$1:$S$25,MATCH(SMALL('Sensitivity analysis'!$T$1:$T$25,18),'Sensitivity analysis'!$T$1:$T$25,0),18)," ")</f>
        <v xml:space="preserve"> </v>
      </c>
      <c r="W19" s="26" t="str">
        <f>IFERROR(INDEX('Sensitivity analysis'!$A$1:$S$25,MATCH(SMALL('Sensitivity analysis'!$T$1:$T$25,18),'Sensitivity analysis'!$T$1:$T$25,0),19)," ")</f>
        <v xml:space="preserve"> </v>
      </c>
    </row>
    <row r="20" spans="2:23" s="29" customFormat="1" x14ac:dyDescent="0.2">
      <c r="B20" s="8"/>
      <c r="C20" s="8"/>
      <c r="D20" s="8"/>
      <c r="E20" s="8"/>
      <c r="F20" s="8"/>
      <c r="G20" s="8"/>
      <c r="H20" s="8"/>
      <c r="I20" s="8"/>
      <c r="J20" s="8"/>
      <c r="K20" s="8"/>
      <c r="L20" s="8"/>
      <c r="M20" s="38"/>
      <c r="N20" s="8"/>
      <c r="O20" s="48"/>
      <c r="P20" s="26" t="str">
        <f>IFERROR(INDEX('Sensitivity analysis'!$A$1:$S$25,MATCH(SMALL('Sensitivity analysis'!$T$1:$T$25,19),'Sensitivity analysis'!$T$1:$T$25,0),1)," ")</f>
        <v xml:space="preserve"> </v>
      </c>
      <c r="Q20" s="26" t="str">
        <f>IFERROR(INDEX('Sensitivity analysis'!$A$1:$S$25,MATCH(SMALL('Sensitivity analysis'!$T$1:$T$25,19),'Sensitivity analysis'!$T$1:$T$25,0),13)," ")</f>
        <v xml:space="preserve"> </v>
      </c>
      <c r="R20" s="26" t="str">
        <f>IFERROR(INDEX('Sensitivity analysis'!$A$1:$S$25,MATCH(SMALL('Sensitivity analysis'!$T$1:$T$25,19),'Sensitivity analysis'!$T$1:$T$25,0),14)," ")</f>
        <v xml:space="preserve"> </v>
      </c>
      <c r="S20" s="26" t="str">
        <f>IFERROR(INDEX('Sensitivity analysis'!$A$1:$S$25,MATCH(SMALL('Sensitivity analysis'!$T$1:$T$25,19),'Sensitivity analysis'!$T$1:$T$25,0),15)," ")</f>
        <v xml:space="preserve"> </v>
      </c>
      <c r="T20" s="26" t="str">
        <f>IFERROR(INDEX('Sensitivity analysis'!$A$1:$S$25,MATCH(SMALL('Sensitivity analysis'!$T$1:$T$25,19),'Sensitivity analysis'!$T$1:$T$25,0),16)," ")</f>
        <v xml:space="preserve"> </v>
      </c>
      <c r="U20" s="26" t="str">
        <f>IFERROR(INDEX('Sensitivity analysis'!$A$1:$S$25,MATCH(SMALL('Sensitivity analysis'!$T$1:$T$25,19),'Sensitivity analysis'!$T$1:$T$25,0),17)," ")</f>
        <v xml:space="preserve"> </v>
      </c>
      <c r="V20" s="26" t="str">
        <f>IFERROR(INDEX('Sensitivity analysis'!$A$1:$S$25,MATCH(SMALL('Sensitivity analysis'!$T$1:$T$25,19),'Sensitivity analysis'!$T$1:$T$25,0),18)," ")</f>
        <v xml:space="preserve"> </v>
      </c>
      <c r="W20" s="26" t="str">
        <f>IFERROR(INDEX('Sensitivity analysis'!$A$1:$S$25,MATCH(SMALL('Sensitivity analysis'!$T$1:$T$25,19),'Sensitivity analysis'!$T$1:$T$25,0),19)," ")</f>
        <v xml:space="preserve"> </v>
      </c>
    </row>
    <row r="21" spans="2:23" s="29" customFormat="1" x14ac:dyDescent="0.2"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  <c r="M21" s="38"/>
      <c r="N21" s="8"/>
      <c r="O21" s="48"/>
      <c r="P21" s="26" t="str">
        <f>IFERROR(INDEX('Sensitivity analysis'!$A$1:$S$25,MATCH(SMALL('Sensitivity analysis'!$T$1:$T$25,20),'Sensitivity analysis'!$T$1:$T$25,0),1)," ")</f>
        <v xml:space="preserve"> </v>
      </c>
      <c r="Q21" s="26" t="str">
        <f>IFERROR(INDEX('Sensitivity analysis'!$A$1:$S$25,MATCH(SMALL('Sensitivity analysis'!$T$1:$T$25,20),'Sensitivity analysis'!$T$1:$T$25,0),13)," ")</f>
        <v xml:space="preserve"> </v>
      </c>
      <c r="R21" s="26" t="str">
        <f>IFERROR(INDEX('Sensitivity analysis'!$A$1:$S$25,MATCH(SMALL('Sensitivity analysis'!$T$1:$T$25,20),'Sensitivity analysis'!$T$1:$T$25,0),14)," ")</f>
        <v xml:space="preserve"> </v>
      </c>
      <c r="S21" s="26" t="str">
        <f>IFERROR(INDEX('Sensitivity analysis'!$A$1:$S$25,MATCH(SMALL('Sensitivity analysis'!$T$1:$T$25,20),'Sensitivity analysis'!$T$1:$T$25,0),15)," ")</f>
        <v xml:space="preserve"> </v>
      </c>
      <c r="T21" s="26" t="str">
        <f>IFERROR(INDEX('Sensitivity analysis'!$A$1:$S$25,MATCH(SMALL('Sensitivity analysis'!$T$1:$T$25,20),'Sensitivity analysis'!$T$1:$T$25,0),16)," ")</f>
        <v xml:space="preserve"> </v>
      </c>
      <c r="U21" s="26" t="str">
        <f>IFERROR(INDEX('Sensitivity analysis'!$A$1:$S$25,MATCH(SMALL('Sensitivity analysis'!$T$1:$T$25,20),'Sensitivity analysis'!$T$1:$T$25,0),17)," ")</f>
        <v xml:space="preserve"> </v>
      </c>
      <c r="V21" s="26" t="str">
        <f>IFERROR(INDEX('Sensitivity analysis'!$A$1:$S$25,MATCH(SMALL('Sensitivity analysis'!$T$1:$T$25,20),'Sensitivity analysis'!$T$1:$T$25,0),18)," ")</f>
        <v xml:space="preserve"> </v>
      </c>
      <c r="W21" s="26" t="str">
        <f>IFERROR(INDEX('Sensitivity analysis'!$A$1:$S$25,MATCH(SMALL('Sensitivity analysis'!$T$1:$T$25,20),'Sensitivity analysis'!$T$1:$T$25,0),19)," ")</f>
        <v xml:space="preserve"> </v>
      </c>
    </row>
    <row r="22" spans="2:23" x14ac:dyDescent="0.2">
      <c r="H22" s="37"/>
      <c r="P22" s="26" t="str">
        <f>IFERROR(INDEX('Sensitivity analysis'!$A$1:$S$25,MATCH(SMALL('Sensitivity analysis'!$T$1:$T$25,21),'Sensitivity analysis'!$T$1:$T$25,0),1)," ")</f>
        <v xml:space="preserve"> </v>
      </c>
      <c r="Q22" s="26" t="str">
        <f>IFERROR(INDEX('Sensitivity analysis'!$A$1:$S$25,MATCH(SMALL('Sensitivity analysis'!$T$1:$T$25,21),'Sensitivity analysis'!$T$1:$T$25,0),13)," ")</f>
        <v xml:space="preserve"> </v>
      </c>
      <c r="R22" s="26" t="str">
        <f>IFERROR(INDEX('Sensitivity analysis'!$A$1:$S$25,MATCH(SMALL('Sensitivity analysis'!$T$1:$T$25,21),'Sensitivity analysis'!$T$1:$T$25,0),14)," ")</f>
        <v xml:space="preserve"> </v>
      </c>
      <c r="S22" s="26" t="str">
        <f>IFERROR(INDEX('Sensitivity analysis'!$A$1:$S$25,MATCH(SMALL('Sensitivity analysis'!$T$1:$T$25,21),'Sensitivity analysis'!$T$1:$T$25,0),15)," ")</f>
        <v xml:space="preserve"> </v>
      </c>
      <c r="T22" s="26" t="str">
        <f>IFERROR(INDEX('Sensitivity analysis'!$A$1:$S$25,MATCH(SMALL('Sensitivity analysis'!$T$1:$T$25,21),'Sensitivity analysis'!$T$1:$T$25,0),16)," ")</f>
        <v xml:space="preserve"> </v>
      </c>
      <c r="U22" s="26" t="str">
        <f>IFERROR(INDEX('Sensitivity analysis'!$A$1:$S$25,MATCH(SMALL('Sensitivity analysis'!$T$1:$T$25,21),'Sensitivity analysis'!$T$1:$T$25,0),17)," ")</f>
        <v xml:space="preserve"> </v>
      </c>
      <c r="V22" s="26" t="str">
        <f>IFERROR(INDEX('Sensitivity analysis'!$A$1:$S$25,MATCH(SMALL('Sensitivity analysis'!$T$1:$T$25,21),'Sensitivity analysis'!$T$1:$T$25,0),18)," ")</f>
        <v xml:space="preserve"> </v>
      </c>
      <c r="W22" s="26" t="str">
        <f>IFERROR(INDEX('Sensitivity analysis'!$A$1:$S$25,MATCH(SMALL('Sensitivity analysis'!$T$1:$T$25,21),'Sensitivity analysis'!$T$1:$T$25,0),19)," ")</f>
        <v xml:space="preserve"> </v>
      </c>
    </row>
    <row r="23" spans="2:23" x14ac:dyDescent="0.2">
      <c r="P23" s="26" t="str">
        <f>IFERROR(INDEX('Sensitivity analysis'!$A$1:$S$25,MATCH(SMALL('Sensitivity analysis'!$T$1:$T$25,22),'Sensitivity analysis'!$T$1:$T$25,0),1)," ")</f>
        <v xml:space="preserve"> </v>
      </c>
      <c r="Q23" s="26" t="str">
        <f>IFERROR(INDEX('Sensitivity analysis'!$A$1:$S$25,MATCH(SMALL('Sensitivity analysis'!$T$1:$T$25,22),'Sensitivity analysis'!$T$1:$T$25,0),13)," ")</f>
        <v xml:space="preserve"> </v>
      </c>
      <c r="R23" s="26" t="str">
        <f>IFERROR(INDEX('Sensitivity analysis'!$A$1:$S$25,MATCH(SMALL('Sensitivity analysis'!$T$1:$T$25,22),'Sensitivity analysis'!$T$1:$T$25,0),14)," ")</f>
        <v xml:space="preserve"> </v>
      </c>
      <c r="S23" s="26" t="str">
        <f>IFERROR(INDEX('Sensitivity analysis'!$A$1:$S$25,MATCH(SMALL('Sensitivity analysis'!$T$1:$T$25,22),'Sensitivity analysis'!$T$1:$T$25,0),15)," ")</f>
        <v xml:space="preserve"> </v>
      </c>
      <c r="T23" s="26" t="str">
        <f>IFERROR(INDEX('Sensitivity analysis'!$A$1:$S$25,MATCH(SMALL('Sensitivity analysis'!$T$1:$T$25,22),'Sensitivity analysis'!$T$1:$T$25,0),16)," ")</f>
        <v xml:space="preserve"> </v>
      </c>
      <c r="U23" s="26" t="str">
        <f>IFERROR(INDEX('Sensitivity analysis'!$A$1:$S$25,MATCH(SMALL('Sensitivity analysis'!$T$1:$T$25,22),'Sensitivity analysis'!$T$1:$T$25,0),17)," ")</f>
        <v xml:space="preserve"> </v>
      </c>
      <c r="V23" s="26" t="str">
        <f>IFERROR(INDEX('Sensitivity analysis'!$A$1:$S$25,MATCH(SMALL('Sensitivity analysis'!$T$1:$T$25,22),'Sensitivity analysis'!$T$1:$T$25,0),18)," ")</f>
        <v xml:space="preserve"> </v>
      </c>
      <c r="W23" s="26" t="str">
        <f>IFERROR(INDEX('Sensitivity analysis'!$A$1:$S$25,MATCH(SMALL('Sensitivity analysis'!$T$1:$T$25,22),'Sensitivity analysis'!$T$1:$T$25,0),19)," ")</f>
        <v xml:space="preserve"> </v>
      </c>
    </row>
    <row r="24" spans="2:23" x14ac:dyDescent="0.2">
      <c r="P24" s="26" t="str">
        <f>IFERROR(INDEX('Sensitivity analysis'!$A$1:$S$25,MATCH(SMALL('Sensitivity analysis'!$T$1:$T$25,23),'Sensitivity analysis'!$T$1:$T$25,0),1)," ")</f>
        <v xml:space="preserve"> </v>
      </c>
      <c r="Q24" s="26" t="str">
        <f>IFERROR(INDEX('Sensitivity analysis'!$A$1:$S$25,MATCH(SMALL('Sensitivity analysis'!$T$1:$T$25,23),'Sensitivity analysis'!$T$1:$T$25,0),13)," ")</f>
        <v xml:space="preserve"> </v>
      </c>
      <c r="R24" s="26" t="str">
        <f>IFERROR(INDEX('Sensitivity analysis'!$A$1:$S$25,MATCH(SMALL('Sensitivity analysis'!$T$1:$T$25,23),'Sensitivity analysis'!$T$1:$T$25,0),14)," ")</f>
        <v xml:space="preserve"> </v>
      </c>
      <c r="S24" s="26" t="str">
        <f>IFERROR(INDEX('Sensitivity analysis'!$A$1:$S$25,MATCH(SMALL('Sensitivity analysis'!$T$1:$T$25,23),'Sensitivity analysis'!$T$1:$T$25,0),15)," ")</f>
        <v xml:space="preserve"> </v>
      </c>
      <c r="T24" s="26" t="str">
        <f>IFERROR(INDEX('Sensitivity analysis'!$A$1:$S$25,MATCH(SMALL('Sensitivity analysis'!$T$1:$T$25,23),'Sensitivity analysis'!$T$1:$T$25,0),16)," ")</f>
        <v xml:space="preserve"> </v>
      </c>
      <c r="U24" s="26" t="str">
        <f>IFERROR(INDEX('Sensitivity analysis'!$A$1:$S$25,MATCH(SMALL('Sensitivity analysis'!$T$1:$T$25,23),'Sensitivity analysis'!$T$1:$T$25,0),17)," ")</f>
        <v xml:space="preserve"> </v>
      </c>
      <c r="V24" s="26" t="str">
        <f>IFERROR(INDEX('Sensitivity analysis'!$A$1:$S$25,MATCH(SMALL('Sensitivity analysis'!$T$1:$T$25,23),'Sensitivity analysis'!$T$1:$T$25,0),18)," ")</f>
        <v xml:space="preserve"> </v>
      </c>
      <c r="W24" s="26" t="str">
        <f>IFERROR(INDEX('Sensitivity analysis'!$A$1:$S$25,MATCH(SMALL('Sensitivity analysis'!$T$1:$T$25,23),'Sensitivity analysis'!$T$1:$T$25,0),19)," ")</f>
        <v xml:space="preserve"> </v>
      </c>
    </row>
    <row r="25" spans="2:23" x14ac:dyDescent="0.2">
      <c r="P25" s="26" t="str">
        <f>IFERROR(INDEX('Sensitivity analysis'!$A$1:$S$25,MATCH(SMALL('Sensitivity analysis'!$T$1:$T$25,24),'Sensitivity analysis'!$T$1:$T$25,0),1)," ")</f>
        <v xml:space="preserve"> </v>
      </c>
      <c r="Q25" s="26" t="str">
        <f>IFERROR(INDEX('Sensitivity analysis'!$A$1:$S$25,MATCH(SMALL('Sensitivity analysis'!$T$1:$T$25,24),'Sensitivity analysis'!$T$1:$T$25,0),13)," ")</f>
        <v xml:space="preserve"> </v>
      </c>
      <c r="R25" s="26" t="str">
        <f>IFERROR(INDEX('Sensitivity analysis'!$A$1:$S$25,MATCH(SMALL('Sensitivity analysis'!$T$1:$T$25,24),'Sensitivity analysis'!$T$1:$T$25,0),14)," ")</f>
        <v xml:space="preserve"> </v>
      </c>
      <c r="S25" s="26" t="str">
        <f>IFERROR(INDEX('Sensitivity analysis'!$A$1:$S$25,MATCH(SMALL('Sensitivity analysis'!$T$1:$T$25,24),'Sensitivity analysis'!$T$1:$T$25,0),15)," ")</f>
        <v xml:space="preserve"> </v>
      </c>
      <c r="T25" s="26" t="str">
        <f>IFERROR(INDEX('Sensitivity analysis'!$A$1:$S$25,MATCH(SMALL('Sensitivity analysis'!$T$1:$T$25,24),'Sensitivity analysis'!$T$1:$T$25,0),16)," ")</f>
        <v xml:space="preserve"> </v>
      </c>
      <c r="U25" s="26" t="str">
        <f>IFERROR(INDEX('Sensitivity analysis'!$A$1:$S$25,MATCH(SMALL('Sensitivity analysis'!$T$1:$T$25,24),'Sensitivity analysis'!$T$1:$T$25,0),17)," ")</f>
        <v xml:space="preserve"> </v>
      </c>
      <c r="V25" s="26" t="str">
        <f>IFERROR(INDEX('Sensitivity analysis'!$A$1:$S$25,MATCH(SMALL('Sensitivity analysis'!$T$1:$T$25,24),'Sensitivity analysis'!$T$1:$T$25,0),18)," ")</f>
        <v xml:space="preserve"> </v>
      </c>
      <c r="W25" s="26" t="str">
        <f>IFERROR(INDEX('Sensitivity analysis'!$A$1:$S$25,MATCH(SMALL('Sensitivity analysis'!$T$1:$T$25,24),'Sensitivity analysis'!$T$1:$T$25,0),19)," ")</f>
        <v xml:space="preserve"> </v>
      </c>
    </row>
    <row r="26" spans="2:23" x14ac:dyDescent="0.2">
      <c r="P26" s="26" t="str">
        <f>IFERROR(INDEX('Sensitivity analysis'!$A$1:$S$25,MATCH(SMALL('Sensitivity analysis'!$T$1:$T$25,25),'Sensitivity analysis'!$T$1:$T$25,0),1)," ")</f>
        <v xml:space="preserve"> </v>
      </c>
      <c r="Q26" s="26" t="str">
        <f>IFERROR(INDEX('Sensitivity analysis'!$A$1:$S$25,MATCH(SMALL('Sensitivity analysis'!$T$1:$T$25,25),'Sensitivity analysis'!$T$1:$T$25,0),13)," ")</f>
        <v xml:space="preserve"> </v>
      </c>
      <c r="R26" s="26" t="str">
        <f>IFERROR(INDEX('Sensitivity analysis'!$A$1:$S$25,MATCH(SMALL('Sensitivity analysis'!$T$1:$T$25,25),'Sensitivity analysis'!$T$1:$T$25,0),14)," ")</f>
        <v xml:space="preserve"> </v>
      </c>
      <c r="S26" s="26" t="str">
        <f>IFERROR(INDEX('Sensitivity analysis'!$A$1:$S$25,MATCH(SMALL('Sensitivity analysis'!$T$1:$T$25,25),'Sensitivity analysis'!$T$1:$T$25,0),15)," ")</f>
        <v xml:space="preserve"> </v>
      </c>
      <c r="T26" s="26" t="str">
        <f>IFERROR(INDEX('Sensitivity analysis'!$A$1:$S$25,MATCH(SMALL('Sensitivity analysis'!$T$1:$T$25,25),'Sensitivity analysis'!$T$1:$T$25,0),16)," ")</f>
        <v xml:space="preserve"> </v>
      </c>
      <c r="U26" s="26" t="str">
        <f>IFERROR(INDEX('Sensitivity analysis'!$A$1:$S$25,MATCH(SMALL('Sensitivity analysis'!$T$1:$T$25,25),'Sensitivity analysis'!$T$1:$T$25,0),17)," ")</f>
        <v xml:space="preserve"> </v>
      </c>
      <c r="V26" s="26" t="str">
        <f>IFERROR(INDEX('Sensitivity analysis'!$A$1:$S$25,MATCH(SMALL('Sensitivity analysis'!$T$1:$T$25,25),'Sensitivity analysis'!$T$1:$T$25,0),18)," ")</f>
        <v xml:space="preserve"> </v>
      </c>
      <c r="W26" s="26" t="str">
        <f>IFERROR(INDEX('Sensitivity analysis'!$A$1:$S$25,MATCH(SMALL('Sensitivity analysis'!$T$1:$T$25,25),'Sensitivity analysis'!$T$1:$T$25,0),19)," ")</f>
        <v xml:space="preserve"> </v>
      </c>
    </row>
  </sheetData>
  <mergeCells count="3">
    <mergeCell ref="A1:N1"/>
    <mergeCell ref="P1:W1"/>
    <mergeCell ref="O1:O1048576"/>
  </mergeCells>
  <conditionalFormatting sqref="P1:W1048576">
    <cfRule type="containsText" dxfId="10" priority="1" operator="containsText" text="Min value:">
      <formula>NOT(ISERROR(SEARCH("Min value:",P1)))</formula>
    </cfRule>
    <cfRule type="cellIs" dxfId="9" priority="2" operator="equal">
      <formula>0</formula>
    </cfRule>
    <cfRule type="containsText" dxfId="8" priority="3" operator="containsText" text="Upper bound">
      <formula>NOT(ISERROR(SEARCH("Upper bound",P1)))</formula>
    </cfRule>
    <cfRule type="containsText" dxfId="7" priority="4" operator="containsText" text="Lower bound">
      <formula>NOT(ISERROR(SEARCH("Lower bound",P1)))</formula>
    </cfRule>
    <cfRule type="containsText" dxfId="6" priority="5" operator="containsText" text="Shadow price">
      <formula>NOT(ISERROR(SEARCH("Shadow price",P1)))</formula>
    </cfRule>
    <cfRule type="containsText" dxfId="5" priority="6" operator="containsText" text="Slack">
      <formula>NOT(ISERROR(SEARCH("Slack",P1)))</formula>
    </cfRule>
    <cfRule type="containsText" dxfId="4" priority="7" operator="containsText" text="Right hand side">
      <formula>NOT(ISERROR(SEARCH("Right hand side",P1)))</formula>
    </cfRule>
    <cfRule type="containsText" dxfId="3" priority="8" operator="containsText" text="Direction">
      <formula>NOT(ISERROR(SEARCH("Direction",P1)))</formula>
    </cfRule>
    <cfRule type="containsText" dxfId="2" priority="9" operator="containsText" text="Left hand side">
      <formula>NOT(ISERROR(SEARCH("Left hand side",P1)))</formula>
    </cfRule>
    <cfRule type="containsText" dxfId="1" priority="10" operator="containsText" text="Constraints">
      <formula>NOT(ISERROR(SEARCH("Constraints",P1)))</formula>
    </cfRule>
    <cfRule type="containsText" dxfId="0" priority="11" operator="containsText" text="Max value">
      <formula>NOT(ISERROR(SEARCH("Max value",P1)))</formula>
    </cfRule>
  </conditionalFormatting>
  <pageMargins left="0.7" right="0.7" top="0.75" bottom="0.75" header="0.3" footer="0.3"/>
  <pageSetup paperSize="9" orientation="portrait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1D7B1376-2F79-46EF-8471-D6AE79D5D7BE}">
          <x14:formula1>
            <xm:f>'Sensitivity analysis'!$AA$2:$AA$3</xm:f>
          </x14:formula1>
          <xm:sqref>A3</xm:sqref>
        </x14:dataValidation>
        <x14:dataValidation type="list" allowBlank="1" showInputMessage="1" showErrorMessage="1" xr:uid="{8ED3550C-6630-466A-8F8E-6270FC578FAE}">
          <x14:formula1>
            <xm:f>'Sensitivity analysis'!$AB$2:$AB$4</xm:f>
          </x14:formula1>
          <xm:sqref>M4:M14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53EF1A-1C47-47B9-B7D7-A0E996A45284}">
  <dimension ref="A1:AK314"/>
  <sheetViews>
    <sheetView zoomScale="69" zoomScaleNormal="69" workbookViewId="0"/>
  </sheetViews>
  <sheetFormatPr baseColWidth="10" defaultColWidth="7.6640625" defaultRowHeight="18" customHeight="1" x14ac:dyDescent="0.2"/>
  <cols>
    <col min="1" max="1" width="12.1640625" style="1" bestFit="1" customWidth="1"/>
    <col min="2" max="2" width="7.6640625" style="2"/>
    <col min="3" max="24" width="7.6640625" style="1"/>
    <col min="25" max="25" width="8.6640625" style="1" customWidth="1"/>
    <col min="26" max="35" width="8" style="1" customWidth="1"/>
    <col min="36" max="36" width="14.5" style="1" customWidth="1"/>
    <col min="37" max="37" width="9.83203125" style="1" bestFit="1" customWidth="1"/>
    <col min="38" max="16384" width="7.6640625" style="1"/>
  </cols>
  <sheetData>
    <row r="1" spans="1:37" ht="18" customHeight="1" x14ac:dyDescent="0.2">
      <c r="A1" s="1" t="s">
        <v>7</v>
      </c>
      <c r="B1" s="2" t="s">
        <v>4</v>
      </c>
      <c r="C1" s="1">
        <f>'Data-solution'!B$3</f>
        <v>150</v>
      </c>
      <c r="D1" s="1">
        <f>'Data-solution'!C$3</f>
        <v>200</v>
      </c>
      <c r="E1" s="1">
        <f>'Data-solution'!D$3</f>
        <v>350</v>
      </c>
      <c r="F1" s="1">
        <f>'Data-solution'!E$3</f>
        <v>0</v>
      </c>
      <c r="G1" s="1">
        <f>'Data-solution'!F$3</f>
        <v>0</v>
      </c>
      <c r="H1" s="1">
        <f>'Data-solution'!G$3</f>
        <v>0</v>
      </c>
      <c r="I1" s="1">
        <f>'Data-solution'!H$3</f>
        <v>0</v>
      </c>
      <c r="J1" s="1">
        <f>'Data-solution'!I$3</f>
        <v>0</v>
      </c>
      <c r="K1" s="1">
        <f>'Data-solution'!J$3</f>
        <v>0</v>
      </c>
      <c r="L1" s="1">
        <f>'Data-solution'!K$3</f>
        <v>0</v>
      </c>
      <c r="M1" s="1">
        <f>'Data-solution'!L$3</f>
        <v>0</v>
      </c>
      <c r="N1" s="1">
        <v>0</v>
      </c>
      <c r="O1" s="1">
        <v>0</v>
      </c>
      <c r="P1" s="1">
        <v>0</v>
      </c>
      <c r="Q1" s="1">
        <v>0</v>
      </c>
      <c r="R1" s="1">
        <v>0</v>
      </c>
      <c r="S1" s="1">
        <v>0</v>
      </c>
      <c r="T1" s="1">
        <v>0</v>
      </c>
      <c r="U1" s="1">
        <v>0</v>
      </c>
      <c r="V1" s="1">
        <v>0</v>
      </c>
      <c r="W1" s="1">
        <v>0</v>
      </c>
      <c r="X1" s="1">
        <v>0</v>
      </c>
      <c r="Y1" s="1">
        <v>-999999</v>
      </c>
      <c r="Z1" s="1">
        <v>-999999</v>
      </c>
      <c r="AA1" s="1">
        <v>-999999</v>
      </c>
      <c r="AB1" s="1">
        <v>-999999</v>
      </c>
      <c r="AC1" s="1">
        <v>-999999</v>
      </c>
      <c r="AD1" s="1">
        <v>-999999</v>
      </c>
      <c r="AE1" s="1">
        <v>-999999</v>
      </c>
      <c r="AF1" s="1">
        <v>-999999</v>
      </c>
      <c r="AG1" s="1">
        <v>-999999</v>
      </c>
      <c r="AH1" s="1">
        <v>-999999</v>
      </c>
      <c r="AI1" s="1">
        <v>-999999</v>
      </c>
    </row>
    <row r="2" spans="1:37" s="2" customFormat="1" ht="18" customHeight="1" x14ac:dyDescent="0.2">
      <c r="A2" s="2" t="s">
        <v>3</v>
      </c>
      <c r="B2" s="2" t="s">
        <v>1</v>
      </c>
      <c r="C2" s="2" t="str">
        <f>'Data-solution'!B$2</f>
        <v>X1</v>
      </c>
      <c r="D2" s="2" t="str">
        <f>'Data-solution'!C$2</f>
        <v>X2</v>
      </c>
      <c r="E2" s="2" t="str">
        <f>'Data-solution'!D$2</f>
        <v>X3</v>
      </c>
      <c r="F2" s="2" t="str">
        <f>'Data-solution'!E$2</f>
        <v>X4</v>
      </c>
      <c r="G2" s="2" t="str">
        <f>'Data-solution'!F$2</f>
        <v>X5</v>
      </c>
      <c r="H2" s="2" t="str">
        <f>'Data-solution'!G$2</f>
        <v>X6</v>
      </c>
      <c r="I2" s="2" t="str">
        <f>'Data-solution'!H$2</f>
        <v>X7</v>
      </c>
      <c r="J2" s="2" t="str">
        <f>'Data-solution'!I$2</f>
        <v>X8</v>
      </c>
      <c r="K2" s="2" t="str">
        <f>'Data-solution'!J$2</f>
        <v>X9</v>
      </c>
      <c r="L2" s="2" t="str">
        <f>'Data-solution'!K$2</f>
        <v>X10</v>
      </c>
      <c r="M2" s="2" t="str">
        <f>'Data-solution'!L$2</f>
        <v>X11</v>
      </c>
      <c r="N2" s="2" t="str">
        <f>IF('Data-solution'!M4="&lt;=","S1",IF('Data-solution'!M4="&gt;=","E1"," "))</f>
        <v>S1</v>
      </c>
      <c r="O2" s="2" t="str">
        <f>IF('Data-solution'!M5="&lt;=","S2",IF('Data-solution'!M5="&gt;=","E2"," "))</f>
        <v>S2</v>
      </c>
      <c r="P2" s="2" t="str">
        <f>IF('Data-solution'!M6="&lt;=","S3",IF('Data-solution'!M6="&gt;=","E3"," "))</f>
        <v>S3</v>
      </c>
      <c r="Q2" s="2" t="str">
        <f>IF('Data-solution'!M7="&lt;=","S4",IF('Data-solution'!M7="&gt;=","E4"," "))</f>
        <v>S4</v>
      </c>
      <c r="R2" s="2" t="str">
        <f>IF('Data-solution'!M8="&lt;=","S5",IF('Data-solution'!M8="&gt;=","E5"," "))</f>
        <v>S5</v>
      </c>
      <c r="S2" s="2" t="str">
        <f>IF('Data-solution'!M9="&lt;=","S6",IF('Data-solution'!M9="&gt;=","E6"," "))</f>
        <v>S6</v>
      </c>
      <c r="T2" s="2" t="str">
        <f>IF('Data-solution'!M10="&lt;=","S7",IF('Data-solution'!M10="&gt;=","E7"," "))</f>
        <v>S7</v>
      </c>
      <c r="U2" s="2" t="str">
        <f>IF('Data-solution'!M11="&lt;=","S8",IF('Data-solution'!M11="&gt;=","E8"," "))</f>
        <v>S8</v>
      </c>
      <c r="V2" s="2" t="str">
        <f>IF('Data-solution'!M12="&lt;=","S9",IF('Data-solution'!M12="&gt;=","E9"," "))</f>
        <v>S9</v>
      </c>
      <c r="W2" s="2" t="str">
        <f>IF('Data-solution'!M13="&lt;=","S10",IF('Data-solution'!M13="&gt;=","E10"," "))</f>
        <v>S10</v>
      </c>
      <c r="X2" s="2" t="str">
        <f>IF('Data-solution'!M14="&lt;=","S11",IF('Data-solution'!M14="&gt;=","E11"," "))</f>
        <v>S11</v>
      </c>
      <c r="Y2" s="2" t="str">
        <f>IF('Data-solution'!M4="&lt;="," ","A1")</f>
        <v xml:space="preserve"> </v>
      </c>
      <c r="Z2" s="2" t="str">
        <f>IF('Data-solution'!M5="&lt;="," ","A2")</f>
        <v xml:space="preserve"> </v>
      </c>
      <c r="AA2" s="2" t="str">
        <f>IF('Data-solution'!M6="&lt;="," ","A3")</f>
        <v xml:space="preserve"> </v>
      </c>
      <c r="AB2" s="2" t="str">
        <f>IF('Data-solution'!M7="&lt;="," ","A4")</f>
        <v xml:space="preserve"> </v>
      </c>
      <c r="AC2" s="2" t="str">
        <f>IF('Data-solution'!M8="&lt;="," ","A5")</f>
        <v xml:space="preserve"> </v>
      </c>
      <c r="AD2" s="2" t="str">
        <f>IF('Data-solution'!M9="&lt;="," ","A6")</f>
        <v xml:space="preserve"> </v>
      </c>
      <c r="AE2" s="2" t="str">
        <f>IF('Data-solution'!M10="&lt;="," ","A7")</f>
        <v xml:space="preserve"> </v>
      </c>
      <c r="AF2" s="2" t="str">
        <f>IF('Data-solution'!M11="&lt;="," ","A8")</f>
        <v xml:space="preserve"> </v>
      </c>
      <c r="AG2" s="2" t="str">
        <f>IF('Data-solution'!M12="&lt;="," ","A9")</f>
        <v xml:space="preserve"> </v>
      </c>
      <c r="AH2" s="2" t="str">
        <f>IF('Data-solution'!M13="&lt;="," ","A10")</f>
        <v xml:space="preserve"> </v>
      </c>
      <c r="AI2" s="2" t="str">
        <f>IF('Data-solution'!M14="&lt;="," ","A11")</f>
        <v xml:space="preserve"> </v>
      </c>
      <c r="AJ2" s="2" t="s">
        <v>9</v>
      </c>
      <c r="AK2" s="2" t="s">
        <v>10</v>
      </c>
    </row>
    <row r="3" spans="1:37" ht="18" customHeight="1" x14ac:dyDescent="0.2">
      <c r="A3" s="1">
        <f>INDEX(C1:AI1,1,MATCH(B3,C2:AI2,0))</f>
        <v>0</v>
      </c>
      <c r="B3" s="2" t="str">
        <f>IF(Y$2&lt;&gt;" ",Y$2,N$2)</f>
        <v>S1</v>
      </c>
      <c r="C3" s="1">
        <f>'Data-solution'!B4</f>
        <v>1</v>
      </c>
      <c r="D3" s="1">
        <f>'Data-solution'!C4</f>
        <v>1</v>
      </c>
      <c r="E3" s="1">
        <f>'Data-solution'!D4</f>
        <v>1</v>
      </c>
      <c r="F3" s="1">
        <f>'Data-solution'!E4</f>
        <v>0</v>
      </c>
      <c r="G3" s="1">
        <f>'Data-solution'!F4</f>
        <v>0</v>
      </c>
      <c r="H3" s="1">
        <f>'Data-solution'!G4</f>
        <v>0</v>
      </c>
      <c r="I3" s="1">
        <f>'Data-solution'!H4</f>
        <v>0</v>
      </c>
      <c r="J3" s="1">
        <f>'Data-solution'!I4</f>
        <v>0</v>
      </c>
      <c r="K3" s="1">
        <f>'Data-solution'!J4</f>
        <v>0</v>
      </c>
      <c r="L3" s="1">
        <f>'Data-solution'!K4</f>
        <v>0</v>
      </c>
      <c r="M3" s="1">
        <f>'Data-solution'!L4</f>
        <v>0</v>
      </c>
      <c r="N3" s="1">
        <f>IF(N2="S1",1,IF(N2="E1",-1,0))</f>
        <v>1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1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f>'Data-solution'!N4</f>
        <v>550</v>
      </c>
      <c r="AK3" s="1">
        <f>IF(INDEX(C3:X3,1,MATCH(IF('Data-solution'!A$3="Maximize",MAX(C14:X14),MIN(C14:X14)),C14:X14,0))&gt;0,AJ3/INDEX(C3:X3,1,MATCH(IF('Data-solution'!A$3="Maximize",MAX(C14:X14),MIN(C14:X14)),C14:X14,0))," ")</f>
        <v>550</v>
      </c>
    </row>
    <row r="4" spans="1:37" ht="18" customHeight="1" x14ac:dyDescent="0.2">
      <c r="A4" s="1">
        <f>INDEX(C1:AI1,1,MATCH(B4,C2:AI2,0))</f>
        <v>0</v>
      </c>
      <c r="B4" s="2" t="str">
        <f>IF(Z$2&lt;&gt;" ",Z$2,O$2)</f>
        <v>S2</v>
      </c>
      <c r="C4" s="1">
        <f>'Data-solution'!B5</f>
        <v>1</v>
      </c>
      <c r="D4" s="1">
        <f>'Data-solution'!C5</f>
        <v>3</v>
      </c>
      <c r="E4" s="1">
        <f>'Data-solution'!D5</f>
        <v>2</v>
      </c>
      <c r="F4" s="1">
        <f>'Data-solution'!E5</f>
        <v>0</v>
      </c>
      <c r="G4" s="1">
        <f>'Data-solution'!F5</f>
        <v>0</v>
      </c>
      <c r="H4" s="1">
        <f>'Data-solution'!G5</f>
        <v>0</v>
      </c>
      <c r="I4" s="1">
        <f>'Data-solution'!H5</f>
        <v>0</v>
      </c>
      <c r="J4" s="1">
        <f>'Data-solution'!I5</f>
        <v>0</v>
      </c>
      <c r="K4" s="1">
        <f>'Data-solution'!J5</f>
        <v>0</v>
      </c>
      <c r="L4" s="1">
        <f>'Data-solution'!K5</f>
        <v>0</v>
      </c>
      <c r="M4" s="1">
        <f>'Data-solution'!L5</f>
        <v>0</v>
      </c>
      <c r="N4" s="1">
        <v>0</v>
      </c>
      <c r="O4" s="1">
        <f>IF(O2="S2",1,IF(O2="E2",-1,0))</f>
        <v>1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1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f>'Data-solution'!N5</f>
        <v>1000</v>
      </c>
      <c r="AK4" s="1">
        <f>IF(INDEX(C4:X4,1,MATCH(IF('Data-solution'!A$3="Maximize",MAX(C14:X14),MIN(C14:X14)),C14:X14,0))&gt;0,AJ4/INDEX(C4:X4,1,MATCH(IF('Data-solution'!A$3="Maximize",MAX(C14:X14),MIN(C14:X14)),C14:X14,0))," ")</f>
        <v>500</v>
      </c>
    </row>
    <row r="5" spans="1:37" ht="18" customHeight="1" x14ac:dyDescent="0.2">
      <c r="A5" s="1">
        <f>INDEX(C1:AI1,1,MATCH(B5,C2:AI2,0))</f>
        <v>0</v>
      </c>
      <c r="B5" s="2" t="str">
        <f>IF(AA$2&lt;&gt;" ",AA$2,P$2)</f>
        <v>S3</v>
      </c>
      <c r="C5" s="1">
        <f>'Data-solution'!B6</f>
        <v>2</v>
      </c>
      <c r="D5" s="1">
        <f>'Data-solution'!C6</f>
        <v>5</v>
      </c>
      <c r="E5" s="1">
        <f>'Data-solution'!D6</f>
        <v>6</v>
      </c>
      <c r="F5" s="1">
        <f>'Data-solution'!E6</f>
        <v>0</v>
      </c>
      <c r="G5" s="1">
        <f>'Data-solution'!F6</f>
        <v>0</v>
      </c>
      <c r="H5" s="1">
        <f>'Data-solution'!G6</f>
        <v>0</v>
      </c>
      <c r="I5" s="1">
        <f>'Data-solution'!H6</f>
        <v>0</v>
      </c>
      <c r="J5" s="1">
        <f>'Data-solution'!I6</f>
        <v>0</v>
      </c>
      <c r="K5" s="1">
        <f>'Data-solution'!J6</f>
        <v>0</v>
      </c>
      <c r="L5" s="1">
        <f>'Data-solution'!K6</f>
        <v>0</v>
      </c>
      <c r="M5" s="1">
        <f>'Data-solution'!L6</f>
        <v>0</v>
      </c>
      <c r="N5" s="1">
        <v>0</v>
      </c>
      <c r="O5" s="1">
        <v>0</v>
      </c>
      <c r="P5" s="1">
        <f>IF(P2="S3",1,IF(P2="E3",-1,0))</f>
        <v>1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1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f>'Data-solution'!N6</f>
        <v>2000</v>
      </c>
      <c r="AK5" s="1">
        <f>IF(INDEX(C5:X5,1,MATCH(IF('Data-solution'!A$3="Maximize",MAX(C14:X14),MIN(C14:X14)),C14:X14,0))&gt;0,AJ5/INDEX(C5:X5,1,MATCH(IF('Data-solution'!A$3="Maximize",MAX(C14:X14),MIN(C14:X14)),C14:X14,0))," ")</f>
        <v>333.33333333333331</v>
      </c>
    </row>
    <row r="6" spans="1:37" ht="18" customHeight="1" x14ac:dyDescent="0.2">
      <c r="A6" s="1">
        <f>INDEX(C1:AI1,1,MATCH(B6,C2:AI2,0))</f>
        <v>0</v>
      </c>
      <c r="B6" s="2" t="str">
        <f>IF(AB$2&lt;&gt;" ",AB$2,Q$2)</f>
        <v>S4</v>
      </c>
      <c r="C6" s="1">
        <f>'Data-solution'!B7</f>
        <v>1</v>
      </c>
      <c r="D6" s="1">
        <f>'Data-solution'!C7</f>
        <v>0</v>
      </c>
      <c r="E6" s="1">
        <f>'Data-solution'!D7</f>
        <v>1</v>
      </c>
      <c r="F6" s="1">
        <f>'Data-solution'!E7</f>
        <v>0</v>
      </c>
      <c r="G6" s="1">
        <f>'Data-solution'!F7</f>
        <v>0</v>
      </c>
      <c r="H6" s="1">
        <f>'Data-solution'!G7</f>
        <v>0</v>
      </c>
      <c r="I6" s="1">
        <f>'Data-solution'!H7</f>
        <v>0</v>
      </c>
      <c r="J6" s="1">
        <f>'Data-solution'!I7</f>
        <v>0</v>
      </c>
      <c r="K6" s="1">
        <f>'Data-solution'!J7</f>
        <v>0</v>
      </c>
      <c r="L6" s="1">
        <f>'Data-solution'!K7</f>
        <v>0</v>
      </c>
      <c r="M6" s="1">
        <f>'Data-solution'!L7</f>
        <v>0</v>
      </c>
      <c r="N6" s="1">
        <v>0</v>
      </c>
      <c r="O6" s="1">
        <v>0</v>
      </c>
      <c r="P6" s="1">
        <v>0</v>
      </c>
      <c r="Q6" s="1">
        <f>IF(Q2="S4",1,IF(Q2="E4",-1,0))</f>
        <v>1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1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f>'Data-solution'!N7</f>
        <v>400</v>
      </c>
      <c r="AK6" s="1">
        <f>IF(INDEX(C6:X6,1,MATCH(IF('Data-solution'!A$3="Maximize",MAX(C14:X14),MIN(C14:X14)),C14:X14,0))&gt;0,AJ6/INDEX(C6:X6,1,MATCH(IF('Data-solution'!A$3="Maximize",MAX(C14:X14),MIN(C14:X14)),C14:X14,0))," ")</f>
        <v>400</v>
      </c>
    </row>
    <row r="7" spans="1:37" ht="18" customHeight="1" x14ac:dyDescent="0.2">
      <c r="A7" s="1">
        <f>INDEX(C1:AI1,1,MATCH(B7,C2:AI2,0))</f>
        <v>0</v>
      </c>
      <c r="B7" s="2" t="str">
        <f>IF(AC$2&lt;&gt;" ",AC$2,R$2)</f>
        <v>S5</v>
      </c>
      <c r="C7" s="1">
        <f>'Data-solution'!B8</f>
        <v>0</v>
      </c>
      <c r="D7" s="1">
        <f>'Data-solution'!C8</f>
        <v>0</v>
      </c>
      <c r="E7" s="1">
        <f>'Data-solution'!D8</f>
        <v>0</v>
      </c>
      <c r="F7" s="1">
        <f>'Data-solution'!E8</f>
        <v>0</v>
      </c>
      <c r="G7" s="1">
        <f>'Data-solution'!F8</f>
        <v>0</v>
      </c>
      <c r="H7" s="1">
        <f>'Data-solution'!G8</f>
        <v>0</v>
      </c>
      <c r="I7" s="1">
        <f>'Data-solution'!H8</f>
        <v>0</v>
      </c>
      <c r="J7" s="1">
        <f>'Data-solution'!I8</f>
        <v>0</v>
      </c>
      <c r="K7" s="1">
        <f>'Data-solution'!J8</f>
        <v>0</v>
      </c>
      <c r="L7" s="1">
        <f>'Data-solution'!K8</f>
        <v>0</v>
      </c>
      <c r="M7" s="1">
        <f>'Data-solution'!L8</f>
        <v>0</v>
      </c>
      <c r="N7" s="1">
        <v>0</v>
      </c>
      <c r="O7" s="1">
        <v>0</v>
      </c>
      <c r="P7" s="1">
        <v>0</v>
      </c>
      <c r="Q7" s="1">
        <v>0</v>
      </c>
      <c r="R7" s="1">
        <f>IF(R2="S5",1,IF(R2="E5",-1,0))</f>
        <v>1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1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f>'Data-solution'!N8</f>
        <v>0</v>
      </c>
      <c r="AK7" s="1" t="str">
        <f>IF(INDEX(C7:X7,1,MATCH(IF('Data-solution'!A$3="Maximize",MAX(C14:X14),MIN(C14:X14)),C14:X14,0))&gt;0,AJ7/INDEX(C7:X7,1,MATCH(IF('Data-solution'!A$3="Maximize",MAX(C14:X14),MIN(C14:X14)),C14:X14,0))," ")</f>
        <v xml:space="preserve"> </v>
      </c>
    </row>
    <row r="8" spans="1:37" ht="18" customHeight="1" x14ac:dyDescent="0.2">
      <c r="A8" s="1">
        <f>INDEX(C1:AI1,1,MATCH(B8,C2:AI2,0))</f>
        <v>0</v>
      </c>
      <c r="B8" s="2" t="str">
        <f>IF(AD$2&lt;&gt;" ",AD$2,S$2)</f>
        <v>S6</v>
      </c>
      <c r="C8" s="1">
        <f>'Data-solution'!B9</f>
        <v>0</v>
      </c>
      <c r="D8" s="1">
        <f>'Data-solution'!C9</f>
        <v>0</v>
      </c>
      <c r="E8" s="1">
        <f>'Data-solution'!D9</f>
        <v>0</v>
      </c>
      <c r="F8" s="1">
        <f>'Data-solution'!E9</f>
        <v>0</v>
      </c>
      <c r="G8" s="1">
        <f>'Data-solution'!F9</f>
        <v>0</v>
      </c>
      <c r="H8" s="1">
        <f>'Data-solution'!G9</f>
        <v>0</v>
      </c>
      <c r="I8" s="1">
        <f>'Data-solution'!H9</f>
        <v>0</v>
      </c>
      <c r="J8" s="1">
        <f>'Data-solution'!I9</f>
        <v>0</v>
      </c>
      <c r="K8" s="1">
        <f>'Data-solution'!J9</f>
        <v>0</v>
      </c>
      <c r="L8" s="1">
        <f>'Data-solution'!K9</f>
        <v>0</v>
      </c>
      <c r="M8" s="1">
        <f>'Data-solution'!L9</f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f>IF(S2="S6",1,IF(S2="E6",-1,0))</f>
        <v>1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1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f>'Data-solution'!N9</f>
        <v>0</v>
      </c>
      <c r="AK8" s="1" t="str">
        <f>IF(INDEX(C8:X8,1,MATCH(IF('Data-solution'!A$3="Maximize",MAX(C14:X14),MIN(C14:X14)),C14:X14,0))&gt;0,AJ8/INDEX(C8:X8,1,MATCH(IF('Data-solution'!A$3="Maximize",MAX(C14:X14),MIN(C14:X14)),C14:X14,0))," ")</f>
        <v xml:space="preserve"> </v>
      </c>
    </row>
    <row r="9" spans="1:37" ht="18" customHeight="1" x14ac:dyDescent="0.2">
      <c r="A9" s="1">
        <f>INDEX(C1:AI1,1,MATCH(B9,C2:AI2,0))</f>
        <v>0</v>
      </c>
      <c r="B9" s="2" t="str">
        <f>IF(AE$2&lt;&gt;" ",AE$2,T$2)</f>
        <v>S7</v>
      </c>
      <c r="C9" s="1">
        <f>'Data-solution'!B10</f>
        <v>0</v>
      </c>
      <c r="D9" s="1">
        <f>'Data-solution'!C10</f>
        <v>0</v>
      </c>
      <c r="E9" s="1">
        <f>'Data-solution'!D10</f>
        <v>0</v>
      </c>
      <c r="F9" s="1">
        <f>'Data-solution'!E10</f>
        <v>0</v>
      </c>
      <c r="G9" s="1">
        <f>'Data-solution'!F10</f>
        <v>0</v>
      </c>
      <c r="H9" s="1">
        <f>'Data-solution'!G10</f>
        <v>0</v>
      </c>
      <c r="I9" s="1">
        <f>'Data-solution'!H10</f>
        <v>0</v>
      </c>
      <c r="J9" s="1">
        <f>'Data-solution'!I10</f>
        <v>0</v>
      </c>
      <c r="K9" s="1">
        <f>'Data-solution'!J10</f>
        <v>0</v>
      </c>
      <c r="L9" s="1">
        <f>'Data-solution'!K10</f>
        <v>0</v>
      </c>
      <c r="M9" s="1">
        <f>'Data-solution'!L10</f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f>IF(T2="S7",1,IF(T2="E7",-1,0))</f>
        <v>1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1</v>
      </c>
      <c r="AF9" s="1">
        <v>0</v>
      </c>
      <c r="AG9" s="1">
        <v>0</v>
      </c>
      <c r="AH9" s="1">
        <v>0</v>
      </c>
      <c r="AI9" s="1">
        <v>0</v>
      </c>
      <c r="AJ9" s="1">
        <f>'Data-solution'!N10</f>
        <v>0</v>
      </c>
      <c r="AK9" s="1" t="str">
        <f>IF(INDEX(C9:X9,1,MATCH(IF('Data-solution'!A$3="Maximize",MAX(C14:X14),MIN(C14:X14)),C14:X14,0))&gt;0,AJ9/INDEX(C9:X9,1,MATCH(IF('Data-solution'!A$3="Maximize",MAX(C14:X14),MIN(C14:X14)),C14:X14,0))," ")</f>
        <v xml:space="preserve"> </v>
      </c>
    </row>
    <row r="10" spans="1:37" ht="18" customHeight="1" x14ac:dyDescent="0.2">
      <c r="A10" s="1">
        <f>INDEX(C1:AI1,1,MATCH(B10,C2:AI2,0))</f>
        <v>0</v>
      </c>
      <c r="B10" s="2" t="str">
        <f>IF(AF$2&lt;&gt;" ",AF$2,U$2)</f>
        <v>S8</v>
      </c>
      <c r="C10" s="1">
        <f>'Data-solution'!B11</f>
        <v>0</v>
      </c>
      <c r="D10" s="1">
        <f>'Data-solution'!C11</f>
        <v>0</v>
      </c>
      <c r="E10" s="1">
        <f>'Data-solution'!D11</f>
        <v>0</v>
      </c>
      <c r="F10" s="1">
        <f>'Data-solution'!E11</f>
        <v>0</v>
      </c>
      <c r="G10" s="1">
        <f>'Data-solution'!F11</f>
        <v>0</v>
      </c>
      <c r="H10" s="1">
        <f>'Data-solution'!G11</f>
        <v>0</v>
      </c>
      <c r="I10" s="1">
        <f>'Data-solution'!H11</f>
        <v>0</v>
      </c>
      <c r="J10" s="1">
        <f>'Data-solution'!I11</f>
        <v>0</v>
      </c>
      <c r="K10" s="1">
        <f>'Data-solution'!J11</f>
        <v>0</v>
      </c>
      <c r="L10" s="1">
        <f>'Data-solution'!K11</f>
        <v>0</v>
      </c>
      <c r="M10" s="1">
        <f>'Data-solution'!L11</f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f>IF(U2="S8",1,IF(U2="E8",-1,0))</f>
        <v>1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1</v>
      </c>
      <c r="AG10" s="1">
        <v>0</v>
      </c>
      <c r="AH10" s="1">
        <v>0</v>
      </c>
      <c r="AI10" s="1">
        <v>0</v>
      </c>
      <c r="AJ10" s="1">
        <f>'Data-solution'!N11</f>
        <v>0</v>
      </c>
      <c r="AK10" s="1" t="str">
        <f>IF(INDEX(C10:X10,1,MATCH(IF('Data-solution'!A$3="Maximize",MAX(C14:X14),MIN(C14:X14)),C14:X14,0))&gt;0,AJ10/INDEX(C10:X10,1,MATCH(IF('Data-solution'!A$3="Maximize",MAX(C14:X14),MIN(C14:X14)),C14:X14,0))," ")</f>
        <v xml:space="preserve"> </v>
      </c>
    </row>
    <row r="11" spans="1:37" ht="18" customHeight="1" x14ac:dyDescent="0.2">
      <c r="A11" s="1">
        <f>INDEX(C1:AI1,1,MATCH(B11,C2:AI2,0))</f>
        <v>0</v>
      </c>
      <c r="B11" s="2" t="str">
        <f>IF(AG$2&lt;&gt;" ",AG$2,V$2)</f>
        <v>S9</v>
      </c>
      <c r="C11" s="1">
        <f>'Data-solution'!B12</f>
        <v>0</v>
      </c>
      <c r="D11" s="1">
        <f>'Data-solution'!C12</f>
        <v>0</v>
      </c>
      <c r="E11" s="1">
        <f>'Data-solution'!D12</f>
        <v>0</v>
      </c>
      <c r="F11" s="1">
        <f>'Data-solution'!E12</f>
        <v>0</v>
      </c>
      <c r="G11" s="1">
        <f>'Data-solution'!F12</f>
        <v>0</v>
      </c>
      <c r="H11" s="1">
        <f>'Data-solution'!G12</f>
        <v>0</v>
      </c>
      <c r="I11" s="1">
        <f>'Data-solution'!H12</f>
        <v>0</v>
      </c>
      <c r="J11" s="1">
        <f>'Data-solution'!I12</f>
        <v>0</v>
      </c>
      <c r="K11" s="1">
        <f>'Data-solution'!J12</f>
        <v>0</v>
      </c>
      <c r="L11" s="1">
        <f>'Data-solution'!K12</f>
        <v>0</v>
      </c>
      <c r="M11" s="1">
        <f>'Data-solution'!L12</f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f>IF(V2="S9",1,IF(V2="E9",-1,0))</f>
        <v>1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1</v>
      </c>
      <c r="AH11" s="1">
        <v>0</v>
      </c>
      <c r="AI11" s="1">
        <v>0</v>
      </c>
      <c r="AJ11" s="1">
        <f>'Data-solution'!N12</f>
        <v>0</v>
      </c>
      <c r="AK11" s="1" t="str">
        <f>IF(INDEX(C11:X11,1,MATCH(IF('Data-solution'!A$3="Maximize",MAX(C14:X14),MIN(C14:X14)),C14:X14,0))&gt;0,AJ11/INDEX(C11:X11,1,MATCH(IF('Data-solution'!A$3="Maximize",MAX(C14:X14),MIN(C14:X14)),C14:X14,0))," ")</f>
        <v xml:space="preserve"> </v>
      </c>
    </row>
    <row r="12" spans="1:37" ht="18" customHeight="1" x14ac:dyDescent="0.2">
      <c r="A12" s="1">
        <f>INDEX(C1:AI1,1,MATCH(B12,C2:AI2,0))</f>
        <v>0</v>
      </c>
      <c r="B12" s="2" t="str">
        <f>IF(AH$2&lt;&gt;" ",AH$2,W$2)</f>
        <v>S10</v>
      </c>
      <c r="C12" s="1">
        <f>'Data-solution'!B13</f>
        <v>0</v>
      </c>
      <c r="D12" s="1">
        <f>'Data-solution'!C13</f>
        <v>0</v>
      </c>
      <c r="E12" s="1">
        <f>'Data-solution'!D13</f>
        <v>0</v>
      </c>
      <c r="F12" s="1">
        <f>'Data-solution'!E13</f>
        <v>0</v>
      </c>
      <c r="G12" s="1">
        <f>'Data-solution'!F13</f>
        <v>0</v>
      </c>
      <c r="H12" s="1">
        <f>'Data-solution'!G13</f>
        <v>0</v>
      </c>
      <c r="I12" s="1">
        <f>'Data-solution'!H13</f>
        <v>0</v>
      </c>
      <c r="J12" s="1">
        <f>'Data-solution'!I13</f>
        <v>0</v>
      </c>
      <c r="K12" s="1">
        <f>'Data-solution'!J13</f>
        <v>0</v>
      </c>
      <c r="L12" s="1">
        <f>'Data-solution'!K13</f>
        <v>0</v>
      </c>
      <c r="M12" s="1">
        <f>'Data-solution'!L13</f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f>IF(W2="S10",1,IF(W2="E10",-1,0))</f>
        <v>1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1</v>
      </c>
      <c r="AI12" s="1">
        <v>0</v>
      </c>
      <c r="AJ12" s="1">
        <f>'Data-solution'!N13</f>
        <v>0</v>
      </c>
      <c r="AK12" s="1" t="str">
        <f>IF(INDEX(C12:X12,1,MATCH(IF('Data-solution'!A$3="Maximize",MAX(C14:X14),MIN(C14:X14)),C14:X14,0))&gt;0,AJ12/INDEX(C12:X12,1,MATCH(IF('Data-solution'!A$3="Maximize",MAX(C14:X14),MIN(C14:X14)),C14:X14,0))," ")</f>
        <v xml:space="preserve"> </v>
      </c>
    </row>
    <row r="13" spans="1:37" ht="18" customHeight="1" x14ac:dyDescent="0.2">
      <c r="A13" s="1">
        <f>INDEX(C1:AI1,1,MATCH(B13,C2:AI2,0))</f>
        <v>0</v>
      </c>
      <c r="B13" s="2" t="str">
        <f>IF(AI$2&lt;&gt;" ",AI$2,X$2)</f>
        <v>S11</v>
      </c>
      <c r="C13" s="1">
        <f>'Data-solution'!B14</f>
        <v>0</v>
      </c>
      <c r="D13" s="1">
        <f>'Data-solution'!C14</f>
        <v>0</v>
      </c>
      <c r="E13" s="1">
        <f>'Data-solution'!D14</f>
        <v>0</v>
      </c>
      <c r="F13" s="1">
        <f>'Data-solution'!E14</f>
        <v>0</v>
      </c>
      <c r="G13" s="1">
        <f>'Data-solution'!F14</f>
        <v>0</v>
      </c>
      <c r="H13" s="1">
        <f>'Data-solution'!G14</f>
        <v>0</v>
      </c>
      <c r="I13" s="1">
        <f>'Data-solution'!H14</f>
        <v>0</v>
      </c>
      <c r="J13" s="1">
        <f>'Data-solution'!I14</f>
        <v>0</v>
      </c>
      <c r="K13" s="1">
        <f>'Data-solution'!J14</f>
        <v>0</v>
      </c>
      <c r="L13" s="1">
        <f>'Data-solution'!K14</f>
        <v>0</v>
      </c>
      <c r="M13" s="1">
        <f>'Data-solution'!L14</f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f>IF(X2="S11",1,IF(X2="E11",-1,0))</f>
        <v>1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1</v>
      </c>
      <c r="AJ13" s="1">
        <f>'Data-solution'!N14</f>
        <v>0</v>
      </c>
      <c r="AK13" s="1" t="str">
        <f>IF(INDEX(C13:X13,1,MATCH(IF('Data-solution'!A$3="Maximize",MAX(C14:X14),MIN(C14:X14)),C14:X14,0))&gt;0,AJ13/INDEX(C13:X13,1,MATCH(IF('Data-solution'!A$3="Maximize",MAX(C14:X14),MIN(C14:X14)),C14:X14,0))," ")</f>
        <v xml:space="preserve"> </v>
      </c>
    </row>
    <row r="14" spans="1:37" ht="18" customHeight="1" x14ac:dyDescent="0.2">
      <c r="B14" s="2" t="s">
        <v>5</v>
      </c>
      <c r="C14" s="1">
        <f>IF(SUM(COUNTIF($B3:$B13,$Y2),COUNTIF($B3:$B13,$Z2),COUNTIF($B3:$B13,$AA2),COUNTIF($B3:$B13,$AB2),COUNTIF($B3:$B13,$AC2),COUNTIF($B3:$B13,$AD2),COUNTIF($B3:$B13,$AE2),COUNTIF($B3:$B13,$AF2),COUNTIF($B3:$B13,$AG2),COUNTIF($B3:$B13,$AH2),COUNTIF($B3:$B13,$AI2))=0,C1-SUMPRODUCT($A3:$A13,C3:C13),IF('Data-solution'!$A$3="Maximize",1,-1)*SUM(SUMIF($B3:$B13,$Y2,C3:C13),SUMIF($B3:$B13,$Z2,C3:C13),SUMIF($B3:$B13,$AA2,C3:C13),SUMIF($B3:$B13,$AB2,C3:C13),SUMIF($B3:$B13,$AC2,C3:C13),SUMIF($B3:$B13,$AD2,C3:C13),SUMIF($B3:$B13,$AE2,C3:C13),SUMIF($B3:$B13,$AF2,C3:C13),SUMIF($B3:$B13,$AG2,C3:C13),SUMIF($B3:$B13,$AH2,C3:C13),SUMIF($B3:$B13,$AI2,C3:C13)))</f>
        <v>150</v>
      </c>
      <c r="D14" s="1">
        <f>IF(SUM(COUNTIF($B3:$B13,$Y2),COUNTIF($B3:$B13,$Z2),COUNTIF($B3:$B13,$AA2),COUNTIF($B3:$B13,$AB2),COUNTIF($B3:$B13,$AC2),COUNTIF($B3:$B13,$AD2),COUNTIF($B3:$B13,$AE2),COUNTIF($B3:$B13,$AF2),COUNTIF($B3:$B13,$AG2),COUNTIF($B3:$B13,$AH2),COUNTIF($B3:$B13,$AI2))=0,D1-SUMPRODUCT($A3:$A13,D3:D13),IF('Data-solution'!$A$3="Maximize",1,-1)*SUM(SUMIF($B3:$B13,$Y2,D3:D13),SUMIF($B3:$B13,$Z2,D3:D13),SUMIF($B3:$B13,$AA2,D3:D13),SUMIF($B3:$B13,$AB2,D3:D13),SUMIF($B3:$B13,$AC2,D3:D13),SUMIF($B3:$B13,$AD2,D3:D13),SUMIF($B3:$B13,$AE2,D3:D13),SUMIF($B3:$B13,$AF2,D3:D13),SUMIF($B3:$B13,$AG2,D3:D13),SUMIF($B3:$B13,$AH2,D3:D13),SUMIF($B3:$B13,$AI2,D3:D13)))</f>
        <v>200</v>
      </c>
      <c r="E14" s="1">
        <f>IF(SUM(COUNTIF($B3:$B13,$Y2),COUNTIF($B3:$B13,$Z2),COUNTIF($B3:$B13,$AA2),COUNTIF($B3:$B13,$AB2),COUNTIF($B3:$B13,$AC2),COUNTIF($B3:$B13,$AD2),COUNTIF($B3:$B13,$AE2),COUNTIF($B3:$B13,$AF2),COUNTIF($B3:$B13,$AG2),COUNTIF($B3:$B13,$AH2),COUNTIF($B3:$B13,$AI2))=0,E1-SUMPRODUCT($A3:$A13,E3:E13),IF('Data-solution'!$A$3="Maximize",1,-1)*SUM(SUMIF($B3:$B13,$Y2,E3:E13),SUMIF($B3:$B13,$Z2,E3:E13),SUMIF($B3:$B13,$AA2,E3:E13),SUMIF($B3:$B13,$AB2,E3:E13),SUMIF($B3:$B13,$AC2,E3:E13),SUMIF($B3:$B13,$AD2,E3:E13),SUMIF($B3:$B13,$AE2,E3:E13),SUMIF($B3:$B13,$AF2,E3:E13),SUMIF($B3:$B13,$AG2,E3:E13),SUMIF($B3:$B13,$AH2,E3:E13),SUMIF($B3:$B13,$AI2,E3:E13)))</f>
        <v>350</v>
      </c>
      <c r="F14" s="1">
        <f>IF(SUM(COUNTIF($B3:$B13,$Y2),COUNTIF($B3:$B13,$Z2),COUNTIF($B3:$B13,$AA2),COUNTIF($B3:$B13,$AB2),COUNTIF($B3:$B13,$AC2),COUNTIF($B3:$B13,$AD2),COUNTIF($B3:$B13,$AE2),COUNTIF($B3:$B13,$AF2),COUNTIF($B3:$B13,$AG2),COUNTIF($B3:$B13,$AH2),COUNTIF($B3:$B13,$AI2))=0,F1-SUMPRODUCT($A3:$A13,F3:F13),IF('Data-solution'!$A$3="Maximize",1,-1)*SUM(SUMIF($B3:$B13,$Y2,F3:F13),SUMIF($B3:$B13,$Z2,F3:F13),SUMIF($B3:$B13,$AA2,F3:F13),SUMIF($B3:$B13,$AB2,F3:F13),SUMIF($B3:$B13,$AC2,F3:F13),SUMIF($B3:$B13,$AD2,F3:F13),SUMIF($B3:$B13,$AE2,F3:F13),SUMIF($B3:$B13,$AF2,F3:F13),SUMIF($B3:$B13,$AG2,F3:F13),SUMIF($B3:$B13,$AH2,F3:F13),SUMIF($B3:$B13,$AI2,F3:F13)))</f>
        <v>0</v>
      </c>
      <c r="G14" s="1">
        <f>IF(SUM(COUNTIF($B3:$B13,$Y2),COUNTIF($B3:$B13,$Z2),COUNTIF($B3:$B13,$AA2),COUNTIF($B3:$B13,$AB2),COUNTIF($B3:$B13,$AC2),COUNTIF($B3:$B13,$AD2),COUNTIF($B3:$B13,$AE2),COUNTIF($B3:$B13,$AF2),COUNTIF($B3:$B13,$AG2),COUNTIF($B3:$B13,$AH2),COUNTIF($B3:$B13,$AI2))=0,G1-SUMPRODUCT($A3:$A13,G3:G13),IF('Data-solution'!$A$3="Maximize",1,-1)*SUM(SUMIF($B3:$B13,$Y2,G3:G13),SUMIF($B3:$B13,$Z2,G3:G13),SUMIF($B3:$B13,$AA2,G3:G13),SUMIF($B3:$B13,$AB2,G3:G13),SUMIF($B3:$B13,$AC2,G3:G13),SUMIF($B3:$B13,$AD2,G3:G13),SUMIF($B3:$B13,$AE2,G3:G13),SUMIF($B3:$B13,$AF2,G3:G13),SUMIF($B3:$B13,$AG2,G3:G13),SUMIF($B3:$B13,$AH2,G3:G13),SUMIF($B3:$B13,$AI2,G3:G13)))</f>
        <v>0</v>
      </c>
      <c r="H14" s="1">
        <f>IF(SUM(COUNTIF($B3:$B13,$Y2),COUNTIF($B3:$B13,$Z2),COUNTIF($B3:$B13,$AA2),COUNTIF($B3:$B13,$AB2),COUNTIF($B3:$B13,$AC2),COUNTIF($B3:$B13,$AD2),COUNTIF($B3:$B13,$AE2),COUNTIF($B3:$B13,$AF2),COUNTIF($B3:$B13,$AG2),COUNTIF($B3:$B13,$AH2),COUNTIF($B3:$B13,$AI2))=0,H1-SUMPRODUCT($A3:$A13,H3:H13),IF('Data-solution'!$A$3="Maximize",1,-1)*SUM(SUMIF($B3:$B13,$Y2,H3:H13),SUMIF($B3:$B13,$Z2,H3:H13),SUMIF($B3:$B13,$AA2,H3:H13),SUMIF($B3:$B13,$AB2,H3:H13),SUMIF($B3:$B13,$AC2,H3:H13),SUMIF($B3:$B13,$AD2,H3:H13),SUMIF($B3:$B13,$AE2,H3:H13),SUMIF($B3:$B13,$AF2,H3:H13),SUMIF($B3:$B13,$AG2,H3:H13),SUMIF($B3:$B13,$AH2,H3:H13),SUMIF($B3:$B13,$AI2,H3:H13)))</f>
        <v>0</v>
      </c>
      <c r="I14" s="1">
        <f>IF(SUM(COUNTIF($B3:$B13,$Y2),COUNTIF($B3:$B13,$Z2),COUNTIF($B3:$B13,$AA2),COUNTIF($B3:$B13,$AB2),COUNTIF($B3:$B13,$AC2),COUNTIF($B3:$B13,$AD2),COUNTIF($B3:$B13,$AE2),COUNTIF($B3:$B13,$AF2),COUNTIF($B3:$B13,$AG2),COUNTIF($B3:$B13,$AH2),COUNTIF($B3:$B13,$AI2))=0,I1-SUMPRODUCT($A3:$A13,I3:I13),IF('Data-solution'!$A$3="Maximize",1,-1)*SUM(SUMIF($B3:$B13,$Y2,I3:I13),SUMIF($B3:$B13,$Z2,I3:I13),SUMIF($B3:$B13,$AA2,I3:I13),SUMIF($B3:$B13,$AB2,I3:I13),SUMIF($B3:$B13,$AC2,I3:I13),SUMIF($B3:$B13,$AD2,I3:I13),SUMIF($B3:$B13,$AE2,I3:I13),SUMIF($B3:$B13,$AF2,I3:I13),SUMIF($B3:$B13,$AG2,I3:I13),SUMIF($B3:$B13,$AH2,I3:I13),SUMIF($B3:$B13,$AI2,I3:I13)))</f>
        <v>0</v>
      </c>
      <c r="J14" s="1">
        <f>IF(SUM(COUNTIF($B3:$B13,$Y2),COUNTIF($B3:$B13,$Z2),COUNTIF($B3:$B13,$AA2),COUNTIF($B3:$B13,$AB2),COUNTIF($B3:$B13,$AC2),COUNTIF($B3:$B13,$AD2),COUNTIF($B3:$B13,$AE2),COUNTIF($B3:$B13,$AF2),COUNTIF($B3:$B13,$AG2),COUNTIF($B3:$B13,$AH2),COUNTIF($B3:$B13,$AI2))=0,J1-SUMPRODUCT($A3:$A13,J3:J13),IF('Data-solution'!$A$3="Maximize",1,-1)*SUM(SUMIF($B3:$B13,$Y2,J3:J13),SUMIF($B3:$B13,$Z2,J3:J13),SUMIF($B3:$B13,$AA2,J3:J13),SUMIF($B3:$B13,$AB2,J3:J13),SUMIF($B3:$B13,$AC2,J3:J13),SUMIF($B3:$B13,$AD2,J3:J13),SUMIF($B3:$B13,$AE2,J3:J13),SUMIF($B3:$B13,$AF2,J3:J13),SUMIF($B3:$B13,$AG2,J3:J13),SUMIF($B3:$B13,$AH2,J3:J13),SUMIF($B3:$B13,$AI2,J3:J13)))</f>
        <v>0</v>
      </c>
      <c r="K14" s="1">
        <f>IF(SUM(COUNTIF($B3:$B13,$Y2),COUNTIF($B3:$B13,$Z2),COUNTIF($B3:$B13,$AA2),COUNTIF($B3:$B13,$AB2),COUNTIF($B3:$B13,$AC2),COUNTIF($B3:$B13,$AD2),COUNTIF($B3:$B13,$AE2),COUNTIF($B3:$B13,$AF2),COUNTIF($B3:$B13,$AG2),COUNTIF($B3:$B13,$AH2),COUNTIF($B3:$B13,$AI2))=0,K1-SUMPRODUCT($A3:$A13,K3:K13),IF('Data-solution'!$A$3="Maximize",1,-1)*SUM(SUMIF($B3:$B13,$Y2,K3:K13),SUMIF($B3:$B13,$Z2,K3:K13),SUMIF($B3:$B13,$AA2,K3:K13),SUMIF($B3:$B13,$AB2,K3:K13),SUMIF($B3:$B13,$AC2,K3:K13),SUMIF($B3:$B13,$AD2,K3:K13),SUMIF($B3:$B13,$AE2,K3:K13),SUMIF($B3:$B13,$AF2,K3:K13),SUMIF($B3:$B13,$AG2,K3:K13),SUMIF($B3:$B13,$AH2,K3:K13),SUMIF($B3:$B13,$AI2,K3:K13)))</f>
        <v>0</v>
      </c>
      <c r="L14" s="1">
        <f>IF(SUM(COUNTIF($B3:$B13,$Y2),COUNTIF($B3:$B13,$Z2),COUNTIF($B3:$B13,$AA2),COUNTIF($B3:$B13,$AB2),COUNTIF($B3:$B13,$AC2),COUNTIF($B3:$B13,$AD2),COUNTIF($B3:$B13,$AE2),COUNTIF($B3:$B13,$AF2),COUNTIF($B3:$B13,$AG2),COUNTIF($B3:$B13,$AH2),COUNTIF($B3:$B13,$AI2))=0,L1-SUMPRODUCT($A3:$A13,L3:L13),IF('Data-solution'!$A$3="Maximize",1,-1)*SUM(SUMIF($B3:$B13,$Y2,L3:L13),SUMIF($B3:$B13,$Z2,L3:L13),SUMIF($B3:$B13,$AA2,L3:L13),SUMIF($B3:$B13,$AB2,L3:L13),SUMIF($B3:$B13,$AC2,L3:L13),SUMIF($B3:$B13,$AD2,L3:L13),SUMIF($B3:$B13,$AE2,L3:L13),SUMIF($B3:$B13,$AF2,L3:L13),SUMIF($B3:$B13,$AG2,L3:L13),SUMIF($B3:$B13,$AH2,L3:L13),SUMIF($B3:$B13,$AI2,L3:L13)))</f>
        <v>0</v>
      </c>
      <c r="M14" s="1">
        <f>IF(SUM(COUNTIF($B3:$B13,$Y2),COUNTIF($B3:$B13,$Z2),COUNTIF($B3:$B13,$AA2),COUNTIF($B3:$B13,$AB2),COUNTIF($B3:$B13,$AC2),COUNTIF($B3:$B13,$AD2),COUNTIF($B3:$B13,$AE2),COUNTIF($B3:$B13,$AF2),COUNTIF($B3:$B13,$AG2),COUNTIF($B3:$B13,$AH2),COUNTIF($B3:$B13,$AI2))=0,M1-SUMPRODUCT($A3:$A13,M3:M13),IF('Data-solution'!$A$3="Maximize",1,-1)*SUM(SUMIF($B3:$B13,$Y2,M3:M13),SUMIF($B3:$B13,$Z2,M3:M13),SUMIF($B3:$B13,$AA2,M3:M13),SUMIF($B3:$B13,$AB2,M3:M13),SUMIF($B3:$B13,$AC2,M3:M13),SUMIF($B3:$B13,$AD2,M3:M13),SUMIF($B3:$B13,$AE2,M3:M13),SUMIF($B3:$B13,$AF2,M3:M13),SUMIF($B3:$B13,$AG2,M3:M13),SUMIF($B3:$B13,$AH2,M3:M13),SUMIF($B3:$B13,$AI2,M3:M13)))</f>
        <v>0</v>
      </c>
      <c r="N14" s="1">
        <f>IF(SUM(COUNTIF($B3:$B13,$Y2),COUNTIF($B3:$B13,$Z2),COUNTIF($B3:$B13,$AA2),COUNTIF($B3:$B13,$AB2),COUNTIF($B3:$B13,$AC2),COUNTIF($B3:$B13,$AD2),COUNTIF($B3:$B13,$AE2),COUNTIF($B3:$B13,$AF2),COUNTIF($B3:$B13,$AG2),COUNTIF($B3:$B13,$AH2),COUNTIF($B3:$B13,$AI2))=0,N1-SUMPRODUCT($A3:$A13,N3:N13),IF('Data-solution'!$A$3="Maximize",1,-1)*SUM(SUMIF($B3:$B13,$Y2,N3:N13),SUMIF($B3:$B13,$Z2,N3:N13),SUMIF($B3:$B13,$AA2,N3:N13),SUMIF($B3:$B13,$AB2,N3:N13),SUMIF($B3:$B13,$AC2,N3:N13),SUMIF($B3:$B13,$AD2,N3:N13),SUMIF($B3:$B13,$AE2,N3:N13),SUMIF($B3:$B13,$AF2,N3:N13),SUMIF($B3:$B13,$AG2,N3:N13),SUMIF($B3:$B13,$AH2,N3:N13),SUMIF($B3:$B13,$AI2,N3:N13)))</f>
        <v>0</v>
      </c>
      <c r="O14" s="1">
        <f>IF(SUM(COUNTIF($B3:$B13,$Y2),COUNTIF($B3:$B13,$Z2),COUNTIF($B3:$B13,$AA2),COUNTIF($B3:$B13,$AB2),COUNTIF($B3:$B13,$AC2),COUNTIF($B3:$B13,$AD2),COUNTIF($B3:$B13,$AE2),COUNTIF($B3:$B13,$AF2),COUNTIF($B3:$B13,$AG2),COUNTIF($B3:$B13,$AH2),COUNTIF($B3:$B13,$AI2))=0,O1-SUMPRODUCT($A3:$A13,O3:O13),IF('Data-solution'!$A$3="Maximize",1,-1)*SUM(SUMIF($B3:$B13,$Y2,O3:O13),SUMIF($B3:$B13,$Z2,O3:O13),SUMIF($B3:$B13,$AA2,O3:O13),SUMIF($B3:$B13,$AB2,O3:O13),SUMIF($B3:$B13,$AC2,O3:O13),SUMIF($B3:$B13,$AD2,O3:O13),SUMIF($B3:$B13,$AE2,O3:O13),SUMIF($B3:$B13,$AF2,O3:O13),SUMIF($B3:$B13,$AG2,O3:O13),SUMIF($B3:$B13,$AH2,O3:O13),SUMIF($B3:$B13,$AI2,O3:O13)))</f>
        <v>0</v>
      </c>
      <c r="P14" s="1">
        <f>IF(SUM(COUNTIF($B3:$B13,$Y2),COUNTIF($B3:$B13,$Z2),COUNTIF($B3:$B13,$AA2),COUNTIF($B3:$B13,$AB2),COUNTIF($B3:$B13,$AC2),COUNTIF($B3:$B13,$AD2),COUNTIF($B3:$B13,$AE2),COUNTIF($B3:$B13,$AF2),COUNTIF($B3:$B13,$AG2),COUNTIF($B3:$B13,$AH2),COUNTIF($B3:$B13,$AI2))=0,P1-SUMPRODUCT($A3:$A13,P3:P13),IF('Data-solution'!$A$3="Maximize",1,-1)*SUM(SUMIF($B3:$B13,$Y2,P3:P13),SUMIF($B3:$B13,$Z2,P3:P13),SUMIF($B3:$B13,$AA2,P3:P13),SUMIF($B3:$B13,$AB2,P3:P13),SUMIF($B3:$B13,$AC2,P3:P13),SUMIF($B3:$B13,$AD2,P3:P13),SUMIF($B3:$B13,$AE2,P3:P13),SUMIF($B3:$B13,$AF2,P3:P13),SUMIF($B3:$B13,$AG2,P3:P13),SUMIF($B3:$B13,$AH2,P3:P13),SUMIF($B3:$B13,$AI2,P3:P13)))</f>
        <v>0</v>
      </c>
      <c r="Q14" s="1">
        <f>IF(SUM(COUNTIF($B3:$B13,$Y2),COUNTIF($B3:$B13,$Z2),COUNTIF($B3:$B13,$AA2),COUNTIF($B3:$B13,$AB2),COUNTIF($B3:$B13,$AC2),COUNTIF($B3:$B13,$AD2),COUNTIF($B3:$B13,$AE2),COUNTIF($B3:$B13,$AF2),COUNTIF($B3:$B13,$AG2),COUNTIF($B3:$B13,$AH2),COUNTIF($B3:$B13,$AI2))=0,Q1-SUMPRODUCT($A3:$A13,Q3:Q13),IF('Data-solution'!$A$3="Maximize",1,-1)*SUM(SUMIF($B3:$B13,$Y2,Q3:Q13),SUMIF($B3:$B13,$Z2,Q3:Q13),SUMIF($B3:$B13,$AA2,Q3:Q13),SUMIF($B3:$B13,$AB2,Q3:Q13),SUMIF($B3:$B13,$AC2,Q3:Q13),SUMIF($B3:$B13,$AD2,Q3:Q13),SUMIF($B3:$B13,$AE2,Q3:Q13),SUMIF($B3:$B13,$AF2,Q3:Q13),SUMIF($B3:$B13,$AG2,Q3:Q13),SUMIF($B3:$B13,$AH2,Q3:Q13),SUMIF($B3:$B13,$AI2,Q3:Q13)))</f>
        <v>0</v>
      </c>
      <c r="R14" s="1">
        <f>IF(SUM(COUNTIF($B3:$B13,$Y2),COUNTIF($B3:$B13,$Z2),COUNTIF($B3:$B13,$AA2),COUNTIF($B3:$B13,$AB2),COUNTIF($B3:$B13,$AC2),COUNTIF($B3:$B13,$AD2),COUNTIF($B3:$B13,$AE2),COUNTIF($B3:$B13,$AF2),COUNTIF($B3:$B13,$AG2),COUNTIF($B3:$B13,$AH2),COUNTIF($B3:$B13,$AI2))=0,R1-SUMPRODUCT($A3:$A13,R3:R13),IF('Data-solution'!$A$3="Maximize",1,-1)*SUM(SUMIF($B3:$B13,$Y2,R3:R13),SUMIF($B3:$B13,$Z2,R3:R13),SUMIF($B3:$B13,$AA2,R3:R13),SUMIF($B3:$B13,$AB2,R3:R13),SUMIF($B3:$B13,$AC2,R3:R13),SUMIF($B3:$B13,$AD2,R3:R13),SUMIF($B3:$B13,$AE2,R3:R13),SUMIF($B3:$B13,$AF2,R3:R13),SUMIF($B3:$B13,$AG2,R3:R13),SUMIF($B3:$B13,$AH2,R3:R13),SUMIF($B3:$B13,$AI2,R3:R13)))</f>
        <v>0</v>
      </c>
      <c r="S14" s="1">
        <f>IF(SUM(COUNTIF($B3:$B13,$Y2),COUNTIF($B3:$B13,$Z2),COUNTIF($B3:$B13,$AA2),COUNTIF($B3:$B13,$AB2),COUNTIF($B3:$B13,$AC2),COUNTIF($B3:$B13,$AD2),COUNTIF($B3:$B13,$AE2),COUNTIF($B3:$B13,$AF2),COUNTIF($B3:$B13,$AG2),COUNTIF($B3:$B13,$AH2),COUNTIF($B3:$B13,$AI2))=0,S1-SUMPRODUCT($A3:$A13,S3:S13),IF('Data-solution'!$A$3="Maximize",1,-1)*SUM(SUMIF($B3:$B13,$Y2,S3:S13),SUMIF($B3:$B13,$Z2,S3:S13),SUMIF($B3:$B13,$AA2,S3:S13),SUMIF($B3:$B13,$AB2,S3:S13),SUMIF($B3:$B13,$AC2,S3:S13),SUMIF($B3:$B13,$AD2,S3:S13),SUMIF($B3:$B13,$AE2,S3:S13),SUMIF($B3:$B13,$AF2,S3:S13),SUMIF($B3:$B13,$AG2,S3:S13),SUMIF($B3:$B13,$AH2,S3:S13),SUMIF($B3:$B13,$AI2,S3:S13)))</f>
        <v>0</v>
      </c>
      <c r="T14" s="1">
        <f>IF(SUM(COUNTIF($B3:$B13,$Y2),COUNTIF($B3:$B13,$Z2),COUNTIF($B3:$B13,$AA2),COUNTIF($B3:$B13,$AB2),COUNTIF($B3:$B13,$AC2),COUNTIF($B3:$B13,$AD2),COUNTIF($B3:$B13,$AE2),COUNTIF($B3:$B13,$AF2),COUNTIF($B3:$B13,$AG2),COUNTIF($B3:$B13,$AH2),COUNTIF($B3:$B13,$AI2))=0,T1-SUMPRODUCT($A3:$A13,T3:T13),IF('Data-solution'!$A$3="Maximize",1,-1)*SUM(SUMIF($B3:$B13,$Y2,T3:T13),SUMIF($B3:$B13,$Z2,T3:T13),SUMIF($B3:$B13,$AA2,T3:T13),SUMIF($B3:$B13,$AB2,T3:T13),SUMIF($B3:$B13,$AC2,T3:T13),SUMIF($B3:$B13,$AD2,T3:T13),SUMIF($B3:$B13,$AE2,T3:T13),SUMIF($B3:$B13,$AF2,T3:T13),SUMIF($B3:$B13,$AG2,T3:T13),SUMIF($B3:$B13,$AH2,T3:T13),SUMIF($B3:$B13,$AI2,T3:T13)))</f>
        <v>0</v>
      </c>
      <c r="U14" s="1">
        <f>IF(SUM(COUNTIF($B3:$B13,$Y2),COUNTIF($B3:$B13,$Z2),COUNTIF($B3:$B13,$AA2),COUNTIF($B3:$B13,$AB2),COUNTIF($B3:$B13,$AC2),COUNTIF($B3:$B13,$AD2),COUNTIF($B3:$B13,$AE2),COUNTIF($B3:$B13,$AF2),COUNTIF($B3:$B13,$AG2),COUNTIF($B3:$B13,$AH2),COUNTIF($B3:$B13,$AI2))=0,U1-SUMPRODUCT($A3:$A13,U3:U13),IF('Data-solution'!$A$3="Maximize",1,-1)*SUM(SUMIF($B3:$B13,$Y2,U3:U13),SUMIF($B3:$B13,$Z2,U3:U13),SUMIF($B3:$B13,$AA2,U3:U13),SUMIF($B3:$B13,$AB2,U3:U13),SUMIF($B3:$B13,$AC2,U3:U13),SUMIF($B3:$B13,$AD2,U3:U13),SUMIF($B3:$B13,$AE2,U3:U13),SUMIF($B3:$B13,$AF2,U3:U13),SUMIF($B3:$B13,$AG2,U3:U13),SUMIF($B3:$B13,$AH2,U3:U13),SUMIF($B3:$B13,$AI2,U3:U13)))</f>
        <v>0</v>
      </c>
      <c r="V14" s="1">
        <f>IF(SUM(COUNTIF($B3:$B13,$Y2),COUNTIF($B3:$B13,$Z2),COUNTIF($B3:$B13,$AA2),COUNTIF($B3:$B13,$AB2),COUNTIF($B3:$B13,$AC2),COUNTIF($B3:$B13,$AD2),COUNTIF($B3:$B13,$AE2),COUNTIF($B3:$B13,$AF2),COUNTIF($B3:$B13,$AG2),COUNTIF($B3:$B13,$AH2),COUNTIF($B3:$B13,$AI2))=0,V1-SUMPRODUCT($A3:$A13,V3:V13),IF('Data-solution'!$A$3="Maximize",1,-1)*SUM(SUMIF($B3:$B13,$Y2,V3:V13),SUMIF($B3:$B13,$Z2,V3:V13),SUMIF($B3:$B13,$AA2,V3:V13),SUMIF($B3:$B13,$AB2,V3:V13),SUMIF($B3:$B13,$AC2,V3:V13),SUMIF($B3:$B13,$AD2,V3:V13),SUMIF($B3:$B13,$AE2,V3:V13),SUMIF($B3:$B13,$AF2,V3:V13),SUMIF($B3:$B13,$AG2,V3:V13),SUMIF($B3:$B13,$AH2,V3:V13),SUMIF($B3:$B13,$AI2,V3:V13)))</f>
        <v>0</v>
      </c>
      <c r="W14" s="1">
        <f>IF(SUM(COUNTIF($B3:$B13,$Y2),COUNTIF($B3:$B13,$Z2),COUNTIF($B3:$B13,$AA2),COUNTIF($B3:$B13,$AB2),COUNTIF($B3:$B13,$AC2),COUNTIF($B3:$B13,$AD2),COUNTIF($B3:$B13,$AE2),COUNTIF($B3:$B13,$AF2),COUNTIF($B3:$B13,$AG2),COUNTIF($B3:$B13,$AH2),COUNTIF($B3:$B13,$AI2))=0,W1-SUMPRODUCT($A3:$A13,W3:W13),IF('Data-solution'!$A$3="Maximize",1,-1)*SUM(SUMIF($B3:$B13,$Y2,W3:W13),SUMIF($B3:$B13,$Z2,W3:W13),SUMIF($B3:$B13,$AA2,W3:W13),SUMIF($B3:$B13,$AB2,W3:W13),SUMIF($B3:$B13,$AC2,W3:W13),SUMIF($B3:$B13,$AD2,W3:W13),SUMIF($B3:$B13,$AE2,W3:W13),SUMIF($B3:$B13,$AF2,W3:W13),SUMIF($B3:$B13,$AG2,W3:W13),SUMIF($B3:$B13,$AH2,W3:W13),SUMIF($B3:$B13,$AI2,W3:W13)))</f>
        <v>0</v>
      </c>
      <c r="X14" s="1">
        <f>IF(SUM(COUNTIF($B3:$B13,$Y2),COUNTIF($B3:$B13,$Z2),COUNTIF($B3:$B13,$AA2),COUNTIF($B3:$B13,$AB2),COUNTIF($B3:$B13,$AC2),COUNTIF($B3:$B13,$AD2),COUNTIF($B3:$B13,$AE2),COUNTIF($B3:$B13,$AF2),COUNTIF($B3:$B13,$AG2),COUNTIF($B3:$B13,$AH2),COUNTIF($B3:$B13,$AI2))=0,X1-SUMPRODUCT($A3:$A13,X3:X13),IF('Data-solution'!$A$3="Maximize",1,-1)*SUM(SUMIF($B3:$B13,$Y2,X3:X13),SUMIF($B3:$B13,$Z2,X3:X13),SUMIF($B3:$B13,$AA2,X3:X13),SUMIF($B3:$B13,$AB2,X3:X13),SUMIF($B3:$B13,$AC2,X3:X13),SUMIF($B3:$B13,$AD2,X3:X13),SUMIF($B3:$B13,$AE2,X3:X13),SUMIF($B3:$B13,$AF2,X3:X13),SUMIF($B3:$B13,$AG2,X3:X13),SUMIF($B3:$B13,$AH2,X3:X13),SUMIF($B3:$B13,$AI2,X3:X13)))</f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2">
        <f>IF(SUMPRODUCT(A3:A13,AJ3:AJ13)&gt;=0,SUMPRODUCT(A3:A13,AJ3:AJ13),0)</f>
        <v>0</v>
      </c>
    </row>
    <row r="16" spans="1:37" ht="18" customHeight="1" x14ac:dyDescent="0.2">
      <c r="A16" s="1" t="s">
        <v>8</v>
      </c>
      <c r="B16" s="2" t="s">
        <v>4</v>
      </c>
      <c r="C16" s="1">
        <f>C$1</f>
        <v>150</v>
      </c>
      <c r="D16" s="1">
        <f t="shared" ref="D16:AI16" si="0">D$1</f>
        <v>200</v>
      </c>
      <c r="E16" s="1">
        <f t="shared" si="0"/>
        <v>350</v>
      </c>
      <c r="F16" s="1">
        <f t="shared" si="0"/>
        <v>0</v>
      </c>
      <c r="G16" s="1">
        <f t="shared" si="0"/>
        <v>0</v>
      </c>
      <c r="H16" s="1">
        <f t="shared" si="0"/>
        <v>0</v>
      </c>
      <c r="I16" s="1">
        <f t="shared" si="0"/>
        <v>0</v>
      </c>
      <c r="J16" s="1">
        <f t="shared" si="0"/>
        <v>0</v>
      </c>
      <c r="K16" s="1">
        <f t="shared" si="0"/>
        <v>0</v>
      </c>
      <c r="L16" s="1">
        <f t="shared" si="0"/>
        <v>0</v>
      </c>
      <c r="M16" s="1">
        <f t="shared" si="0"/>
        <v>0</v>
      </c>
      <c r="N16" s="1">
        <f t="shared" si="0"/>
        <v>0</v>
      </c>
      <c r="O16" s="1">
        <f t="shared" si="0"/>
        <v>0</v>
      </c>
      <c r="P16" s="1">
        <f t="shared" si="0"/>
        <v>0</v>
      </c>
      <c r="Q16" s="1">
        <f t="shared" si="0"/>
        <v>0</v>
      </c>
      <c r="R16" s="1">
        <f t="shared" si="0"/>
        <v>0</v>
      </c>
      <c r="S16" s="1">
        <f t="shared" si="0"/>
        <v>0</v>
      </c>
      <c r="T16" s="1">
        <f t="shared" si="0"/>
        <v>0</v>
      </c>
      <c r="U16" s="1">
        <f t="shared" si="0"/>
        <v>0</v>
      </c>
      <c r="V16" s="1">
        <f t="shared" si="0"/>
        <v>0</v>
      </c>
      <c r="W16" s="1">
        <f t="shared" si="0"/>
        <v>0</v>
      </c>
      <c r="X16" s="1">
        <f t="shared" si="0"/>
        <v>0</v>
      </c>
      <c r="Y16" s="1">
        <f t="shared" si="0"/>
        <v>-999999</v>
      </c>
      <c r="Z16" s="1">
        <f t="shared" si="0"/>
        <v>-999999</v>
      </c>
      <c r="AA16" s="1">
        <f t="shared" si="0"/>
        <v>-999999</v>
      </c>
      <c r="AB16" s="1">
        <f t="shared" si="0"/>
        <v>-999999</v>
      </c>
      <c r="AC16" s="1">
        <f t="shared" si="0"/>
        <v>-999999</v>
      </c>
      <c r="AD16" s="1">
        <f t="shared" si="0"/>
        <v>-999999</v>
      </c>
      <c r="AE16" s="1">
        <f t="shared" si="0"/>
        <v>-999999</v>
      </c>
      <c r="AF16" s="1">
        <f t="shared" si="0"/>
        <v>-999999</v>
      </c>
      <c r="AG16" s="1">
        <f t="shared" si="0"/>
        <v>-999999</v>
      </c>
      <c r="AH16" s="1">
        <f t="shared" si="0"/>
        <v>-999999</v>
      </c>
      <c r="AI16" s="1">
        <f t="shared" si="0"/>
        <v>-999999</v>
      </c>
    </row>
    <row r="17" spans="1:37" s="2" customFormat="1" ht="18" customHeight="1" x14ac:dyDescent="0.2">
      <c r="A17" s="2" t="s">
        <v>3</v>
      </c>
      <c r="B17" s="2" t="s">
        <v>1</v>
      </c>
      <c r="C17" s="2" t="str">
        <f>C$2</f>
        <v>X1</v>
      </c>
      <c r="D17" s="2" t="str">
        <f t="shared" ref="D17:AI17" si="1">D$2</f>
        <v>X2</v>
      </c>
      <c r="E17" s="2" t="str">
        <f t="shared" si="1"/>
        <v>X3</v>
      </c>
      <c r="F17" s="2" t="str">
        <f t="shared" si="1"/>
        <v>X4</v>
      </c>
      <c r="G17" s="2" t="str">
        <f t="shared" si="1"/>
        <v>X5</v>
      </c>
      <c r="H17" s="2" t="str">
        <f t="shared" si="1"/>
        <v>X6</v>
      </c>
      <c r="I17" s="2" t="str">
        <f t="shared" si="1"/>
        <v>X7</v>
      </c>
      <c r="J17" s="2" t="str">
        <f t="shared" si="1"/>
        <v>X8</v>
      </c>
      <c r="K17" s="2" t="str">
        <f t="shared" si="1"/>
        <v>X9</v>
      </c>
      <c r="L17" s="2" t="str">
        <f t="shared" si="1"/>
        <v>X10</v>
      </c>
      <c r="M17" s="2" t="str">
        <f t="shared" si="1"/>
        <v>X11</v>
      </c>
      <c r="N17" s="2" t="str">
        <f t="shared" si="1"/>
        <v>S1</v>
      </c>
      <c r="O17" s="2" t="str">
        <f t="shared" si="1"/>
        <v>S2</v>
      </c>
      <c r="P17" s="2" t="str">
        <f t="shared" si="1"/>
        <v>S3</v>
      </c>
      <c r="Q17" s="2" t="str">
        <f t="shared" si="1"/>
        <v>S4</v>
      </c>
      <c r="R17" s="2" t="str">
        <f t="shared" si="1"/>
        <v>S5</v>
      </c>
      <c r="S17" s="2" t="str">
        <f t="shared" si="1"/>
        <v>S6</v>
      </c>
      <c r="T17" s="2" t="str">
        <f t="shared" si="1"/>
        <v>S7</v>
      </c>
      <c r="U17" s="2" t="str">
        <f t="shared" si="1"/>
        <v>S8</v>
      </c>
      <c r="V17" s="2" t="str">
        <f t="shared" si="1"/>
        <v>S9</v>
      </c>
      <c r="W17" s="2" t="str">
        <f t="shared" si="1"/>
        <v>S10</v>
      </c>
      <c r="X17" s="2" t="str">
        <f t="shared" si="1"/>
        <v>S11</v>
      </c>
      <c r="Y17" s="2" t="str">
        <f t="shared" si="1"/>
        <v xml:space="preserve"> </v>
      </c>
      <c r="Z17" s="2" t="str">
        <f t="shared" si="1"/>
        <v xml:space="preserve"> </v>
      </c>
      <c r="AA17" s="2" t="str">
        <f t="shared" si="1"/>
        <v xml:space="preserve"> </v>
      </c>
      <c r="AB17" s="2" t="str">
        <f t="shared" si="1"/>
        <v xml:space="preserve"> </v>
      </c>
      <c r="AC17" s="2" t="str">
        <f t="shared" si="1"/>
        <v xml:space="preserve"> </v>
      </c>
      <c r="AD17" s="2" t="str">
        <f t="shared" si="1"/>
        <v xml:space="preserve"> </v>
      </c>
      <c r="AE17" s="2" t="str">
        <f t="shared" si="1"/>
        <v xml:space="preserve"> </v>
      </c>
      <c r="AF17" s="2" t="str">
        <f t="shared" si="1"/>
        <v xml:space="preserve"> </v>
      </c>
      <c r="AG17" s="2" t="str">
        <f t="shared" si="1"/>
        <v xml:space="preserve"> </v>
      </c>
      <c r="AH17" s="2" t="str">
        <f t="shared" si="1"/>
        <v xml:space="preserve"> </v>
      </c>
      <c r="AI17" s="2" t="str">
        <f t="shared" si="1"/>
        <v xml:space="preserve"> </v>
      </c>
      <c r="AJ17" s="2" t="s">
        <v>9</v>
      </c>
      <c r="AK17" s="2" t="s">
        <v>10</v>
      </c>
    </row>
    <row r="18" spans="1:37" ht="18" customHeight="1" x14ac:dyDescent="0.2">
      <c r="A18" s="1">
        <f>INDEX(C16:AI16,1,MATCH(B18,C17:AI17,0))</f>
        <v>0</v>
      </c>
      <c r="B18" s="2" t="str">
        <f>IF(AND('Data-solution'!A$3="Maximize",COUNTIF(C14:X14,"&gt;"&amp;0)&gt;0,AK3=MIN(AK3:AK13)),INDEX(C2:X2,1,MATCH(MAX(C14:X14),C14:X14,0)),IF(AND('Data-solution'!A$3="Minimize",COUNTIF(C14:X14,"&lt;"&amp;0)&gt;0,AK3=MIN(AK3:AK13)),INDEX(C2:X2,1,MATCH(MIN(C14:X14),C14:X14,0)),B3))</f>
        <v>S1</v>
      </c>
      <c r="C18" s="1">
        <f>IF(OR($B18&lt;&gt;$B3,$B19&lt;&gt;$B4,$B20&lt;&gt;$B5,$B21&lt;&gt;$B6,$B22&lt;&gt;$B7,$B23&lt;&gt;$B8,$B24&lt;&gt;$B9,$B25&lt;&gt;$B10,$B26&lt;&gt;$B11,$B27&lt;&gt;$B12,$B28&lt;&gt;$B13),IF($B18&lt;&gt;$B3,C3/INDEX($C3:$AJ13,1,MATCH(IF('Data-solution'!$A$3="Maximize",MAX($C14:$AI14),MIN($C14:$AI14)),$C14:$AI14,0)),C3-INDEX($C3:$AJ13,1,MATCH(IF('Data-solution'!$A$3="Maximize",MAX($C14:$AI14),MIN($C14:$AI14)),$C14:$AI14,0))*INDEX(C3:$AJ13,MATCH(MIN($AK3:$AK13),$AK3:$AK13,0),1)/INDEX($C3:$AJ13,MATCH(MIN($AK3:$AK13),$AK3:$AK13,0),MATCH(IF('Data-solution'!$A$3="Maximize",MAX($C14:$AI14),MIN($C14:$AI14)),$C14:$AI14,0))),C3)</f>
        <v>0.66666666666666674</v>
      </c>
      <c r="D18" s="1">
        <f>IF(OR($B18&lt;&gt;$B3,$B19&lt;&gt;$B4,$B20&lt;&gt;$B5,$B21&lt;&gt;$B6,$B22&lt;&gt;$B7,$B23&lt;&gt;$B8,$B24&lt;&gt;$B9,$B25&lt;&gt;$B10,$B26&lt;&gt;$B11,$B27&lt;&gt;$B12,$B28&lt;&gt;$B13),IF($B18&lt;&gt;$B3,D3/INDEX($C3:$AJ13,1,MATCH(IF('Data-solution'!$A$3="Maximize",MAX($C14:$AI14),MIN($C14:$AI14)),$C14:$AI14,0)),D3-INDEX($C3:$AJ13,1,MATCH(IF('Data-solution'!$A$3="Maximize",MAX($C14:$AI14),MIN($C14:$AI14)),$C14:$AI14,0))*INDEX(D3:$AJ13,MATCH(MIN($AK3:$AK13),$AK3:$AK13,0),1)/INDEX($C3:$AJ13,MATCH(MIN($AK3:$AK13),$AK3:$AK13,0),MATCH(IF('Data-solution'!$A$3="Maximize",MAX($C14:$AI14),MIN($C14:$AI14)),$C14:$AI14,0))),D3)</f>
        <v>0.16666666666666663</v>
      </c>
      <c r="E18" s="1">
        <f>IF(OR($B18&lt;&gt;$B3,$B19&lt;&gt;$B4,$B20&lt;&gt;$B5,$B21&lt;&gt;$B6,$B22&lt;&gt;$B7,$B23&lt;&gt;$B8,$B24&lt;&gt;$B9,$B25&lt;&gt;$B10,$B26&lt;&gt;$B11,$B27&lt;&gt;$B12,$B28&lt;&gt;$B13),IF($B18&lt;&gt;$B3,E3/INDEX($C3:$AJ13,1,MATCH(IF('Data-solution'!$A$3="Maximize",MAX($C14:$AI14),MIN($C14:$AI14)),$C14:$AI14,0)),E3-INDEX($C3:$AJ13,1,MATCH(IF('Data-solution'!$A$3="Maximize",MAX($C14:$AI14),MIN($C14:$AI14)),$C14:$AI14,0))*INDEX(E3:$AJ13,MATCH(MIN($AK3:$AK13),$AK3:$AK13,0),1)/INDEX($C3:$AJ13,MATCH(MIN($AK3:$AK13),$AK3:$AK13,0),MATCH(IF('Data-solution'!$A$3="Maximize",MAX($C14:$AI14),MIN($C14:$AI14)),$C14:$AI14,0))),E3)</f>
        <v>0</v>
      </c>
      <c r="F18" s="1">
        <f>IF(OR($B18&lt;&gt;$B3,$B19&lt;&gt;$B4,$B20&lt;&gt;$B5,$B21&lt;&gt;$B6,$B22&lt;&gt;$B7,$B23&lt;&gt;$B8,$B24&lt;&gt;$B9,$B25&lt;&gt;$B10,$B26&lt;&gt;$B11,$B27&lt;&gt;$B12,$B28&lt;&gt;$B13),IF($B18&lt;&gt;$B3,F3/INDEX($C3:$AJ13,1,MATCH(IF('Data-solution'!$A$3="Maximize",MAX($C14:$AI14),MIN($C14:$AI14)),$C14:$AI14,0)),F3-INDEX($C3:$AJ13,1,MATCH(IF('Data-solution'!$A$3="Maximize",MAX($C14:$AI14),MIN($C14:$AI14)),$C14:$AI14,0))*INDEX(F3:$AJ13,MATCH(MIN($AK3:$AK13),$AK3:$AK13,0),1)/INDEX($C3:$AJ13,MATCH(MIN($AK3:$AK13),$AK3:$AK13,0),MATCH(IF('Data-solution'!$A$3="Maximize",MAX($C14:$AI14),MIN($C14:$AI14)),$C14:$AI14,0))),F3)</f>
        <v>0</v>
      </c>
      <c r="G18" s="1">
        <f>IF(OR($B18&lt;&gt;$B3,$B19&lt;&gt;$B4,$B20&lt;&gt;$B5,$B21&lt;&gt;$B6,$B22&lt;&gt;$B7,$B23&lt;&gt;$B8,$B24&lt;&gt;$B9,$B25&lt;&gt;$B10,$B26&lt;&gt;$B11,$B27&lt;&gt;$B12,$B28&lt;&gt;$B13),IF($B18&lt;&gt;$B3,G3/INDEX($C3:$AJ13,1,MATCH(IF('Data-solution'!$A$3="Maximize",MAX($C14:$AI14),MIN($C14:$AI14)),$C14:$AI14,0)),G3-INDEX($C3:$AJ13,1,MATCH(IF('Data-solution'!$A$3="Maximize",MAX($C14:$AI14),MIN($C14:$AI14)),$C14:$AI14,0))*INDEX(G3:$AJ13,MATCH(MIN($AK3:$AK13),$AK3:$AK13,0),1)/INDEX($C3:$AJ13,MATCH(MIN($AK3:$AK13),$AK3:$AK13,0),MATCH(IF('Data-solution'!$A$3="Maximize",MAX($C14:$AI14),MIN($C14:$AI14)),$C14:$AI14,0))),G3)</f>
        <v>0</v>
      </c>
      <c r="H18" s="1">
        <f>IF(OR($B18&lt;&gt;$B3,$B19&lt;&gt;$B4,$B20&lt;&gt;$B5,$B21&lt;&gt;$B6,$B22&lt;&gt;$B7,$B23&lt;&gt;$B8,$B24&lt;&gt;$B9,$B25&lt;&gt;$B10,$B26&lt;&gt;$B11,$B27&lt;&gt;$B12,$B28&lt;&gt;$B13),IF($B18&lt;&gt;$B3,H3/INDEX($C3:$AJ13,1,MATCH(IF('Data-solution'!$A$3="Maximize",MAX($C14:$AI14),MIN($C14:$AI14)),$C14:$AI14,0)),H3-INDEX($C3:$AJ13,1,MATCH(IF('Data-solution'!$A$3="Maximize",MAX($C14:$AI14),MIN($C14:$AI14)),$C14:$AI14,0))*INDEX(H3:$AJ13,MATCH(MIN($AK3:$AK13),$AK3:$AK13,0),1)/INDEX($C3:$AJ13,MATCH(MIN($AK3:$AK13),$AK3:$AK13,0),MATCH(IF('Data-solution'!$A$3="Maximize",MAX($C14:$AI14),MIN($C14:$AI14)),$C14:$AI14,0))),H3)</f>
        <v>0</v>
      </c>
      <c r="I18" s="1">
        <f>IF(OR($B18&lt;&gt;$B3,$B19&lt;&gt;$B4,$B20&lt;&gt;$B5,$B21&lt;&gt;$B6,$B22&lt;&gt;$B7,$B23&lt;&gt;$B8,$B24&lt;&gt;$B9,$B25&lt;&gt;$B10,$B26&lt;&gt;$B11,$B27&lt;&gt;$B12,$B28&lt;&gt;$B13),IF($B18&lt;&gt;$B3,I3/INDEX($C3:$AJ13,1,MATCH(IF('Data-solution'!$A$3="Maximize",MAX($C14:$AI14),MIN($C14:$AI14)),$C14:$AI14,0)),I3-INDEX($C3:$AJ13,1,MATCH(IF('Data-solution'!$A$3="Maximize",MAX($C14:$AI14),MIN($C14:$AI14)),$C14:$AI14,0))*INDEX(I3:$AJ13,MATCH(MIN($AK3:$AK13),$AK3:$AK13,0),1)/INDEX($C3:$AJ13,MATCH(MIN($AK3:$AK13),$AK3:$AK13,0),MATCH(IF('Data-solution'!$A$3="Maximize",MAX($C14:$AI14),MIN($C14:$AI14)),$C14:$AI14,0))),I3)</f>
        <v>0</v>
      </c>
      <c r="J18" s="1">
        <f>IF(OR($B18&lt;&gt;$B3,$B19&lt;&gt;$B4,$B20&lt;&gt;$B5,$B21&lt;&gt;$B6,$B22&lt;&gt;$B7,$B23&lt;&gt;$B8,$B24&lt;&gt;$B9,$B25&lt;&gt;$B10,$B26&lt;&gt;$B11,$B27&lt;&gt;$B12,$B28&lt;&gt;$B13),IF($B18&lt;&gt;$B3,J3/INDEX($C3:$AJ13,1,MATCH(IF('Data-solution'!$A$3="Maximize",MAX($C14:$AI14),MIN($C14:$AI14)),$C14:$AI14,0)),J3-INDEX($C3:$AJ13,1,MATCH(IF('Data-solution'!$A$3="Maximize",MAX($C14:$AI14),MIN($C14:$AI14)),$C14:$AI14,0))*INDEX(J3:$AJ13,MATCH(MIN($AK3:$AK13),$AK3:$AK13,0),1)/INDEX($C3:$AJ13,MATCH(MIN($AK3:$AK13),$AK3:$AK13,0),MATCH(IF('Data-solution'!$A$3="Maximize",MAX($C14:$AI14),MIN($C14:$AI14)),$C14:$AI14,0))),J3)</f>
        <v>0</v>
      </c>
      <c r="K18" s="1">
        <f>IF(OR($B18&lt;&gt;$B3,$B19&lt;&gt;$B4,$B20&lt;&gt;$B5,$B21&lt;&gt;$B6,$B22&lt;&gt;$B7,$B23&lt;&gt;$B8,$B24&lt;&gt;$B9,$B25&lt;&gt;$B10,$B26&lt;&gt;$B11,$B27&lt;&gt;$B12,$B28&lt;&gt;$B13),IF($B18&lt;&gt;$B3,K3/INDEX($C3:$AJ13,1,MATCH(IF('Data-solution'!$A$3="Maximize",MAX($C14:$AI14),MIN($C14:$AI14)),$C14:$AI14,0)),K3-INDEX($C3:$AJ13,1,MATCH(IF('Data-solution'!$A$3="Maximize",MAX($C14:$AI14),MIN($C14:$AI14)),$C14:$AI14,0))*INDEX(K3:$AJ13,MATCH(MIN($AK3:$AK13),$AK3:$AK13,0),1)/INDEX($C3:$AJ13,MATCH(MIN($AK3:$AK13),$AK3:$AK13,0),MATCH(IF('Data-solution'!$A$3="Maximize",MAX($C14:$AI14),MIN($C14:$AI14)),$C14:$AI14,0))),K3)</f>
        <v>0</v>
      </c>
      <c r="L18" s="1">
        <f>IF(OR($B18&lt;&gt;$B3,$B19&lt;&gt;$B4,$B20&lt;&gt;$B5,$B21&lt;&gt;$B6,$B22&lt;&gt;$B7,$B23&lt;&gt;$B8,$B24&lt;&gt;$B9,$B25&lt;&gt;$B10,$B26&lt;&gt;$B11,$B27&lt;&gt;$B12,$B28&lt;&gt;$B13),IF($B18&lt;&gt;$B3,L3/INDEX($C3:$AJ13,1,MATCH(IF('Data-solution'!$A$3="Maximize",MAX($C14:$AI14),MIN($C14:$AI14)),$C14:$AI14,0)),L3-INDEX($C3:$AJ13,1,MATCH(IF('Data-solution'!$A$3="Maximize",MAX($C14:$AI14),MIN($C14:$AI14)),$C14:$AI14,0))*INDEX(L3:$AJ13,MATCH(MIN($AK3:$AK13),$AK3:$AK13,0),1)/INDEX($C3:$AJ13,MATCH(MIN($AK3:$AK13),$AK3:$AK13,0),MATCH(IF('Data-solution'!$A$3="Maximize",MAX($C14:$AI14),MIN($C14:$AI14)),$C14:$AI14,0))),L3)</f>
        <v>0</v>
      </c>
      <c r="M18" s="1">
        <f>IF(OR($B18&lt;&gt;$B3,$B19&lt;&gt;$B4,$B20&lt;&gt;$B5,$B21&lt;&gt;$B6,$B22&lt;&gt;$B7,$B23&lt;&gt;$B8,$B24&lt;&gt;$B9,$B25&lt;&gt;$B10,$B26&lt;&gt;$B11,$B27&lt;&gt;$B12,$B28&lt;&gt;$B13),IF($B18&lt;&gt;$B3,M3/INDEX($C3:$AJ13,1,MATCH(IF('Data-solution'!$A$3="Maximize",MAX($C14:$AI14),MIN($C14:$AI14)),$C14:$AI14,0)),M3-INDEX($C3:$AJ13,1,MATCH(IF('Data-solution'!$A$3="Maximize",MAX($C14:$AI14),MIN($C14:$AI14)),$C14:$AI14,0))*INDEX(M3:$AJ13,MATCH(MIN($AK3:$AK13),$AK3:$AK13,0),1)/INDEX($C3:$AJ13,MATCH(MIN($AK3:$AK13),$AK3:$AK13,0),MATCH(IF('Data-solution'!$A$3="Maximize",MAX($C14:$AI14),MIN($C14:$AI14)),$C14:$AI14,0))),M3)</f>
        <v>0</v>
      </c>
      <c r="N18" s="1">
        <f>IF(OR($B18&lt;&gt;$B3,$B19&lt;&gt;$B4,$B20&lt;&gt;$B5,$B21&lt;&gt;$B6,$B22&lt;&gt;$B7,$B23&lt;&gt;$B8,$B24&lt;&gt;$B9,$B25&lt;&gt;$B10,$B26&lt;&gt;$B11,$B27&lt;&gt;$B12,$B28&lt;&gt;$B13),IF($B18&lt;&gt;$B3,N3/INDEX($C3:$AJ13,1,MATCH(IF('Data-solution'!$A$3="Maximize",MAX($C14:$AI14),MIN($C14:$AI14)),$C14:$AI14,0)),N3-INDEX($C3:$AJ13,1,MATCH(IF('Data-solution'!$A$3="Maximize",MAX($C14:$AI14),MIN($C14:$AI14)),$C14:$AI14,0))*INDEX(N3:$AJ13,MATCH(MIN($AK3:$AK13),$AK3:$AK13,0),1)/INDEX($C3:$AJ13,MATCH(MIN($AK3:$AK13),$AK3:$AK13,0),MATCH(IF('Data-solution'!$A$3="Maximize",MAX($C14:$AI14),MIN($C14:$AI14)),$C14:$AI14,0))),N3)</f>
        <v>1</v>
      </c>
      <c r="O18" s="1">
        <f>IF(OR($B18&lt;&gt;$B3,$B19&lt;&gt;$B4,$B20&lt;&gt;$B5,$B21&lt;&gt;$B6,$B22&lt;&gt;$B7,$B23&lt;&gt;$B8,$B24&lt;&gt;$B9,$B25&lt;&gt;$B10,$B26&lt;&gt;$B11,$B27&lt;&gt;$B12,$B28&lt;&gt;$B13),IF($B18&lt;&gt;$B3,O3/INDEX($C3:$AJ13,1,MATCH(IF('Data-solution'!$A$3="Maximize",MAX($C14:$AI14),MIN($C14:$AI14)),$C14:$AI14,0)),O3-INDEX($C3:$AJ13,1,MATCH(IF('Data-solution'!$A$3="Maximize",MAX($C14:$AI14),MIN($C14:$AI14)),$C14:$AI14,0))*INDEX(O3:$AJ13,MATCH(MIN($AK3:$AK13),$AK3:$AK13,0),1)/INDEX($C3:$AJ13,MATCH(MIN($AK3:$AK13),$AK3:$AK13,0),MATCH(IF('Data-solution'!$A$3="Maximize",MAX($C14:$AI14),MIN($C14:$AI14)),$C14:$AI14,0))),O3)</f>
        <v>0</v>
      </c>
      <c r="P18" s="1">
        <f>IF(OR($B18&lt;&gt;$B3,$B19&lt;&gt;$B4,$B20&lt;&gt;$B5,$B21&lt;&gt;$B6,$B22&lt;&gt;$B7,$B23&lt;&gt;$B8,$B24&lt;&gt;$B9,$B25&lt;&gt;$B10,$B26&lt;&gt;$B11,$B27&lt;&gt;$B12,$B28&lt;&gt;$B13),IF($B18&lt;&gt;$B3,P3/INDEX($C3:$AJ13,1,MATCH(IF('Data-solution'!$A$3="Maximize",MAX($C14:$AI14),MIN($C14:$AI14)),$C14:$AI14,0)),P3-INDEX($C3:$AJ13,1,MATCH(IF('Data-solution'!$A$3="Maximize",MAX($C14:$AI14),MIN($C14:$AI14)),$C14:$AI14,0))*INDEX(P3:$AJ13,MATCH(MIN($AK3:$AK13),$AK3:$AK13,0),1)/INDEX($C3:$AJ13,MATCH(MIN($AK3:$AK13),$AK3:$AK13,0),MATCH(IF('Data-solution'!$A$3="Maximize",MAX($C14:$AI14),MIN($C14:$AI14)),$C14:$AI14,0))),P3)</f>
        <v>-0.16666666666666666</v>
      </c>
      <c r="Q18" s="1">
        <f>IF(OR($B18&lt;&gt;$B3,$B19&lt;&gt;$B4,$B20&lt;&gt;$B5,$B21&lt;&gt;$B6,$B22&lt;&gt;$B7,$B23&lt;&gt;$B8,$B24&lt;&gt;$B9,$B25&lt;&gt;$B10,$B26&lt;&gt;$B11,$B27&lt;&gt;$B12,$B28&lt;&gt;$B13),IF($B18&lt;&gt;$B3,Q3/INDEX($C3:$AJ13,1,MATCH(IF('Data-solution'!$A$3="Maximize",MAX($C14:$AI14),MIN($C14:$AI14)),$C14:$AI14,0)),Q3-INDEX($C3:$AJ13,1,MATCH(IF('Data-solution'!$A$3="Maximize",MAX($C14:$AI14),MIN($C14:$AI14)),$C14:$AI14,0))*INDEX(Q3:$AJ13,MATCH(MIN($AK3:$AK13),$AK3:$AK13,0),1)/INDEX($C3:$AJ13,MATCH(MIN($AK3:$AK13),$AK3:$AK13,0),MATCH(IF('Data-solution'!$A$3="Maximize",MAX($C14:$AI14),MIN($C14:$AI14)),$C14:$AI14,0))),Q3)</f>
        <v>0</v>
      </c>
      <c r="R18" s="1">
        <f>IF(OR($B18&lt;&gt;$B3,$B19&lt;&gt;$B4,$B20&lt;&gt;$B5,$B21&lt;&gt;$B6,$B22&lt;&gt;$B7,$B23&lt;&gt;$B8,$B24&lt;&gt;$B9,$B25&lt;&gt;$B10,$B26&lt;&gt;$B11,$B27&lt;&gt;$B12,$B28&lt;&gt;$B13),IF($B18&lt;&gt;$B3,R3/INDEX($C3:$AJ13,1,MATCH(IF('Data-solution'!$A$3="Maximize",MAX($C14:$AI14),MIN($C14:$AI14)),$C14:$AI14,0)),R3-INDEX($C3:$AJ13,1,MATCH(IF('Data-solution'!$A$3="Maximize",MAX($C14:$AI14),MIN($C14:$AI14)),$C14:$AI14,0))*INDEX(R3:$AJ13,MATCH(MIN($AK3:$AK13),$AK3:$AK13,0),1)/INDEX($C3:$AJ13,MATCH(MIN($AK3:$AK13),$AK3:$AK13,0),MATCH(IF('Data-solution'!$A$3="Maximize",MAX($C14:$AI14),MIN($C14:$AI14)),$C14:$AI14,0))),R3)</f>
        <v>0</v>
      </c>
      <c r="S18" s="1">
        <f>IF(OR($B18&lt;&gt;$B3,$B19&lt;&gt;$B4,$B20&lt;&gt;$B5,$B21&lt;&gt;$B6,$B22&lt;&gt;$B7,$B23&lt;&gt;$B8,$B24&lt;&gt;$B9,$B25&lt;&gt;$B10,$B26&lt;&gt;$B11,$B27&lt;&gt;$B12,$B28&lt;&gt;$B13),IF($B18&lt;&gt;$B3,S3/INDEX($C3:$AJ13,1,MATCH(IF('Data-solution'!$A$3="Maximize",MAX($C14:$AI14),MIN($C14:$AI14)),$C14:$AI14,0)),S3-INDEX($C3:$AJ13,1,MATCH(IF('Data-solution'!$A$3="Maximize",MAX($C14:$AI14),MIN($C14:$AI14)),$C14:$AI14,0))*INDEX(S3:$AJ13,MATCH(MIN($AK3:$AK13),$AK3:$AK13,0),1)/INDEX($C3:$AJ13,MATCH(MIN($AK3:$AK13),$AK3:$AK13,0),MATCH(IF('Data-solution'!$A$3="Maximize",MAX($C14:$AI14),MIN($C14:$AI14)),$C14:$AI14,0))),S3)</f>
        <v>0</v>
      </c>
      <c r="T18" s="1">
        <f>IF(OR($B18&lt;&gt;$B3,$B19&lt;&gt;$B4,$B20&lt;&gt;$B5,$B21&lt;&gt;$B6,$B22&lt;&gt;$B7,$B23&lt;&gt;$B8,$B24&lt;&gt;$B9,$B25&lt;&gt;$B10,$B26&lt;&gt;$B11,$B27&lt;&gt;$B12,$B28&lt;&gt;$B13),IF($B18&lt;&gt;$B3,T3/INDEX($C3:$AJ13,1,MATCH(IF('Data-solution'!$A$3="Maximize",MAX($C14:$AI14),MIN($C14:$AI14)),$C14:$AI14,0)),T3-INDEX($C3:$AJ13,1,MATCH(IF('Data-solution'!$A$3="Maximize",MAX($C14:$AI14),MIN($C14:$AI14)),$C14:$AI14,0))*INDEX(T3:$AJ13,MATCH(MIN($AK3:$AK13),$AK3:$AK13,0),1)/INDEX($C3:$AJ13,MATCH(MIN($AK3:$AK13),$AK3:$AK13,0),MATCH(IF('Data-solution'!$A$3="Maximize",MAX($C14:$AI14),MIN($C14:$AI14)),$C14:$AI14,0))),T3)</f>
        <v>0</v>
      </c>
      <c r="U18" s="1">
        <f>IF(OR($B18&lt;&gt;$B3,$B19&lt;&gt;$B4,$B20&lt;&gt;$B5,$B21&lt;&gt;$B6,$B22&lt;&gt;$B7,$B23&lt;&gt;$B8,$B24&lt;&gt;$B9,$B25&lt;&gt;$B10,$B26&lt;&gt;$B11,$B27&lt;&gt;$B12,$B28&lt;&gt;$B13),IF($B18&lt;&gt;$B3,U3/INDEX($C3:$AJ13,1,MATCH(IF('Data-solution'!$A$3="Maximize",MAX($C14:$AI14),MIN($C14:$AI14)),$C14:$AI14,0)),U3-INDEX($C3:$AJ13,1,MATCH(IF('Data-solution'!$A$3="Maximize",MAX($C14:$AI14),MIN($C14:$AI14)),$C14:$AI14,0))*INDEX(U3:$AJ13,MATCH(MIN($AK3:$AK13),$AK3:$AK13,0),1)/INDEX($C3:$AJ13,MATCH(MIN($AK3:$AK13),$AK3:$AK13,0),MATCH(IF('Data-solution'!$A$3="Maximize",MAX($C14:$AI14),MIN($C14:$AI14)),$C14:$AI14,0))),U3)</f>
        <v>0</v>
      </c>
      <c r="V18" s="1">
        <f>IF(OR($B18&lt;&gt;$B3,$B19&lt;&gt;$B4,$B20&lt;&gt;$B5,$B21&lt;&gt;$B6,$B22&lt;&gt;$B7,$B23&lt;&gt;$B8,$B24&lt;&gt;$B9,$B25&lt;&gt;$B10,$B26&lt;&gt;$B11,$B27&lt;&gt;$B12,$B28&lt;&gt;$B13),IF($B18&lt;&gt;$B3,V3/INDEX($C3:$AJ13,1,MATCH(IF('Data-solution'!$A$3="Maximize",MAX($C14:$AI14),MIN($C14:$AI14)),$C14:$AI14,0)),V3-INDEX($C3:$AJ13,1,MATCH(IF('Data-solution'!$A$3="Maximize",MAX($C14:$AI14),MIN($C14:$AI14)),$C14:$AI14,0))*INDEX(V3:$AJ13,MATCH(MIN($AK3:$AK13),$AK3:$AK13,0),1)/INDEX($C3:$AJ13,MATCH(MIN($AK3:$AK13),$AK3:$AK13,0),MATCH(IF('Data-solution'!$A$3="Maximize",MAX($C14:$AI14),MIN($C14:$AI14)),$C14:$AI14,0))),V3)</f>
        <v>0</v>
      </c>
      <c r="W18" s="1">
        <f>IF(OR($B18&lt;&gt;$B3,$B19&lt;&gt;$B4,$B20&lt;&gt;$B5,$B21&lt;&gt;$B6,$B22&lt;&gt;$B7,$B23&lt;&gt;$B8,$B24&lt;&gt;$B9,$B25&lt;&gt;$B10,$B26&lt;&gt;$B11,$B27&lt;&gt;$B12,$B28&lt;&gt;$B13),IF($B18&lt;&gt;$B3,W3/INDEX($C3:$AJ13,1,MATCH(IF('Data-solution'!$A$3="Maximize",MAX($C14:$AI14),MIN($C14:$AI14)),$C14:$AI14,0)),W3-INDEX($C3:$AJ13,1,MATCH(IF('Data-solution'!$A$3="Maximize",MAX($C14:$AI14),MIN($C14:$AI14)),$C14:$AI14,0))*INDEX(W3:$AJ13,MATCH(MIN($AK3:$AK13),$AK3:$AK13,0),1)/INDEX($C3:$AJ13,MATCH(MIN($AK3:$AK13),$AK3:$AK13,0),MATCH(IF('Data-solution'!$A$3="Maximize",MAX($C14:$AI14),MIN($C14:$AI14)),$C14:$AI14,0))),W3)</f>
        <v>0</v>
      </c>
      <c r="X18" s="1">
        <f>IF(OR($B18&lt;&gt;$B3,$B19&lt;&gt;$B4,$B20&lt;&gt;$B5,$B21&lt;&gt;$B6,$B22&lt;&gt;$B7,$B23&lt;&gt;$B8,$B24&lt;&gt;$B9,$B25&lt;&gt;$B10,$B26&lt;&gt;$B11,$B27&lt;&gt;$B12,$B28&lt;&gt;$B13),IF($B18&lt;&gt;$B3,X3/INDEX($C3:$AJ13,1,MATCH(IF('Data-solution'!$A$3="Maximize",MAX($C14:$AI14),MIN($C14:$AI14)),$C14:$AI14,0)),X3-INDEX($C3:$AJ13,1,MATCH(IF('Data-solution'!$A$3="Maximize",MAX($C14:$AI14),MIN($C14:$AI14)),$C14:$AI14,0))*INDEX(X3:$AJ13,MATCH(MIN($AK3:$AK13),$AK3:$AK13,0),1)/INDEX($C3:$AJ13,MATCH(MIN($AK3:$AK13),$AK3:$AK13,0),MATCH(IF('Data-solution'!$A$3="Maximize",MAX($C14:$AI14),MIN($C14:$AI14)),$C14:$AI14,0))),X3)</f>
        <v>0</v>
      </c>
      <c r="Y18" s="1">
        <f>IF(OR($B18&lt;&gt;$B3,$B19&lt;&gt;$B4,$B20&lt;&gt;$B5,$B21&lt;&gt;$B6,$B22&lt;&gt;$B7,$B23&lt;&gt;$B8,$B24&lt;&gt;$B9,$B25&lt;&gt;$B10,$B26&lt;&gt;$B11,$B27&lt;&gt;$B12,$B28&lt;&gt;$B13),IF($B18&lt;&gt;$B3,Y3/INDEX($C3:$AJ13,1,MATCH(IF('Data-solution'!$A$3="Maximize",MAX($C14:$AI14),MIN($C14:$AI14)),$C14:$AI14,0)),Y3-INDEX($C3:$AJ13,1,MATCH(IF('Data-solution'!$A$3="Maximize",MAX($C14:$AI14),MIN($C14:$AI14)),$C14:$AI14,0))*INDEX(Y3:$AJ13,MATCH(MIN($AK3:$AK13),$AK3:$AK13,0),1)/INDEX($C3:$AJ13,MATCH(MIN($AK3:$AK13),$AK3:$AK13,0),MATCH(IF('Data-solution'!$A$3="Maximize",MAX($C14:$AI14),MIN($C14:$AI14)),$C14:$AI14,0))),Y3)</f>
        <v>1</v>
      </c>
      <c r="Z18" s="1">
        <f>IF(OR($B18&lt;&gt;$B3,$B19&lt;&gt;$B4,$B20&lt;&gt;$B5,$B21&lt;&gt;$B6,$B22&lt;&gt;$B7,$B23&lt;&gt;$B8,$B24&lt;&gt;$B9,$B25&lt;&gt;$B10,$B26&lt;&gt;$B11,$B27&lt;&gt;$B12,$B28&lt;&gt;$B13),IF($B18&lt;&gt;$B3,Z3/INDEX($C3:$AJ13,1,MATCH(IF('Data-solution'!$A$3="Maximize",MAX($C14:$AI14),MIN($C14:$AI14)),$C14:$AI14,0)),Z3-INDEX($C3:$AJ13,1,MATCH(IF('Data-solution'!$A$3="Maximize",MAX($C14:$AI14),MIN($C14:$AI14)),$C14:$AI14,0))*INDEX(Z3:$AJ13,MATCH(MIN($AK3:$AK13),$AK3:$AK13,0),1)/INDEX($C3:$AJ13,MATCH(MIN($AK3:$AK13),$AK3:$AK13,0),MATCH(IF('Data-solution'!$A$3="Maximize",MAX($C14:$AI14),MIN($C14:$AI14)),$C14:$AI14,0))),Z3)</f>
        <v>0</v>
      </c>
      <c r="AA18" s="1">
        <f>IF(OR($B18&lt;&gt;$B3,$B19&lt;&gt;$B4,$B20&lt;&gt;$B5,$B21&lt;&gt;$B6,$B22&lt;&gt;$B7,$B23&lt;&gt;$B8,$B24&lt;&gt;$B9,$B25&lt;&gt;$B10,$B26&lt;&gt;$B11,$B27&lt;&gt;$B12,$B28&lt;&gt;$B13),IF($B18&lt;&gt;$B3,AA3/INDEX($C3:$AJ13,1,MATCH(IF('Data-solution'!$A$3="Maximize",MAX($C14:$AI14),MIN($C14:$AI14)),$C14:$AI14,0)),AA3-INDEX($C3:$AJ13,1,MATCH(IF('Data-solution'!$A$3="Maximize",MAX($C14:$AI14),MIN($C14:$AI14)),$C14:$AI14,0))*INDEX(AA3:$AJ13,MATCH(MIN($AK3:$AK13),$AK3:$AK13,0),1)/INDEX($C3:$AJ13,MATCH(MIN($AK3:$AK13),$AK3:$AK13,0),MATCH(IF('Data-solution'!$A$3="Maximize",MAX($C14:$AI14),MIN($C14:$AI14)),$C14:$AI14,0))),AA3)</f>
        <v>-0.16666666666666666</v>
      </c>
      <c r="AB18" s="1">
        <f>IF(OR($B18&lt;&gt;$B3,$B19&lt;&gt;$B4,$B20&lt;&gt;$B5,$B21&lt;&gt;$B6,$B22&lt;&gt;$B7,$B23&lt;&gt;$B8,$B24&lt;&gt;$B9,$B25&lt;&gt;$B10,$B26&lt;&gt;$B11,$B27&lt;&gt;$B12,$B28&lt;&gt;$B13),IF($B18&lt;&gt;$B3,AB3/INDEX($C3:$AJ13,1,MATCH(IF('Data-solution'!$A$3="Maximize",MAX($C14:$AI14),MIN($C14:$AI14)),$C14:$AI14,0)),AB3-INDEX($C3:$AJ13,1,MATCH(IF('Data-solution'!$A$3="Maximize",MAX($C14:$AI14),MIN($C14:$AI14)),$C14:$AI14,0))*INDEX(AB3:$AJ13,MATCH(MIN($AK3:$AK13),$AK3:$AK13,0),1)/INDEX($C3:$AJ13,MATCH(MIN($AK3:$AK13),$AK3:$AK13,0),MATCH(IF('Data-solution'!$A$3="Maximize",MAX($C14:$AI14),MIN($C14:$AI14)),$C14:$AI14,0))),AB3)</f>
        <v>0</v>
      </c>
      <c r="AC18" s="1">
        <f>IF(OR($B18&lt;&gt;$B3,$B19&lt;&gt;$B4,$B20&lt;&gt;$B5,$B21&lt;&gt;$B6,$B22&lt;&gt;$B7,$B23&lt;&gt;$B8,$B24&lt;&gt;$B9,$B25&lt;&gt;$B10,$B26&lt;&gt;$B11,$B27&lt;&gt;$B12,$B28&lt;&gt;$B13),IF($B18&lt;&gt;$B3,AC3/INDEX($C3:$AJ13,1,MATCH(IF('Data-solution'!$A$3="Maximize",MAX($C14:$AI14),MIN($C14:$AI14)),$C14:$AI14,0)),AC3-INDEX($C3:$AJ13,1,MATCH(IF('Data-solution'!$A$3="Maximize",MAX($C14:$AI14),MIN($C14:$AI14)),$C14:$AI14,0))*INDEX(AC3:$AJ13,MATCH(MIN($AK3:$AK13),$AK3:$AK13,0),1)/INDEX($C3:$AJ13,MATCH(MIN($AK3:$AK13),$AK3:$AK13,0),MATCH(IF('Data-solution'!$A$3="Maximize",MAX($C14:$AI14),MIN($C14:$AI14)),$C14:$AI14,0))),AC3)</f>
        <v>0</v>
      </c>
      <c r="AD18" s="1">
        <f>IF(OR($B18&lt;&gt;$B3,$B19&lt;&gt;$B4,$B20&lt;&gt;$B5,$B21&lt;&gt;$B6,$B22&lt;&gt;$B7,$B23&lt;&gt;$B8,$B24&lt;&gt;$B9,$B25&lt;&gt;$B10,$B26&lt;&gt;$B11,$B27&lt;&gt;$B12,$B28&lt;&gt;$B13),IF($B18&lt;&gt;$B3,AD3/INDEX($C3:$AJ13,1,MATCH(IF('Data-solution'!$A$3="Maximize",MAX($C14:$AI14),MIN($C14:$AI14)),$C14:$AI14,0)),AD3-INDEX($C3:$AJ13,1,MATCH(IF('Data-solution'!$A$3="Maximize",MAX($C14:$AI14),MIN($C14:$AI14)),$C14:$AI14,0))*INDEX(AD3:$AJ13,MATCH(MIN($AK3:$AK13),$AK3:$AK13,0),1)/INDEX($C3:$AJ13,MATCH(MIN($AK3:$AK13),$AK3:$AK13,0),MATCH(IF('Data-solution'!$A$3="Maximize",MAX($C14:$AI14),MIN($C14:$AI14)),$C14:$AI14,0))),AD3)</f>
        <v>0</v>
      </c>
      <c r="AE18" s="1">
        <f>IF(OR($B18&lt;&gt;$B3,$B19&lt;&gt;$B4,$B20&lt;&gt;$B5,$B21&lt;&gt;$B6,$B22&lt;&gt;$B7,$B23&lt;&gt;$B8,$B24&lt;&gt;$B9,$B25&lt;&gt;$B10,$B26&lt;&gt;$B11,$B27&lt;&gt;$B12,$B28&lt;&gt;$B13),IF($B18&lt;&gt;$B3,AE3/INDEX($C3:$AJ13,1,MATCH(IF('Data-solution'!$A$3="Maximize",MAX($C14:$AI14),MIN($C14:$AI14)),$C14:$AI14,0)),AE3-INDEX($C3:$AJ13,1,MATCH(IF('Data-solution'!$A$3="Maximize",MAX($C14:$AI14),MIN($C14:$AI14)),$C14:$AI14,0))*INDEX(AE3:$AJ13,MATCH(MIN($AK3:$AK13),$AK3:$AK13,0),1)/INDEX($C3:$AJ13,MATCH(MIN($AK3:$AK13),$AK3:$AK13,0),MATCH(IF('Data-solution'!$A$3="Maximize",MAX($C14:$AI14),MIN($C14:$AI14)),$C14:$AI14,0))),AE3)</f>
        <v>0</v>
      </c>
      <c r="AF18" s="1">
        <f>IF(OR($B18&lt;&gt;$B3,$B19&lt;&gt;$B4,$B20&lt;&gt;$B5,$B21&lt;&gt;$B6,$B22&lt;&gt;$B7,$B23&lt;&gt;$B8,$B24&lt;&gt;$B9,$B25&lt;&gt;$B10,$B26&lt;&gt;$B11,$B27&lt;&gt;$B12,$B28&lt;&gt;$B13),IF($B18&lt;&gt;$B3,AF3/INDEX($C3:$AJ13,1,MATCH(IF('Data-solution'!$A$3="Maximize",MAX($C14:$AI14),MIN($C14:$AI14)),$C14:$AI14,0)),AF3-INDEX($C3:$AJ13,1,MATCH(IF('Data-solution'!$A$3="Maximize",MAX($C14:$AI14),MIN($C14:$AI14)),$C14:$AI14,0))*INDEX(AF3:$AJ13,MATCH(MIN($AK3:$AK13),$AK3:$AK13,0),1)/INDEX($C3:$AJ13,MATCH(MIN($AK3:$AK13),$AK3:$AK13,0),MATCH(IF('Data-solution'!$A$3="Maximize",MAX($C14:$AI14),MIN($C14:$AI14)),$C14:$AI14,0))),AF3)</f>
        <v>0</v>
      </c>
      <c r="AG18" s="1">
        <f>IF(OR($B18&lt;&gt;$B3,$B19&lt;&gt;$B4,$B20&lt;&gt;$B5,$B21&lt;&gt;$B6,$B22&lt;&gt;$B7,$B23&lt;&gt;$B8,$B24&lt;&gt;$B9,$B25&lt;&gt;$B10,$B26&lt;&gt;$B11,$B27&lt;&gt;$B12,$B28&lt;&gt;$B13),IF($B18&lt;&gt;$B3,AG3/INDEX($C3:$AJ13,1,MATCH(IF('Data-solution'!$A$3="Maximize",MAX($C14:$AI14),MIN($C14:$AI14)),$C14:$AI14,0)),AG3-INDEX($C3:$AJ13,1,MATCH(IF('Data-solution'!$A$3="Maximize",MAX($C14:$AI14),MIN($C14:$AI14)),$C14:$AI14,0))*INDEX(AG3:$AJ13,MATCH(MIN($AK3:$AK13),$AK3:$AK13,0),1)/INDEX($C3:$AJ13,MATCH(MIN($AK3:$AK13),$AK3:$AK13,0),MATCH(IF('Data-solution'!$A$3="Maximize",MAX($C14:$AI14),MIN($C14:$AI14)),$C14:$AI14,0))),AG3)</f>
        <v>0</v>
      </c>
      <c r="AH18" s="1">
        <f>IF(OR($B18&lt;&gt;$B3,$B19&lt;&gt;$B4,$B20&lt;&gt;$B5,$B21&lt;&gt;$B6,$B22&lt;&gt;$B7,$B23&lt;&gt;$B8,$B24&lt;&gt;$B9,$B25&lt;&gt;$B10,$B26&lt;&gt;$B11,$B27&lt;&gt;$B12,$B28&lt;&gt;$B13),IF($B18&lt;&gt;$B3,AH3/INDEX($C3:$AJ13,1,MATCH(IF('Data-solution'!$A$3="Maximize",MAX($C14:$AI14),MIN($C14:$AI14)),$C14:$AI14,0)),AH3-INDEX($C3:$AJ13,1,MATCH(IF('Data-solution'!$A$3="Maximize",MAX($C14:$AI14),MIN($C14:$AI14)),$C14:$AI14,0))*INDEX(AH3:$AJ13,MATCH(MIN($AK3:$AK13),$AK3:$AK13,0),1)/INDEX($C3:$AJ13,MATCH(MIN($AK3:$AK13),$AK3:$AK13,0),MATCH(IF('Data-solution'!$A$3="Maximize",MAX($C14:$AI14),MIN($C14:$AI14)),$C14:$AI14,0))),AH3)</f>
        <v>0</v>
      </c>
      <c r="AI18" s="1">
        <f>IF(OR($B18&lt;&gt;$B3,$B19&lt;&gt;$B4,$B20&lt;&gt;$B5,$B21&lt;&gt;$B6,$B22&lt;&gt;$B7,$B23&lt;&gt;$B8,$B24&lt;&gt;$B9,$B25&lt;&gt;$B10,$B26&lt;&gt;$B11,$B27&lt;&gt;$B12,$B28&lt;&gt;$B13),IF($B18&lt;&gt;$B3,AI3/INDEX($C3:$AJ13,1,MATCH(IF('Data-solution'!$A$3="Maximize",MAX($C14:$AI14),MIN($C14:$AI14)),$C14:$AI14,0)),AI3-INDEX($C3:$AJ13,1,MATCH(IF('Data-solution'!$A$3="Maximize",MAX($C14:$AI14),MIN($C14:$AI14)),$C14:$AI14,0))*INDEX(AI3:$AJ13,MATCH(MIN($AK3:$AK13),$AK3:$AK13,0),1)/INDEX($C3:$AJ13,MATCH(MIN($AK3:$AK13),$AK3:$AK13,0),MATCH(IF('Data-solution'!$A$3="Maximize",MAX($C14:$AI14),MIN($C14:$AI14)),$C14:$AI14,0))),AI3)</f>
        <v>0</v>
      </c>
      <c r="AJ18" s="1">
        <f>IF(OR($B18&lt;&gt;$B3,$B19&lt;&gt;$B4,$B20&lt;&gt;$B5,$B21&lt;&gt;$B6,$B22&lt;&gt;$B7,$B23&lt;&gt;$B8,$B24&lt;&gt;$B9,$B25&lt;&gt;$B10,$B26&lt;&gt;$B11,$B27&lt;&gt;$B12,$B28&lt;&gt;$B13),IF($B18&lt;&gt;$B3,AJ3/INDEX($C3:$AJ13,1,MATCH(IF('Data-solution'!$A$3="Maximize",MAX($C14:$AI14),MIN($C14:$AI14)),$C14:$AI14,0)),AJ3-INDEX($C3:$AJ13,1,MATCH(IF('Data-solution'!$A$3="Maximize",MAX($C14:$AI14),MIN($C14:$AI14)),$C14:$AI14,0))*INDEX(AJ3:$AJ13,MATCH(MIN($AK3:$AK13),$AK3:$AK13,0),1)/INDEX($C3:$AJ13,MATCH(MIN($AK3:$AK13),$AK3:$AK13,0),MATCH(IF('Data-solution'!$A$3="Maximize",MAX($C14:$AI14),MIN($C14:$AI14)),$C14:$AI14,0))),AJ3)</f>
        <v>216.66666666666669</v>
      </c>
      <c r="AK18" s="1">
        <f>IF(INDEX(C18:X18,1,MATCH(IF('Data-solution'!A$3="Maximize",MAX(C29:X29),MIN(C29:X29)),C29:X29,0))&gt;0,AJ18/INDEX(C18:X18,1,MATCH(IF('Data-solution'!A$3="Maximize",MAX(C29:X29),MIN(C29:X29)),C29:X29,0))," ")</f>
        <v>325</v>
      </c>
    </row>
    <row r="19" spans="1:37" ht="18" customHeight="1" x14ac:dyDescent="0.2">
      <c r="A19" s="1">
        <f>INDEX(C16:AI16,1,MATCH(B19,C17:AI17,0))</f>
        <v>0</v>
      </c>
      <c r="B19" s="2" t="str">
        <f>IF(AND('Data-solution'!A$3="Maximize",COUNTIF(C14:X14,"&gt;"&amp;0)&gt;0,AK4=MIN(AK3:AK13),COUNTIF(B18,INDEX(C2:X2,1,MATCH(MAX(C14:X14),C14:X14,0)))=0),INDEX(C2:X2,1,MATCH(MAX(C14:X14),C14:X14,0)),IF(AND('Data-solution'!A$3="Minimize",COUNTIF(C14:X14,"&lt;"&amp;0)&gt;0,AK4=MIN(AK3:AK13),COUNTIF(B18,INDEX(C2:X2,1,MATCH(MIN(C14:X14),C14:X14,0)))=0),INDEX(C2:X2,1,MATCH(MIN(C14:X14),C14:X14,0)),B4))</f>
        <v>S2</v>
      </c>
      <c r="C19" s="1">
        <f>IF(OR($B18&lt;&gt;$B3,$B19&lt;&gt;$B4,$B20&lt;&gt;$B5,$B21&lt;&gt;$B6,$B22&lt;&gt;$B7,$B23&lt;&gt;$B8,$B24&lt;&gt;$B9,$B25&lt;&gt;$B10,$B26&lt;&gt;$B11,$B27&lt;&gt;$B12,$B28&lt;&gt;$B13),IF($B19&lt;&gt;$B4,C4/INDEX($C3:$AJ13,2,MATCH(IF('Data-solution'!$A$3="Maximize",MAX($C14:$AI14),MIN($C14:$AI14)),$C14:$AI14,0)),C4-INDEX($C3:$AJ13,2,MATCH(IF('Data-solution'!$A$3="Maximize",MAX($C14:$AI14),MIN($C14:$AI14)),$C14:$AI14,0))*INDEX(C3:$AJ13,MATCH(MIN($AK3:$AK13),$AK3:$AK13,0),1)/INDEX($C3:$AJ13,MATCH(MIN($AK3:$AK13),$AK3:$AK13,0),MATCH(IF('Data-solution'!$A$3="Maximize",MAX($C14:$AI14),MIN($C14:$AI14)),$C14:$AI14,0))),C4)</f>
        <v>0.33333333333333337</v>
      </c>
      <c r="D19" s="1">
        <f>IF(OR($B18&lt;&gt;$B3,$B19&lt;&gt;$B4,$B20&lt;&gt;$B5,$B21&lt;&gt;$B6,$B22&lt;&gt;$B7,$B23&lt;&gt;$B8,$B24&lt;&gt;$B9,$B25&lt;&gt;$B10,$B26&lt;&gt;$B11,$B27&lt;&gt;$B12,$B28&lt;&gt;$B13),IF($B19&lt;&gt;$B4,D4/INDEX($C3:$AJ13,2,MATCH(IF('Data-solution'!$A$3="Maximize",MAX($C14:$AI14),MIN($C14:$AI14)),$C14:$AI14,0)),D4-INDEX($C3:$AJ13,2,MATCH(IF('Data-solution'!$A$3="Maximize",MAX($C14:$AI14),MIN($C14:$AI14)),$C14:$AI14,0))*INDEX(D3:$AJ13,MATCH(MIN($AK3:$AK13),$AK3:$AK13,0),1)/INDEX($C3:$AJ13,MATCH(MIN($AK3:$AK13),$AK3:$AK13,0),MATCH(IF('Data-solution'!$A$3="Maximize",MAX($C14:$AI14),MIN($C14:$AI14)),$C14:$AI14,0))),D4)</f>
        <v>1.3333333333333333</v>
      </c>
      <c r="E19" s="1">
        <f>IF(OR($B18&lt;&gt;$B3,$B19&lt;&gt;$B4,$B20&lt;&gt;$B5,$B21&lt;&gt;$B6,$B22&lt;&gt;$B7,$B23&lt;&gt;$B8,$B24&lt;&gt;$B9,$B25&lt;&gt;$B10,$B26&lt;&gt;$B11,$B27&lt;&gt;$B12,$B28&lt;&gt;$B13),IF($B19&lt;&gt;$B4,E4/INDEX($C3:$AJ13,2,MATCH(IF('Data-solution'!$A$3="Maximize",MAX($C14:$AI14),MIN($C14:$AI14)),$C14:$AI14,0)),E4-INDEX($C3:$AJ13,2,MATCH(IF('Data-solution'!$A$3="Maximize",MAX($C14:$AI14),MIN($C14:$AI14)),$C14:$AI14,0))*INDEX(E3:$AJ13,MATCH(MIN($AK3:$AK13),$AK3:$AK13,0),1)/INDEX($C3:$AJ13,MATCH(MIN($AK3:$AK13),$AK3:$AK13,0),MATCH(IF('Data-solution'!$A$3="Maximize",MAX($C14:$AI14),MIN($C14:$AI14)),$C14:$AI14,0))),E4)</f>
        <v>0</v>
      </c>
      <c r="F19" s="1">
        <f>IF(OR($B18&lt;&gt;$B3,$B19&lt;&gt;$B4,$B20&lt;&gt;$B5,$B21&lt;&gt;$B6,$B22&lt;&gt;$B7,$B23&lt;&gt;$B8,$B24&lt;&gt;$B9,$B25&lt;&gt;$B10,$B26&lt;&gt;$B11,$B27&lt;&gt;$B12,$B28&lt;&gt;$B13),IF($B19&lt;&gt;$B4,F4/INDEX($C3:$AJ13,2,MATCH(IF('Data-solution'!$A$3="Maximize",MAX($C14:$AI14),MIN($C14:$AI14)),$C14:$AI14,0)),F4-INDEX($C3:$AJ13,2,MATCH(IF('Data-solution'!$A$3="Maximize",MAX($C14:$AI14),MIN($C14:$AI14)),$C14:$AI14,0))*INDEX(F3:$AJ13,MATCH(MIN($AK3:$AK13),$AK3:$AK13,0),1)/INDEX($C3:$AJ13,MATCH(MIN($AK3:$AK13),$AK3:$AK13,0),MATCH(IF('Data-solution'!$A$3="Maximize",MAX($C14:$AI14),MIN($C14:$AI14)),$C14:$AI14,0))),F4)</f>
        <v>0</v>
      </c>
      <c r="G19" s="1">
        <f>IF(OR($B18&lt;&gt;$B3,$B19&lt;&gt;$B4,$B20&lt;&gt;$B5,$B21&lt;&gt;$B6,$B22&lt;&gt;$B7,$B23&lt;&gt;$B8,$B24&lt;&gt;$B9,$B25&lt;&gt;$B10,$B26&lt;&gt;$B11,$B27&lt;&gt;$B12,$B28&lt;&gt;$B13),IF($B19&lt;&gt;$B4,G4/INDEX($C3:$AJ13,2,MATCH(IF('Data-solution'!$A$3="Maximize",MAX($C14:$AI14),MIN($C14:$AI14)),$C14:$AI14,0)),G4-INDEX($C3:$AJ13,2,MATCH(IF('Data-solution'!$A$3="Maximize",MAX($C14:$AI14),MIN($C14:$AI14)),$C14:$AI14,0))*INDEX(G3:$AJ13,MATCH(MIN($AK3:$AK13),$AK3:$AK13,0),1)/INDEX($C3:$AJ13,MATCH(MIN($AK3:$AK13),$AK3:$AK13,0),MATCH(IF('Data-solution'!$A$3="Maximize",MAX($C14:$AI14),MIN($C14:$AI14)),$C14:$AI14,0))),G4)</f>
        <v>0</v>
      </c>
      <c r="H19" s="1">
        <f>IF(OR($B18&lt;&gt;$B3,$B19&lt;&gt;$B4,$B20&lt;&gt;$B5,$B21&lt;&gt;$B6,$B22&lt;&gt;$B7,$B23&lt;&gt;$B8,$B24&lt;&gt;$B9,$B25&lt;&gt;$B10,$B26&lt;&gt;$B11,$B27&lt;&gt;$B12,$B28&lt;&gt;$B13),IF($B19&lt;&gt;$B4,H4/INDEX($C3:$AJ13,2,MATCH(IF('Data-solution'!$A$3="Maximize",MAX($C14:$AI14),MIN($C14:$AI14)),$C14:$AI14,0)),H4-INDEX($C3:$AJ13,2,MATCH(IF('Data-solution'!$A$3="Maximize",MAX($C14:$AI14),MIN($C14:$AI14)),$C14:$AI14,0))*INDEX(H3:$AJ13,MATCH(MIN($AK3:$AK13),$AK3:$AK13,0),1)/INDEX($C3:$AJ13,MATCH(MIN($AK3:$AK13),$AK3:$AK13,0),MATCH(IF('Data-solution'!$A$3="Maximize",MAX($C14:$AI14),MIN($C14:$AI14)),$C14:$AI14,0))),H4)</f>
        <v>0</v>
      </c>
      <c r="I19" s="1">
        <f>IF(OR($B18&lt;&gt;$B3,$B19&lt;&gt;$B4,$B20&lt;&gt;$B5,$B21&lt;&gt;$B6,$B22&lt;&gt;$B7,$B23&lt;&gt;$B8,$B24&lt;&gt;$B9,$B25&lt;&gt;$B10,$B26&lt;&gt;$B11,$B27&lt;&gt;$B12,$B28&lt;&gt;$B13),IF($B19&lt;&gt;$B4,I4/INDEX($C3:$AJ13,2,MATCH(IF('Data-solution'!$A$3="Maximize",MAX($C14:$AI14),MIN($C14:$AI14)),$C14:$AI14,0)),I4-INDEX($C3:$AJ13,2,MATCH(IF('Data-solution'!$A$3="Maximize",MAX($C14:$AI14),MIN($C14:$AI14)),$C14:$AI14,0))*INDEX(I3:$AJ13,MATCH(MIN($AK3:$AK13),$AK3:$AK13,0),1)/INDEX($C3:$AJ13,MATCH(MIN($AK3:$AK13),$AK3:$AK13,0),MATCH(IF('Data-solution'!$A$3="Maximize",MAX($C14:$AI14),MIN($C14:$AI14)),$C14:$AI14,0))),I4)</f>
        <v>0</v>
      </c>
      <c r="J19" s="1">
        <f>IF(OR($B18&lt;&gt;$B3,$B19&lt;&gt;$B4,$B20&lt;&gt;$B5,$B21&lt;&gt;$B6,$B22&lt;&gt;$B7,$B23&lt;&gt;$B8,$B24&lt;&gt;$B9,$B25&lt;&gt;$B10,$B26&lt;&gt;$B11,$B27&lt;&gt;$B12,$B28&lt;&gt;$B13),IF($B19&lt;&gt;$B4,J4/INDEX($C3:$AJ13,2,MATCH(IF('Data-solution'!$A$3="Maximize",MAX($C14:$AI14),MIN($C14:$AI14)),$C14:$AI14,0)),J4-INDEX($C3:$AJ13,2,MATCH(IF('Data-solution'!$A$3="Maximize",MAX($C14:$AI14),MIN($C14:$AI14)),$C14:$AI14,0))*INDEX(J3:$AJ13,MATCH(MIN($AK3:$AK13),$AK3:$AK13,0),1)/INDEX($C3:$AJ13,MATCH(MIN($AK3:$AK13),$AK3:$AK13,0),MATCH(IF('Data-solution'!$A$3="Maximize",MAX($C14:$AI14),MIN($C14:$AI14)),$C14:$AI14,0))),J4)</f>
        <v>0</v>
      </c>
      <c r="K19" s="1">
        <f>IF(OR($B18&lt;&gt;$B3,$B19&lt;&gt;$B4,$B20&lt;&gt;$B5,$B21&lt;&gt;$B6,$B22&lt;&gt;$B7,$B23&lt;&gt;$B8,$B24&lt;&gt;$B9,$B25&lt;&gt;$B10,$B26&lt;&gt;$B11,$B27&lt;&gt;$B12,$B28&lt;&gt;$B13),IF($B19&lt;&gt;$B4,K4/INDEX($C3:$AJ13,2,MATCH(IF('Data-solution'!$A$3="Maximize",MAX($C14:$AI14),MIN($C14:$AI14)),$C14:$AI14,0)),K4-INDEX($C3:$AJ13,2,MATCH(IF('Data-solution'!$A$3="Maximize",MAX($C14:$AI14),MIN($C14:$AI14)),$C14:$AI14,0))*INDEX(K3:$AJ13,MATCH(MIN($AK3:$AK13),$AK3:$AK13,0),1)/INDEX($C3:$AJ13,MATCH(MIN($AK3:$AK13),$AK3:$AK13,0),MATCH(IF('Data-solution'!$A$3="Maximize",MAX($C14:$AI14),MIN($C14:$AI14)),$C14:$AI14,0))),K4)</f>
        <v>0</v>
      </c>
      <c r="L19" s="1">
        <f>IF(OR($B18&lt;&gt;$B3,$B19&lt;&gt;$B4,$B20&lt;&gt;$B5,$B21&lt;&gt;$B6,$B22&lt;&gt;$B7,$B23&lt;&gt;$B8,$B24&lt;&gt;$B9,$B25&lt;&gt;$B10,$B26&lt;&gt;$B11,$B27&lt;&gt;$B12,$B28&lt;&gt;$B13),IF($B19&lt;&gt;$B4,L4/INDEX($C3:$AJ13,2,MATCH(IF('Data-solution'!$A$3="Maximize",MAX($C14:$AI14),MIN($C14:$AI14)),$C14:$AI14,0)),L4-INDEX($C3:$AJ13,2,MATCH(IF('Data-solution'!$A$3="Maximize",MAX($C14:$AI14),MIN($C14:$AI14)),$C14:$AI14,0))*INDEX(L3:$AJ13,MATCH(MIN($AK3:$AK13),$AK3:$AK13,0),1)/INDEX($C3:$AJ13,MATCH(MIN($AK3:$AK13),$AK3:$AK13,0),MATCH(IF('Data-solution'!$A$3="Maximize",MAX($C14:$AI14),MIN($C14:$AI14)),$C14:$AI14,0))),L4)</f>
        <v>0</v>
      </c>
      <c r="M19" s="1">
        <f>IF(OR($B18&lt;&gt;$B3,$B19&lt;&gt;$B4,$B20&lt;&gt;$B5,$B21&lt;&gt;$B6,$B22&lt;&gt;$B7,$B23&lt;&gt;$B8,$B24&lt;&gt;$B9,$B25&lt;&gt;$B10,$B26&lt;&gt;$B11,$B27&lt;&gt;$B12,$B28&lt;&gt;$B13),IF($B19&lt;&gt;$B4,M4/INDEX($C3:$AJ13,2,MATCH(IF('Data-solution'!$A$3="Maximize",MAX($C14:$AI14),MIN($C14:$AI14)),$C14:$AI14,0)),M4-INDEX($C3:$AJ13,2,MATCH(IF('Data-solution'!$A$3="Maximize",MAX($C14:$AI14),MIN($C14:$AI14)),$C14:$AI14,0))*INDEX(M3:$AJ13,MATCH(MIN($AK3:$AK13),$AK3:$AK13,0),1)/INDEX($C3:$AJ13,MATCH(MIN($AK3:$AK13),$AK3:$AK13,0),MATCH(IF('Data-solution'!$A$3="Maximize",MAX($C14:$AI14),MIN($C14:$AI14)),$C14:$AI14,0))),M4)</f>
        <v>0</v>
      </c>
      <c r="N19" s="1">
        <f>IF(OR($B18&lt;&gt;$B3,$B19&lt;&gt;$B4,$B20&lt;&gt;$B5,$B21&lt;&gt;$B6,$B22&lt;&gt;$B7,$B23&lt;&gt;$B8,$B24&lt;&gt;$B9,$B25&lt;&gt;$B10,$B26&lt;&gt;$B11,$B27&lt;&gt;$B12,$B28&lt;&gt;$B13),IF($B19&lt;&gt;$B4,N4/INDEX($C3:$AJ13,2,MATCH(IF('Data-solution'!$A$3="Maximize",MAX($C14:$AI14),MIN($C14:$AI14)),$C14:$AI14,0)),N4-INDEX($C3:$AJ13,2,MATCH(IF('Data-solution'!$A$3="Maximize",MAX($C14:$AI14),MIN($C14:$AI14)),$C14:$AI14,0))*INDEX(N3:$AJ13,MATCH(MIN($AK3:$AK13),$AK3:$AK13,0),1)/INDEX($C3:$AJ13,MATCH(MIN($AK3:$AK13),$AK3:$AK13,0),MATCH(IF('Data-solution'!$A$3="Maximize",MAX($C14:$AI14),MIN($C14:$AI14)),$C14:$AI14,0))),N4)</f>
        <v>0</v>
      </c>
      <c r="O19" s="1">
        <f>IF(OR($B18&lt;&gt;$B3,$B19&lt;&gt;$B4,$B20&lt;&gt;$B5,$B21&lt;&gt;$B6,$B22&lt;&gt;$B7,$B23&lt;&gt;$B8,$B24&lt;&gt;$B9,$B25&lt;&gt;$B10,$B26&lt;&gt;$B11,$B27&lt;&gt;$B12,$B28&lt;&gt;$B13),IF($B19&lt;&gt;$B4,O4/INDEX($C3:$AJ13,2,MATCH(IF('Data-solution'!$A$3="Maximize",MAX($C14:$AI14),MIN($C14:$AI14)),$C14:$AI14,0)),O4-INDEX($C3:$AJ13,2,MATCH(IF('Data-solution'!$A$3="Maximize",MAX($C14:$AI14),MIN($C14:$AI14)),$C14:$AI14,0))*INDEX(O3:$AJ13,MATCH(MIN($AK3:$AK13),$AK3:$AK13,0),1)/INDEX($C3:$AJ13,MATCH(MIN($AK3:$AK13),$AK3:$AK13,0),MATCH(IF('Data-solution'!$A$3="Maximize",MAX($C14:$AI14),MIN($C14:$AI14)),$C14:$AI14,0))),O4)</f>
        <v>1</v>
      </c>
      <c r="P19" s="1">
        <f>IF(OR($B18&lt;&gt;$B3,$B19&lt;&gt;$B4,$B20&lt;&gt;$B5,$B21&lt;&gt;$B6,$B22&lt;&gt;$B7,$B23&lt;&gt;$B8,$B24&lt;&gt;$B9,$B25&lt;&gt;$B10,$B26&lt;&gt;$B11,$B27&lt;&gt;$B12,$B28&lt;&gt;$B13),IF($B19&lt;&gt;$B4,P4/INDEX($C3:$AJ13,2,MATCH(IF('Data-solution'!$A$3="Maximize",MAX($C14:$AI14),MIN($C14:$AI14)),$C14:$AI14,0)),P4-INDEX($C3:$AJ13,2,MATCH(IF('Data-solution'!$A$3="Maximize",MAX($C14:$AI14),MIN($C14:$AI14)),$C14:$AI14,0))*INDEX(P3:$AJ13,MATCH(MIN($AK3:$AK13),$AK3:$AK13,0),1)/INDEX($C3:$AJ13,MATCH(MIN($AK3:$AK13),$AK3:$AK13,0),MATCH(IF('Data-solution'!$A$3="Maximize",MAX($C14:$AI14),MIN($C14:$AI14)),$C14:$AI14,0))),P4)</f>
        <v>-0.33333333333333331</v>
      </c>
      <c r="Q19" s="1">
        <f>IF(OR($B18&lt;&gt;$B3,$B19&lt;&gt;$B4,$B20&lt;&gt;$B5,$B21&lt;&gt;$B6,$B22&lt;&gt;$B7,$B23&lt;&gt;$B8,$B24&lt;&gt;$B9,$B25&lt;&gt;$B10,$B26&lt;&gt;$B11,$B27&lt;&gt;$B12,$B28&lt;&gt;$B13),IF($B19&lt;&gt;$B4,Q4/INDEX($C3:$AJ13,2,MATCH(IF('Data-solution'!$A$3="Maximize",MAX($C14:$AI14),MIN($C14:$AI14)),$C14:$AI14,0)),Q4-INDEX($C3:$AJ13,2,MATCH(IF('Data-solution'!$A$3="Maximize",MAX($C14:$AI14),MIN($C14:$AI14)),$C14:$AI14,0))*INDEX(Q3:$AJ13,MATCH(MIN($AK3:$AK13),$AK3:$AK13,0),1)/INDEX($C3:$AJ13,MATCH(MIN($AK3:$AK13),$AK3:$AK13,0),MATCH(IF('Data-solution'!$A$3="Maximize",MAX($C14:$AI14),MIN($C14:$AI14)),$C14:$AI14,0))),Q4)</f>
        <v>0</v>
      </c>
      <c r="R19" s="1">
        <f>IF(OR($B18&lt;&gt;$B3,$B19&lt;&gt;$B4,$B20&lt;&gt;$B5,$B21&lt;&gt;$B6,$B22&lt;&gt;$B7,$B23&lt;&gt;$B8,$B24&lt;&gt;$B9,$B25&lt;&gt;$B10,$B26&lt;&gt;$B11,$B27&lt;&gt;$B12,$B28&lt;&gt;$B13),IF($B19&lt;&gt;$B4,R4/INDEX($C3:$AJ13,2,MATCH(IF('Data-solution'!$A$3="Maximize",MAX($C14:$AI14),MIN($C14:$AI14)),$C14:$AI14,0)),R4-INDEX($C3:$AJ13,2,MATCH(IF('Data-solution'!$A$3="Maximize",MAX($C14:$AI14),MIN($C14:$AI14)),$C14:$AI14,0))*INDEX(R3:$AJ13,MATCH(MIN($AK3:$AK13),$AK3:$AK13,0),1)/INDEX($C3:$AJ13,MATCH(MIN($AK3:$AK13),$AK3:$AK13,0),MATCH(IF('Data-solution'!$A$3="Maximize",MAX($C14:$AI14),MIN($C14:$AI14)),$C14:$AI14,0))),R4)</f>
        <v>0</v>
      </c>
      <c r="S19" s="1">
        <f>IF(OR($B18&lt;&gt;$B3,$B19&lt;&gt;$B4,$B20&lt;&gt;$B5,$B21&lt;&gt;$B6,$B22&lt;&gt;$B7,$B23&lt;&gt;$B8,$B24&lt;&gt;$B9,$B25&lt;&gt;$B10,$B26&lt;&gt;$B11,$B27&lt;&gt;$B12,$B28&lt;&gt;$B13),IF($B19&lt;&gt;$B4,S4/INDEX($C3:$AJ13,2,MATCH(IF('Data-solution'!$A$3="Maximize",MAX($C14:$AI14),MIN($C14:$AI14)),$C14:$AI14,0)),S4-INDEX($C3:$AJ13,2,MATCH(IF('Data-solution'!$A$3="Maximize",MAX($C14:$AI14),MIN($C14:$AI14)),$C14:$AI14,0))*INDEX(S3:$AJ13,MATCH(MIN($AK3:$AK13),$AK3:$AK13,0),1)/INDEX($C3:$AJ13,MATCH(MIN($AK3:$AK13),$AK3:$AK13,0),MATCH(IF('Data-solution'!$A$3="Maximize",MAX($C14:$AI14),MIN($C14:$AI14)),$C14:$AI14,0))),S4)</f>
        <v>0</v>
      </c>
      <c r="T19" s="1">
        <f>IF(OR($B18&lt;&gt;$B3,$B19&lt;&gt;$B4,$B20&lt;&gt;$B5,$B21&lt;&gt;$B6,$B22&lt;&gt;$B7,$B23&lt;&gt;$B8,$B24&lt;&gt;$B9,$B25&lt;&gt;$B10,$B26&lt;&gt;$B11,$B27&lt;&gt;$B12,$B28&lt;&gt;$B13),IF($B19&lt;&gt;$B4,T4/INDEX($C3:$AJ13,2,MATCH(IF('Data-solution'!$A$3="Maximize",MAX($C14:$AI14),MIN($C14:$AI14)),$C14:$AI14,0)),T4-INDEX($C3:$AJ13,2,MATCH(IF('Data-solution'!$A$3="Maximize",MAX($C14:$AI14),MIN($C14:$AI14)),$C14:$AI14,0))*INDEX(T3:$AJ13,MATCH(MIN($AK3:$AK13),$AK3:$AK13,0),1)/INDEX($C3:$AJ13,MATCH(MIN($AK3:$AK13),$AK3:$AK13,0),MATCH(IF('Data-solution'!$A$3="Maximize",MAX($C14:$AI14),MIN($C14:$AI14)),$C14:$AI14,0))),T4)</f>
        <v>0</v>
      </c>
      <c r="U19" s="1">
        <f>IF(OR($B18&lt;&gt;$B3,$B19&lt;&gt;$B4,$B20&lt;&gt;$B5,$B21&lt;&gt;$B6,$B22&lt;&gt;$B7,$B23&lt;&gt;$B8,$B24&lt;&gt;$B9,$B25&lt;&gt;$B10,$B26&lt;&gt;$B11,$B27&lt;&gt;$B12,$B28&lt;&gt;$B13),IF($B19&lt;&gt;$B4,U4/INDEX($C3:$AJ13,2,MATCH(IF('Data-solution'!$A$3="Maximize",MAX($C14:$AI14),MIN($C14:$AI14)),$C14:$AI14,0)),U4-INDEX($C3:$AJ13,2,MATCH(IF('Data-solution'!$A$3="Maximize",MAX($C14:$AI14),MIN($C14:$AI14)),$C14:$AI14,0))*INDEX(U3:$AJ13,MATCH(MIN($AK3:$AK13),$AK3:$AK13,0),1)/INDEX($C3:$AJ13,MATCH(MIN($AK3:$AK13),$AK3:$AK13,0),MATCH(IF('Data-solution'!$A$3="Maximize",MAX($C14:$AI14),MIN($C14:$AI14)),$C14:$AI14,0))),U4)</f>
        <v>0</v>
      </c>
      <c r="V19" s="1">
        <f>IF(OR($B18&lt;&gt;$B3,$B19&lt;&gt;$B4,$B20&lt;&gt;$B5,$B21&lt;&gt;$B6,$B22&lt;&gt;$B7,$B23&lt;&gt;$B8,$B24&lt;&gt;$B9,$B25&lt;&gt;$B10,$B26&lt;&gt;$B11,$B27&lt;&gt;$B12,$B28&lt;&gt;$B13),IF($B19&lt;&gt;$B4,V4/INDEX($C3:$AJ13,2,MATCH(IF('Data-solution'!$A$3="Maximize",MAX($C14:$AI14),MIN($C14:$AI14)),$C14:$AI14,0)),V4-INDEX($C3:$AJ13,2,MATCH(IF('Data-solution'!$A$3="Maximize",MAX($C14:$AI14),MIN($C14:$AI14)),$C14:$AI14,0))*INDEX(V3:$AJ13,MATCH(MIN($AK3:$AK13),$AK3:$AK13,0),1)/INDEX($C3:$AJ13,MATCH(MIN($AK3:$AK13),$AK3:$AK13,0),MATCH(IF('Data-solution'!$A$3="Maximize",MAX($C14:$AI14),MIN($C14:$AI14)),$C14:$AI14,0))),V4)</f>
        <v>0</v>
      </c>
      <c r="W19" s="1">
        <f>IF(OR($B18&lt;&gt;$B3,$B19&lt;&gt;$B4,$B20&lt;&gt;$B5,$B21&lt;&gt;$B6,$B22&lt;&gt;$B7,$B23&lt;&gt;$B8,$B24&lt;&gt;$B9,$B25&lt;&gt;$B10,$B26&lt;&gt;$B11,$B27&lt;&gt;$B12,$B28&lt;&gt;$B13),IF($B19&lt;&gt;$B4,W4/INDEX($C3:$AJ13,2,MATCH(IF('Data-solution'!$A$3="Maximize",MAX($C14:$AI14),MIN($C14:$AI14)),$C14:$AI14,0)),W4-INDEX($C3:$AJ13,2,MATCH(IF('Data-solution'!$A$3="Maximize",MAX($C14:$AI14),MIN($C14:$AI14)),$C14:$AI14,0))*INDEX(W3:$AJ13,MATCH(MIN($AK3:$AK13),$AK3:$AK13,0),1)/INDEX($C3:$AJ13,MATCH(MIN($AK3:$AK13),$AK3:$AK13,0),MATCH(IF('Data-solution'!$A$3="Maximize",MAX($C14:$AI14),MIN($C14:$AI14)),$C14:$AI14,0))),W4)</f>
        <v>0</v>
      </c>
      <c r="X19" s="1">
        <f>IF(OR($B18&lt;&gt;$B3,$B19&lt;&gt;$B4,$B20&lt;&gt;$B5,$B21&lt;&gt;$B6,$B22&lt;&gt;$B7,$B23&lt;&gt;$B8,$B24&lt;&gt;$B9,$B25&lt;&gt;$B10,$B26&lt;&gt;$B11,$B27&lt;&gt;$B12,$B28&lt;&gt;$B13),IF($B19&lt;&gt;$B4,X4/INDEX($C3:$AJ13,2,MATCH(IF('Data-solution'!$A$3="Maximize",MAX($C14:$AI14),MIN($C14:$AI14)),$C14:$AI14,0)),X4-INDEX($C3:$AJ13,2,MATCH(IF('Data-solution'!$A$3="Maximize",MAX($C14:$AI14),MIN($C14:$AI14)),$C14:$AI14,0))*INDEX(X3:$AJ13,MATCH(MIN($AK3:$AK13),$AK3:$AK13,0),1)/INDEX($C3:$AJ13,MATCH(MIN($AK3:$AK13),$AK3:$AK13,0),MATCH(IF('Data-solution'!$A$3="Maximize",MAX($C14:$AI14),MIN($C14:$AI14)),$C14:$AI14,0))),X4)</f>
        <v>0</v>
      </c>
      <c r="Y19" s="1">
        <f>IF(OR($B18&lt;&gt;$B3,$B19&lt;&gt;$B4,$B20&lt;&gt;$B5,$B21&lt;&gt;$B6,$B22&lt;&gt;$B7,$B23&lt;&gt;$B8,$B24&lt;&gt;$B9,$B25&lt;&gt;$B10,$B26&lt;&gt;$B11,$B27&lt;&gt;$B12,$B28&lt;&gt;$B13),IF($B19&lt;&gt;$B4,Y4/INDEX($C3:$AJ13,2,MATCH(IF('Data-solution'!$A$3="Maximize",MAX($C14:$AI14),MIN($C14:$AI14)),$C14:$AI14,0)),Y4-INDEX($C3:$AJ13,2,MATCH(IF('Data-solution'!$A$3="Maximize",MAX($C14:$AI14),MIN($C14:$AI14)),$C14:$AI14,0))*INDEX(Y3:$AJ13,MATCH(MIN($AK3:$AK13),$AK3:$AK13,0),1)/INDEX($C3:$AJ13,MATCH(MIN($AK3:$AK13),$AK3:$AK13,0),MATCH(IF('Data-solution'!$A$3="Maximize",MAX($C14:$AI14),MIN($C14:$AI14)),$C14:$AI14,0))),Y4)</f>
        <v>0</v>
      </c>
      <c r="Z19" s="1">
        <f>IF(OR($B18&lt;&gt;$B3,$B19&lt;&gt;$B4,$B20&lt;&gt;$B5,$B21&lt;&gt;$B6,$B22&lt;&gt;$B7,$B23&lt;&gt;$B8,$B24&lt;&gt;$B9,$B25&lt;&gt;$B10,$B26&lt;&gt;$B11,$B27&lt;&gt;$B12,$B28&lt;&gt;$B13),IF($B19&lt;&gt;$B4,Z4/INDEX($C3:$AJ13,2,MATCH(IF('Data-solution'!$A$3="Maximize",MAX($C14:$AI14),MIN($C14:$AI14)),$C14:$AI14,0)),Z4-INDEX($C3:$AJ13,2,MATCH(IF('Data-solution'!$A$3="Maximize",MAX($C14:$AI14),MIN($C14:$AI14)),$C14:$AI14,0))*INDEX(Z3:$AJ13,MATCH(MIN($AK3:$AK13),$AK3:$AK13,0),1)/INDEX($C3:$AJ13,MATCH(MIN($AK3:$AK13),$AK3:$AK13,0),MATCH(IF('Data-solution'!$A$3="Maximize",MAX($C14:$AI14),MIN($C14:$AI14)),$C14:$AI14,0))),Z4)</f>
        <v>1</v>
      </c>
      <c r="AA19" s="1">
        <f>IF(OR($B18&lt;&gt;$B3,$B19&lt;&gt;$B4,$B20&lt;&gt;$B5,$B21&lt;&gt;$B6,$B22&lt;&gt;$B7,$B23&lt;&gt;$B8,$B24&lt;&gt;$B9,$B25&lt;&gt;$B10,$B26&lt;&gt;$B11,$B27&lt;&gt;$B12,$B28&lt;&gt;$B13),IF($B19&lt;&gt;$B4,AA4/INDEX($C3:$AJ13,2,MATCH(IF('Data-solution'!$A$3="Maximize",MAX($C14:$AI14),MIN($C14:$AI14)),$C14:$AI14,0)),AA4-INDEX($C3:$AJ13,2,MATCH(IF('Data-solution'!$A$3="Maximize",MAX($C14:$AI14),MIN($C14:$AI14)),$C14:$AI14,0))*INDEX(AA3:$AJ13,MATCH(MIN($AK3:$AK13),$AK3:$AK13,0),1)/INDEX($C3:$AJ13,MATCH(MIN($AK3:$AK13),$AK3:$AK13,0),MATCH(IF('Data-solution'!$A$3="Maximize",MAX($C14:$AI14),MIN($C14:$AI14)),$C14:$AI14,0))),AA4)</f>
        <v>-0.33333333333333331</v>
      </c>
      <c r="AB19" s="1">
        <f>IF(OR($B18&lt;&gt;$B3,$B19&lt;&gt;$B4,$B20&lt;&gt;$B5,$B21&lt;&gt;$B6,$B22&lt;&gt;$B7,$B23&lt;&gt;$B8,$B24&lt;&gt;$B9,$B25&lt;&gt;$B10,$B26&lt;&gt;$B11,$B27&lt;&gt;$B12,$B28&lt;&gt;$B13),IF($B19&lt;&gt;$B4,AB4/INDEX($C3:$AJ13,2,MATCH(IF('Data-solution'!$A$3="Maximize",MAX($C14:$AI14),MIN($C14:$AI14)),$C14:$AI14,0)),AB4-INDEX($C3:$AJ13,2,MATCH(IF('Data-solution'!$A$3="Maximize",MAX($C14:$AI14),MIN($C14:$AI14)),$C14:$AI14,0))*INDEX(AB3:$AJ13,MATCH(MIN($AK3:$AK13),$AK3:$AK13,0),1)/INDEX($C3:$AJ13,MATCH(MIN($AK3:$AK13),$AK3:$AK13,0),MATCH(IF('Data-solution'!$A$3="Maximize",MAX($C14:$AI14),MIN($C14:$AI14)),$C14:$AI14,0))),AB4)</f>
        <v>0</v>
      </c>
      <c r="AC19" s="1">
        <f>IF(OR($B18&lt;&gt;$B3,$B19&lt;&gt;$B4,$B20&lt;&gt;$B5,$B21&lt;&gt;$B6,$B22&lt;&gt;$B7,$B23&lt;&gt;$B8,$B24&lt;&gt;$B9,$B25&lt;&gt;$B10,$B26&lt;&gt;$B11,$B27&lt;&gt;$B12,$B28&lt;&gt;$B13),IF($B19&lt;&gt;$B4,AC4/INDEX($C3:$AJ13,2,MATCH(IF('Data-solution'!$A$3="Maximize",MAX($C14:$AI14),MIN($C14:$AI14)),$C14:$AI14,0)),AC4-INDEX($C3:$AJ13,2,MATCH(IF('Data-solution'!$A$3="Maximize",MAX($C14:$AI14),MIN($C14:$AI14)),$C14:$AI14,0))*INDEX(AC3:$AJ13,MATCH(MIN($AK3:$AK13),$AK3:$AK13,0),1)/INDEX($C3:$AJ13,MATCH(MIN($AK3:$AK13),$AK3:$AK13,0),MATCH(IF('Data-solution'!$A$3="Maximize",MAX($C14:$AI14),MIN($C14:$AI14)),$C14:$AI14,0))),AC4)</f>
        <v>0</v>
      </c>
      <c r="AD19" s="1">
        <f>IF(OR($B18&lt;&gt;$B3,$B19&lt;&gt;$B4,$B20&lt;&gt;$B5,$B21&lt;&gt;$B6,$B22&lt;&gt;$B7,$B23&lt;&gt;$B8,$B24&lt;&gt;$B9,$B25&lt;&gt;$B10,$B26&lt;&gt;$B11,$B27&lt;&gt;$B12,$B28&lt;&gt;$B13),IF($B19&lt;&gt;$B4,AD4/INDEX($C3:$AJ13,2,MATCH(IF('Data-solution'!$A$3="Maximize",MAX($C14:$AI14),MIN($C14:$AI14)),$C14:$AI14,0)),AD4-INDEX($C3:$AJ13,2,MATCH(IF('Data-solution'!$A$3="Maximize",MAX($C14:$AI14),MIN($C14:$AI14)),$C14:$AI14,0))*INDEX(AD3:$AJ13,MATCH(MIN($AK3:$AK13),$AK3:$AK13,0),1)/INDEX($C3:$AJ13,MATCH(MIN($AK3:$AK13),$AK3:$AK13,0),MATCH(IF('Data-solution'!$A$3="Maximize",MAX($C14:$AI14),MIN($C14:$AI14)),$C14:$AI14,0))),AD4)</f>
        <v>0</v>
      </c>
      <c r="AE19" s="1">
        <f>IF(OR($B18&lt;&gt;$B3,$B19&lt;&gt;$B4,$B20&lt;&gt;$B5,$B21&lt;&gt;$B6,$B22&lt;&gt;$B7,$B23&lt;&gt;$B8,$B24&lt;&gt;$B9,$B25&lt;&gt;$B10,$B26&lt;&gt;$B11,$B27&lt;&gt;$B12,$B28&lt;&gt;$B13),IF($B19&lt;&gt;$B4,AE4/INDEX($C3:$AJ13,2,MATCH(IF('Data-solution'!$A$3="Maximize",MAX($C14:$AI14),MIN($C14:$AI14)),$C14:$AI14,0)),AE4-INDEX($C3:$AJ13,2,MATCH(IF('Data-solution'!$A$3="Maximize",MAX($C14:$AI14),MIN($C14:$AI14)),$C14:$AI14,0))*INDEX(AE3:$AJ13,MATCH(MIN($AK3:$AK13),$AK3:$AK13,0),1)/INDEX($C3:$AJ13,MATCH(MIN($AK3:$AK13),$AK3:$AK13,0),MATCH(IF('Data-solution'!$A$3="Maximize",MAX($C14:$AI14),MIN($C14:$AI14)),$C14:$AI14,0))),AE4)</f>
        <v>0</v>
      </c>
      <c r="AF19" s="1">
        <f>IF(OR($B18&lt;&gt;$B3,$B19&lt;&gt;$B4,$B20&lt;&gt;$B5,$B21&lt;&gt;$B6,$B22&lt;&gt;$B7,$B23&lt;&gt;$B8,$B24&lt;&gt;$B9,$B25&lt;&gt;$B10,$B26&lt;&gt;$B11,$B27&lt;&gt;$B12,$B28&lt;&gt;$B13),IF($B19&lt;&gt;$B4,AF4/INDEX($C3:$AJ13,2,MATCH(IF('Data-solution'!$A$3="Maximize",MAX($C14:$AI14),MIN($C14:$AI14)),$C14:$AI14,0)),AF4-INDEX($C3:$AJ13,2,MATCH(IF('Data-solution'!$A$3="Maximize",MAX($C14:$AI14),MIN($C14:$AI14)),$C14:$AI14,0))*INDEX(AF3:$AJ13,MATCH(MIN($AK3:$AK13),$AK3:$AK13,0),1)/INDEX($C3:$AJ13,MATCH(MIN($AK3:$AK13),$AK3:$AK13,0),MATCH(IF('Data-solution'!$A$3="Maximize",MAX($C14:$AI14),MIN($C14:$AI14)),$C14:$AI14,0))),AF4)</f>
        <v>0</v>
      </c>
      <c r="AG19" s="1">
        <f>IF(OR($B18&lt;&gt;$B3,$B19&lt;&gt;$B4,$B20&lt;&gt;$B5,$B21&lt;&gt;$B6,$B22&lt;&gt;$B7,$B23&lt;&gt;$B8,$B24&lt;&gt;$B9,$B25&lt;&gt;$B10,$B26&lt;&gt;$B11,$B27&lt;&gt;$B12,$B28&lt;&gt;$B13),IF($B19&lt;&gt;$B4,AG4/INDEX($C3:$AJ13,2,MATCH(IF('Data-solution'!$A$3="Maximize",MAX($C14:$AI14),MIN($C14:$AI14)),$C14:$AI14,0)),AG4-INDEX($C3:$AJ13,2,MATCH(IF('Data-solution'!$A$3="Maximize",MAX($C14:$AI14),MIN($C14:$AI14)),$C14:$AI14,0))*INDEX(AG3:$AJ13,MATCH(MIN($AK3:$AK13),$AK3:$AK13,0),1)/INDEX($C3:$AJ13,MATCH(MIN($AK3:$AK13),$AK3:$AK13,0),MATCH(IF('Data-solution'!$A$3="Maximize",MAX($C14:$AI14),MIN($C14:$AI14)),$C14:$AI14,0))),AG4)</f>
        <v>0</v>
      </c>
      <c r="AH19" s="1">
        <f>IF(OR($B18&lt;&gt;$B3,$B19&lt;&gt;$B4,$B20&lt;&gt;$B5,$B21&lt;&gt;$B6,$B22&lt;&gt;$B7,$B23&lt;&gt;$B8,$B24&lt;&gt;$B9,$B25&lt;&gt;$B10,$B26&lt;&gt;$B11,$B27&lt;&gt;$B12,$B28&lt;&gt;$B13),IF($B19&lt;&gt;$B4,AH4/INDEX($C3:$AJ13,2,MATCH(IF('Data-solution'!$A$3="Maximize",MAX($C14:$AI14),MIN($C14:$AI14)),$C14:$AI14,0)),AH4-INDEX($C3:$AJ13,2,MATCH(IF('Data-solution'!$A$3="Maximize",MAX($C14:$AI14),MIN($C14:$AI14)),$C14:$AI14,0))*INDEX(AH3:$AJ13,MATCH(MIN($AK3:$AK13),$AK3:$AK13,0),1)/INDEX($C3:$AJ13,MATCH(MIN($AK3:$AK13),$AK3:$AK13,0),MATCH(IF('Data-solution'!$A$3="Maximize",MAX($C14:$AI14),MIN($C14:$AI14)),$C14:$AI14,0))),AH4)</f>
        <v>0</v>
      </c>
      <c r="AI19" s="1">
        <f>IF(OR($B18&lt;&gt;$B3,$B19&lt;&gt;$B4,$B20&lt;&gt;$B5,$B21&lt;&gt;$B6,$B22&lt;&gt;$B7,$B23&lt;&gt;$B8,$B24&lt;&gt;$B9,$B25&lt;&gt;$B10,$B26&lt;&gt;$B11,$B27&lt;&gt;$B12,$B28&lt;&gt;$B13),IF($B19&lt;&gt;$B4,AI4/INDEX($C3:$AJ13,2,MATCH(IF('Data-solution'!$A$3="Maximize",MAX($C14:$AI14),MIN($C14:$AI14)),$C14:$AI14,0)),AI4-INDEX($C3:$AJ13,2,MATCH(IF('Data-solution'!$A$3="Maximize",MAX($C14:$AI14),MIN($C14:$AI14)),$C14:$AI14,0))*INDEX(AI3:$AJ13,MATCH(MIN($AK3:$AK13),$AK3:$AK13,0),1)/INDEX($C3:$AJ13,MATCH(MIN($AK3:$AK13),$AK3:$AK13,0),MATCH(IF('Data-solution'!$A$3="Maximize",MAX($C14:$AI14),MIN($C14:$AI14)),$C14:$AI14,0))),AI4)</f>
        <v>0</v>
      </c>
      <c r="AJ19" s="1">
        <f>IF(OR($B18&lt;&gt;$B3,$B19&lt;&gt;$B4,$B20&lt;&gt;$B5,$B21&lt;&gt;$B6,$B22&lt;&gt;$B7,$B23&lt;&gt;$B8,$B24&lt;&gt;$B9,$B25&lt;&gt;$B10,$B26&lt;&gt;$B11,$B27&lt;&gt;$B12,$B28&lt;&gt;$B13),IF($B19&lt;&gt;$B4,AJ4/INDEX($C3:$AJ13,2,MATCH(IF('Data-solution'!$A$3="Maximize",MAX($C14:$AI14),MIN($C14:$AI14)),$C14:$AI14,0)),AJ4-INDEX($C3:$AJ13,2,MATCH(IF('Data-solution'!$A$3="Maximize",MAX($C14:$AI14),MIN($C14:$AI14)),$C14:$AI14,0))*INDEX(AJ3:$AJ13,MATCH(MIN($AK3:$AK13),$AK3:$AK13,0),1)/INDEX($C3:$AJ13,MATCH(MIN($AK3:$AK13),$AK3:$AK13,0),MATCH(IF('Data-solution'!$A$3="Maximize",MAX($C14:$AI14),MIN($C14:$AI14)),$C14:$AI14,0))),AJ4)</f>
        <v>333.33333333333337</v>
      </c>
      <c r="AK19" s="1">
        <f>IF(INDEX(C19:X19,1,MATCH(IF('Data-solution'!A$3="Maximize",MAX(C29:X29),MIN(C29:X29)),C29:X29,0))&gt;0,AJ19/INDEX(C19:X19,1,MATCH(IF('Data-solution'!A$3="Maximize",MAX(C29:X29),MIN(C29:X29)),C29:X29,0))," ")</f>
        <v>1000</v>
      </c>
    </row>
    <row r="20" spans="1:37" ht="18" customHeight="1" x14ac:dyDescent="0.2">
      <c r="A20" s="1">
        <f>INDEX(C16:AI16,1,MATCH(B20,C17:AI17,0))</f>
        <v>350</v>
      </c>
      <c r="B20" s="2" t="str">
        <f>IF(AND('Data-solution'!A$3="Maximize",COUNTIF(C14:X14,"&gt;"&amp;0)&gt;0,AK5=MIN(AK3:AK13),COUNTIF(B18:B19,INDEX(C2:X2,1,MATCH(MAX(C14:X14),C14:X14,0)))=0),INDEX(C2:X2,1,MATCH(MAX(C14:X14),C14:X14,0)),IF(AND('Data-solution'!A$3="Minimize",COUNTIF(C14:X14,"&lt;"&amp;0)&gt;0,AK5=MIN(AK3:AK13),COUNTIF(B18:B19,INDEX(C2:X2,1,MATCH(MIN(C14:X14),C14:X14,0)))=0),INDEX(C2:X2,1,MATCH(MIN(C14:X14),C14:X14,0)),B5))</f>
        <v>X3</v>
      </c>
      <c r="C20" s="1">
        <f>IF(OR($B18&lt;&gt;$B3,$B19&lt;&gt;$B4,$B20&lt;&gt;$B5,$B21&lt;&gt;$B6,$B22&lt;&gt;$B7,$B23&lt;&gt;$B8,$B24&lt;&gt;$B9,$B25&lt;&gt;$B10,$B26&lt;&gt;$B11,$B27&lt;&gt;$B12,$B28&lt;&gt;$B13),IF($B20&lt;&gt;$B5,C5/INDEX($C3:$AJ13,3,MATCH(IF('Data-solution'!$A$3="Maximize",MAX($C14:$AI14),MIN($C14:$AI14)),$C14:$AI14,0)),C5-INDEX($C3:$AJ13,3,MATCH(IF('Data-solution'!$A$3="Maximize",MAX($C14:$AI14),MIN($C14:$AI14)),$C14:$AI14,0))*INDEX(C3:$AJ13,MATCH(MIN($AK3:$AK13),$AK3:$AK13,0),1)/INDEX($C3:$AJ13,MATCH(MIN($AK3:$AK13),$AK3:$AK13,0),MATCH(IF('Data-solution'!$A$3="Maximize",MAX($C14:$AI14),MIN($C14:$AI14)),$C14:$AI14,0))),C5)</f>
        <v>0.33333333333333331</v>
      </c>
      <c r="D20" s="1">
        <f>IF(OR($B18&lt;&gt;$B3,$B19&lt;&gt;$B4,$B20&lt;&gt;$B5,$B21&lt;&gt;$B6,$B22&lt;&gt;$B7,$B23&lt;&gt;$B8,$B24&lt;&gt;$B9,$B25&lt;&gt;$B10,$B26&lt;&gt;$B11,$B27&lt;&gt;$B12,$B28&lt;&gt;$B13),IF($B20&lt;&gt;$B5,D5/INDEX($C3:$AJ13,3,MATCH(IF('Data-solution'!$A$3="Maximize",MAX($C14:$AI14),MIN($C14:$AI14)),$C14:$AI14,0)),D5-INDEX($C3:$AJ13,3,MATCH(IF('Data-solution'!$A$3="Maximize",MAX($C14:$AI14),MIN($C14:$AI14)),$C14:$AI14,0))*INDEX(D3:$AJ13,MATCH(MIN($AK3:$AK13),$AK3:$AK13,0),1)/INDEX($C3:$AJ13,MATCH(MIN($AK3:$AK13),$AK3:$AK13,0),MATCH(IF('Data-solution'!$A$3="Maximize",MAX($C14:$AI14),MIN($C14:$AI14)),$C14:$AI14,0))),D5)</f>
        <v>0.83333333333333337</v>
      </c>
      <c r="E20" s="1">
        <f>IF(OR($B18&lt;&gt;$B3,$B19&lt;&gt;$B4,$B20&lt;&gt;$B5,$B21&lt;&gt;$B6,$B22&lt;&gt;$B7,$B23&lt;&gt;$B8,$B24&lt;&gt;$B9,$B25&lt;&gt;$B10,$B26&lt;&gt;$B11,$B27&lt;&gt;$B12,$B28&lt;&gt;$B13),IF($B20&lt;&gt;$B5,E5/INDEX($C3:$AJ13,3,MATCH(IF('Data-solution'!$A$3="Maximize",MAX($C14:$AI14),MIN($C14:$AI14)),$C14:$AI14,0)),E5-INDEX($C3:$AJ13,3,MATCH(IF('Data-solution'!$A$3="Maximize",MAX($C14:$AI14),MIN($C14:$AI14)),$C14:$AI14,0))*INDEX(E3:$AJ13,MATCH(MIN($AK3:$AK13),$AK3:$AK13,0),1)/INDEX($C3:$AJ13,MATCH(MIN($AK3:$AK13),$AK3:$AK13,0),MATCH(IF('Data-solution'!$A$3="Maximize",MAX($C14:$AI14),MIN($C14:$AI14)),$C14:$AI14,0))),E5)</f>
        <v>1</v>
      </c>
      <c r="F20" s="1">
        <f>IF(OR($B18&lt;&gt;$B3,$B19&lt;&gt;$B4,$B20&lt;&gt;$B5,$B21&lt;&gt;$B6,$B22&lt;&gt;$B7,$B23&lt;&gt;$B8,$B24&lt;&gt;$B9,$B25&lt;&gt;$B10,$B26&lt;&gt;$B11,$B27&lt;&gt;$B12,$B28&lt;&gt;$B13),IF($B20&lt;&gt;$B5,F5/INDEX($C3:$AJ13,3,MATCH(IF('Data-solution'!$A$3="Maximize",MAX($C14:$AI14),MIN($C14:$AI14)),$C14:$AI14,0)),F5-INDEX($C3:$AJ13,3,MATCH(IF('Data-solution'!$A$3="Maximize",MAX($C14:$AI14),MIN($C14:$AI14)),$C14:$AI14,0))*INDEX(F3:$AJ13,MATCH(MIN($AK3:$AK13),$AK3:$AK13,0),1)/INDEX($C3:$AJ13,MATCH(MIN($AK3:$AK13),$AK3:$AK13,0),MATCH(IF('Data-solution'!$A$3="Maximize",MAX($C14:$AI14),MIN($C14:$AI14)),$C14:$AI14,0))),F5)</f>
        <v>0</v>
      </c>
      <c r="G20" s="1">
        <f>IF(OR($B18&lt;&gt;$B3,$B19&lt;&gt;$B4,$B20&lt;&gt;$B5,$B21&lt;&gt;$B6,$B22&lt;&gt;$B7,$B23&lt;&gt;$B8,$B24&lt;&gt;$B9,$B25&lt;&gt;$B10,$B26&lt;&gt;$B11,$B27&lt;&gt;$B12,$B28&lt;&gt;$B13),IF($B20&lt;&gt;$B5,G5/INDEX($C3:$AJ13,3,MATCH(IF('Data-solution'!$A$3="Maximize",MAX($C14:$AI14),MIN($C14:$AI14)),$C14:$AI14,0)),G5-INDEX($C3:$AJ13,3,MATCH(IF('Data-solution'!$A$3="Maximize",MAX($C14:$AI14),MIN($C14:$AI14)),$C14:$AI14,0))*INDEX(G3:$AJ13,MATCH(MIN($AK3:$AK13),$AK3:$AK13,0),1)/INDEX($C3:$AJ13,MATCH(MIN($AK3:$AK13),$AK3:$AK13,0),MATCH(IF('Data-solution'!$A$3="Maximize",MAX($C14:$AI14),MIN($C14:$AI14)),$C14:$AI14,0))),G5)</f>
        <v>0</v>
      </c>
      <c r="H20" s="1">
        <f>IF(OR($B18&lt;&gt;$B3,$B19&lt;&gt;$B4,$B20&lt;&gt;$B5,$B21&lt;&gt;$B6,$B22&lt;&gt;$B7,$B23&lt;&gt;$B8,$B24&lt;&gt;$B9,$B25&lt;&gt;$B10,$B26&lt;&gt;$B11,$B27&lt;&gt;$B12,$B28&lt;&gt;$B13),IF($B20&lt;&gt;$B5,H5/INDEX($C3:$AJ13,3,MATCH(IF('Data-solution'!$A$3="Maximize",MAX($C14:$AI14),MIN($C14:$AI14)),$C14:$AI14,0)),H5-INDEX($C3:$AJ13,3,MATCH(IF('Data-solution'!$A$3="Maximize",MAX($C14:$AI14),MIN($C14:$AI14)),$C14:$AI14,0))*INDEX(H3:$AJ13,MATCH(MIN($AK3:$AK13),$AK3:$AK13,0),1)/INDEX($C3:$AJ13,MATCH(MIN($AK3:$AK13),$AK3:$AK13,0),MATCH(IF('Data-solution'!$A$3="Maximize",MAX($C14:$AI14),MIN($C14:$AI14)),$C14:$AI14,0))),H5)</f>
        <v>0</v>
      </c>
      <c r="I20" s="1">
        <f>IF(OR($B18&lt;&gt;$B3,$B19&lt;&gt;$B4,$B20&lt;&gt;$B5,$B21&lt;&gt;$B6,$B22&lt;&gt;$B7,$B23&lt;&gt;$B8,$B24&lt;&gt;$B9,$B25&lt;&gt;$B10,$B26&lt;&gt;$B11,$B27&lt;&gt;$B12,$B28&lt;&gt;$B13),IF($B20&lt;&gt;$B5,I5/INDEX($C3:$AJ13,3,MATCH(IF('Data-solution'!$A$3="Maximize",MAX($C14:$AI14),MIN($C14:$AI14)),$C14:$AI14,0)),I5-INDEX($C3:$AJ13,3,MATCH(IF('Data-solution'!$A$3="Maximize",MAX($C14:$AI14),MIN($C14:$AI14)),$C14:$AI14,0))*INDEX(I3:$AJ13,MATCH(MIN($AK3:$AK13),$AK3:$AK13,0),1)/INDEX($C3:$AJ13,MATCH(MIN($AK3:$AK13),$AK3:$AK13,0),MATCH(IF('Data-solution'!$A$3="Maximize",MAX($C14:$AI14),MIN($C14:$AI14)),$C14:$AI14,0))),I5)</f>
        <v>0</v>
      </c>
      <c r="J20" s="1">
        <f>IF(OR($B18&lt;&gt;$B3,$B19&lt;&gt;$B4,$B20&lt;&gt;$B5,$B21&lt;&gt;$B6,$B22&lt;&gt;$B7,$B23&lt;&gt;$B8,$B24&lt;&gt;$B9,$B25&lt;&gt;$B10,$B26&lt;&gt;$B11,$B27&lt;&gt;$B12,$B28&lt;&gt;$B13),IF($B20&lt;&gt;$B5,J5/INDEX($C3:$AJ13,3,MATCH(IF('Data-solution'!$A$3="Maximize",MAX($C14:$AI14),MIN($C14:$AI14)),$C14:$AI14,0)),J5-INDEX($C3:$AJ13,3,MATCH(IF('Data-solution'!$A$3="Maximize",MAX($C14:$AI14),MIN($C14:$AI14)),$C14:$AI14,0))*INDEX(J3:$AJ13,MATCH(MIN($AK3:$AK13),$AK3:$AK13,0),1)/INDEX($C3:$AJ13,MATCH(MIN($AK3:$AK13),$AK3:$AK13,0),MATCH(IF('Data-solution'!$A$3="Maximize",MAX($C14:$AI14),MIN($C14:$AI14)),$C14:$AI14,0))),J5)</f>
        <v>0</v>
      </c>
      <c r="K20" s="1">
        <f>IF(OR($B18&lt;&gt;$B3,$B19&lt;&gt;$B4,$B20&lt;&gt;$B5,$B21&lt;&gt;$B6,$B22&lt;&gt;$B7,$B23&lt;&gt;$B8,$B24&lt;&gt;$B9,$B25&lt;&gt;$B10,$B26&lt;&gt;$B11,$B27&lt;&gt;$B12,$B28&lt;&gt;$B13),IF($B20&lt;&gt;$B5,K5/INDEX($C3:$AJ13,3,MATCH(IF('Data-solution'!$A$3="Maximize",MAX($C14:$AI14),MIN($C14:$AI14)),$C14:$AI14,0)),K5-INDEX($C3:$AJ13,3,MATCH(IF('Data-solution'!$A$3="Maximize",MAX($C14:$AI14),MIN($C14:$AI14)),$C14:$AI14,0))*INDEX(K3:$AJ13,MATCH(MIN($AK3:$AK13),$AK3:$AK13,0),1)/INDEX($C3:$AJ13,MATCH(MIN($AK3:$AK13),$AK3:$AK13,0),MATCH(IF('Data-solution'!$A$3="Maximize",MAX($C14:$AI14),MIN($C14:$AI14)),$C14:$AI14,0))),K5)</f>
        <v>0</v>
      </c>
      <c r="L20" s="1">
        <f>IF(OR($B18&lt;&gt;$B3,$B19&lt;&gt;$B4,$B20&lt;&gt;$B5,$B21&lt;&gt;$B6,$B22&lt;&gt;$B7,$B23&lt;&gt;$B8,$B24&lt;&gt;$B9,$B25&lt;&gt;$B10,$B26&lt;&gt;$B11,$B27&lt;&gt;$B12,$B28&lt;&gt;$B13),IF($B20&lt;&gt;$B5,L5/INDEX($C3:$AJ13,3,MATCH(IF('Data-solution'!$A$3="Maximize",MAX($C14:$AI14),MIN($C14:$AI14)),$C14:$AI14,0)),L5-INDEX($C3:$AJ13,3,MATCH(IF('Data-solution'!$A$3="Maximize",MAX($C14:$AI14),MIN($C14:$AI14)),$C14:$AI14,0))*INDEX(L3:$AJ13,MATCH(MIN($AK3:$AK13),$AK3:$AK13,0),1)/INDEX($C3:$AJ13,MATCH(MIN($AK3:$AK13),$AK3:$AK13,0),MATCH(IF('Data-solution'!$A$3="Maximize",MAX($C14:$AI14),MIN($C14:$AI14)),$C14:$AI14,0))),L5)</f>
        <v>0</v>
      </c>
      <c r="M20" s="1">
        <f>IF(OR($B18&lt;&gt;$B3,$B19&lt;&gt;$B4,$B20&lt;&gt;$B5,$B21&lt;&gt;$B6,$B22&lt;&gt;$B7,$B23&lt;&gt;$B8,$B24&lt;&gt;$B9,$B25&lt;&gt;$B10,$B26&lt;&gt;$B11,$B27&lt;&gt;$B12,$B28&lt;&gt;$B13),IF($B20&lt;&gt;$B5,M5/INDEX($C3:$AJ13,3,MATCH(IF('Data-solution'!$A$3="Maximize",MAX($C14:$AI14),MIN($C14:$AI14)),$C14:$AI14,0)),M5-INDEX($C3:$AJ13,3,MATCH(IF('Data-solution'!$A$3="Maximize",MAX($C14:$AI14),MIN($C14:$AI14)),$C14:$AI14,0))*INDEX(M3:$AJ13,MATCH(MIN($AK3:$AK13),$AK3:$AK13,0),1)/INDEX($C3:$AJ13,MATCH(MIN($AK3:$AK13),$AK3:$AK13,0),MATCH(IF('Data-solution'!$A$3="Maximize",MAX($C14:$AI14),MIN($C14:$AI14)),$C14:$AI14,0))),M5)</f>
        <v>0</v>
      </c>
      <c r="N20" s="1">
        <f>IF(OR($B18&lt;&gt;$B3,$B19&lt;&gt;$B4,$B20&lt;&gt;$B5,$B21&lt;&gt;$B6,$B22&lt;&gt;$B7,$B23&lt;&gt;$B8,$B24&lt;&gt;$B9,$B25&lt;&gt;$B10,$B26&lt;&gt;$B11,$B27&lt;&gt;$B12,$B28&lt;&gt;$B13),IF($B20&lt;&gt;$B5,N5/INDEX($C3:$AJ13,3,MATCH(IF('Data-solution'!$A$3="Maximize",MAX($C14:$AI14),MIN($C14:$AI14)),$C14:$AI14,0)),N5-INDEX($C3:$AJ13,3,MATCH(IF('Data-solution'!$A$3="Maximize",MAX($C14:$AI14),MIN($C14:$AI14)),$C14:$AI14,0))*INDEX(N3:$AJ13,MATCH(MIN($AK3:$AK13),$AK3:$AK13,0),1)/INDEX($C3:$AJ13,MATCH(MIN($AK3:$AK13),$AK3:$AK13,0),MATCH(IF('Data-solution'!$A$3="Maximize",MAX($C14:$AI14),MIN($C14:$AI14)),$C14:$AI14,0))),N5)</f>
        <v>0</v>
      </c>
      <c r="O20" s="1">
        <f>IF(OR($B18&lt;&gt;$B3,$B19&lt;&gt;$B4,$B20&lt;&gt;$B5,$B21&lt;&gt;$B6,$B22&lt;&gt;$B7,$B23&lt;&gt;$B8,$B24&lt;&gt;$B9,$B25&lt;&gt;$B10,$B26&lt;&gt;$B11,$B27&lt;&gt;$B12,$B28&lt;&gt;$B13),IF($B20&lt;&gt;$B5,O5/INDEX($C3:$AJ13,3,MATCH(IF('Data-solution'!$A$3="Maximize",MAX($C14:$AI14),MIN($C14:$AI14)),$C14:$AI14,0)),O5-INDEX($C3:$AJ13,3,MATCH(IF('Data-solution'!$A$3="Maximize",MAX($C14:$AI14),MIN($C14:$AI14)),$C14:$AI14,0))*INDEX(O3:$AJ13,MATCH(MIN($AK3:$AK13),$AK3:$AK13,0),1)/INDEX($C3:$AJ13,MATCH(MIN($AK3:$AK13),$AK3:$AK13,0),MATCH(IF('Data-solution'!$A$3="Maximize",MAX($C14:$AI14),MIN($C14:$AI14)),$C14:$AI14,0))),O5)</f>
        <v>0</v>
      </c>
      <c r="P20" s="1">
        <f>IF(OR($B18&lt;&gt;$B3,$B19&lt;&gt;$B4,$B20&lt;&gt;$B5,$B21&lt;&gt;$B6,$B22&lt;&gt;$B7,$B23&lt;&gt;$B8,$B24&lt;&gt;$B9,$B25&lt;&gt;$B10,$B26&lt;&gt;$B11,$B27&lt;&gt;$B12,$B28&lt;&gt;$B13),IF($B20&lt;&gt;$B5,P5/INDEX($C3:$AJ13,3,MATCH(IF('Data-solution'!$A$3="Maximize",MAX($C14:$AI14),MIN($C14:$AI14)),$C14:$AI14,0)),P5-INDEX($C3:$AJ13,3,MATCH(IF('Data-solution'!$A$3="Maximize",MAX($C14:$AI14),MIN($C14:$AI14)),$C14:$AI14,0))*INDEX(P3:$AJ13,MATCH(MIN($AK3:$AK13),$AK3:$AK13,0),1)/INDEX($C3:$AJ13,MATCH(MIN($AK3:$AK13),$AK3:$AK13,0),MATCH(IF('Data-solution'!$A$3="Maximize",MAX($C14:$AI14),MIN($C14:$AI14)),$C14:$AI14,0))),P5)</f>
        <v>0.16666666666666666</v>
      </c>
      <c r="Q20" s="1">
        <f>IF(OR($B18&lt;&gt;$B3,$B19&lt;&gt;$B4,$B20&lt;&gt;$B5,$B21&lt;&gt;$B6,$B22&lt;&gt;$B7,$B23&lt;&gt;$B8,$B24&lt;&gt;$B9,$B25&lt;&gt;$B10,$B26&lt;&gt;$B11,$B27&lt;&gt;$B12,$B28&lt;&gt;$B13),IF($B20&lt;&gt;$B5,Q5/INDEX($C3:$AJ13,3,MATCH(IF('Data-solution'!$A$3="Maximize",MAX($C14:$AI14),MIN($C14:$AI14)),$C14:$AI14,0)),Q5-INDEX($C3:$AJ13,3,MATCH(IF('Data-solution'!$A$3="Maximize",MAX($C14:$AI14),MIN($C14:$AI14)),$C14:$AI14,0))*INDEX(Q3:$AJ13,MATCH(MIN($AK3:$AK13),$AK3:$AK13,0),1)/INDEX($C3:$AJ13,MATCH(MIN($AK3:$AK13),$AK3:$AK13,0),MATCH(IF('Data-solution'!$A$3="Maximize",MAX($C14:$AI14),MIN($C14:$AI14)),$C14:$AI14,0))),Q5)</f>
        <v>0</v>
      </c>
      <c r="R20" s="1">
        <f>IF(OR($B18&lt;&gt;$B3,$B19&lt;&gt;$B4,$B20&lt;&gt;$B5,$B21&lt;&gt;$B6,$B22&lt;&gt;$B7,$B23&lt;&gt;$B8,$B24&lt;&gt;$B9,$B25&lt;&gt;$B10,$B26&lt;&gt;$B11,$B27&lt;&gt;$B12,$B28&lt;&gt;$B13),IF($B20&lt;&gt;$B5,R5/INDEX($C3:$AJ13,3,MATCH(IF('Data-solution'!$A$3="Maximize",MAX($C14:$AI14),MIN($C14:$AI14)),$C14:$AI14,0)),R5-INDEX($C3:$AJ13,3,MATCH(IF('Data-solution'!$A$3="Maximize",MAX($C14:$AI14),MIN($C14:$AI14)),$C14:$AI14,0))*INDEX(R3:$AJ13,MATCH(MIN($AK3:$AK13),$AK3:$AK13,0),1)/INDEX($C3:$AJ13,MATCH(MIN($AK3:$AK13),$AK3:$AK13,0),MATCH(IF('Data-solution'!$A$3="Maximize",MAX($C14:$AI14),MIN($C14:$AI14)),$C14:$AI14,0))),R5)</f>
        <v>0</v>
      </c>
      <c r="S20" s="1">
        <f>IF(OR($B18&lt;&gt;$B3,$B19&lt;&gt;$B4,$B20&lt;&gt;$B5,$B21&lt;&gt;$B6,$B22&lt;&gt;$B7,$B23&lt;&gt;$B8,$B24&lt;&gt;$B9,$B25&lt;&gt;$B10,$B26&lt;&gt;$B11,$B27&lt;&gt;$B12,$B28&lt;&gt;$B13),IF($B20&lt;&gt;$B5,S5/INDEX($C3:$AJ13,3,MATCH(IF('Data-solution'!$A$3="Maximize",MAX($C14:$AI14),MIN($C14:$AI14)),$C14:$AI14,0)),S5-INDEX($C3:$AJ13,3,MATCH(IF('Data-solution'!$A$3="Maximize",MAX($C14:$AI14),MIN($C14:$AI14)),$C14:$AI14,0))*INDEX(S3:$AJ13,MATCH(MIN($AK3:$AK13),$AK3:$AK13,0),1)/INDEX($C3:$AJ13,MATCH(MIN($AK3:$AK13),$AK3:$AK13,0),MATCH(IF('Data-solution'!$A$3="Maximize",MAX($C14:$AI14),MIN($C14:$AI14)),$C14:$AI14,0))),S5)</f>
        <v>0</v>
      </c>
      <c r="T20" s="1">
        <f>IF(OR($B18&lt;&gt;$B3,$B19&lt;&gt;$B4,$B20&lt;&gt;$B5,$B21&lt;&gt;$B6,$B22&lt;&gt;$B7,$B23&lt;&gt;$B8,$B24&lt;&gt;$B9,$B25&lt;&gt;$B10,$B26&lt;&gt;$B11,$B27&lt;&gt;$B12,$B28&lt;&gt;$B13),IF($B20&lt;&gt;$B5,T5/INDEX($C3:$AJ13,3,MATCH(IF('Data-solution'!$A$3="Maximize",MAX($C14:$AI14),MIN($C14:$AI14)),$C14:$AI14,0)),T5-INDEX($C3:$AJ13,3,MATCH(IF('Data-solution'!$A$3="Maximize",MAX($C14:$AI14),MIN($C14:$AI14)),$C14:$AI14,0))*INDEX(T3:$AJ13,MATCH(MIN($AK3:$AK13),$AK3:$AK13,0),1)/INDEX($C3:$AJ13,MATCH(MIN($AK3:$AK13),$AK3:$AK13,0),MATCH(IF('Data-solution'!$A$3="Maximize",MAX($C14:$AI14),MIN($C14:$AI14)),$C14:$AI14,0))),T5)</f>
        <v>0</v>
      </c>
      <c r="U20" s="1">
        <f>IF(OR($B18&lt;&gt;$B3,$B19&lt;&gt;$B4,$B20&lt;&gt;$B5,$B21&lt;&gt;$B6,$B22&lt;&gt;$B7,$B23&lt;&gt;$B8,$B24&lt;&gt;$B9,$B25&lt;&gt;$B10,$B26&lt;&gt;$B11,$B27&lt;&gt;$B12,$B28&lt;&gt;$B13),IF($B20&lt;&gt;$B5,U5/INDEX($C3:$AJ13,3,MATCH(IF('Data-solution'!$A$3="Maximize",MAX($C14:$AI14),MIN($C14:$AI14)),$C14:$AI14,0)),U5-INDEX($C3:$AJ13,3,MATCH(IF('Data-solution'!$A$3="Maximize",MAX($C14:$AI14),MIN($C14:$AI14)),$C14:$AI14,0))*INDEX(U3:$AJ13,MATCH(MIN($AK3:$AK13),$AK3:$AK13,0),1)/INDEX($C3:$AJ13,MATCH(MIN($AK3:$AK13),$AK3:$AK13,0),MATCH(IF('Data-solution'!$A$3="Maximize",MAX($C14:$AI14),MIN($C14:$AI14)),$C14:$AI14,0))),U5)</f>
        <v>0</v>
      </c>
      <c r="V20" s="1">
        <f>IF(OR($B18&lt;&gt;$B3,$B19&lt;&gt;$B4,$B20&lt;&gt;$B5,$B21&lt;&gt;$B6,$B22&lt;&gt;$B7,$B23&lt;&gt;$B8,$B24&lt;&gt;$B9,$B25&lt;&gt;$B10,$B26&lt;&gt;$B11,$B27&lt;&gt;$B12,$B28&lt;&gt;$B13),IF($B20&lt;&gt;$B5,V5/INDEX($C3:$AJ13,3,MATCH(IF('Data-solution'!$A$3="Maximize",MAX($C14:$AI14),MIN($C14:$AI14)),$C14:$AI14,0)),V5-INDEX($C3:$AJ13,3,MATCH(IF('Data-solution'!$A$3="Maximize",MAX($C14:$AI14),MIN($C14:$AI14)),$C14:$AI14,0))*INDEX(V3:$AJ13,MATCH(MIN($AK3:$AK13),$AK3:$AK13,0),1)/INDEX($C3:$AJ13,MATCH(MIN($AK3:$AK13),$AK3:$AK13,0),MATCH(IF('Data-solution'!$A$3="Maximize",MAX($C14:$AI14),MIN($C14:$AI14)),$C14:$AI14,0))),V5)</f>
        <v>0</v>
      </c>
      <c r="W20" s="1">
        <f>IF(OR($B18&lt;&gt;$B3,$B19&lt;&gt;$B4,$B20&lt;&gt;$B5,$B21&lt;&gt;$B6,$B22&lt;&gt;$B7,$B23&lt;&gt;$B8,$B24&lt;&gt;$B9,$B25&lt;&gt;$B10,$B26&lt;&gt;$B11,$B27&lt;&gt;$B12,$B28&lt;&gt;$B13),IF($B20&lt;&gt;$B5,W5/INDEX($C3:$AJ13,3,MATCH(IF('Data-solution'!$A$3="Maximize",MAX($C14:$AI14),MIN($C14:$AI14)),$C14:$AI14,0)),W5-INDEX($C3:$AJ13,3,MATCH(IF('Data-solution'!$A$3="Maximize",MAX($C14:$AI14),MIN($C14:$AI14)),$C14:$AI14,0))*INDEX(W3:$AJ13,MATCH(MIN($AK3:$AK13),$AK3:$AK13,0),1)/INDEX($C3:$AJ13,MATCH(MIN($AK3:$AK13),$AK3:$AK13,0),MATCH(IF('Data-solution'!$A$3="Maximize",MAX($C14:$AI14),MIN($C14:$AI14)),$C14:$AI14,0))),W5)</f>
        <v>0</v>
      </c>
      <c r="X20" s="1">
        <f>IF(OR($B18&lt;&gt;$B3,$B19&lt;&gt;$B4,$B20&lt;&gt;$B5,$B21&lt;&gt;$B6,$B22&lt;&gt;$B7,$B23&lt;&gt;$B8,$B24&lt;&gt;$B9,$B25&lt;&gt;$B10,$B26&lt;&gt;$B11,$B27&lt;&gt;$B12,$B28&lt;&gt;$B13),IF($B20&lt;&gt;$B5,X5/INDEX($C3:$AJ13,3,MATCH(IF('Data-solution'!$A$3="Maximize",MAX($C14:$AI14),MIN($C14:$AI14)),$C14:$AI14,0)),X5-INDEX($C3:$AJ13,3,MATCH(IF('Data-solution'!$A$3="Maximize",MAX($C14:$AI14),MIN($C14:$AI14)),$C14:$AI14,0))*INDEX(X3:$AJ13,MATCH(MIN($AK3:$AK13),$AK3:$AK13,0),1)/INDEX($C3:$AJ13,MATCH(MIN($AK3:$AK13),$AK3:$AK13,0),MATCH(IF('Data-solution'!$A$3="Maximize",MAX($C14:$AI14),MIN($C14:$AI14)),$C14:$AI14,0))),X5)</f>
        <v>0</v>
      </c>
      <c r="Y20" s="1">
        <f>IF(OR($B18&lt;&gt;$B3,$B19&lt;&gt;$B4,$B20&lt;&gt;$B5,$B21&lt;&gt;$B6,$B22&lt;&gt;$B7,$B23&lt;&gt;$B8,$B24&lt;&gt;$B9,$B25&lt;&gt;$B10,$B26&lt;&gt;$B11,$B27&lt;&gt;$B12,$B28&lt;&gt;$B13),IF($B20&lt;&gt;$B5,Y5/INDEX($C3:$AJ13,3,MATCH(IF('Data-solution'!$A$3="Maximize",MAX($C14:$AI14),MIN($C14:$AI14)),$C14:$AI14,0)),Y5-INDEX($C3:$AJ13,3,MATCH(IF('Data-solution'!$A$3="Maximize",MAX($C14:$AI14),MIN($C14:$AI14)),$C14:$AI14,0))*INDEX(Y3:$AJ13,MATCH(MIN($AK3:$AK13),$AK3:$AK13,0),1)/INDEX($C3:$AJ13,MATCH(MIN($AK3:$AK13),$AK3:$AK13,0),MATCH(IF('Data-solution'!$A$3="Maximize",MAX($C14:$AI14),MIN($C14:$AI14)),$C14:$AI14,0))),Y5)</f>
        <v>0</v>
      </c>
      <c r="Z20" s="1">
        <f>IF(OR($B18&lt;&gt;$B3,$B19&lt;&gt;$B4,$B20&lt;&gt;$B5,$B21&lt;&gt;$B6,$B22&lt;&gt;$B7,$B23&lt;&gt;$B8,$B24&lt;&gt;$B9,$B25&lt;&gt;$B10,$B26&lt;&gt;$B11,$B27&lt;&gt;$B12,$B28&lt;&gt;$B13),IF($B20&lt;&gt;$B5,Z5/INDEX($C3:$AJ13,3,MATCH(IF('Data-solution'!$A$3="Maximize",MAX($C14:$AI14),MIN($C14:$AI14)),$C14:$AI14,0)),Z5-INDEX($C3:$AJ13,3,MATCH(IF('Data-solution'!$A$3="Maximize",MAX($C14:$AI14),MIN($C14:$AI14)),$C14:$AI14,0))*INDEX(Z3:$AJ13,MATCH(MIN($AK3:$AK13),$AK3:$AK13,0),1)/INDEX($C3:$AJ13,MATCH(MIN($AK3:$AK13),$AK3:$AK13,0),MATCH(IF('Data-solution'!$A$3="Maximize",MAX($C14:$AI14),MIN($C14:$AI14)),$C14:$AI14,0))),Z5)</f>
        <v>0</v>
      </c>
      <c r="AA20" s="1">
        <f>IF(OR($B18&lt;&gt;$B3,$B19&lt;&gt;$B4,$B20&lt;&gt;$B5,$B21&lt;&gt;$B6,$B22&lt;&gt;$B7,$B23&lt;&gt;$B8,$B24&lt;&gt;$B9,$B25&lt;&gt;$B10,$B26&lt;&gt;$B11,$B27&lt;&gt;$B12,$B28&lt;&gt;$B13),IF($B20&lt;&gt;$B5,AA5/INDEX($C3:$AJ13,3,MATCH(IF('Data-solution'!$A$3="Maximize",MAX($C14:$AI14),MIN($C14:$AI14)),$C14:$AI14,0)),AA5-INDEX($C3:$AJ13,3,MATCH(IF('Data-solution'!$A$3="Maximize",MAX($C14:$AI14),MIN($C14:$AI14)),$C14:$AI14,0))*INDEX(AA3:$AJ13,MATCH(MIN($AK3:$AK13),$AK3:$AK13,0),1)/INDEX($C3:$AJ13,MATCH(MIN($AK3:$AK13),$AK3:$AK13,0),MATCH(IF('Data-solution'!$A$3="Maximize",MAX($C14:$AI14),MIN($C14:$AI14)),$C14:$AI14,0))),AA5)</f>
        <v>0.16666666666666666</v>
      </c>
      <c r="AB20" s="1">
        <f>IF(OR($B18&lt;&gt;$B3,$B19&lt;&gt;$B4,$B20&lt;&gt;$B5,$B21&lt;&gt;$B6,$B22&lt;&gt;$B7,$B23&lt;&gt;$B8,$B24&lt;&gt;$B9,$B25&lt;&gt;$B10,$B26&lt;&gt;$B11,$B27&lt;&gt;$B12,$B28&lt;&gt;$B13),IF($B20&lt;&gt;$B5,AB5/INDEX($C3:$AJ13,3,MATCH(IF('Data-solution'!$A$3="Maximize",MAX($C14:$AI14),MIN($C14:$AI14)),$C14:$AI14,0)),AB5-INDEX($C3:$AJ13,3,MATCH(IF('Data-solution'!$A$3="Maximize",MAX($C14:$AI14),MIN($C14:$AI14)),$C14:$AI14,0))*INDEX(AB3:$AJ13,MATCH(MIN($AK3:$AK13),$AK3:$AK13,0),1)/INDEX($C3:$AJ13,MATCH(MIN($AK3:$AK13),$AK3:$AK13,0),MATCH(IF('Data-solution'!$A$3="Maximize",MAX($C14:$AI14),MIN($C14:$AI14)),$C14:$AI14,0))),AB5)</f>
        <v>0</v>
      </c>
      <c r="AC20" s="1">
        <f>IF(OR($B18&lt;&gt;$B3,$B19&lt;&gt;$B4,$B20&lt;&gt;$B5,$B21&lt;&gt;$B6,$B22&lt;&gt;$B7,$B23&lt;&gt;$B8,$B24&lt;&gt;$B9,$B25&lt;&gt;$B10,$B26&lt;&gt;$B11,$B27&lt;&gt;$B12,$B28&lt;&gt;$B13),IF($B20&lt;&gt;$B5,AC5/INDEX($C3:$AJ13,3,MATCH(IF('Data-solution'!$A$3="Maximize",MAX($C14:$AI14),MIN($C14:$AI14)),$C14:$AI14,0)),AC5-INDEX($C3:$AJ13,3,MATCH(IF('Data-solution'!$A$3="Maximize",MAX($C14:$AI14),MIN($C14:$AI14)),$C14:$AI14,0))*INDEX(AC3:$AJ13,MATCH(MIN($AK3:$AK13),$AK3:$AK13,0),1)/INDEX($C3:$AJ13,MATCH(MIN($AK3:$AK13),$AK3:$AK13,0),MATCH(IF('Data-solution'!$A$3="Maximize",MAX($C14:$AI14),MIN($C14:$AI14)),$C14:$AI14,0))),AC5)</f>
        <v>0</v>
      </c>
      <c r="AD20" s="1">
        <f>IF(OR($B18&lt;&gt;$B3,$B19&lt;&gt;$B4,$B20&lt;&gt;$B5,$B21&lt;&gt;$B6,$B22&lt;&gt;$B7,$B23&lt;&gt;$B8,$B24&lt;&gt;$B9,$B25&lt;&gt;$B10,$B26&lt;&gt;$B11,$B27&lt;&gt;$B12,$B28&lt;&gt;$B13),IF($B20&lt;&gt;$B5,AD5/INDEX($C3:$AJ13,3,MATCH(IF('Data-solution'!$A$3="Maximize",MAX($C14:$AI14),MIN($C14:$AI14)),$C14:$AI14,0)),AD5-INDEX($C3:$AJ13,3,MATCH(IF('Data-solution'!$A$3="Maximize",MAX($C14:$AI14),MIN($C14:$AI14)),$C14:$AI14,0))*INDEX(AD3:$AJ13,MATCH(MIN($AK3:$AK13),$AK3:$AK13,0),1)/INDEX($C3:$AJ13,MATCH(MIN($AK3:$AK13),$AK3:$AK13,0),MATCH(IF('Data-solution'!$A$3="Maximize",MAX($C14:$AI14),MIN($C14:$AI14)),$C14:$AI14,0))),AD5)</f>
        <v>0</v>
      </c>
      <c r="AE20" s="1">
        <f>IF(OR($B18&lt;&gt;$B3,$B19&lt;&gt;$B4,$B20&lt;&gt;$B5,$B21&lt;&gt;$B6,$B22&lt;&gt;$B7,$B23&lt;&gt;$B8,$B24&lt;&gt;$B9,$B25&lt;&gt;$B10,$B26&lt;&gt;$B11,$B27&lt;&gt;$B12,$B28&lt;&gt;$B13),IF($B20&lt;&gt;$B5,AE5/INDEX($C3:$AJ13,3,MATCH(IF('Data-solution'!$A$3="Maximize",MAX($C14:$AI14),MIN($C14:$AI14)),$C14:$AI14,0)),AE5-INDEX($C3:$AJ13,3,MATCH(IF('Data-solution'!$A$3="Maximize",MAX($C14:$AI14),MIN($C14:$AI14)),$C14:$AI14,0))*INDEX(AE3:$AJ13,MATCH(MIN($AK3:$AK13),$AK3:$AK13,0),1)/INDEX($C3:$AJ13,MATCH(MIN($AK3:$AK13),$AK3:$AK13,0),MATCH(IF('Data-solution'!$A$3="Maximize",MAX($C14:$AI14),MIN($C14:$AI14)),$C14:$AI14,0))),AE5)</f>
        <v>0</v>
      </c>
      <c r="AF20" s="1">
        <f>IF(OR($B18&lt;&gt;$B3,$B19&lt;&gt;$B4,$B20&lt;&gt;$B5,$B21&lt;&gt;$B6,$B22&lt;&gt;$B7,$B23&lt;&gt;$B8,$B24&lt;&gt;$B9,$B25&lt;&gt;$B10,$B26&lt;&gt;$B11,$B27&lt;&gt;$B12,$B28&lt;&gt;$B13),IF($B20&lt;&gt;$B5,AF5/INDEX($C3:$AJ13,3,MATCH(IF('Data-solution'!$A$3="Maximize",MAX($C14:$AI14),MIN($C14:$AI14)),$C14:$AI14,0)),AF5-INDEX($C3:$AJ13,3,MATCH(IF('Data-solution'!$A$3="Maximize",MAX($C14:$AI14),MIN($C14:$AI14)),$C14:$AI14,0))*INDEX(AF3:$AJ13,MATCH(MIN($AK3:$AK13),$AK3:$AK13,0),1)/INDEX($C3:$AJ13,MATCH(MIN($AK3:$AK13),$AK3:$AK13,0),MATCH(IF('Data-solution'!$A$3="Maximize",MAX($C14:$AI14),MIN($C14:$AI14)),$C14:$AI14,0))),AF5)</f>
        <v>0</v>
      </c>
      <c r="AG20" s="1">
        <f>IF(OR($B18&lt;&gt;$B3,$B19&lt;&gt;$B4,$B20&lt;&gt;$B5,$B21&lt;&gt;$B6,$B22&lt;&gt;$B7,$B23&lt;&gt;$B8,$B24&lt;&gt;$B9,$B25&lt;&gt;$B10,$B26&lt;&gt;$B11,$B27&lt;&gt;$B12,$B28&lt;&gt;$B13),IF($B20&lt;&gt;$B5,AG5/INDEX($C3:$AJ13,3,MATCH(IF('Data-solution'!$A$3="Maximize",MAX($C14:$AI14),MIN($C14:$AI14)),$C14:$AI14,0)),AG5-INDEX($C3:$AJ13,3,MATCH(IF('Data-solution'!$A$3="Maximize",MAX($C14:$AI14),MIN($C14:$AI14)),$C14:$AI14,0))*INDEX(AG3:$AJ13,MATCH(MIN($AK3:$AK13),$AK3:$AK13,0),1)/INDEX($C3:$AJ13,MATCH(MIN($AK3:$AK13),$AK3:$AK13,0),MATCH(IF('Data-solution'!$A$3="Maximize",MAX($C14:$AI14),MIN($C14:$AI14)),$C14:$AI14,0))),AG5)</f>
        <v>0</v>
      </c>
      <c r="AH20" s="1">
        <f>IF(OR($B18&lt;&gt;$B3,$B19&lt;&gt;$B4,$B20&lt;&gt;$B5,$B21&lt;&gt;$B6,$B22&lt;&gt;$B7,$B23&lt;&gt;$B8,$B24&lt;&gt;$B9,$B25&lt;&gt;$B10,$B26&lt;&gt;$B11,$B27&lt;&gt;$B12,$B28&lt;&gt;$B13),IF($B20&lt;&gt;$B5,AH5/INDEX($C3:$AJ13,3,MATCH(IF('Data-solution'!$A$3="Maximize",MAX($C14:$AI14),MIN($C14:$AI14)),$C14:$AI14,0)),AH5-INDEX($C3:$AJ13,3,MATCH(IF('Data-solution'!$A$3="Maximize",MAX($C14:$AI14),MIN($C14:$AI14)),$C14:$AI14,0))*INDEX(AH3:$AJ13,MATCH(MIN($AK3:$AK13),$AK3:$AK13,0),1)/INDEX($C3:$AJ13,MATCH(MIN($AK3:$AK13),$AK3:$AK13,0),MATCH(IF('Data-solution'!$A$3="Maximize",MAX($C14:$AI14),MIN($C14:$AI14)),$C14:$AI14,0))),AH5)</f>
        <v>0</v>
      </c>
      <c r="AI20" s="1">
        <f>IF(OR($B18&lt;&gt;$B3,$B19&lt;&gt;$B4,$B20&lt;&gt;$B5,$B21&lt;&gt;$B6,$B22&lt;&gt;$B7,$B23&lt;&gt;$B8,$B24&lt;&gt;$B9,$B25&lt;&gt;$B10,$B26&lt;&gt;$B11,$B27&lt;&gt;$B12,$B28&lt;&gt;$B13),IF($B20&lt;&gt;$B5,AI5/INDEX($C3:$AJ13,3,MATCH(IF('Data-solution'!$A$3="Maximize",MAX($C14:$AI14),MIN($C14:$AI14)),$C14:$AI14,0)),AI5-INDEX($C3:$AJ13,3,MATCH(IF('Data-solution'!$A$3="Maximize",MAX($C14:$AI14),MIN($C14:$AI14)),$C14:$AI14,0))*INDEX(AI3:$AJ13,MATCH(MIN($AK3:$AK13),$AK3:$AK13,0),1)/INDEX($C3:$AJ13,MATCH(MIN($AK3:$AK13),$AK3:$AK13,0),MATCH(IF('Data-solution'!$A$3="Maximize",MAX($C14:$AI14),MIN($C14:$AI14)),$C14:$AI14,0))),AI5)</f>
        <v>0</v>
      </c>
      <c r="AJ20" s="1">
        <f>IF(OR($B18&lt;&gt;$B3,$B19&lt;&gt;$B4,$B20&lt;&gt;$B5,$B21&lt;&gt;$B6,$B22&lt;&gt;$B7,$B23&lt;&gt;$B8,$B24&lt;&gt;$B9,$B25&lt;&gt;$B10,$B26&lt;&gt;$B11,$B27&lt;&gt;$B12,$B28&lt;&gt;$B13),IF($B20&lt;&gt;$B5,AJ5/INDEX($C3:$AJ13,3,MATCH(IF('Data-solution'!$A$3="Maximize",MAX($C14:$AI14),MIN($C14:$AI14)),$C14:$AI14,0)),AJ5-INDEX($C3:$AJ13,3,MATCH(IF('Data-solution'!$A$3="Maximize",MAX($C14:$AI14),MIN($C14:$AI14)),$C14:$AI14,0))*INDEX(AJ3:$AJ13,MATCH(MIN($AK3:$AK13),$AK3:$AK13,0),1)/INDEX($C3:$AJ13,MATCH(MIN($AK3:$AK13),$AK3:$AK13,0),MATCH(IF('Data-solution'!$A$3="Maximize",MAX($C14:$AI14),MIN($C14:$AI14)),$C14:$AI14,0))),AJ5)</f>
        <v>333.33333333333331</v>
      </c>
      <c r="AK20" s="1">
        <f>IF(INDEX(C20:X20,1,MATCH(IF('Data-solution'!A$3="Maximize",MAX(C29:X29),MIN(C29:X29)),C29:X29,0))&gt;0,AJ20/INDEX(C20:X20,1,MATCH(IF('Data-solution'!A$3="Maximize",MAX(C29:X29),MIN(C29:X29)),C29:X29,0))," ")</f>
        <v>1000</v>
      </c>
    </row>
    <row r="21" spans="1:37" ht="18" customHeight="1" x14ac:dyDescent="0.2">
      <c r="A21" s="1">
        <f>INDEX(C16:AI16,1,MATCH(B21,C17:AI17,0))</f>
        <v>0</v>
      </c>
      <c r="B21" s="2" t="str">
        <f>IF(AND('Data-solution'!A$3="Maximize",COUNTIF(C14:X14,"&gt;"&amp;0)&gt;0,AK6=MIN(AK3:AK13),COUNTIF(B18:B20,INDEX(C2:X2,1,MATCH(MAX(C14:X14),C14:X14,0)))=0),INDEX(C2:X2,1,MATCH(MAX(C14:X14),C14:X14,0)),IF(AND('Data-solution'!A$3="Minimize",COUNTIF(C14:X14,"&lt;"&amp;0)&gt;0,AK6=MIN(AK3:AK13),COUNTIF(B18:B20,INDEX(C2:X2,1,MATCH(MIN(C14:X14),C14:X14,0)))=0),INDEX(C2:X2,1,MATCH(MIN(C14:X14),C14:X14,0)),B6))</f>
        <v>S4</v>
      </c>
      <c r="C21" s="1">
        <f>IF(OR($B18&lt;&gt;$B3,$B19&lt;&gt;$B4,$B20&lt;&gt;$B5,$B21&lt;&gt;$B6,$B22&lt;&gt;$B7,$B23&lt;&gt;$B8,$B24&lt;&gt;$B9,$B25&lt;&gt;$B10,$B26&lt;&gt;$B11,$B27&lt;&gt;$B12,$B28&lt;&gt;$B13),IF($B21&lt;&gt;$B6,C6/INDEX($C3:$AJ13,4,MATCH(IF('Data-solution'!$A$3="Maximize",MAX($C14:$AI14),MIN($C14:$AI14)),$C14:$AI14,0)),C6-INDEX($C3:$AJ13,4,MATCH(IF('Data-solution'!$A$3="Maximize",MAX($C14:$AI14),MIN($C14:$AI14)),$C14:$AI14,0))*INDEX(C3:$AJ13,MATCH(MIN($AK3:$AK13),$AK3:$AK13,0),1)/INDEX($C3:$AJ13,MATCH(MIN($AK3:$AK13),$AK3:$AK13,0),MATCH(IF('Data-solution'!$A$3="Maximize",MAX($C14:$AI14),MIN($C14:$AI14)),$C14:$AI14,0))),C6)</f>
        <v>0.66666666666666674</v>
      </c>
      <c r="D21" s="1">
        <f>IF(OR($B18&lt;&gt;$B3,$B19&lt;&gt;$B4,$B20&lt;&gt;$B5,$B21&lt;&gt;$B6,$B22&lt;&gt;$B7,$B23&lt;&gt;$B8,$B24&lt;&gt;$B9,$B25&lt;&gt;$B10,$B26&lt;&gt;$B11,$B27&lt;&gt;$B12,$B28&lt;&gt;$B13),IF($B21&lt;&gt;$B6,D6/INDEX($C3:$AJ13,4,MATCH(IF('Data-solution'!$A$3="Maximize",MAX($C14:$AI14),MIN($C14:$AI14)),$C14:$AI14,0)),D6-INDEX($C3:$AJ13,4,MATCH(IF('Data-solution'!$A$3="Maximize",MAX($C14:$AI14),MIN($C14:$AI14)),$C14:$AI14,0))*INDEX(D3:$AJ13,MATCH(MIN($AK3:$AK13),$AK3:$AK13,0),1)/INDEX($C3:$AJ13,MATCH(MIN($AK3:$AK13),$AK3:$AK13,0),MATCH(IF('Data-solution'!$A$3="Maximize",MAX($C14:$AI14),MIN($C14:$AI14)),$C14:$AI14,0))),D6)</f>
        <v>-0.83333333333333337</v>
      </c>
      <c r="E21" s="1">
        <f>IF(OR($B18&lt;&gt;$B3,$B19&lt;&gt;$B4,$B20&lt;&gt;$B5,$B21&lt;&gt;$B6,$B22&lt;&gt;$B7,$B23&lt;&gt;$B8,$B24&lt;&gt;$B9,$B25&lt;&gt;$B10,$B26&lt;&gt;$B11,$B27&lt;&gt;$B12,$B28&lt;&gt;$B13),IF($B21&lt;&gt;$B6,E6/INDEX($C3:$AJ13,4,MATCH(IF('Data-solution'!$A$3="Maximize",MAX($C14:$AI14),MIN($C14:$AI14)),$C14:$AI14,0)),E6-INDEX($C3:$AJ13,4,MATCH(IF('Data-solution'!$A$3="Maximize",MAX($C14:$AI14),MIN($C14:$AI14)),$C14:$AI14,0))*INDEX(E3:$AJ13,MATCH(MIN($AK3:$AK13),$AK3:$AK13,0),1)/INDEX($C3:$AJ13,MATCH(MIN($AK3:$AK13),$AK3:$AK13,0),MATCH(IF('Data-solution'!$A$3="Maximize",MAX($C14:$AI14),MIN($C14:$AI14)),$C14:$AI14,0))),E6)</f>
        <v>0</v>
      </c>
      <c r="F21" s="1">
        <f>IF(OR($B18&lt;&gt;$B3,$B19&lt;&gt;$B4,$B20&lt;&gt;$B5,$B21&lt;&gt;$B6,$B22&lt;&gt;$B7,$B23&lt;&gt;$B8,$B24&lt;&gt;$B9,$B25&lt;&gt;$B10,$B26&lt;&gt;$B11,$B27&lt;&gt;$B12,$B28&lt;&gt;$B13),IF($B21&lt;&gt;$B6,F6/INDEX($C3:$AJ13,4,MATCH(IF('Data-solution'!$A$3="Maximize",MAX($C14:$AI14),MIN($C14:$AI14)),$C14:$AI14,0)),F6-INDEX($C3:$AJ13,4,MATCH(IF('Data-solution'!$A$3="Maximize",MAX($C14:$AI14),MIN($C14:$AI14)),$C14:$AI14,0))*INDEX(F3:$AJ13,MATCH(MIN($AK3:$AK13),$AK3:$AK13,0),1)/INDEX($C3:$AJ13,MATCH(MIN($AK3:$AK13),$AK3:$AK13,0),MATCH(IF('Data-solution'!$A$3="Maximize",MAX($C14:$AI14),MIN($C14:$AI14)),$C14:$AI14,0))),F6)</f>
        <v>0</v>
      </c>
      <c r="G21" s="1">
        <f>IF(OR($B18&lt;&gt;$B3,$B19&lt;&gt;$B4,$B20&lt;&gt;$B5,$B21&lt;&gt;$B6,$B22&lt;&gt;$B7,$B23&lt;&gt;$B8,$B24&lt;&gt;$B9,$B25&lt;&gt;$B10,$B26&lt;&gt;$B11,$B27&lt;&gt;$B12,$B28&lt;&gt;$B13),IF($B21&lt;&gt;$B6,G6/INDEX($C3:$AJ13,4,MATCH(IF('Data-solution'!$A$3="Maximize",MAX($C14:$AI14),MIN($C14:$AI14)),$C14:$AI14,0)),G6-INDEX($C3:$AJ13,4,MATCH(IF('Data-solution'!$A$3="Maximize",MAX($C14:$AI14),MIN($C14:$AI14)),$C14:$AI14,0))*INDEX(G3:$AJ13,MATCH(MIN($AK3:$AK13),$AK3:$AK13,0),1)/INDEX($C3:$AJ13,MATCH(MIN($AK3:$AK13),$AK3:$AK13,0),MATCH(IF('Data-solution'!$A$3="Maximize",MAX($C14:$AI14),MIN($C14:$AI14)),$C14:$AI14,0))),G6)</f>
        <v>0</v>
      </c>
      <c r="H21" s="1">
        <f>IF(OR($B18&lt;&gt;$B3,$B19&lt;&gt;$B4,$B20&lt;&gt;$B5,$B21&lt;&gt;$B6,$B22&lt;&gt;$B7,$B23&lt;&gt;$B8,$B24&lt;&gt;$B9,$B25&lt;&gt;$B10,$B26&lt;&gt;$B11,$B27&lt;&gt;$B12,$B28&lt;&gt;$B13),IF($B21&lt;&gt;$B6,H6/INDEX($C3:$AJ13,4,MATCH(IF('Data-solution'!$A$3="Maximize",MAX($C14:$AI14),MIN($C14:$AI14)),$C14:$AI14,0)),H6-INDEX($C3:$AJ13,4,MATCH(IF('Data-solution'!$A$3="Maximize",MAX($C14:$AI14),MIN($C14:$AI14)),$C14:$AI14,0))*INDEX(H3:$AJ13,MATCH(MIN($AK3:$AK13),$AK3:$AK13,0),1)/INDEX($C3:$AJ13,MATCH(MIN($AK3:$AK13),$AK3:$AK13,0),MATCH(IF('Data-solution'!$A$3="Maximize",MAX($C14:$AI14),MIN($C14:$AI14)),$C14:$AI14,0))),H6)</f>
        <v>0</v>
      </c>
      <c r="I21" s="1">
        <f>IF(OR($B18&lt;&gt;$B3,$B19&lt;&gt;$B4,$B20&lt;&gt;$B5,$B21&lt;&gt;$B6,$B22&lt;&gt;$B7,$B23&lt;&gt;$B8,$B24&lt;&gt;$B9,$B25&lt;&gt;$B10,$B26&lt;&gt;$B11,$B27&lt;&gt;$B12,$B28&lt;&gt;$B13),IF($B21&lt;&gt;$B6,I6/INDEX($C3:$AJ13,4,MATCH(IF('Data-solution'!$A$3="Maximize",MAX($C14:$AI14),MIN($C14:$AI14)),$C14:$AI14,0)),I6-INDEX($C3:$AJ13,4,MATCH(IF('Data-solution'!$A$3="Maximize",MAX($C14:$AI14),MIN($C14:$AI14)),$C14:$AI14,0))*INDEX(I3:$AJ13,MATCH(MIN($AK3:$AK13),$AK3:$AK13,0),1)/INDEX($C3:$AJ13,MATCH(MIN($AK3:$AK13),$AK3:$AK13,0),MATCH(IF('Data-solution'!$A$3="Maximize",MAX($C14:$AI14),MIN($C14:$AI14)),$C14:$AI14,0))),I6)</f>
        <v>0</v>
      </c>
      <c r="J21" s="1">
        <f>IF(OR($B18&lt;&gt;$B3,$B19&lt;&gt;$B4,$B20&lt;&gt;$B5,$B21&lt;&gt;$B6,$B22&lt;&gt;$B7,$B23&lt;&gt;$B8,$B24&lt;&gt;$B9,$B25&lt;&gt;$B10,$B26&lt;&gt;$B11,$B27&lt;&gt;$B12,$B28&lt;&gt;$B13),IF($B21&lt;&gt;$B6,J6/INDEX($C3:$AJ13,4,MATCH(IF('Data-solution'!$A$3="Maximize",MAX($C14:$AI14),MIN($C14:$AI14)),$C14:$AI14,0)),J6-INDEX($C3:$AJ13,4,MATCH(IF('Data-solution'!$A$3="Maximize",MAX($C14:$AI14),MIN($C14:$AI14)),$C14:$AI14,0))*INDEX(J3:$AJ13,MATCH(MIN($AK3:$AK13),$AK3:$AK13,0),1)/INDEX($C3:$AJ13,MATCH(MIN($AK3:$AK13),$AK3:$AK13,0),MATCH(IF('Data-solution'!$A$3="Maximize",MAX($C14:$AI14),MIN($C14:$AI14)),$C14:$AI14,0))),J6)</f>
        <v>0</v>
      </c>
      <c r="K21" s="1">
        <f>IF(OR($B18&lt;&gt;$B3,$B19&lt;&gt;$B4,$B20&lt;&gt;$B5,$B21&lt;&gt;$B6,$B22&lt;&gt;$B7,$B23&lt;&gt;$B8,$B24&lt;&gt;$B9,$B25&lt;&gt;$B10,$B26&lt;&gt;$B11,$B27&lt;&gt;$B12,$B28&lt;&gt;$B13),IF($B21&lt;&gt;$B6,K6/INDEX($C3:$AJ13,4,MATCH(IF('Data-solution'!$A$3="Maximize",MAX($C14:$AI14),MIN($C14:$AI14)),$C14:$AI14,0)),K6-INDEX($C3:$AJ13,4,MATCH(IF('Data-solution'!$A$3="Maximize",MAX($C14:$AI14),MIN($C14:$AI14)),$C14:$AI14,0))*INDEX(K3:$AJ13,MATCH(MIN($AK3:$AK13),$AK3:$AK13,0),1)/INDEX($C3:$AJ13,MATCH(MIN($AK3:$AK13),$AK3:$AK13,0),MATCH(IF('Data-solution'!$A$3="Maximize",MAX($C14:$AI14),MIN($C14:$AI14)),$C14:$AI14,0))),K6)</f>
        <v>0</v>
      </c>
      <c r="L21" s="1">
        <f>IF(OR($B18&lt;&gt;$B3,$B19&lt;&gt;$B4,$B20&lt;&gt;$B5,$B21&lt;&gt;$B6,$B22&lt;&gt;$B7,$B23&lt;&gt;$B8,$B24&lt;&gt;$B9,$B25&lt;&gt;$B10,$B26&lt;&gt;$B11,$B27&lt;&gt;$B12,$B28&lt;&gt;$B13),IF($B21&lt;&gt;$B6,L6/INDEX($C3:$AJ13,4,MATCH(IF('Data-solution'!$A$3="Maximize",MAX($C14:$AI14),MIN($C14:$AI14)),$C14:$AI14,0)),L6-INDEX($C3:$AJ13,4,MATCH(IF('Data-solution'!$A$3="Maximize",MAX($C14:$AI14),MIN($C14:$AI14)),$C14:$AI14,0))*INDEX(L3:$AJ13,MATCH(MIN($AK3:$AK13),$AK3:$AK13,0),1)/INDEX($C3:$AJ13,MATCH(MIN($AK3:$AK13),$AK3:$AK13,0),MATCH(IF('Data-solution'!$A$3="Maximize",MAX($C14:$AI14),MIN($C14:$AI14)),$C14:$AI14,0))),L6)</f>
        <v>0</v>
      </c>
      <c r="M21" s="1">
        <f>IF(OR($B18&lt;&gt;$B3,$B19&lt;&gt;$B4,$B20&lt;&gt;$B5,$B21&lt;&gt;$B6,$B22&lt;&gt;$B7,$B23&lt;&gt;$B8,$B24&lt;&gt;$B9,$B25&lt;&gt;$B10,$B26&lt;&gt;$B11,$B27&lt;&gt;$B12,$B28&lt;&gt;$B13),IF($B21&lt;&gt;$B6,M6/INDEX($C3:$AJ13,4,MATCH(IF('Data-solution'!$A$3="Maximize",MAX($C14:$AI14),MIN($C14:$AI14)),$C14:$AI14,0)),M6-INDEX($C3:$AJ13,4,MATCH(IF('Data-solution'!$A$3="Maximize",MAX($C14:$AI14),MIN($C14:$AI14)),$C14:$AI14,0))*INDEX(M3:$AJ13,MATCH(MIN($AK3:$AK13),$AK3:$AK13,0),1)/INDEX($C3:$AJ13,MATCH(MIN($AK3:$AK13),$AK3:$AK13,0),MATCH(IF('Data-solution'!$A$3="Maximize",MAX($C14:$AI14),MIN($C14:$AI14)),$C14:$AI14,0))),M6)</f>
        <v>0</v>
      </c>
      <c r="N21" s="1">
        <f>IF(OR($B18&lt;&gt;$B3,$B19&lt;&gt;$B4,$B20&lt;&gt;$B5,$B21&lt;&gt;$B6,$B22&lt;&gt;$B7,$B23&lt;&gt;$B8,$B24&lt;&gt;$B9,$B25&lt;&gt;$B10,$B26&lt;&gt;$B11,$B27&lt;&gt;$B12,$B28&lt;&gt;$B13),IF($B21&lt;&gt;$B6,N6/INDEX($C3:$AJ13,4,MATCH(IF('Data-solution'!$A$3="Maximize",MAX($C14:$AI14),MIN($C14:$AI14)),$C14:$AI14,0)),N6-INDEX($C3:$AJ13,4,MATCH(IF('Data-solution'!$A$3="Maximize",MAX($C14:$AI14),MIN($C14:$AI14)),$C14:$AI14,0))*INDEX(N3:$AJ13,MATCH(MIN($AK3:$AK13),$AK3:$AK13,0),1)/INDEX($C3:$AJ13,MATCH(MIN($AK3:$AK13),$AK3:$AK13,0),MATCH(IF('Data-solution'!$A$3="Maximize",MAX($C14:$AI14),MIN($C14:$AI14)),$C14:$AI14,0))),N6)</f>
        <v>0</v>
      </c>
      <c r="O21" s="1">
        <f>IF(OR($B18&lt;&gt;$B3,$B19&lt;&gt;$B4,$B20&lt;&gt;$B5,$B21&lt;&gt;$B6,$B22&lt;&gt;$B7,$B23&lt;&gt;$B8,$B24&lt;&gt;$B9,$B25&lt;&gt;$B10,$B26&lt;&gt;$B11,$B27&lt;&gt;$B12,$B28&lt;&gt;$B13),IF($B21&lt;&gt;$B6,O6/INDEX($C3:$AJ13,4,MATCH(IF('Data-solution'!$A$3="Maximize",MAX($C14:$AI14),MIN($C14:$AI14)),$C14:$AI14,0)),O6-INDEX($C3:$AJ13,4,MATCH(IF('Data-solution'!$A$3="Maximize",MAX($C14:$AI14),MIN($C14:$AI14)),$C14:$AI14,0))*INDEX(O3:$AJ13,MATCH(MIN($AK3:$AK13),$AK3:$AK13,0),1)/INDEX($C3:$AJ13,MATCH(MIN($AK3:$AK13),$AK3:$AK13,0),MATCH(IF('Data-solution'!$A$3="Maximize",MAX($C14:$AI14),MIN($C14:$AI14)),$C14:$AI14,0))),O6)</f>
        <v>0</v>
      </c>
      <c r="P21" s="1">
        <f>IF(OR($B18&lt;&gt;$B3,$B19&lt;&gt;$B4,$B20&lt;&gt;$B5,$B21&lt;&gt;$B6,$B22&lt;&gt;$B7,$B23&lt;&gt;$B8,$B24&lt;&gt;$B9,$B25&lt;&gt;$B10,$B26&lt;&gt;$B11,$B27&lt;&gt;$B12,$B28&lt;&gt;$B13),IF($B21&lt;&gt;$B6,P6/INDEX($C3:$AJ13,4,MATCH(IF('Data-solution'!$A$3="Maximize",MAX($C14:$AI14),MIN($C14:$AI14)),$C14:$AI14,0)),P6-INDEX($C3:$AJ13,4,MATCH(IF('Data-solution'!$A$3="Maximize",MAX($C14:$AI14),MIN($C14:$AI14)),$C14:$AI14,0))*INDEX(P3:$AJ13,MATCH(MIN($AK3:$AK13),$AK3:$AK13,0),1)/INDEX($C3:$AJ13,MATCH(MIN($AK3:$AK13),$AK3:$AK13,0),MATCH(IF('Data-solution'!$A$3="Maximize",MAX($C14:$AI14),MIN($C14:$AI14)),$C14:$AI14,0))),P6)</f>
        <v>-0.16666666666666666</v>
      </c>
      <c r="Q21" s="1">
        <f>IF(OR($B18&lt;&gt;$B3,$B19&lt;&gt;$B4,$B20&lt;&gt;$B5,$B21&lt;&gt;$B6,$B22&lt;&gt;$B7,$B23&lt;&gt;$B8,$B24&lt;&gt;$B9,$B25&lt;&gt;$B10,$B26&lt;&gt;$B11,$B27&lt;&gt;$B12,$B28&lt;&gt;$B13),IF($B21&lt;&gt;$B6,Q6/INDEX($C3:$AJ13,4,MATCH(IF('Data-solution'!$A$3="Maximize",MAX($C14:$AI14),MIN($C14:$AI14)),$C14:$AI14,0)),Q6-INDEX($C3:$AJ13,4,MATCH(IF('Data-solution'!$A$3="Maximize",MAX($C14:$AI14),MIN($C14:$AI14)),$C14:$AI14,0))*INDEX(Q3:$AJ13,MATCH(MIN($AK3:$AK13),$AK3:$AK13,0),1)/INDEX($C3:$AJ13,MATCH(MIN($AK3:$AK13),$AK3:$AK13,0),MATCH(IF('Data-solution'!$A$3="Maximize",MAX($C14:$AI14),MIN($C14:$AI14)),$C14:$AI14,0))),Q6)</f>
        <v>1</v>
      </c>
      <c r="R21" s="1">
        <f>IF(OR($B18&lt;&gt;$B3,$B19&lt;&gt;$B4,$B20&lt;&gt;$B5,$B21&lt;&gt;$B6,$B22&lt;&gt;$B7,$B23&lt;&gt;$B8,$B24&lt;&gt;$B9,$B25&lt;&gt;$B10,$B26&lt;&gt;$B11,$B27&lt;&gt;$B12,$B28&lt;&gt;$B13),IF($B21&lt;&gt;$B6,R6/INDEX($C3:$AJ13,4,MATCH(IF('Data-solution'!$A$3="Maximize",MAX($C14:$AI14),MIN($C14:$AI14)),$C14:$AI14,0)),R6-INDEX($C3:$AJ13,4,MATCH(IF('Data-solution'!$A$3="Maximize",MAX($C14:$AI14),MIN($C14:$AI14)),$C14:$AI14,0))*INDEX(R3:$AJ13,MATCH(MIN($AK3:$AK13),$AK3:$AK13,0),1)/INDEX($C3:$AJ13,MATCH(MIN($AK3:$AK13),$AK3:$AK13,0),MATCH(IF('Data-solution'!$A$3="Maximize",MAX($C14:$AI14),MIN($C14:$AI14)),$C14:$AI14,0))),R6)</f>
        <v>0</v>
      </c>
      <c r="S21" s="1">
        <f>IF(OR($B18&lt;&gt;$B3,$B19&lt;&gt;$B4,$B20&lt;&gt;$B5,$B21&lt;&gt;$B6,$B22&lt;&gt;$B7,$B23&lt;&gt;$B8,$B24&lt;&gt;$B9,$B25&lt;&gt;$B10,$B26&lt;&gt;$B11,$B27&lt;&gt;$B12,$B28&lt;&gt;$B13),IF($B21&lt;&gt;$B6,S6/INDEX($C3:$AJ13,4,MATCH(IF('Data-solution'!$A$3="Maximize",MAX($C14:$AI14),MIN($C14:$AI14)),$C14:$AI14,0)),S6-INDEX($C3:$AJ13,4,MATCH(IF('Data-solution'!$A$3="Maximize",MAX($C14:$AI14),MIN($C14:$AI14)),$C14:$AI14,0))*INDEX(S3:$AJ13,MATCH(MIN($AK3:$AK13),$AK3:$AK13,0),1)/INDEX($C3:$AJ13,MATCH(MIN($AK3:$AK13),$AK3:$AK13,0),MATCH(IF('Data-solution'!$A$3="Maximize",MAX($C14:$AI14),MIN($C14:$AI14)),$C14:$AI14,0))),S6)</f>
        <v>0</v>
      </c>
      <c r="T21" s="1">
        <f>IF(OR($B18&lt;&gt;$B3,$B19&lt;&gt;$B4,$B20&lt;&gt;$B5,$B21&lt;&gt;$B6,$B22&lt;&gt;$B7,$B23&lt;&gt;$B8,$B24&lt;&gt;$B9,$B25&lt;&gt;$B10,$B26&lt;&gt;$B11,$B27&lt;&gt;$B12,$B28&lt;&gt;$B13),IF($B21&lt;&gt;$B6,T6/INDEX($C3:$AJ13,4,MATCH(IF('Data-solution'!$A$3="Maximize",MAX($C14:$AI14),MIN($C14:$AI14)),$C14:$AI14,0)),T6-INDEX($C3:$AJ13,4,MATCH(IF('Data-solution'!$A$3="Maximize",MAX($C14:$AI14),MIN($C14:$AI14)),$C14:$AI14,0))*INDEX(T3:$AJ13,MATCH(MIN($AK3:$AK13),$AK3:$AK13,0),1)/INDEX($C3:$AJ13,MATCH(MIN($AK3:$AK13),$AK3:$AK13,0),MATCH(IF('Data-solution'!$A$3="Maximize",MAX($C14:$AI14),MIN($C14:$AI14)),$C14:$AI14,0))),T6)</f>
        <v>0</v>
      </c>
      <c r="U21" s="1">
        <f>IF(OR($B18&lt;&gt;$B3,$B19&lt;&gt;$B4,$B20&lt;&gt;$B5,$B21&lt;&gt;$B6,$B22&lt;&gt;$B7,$B23&lt;&gt;$B8,$B24&lt;&gt;$B9,$B25&lt;&gt;$B10,$B26&lt;&gt;$B11,$B27&lt;&gt;$B12,$B28&lt;&gt;$B13),IF($B21&lt;&gt;$B6,U6/INDEX($C3:$AJ13,4,MATCH(IF('Data-solution'!$A$3="Maximize",MAX($C14:$AI14),MIN($C14:$AI14)),$C14:$AI14,0)),U6-INDEX($C3:$AJ13,4,MATCH(IF('Data-solution'!$A$3="Maximize",MAX($C14:$AI14),MIN($C14:$AI14)),$C14:$AI14,0))*INDEX(U3:$AJ13,MATCH(MIN($AK3:$AK13),$AK3:$AK13,0),1)/INDEX($C3:$AJ13,MATCH(MIN($AK3:$AK13),$AK3:$AK13,0),MATCH(IF('Data-solution'!$A$3="Maximize",MAX($C14:$AI14),MIN($C14:$AI14)),$C14:$AI14,0))),U6)</f>
        <v>0</v>
      </c>
      <c r="V21" s="1">
        <f>IF(OR($B18&lt;&gt;$B3,$B19&lt;&gt;$B4,$B20&lt;&gt;$B5,$B21&lt;&gt;$B6,$B22&lt;&gt;$B7,$B23&lt;&gt;$B8,$B24&lt;&gt;$B9,$B25&lt;&gt;$B10,$B26&lt;&gt;$B11,$B27&lt;&gt;$B12,$B28&lt;&gt;$B13),IF($B21&lt;&gt;$B6,V6/INDEX($C3:$AJ13,4,MATCH(IF('Data-solution'!$A$3="Maximize",MAX($C14:$AI14),MIN($C14:$AI14)),$C14:$AI14,0)),V6-INDEX($C3:$AJ13,4,MATCH(IF('Data-solution'!$A$3="Maximize",MAX($C14:$AI14),MIN($C14:$AI14)),$C14:$AI14,0))*INDEX(V3:$AJ13,MATCH(MIN($AK3:$AK13),$AK3:$AK13,0),1)/INDEX($C3:$AJ13,MATCH(MIN($AK3:$AK13),$AK3:$AK13,0),MATCH(IF('Data-solution'!$A$3="Maximize",MAX($C14:$AI14),MIN($C14:$AI14)),$C14:$AI14,0))),V6)</f>
        <v>0</v>
      </c>
      <c r="W21" s="1">
        <f>IF(OR($B18&lt;&gt;$B3,$B19&lt;&gt;$B4,$B20&lt;&gt;$B5,$B21&lt;&gt;$B6,$B22&lt;&gt;$B7,$B23&lt;&gt;$B8,$B24&lt;&gt;$B9,$B25&lt;&gt;$B10,$B26&lt;&gt;$B11,$B27&lt;&gt;$B12,$B28&lt;&gt;$B13),IF($B21&lt;&gt;$B6,W6/INDEX($C3:$AJ13,4,MATCH(IF('Data-solution'!$A$3="Maximize",MAX($C14:$AI14),MIN($C14:$AI14)),$C14:$AI14,0)),W6-INDEX($C3:$AJ13,4,MATCH(IF('Data-solution'!$A$3="Maximize",MAX($C14:$AI14),MIN($C14:$AI14)),$C14:$AI14,0))*INDEX(W3:$AJ13,MATCH(MIN($AK3:$AK13),$AK3:$AK13,0),1)/INDEX($C3:$AJ13,MATCH(MIN($AK3:$AK13),$AK3:$AK13,0),MATCH(IF('Data-solution'!$A$3="Maximize",MAX($C14:$AI14),MIN($C14:$AI14)),$C14:$AI14,0))),W6)</f>
        <v>0</v>
      </c>
      <c r="X21" s="1">
        <f>IF(OR($B18&lt;&gt;$B3,$B19&lt;&gt;$B4,$B20&lt;&gt;$B5,$B21&lt;&gt;$B6,$B22&lt;&gt;$B7,$B23&lt;&gt;$B8,$B24&lt;&gt;$B9,$B25&lt;&gt;$B10,$B26&lt;&gt;$B11,$B27&lt;&gt;$B12,$B28&lt;&gt;$B13),IF($B21&lt;&gt;$B6,X6/INDEX($C3:$AJ13,4,MATCH(IF('Data-solution'!$A$3="Maximize",MAX($C14:$AI14),MIN($C14:$AI14)),$C14:$AI14,0)),X6-INDEX($C3:$AJ13,4,MATCH(IF('Data-solution'!$A$3="Maximize",MAX($C14:$AI14),MIN($C14:$AI14)),$C14:$AI14,0))*INDEX(X3:$AJ13,MATCH(MIN($AK3:$AK13),$AK3:$AK13,0),1)/INDEX($C3:$AJ13,MATCH(MIN($AK3:$AK13),$AK3:$AK13,0),MATCH(IF('Data-solution'!$A$3="Maximize",MAX($C14:$AI14),MIN($C14:$AI14)),$C14:$AI14,0))),X6)</f>
        <v>0</v>
      </c>
      <c r="Y21" s="1">
        <f>IF(OR($B18&lt;&gt;$B3,$B19&lt;&gt;$B4,$B20&lt;&gt;$B5,$B21&lt;&gt;$B6,$B22&lt;&gt;$B7,$B23&lt;&gt;$B8,$B24&lt;&gt;$B9,$B25&lt;&gt;$B10,$B26&lt;&gt;$B11,$B27&lt;&gt;$B12,$B28&lt;&gt;$B13),IF($B21&lt;&gt;$B6,Y6/INDEX($C3:$AJ13,4,MATCH(IF('Data-solution'!$A$3="Maximize",MAX($C14:$AI14),MIN($C14:$AI14)),$C14:$AI14,0)),Y6-INDEX($C3:$AJ13,4,MATCH(IF('Data-solution'!$A$3="Maximize",MAX($C14:$AI14),MIN($C14:$AI14)),$C14:$AI14,0))*INDEX(Y3:$AJ13,MATCH(MIN($AK3:$AK13),$AK3:$AK13,0),1)/INDEX($C3:$AJ13,MATCH(MIN($AK3:$AK13),$AK3:$AK13,0),MATCH(IF('Data-solution'!$A$3="Maximize",MAX($C14:$AI14),MIN($C14:$AI14)),$C14:$AI14,0))),Y6)</f>
        <v>0</v>
      </c>
      <c r="Z21" s="1">
        <f>IF(OR($B18&lt;&gt;$B3,$B19&lt;&gt;$B4,$B20&lt;&gt;$B5,$B21&lt;&gt;$B6,$B22&lt;&gt;$B7,$B23&lt;&gt;$B8,$B24&lt;&gt;$B9,$B25&lt;&gt;$B10,$B26&lt;&gt;$B11,$B27&lt;&gt;$B12,$B28&lt;&gt;$B13),IF($B21&lt;&gt;$B6,Z6/INDEX($C3:$AJ13,4,MATCH(IF('Data-solution'!$A$3="Maximize",MAX($C14:$AI14),MIN($C14:$AI14)),$C14:$AI14,0)),Z6-INDEX($C3:$AJ13,4,MATCH(IF('Data-solution'!$A$3="Maximize",MAX($C14:$AI14),MIN($C14:$AI14)),$C14:$AI14,0))*INDEX(Z3:$AJ13,MATCH(MIN($AK3:$AK13),$AK3:$AK13,0),1)/INDEX($C3:$AJ13,MATCH(MIN($AK3:$AK13),$AK3:$AK13,0),MATCH(IF('Data-solution'!$A$3="Maximize",MAX($C14:$AI14),MIN($C14:$AI14)),$C14:$AI14,0))),Z6)</f>
        <v>0</v>
      </c>
      <c r="AA21" s="1">
        <f>IF(OR($B18&lt;&gt;$B3,$B19&lt;&gt;$B4,$B20&lt;&gt;$B5,$B21&lt;&gt;$B6,$B22&lt;&gt;$B7,$B23&lt;&gt;$B8,$B24&lt;&gt;$B9,$B25&lt;&gt;$B10,$B26&lt;&gt;$B11,$B27&lt;&gt;$B12,$B28&lt;&gt;$B13),IF($B21&lt;&gt;$B6,AA6/INDEX($C3:$AJ13,4,MATCH(IF('Data-solution'!$A$3="Maximize",MAX($C14:$AI14),MIN($C14:$AI14)),$C14:$AI14,0)),AA6-INDEX($C3:$AJ13,4,MATCH(IF('Data-solution'!$A$3="Maximize",MAX($C14:$AI14),MIN($C14:$AI14)),$C14:$AI14,0))*INDEX(AA3:$AJ13,MATCH(MIN($AK3:$AK13),$AK3:$AK13,0),1)/INDEX($C3:$AJ13,MATCH(MIN($AK3:$AK13),$AK3:$AK13,0),MATCH(IF('Data-solution'!$A$3="Maximize",MAX($C14:$AI14),MIN($C14:$AI14)),$C14:$AI14,0))),AA6)</f>
        <v>-0.16666666666666666</v>
      </c>
      <c r="AB21" s="1">
        <f>IF(OR($B18&lt;&gt;$B3,$B19&lt;&gt;$B4,$B20&lt;&gt;$B5,$B21&lt;&gt;$B6,$B22&lt;&gt;$B7,$B23&lt;&gt;$B8,$B24&lt;&gt;$B9,$B25&lt;&gt;$B10,$B26&lt;&gt;$B11,$B27&lt;&gt;$B12,$B28&lt;&gt;$B13),IF($B21&lt;&gt;$B6,AB6/INDEX($C3:$AJ13,4,MATCH(IF('Data-solution'!$A$3="Maximize",MAX($C14:$AI14),MIN($C14:$AI14)),$C14:$AI14,0)),AB6-INDEX($C3:$AJ13,4,MATCH(IF('Data-solution'!$A$3="Maximize",MAX($C14:$AI14),MIN($C14:$AI14)),$C14:$AI14,0))*INDEX(AB3:$AJ13,MATCH(MIN($AK3:$AK13),$AK3:$AK13,0),1)/INDEX($C3:$AJ13,MATCH(MIN($AK3:$AK13),$AK3:$AK13,0),MATCH(IF('Data-solution'!$A$3="Maximize",MAX($C14:$AI14),MIN($C14:$AI14)),$C14:$AI14,0))),AB6)</f>
        <v>1</v>
      </c>
      <c r="AC21" s="1">
        <f>IF(OR($B18&lt;&gt;$B3,$B19&lt;&gt;$B4,$B20&lt;&gt;$B5,$B21&lt;&gt;$B6,$B22&lt;&gt;$B7,$B23&lt;&gt;$B8,$B24&lt;&gt;$B9,$B25&lt;&gt;$B10,$B26&lt;&gt;$B11,$B27&lt;&gt;$B12,$B28&lt;&gt;$B13),IF($B21&lt;&gt;$B6,AC6/INDEX($C3:$AJ13,4,MATCH(IF('Data-solution'!$A$3="Maximize",MAX($C14:$AI14),MIN($C14:$AI14)),$C14:$AI14,0)),AC6-INDEX($C3:$AJ13,4,MATCH(IF('Data-solution'!$A$3="Maximize",MAX($C14:$AI14),MIN($C14:$AI14)),$C14:$AI14,0))*INDEX(AC3:$AJ13,MATCH(MIN($AK3:$AK13),$AK3:$AK13,0),1)/INDEX($C3:$AJ13,MATCH(MIN($AK3:$AK13),$AK3:$AK13,0),MATCH(IF('Data-solution'!$A$3="Maximize",MAX($C14:$AI14),MIN($C14:$AI14)),$C14:$AI14,0))),AC6)</f>
        <v>0</v>
      </c>
      <c r="AD21" s="1">
        <f>IF(OR($B18&lt;&gt;$B3,$B19&lt;&gt;$B4,$B20&lt;&gt;$B5,$B21&lt;&gt;$B6,$B22&lt;&gt;$B7,$B23&lt;&gt;$B8,$B24&lt;&gt;$B9,$B25&lt;&gt;$B10,$B26&lt;&gt;$B11,$B27&lt;&gt;$B12,$B28&lt;&gt;$B13),IF($B21&lt;&gt;$B6,AD6/INDEX($C3:$AJ13,4,MATCH(IF('Data-solution'!$A$3="Maximize",MAX($C14:$AI14),MIN($C14:$AI14)),$C14:$AI14,0)),AD6-INDEX($C3:$AJ13,4,MATCH(IF('Data-solution'!$A$3="Maximize",MAX($C14:$AI14),MIN($C14:$AI14)),$C14:$AI14,0))*INDEX(AD3:$AJ13,MATCH(MIN($AK3:$AK13),$AK3:$AK13,0),1)/INDEX($C3:$AJ13,MATCH(MIN($AK3:$AK13),$AK3:$AK13,0),MATCH(IF('Data-solution'!$A$3="Maximize",MAX($C14:$AI14),MIN($C14:$AI14)),$C14:$AI14,0))),AD6)</f>
        <v>0</v>
      </c>
      <c r="AE21" s="1">
        <f>IF(OR($B18&lt;&gt;$B3,$B19&lt;&gt;$B4,$B20&lt;&gt;$B5,$B21&lt;&gt;$B6,$B22&lt;&gt;$B7,$B23&lt;&gt;$B8,$B24&lt;&gt;$B9,$B25&lt;&gt;$B10,$B26&lt;&gt;$B11,$B27&lt;&gt;$B12,$B28&lt;&gt;$B13),IF($B21&lt;&gt;$B6,AE6/INDEX($C3:$AJ13,4,MATCH(IF('Data-solution'!$A$3="Maximize",MAX($C14:$AI14),MIN($C14:$AI14)),$C14:$AI14,0)),AE6-INDEX($C3:$AJ13,4,MATCH(IF('Data-solution'!$A$3="Maximize",MAX($C14:$AI14),MIN($C14:$AI14)),$C14:$AI14,0))*INDEX(AE3:$AJ13,MATCH(MIN($AK3:$AK13),$AK3:$AK13,0),1)/INDEX($C3:$AJ13,MATCH(MIN($AK3:$AK13),$AK3:$AK13,0),MATCH(IF('Data-solution'!$A$3="Maximize",MAX($C14:$AI14),MIN($C14:$AI14)),$C14:$AI14,0))),AE6)</f>
        <v>0</v>
      </c>
      <c r="AF21" s="1">
        <f>IF(OR($B18&lt;&gt;$B3,$B19&lt;&gt;$B4,$B20&lt;&gt;$B5,$B21&lt;&gt;$B6,$B22&lt;&gt;$B7,$B23&lt;&gt;$B8,$B24&lt;&gt;$B9,$B25&lt;&gt;$B10,$B26&lt;&gt;$B11,$B27&lt;&gt;$B12,$B28&lt;&gt;$B13),IF($B21&lt;&gt;$B6,AF6/INDEX($C3:$AJ13,4,MATCH(IF('Data-solution'!$A$3="Maximize",MAX($C14:$AI14),MIN($C14:$AI14)),$C14:$AI14,0)),AF6-INDEX($C3:$AJ13,4,MATCH(IF('Data-solution'!$A$3="Maximize",MAX($C14:$AI14),MIN($C14:$AI14)),$C14:$AI14,0))*INDEX(AF3:$AJ13,MATCH(MIN($AK3:$AK13),$AK3:$AK13,0),1)/INDEX($C3:$AJ13,MATCH(MIN($AK3:$AK13),$AK3:$AK13,0),MATCH(IF('Data-solution'!$A$3="Maximize",MAX($C14:$AI14),MIN($C14:$AI14)),$C14:$AI14,0))),AF6)</f>
        <v>0</v>
      </c>
      <c r="AG21" s="1">
        <f>IF(OR($B18&lt;&gt;$B3,$B19&lt;&gt;$B4,$B20&lt;&gt;$B5,$B21&lt;&gt;$B6,$B22&lt;&gt;$B7,$B23&lt;&gt;$B8,$B24&lt;&gt;$B9,$B25&lt;&gt;$B10,$B26&lt;&gt;$B11,$B27&lt;&gt;$B12,$B28&lt;&gt;$B13),IF($B21&lt;&gt;$B6,AG6/INDEX($C3:$AJ13,4,MATCH(IF('Data-solution'!$A$3="Maximize",MAX($C14:$AI14),MIN($C14:$AI14)),$C14:$AI14,0)),AG6-INDEX($C3:$AJ13,4,MATCH(IF('Data-solution'!$A$3="Maximize",MAX($C14:$AI14),MIN($C14:$AI14)),$C14:$AI14,0))*INDEX(AG3:$AJ13,MATCH(MIN($AK3:$AK13),$AK3:$AK13,0),1)/INDEX($C3:$AJ13,MATCH(MIN($AK3:$AK13),$AK3:$AK13,0),MATCH(IF('Data-solution'!$A$3="Maximize",MAX($C14:$AI14),MIN($C14:$AI14)),$C14:$AI14,0))),AG6)</f>
        <v>0</v>
      </c>
      <c r="AH21" s="1">
        <f>IF(OR($B18&lt;&gt;$B3,$B19&lt;&gt;$B4,$B20&lt;&gt;$B5,$B21&lt;&gt;$B6,$B22&lt;&gt;$B7,$B23&lt;&gt;$B8,$B24&lt;&gt;$B9,$B25&lt;&gt;$B10,$B26&lt;&gt;$B11,$B27&lt;&gt;$B12,$B28&lt;&gt;$B13),IF($B21&lt;&gt;$B6,AH6/INDEX($C3:$AJ13,4,MATCH(IF('Data-solution'!$A$3="Maximize",MAX($C14:$AI14),MIN($C14:$AI14)),$C14:$AI14,0)),AH6-INDEX($C3:$AJ13,4,MATCH(IF('Data-solution'!$A$3="Maximize",MAX($C14:$AI14),MIN($C14:$AI14)),$C14:$AI14,0))*INDEX(AH3:$AJ13,MATCH(MIN($AK3:$AK13),$AK3:$AK13,0),1)/INDEX($C3:$AJ13,MATCH(MIN($AK3:$AK13),$AK3:$AK13,0),MATCH(IF('Data-solution'!$A$3="Maximize",MAX($C14:$AI14),MIN($C14:$AI14)),$C14:$AI14,0))),AH6)</f>
        <v>0</v>
      </c>
      <c r="AI21" s="1">
        <f>IF(OR($B18&lt;&gt;$B3,$B19&lt;&gt;$B4,$B20&lt;&gt;$B5,$B21&lt;&gt;$B6,$B22&lt;&gt;$B7,$B23&lt;&gt;$B8,$B24&lt;&gt;$B9,$B25&lt;&gt;$B10,$B26&lt;&gt;$B11,$B27&lt;&gt;$B12,$B28&lt;&gt;$B13),IF($B21&lt;&gt;$B6,AI6/INDEX($C3:$AJ13,4,MATCH(IF('Data-solution'!$A$3="Maximize",MAX($C14:$AI14),MIN($C14:$AI14)),$C14:$AI14,0)),AI6-INDEX($C3:$AJ13,4,MATCH(IF('Data-solution'!$A$3="Maximize",MAX($C14:$AI14),MIN($C14:$AI14)),$C14:$AI14,0))*INDEX(AI3:$AJ13,MATCH(MIN($AK3:$AK13),$AK3:$AK13,0),1)/INDEX($C3:$AJ13,MATCH(MIN($AK3:$AK13),$AK3:$AK13,0),MATCH(IF('Data-solution'!$A$3="Maximize",MAX($C14:$AI14),MIN($C14:$AI14)),$C14:$AI14,0))),AI6)</f>
        <v>0</v>
      </c>
      <c r="AJ21" s="1">
        <f>IF(OR($B18&lt;&gt;$B3,$B19&lt;&gt;$B4,$B20&lt;&gt;$B5,$B21&lt;&gt;$B6,$B22&lt;&gt;$B7,$B23&lt;&gt;$B8,$B24&lt;&gt;$B9,$B25&lt;&gt;$B10,$B26&lt;&gt;$B11,$B27&lt;&gt;$B12,$B28&lt;&gt;$B13),IF($B21&lt;&gt;$B6,AJ6/INDEX($C3:$AJ13,4,MATCH(IF('Data-solution'!$A$3="Maximize",MAX($C14:$AI14),MIN($C14:$AI14)),$C14:$AI14,0)),AJ6-INDEX($C3:$AJ13,4,MATCH(IF('Data-solution'!$A$3="Maximize",MAX($C14:$AI14),MIN($C14:$AI14)),$C14:$AI14,0))*INDEX(AJ3:$AJ13,MATCH(MIN($AK3:$AK13),$AK3:$AK13,0),1)/INDEX($C3:$AJ13,MATCH(MIN($AK3:$AK13),$AK3:$AK13,0),MATCH(IF('Data-solution'!$A$3="Maximize",MAX($C14:$AI14),MIN($C14:$AI14)),$C14:$AI14,0))),AJ6)</f>
        <v>66.666666666666686</v>
      </c>
      <c r="AK21" s="1">
        <f>IF(INDEX(C21:X21,1,MATCH(IF('Data-solution'!A$3="Maximize",MAX(C29:X29),MIN(C29:X29)),C29:X29,0))&gt;0,AJ21/INDEX(C21:X21,1,MATCH(IF('Data-solution'!A$3="Maximize",MAX(C29:X29),MIN(C29:X29)),C29:X29,0))," ")</f>
        <v>100.00000000000001</v>
      </c>
    </row>
    <row r="22" spans="1:37" ht="18" customHeight="1" x14ac:dyDescent="0.2">
      <c r="A22" s="1">
        <f>INDEX(C16:AI16,1,MATCH(B22,C17:AI17,0))</f>
        <v>0</v>
      </c>
      <c r="B22" s="2" t="str">
        <f>IF(AND('Data-solution'!A$3="Maximize",COUNTIF(C14:X14,"&gt;"&amp;0)&gt;0,AK7=MIN(AK3:AK13),COUNTIF(B18:B21,INDEX(C2:X2,1,MATCH(MAX(C14:X14),C14:X14,0)))=0),INDEX(C2:X2,1,MATCH(MAX(C14:X14),C14:X14,0)),IF(AND('Data-solution'!A$3="Minimize",COUNTIF(C14:X14,"&lt;"&amp;0)&gt;0,AK7=MIN(AK3:AK13),COUNTIF(B18:B21,INDEX(C2:X2,1,MATCH(MIN(C14:X14),C14:X14,0)))=0),INDEX(C2:X2,1,MATCH(MIN(C14:X14),C14:X14,0)),B7))</f>
        <v>S5</v>
      </c>
      <c r="C22" s="1">
        <f>IF(OR($B18&lt;&gt;$B3,$B19&lt;&gt;$B4,$B20&lt;&gt;$B5,$B21&lt;&gt;$B6,$B22&lt;&gt;$B7,$B23&lt;&gt;$B8,$B24&lt;&gt;$B9,$B25&lt;&gt;$B10,$B26&lt;&gt;$B11,$B27&lt;&gt;$B12,$B28&lt;&gt;$B13),IF($B22&lt;&gt;$B7,C7/INDEX($C3:$AJ13,5,MATCH(IF('Data-solution'!$A$3="Maximize",MAX($C14:$AI14),MIN($C14:$AI14)),$C14:$AI14,0)),C7-INDEX($C3:$AJ13,5,MATCH(IF('Data-solution'!$A$3="Maximize",MAX($C14:$AI14),MIN($C14:$AI14)),$C14:$AI14,0))*INDEX(C3:$AJ13,MATCH(MIN($AK3:$AK13),$AK3:$AK13,0),1)/INDEX($C3:$AJ13,MATCH(MIN($AK3:$AK13),$AK3:$AK13,0),MATCH(IF('Data-solution'!$A$3="Maximize",MAX($C14:$AI14),MIN($C14:$AI14)),$C14:$AI14,0))),C7)</f>
        <v>0</v>
      </c>
      <c r="D22" s="1">
        <f>IF(OR($B18&lt;&gt;$B3,$B19&lt;&gt;$B4,$B20&lt;&gt;$B5,$B21&lt;&gt;$B6,$B22&lt;&gt;$B7,$B23&lt;&gt;$B8,$B24&lt;&gt;$B9,$B25&lt;&gt;$B10,$B26&lt;&gt;$B11,$B27&lt;&gt;$B12,$B28&lt;&gt;$B13),IF($B22&lt;&gt;$B7,D7/INDEX($C3:$AJ13,5,MATCH(IF('Data-solution'!$A$3="Maximize",MAX($C14:$AI14),MIN($C14:$AI14)),$C14:$AI14,0)),D7-INDEX($C3:$AJ13,5,MATCH(IF('Data-solution'!$A$3="Maximize",MAX($C14:$AI14),MIN($C14:$AI14)),$C14:$AI14,0))*INDEX(D3:$AJ13,MATCH(MIN($AK3:$AK13),$AK3:$AK13,0),1)/INDEX($C3:$AJ13,MATCH(MIN($AK3:$AK13),$AK3:$AK13,0),MATCH(IF('Data-solution'!$A$3="Maximize",MAX($C14:$AI14),MIN($C14:$AI14)),$C14:$AI14,0))),D7)</f>
        <v>0</v>
      </c>
      <c r="E22" s="1">
        <f>IF(OR($B18&lt;&gt;$B3,$B19&lt;&gt;$B4,$B20&lt;&gt;$B5,$B21&lt;&gt;$B6,$B22&lt;&gt;$B7,$B23&lt;&gt;$B8,$B24&lt;&gt;$B9,$B25&lt;&gt;$B10,$B26&lt;&gt;$B11,$B27&lt;&gt;$B12,$B28&lt;&gt;$B13),IF($B22&lt;&gt;$B7,E7/INDEX($C3:$AJ13,5,MATCH(IF('Data-solution'!$A$3="Maximize",MAX($C14:$AI14),MIN($C14:$AI14)),$C14:$AI14,0)),E7-INDEX($C3:$AJ13,5,MATCH(IF('Data-solution'!$A$3="Maximize",MAX($C14:$AI14),MIN($C14:$AI14)),$C14:$AI14,0))*INDEX(E3:$AJ13,MATCH(MIN($AK3:$AK13),$AK3:$AK13,0),1)/INDEX($C3:$AJ13,MATCH(MIN($AK3:$AK13),$AK3:$AK13,0),MATCH(IF('Data-solution'!$A$3="Maximize",MAX($C14:$AI14),MIN($C14:$AI14)),$C14:$AI14,0))),E7)</f>
        <v>0</v>
      </c>
      <c r="F22" s="1">
        <f>IF(OR($B18&lt;&gt;$B3,$B19&lt;&gt;$B4,$B20&lt;&gt;$B5,$B21&lt;&gt;$B6,$B22&lt;&gt;$B7,$B23&lt;&gt;$B8,$B24&lt;&gt;$B9,$B25&lt;&gt;$B10,$B26&lt;&gt;$B11,$B27&lt;&gt;$B12,$B28&lt;&gt;$B13),IF($B22&lt;&gt;$B7,F7/INDEX($C3:$AJ13,5,MATCH(IF('Data-solution'!$A$3="Maximize",MAX($C14:$AI14),MIN($C14:$AI14)),$C14:$AI14,0)),F7-INDEX($C3:$AJ13,5,MATCH(IF('Data-solution'!$A$3="Maximize",MAX($C14:$AI14),MIN($C14:$AI14)),$C14:$AI14,0))*INDEX(F3:$AJ13,MATCH(MIN($AK3:$AK13),$AK3:$AK13,0),1)/INDEX($C3:$AJ13,MATCH(MIN($AK3:$AK13),$AK3:$AK13,0),MATCH(IF('Data-solution'!$A$3="Maximize",MAX($C14:$AI14),MIN($C14:$AI14)),$C14:$AI14,0))),F7)</f>
        <v>0</v>
      </c>
      <c r="G22" s="1">
        <f>IF(OR($B18&lt;&gt;$B3,$B19&lt;&gt;$B4,$B20&lt;&gt;$B5,$B21&lt;&gt;$B6,$B22&lt;&gt;$B7,$B23&lt;&gt;$B8,$B24&lt;&gt;$B9,$B25&lt;&gt;$B10,$B26&lt;&gt;$B11,$B27&lt;&gt;$B12,$B28&lt;&gt;$B13),IF($B22&lt;&gt;$B7,G7/INDEX($C3:$AJ13,5,MATCH(IF('Data-solution'!$A$3="Maximize",MAX($C14:$AI14),MIN($C14:$AI14)),$C14:$AI14,0)),G7-INDEX($C3:$AJ13,5,MATCH(IF('Data-solution'!$A$3="Maximize",MAX($C14:$AI14),MIN($C14:$AI14)),$C14:$AI14,0))*INDEX(G3:$AJ13,MATCH(MIN($AK3:$AK13),$AK3:$AK13,0),1)/INDEX($C3:$AJ13,MATCH(MIN($AK3:$AK13),$AK3:$AK13,0),MATCH(IF('Data-solution'!$A$3="Maximize",MAX($C14:$AI14),MIN($C14:$AI14)),$C14:$AI14,0))),G7)</f>
        <v>0</v>
      </c>
      <c r="H22" s="1">
        <f>IF(OR($B18&lt;&gt;$B3,$B19&lt;&gt;$B4,$B20&lt;&gt;$B5,$B21&lt;&gt;$B6,$B22&lt;&gt;$B7,$B23&lt;&gt;$B8,$B24&lt;&gt;$B9,$B25&lt;&gt;$B10,$B26&lt;&gt;$B11,$B27&lt;&gt;$B12,$B28&lt;&gt;$B13),IF($B22&lt;&gt;$B7,H7/INDEX($C3:$AJ13,5,MATCH(IF('Data-solution'!$A$3="Maximize",MAX($C14:$AI14),MIN($C14:$AI14)),$C14:$AI14,0)),H7-INDEX($C3:$AJ13,5,MATCH(IF('Data-solution'!$A$3="Maximize",MAX($C14:$AI14),MIN($C14:$AI14)),$C14:$AI14,0))*INDEX(H3:$AJ13,MATCH(MIN($AK3:$AK13),$AK3:$AK13,0),1)/INDEX($C3:$AJ13,MATCH(MIN($AK3:$AK13),$AK3:$AK13,0),MATCH(IF('Data-solution'!$A$3="Maximize",MAX($C14:$AI14),MIN($C14:$AI14)),$C14:$AI14,0))),H7)</f>
        <v>0</v>
      </c>
      <c r="I22" s="1">
        <f>IF(OR($B18&lt;&gt;$B3,$B19&lt;&gt;$B4,$B20&lt;&gt;$B5,$B21&lt;&gt;$B6,$B22&lt;&gt;$B7,$B23&lt;&gt;$B8,$B24&lt;&gt;$B9,$B25&lt;&gt;$B10,$B26&lt;&gt;$B11,$B27&lt;&gt;$B12,$B28&lt;&gt;$B13),IF($B22&lt;&gt;$B7,I7/INDEX($C3:$AJ13,5,MATCH(IF('Data-solution'!$A$3="Maximize",MAX($C14:$AI14),MIN($C14:$AI14)),$C14:$AI14,0)),I7-INDEX($C3:$AJ13,5,MATCH(IF('Data-solution'!$A$3="Maximize",MAX($C14:$AI14),MIN($C14:$AI14)),$C14:$AI14,0))*INDEX(I3:$AJ13,MATCH(MIN($AK3:$AK13),$AK3:$AK13,0),1)/INDEX($C3:$AJ13,MATCH(MIN($AK3:$AK13),$AK3:$AK13,0),MATCH(IF('Data-solution'!$A$3="Maximize",MAX($C14:$AI14),MIN($C14:$AI14)),$C14:$AI14,0))),I7)</f>
        <v>0</v>
      </c>
      <c r="J22" s="1">
        <f>IF(OR($B18&lt;&gt;$B3,$B19&lt;&gt;$B4,$B20&lt;&gt;$B5,$B21&lt;&gt;$B6,$B22&lt;&gt;$B7,$B23&lt;&gt;$B8,$B24&lt;&gt;$B9,$B25&lt;&gt;$B10,$B26&lt;&gt;$B11,$B27&lt;&gt;$B12,$B28&lt;&gt;$B13),IF($B22&lt;&gt;$B7,J7/INDEX($C3:$AJ13,5,MATCH(IF('Data-solution'!$A$3="Maximize",MAX($C14:$AI14),MIN($C14:$AI14)),$C14:$AI14,0)),J7-INDEX($C3:$AJ13,5,MATCH(IF('Data-solution'!$A$3="Maximize",MAX($C14:$AI14),MIN($C14:$AI14)),$C14:$AI14,0))*INDEX(J3:$AJ13,MATCH(MIN($AK3:$AK13),$AK3:$AK13,0),1)/INDEX($C3:$AJ13,MATCH(MIN($AK3:$AK13),$AK3:$AK13,0),MATCH(IF('Data-solution'!$A$3="Maximize",MAX($C14:$AI14),MIN($C14:$AI14)),$C14:$AI14,0))),J7)</f>
        <v>0</v>
      </c>
      <c r="K22" s="1">
        <f>IF(OR($B18&lt;&gt;$B3,$B19&lt;&gt;$B4,$B20&lt;&gt;$B5,$B21&lt;&gt;$B6,$B22&lt;&gt;$B7,$B23&lt;&gt;$B8,$B24&lt;&gt;$B9,$B25&lt;&gt;$B10,$B26&lt;&gt;$B11,$B27&lt;&gt;$B12,$B28&lt;&gt;$B13),IF($B22&lt;&gt;$B7,K7/INDEX($C3:$AJ13,5,MATCH(IF('Data-solution'!$A$3="Maximize",MAX($C14:$AI14),MIN($C14:$AI14)),$C14:$AI14,0)),K7-INDEX($C3:$AJ13,5,MATCH(IF('Data-solution'!$A$3="Maximize",MAX($C14:$AI14),MIN($C14:$AI14)),$C14:$AI14,0))*INDEX(K3:$AJ13,MATCH(MIN($AK3:$AK13),$AK3:$AK13,0),1)/INDEX($C3:$AJ13,MATCH(MIN($AK3:$AK13),$AK3:$AK13,0),MATCH(IF('Data-solution'!$A$3="Maximize",MAX($C14:$AI14),MIN($C14:$AI14)),$C14:$AI14,0))),K7)</f>
        <v>0</v>
      </c>
      <c r="L22" s="1">
        <f>IF(OR($B18&lt;&gt;$B3,$B19&lt;&gt;$B4,$B20&lt;&gt;$B5,$B21&lt;&gt;$B6,$B22&lt;&gt;$B7,$B23&lt;&gt;$B8,$B24&lt;&gt;$B9,$B25&lt;&gt;$B10,$B26&lt;&gt;$B11,$B27&lt;&gt;$B12,$B28&lt;&gt;$B13),IF($B22&lt;&gt;$B7,L7/INDEX($C3:$AJ13,5,MATCH(IF('Data-solution'!$A$3="Maximize",MAX($C14:$AI14),MIN($C14:$AI14)),$C14:$AI14,0)),L7-INDEX($C3:$AJ13,5,MATCH(IF('Data-solution'!$A$3="Maximize",MAX($C14:$AI14),MIN($C14:$AI14)),$C14:$AI14,0))*INDEX(L3:$AJ13,MATCH(MIN($AK3:$AK13),$AK3:$AK13,0),1)/INDEX($C3:$AJ13,MATCH(MIN($AK3:$AK13),$AK3:$AK13,0),MATCH(IF('Data-solution'!$A$3="Maximize",MAX($C14:$AI14),MIN($C14:$AI14)),$C14:$AI14,0))),L7)</f>
        <v>0</v>
      </c>
      <c r="M22" s="1">
        <f>IF(OR($B18&lt;&gt;$B3,$B19&lt;&gt;$B4,$B20&lt;&gt;$B5,$B21&lt;&gt;$B6,$B22&lt;&gt;$B7,$B23&lt;&gt;$B8,$B24&lt;&gt;$B9,$B25&lt;&gt;$B10,$B26&lt;&gt;$B11,$B27&lt;&gt;$B12,$B28&lt;&gt;$B13),IF($B22&lt;&gt;$B7,M7/INDEX($C3:$AJ13,5,MATCH(IF('Data-solution'!$A$3="Maximize",MAX($C14:$AI14),MIN($C14:$AI14)),$C14:$AI14,0)),M7-INDEX($C3:$AJ13,5,MATCH(IF('Data-solution'!$A$3="Maximize",MAX($C14:$AI14),MIN($C14:$AI14)),$C14:$AI14,0))*INDEX(M3:$AJ13,MATCH(MIN($AK3:$AK13),$AK3:$AK13,0),1)/INDEX($C3:$AJ13,MATCH(MIN($AK3:$AK13),$AK3:$AK13,0),MATCH(IF('Data-solution'!$A$3="Maximize",MAX($C14:$AI14),MIN($C14:$AI14)),$C14:$AI14,0))),M7)</f>
        <v>0</v>
      </c>
      <c r="N22" s="1">
        <f>IF(OR($B18&lt;&gt;$B3,$B19&lt;&gt;$B4,$B20&lt;&gt;$B5,$B21&lt;&gt;$B6,$B22&lt;&gt;$B7,$B23&lt;&gt;$B8,$B24&lt;&gt;$B9,$B25&lt;&gt;$B10,$B26&lt;&gt;$B11,$B27&lt;&gt;$B12,$B28&lt;&gt;$B13),IF($B22&lt;&gt;$B7,N7/INDEX($C3:$AJ13,5,MATCH(IF('Data-solution'!$A$3="Maximize",MAX($C14:$AI14),MIN($C14:$AI14)),$C14:$AI14,0)),N7-INDEX($C3:$AJ13,5,MATCH(IF('Data-solution'!$A$3="Maximize",MAX($C14:$AI14),MIN($C14:$AI14)),$C14:$AI14,0))*INDEX(N3:$AJ13,MATCH(MIN($AK3:$AK13),$AK3:$AK13,0),1)/INDEX($C3:$AJ13,MATCH(MIN($AK3:$AK13),$AK3:$AK13,0),MATCH(IF('Data-solution'!$A$3="Maximize",MAX($C14:$AI14),MIN($C14:$AI14)),$C14:$AI14,0))),N7)</f>
        <v>0</v>
      </c>
      <c r="O22" s="1">
        <f>IF(OR($B18&lt;&gt;$B3,$B19&lt;&gt;$B4,$B20&lt;&gt;$B5,$B21&lt;&gt;$B6,$B22&lt;&gt;$B7,$B23&lt;&gt;$B8,$B24&lt;&gt;$B9,$B25&lt;&gt;$B10,$B26&lt;&gt;$B11,$B27&lt;&gt;$B12,$B28&lt;&gt;$B13),IF($B22&lt;&gt;$B7,O7/INDEX($C3:$AJ13,5,MATCH(IF('Data-solution'!$A$3="Maximize",MAX($C14:$AI14),MIN($C14:$AI14)),$C14:$AI14,0)),O7-INDEX($C3:$AJ13,5,MATCH(IF('Data-solution'!$A$3="Maximize",MAX($C14:$AI14),MIN($C14:$AI14)),$C14:$AI14,0))*INDEX(O3:$AJ13,MATCH(MIN($AK3:$AK13),$AK3:$AK13,0),1)/INDEX($C3:$AJ13,MATCH(MIN($AK3:$AK13),$AK3:$AK13,0),MATCH(IF('Data-solution'!$A$3="Maximize",MAX($C14:$AI14),MIN($C14:$AI14)),$C14:$AI14,0))),O7)</f>
        <v>0</v>
      </c>
      <c r="P22" s="1">
        <f>IF(OR($B18&lt;&gt;$B3,$B19&lt;&gt;$B4,$B20&lt;&gt;$B5,$B21&lt;&gt;$B6,$B22&lt;&gt;$B7,$B23&lt;&gt;$B8,$B24&lt;&gt;$B9,$B25&lt;&gt;$B10,$B26&lt;&gt;$B11,$B27&lt;&gt;$B12,$B28&lt;&gt;$B13),IF($B22&lt;&gt;$B7,P7/INDEX($C3:$AJ13,5,MATCH(IF('Data-solution'!$A$3="Maximize",MAX($C14:$AI14),MIN($C14:$AI14)),$C14:$AI14,0)),P7-INDEX($C3:$AJ13,5,MATCH(IF('Data-solution'!$A$3="Maximize",MAX($C14:$AI14),MIN($C14:$AI14)),$C14:$AI14,0))*INDEX(P3:$AJ13,MATCH(MIN($AK3:$AK13),$AK3:$AK13,0),1)/INDEX($C3:$AJ13,MATCH(MIN($AK3:$AK13),$AK3:$AK13,0),MATCH(IF('Data-solution'!$A$3="Maximize",MAX($C14:$AI14),MIN($C14:$AI14)),$C14:$AI14,0))),P7)</f>
        <v>0</v>
      </c>
      <c r="Q22" s="1">
        <f>IF(OR($B18&lt;&gt;$B3,$B19&lt;&gt;$B4,$B20&lt;&gt;$B5,$B21&lt;&gt;$B6,$B22&lt;&gt;$B7,$B23&lt;&gt;$B8,$B24&lt;&gt;$B9,$B25&lt;&gt;$B10,$B26&lt;&gt;$B11,$B27&lt;&gt;$B12,$B28&lt;&gt;$B13),IF($B22&lt;&gt;$B7,Q7/INDEX($C3:$AJ13,5,MATCH(IF('Data-solution'!$A$3="Maximize",MAX($C14:$AI14),MIN($C14:$AI14)),$C14:$AI14,0)),Q7-INDEX($C3:$AJ13,5,MATCH(IF('Data-solution'!$A$3="Maximize",MAX($C14:$AI14),MIN($C14:$AI14)),$C14:$AI14,0))*INDEX(Q3:$AJ13,MATCH(MIN($AK3:$AK13),$AK3:$AK13,0),1)/INDEX($C3:$AJ13,MATCH(MIN($AK3:$AK13),$AK3:$AK13,0),MATCH(IF('Data-solution'!$A$3="Maximize",MAX($C14:$AI14),MIN($C14:$AI14)),$C14:$AI14,0))),Q7)</f>
        <v>0</v>
      </c>
      <c r="R22" s="1">
        <f>IF(OR($B18&lt;&gt;$B3,$B19&lt;&gt;$B4,$B20&lt;&gt;$B5,$B21&lt;&gt;$B6,$B22&lt;&gt;$B7,$B23&lt;&gt;$B8,$B24&lt;&gt;$B9,$B25&lt;&gt;$B10,$B26&lt;&gt;$B11,$B27&lt;&gt;$B12,$B28&lt;&gt;$B13),IF($B22&lt;&gt;$B7,R7/INDEX($C3:$AJ13,5,MATCH(IF('Data-solution'!$A$3="Maximize",MAX($C14:$AI14),MIN($C14:$AI14)),$C14:$AI14,0)),R7-INDEX($C3:$AJ13,5,MATCH(IF('Data-solution'!$A$3="Maximize",MAX($C14:$AI14),MIN($C14:$AI14)),$C14:$AI14,0))*INDEX(R3:$AJ13,MATCH(MIN($AK3:$AK13),$AK3:$AK13,0),1)/INDEX($C3:$AJ13,MATCH(MIN($AK3:$AK13),$AK3:$AK13,0),MATCH(IF('Data-solution'!$A$3="Maximize",MAX($C14:$AI14),MIN($C14:$AI14)),$C14:$AI14,0))),R7)</f>
        <v>1</v>
      </c>
      <c r="S22" s="1">
        <f>IF(OR($B18&lt;&gt;$B3,$B19&lt;&gt;$B4,$B20&lt;&gt;$B5,$B21&lt;&gt;$B6,$B22&lt;&gt;$B7,$B23&lt;&gt;$B8,$B24&lt;&gt;$B9,$B25&lt;&gt;$B10,$B26&lt;&gt;$B11,$B27&lt;&gt;$B12,$B28&lt;&gt;$B13),IF($B22&lt;&gt;$B7,S7/INDEX($C3:$AJ13,5,MATCH(IF('Data-solution'!$A$3="Maximize",MAX($C14:$AI14),MIN($C14:$AI14)),$C14:$AI14,0)),S7-INDEX($C3:$AJ13,5,MATCH(IF('Data-solution'!$A$3="Maximize",MAX($C14:$AI14),MIN($C14:$AI14)),$C14:$AI14,0))*INDEX(S3:$AJ13,MATCH(MIN($AK3:$AK13),$AK3:$AK13,0),1)/INDEX($C3:$AJ13,MATCH(MIN($AK3:$AK13),$AK3:$AK13,0),MATCH(IF('Data-solution'!$A$3="Maximize",MAX($C14:$AI14),MIN($C14:$AI14)),$C14:$AI14,0))),S7)</f>
        <v>0</v>
      </c>
      <c r="T22" s="1">
        <f>IF(OR($B18&lt;&gt;$B3,$B19&lt;&gt;$B4,$B20&lt;&gt;$B5,$B21&lt;&gt;$B6,$B22&lt;&gt;$B7,$B23&lt;&gt;$B8,$B24&lt;&gt;$B9,$B25&lt;&gt;$B10,$B26&lt;&gt;$B11,$B27&lt;&gt;$B12,$B28&lt;&gt;$B13),IF($B22&lt;&gt;$B7,T7/INDEX($C3:$AJ13,5,MATCH(IF('Data-solution'!$A$3="Maximize",MAX($C14:$AI14),MIN($C14:$AI14)),$C14:$AI14,0)),T7-INDEX($C3:$AJ13,5,MATCH(IF('Data-solution'!$A$3="Maximize",MAX($C14:$AI14),MIN($C14:$AI14)),$C14:$AI14,0))*INDEX(T3:$AJ13,MATCH(MIN($AK3:$AK13),$AK3:$AK13,0),1)/INDEX($C3:$AJ13,MATCH(MIN($AK3:$AK13),$AK3:$AK13,0),MATCH(IF('Data-solution'!$A$3="Maximize",MAX($C14:$AI14),MIN($C14:$AI14)),$C14:$AI14,0))),T7)</f>
        <v>0</v>
      </c>
      <c r="U22" s="1">
        <f>IF(OR($B18&lt;&gt;$B3,$B19&lt;&gt;$B4,$B20&lt;&gt;$B5,$B21&lt;&gt;$B6,$B22&lt;&gt;$B7,$B23&lt;&gt;$B8,$B24&lt;&gt;$B9,$B25&lt;&gt;$B10,$B26&lt;&gt;$B11,$B27&lt;&gt;$B12,$B28&lt;&gt;$B13),IF($B22&lt;&gt;$B7,U7/INDEX($C3:$AJ13,5,MATCH(IF('Data-solution'!$A$3="Maximize",MAX($C14:$AI14),MIN($C14:$AI14)),$C14:$AI14,0)),U7-INDEX($C3:$AJ13,5,MATCH(IF('Data-solution'!$A$3="Maximize",MAX($C14:$AI14),MIN($C14:$AI14)),$C14:$AI14,0))*INDEX(U3:$AJ13,MATCH(MIN($AK3:$AK13),$AK3:$AK13,0),1)/INDEX($C3:$AJ13,MATCH(MIN($AK3:$AK13),$AK3:$AK13,0),MATCH(IF('Data-solution'!$A$3="Maximize",MAX($C14:$AI14),MIN($C14:$AI14)),$C14:$AI14,0))),U7)</f>
        <v>0</v>
      </c>
      <c r="V22" s="1">
        <f>IF(OR($B18&lt;&gt;$B3,$B19&lt;&gt;$B4,$B20&lt;&gt;$B5,$B21&lt;&gt;$B6,$B22&lt;&gt;$B7,$B23&lt;&gt;$B8,$B24&lt;&gt;$B9,$B25&lt;&gt;$B10,$B26&lt;&gt;$B11,$B27&lt;&gt;$B12,$B28&lt;&gt;$B13),IF($B22&lt;&gt;$B7,V7/INDEX($C3:$AJ13,5,MATCH(IF('Data-solution'!$A$3="Maximize",MAX($C14:$AI14),MIN($C14:$AI14)),$C14:$AI14,0)),V7-INDEX($C3:$AJ13,5,MATCH(IF('Data-solution'!$A$3="Maximize",MAX($C14:$AI14),MIN($C14:$AI14)),$C14:$AI14,0))*INDEX(V3:$AJ13,MATCH(MIN($AK3:$AK13),$AK3:$AK13,0),1)/INDEX($C3:$AJ13,MATCH(MIN($AK3:$AK13),$AK3:$AK13,0),MATCH(IF('Data-solution'!$A$3="Maximize",MAX($C14:$AI14),MIN($C14:$AI14)),$C14:$AI14,0))),V7)</f>
        <v>0</v>
      </c>
      <c r="W22" s="1">
        <f>IF(OR($B18&lt;&gt;$B3,$B19&lt;&gt;$B4,$B20&lt;&gt;$B5,$B21&lt;&gt;$B6,$B22&lt;&gt;$B7,$B23&lt;&gt;$B8,$B24&lt;&gt;$B9,$B25&lt;&gt;$B10,$B26&lt;&gt;$B11,$B27&lt;&gt;$B12,$B28&lt;&gt;$B13),IF($B22&lt;&gt;$B7,W7/INDEX($C3:$AJ13,5,MATCH(IF('Data-solution'!$A$3="Maximize",MAX($C14:$AI14),MIN($C14:$AI14)),$C14:$AI14,0)),W7-INDEX($C3:$AJ13,5,MATCH(IF('Data-solution'!$A$3="Maximize",MAX($C14:$AI14),MIN($C14:$AI14)),$C14:$AI14,0))*INDEX(W3:$AJ13,MATCH(MIN($AK3:$AK13),$AK3:$AK13,0),1)/INDEX($C3:$AJ13,MATCH(MIN($AK3:$AK13),$AK3:$AK13,0),MATCH(IF('Data-solution'!$A$3="Maximize",MAX($C14:$AI14),MIN($C14:$AI14)),$C14:$AI14,0))),W7)</f>
        <v>0</v>
      </c>
      <c r="X22" s="1">
        <f>IF(OR($B18&lt;&gt;$B3,$B19&lt;&gt;$B4,$B20&lt;&gt;$B5,$B21&lt;&gt;$B6,$B22&lt;&gt;$B7,$B23&lt;&gt;$B8,$B24&lt;&gt;$B9,$B25&lt;&gt;$B10,$B26&lt;&gt;$B11,$B27&lt;&gt;$B12,$B28&lt;&gt;$B13),IF($B22&lt;&gt;$B7,X7/INDEX($C3:$AJ13,5,MATCH(IF('Data-solution'!$A$3="Maximize",MAX($C14:$AI14),MIN($C14:$AI14)),$C14:$AI14,0)),X7-INDEX($C3:$AJ13,5,MATCH(IF('Data-solution'!$A$3="Maximize",MAX($C14:$AI14),MIN($C14:$AI14)),$C14:$AI14,0))*INDEX(X3:$AJ13,MATCH(MIN($AK3:$AK13),$AK3:$AK13,0),1)/INDEX($C3:$AJ13,MATCH(MIN($AK3:$AK13),$AK3:$AK13,0),MATCH(IF('Data-solution'!$A$3="Maximize",MAX($C14:$AI14),MIN($C14:$AI14)),$C14:$AI14,0))),X7)</f>
        <v>0</v>
      </c>
      <c r="Y22" s="1">
        <f>IF(OR($B18&lt;&gt;$B3,$B19&lt;&gt;$B4,$B20&lt;&gt;$B5,$B21&lt;&gt;$B6,$B22&lt;&gt;$B7,$B23&lt;&gt;$B8,$B24&lt;&gt;$B9,$B25&lt;&gt;$B10,$B26&lt;&gt;$B11,$B27&lt;&gt;$B12,$B28&lt;&gt;$B13),IF($B22&lt;&gt;$B7,Y7/INDEX($C3:$AJ13,5,MATCH(IF('Data-solution'!$A$3="Maximize",MAX($C14:$AI14),MIN($C14:$AI14)),$C14:$AI14,0)),Y7-INDEX($C3:$AJ13,5,MATCH(IF('Data-solution'!$A$3="Maximize",MAX($C14:$AI14),MIN($C14:$AI14)),$C14:$AI14,0))*INDEX(Y3:$AJ13,MATCH(MIN($AK3:$AK13),$AK3:$AK13,0),1)/INDEX($C3:$AJ13,MATCH(MIN($AK3:$AK13),$AK3:$AK13,0),MATCH(IF('Data-solution'!$A$3="Maximize",MAX($C14:$AI14),MIN($C14:$AI14)),$C14:$AI14,0))),Y7)</f>
        <v>0</v>
      </c>
      <c r="Z22" s="1">
        <f>IF(OR($B18&lt;&gt;$B3,$B19&lt;&gt;$B4,$B20&lt;&gt;$B5,$B21&lt;&gt;$B6,$B22&lt;&gt;$B7,$B23&lt;&gt;$B8,$B24&lt;&gt;$B9,$B25&lt;&gt;$B10,$B26&lt;&gt;$B11,$B27&lt;&gt;$B12,$B28&lt;&gt;$B13),IF($B22&lt;&gt;$B7,Z7/INDEX($C3:$AJ13,5,MATCH(IF('Data-solution'!$A$3="Maximize",MAX($C14:$AI14),MIN($C14:$AI14)),$C14:$AI14,0)),Z7-INDEX($C3:$AJ13,5,MATCH(IF('Data-solution'!$A$3="Maximize",MAX($C14:$AI14),MIN($C14:$AI14)),$C14:$AI14,0))*INDEX(Z3:$AJ13,MATCH(MIN($AK3:$AK13),$AK3:$AK13,0),1)/INDEX($C3:$AJ13,MATCH(MIN($AK3:$AK13),$AK3:$AK13,0),MATCH(IF('Data-solution'!$A$3="Maximize",MAX($C14:$AI14),MIN($C14:$AI14)),$C14:$AI14,0))),Z7)</f>
        <v>0</v>
      </c>
      <c r="AA22" s="1">
        <f>IF(OR($B18&lt;&gt;$B3,$B19&lt;&gt;$B4,$B20&lt;&gt;$B5,$B21&lt;&gt;$B6,$B22&lt;&gt;$B7,$B23&lt;&gt;$B8,$B24&lt;&gt;$B9,$B25&lt;&gt;$B10,$B26&lt;&gt;$B11,$B27&lt;&gt;$B12,$B28&lt;&gt;$B13),IF($B22&lt;&gt;$B7,AA7/INDEX($C3:$AJ13,5,MATCH(IF('Data-solution'!$A$3="Maximize",MAX($C14:$AI14),MIN($C14:$AI14)),$C14:$AI14,0)),AA7-INDEX($C3:$AJ13,5,MATCH(IF('Data-solution'!$A$3="Maximize",MAX($C14:$AI14),MIN($C14:$AI14)),$C14:$AI14,0))*INDEX(AA3:$AJ13,MATCH(MIN($AK3:$AK13),$AK3:$AK13,0),1)/INDEX($C3:$AJ13,MATCH(MIN($AK3:$AK13),$AK3:$AK13,0),MATCH(IF('Data-solution'!$A$3="Maximize",MAX($C14:$AI14),MIN($C14:$AI14)),$C14:$AI14,0))),AA7)</f>
        <v>0</v>
      </c>
      <c r="AB22" s="1">
        <f>IF(OR($B18&lt;&gt;$B3,$B19&lt;&gt;$B4,$B20&lt;&gt;$B5,$B21&lt;&gt;$B6,$B22&lt;&gt;$B7,$B23&lt;&gt;$B8,$B24&lt;&gt;$B9,$B25&lt;&gt;$B10,$B26&lt;&gt;$B11,$B27&lt;&gt;$B12,$B28&lt;&gt;$B13),IF($B22&lt;&gt;$B7,AB7/INDEX($C3:$AJ13,5,MATCH(IF('Data-solution'!$A$3="Maximize",MAX($C14:$AI14),MIN($C14:$AI14)),$C14:$AI14,0)),AB7-INDEX($C3:$AJ13,5,MATCH(IF('Data-solution'!$A$3="Maximize",MAX($C14:$AI14),MIN($C14:$AI14)),$C14:$AI14,0))*INDEX(AB3:$AJ13,MATCH(MIN($AK3:$AK13),$AK3:$AK13,0),1)/INDEX($C3:$AJ13,MATCH(MIN($AK3:$AK13),$AK3:$AK13,0),MATCH(IF('Data-solution'!$A$3="Maximize",MAX($C14:$AI14),MIN($C14:$AI14)),$C14:$AI14,0))),AB7)</f>
        <v>0</v>
      </c>
      <c r="AC22" s="1">
        <f>IF(OR($B18&lt;&gt;$B3,$B19&lt;&gt;$B4,$B20&lt;&gt;$B5,$B21&lt;&gt;$B6,$B22&lt;&gt;$B7,$B23&lt;&gt;$B8,$B24&lt;&gt;$B9,$B25&lt;&gt;$B10,$B26&lt;&gt;$B11,$B27&lt;&gt;$B12,$B28&lt;&gt;$B13),IF($B22&lt;&gt;$B7,AC7/INDEX($C3:$AJ13,5,MATCH(IF('Data-solution'!$A$3="Maximize",MAX($C14:$AI14),MIN($C14:$AI14)),$C14:$AI14,0)),AC7-INDEX($C3:$AJ13,5,MATCH(IF('Data-solution'!$A$3="Maximize",MAX($C14:$AI14),MIN($C14:$AI14)),$C14:$AI14,0))*INDEX(AC3:$AJ13,MATCH(MIN($AK3:$AK13),$AK3:$AK13,0),1)/INDEX($C3:$AJ13,MATCH(MIN($AK3:$AK13),$AK3:$AK13,0),MATCH(IF('Data-solution'!$A$3="Maximize",MAX($C14:$AI14),MIN($C14:$AI14)),$C14:$AI14,0))),AC7)</f>
        <v>1</v>
      </c>
      <c r="AD22" s="1">
        <f>IF(OR($B18&lt;&gt;$B3,$B19&lt;&gt;$B4,$B20&lt;&gt;$B5,$B21&lt;&gt;$B6,$B22&lt;&gt;$B7,$B23&lt;&gt;$B8,$B24&lt;&gt;$B9,$B25&lt;&gt;$B10,$B26&lt;&gt;$B11,$B27&lt;&gt;$B12,$B28&lt;&gt;$B13),IF($B22&lt;&gt;$B7,AD7/INDEX($C3:$AJ13,5,MATCH(IF('Data-solution'!$A$3="Maximize",MAX($C14:$AI14),MIN($C14:$AI14)),$C14:$AI14,0)),AD7-INDEX($C3:$AJ13,5,MATCH(IF('Data-solution'!$A$3="Maximize",MAX($C14:$AI14),MIN($C14:$AI14)),$C14:$AI14,0))*INDEX(AD3:$AJ13,MATCH(MIN($AK3:$AK13),$AK3:$AK13,0),1)/INDEX($C3:$AJ13,MATCH(MIN($AK3:$AK13),$AK3:$AK13,0),MATCH(IF('Data-solution'!$A$3="Maximize",MAX($C14:$AI14),MIN($C14:$AI14)),$C14:$AI14,0))),AD7)</f>
        <v>0</v>
      </c>
      <c r="AE22" s="1">
        <f>IF(OR($B18&lt;&gt;$B3,$B19&lt;&gt;$B4,$B20&lt;&gt;$B5,$B21&lt;&gt;$B6,$B22&lt;&gt;$B7,$B23&lt;&gt;$B8,$B24&lt;&gt;$B9,$B25&lt;&gt;$B10,$B26&lt;&gt;$B11,$B27&lt;&gt;$B12,$B28&lt;&gt;$B13),IF($B22&lt;&gt;$B7,AE7/INDEX($C3:$AJ13,5,MATCH(IF('Data-solution'!$A$3="Maximize",MAX($C14:$AI14),MIN($C14:$AI14)),$C14:$AI14,0)),AE7-INDEX($C3:$AJ13,5,MATCH(IF('Data-solution'!$A$3="Maximize",MAX($C14:$AI14),MIN($C14:$AI14)),$C14:$AI14,0))*INDEX(AE3:$AJ13,MATCH(MIN($AK3:$AK13),$AK3:$AK13,0),1)/INDEX($C3:$AJ13,MATCH(MIN($AK3:$AK13),$AK3:$AK13,0),MATCH(IF('Data-solution'!$A$3="Maximize",MAX($C14:$AI14),MIN($C14:$AI14)),$C14:$AI14,0))),AE7)</f>
        <v>0</v>
      </c>
      <c r="AF22" s="1">
        <f>IF(OR($B18&lt;&gt;$B3,$B19&lt;&gt;$B4,$B20&lt;&gt;$B5,$B21&lt;&gt;$B6,$B22&lt;&gt;$B7,$B23&lt;&gt;$B8,$B24&lt;&gt;$B9,$B25&lt;&gt;$B10,$B26&lt;&gt;$B11,$B27&lt;&gt;$B12,$B28&lt;&gt;$B13),IF($B22&lt;&gt;$B7,AF7/INDEX($C3:$AJ13,5,MATCH(IF('Data-solution'!$A$3="Maximize",MAX($C14:$AI14),MIN($C14:$AI14)),$C14:$AI14,0)),AF7-INDEX($C3:$AJ13,5,MATCH(IF('Data-solution'!$A$3="Maximize",MAX($C14:$AI14),MIN($C14:$AI14)),$C14:$AI14,0))*INDEX(AF3:$AJ13,MATCH(MIN($AK3:$AK13),$AK3:$AK13,0),1)/INDEX($C3:$AJ13,MATCH(MIN($AK3:$AK13),$AK3:$AK13,0),MATCH(IF('Data-solution'!$A$3="Maximize",MAX($C14:$AI14),MIN($C14:$AI14)),$C14:$AI14,0))),AF7)</f>
        <v>0</v>
      </c>
      <c r="AG22" s="1">
        <f>IF(OR($B18&lt;&gt;$B3,$B19&lt;&gt;$B4,$B20&lt;&gt;$B5,$B21&lt;&gt;$B6,$B22&lt;&gt;$B7,$B23&lt;&gt;$B8,$B24&lt;&gt;$B9,$B25&lt;&gt;$B10,$B26&lt;&gt;$B11,$B27&lt;&gt;$B12,$B28&lt;&gt;$B13),IF($B22&lt;&gt;$B7,AG7/INDEX($C3:$AJ13,5,MATCH(IF('Data-solution'!$A$3="Maximize",MAX($C14:$AI14),MIN($C14:$AI14)),$C14:$AI14,0)),AG7-INDEX($C3:$AJ13,5,MATCH(IF('Data-solution'!$A$3="Maximize",MAX($C14:$AI14),MIN($C14:$AI14)),$C14:$AI14,0))*INDEX(AG3:$AJ13,MATCH(MIN($AK3:$AK13),$AK3:$AK13,0),1)/INDEX($C3:$AJ13,MATCH(MIN($AK3:$AK13),$AK3:$AK13,0),MATCH(IF('Data-solution'!$A$3="Maximize",MAX($C14:$AI14),MIN($C14:$AI14)),$C14:$AI14,0))),AG7)</f>
        <v>0</v>
      </c>
      <c r="AH22" s="1">
        <f>IF(OR($B18&lt;&gt;$B3,$B19&lt;&gt;$B4,$B20&lt;&gt;$B5,$B21&lt;&gt;$B6,$B22&lt;&gt;$B7,$B23&lt;&gt;$B8,$B24&lt;&gt;$B9,$B25&lt;&gt;$B10,$B26&lt;&gt;$B11,$B27&lt;&gt;$B12,$B28&lt;&gt;$B13),IF($B22&lt;&gt;$B7,AH7/INDEX($C3:$AJ13,5,MATCH(IF('Data-solution'!$A$3="Maximize",MAX($C14:$AI14),MIN($C14:$AI14)),$C14:$AI14,0)),AH7-INDEX($C3:$AJ13,5,MATCH(IF('Data-solution'!$A$3="Maximize",MAX($C14:$AI14),MIN($C14:$AI14)),$C14:$AI14,0))*INDEX(AH3:$AJ13,MATCH(MIN($AK3:$AK13),$AK3:$AK13,0),1)/INDEX($C3:$AJ13,MATCH(MIN($AK3:$AK13),$AK3:$AK13,0),MATCH(IF('Data-solution'!$A$3="Maximize",MAX($C14:$AI14),MIN($C14:$AI14)),$C14:$AI14,0))),AH7)</f>
        <v>0</v>
      </c>
      <c r="AI22" s="1">
        <f>IF(OR($B18&lt;&gt;$B3,$B19&lt;&gt;$B4,$B20&lt;&gt;$B5,$B21&lt;&gt;$B6,$B22&lt;&gt;$B7,$B23&lt;&gt;$B8,$B24&lt;&gt;$B9,$B25&lt;&gt;$B10,$B26&lt;&gt;$B11,$B27&lt;&gt;$B12,$B28&lt;&gt;$B13),IF($B22&lt;&gt;$B7,AI7/INDEX($C3:$AJ13,5,MATCH(IF('Data-solution'!$A$3="Maximize",MAX($C14:$AI14),MIN($C14:$AI14)),$C14:$AI14,0)),AI7-INDEX($C3:$AJ13,5,MATCH(IF('Data-solution'!$A$3="Maximize",MAX($C14:$AI14),MIN($C14:$AI14)),$C14:$AI14,0))*INDEX(AI3:$AJ13,MATCH(MIN($AK3:$AK13),$AK3:$AK13,0),1)/INDEX($C3:$AJ13,MATCH(MIN($AK3:$AK13),$AK3:$AK13,0),MATCH(IF('Data-solution'!$A$3="Maximize",MAX($C14:$AI14),MIN($C14:$AI14)),$C14:$AI14,0))),AI7)</f>
        <v>0</v>
      </c>
      <c r="AJ22" s="1">
        <f>IF(OR($B18&lt;&gt;$B3,$B19&lt;&gt;$B4,$B20&lt;&gt;$B5,$B21&lt;&gt;$B6,$B22&lt;&gt;$B7,$B23&lt;&gt;$B8,$B24&lt;&gt;$B9,$B25&lt;&gt;$B10,$B26&lt;&gt;$B11,$B27&lt;&gt;$B12,$B28&lt;&gt;$B13),IF($B22&lt;&gt;$B7,AJ7/INDEX($C3:$AJ13,5,MATCH(IF('Data-solution'!$A$3="Maximize",MAX($C14:$AI14),MIN($C14:$AI14)),$C14:$AI14,0)),AJ7-INDEX($C3:$AJ13,5,MATCH(IF('Data-solution'!$A$3="Maximize",MAX($C14:$AI14),MIN($C14:$AI14)),$C14:$AI14,0))*INDEX(AJ3:$AJ13,MATCH(MIN($AK3:$AK13),$AK3:$AK13,0),1)/INDEX($C3:$AJ13,MATCH(MIN($AK3:$AK13),$AK3:$AK13,0),MATCH(IF('Data-solution'!$A$3="Maximize",MAX($C14:$AI14),MIN($C14:$AI14)),$C14:$AI14,0))),AJ7)</f>
        <v>0</v>
      </c>
      <c r="AK22" s="1" t="str">
        <f>IF(INDEX(C22:X22,1,MATCH(IF('Data-solution'!A$3="Maximize",MAX(C29:X29),MIN(C29:X29)),C29:X29,0))&gt;0,AJ22/INDEX(C22:X22,1,MATCH(IF('Data-solution'!A$3="Maximize",MAX(C29:X29),MIN(C29:X29)),C29:X29,0))," ")</f>
        <v xml:space="preserve"> </v>
      </c>
    </row>
    <row r="23" spans="1:37" ht="18" customHeight="1" x14ac:dyDescent="0.2">
      <c r="A23" s="1">
        <f>INDEX(C16:AI16,1,MATCH(B23,C17:AI17,0))</f>
        <v>0</v>
      </c>
      <c r="B23" s="2" t="str">
        <f>IF(AND('Data-solution'!A$3="Maximize",COUNTIF(C14:X14,"&gt;"&amp;0)&gt;0,AK8=MIN(AK3:AK13),COUNTIF(B18:B22,INDEX(C2:X2,1,MATCH(MAX(C14:X14),C14:X14,0)))=0),INDEX(C2:X2,1,MATCH(MAX(C14:X14),C14:X14,0)),IF(AND('Data-solution'!A$3="Minimize",COUNTIF(C14:X14,"&lt;"&amp;0)&gt;0,AK8=MIN(AK3:AK13),COUNTIF(B18:B22,INDEX(C2:X2,1,MATCH(MIN(C14:X14),C14:X14,0)))=0),INDEX(C2:X2,1,MATCH(MIN(C14:X14),C14:X14,0)),B8))</f>
        <v>S6</v>
      </c>
      <c r="C23" s="1">
        <f>IF(OR($B18&lt;&gt;$B3,$B19&lt;&gt;$B4,$B20&lt;&gt;$B5,$B21&lt;&gt;$B6,$B22&lt;&gt;$B7,$B23&lt;&gt;$B8,$B24&lt;&gt;$B9,$B25&lt;&gt;$B10,$B26&lt;&gt;$B11,$B27&lt;&gt;$B12,$B28&lt;&gt;$B13),IF($B23&lt;&gt;$B8,C8/INDEX($C3:$AJ13,6,MATCH(IF('Data-solution'!$A$3="Maximize",MAX($C14:$AI14),MIN($C14:$AI14)),$C14:$AI14,0)),C8-INDEX($C3:$AJ13,6,MATCH(IF('Data-solution'!$A$3="Maximize",MAX($C14:$AI14),MIN($C14:$AI14)),$C14:$AI14,0))*INDEX(C3:$AJ13,MATCH(MIN($AK3:$AK13),$AK3:$AK13,0),1)/INDEX($C3:$AJ13,MATCH(MIN($AK3:$AK13),$AK3:$AK13,0),MATCH(IF('Data-solution'!$A$3="Maximize",MAX($C14:$AI14),MIN($C14:$AI14)),$C14:$AI14,0))),C8)</f>
        <v>0</v>
      </c>
      <c r="D23" s="1">
        <f>IF(OR($B18&lt;&gt;$B3,$B19&lt;&gt;$B4,$B20&lt;&gt;$B5,$B21&lt;&gt;$B6,$B22&lt;&gt;$B7,$B23&lt;&gt;$B8,$B24&lt;&gt;$B9,$B25&lt;&gt;$B10,$B26&lt;&gt;$B11,$B27&lt;&gt;$B12,$B28&lt;&gt;$B13),IF($B23&lt;&gt;$B8,D8/INDEX($C3:$AJ13,6,MATCH(IF('Data-solution'!$A$3="Maximize",MAX($C14:$AI14),MIN($C14:$AI14)),$C14:$AI14,0)),D8-INDEX($C3:$AJ13,6,MATCH(IF('Data-solution'!$A$3="Maximize",MAX($C14:$AI14),MIN($C14:$AI14)),$C14:$AI14,0))*INDEX(D3:$AJ13,MATCH(MIN($AK3:$AK13),$AK3:$AK13,0),1)/INDEX($C3:$AJ13,MATCH(MIN($AK3:$AK13),$AK3:$AK13,0),MATCH(IF('Data-solution'!$A$3="Maximize",MAX($C14:$AI14),MIN($C14:$AI14)),$C14:$AI14,0))),D8)</f>
        <v>0</v>
      </c>
      <c r="E23" s="1">
        <f>IF(OR($B18&lt;&gt;$B3,$B19&lt;&gt;$B4,$B20&lt;&gt;$B5,$B21&lt;&gt;$B6,$B22&lt;&gt;$B7,$B23&lt;&gt;$B8,$B24&lt;&gt;$B9,$B25&lt;&gt;$B10,$B26&lt;&gt;$B11,$B27&lt;&gt;$B12,$B28&lt;&gt;$B13),IF($B23&lt;&gt;$B8,E8/INDEX($C3:$AJ13,6,MATCH(IF('Data-solution'!$A$3="Maximize",MAX($C14:$AI14),MIN($C14:$AI14)),$C14:$AI14,0)),E8-INDEX($C3:$AJ13,6,MATCH(IF('Data-solution'!$A$3="Maximize",MAX($C14:$AI14),MIN($C14:$AI14)),$C14:$AI14,0))*INDEX(E3:$AJ13,MATCH(MIN($AK3:$AK13),$AK3:$AK13,0),1)/INDEX($C3:$AJ13,MATCH(MIN($AK3:$AK13),$AK3:$AK13,0),MATCH(IF('Data-solution'!$A$3="Maximize",MAX($C14:$AI14),MIN($C14:$AI14)),$C14:$AI14,0))),E8)</f>
        <v>0</v>
      </c>
      <c r="F23" s="1">
        <f>IF(OR($B18&lt;&gt;$B3,$B19&lt;&gt;$B4,$B20&lt;&gt;$B5,$B21&lt;&gt;$B6,$B22&lt;&gt;$B7,$B23&lt;&gt;$B8,$B24&lt;&gt;$B9,$B25&lt;&gt;$B10,$B26&lt;&gt;$B11,$B27&lt;&gt;$B12,$B28&lt;&gt;$B13),IF($B23&lt;&gt;$B8,F8/INDEX($C3:$AJ13,6,MATCH(IF('Data-solution'!$A$3="Maximize",MAX($C14:$AI14),MIN($C14:$AI14)),$C14:$AI14,0)),F8-INDEX($C3:$AJ13,6,MATCH(IF('Data-solution'!$A$3="Maximize",MAX($C14:$AI14),MIN($C14:$AI14)),$C14:$AI14,0))*INDEX(F3:$AJ13,MATCH(MIN($AK3:$AK13),$AK3:$AK13,0),1)/INDEX($C3:$AJ13,MATCH(MIN($AK3:$AK13),$AK3:$AK13,0),MATCH(IF('Data-solution'!$A$3="Maximize",MAX($C14:$AI14),MIN($C14:$AI14)),$C14:$AI14,0))),F8)</f>
        <v>0</v>
      </c>
      <c r="G23" s="1">
        <f>IF(OR($B18&lt;&gt;$B3,$B19&lt;&gt;$B4,$B20&lt;&gt;$B5,$B21&lt;&gt;$B6,$B22&lt;&gt;$B7,$B23&lt;&gt;$B8,$B24&lt;&gt;$B9,$B25&lt;&gt;$B10,$B26&lt;&gt;$B11,$B27&lt;&gt;$B12,$B28&lt;&gt;$B13),IF($B23&lt;&gt;$B8,G8/INDEX($C3:$AJ13,6,MATCH(IF('Data-solution'!$A$3="Maximize",MAX($C14:$AI14),MIN($C14:$AI14)),$C14:$AI14,0)),G8-INDEX($C3:$AJ13,6,MATCH(IF('Data-solution'!$A$3="Maximize",MAX($C14:$AI14),MIN($C14:$AI14)),$C14:$AI14,0))*INDEX(G3:$AJ13,MATCH(MIN($AK3:$AK13),$AK3:$AK13,0),1)/INDEX($C3:$AJ13,MATCH(MIN($AK3:$AK13),$AK3:$AK13,0),MATCH(IF('Data-solution'!$A$3="Maximize",MAX($C14:$AI14),MIN($C14:$AI14)),$C14:$AI14,0))),G8)</f>
        <v>0</v>
      </c>
      <c r="H23" s="1">
        <f>IF(OR($B18&lt;&gt;$B3,$B19&lt;&gt;$B4,$B20&lt;&gt;$B5,$B21&lt;&gt;$B6,$B22&lt;&gt;$B7,$B23&lt;&gt;$B8,$B24&lt;&gt;$B9,$B25&lt;&gt;$B10,$B26&lt;&gt;$B11,$B27&lt;&gt;$B12,$B28&lt;&gt;$B13),IF($B23&lt;&gt;$B8,H8/INDEX($C3:$AJ13,6,MATCH(IF('Data-solution'!$A$3="Maximize",MAX($C14:$AI14),MIN($C14:$AI14)),$C14:$AI14,0)),H8-INDEX($C3:$AJ13,6,MATCH(IF('Data-solution'!$A$3="Maximize",MAX($C14:$AI14),MIN($C14:$AI14)),$C14:$AI14,0))*INDEX(H3:$AJ13,MATCH(MIN($AK3:$AK13),$AK3:$AK13,0),1)/INDEX($C3:$AJ13,MATCH(MIN($AK3:$AK13),$AK3:$AK13,0),MATCH(IF('Data-solution'!$A$3="Maximize",MAX($C14:$AI14),MIN($C14:$AI14)),$C14:$AI14,0))),H8)</f>
        <v>0</v>
      </c>
      <c r="I23" s="1">
        <f>IF(OR($B18&lt;&gt;$B3,$B19&lt;&gt;$B4,$B20&lt;&gt;$B5,$B21&lt;&gt;$B6,$B22&lt;&gt;$B7,$B23&lt;&gt;$B8,$B24&lt;&gt;$B9,$B25&lt;&gt;$B10,$B26&lt;&gt;$B11,$B27&lt;&gt;$B12,$B28&lt;&gt;$B13),IF($B23&lt;&gt;$B8,I8/INDEX($C3:$AJ13,6,MATCH(IF('Data-solution'!$A$3="Maximize",MAX($C14:$AI14),MIN($C14:$AI14)),$C14:$AI14,0)),I8-INDEX($C3:$AJ13,6,MATCH(IF('Data-solution'!$A$3="Maximize",MAX($C14:$AI14),MIN($C14:$AI14)),$C14:$AI14,0))*INDEX(I3:$AJ13,MATCH(MIN($AK3:$AK13),$AK3:$AK13,0),1)/INDEX($C3:$AJ13,MATCH(MIN($AK3:$AK13),$AK3:$AK13,0),MATCH(IF('Data-solution'!$A$3="Maximize",MAX($C14:$AI14),MIN($C14:$AI14)),$C14:$AI14,0))),I8)</f>
        <v>0</v>
      </c>
      <c r="J23" s="1">
        <f>IF(OR($B18&lt;&gt;$B3,$B19&lt;&gt;$B4,$B20&lt;&gt;$B5,$B21&lt;&gt;$B6,$B22&lt;&gt;$B7,$B23&lt;&gt;$B8,$B24&lt;&gt;$B9,$B25&lt;&gt;$B10,$B26&lt;&gt;$B11,$B27&lt;&gt;$B12,$B28&lt;&gt;$B13),IF($B23&lt;&gt;$B8,J8/INDEX($C3:$AJ13,6,MATCH(IF('Data-solution'!$A$3="Maximize",MAX($C14:$AI14),MIN($C14:$AI14)),$C14:$AI14,0)),J8-INDEX($C3:$AJ13,6,MATCH(IF('Data-solution'!$A$3="Maximize",MAX($C14:$AI14),MIN($C14:$AI14)),$C14:$AI14,0))*INDEX(J3:$AJ13,MATCH(MIN($AK3:$AK13),$AK3:$AK13,0),1)/INDEX($C3:$AJ13,MATCH(MIN($AK3:$AK13),$AK3:$AK13,0),MATCH(IF('Data-solution'!$A$3="Maximize",MAX($C14:$AI14),MIN($C14:$AI14)),$C14:$AI14,0))),J8)</f>
        <v>0</v>
      </c>
      <c r="K23" s="1">
        <f>IF(OR($B18&lt;&gt;$B3,$B19&lt;&gt;$B4,$B20&lt;&gt;$B5,$B21&lt;&gt;$B6,$B22&lt;&gt;$B7,$B23&lt;&gt;$B8,$B24&lt;&gt;$B9,$B25&lt;&gt;$B10,$B26&lt;&gt;$B11,$B27&lt;&gt;$B12,$B28&lt;&gt;$B13),IF($B23&lt;&gt;$B8,K8/INDEX($C3:$AJ13,6,MATCH(IF('Data-solution'!$A$3="Maximize",MAX($C14:$AI14),MIN($C14:$AI14)),$C14:$AI14,0)),K8-INDEX($C3:$AJ13,6,MATCH(IF('Data-solution'!$A$3="Maximize",MAX($C14:$AI14),MIN($C14:$AI14)),$C14:$AI14,0))*INDEX(K3:$AJ13,MATCH(MIN($AK3:$AK13),$AK3:$AK13,0),1)/INDEX($C3:$AJ13,MATCH(MIN($AK3:$AK13),$AK3:$AK13,0),MATCH(IF('Data-solution'!$A$3="Maximize",MAX($C14:$AI14),MIN($C14:$AI14)),$C14:$AI14,0))),K8)</f>
        <v>0</v>
      </c>
      <c r="L23" s="1">
        <f>IF(OR($B18&lt;&gt;$B3,$B19&lt;&gt;$B4,$B20&lt;&gt;$B5,$B21&lt;&gt;$B6,$B22&lt;&gt;$B7,$B23&lt;&gt;$B8,$B24&lt;&gt;$B9,$B25&lt;&gt;$B10,$B26&lt;&gt;$B11,$B27&lt;&gt;$B12,$B28&lt;&gt;$B13),IF($B23&lt;&gt;$B8,L8/INDEX($C3:$AJ13,6,MATCH(IF('Data-solution'!$A$3="Maximize",MAX($C14:$AI14),MIN($C14:$AI14)),$C14:$AI14,0)),L8-INDEX($C3:$AJ13,6,MATCH(IF('Data-solution'!$A$3="Maximize",MAX($C14:$AI14),MIN($C14:$AI14)),$C14:$AI14,0))*INDEX(L3:$AJ13,MATCH(MIN($AK3:$AK13),$AK3:$AK13,0),1)/INDEX($C3:$AJ13,MATCH(MIN($AK3:$AK13),$AK3:$AK13,0),MATCH(IF('Data-solution'!$A$3="Maximize",MAX($C14:$AI14),MIN($C14:$AI14)),$C14:$AI14,0))),L8)</f>
        <v>0</v>
      </c>
      <c r="M23" s="1">
        <f>IF(OR($B18&lt;&gt;$B3,$B19&lt;&gt;$B4,$B20&lt;&gt;$B5,$B21&lt;&gt;$B6,$B22&lt;&gt;$B7,$B23&lt;&gt;$B8,$B24&lt;&gt;$B9,$B25&lt;&gt;$B10,$B26&lt;&gt;$B11,$B27&lt;&gt;$B12,$B28&lt;&gt;$B13),IF($B23&lt;&gt;$B8,M8/INDEX($C3:$AJ13,6,MATCH(IF('Data-solution'!$A$3="Maximize",MAX($C14:$AI14),MIN($C14:$AI14)),$C14:$AI14,0)),M8-INDEX($C3:$AJ13,6,MATCH(IF('Data-solution'!$A$3="Maximize",MAX($C14:$AI14),MIN($C14:$AI14)),$C14:$AI14,0))*INDEX(M3:$AJ13,MATCH(MIN($AK3:$AK13),$AK3:$AK13,0),1)/INDEX($C3:$AJ13,MATCH(MIN($AK3:$AK13),$AK3:$AK13,0),MATCH(IF('Data-solution'!$A$3="Maximize",MAX($C14:$AI14),MIN($C14:$AI14)),$C14:$AI14,0))),M8)</f>
        <v>0</v>
      </c>
      <c r="N23" s="1">
        <f>IF(OR($B18&lt;&gt;$B3,$B19&lt;&gt;$B4,$B20&lt;&gt;$B5,$B21&lt;&gt;$B6,$B22&lt;&gt;$B7,$B23&lt;&gt;$B8,$B24&lt;&gt;$B9,$B25&lt;&gt;$B10,$B26&lt;&gt;$B11,$B27&lt;&gt;$B12,$B28&lt;&gt;$B13),IF($B23&lt;&gt;$B8,N8/INDEX($C3:$AJ13,6,MATCH(IF('Data-solution'!$A$3="Maximize",MAX($C14:$AI14),MIN($C14:$AI14)),$C14:$AI14,0)),N8-INDEX($C3:$AJ13,6,MATCH(IF('Data-solution'!$A$3="Maximize",MAX($C14:$AI14),MIN($C14:$AI14)),$C14:$AI14,0))*INDEX(N3:$AJ13,MATCH(MIN($AK3:$AK13),$AK3:$AK13,0),1)/INDEX($C3:$AJ13,MATCH(MIN($AK3:$AK13),$AK3:$AK13,0),MATCH(IF('Data-solution'!$A$3="Maximize",MAX($C14:$AI14),MIN($C14:$AI14)),$C14:$AI14,0))),N8)</f>
        <v>0</v>
      </c>
      <c r="O23" s="1">
        <f>IF(OR($B18&lt;&gt;$B3,$B19&lt;&gt;$B4,$B20&lt;&gt;$B5,$B21&lt;&gt;$B6,$B22&lt;&gt;$B7,$B23&lt;&gt;$B8,$B24&lt;&gt;$B9,$B25&lt;&gt;$B10,$B26&lt;&gt;$B11,$B27&lt;&gt;$B12,$B28&lt;&gt;$B13),IF($B23&lt;&gt;$B8,O8/INDEX($C3:$AJ13,6,MATCH(IF('Data-solution'!$A$3="Maximize",MAX($C14:$AI14),MIN($C14:$AI14)),$C14:$AI14,0)),O8-INDEX($C3:$AJ13,6,MATCH(IF('Data-solution'!$A$3="Maximize",MAX($C14:$AI14),MIN($C14:$AI14)),$C14:$AI14,0))*INDEX(O3:$AJ13,MATCH(MIN($AK3:$AK13),$AK3:$AK13,0),1)/INDEX($C3:$AJ13,MATCH(MIN($AK3:$AK13),$AK3:$AK13,0),MATCH(IF('Data-solution'!$A$3="Maximize",MAX($C14:$AI14),MIN($C14:$AI14)),$C14:$AI14,0))),O8)</f>
        <v>0</v>
      </c>
      <c r="P23" s="1">
        <f>IF(OR($B18&lt;&gt;$B3,$B19&lt;&gt;$B4,$B20&lt;&gt;$B5,$B21&lt;&gt;$B6,$B22&lt;&gt;$B7,$B23&lt;&gt;$B8,$B24&lt;&gt;$B9,$B25&lt;&gt;$B10,$B26&lt;&gt;$B11,$B27&lt;&gt;$B12,$B28&lt;&gt;$B13),IF($B23&lt;&gt;$B8,P8/INDEX($C3:$AJ13,6,MATCH(IF('Data-solution'!$A$3="Maximize",MAX($C14:$AI14),MIN($C14:$AI14)),$C14:$AI14,0)),P8-INDEX($C3:$AJ13,6,MATCH(IF('Data-solution'!$A$3="Maximize",MAX($C14:$AI14),MIN($C14:$AI14)),$C14:$AI14,0))*INDEX(P3:$AJ13,MATCH(MIN($AK3:$AK13),$AK3:$AK13,0),1)/INDEX($C3:$AJ13,MATCH(MIN($AK3:$AK13),$AK3:$AK13,0),MATCH(IF('Data-solution'!$A$3="Maximize",MAX($C14:$AI14),MIN($C14:$AI14)),$C14:$AI14,0))),P8)</f>
        <v>0</v>
      </c>
      <c r="Q23" s="1">
        <f>IF(OR($B18&lt;&gt;$B3,$B19&lt;&gt;$B4,$B20&lt;&gt;$B5,$B21&lt;&gt;$B6,$B22&lt;&gt;$B7,$B23&lt;&gt;$B8,$B24&lt;&gt;$B9,$B25&lt;&gt;$B10,$B26&lt;&gt;$B11,$B27&lt;&gt;$B12,$B28&lt;&gt;$B13),IF($B23&lt;&gt;$B8,Q8/INDEX($C3:$AJ13,6,MATCH(IF('Data-solution'!$A$3="Maximize",MAX($C14:$AI14),MIN($C14:$AI14)),$C14:$AI14,0)),Q8-INDEX($C3:$AJ13,6,MATCH(IF('Data-solution'!$A$3="Maximize",MAX($C14:$AI14),MIN($C14:$AI14)),$C14:$AI14,0))*INDEX(Q3:$AJ13,MATCH(MIN($AK3:$AK13),$AK3:$AK13,0),1)/INDEX($C3:$AJ13,MATCH(MIN($AK3:$AK13),$AK3:$AK13,0),MATCH(IF('Data-solution'!$A$3="Maximize",MAX($C14:$AI14),MIN($C14:$AI14)),$C14:$AI14,0))),Q8)</f>
        <v>0</v>
      </c>
      <c r="R23" s="1">
        <f>IF(OR($B18&lt;&gt;$B3,$B19&lt;&gt;$B4,$B20&lt;&gt;$B5,$B21&lt;&gt;$B6,$B22&lt;&gt;$B7,$B23&lt;&gt;$B8,$B24&lt;&gt;$B9,$B25&lt;&gt;$B10,$B26&lt;&gt;$B11,$B27&lt;&gt;$B12,$B28&lt;&gt;$B13),IF($B23&lt;&gt;$B8,R8/INDEX($C3:$AJ13,6,MATCH(IF('Data-solution'!$A$3="Maximize",MAX($C14:$AI14),MIN($C14:$AI14)),$C14:$AI14,0)),R8-INDEX($C3:$AJ13,6,MATCH(IF('Data-solution'!$A$3="Maximize",MAX($C14:$AI14),MIN($C14:$AI14)),$C14:$AI14,0))*INDEX(R3:$AJ13,MATCH(MIN($AK3:$AK13),$AK3:$AK13,0),1)/INDEX($C3:$AJ13,MATCH(MIN($AK3:$AK13),$AK3:$AK13,0),MATCH(IF('Data-solution'!$A$3="Maximize",MAX($C14:$AI14),MIN($C14:$AI14)),$C14:$AI14,0))),R8)</f>
        <v>0</v>
      </c>
      <c r="S23" s="1">
        <f>IF(OR($B18&lt;&gt;$B3,$B19&lt;&gt;$B4,$B20&lt;&gt;$B5,$B21&lt;&gt;$B6,$B22&lt;&gt;$B7,$B23&lt;&gt;$B8,$B24&lt;&gt;$B9,$B25&lt;&gt;$B10,$B26&lt;&gt;$B11,$B27&lt;&gt;$B12,$B28&lt;&gt;$B13),IF($B23&lt;&gt;$B8,S8/INDEX($C3:$AJ13,6,MATCH(IF('Data-solution'!$A$3="Maximize",MAX($C14:$AI14),MIN($C14:$AI14)),$C14:$AI14,0)),S8-INDEX($C3:$AJ13,6,MATCH(IF('Data-solution'!$A$3="Maximize",MAX($C14:$AI14),MIN($C14:$AI14)),$C14:$AI14,0))*INDEX(S3:$AJ13,MATCH(MIN($AK3:$AK13),$AK3:$AK13,0),1)/INDEX($C3:$AJ13,MATCH(MIN($AK3:$AK13),$AK3:$AK13,0),MATCH(IF('Data-solution'!$A$3="Maximize",MAX($C14:$AI14),MIN($C14:$AI14)),$C14:$AI14,0))),S8)</f>
        <v>1</v>
      </c>
      <c r="T23" s="1">
        <f>IF(OR($B18&lt;&gt;$B3,$B19&lt;&gt;$B4,$B20&lt;&gt;$B5,$B21&lt;&gt;$B6,$B22&lt;&gt;$B7,$B23&lt;&gt;$B8,$B24&lt;&gt;$B9,$B25&lt;&gt;$B10,$B26&lt;&gt;$B11,$B27&lt;&gt;$B12,$B28&lt;&gt;$B13),IF($B23&lt;&gt;$B8,T8/INDEX($C3:$AJ13,6,MATCH(IF('Data-solution'!$A$3="Maximize",MAX($C14:$AI14),MIN($C14:$AI14)),$C14:$AI14,0)),T8-INDEX($C3:$AJ13,6,MATCH(IF('Data-solution'!$A$3="Maximize",MAX($C14:$AI14),MIN($C14:$AI14)),$C14:$AI14,0))*INDEX(T3:$AJ13,MATCH(MIN($AK3:$AK13),$AK3:$AK13,0),1)/INDEX($C3:$AJ13,MATCH(MIN($AK3:$AK13),$AK3:$AK13,0),MATCH(IF('Data-solution'!$A$3="Maximize",MAX($C14:$AI14),MIN($C14:$AI14)),$C14:$AI14,0))),T8)</f>
        <v>0</v>
      </c>
      <c r="U23" s="1">
        <f>IF(OR($B18&lt;&gt;$B3,$B19&lt;&gt;$B4,$B20&lt;&gt;$B5,$B21&lt;&gt;$B6,$B22&lt;&gt;$B7,$B23&lt;&gt;$B8,$B24&lt;&gt;$B9,$B25&lt;&gt;$B10,$B26&lt;&gt;$B11,$B27&lt;&gt;$B12,$B28&lt;&gt;$B13),IF($B23&lt;&gt;$B8,U8/INDEX($C3:$AJ13,6,MATCH(IF('Data-solution'!$A$3="Maximize",MAX($C14:$AI14),MIN($C14:$AI14)),$C14:$AI14,0)),U8-INDEX($C3:$AJ13,6,MATCH(IF('Data-solution'!$A$3="Maximize",MAX($C14:$AI14),MIN($C14:$AI14)),$C14:$AI14,0))*INDEX(U3:$AJ13,MATCH(MIN($AK3:$AK13),$AK3:$AK13,0),1)/INDEX($C3:$AJ13,MATCH(MIN($AK3:$AK13),$AK3:$AK13,0),MATCH(IF('Data-solution'!$A$3="Maximize",MAX($C14:$AI14),MIN($C14:$AI14)),$C14:$AI14,0))),U8)</f>
        <v>0</v>
      </c>
      <c r="V23" s="1">
        <f>IF(OR($B18&lt;&gt;$B3,$B19&lt;&gt;$B4,$B20&lt;&gt;$B5,$B21&lt;&gt;$B6,$B22&lt;&gt;$B7,$B23&lt;&gt;$B8,$B24&lt;&gt;$B9,$B25&lt;&gt;$B10,$B26&lt;&gt;$B11,$B27&lt;&gt;$B12,$B28&lt;&gt;$B13),IF($B23&lt;&gt;$B8,V8/INDEX($C3:$AJ13,6,MATCH(IF('Data-solution'!$A$3="Maximize",MAX($C14:$AI14),MIN($C14:$AI14)),$C14:$AI14,0)),V8-INDEX($C3:$AJ13,6,MATCH(IF('Data-solution'!$A$3="Maximize",MAX($C14:$AI14),MIN($C14:$AI14)),$C14:$AI14,0))*INDEX(V3:$AJ13,MATCH(MIN($AK3:$AK13),$AK3:$AK13,0),1)/INDEX($C3:$AJ13,MATCH(MIN($AK3:$AK13),$AK3:$AK13,0),MATCH(IF('Data-solution'!$A$3="Maximize",MAX($C14:$AI14),MIN($C14:$AI14)),$C14:$AI14,0))),V8)</f>
        <v>0</v>
      </c>
      <c r="W23" s="1">
        <f>IF(OR($B18&lt;&gt;$B3,$B19&lt;&gt;$B4,$B20&lt;&gt;$B5,$B21&lt;&gt;$B6,$B22&lt;&gt;$B7,$B23&lt;&gt;$B8,$B24&lt;&gt;$B9,$B25&lt;&gt;$B10,$B26&lt;&gt;$B11,$B27&lt;&gt;$B12,$B28&lt;&gt;$B13),IF($B23&lt;&gt;$B8,W8/INDEX($C3:$AJ13,6,MATCH(IF('Data-solution'!$A$3="Maximize",MAX($C14:$AI14),MIN($C14:$AI14)),$C14:$AI14,0)),W8-INDEX($C3:$AJ13,6,MATCH(IF('Data-solution'!$A$3="Maximize",MAX($C14:$AI14),MIN($C14:$AI14)),$C14:$AI14,0))*INDEX(W3:$AJ13,MATCH(MIN($AK3:$AK13),$AK3:$AK13,0),1)/INDEX($C3:$AJ13,MATCH(MIN($AK3:$AK13),$AK3:$AK13,0),MATCH(IF('Data-solution'!$A$3="Maximize",MAX($C14:$AI14),MIN($C14:$AI14)),$C14:$AI14,0))),W8)</f>
        <v>0</v>
      </c>
      <c r="X23" s="1">
        <f>IF(OR($B18&lt;&gt;$B3,$B19&lt;&gt;$B4,$B20&lt;&gt;$B5,$B21&lt;&gt;$B6,$B22&lt;&gt;$B7,$B23&lt;&gt;$B8,$B24&lt;&gt;$B9,$B25&lt;&gt;$B10,$B26&lt;&gt;$B11,$B27&lt;&gt;$B12,$B28&lt;&gt;$B13),IF($B23&lt;&gt;$B8,X8/INDEX($C3:$AJ13,6,MATCH(IF('Data-solution'!$A$3="Maximize",MAX($C14:$AI14),MIN($C14:$AI14)),$C14:$AI14,0)),X8-INDEX($C3:$AJ13,6,MATCH(IF('Data-solution'!$A$3="Maximize",MAX($C14:$AI14),MIN($C14:$AI14)),$C14:$AI14,0))*INDEX(X3:$AJ13,MATCH(MIN($AK3:$AK13),$AK3:$AK13,0),1)/INDEX($C3:$AJ13,MATCH(MIN($AK3:$AK13),$AK3:$AK13,0),MATCH(IF('Data-solution'!$A$3="Maximize",MAX($C14:$AI14),MIN($C14:$AI14)),$C14:$AI14,0))),X8)</f>
        <v>0</v>
      </c>
      <c r="Y23" s="1">
        <f>IF(OR($B18&lt;&gt;$B3,$B19&lt;&gt;$B4,$B20&lt;&gt;$B5,$B21&lt;&gt;$B6,$B22&lt;&gt;$B7,$B23&lt;&gt;$B8,$B24&lt;&gt;$B9,$B25&lt;&gt;$B10,$B26&lt;&gt;$B11,$B27&lt;&gt;$B12,$B28&lt;&gt;$B13),IF($B23&lt;&gt;$B8,Y8/INDEX($C3:$AJ13,6,MATCH(IF('Data-solution'!$A$3="Maximize",MAX($C14:$AI14),MIN($C14:$AI14)),$C14:$AI14,0)),Y8-INDEX($C3:$AJ13,6,MATCH(IF('Data-solution'!$A$3="Maximize",MAX($C14:$AI14),MIN($C14:$AI14)),$C14:$AI14,0))*INDEX(Y3:$AJ13,MATCH(MIN($AK3:$AK13),$AK3:$AK13,0),1)/INDEX($C3:$AJ13,MATCH(MIN($AK3:$AK13),$AK3:$AK13,0),MATCH(IF('Data-solution'!$A$3="Maximize",MAX($C14:$AI14),MIN($C14:$AI14)),$C14:$AI14,0))),Y8)</f>
        <v>0</v>
      </c>
      <c r="Z23" s="1">
        <f>IF(OR($B18&lt;&gt;$B3,$B19&lt;&gt;$B4,$B20&lt;&gt;$B5,$B21&lt;&gt;$B6,$B22&lt;&gt;$B7,$B23&lt;&gt;$B8,$B24&lt;&gt;$B9,$B25&lt;&gt;$B10,$B26&lt;&gt;$B11,$B27&lt;&gt;$B12,$B28&lt;&gt;$B13),IF($B23&lt;&gt;$B8,Z8/INDEX($C3:$AJ13,6,MATCH(IF('Data-solution'!$A$3="Maximize",MAX($C14:$AI14),MIN($C14:$AI14)),$C14:$AI14,0)),Z8-INDEX($C3:$AJ13,6,MATCH(IF('Data-solution'!$A$3="Maximize",MAX($C14:$AI14),MIN($C14:$AI14)),$C14:$AI14,0))*INDEX(Z3:$AJ13,MATCH(MIN($AK3:$AK13),$AK3:$AK13,0),1)/INDEX($C3:$AJ13,MATCH(MIN($AK3:$AK13),$AK3:$AK13,0),MATCH(IF('Data-solution'!$A$3="Maximize",MAX($C14:$AI14),MIN($C14:$AI14)),$C14:$AI14,0))),Z8)</f>
        <v>0</v>
      </c>
      <c r="AA23" s="1">
        <f>IF(OR($B18&lt;&gt;$B3,$B19&lt;&gt;$B4,$B20&lt;&gt;$B5,$B21&lt;&gt;$B6,$B22&lt;&gt;$B7,$B23&lt;&gt;$B8,$B24&lt;&gt;$B9,$B25&lt;&gt;$B10,$B26&lt;&gt;$B11,$B27&lt;&gt;$B12,$B28&lt;&gt;$B13),IF($B23&lt;&gt;$B8,AA8/INDEX($C3:$AJ13,6,MATCH(IF('Data-solution'!$A$3="Maximize",MAX($C14:$AI14),MIN($C14:$AI14)),$C14:$AI14,0)),AA8-INDEX($C3:$AJ13,6,MATCH(IF('Data-solution'!$A$3="Maximize",MAX($C14:$AI14),MIN($C14:$AI14)),$C14:$AI14,0))*INDEX(AA3:$AJ13,MATCH(MIN($AK3:$AK13),$AK3:$AK13,0),1)/INDEX($C3:$AJ13,MATCH(MIN($AK3:$AK13),$AK3:$AK13,0),MATCH(IF('Data-solution'!$A$3="Maximize",MAX($C14:$AI14),MIN($C14:$AI14)),$C14:$AI14,0))),AA8)</f>
        <v>0</v>
      </c>
      <c r="AB23" s="1">
        <f>IF(OR($B18&lt;&gt;$B3,$B19&lt;&gt;$B4,$B20&lt;&gt;$B5,$B21&lt;&gt;$B6,$B22&lt;&gt;$B7,$B23&lt;&gt;$B8,$B24&lt;&gt;$B9,$B25&lt;&gt;$B10,$B26&lt;&gt;$B11,$B27&lt;&gt;$B12,$B28&lt;&gt;$B13),IF($B23&lt;&gt;$B8,AB8/INDEX($C3:$AJ13,6,MATCH(IF('Data-solution'!$A$3="Maximize",MAX($C14:$AI14),MIN($C14:$AI14)),$C14:$AI14,0)),AB8-INDEX($C3:$AJ13,6,MATCH(IF('Data-solution'!$A$3="Maximize",MAX($C14:$AI14),MIN($C14:$AI14)),$C14:$AI14,0))*INDEX(AB3:$AJ13,MATCH(MIN($AK3:$AK13),$AK3:$AK13,0),1)/INDEX($C3:$AJ13,MATCH(MIN($AK3:$AK13),$AK3:$AK13,0),MATCH(IF('Data-solution'!$A$3="Maximize",MAX($C14:$AI14),MIN($C14:$AI14)),$C14:$AI14,0))),AB8)</f>
        <v>0</v>
      </c>
      <c r="AC23" s="1">
        <f>IF(OR($B18&lt;&gt;$B3,$B19&lt;&gt;$B4,$B20&lt;&gt;$B5,$B21&lt;&gt;$B6,$B22&lt;&gt;$B7,$B23&lt;&gt;$B8,$B24&lt;&gt;$B9,$B25&lt;&gt;$B10,$B26&lt;&gt;$B11,$B27&lt;&gt;$B12,$B28&lt;&gt;$B13),IF($B23&lt;&gt;$B8,AC8/INDEX($C3:$AJ13,6,MATCH(IF('Data-solution'!$A$3="Maximize",MAX($C14:$AI14),MIN($C14:$AI14)),$C14:$AI14,0)),AC8-INDEX($C3:$AJ13,6,MATCH(IF('Data-solution'!$A$3="Maximize",MAX($C14:$AI14),MIN($C14:$AI14)),$C14:$AI14,0))*INDEX(AC3:$AJ13,MATCH(MIN($AK3:$AK13),$AK3:$AK13,0),1)/INDEX($C3:$AJ13,MATCH(MIN($AK3:$AK13),$AK3:$AK13,0),MATCH(IF('Data-solution'!$A$3="Maximize",MAX($C14:$AI14),MIN($C14:$AI14)),$C14:$AI14,0))),AC8)</f>
        <v>0</v>
      </c>
      <c r="AD23" s="1">
        <f>IF(OR($B18&lt;&gt;$B3,$B19&lt;&gt;$B4,$B20&lt;&gt;$B5,$B21&lt;&gt;$B6,$B22&lt;&gt;$B7,$B23&lt;&gt;$B8,$B24&lt;&gt;$B9,$B25&lt;&gt;$B10,$B26&lt;&gt;$B11,$B27&lt;&gt;$B12,$B28&lt;&gt;$B13),IF($B23&lt;&gt;$B8,AD8/INDEX($C3:$AJ13,6,MATCH(IF('Data-solution'!$A$3="Maximize",MAX($C14:$AI14),MIN($C14:$AI14)),$C14:$AI14,0)),AD8-INDEX($C3:$AJ13,6,MATCH(IF('Data-solution'!$A$3="Maximize",MAX($C14:$AI14),MIN($C14:$AI14)),$C14:$AI14,0))*INDEX(AD3:$AJ13,MATCH(MIN($AK3:$AK13),$AK3:$AK13,0),1)/INDEX($C3:$AJ13,MATCH(MIN($AK3:$AK13),$AK3:$AK13,0),MATCH(IF('Data-solution'!$A$3="Maximize",MAX($C14:$AI14),MIN($C14:$AI14)),$C14:$AI14,0))),AD8)</f>
        <v>1</v>
      </c>
      <c r="AE23" s="1">
        <f>IF(OR($B18&lt;&gt;$B3,$B19&lt;&gt;$B4,$B20&lt;&gt;$B5,$B21&lt;&gt;$B6,$B22&lt;&gt;$B7,$B23&lt;&gt;$B8,$B24&lt;&gt;$B9,$B25&lt;&gt;$B10,$B26&lt;&gt;$B11,$B27&lt;&gt;$B12,$B28&lt;&gt;$B13),IF($B23&lt;&gt;$B8,AE8/INDEX($C3:$AJ13,6,MATCH(IF('Data-solution'!$A$3="Maximize",MAX($C14:$AI14),MIN($C14:$AI14)),$C14:$AI14,0)),AE8-INDEX($C3:$AJ13,6,MATCH(IF('Data-solution'!$A$3="Maximize",MAX($C14:$AI14),MIN($C14:$AI14)),$C14:$AI14,0))*INDEX(AE3:$AJ13,MATCH(MIN($AK3:$AK13),$AK3:$AK13,0),1)/INDEX($C3:$AJ13,MATCH(MIN($AK3:$AK13),$AK3:$AK13,0),MATCH(IF('Data-solution'!$A$3="Maximize",MAX($C14:$AI14),MIN($C14:$AI14)),$C14:$AI14,0))),AE8)</f>
        <v>0</v>
      </c>
      <c r="AF23" s="1">
        <f>IF(OR($B18&lt;&gt;$B3,$B19&lt;&gt;$B4,$B20&lt;&gt;$B5,$B21&lt;&gt;$B6,$B22&lt;&gt;$B7,$B23&lt;&gt;$B8,$B24&lt;&gt;$B9,$B25&lt;&gt;$B10,$B26&lt;&gt;$B11,$B27&lt;&gt;$B12,$B28&lt;&gt;$B13),IF($B23&lt;&gt;$B8,AF8/INDEX($C3:$AJ13,6,MATCH(IF('Data-solution'!$A$3="Maximize",MAX($C14:$AI14),MIN($C14:$AI14)),$C14:$AI14,0)),AF8-INDEX($C3:$AJ13,6,MATCH(IF('Data-solution'!$A$3="Maximize",MAX($C14:$AI14),MIN($C14:$AI14)),$C14:$AI14,0))*INDEX(AF3:$AJ13,MATCH(MIN($AK3:$AK13),$AK3:$AK13,0),1)/INDEX($C3:$AJ13,MATCH(MIN($AK3:$AK13),$AK3:$AK13,0),MATCH(IF('Data-solution'!$A$3="Maximize",MAX($C14:$AI14),MIN($C14:$AI14)),$C14:$AI14,0))),AF8)</f>
        <v>0</v>
      </c>
      <c r="AG23" s="1">
        <f>IF(OR($B18&lt;&gt;$B3,$B19&lt;&gt;$B4,$B20&lt;&gt;$B5,$B21&lt;&gt;$B6,$B22&lt;&gt;$B7,$B23&lt;&gt;$B8,$B24&lt;&gt;$B9,$B25&lt;&gt;$B10,$B26&lt;&gt;$B11,$B27&lt;&gt;$B12,$B28&lt;&gt;$B13),IF($B23&lt;&gt;$B8,AG8/INDEX($C3:$AJ13,6,MATCH(IF('Data-solution'!$A$3="Maximize",MAX($C14:$AI14),MIN($C14:$AI14)),$C14:$AI14,0)),AG8-INDEX($C3:$AJ13,6,MATCH(IF('Data-solution'!$A$3="Maximize",MAX($C14:$AI14),MIN($C14:$AI14)),$C14:$AI14,0))*INDEX(AG3:$AJ13,MATCH(MIN($AK3:$AK13),$AK3:$AK13,0),1)/INDEX($C3:$AJ13,MATCH(MIN($AK3:$AK13),$AK3:$AK13,0),MATCH(IF('Data-solution'!$A$3="Maximize",MAX($C14:$AI14),MIN($C14:$AI14)),$C14:$AI14,0))),AG8)</f>
        <v>0</v>
      </c>
      <c r="AH23" s="1">
        <f>IF(OR($B18&lt;&gt;$B3,$B19&lt;&gt;$B4,$B20&lt;&gt;$B5,$B21&lt;&gt;$B6,$B22&lt;&gt;$B7,$B23&lt;&gt;$B8,$B24&lt;&gt;$B9,$B25&lt;&gt;$B10,$B26&lt;&gt;$B11,$B27&lt;&gt;$B12,$B28&lt;&gt;$B13),IF($B23&lt;&gt;$B8,AH8/INDEX($C3:$AJ13,6,MATCH(IF('Data-solution'!$A$3="Maximize",MAX($C14:$AI14),MIN($C14:$AI14)),$C14:$AI14,0)),AH8-INDEX($C3:$AJ13,6,MATCH(IF('Data-solution'!$A$3="Maximize",MAX($C14:$AI14),MIN($C14:$AI14)),$C14:$AI14,0))*INDEX(AH3:$AJ13,MATCH(MIN($AK3:$AK13),$AK3:$AK13,0),1)/INDEX($C3:$AJ13,MATCH(MIN($AK3:$AK13),$AK3:$AK13,0),MATCH(IF('Data-solution'!$A$3="Maximize",MAX($C14:$AI14),MIN($C14:$AI14)),$C14:$AI14,0))),AH8)</f>
        <v>0</v>
      </c>
      <c r="AI23" s="1">
        <f>IF(OR($B18&lt;&gt;$B3,$B19&lt;&gt;$B4,$B20&lt;&gt;$B5,$B21&lt;&gt;$B6,$B22&lt;&gt;$B7,$B23&lt;&gt;$B8,$B24&lt;&gt;$B9,$B25&lt;&gt;$B10,$B26&lt;&gt;$B11,$B27&lt;&gt;$B12,$B28&lt;&gt;$B13),IF($B23&lt;&gt;$B8,AI8/INDEX($C3:$AJ13,6,MATCH(IF('Data-solution'!$A$3="Maximize",MAX($C14:$AI14),MIN($C14:$AI14)),$C14:$AI14,0)),AI8-INDEX($C3:$AJ13,6,MATCH(IF('Data-solution'!$A$3="Maximize",MAX($C14:$AI14),MIN($C14:$AI14)),$C14:$AI14,0))*INDEX(AI3:$AJ13,MATCH(MIN($AK3:$AK13),$AK3:$AK13,0),1)/INDEX($C3:$AJ13,MATCH(MIN($AK3:$AK13),$AK3:$AK13,0),MATCH(IF('Data-solution'!$A$3="Maximize",MAX($C14:$AI14),MIN($C14:$AI14)),$C14:$AI14,0))),AI8)</f>
        <v>0</v>
      </c>
      <c r="AJ23" s="1">
        <f>IF(OR($B18&lt;&gt;$B3,$B19&lt;&gt;$B4,$B20&lt;&gt;$B5,$B21&lt;&gt;$B6,$B22&lt;&gt;$B7,$B23&lt;&gt;$B8,$B24&lt;&gt;$B9,$B25&lt;&gt;$B10,$B26&lt;&gt;$B11,$B27&lt;&gt;$B12,$B28&lt;&gt;$B13),IF($B23&lt;&gt;$B8,AJ8/INDEX($C3:$AJ13,6,MATCH(IF('Data-solution'!$A$3="Maximize",MAX($C14:$AI14),MIN($C14:$AI14)),$C14:$AI14,0)),AJ8-INDEX($C3:$AJ13,6,MATCH(IF('Data-solution'!$A$3="Maximize",MAX($C14:$AI14),MIN($C14:$AI14)),$C14:$AI14,0))*INDEX(AJ3:$AJ13,MATCH(MIN($AK3:$AK13),$AK3:$AK13,0),1)/INDEX($C3:$AJ13,MATCH(MIN($AK3:$AK13),$AK3:$AK13,0),MATCH(IF('Data-solution'!$A$3="Maximize",MAX($C14:$AI14),MIN($C14:$AI14)),$C14:$AI14,0))),AJ8)</f>
        <v>0</v>
      </c>
      <c r="AK23" s="1" t="str">
        <f>IF(INDEX(C23:X23,1,MATCH(IF('Data-solution'!A$3="Maximize",MAX(C29:X29),MIN(C29:X29)),C29:X29,0))&gt;0,AJ23/INDEX(C23:X23,1,MATCH(IF('Data-solution'!A$3="Maximize",MAX(C29:X29),MIN(C29:X29)),C29:X29,0))," ")</f>
        <v xml:space="preserve"> </v>
      </c>
    </row>
    <row r="24" spans="1:37" ht="18" customHeight="1" x14ac:dyDescent="0.2">
      <c r="A24" s="1">
        <f>INDEX(C16:AI16,1,MATCH(B24,C17:AI17,0))</f>
        <v>0</v>
      </c>
      <c r="B24" s="2" t="str">
        <f>IF(AND('Data-solution'!A$3="Maximize",COUNTIF(C14:X14,"&gt;"&amp;0)&gt;0,AK9=MIN(AK3:AK13),COUNTIF(B18:B23,INDEX(C2:X2,1,MATCH(MAX(C14:X14),C14:X14,0)))=0),INDEX(C2:X2,1,MATCH(MAX(C14:X14),C14:X14,0)),IF(AND('Data-solution'!A$3="Minimize",COUNTIF(C14:X14,"&lt;"&amp;0)&gt;0,AK9=MIN(AK3:AK13),COUNTIF(B18:B23,INDEX(C2:X2,1,MATCH(MIN(C14:X14),C14:X14,0)))=0),INDEX(C2:X2,1,MATCH(MIN(C14:X14),C14:X14,0)),B9))</f>
        <v>S7</v>
      </c>
      <c r="C24" s="1">
        <f>IF(OR($B18&lt;&gt;$B3,$B19&lt;&gt;$B4,$B20&lt;&gt;$B5,$B21&lt;&gt;$B6,$B22&lt;&gt;$B7,$B23&lt;&gt;$B8,$B24&lt;&gt;$B9,$B25&lt;&gt;$B10,$B26&lt;&gt;$B11,$B27&lt;&gt;$B12,$B28&lt;&gt;$B13),IF($B24&lt;&gt;$B9,C9/INDEX($C3:$AJ13,7,MATCH(IF('Data-solution'!$A$3="Maximize",MAX($C14:$AI14),MIN($C14:$AI14)),$C14:$AI14,0)),C9-INDEX($C3:$AJ13,7,MATCH(IF('Data-solution'!$A$3="Maximize",MAX($C14:$AI14),MIN($C14:$AI14)),$C14:$AI14,0))*INDEX(C3:$AJ13,MATCH(MIN($AK3:$AK13),$AK3:$AK13,0),1)/INDEX($C3:$AJ13,MATCH(MIN($AK3:$AK13),$AK3:$AK13,0),MATCH(IF('Data-solution'!$A$3="Maximize",MAX($C14:$AI14),MIN($C14:$AI14)),$C14:$AI14,0))),C9)</f>
        <v>0</v>
      </c>
      <c r="D24" s="1">
        <f>IF(OR($B18&lt;&gt;$B3,$B19&lt;&gt;$B4,$B20&lt;&gt;$B5,$B21&lt;&gt;$B6,$B22&lt;&gt;$B7,$B23&lt;&gt;$B8,$B24&lt;&gt;$B9,$B25&lt;&gt;$B10,$B26&lt;&gt;$B11,$B27&lt;&gt;$B12,$B28&lt;&gt;$B13),IF($B24&lt;&gt;$B9,D9/INDEX($C3:$AJ13,7,MATCH(IF('Data-solution'!$A$3="Maximize",MAX($C14:$AI14),MIN($C14:$AI14)),$C14:$AI14,0)),D9-INDEX($C3:$AJ13,7,MATCH(IF('Data-solution'!$A$3="Maximize",MAX($C14:$AI14),MIN($C14:$AI14)),$C14:$AI14,0))*INDEX(D3:$AJ13,MATCH(MIN($AK3:$AK13),$AK3:$AK13,0),1)/INDEX($C3:$AJ13,MATCH(MIN($AK3:$AK13),$AK3:$AK13,0),MATCH(IF('Data-solution'!$A$3="Maximize",MAX($C14:$AI14),MIN($C14:$AI14)),$C14:$AI14,0))),D9)</f>
        <v>0</v>
      </c>
      <c r="E24" s="1">
        <f>IF(OR($B18&lt;&gt;$B3,$B19&lt;&gt;$B4,$B20&lt;&gt;$B5,$B21&lt;&gt;$B6,$B22&lt;&gt;$B7,$B23&lt;&gt;$B8,$B24&lt;&gt;$B9,$B25&lt;&gt;$B10,$B26&lt;&gt;$B11,$B27&lt;&gt;$B12,$B28&lt;&gt;$B13),IF($B24&lt;&gt;$B9,E9/INDEX($C3:$AJ13,7,MATCH(IF('Data-solution'!$A$3="Maximize",MAX($C14:$AI14),MIN($C14:$AI14)),$C14:$AI14,0)),E9-INDEX($C3:$AJ13,7,MATCH(IF('Data-solution'!$A$3="Maximize",MAX($C14:$AI14),MIN($C14:$AI14)),$C14:$AI14,0))*INDEX(E3:$AJ13,MATCH(MIN($AK3:$AK13),$AK3:$AK13,0),1)/INDEX($C3:$AJ13,MATCH(MIN($AK3:$AK13),$AK3:$AK13,0),MATCH(IF('Data-solution'!$A$3="Maximize",MAX($C14:$AI14),MIN($C14:$AI14)),$C14:$AI14,0))),E9)</f>
        <v>0</v>
      </c>
      <c r="F24" s="1">
        <f>IF(OR($B18&lt;&gt;$B3,$B19&lt;&gt;$B4,$B20&lt;&gt;$B5,$B21&lt;&gt;$B6,$B22&lt;&gt;$B7,$B23&lt;&gt;$B8,$B24&lt;&gt;$B9,$B25&lt;&gt;$B10,$B26&lt;&gt;$B11,$B27&lt;&gt;$B12,$B28&lt;&gt;$B13),IF($B24&lt;&gt;$B9,F9/INDEX($C3:$AJ13,7,MATCH(IF('Data-solution'!$A$3="Maximize",MAX($C14:$AI14),MIN($C14:$AI14)),$C14:$AI14,0)),F9-INDEX($C3:$AJ13,7,MATCH(IF('Data-solution'!$A$3="Maximize",MAX($C14:$AI14),MIN($C14:$AI14)),$C14:$AI14,0))*INDEX(F3:$AJ13,MATCH(MIN($AK3:$AK13),$AK3:$AK13,0),1)/INDEX($C3:$AJ13,MATCH(MIN($AK3:$AK13),$AK3:$AK13,0),MATCH(IF('Data-solution'!$A$3="Maximize",MAX($C14:$AI14),MIN($C14:$AI14)),$C14:$AI14,0))),F9)</f>
        <v>0</v>
      </c>
      <c r="G24" s="1">
        <f>IF(OR($B18&lt;&gt;$B3,$B19&lt;&gt;$B4,$B20&lt;&gt;$B5,$B21&lt;&gt;$B6,$B22&lt;&gt;$B7,$B23&lt;&gt;$B8,$B24&lt;&gt;$B9,$B25&lt;&gt;$B10,$B26&lt;&gt;$B11,$B27&lt;&gt;$B12,$B28&lt;&gt;$B13),IF($B24&lt;&gt;$B9,G9/INDEX($C3:$AJ13,7,MATCH(IF('Data-solution'!$A$3="Maximize",MAX($C14:$AI14),MIN($C14:$AI14)),$C14:$AI14,0)),G9-INDEX($C3:$AJ13,7,MATCH(IF('Data-solution'!$A$3="Maximize",MAX($C14:$AI14),MIN($C14:$AI14)),$C14:$AI14,0))*INDEX(G3:$AJ13,MATCH(MIN($AK3:$AK13),$AK3:$AK13,0),1)/INDEX($C3:$AJ13,MATCH(MIN($AK3:$AK13),$AK3:$AK13,0),MATCH(IF('Data-solution'!$A$3="Maximize",MAX($C14:$AI14),MIN($C14:$AI14)),$C14:$AI14,0))),G9)</f>
        <v>0</v>
      </c>
      <c r="H24" s="1">
        <f>IF(OR($B18&lt;&gt;$B3,$B19&lt;&gt;$B4,$B20&lt;&gt;$B5,$B21&lt;&gt;$B6,$B22&lt;&gt;$B7,$B23&lt;&gt;$B8,$B24&lt;&gt;$B9,$B25&lt;&gt;$B10,$B26&lt;&gt;$B11,$B27&lt;&gt;$B12,$B28&lt;&gt;$B13),IF($B24&lt;&gt;$B9,H9/INDEX($C3:$AJ13,7,MATCH(IF('Data-solution'!$A$3="Maximize",MAX($C14:$AI14),MIN($C14:$AI14)),$C14:$AI14,0)),H9-INDEX($C3:$AJ13,7,MATCH(IF('Data-solution'!$A$3="Maximize",MAX($C14:$AI14),MIN($C14:$AI14)),$C14:$AI14,0))*INDEX(H3:$AJ13,MATCH(MIN($AK3:$AK13),$AK3:$AK13,0),1)/INDEX($C3:$AJ13,MATCH(MIN($AK3:$AK13),$AK3:$AK13,0),MATCH(IF('Data-solution'!$A$3="Maximize",MAX($C14:$AI14),MIN($C14:$AI14)),$C14:$AI14,0))),H9)</f>
        <v>0</v>
      </c>
      <c r="I24" s="1">
        <f>IF(OR($B18&lt;&gt;$B3,$B19&lt;&gt;$B4,$B20&lt;&gt;$B5,$B21&lt;&gt;$B6,$B22&lt;&gt;$B7,$B23&lt;&gt;$B8,$B24&lt;&gt;$B9,$B25&lt;&gt;$B10,$B26&lt;&gt;$B11,$B27&lt;&gt;$B12,$B28&lt;&gt;$B13),IF($B24&lt;&gt;$B9,I9/INDEX($C3:$AJ13,7,MATCH(IF('Data-solution'!$A$3="Maximize",MAX($C14:$AI14),MIN($C14:$AI14)),$C14:$AI14,0)),I9-INDEX($C3:$AJ13,7,MATCH(IF('Data-solution'!$A$3="Maximize",MAX($C14:$AI14),MIN($C14:$AI14)),$C14:$AI14,0))*INDEX(I3:$AJ13,MATCH(MIN($AK3:$AK13),$AK3:$AK13,0),1)/INDEX($C3:$AJ13,MATCH(MIN($AK3:$AK13),$AK3:$AK13,0),MATCH(IF('Data-solution'!$A$3="Maximize",MAX($C14:$AI14),MIN($C14:$AI14)),$C14:$AI14,0))),I9)</f>
        <v>0</v>
      </c>
      <c r="J24" s="1">
        <f>IF(OR($B18&lt;&gt;$B3,$B19&lt;&gt;$B4,$B20&lt;&gt;$B5,$B21&lt;&gt;$B6,$B22&lt;&gt;$B7,$B23&lt;&gt;$B8,$B24&lt;&gt;$B9,$B25&lt;&gt;$B10,$B26&lt;&gt;$B11,$B27&lt;&gt;$B12,$B28&lt;&gt;$B13),IF($B24&lt;&gt;$B9,J9/INDEX($C3:$AJ13,7,MATCH(IF('Data-solution'!$A$3="Maximize",MAX($C14:$AI14),MIN($C14:$AI14)),$C14:$AI14,0)),J9-INDEX($C3:$AJ13,7,MATCH(IF('Data-solution'!$A$3="Maximize",MAX($C14:$AI14),MIN($C14:$AI14)),$C14:$AI14,0))*INDEX(J3:$AJ13,MATCH(MIN($AK3:$AK13),$AK3:$AK13,0),1)/INDEX($C3:$AJ13,MATCH(MIN($AK3:$AK13),$AK3:$AK13,0),MATCH(IF('Data-solution'!$A$3="Maximize",MAX($C14:$AI14),MIN($C14:$AI14)),$C14:$AI14,0))),J9)</f>
        <v>0</v>
      </c>
      <c r="K24" s="1">
        <f>IF(OR($B18&lt;&gt;$B3,$B19&lt;&gt;$B4,$B20&lt;&gt;$B5,$B21&lt;&gt;$B6,$B22&lt;&gt;$B7,$B23&lt;&gt;$B8,$B24&lt;&gt;$B9,$B25&lt;&gt;$B10,$B26&lt;&gt;$B11,$B27&lt;&gt;$B12,$B28&lt;&gt;$B13),IF($B24&lt;&gt;$B9,K9/INDEX($C3:$AJ13,7,MATCH(IF('Data-solution'!$A$3="Maximize",MAX($C14:$AI14),MIN($C14:$AI14)),$C14:$AI14,0)),K9-INDEX($C3:$AJ13,7,MATCH(IF('Data-solution'!$A$3="Maximize",MAX($C14:$AI14),MIN($C14:$AI14)),$C14:$AI14,0))*INDEX(K3:$AJ13,MATCH(MIN($AK3:$AK13),$AK3:$AK13,0),1)/INDEX($C3:$AJ13,MATCH(MIN($AK3:$AK13),$AK3:$AK13,0),MATCH(IF('Data-solution'!$A$3="Maximize",MAX($C14:$AI14),MIN($C14:$AI14)),$C14:$AI14,0))),K9)</f>
        <v>0</v>
      </c>
      <c r="L24" s="1">
        <f>IF(OR($B18&lt;&gt;$B3,$B19&lt;&gt;$B4,$B20&lt;&gt;$B5,$B21&lt;&gt;$B6,$B22&lt;&gt;$B7,$B23&lt;&gt;$B8,$B24&lt;&gt;$B9,$B25&lt;&gt;$B10,$B26&lt;&gt;$B11,$B27&lt;&gt;$B12,$B28&lt;&gt;$B13),IF($B24&lt;&gt;$B9,L9/INDEX($C3:$AJ13,7,MATCH(IF('Data-solution'!$A$3="Maximize",MAX($C14:$AI14),MIN($C14:$AI14)),$C14:$AI14,0)),L9-INDEX($C3:$AJ13,7,MATCH(IF('Data-solution'!$A$3="Maximize",MAX($C14:$AI14),MIN($C14:$AI14)),$C14:$AI14,0))*INDEX(L3:$AJ13,MATCH(MIN($AK3:$AK13),$AK3:$AK13,0),1)/INDEX($C3:$AJ13,MATCH(MIN($AK3:$AK13),$AK3:$AK13,0),MATCH(IF('Data-solution'!$A$3="Maximize",MAX($C14:$AI14),MIN($C14:$AI14)),$C14:$AI14,0))),L9)</f>
        <v>0</v>
      </c>
      <c r="M24" s="1">
        <f>IF(OR($B18&lt;&gt;$B3,$B19&lt;&gt;$B4,$B20&lt;&gt;$B5,$B21&lt;&gt;$B6,$B22&lt;&gt;$B7,$B23&lt;&gt;$B8,$B24&lt;&gt;$B9,$B25&lt;&gt;$B10,$B26&lt;&gt;$B11,$B27&lt;&gt;$B12,$B28&lt;&gt;$B13),IF($B24&lt;&gt;$B9,M9/INDEX($C3:$AJ13,7,MATCH(IF('Data-solution'!$A$3="Maximize",MAX($C14:$AI14),MIN($C14:$AI14)),$C14:$AI14,0)),M9-INDEX($C3:$AJ13,7,MATCH(IF('Data-solution'!$A$3="Maximize",MAX($C14:$AI14),MIN($C14:$AI14)),$C14:$AI14,0))*INDEX(M3:$AJ13,MATCH(MIN($AK3:$AK13),$AK3:$AK13,0),1)/INDEX($C3:$AJ13,MATCH(MIN($AK3:$AK13),$AK3:$AK13,0),MATCH(IF('Data-solution'!$A$3="Maximize",MAX($C14:$AI14),MIN($C14:$AI14)),$C14:$AI14,0))),M9)</f>
        <v>0</v>
      </c>
      <c r="N24" s="1">
        <f>IF(OR($B18&lt;&gt;$B3,$B19&lt;&gt;$B4,$B20&lt;&gt;$B5,$B21&lt;&gt;$B6,$B22&lt;&gt;$B7,$B23&lt;&gt;$B8,$B24&lt;&gt;$B9,$B25&lt;&gt;$B10,$B26&lt;&gt;$B11,$B27&lt;&gt;$B12,$B28&lt;&gt;$B13),IF($B24&lt;&gt;$B9,N9/INDEX($C3:$AJ13,7,MATCH(IF('Data-solution'!$A$3="Maximize",MAX($C14:$AI14),MIN($C14:$AI14)),$C14:$AI14,0)),N9-INDEX($C3:$AJ13,7,MATCH(IF('Data-solution'!$A$3="Maximize",MAX($C14:$AI14),MIN($C14:$AI14)),$C14:$AI14,0))*INDEX(N3:$AJ13,MATCH(MIN($AK3:$AK13),$AK3:$AK13,0),1)/INDEX($C3:$AJ13,MATCH(MIN($AK3:$AK13),$AK3:$AK13,0),MATCH(IF('Data-solution'!$A$3="Maximize",MAX($C14:$AI14),MIN($C14:$AI14)),$C14:$AI14,0))),N9)</f>
        <v>0</v>
      </c>
      <c r="O24" s="1">
        <f>IF(OR($B18&lt;&gt;$B3,$B19&lt;&gt;$B4,$B20&lt;&gt;$B5,$B21&lt;&gt;$B6,$B22&lt;&gt;$B7,$B23&lt;&gt;$B8,$B24&lt;&gt;$B9,$B25&lt;&gt;$B10,$B26&lt;&gt;$B11,$B27&lt;&gt;$B12,$B28&lt;&gt;$B13),IF($B24&lt;&gt;$B9,O9/INDEX($C3:$AJ13,7,MATCH(IF('Data-solution'!$A$3="Maximize",MAX($C14:$AI14),MIN($C14:$AI14)),$C14:$AI14,0)),O9-INDEX($C3:$AJ13,7,MATCH(IF('Data-solution'!$A$3="Maximize",MAX($C14:$AI14),MIN($C14:$AI14)),$C14:$AI14,0))*INDEX(O3:$AJ13,MATCH(MIN($AK3:$AK13),$AK3:$AK13,0),1)/INDEX($C3:$AJ13,MATCH(MIN($AK3:$AK13),$AK3:$AK13,0),MATCH(IF('Data-solution'!$A$3="Maximize",MAX($C14:$AI14),MIN($C14:$AI14)),$C14:$AI14,0))),O9)</f>
        <v>0</v>
      </c>
      <c r="P24" s="1">
        <f>IF(OR($B18&lt;&gt;$B3,$B19&lt;&gt;$B4,$B20&lt;&gt;$B5,$B21&lt;&gt;$B6,$B22&lt;&gt;$B7,$B23&lt;&gt;$B8,$B24&lt;&gt;$B9,$B25&lt;&gt;$B10,$B26&lt;&gt;$B11,$B27&lt;&gt;$B12,$B28&lt;&gt;$B13),IF($B24&lt;&gt;$B9,P9/INDEX($C3:$AJ13,7,MATCH(IF('Data-solution'!$A$3="Maximize",MAX($C14:$AI14),MIN($C14:$AI14)),$C14:$AI14,0)),P9-INDEX($C3:$AJ13,7,MATCH(IF('Data-solution'!$A$3="Maximize",MAX($C14:$AI14),MIN($C14:$AI14)),$C14:$AI14,0))*INDEX(P3:$AJ13,MATCH(MIN($AK3:$AK13),$AK3:$AK13,0),1)/INDEX($C3:$AJ13,MATCH(MIN($AK3:$AK13),$AK3:$AK13,0),MATCH(IF('Data-solution'!$A$3="Maximize",MAX($C14:$AI14),MIN($C14:$AI14)),$C14:$AI14,0))),P9)</f>
        <v>0</v>
      </c>
      <c r="Q24" s="1">
        <f>IF(OR($B18&lt;&gt;$B3,$B19&lt;&gt;$B4,$B20&lt;&gt;$B5,$B21&lt;&gt;$B6,$B22&lt;&gt;$B7,$B23&lt;&gt;$B8,$B24&lt;&gt;$B9,$B25&lt;&gt;$B10,$B26&lt;&gt;$B11,$B27&lt;&gt;$B12,$B28&lt;&gt;$B13),IF($B24&lt;&gt;$B9,Q9/INDEX($C3:$AJ13,7,MATCH(IF('Data-solution'!$A$3="Maximize",MAX($C14:$AI14),MIN($C14:$AI14)),$C14:$AI14,0)),Q9-INDEX($C3:$AJ13,7,MATCH(IF('Data-solution'!$A$3="Maximize",MAX($C14:$AI14),MIN($C14:$AI14)),$C14:$AI14,0))*INDEX(Q3:$AJ13,MATCH(MIN($AK3:$AK13),$AK3:$AK13,0),1)/INDEX($C3:$AJ13,MATCH(MIN($AK3:$AK13),$AK3:$AK13,0),MATCH(IF('Data-solution'!$A$3="Maximize",MAX($C14:$AI14),MIN($C14:$AI14)),$C14:$AI14,0))),Q9)</f>
        <v>0</v>
      </c>
      <c r="R24" s="1">
        <f>IF(OR($B18&lt;&gt;$B3,$B19&lt;&gt;$B4,$B20&lt;&gt;$B5,$B21&lt;&gt;$B6,$B22&lt;&gt;$B7,$B23&lt;&gt;$B8,$B24&lt;&gt;$B9,$B25&lt;&gt;$B10,$B26&lt;&gt;$B11,$B27&lt;&gt;$B12,$B28&lt;&gt;$B13),IF($B24&lt;&gt;$B9,R9/INDEX($C3:$AJ13,7,MATCH(IF('Data-solution'!$A$3="Maximize",MAX($C14:$AI14),MIN($C14:$AI14)),$C14:$AI14,0)),R9-INDEX($C3:$AJ13,7,MATCH(IF('Data-solution'!$A$3="Maximize",MAX($C14:$AI14),MIN($C14:$AI14)),$C14:$AI14,0))*INDEX(R3:$AJ13,MATCH(MIN($AK3:$AK13),$AK3:$AK13,0),1)/INDEX($C3:$AJ13,MATCH(MIN($AK3:$AK13),$AK3:$AK13,0),MATCH(IF('Data-solution'!$A$3="Maximize",MAX($C14:$AI14),MIN($C14:$AI14)),$C14:$AI14,0))),R9)</f>
        <v>0</v>
      </c>
      <c r="S24" s="1">
        <f>IF(OR($B18&lt;&gt;$B3,$B19&lt;&gt;$B4,$B20&lt;&gt;$B5,$B21&lt;&gt;$B6,$B22&lt;&gt;$B7,$B23&lt;&gt;$B8,$B24&lt;&gt;$B9,$B25&lt;&gt;$B10,$B26&lt;&gt;$B11,$B27&lt;&gt;$B12,$B28&lt;&gt;$B13),IF($B24&lt;&gt;$B9,S9/INDEX($C3:$AJ13,7,MATCH(IF('Data-solution'!$A$3="Maximize",MAX($C14:$AI14),MIN($C14:$AI14)),$C14:$AI14,0)),S9-INDEX($C3:$AJ13,7,MATCH(IF('Data-solution'!$A$3="Maximize",MAX($C14:$AI14),MIN($C14:$AI14)),$C14:$AI14,0))*INDEX(S3:$AJ13,MATCH(MIN($AK3:$AK13),$AK3:$AK13,0),1)/INDEX($C3:$AJ13,MATCH(MIN($AK3:$AK13),$AK3:$AK13,0),MATCH(IF('Data-solution'!$A$3="Maximize",MAX($C14:$AI14),MIN($C14:$AI14)),$C14:$AI14,0))),S9)</f>
        <v>0</v>
      </c>
      <c r="T24" s="1">
        <f>IF(OR($B18&lt;&gt;$B3,$B19&lt;&gt;$B4,$B20&lt;&gt;$B5,$B21&lt;&gt;$B6,$B22&lt;&gt;$B7,$B23&lt;&gt;$B8,$B24&lt;&gt;$B9,$B25&lt;&gt;$B10,$B26&lt;&gt;$B11,$B27&lt;&gt;$B12,$B28&lt;&gt;$B13),IF($B24&lt;&gt;$B9,T9/INDEX($C3:$AJ13,7,MATCH(IF('Data-solution'!$A$3="Maximize",MAX($C14:$AI14),MIN($C14:$AI14)),$C14:$AI14,0)),T9-INDEX($C3:$AJ13,7,MATCH(IF('Data-solution'!$A$3="Maximize",MAX($C14:$AI14),MIN($C14:$AI14)),$C14:$AI14,0))*INDEX(T3:$AJ13,MATCH(MIN($AK3:$AK13),$AK3:$AK13,0),1)/INDEX($C3:$AJ13,MATCH(MIN($AK3:$AK13),$AK3:$AK13,0),MATCH(IF('Data-solution'!$A$3="Maximize",MAX($C14:$AI14),MIN($C14:$AI14)),$C14:$AI14,0))),T9)</f>
        <v>1</v>
      </c>
      <c r="U24" s="1">
        <f>IF(OR($B18&lt;&gt;$B3,$B19&lt;&gt;$B4,$B20&lt;&gt;$B5,$B21&lt;&gt;$B6,$B22&lt;&gt;$B7,$B23&lt;&gt;$B8,$B24&lt;&gt;$B9,$B25&lt;&gt;$B10,$B26&lt;&gt;$B11,$B27&lt;&gt;$B12,$B28&lt;&gt;$B13),IF($B24&lt;&gt;$B9,U9/INDEX($C3:$AJ13,7,MATCH(IF('Data-solution'!$A$3="Maximize",MAX($C14:$AI14),MIN($C14:$AI14)),$C14:$AI14,0)),U9-INDEX($C3:$AJ13,7,MATCH(IF('Data-solution'!$A$3="Maximize",MAX($C14:$AI14),MIN($C14:$AI14)),$C14:$AI14,0))*INDEX(U3:$AJ13,MATCH(MIN($AK3:$AK13),$AK3:$AK13,0),1)/INDEX($C3:$AJ13,MATCH(MIN($AK3:$AK13),$AK3:$AK13,0),MATCH(IF('Data-solution'!$A$3="Maximize",MAX($C14:$AI14),MIN($C14:$AI14)),$C14:$AI14,0))),U9)</f>
        <v>0</v>
      </c>
      <c r="V24" s="1">
        <f>IF(OR($B18&lt;&gt;$B3,$B19&lt;&gt;$B4,$B20&lt;&gt;$B5,$B21&lt;&gt;$B6,$B22&lt;&gt;$B7,$B23&lt;&gt;$B8,$B24&lt;&gt;$B9,$B25&lt;&gt;$B10,$B26&lt;&gt;$B11,$B27&lt;&gt;$B12,$B28&lt;&gt;$B13),IF($B24&lt;&gt;$B9,V9/INDEX($C3:$AJ13,7,MATCH(IF('Data-solution'!$A$3="Maximize",MAX($C14:$AI14),MIN($C14:$AI14)),$C14:$AI14,0)),V9-INDEX($C3:$AJ13,7,MATCH(IF('Data-solution'!$A$3="Maximize",MAX($C14:$AI14),MIN($C14:$AI14)),$C14:$AI14,0))*INDEX(V3:$AJ13,MATCH(MIN($AK3:$AK13),$AK3:$AK13,0),1)/INDEX($C3:$AJ13,MATCH(MIN($AK3:$AK13),$AK3:$AK13,0),MATCH(IF('Data-solution'!$A$3="Maximize",MAX($C14:$AI14),MIN($C14:$AI14)),$C14:$AI14,0))),V9)</f>
        <v>0</v>
      </c>
      <c r="W24" s="1">
        <f>IF(OR($B18&lt;&gt;$B3,$B19&lt;&gt;$B4,$B20&lt;&gt;$B5,$B21&lt;&gt;$B6,$B22&lt;&gt;$B7,$B23&lt;&gt;$B8,$B24&lt;&gt;$B9,$B25&lt;&gt;$B10,$B26&lt;&gt;$B11,$B27&lt;&gt;$B12,$B28&lt;&gt;$B13),IF($B24&lt;&gt;$B9,W9/INDEX($C3:$AJ13,7,MATCH(IF('Data-solution'!$A$3="Maximize",MAX($C14:$AI14),MIN($C14:$AI14)),$C14:$AI14,0)),W9-INDEX($C3:$AJ13,7,MATCH(IF('Data-solution'!$A$3="Maximize",MAX($C14:$AI14),MIN($C14:$AI14)),$C14:$AI14,0))*INDEX(W3:$AJ13,MATCH(MIN($AK3:$AK13),$AK3:$AK13,0),1)/INDEX($C3:$AJ13,MATCH(MIN($AK3:$AK13),$AK3:$AK13,0),MATCH(IF('Data-solution'!$A$3="Maximize",MAX($C14:$AI14),MIN($C14:$AI14)),$C14:$AI14,0))),W9)</f>
        <v>0</v>
      </c>
      <c r="X24" s="1">
        <f>IF(OR($B18&lt;&gt;$B3,$B19&lt;&gt;$B4,$B20&lt;&gt;$B5,$B21&lt;&gt;$B6,$B22&lt;&gt;$B7,$B23&lt;&gt;$B8,$B24&lt;&gt;$B9,$B25&lt;&gt;$B10,$B26&lt;&gt;$B11,$B27&lt;&gt;$B12,$B28&lt;&gt;$B13),IF($B24&lt;&gt;$B9,X9/INDEX($C3:$AJ13,7,MATCH(IF('Data-solution'!$A$3="Maximize",MAX($C14:$AI14),MIN($C14:$AI14)),$C14:$AI14,0)),X9-INDEX($C3:$AJ13,7,MATCH(IF('Data-solution'!$A$3="Maximize",MAX($C14:$AI14),MIN($C14:$AI14)),$C14:$AI14,0))*INDEX(X3:$AJ13,MATCH(MIN($AK3:$AK13),$AK3:$AK13,0),1)/INDEX($C3:$AJ13,MATCH(MIN($AK3:$AK13),$AK3:$AK13,0),MATCH(IF('Data-solution'!$A$3="Maximize",MAX($C14:$AI14),MIN($C14:$AI14)),$C14:$AI14,0))),X9)</f>
        <v>0</v>
      </c>
      <c r="Y24" s="1">
        <f>IF(OR($B18&lt;&gt;$B3,$B19&lt;&gt;$B4,$B20&lt;&gt;$B5,$B21&lt;&gt;$B6,$B22&lt;&gt;$B7,$B23&lt;&gt;$B8,$B24&lt;&gt;$B9,$B25&lt;&gt;$B10,$B26&lt;&gt;$B11,$B27&lt;&gt;$B12,$B28&lt;&gt;$B13),IF($B24&lt;&gt;$B9,Y9/INDEX($C3:$AJ13,7,MATCH(IF('Data-solution'!$A$3="Maximize",MAX($C14:$AI14),MIN($C14:$AI14)),$C14:$AI14,0)),Y9-INDEX($C3:$AJ13,7,MATCH(IF('Data-solution'!$A$3="Maximize",MAX($C14:$AI14),MIN($C14:$AI14)),$C14:$AI14,0))*INDEX(Y3:$AJ13,MATCH(MIN($AK3:$AK13),$AK3:$AK13,0),1)/INDEX($C3:$AJ13,MATCH(MIN($AK3:$AK13),$AK3:$AK13,0),MATCH(IF('Data-solution'!$A$3="Maximize",MAX($C14:$AI14),MIN($C14:$AI14)),$C14:$AI14,0))),Y9)</f>
        <v>0</v>
      </c>
      <c r="Z24" s="1">
        <f>IF(OR($B18&lt;&gt;$B3,$B19&lt;&gt;$B4,$B20&lt;&gt;$B5,$B21&lt;&gt;$B6,$B22&lt;&gt;$B7,$B23&lt;&gt;$B8,$B24&lt;&gt;$B9,$B25&lt;&gt;$B10,$B26&lt;&gt;$B11,$B27&lt;&gt;$B12,$B28&lt;&gt;$B13),IF($B24&lt;&gt;$B9,Z9/INDEX($C3:$AJ13,7,MATCH(IF('Data-solution'!$A$3="Maximize",MAX($C14:$AI14),MIN($C14:$AI14)),$C14:$AI14,0)),Z9-INDEX($C3:$AJ13,7,MATCH(IF('Data-solution'!$A$3="Maximize",MAX($C14:$AI14),MIN($C14:$AI14)),$C14:$AI14,0))*INDEX(Z3:$AJ13,MATCH(MIN($AK3:$AK13),$AK3:$AK13,0),1)/INDEX($C3:$AJ13,MATCH(MIN($AK3:$AK13),$AK3:$AK13,0),MATCH(IF('Data-solution'!$A$3="Maximize",MAX($C14:$AI14),MIN($C14:$AI14)),$C14:$AI14,0))),Z9)</f>
        <v>0</v>
      </c>
      <c r="AA24" s="1">
        <f>IF(OR($B18&lt;&gt;$B3,$B19&lt;&gt;$B4,$B20&lt;&gt;$B5,$B21&lt;&gt;$B6,$B22&lt;&gt;$B7,$B23&lt;&gt;$B8,$B24&lt;&gt;$B9,$B25&lt;&gt;$B10,$B26&lt;&gt;$B11,$B27&lt;&gt;$B12,$B28&lt;&gt;$B13),IF($B24&lt;&gt;$B9,AA9/INDEX($C3:$AJ13,7,MATCH(IF('Data-solution'!$A$3="Maximize",MAX($C14:$AI14),MIN($C14:$AI14)),$C14:$AI14,0)),AA9-INDEX($C3:$AJ13,7,MATCH(IF('Data-solution'!$A$3="Maximize",MAX($C14:$AI14),MIN($C14:$AI14)),$C14:$AI14,0))*INDEX(AA3:$AJ13,MATCH(MIN($AK3:$AK13),$AK3:$AK13,0),1)/INDEX($C3:$AJ13,MATCH(MIN($AK3:$AK13),$AK3:$AK13,0),MATCH(IF('Data-solution'!$A$3="Maximize",MAX($C14:$AI14),MIN($C14:$AI14)),$C14:$AI14,0))),AA9)</f>
        <v>0</v>
      </c>
      <c r="AB24" s="1">
        <f>IF(OR($B18&lt;&gt;$B3,$B19&lt;&gt;$B4,$B20&lt;&gt;$B5,$B21&lt;&gt;$B6,$B22&lt;&gt;$B7,$B23&lt;&gt;$B8,$B24&lt;&gt;$B9,$B25&lt;&gt;$B10,$B26&lt;&gt;$B11,$B27&lt;&gt;$B12,$B28&lt;&gt;$B13),IF($B24&lt;&gt;$B9,AB9/INDEX($C3:$AJ13,7,MATCH(IF('Data-solution'!$A$3="Maximize",MAX($C14:$AI14),MIN($C14:$AI14)),$C14:$AI14,0)),AB9-INDEX($C3:$AJ13,7,MATCH(IF('Data-solution'!$A$3="Maximize",MAX($C14:$AI14),MIN($C14:$AI14)),$C14:$AI14,0))*INDEX(AB3:$AJ13,MATCH(MIN($AK3:$AK13),$AK3:$AK13,0),1)/INDEX($C3:$AJ13,MATCH(MIN($AK3:$AK13),$AK3:$AK13,0),MATCH(IF('Data-solution'!$A$3="Maximize",MAX($C14:$AI14),MIN($C14:$AI14)),$C14:$AI14,0))),AB9)</f>
        <v>0</v>
      </c>
      <c r="AC24" s="1">
        <f>IF(OR($B18&lt;&gt;$B3,$B19&lt;&gt;$B4,$B20&lt;&gt;$B5,$B21&lt;&gt;$B6,$B22&lt;&gt;$B7,$B23&lt;&gt;$B8,$B24&lt;&gt;$B9,$B25&lt;&gt;$B10,$B26&lt;&gt;$B11,$B27&lt;&gt;$B12,$B28&lt;&gt;$B13),IF($B24&lt;&gt;$B9,AC9/INDEX($C3:$AJ13,7,MATCH(IF('Data-solution'!$A$3="Maximize",MAX($C14:$AI14),MIN($C14:$AI14)),$C14:$AI14,0)),AC9-INDEX($C3:$AJ13,7,MATCH(IF('Data-solution'!$A$3="Maximize",MAX($C14:$AI14),MIN($C14:$AI14)),$C14:$AI14,0))*INDEX(AC3:$AJ13,MATCH(MIN($AK3:$AK13),$AK3:$AK13,0),1)/INDEX($C3:$AJ13,MATCH(MIN($AK3:$AK13),$AK3:$AK13,0),MATCH(IF('Data-solution'!$A$3="Maximize",MAX($C14:$AI14),MIN($C14:$AI14)),$C14:$AI14,0))),AC9)</f>
        <v>0</v>
      </c>
      <c r="AD24" s="1">
        <f>IF(OR($B18&lt;&gt;$B3,$B19&lt;&gt;$B4,$B20&lt;&gt;$B5,$B21&lt;&gt;$B6,$B22&lt;&gt;$B7,$B23&lt;&gt;$B8,$B24&lt;&gt;$B9,$B25&lt;&gt;$B10,$B26&lt;&gt;$B11,$B27&lt;&gt;$B12,$B28&lt;&gt;$B13),IF($B24&lt;&gt;$B9,AD9/INDEX($C3:$AJ13,7,MATCH(IF('Data-solution'!$A$3="Maximize",MAX($C14:$AI14),MIN($C14:$AI14)),$C14:$AI14,0)),AD9-INDEX($C3:$AJ13,7,MATCH(IF('Data-solution'!$A$3="Maximize",MAX($C14:$AI14),MIN($C14:$AI14)),$C14:$AI14,0))*INDEX(AD3:$AJ13,MATCH(MIN($AK3:$AK13),$AK3:$AK13,0),1)/INDEX($C3:$AJ13,MATCH(MIN($AK3:$AK13),$AK3:$AK13,0),MATCH(IF('Data-solution'!$A$3="Maximize",MAX($C14:$AI14),MIN($C14:$AI14)),$C14:$AI14,0))),AD9)</f>
        <v>0</v>
      </c>
      <c r="AE24" s="1">
        <f>IF(OR($B18&lt;&gt;$B3,$B19&lt;&gt;$B4,$B20&lt;&gt;$B5,$B21&lt;&gt;$B6,$B22&lt;&gt;$B7,$B23&lt;&gt;$B8,$B24&lt;&gt;$B9,$B25&lt;&gt;$B10,$B26&lt;&gt;$B11,$B27&lt;&gt;$B12,$B28&lt;&gt;$B13),IF($B24&lt;&gt;$B9,AE9/INDEX($C3:$AJ13,7,MATCH(IF('Data-solution'!$A$3="Maximize",MAX($C14:$AI14),MIN($C14:$AI14)),$C14:$AI14,0)),AE9-INDEX($C3:$AJ13,7,MATCH(IF('Data-solution'!$A$3="Maximize",MAX($C14:$AI14),MIN($C14:$AI14)),$C14:$AI14,0))*INDEX(AE3:$AJ13,MATCH(MIN($AK3:$AK13),$AK3:$AK13,0),1)/INDEX($C3:$AJ13,MATCH(MIN($AK3:$AK13),$AK3:$AK13,0),MATCH(IF('Data-solution'!$A$3="Maximize",MAX($C14:$AI14),MIN($C14:$AI14)),$C14:$AI14,0))),AE9)</f>
        <v>1</v>
      </c>
      <c r="AF24" s="1">
        <f>IF(OR($B18&lt;&gt;$B3,$B19&lt;&gt;$B4,$B20&lt;&gt;$B5,$B21&lt;&gt;$B6,$B22&lt;&gt;$B7,$B23&lt;&gt;$B8,$B24&lt;&gt;$B9,$B25&lt;&gt;$B10,$B26&lt;&gt;$B11,$B27&lt;&gt;$B12,$B28&lt;&gt;$B13),IF($B24&lt;&gt;$B9,AF9/INDEX($C3:$AJ13,7,MATCH(IF('Data-solution'!$A$3="Maximize",MAX($C14:$AI14),MIN($C14:$AI14)),$C14:$AI14,0)),AF9-INDEX($C3:$AJ13,7,MATCH(IF('Data-solution'!$A$3="Maximize",MAX($C14:$AI14),MIN($C14:$AI14)),$C14:$AI14,0))*INDEX(AF3:$AJ13,MATCH(MIN($AK3:$AK13),$AK3:$AK13,0),1)/INDEX($C3:$AJ13,MATCH(MIN($AK3:$AK13),$AK3:$AK13,0),MATCH(IF('Data-solution'!$A$3="Maximize",MAX($C14:$AI14),MIN($C14:$AI14)),$C14:$AI14,0))),AF9)</f>
        <v>0</v>
      </c>
      <c r="AG24" s="1">
        <f>IF(OR($B18&lt;&gt;$B3,$B19&lt;&gt;$B4,$B20&lt;&gt;$B5,$B21&lt;&gt;$B6,$B22&lt;&gt;$B7,$B23&lt;&gt;$B8,$B24&lt;&gt;$B9,$B25&lt;&gt;$B10,$B26&lt;&gt;$B11,$B27&lt;&gt;$B12,$B28&lt;&gt;$B13),IF($B24&lt;&gt;$B9,AG9/INDEX($C3:$AJ13,7,MATCH(IF('Data-solution'!$A$3="Maximize",MAX($C14:$AI14),MIN($C14:$AI14)),$C14:$AI14,0)),AG9-INDEX($C3:$AJ13,7,MATCH(IF('Data-solution'!$A$3="Maximize",MAX($C14:$AI14),MIN($C14:$AI14)),$C14:$AI14,0))*INDEX(AG3:$AJ13,MATCH(MIN($AK3:$AK13),$AK3:$AK13,0),1)/INDEX($C3:$AJ13,MATCH(MIN($AK3:$AK13),$AK3:$AK13,0),MATCH(IF('Data-solution'!$A$3="Maximize",MAX($C14:$AI14),MIN($C14:$AI14)),$C14:$AI14,0))),AG9)</f>
        <v>0</v>
      </c>
      <c r="AH24" s="1">
        <f>IF(OR($B18&lt;&gt;$B3,$B19&lt;&gt;$B4,$B20&lt;&gt;$B5,$B21&lt;&gt;$B6,$B22&lt;&gt;$B7,$B23&lt;&gt;$B8,$B24&lt;&gt;$B9,$B25&lt;&gt;$B10,$B26&lt;&gt;$B11,$B27&lt;&gt;$B12,$B28&lt;&gt;$B13),IF($B24&lt;&gt;$B9,AH9/INDEX($C3:$AJ13,7,MATCH(IF('Data-solution'!$A$3="Maximize",MAX($C14:$AI14),MIN($C14:$AI14)),$C14:$AI14,0)),AH9-INDEX($C3:$AJ13,7,MATCH(IF('Data-solution'!$A$3="Maximize",MAX($C14:$AI14),MIN($C14:$AI14)),$C14:$AI14,0))*INDEX(AH3:$AJ13,MATCH(MIN($AK3:$AK13),$AK3:$AK13,0),1)/INDEX($C3:$AJ13,MATCH(MIN($AK3:$AK13),$AK3:$AK13,0),MATCH(IF('Data-solution'!$A$3="Maximize",MAX($C14:$AI14),MIN($C14:$AI14)),$C14:$AI14,0))),AH9)</f>
        <v>0</v>
      </c>
      <c r="AI24" s="1">
        <f>IF(OR($B18&lt;&gt;$B3,$B19&lt;&gt;$B4,$B20&lt;&gt;$B5,$B21&lt;&gt;$B6,$B22&lt;&gt;$B7,$B23&lt;&gt;$B8,$B24&lt;&gt;$B9,$B25&lt;&gt;$B10,$B26&lt;&gt;$B11,$B27&lt;&gt;$B12,$B28&lt;&gt;$B13),IF($B24&lt;&gt;$B9,AI9/INDEX($C3:$AJ13,7,MATCH(IF('Data-solution'!$A$3="Maximize",MAX($C14:$AI14),MIN($C14:$AI14)),$C14:$AI14,0)),AI9-INDEX($C3:$AJ13,7,MATCH(IF('Data-solution'!$A$3="Maximize",MAX($C14:$AI14),MIN($C14:$AI14)),$C14:$AI14,0))*INDEX(AI3:$AJ13,MATCH(MIN($AK3:$AK13),$AK3:$AK13,0),1)/INDEX($C3:$AJ13,MATCH(MIN($AK3:$AK13),$AK3:$AK13,0),MATCH(IF('Data-solution'!$A$3="Maximize",MAX($C14:$AI14),MIN($C14:$AI14)),$C14:$AI14,0))),AI9)</f>
        <v>0</v>
      </c>
      <c r="AJ24" s="1">
        <f>IF(OR($B18&lt;&gt;$B3,$B19&lt;&gt;$B4,$B20&lt;&gt;$B5,$B21&lt;&gt;$B6,$B22&lt;&gt;$B7,$B23&lt;&gt;$B8,$B24&lt;&gt;$B9,$B25&lt;&gt;$B10,$B26&lt;&gt;$B11,$B27&lt;&gt;$B12,$B28&lt;&gt;$B13),IF($B24&lt;&gt;$B9,AJ9/INDEX($C3:$AJ13,7,MATCH(IF('Data-solution'!$A$3="Maximize",MAX($C14:$AI14),MIN($C14:$AI14)),$C14:$AI14,0)),AJ9-INDEX($C3:$AJ13,7,MATCH(IF('Data-solution'!$A$3="Maximize",MAX($C14:$AI14),MIN($C14:$AI14)),$C14:$AI14,0))*INDEX(AJ3:$AJ13,MATCH(MIN($AK3:$AK13),$AK3:$AK13,0),1)/INDEX($C3:$AJ13,MATCH(MIN($AK3:$AK13),$AK3:$AK13,0),MATCH(IF('Data-solution'!$A$3="Maximize",MAX($C14:$AI14),MIN($C14:$AI14)),$C14:$AI14,0))),AJ9)</f>
        <v>0</v>
      </c>
      <c r="AK24" s="1" t="str">
        <f>IF(INDEX(C24:X24,1,MATCH(IF('Data-solution'!A$3="Maximize",MAX(C29:X29),MIN(C29:X29)),C29:X29,0))&gt;0,AJ24/INDEX(C24:X24,1,MATCH(IF('Data-solution'!A$3="Maximize",MAX(C29:X29),MIN(C29:X29)),C29:X29,0))," ")</f>
        <v xml:space="preserve"> </v>
      </c>
    </row>
    <row r="25" spans="1:37" ht="18" customHeight="1" x14ac:dyDescent="0.2">
      <c r="A25" s="1">
        <f>INDEX(C16:AI16,1,MATCH(B25,C17:AI17,0))</f>
        <v>0</v>
      </c>
      <c r="B25" s="2" t="str">
        <f>IF(AND('Data-solution'!A$3="Maximize",COUNTIF(C14:X14,"&gt;"&amp;0)&gt;0,AK10=MIN(AK3:AK13),COUNTIF(B18:B24,INDEX(C2:X2,1,MATCH(MAX(C14:X14),C14:X14,0)))=0),INDEX(C2:X2,1,MATCH(MAX(C14:X14),C14:X14,0)),IF(AND('Data-solution'!A$3="Minimize",COUNTIF(C14:X14,"&lt;"&amp;0)&gt;0,AK10=MIN(AK3:AK13),COUNTIF(B18:B24,INDEX(C2:X2,1,MATCH(MIN(C14:X14),C14:X14,0)))=0),INDEX(C2:X2,1,MATCH(MIN(C14:X14),C14:X14,0)),B10))</f>
        <v>S8</v>
      </c>
      <c r="C25" s="1">
        <f>IF(OR($B18&lt;&gt;$B3,$B19&lt;&gt;$B4,$B20&lt;&gt;$B5,$B21&lt;&gt;$B6,$B22&lt;&gt;$B7,$B23&lt;&gt;$B8,$B24&lt;&gt;$B9,$B25&lt;&gt;$B10,$B26&lt;&gt;$B11,$B27&lt;&gt;$B12,$B28&lt;&gt;$B13),IF($B25&lt;&gt;$B10,C10/INDEX($C3:$AJ13,8,MATCH(IF('Data-solution'!$A$3="Maximize",MAX($C14:$AI14),MIN($C14:$AI14)),$C14:$AI14,0)),C10-INDEX($C3:$AJ13,8,MATCH(IF('Data-solution'!$A$3="Maximize",MAX($C14:$AI14),MIN($C14:$AI14)),$C14:$AI14,0))*INDEX(C3:$AJ13,MATCH(MIN($AK3:$AK13),$AK3:$AK13,0),1)/INDEX($C3:$AJ13,MATCH(MIN($AK3:$AK13),$AK3:$AK13,0),MATCH(IF('Data-solution'!$A$3="Maximize",MAX($C14:$AI14),MIN($C14:$AI14)),$C14:$AI14,0))),C10)</f>
        <v>0</v>
      </c>
      <c r="D25" s="1">
        <f>IF(OR($B18&lt;&gt;$B3,$B19&lt;&gt;$B4,$B20&lt;&gt;$B5,$B21&lt;&gt;$B6,$B22&lt;&gt;$B7,$B23&lt;&gt;$B8,$B24&lt;&gt;$B9,$B25&lt;&gt;$B10,$B26&lt;&gt;$B11,$B27&lt;&gt;$B12,$B28&lt;&gt;$B13),IF($B25&lt;&gt;$B10,D10/INDEX($C3:$AJ13,8,MATCH(IF('Data-solution'!$A$3="Maximize",MAX($C14:$AI14),MIN($C14:$AI14)),$C14:$AI14,0)),D10-INDEX($C3:$AJ13,8,MATCH(IF('Data-solution'!$A$3="Maximize",MAX($C14:$AI14),MIN($C14:$AI14)),$C14:$AI14,0))*INDEX(D3:$AJ13,MATCH(MIN($AK3:$AK13),$AK3:$AK13,0),1)/INDEX($C3:$AJ13,MATCH(MIN($AK3:$AK13),$AK3:$AK13,0),MATCH(IF('Data-solution'!$A$3="Maximize",MAX($C14:$AI14),MIN($C14:$AI14)),$C14:$AI14,0))),D10)</f>
        <v>0</v>
      </c>
      <c r="E25" s="1">
        <f>IF(OR($B18&lt;&gt;$B3,$B19&lt;&gt;$B4,$B20&lt;&gt;$B5,$B21&lt;&gt;$B6,$B22&lt;&gt;$B7,$B23&lt;&gt;$B8,$B24&lt;&gt;$B9,$B25&lt;&gt;$B10,$B26&lt;&gt;$B11,$B27&lt;&gt;$B12,$B28&lt;&gt;$B13),IF($B25&lt;&gt;$B10,E10/INDEX($C3:$AJ13,8,MATCH(IF('Data-solution'!$A$3="Maximize",MAX($C14:$AI14),MIN($C14:$AI14)),$C14:$AI14,0)),E10-INDEX($C3:$AJ13,8,MATCH(IF('Data-solution'!$A$3="Maximize",MAX($C14:$AI14),MIN($C14:$AI14)),$C14:$AI14,0))*INDEX(E3:$AJ13,MATCH(MIN($AK3:$AK13),$AK3:$AK13,0),1)/INDEX($C3:$AJ13,MATCH(MIN($AK3:$AK13),$AK3:$AK13,0),MATCH(IF('Data-solution'!$A$3="Maximize",MAX($C14:$AI14),MIN($C14:$AI14)),$C14:$AI14,0))),E10)</f>
        <v>0</v>
      </c>
      <c r="F25" s="1">
        <f>IF(OR($B18&lt;&gt;$B3,$B19&lt;&gt;$B4,$B20&lt;&gt;$B5,$B21&lt;&gt;$B6,$B22&lt;&gt;$B7,$B23&lt;&gt;$B8,$B24&lt;&gt;$B9,$B25&lt;&gt;$B10,$B26&lt;&gt;$B11,$B27&lt;&gt;$B12,$B28&lt;&gt;$B13),IF($B25&lt;&gt;$B10,F10/INDEX($C3:$AJ13,8,MATCH(IF('Data-solution'!$A$3="Maximize",MAX($C14:$AI14),MIN($C14:$AI14)),$C14:$AI14,0)),F10-INDEX($C3:$AJ13,8,MATCH(IF('Data-solution'!$A$3="Maximize",MAX($C14:$AI14),MIN($C14:$AI14)),$C14:$AI14,0))*INDEX(F3:$AJ13,MATCH(MIN($AK3:$AK13),$AK3:$AK13,0),1)/INDEX($C3:$AJ13,MATCH(MIN($AK3:$AK13),$AK3:$AK13,0),MATCH(IF('Data-solution'!$A$3="Maximize",MAX($C14:$AI14),MIN($C14:$AI14)),$C14:$AI14,0))),F10)</f>
        <v>0</v>
      </c>
      <c r="G25" s="1">
        <f>IF(OR($B18&lt;&gt;$B3,$B19&lt;&gt;$B4,$B20&lt;&gt;$B5,$B21&lt;&gt;$B6,$B22&lt;&gt;$B7,$B23&lt;&gt;$B8,$B24&lt;&gt;$B9,$B25&lt;&gt;$B10,$B26&lt;&gt;$B11,$B27&lt;&gt;$B12,$B28&lt;&gt;$B13),IF($B25&lt;&gt;$B10,G10/INDEX($C3:$AJ13,8,MATCH(IF('Data-solution'!$A$3="Maximize",MAX($C14:$AI14),MIN($C14:$AI14)),$C14:$AI14,0)),G10-INDEX($C3:$AJ13,8,MATCH(IF('Data-solution'!$A$3="Maximize",MAX($C14:$AI14),MIN($C14:$AI14)),$C14:$AI14,0))*INDEX(G3:$AJ13,MATCH(MIN($AK3:$AK13),$AK3:$AK13,0),1)/INDEX($C3:$AJ13,MATCH(MIN($AK3:$AK13),$AK3:$AK13,0),MATCH(IF('Data-solution'!$A$3="Maximize",MAX($C14:$AI14),MIN($C14:$AI14)),$C14:$AI14,0))),G10)</f>
        <v>0</v>
      </c>
      <c r="H25" s="1">
        <f>IF(OR($B18&lt;&gt;$B3,$B19&lt;&gt;$B4,$B20&lt;&gt;$B5,$B21&lt;&gt;$B6,$B22&lt;&gt;$B7,$B23&lt;&gt;$B8,$B24&lt;&gt;$B9,$B25&lt;&gt;$B10,$B26&lt;&gt;$B11,$B27&lt;&gt;$B12,$B28&lt;&gt;$B13),IF($B25&lt;&gt;$B10,H10/INDEX($C3:$AJ13,8,MATCH(IF('Data-solution'!$A$3="Maximize",MAX($C14:$AI14),MIN($C14:$AI14)),$C14:$AI14,0)),H10-INDEX($C3:$AJ13,8,MATCH(IF('Data-solution'!$A$3="Maximize",MAX($C14:$AI14),MIN($C14:$AI14)),$C14:$AI14,0))*INDEX(H3:$AJ13,MATCH(MIN($AK3:$AK13),$AK3:$AK13,0),1)/INDEX($C3:$AJ13,MATCH(MIN($AK3:$AK13),$AK3:$AK13,0),MATCH(IF('Data-solution'!$A$3="Maximize",MAX($C14:$AI14),MIN($C14:$AI14)),$C14:$AI14,0))),H10)</f>
        <v>0</v>
      </c>
      <c r="I25" s="1">
        <f>IF(OR($B18&lt;&gt;$B3,$B19&lt;&gt;$B4,$B20&lt;&gt;$B5,$B21&lt;&gt;$B6,$B22&lt;&gt;$B7,$B23&lt;&gt;$B8,$B24&lt;&gt;$B9,$B25&lt;&gt;$B10,$B26&lt;&gt;$B11,$B27&lt;&gt;$B12,$B28&lt;&gt;$B13),IF($B25&lt;&gt;$B10,I10/INDEX($C3:$AJ13,8,MATCH(IF('Data-solution'!$A$3="Maximize",MAX($C14:$AI14),MIN($C14:$AI14)),$C14:$AI14,0)),I10-INDEX($C3:$AJ13,8,MATCH(IF('Data-solution'!$A$3="Maximize",MAX($C14:$AI14),MIN($C14:$AI14)),$C14:$AI14,0))*INDEX(I3:$AJ13,MATCH(MIN($AK3:$AK13),$AK3:$AK13,0),1)/INDEX($C3:$AJ13,MATCH(MIN($AK3:$AK13),$AK3:$AK13,0),MATCH(IF('Data-solution'!$A$3="Maximize",MAX($C14:$AI14),MIN($C14:$AI14)),$C14:$AI14,0))),I10)</f>
        <v>0</v>
      </c>
      <c r="J25" s="1">
        <f>IF(OR($B18&lt;&gt;$B3,$B19&lt;&gt;$B4,$B20&lt;&gt;$B5,$B21&lt;&gt;$B6,$B22&lt;&gt;$B7,$B23&lt;&gt;$B8,$B24&lt;&gt;$B9,$B25&lt;&gt;$B10,$B26&lt;&gt;$B11,$B27&lt;&gt;$B12,$B28&lt;&gt;$B13),IF($B25&lt;&gt;$B10,J10/INDEX($C3:$AJ13,8,MATCH(IF('Data-solution'!$A$3="Maximize",MAX($C14:$AI14),MIN($C14:$AI14)),$C14:$AI14,0)),J10-INDEX($C3:$AJ13,8,MATCH(IF('Data-solution'!$A$3="Maximize",MAX($C14:$AI14),MIN($C14:$AI14)),$C14:$AI14,0))*INDEX(J3:$AJ13,MATCH(MIN($AK3:$AK13),$AK3:$AK13,0),1)/INDEX($C3:$AJ13,MATCH(MIN($AK3:$AK13),$AK3:$AK13,0),MATCH(IF('Data-solution'!$A$3="Maximize",MAX($C14:$AI14),MIN($C14:$AI14)),$C14:$AI14,0))),J10)</f>
        <v>0</v>
      </c>
      <c r="K25" s="1">
        <f>IF(OR($B18&lt;&gt;$B3,$B19&lt;&gt;$B4,$B20&lt;&gt;$B5,$B21&lt;&gt;$B6,$B22&lt;&gt;$B7,$B23&lt;&gt;$B8,$B24&lt;&gt;$B9,$B25&lt;&gt;$B10,$B26&lt;&gt;$B11,$B27&lt;&gt;$B12,$B28&lt;&gt;$B13),IF($B25&lt;&gt;$B10,K10/INDEX($C3:$AJ13,8,MATCH(IF('Data-solution'!$A$3="Maximize",MAX($C14:$AI14),MIN($C14:$AI14)),$C14:$AI14,0)),K10-INDEX($C3:$AJ13,8,MATCH(IF('Data-solution'!$A$3="Maximize",MAX($C14:$AI14),MIN($C14:$AI14)),$C14:$AI14,0))*INDEX(K3:$AJ13,MATCH(MIN($AK3:$AK13),$AK3:$AK13,0),1)/INDEX($C3:$AJ13,MATCH(MIN($AK3:$AK13),$AK3:$AK13,0),MATCH(IF('Data-solution'!$A$3="Maximize",MAX($C14:$AI14),MIN($C14:$AI14)),$C14:$AI14,0))),K10)</f>
        <v>0</v>
      </c>
      <c r="L25" s="1">
        <f>IF(OR($B18&lt;&gt;$B3,$B19&lt;&gt;$B4,$B20&lt;&gt;$B5,$B21&lt;&gt;$B6,$B22&lt;&gt;$B7,$B23&lt;&gt;$B8,$B24&lt;&gt;$B9,$B25&lt;&gt;$B10,$B26&lt;&gt;$B11,$B27&lt;&gt;$B12,$B28&lt;&gt;$B13),IF($B25&lt;&gt;$B10,L10/INDEX($C3:$AJ13,8,MATCH(IF('Data-solution'!$A$3="Maximize",MAX($C14:$AI14),MIN($C14:$AI14)),$C14:$AI14,0)),L10-INDEX($C3:$AJ13,8,MATCH(IF('Data-solution'!$A$3="Maximize",MAX($C14:$AI14),MIN($C14:$AI14)),$C14:$AI14,0))*INDEX(L3:$AJ13,MATCH(MIN($AK3:$AK13),$AK3:$AK13,0),1)/INDEX($C3:$AJ13,MATCH(MIN($AK3:$AK13),$AK3:$AK13,0),MATCH(IF('Data-solution'!$A$3="Maximize",MAX($C14:$AI14),MIN($C14:$AI14)),$C14:$AI14,0))),L10)</f>
        <v>0</v>
      </c>
      <c r="M25" s="1">
        <f>IF(OR($B18&lt;&gt;$B3,$B19&lt;&gt;$B4,$B20&lt;&gt;$B5,$B21&lt;&gt;$B6,$B22&lt;&gt;$B7,$B23&lt;&gt;$B8,$B24&lt;&gt;$B9,$B25&lt;&gt;$B10,$B26&lt;&gt;$B11,$B27&lt;&gt;$B12,$B28&lt;&gt;$B13),IF($B25&lt;&gt;$B10,M10/INDEX($C3:$AJ13,8,MATCH(IF('Data-solution'!$A$3="Maximize",MAX($C14:$AI14),MIN($C14:$AI14)),$C14:$AI14,0)),M10-INDEX($C3:$AJ13,8,MATCH(IF('Data-solution'!$A$3="Maximize",MAX($C14:$AI14),MIN($C14:$AI14)),$C14:$AI14,0))*INDEX(M3:$AJ13,MATCH(MIN($AK3:$AK13),$AK3:$AK13,0),1)/INDEX($C3:$AJ13,MATCH(MIN($AK3:$AK13),$AK3:$AK13,0),MATCH(IF('Data-solution'!$A$3="Maximize",MAX($C14:$AI14),MIN($C14:$AI14)),$C14:$AI14,0))),M10)</f>
        <v>0</v>
      </c>
      <c r="N25" s="1">
        <f>IF(OR($B18&lt;&gt;$B3,$B19&lt;&gt;$B4,$B20&lt;&gt;$B5,$B21&lt;&gt;$B6,$B22&lt;&gt;$B7,$B23&lt;&gt;$B8,$B24&lt;&gt;$B9,$B25&lt;&gt;$B10,$B26&lt;&gt;$B11,$B27&lt;&gt;$B12,$B28&lt;&gt;$B13),IF($B25&lt;&gt;$B10,N10/INDEX($C3:$AJ13,8,MATCH(IF('Data-solution'!$A$3="Maximize",MAX($C14:$AI14),MIN($C14:$AI14)),$C14:$AI14,0)),N10-INDEX($C3:$AJ13,8,MATCH(IF('Data-solution'!$A$3="Maximize",MAX($C14:$AI14),MIN($C14:$AI14)),$C14:$AI14,0))*INDEX(N3:$AJ13,MATCH(MIN($AK3:$AK13),$AK3:$AK13,0),1)/INDEX($C3:$AJ13,MATCH(MIN($AK3:$AK13),$AK3:$AK13,0),MATCH(IF('Data-solution'!$A$3="Maximize",MAX($C14:$AI14),MIN($C14:$AI14)),$C14:$AI14,0))),N10)</f>
        <v>0</v>
      </c>
      <c r="O25" s="1">
        <f>IF(OR($B18&lt;&gt;$B3,$B19&lt;&gt;$B4,$B20&lt;&gt;$B5,$B21&lt;&gt;$B6,$B22&lt;&gt;$B7,$B23&lt;&gt;$B8,$B24&lt;&gt;$B9,$B25&lt;&gt;$B10,$B26&lt;&gt;$B11,$B27&lt;&gt;$B12,$B28&lt;&gt;$B13),IF($B25&lt;&gt;$B10,O10/INDEX($C3:$AJ13,8,MATCH(IF('Data-solution'!$A$3="Maximize",MAX($C14:$AI14),MIN($C14:$AI14)),$C14:$AI14,0)),O10-INDEX($C3:$AJ13,8,MATCH(IF('Data-solution'!$A$3="Maximize",MAX($C14:$AI14),MIN($C14:$AI14)),$C14:$AI14,0))*INDEX(O3:$AJ13,MATCH(MIN($AK3:$AK13),$AK3:$AK13,0),1)/INDEX($C3:$AJ13,MATCH(MIN($AK3:$AK13),$AK3:$AK13,0),MATCH(IF('Data-solution'!$A$3="Maximize",MAX($C14:$AI14),MIN($C14:$AI14)),$C14:$AI14,0))),O10)</f>
        <v>0</v>
      </c>
      <c r="P25" s="1">
        <f>IF(OR($B18&lt;&gt;$B3,$B19&lt;&gt;$B4,$B20&lt;&gt;$B5,$B21&lt;&gt;$B6,$B22&lt;&gt;$B7,$B23&lt;&gt;$B8,$B24&lt;&gt;$B9,$B25&lt;&gt;$B10,$B26&lt;&gt;$B11,$B27&lt;&gt;$B12,$B28&lt;&gt;$B13),IF($B25&lt;&gt;$B10,P10/INDEX($C3:$AJ13,8,MATCH(IF('Data-solution'!$A$3="Maximize",MAX($C14:$AI14),MIN($C14:$AI14)),$C14:$AI14,0)),P10-INDEX($C3:$AJ13,8,MATCH(IF('Data-solution'!$A$3="Maximize",MAX($C14:$AI14),MIN($C14:$AI14)),$C14:$AI14,0))*INDEX(P3:$AJ13,MATCH(MIN($AK3:$AK13),$AK3:$AK13,0),1)/INDEX($C3:$AJ13,MATCH(MIN($AK3:$AK13),$AK3:$AK13,0),MATCH(IF('Data-solution'!$A$3="Maximize",MAX($C14:$AI14),MIN($C14:$AI14)),$C14:$AI14,0))),P10)</f>
        <v>0</v>
      </c>
      <c r="Q25" s="1">
        <f>IF(OR($B18&lt;&gt;$B3,$B19&lt;&gt;$B4,$B20&lt;&gt;$B5,$B21&lt;&gt;$B6,$B22&lt;&gt;$B7,$B23&lt;&gt;$B8,$B24&lt;&gt;$B9,$B25&lt;&gt;$B10,$B26&lt;&gt;$B11,$B27&lt;&gt;$B12,$B28&lt;&gt;$B13),IF($B25&lt;&gt;$B10,Q10/INDEX($C3:$AJ13,8,MATCH(IF('Data-solution'!$A$3="Maximize",MAX($C14:$AI14),MIN($C14:$AI14)),$C14:$AI14,0)),Q10-INDEX($C3:$AJ13,8,MATCH(IF('Data-solution'!$A$3="Maximize",MAX($C14:$AI14),MIN($C14:$AI14)),$C14:$AI14,0))*INDEX(Q3:$AJ13,MATCH(MIN($AK3:$AK13),$AK3:$AK13,0),1)/INDEX($C3:$AJ13,MATCH(MIN($AK3:$AK13),$AK3:$AK13,0),MATCH(IF('Data-solution'!$A$3="Maximize",MAX($C14:$AI14),MIN($C14:$AI14)),$C14:$AI14,0))),Q10)</f>
        <v>0</v>
      </c>
      <c r="R25" s="1">
        <f>IF(OR($B18&lt;&gt;$B3,$B19&lt;&gt;$B4,$B20&lt;&gt;$B5,$B21&lt;&gt;$B6,$B22&lt;&gt;$B7,$B23&lt;&gt;$B8,$B24&lt;&gt;$B9,$B25&lt;&gt;$B10,$B26&lt;&gt;$B11,$B27&lt;&gt;$B12,$B28&lt;&gt;$B13),IF($B25&lt;&gt;$B10,R10/INDEX($C3:$AJ13,8,MATCH(IF('Data-solution'!$A$3="Maximize",MAX($C14:$AI14),MIN($C14:$AI14)),$C14:$AI14,0)),R10-INDEX($C3:$AJ13,8,MATCH(IF('Data-solution'!$A$3="Maximize",MAX($C14:$AI14),MIN($C14:$AI14)),$C14:$AI14,0))*INDEX(R3:$AJ13,MATCH(MIN($AK3:$AK13),$AK3:$AK13,0),1)/INDEX($C3:$AJ13,MATCH(MIN($AK3:$AK13),$AK3:$AK13,0),MATCH(IF('Data-solution'!$A$3="Maximize",MAX($C14:$AI14),MIN($C14:$AI14)),$C14:$AI14,0))),R10)</f>
        <v>0</v>
      </c>
      <c r="S25" s="1">
        <f>IF(OR($B18&lt;&gt;$B3,$B19&lt;&gt;$B4,$B20&lt;&gt;$B5,$B21&lt;&gt;$B6,$B22&lt;&gt;$B7,$B23&lt;&gt;$B8,$B24&lt;&gt;$B9,$B25&lt;&gt;$B10,$B26&lt;&gt;$B11,$B27&lt;&gt;$B12,$B28&lt;&gt;$B13),IF($B25&lt;&gt;$B10,S10/INDEX($C3:$AJ13,8,MATCH(IF('Data-solution'!$A$3="Maximize",MAX($C14:$AI14),MIN($C14:$AI14)),$C14:$AI14,0)),S10-INDEX($C3:$AJ13,8,MATCH(IF('Data-solution'!$A$3="Maximize",MAX($C14:$AI14),MIN($C14:$AI14)),$C14:$AI14,0))*INDEX(S3:$AJ13,MATCH(MIN($AK3:$AK13),$AK3:$AK13,0),1)/INDEX($C3:$AJ13,MATCH(MIN($AK3:$AK13),$AK3:$AK13,0),MATCH(IF('Data-solution'!$A$3="Maximize",MAX($C14:$AI14),MIN($C14:$AI14)),$C14:$AI14,0))),S10)</f>
        <v>0</v>
      </c>
      <c r="T25" s="1">
        <f>IF(OR($B18&lt;&gt;$B3,$B19&lt;&gt;$B4,$B20&lt;&gt;$B5,$B21&lt;&gt;$B6,$B22&lt;&gt;$B7,$B23&lt;&gt;$B8,$B24&lt;&gt;$B9,$B25&lt;&gt;$B10,$B26&lt;&gt;$B11,$B27&lt;&gt;$B12,$B28&lt;&gt;$B13),IF($B25&lt;&gt;$B10,T10/INDEX($C3:$AJ13,8,MATCH(IF('Data-solution'!$A$3="Maximize",MAX($C14:$AI14),MIN($C14:$AI14)),$C14:$AI14,0)),T10-INDEX($C3:$AJ13,8,MATCH(IF('Data-solution'!$A$3="Maximize",MAX($C14:$AI14),MIN($C14:$AI14)),$C14:$AI14,0))*INDEX(T3:$AJ13,MATCH(MIN($AK3:$AK13),$AK3:$AK13,0),1)/INDEX($C3:$AJ13,MATCH(MIN($AK3:$AK13),$AK3:$AK13,0),MATCH(IF('Data-solution'!$A$3="Maximize",MAX($C14:$AI14),MIN($C14:$AI14)),$C14:$AI14,0))),T10)</f>
        <v>0</v>
      </c>
      <c r="U25" s="1">
        <f>IF(OR($B18&lt;&gt;$B3,$B19&lt;&gt;$B4,$B20&lt;&gt;$B5,$B21&lt;&gt;$B6,$B22&lt;&gt;$B7,$B23&lt;&gt;$B8,$B24&lt;&gt;$B9,$B25&lt;&gt;$B10,$B26&lt;&gt;$B11,$B27&lt;&gt;$B12,$B28&lt;&gt;$B13),IF($B25&lt;&gt;$B10,U10/INDEX($C3:$AJ13,8,MATCH(IF('Data-solution'!$A$3="Maximize",MAX($C14:$AI14),MIN($C14:$AI14)),$C14:$AI14,0)),U10-INDEX($C3:$AJ13,8,MATCH(IF('Data-solution'!$A$3="Maximize",MAX($C14:$AI14),MIN($C14:$AI14)),$C14:$AI14,0))*INDEX(U3:$AJ13,MATCH(MIN($AK3:$AK13),$AK3:$AK13,0),1)/INDEX($C3:$AJ13,MATCH(MIN($AK3:$AK13),$AK3:$AK13,0),MATCH(IF('Data-solution'!$A$3="Maximize",MAX($C14:$AI14),MIN($C14:$AI14)),$C14:$AI14,0))),U10)</f>
        <v>1</v>
      </c>
      <c r="V25" s="1">
        <f>IF(OR($B18&lt;&gt;$B3,$B19&lt;&gt;$B4,$B20&lt;&gt;$B5,$B21&lt;&gt;$B6,$B22&lt;&gt;$B7,$B23&lt;&gt;$B8,$B24&lt;&gt;$B9,$B25&lt;&gt;$B10,$B26&lt;&gt;$B11,$B27&lt;&gt;$B12,$B28&lt;&gt;$B13),IF($B25&lt;&gt;$B10,V10/INDEX($C3:$AJ13,8,MATCH(IF('Data-solution'!$A$3="Maximize",MAX($C14:$AI14),MIN($C14:$AI14)),$C14:$AI14,0)),V10-INDEX($C3:$AJ13,8,MATCH(IF('Data-solution'!$A$3="Maximize",MAX($C14:$AI14),MIN($C14:$AI14)),$C14:$AI14,0))*INDEX(V3:$AJ13,MATCH(MIN($AK3:$AK13),$AK3:$AK13,0),1)/INDEX($C3:$AJ13,MATCH(MIN($AK3:$AK13),$AK3:$AK13,0),MATCH(IF('Data-solution'!$A$3="Maximize",MAX($C14:$AI14),MIN($C14:$AI14)),$C14:$AI14,0))),V10)</f>
        <v>0</v>
      </c>
      <c r="W25" s="1">
        <f>IF(OR($B18&lt;&gt;$B3,$B19&lt;&gt;$B4,$B20&lt;&gt;$B5,$B21&lt;&gt;$B6,$B22&lt;&gt;$B7,$B23&lt;&gt;$B8,$B24&lt;&gt;$B9,$B25&lt;&gt;$B10,$B26&lt;&gt;$B11,$B27&lt;&gt;$B12,$B28&lt;&gt;$B13),IF($B25&lt;&gt;$B10,W10/INDEX($C3:$AJ13,8,MATCH(IF('Data-solution'!$A$3="Maximize",MAX($C14:$AI14),MIN($C14:$AI14)),$C14:$AI14,0)),W10-INDEX($C3:$AJ13,8,MATCH(IF('Data-solution'!$A$3="Maximize",MAX($C14:$AI14),MIN($C14:$AI14)),$C14:$AI14,0))*INDEX(W3:$AJ13,MATCH(MIN($AK3:$AK13),$AK3:$AK13,0),1)/INDEX($C3:$AJ13,MATCH(MIN($AK3:$AK13),$AK3:$AK13,0),MATCH(IF('Data-solution'!$A$3="Maximize",MAX($C14:$AI14),MIN($C14:$AI14)),$C14:$AI14,0))),W10)</f>
        <v>0</v>
      </c>
      <c r="X25" s="1">
        <f>IF(OR($B18&lt;&gt;$B3,$B19&lt;&gt;$B4,$B20&lt;&gt;$B5,$B21&lt;&gt;$B6,$B22&lt;&gt;$B7,$B23&lt;&gt;$B8,$B24&lt;&gt;$B9,$B25&lt;&gt;$B10,$B26&lt;&gt;$B11,$B27&lt;&gt;$B12,$B28&lt;&gt;$B13),IF($B25&lt;&gt;$B10,X10/INDEX($C3:$AJ13,8,MATCH(IF('Data-solution'!$A$3="Maximize",MAX($C14:$AI14),MIN($C14:$AI14)),$C14:$AI14,0)),X10-INDEX($C3:$AJ13,8,MATCH(IF('Data-solution'!$A$3="Maximize",MAX($C14:$AI14),MIN($C14:$AI14)),$C14:$AI14,0))*INDEX(X3:$AJ13,MATCH(MIN($AK3:$AK13),$AK3:$AK13,0),1)/INDEX($C3:$AJ13,MATCH(MIN($AK3:$AK13),$AK3:$AK13,0),MATCH(IF('Data-solution'!$A$3="Maximize",MAX($C14:$AI14),MIN($C14:$AI14)),$C14:$AI14,0))),X10)</f>
        <v>0</v>
      </c>
      <c r="Y25" s="1">
        <f>IF(OR($B18&lt;&gt;$B3,$B19&lt;&gt;$B4,$B20&lt;&gt;$B5,$B21&lt;&gt;$B6,$B22&lt;&gt;$B7,$B23&lt;&gt;$B8,$B24&lt;&gt;$B9,$B25&lt;&gt;$B10,$B26&lt;&gt;$B11,$B27&lt;&gt;$B12,$B28&lt;&gt;$B13),IF($B25&lt;&gt;$B10,Y10/INDEX($C3:$AJ13,8,MATCH(IF('Data-solution'!$A$3="Maximize",MAX($C14:$AI14),MIN($C14:$AI14)),$C14:$AI14,0)),Y10-INDEX($C3:$AJ13,8,MATCH(IF('Data-solution'!$A$3="Maximize",MAX($C14:$AI14),MIN($C14:$AI14)),$C14:$AI14,0))*INDEX(Y3:$AJ13,MATCH(MIN($AK3:$AK13),$AK3:$AK13,0),1)/INDEX($C3:$AJ13,MATCH(MIN($AK3:$AK13),$AK3:$AK13,0),MATCH(IF('Data-solution'!$A$3="Maximize",MAX($C14:$AI14),MIN($C14:$AI14)),$C14:$AI14,0))),Y10)</f>
        <v>0</v>
      </c>
      <c r="Z25" s="1">
        <f>IF(OR($B18&lt;&gt;$B3,$B19&lt;&gt;$B4,$B20&lt;&gt;$B5,$B21&lt;&gt;$B6,$B22&lt;&gt;$B7,$B23&lt;&gt;$B8,$B24&lt;&gt;$B9,$B25&lt;&gt;$B10,$B26&lt;&gt;$B11,$B27&lt;&gt;$B12,$B28&lt;&gt;$B13),IF($B25&lt;&gt;$B10,Z10/INDEX($C3:$AJ13,8,MATCH(IF('Data-solution'!$A$3="Maximize",MAX($C14:$AI14),MIN($C14:$AI14)),$C14:$AI14,0)),Z10-INDEX($C3:$AJ13,8,MATCH(IF('Data-solution'!$A$3="Maximize",MAX($C14:$AI14),MIN($C14:$AI14)),$C14:$AI14,0))*INDEX(Z3:$AJ13,MATCH(MIN($AK3:$AK13),$AK3:$AK13,0),1)/INDEX($C3:$AJ13,MATCH(MIN($AK3:$AK13),$AK3:$AK13,0),MATCH(IF('Data-solution'!$A$3="Maximize",MAX($C14:$AI14),MIN($C14:$AI14)),$C14:$AI14,0))),Z10)</f>
        <v>0</v>
      </c>
      <c r="AA25" s="1">
        <f>IF(OR($B18&lt;&gt;$B3,$B19&lt;&gt;$B4,$B20&lt;&gt;$B5,$B21&lt;&gt;$B6,$B22&lt;&gt;$B7,$B23&lt;&gt;$B8,$B24&lt;&gt;$B9,$B25&lt;&gt;$B10,$B26&lt;&gt;$B11,$B27&lt;&gt;$B12,$B28&lt;&gt;$B13),IF($B25&lt;&gt;$B10,AA10/INDEX($C3:$AJ13,8,MATCH(IF('Data-solution'!$A$3="Maximize",MAX($C14:$AI14),MIN($C14:$AI14)),$C14:$AI14,0)),AA10-INDEX($C3:$AJ13,8,MATCH(IF('Data-solution'!$A$3="Maximize",MAX($C14:$AI14),MIN($C14:$AI14)),$C14:$AI14,0))*INDEX(AA3:$AJ13,MATCH(MIN($AK3:$AK13),$AK3:$AK13,0),1)/INDEX($C3:$AJ13,MATCH(MIN($AK3:$AK13),$AK3:$AK13,0),MATCH(IF('Data-solution'!$A$3="Maximize",MAX($C14:$AI14),MIN($C14:$AI14)),$C14:$AI14,0))),AA10)</f>
        <v>0</v>
      </c>
      <c r="AB25" s="1">
        <f>IF(OR($B18&lt;&gt;$B3,$B19&lt;&gt;$B4,$B20&lt;&gt;$B5,$B21&lt;&gt;$B6,$B22&lt;&gt;$B7,$B23&lt;&gt;$B8,$B24&lt;&gt;$B9,$B25&lt;&gt;$B10,$B26&lt;&gt;$B11,$B27&lt;&gt;$B12,$B28&lt;&gt;$B13),IF($B25&lt;&gt;$B10,AB10/INDEX($C3:$AJ13,8,MATCH(IF('Data-solution'!$A$3="Maximize",MAX($C14:$AI14),MIN($C14:$AI14)),$C14:$AI14,0)),AB10-INDEX($C3:$AJ13,8,MATCH(IF('Data-solution'!$A$3="Maximize",MAX($C14:$AI14),MIN($C14:$AI14)),$C14:$AI14,0))*INDEX(AB3:$AJ13,MATCH(MIN($AK3:$AK13),$AK3:$AK13,0),1)/INDEX($C3:$AJ13,MATCH(MIN($AK3:$AK13),$AK3:$AK13,0),MATCH(IF('Data-solution'!$A$3="Maximize",MAX($C14:$AI14),MIN($C14:$AI14)),$C14:$AI14,0))),AB10)</f>
        <v>0</v>
      </c>
      <c r="AC25" s="1">
        <f>IF(OR($B18&lt;&gt;$B3,$B19&lt;&gt;$B4,$B20&lt;&gt;$B5,$B21&lt;&gt;$B6,$B22&lt;&gt;$B7,$B23&lt;&gt;$B8,$B24&lt;&gt;$B9,$B25&lt;&gt;$B10,$B26&lt;&gt;$B11,$B27&lt;&gt;$B12,$B28&lt;&gt;$B13),IF($B25&lt;&gt;$B10,AC10/INDEX($C3:$AJ13,8,MATCH(IF('Data-solution'!$A$3="Maximize",MAX($C14:$AI14),MIN($C14:$AI14)),$C14:$AI14,0)),AC10-INDEX($C3:$AJ13,8,MATCH(IF('Data-solution'!$A$3="Maximize",MAX($C14:$AI14),MIN($C14:$AI14)),$C14:$AI14,0))*INDEX(AC3:$AJ13,MATCH(MIN($AK3:$AK13),$AK3:$AK13,0),1)/INDEX($C3:$AJ13,MATCH(MIN($AK3:$AK13),$AK3:$AK13,0),MATCH(IF('Data-solution'!$A$3="Maximize",MAX($C14:$AI14),MIN($C14:$AI14)),$C14:$AI14,0))),AC10)</f>
        <v>0</v>
      </c>
      <c r="AD25" s="1">
        <f>IF(OR($B18&lt;&gt;$B3,$B19&lt;&gt;$B4,$B20&lt;&gt;$B5,$B21&lt;&gt;$B6,$B22&lt;&gt;$B7,$B23&lt;&gt;$B8,$B24&lt;&gt;$B9,$B25&lt;&gt;$B10,$B26&lt;&gt;$B11,$B27&lt;&gt;$B12,$B28&lt;&gt;$B13),IF($B25&lt;&gt;$B10,AD10/INDEX($C3:$AJ13,8,MATCH(IF('Data-solution'!$A$3="Maximize",MAX($C14:$AI14),MIN($C14:$AI14)),$C14:$AI14,0)),AD10-INDEX($C3:$AJ13,8,MATCH(IF('Data-solution'!$A$3="Maximize",MAX($C14:$AI14),MIN($C14:$AI14)),$C14:$AI14,0))*INDEX(AD3:$AJ13,MATCH(MIN($AK3:$AK13),$AK3:$AK13,0),1)/INDEX($C3:$AJ13,MATCH(MIN($AK3:$AK13),$AK3:$AK13,0),MATCH(IF('Data-solution'!$A$3="Maximize",MAX($C14:$AI14),MIN($C14:$AI14)),$C14:$AI14,0))),AD10)</f>
        <v>0</v>
      </c>
      <c r="AE25" s="1">
        <f>IF(OR($B18&lt;&gt;$B3,$B19&lt;&gt;$B4,$B20&lt;&gt;$B5,$B21&lt;&gt;$B6,$B22&lt;&gt;$B7,$B23&lt;&gt;$B8,$B24&lt;&gt;$B9,$B25&lt;&gt;$B10,$B26&lt;&gt;$B11,$B27&lt;&gt;$B12,$B28&lt;&gt;$B13),IF($B25&lt;&gt;$B10,AE10/INDEX($C3:$AJ13,8,MATCH(IF('Data-solution'!$A$3="Maximize",MAX($C14:$AI14),MIN($C14:$AI14)),$C14:$AI14,0)),AE10-INDEX($C3:$AJ13,8,MATCH(IF('Data-solution'!$A$3="Maximize",MAX($C14:$AI14),MIN($C14:$AI14)),$C14:$AI14,0))*INDEX(AE3:$AJ13,MATCH(MIN($AK3:$AK13),$AK3:$AK13,0),1)/INDEX($C3:$AJ13,MATCH(MIN($AK3:$AK13),$AK3:$AK13,0),MATCH(IF('Data-solution'!$A$3="Maximize",MAX($C14:$AI14),MIN($C14:$AI14)),$C14:$AI14,0))),AE10)</f>
        <v>0</v>
      </c>
      <c r="AF25" s="1">
        <f>IF(OR($B18&lt;&gt;$B3,$B19&lt;&gt;$B4,$B20&lt;&gt;$B5,$B21&lt;&gt;$B6,$B22&lt;&gt;$B7,$B23&lt;&gt;$B8,$B24&lt;&gt;$B9,$B25&lt;&gt;$B10,$B26&lt;&gt;$B11,$B27&lt;&gt;$B12,$B28&lt;&gt;$B13),IF($B25&lt;&gt;$B10,AF10/INDEX($C3:$AJ13,8,MATCH(IF('Data-solution'!$A$3="Maximize",MAX($C14:$AI14),MIN($C14:$AI14)),$C14:$AI14,0)),AF10-INDEX($C3:$AJ13,8,MATCH(IF('Data-solution'!$A$3="Maximize",MAX($C14:$AI14),MIN($C14:$AI14)),$C14:$AI14,0))*INDEX(AF3:$AJ13,MATCH(MIN($AK3:$AK13),$AK3:$AK13,0),1)/INDEX($C3:$AJ13,MATCH(MIN($AK3:$AK13),$AK3:$AK13,0),MATCH(IF('Data-solution'!$A$3="Maximize",MAX($C14:$AI14),MIN($C14:$AI14)),$C14:$AI14,0))),AF10)</f>
        <v>1</v>
      </c>
      <c r="AG25" s="1">
        <f>IF(OR($B18&lt;&gt;$B3,$B19&lt;&gt;$B4,$B20&lt;&gt;$B5,$B21&lt;&gt;$B6,$B22&lt;&gt;$B7,$B23&lt;&gt;$B8,$B24&lt;&gt;$B9,$B25&lt;&gt;$B10,$B26&lt;&gt;$B11,$B27&lt;&gt;$B12,$B28&lt;&gt;$B13),IF($B25&lt;&gt;$B10,AG10/INDEX($C3:$AJ13,8,MATCH(IF('Data-solution'!$A$3="Maximize",MAX($C14:$AI14),MIN($C14:$AI14)),$C14:$AI14,0)),AG10-INDEX($C3:$AJ13,8,MATCH(IF('Data-solution'!$A$3="Maximize",MAX($C14:$AI14),MIN($C14:$AI14)),$C14:$AI14,0))*INDEX(AG3:$AJ13,MATCH(MIN($AK3:$AK13),$AK3:$AK13,0),1)/INDEX($C3:$AJ13,MATCH(MIN($AK3:$AK13),$AK3:$AK13,0),MATCH(IF('Data-solution'!$A$3="Maximize",MAX($C14:$AI14),MIN($C14:$AI14)),$C14:$AI14,0))),AG10)</f>
        <v>0</v>
      </c>
      <c r="AH25" s="1">
        <f>IF(OR($B18&lt;&gt;$B3,$B19&lt;&gt;$B4,$B20&lt;&gt;$B5,$B21&lt;&gt;$B6,$B22&lt;&gt;$B7,$B23&lt;&gt;$B8,$B24&lt;&gt;$B9,$B25&lt;&gt;$B10,$B26&lt;&gt;$B11,$B27&lt;&gt;$B12,$B28&lt;&gt;$B13),IF($B25&lt;&gt;$B10,AH10/INDEX($C3:$AJ13,8,MATCH(IF('Data-solution'!$A$3="Maximize",MAX($C14:$AI14),MIN($C14:$AI14)),$C14:$AI14,0)),AH10-INDEX($C3:$AJ13,8,MATCH(IF('Data-solution'!$A$3="Maximize",MAX($C14:$AI14),MIN($C14:$AI14)),$C14:$AI14,0))*INDEX(AH3:$AJ13,MATCH(MIN($AK3:$AK13),$AK3:$AK13,0),1)/INDEX($C3:$AJ13,MATCH(MIN($AK3:$AK13),$AK3:$AK13,0),MATCH(IF('Data-solution'!$A$3="Maximize",MAX($C14:$AI14),MIN($C14:$AI14)),$C14:$AI14,0))),AH10)</f>
        <v>0</v>
      </c>
      <c r="AI25" s="1">
        <f>IF(OR($B18&lt;&gt;$B3,$B19&lt;&gt;$B4,$B20&lt;&gt;$B5,$B21&lt;&gt;$B6,$B22&lt;&gt;$B7,$B23&lt;&gt;$B8,$B24&lt;&gt;$B9,$B25&lt;&gt;$B10,$B26&lt;&gt;$B11,$B27&lt;&gt;$B12,$B28&lt;&gt;$B13),IF($B25&lt;&gt;$B10,AI10/INDEX($C3:$AJ13,8,MATCH(IF('Data-solution'!$A$3="Maximize",MAX($C14:$AI14),MIN($C14:$AI14)),$C14:$AI14,0)),AI10-INDEX($C3:$AJ13,8,MATCH(IF('Data-solution'!$A$3="Maximize",MAX($C14:$AI14),MIN($C14:$AI14)),$C14:$AI14,0))*INDEX(AI3:$AJ13,MATCH(MIN($AK3:$AK13),$AK3:$AK13,0),1)/INDEX($C3:$AJ13,MATCH(MIN($AK3:$AK13),$AK3:$AK13,0),MATCH(IF('Data-solution'!$A$3="Maximize",MAX($C14:$AI14),MIN($C14:$AI14)),$C14:$AI14,0))),AI10)</f>
        <v>0</v>
      </c>
      <c r="AJ25" s="1">
        <f>IF(OR($B18&lt;&gt;$B3,$B19&lt;&gt;$B4,$B20&lt;&gt;$B5,$B21&lt;&gt;$B6,$B22&lt;&gt;$B7,$B23&lt;&gt;$B8,$B24&lt;&gt;$B9,$B25&lt;&gt;$B10,$B26&lt;&gt;$B11,$B27&lt;&gt;$B12,$B28&lt;&gt;$B13),IF($B25&lt;&gt;$B10,AJ10/INDEX($C3:$AJ13,8,MATCH(IF('Data-solution'!$A$3="Maximize",MAX($C14:$AI14),MIN($C14:$AI14)),$C14:$AI14,0)),AJ10-INDEX($C3:$AJ13,8,MATCH(IF('Data-solution'!$A$3="Maximize",MAX($C14:$AI14),MIN($C14:$AI14)),$C14:$AI14,0))*INDEX(AJ3:$AJ13,MATCH(MIN($AK3:$AK13),$AK3:$AK13,0),1)/INDEX($C3:$AJ13,MATCH(MIN($AK3:$AK13),$AK3:$AK13,0),MATCH(IF('Data-solution'!$A$3="Maximize",MAX($C14:$AI14),MIN($C14:$AI14)),$C14:$AI14,0))),AJ10)</f>
        <v>0</v>
      </c>
      <c r="AK25" s="1" t="str">
        <f>IF(INDEX(C25:X25,1,MATCH(IF('Data-solution'!A$3="Maximize",MAX(C29:X29),MIN(C29:X29)),C29:X29,0))&gt;0,AJ25/INDEX(C25:X25,1,MATCH(IF('Data-solution'!A$3="Maximize",MAX(C29:X29),MIN(C29:X29)),C29:X29,0))," ")</f>
        <v xml:space="preserve"> </v>
      </c>
    </row>
    <row r="26" spans="1:37" ht="18" customHeight="1" x14ac:dyDescent="0.2">
      <c r="A26" s="1">
        <f>INDEX(C16:AI16,1,MATCH(B26,C17:AI17,0))</f>
        <v>0</v>
      </c>
      <c r="B26" s="2" t="str">
        <f>IF(AND('Data-solution'!A$3="Maximize",COUNTIF(C14:X14,"&gt;"&amp;0)&gt;0,AK11=MIN(AK3:AK13),COUNTIF(B18:B25,INDEX(C2:X2,1,MATCH(MAX(C14:X14),C14:X14,0)))=0),INDEX(C2:X2,1,MATCH(MAX(C14:X14),C14:X14,0)),IF(AND('Data-solution'!A$3="Minimize",COUNTIF(C14:X14,"&lt;"&amp;0)&gt;0,AK11=MIN(AK3:AK13),COUNTIF(B18:B25,INDEX(C2:X2,1,MATCH(MIN(C14:X14),C14:X14,0)))=0),INDEX(C2:X2,1,MATCH(MIN(C14:X14),C14:X14,0)),B11))</f>
        <v>S9</v>
      </c>
      <c r="C26" s="1">
        <f>IF(OR($B18&lt;&gt;$B3,$B19&lt;&gt;$B4,$B20&lt;&gt;$B5,$B21&lt;&gt;$B6,$B22&lt;&gt;$B7,$B23&lt;&gt;$B8,$B24&lt;&gt;$B9,$B25&lt;&gt;$B10,$B26&lt;&gt;$B11,$B27&lt;&gt;$B12,$B28&lt;&gt;$B13),IF($B26&lt;&gt;$B11,C11/INDEX($C3:$AJ13,9,MATCH(IF('Data-solution'!$A$3="Maximize",MAX($C14:$AI14),MIN($C14:$AI14)),$C14:$AI14,0)),C11-INDEX($C3:$AJ13,9,MATCH(IF('Data-solution'!$A$3="Maximize",MAX($C14:$AI14),MIN($C14:$AI14)),$C14:$AI14,0))*INDEX(C3:$AJ13,MATCH(MIN($AK3:$AK13),$AK3:$AK13,0),1)/INDEX($C3:$AJ13,MATCH(MIN($AK3:$AK13),$AK3:$AK13,0),MATCH(IF('Data-solution'!$A$3="Maximize",MAX($C14:$AI14),MIN($C14:$AI14)),$C14:$AI14,0))),C11)</f>
        <v>0</v>
      </c>
      <c r="D26" s="1">
        <f>IF(OR($B18&lt;&gt;$B3,$B19&lt;&gt;$B4,$B20&lt;&gt;$B5,$B21&lt;&gt;$B6,$B22&lt;&gt;$B7,$B23&lt;&gt;$B8,$B24&lt;&gt;$B9,$B25&lt;&gt;$B10,$B26&lt;&gt;$B11,$B27&lt;&gt;$B12,$B28&lt;&gt;$B13),IF($B26&lt;&gt;$B11,D11/INDEX($C3:$AJ13,9,MATCH(IF('Data-solution'!$A$3="Maximize",MAX($C14:$AI14),MIN($C14:$AI14)),$C14:$AI14,0)),D11-INDEX($C3:$AJ13,9,MATCH(IF('Data-solution'!$A$3="Maximize",MAX($C14:$AI14),MIN($C14:$AI14)),$C14:$AI14,0))*INDEX(D3:$AJ13,MATCH(MIN($AK3:$AK13),$AK3:$AK13,0),1)/INDEX($C3:$AJ13,MATCH(MIN($AK3:$AK13),$AK3:$AK13,0),MATCH(IF('Data-solution'!$A$3="Maximize",MAX($C14:$AI14),MIN($C14:$AI14)),$C14:$AI14,0))),D11)</f>
        <v>0</v>
      </c>
      <c r="E26" s="1">
        <f>IF(OR($B18&lt;&gt;$B3,$B19&lt;&gt;$B4,$B20&lt;&gt;$B5,$B21&lt;&gt;$B6,$B22&lt;&gt;$B7,$B23&lt;&gt;$B8,$B24&lt;&gt;$B9,$B25&lt;&gt;$B10,$B26&lt;&gt;$B11,$B27&lt;&gt;$B12,$B28&lt;&gt;$B13),IF($B26&lt;&gt;$B11,E11/INDEX($C3:$AJ13,9,MATCH(IF('Data-solution'!$A$3="Maximize",MAX($C14:$AI14),MIN($C14:$AI14)),$C14:$AI14,0)),E11-INDEX($C3:$AJ13,9,MATCH(IF('Data-solution'!$A$3="Maximize",MAX($C14:$AI14),MIN($C14:$AI14)),$C14:$AI14,0))*INDEX(E3:$AJ13,MATCH(MIN($AK3:$AK13),$AK3:$AK13,0),1)/INDEX($C3:$AJ13,MATCH(MIN($AK3:$AK13),$AK3:$AK13,0),MATCH(IF('Data-solution'!$A$3="Maximize",MAX($C14:$AI14),MIN($C14:$AI14)),$C14:$AI14,0))),E11)</f>
        <v>0</v>
      </c>
      <c r="F26" s="1">
        <f>IF(OR($B18&lt;&gt;$B3,$B19&lt;&gt;$B4,$B20&lt;&gt;$B5,$B21&lt;&gt;$B6,$B22&lt;&gt;$B7,$B23&lt;&gt;$B8,$B24&lt;&gt;$B9,$B25&lt;&gt;$B10,$B26&lt;&gt;$B11,$B27&lt;&gt;$B12,$B28&lt;&gt;$B13),IF($B26&lt;&gt;$B11,F11/INDEX($C3:$AJ13,9,MATCH(IF('Data-solution'!$A$3="Maximize",MAX($C14:$AI14),MIN($C14:$AI14)),$C14:$AI14,0)),F11-INDEX($C3:$AJ13,9,MATCH(IF('Data-solution'!$A$3="Maximize",MAX($C14:$AI14),MIN($C14:$AI14)),$C14:$AI14,0))*INDEX(F3:$AJ13,MATCH(MIN($AK3:$AK13),$AK3:$AK13,0),1)/INDEX($C3:$AJ13,MATCH(MIN($AK3:$AK13),$AK3:$AK13,0),MATCH(IF('Data-solution'!$A$3="Maximize",MAX($C14:$AI14),MIN($C14:$AI14)),$C14:$AI14,0))),F11)</f>
        <v>0</v>
      </c>
      <c r="G26" s="1">
        <f>IF(OR($B18&lt;&gt;$B3,$B19&lt;&gt;$B4,$B20&lt;&gt;$B5,$B21&lt;&gt;$B6,$B22&lt;&gt;$B7,$B23&lt;&gt;$B8,$B24&lt;&gt;$B9,$B25&lt;&gt;$B10,$B26&lt;&gt;$B11,$B27&lt;&gt;$B12,$B28&lt;&gt;$B13),IF($B26&lt;&gt;$B11,G11/INDEX($C3:$AJ13,9,MATCH(IF('Data-solution'!$A$3="Maximize",MAX($C14:$AI14),MIN($C14:$AI14)),$C14:$AI14,0)),G11-INDEX($C3:$AJ13,9,MATCH(IF('Data-solution'!$A$3="Maximize",MAX($C14:$AI14),MIN($C14:$AI14)),$C14:$AI14,0))*INDEX(G3:$AJ13,MATCH(MIN($AK3:$AK13),$AK3:$AK13,0),1)/INDEX($C3:$AJ13,MATCH(MIN($AK3:$AK13),$AK3:$AK13,0),MATCH(IF('Data-solution'!$A$3="Maximize",MAX($C14:$AI14),MIN($C14:$AI14)),$C14:$AI14,0))),G11)</f>
        <v>0</v>
      </c>
      <c r="H26" s="1">
        <f>IF(OR($B18&lt;&gt;$B3,$B19&lt;&gt;$B4,$B20&lt;&gt;$B5,$B21&lt;&gt;$B6,$B22&lt;&gt;$B7,$B23&lt;&gt;$B8,$B24&lt;&gt;$B9,$B25&lt;&gt;$B10,$B26&lt;&gt;$B11,$B27&lt;&gt;$B12,$B28&lt;&gt;$B13),IF($B26&lt;&gt;$B11,H11/INDEX($C3:$AJ13,9,MATCH(IF('Data-solution'!$A$3="Maximize",MAX($C14:$AI14),MIN($C14:$AI14)),$C14:$AI14,0)),H11-INDEX($C3:$AJ13,9,MATCH(IF('Data-solution'!$A$3="Maximize",MAX($C14:$AI14),MIN($C14:$AI14)),$C14:$AI14,0))*INDEX(H3:$AJ13,MATCH(MIN($AK3:$AK13),$AK3:$AK13,0),1)/INDEX($C3:$AJ13,MATCH(MIN($AK3:$AK13),$AK3:$AK13,0),MATCH(IF('Data-solution'!$A$3="Maximize",MAX($C14:$AI14),MIN($C14:$AI14)),$C14:$AI14,0))),H11)</f>
        <v>0</v>
      </c>
      <c r="I26" s="1">
        <f>IF(OR($B18&lt;&gt;$B3,$B19&lt;&gt;$B4,$B20&lt;&gt;$B5,$B21&lt;&gt;$B6,$B22&lt;&gt;$B7,$B23&lt;&gt;$B8,$B24&lt;&gt;$B9,$B25&lt;&gt;$B10,$B26&lt;&gt;$B11,$B27&lt;&gt;$B12,$B28&lt;&gt;$B13),IF($B26&lt;&gt;$B11,I11/INDEX($C3:$AJ13,9,MATCH(IF('Data-solution'!$A$3="Maximize",MAX($C14:$AI14),MIN($C14:$AI14)),$C14:$AI14,0)),I11-INDEX($C3:$AJ13,9,MATCH(IF('Data-solution'!$A$3="Maximize",MAX($C14:$AI14),MIN($C14:$AI14)),$C14:$AI14,0))*INDEX(I3:$AJ13,MATCH(MIN($AK3:$AK13),$AK3:$AK13,0),1)/INDEX($C3:$AJ13,MATCH(MIN($AK3:$AK13),$AK3:$AK13,0),MATCH(IF('Data-solution'!$A$3="Maximize",MAX($C14:$AI14),MIN($C14:$AI14)),$C14:$AI14,0))),I11)</f>
        <v>0</v>
      </c>
      <c r="J26" s="1">
        <f>IF(OR($B18&lt;&gt;$B3,$B19&lt;&gt;$B4,$B20&lt;&gt;$B5,$B21&lt;&gt;$B6,$B22&lt;&gt;$B7,$B23&lt;&gt;$B8,$B24&lt;&gt;$B9,$B25&lt;&gt;$B10,$B26&lt;&gt;$B11,$B27&lt;&gt;$B12,$B28&lt;&gt;$B13),IF($B26&lt;&gt;$B11,J11/INDEX($C3:$AJ13,9,MATCH(IF('Data-solution'!$A$3="Maximize",MAX($C14:$AI14),MIN($C14:$AI14)),$C14:$AI14,0)),J11-INDEX($C3:$AJ13,9,MATCH(IF('Data-solution'!$A$3="Maximize",MAX($C14:$AI14),MIN($C14:$AI14)),$C14:$AI14,0))*INDEX(J3:$AJ13,MATCH(MIN($AK3:$AK13),$AK3:$AK13,0),1)/INDEX($C3:$AJ13,MATCH(MIN($AK3:$AK13),$AK3:$AK13,0),MATCH(IF('Data-solution'!$A$3="Maximize",MAX($C14:$AI14),MIN($C14:$AI14)),$C14:$AI14,0))),J11)</f>
        <v>0</v>
      </c>
      <c r="K26" s="1">
        <f>IF(OR($B18&lt;&gt;$B3,$B19&lt;&gt;$B4,$B20&lt;&gt;$B5,$B21&lt;&gt;$B6,$B22&lt;&gt;$B7,$B23&lt;&gt;$B8,$B24&lt;&gt;$B9,$B25&lt;&gt;$B10,$B26&lt;&gt;$B11,$B27&lt;&gt;$B12,$B28&lt;&gt;$B13),IF($B26&lt;&gt;$B11,K11/INDEX($C3:$AJ13,9,MATCH(IF('Data-solution'!$A$3="Maximize",MAX($C14:$AI14),MIN($C14:$AI14)),$C14:$AI14,0)),K11-INDEX($C3:$AJ13,9,MATCH(IF('Data-solution'!$A$3="Maximize",MAX($C14:$AI14),MIN($C14:$AI14)),$C14:$AI14,0))*INDEX(K3:$AJ13,MATCH(MIN($AK3:$AK13),$AK3:$AK13,0),1)/INDEX($C3:$AJ13,MATCH(MIN($AK3:$AK13),$AK3:$AK13,0),MATCH(IF('Data-solution'!$A$3="Maximize",MAX($C14:$AI14),MIN($C14:$AI14)),$C14:$AI14,0))),K11)</f>
        <v>0</v>
      </c>
      <c r="L26" s="1">
        <f>IF(OR($B18&lt;&gt;$B3,$B19&lt;&gt;$B4,$B20&lt;&gt;$B5,$B21&lt;&gt;$B6,$B22&lt;&gt;$B7,$B23&lt;&gt;$B8,$B24&lt;&gt;$B9,$B25&lt;&gt;$B10,$B26&lt;&gt;$B11,$B27&lt;&gt;$B12,$B28&lt;&gt;$B13),IF($B26&lt;&gt;$B11,L11/INDEX($C3:$AJ13,9,MATCH(IF('Data-solution'!$A$3="Maximize",MAX($C14:$AI14),MIN($C14:$AI14)),$C14:$AI14,0)),L11-INDEX($C3:$AJ13,9,MATCH(IF('Data-solution'!$A$3="Maximize",MAX($C14:$AI14),MIN($C14:$AI14)),$C14:$AI14,0))*INDEX(L3:$AJ13,MATCH(MIN($AK3:$AK13),$AK3:$AK13,0),1)/INDEX($C3:$AJ13,MATCH(MIN($AK3:$AK13),$AK3:$AK13,0),MATCH(IF('Data-solution'!$A$3="Maximize",MAX($C14:$AI14),MIN($C14:$AI14)),$C14:$AI14,0))),L11)</f>
        <v>0</v>
      </c>
      <c r="M26" s="1">
        <f>IF(OR($B18&lt;&gt;$B3,$B19&lt;&gt;$B4,$B20&lt;&gt;$B5,$B21&lt;&gt;$B6,$B22&lt;&gt;$B7,$B23&lt;&gt;$B8,$B24&lt;&gt;$B9,$B25&lt;&gt;$B10,$B26&lt;&gt;$B11,$B27&lt;&gt;$B12,$B28&lt;&gt;$B13),IF($B26&lt;&gt;$B11,M11/INDEX($C3:$AJ13,9,MATCH(IF('Data-solution'!$A$3="Maximize",MAX($C14:$AI14),MIN($C14:$AI14)),$C14:$AI14,0)),M11-INDEX($C3:$AJ13,9,MATCH(IF('Data-solution'!$A$3="Maximize",MAX($C14:$AI14),MIN($C14:$AI14)),$C14:$AI14,0))*INDEX(M3:$AJ13,MATCH(MIN($AK3:$AK13),$AK3:$AK13,0),1)/INDEX($C3:$AJ13,MATCH(MIN($AK3:$AK13),$AK3:$AK13,0),MATCH(IF('Data-solution'!$A$3="Maximize",MAX($C14:$AI14),MIN($C14:$AI14)),$C14:$AI14,0))),M11)</f>
        <v>0</v>
      </c>
      <c r="N26" s="1">
        <f>IF(OR($B18&lt;&gt;$B3,$B19&lt;&gt;$B4,$B20&lt;&gt;$B5,$B21&lt;&gt;$B6,$B22&lt;&gt;$B7,$B23&lt;&gt;$B8,$B24&lt;&gt;$B9,$B25&lt;&gt;$B10,$B26&lt;&gt;$B11,$B27&lt;&gt;$B12,$B28&lt;&gt;$B13),IF($B26&lt;&gt;$B11,N11/INDEX($C3:$AJ13,9,MATCH(IF('Data-solution'!$A$3="Maximize",MAX($C14:$AI14),MIN($C14:$AI14)),$C14:$AI14,0)),N11-INDEX($C3:$AJ13,9,MATCH(IF('Data-solution'!$A$3="Maximize",MAX($C14:$AI14),MIN($C14:$AI14)),$C14:$AI14,0))*INDEX(N3:$AJ13,MATCH(MIN($AK3:$AK13),$AK3:$AK13,0),1)/INDEX($C3:$AJ13,MATCH(MIN($AK3:$AK13),$AK3:$AK13,0),MATCH(IF('Data-solution'!$A$3="Maximize",MAX($C14:$AI14),MIN($C14:$AI14)),$C14:$AI14,0))),N11)</f>
        <v>0</v>
      </c>
      <c r="O26" s="1">
        <f>IF(OR($B18&lt;&gt;$B3,$B19&lt;&gt;$B4,$B20&lt;&gt;$B5,$B21&lt;&gt;$B6,$B22&lt;&gt;$B7,$B23&lt;&gt;$B8,$B24&lt;&gt;$B9,$B25&lt;&gt;$B10,$B26&lt;&gt;$B11,$B27&lt;&gt;$B12,$B28&lt;&gt;$B13),IF($B26&lt;&gt;$B11,O11/INDEX($C3:$AJ13,9,MATCH(IF('Data-solution'!$A$3="Maximize",MAX($C14:$AI14),MIN($C14:$AI14)),$C14:$AI14,0)),O11-INDEX($C3:$AJ13,9,MATCH(IF('Data-solution'!$A$3="Maximize",MAX($C14:$AI14),MIN($C14:$AI14)),$C14:$AI14,0))*INDEX(O3:$AJ13,MATCH(MIN($AK3:$AK13),$AK3:$AK13,0),1)/INDEX($C3:$AJ13,MATCH(MIN($AK3:$AK13),$AK3:$AK13,0),MATCH(IF('Data-solution'!$A$3="Maximize",MAX($C14:$AI14),MIN($C14:$AI14)),$C14:$AI14,0))),O11)</f>
        <v>0</v>
      </c>
      <c r="P26" s="1">
        <f>IF(OR($B18&lt;&gt;$B3,$B19&lt;&gt;$B4,$B20&lt;&gt;$B5,$B21&lt;&gt;$B6,$B22&lt;&gt;$B7,$B23&lt;&gt;$B8,$B24&lt;&gt;$B9,$B25&lt;&gt;$B10,$B26&lt;&gt;$B11,$B27&lt;&gt;$B12,$B28&lt;&gt;$B13),IF($B26&lt;&gt;$B11,P11/INDEX($C3:$AJ13,9,MATCH(IF('Data-solution'!$A$3="Maximize",MAX($C14:$AI14),MIN($C14:$AI14)),$C14:$AI14,0)),P11-INDEX($C3:$AJ13,9,MATCH(IF('Data-solution'!$A$3="Maximize",MAX($C14:$AI14),MIN($C14:$AI14)),$C14:$AI14,0))*INDEX(P3:$AJ13,MATCH(MIN($AK3:$AK13),$AK3:$AK13,0),1)/INDEX($C3:$AJ13,MATCH(MIN($AK3:$AK13),$AK3:$AK13,0),MATCH(IF('Data-solution'!$A$3="Maximize",MAX($C14:$AI14),MIN($C14:$AI14)),$C14:$AI14,0))),P11)</f>
        <v>0</v>
      </c>
      <c r="Q26" s="1">
        <f>IF(OR($B18&lt;&gt;$B3,$B19&lt;&gt;$B4,$B20&lt;&gt;$B5,$B21&lt;&gt;$B6,$B22&lt;&gt;$B7,$B23&lt;&gt;$B8,$B24&lt;&gt;$B9,$B25&lt;&gt;$B10,$B26&lt;&gt;$B11,$B27&lt;&gt;$B12,$B28&lt;&gt;$B13),IF($B26&lt;&gt;$B11,Q11/INDEX($C3:$AJ13,9,MATCH(IF('Data-solution'!$A$3="Maximize",MAX($C14:$AI14),MIN($C14:$AI14)),$C14:$AI14,0)),Q11-INDEX($C3:$AJ13,9,MATCH(IF('Data-solution'!$A$3="Maximize",MAX($C14:$AI14),MIN($C14:$AI14)),$C14:$AI14,0))*INDEX(Q3:$AJ13,MATCH(MIN($AK3:$AK13),$AK3:$AK13,0),1)/INDEX($C3:$AJ13,MATCH(MIN($AK3:$AK13),$AK3:$AK13,0),MATCH(IF('Data-solution'!$A$3="Maximize",MAX($C14:$AI14),MIN($C14:$AI14)),$C14:$AI14,0))),Q11)</f>
        <v>0</v>
      </c>
      <c r="R26" s="1">
        <f>IF(OR($B18&lt;&gt;$B3,$B19&lt;&gt;$B4,$B20&lt;&gt;$B5,$B21&lt;&gt;$B6,$B22&lt;&gt;$B7,$B23&lt;&gt;$B8,$B24&lt;&gt;$B9,$B25&lt;&gt;$B10,$B26&lt;&gt;$B11,$B27&lt;&gt;$B12,$B28&lt;&gt;$B13),IF($B26&lt;&gt;$B11,R11/INDEX($C3:$AJ13,9,MATCH(IF('Data-solution'!$A$3="Maximize",MAX($C14:$AI14),MIN($C14:$AI14)),$C14:$AI14,0)),R11-INDEX($C3:$AJ13,9,MATCH(IF('Data-solution'!$A$3="Maximize",MAX($C14:$AI14),MIN($C14:$AI14)),$C14:$AI14,0))*INDEX(R3:$AJ13,MATCH(MIN($AK3:$AK13),$AK3:$AK13,0),1)/INDEX($C3:$AJ13,MATCH(MIN($AK3:$AK13),$AK3:$AK13,0),MATCH(IF('Data-solution'!$A$3="Maximize",MAX($C14:$AI14),MIN($C14:$AI14)),$C14:$AI14,0))),R11)</f>
        <v>0</v>
      </c>
      <c r="S26" s="1">
        <f>IF(OR($B18&lt;&gt;$B3,$B19&lt;&gt;$B4,$B20&lt;&gt;$B5,$B21&lt;&gt;$B6,$B22&lt;&gt;$B7,$B23&lt;&gt;$B8,$B24&lt;&gt;$B9,$B25&lt;&gt;$B10,$B26&lt;&gt;$B11,$B27&lt;&gt;$B12,$B28&lt;&gt;$B13),IF($B26&lt;&gt;$B11,S11/INDEX($C3:$AJ13,9,MATCH(IF('Data-solution'!$A$3="Maximize",MAX($C14:$AI14),MIN($C14:$AI14)),$C14:$AI14,0)),S11-INDEX($C3:$AJ13,9,MATCH(IF('Data-solution'!$A$3="Maximize",MAX($C14:$AI14),MIN($C14:$AI14)),$C14:$AI14,0))*INDEX(S3:$AJ13,MATCH(MIN($AK3:$AK13),$AK3:$AK13,0),1)/INDEX($C3:$AJ13,MATCH(MIN($AK3:$AK13),$AK3:$AK13,0),MATCH(IF('Data-solution'!$A$3="Maximize",MAX($C14:$AI14),MIN($C14:$AI14)),$C14:$AI14,0))),S11)</f>
        <v>0</v>
      </c>
      <c r="T26" s="1">
        <f>IF(OR($B18&lt;&gt;$B3,$B19&lt;&gt;$B4,$B20&lt;&gt;$B5,$B21&lt;&gt;$B6,$B22&lt;&gt;$B7,$B23&lt;&gt;$B8,$B24&lt;&gt;$B9,$B25&lt;&gt;$B10,$B26&lt;&gt;$B11,$B27&lt;&gt;$B12,$B28&lt;&gt;$B13),IF($B26&lt;&gt;$B11,T11/INDEX($C3:$AJ13,9,MATCH(IF('Data-solution'!$A$3="Maximize",MAX($C14:$AI14),MIN($C14:$AI14)),$C14:$AI14,0)),T11-INDEX($C3:$AJ13,9,MATCH(IF('Data-solution'!$A$3="Maximize",MAX($C14:$AI14),MIN($C14:$AI14)),$C14:$AI14,0))*INDEX(T3:$AJ13,MATCH(MIN($AK3:$AK13),$AK3:$AK13,0),1)/INDEX($C3:$AJ13,MATCH(MIN($AK3:$AK13),$AK3:$AK13,0),MATCH(IF('Data-solution'!$A$3="Maximize",MAX($C14:$AI14),MIN($C14:$AI14)),$C14:$AI14,0))),T11)</f>
        <v>0</v>
      </c>
      <c r="U26" s="1">
        <f>IF(OR($B18&lt;&gt;$B3,$B19&lt;&gt;$B4,$B20&lt;&gt;$B5,$B21&lt;&gt;$B6,$B22&lt;&gt;$B7,$B23&lt;&gt;$B8,$B24&lt;&gt;$B9,$B25&lt;&gt;$B10,$B26&lt;&gt;$B11,$B27&lt;&gt;$B12,$B28&lt;&gt;$B13),IF($B26&lt;&gt;$B11,U11/INDEX($C3:$AJ13,9,MATCH(IF('Data-solution'!$A$3="Maximize",MAX($C14:$AI14),MIN($C14:$AI14)),$C14:$AI14,0)),U11-INDEX($C3:$AJ13,9,MATCH(IF('Data-solution'!$A$3="Maximize",MAX($C14:$AI14),MIN($C14:$AI14)),$C14:$AI14,0))*INDEX(U3:$AJ13,MATCH(MIN($AK3:$AK13),$AK3:$AK13,0),1)/INDEX($C3:$AJ13,MATCH(MIN($AK3:$AK13),$AK3:$AK13,0),MATCH(IF('Data-solution'!$A$3="Maximize",MAX($C14:$AI14),MIN($C14:$AI14)),$C14:$AI14,0))),U11)</f>
        <v>0</v>
      </c>
      <c r="V26" s="1">
        <f>IF(OR($B18&lt;&gt;$B3,$B19&lt;&gt;$B4,$B20&lt;&gt;$B5,$B21&lt;&gt;$B6,$B22&lt;&gt;$B7,$B23&lt;&gt;$B8,$B24&lt;&gt;$B9,$B25&lt;&gt;$B10,$B26&lt;&gt;$B11,$B27&lt;&gt;$B12,$B28&lt;&gt;$B13),IF($B26&lt;&gt;$B11,V11/INDEX($C3:$AJ13,9,MATCH(IF('Data-solution'!$A$3="Maximize",MAX($C14:$AI14),MIN($C14:$AI14)),$C14:$AI14,0)),V11-INDEX($C3:$AJ13,9,MATCH(IF('Data-solution'!$A$3="Maximize",MAX($C14:$AI14),MIN($C14:$AI14)),$C14:$AI14,0))*INDEX(V3:$AJ13,MATCH(MIN($AK3:$AK13),$AK3:$AK13,0),1)/INDEX($C3:$AJ13,MATCH(MIN($AK3:$AK13),$AK3:$AK13,0),MATCH(IF('Data-solution'!$A$3="Maximize",MAX($C14:$AI14),MIN($C14:$AI14)),$C14:$AI14,0))),V11)</f>
        <v>1</v>
      </c>
      <c r="W26" s="1">
        <f>IF(OR($B18&lt;&gt;$B3,$B19&lt;&gt;$B4,$B20&lt;&gt;$B5,$B21&lt;&gt;$B6,$B22&lt;&gt;$B7,$B23&lt;&gt;$B8,$B24&lt;&gt;$B9,$B25&lt;&gt;$B10,$B26&lt;&gt;$B11,$B27&lt;&gt;$B12,$B28&lt;&gt;$B13),IF($B26&lt;&gt;$B11,W11/INDEX($C3:$AJ13,9,MATCH(IF('Data-solution'!$A$3="Maximize",MAX($C14:$AI14),MIN($C14:$AI14)),$C14:$AI14,0)),W11-INDEX($C3:$AJ13,9,MATCH(IF('Data-solution'!$A$3="Maximize",MAX($C14:$AI14),MIN($C14:$AI14)),$C14:$AI14,0))*INDEX(W3:$AJ13,MATCH(MIN($AK3:$AK13),$AK3:$AK13,0),1)/INDEX($C3:$AJ13,MATCH(MIN($AK3:$AK13),$AK3:$AK13,0),MATCH(IF('Data-solution'!$A$3="Maximize",MAX($C14:$AI14),MIN($C14:$AI14)),$C14:$AI14,0))),W11)</f>
        <v>0</v>
      </c>
      <c r="X26" s="1">
        <f>IF(OR($B18&lt;&gt;$B3,$B19&lt;&gt;$B4,$B20&lt;&gt;$B5,$B21&lt;&gt;$B6,$B22&lt;&gt;$B7,$B23&lt;&gt;$B8,$B24&lt;&gt;$B9,$B25&lt;&gt;$B10,$B26&lt;&gt;$B11,$B27&lt;&gt;$B12,$B28&lt;&gt;$B13),IF($B26&lt;&gt;$B11,X11/INDEX($C3:$AJ13,9,MATCH(IF('Data-solution'!$A$3="Maximize",MAX($C14:$AI14),MIN($C14:$AI14)),$C14:$AI14,0)),X11-INDEX($C3:$AJ13,9,MATCH(IF('Data-solution'!$A$3="Maximize",MAX($C14:$AI14),MIN($C14:$AI14)),$C14:$AI14,0))*INDEX(X3:$AJ13,MATCH(MIN($AK3:$AK13),$AK3:$AK13,0),1)/INDEX($C3:$AJ13,MATCH(MIN($AK3:$AK13),$AK3:$AK13,0),MATCH(IF('Data-solution'!$A$3="Maximize",MAX($C14:$AI14),MIN($C14:$AI14)),$C14:$AI14,0))),X11)</f>
        <v>0</v>
      </c>
      <c r="Y26" s="1">
        <f>IF(OR($B18&lt;&gt;$B3,$B19&lt;&gt;$B4,$B20&lt;&gt;$B5,$B21&lt;&gt;$B6,$B22&lt;&gt;$B7,$B23&lt;&gt;$B8,$B24&lt;&gt;$B9,$B25&lt;&gt;$B10,$B26&lt;&gt;$B11,$B27&lt;&gt;$B12,$B28&lt;&gt;$B13),IF($B26&lt;&gt;$B11,Y11/INDEX($C3:$AJ13,9,MATCH(IF('Data-solution'!$A$3="Maximize",MAX($C14:$AI14),MIN($C14:$AI14)),$C14:$AI14,0)),Y11-INDEX($C3:$AJ13,9,MATCH(IF('Data-solution'!$A$3="Maximize",MAX($C14:$AI14),MIN($C14:$AI14)),$C14:$AI14,0))*INDEX(Y3:$AJ13,MATCH(MIN($AK3:$AK13),$AK3:$AK13,0),1)/INDEX($C3:$AJ13,MATCH(MIN($AK3:$AK13),$AK3:$AK13,0),MATCH(IF('Data-solution'!$A$3="Maximize",MAX($C14:$AI14),MIN($C14:$AI14)),$C14:$AI14,0))),Y11)</f>
        <v>0</v>
      </c>
      <c r="Z26" s="1">
        <f>IF(OR($B18&lt;&gt;$B3,$B19&lt;&gt;$B4,$B20&lt;&gt;$B5,$B21&lt;&gt;$B6,$B22&lt;&gt;$B7,$B23&lt;&gt;$B8,$B24&lt;&gt;$B9,$B25&lt;&gt;$B10,$B26&lt;&gt;$B11,$B27&lt;&gt;$B12,$B28&lt;&gt;$B13),IF($B26&lt;&gt;$B11,Z11/INDEX($C3:$AJ13,9,MATCH(IF('Data-solution'!$A$3="Maximize",MAX($C14:$AI14),MIN($C14:$AI14)),$C14:$AI14,0)),Z11-INDEX($C3:$AJ13,9,MATCH(IF('Data-solution'!$A$3="Maximize",MAX($C14:$AI14),MIN($C14:$AI14)),$C14:$AI14,0))*INDEX(Z3:$AJ13,MATCH(MIN($AK3:$AK13),$AK3:$AK13,0),1)/INDEX($C3:$AJ13,MATCH(MIN($AK3:$AK13),$AK3:$AK13,0),MATCH(IF('Data-solution'!$A$3="Maximize",MAX($C14:$AI14),MIN($C14:$AI14)),$C14:$AI14,0))),Z11)</f>
        <v>0</v>
      </c>
      <c r="AA26" s="1">
        <f>IF(OR($B18&lt;&gt;$B3,$B19&lt;&gt;$B4,$B20&lt;&gt;$B5,$B21&lt;&gt;$B6,$B22&lt;&gt;$B7,$B23&lt;&gt;$B8,$B24&lt;&gt;$B9,$B25&lt;&gt;$B10,$B26&lt;&gt;$B11,$B27&lt;&gt;$B12,$B28&lt;&gt;$B13),IF($B26&lt;&gt;$B11,AA11/INDEX($C3:$AJ13,9,MATCH(IF('Data-solution'!$A$3="Maximize",MAX($C14:$AI14),MIN($C14:$AI14)),$C14:$AI14,0)),AA11-INDEX($C3:$AJ13,9,MATCH(IF('Data-solution'!$A$3="Maximize",MAX($C14:$AI14),MIN($C14:$AI14)),$C14:$AI14,0))*INDEX(AA3:$AJ13,MATCH(MIN($AK3:$AK13),$AK3:$AK13,0),1)/INDEX($C3:$AJ13,MATCH(MIN($AK3:$AK13),$AK3:$AK13,0),MATCH(IF('Data-solution'!$A$3="Maximize",MAX($C14:$AI14),MIN($C14:$AI14)),$C14:$AI14,0))),AA11)</f>
        <v>0</v>
      </c>
      <c r="AB26" s="1">
        <f>IF(OR($B18&lt;&gt;$B3,$B19&lt;&gt;$B4,$B20&lt;&gt;$B5,$B21&lt;&gt;$B6,$B22&lt;&gt;$B7,$B23&lt;&gt;$B8,$B24&lt;&gt;$B9,$B25&lt;&gt;$B10,$B26&lt;&gt;$B11,$B27&lt;&gt;$B12,$B28&lt;&gt;$B13),IF($B26&lt;&gt;$B11,AB11/INDEX($C3:$AJ13,9,MATCH(IF('Data-solution'!$A$3="Maximize",MAX($C14:$AI14),MIN($C14:$AI14)),$C14:$AI14,0)),AB11-INDEX($C3:$AJ13,9,MATCH(IF('Data-solution'!$A$3="Maximize",MAX($C14:$AI14),MIN($C14:$AI14)),$C14:$AI14,0))*INDEX(AB3:$AJ13,MATCH(MIN($AK3:$AK13),$AK3:$AK13,0),1)/INDEX($C3:$AJ13,MATCH(MIN($AK3:$AK13),$AK3:$AK13,0),MATCH(IF('Data-solution'!$A$3="Maximize",MAX($C14:$AI14),MIN($C14:$AI14)),$C14:$AI14,0))),AB11)</f>
        <v>0</v>
      </c>
      <c r="AC26" s="1">
        <f>IF(OR($B18&lt;&gt;$B3,$B19&lt;&gt;$B4,$B20&lt;&gt;$B5,$B21&lt;&gt;$B6,$B22&lt;&gt;$B7,$B23&lt;&gt;$B8,$B24&lt;&gt;$B9,$B25&lt;&gt;$B10,$B26&lt;&gt;$B11,$B27&lt;&gt;$B12,$B28&lt;&gt;$B13),IF($B26&lt;&gt;$B11,AC11/INDEX($C3:$AJ13,9,MATCH(IF('Data-solution'!$A$3="Maximize",MAX($C14:$AI14),MIN($C14:$AI14)),$C14:$AI14,0)),AC11-INDEX($C3:$AJ13,9,MATCH(IF('Data-solution'!$A$3="Maximize",MAX($C14:$AI14),MIN($C14:$AI14)),$C14:$AI14,0))*INDEX(AC3:$AJ13,MATCH(MIN($AK3:$AK13),$AK3:$AK13,0),1)/INDEX($C3:$AJ13,MATCH(MIN($AK3:$AK13),$AK3:$AK13,0),MATCH(IF('Data-solution'!$A$3="Maximize",MAX($C14:$AI14),MIN($C14:$AI14)),$C14:$AI14,0))),AC11)</f>
        <v>0</v>
      </c>
      <c r="AD26" s="1">
        <f>IF(OR($B18&lt;&gt;$B3,$B19&lt;&gt;$B4,$B20&lt;&gt;$B5,$B21&lt;&gt;$B6,$B22&lt;&gt;$B7,$B23&lt;&gt;$B8,$B24&lt;&gt;$B9,$B25&lt;&gt;$B10,$B26&lt;&gt;$B11,$B27&lt;&gt;$B12,$B28&lt;&gt;$B13),IF($B26&lt;&gt;$B11,AD11/INDEX($C3:$AJ13,9,MATCH(IF('Data-solution'!$A$3="Maximize",MAX($C14:$AI14),MIN($C14:$AI14)),$C14:$AI14,0)),AD11-INDEX($C3:$AJ13,9,MATCH(IF('Data-solution'!$A$3="Maximize",MAX($C14:$AI14),MIN($C14:$AI14)),$C14:$AI14,0))*INDEX(AD3:$AJ13,MATCH(MIN($AK3:$AK13),$AK3:$AK13,0),1)/INDEX($C3:$AJ13,MATCH(MIN($AK3:$AK13),$AK3:$AK13,0),MATCH(IF('Data-solution'!$A$3="Maximize",MAX($C14:$AI14),MIN($C14:$AI14)),$C14:$AI14,0))),AD11)</f>
        <v>0</v>
      </c>
      <c r="AE26" s="1">
        <f>IF(OR($B18&lt;&gt;$B3,$B19&lt;&gt;$B4,$B20&lt;&gt;$B5,$B21&lt;&gt;$B6,$B22&lt;&gt;$B7,$B23&lt;&gt;$B8,$B24&lt;&gt;$B9,$B25&lt;&gt;$B10,$B26&lt;&gt;$B11,$B27&lt;&gt;$B12,$B28&lt;&gt;$B13),IF($B26&lt;&gt;$B11,AE11/INDEX($C3:$AJ13,9,MATCH(IF('Data-solution'!$A$3="Maximize",MAX($C14:$AI14),MIN($C14:$AI14)),$C14:$AI14,0)),AE11-INDEX($C3:$AJ13,9,MATCH(IF('Data-solution'!$A$3="Maximize",MAX($C14:$AI14),MIN($C14:$AI14)),$C14:$AI14,0))*INDEX(AE3:$AJ13,MATCH(MIN($AK3:$AK13),$AK3:$AK13,0),1)/INDEX($C3:$AJ13,MATCH(MIN($AK3:$AK13),$AK3:$AK13,0),MATCH(IF('Data-solution'!$A$3="Maximize",MAX($C14:$AI14),MIN($C14:$AI14)),$C14:$AI14,0))),AE11)</f>
        <v>0</v>
      </c>
      <c r="AF26" s="1">
        <f>IF(OR($B18&lt;&gt;$B3,$B19&lt;&gt;$B4,$B20&lt;&gt;$B5,$B21&lt;&gt;$B6,$B22&lt;&gt;$B7,$B23&lt;&gt;$B8,$B24&lt;&gt;$B9,$B25&lt;&gt;$B10,$B26&lt;&gt;$B11,$B27&lt;&gt;$B12,$B28&lt;&gt;$B13),IF($B26&lt;&gt;$B11,AF11/INDEX($C3:$AJ13,9,MATCH(IF('Data-solution'!$A$3="Maximize",MAX($C14:$AI14),MIN($C14:$AI14)),$C14:$AI14,0)),AF11-INDEX($C3:$AJ13,9,MATCH(IF('Data-solution'!$A$3="Maximize",MAX($C14:$AI14),MIN($C14:$AI14)),$C14:$AI14,0))*INDEX(AF3:$AJ13,MATCH(MIN($AK3:$AK13),$AK3:$AK13,0),1)/INDEX($C3:$AJ13,MATCH(MIN($AK3:$AK13),$AK3:$AK13,0),MATCH(IF('Data-solution'!$A$3="Maximize",MAX($C14:$AI14),MIN($C14:$AI14)),$C14:$AI14,0))),AF11)</f>
        <v>0</v>
      </c>
      <c r="AG26" s="1">
        <f>IF(OR($B18&lt;&gt;$B3,$B19&lt;&gt;$B4,$B20&lt;&gt;$B5,$B21&lt;&gt;$B6,$B22&lt;&gt;$B7,$B23&lt;&gt;$B8,$B24&lt;&gt;$B9,$B25&lt;&gt;$B10,$B26&lt;&gt;$B11,$B27&lt;&gt;$B12,$B28&lt;&gt;$B13),IF($B26&lt;&gt;$B11,AG11/INDEX($C3:$AJ13,9,MATCH(IF('Data-solution'!$A$3="Maximize",MAX($C14:$AI14),MIN($C14:$AI14)),$C14:$AI14,0)),AG11-INDEX($C3:$AJ13,9,MATCH(IF('Data-solution'!$A$3="Maximize",MAX($C14:$AI14),MIN($C14:$AI14)),$C14:$AI14,0))*INDEX(AG3:$AJ13,MATCH(MIN($AK3:$AK13),$AK3:$AK13,0),1)/INDEX($C3:$AJ13,MATCH(MIN($AK3:$AK13),$AK3:$AK13,0),MATCH(IF('Data-solution'!$A$3="Maximize",MAX($C14:$AI14),MIN($C14:$AI14)),$C14:$AI14,0))),AG11)</f>
        <v>1</v>
      </c>
      <c r="AH26" s="1">
        <f>IF(OR($B18&lt;&gt;$B3,$B19&lt;&gt;$B4,$B20&lt;&gt;$B5,$B21&lt;&gt;$B6,$B22&lt;&gt;$B7,$B23&lt;&gt;$B8,$B24&lt;&gt;$B9,$B25&lt;&gt;$B10,$B26&lt;&gt;$B11,$B27&lt;&gt;$B12,$B28&lt;&gt;$B13),IF($B26&lt;&gt;$B11,AH11/INDEX($C3:$AJ13,9,MATCH(IF('Data-solution'!$A$3="Maximize",MAX($C14:$AI14),MIN($C14:$AI14)),$C14:$AI14,0)),AH11-INDEX($C3:$AJ13,9,MATCH(IF('Data-solution'!$A$3="Maximize",MAX($C14:$AI14),MIN($C14:$AI14)),$C14:$AI14,0))*INDEX(AH3:$AJ13,MATCH(MIN($AK3:$AK13),$AK3:$AK13,0),1)/INDEX($C3:$AJ13,MATCH(MIN($AK3:$AK13),$AK3:$AK13,0),MATCH(IF('Data-solution'!$A$3="Maximize",MAX($C14:$AI14),MIN($C14:$AI14)),$C14:$AI14,0))),AH11)</f>
        <v>0</v>
      </c>
      <c r="AI26" s="1">
        <f>IF(OR($B18&lt;&gt;$B3,$B19&lt;&gt;$B4,$B20&lt;&gt;$B5,$B21&lt;&gt;$B6,$B22&lt;&gt;$B7,$B23&lt;&gt;$B8,$B24&lt;&gt;$B9,$B25&lt;&gt;$B10,$B26&lt;&gt;$B11,$B27&lt;&gt;$B12,$B28&lt;&gt;$B13),IF($B26&lt;&gt;$B11,AI11/INDEX($C3:$AJ13,9,MATCH(IF('Data-solution'!$A$3="Maximize",MAX($C14:$AI14),MIN($C14:$AI14)),$C14:$AI14,0)),AI11-INDEX($C3:$AJ13,9,MATCH(IF('Data-solution'!$A$3="Maximize",MAX($C14:$AI14),MIN($C14:$AI14)),$C14:$AI14,0))*INDEX(AI3:$AJ13,MATCH(MIN($AK3:$AK13),$AK3:$AK13,0),1)/INDEX($C3:$AJ13,MATCH(MIN($AK3:$AK13),$AK3:$AK13,0),MATCH(IF('Data-solution'!$A$3="Maximize",MAX($C14:$AI14),MIN($C14:$AI14)),$C14:$AI14,0))),AI11)</f>
        <v>0</v>
      </c>
      <c r="AJ26" s="1">
        <f>IF(OR($B18&lt;&gt;$B3,$B19&lt;&gt;$B4,$B20&lt;&gt;$B5,$B21&lt;&gt;$B6,$B22&lt;&gt;$B7,$B23&lt;&gt;$B8,$B24&lt;&gt;$B9,$B25&lt;&gt;$B10,$B26&lt;&gt;$B11,$B27&lt;&gt;$B12,$B28&lt;&gt;$B13),IF($B26&lt;&gt;$B11,AJ11/INDEX($C3:$AJ13,9,MATCH(IF('Data-solution'!$A$3="Maximize",MAX($C14:$AI14),MIN($C14:$AI14)),$C14:$AI14,0)),AJ11-INDEX($C3:$AJ13,9,MATCH(IF('Data-solution'!$A$3="Maximize",MAX($C14:$AI14),MIN($C14:$AI14)),$C14:$AI14,0))*INDEX(AJ3:$AJ13,MATCH(MIN($AK3:$AK13),$AK3:$AK13,0),1)/INDEX($C3:$AJ13,MATCH(MIN($AK3:$AK13),$AK3:$AK13,0),MATCH(IF('Data-solution'!$A$3="Maximize",MAX($C14:$AI14),MIN($C14:$AI14)),$C14:$AI14,0))),AJ11)</f>
        <v>0</v>
      </c>
      <c r="AK26" s="1" t="str">
        <f>IF(INDEX(C26:X26,1,MATCH(IF('Data-solution'!A$3="Maximize",MAX(C29:X29),MIN(C29:X29)),C29:X29,0))&gt;0,AJ26/INDEX(C26:X26,1,MATCH(IF('Data-solution'!A$3="Maximize",MAX(C29:X29),MIN(C29:X29)),C29:X29,0))," ")</f>
        <v xml:space="preserve"> </v>
      </c>
    </row>
    <row r="27" spans="1:37" ht="18" customHeight="1" x14ac:dyDescent="0.2">
      <c r="A27" s="1">
        <f>INDEX(C16:AI16,1,MATCH(B27,C17:AI17,0))</f>
        <v>0</v>
      </c>
      <c r="B27" s="2" t="str">
        <f>IF(AND('Data-solution'!A$3="Maximize",COUNTIF(C14:X14,"&gt;"&amp;0)&gt;0,AK12=MIN(AK3:AK13),COUNTIF(B18:B26,INDEX(C2:X2,1,MATCH(MAX(C14:X14),C14:X14,0)))=0),INDEX(C2:X2,1,MATCH(MAX(C14:X14),C14:X14,0)),IF(AND('Data-solution'!A$3="Minimize",COUNTIF(C14:X14,"&lt;"&amp;0)&gt;0,AK12=MIN(AK3:AK13),COUNTIF(B18:B26,INDEX(C2:X2,1,MATCH(MIN(C14:X14),C14:X14,0)))=0),INDEX(C2:X2,1,MATCH(MIN(C14:X14),C14:X14,0)),B12))</f>
        <v>S10</v>
      </c>
      <c r="C27" s="1">
        <f>IF(OR($B18&lt;&gt;$B3,$B19&lt;&gt;$B4,$B20&lt;&gt;$B5,$B21&lt;&gt;$B6,$B22&lt;&gt;$B7,$B23&lt;&gt;$B8,$B24&lt;&gt;$B9,$B25&lt;&gt;$B10,$B26&lt;&gt;$B11,$B27&lt;&gt;$B12,$B28&lt;&gt;$B13),IF($B27&lt;&gt;$B12,C12/INDEX($C3:$AJ13,10,MATCH(IF('Data-solution'!$A$3="Maximize",MAX($C14:$AI14),MIN($C14:$AI14)),$C14:$AI14,0)),C12-INDEX($C3:$AJ13,10,MATCH(IF('Data-solution'!$A$3="Maximize",MAX($C14:$AI14),MIN($C14:$AI14)),$C14:$AI14,0))*INDEX(C3:$AJ13,MATCH(MIN($AK3:$AK13),$AK3:$AK13,0),1)/INDEX($C3:$AJ13,MATCH(MIN($AK3:$AK13),$AK3:$AK13,0),MATCH(IF('Data-solution'!$A$3="Maximize",MAX($C14:$AI14),MIN($C14:$AI14)),$C14:$AI14,0))),C12)</f>
        <v>0</v>
      </c>
      <c r="D27" s="1">
        <f>IF(OR($B18&lt;&gt;$B3,$B19&lt;&gt;$B4,$B20&lt;&gt;$B5,$B21&lt;&gt;$B6,$B22&lt;&gt;$B7,$B23&lt;&gt;$B8,$B24&lt;&gt;$B9,$B25&lt;&gt;$B10,$B26&lt;&gt;$B11,$B27&lt;&gt;$B12,$B28&lt;&gt;$B13),IF($B27&lt;&gt;$B12,D12/INDEX($C3:$AJ13,10,MATCH(IF('Data-solution'!$A$3="Maximize",MAX($C14:$AI14),MIN($C14:$AI14)),$C14:$AI14,0)),D12-INDEX($C3:$AJ13,10,MATCH(IF('Data-solution'!$A$3="Maximize",MAX($C14:$AI14),MIN($C14:$AI14)),$C14:$AI14,0))*INDEX(D3:$AJ13,MATCH(MIN($AK3:$AK13),$AK3:$AK13,0),1)/INDEX($C3:$AJ13,MATCH(MIN($AK3:$AK13),$AK3:$AK13,0),MATCH(IF('Data-solution'!$A$3="Maximize",MAX($C14:$AI14),MIN($C14:$AI14)),$C14:$AI14,0))),D12)</f>
        <v>0</v>
      </c>
      <c r="E27" s="1">
        <f>IF(OR($B18&lt;&gt;$B3,$B19&lt;&gt;$B4,$B20&lt;&gt;$B5,$B21&lt;&gt;$B6,$B22&lt;&gt;$B7,$B23&lt;&gt;$B8,$B24&lt;&gt;$B9,$B25&lt;&gt;$B10,$B26&lt;&gt;$B11,$B27&lt;&gt;$B12,$B28&lt;&gt;$B13),IF($B27&lt;&gt;$B12,E12/INDEX($C3:$AJ13,10,MATCH(IF('Data-solution'!$A$3="Maximize",MAX($C14:$AI14),MIN($C14:$AI14)),$C14:$AI14,0)),E12-INDEX($C3:$AJ13,10,MATCH(IF('Data-solution'!$A$3="Maximize",MAX($C14:$AI14),MIN($C14:$AI14)),$C14:$AI14,0))*INDEX(E3:$AJ13,MATCH(MIN($AK3:$AK13),$AK3:$AK13,0),1)/INDEX($C3:$AJ13,MATCH(MIN($AK3:$AK13),$AK3:$AK13,0),MATCH(IF('Data-solution'!$A$3="Maximize",MAX($C14:$AI14),MIN($C14:$AI14)),$C14:$AI14,0))),E12)</f>
        <v>0</v>
      </c>
      <c r="F27" s="1">
        <f>IF(OR($B18&lt;&gt;$B3,$B19&lt;&gt;$B4,$B20&lt;&gt;$B5,$B21&lt;&gt;$B6,$B22&lt;&gt;$B7,$B23&lt;&gt;$B8,$B24&lt;&gt;$B9,$B25&lt;&gt;$B10,$B26&lt;&gt;$B11,$B27&lt;&gt;$B12,$B28&lt;&gt;$B13),IF($B27&lt;&gt;$B12,F12/INDEX($C3:$AJ13,10,MATCH(IF('Data-solution'!$A$3="Maximize",MAX($C14:$AI14),MIN($C14:$AI14)),$C14:$AI14,0)),F12-INDEX($C3:$AJ13,10,MATCH(IF('Data-solution'!$A$3="Maximize",MAX($C14:$AI14),MIN($C14:$AI14)),$C14:$AI14,0))*INDEX(F3:$AJ13,MATCH(MIN($AK3:$AK13),$AK3:$AK13,0),1)/INDEX($C3:$AJ13,MATCH(MIN($AK3:$AK13),$AK3:$AK13,0),MATCH(IF('Data-solution'!$A$3="Maximize",MAX($C14:$AI14),MIN($C14:$AI14)),$C14:$AI14,0))),F12)</f>
        <v>0</v>
      </c>
      <c r="G27" s="1">
        <f>IF(OR($B18&lt;&gt;$B3,$B19&lt;&gt;$B4,$B20&lt;&gt;$B5,$B21&lt;&gt;$B6,$B22&lt;&gt;$B7,$B23&lt;&gt;$B8,$B24&lt;&gt;$B9,$B25&lt;&gt;$B10,$B26&lt;&gt;$B11,$B27&lt;&gt;$B12,$B28&lt;&gt;$B13),IF($B27&lt;&gt;$B12,G12/INDEX($C3:$AJ13,10,MATCH(IF('Data-solution'!$A$3="Maximize",MAX($C14:$AI14),MIN($C14:$AI14)),$C14:$AI14,0)),G12-INDEX($C3:$AJ13,10,MATCH(IF('Data-solution'!$A$3="Maximize",MAX($C14:$AI14),MIN($C14:$AI14)),$C14:$AI14,0))*INDEX(G3:$AJ13,MATCH(MIN($AK3:$AK13),$AK3:$AK13,0),1)/INDEX($C3:$AJ13,MATCH(MIN($AK3:$AK13),$AK3:$AK13,0),MATCH(IF('Data-solution'!$A$3="Maximize",MAX($C14:$AI14),MIN($C14:$AI14)),$C14:$AI14,0))),G12)</f>
        <v>0</v>
      </c>
      <c r="H27" s="1">
        <f>IF(OR($B18&lt;&gt;$B3,$B19&lt;&gt;$B4,$B20&lt;&gt;$B5,$B21&lt;&gt;$B6,$B22&lt;&gt;$B7,$B23&lt;&gt;$B8,$B24&lt;&gt;$B9,$B25&lt;&gt;$B10,$B26&lt;&gt;$B11,$B27&lt;&gt;$B12,$B28&lt;&gt;$B13),IF($B27&lt;&gt;$B12,H12/INDEX($C3:$AJ13,10,MATCH(IF('Data-solution'!$A$3="Maximize",MAX($C14:$AI14),MIN($C14:$AI14)),$C14:$AI14,0)),H12-INDEX($C3:$AJ13,10,MATCH(IF('Data-solution'!$A$3="Maximize",MAX($C14:$AI14),MIN($C14:$AI14)),$C14:$AI14,0))*INDEX(H3:$AJ13,MATCH(MIN($AK3:$AK13),$AK3:$AK13,0),1)/INDEX($C3:$AJ13,MATCH(MIN($AK3:$AK13),$AK3:$AK13,0),MATCH(IF('Data-solution'!$A$3="Maximize",MAX($C14:$AI14),MIN($C14:$AI14)),$C14:$AI14,0))),H12)</f>
        <v>0</v>
      </c>
      <c r="I27" s="1">
        <f>IF(OR($B18&lt;&gt;$B3,$B19&lt;&gt;$B4,$B20&lt;&gt;$B5,$B21&lt;&gt;$B6,$B22&lt;&gt;$B7,$B23&lt;&gt;$B8,$B24&lt;&gt;$B9,$B25&lt;&gt;$B10,$B26&lt;&gt;$B11,$B27&lt;&gt;$B12,$B28&lt;&gt;$B13),IF($B27&lt;&gt;$B12,I12/INDEX($C3:$AJ13,10,MATCH(IF('Data-solution'!$A$3="Maximize",MAX($C14:$AI14),MIN($C14:$AI14)),$C14:$AI14,0)),I12-INDEX($C3:$AJ13,10,MATCH(IF('Data-solution'!$A$3="Maximize",MAX($C14:$AI14),MIN($C14:$AI14)),$C14:$AI14,0))*INDEX(I3:$AJ13,MATCH(MIN($AK3:$AK13),$AK3:$AK13,0),1)/INDEX($C3:$AJ13,MATCH(MIN($AK3:$AK13),$AK3:$AK13,0),MATCH(IF('Data-solution'!$A$3="Maximize",MAX($C14:$AI14),MIN($C14:$AI14)),$C14:$AI14,0))),I12)</f>
        <v>0</v>
      </c>
      <c r="J27" s="1">
        <f>IF(OR($B18&lt;&gt;$B3,$B19&lt;&gt;$B4,$B20&lt;&gt;$B5,$B21&lt;&gt;$B6,$B22&lt;&gt;$B7,$B23&lt;&gt;$B8,$B24&lt;&gt;$B9,$B25&lt;&gt;$B10,$B26&lt;&gt;$B11,$B27&lt;&gt;$B12,$B28&lt;&gt;$B13),IF($B27&lt;&gt;$B12,J12/INDEX($C3:$AJ13,10,MATCH(IF('Data-solution'!$A$3="Maximize",MAX($C14:$AI14),MIN($C14:$AI14)),$C14:$AI14,0)),J12-INDEX($C3:$AJ13,10,MATCH(IF('Data-solution'!$A$3="Maximize",MAX($C14:$AI14),MIN($C14:$AI14)),$C14:$AI14,0))*INDEX(J3:$AJ13,MATCH(MIN($AK3:$AK13),$AK3:$AK13,0),1)/INDEX($C3:$AJ13,MATCH(MIN($AK3:$AK13),$AK3:$AK13,0),MATCH(IF('Data-solution'!$A$3="Maximize",MAX($C14:$AI14),MIN($C14:$AI14)),$C14:$AI14,0))),J12)</f>
        <v>0</v>
      </c>
      <c r="K27" s="1">
        <f>IF(OR($B18&lt;&gt;$B3,$B19&lt;&gt;$B4,$B20&lt;&gt;$B5,$B21&lt;&gt;$B6,$B22&lt;&gt;$B7,$B23&lt;&gt;$B8,$B24&lt;&gt;$B9,$B25&lt;&gt;$B10,$B26&lt;&gt;$B11,$B27&lt;&gt;$B12,$B28&lt;&gt;$B13),IF($B27&lt;&gt;$B12,K12/INDEX($C3:$AJ13,10,MATCH(IF('Data-solution'!$A$3="Maximize",MAX($C14:$AI14),MIN($C14:$AI14)),$C14:$AI14,0)),K12-INDEX($C3:$AJ13,10,MATCH(IF('Data-solution'!$A$3="Maximize",MAX($C14:$AI14),MIN($C14:$AI14)),$C14:$AI14,0))*INDEX(K3:$AJ13,MATCH(MIN($AK3:$AK13),$AK3:$AK13,0),1)/INDEX($C3:$AJ13,MATCH(MIN($AK3:$AK13),$AK3:$AK13,0),MATCH(IF('Data-solution'!$A$3="Maximize",MAX($C14:$AI14),MIN($C14:$AI14)),$C14:$AI14,0))),K12)</f>
        <v>0</v>
      </c>
      <c r="L27" s="1">
        <f>IF(OR($B18&lt;&gt;$B3,$B19&lt;&gt;$B4,$B20&lt;&gt;$B5,$B21&lt;&gt;$B6,$B22&lt;&gt;$B7,$B23&lt;&gt;$B8,$B24&lt;&gt;$B9,$B25&lt;&gt;$B10,$B26&lt;&gt;$B11,$B27&lt;&gt;$B12,$B28&lt;&gt;$B13),IF($B27&lt;&gt;$B12,L12/INDEX($C3:$AJ13,10,MATCH(IF('Data-solution'!$A$3="Maximize",MAX($C14:$AI14),MIN($C14:$AI14)),$C14:$AI14,0)),L12-INDEX($C3:$AJ13,10,MATCH(IF('Data-solution'!$A$3="Maximize",MAX($C14:$AI14),MIN($C14:$AI14)),$C14:$AI14,0))*INDEX(L3:$AJ13,MATCH(MIN($AK3:$AK13),$AK3:$AK13,0),1)/INDEX($C3:$AJ13,MATCH(MIN($AK3:$AK13),$AK3:$AK13,0),MATCH(IF('Data-solution'!$A$3="Maximize",MAX($C14:$AI14),MIN($C14:$AI14)),$C14:$AI14,0))),L12)</f>
        <v>0</v>
      </c>
      <c r="M27" s="1">
        <f>IF(OR($B18&lt;&gt;$B3,$B19&lt;&gt;$B4,$B20&lt;&gt;$B5,$B21&lt;&gt;$B6,$B22&lt;&gt;$B7,$B23&lt;&gt;$B8,$B24&lt;&gt;$B9,$B25&lt;&gt;$B10,$B26&lt;&gt;$B11,$B27&lt;&gt;$B12,$B28&lt;&gt;$B13),IF($B27&lt;&gt;$B12,M12/INDEX($C3:$AJ13,10,MATCH(IF('Data-solution'!$A$3="Maximize",MAX($C14:$AI14),MIN($C14:$AI14)),$C14:$AI14,0)),M12-INDEX($C3:$AJ13,10,MATCH(IF('Data-solution'!$A$3="Maximize",MAX($C14:$AI14),MIN($C14:$AI14)),$C14:$AI14,0))*INDEX(M3:$AJ13,MATCH(MIN($AK3:$AK13),$AK3:$AK13,0),1)/INDEX($C3:$AJ13,MATCH(MIN($AK3:$AK13),$AK3:$AK13,0),MATCH(IF('Data-solution'!$A$3="Maximize",MAX($C14:$AI14),MIN($C14:$AI14)),$C14:$AI14,0))),M12)</f>
        <v>0</v>
      </c>
      <c r="N27" s="1">
        <f>IF(OR($B18&lt;&gt;$B3,$B19&lt;&gt;$B4,$B20&lt;&gt;$B5,$B21&lt;&gt;$B6,$B22&lt;&gt;$B7,$B23&lt;&gt;$B8,$B24&lt;&gt;$B9,$B25&lt;&gt;$B10,$B26&lt;&gt;$B11,$B27&lt;&gt;$B12,$B28&lt;&gt;$B13),IF($B27&lt;&gt;$B12,N12/INDEX($C3:$AJ13,10,MATCH(IF('Data-solution'!$A$3="Maximize",MAX($C14:$AI14),MIN($C14:$AI14)),$C14:$AI14,0)),N12-INDEX($C3:$AJ13,10,MATCH(IF('Data-solution'!$A$3="Maximize",MAX($C14:$AI14),MIN($C14:$AI14)),$C14:$AI14,0))*INDEX(N3:$AJ13,MATCH(MIN($AK3:$AK13),$AK3:$AK13,0),1)/INDEX($C3:$AJ13,MATCH(MIN($AK3:$AK13),$AK3:$AK13,0),MATCH(IF('Data-solution'!$A$3="Maximize",MAX($C14:$AI14),MIN($C14:$AI14)),$C14:$AI14,0))),N12)</f>
        <v>0</v>
      </c>
      <c r="O27" s="1">
        <f>IF(OR($B18&lt;&gt;$B3,$B19&lt;&gt;$B4,$B20&lt;&gt;$B5,$B21&lt;&gt;$B6,$B22&lt;&gt;$B7,$B23&lt;&gt;$B8,$B24&lt;&gt;$B9,$B25&lt;&gt;$B10,$B26&lt;&gt;$B11,$B27&lt;&gt;$B12,$B28&lt;&gt;$B13),IF($B27&lt;&gt;$B12,O12/INDEX($C3:$AJ13,10,MATCH(IF('Data-solution'!$A$3="Maximize",MAX($C14:$AI14),MIN($C14:$AI14)),$C14:$AI14,0)),O12-INDEX($C3:$AJ13,10,MATCH(IF('Data-solution'!$A$3="Maximize",MAX($C14:$AI14),MIN($C14:$AI14)),$C14:$AI14,0))*INDEX(O3:$AJ13,MATCH(MIN($AK3:$AK13),$AK3:$AK13,0),1)/INDEX($C3:$AJ13,MATCH(MIN($AK3:$AK13),$AK3:$AK13,0),MATCH(IF('Data-solution'!$A$3="Maximize",MAX($C14:$AI14),MIN($C14:$AI14)),$C14:$AI14,0))),O12)</f>
        <v>0</v>
      </c>
      <c r="P27" s="1">
        <f>IF(OR($B18&lt;&gt;$B3,$B19&lt;&gt;$B4,$B20&lt;&gt;$B5,$B21&lt;&gt;$B6,$B22&lt;&gt;$B7,$B23&lt;&gt;$B8,$B24&lt;&gt;$B9,$B25&lt;&gt;$B10,$B26&lt;&gt;$B11,$B27&lt;&gt;$B12,$B28&lt;&gt;$B13),IF($B27&lt;&gt;$B12,P12/INDEX($C3:$AJ13,10,MATCH(IF('Data-solution'!$A$3="Maximize",MAX($C14:$AI14),MIN($C14:$AI14)),$C14:$AI14,0)),P12-INDEX($C3:$AJ13,10,MATCH(IF('Data-solution'!$A$3="Maximize",MAX($C14:$AI14),MIN($C14:$AI14)),$C14:$AI14,0))*INDEX(P3:$AJ13,MATCH(MIN($AK3:$AK13),$AK3:$AK13,0),1)/INDEX($C3:$AJ13,MATCH(MIN($AK3:$AK13),$AK3:$AK13,0),MATCH(IF('Data-solution'!$A$3="Maximize",MAX($C14:$AI14),MIN($C14:$AI14)),$C14:$AI14,0))),P12)</f>
        <v>0</v>
      </c>
      <c r="Q27" s="1">
        <f>IF(OR($B18&lt;&gt;$B3,$B19&lt;&gt;$B4,$B20&lt;&gt;$B5,$B21&lt;&gt;$B6,$B22&lt;&gt;$B7,$B23&lt;&gt;$B8,$B24&lt;&gt;$B9,$B25&lt;&gt;$B10,$B26&lt;&gt;$B11,$B27&lt;&gt;$B12,$B28&lt;&gt;$B13),IF($B27&lt;&gt;$B12,Q12/INDEX($C3:$AJ13,10,MATCH(IF('Data-solution'!$A$3="Maximize",MAX($C14:$AI14),MIN($C14:$AI14)),$C14:$AI14,0)),Q12-INDEX($C3:$AJ13,10,MATCH(IF('Data-solution'!$A$3="Maximize",MAX($C14:$AI14),MIN($C14:$AI14)),$C14:$AI14,0))*INDEX(Q3:$AJ13,MATCH(MIN($AK3:$AK13),$AK3:$AK13,0),1)/INDEX($C3:$AJ13,MATCH(MIN($AK3:$AK13),$AK3:$AK13,0),MATCH(IF('Data-solution'!$A$3="Maximize",MAX($C14:$AI14),MIN($C14:$AI14)),$C14:$AI14,0))),Q12)</f>
        <v>0</v>
      </c>
      <c r="R27" s="1">
        <f>IF(OR($B18&lt;&gt;$B3,$B19&lt;&gt;$B4,$B20&lt;&gt;$B5,$B21&lt;&gt;$B6,$B22&lt;&gt;$B7,$B23&lt;&gt;$B8,$B24&lt;&gt;$B9,$B25&lt;&gt;$B10,$B26&lt;&gt;$B11,$B27&lt;&gt;$B12,$B28&lt;&gt;$B13),IF($B27&lt;&gt;$B12,R12/INDEX($C3:$AJ13,10,MATCH(IF('Data-solution'!$A$3="Maximize",MAX($C14:$AI14),MIN($C14:$AI14)),$C14:$AI14,0)),R12-INDEX($C3:$AJ13,10,MATCH(IF('Data-solution'!$A$3="Maximize",MAX($C14:$AI14),MIN($C14:$AI14)),$C14:$AI14,0))*INDEX(R3:$AJ13,MATCH(MIN($AK3:$AK13),$AK3:$AK13,0),1)/INDEX($C3:$AJ13,MATCH(MIN($AK3:$AK13),$AK3:$AK13,0),MATCH(IF('Data-solution'!$A$3="Maximize",MAX($C14:$AI14),MIN($C14:$AI14)),$C14:$AI14,0))),R12)</f>
        <v>0</v>
      </c>
      <c r="S27" s="1">
        <f>IF(OR($B18&lt;&gt;$B3,$B19&lt;&gt;$B4,$B20&lt;&gt;$B5,$B21&lt;&gt;$B6,$B22&lt;&gt;$B7,$B23&lt;&gt;$B8,$B24&lt;&gt;$B9,$B25&lt;&gt;$B10,$B26&lt;&gt;$B11,$B27&lt;&gt;$B12,$B28&lt;&gt;$B13),IF($B27&lt;&gt;$B12,S12/INDEX($C3:$AJ13,10,MATCH(IF('Data-solution'!$A$3="Maximize",MAX($C14:$AI14),MIN($C14:$AI14)),$C14:$AI14,0)),S12-INDEX($C3:$AJ13,10,MATCH(IF('Data-solution'!$A$3="Maximize",MAX($C14:$AI14),MIN($C14:$AI14)),$C14:$AI14,0))*INDEX(S3:$AJ13,MATCH(MIN($AK3:$AK13),$AK3:$AK13,0),1)/INDEX($C3:$AJ13,MATCH(MIN($AK3:$AK13),$AK3:$AK13,0),MATCH(IF('Data-solution'!$A$3="Maximize",MAX($C14:$AI14),MIN($C14:$AI14)),$C14:$AI14,0))),S12)</f>
        <v>0</v>
      </c>
      <c r="T27" s="1">
        <f>IF(OR($B18&lt;&gt;$B3,$B19&lt;&gt;$B4,$B20&lt;&gt;$B5,$B21&lt;&gt;$B6,$B22&lt;&gt;$B7,$B23&lt;&gt;$B8,$B24&lt;&gt;$B9,$B25&lt;&gt;$B10,$B26&lt;&gt;$B11,$B27&lt;&gt;$B12,$B28&lt;&gt;$B13),IF($B27&lt;&gt;$B12,T12/INDEX($C3:$AJ13,10,MATCH(IF('Data-solution'!$A$3="Maximize",MAX($C14:$AI14),MIN($C14:$AI14)),$C14:$AI14,0)),T12-INDEX($C3:$AJ13,10,MATCH(IF('Data-solution'!$A$3="Maximize",MAX($C14:$AI14),MIN($C14:$AI14)),$C14:$AI14,0))*INDEX(T3:$AJ13,MATCH(MIN($AK3:$AK13),$AK3:$AK13,0),1)/INDEX($C3:$AJ13,MATCH(MIN($AK3:$AK13),$AK3:$AK13,0),MATCH(IF('Data-solution'!$A$3="Maximize",MAX($C14:$AI14),MIN($C14:$AI14)),$C14:$AI14,0))),T12)</f>
        <v>0</v>
      </c>
      <c r="U27" s="1">
        <f>IF(OR($B18&lt;&gt;$B3,$B19&lt;&gt;$B4,$B20&lt;&gt;$B5,$B21&lt;&gt;$B6,$B22&lt;&gt;$B7,$B23&lt;&gt;$B8,$B24&lt;&gt;$B9,$B25&lt;&gt;$B10,$B26&lt;&gt;$B11,$B27&lt;&gt;$B12,$B28&lt;&gt;$B13),IF($B27&lt;&gt;$B12,U12/INDEX($C3:$AJ13,10,MATCH(IF('Data-solution'!$A$3="Maximize",MAX($C14:$AI14),MIN($C14:$AI14)),$C14:$AI14,0)),U12-INDEX($C3:$AJ13,10,MATCH(IF('Data-solution'!$A$3="Maximize",MAX($C14:$AI14),MIN($C14:$AI14)),$C14:$AI14,0))*INDEX(U3:$AJ13,MATCH(MIN($AK3:$AK13),$AK3:$AK13,0),1)/INDEX($C3:$AJ13,MATCH(MIN($AK3:$AK13),$AK3:$AK13,0),MATCH(IF('Data-solution'!$A$3="Maximize",MAX($C14:$AI14),MIN($C14:$AI14)),$C14:$AI14,0))),U12)</f>
        <v>0</v>
      </c>
      <c r="V27" s="1">
        <f>IF(OR($B18&lt;&gt;$B3,$B19&lt;&gt;$B4,$B20&lt;&gt;$B5,$B21&lt;&gt;$B6,$B22&lt;&gt;$B7,$B23&lt;&gt;$B8,$B24&lt;&gt;$B9,$B25&lt;&gt;$B10,$B26&lt;&gt;$B11,$B27&lt;&gt;$B12,$B28&lt;&gt;$B13),IF($B27&lt;&gt;$B12,V12/INDEX($C3:$AJ13,10,MATCH(IF('Data-solution'!$A$3="Maximize",MAX($C14:$AI14),MIN($C14:$AI14)),$C14:$AI14,0)),V12-INDEX($C3:$AJ13,10,MATCH(IF('Data-solution'!$A$3="Maximize",MAX($C14:$AI14),MIN($C14:$AI14)),$C14:$AI14,0))*INDEX(V3:$AJ13,MATCH(MIN($AK3:$AK13),$AK3:$AK13,0),1)/INDEX($C3:$AJ13,MATCH(MIN($AK3:$AK13),$AK3:$AK13,0),MATCH(IF('Data-solution'!$A$3="Maximize",MAX($C14:$AI14),MIN($C14:$AI14)),$C14:$AI14,0))),V12)</f>
        <v>0</v>
      </c>
      <c r="W27" s="1">
        <f>IF(OR($B18&lt;&gt;$B3,$B19&lt;&gt;$B4,$B20&lt;&gt;$B5,$B21&lt;&gt;$B6,$B22&lt;&gt;$B7,$B23&lt;&gt;$B8,$B24&lt;&gt;$B9,$B25&lt;&gt;$B10,$B26&lt;&gt;$B11,$B27&lt;&gt;$B12,$B28&lt;&gt;$B13),IF($B27&lt;&gt;$B12,W12/INDEX($C3:$AJ13,10,MATCH(IF('Data-solution'!$A$3="Maximize",MAX($C14:$AI14),MIN($C14:$AI14)),$C14:$AI14,0)),W12-INDEX($C3:$AJ13,10,MATCH(IF('Data-solution'!$A$3="Maximize",MAX($C14:$AI14),MIN($C14:$AI14)),$C14:$AI14,0))*INDEX(W3:$AJ13,MATCH(MIN($AK3:$AK13),$AK3:$AK13,0),1)/INDEX($C3:$AJ13,MATCH(MIN($AK3:$AK13),$AK3:$AK13,0),MATCH(IF('Data-solution'!$A$3="Maximize",MAX($C14:$AI14),MIN($C14:$AI14)),$C14:$AI14,0))),W12)</f>
        <v>1</v>
      </c>
      <c r="X27" s="1">
        <f>IF(OR($B18&lt;&gt;$B3,$B19&lt;&gt;$B4,$B20&lt;&gt;$B5,$B21&lt;&gt;$B6,$B22&lt;&gt;$B7,$B23&lt;&gt;$B8,$B24&lt;&gt;$B9,$B25&lt;&gt;$B10,$B26&lt;&gt;$B11,$B27&lt;&gt;$B12,$B28&lt;&gt;$B13),IF($B27&lt;&gt;$B12,X12/INDEX($C3:$AJ13,10,MATCH(IF('Data-solution'!$A$3="Maximize",MAX($C14:$AI14),MIN($C14:$AI14)),$C14:$AI14,0)),X12-INDEX($C3:$AJ13,10,MATCH(IF('Data-solution'!$A$3="Maximize",MAX($C14:$AI14),MIN($C14:$AI14)),$C14:$AI14,0))*INDEX(X3:$AJ13,MATCH(MIN($AK3:$AK13),$AK3:$AK13,0),1)/INDEX($C3:$AJ13,MATCH(MIN($AK3:$AK13),$AK3:$AK13,0),MATCH(IF('Data-solution'!$A$3="Maximize",MAX($C14:$AI14),MIN($C14:$AI14)),$C14:$AI14,0))),X12)</f>
        <v>0</v>
      </c>
      <c r="Y27" s="1">
        <f>IF(OR($B18&lt;&gt;$B3,$B19&lt;&gt;$B4,$B20&lt;&gt;$B5,$B21&lt;&gt;$B6,$B22&lt;&gt;$B7,$B23&lt;&gt;$B8,$B24&lt;&gt;$B9,$B25&lt;&gt;$B10,$B26&lt;&gt;$B11,$B27&lt;&gt;$B12,$B28&lt;&gt;$B13),IF($B27&lt;&gt;$B12,Y12/INDEX($C3:$AJ13,10,MATCH(IF('Data-solution'!$A$3="Maximize",MAX($C14:$AI14),MIN($C14:$AI14)),$C14:$AI14,0)),Y12-INDEX($C3:$AJ13,10,MATCH(IF('Data-solution'!$A$3="Maximize",MAX($C14:$AI14),MIN($C14:$AI14)),$C14:$AI14,0))*INDEX(Y3:$AJ13,MATCH(MIN($AK3:$AK13),$AK3:$AK13,0),1)/INDEX($C3:$AJ13,MATCH(MIN($AK3:$AK13),$AK3:$AK13,0),MATCH(IF('Data-solution'!$A$3="Maximize",MAX($C14:$AI14),MIN($C14:$AI14)),$C14:$AI14,0))),Y12)</f>
        <v>0</v>
      </c>
      <c r="Z27" s="1">
        <f>IF(OR($B18&lt;&gt;$B3,$B19&lt;&gt;$B4,$B20&lt;&gt;$B5,$B21&lt;&gt;$B6,$B22&lt;&gt;$B7,$B23&lt;&gt;$B8,$B24&lt;&gt;$B9,$B25&lt;&gt;$B10,$B26&lt;&gt;$B11,$B27&lt;&gt;$B12,$B28&lt;&gt;$B13),IF($B27&lt;&gt;$B12,Z12/INDEX($C3:$AJ13,10,MATCH(IF('Data-solution'!$A$3="Maximize",MAX($C14:$AI14),MIN($C14:$AI14)),$C14:$AI14,0)),Z12-INDEX($C3:$AJ13,10,MATCH(IF('Data-solution'!$A$3="Maximize",MAX($C14:$AI14),MIN($C14:$AI14)),$C14:$AI14,0))*INDEX(Z3:$AJ13,MATCH(MIN($AK3:$AK13),$AK3:$AK13,0),1)/INDEX($C3:$AJ13,MATCH(MIN($AK3:$AK13),$AK3:$AK13,0),MATCH(IF('Data-solution'!$A$3="Maximize",MAX($C14:$AI14),MIN($C14:$AI14)),$C14:$AI14,0))),Z12)</f>
        <v>0</v>
      </c>
      <c r="AA27" s="1">
        <f>IF(OR($B18&lt;&gt;$B3,$B19&lt;&gt;$B4,$B20&lt;&gt;$B5,$B21&lt;&gt;$B6,$B22&lt;&gt;$B7,$B23&lt;&gt;$B8,$B24&lt;&gt;$B9,$B25&lt;&gt;$B10,$B26&lt;&gt;$B11,$B27&lt;&gt;$B12,$B28&lt;&gt;$B13),IF($B27&lt;&gt;$B12,AA12/INDEX($C3:$AJ13,10,MATCH(IF('Data-solution'!$A$3="Maximize",MAX($C14:$AI14),MIN($C14:$AI14)),$C14:$AI14,0)),AA12-INDEX($C3:$AJ13,10,MATCH(IF('Data-solution'!$A$3="Maximize",MAX($C14:$AI14),MIN($C14:$AI14)),$C14:$AI14,0))*INDEX(AA3:$AJ13,MATCH(MIN($AK3:$AK13),$AK3:$AK13,0),1)/INDEX($C3:$AJ13,MATCH(MIN($AK3:$AK13),$AK3:$AK13,0),MATCH(IF('Data-solution'!$A$3="Maximize",MAX($C14:$AI14),MIN($C14:$AI14)),$C14:$AI14,0))),AA12)</f>
        <v>0</v>
      </c>
      <c r="AB27" s="1">
        <f>IF(OR($B18&lt;&gt;$B3,$B19&lt;&gt;$B4,$B20&lt;&gt;$B5,$B21&lt;&gt;$B6,$B22&lt;&gt;$B7,$B23&lt;&gt;$B8,$B24&lt;&gt;$B9,$B25&lt;&gt;$B10,$B26&lt;&gt;$B11,$B27&lt;&gt;$B12,$B28&lt;&gt;$B13),IF($B27&lt;&gt;$B12,AB12/INDEX($C3:$AJ13,10,MATCH(IF('Data-solution'!$A$3="Maximize",MAX($C14:$AI14),MIN($C14:$AI14)),$C14:$AI14,0)),AB12-INDEX($C3:$AJ13,10,MATCH(IF('Data-solution'!$A$3="Maximize",MAX($C14:$AI14),MIN($C14:$AI14)),$C14:$AI14,0))*INDEX(AB3:$AJ13,MATCH(MIN($AK3:$AK13),$AK3:$AK13,0),1)/INDEX($C3:$AJ13,MATCH(MIN($AK3:$AK13),$AK3:$AK13,0),MATCH(IF('Data-solution'!$A$3="Maximize",MAX($C14:$AI14),MIN($C14:$AI14)),$C14:$AI14,0))),AB12)</f>
        <v>0</v>
      </c>
      <c r="AC27" s="1">
        <f>IF(OR($B18&lt;&gt;$B3,$B19&lt;&gt;$B4,$B20&lt;&gt;$B5,$B21&lt;&gt;$B6,$B22&lt;&gt;$B7,$B23&lt;&gt;$B8,$B24&lt;&gt;$B9,$B25&lt;&gt;$B10,$B26&lt;&gt;$B11,$B27&lt;&gt;$B12,$B28&lt;&gt;$B13),IF($B27&lt;&gt;$B12,AC12/INDEX($C3:$AJ13,10,MATCH(IF('Data-solution'!$A$3="Maximize",MAX($C14:$AI14),MIN($C14:$AI14)),$C14:$AI14,0)),AC12-INDEX($C3:$AJ13,10,MATCH(IF('Data-solution'!$A$3="Maximize",MAX($C14:$AI14),MIN($C14:$AI14)),$C14:$AI14,0))*INDEX(AC3:$AJ13,MATCH(MIN($AK3:$AK13),$AK3:$AK13,0),1)/INDEX($C3:$AJ13,MATCH(MIN($AK3:$AK13),$AK3:$AK13,0),MATCH(IF('Data-solution'!$A$3="Maximize",MAX($C14:$AI14),MIN($C14:$AI14)),$C14:$AI14,0))),AC12)</f>
        <v>0</v>
      </c>
      <c r="AD27" s="1">
        <f>IF(OR($B18&lt;&gt;$B3,$B19&lt;&gt;$B4,$B20&lt;&gt;$B5,$B21&lt;&gt;$B6,$B22&lt;&gt;$B7,$B23&lt;&gt;$B8,$B24&lt;&gt;$B9,$B25&lt;&gt;$B10,$B26&lt;&gt;$B11,$B27&lt;&gt;$B12,$B28&lt;&gt;$B13),IF($B27&lt;&gt;$B12,AD12/INDEX($C3:$AJ13,10,MATCH(IF('Data-solution'!$A$3="Maximize",MAX($C14:$AI14),MIN($C14:$AI14)),$C14:$AI14,0)),AD12-INDEX($C3:$AJ13,10,MATCH(IF('Data-solution'!$A$3="Maximize",MAX($C14:$AI14),MIN($C14:$AI14)),$C14:$AI14,0))*INDEX(AD3:$AJ13,MATCH(MIN($AK3:$AK13),$AK3:$AK13,0),1)/INDEX($C3:$AJ13,MATCH(MIN($AK3:$AK13),$AK3:$AK13,0),MATCH(IF('Data-solution'!$A$3="Maximize",MAX($C14:$AI14),MIN($C14:$AI14)),$C14:$AI14,0))),AD12)</f>
        <v>0</v>
      </c>
      <c r="AE27" s="1">
        <f>IF(OR($B18&lt;&gt;$B3,$B19&lt;&gt;$B4,$B20&lt;&gt;$B5,$B21&lt;&gt;$B6,$B22&lt;&gt;$B7,$B23&lt;&gt;$B8,$B24&lt;&gt;$B9,$B25&lt;&gt;$B10,$B26&lt;&gt;$B11,$B27&lt;&gt;$B12,$B28&lt;&gt;$B13),IF($B27&lt;&gt;$B12,AE12/INDEX($C3:$AJ13,10,MATCH(IF('Data-solution'!$A$3="Maximize",MAX($C14:$AI14),MIN($C14:$AI14)),$C14:$AI14,0)),AE12-INDEX($C3:$AJ13,10,MATCH(IF('Data-solution'!$A$3="Maximize",MAX($C14:$AI14),MIN($C14:$AI14)),$C14:$AI14,0))*INDEX(AE3:$AJ13,MATCH(MIN($AK3:$AK13),$AK3:$AK13,0),1)/INDEX($C3:$AJ13,MATCH(MIN($AK3:$AK13),$AK3:$AK13,0),MATCH(IF('Data-solution'!$A$3="Maximize",MAX($C14:$AI14),MIN($C14:$AI14)),$C14:$AI14,0))),AE12)</f>
        <v>0</v>
      </c>
      <c r="AF27" s="1">
        <f>IF(OR($B18&lt;&gt;$B3,$B19&lt;&gt;$B4,$B20&lt;&gt;$B5,$B21&lt;&gt;$B6,$B22&lt;&gt;$B7,$B23&lt;&gt;$B8,$B24&lt;&gt;$B9,$B25&lt;&gt;$B10,$B26&lt;&gt;$B11,$B27&lt;&gt;$B12,$B28&lt;&gt;$B13),IF($B27&lt;&gt;$B12,AF12/INDEX($C3:$AJ13,10,MATCH(IF('Data-solution'!$A$3="Maximize",MAX($C14:$AI14),MIN($C14:$AI14)),$C14:$AI14,0)),AF12-INDEX($C3:$AJ13,10,MATCH(IF('Data-solution'!$A$3="Maximize",MAX($C14:$AI14),MIN($C14:$AI14)),$C14:$AI14,0))*INDEX(AF3:$AJ13,MATCH(MIN($AK3:$AK13),$AK3:$AK13,0),1)/INDEX($C3:$AJ13,MATCH(MIN($AK3:$AK13),$AK3:$AK13,0),MATCH(IF('Data-solution'!$A$3="Maximize",MAX($C14:$AI14),MIN($C14:$AI14)),$C14:$AI14,0))),AF12)</f>
        <v>0</v>
      </c>
      <c r="AG27" s="1">
        <f>IF(OR($B18&lt;&gt;$B3,$B19&lt;&gt;$B4,$B20&lt;&gt;$B5,$B21&lt;&gt;$B6,$B22&lt;&gt;$B7,$B23&lt;&gt;$B8,$B24&lt;&gt;$B9,$B25&lt;&gt;$B10,$B26&lt;&gt;$B11,$B27&lt;&gt;$B12,$B28&lt;&gt;$B13),IF($B27&lt;&gt;$B12,AG12/INDEX($C3:$AJ13,10,MATCH(IF('Data-solution'!$A$3="Maximize",MAX($C14:$AI14),MIN($C14:$AI14)),$C14:$AI14,0)),AG12-INDEX($C3:$AJ13,10,MATCH(IF('Data-solution'!$A$3="Maximize",MAX($C14:$AI14),MIN($C14:$AI14)),$C14:$AI14,0))*INDEX(AG3:$AJ13,MATCH(MIN($AK3:$AK13),$AK3:$AK13,0),1)/INDEX($C3:$AJ13,MATCH(MIN($AK3:$AK13),$AK3:$AK13,0),MATCH(IF('Data-solution'!$A$3="Maximize",MAX($C14:$AI14),MIN($C14:$AI14)),$C14:$AI14,0))),AG12)</f>
        <v>0</v>
      </c>
      <c r="AH27" s="1">
        <f>IF(OR($B18&lt;&gt;$B3,$B19&lt;&gt;$B4,$B20&lt;&gt;$B5,$B21&lt;&gt;$B6,$B22&lt;&gt;$B7,$B23&lt;&gt;$B8,$B24&lt;&gt;$B9,$B25&lt;&gt;$B10,$B26&lt;&gt;$B11,$B27&lt;&gt;$B12,$B28&lt;&gt;$B13),IF($B27&lt;&gt;$B12,AH12/INDEX($C3:$AJ13,10,MATCH(IF('Data-solution'!$A$3="Maximize",MAX($C14:$AI14),MIN($C14:$AI14)),$C14:$AI14,0)),AH12-INDEX($C3:$AJ13,10,MATCH(IF('Data-solution'!$A$3="Maximize",MAX($C14:$AI14),MIN($C14:$AI14)),$C14:$AI14,0))*INDEX(AH3:$AJ13,MATCH(MIN($AK3:$AK13),$AK3:$AK13,0),1)/INDEX($C3:$AJ13,MATCH(MIN($AK3:$AK13),$AK3:$AK13,0),MATCH(IF('Data-solution'!$A$3="Maximize",MAX($C14:$AI14),MIN($C14:$AI14)),$C14:$AI14,0))),AH12)</f>
        <v>1</v>
      </c>
      <c r="AI27" s="1">
        <f>IF(OR($B18&lt;&gt;$B3,$B19&lt;&gt;$B4,$B20&lt;&gt;$B5,$B21&lt;&gt;$B6,$B22&lt;&gt;$B7,$B23&lt;&gt;$B8,$B24&lt;&gt;$B9,$B25&lt;&gt;$B10,$B26&lt;&gt;$B11,$B27&lt;&gt;$B12,$B28&lt;&gt;$B13),IF($B27&lt;&gt;$B12,AI12/INDEX($C3:$AJ13,10,MATCH(IF('Data-solution'!$A$3="Maximize",MAX($C14:$AI14),MIN($C14:$AI14)),$C14:$AI14,0)),AI12-INDEX($C3:$AJ13,10,MATCH(IF('Data-solution'!$A$3="Maximize",MAX($C14:$AI14),MIN($C14:$AI14)),$C14:$AI14,0))*INDEX(AI3:$AJ13,MATCH(MIN($AK3:$AK13),$AK3:$AK13,0),1)/INDEX($C3:$AJ13,MATCH(MIN($AK3:$AK13),$AK3:$AK13,0),MATCH(IF('Data-solution'!$A$3="Maximize",MAX($C14:$AI14),MIN($C14:$AI14)),$C14:$AI14,0))),AI12)</f>
        <v>0</v>
      </c>
      <c r="AJ27" s="1">
        <f>IF(OR($B18&lt;&gt;$B3,$B19&lt;&gt;$B4,$B20&lt;&gt;$B5,$B21&lt;&gt;$B6,$B22&lt;&gt;$B7,$B23&lt;&gt;$B8,$B24&lt;&gt;$B9,$B25&lt;&gt;$B10,$B26&lt;&gt;$B11,$B27&lt;&gt;$B12,$B28&lt;&gt;$B13),IF($B27&lt;&gt;$B12,AJ12/INDEX($C3:$AJ13,10,MATCH(IF('Data-solution'!$A$3="Maximize",MAX($C14:$AI14),MIN($C14:$AI14)),$C14:$AI14,0)),AJ12-INDEX($C3:$AJ13,10,MATCH(IF('Data-solution'!$A$3="Maximize",MAX($C14:$AI14),MIN($C14:$AI14)),$C14:$AI14,0))*INDEX(AJ3:$AJ13,MATCH(MIN($AK3:$AK13),$AK3:$AK13,0),1)/INDEX($C3:$AJ13,MATCH(MIN($AK3:$AK13),$AK3:$AK13,0),MATCH(IF('Data-solution'!$A$3="Maximize",MAX($C14:$AI14),MIN($C14:$AI14)),$C14:$AI14,0))),AJ12)</f>
        <v>0</v>
      </c>
      <c r="AK27" s="1" t="str">
        <f>IF(INDEX(C27:X27,1,MATCH(IF('Data-solution'!A$3="Maximize",MAX(C29:X29),MIN(C29:X29)),C29:X29,0))&gt;0,AJ27/INDEX(C27:X27,1,MATCH(IF('Data-solution'!A$3="Maximize",MAX(C29:X29),MIN(C29:X29)),C29:X29,0))," ")</f>
        <v xml:space="preserve"> </v>
      </c>
    </row>
    <row r="28" spans="1:37" ht="18" customHeight="1" x14ac:dyDescent="0.2">
      <c r="A28" s="1">
        <f>INDEX(C16:AI16,1,MATCH(B28,C17:AI17,0))</f>
        <v>0</v>
      </c>
      <c r="B28" s="2" t="str">
        <f>IF(AND('Data-solution'!A$3="Maximize",COUNTIF(C14:X14,"&gt;"&amp;0)&gt;0,AK13=MIN(AK3:AK13),COUNTIF(B18:B27,INDEX(C2:X2,1,MATCH(MAX(C14:X14),C14:X14,0)))=0),INDEX(C2:X2,1,MATCH(MAX(C14:X14),C14:X14,0)),IF(AND('Data-solution'!A$3="Minimize",COUNTIF(C14:X14,"&lt;"&amp;0)&gt;0,AK13=MIN(AK3:AK13),COUNTIF(B18:B27,INDEX(C2:X2,1,MATCH(MIN(C14:X14),C14:X14,0)))=0),INDEX(C2:X2,1,MATCH(MIN(C14:X14),C14:X14,0)),B13))</f>
        <v>S11</v>
      </c>
      <c r="C28" s="1">
        <f>IF(OR($B18&lt;&gt;$B3,$B19&lt;&gt;$B4,$B20&lt;&gt;$B5,$B21&lt;&gt;$B6,$B22&lt;&gt;$B7,$B23&lt;&gt;$B8,$B24&lt;&gt;$B9,$B25&lt;&gt;$B10,$B26&lt;&gt;$B11,$B27&lt;&gt;$B12,$B28&lt;&gt;$B13),IF($B28&lt;&gt;$B13,C13/INDEX($C3:$AJ13,11,MATCH(IF('Data-solution'!$A$3="Maximize",MAX($C14:$AI14),MIN($C14:$AI14)),$C14:$AI14,0)),C13-INDEX($C3:$AJ13,11,MATCH(IF('Data-solution'!$A$3="Maximize",MAX($C14:$AI14),MIN($C14:$AI14)),$C14:$AI14,0))*INDEX(C3:$AJ13,MATCH(MIN($AK3:$AK13),$AK3:$AK13,0),1)/INDEX($C3:$AJ13,MATCH(MIN($AK3:$AK13),$AK3:$AK13,0),MATCH(IF('Data-solution'!$A$3="Maximize",MAX($C14:$AI14),MIN($C14:$AI14)),$C14:$AI14,0))),C13)</f>
        <v>0</v>
      </c>
      <c r="D28" s="1">
        <f>IF(OR($B18&lt;&gt;$B3,$B19&lt;&gt;$B4,$B20&lt;&gt;$B5,$B21&lt;&gt;$B6,$B22&lt;&gt;$B7,$B23&lt;&gt;$B8,$B24&lt;&gt;$B9,$B25&lt;&gt;$B10,$B26&lt;&gt;$B11,$B27&lt;&gt;$B12,$B28&lt;&gt;$B13),IF($B28&lt;&gt;$B13,D13/INDEX($C3:$AJ13,11,MATCH(IF('Data-solution'!$A$3="Maximize",MAX($C14:$AI14),MIN($C14:$AI14)),$C14:$AI14,0)),D13-INDEX($C3:$AJ13,11,MATCH(IF('Data-solution'!$A$3="Maximize",MAX($C14:$AI14),MIN($C14:$AI14)),$C14:$AI14,0))*INDEX(D3:$AJ13,MATCH(MIN($AK3:$AK13),$AK3:$AK13,0),1)/INDEX($C3:$AJ13,MATCH(MIN($AK3:$AK13),$AK3:$AK13,0),MATCH(IF('Data-solution'!$A$3="Maximize",MAX($C14:$AI14),MIN($C14:$AI14)),$C14:$AI14,0))),D13)</f>
        <v>0</v>
      </c>
      <c r="E28" s="1">
        <f>IF(OR($B18&lt;&gt;$B3,$B19&lt;&gt;$B4,$B20&lt;&gt;$B5,$B21&lt;&gt;$B6,$B22&lt;&gt;$B7,$B23&lt;&gt;$B8,$B24&lt;&gt;$B9,$B25&lt;&gt;$B10,$B26&lt;&gt;$B11,$B27&lt;&gt;$B12,$B28&lt;&gt;$B13),IF($B28&lt;&gt;$B13,E13/INDEX($C3:$AJ13,11,MATCH(IF('Data-solution'!$A$3="Maximize",MAX($C14:$AI14),MIN($C14:$AI14)),$C14:$AI14,0)),E13-INDEX($C3:$AJ13,11,MATCH(IF('Data-solution'!$A$3="Maximize",MAX($C14:$AI14),MIN($C14:$AI14)),$C14:$AI14,0))*INDEX(E3:$AJ13,MATCH(MIN($AK3:$AK13),$AK3:$AK13,0),1)/INDEX($C3:$AJ13,MATCH(MIN($AK3:$AK13),$AK3:$AK13,0),MATCH(IF('Data-solution'!$A$3="Maximize",MAX($C14:$AI14),MIN($C14:$AI14)),$C14:$AI14,0))),E13)</f>
        <v>0</v>
      </c>
      <c r="F28" s="1">
        <f>IF(OR($B18&lt;&gt;$B3,$B19&lt;&gt;$B4,$B20&lt;&gt;$B5,$B21&lt;&gt;$B6,$B22&lt;&gt;$B7,$B23&lt;&gt;$B8,$B24&lt;&gt;$B9,$B25&lt;&gt;$B10,$B26&lt;&gt;$B11,$B27&lt;&gt;$B12,$B28&lt;&gt;$B13),IF($B28&lt;&gt;$B13,F13/INDEX($C3:$AJ13,11,MATCH(IF('Data-solution'!$A$3="Maximize",MAX($C14:$AI14),MIN($C14:$AI14)),$C14:$AI14,0)),F13-INDEX($C3:$AJ13,11,MATCH(IF('Data-solution'!$A$3="Maximize",MAX($C14:$AI14),MIN($C14:$AI14)),$C14:$AI14,0))*INDEX(F3:$AJ13,MATCH(MIN($AK3:$AK13),$AK3:$AK13,0),1)/INDEX($C3:$AJ13,MATCH(MIN($AK3:$AK13),$AK3:$AK13,0),MATCH(IF('Data-solution'!$A$3="Maximize",MAX($C14:$AI14),MIN($C14:$AI14)),$C14:$AI14,0))),F13)</f>
        <v>0</v>
      </c>
      <c r="G28" s="1">
        <f>IF(OR($B18&lt;&gt;$B3,$B19&lt;&gt;$B4,$B20&lt;&gt;$B5,$B21&lt;&gt;$B6,$B22&lt;&gt;$B7,$B23&lt;&gt;$B8,$B24&lt;&gt;$B9,$B25&lt;&gt;$B10,$B26&lt;&gt;$B11,$B27&lt;&gt;$B12,$B28&lt;&gt;$B13),IF($B28&lt;&gt;$B13,G13/INDEX($C3:$AJ13,11,MATCH(IF('Data-solution'!$A$3="Maximize",MAX($C14:$AI14),MIN($C14:$AI14)),$C14:$AI14,0)),G13-INDEX($C3:$AJ13,11,MATCH(IF('Data-solution'!$A$3="Maximize",MAX($C14:$AI14),MIN($C14:$AI14)),$C14:$AI14,0))*INDEX(G3:$AJ13,MATCH(MIN($AK3:$AK13),$AK3:$AK13,0),1)/INDEX($C3:$AJ13,MATCH(MIN($AK3:$AK13),$AK3:$AK13,0),MATCH(IF('Data-solution'!$A$3="Maximize",MAX($C14:$AI14),MIN($C14:$AI14)),$C14:$AI14,0))),G13)</f>
        <v>0</v>
      </c>
      <c r="H28" s="1">
        <f>IF(OR($B18&lt;&gt;$B3,$B19&lt;&gt;$B4,$B20&lt;&gt;$B5,$B21&lt;&gt;$B6,$B22&lt;&gt;$B7,$B23&lt;&gt;$B8,$B24&lt;&gt;$B9,$B25&lt;&gt;$B10,$B26&lt;&gt;$B11,$B27&lt;&gt;$B12,$B28&lt;&gt;$B13),IF($B28&lt;&gt;$B13,H13/INDEX($C3:$AJ13,11,MATCH(IF('Data-solution'!$A$3="Maximize",MAX($C14:$AI14),MIN($C14:$AI14)),$C14:$AI14,0)),H13-INDEX($C3:$AJ13,11,MATCH(IF('Data-solution'!$A$3="Maximize",MAX($C14:$AI14),MIN($C14:$AI14)),$C14:$AI14,0))*INDEX(H3:$AJ13,MATCH(MIN($AK3:$AK13),$AK3:$AK13,0),1)/INDEX($C3:$AJ13,MATCH(MIN($AK3:$AK13),$AK3:$AK13,0),MATCH(IF('Data-solution'!$A$3="Maximize",MAX($C14:$AI14),MIN($C14:$AI14)),$C14:$AI14,0))),H13)</f>
        <v>0</v>
      </c>
      <c r="I28" s="1">
        <f>IF(OR($B18&lt;&gt;$B3,$B19&lt;&gt;$B4,$B20&lt;&gt;$B5,$B21&lt;&gt;$B6,$B22&lt;&gt;$B7,$B23&lt;&gt;$B8,$B24&lt;&gt;$B9,$B25&lt;&gt;$B10,$B26&lt;&gt;$B11,$B27&lt;&gt;$B12,$B28&lt;&gt;$B13),IF($B28&lt;&gt;$B13,I13/INDEX($C3:$AJ13,11,MATCH(IF('Data-solution'!$A$3="Maximize",MAX($C14:$AI14),MIN($C14:$AI14)),$C14:$AI14,0)),I13-INDEX($C3:$AJ13,11,MATCH(IF('Data-solution'!$A$3="Maximize",MAX($C14:$AI14),MIN($C14:$AI14)),$C14:$AI14,0))*INDEX(I3:$AJ13,MATCH(MIN($AK3:$AK13),$AK3:$AK13,0),1)/INDEX($C3:$AJ13,MATCH(MIN($AK3:$AK13),$AK3:$AK13,0),MATCH(IF('Data-solution'!$A$3="Maximize",MAX($C14:$AI14),MIN($C14:$AI14)),$C14:$AI14,0))),I13)</f>
        <v>0</v>
      </c>
      <c r="J28" s="1">
        <f>IF(OR($B18&lt;&gt;$B3,$B19&lt;&gt;$B4,$B20&lt;&gt;$B5,$B21&lt;&gt;$B6,$B22&lt;&gt;$B7,$B23&lt;&gt;$B8,$B24&lt;&gt;$B9,$B25&lt;&gt;$B10,$B26&lt;&gt;$B11,$B27&lt;&gt;$B12,$B28&lt;&gt;$B13),IF($B28&lt;&gt;$B13,J13/INDEX($C3:$AJ13,11,MATCH(IF('Data-solution'!$A$3="Maximize",MAX($C14:$AI14),MIN($C14:$AI14)),$C14:$AI14,0)),J13-INDEX($C3:$AJ13,11,MATCH(IF('Data-solution'!$A$3="Maximize",MAX($C14:$AI14),MIN($C14:$AI14)),$C14:$AI14,0))*INDEX(J3:$AJ13,MATCH(MIN($AK3:$AK13),$AK3:$AK13,0),1)/INDEX($C3:$AJ13,MATCH(MIN($AK3:$AK13),$AK3:$AK13,0),MATCH(IF('Data-solution'!$A$3="Maximize",MAX($C14:$AI14),MIN($C14:$AI14)),$C14:$AI14,0))),J13)</f>
        <v>0</v>
      </c>
      <c r="K28" s="1">
        <f>IF(OR($B18&lt;&gt;$B3,$B19&lt;&gt;$B4,$B20&lt;&gt;$B5,$B21&lt;&gt;$B6,$B22&lt;&gt;$B7,$B23&lt;&gt;$B8,$B24&lt;&gt;$B9,$B25&lt;&gt;$B10,$B26&lt;&gt;$B11,$B27&lt;&gt;$B12,$B28&lt;&gt;$B13),IF($B28&lt;&gt;$B13,K13/INDEX($C3:$AJ13,11,MATCH(IF('Data-solution'!$A$3="Maximize",MAX($C14:$AI14),MIN($C14:$AI14)),$C14:$AI14,0)),K13-INDEX($C3:$AJ13,11,MATCH(IF('Data-solution'!$A$3="Maximize",MAX($C14:$AI14),MIN($C14:$AI14)),$C14:$AI14,0))*INDEX(K3:$AJ13,MATCH(MIN($AK3:$AK13),$AK3:$AK13,0),1)/INDEX($C3:$AJ13,MATCH(MIN($AK3:$AK13),$AK3:$AK13,0),MATCH(IF('Data-solution'!$A$3="Maximize",MAX($C14:$AI14),MIN($C14:$AI14)),$C14:$AI14,0))),K13)</f>
        <v>0</v>
      </c>
      <c r="L28" s="1">
        <f>IF(OR($B18&lt;&gt;$B3,$B19&lt;&gt;$B4,$B20&lt;&gt;$B5,$B21&lt;&gt;$B6,$B22&lt;&gt;$B7,$B23&lt;&gt;$B8,$B24&lt;&gt;$B9,$B25&lt;&gt;$B10,$B26&lt;&gt;$B11,$B27&lt;&gt;$B12,$B28&lt;&gt;$B13),IF($B28&lt;&gt;$B13,L13/INDEX($C3:$AJ13,11,MATCH(IF('Data-solution'!$A$3="Maximize",MAX($C14:$AI14),MIN($C14:$AI14)),$C14:$AI14,0)),L13-INDEX($C3:$AJ13,11,MATCH(IF('Data-solution'!$A$3="Maximize",MAX($C14:$AI14),MIN($C14:$AI14)),$C14:$AI14,0))*INDEX(L3:$AJ13,MATCH(MIN($AK3:$AK13),$AK3:$AK13,0),1)/INDEX($C3:$AJ13,MATCH(MIN($AK3:$AK13),$AK3:$AK13,0),MATCH(IF('Data-solution'!$A$3="Maximize",MAX($C14:$AI14),MIN($C14:$AI14)),$C14:$AI14,0))),L13)</f>
        <v>0</v>
      </c>
      <c r="M28" s="1">
        <f>IF(OR($B18&lt;&gt;$B3,$B19&lt;&gt;$B4,$B20&lt;&gt;$B5,$B21&lt;&gt;$B6,$B22&lt;&gt;$B7,$B23&lt;&gt;$B8,$B24&lt;&gt;$B9,$B25&lt;&gt;$B10,$B26&lt;&gt;$B11,$B27&lt;&gt;$B12,$B28&lt;&gt;$B13),IF($B28&lt;&gt;$B13,M13/INDEX($C3:$AJ13,11,MATCH(IF('Data-solution'!$A$3="Maximize",MAX($C14:$AI14),MIN($C14:$AI14)),$C14:$AI14,0)),M13-INDEX($C3:$AJ13,11,MATCH(IF('Data-solution'!$A$3="Maximize",MAX($C14:$AI14),MIN($C14:$AI14)),$C14:$AI14,0))*INDEX(M3:$AJ13,MATCH(MIN($AK3:$AK13),$AK3:$AK13,0),1)/INDEX($C3:$AJ13,MATCH(MIN($AK3:$AK13),$AK3:$AK13,0),MATCH(IF('Data-solution'!$A$3="Maximize",MAX($C14:$AI14),MIN($C14:$AI14)),$C14:$AI14,0))),M13)</f>
        <v>0</v>
      </c>
      <c r="N28" s="1">
        <f>IF(OR($B18&lt;&gt;$B3,$B19&lt;&gt;$B4,$B20&lt;&gt;$B5,$B21&lt;&gt;$B6,$B22&lt;&gt;$B7,$B23&lt;&gt;$B8,$B24&lt;&gt;$B9,$B25&lt;&gt;$B10,$B26&lt;&gt;$B11,$B27&lt;&gt;$B12,$B28&lt;&gt;$B13),IF($B28&lt;&gt;$B13,N13/INDEX($C3:$AJ13,11,MATCH(IF('Data-solution'!$A$3="Maximize",MAX($C14:$AI14),MIN($C14:$AI14)),$C14:$AI14,0)),N13-INDEX($C3:$AJ13,11,MATCH(IF('Data-solution'!$A$3="Maximize",MAX($C14:$AI14),MIN($C14:$AI14)),$C14:$AI14,0))*INDEX(N3:$AJ13,MATCH(MIN($AK3:$AK13),$AK3:$AK13,0),1)/INDEX($C3:$AJ13,MATCH(MIN($AK3:$AK13),$AK3:$AK13,0),MATCH(IF('Data-solution'!$A$3="Maximize",MAX($C14:$AI14),MIN($C14:$AI14)),$C14:$AI14,0))),N13)</f>
        <v>0</v>
      </c>
      <c r="O28" s="1">
        <f>IF(OR($B18&lt;&gt;$B3,$B19&lt;&gt;$B4,$B20&lt;&gt;$B5,$B21&lt;&gt;$B6,$B22&lt;&gt;$B7,$B23&lt;&gt;$B8,$B24&lt;&gt;$B9,$B25&lt;&gt;$B10,$B26&lt;&gt;$B11,$B27&lt;&gt;$B12,$B28&lt;&gt;$B13),IF($B28&lt;&gt;$B13,O13/INDEX($C3:$AJ13,11,MATCH(IF('Data-solution'!$A$3="Maximize",MAX($C14:$AI14),MIN($C14:$AI14)),$C14:$AI14,0)),O13-INDEX($C3:$AJ13,11,MATCH(IF('Data-solution'!$A$3="Maximize",MAX($C14:$AI14),MIN($C14:$AI14)),$C14:$AI14,0))*INDEX(O3:$AJ13,MATCH(MIN($AK3:$AK13),$AK3:$AK13,0),1)/INDEX($C3:$AJ13,MATCH(MIN($AK3:$AK13),$AK3:$AK13,0),MATCH(IF('Data-solution'!$A$3="Maximize",MAX($C14:$AI14),MIN($C14:$AI14)),$C14:$AI14,0))),O13)</f>
        <v>0</v>
      </c>
      <c r="P28" s="1">
        <f>IF(OR($B18&lt;&gt;$B3,$B19&lt;&gt;$B4,$B20&lt;&gt;$B5,$B21&lt;&gt;$B6,$B22&lt;&gt;$B7,$B23&lt;&gt;$B8,$B24&lt;&gt;$B9,$B25&lt;&gt;$B10,$B26&lt;&gt;$B11,$B27&lt;&gt;$B12,$B28&lt;&gt;$B13),IF($B28&lt;&gt;$B13,P13/INDEX($C3:$AJ13,11,MATCH(IF('Data-solution'!$A$3="Maximize",MAX($C14:$AI14),MIN($C14:$AI14)),$C14:$AI14,0)),P13-INDEX($C3:$AJ13,11,MATCH(IF('Data-solution'!$A$3="Maximize",MAX($C14:$AI14),MIN($C14:$AI14)),$C14:$AI14,0))*INDEX(P3:$AJ13,MATCH(MIN($AK3:$AK13),$AK3:$AK13,0),1)/INDEX($C3:$AJ13,MATCH(MIN($AK3:$AK13),$AK3:$AK13,0),MATCH(IF('Data-solution'!$A$3="Maximize",MAX($C14:$AI14),MIN($C14:$AI14)),$C14:$AI14,0))),P13)</f>
        <v>0</v>
      </c>
      <c r="Q28" s="1">
        <f>IF(OR($B18&lt;&gt;$B3,$B19&lt;&gt;$B4,$B20&lt;&gt;$B5,$B21&lt;&gt;$B6,$B22&lt;&gt;$B7,$B23&lt;&gt;$B8,$B24&lt;&gt;$B9,$B25&lt;&gt;$B10,$B26&lt;&gt;$B11,$B27&lt;&gt;$B12,$B28&lt;&gt;$B13),IF($B28&lt;&gt;$B13,Q13/INDEX($C3:$AJ13,11,MATCH(IF('Data-solution'!$A$3="Maximize",MAX($C14:$AI14),MIN($C14:$AI14)),$C14:$AI14,0)),Q13-INDEX($C3:$AJ13,11,MATCH(IF('Data-solution'!$A$3="Maximize",MAX($C14:$AI14),MIN($C14:$AI14)),$C14:$AI14,0))*INDEX(Q3:$AJ13,MATCH(MIN($AK3:$AK13),$AK3:$AK13,0),1)/INDEX($C3:$AJ13,MATCH(MIN($AK3:$AK13),$AK3:$AK13,0),MATCH(IF('Data-solution'!$A$3="Maximize",MAX($C14:$AI14),MIN($C14:$AI14)),$C14:$AI14,0))),Q13)</f>
        <v>0</v>
      </c>
      <c r="R28" s="1">
        <f>IF(OR($B18&lt;&gt;$B3,$B19&lt;&gt;$B4,$B20&lt;&gt;$B5,$B21&lt;&gt;$B6,$B22&lt;&gt;$B7,$B23&lt;&gt;$B8,$B24&lt;&gt;$B9,$B25&lt;&gt;$B10,$B26&lt;&gt;$B11,$B27&lt;&gt;$B12,$B28&lt;&gt;$B13),IF($B28&lt;&gt;$B13,R13/INDEX($C3:$AJ13,11,MATCH(IF('Data-solution'!$A$3="Maximize",MAX($C14:$AI14),MIN($C14:$AI14)),$C14:$AI14,0)),R13-INDEX($C3:$AJ13,11,MATCH(IF('Data-solution'!$A$3="Maximize",MAX($C14:$AI14),MIN($C14:$AI14)),$C14:$AI14,0))*INDEX(R3:$AJ13,MATCH(MIN($AK3:$AK13),$AK3:$AK13,0),1)/INDEX($C3:$AJ13,MATCH(MIN($AK3:$AK13),$AK3:$AK13,0),MATCH(IF('Data-solution'!$A$3="Maximize",MAX($C14:$AI14),MIN($C14:$AI14)),$C14:$AI14,0))),R13)</f>
        <v>0</v>
      </c>
      <c r="S28" s="1">
        <f>IF(OR($B18&lt;&gt;$B3,$B19&lt;&gt;$B4,$B20&lt;&gt;$B5,$B21&lt;&gt;$B6,$B22&lt;&gt;$B7,$B23&lt;&gt;$B8,$B24&lt;&gt;$B9,$B25&lt;&gt;$B10,$B26&lt;&gt;$B11,$B27&lt;&gt;$B12,$B28&lt;&gt;$B13),IF($B28&lt;&gt;$B13,S13/INDEX($C3:$AJ13,11,MATCH(IF('Data-solution'!$A$3="Maximize",MAX($C14:$AI14),MIN($C14:$AI14)),$C14:$AI14,0)),S13-INDEX($C3:$AJ13,11,MATCH(IF('Data-solution'!$A$3="Maximize",MAX($C14:$AI14),MIN($C14:$AI14)),$C14:$AI14,0))*INDEX(S3:$AJ13,MATCH(MIN($AK3:$AK13),$AK3:$AK13,0),1)/INDEX($C3:$AJ13,MATCH(MIN($AK3:$AK13),$AK3:$AK13,0),MATCH(IF('Data-solution'!$A$3="Maximize",MAX($C14:$AI14),MIN($C14:$AI14)),$C14:$AI14,0))),S13)</f>
        <v>0</v>
      </c>
      <c r="T28" s="1">
        <f>IF(OR($B18&lt;&gt;$B3,$B19&lt;&gt;$B4,$B20&lt;&gt;$B5,$B21&lt;&gt;$B6,$B22&lt;&gt;$B7,$B23&lt;&gt;$B8,$B24&lt;&gt;$B9,$B25&lt;&gt;$B10,$B26&lt;&gt;$B11,$B27&lt;&gt;$B12,$B28&lt;&gt;$B13),IF($B28&lt;&gt;$B13,T13/INDEX($C3:$AJ13,11,MATCH(IF('Data-solution'!$A$3="Maximize",MAX($C14:$AI14),MIN($C14:$AI14)),$C14:$AI14,0)),T13-INDEX($C3:$AJ13,11,MATCH(IF('Data-solution'!$A$3="Maximize",MAX($C14:$AI14),MIN($C14:$AI14)),$C14:$AI14,0))*INDEX(T3:$AJ13,MATCH(MIN($AK3:$AK13),$AK3:$AK13,0),1)/INDEX($C3:$AJ13,MATCH(MIN($AK3:$AK13),$AK3:$AK13,0),MATCH(IF('Data-solution'!$A$3="Maximize",MAX($C14:$AI14),MIN($C14:$AI14)),$C14:$AI14,0))),T13)</f>
        <v>0</v>
      </c>
      <c r="U28" s="1">
        <f>IF(OR($B18&lt;&gt;$B3,$B19&lt;&gt;$B4,$B20&lt;&gt;$B5,$B21&lt;&gt;$B6,$B22&lt;&gt;$B7,$B23&lt;&gt;$B8,$B24&lt;&gt;$B9,$B25&lt;&gt;$B10,$B26&lt;&gt;$B11,$B27&lt;&gt;$B12,$B28&lt;&gt;$B13),IF($B28&lt;&gt;$B13,U13/INDEX($C3:$AJ13,11,MATCH(IF('Data-solution'!$A$3="Maximize",MAX($C14:$AI14),MIN($C14:$AI14)),$C14:$AI14,0)),U13-INDEX($C3:$AJ13,11,MATCH(IF('Data-solution'!$A$3="Maximize",MAX($C14:$AI14),MIN($C14:$AI14)),$C14:$AI14,0))*INDEX(U3:$AJ13,MATCH(MIN($AK3:$AK13),$AK3:$AK13,0),1)/INDEX($C3:$AJ13,MATCH(MIN($AK3:$AK13),$AK3:$AK13,0),MATCH(IF('Data-solution'!$A$3="Maximize",MAX($C14:$AI14),MIN($C14:$AI14)),$C14:$AI14,0))),U13)</f>
        <v>0</v>
      </c>
      <c r="V28" s="1">
        <f>IF(OR($B18&lt;&gt;$B3,$B19&lt;&gt;$B4,$B20&lt;&gt;$B5,$B21&lt;&gt;$B6,$B22&lt;&gt;$B7,$B23&lt;&gt;$B8,$B24&lt;&gt;$B9,$B25&lt;&gt;$B10,$B26&lt;&gt;$B11,$B27&lt;&gt;$B12,$B28&lt;&gt;$B13),IF($B28&lt;&gt;$B13,V13/INDEX($C3:$AJ13,11,MATCH(IF('Data-solution'!$A$3="Maximize",MAX($C14:$AI14),MIN($C14:$AI14)),$C14:$AI14,0)),V13-INDEX($C3:$AJ13,11,MATCH(IF('Data-solution'!$A$3="Maximize",MAX($C14:$AI14),MIN($C14:$AI14)),$C14:$AI14,0))*INDEX(V3:$AJ13,MATCH(MIN($AK3:$AK13),$AK3:$AK13,0),1)/INDEX($C3:$AJ13,MATCH(MIN($AK3:$AK13),$AK3:$AK13,0),MATCH(IF('Data-solution'!$A$3="Maximize",MAX($C14:$AI14),MIN($C14:$AI14)),$C14:$AI14,0))),V13)</f>
        <v>0</v>
      </c>
      <c r="W28" s="1">
        <f>IF(OR($B18&lt;&gt;$B3,$B19&lt;&gt;$B4,$B20&lt;&gt;$B5,$B21&lt;&gt;$B6,$B22&lt;&gt;$B7,$B23&lt;&gt;$B8,$B24&lt;&gt;$B9,$B25&lt;&gt;$B10,$B26&lt;&gt;$B11,$B27&lt;&gt;$B12,$B28&lt;&gt;$B13),IF($B28&lt;&gt;$B13,W13/INDEX($C3:$AJ13,11,MATCH(IF('Data-solution'!$A$3="Maximize",MAX($C14:$AI14),MIN($C14:$AI14)),$C14:$AI14,0)),W13-INDEX($C3:$AJ13,11,MATCH(IF('Data-solution'!$A$3="Maximize",MAX($C14:$AI14),MIN($C14:$AI14)),$C14:$AI14,0))*INDEX(W3:$AJ13,MATCH(MIN($AK3:$AK13),$AK3:$AK13,0),1)/INDEX($C3:$AJ13,MATCH(MIN($AK3:$AK13),$AK3:$AK13,0),MATCH(IF('Data-solution'!$A$3="Maximize",MAX($C14:$AI14),MIN($C14:$AI14)),$C14:$AI14,0))),W13)</f>
        <v>0</v>
      </c>
      <c r="X28" s="1">
        <f>IF(OR($B18&lt;&gt;$B3,$B19&lt;&gt;$B4,$B20&lt;&gt;$B5,$B21&lt;&gt;$B6,$B22&lt;&gt;$B7,$B23&lt;&gt;$B8,$B24&lt;&gt;$B9,$B25&lt;&gt;$B10,$B26&lt;&gt;$B11,$B27&lt;&gt;$B12,$B28&lt;&gt;$B13),IF($B28&lt;&gt;$B13,X13/INDEX($C3:$AJ13,11,MATCH(IF('Data-solution'!$A$3="Maximize",MAX($C14:$AI14),MIN($C14:$AI14)),$C14:$AI14,0)),X13-INDEX($C3:$AJ13,11,MATCH(IF('Data-solution'!$A$3="Maximize",MAX($C14:$AI14),MIN($C14:$AI14)),$C14:$AI14,0))*INDEX(X3:$AJ13,MATCH(MIN($AK3:$AK13),$AK3:$AK13,0),1)/INDEX($C3:$AJ13,MATCH(MIN($AK3:$AK13),$AK3:$AK13,0),MATCH(IF('Data-solution'!$A$3="Maximize",MAX($C14:$AI14),MIN($C14:$AI14)),$C14:$AI14,0))),X13)</f>
        <v>1</v>
      </c>
      <c r="Y28" s="1">
        <f>IF(OR($B18&lt;&gt;$B3,$B19&lt;&gt;$B4,$B20&lt;&gt;$B5,$B21&lt;&gt;$B6,$B22&lt;&gt;$B7,$B23&lt;&gt;$B8,$B24&lt;&gt;$B9,$B25&lt;&gt;$B10,$B26&lt;&gt;$B11,$B27&lt;&gt;$B12,$B28&lt;&gt;$B13),IF($B28&lt;&gt;$B13,Y13/INDEX($C3:$AJ13,11,MATCH(IF('Data-solution'!$A$3="Maximize",MAX($C14:$AI14),MIN($C14:$AI14)),$C14:$AI14,0)),Y13-INDEX($C3:$AJ13,11,MATCH(IF('Data-solution'!$A$3="Maximize",MAX($C14:$AI14),MIN($C14:$AI14)),$C14:$AI14,0))*INDEX(Y3:$AJ13,MATCH(MIN($AK3:$AK13),$AK3:$AK13,0),1)/INDEX($C3:$AJ13,MATCH(MIN($AK3:$AK13),$AK3:$AK13,0),MATCH(IF('Data-solution'!$A$3="Maximize",MAX($C14:$AI14),MIN($C14:$AI14)),$C14:$AI14,0))),Y13)</f>
        <v>0</v>
      </c>
      <c r="Z28" s="1">
        <f>IF(OR($B18&lt;&gt;$B3,$B19&lt;&gt;$B4,$B20&lt;&gt;$B5,$B21&lt;&gt;$B6,$B22&lt;&gt;$B7,$B23&lt;&gt;$B8,$B24&lt;&gt;$B9,$B25&lt;&gt;$B10,$B26&lt;&gt;$B11,$B27&lt;&gt;$B12,$B28&lt;&gt;$B13),IF($B28&lt;&gt;$B13,Z13/INDEX($C3:$AJ13,11,MATCH(IF('Data-solution'!$A$3="Maximize",MAX($C14:$AI14),MIN($C14:$AI14)),$C14:$AI14,0)),Z13-INDEX($C3:$AJ13,11,MATCH(IF('Data-solution'!$A$3="Maximize",MAX($C14:$AI14),MIN($C14:$AI14)),$C14:$AI14,0))*INDEX(Z3:$AJ13,MATCH(MIN($AK3:$AK13),$AK3:$AK13,0),1)/INDEX($C3:$AJ13,MATCH(MIN($AK3:$AK13),$AK3:$AK13,0),MATCH(IF('Data-solution'!$A$3="Maximize",MAX($C14:$AI14),MIN($C14:$AI14)),$C14:$AI14,0))),Z13)</f>
        <v>0</v>
      </c>
      <c r="AA28" s="1">
        <f>IF(OR($B18&lt;&gt;$B3,$B19&lt;&gt;$B4,$B20&lt;&gt;$B5,$B21&lt;&gt;$B6,$B22&lt;&gt;$B7,$B23&lt;&gt;$B8,$B24&lt;&gt;$B9,$B25&lt;&gt;$B10,$B26&lt;&gt;$B11,$B27&lt;&gt;$B12,$B28&lt;&gt;$B13),IF($B28&lt;&gt;$B13,AA13/INDEX($C3:$AJ13,11,MATCH(IF('Data-solution'!$A$3="Maximize",MAX($C14:$AI14),MIN($C14:$AI14)),$C14:$AI14,0)),AA13-INDEX($C3:$AJ13,11,MATCH(IF('Data-solution'!$A$3="Maximize",MAX($C14:$AI14),MIN($C14:$AI14)),$C14:$AI14,0))*INDEX(AA3:$AJ13,MATCH(MIN($AK3:$AK13),$AK3:$AK13,0),1)/INDEX($C3:$AJ13,MATCH(MIN($AK3:$AK13),$AK3:$AK13,0),MATCH(IF('Data-solution'!$A$3="Maximize",MAX($C14:$AI14),MIN($C14:$AI14)),$C14:$AI14,0))),AA13)</f>
        <v>0</v>
      </c>
      <c r="AB28" s="1">
        <f>IF(OR($B18&lt;&gt;$B3,$B19&lt;&gt;$B4,$B20&lt;&gt;$B5,$B21&lt;&gt;$B6,$B22&lt;&gt;$B7,$B23&lt;&gt;$B8,$B24&lt;&gt;$B9,$B25&lt;&gt;$B10,$B26&lt;&gt;$B11,$B27&lt;&gt;$B12,$B28&lt;&gt;$B13),IF($B28&lt;&gt;$B13,AB13/INDEX($C3:$AJ13,11,MATCH(IF('Data-solution'!$A$3="Maximize",MAX($C14:$AI14),MIN($C14:$AI14)),$C14:$AI14,0)),AB13-INDEX($C3:$AJ13,11,MATCH(IF('Data-solution'!$A$3="Maximize",MAX($C14:$AI14),MIN($C14:$AI14)),$C14:$AI14,0))*INDEX(AB3:$AJ13,MATCH(MIN($AK3:$AK13),$AK3:$AK13,0),1)/INDEX($C3:$AJ13,MATCH(MIN($AK3:$AK13),$AK3:$AK13,0),MATCH(IF('Data-solution'!$A$3="Maximize",MAX($C14:$AI14),MIN($C14:$AI14)),$C14:$AI14,0))),AB13)</f>
        <v>0</v>
      </c>
      <c r="AC28" s="1">
        <f>IF(OR($B18&lt;&gt;$B3,$B19&lt;&gt;$B4,$B20&lt;&gt;$B5,$B21&lt;&gt;$B6,$B22&lt;&gt;$B7,$B23&lt;&gt;$B8,$B24&lt;&gt;$B9,$B25&lt;&gt;$B10,$B26&lt;&gt;$B11,$B27&lt;&gt;$B12,$B28&lt;&gt;$B13),IF($B28&lt;&gt;$B13,AC13/INDEX($C3:$AJ13,11,MATCH(IF('Data-solution'!$A$3="Maximize",MAX($C14:$AI14),MIN($C14:$AI14)),$C14:$AI14,0)),AC13-INDEX($C3:$AJ13,11,MATCH(IF('Data-solution'!$A$3="Maximize",MAX($C14:$AI14),MIN($C14:$AI14)),$C14:$AI14,0))*INDEX(AC3:$AJ13,MATCH(MIN($AK3:$AK13),$AK3:$AK13,0),1)/INDEX($C3:$AJ13,MATCH(MIN($AK3:$AK13),$AK3:$AK13,0),MATCH(IF('Data-solution'!$A$3="Maximize",MAX($C14:$AI14),MIN($C14:$AI14)),$C14:$AI14,0))),AC13)</f>
        <v>0</v>
      </c>
      <c r="AD28" s="1">
        <f>IF(OR($B18&lt;&gt;$B3,$B19&lt;&gt;$B4,$B20&lt;&gt;$B5,$B21&lt;&gt;$B6,$B22&lt;&gt;$B7,$B23&lt;&gt;$B8,$B24&lt;&gt;$B9,$B25&lt;&gt;$B10,$B26&lt;&gt;$B11,$B27&lt;&gt;$B12,$B28&lt;&gt;$B13),IF($B28&lt;&gt;$B13,AD13/INDEX($C3:$AJ13,11,MATCH(IF('Data-solution'!$A$3="Maximize",MAX($C14:$AI14),MIN($C14:$AI14)),$C14:$AI14,0)),AD13-INDEX($C3:$AJ13,11,MATCH(IF('Data-solution'!$A$3="Maximize",MAX($C14:$AI14),MIN($C14:$AI14)),$C14:$AI14,0))*INDEX(AD3:$AJ13,MATCH(MIN($AK3:$AK13),$AK3:$AK13,0),1)/INDEX($C3:$AJ13,MATCH(MIN($AK3:$AK13),$AK3:$AK13,0),MATCH(IF('Data-solution'!$A$3="Maximize",MAX($C14:$AI14),MIN($C14:$AI14)),$C14:$AI14,0))),AD13)</f>
        <v>0</v>
      </c>
      <c r="AE28" s="1">
        <f>IF(OR($B18&lt;&gt;$B3,$B19&lt;&gt;$B4,$B20&lt;&gt;$B5,$B21&lt;&gt;$B6,$B22&lt;&gt;$B7,$B23&lt;&gt;$B8,$B24&lt;&gt;$B9,$B25&lt;&gt;$B10,$B26&lt;&gt;$B11,$B27&lt;&gt;$B12,$B28&lt;&gt;$B13),IF($B28&lt;&gt;$B13,AE13/INDEX($C3:$AJ13,11,MATCH(IF('Data-solution'!$A$3="Maximize",MAX($C14:$AI14),MIN($C14:$AI14)),$C14:$AI14,0)),AE13-INDEX($C3:$AJ13,11,MATCH(IF('Data-solution'!$A$3="Maximize",MAX($C14:$AI14),MIN($C14:$AI14)),$C14:$AI14,0))*INDEX(AE3:$AJ13,MATCH(MIN($AK3:$AK13),$AK3:$AK13,0),1)/INDEX($C3:$AJ13,MATCH(MIN($AK3:$AK13),$AK3:$AK13,0),MATCH(IF('Data-solution'!$A$3="Maximize",MAX($C14:$AI14),MIN($C14:$AI14)),$C14:$AI14,0))),AE13)</f>
        <v>0</v>
      </c>
      <c r="AF28" s="1">
        <f>IF(OR($B18&lt;&gt;$B3,$B19&lt;&gt;$B4,$B20&lt;&gt;$B5,$B21&lt;&gt;$B6,$B22&lt;&gt;$B7,$B23&lt;&gt;$B8,$B24&lt;&gt;$B9,$B25&lt;&gt;$B10,$B26&lt;&gt;$B11,$B27&lt;&gt;$B12,$B28&lt;&gt;$B13),IF($B28&lt;&gt;$B13,AF13/INDEX($C3:$AJ13,11,MATCH(IF('Data-solution'!$A$3="Maximize",MAX($C14:$AI14),MIN($C14:$AI14)),$C14:$AI14,0)),AF13-INDEX($C3:$AJ13,11,MATCH(IF('Data-solution'!$A$3="Maximize",MAX($C14:$AI14),MIN($C14:$AI14)),$C14:$AI14,0))*INDEX(AF3:$AJ13,MATCH(MIN($AK3:$AK13),$AK3:$AK13,0),1)/INDEX($C3:$AJ13,MATCH(MIN($AK3:$AK13),$AK3:$AK13,0),MATCH(IF('Data-solution'!$A$3="Maximize",MAX($C14:$AI14),MIN($C14:$AI14)),$C14:$AI14,0))),AF13)</f>
        <v>0</v>
      </c>
      <c r="AG28" s="1">
        <f>IF(OR($B18&lt;&gt;$B3,$B19&lt;&gt;$B4,$B20&lt;&gt;$B5,$B21&lt;&gt;$B6,$B22&lt;&gt;$B7,$B23&lt;&gt;$B8,$B24&lt;&gt;$B9,$B25&lt;&gt;$B10,$B26&lt;&gt;$B11,$B27&lt;&gt;$B12,$B28&lt;&gt;$B13),IF($B28&lt;&gt;$B13,AG13/INDEX($C3:$AJ13,11,MATCH(IF('Data-solution'!$A$3="Maximize",MAX($C14:$AI14),MIN($C14:$AI14)),$C14:$AI14,0)),AG13-INDEX($C3:$AJ13,11,MATCH(IF('Data-solution'!$A$3="Maximize",MAX($C14:$AI14),MIN($C14:$AI14)),$C14:$AI14,0))*INDEX(AG3:$AJ13,MATCH(MIN($AK3:$AK13),$AK3:$AK13,0),1)/INDEX($C3:$AJ13,MATCH(MIN($AK3:$AK13),$AK3:$AK13,0),MATCH(IF('Data-solution'!$A$3="Maximize",MAX($C14:$AI14),MIN($C14:$AI14)),$C14:$AI14,0))),AG13)</f>
        <v>0</v>
      </c>
      <c r="AH28" s="1">
        <f>IF(OR($B18&lt;&gt;$B3,$B19&lt;&gt;$B4,$B20&lt;&gt;$B5,$B21&lt;&gt;$B6,$B22&lt;&gt;$B7,$B23&lt;&gt;$B8,$B24&lt;&gt;$B9,$B25&lt;&gt;$B10,$B26&lt;&gt;$B11,$B27&lt;&gt;$B12,$B28&lt;&gt;$B13),IF($B28&lt;&gt;$B13,AH13/INDEX($C3:$AJ13,11,MATCH(IF('Data-solution'!$A$3="Maximize",MAX($C14:$AI14),MIN($C14:$AI14)),$C14:$AI14,0)),AH13-INDEX($C3:$AJ13,11,MATCH(IF('Data-solution'!$A$3="Maximize",MAX($C14:$AI14),MIN($C14:$AI14)),$C14:$AI14,0))*INDEX(AH3:$AJ13,MATCH(MIN($AK3:$AK13),$AK3:$AK13,0),1)/INDEX($C3:$AJ13,MATCH(MIN($AK3:$AK13),$AK3:$AK13,0),MATCH(IF('Data-solution'!$A$3="Maximize",MAX($C14:$AI14),MIN($C14:$AI14)),$C14:$AI14,0))),AH13)</f>
        <v>0</v>
      </c>
      <c r="AI28" s="1">
        <f>IF(OR($B18&lt;&gt;$B3,$B19&lt;&gt;$B4,$B20&lt;&gt;$B5,$B21&lt;&gt;$B6,$B22&lt;&gt;$B7,$B23&lt;&gt;$B8,$B24&lt;&gt;$B9,$B25&lt;&gt;$B10,$B26&lt;&gt;$B11,$B27&lt;&gt;$B12,$B28&lt;&gt;$B13),IF($B28&lt;&gt;$B13,AI13/INDEX($C3:$AJ13,11,MATCH(IF('Data-solution'!$A$3="Maximize",MAX($C14:$AI14),MIN($C14:$AI14)),$C14:$AI14,0)),AI13-INDEX($C3:$AJ13,11,MATCH(IF('Data-solution'!$A$3="Maximize",MAX($C14:$AI14),MIN($C14:$AI14)),$C14:$AI14,0))*INDEX(AI3:$AJ13,MATCH(MIN($AK3:$AK13),$AK3:$AK13,0),1)/INDEX($C3:$AJ13,MATCH(MIN($AK3:$AK13),$AK3:$AK13,0),MATCH(IF('Data-solution'!$A$3="Maximize",MAX($C14:$AI14),MIN($C14:$AI14)),$C14:$AI14,0))),AI13)</f>
        <v>1</v>
      </c>
      <c r="AJ28" s="1">
        <f>IF(OR($B18&lt;&gt;$B3,$B19&lt;&gt;$B4,$B20&lt;&gt;$B5,$B21&lt;&gt;$B6,$B22&lt;&gt;$B7,$B23&lt;&gt;$B8,$B24&lt;&gt;$B9,$B25&lt;&gt;$B10,$B26&lt;&gt;$B11,$B27&lt;&gt;$B12,$B28&lt;&gt;$B13),IF($B28&lt;&gt;$B13,AJ13/INDEX($C3:$AJ13,11,MATCH(IF('Data-solution'!$A$3="Maximize",MAX($C14:$AI14),MIN($C14:$AI14)),$C14:$AI14,0)),AJ13-INDEX($C3:$AJ13,11,MATCH(IF('Data-solution'!$A$3="Maximize",MAX($C14:$AI14),MIN($C14:$AI14)),$C14:$AI14,0))*INDEX(AJ3:$AJ13,MATCH(MIN($AK3:$AK13),$AK3:$AK13,0),1)/INDEX($C3:$AJ13,MATCH(MIN($AK3:$AK13),$AK3:$AK13,0),MATCH(IF('Data-solution'!$A$3="Maximize",MAX($C14:$AI14),MIN($C14:$AI14)),$C14:$AI14,0))),AJ13)</f>
        <v>0</v>
      </c>
      <c r="AK28" s="1" t="str">
        <f>IF(INDEX(C28:X28,1,MATCH(IF('Data-solution'!A$3="Maximize",MAX(C29:X29),MIN(C29:X29)),C29:X29,0))&gt;0,AJ28/INDEX(C28:X28,1,MATCH(IF('Data-solution'!A$3="Maximize",MAX(C29:X29),MIN(C29:X29)),C29:X29,0))," ")</f>
        <v xml:space="preserve"> </v>
      </c>
    </row>
    <row r="29" spans="1:37" ht="18" customHeight="1" x14ac:dyDescent="0.2">
      <c r="B29" s="2" t="s">
        <v>5</v>
      </c>
      <c r="C29" s="1">
        <f>IF(SUM(COUNTIF($B18:$B28,$Y17),COUNTIF($B18:$B28,$Z17),COUNTIF($B18:$B28,$AA17),COUNTIF($B18:$B28,$AB17),COUNTIF($B18:$B28,$AC17),COUNTIF($B18:$B28,$AD17),COUNTIF($B18:$B28,$AE17),COUNTIF($B18:$B28,$AF17),COUNTIF($B18:$B28,$AG17),COUNTIF($B18:$B28,$AH17),COUNTIF($B18:$B28,$AI17))=0,C16-SUMPRODUCT($A18:$A28,C18:C28),IF('Data-solution'!$A$3="Maximize",1,-1)*SUM(SUMIF($B18:$B28,$Y17,C18:C28),SUMIF($B18:$B28,$Z17,C18:C28),SUMIF($B18:$B28,$AA17,C18:C28),SUMIF($B18:$B28,$AB17,C18:C28),SUMIF($B18:$B28,$AC17,C18:C28),SUMIF($B18:$B28,$AD17,C18:C28),SUMIF($B18:$B28,$AE17,C18:C28),SUMIF($B18:$B28,$AF17,C18:C28),SUMIF($B18:$B28,$AG17,C18:C28),SUMIF($B18:$B28,$AH17,C18:C28),SUMIF($B18:$B28,$AI17,C18:C28)))</f>
        <v>33.333333333333343</v>
      </c>
      <c r="D29" s="1">
        <f>IF(SUM(COUNTIF($B18:$B28,$Y17),COUNTIF($B18:$B28,$Z17),COUNTIF($B18:$B28,$AA17),COUNTIF($B18:$B28,$AB17),COUNTIF($B18:$B28,$AC17),COUNTIF($B18:$B28,$AD17),COUNTIF($B18:$B28,$AE17),COUNTIF($B18:$B28,$AF17),COUNTIF($B18:$B28,$AG17),COUNTIF($B18:$B28,$AH17),COUNTIF($B18:$B28,$AI17))=0,D16-SUMPRODUCT($A18:$A28,D18:D28),IF('Data-solution'!$A$3="Maximize",1,-1)*SUM(SUMIF($B18:$B28,$Y17,D18:D28),SUMIF($B18:$B28,$Z17,D18:D28),SUMIF($B18:$B28,$AA17,D18:D28),SUMIF($B18:$B28,$AB17,D18:D28),SUMIF($B18:$B28,$AC17,D18:D28),SUMIF($B18:$B28,$AD17,D18:D28),SUMIF($B18:$B28,$AE17,D18:D28),SUMIF($B18:$B28,$AF17,D18:D28),SUMIF($B18:$B28,$AG17,D18:D28),SUMIF($B18:$B28,$AH17,D18:D28),SUMIF($B18:$B28,$AI17,D18:D28)))</f>
        <v>-91.666666666666686</v>
      </c>
      <c r="E29" s="1">
        <f>IF(SUM(COUNTIF($B18:$B28,$Y17),COUNTIF($B18:$B28,$Z17),COUNTIF($B18:$B28,$AA17),COUNTIF($B18:$B28,$AB17),COUNTIF($B18:$B28,$AC17),COUNTIF($B18:$B28,$AD17),COUNTIF($B18:$B28,$AE17),COUNTIF($B18:$B28,$AF17),COUNTIF($B18:$B28,$AG17),COUNTIF($B18:$B28,$AH17),COUNTIF($B18:$B28,$AI17))=0,E16-SUMPRODUCT($A18:$A28,E18:E28),IF('Data-solution'!$A$3="Maximize",1,-1)*SUM(SUMIF($B18:$B28,$Y17,E18:E28),SUMIF($B18:$B28,$Z17,E18:E28),SUMIF($B18:$B28,$AA17,E18:E28),SUMIF($B18:$B28,$AB17,E18:E28),SUMIF($B18:$B28,$AC17,E18:E28),SUMIF($B18:$B28,$AD17,E18:E28),SUMIF($B18:$B28,$AE17,E18:E28),SUMIF($B18:$B28,$AF17,E18:E28),SUMIF($B18:$B28,$AG17,E18:E28),SUMIF($B18:$B28,$AH17,E18:E28),SUMIF($B18:$B28,$AI17,E18:E28)))</f>
        <v>0</v>
      </c>
      <c r="F29" s="1">
        <f>IF(SUM(COUNTIF($B18:$B28,$Y17),COUNTIF($B18:$B28,$Z17),COUNTIF($B18:$B28,$AA17),COUNTIF($B18:$B28,$AB17),COUNTIF($B18:$B28,$AC17),COUNTIF($B18:$B28,$AD17),COUNTIF($B18:$B28,$AE17),COUNTIF($B18:$B28,$AF17),COUNTIF($B18:$B28,$AG17),COUNTIF($B18:$B28,$AH17),COUNTIF($B18:$B28,$AI17))=0,F16-SUMPRODUCT($A18:$A28,F18:F28),IF('Data-solution'!$A$3="Maximize",1,-1)*SUM(SUMIF($B18:$B28,$Y17,F18:F28),SUMIF($B18:$B28,$Z17,F18:F28),SUMIF($B18:$B28,$AA17,F18:F28),SUMIF($B18:$B28,$AB17,F18:F28),SUMIF($B18:$B28,$AC17,F18:F28),SUMIF($B18:$B28,$AD17,F18:F28),SUMIF($B18:$B28,$AE17,F18:F28),SUMIF($B18:$B28,$AF17,F18:F28),SUMIF($B18:$B28,$AG17,F18:F28),SUMIF($B18:$B28,$AH17,F18:F28),SUMIF($B18:$B28,$AI17,F18:F28)))</f>
        <v>0</v>
      </c>
      <c r="G29" s="1">
        <f>IF(SUM(COUNTIF($B18:$B28,$Y17),COUNTIF($B18:$B28,$Z17),COUNTIF($B18:$B28,$AA17),COUNTIF($B18:$B28,$AB17),COUNTIF($B18:$B28,$AC17),COUNTIF($B18:$B28,$AD17),COUNTIF($B18:$B28,$AE17),COUNTIF($B18:$B28,$AF17),COUNTIF($B18:$B28,$AG17),COUNTIF($B18:$B28,$AH17),COUNTIF($B18:$B28,$AI17))=0,G16-SUMPRODUCT($A18:$A28,G18:G28),IF('Data-solution'!$A$3="Maximize",1,-1)*SUM(SUMIF($B18:$B28,$Y17,G18:G28),SUMIF($B18:$B28,$Z17,G18:G28),SUMIF($B18:$B28,$AA17,G18:G28),SUMIF($B18:$B28,$AB17,G18:G28),SUMIF($B18:$B28,$AC17,G18:G28),SUMIF($B18:$B28,$AD17,G18:G28),SUMIF($B18:$B28,$AE17,G18:G28),SUMIF($B18:$B28,$AF17,G18:G28),SUMIF($B18:$B28,$AG17,G18:G28),SUMIF($B18:$B28,$AH17,G18:G28),SUMIF($B18:$B28,$AI17,G18:G28)))</f>
        <v>0</v>
      </c>
      <c r="H29" s="1">
        <f>IF(SUM(COUNTIF($B18:$B28,$Y17),COUNTIF($B18:$B28,$Z17),COUNTIF($B18:$B28,$AA17),COUNTIF($B18:$B28,$AB17),COUNTIF($B18:$B28,$AC17),COUNTIF($B18:$B28,$AD17),COUNTIF($B18:$B28,$AE17),COUNTIF($B18:$B28,$AF17),COUNTIF($B18:$B28,$AG17),COUNTIF($B18:$B28,$AH17),COUNTIF($B18:$B28,$AI17))=0,H16-SUMPRODUCT($A18:$A28,H18:H28),IF('Data-solution'!$A$3="Maximize",1,-1)*SUM(SUMIF($B18:$B28,$Y17,H18:H28),SUMIF($B18:$B28,$Z17,H18:H28),SUMIF($B18:$B28,$AA17,H18:H28),SUMIF($B18:$B28,$AB17,H18:H28),SUMIF($B18:$B28,$AC17,H18:H28),SUMIF($B18:$B28,$AD17,H18:H28),SUMIF($B18:$B28,$AE17,H18:H28),SUMIF($B18:$B28,$AF17,H18:H28),SUMIF($B18:$B28,$AG17,H18:H28),SUMIF($B18:$B28,$AH17,H18:H28),SUMIF($B18:$B28,$AI17,H18:H28)))</f>
        <v>0</v>
      </c>
      <c r="I29" s="1">
        <f>IF(SUM(COUNTIF($B18:$B28,$Y17),COUNTIF($B18:$B28,$Z17),COUNTIF($B18:$B28,$AA17),COUNTIF($B18:$B28,$AB17),COUNTIF($B18:$B28,$AC17),COUNTIF($B18:$B28,$AD17),COUNTIF($B18:$B28,$AE17),COUNTIF($B18:$B28,$AF17),COUNTIF($B18:$B28,$AG17),COUNTIF($B18:$B28,$AH17),COUNTIF($B18:$B28,$AI17))=0,I16-SUMPRODUCT($A18:$A28,I18:I28),IF('Data-solution'!$A$3="Maximize",1,-1)*SUM(SUMIF($B18:$B28,$Y17,I18:I28),SUMIF($B18:$B28,$Z17,I18:I28),SUMIF($B18:$B28,$AA17,I18:I28),SUMIF($B18:$B28,$AB17,I18:I28),SUMIF($B18:$B28,$AC17,I18:I28),SUMIF($B18:$B28,$AD17,I18:I28),SUMIF($B18:$B28,$AE17,I18:I28),SUMIF($B18:$B28,$AF17,I18:I28),SUMIF($B18:$B28,$AG17,I18:I28),SUMIF($B18:$B28,$AH17,I18:I28),SUMIF($B18:$B28,$AI17,I18:I28)))</f>
        <v>0</v>
      </c>
      <c r="J29" s="1">
        <f>IF(SUM(COUNTIF($B18:$B28,$Y17),COUNTIF($B18:$B28,$Z17),COUNTIF($B18:$B28,$AA17),COUNTIF($B18:$B28,$AB17),COUNTIF($B18:$B28,$AC17),COUNTIF($B18:$B28,$AD17),COUNTIF($B18:$B28,$AE17),COUNTIF($B18:$B28,$AF17),COUNTIF($B18:$B28,$AG17),COUNTIF($B18:$B28,$AH17),COUNTIF($B18:$B28,$AI17))=0,J16-SUMPRODUCT($A18:$A28,J18:J28),IF('Data-solution'!$A$3="Maximize",1,-1)*SUM(SUMIF($B18:$B28,$Y17,J18:J28),SUMIF($B18:$B28,$Z17,J18:J28),SUMIF($B18:$B28,$AA17,J18:J28),SUMIF($B18:$B28,$AB17,J18:J28),SUMIF($B18:$B28,$AC17,J18:J28),SUMIF($B18:$B28,$AD17,J18:J28),SUMIF($B18:$B28,$AE17,J18:J28),SUMIF($B18:$B28,$AF17,J18:J28),SUMIF($B18:$B28,$AG17,J18:J28),SUMIF($B18:$B28,$AH17,J18:J28),SUMIF($B18:$B28,$AI17,J18:J28)))</f>
        <v>0</v>
      </c>
      <c r="K29" s="1">
        <f>IF(SUM(COUNTIF($B18:$B28,$Y17),COUNTIF($B18:$B28,$Z17),COUNTIF($B18:$B28,$AA17),COUNTIF($B18:$B28,$AB17),COUNTIF($B18:$B28,$AC17),COUNTIF($B18:$B28,$AD17),COUNTIF($B18:$B28,$AE17),COUNTIF($B18:$B28,$AF17),COUNTIF($B18:$B28,$AG17),COUNTIF($B18:$B28,$AH17),COUNTIF($B18:$B28,$AI17))=0,K16-SUMPRODUCT($A18:$A28,K18:K28),IF('Data-solution'!$A$3="Maximize",1,-1)*SUM(SUMIF($B18:$B28,$Y17,K18:K28),SUMIF($B18:$B28,$Z17,K18:K28),SUMIF($B18:$B28,$AA17,K18:K28),SUMIF($B18:$B28,$AB17,K18:K28),SUMIF($B18:$B28,$AC17,K18:K28),SUMIF($B18:$B28,$AD17,K18:K28),SUMIF($B18:$B28,$AE17,K18:K28),SUMIF($B18:$B28,$AF17,K18:K28),SUMIF($B18:$B28,$AG17,K18:K28),SUMIF($B18:$B28,$AH17,K18:K28),SUMIF($B18:$B28,$AI17,K18:K28)))</f>
        <v>0</v>
      </c>
      <c r="L29" s="1">
        <f>IF(SUM(COUNTIF($B18:$B28,$Y17),COUNTIF($B18:$B28,$Z17),COUNTIF($B18:$B28,$AA17),COUNTIF($B18:$B28,$AB17),COUNTIF($B18:$B28,$AC17),COUNTIF($B18:$B28,$AD17),COUNTIF($B18:$B28,$AE17),COUNTIF($B18:$B28,$AF17),COUNTIF($B18:$B28,$AG17),COUNTIF($B18:$B28,$AH17),COUNTIF($B18:$B28,$AI17))=0,L16-SUMPRODUCT($A18:$A28,L18:L28),IF('Data-solution'!$A$3="Maximize",1,-1)*SUM(SUMIF($B18:$B28,$Y17,L18:L28),SUMIF($B18:$B28,$Z17,L18:L28),SUMIF($B18:$B28,$AA17,L18:L28),SUMIF($B18:$B28,$AB17,L18:L28),SUMIF($B18:$B28,$AC17,L18:L28),SUMIF($B18:$B28,$AD17,L18:L28),SUMIF($B18:$B28,$AE17,L18:L28),SUMIF($B18:$B28,$AF17,L18:L28),SUMIF($B18:$B28,$AG17,L18:L28),SUMIF($B18:$B28,$AH17,L18:L28),SUMIF($B18:$B28,$AI17,L18:L28)))</f>
        <v>0</v>
      </c>
      <c r="M29" s="1">
        <f>IF(SUM(COUNTIF($B18:$B28,$Y17),COUNTIF($B18:$B28,$Z17),COUNTIF($B18:$B28,$AA17),COUNTIF($B18:$B28,$AB17),COUNTIF($B18:$B28,$AC17),COUNTIF($B18:$B28,$AD17),COUNTIF($B18:$B28,$AE17),COUNTIF($B18:$B28,$AF17),COUNTIF($B18:$B28,$AG17),COUNTIF($B18:$B28,$AH17),COUNTIF($B18:$B28,$AI17))=0,M16-SUMPRODUCT($A18:$A28,M18:M28),IF('Data-solution'!$A$3="Maximize",1,-1)*SUM(SUMIF($B18:$B28,$Y17,M18:M28),SUMIF($B18:$B28,$Z17,M18:M28),SUMIF($B18:$B28,$AA17,M18:M28),SUMIF($B18:$B28,$AB17,M18:M28),SUMIF($B18:$B28,$AC17,M18:M28),SUMIF($B18:$B28,$AD17,M18:M28),SUMIF($B18:$B28,$AE17,M18:M28),SUMIF($B18:$B28,$AF17,M18:M28),SUMIF($B18:$B28,$AG17,M18:M28),SUMIF($B18:$B28,$AH17,M18:M28),SUMIF($B18:$B28,$AI17,M18:M28)))</f>
        <v>0</v>
      </c>
      <c r="N29" s="1">
        <f>IF(SUM(COUNTIF($B18:$B28,$Y17),COUNTIF($B18:$B28,$Z17),COUNTIF($B18:$B28,$AA17),COUNTIF($B18:$B28,$AB17),COUNTIF($B18:$B28,$AC17),COUNTIF($B18:$B28,$AD17),COUNTIF($B18:$B28,$AE17),COUNTIF($B18:$B28,$AF17),COUNTIF($B18:$B28,$AG17),COUNTIF($B18:$B28,$AH17),COUNTIF($B18:$B28,$AI17))=0,N16-SUMPRODUCT($A18:$A28,N18:N28),IF('Data-solution'!$A$3="Maximize",1,-1)*SUM(SUMIF($B18:$B28,$Y17,N18:N28),SUMIF($B18:$B28,$Z17,N18:N28),SUMIF($B18:$B28,$AA17,N18:N28),SUMIF($B18:$B28,$AB17,N18:N28),SUMIF($B18:$B28,$AC17,N18:N28),SUMIF($B18:$B28,$AD17,N18:N28),SUMIF($B18:$B28,$AE17,N18:N28),SUMIF($B18:$B28,$AF17,N18:N28),SUMIF($B18:$B28,$AG17,N18:N28),SUMIF($B18:$B28,$AH17,N18:N28),SUMIF($B18:$B28,$AI17,N18:N28)))</f>
        <v>0</v>
      </c>
      <c r="O29" s="1">
        <f>IF(SUM(COUNTIF($B18:$B28,$Y17),COUNTIF($B18:$B28,$Z17),COUNTIF($B18:$B28,$AA17),COUNTIF($B18:$B28,$AB17),COUNTIF($B18:$B28,$AC17),COUNTIF($B18:$B28,$AD17),COUNTIF($B18:$B28,$AE17),COUNTIF($B18:$B28,$AF17),COUNTIF($B18:$B28,$AG17),COUNTIF($B18:$B28,$AH17),COUNTIF($B18:$B28,$AI17))=0,O16-SUMPRODUCT($A18:$A28,O18:O28),IF('Data-solution'!$A$3="Maximize",1,-1)*SUM(SUMIF($B18:$B28,$Y17,O18:O28),SUMIF($B18:$B28,$Z17,O18:O28),SUMIF($B18:$B28,$AA17,O18:O28),SUMIF($B18:$B28,$AB17,O18:O28),SUMIF($B18:$B28,$AC17,O18:O28),SUMIF($B18:$B28,$AD17,O18:O28),SUMIF($B18:$B28,$AE17,O18:O28),SUMIF($B18:$B28,$AF17,O18:O28),SUMIF($B18:$B28,$AG17,O18:O28),SUMIF($B18:$B28,$AH17,O18:O28),SUMIF($B18:$B28,$AI17,O18:O28)))</f>
        <v>0</v>
      </c>
      <c r="P29" s="1">
        <f>IF(SUM(COUNTIF($B18:$B28,$Y17),COUNTIF($B18:$B28,$Z17),COUNTIF($B18:$B28,$AA17),COUNTIF($B18:$B28,$AB17),COUNTIF($B18:$B28,$AC17),COUNTIF($B18:$B28,$AD17),COUNTIF($B18:$B28,$AE17),COUNTIF($B18:$B28,$AF17),COUNTIF($B18:$B28,$AG17),COUNTIF($B18:$B28,$AH17),COUNTIF($B18:$B28,$AI17))=0,P16-SUMPRODUCT($A18:$A28,P18:P28),IF('Data-solution'!$A$3="Maximize",1,-1)*SUM(SUMIF($B18:$B28,$Y17,P18:P28),SUMIF($B18:$B28,$Z17,P18:P28),SUMIF($B18:$B28,$AA17,P18:P28),SUMIF($B18:$B28,$AB17,P18:P28),SUMIF($B18:$B28,$AC17,P18:P28),SUMIF($B18:$B28,$AD17,P18:P28),SUMIF($B18:$B28,$AE17,P18:P28),SUMIF($B18:$B28,$AF17,P18:P28),SUMIF($B18:$B28,$AG17,P18:P28),SUMIF($B18:$B28,$AH17,P18:P28),SUMIF($B18:$B28,$AI17,P18:P28)))</f>
        <v>-58.333333333333329</v>
      </c>
      <c r="Q29" s="1">
        <f>IF(SUM(COUNTIF($B18:$B28,$Y17),COUNTIF($B18:$B28,$Z17),COUNTIF($B18:$B28,$AA17),COUNTIF($B18:$B28,$AB17),COUNTIF($B18:$B28,$AC17),COUNTIF($B18:$B28,$AD17),COUNTIF($B18:$B28,$AE17),COUNTIF($B18:$B28,$AF17),COUNTIF($B18:$B28,$AG17),COUNTIF($B18:$B28,$AH17),COUNTIF($B18:$B28,$AI17))=0,Q16-SUMPRODUCT($A18:$A28,Q18:Q28),IF('Data-solution'!$A$3="Maximize",1,-1)*SUM(SUMIF($B18:$B28,$Y17,Q18:Q28),SUMIF($B18:$B28,$Z17,Q18:Q28),SUMIF($B18:$B28,$AA17,Q18:Q28),SUMIF($B18:$B28,$AB17,Q18:Q28),SUMIF($B18:$B28,$AC17,Q18:Q28),SUMIF($B18:$B28,$AD17,Q18:Q28),SUMIF($B18:$B28,$AE17,Q18:Q28),SUMIF($B18:$B28,$AF17,Q18:Q28),SUMIF($B18:$B28,$AG17,Q18:Q28),SUMIF($B18:$B28,$AH17,Q18:Q28),SUMIF($B18:$B28,$AI17,Q18:Q28)))</f>
        <v>0</v>
      </c>
      <c r="R29" s="1">
        <f>IF(SUM(COUNTIF($B18:$B28,$Y17),COUNTIF($B18:$B28,$Z17),COUNTIF($B18:$B28,$AA17),COUNTIF($B18:$B28,$AB17),COUNTIF($B18:$B28,$AC17),COUNTIF($B18:$B28,$AD17),COUNTIF($B18:$B28,$AE17),COUNTIF($B18:$B28,$AF17),COUNTIF($B18:$B28,$AG17),COUNTIF($B18:$B28,$AH17),COUNTIF($B18:$B28,$AI17))=0,R16-SUMPRODUCT($A18:$A28,R18:R28),IF('Data-solution'!$A$3="Maximize",1,-1)*SUM(SUMIF($B18:$B28,$Y17,R18:R28),SUMIF($B18:$B28,$Z17,R18:R28),SUMIF($B18:$B28,$AA17,R18:R28),SUMIF($B18:$B28,$AB17,R18:R28),SUMIF($B18:$B28,$AC17,R18:R28),SUMIF($B18:$B28,$AD17,R18:R28),SUMIF($B18:$B28,$AE17,R18:R28),SUMIF($B18:$B28,$AF17,R18:R28),SUMIF($B18:$B28,$AG17,R18:R28),SUMIF($B18:$B28,$AH17,R18:R28),SUMIF($B18:$B28,$AI17,R18:R28)))</f>
        <v>0</v>
      </c>
      <c r="S29" s="1">
        <f>IF(SUM(COUNTIF($B18:$B28,$Y17),COUNTIF($B18:$B28,$Z17),COUNTIF($B18:$B28,$AA17),COUNTIF($B18:$B28,$AB17),COUNTIF($B18:$B28,$AC17),COUNTIF($B18:$B28,$AD17),COUNTIF($B18:$B28,$AE17),COUNTIF($B18:$B28,$AF17),COUNTIF($B18:$B28,$AG17),COUNTIF($B18:$B28,$AH17),COUNTIF($B18:$B28,$AI17))=0,S16-SUMPRODUCT($A18:$A28,S18:S28),IF('Data-solution'!$A$3="Maximize",1,-1)*SUM(SUMIF($B18:$B28,$Y17,S18:S28),SUMIF($B18:$B28,$Z17,S18:S28),SUMIF($B18:$B28,$AA17,S18:S28),SUMIF($B18:$B28,$AB17,S18:S28),SUMIF($B18:$B28,$AC17,S18:S28),SUMIF($B18:$B28,$AD17,S18:S28),SUMIF($B18:$B28,$AE17,S18:S28),SUMIF($B18:$B28,$AF17,S18:S28),SUMIF($B18:$B28,$AG17,S18:S28),SUMIF($B18:$B28,$AH17,S18:S28),SUMIF($B18:$B28,$AI17,S18:S28)))</f>
        <v>0</v>
      </c>
      <c r="T29" s="1">
        <f>IF(SUM(COUNTIF($B18:$B28,$Y17),COUNTIF($B18:$B28,$Z17),COUNTIF($B18:$B28,$AA17),COUNTIF($B18:$B28,$AB17),COUNTIF($B18:$B28,$AC17),COUNTIF($B18:$B28,$AD17),COUNTIF($B18:$B28,$AE17),COUNTIF($B18:$B28,$AF17),COUNTIF($B18:$B28,$AG17),COUNTIF($B18:$B28,$AH17),COUNTIF($B18:$B28,$AI17))=0,T16-SUMPRODUCT($A18:$A28,T18:T28),IF('Data-solution'!$A$3="Maximize",1,-1)*SUM(SUMIF($B18:$B28,$Y17,T18:T28),SUMIF($B18:$B28,$Z17,T18:T28),SUMIF($B18:$B28,$AA17,T18:T28),SUMIF($B18:$B28,$AB17,T18:T28),SUMIF($B18:$B28,$AC17,T18:T28),SUMIF($B18:$B28,$AD17,T18:T28),SUMIF($B18:$B28,$AE17,T18:T28),SUMIF($B18:$B28,$AF17,T18:T28),SUMIF($B18:$B28,$AG17,T18:T28),SUMIF($B18:$B28,$AH17,T18:T28),SUMIF($B18:$B28,$AI17,T18:T28)))</f>
        <v>0</v>
      </c>
      <c r="U29" s="1">
        <f>IF(SUM(COUNTIF($B18:$B28,$Y17),COUNTIF($B18:$B28,$Z17),COUNTIF($B18:$B28,$AA17),COUNTIF($B18:$B28,$AB17),COUNTIF($B18:$B28,$AC17),COUNTIF($B18:$B28,$AD17),COUNTIF($B18:$B28,$AE17),COUNTIF($B18:$B28,$AF17),COUNTIF($B18:$B28,$AG17),COUNTIF($B18:$B28,$AH17),COUNTIF($B18:$B28,$AI17))=0,U16-SUMPRODUCT($A18:$A28,U18:U28),IF('Data-solution'!$A$3="Maximize",1,-1)*SUM(SUMIF($B18:$B28,$Y17,U18:U28),SUMIF($B18:$B28,$Z17,U18:U28),SUMIF($B18:$B28,$AA17,U18:U28),SUMIF($B18:$B28,$AB17,U18:U28),SUMIF($B18:$B28,$AC17,U18:U28),SUMIF($B18:$B28,$AD17,U18:U28),SUMIF($B18:$B28,$AE17,U18:U28),SUMIF($B18:$B28,$AF17,U18:U28),SUMIF($B18:$B28,$AG17,U18:U28),SUMIF($B18:$B28,$AH17,U18:U28),SUMIF($B18:$B28,$AI17,U18:U28)))</f>
        <v>0</v>
      </c>
      <c r="V29" s="1">
        <f>IF(SUM(COUNTIF($B18:$B28,$Y17),COUNTIF($B18:$B28,$Z17),COUNTIF($B18:$B28,$AA17),COUNTIF($B18:$B28,$AB17),COUNTIF($B18:$B28,$AC17),COUNTIF($B18:$B28,$AD17),COUNTIF($B18:$B28,$AE17),COUNTIF($B18:$B28,$AF17),COUNTIF($B18:$B28,$AG17),COUNTIF($B18:$B28,$AH17),COUNTIF($B18:$B28,$AI17))=0,V16-SUMPRODUCT($A18:$A28,V18:V28),IF('Data-solution'!$A$3="Maximize",1,-1)*SUM(SUMIF($B18:$B28,$Y17,V18:V28),SUMIF($B18:$B28,$Z17,V18:V28),SUMIF($B18:$B28,$AA17,V18:V28),SUMIF($B18:$B28,$AB17,V18:V28),SUMIF($B18:$B28,$AC17,V18:V28),SUMIF($B18:$B28,$AD17,V18:V28),SUMIF($B18:$B28,$AE17,V18:V28),SUMIF($B18:$B28,$AF17,V18:V28),SUMIF($B18:$B28,$AG17,V18:V28),SUMIF($B18:$B28,$AH17,V18:V28),SUMIF($B18:$B28,$AI17,V18:V28)))</f>
        <v>0</v>
      </c>
      <c r="W29" s="1">
        <f>IF(SUM(COUNTIF($B18:$B28,$Y17),COUNTIF($B18:$B28,$Z17),COUNTIF($B18:$B28,$AA17),COUNTIF($B18:$B28,$AB17),COUNTIF($B18:$B28,$AC17),COUNTIF($B18:$B28,$AD17),COUNTIF($B18:$B28,$AE17),COUNTIF($B18:$B28,$AF17),COUNTIF($B18:$B28,$AG17),COUNTIF($B18:$B28,$AH17),COUNTIF($B18:$B28,$AI17))=0,W16-SUMPRODUCT($A18:$A28,W18:W28),IF('Data-solution'!$A$3="Maximize",1,-1)*SUM(SUMIF($B18:$B28,$Y17,W18:W28),SUMIF($B18:$B28,$Z17,W18:W28),SUMIF($B18:$B28,$AA17,W18:W28),SUMIF($B18:$B28,$AB17,W18:W28),SUMIF($B18:$B28,$AC17,W18:W28),SUMIF($B18:$B28,$AD17,W18:W28),SUMIF($B18:$B28,$AE17,W18:W28),SUMIF($B18:$B28,$AF17,W18:W28),SUMIF($B18:$B28,$AG17,W18:W28),SUMIF($B18:$B28,$AH17,W18:W28),SUMIF($B18:$B28,$AI17,W18:W28)))</f>
        <v>0</v>
      </c>
      <c r="X29" s="1">
        <f>IF(SUM(COUNTIF($B18:$B28,$Y17),COUNTIF($B18:$B28,$Z17),COUNTIF($B18:$B28,$AA17),COUNTIF($B18:$B28,$AB17),COUNTIF($B18:$B28,$AC17),COUNTIF($B18:$B28,$AD17),COUNTIF($B18:$B28,$AE17),COUNTIF($B18:$B28,$AF17),COUNTIF($B18:$B28,$AG17),COUNTIF($B18:$B28,$AH17),COUNTIF($B18:$B28,$AI17))=0,X16-SUMPRODUCT($A18:$A28,X18:X28),IF('Data-solution'!$A$3="Maximize",1,-1)*SUM(SUMIF($B18:$B28,$Y17,X18:X28),SUMIF($B18:$B28,$Z17,X18:X28),SUMIF($B18:$B28,$AA17,X18:X28),SUMIF($B18:$B28,$AB17,X18:X28),SUMIF($B18:$B28,$AC17,X18:X28),SUMIF($B18:$B28,$AD17,X18:X28),SUMIF($B18:$B28,$AE17,X18:X28),SUMIF($B18:$B28,$AF17,X18:X28),SUMIF($B18:$B28,$AG17,X18:X28),SUMIF($B18:$B28,$AH17,X18:X28),SUMIF($B18:$B28,$AI17,X18:X28)))</f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2">
        <f>IF(SUMPRODUCT(A18:A28,AJ18:AJ28)&gt;=0,SUMPRODUCT(A18:A28,AJ18:AJ28),0)</f>
        <v>116666.66666666666</v>
      </c>
    </row>
    <row r="31" spans="1:37" ht="18" customHeight="1" x14ac:dyDescent="0.2">
      <c r="A31" s="1" t="s">
        <v>61</v>
      </c>
      <c r="B31" s="2" t="s">
        <v>4</v>
      </c>
      <c r="C31" s="1">
        <f t="shared" ref="C31:R31" si="2">C$1</f>
        <v>150</v>
      </c>
      <c r="D31" s="1">
        <f t="shared" si="2"/>
        <v>200</v>
      </c>
      <c r="E31" s="1">
        <f t="shared" si="2"/>
        <v>350</v>
      </c>
      <c r="F31" s="1">
        <f t="shared" si="2"/>
        <v>0</v>
      </c>
      <c r="G31" s="1">
        <f t="shared" si="2"/>
        <v>0</v>
      </c>
      <c r="H31" s="1">
        <f t="shared" si="2"/>
        <v>0</v>
      </c>
      <c r="I31" s="1">
        <f t="shared" si="2"/>
        <v>0</v>
      </c>
      <c r="J31" s="1">
        <f t="shared" si="2"/>
        <v>0</v>
      </c>
      <c r="K31" s="1">
        <f t="shared" si="2"/>
        <v>0</v>
      </c>
      <c r="L31" s="1">
        <f t="shared" si="2"/>
        <v>0</v>
      </c>
      <c r="M31" s="1">
        <f t="shared" si="2"/>
        <v>0</v>
      </c>
      <c r="N31" s="1">
        <f t="shared" si="2"/>
        <v>0</v>
      </c>
      <c r="O31" s="1">
        <f t="shared" si="2"/>
        <v>0</v>
      </c>
      <c r="P31" s="1">
        <f t="shared" si="2"/>
        <v>0</v>
      </c>
      <c r="Q31" s="1">
        <f t="shared" si="2"/>
        <v>0</v>
      </c>
      <c r="R31" s="1">
        <f t="shared" si="2"/>
        <v>0</v>
      </c>
      <c r="S31" s="1">
        <f t="shared" ref="S31:AH31" si="3">S$1</f>
        <v>0</v>
      </c>
      <c r="T31" s="1">
        <f t="shared" si="3"/>
        <v>0</v>
      </c>
      <c r="U31" s="1">
        <f t="shared" si="3"/>
        <v>0</v>
      </c>
      <c r="V31" s="1">
        <f t="shared" si="3"/>
        <v>0</v>
      </c>
      <c r="W31" s="1">
        <f t="shared" si="3"/>
        <v>0</v>
      </c>
      <c r="X31" s="1">
        <f t="shared" si="3"/>
        <v>0</v>
      </c>
      <c r="Y31" s="1">
        <f t="shared" si="3"/>
        <v>-999999</v>
      </c>
      <c r="Z31" s="1">
        <f t="shared" si="3"/>
        <v>-999999</v>
      </c>
      <c r="AA31" s="1">
        <f t="shared" si="3"/>
        <v>-999999</v>
      </c>
      <c r="AB31" s="1">
        <f t="shared" si="3"/>
        <v>-999999</v>
      </c>
      <c r="AC31" s="1">
        <f t="shared" si="3"/>
        <v>-999999</v>
      </c>
      <c r="AD31" s="1">
        <f t="shared" si="3"/>
        <v>-999999</v>
      </c>
      <c r="AE31" s="1">
        <f t="shared" si="3"/>
        <v>-999999</v>
      </c>
      <c r="AF31" s="1">
        <f t="shared" si="3"/>
        <v>-999999</v>
      </c>
      <c r="AG31" s="1">
        <f t="shared" si="3"/>
        <v>-999999</v>
      </c>
      <c r="AH31" s="1">
        <f t="shared" si="3"/>
        <v>-999999</v>
      </c>
      <c r="AI31" s="1">
        <f t="shared" ref="D31:AI91" si="4">AI$1</f>
        <v>-999999</v>
      </c>
    </row>
    <row r="32" spans="1:37" ht="18" customHeight="1" x14ac:dyDescent="0.2">
      <c r="A32" s="2" t="s">
        <v>3</v>
      </c>
      <c r="B32" s="2" t="s">
        <v>1</v>
      </c>
      <c r="C32" s="2" t="str">
        <f t="shared" ref="C32:R32" si="5">C$2</f>
        <v>X1</v>
      </c>
      <c r="D32" s="2" t="str">
        <f t="shared" si="5"/>
        <v>X2</v>
      </c>
      <c r="E32" s="2" t="str">
        <f t="shared" si="5"/>
        <v>X3</v>
      </c>
      <c r="F32" s="2" t="str">
        <f t="shared" si="5"/>
        <v>X4</v>
      </c>
      <c r="G32" s="2" t="str">
        <f t="shared" si="5"/>
        <v>X5</v>
      </c>
      <c r="H32" s="2" t="str">
        <f t="shared" si="5"/>
        <v>X6</v>
      </c>
      <c r="I32" s="2" t="str">
        <f t="shared" si="5"/>
        <v>X7</v>
      </c>
      <c r="J32" s="2" t="str">
        <f t="shared" si="5"/>
        <v>X8</v>
      </c>
      <c r="K32" s="2" t="str">
        <f t="shared" si="5"/>
        <v>X9</v>
      </c>
      <c r="L32" s="2" t="str">
        <f t="shared" si="5"/>
        <v>X10</v>
      </c>
      <c r="M32" s="2" t="str">
        <f t="shared" si="5"/>
        <v>X11</v>
      </c>
      <c r="N32" s="2" t="str">
        <f t="shared" si="5"/>
        <v>S1</v>
      </c>
      <c r="O32" s="2" t="str">
        <f t="shared" si="5"/>
        <v>S2</v>
      </c>
      <c r="P32" s="2" t="str">
        <f t="shared" si="5"/>
        <v>S3</v>
      </c>
      <c r="Q32" s="2" t="str">
        <f t="shared" si="5"/>
        <v>S4</v>
      </c>
      <c r="R32" s="2" t="str">
        <f t="shared" si="5"/>
        <v>S5</v>
      </c>
      <c r="S32" s="2" t="str">
        <f t="shared" ref="S32:AH32" si="6">S$2</f>
        <v>S6</v>
      </c>
      <c r="T32" s="2" t="str">
        <f t="shared" si="6"/>
        <v>S7</v>
      </c>
      <c r="U32" s="2" t="str">
        <f t="shared" si="6"/>
        <v>S8</v>
      </c>
      <c r="V32" s="2" t="str">
        <f t="shared" si="6"/>
        <v>S9</v>
      </c>
      <c r="W32" s="2" t="str">
        <f t="shared" si="6"/>
        <v>S10</v>
      </c>
      <c r="X32" s="2" t="str">
        <f t="shared" si="6"/>
        <v>S11</v>
      </c>
      <c r="Y32" s="2" t="str">
        <f t="shared" si="6"/>
        <v xml:space="preserve"> </v>
      </c>
      <c r="Z32" s="2" t="str">
        <f t="shared" si="6"/>
        <v xml:space="preserve"> </v>
      </c>
      <c r="AA32" s="2" t="str">
        <f t="shared" si="6"/>
        <v xml:space="preserve"> </v>
      </c>
      <c r="AB32" s="2" t="str">
        <f t="shared" si="6"/>
        <v xml:space="preserve"> </v>
      </c>
      <c r="AC32" s="2" t="str">
        <f t="shared" si="6"/>
        <v xml:space="preserve"> </v>
      </c>
      <c r="AD32" s="2" t="str">
        <f t="shared" si="6"/>
        <v xml:space="preserve"> </v>
      </c>
      <c r="AE32" s="2" t="str">
        <f t="shared" si="6"/>
        <v xml:space="preserve"> </v>
      </c>
      <c r="AF32" s="2" t="str">
        <f t="shared" si="6"/>
        <v xml:space="preserve"> </v>
      </c>
      <c r="AG32" s="2" t="str">
        <f t="shared" si="6"/>
        <v xml:space="preserve"> </v>
      </c>
      <c r="AH32" s="2" t="str">
        <f t="shared" si="6"/>
        <v xml:space="preserve"> </v>
      </c>
      <c r="AI32" s="2" t="str">
        <f t="shared" ref="D32:AI92" si="7">AI$2</f>
        <v xml:space="preserve"> </v>
      </c>
      <c r="AJ32" s="2" t="s">
        <v>9</v>
      </c>
      <c r="AK32" s="2" t="s">
        <v>10</v>
      </c>
    </row>
    <row r="33" spans="1:37" ht="18" customHeight="1" x14ac:dyDescent="0.2">
      <c r="A33" s="1">
        <f t="shared" ref="A33" si="8">INDEX(C31:AI31,1,MATCH(B33,C32:AI32,0))</f>
        <v>0</v>
      </c>
      <c r="B33" s="2" t="str">
        <f>IF(AND('Data-solution'!A$3="Maximize",COUNTIF(C29:X29,"&gt;"&amp;0)&gt;0,AK18=MIN(AK18:AK28)),INDEX(C17:X17,1,MATCH(MAX(C29:X29),C29:X29,0)),IF(AND('Data-solution'!A$3="Minimize",COUNTIF(C29:X29,"&lt;"&amp;0)&gt;0,AK18=MIN(AK18:AK28)),INDEX(C17:X17,1,MATCH(MIN(C29:X29),C29:X29,0)),B18))</f>
        <v>S1</v>
      </c>
      <c r="C33" s="1">
        <f>IF(OR($B33&lt;&gt;$B18,$B34&lt;&gt;$B19,$B35&lt;&gt;$B20,$B36&lt;&gt;$B21,$B37&lt;&gt;$B22,$B38&lt;&gt;$B23,$B39&lt;&gt;$B24,$B40&lt;&gt;$B25,$B41&lt;&gt;$B26,$B42&lt;&gt;$B27,$B43&lt;&gt;$B28),IF($B33&lt;&gt;$B18,C18/INDEX($C18:$AJ28,1,MATCH(IF('Data-solution'!$A$3="Maximize",MAX($C29:$AI29),MIN($C29:$AI29)),$C29:$AI29,0)),C18-INDEX($C18:$AJ28,1,MATCH(IF('Data-solution'!$A$3="Maximize",MAX($C29:$AI29),MIN($C29:$AI29)),$C29:$AI29,0))*INDEX(C18:$AJ28,MATCH(MIN($AK18:$AK28),$AK18:$AK28,0),1)/INDEX($C18:$AJ28,MATCH(MIN($AK18:$AK28),$AK18:$AK28,0),MATCH(IF('Data-solution'!$A$3="Maximize",MAX($C29:$AI29),MIN($C29:$AI29)),$C29:$AI29,0))),C18)</f>
        <v>0</v>
      </c>
      <c r="D33" s="1">
        <f>IF(OR($B33&lt;&gt;$B18,$B34&lt;&gt;$B19,$B35&lt;&gt;$B20,$B36&lt;&gt;$B21,$B37&lt;&gt;$B22,$B38&lt;&gt;$B23,$B39&lt;&gt;$B24,$B40&lt;&gt;$B25,$B41&lt;&gt;$B26,$B42&lt;&gt;$B27,$B43&lt;&gt;$B28),IF($B33&lt;&gt;$B18,D18/INDEX($C18:$AJ28,1,MATCH(IF('Data-solution'!$A$3="Maximize",MAX($C29:$AI29),MIN($C29:$AI29)),$C29:$AI29,0)),D18-INDEX($C18:$AJ28,1,MATCH(IF('Data-solution'!$A$3="Maximize",MAX($C29:$AI29),MIN($C29:$AI29)),$C29:$AI29,0))*INDEX(D18:$AJ28,MATCH(MIN($AK18:$AK28),$AK18:$AK28,0),1)/INDEX($C18:$AJ28,MATCH(MIN($AK18:$AK28),$AK18:$AK28,0),MATCH(IF('Data-solution'!$A$3="Maximize",MAX($C29:$AI29),MIN($C29:$AI29)),$C29:$AI29,0))),D18)</f>
        <v>1</v>
      </c>
      <c r="E33" s="1">
        <f>IF(OR($B33&lt;&gt;$B18,$B34&lt;&gt;$B19,$B35&lt;&gt;$B20,$B36&lt;&gt;$B21,$B37&lt;&gt;$B22,$B38&lt;&gt;$B23,$B39&lt;&gt;$B24,$B40&lt;&gt;$B25,$B41&lt;&gt;$B26,$B42&lt;&gt;$B27,$B43&lt;&gt;$B28),IF($B33&lt;&gt;$B18,E18/INDEX($C18:$AJ28,1,MATCH(IF('Data-solution'!$A$3="Maximize",MAX($C29:$AI29),MIN($C29:$AI29)),$C29:$AI29,0)),E18-INDEX($C18:$AJ28,1,MATCH(IF('Data-solution'!$A$3="Maximize",MAX($C29:$AI29),MIN($C29:$AI29)),$C29:$AI29,0))*INDEX(E18:$AJ28,MATCH(MIN($AK18:$AK28),$AK18:$AK28,0),1)/INDEX($C18:$AJ28,MATCH(MIN($AK18:$AK28),$AK18:$AK28,0),MATCH(IF('Data-solution'!$A$3="Maximize",MAX($C29:$AI29),MIN($C29:$AI29)),$C29:$AI29,0))),E18)</f>
        <v>0</v>
      </c>
      <c r="F33" s="1">
        <f>IF(OR($B33&lt;&gt;$B18,$B34&lt;&gt;$B19,$B35&lt;&gt;$B20,$B36&lt;&gt;$B21,$B37&lt;&gt;$B22,$B38&lt;&gt;$B23,$B39&lt;&gt;$B24,$B40&lt;&gt;$B25,$B41&lt;&gt;$B26,$B42&lt;&gt;$B27,$B43&lt;&gt;$B28),IF($B33&lt;&gt;$B18,F18/INDEX($C18:$AJ28,1,MATCH(IF('Data-solution'!$A$3="Maximize",MAX($C29:$AI29),MIN($C29:$AI29)),$C29:$AI29,0)),F18-INDEX($C18:$AJ28,1,MATCH(IF('Data-solution'!$A$3="Maximize",MAX($C29:$AI29),MIN($C29:$AI29)),$C29:$AI29,0))*INDEX(F18:$AJ28,MATCH(MIN($AK18:$AK28),$AK18:$AK28,0),1)/INDEX($C18:$AJ28,MATCH(MIN($AK18:$AK28),$AK18:$AK28,0),MATCH(IF('Data-solution'!$A$3="Maximize",MAX($C29:$AI29),MIN($C29:$AI29)),$C29:$AI29,0))),F18)</f>
        <v>0</v>
      </c>
      <c r="G33" s="1">
        <f>IF(OR($B33&lt;&gt;$B18,$B34&lt;&gt;$B19,$B35&lt;&gt;$B20,$B36&lt;&gt;$B21,$B37&lt;&gt;$B22,$B38&lt;&gt;$B23,$B39&lt;&gt;$B24,$B40&lt;&gt;$B25,$B41&lt;&gt;$B26,$B42&lt;&gt;$B27,$B43&lt;&gt;$B28),IF($B33&lt;&gt;$B18,G18/INDEX($C18:$AJ28,1,MATCH(IF('Data-solution'!$A$3="Maximize",MAX($C29:$AI29),MIN($C29:$AI29)),$C29:$AI29,0)),G18-INDEX($C18:$AJ28,1,MATCH(IF('Data-solution'!$A$3="Maximize",MAX($C29:$AI29),MIN($C29:$AI29)),$C29:$AI29,0))*INDEX(G18:$AJ28,MATCH(MIN($AK18:$AK28),$AK18:$AK28,0),1)/INDEX($C18:$AJ28,MATCH(MIN($AK18:$AK28),$AK18:$AK28,0),MATCH(IF('Data-solution'!$A$3="Maximize",MAX($C29:$AI29),MIN($C29:$AI29)),$C29:$AI29,0))),G18)</f>
        <v>0</v>
      </c>
      <c r="H33" s="1">
        <f>IF(OR($B33&lt;&gt;$B18,$B34&lt;&gt;$B19,$B35&lt;&gt;$B20,$B36&lt;&gt;$B21,$B37&lt;&gt;$B22,$B38&lt;&gt;$B23,$B39&lt;&gt;$B24,$B40&lt;&gt;$B25,$B41&lt;&gt;$B26,$B42&lt;&gt;$B27,$B43&lt;&gt;$B28),IF($B33&lt;&gt;$B18,H18/INDEX($C18:$AJ28,1,MATCH(IF('Data-solution'!$A$3="Maximize",MAX($C29:$AI29),MIN($C29:$AI29)),$C29:$AI29,0)),H18-INDEX($C18:$AJ28,1,MATCH(IF('Data-solution'!$A$3="Maximize",MAX($C29:$AI29),MIN($C29:$AI29)),$C29:$AI29,0))*INDEX(H18:$AJ28,MATCH(MIN($AK18:$AK28),$AK18:$AK28,0),1)/INDEX($C18:$AJ28,MATCH(MIN($AK18:$AK28),$AK18:$AK28,0),MATCH(IF('Data-solution'!$A$3="Maximize",MAX($C29:$AI29),MIN($C29:$AI29)),$C29:$AI29,0))),H18)</f>
        <v>0</v>
      </c>
      <c r="I33" s="1">
        <f>IF(OR($B33&lt;&gt;$B18,$B34&lt;&gt;$B19,$B35&lt;&gt;$B20,$B36&lt;&gt;$B21,$B37&lt;&gt;$B22,$B38&lt;&gt;$B23,$B39&lt;&gt;$B24,$B40&lt;&gt;$B25,$B41&lt;&gt;$B26,$B42&lt;&gt;$B27,$B43&lt;&gt;$B28),IF($B33&lt;&gt;$B18,I18/INDEX($C18:$AJ28,1,MATCH(IF('Data-solution'!$A$3="Maximize",MAX($C29:$AI29),MIN($C29:$AI29)),$C29:$AI29,0)),I18-INDEX($C18:$AJ28,1,MATCH(IF('Data-solution'!$A$3="Maximize",MAX($C29:$AI29),MIN($C29:$AI29)),$C29:$AI29,0))*INDEX(I18:$AJ28,MATCH(MIN($AK18:$AK28),$AK18:$AK28,0),1)/INDEX($C18:$AJ28,MATCH(MIN($AK18:$AK28),$AK18:$AK28,0),MATCH(IF('Data-solution'!$A$3="Maximize",MAX($C29:$AI29),MIN($C29:$AI29)),$C29:$AI29,0))),I18)</f>
        <v>0</v>
      </c>
      <c r="J33" s="1">
        <f>IF(OR($B33&lt;&gt;$B18,$B34&lt;&gt;$B19,$B35&lt;&gt;$B20,$B36&lt;&gt;$B21,$B37&lt;&gt;$B22,$B38&lt;&gt;$B23,$B39&lt;&gt;$B24,$B40&lt;&gt;$B25,$B41&lt;&gt;$B26,$B42&lt;&gt;$B27,$B43&lt;&gt;$B28),IF($B33&lt;&gt;$B18,J18/INDEX($C18:$AJ28,1,MATCH(IF('Data-solution'!$A$3="Maximize",MAX($C29:$AI29),MIN($C29:$AI29)),$C29:$AI29,0)),J18-INDEX($C18:$AJ28,1,MATCH(IF('Data-solution'!$A$3="Maximize",MAX($C29:$AI29),MIN($C29:$AI29)),$C29:$AI29,0))*INDEX(J18:$AJ28,MATCH(MIN($AK18:$AK28),$AK18:$AK28,0),1)/INDEX($C18:$AJ28,MATCH(MIN($AK18:$AK28),$AK18:$AK28,0),MATCH(IF('Data-solution'!$A$3="Maximize",MAX($C29:$AI29),MIN($C29:$AI29)),$C29:$AI29,0))),J18)</f>
        <v>0</v>
      </c>
      <c r="K33" s="1">
        <f>IF(OR($B33&lt;&gt;$B18,$B34&lt;&gt;$B19,$B35&lt;&gt;$B20,$B36&lt;&gt;$B21,$B37&lt;&gt;$B22,$B38&lt;&gt;$B23,$B39&lt;&gt;$B24,$B40&lt;&gt;$B25,$B41&lt;&gt;$B26,$B42&lt;&gt;$B27,$B43&lt;&gt;$B28),IF($B33&lt;&gt;$B18,K18/INDEX($C18:$AJ28,1,MATCH(IF('Data-solution'!$A$3="Maximize",MAX($C29:$AI29),MIN($C29:$AI29)),$C29:$AI29,0)),K18-INDEX($C18:$AJ28,1,MATCH(IF('Data-solution'!$A$3="Maximize",MAX($C29:$AI29),MIN($C29:$AI29)),$C29:$AI29,0))*INDEX(K18:$AJ28,MATCH(MIN($AK18:$AK28),$AK18:$AK28,0),1)/INDEX($C18:$AJ28,MATCH(MIN($AK18:$AK28),$AK18:$AK28,0),MATCH(IF('Data-solution'!$A$3="Maximize",MAX($C29:$AI29),MIN($C29:$AI29)),$C29:$AI29,0))),K18)</f>
        <v>0</v>
      </c>
      <c r="L33" s="1">
        <f>IF(OR($B33&lt;&gt;$B18,$B34&lt;&gt;$B19,$B35&lt;&gt;$B20,$B36&lt;&gt;$B21,$B37&lt;&gt;$B22,$B38&lt;&gt;$B23,$B39&lt;&gt;$B24,$B40&lt;&gt;$B25,$B41&lt;&gt;$B26,$B42&lt;&gt;$B27,$B43&lt;&gt;$B28),IF($B33&lt;&gt;$B18,L18/INDEX($C18:$AJ28,1,MATCH(IF('Data-solution'!$A$3="Maximize",MAX($C29:$AI29),MIN($C29:$AI29)),$C29:$AI29,0)),L18-INDEX($C18:$AJ28,1,MATCH(IF('Data-solution'!$A$3="Maximize",MAX($C29:$AI29),MIN($C29:$AI29)),$C29:$AI29,0))*INDEX(L18:$AJ28,MATCH(MIN($AK18:$AK28),$AK18:$AK28,0),1)/INDEX($C18:$AJ28,MATCH(MIN($AK18:$AK28),$AK18:$AK28,0),MATCH(IF('Data-solution'!$A$3="Maximize",MAX($C29:$AI29),MIN($C29:$AI29)),$C29:$AI29,0))),L18)</f>
        <v>0</v>
      </c>
      <c r="M33" s="1">
        <f>IF(OR($B33&lt;&gt;$B18,$B34&lt;&gt;$B19,$B35&lt;&gt;$B20,$B36&lt;&gt;$B21,$B37&lt;&gt;$B22,$B38&lt;&gt;$B23,$B39&lt;&gt;$B24,$B40&lt;&gt;$B25,$B41&lt;&gt;$B26,$B42&lt;&gt;$B27,$B43&lt;&gt;$B28),IF($B33&lt;&gt;$B18,M18/INDEX($C18:$AJ28,1,MATCH(IF('Data-solution'!$A$3="Maximize",MAX($C29:$AI29),MIN($C29:$AI29)),$C29:$AI29,0)),M18-INDEX($C18:$AJ28,1,MATCH(IF('Data-solution'!$A$3="Maximize",MAX($C29:$AI29),MIN($C29:$AI29)),$C29:$AI29,0))*INDEX(M18:$AJ28,MATCH(MIN($AK18:$AK28),$AK18:$AK28,0),1)/INDEX($C18:$AJ28,MATCH(MIN($AK18:$AK28),$AK18:$AK28,0),MATCH(IF('Data-solution'!$A$3="Maximize",MAX($C29:$AI29),MIN($C29:$AI29)),$C29:$AI29,0))),M18)</f>
        <v>0</v>
      </c>
      <c r="N33" s="1">
        <f>IF(OR($B33&lt;&gt;$B18,$B34&lt;&gt;$B19,$B35&lt;&gt;$B20,$B36&lt;&gt;$B21,$B37&lt;&gt;$B22,$B38&lt;&gt;$B23,$B39&lt;&gt;$B24,$B40&lt;&gt;$B25,$B41&lt;&gt;$B26,$B42&lt;&gt;$B27,$B43&lt;&gt;$B28),IF($B33&lt;&gt;$B18,N18/INDEX($C18:$AJ28,1,MATCH(IF('Data-solution'!$A$3="Maximize",MAX($C29:$AI29),MIN($C29:$AI29)),$C29:$AI29,0)),N18-INDEX($C18:$AJ28,1,MATCH(IF('Data-solution'!$A$3="Maximize",MAX($C29:$AI29),MIN($C29:$AI29)),$C29:$AI29,0))*INDEX(N18:$AJ28,MATCH(MIN($AK18:$AK28),$AK18:$AK28,0),1)/INDEX($C18:$AJ28,MATCH(MIN($AK18:$AK28),$AK18:$AK28,0),MATCH(IF('Data-solution'!$A$3="Maximize",MAX($C29:$AI29),MIN($C29:$AI29)),$C29:$AI29,0))),N18)</f>
        <v>1</v>
      </c>
      <c r="O33" s="1">
        <f>IF(OR($B33&lt;&gt;$B18,$B34&lt;&gt;$B19,$B35&lt;&gt;$B20,$B36&lt;&gt;$B21,$B37&lt;&gt;$B22,$B38&lt;&gt;$B23,$B39&lt;&gt;$B24,$B40&lt;&gt;$B25,$B41&lt;&gt;$B26,$B42&lt;&gt;$B27,$B43&lt;&gt;$B28),IF($B33&lt;&gt;$B18,O18/INDEX($C18:$AJ28,1,MATCH(IF('Data-solution'!$A$3="Maximize",MAX($C29:$AI29),MIN($C29:$AI29)),$C29:$AI29,0)),O18-INDEX($C18:$AJ28,1,MATCH(IF('Data-solution'!$A$3="Maximize",MAX($C29:$AI29),MIN($C29:$AI29)),$C29:$AI29,0))*INDEX(O18:$AJ28,MATCH(MIN($AK18:$AK28),$AK18:$AK28,0),1)/INDEX($C18:$AJ28,MATCH(MIN($AK18:$AK28),$AK18:$AK28,0),MATCH(IF('Data-solution'!$A$3="Maximize",MAX($C29:$AI29),MIN($C29:$AI29)),$C29:$AI29,0))),O18)</f>
        <v>0</v>
      </c>
      <c r="P33" s="1">
        <f>IF(OR($B33&lt;&gt;$B18,$B34&lt;&gt;$B19,$B35&lt;&gt;$B20,$B36&lt;&gt;$B21,$B37&lt;&gt;$B22,$B38&lt;&gt;$B23,$B39&lt;&gt;$B24,$B40&lt;&gt;$B25,$B41&lt;&gt;$B26,$B42&lt;&gt;$B27,$B43&lt;&gt;$B28),IF($B33&lt;&gt;$B18,P18/INDEX($C18:$AJ28,1,MATCH(IF('Data-solution'!$A$3="Maximize",MAX($C29:$AI29),MIN($C29:$AI29)),$C29:$AI29,0)),P18-INDEX($C18:$AJ28,1,MATCH(IF('Data-solution'!$A$3="Maximize",MAX($C29:$AI29),MIN($C29:$AI29)),$C29:$AI29,0))*INDEX(P18:$AJ28,MATCH(MIN($AK18:$AK28),$AK18:$AK28,0),1)/INDEX($C18:$AJ28,MATCH(MIN($AK18:$AK28),$AK18:$AK28,0),MATCH(IF('Data-solution'!$A$3="Maximize",MAX($C29:$AI29),MIN($C29:$AI29)),$C29:$AI29,0))),P18)</f>
        <v>0</v>
      </c>
      <c r="Q33" s="1">
        <f>IF(OR($B33&lt;&gt;$B18,$B34&lt;&gt;$B19,$B35&lt;&gt;$B20,$B36&lt;&gt;$B21,$B37&lt;&gt;$B22,$B38&lt;&gt;$B23,$B39&lt;&gt;$B24,$B40&lt;&gt;$B25,$B41&lt;&gt;$B26,$B42&lt;&gt;$B27,$B43&lt;&gt;$B28),IF($B33&lt;&gt;$B18,Q18/INDEX($C18:$AJ28,1,MATCH(IF('Data-solution'!$A$3="Maximize",MAX($C29:$AI29),MIN($C29:$AI29)),$C29:$AI29,0)),Q18-INDEX($C18:$AJ28,1,MATCH(IF('Data-solution'!$A$3="Maximize",MAX($C29:$AI29),MIN($C29:$AI29)),$C29:$AI29,0))*INDEX(Q18:$AJ28,MATCH(MIN($AK18:$AK28),$AK18:$AK28,0),1)/INDEX($C18:$AJ28,MATCH(MIN($AK18:$AK28),$AK18:$AK28,0),MATCH(IF('Data-solution'!$A$3="Maximize",MAX($C29:$AI29),MIN($C29:$AI29)),$C29:$AI29,0))),Q18)</f>
        <v>-1</v>
      </c>
      <c r="R33" s="1">
        <f>IF(OR($B33&lt;&gt;$B18,$B34&lt;&gt;$B19,$B35&lt;&gt;$B20,$B36&lt;&gt;$B21,$B37&lt;&gt;$B22,$B38&lt;&gt;$B23,$B39&lt;&gt;$B24,$B40&lt;&gt;$B25,$B41&lt;&gt;$B26,$B42&lt;&gt;$B27,$B43&lt;&gt;$B28),IF($B33&lt;&gt;$B18,R18/INDEX($C18:$AJ28,1,MATCH(IF('Data-solution'!$A$3="Maximize",MAX($C29:$AI29),MIN($C29:$AI29)),$C29:$AI29,0)),R18-INDEX($C18:$AJ28,1,MATCH(IF('Data-solution'!$A$3="Maximize",MAX($C29:$AI29),MIN($C29:$AI29)),$C29:$AI29,0))*INDEX(R18:$AJ28,MATCH(MIN($AK18:$AK28),$AK18:$AK28,0),1)/INDEX($C18:$AJ28,MATCH(MIN($AK18:$AK28),$AK18:$AK28,0),MATCH(IF('Data-solution'!$A$3="Maximize",MAX($C29:$AI29),MIN($C29:$AI29)),$C29:$AI29,0))),R18)</f>
        <v>0</v>
      </c>
      <c r="S33" s="1">
        <f>IF(OR($B33&lt;&gt;$B18,$B34&lt;&gt;$B19,$B35&lt;&gt;$B20,$B36&lt;&gt;$B21,$B37&lt;&gt;$B22,$B38&lt;&gt;$B23,$B39&lt;&gt;$B24,$B40&lt;&gt;$B25,$B41&lt;&gt;$B26,$B42&lt;&gt;$B27,$B43&lt;&gt;$B28),IF($B33&lt;&gt;$B18,S18/INDEX($C18:$AJ28,1,MATCH(IF('Data-solution'!$A$3="Maximize",MAX($C29:$AI29),MIN($C29:$AI29)),$C29:$AI29,0)),S18-INDEX($C18:$AJ28,1,MATCH(IF('Data-solution'!$A$3="Maximize",MAX($C29:$AI29),MIN($C29:$AI29)),$C29:$AI29,0))*INDEX(S18:$AJ28,MATCH(MIN($AK18:$AK28),$AK18:$AK28,0),1)/INDEX($C18:$AJ28,MATCH(MIN($AK18:$AK28),$AK18:$AK28,0),MATCH(IF('Data-solution'!$A$3="Maximize",MAX($C29:$AI29),MIN($C29:$AI29)),$C29:$AI29,0))),S18)</f>
        <v>0</v>
      </c>
      <c r="T33" s="1">
        <f>IF(OR($B33&lt;&gt;$B18,$B34&lt;&gt;$B19,$B35&lt;&gt;$B20,$B36&lt;&gt;$B21,$B37&lt;&gt;$B22,$B38&lt;&gt;$B23,$B39&lt;&gt;$B24,$B40&lt;&gt;$B25,$B41&lt;&gt;$B26,$B42&lt;&gt;$B27,$B43&lt;&gt;$B28),IF($B33&lt;&gt;$B18,T18/INDEX($C18:$AJ28,1,MATCH(IF('Data-solution'!$A$3="Maximize",MAX($C29:$AI29),MIN($C29:$AI29)),$C29:$AI29,0)),T18-INDEX($C18:$AJ28,1,MATCH(IF('Data-solution'!$A$3="Maximize",MAX($C29:$AI29),MIN($C29:$AI29)),$C29:$AI29,0))*INDEX(T18:$AJ28,MATCH(MIN($AK18:$AK28),$AK18:$AK28,0),1)/INDEX($C18:$AJ28,MATCH(MIN($AK18:$AK28),$AK18:$AK28,0),MATCH(IF('Data-solution'!$A$3="Maximize",MAX($C29:$AI29),MIN($C29:$AI29)),$C29:$AI29,0))),T18)</f>
        <v>0</v>
      </c>
      <c r="U33" s="1">
        <f>IF(OR($B33&lt;&gt;$B18,$B34&lt;&gt;$B19,$B35&lt;&gt;$B20,$B36&lt;&gt;$B21,$B37&lt;&gt;$B22,$B38&lt;&gt;$B23,$B39&lt;&gt;$B24,$B40&lt;&gt;$B25,$B41&lt;&gt;$B26,$B42&lt;&gt;$B27,$B43&lt;&gt;$B28),IF($B33&lt;&gt;$B18,U18/INDEX($C18:$AJ28,1,MATCH(IF('Data-solution'!$A$3="Maximize",MAX($C29:$AI29),MIN($C29:$AI29)),$C29:$AI29,0)),U18-INDEX($C18:$AJ28,1,MATCH(IF('Data-solution'!$A$3="Maximize",MAX($C29:$AI29),MIN($C29:$AI29)),$C29:$AI29,0))*INDEX(U18:$AJ28,MATCH(MIN($AK18:$AK28),$AK18:$AK28,0),1)/INDEX($C18:$AJ28,MATCH(MIN($AK18:$AK28),$AK18:$AK28,0),MATCH(IF('Data-solution'!$A$3="Maximize",MAX($C29:$AI29),MIN($C29:$AI29)),$C29:$AI29,0))),U18)</f>
        <v>0</v>
      </c>
      <c r="V33" s="1">
        <f>IF(OR($B33&lt;&gt;$B18,$B34&lt;&gt;$B19,$B35&lt;&gt;$B20,$B36&lt;&gt;$B21,$B37&lt;&gt;$B22,$B38&lt;&gt;$B23,$B39&lt;&gt;$B24,$B40&lt;&gt;$B25,$B41&lt;&gt;$B26,$B42&lt;&gt;$B27,$B43&lt;&gt;$B28),IF($B33&lt;&gt;$B18,V18/INDEX($C18:$AJ28,1,MATCH(IF('Data-solution'!$A$3="Maximize",MAX($C29:$AI29),MIN($C29:$AI29)),$C29:$AI29,0)),V18-INDEX($C18:$AJ28,1,MATCH(IF('Data-solution'!$A$3="Maximize",MAX($C29:$AI29),MIN($C29:$AI29)),$C29:$AI29,0))*INDEX(V18:$AJ28,MATCH(MIN($AK18:$AK28),$AK18:$AK28,0),1)/INDEX($C18:$AJ28,MATCH(MIN($AK18:$AK28),$AK18:$AK28,0),MATCH(IF('Data-solution'!$A$3="Maximize",MAX($C29:$AI29),MIN($C29:$AI29)),$C29:$AI29,0))),V18)</f>
        <v>0</v>
      </c>
      <c r="W33" s="1">
        <f>IF(OR($B33&lt;&gt;$B18,$B34&lt;&gt;$B19,$B35&lt;&gt;$B20,$B36&lt;&gt;$B21,$B37&lt;&gt;$B22,$B38&lt;&gt;$B23,$B39&lt;&gt;$B24,$B40&lt;&gt;$B25,$B41&lt;&gt;$B26,$B42&lt;&gt;$B27,$B43&lt;&gt;$B28),IF($B33&lt;&gt;$B18,W18/INDEX($C18:$AJ28,1,MATCH(IF('Data-solution'!$A$3="Maximize",MAX($C29:$AI29),MIN($C29:$AI29)),$C29:$AI29,0)),W18-INDEX($C18:$AJ28,1,MATCH(IF('Data-solution'!$A$3="Maximize",MAX($C29:$AI29),MIN($C29:$AI29)),$C29:$AI29,0))*INDEX(W18:$AJ28,MATCH(MIN($AK18:$AK28),$AK18:$AK28,0),1)/INDEX($C18:$AJ28,MATCH(MIN($AK18:$AK28),$AK18:$AK28,0),MATCH(IF('Data-solution'!$A$3="Maximize",MAX($C29:$AI29),MIN($C29:$AI29)),$C29:$AI29,0))),W18)</f>
        <v>0</v>
      </c>
      <c r="X33" s="1">
        <f>IF(OR($B33&lt;&gt;$B18,$B34&lt;&gt;$B19,$B35&lt;&gt;$B20,$B36&lt;&gt;$B21,$B37&lt;&gt;$B22,$B38&lt;&gt;$B23,$B39&lt;&gt;$B24,$B40&lt;&gt;$B25,$B41&lt;&gt;$B26,$B42&lt;&gt;$B27,$B43&lt;&gt;$B28),IF($B33&lt;&gt;$B18,X18/INDEX($C18:$AJ28,1,MATCH(IF('Data-solution'!$A$3="Maximize",MAX($C29:$AI29),MIN($C29:$AI29)),$C29:$AI29,0)),X18-INDEX($C18:$AJ28,1,MATCH(IF('Data-solution'!$A$3="Maximize",MAX($C29:$AI29),MIN($C29:$AI29)),$C29:$AI29,0))*INDEX(X18:$AJ28,MATCH(MIN($AK18:$AK28),$AK18:$AK28,0),1)/INDEX($C18:$AJ28,MATCH(MIN($AK18:$AK28),$AK18:$AK28,0),MATCH(IF('Data-solution'!$A$3="Maximize",MAX($C29:$AI29),MIN($C29:$AI29)),$C29:$AI29,0))),X18)</f>
        <v>0</v>
      </c>
      <c r="Y33" s="1">
        <f>IF(OR($B33&lt;&gt;$B18,$B34&lt;&gt;$B19,$B35&lt;&gt;$B20,$B36&lt;&gt;$B21,$B37&lt;&gt;$B22,$B38&lt;&gt;$B23,$B39&lt;&gt;$B24,$B40&lt;&gt;$B25,$B41&lt;&gt;$B26,$B42&lt;&gt;$B27,$B43&lt;&gt;$B28),IF($B33&lt;&gt;$B18,Y18/INDEX($C18:$AJ28,1,MATCH(IF('Data-solution'!$A$3="Maximize",MAX($C29:$AI29),MIN($C29:$AI29)),$C29:$AI29,0)),Y18-INDEX($C18:$AJ28,1,MATCH(IF('Data-solution'!$A$3="Maximize",MAX($C29:$AI29),MIN($C29:$AI29)),$C29:$AI29,0))*INDEX(Y18:$AJ28,MATCH(MIN($AK18:$AK28),$AK18:$AK28,0),1)/INDEX($C18:$AJ28,MATCH(MIN($AK18:$AK28),$AK18:$AK28,0),MATCH(IF('Data-solution'!$A$3="Maximize",MAX($C29:$AI29),MIN($C29:$AI29)),$C29:$AI29,0))),Y18)</f>
        <v>1</v>
      </c>
      <c r="Z33" s="1">
        <f>IF(OR($B33&lt;&gt;$B18,$B34&lt;&gt;$B19,$B35&lt;&gt;$B20,$B36&lt;&gt;$B21,$B37&lt;&gt;$B22,$B38&lt;&gt;$B23,$B39&lt;&gt;$B24,$B40&lt;&gt;$B25,$B41&lt;&gt;$B26,$B42&lt;&gt;$B27,$B43&lt;&gt;$B28),IF($B33&lt;&gt;$B18,Z18/INDEX($C18:$AJ28,1,MATCH(IF('Data-solution'!$A$3="Maximize",MAX($C29:$AI29),MIN($C29:$AI29)),$C29:$AI29,0)),Z18-INDEX($C18:$AJ28,1,MATCH(IF('Data-solution'!$A$3="Maximize",MAX($C29:$AI29),MIN($C29:$AI29)),$C29:$AI29,0))*INDEX(Z18:$AJ28,MATCH(MIN($AK18:$AK28),$AK18:$AK28,0),1)/INDEX($C18:$AJ28,MATCH(MIN($AK18:$AK28),$AK18:$AK28,0),MATCH(IF('Data-solution'!$A$3="Maximize",MAX($C29:$AI29),MIN($C29:$AI29)),$C29:$AI29,0))),Z18)</f>
        <v>0</v>
      </c>
      <c r="AA33" s="1">
        <f>IF(OR($B33&lt;&gt;$B18,$B34&lt;&gt;$B19,$B35&lt;&gt;$B20,$B36&lt;&gt;$B21,$B37&lt;&gt;$B22,$B38&lt;&gt;$B23,$B39&lt;&gt;$B24,$B40&lt;&gt;$B25,$B41&lt;&gt;$B26,$B42&lt;&gt;$B27,$B43&lt;&gt;$B28),IF($B33&lt;&gt;$B18,AA18/INDEX($C18:$AJ28,1,MATCH(IF('Data-solution'!$A$3="Maximize",MAX($C29:$AI29),MIN($C29:$AI29)),$C29:$AI29,0)),AA18-INDEX($C18:$AJ28,1,MATCH(IF('Data-solution'!$A$3="Maximize",MAX($C29:$AI29),MIN($C29:$AI29)),$C29:$AI29,0))*INDEX(AA18:$AJ28,MATCH(MIN($AK18:$AK28),$AK18:$AK28,0),1)/INDEX($C18:$AJ28,MATCH(MIN($AK18:$AK28),$AK18:$AK28,0),MATCH(IF('Data-solution'!$A$3="Maximize",MAX($C29:$AI29),MIN($C29:$AI29)),$C29:$AI29,0))),AA18)</f>
        <v>0</v>
      </c>
      <c r="AB33" s="1">
        <f>IF(OR($B33&lt;&gt;$B18,$B34&lt;&gt;$B19,$B35&lt;&gt;$B20,$B36&lt;&gt;$B21,$B37&lt;&gt;$B22,$B38&lt;&gt;$B23,$B39&lt;&gt;$B24,$B40&lt;&gt;$B25,$B41&lt;&gt;$B26,$B42&lt;&gt;$B27,$B43&lt;&gt;$B28),IF($B33&lt;&gt;$B18,AB18/INDEX($C18:$AJ28,1,MATCH(IF('Data-solution'!$A$3="Maximize",MAX($C29:$AI29),MIN($C29:$AI29)),$C29:$AI29,0)),AB18-INDEX($C18:$AJ28,1,MATCH(IF('Data-solution'!$A$3="Maximize",MAX($C29:$AI29),MIN($C29:$AI29)),$C29:$AI29,0))*INDEX(AB18:$AJ28,MATCH(MIN($AK18:$AK28),$AK18:$AK28,0),1)/INDEX($C18:$AJ28,MATCH(MIN($AK18:$AK28),$AK18:$AK28,0),MATCH(IF('Data-solution'!$A$3="Maximize",MAX($C29:$AI29),MIN($C29:$AI29)),$C29:$AI29,0))),AB18)</f>
        <v>-1</v>
      </c>
      <c r="AC33" s="1">
        <f>IF(OR($B33&lt;&gt;$B18,$B34&lt;&gt;$B19,$B35&lt;&gt;$B20,$B36&lt;&gt;$B21,$B37&lt;&gt;$B22,$B38&lt;&gt;$B23,$B39&lt;&gt;$B24,$B40&lt;&gt;$B25,$B41&lt;&gt;$B26,$B42&lt;&gt;$B27,$B43&lt;&gt;$B28),IF($B33&lt;&gt;$B18,AC18/INDEX($C18:$AJ28,1,MATCH(IF('Data-solution'!$A$3="Maximize",MAX($C29:$AI29),MIN($C29:$AI29)),$C29:$AI29,0)),AC18-INDEX($C18:$AJ28,1,MATCH(IF('Data-solution'!$A$3="Maximize",MAX($C29:$AI29),MIN($C29:$AI29)),$C29:$AI29,0))*INDEX(AC18:$AJ28,MATCH(MIN($AK18:$AK28),$AK18:$AK28,0),1)/INDEX($C18:$AJ28,MATCH(MIN($AK18:$AK28),$AK18:$AK28,0),MATCH(IF('Data-solution'!$A$3="Maximize",MAX($C29:$AI29),MIN($C29:$AI29)),$C29:$AI29,0))),AC18)</f>
        <v>0</v>
      </c>
      <c r="AD33" s="1">
        <f>IF(OR($B33&lt;&gt;$B18,$B34&lt;&gt;$B19,$B35&lt;&gt;$B20,$B36&lt;&gt;$B21,$B37&lt;&gt;$B22,$B38&lt;&gt;$B23,$B39&lt;&gt;$B24,$B40&lt;&gt;$B25,$B41&lt;&gt;$B26,$B42&lt;&gt;$B27,$B43&lt;&gt;$B28),IF($B33&lt;&gt;$B18,AD18/INDEX($C18:$AJ28,1,MATCH(IF('Data-solution'!$A$3="Maximize",MAX($C29:$AI29),MIN($C29:$AI29)),$C29:$AI29,0)),AD18-INDEX($C18:$AJ28,1,MATCH(IF('Data-solution'!$A$3="Maximize",MAX($C29:$AI29),MIN($C29:$AI29)),$C29:$AI29,0))*INDEX(AD18:$AJ28,MATCH(MIN($AK18:$AK28),$AK18:$AK28,0),1)/INDEX($C18:$AJ28,MATCH(MIN($AK18:$AK28),$AK18:$AK28,0),MATCH(IF('Data-solution'!$A$3="Maximize",MAX($C29:$AI29),MIN($C29:$AI29)),$C29:$AI29,0))),AD18)</f>
        <v>0</v>
      </c>
      <c r="AE33" s="1">
        <f>IF(OR($B33&lt;&gt;$B18,$B34&lt;&gt;$B19,$B35&lt;&gt;$B20,$B36&lt;&gt;$B21,$B37&lt;&gt;$B22,$B38&lt;&gt;$B23,$B39&lt;&gt;$B24,$B40&lt;&gt;$B25,$B41&lt;&gt;$B26,$B42&lt;&gt;$B27,$B43&lt;&gt;$B28),IF($B33&lt;&gt;$B18,AE18/INDEX($C18:$AJ28,1,MATCH(IF('Data-solution'!$A$3="Maximize",MAX($C29:$AI29),MIN($C29:$AI29)),$C29:$AI29,0)),AE18-INDEX($C18:$AJ28,1,MATCH(IF('Data-solution'!$A$3="Maximize",MAX($C29:$AI29),MIN($C29:$AI29)),$C29:$AI29,0))*INDEX(AE18:$AJ28,MATCH(MIN($AK18:$AK28),$AK18:$AK28,0),1)/INDEX($C18:$AJ28,MATCH(MIN($AK18:$AK28),$AK18:$AK28,0),MATCH(IF('Data-solution'!$A$3="Maximize",MAX($C29:$AI29),MIN($C29:$AI29)),$C29:$AI29,0))),AE18)</f>
        <v>0</v>
      </c>
      <c r="AF33" s="1">
        <f>IF(OR($B33&lt;&gt;$B18,$B34&lt;&gt;$B19,$B35&lt;&gt;$B20,$B36&lt;&gt;$B21,$B37&lt;&gt;$B22,$B38&lt;&gt;$B23,$B39&lt;&gt;$B24,$B40&lt;&gt;$B25,$B41&lt;&gt;$B26,$B42&lt;&gt;$B27,$B43&lt;&gt;$B28),IF($B33&lt;&gt;$B18,AF18/INDEX($C18:$AJ28,1,MATCH(IF('Data-solution'!$A$3="Maximize",MAX($C29:$AI29),MIN($C29:$AI29)),$C29:$AI29,0)),AF18-INDEX($C18:$AJ28,1,MATCH(IF('Data-solution'!$A$3="Maximize",MAX($C29:$AI29),MIN($C29:$AI29)),$C29:$AI29,0))*INDEX(AF18:$AJ28,MATCH(MIN($AK18:$AK28),$AK18:$AK28,0),1)/INDEX($C18:$AJ28,MATCH(MIN($AK18:$AK28),$AK18:$AK28,0),MATCH(IF('Data-solution'!$A$3="Maximize",MAX($C29:$AI29),MIN($C29:$AI29)),$C29:$AI29,0))),AF18)</f>
        <v>0</v>
      </c>
      <c r="AG33" s="1">
        <f>IF(OR($B33&lt;&gt;$B18,$B34&lt;&gt;$B19,$B35&lt;&gt;$B20,$B36&lt;&gt;$B21,$B37&lt;&gt;$B22,$B38&lt;&gt;$B23,$B39&lt;&gt;$B24,$B40&lt;&gt;$B25,$B41&lt;&gt;$B26,$B42&lt;&gt;$B27,$B43&lt;&gt;$B28),IF($B33&lt;&gt;$B18,AG18/INDEX($C18:$AJ28,1,MATCH(IF('Data-solution'!$A$3="Maximize",MAX($C29:$AI29),MIN($C29:$AI29)),$C29:$AI29,0)),AG18-INDEX($C18:$AJ28,1,MATCH(IF('Data-solution'!$A$3="Maximize",MAX($C29:$AI29),MIN($C29:$AI29)),$C29:$AI29,0))*INDEX(AG18:$AJ28,MATCH(MIN($AK18:$AK28),$AK18:$AK28,0),1)/INDEX($C18:$AJ28,MATCH(MIN($AK18:$AK28),$AK18:$AK28,0),MATCH(IF('Data-solution'!$A$3="Maximize",MAX($C29:$AI29),MIN($C29:$AI29)),$C29:$AI29,0))),AG18)</f>
        <v>0</v>
      </c>
      <c r="AH33" s="1">
        <f>IF(OR($B33&lt;&gt;$B18,$B34&lt;&gt;$B19,$B35&lt;&gt;$B20,$B36&lt;&gt;$B21,$B37&lt;&gt;$B22,$B38&lt;&gt;$B23,$B39&lt;&gt;$B24,$B40&lt;&gt;$B25,$B41&lt;&gt;$B26,$B42&lt;&gt;$B27,$B43&lt;&gt;$B28),IF($B33&lt;&gt;$B18,AH18/INDEX($C18:$AJ28,1,MATCH(IF('Data-solution'!$A$3="Maximize",MAX($C29:$AI29),MIN($C29:$AI29)),$C29:$AI29,0)),AH18-INDEX($C18:$AJ28,1,MATCH(IF('Data-solution'!$A$3="Maximize",MAX($C29:$AI29),MIN($C29:$AI29)),$C29:$AI29,0))*INDEX(AH18:$AJ28,MATCH(MIN($AK18:$AK28),$AK18:$AK28,0),1)/INDEX($C18:$AJ28,MATCH(MIN($AK18:$AK28),$AK18:$AK28,0),MATCH(IF('Data-solution'!$A$3="Maximize",MAX($C29:$AI29),MIN($C29:$AI29)),$C29:$AI29,0))),AH18)</f>
        <v>0</v>
      </c>
      <c r="AI33" s="1">
        <f>IF(OR($B33&lt;&gt;$B18,$B34&lt;&gt;$B19,$B35&lt;&gt;$B20,$B36&lt;&gt;$B21,$B37&lt;&gt;$B22,$B38&lt;&gt;$B23,$B39&lt;&gt;$B24,$B40&lt;&gt;$B25,$B41&lt;&gt;$B26,$B42&lt;&gt;$B27,$B43&lt;&gt;$B28),IF($B33&lt;&gt;$B18,AI18/INDEX($C18:$AJ28,1,MATCH(IF('Data-solution'!$A$3="Maximize",MAX($C29:$AI29),MIN($C29:$AI29)),$C29:$AI29,0)),AI18-INDEX($C18:$AJ28,1,MATCH(IF('Data-solution'!$A$3="Maximize",MAX($C29:$AI29),MIN($C29:$AI29)),$C29:$AI29,0))*INDEX(AI18:$AJ28,MATCH(MIN($AK18:$AK28),$AK18:$AK28,0),1)/INDEX($C18:$AJ28,MATCH(MIN($AK18:$AK28),$AK18:$AK28,0),MATCH(IF('Data-solution'!$A$3="Maximize",MAX($C29:$AI29),MIN($C29:$AI29)),$C29:$AI29,0))),AI18)</f>
        <v>0</v>
      </c>
      <c r="AJ33" s="1">
        <f>IF(OR($B33&lt;&gt;$B18,$B34&lt;&gt;$B19,$B35&lt;&gt;$B20,$B36&lt;&gt;$B21,$B37&lt;&gt;$B22,$B38&lt;&gt;$B23,$B39&lt;&gt;$B24,$B40&lt;&gt;$B25,$B41&lt;&gt;$B26,$B42&lt;&gt;$B27,$B43&lt;&gt;$B28),IF($B33&lt;&gt;$B18,AJ18/INDEX($C18:$AJ28,1,MATCH(IF('Data-solution'!$A$3="Maximize",MAX($C29:$AI29),MIN($C29:$AI29)),$C29:$AI29,0)),AJ18-INDEX($C18:$AJ28,1,MATCH(IF('Data-solution'!$A$3="Maximize",MAX($C29:$AI29),MIN($C29:$AI29)),$C29:$AI29,0))*INDEX(AJ18:$AJ28,MATCH(MIN($AK18:$AK28),$AK18:$AK28,0),1)/INDEX($C18:$AJ28,MATCH(MIN($AK18:$AK28),$AK18:$AK28,0),MATCH(IF('Data-solution'!$A$3="Maximize",MAX($C29:$AI29),MIN($C29:$AI29)),$C29:$AI29,0))),AJ18)</f>
        <v>150</v>
      </c>
      <c r="AK33" s="1" t="str">
        <f>IF(INDEX(C33:X33,1,MATCH(IF('Data-solution'!A$3="Maximize",MAX(C44:X44),MIN(C44:X44)),C44:X44,0))&gt;0,AJ33/INDEX(C33:X33,1,MATCH(IF('Data-solution'!A$3="Maximize",MAX(C44:X44),MIN(C44:X44)),C44:X44,0))," ")</f>
        <v xml:space="preserve"> </v>
      </c>
    </row>
    <row r="34" spans="1:37" ht="18" customHeight="1" x14ac:dyDescent="0.2">
      <c r="A34" s="1">
        <f t="shared" ref="A34" si="9">INDEX(C31:AI31,1,MATCH(B34,C32:AI32,0))</f>
        <v>0</v>
      </c>
      <c r="B34" s="2" t="str">
        <f>IF(AND('Data-solution'!A$3="Maximize",COUNTIF(C29:X29,"&gt;"&amp;0)&gt;0,AK19=MIN(AK18:AK28),COUNTIF(B33,INDEX(C17:X17,1,MATCH(MAX(C29:X29),C29:X29,0)))=0),INDEX(C17:X17,1,MATCH(MAX(C29:X29),C29:X29,0)),IF(AND('Data-solution'!A$3="Minimize",COUNTIF(C29:X29,"&lt;"&amp;0)&gt;0,AK19=MIN(AK18:AK28),COUNTIF(B33,INDEX(C17:X17,1,MATCH(MIN(C29:X29),C29:X29,0)))=0),INDEX(C17:X17,1,MATCH(MIN(C29:X29),C29:X29,0)),B19))</f>
        <v>S2</v>
      </c>
      <c r="C34" s="1">
        <f>IF(OR($B33&lt;&gt;$B18,$B34&lt;&gt;$B19,$B35&lt;&gt;$B20,$B36&lt;&gt;$B21,$B37&lt;&gt;$B22,$B38&lt;&gt;$B23,$B39&lt;&gt;$B24,$B40&lt;&gt;$B25,$B41&lt;&gt;$B26,$B42&lt;&gt;$B27,$B43&lt;&gt;$B28),IF($B34&lt;&gt;$B19,C19/INDEX($C18:$AJ28,2,MATCH(IF('Data-solution'!$A$3="Maximize",MAX($C29:$AI29),MIN($C29:$AI29)),$C29:$AI29,0)),C19-INDEX($C18:$AJ28,2,MATCH(IF('Data-solution'!$A$3="Maximize",MAX($C29:$AI29),MIN($C29:$AI29)),$C29:$AI29,0))*INDEX(C18:$AJ28,MATCH(MIN($AK18:$AK28),$AK18:$AK28,0),1)/INDEX($C18:$AJ28,MATCH(MIN($AK18:$AK28),$AK18:$AK28,0),MATCH(IF('Data-solution'!$A$3="Maximize",MAX($C29:$AI29),MIN($C29:$AI29)),$C29:$AI29,0))),C19)</f>
        <v>0</v>
      </c>
      <c r="D34" s="1">
        <f>IF(OR($B33&lt;&gt;$B18,$B34&lt;&gt;$B19,$B35&lt;&gt;$B20,$B36&lt;&gt;$B21,$B37&lt;&gt;$B22,$B38&lt;&gt;$B23,$B39&lt;&gt;$B24,$B40&lt;&gt;$B25,$B41&lt;&gt;$B26,$B42&lt;&gt;$B27,$B43&lt;&gt;$B28),IF($B34&lt;&gt;$B19,D19/INDEX($C18:$AJ28,2,MATCH(IF('Data-solution'!$A$3="Maximize",MAX($C29:$AI29),MIN($C29:$AI29)),$C29:$AI29,0)),D19-INDEX($C18:$AJ28,2,MATCH(IF('Data-solution'!$A$3="Maximize",MAX($C29:$AI29),MIN($C29:$AI29)),$C29:$AI29,0))*INDEX(D18:$AJ28,MATCH(MIN($AK18:$AK28),$AK18:$AK28,0),1)/INDEX($C18:$AJ28,MATCH(MIN($AK18:$AK28),$AK18:$AK28,0),MATCH(IF('Data-solution'!$A$3="Maximize",MAX($C29:$AI29),MIN($C29:$AI29)),$C29:$AI29,0))),D19)</f>
        <v>1.75</v>
      </c>
      <c r="E34" s="1">
        <f>IF(OR($B33&lt;&gt;$B18,$B34&lt;&gt;$B19,$B35&lt;&gt;$B20,$B36&lt;&gt;$B21,$B37&lt;&gt;$B22,$B38&lt;&gt;$B23,$B39&lt;&gt;$B24,$B40&lt;&gt;$B25,$B41&lt;&gt;$B26,$B42&lt;&gt;$B27,$B43&lt;&gt;$B28),IF($B34&lt;&gt;$B19,E19/INDEX($C18:$AJ28,2,MATCH(IF('Data-solution'!$A$3="Maximize",MAX($C29:$AI29),MIN($C29:$AI29)),$C29:$AI29,0)),E19-INDEX($C18:$AJ28,2,MATCH(IF('Data-solution'!$A$3="Maximize",MAX($C29:$AI29),MIN($C29:$AI29)),$C29:$AI29,0))*INDEX(E18:$AJ28,MATCH(MIN($AK18:$AK28),$AK18:$AK28,0),1)/INDEX($C18:$AJ28,MATCH(MIN($AK18:$AK28),$AK18:$AK28,0),MATCH(IF('Data-solution'!$A$3="Maximize",MAX($C29:$AI29),MIN($C29:$AI29)),$C29:$AI29,0))),E19)</f>
        <v>0</v>
      </c>
      <c r="F34" s="1">
        <f>IF(OR($B33&lt;&gt;$B18,$B34&lt;&gt;$B19,$B35&lt;&gt;$B20,$B36&lt;&gt;$B21,$B37&lt;&gt;$B22,$B38&lt;&gt;$B23,$B39&lt;&gt;$B24,$B40&lt;&gt;$B25,$B41&lt;&gt;$B26,$B42&lt;&gt;$B27,$B43&lt;&gt;$B28),IF($B34&lt;&gt;$B19,F19/INDEX($C18:$AJ28,2,MATCH(IF('Data-solution'!$A$3="Maximize",MAX($C29:$AI29),MIN($C29:$AI29)),$C29:$AI29,0)),F19-INDEX($C18:$AJ28,2,MATCH(IF('Data-solution'!$A$3="Maximize",MAX($C29:$AI29),MIN($C29:$AI29)),$C29:$AI29,0))*INDEX(F18:$AJ28,MATCH(MIN($AK18:$AK28),$AK18:$AK28,0),1)/INDEX($C18:$AJ28,MATCH(MIN($AK18:$AK28),$AK18:$AK28,0),MATCH(IF('Data-solution'!$A$3="Maximize",MAX($C29:$AI29),MIN($C29:$AI29)),$C29:$AI29,0))),F19)</f>
        <v>0</v>
      </c>
      <c r="G34" s="1">
        <f>IF(OR($B33&lt;&gt;$B18,$B34&lt;&gt;$B19,$B35&lt;&gt;$B20,$B36&lt;&gt;$B21,$B37&lt;&gt;$B22,$B38&lt;&gt;$B23,$B39&lt;&gt;$B24,$B40&lt;&gt;$B25,$B41&lt;&gt;$B26,$B42&lt;&gt;$B27,$B43&lt;&gt;$B28),IF($B34&lt;&gt;$B19,G19/INDEX($C18:$AJ28,2,MATCH(IF('Data-solution'!$A$3="Maximize",MAX($C29:$AI29),MIN($C29:$AI29)),$C29:$AI29,0)),G19-INDEX($C18:$AJ28,2,MATCH(IF('Data-solution'!$A$3="Maximize",MAX($C29:$AI29),MIN($C29:$AI29)),$C29:$AI29,0))*INDEX(G18:$AJ28,MATCH(MIN($AK18:$AK28),$AK18:$AK28,0),1)/INDEX($C18:$AJ28,MATCH(MIN($AK18:$AK28),$AK18:$AK28,0),MATCH(IF('Data-solution'!$A$3="Maximize",MAX($C29:$AI29),MIN($C29:$AI29)),$C29:$AI29,0))),G19)</f>
        <v>0</v>
      </c>
      <c r="H34" s="1">
        <f>IF(OR($B33&lt;&gt;$B18,$B34&lt;&gt;$B19,$B35&lt;&gt;$B20,$B36&lt;&gt;$B21,$B37&lt;&gt;$B22,$B38&lt;&gt;$B23,$B39&lt;&gt;$B24,$B40&lt;&gt;$B25,$B41&lt;&gt;$B26,$B42&lt;&gt;$B27,$B43&lt;&gt;$B28),IF($B34&lt;&gt;$B19,H19/INDEX($C18:$AJ28,2,MATCH(IF('Data-solution'!$A$3="Maximize",MAX($C29:$AI29),MIN($C29:$AI29)),$C29:$AI29,0)),H19-INDEX($C18:$AJ28,2,MATCH(IF('Data-solution'!$A$3="Maximize",MAX($C29:$AI29),MIN($C29:$AI29)),$C29:$AI29,0))*INDEX(H18:$AJ28,MATCH(MIN($AK18:$AK28),$AK18:$AK28,0),1)/INDEX($C18:$AJ28,MATCH(MIN($AK18:$AK28),$AK18:$AK28,0),MATCH(IF('Data-solution'!$A$3="Maximize",MAX($C29:$AI29),MIN($C29:$AI29)),$C29:$AI29,0))),H19)</f>
        <v>0</v>
      </c>
      <c r="I34" s="1">
        <f>IF(OR($B33&lt;&gt;$B18,$B34&lt;&gt;$B19,$B35&lt;&gt;$B20,$B36&lt;&gt;$B21,$B37&lt;&gt;$B22,$B38&lt;&gt;$B23,$B39&lt;&gt;$B24,$B40&lt;&gt;$B25,$B41&lt;&gt;$B26,$B42&lt;&gt;$B27,$B43&lt;&gt;$B28),IF($B34&lt;&gt;$B19,I19/INDEX($C18:$AJ28,2,MATCH(IF('Data-solution'!$A$3="Maximize",MAX($C29:$AI29),MIN($C29:$AI29)),$C29:$AI29,0)),I19-INDEX($C18:$AJ28,2,MATCH(IF('Data-solution'!$A$3="Maximize",MAX($C29:$AI29),MIN($C29:$AI29)),$C29:$AI29,0))*INDEX(I18:$AJ28,MATCH(MIN($AK18:$AK28),$AK18:$AK28,0),1)/INDEX($C18:$AJ28,MATCH(MIN($AK18:$AK28),$AK18:$AK28,0),MATCH(IF('Data-solution'!$A$3="Maximize",MAX($C29:$AI29),MIN($C29:$AI29)),$C29:$AI29,0))),I19)</f>
        <v>0</v>
      </c>
      <c r="J34" s="1">
        <f>IF(OR($B33&lt;&gt;$B18,$B34&lt;&gt;$B19,$B35&lt;&gt;$B20,$B36&lt;&gt;$B21,$B37&lt;&gt;$B22,$B38&lt;&gt;$B23,$B39&lt;&gt;$B24,$B40&lt;&gt;$B25,$B41&lt;&gt;$B26,$B42&lt;&gt;$B27,$B43&lt;&gt;$B28),IF($B34&lt;&gt;$B19,J19/INDEX($C18:$AJ28,2,MATCH(IF('Data-solution'!$A$3="Maximize",MAX($C29:$AI29),MIN($C29:$AI29)),$C29:$AI29,0)),J19-INDEX($C18:$AJ28,2,MATCH(IF('Data-solution'!$A$3="Maximize",MAX($C29:$AI29),MIN($C29:$AI29)),$C29:$AI29,0))*INDEX(J18:$AJ28,MATCH(MIN($AK18:$AK28),$AK18:$AK28,0),1)/INDEX($C18:$AJ28,MATCH(MIN($AK18:$AK28),$AK18:$AK28,0),MATCH(IF('Data-solution'!$A$3="Maximize",MAX($C29:$AI29),MIN($C29:$AI29)),$C29:$AI29,0))),J19)</f>
        <v>0</v>
      </c>
      <c r="K34" s="1">
        <f>IF(OR($B33&lt;&gt;$B18,$B34&lt;&gt;$B19,$B35&lt;&gt;$B20,$B36&lt;&gt;$B21,$B37&lt;&gt;$B22,$B38&lt;&gt;$B23,$B39&lt;&gt;$B24,$B40&lt;&gt;$B25,$B41&lt;&gt;$B26,$B42&lt;&gt;$B27,$B43&lt;&gt;$B28),IF($B34&lt;&gt;$B19,K19/INDEX($C18:$AJ28,2,MATCH(IF('Data-solution'!$A$3="Maximize",MAX($C29:$AI29),MIN($C29:$AI29)),$C29:$AI29,0)),K19-INDEX($C18:$AJ28,2,MATCH(IF('Data-solution'!$A$3="Maximize",MAX($C29:$AI29),MIN($C29:$AI29)),$C29:$AI29,0))*INDEX(K18:$AJ28,MATCH(MIN($AK18:$AK28),$AK18:$AK28,0),1)/INDEX($C18:$AJ28,MATCH(MIN($AK18:$AK28),$AK18:$AK28,0),MATCH(IF('Data-solution'!$A$3="Maximize",MAX($C29:$AI29),MIN($C29:$AI29)),$C29:$AI29,0))),K19)</f>
        <v>0</v>
      </c>
      <c r="L34" s="1">
        <f>IF(OR($B33&lt;&gt;$B18,$B34&lt;&gt;$B19,$B35&lt;&gt;$B20,$B36&lt;&gt;$B21,$B37&lt;&gt;$B22,$B38&lt;&gt;$B23,$B39&lt;&gt;$B24,$B40&lt;&gt;$B25,$B41&lt;&gt;$B26,$B42&lt;&gt;$B27,$B43&lt;&gt;$B28),IF($B34&lt;&gt;$B19,L19/INDEX($C18:$AJ28,2,MATCH(IF('Data-solution'!$A$3="Maximize",MAX($C29:$AI29),MIN($C29:$AI29)),$C29:$AI29,0)),L19-INDEX($C18:$AJ28,2,MATCH(IF('Data-solution'!$A$3="Maximize",MAX($C29:$AI29),MIN($C29:$AI29)),$C29:$AI29,0))*INDEX(L18:$AJ28,MATCH(MIN($AK18:$AK28),$AK18:$AK28,0),1)/INDEX($C18:$AJ28,MATCH(MIN($AK18:$AK28),$AK18:$AK28,0),MATCH(IF('Data-solution'!$A$3="Maximize",MAX($C29:$AI29),MIN($C29:$AI29)),$C29:$AI29,0))),L19)</f>
        <v>0</v>
      </c>
      <c r="M34" s="1">
        <f>IF(OR($B33&lt;&gt;$B18,$B34&lt;&gt;$B19,$B35&lt;&gt;$B20,$B36&lt;&gt;$B21,$B37&lt;&gt;$B22,$B38&lt;&gt;$B23,$B39&lt;&gt;$B24,$B40&lt;&gt;$B25,$B41&lt;&gt;$B26,$B42&lt;&gt;$B27,$B43&lt;&gt;$B28),IF($B34&lt;&gt;$B19,M19/INDEX($C18:$AJ28,2,MATCH(IF('Data-solution'!$A$3="Maximize",MAX($C29:$AI29),MIN($C29:$AI29)),$C29:$AI29,0)),M19-INDEX($C18:$AJ28,2,MATCH(IF('Data-solution'!$A$3="Maximize",MAX($C29:$AI29),MIN($C29:$AI29)),$C29:$AI29,0))*INDEX(M18:$AJ28,MATCH(MIN($AK18:$AK28),$AK18:$AK28,0),1)/INDEX($C18:$AJ28,MATCH(MIN($AK18:$AK28),$AK18:$AK28,0),MATCH(IF('Data-solution'!$A$3="Maximize",MAX($C29:$AI29),MIN($C29:$AI29)),$C29:$AI29,0))),M19)</f>
        <v>0</v>
      </c>
      <c r="N34" s="1">
        <f>IF(OR($B33&lt;&gt;$B18,$B34&lt;&gt;$B19,$B35&lt;&gt;$B20,$B36&lt;&gt;$B21,$B37&lt;&gt;$B22,$B38&lt;&gt;$B23,$B39&lt;&gt;$B24,$B40&lt;&gt;$B25,$B41&lt;&gt;$B26,$B42&lt;&gt;$B27,$B43&lt;&gt;$B28),IF($B34&lt;&gt;$B19,N19/INDEX($C18:$AJ28,2,MATCH(IF('Data-solution'!$A$3="Maximize",MAX($C29:$AI29),MIN($C29:$AI29)),$C29:$AI29,0)),N19-INDEX($C18:$AJ28,2,MATCH(IF('Data-solution'!$A$3="Maximize",MAX($C29:$AI29),MIN($C29:$AI29)),$C29:$AI29,0))*INDEX(N18:$AJ28,MATCH(MIN($AK18:$AK28),$AK18:$AK28,0),1)/INDEX($C18:$AJ28,MATCH(MIN($AK18:$AK28),$AK18:$AK28,0),MATCH(IF('Data-solution'!$A$3="Maximize",MAX($C29:$AI29),MIN($C29:$AI29)),$C29:$AI29,0))),N19)</f>
        <v>0</v>
      </c>
      <c r="O34" s="1">
        <f>IF(OR($B33&lt;&gt;$B18,$B34&lt;&gt;$B19,$B35&lt;&gt;$B20,$B36&lt;&gt;$B21,$B37&lt;&gt;$B22,$B38&lt;&gt;$B23,$B39&lt;&gt;$B24,$B40&lt;&gt;$B25,$B41&lt;&gt;$B26,$B42&lt;&gt;$B27,$B43&lt;&gt;$B28),IF($B34&lt;&gt;$B19,O19/INDEX($C18:$AJ28,2,MATCH(IF('Data-solution'!$A$3="Maximize",MAX($C29:$AI29),MIN($C29:$AI29)),$C29:$AI29,0)),O19-INDEX($C18:$AJ28,2,MATCH(IF('Data-solution'!$A$3="Maximize",MAX($C29:$AI29),MIN($C29:$AI29)),$C29:$AI29,0))*INDEX(O18:$AJ28,MATCH(MIN($AK18:$AK28),$AK18:$AK28,0),1)/INDEX($C18:$AJ28,MATCH(MIN($AK18:$AK28),$AK18:$AK28,0),MATCH(IF('Data-solution'!$A$3="Maximize",MAX($C29:$AI29),MIN($C29:$AI29)),$C29:$AI29,0))),O19)</f>
        <v>1</v>
      </c>
      <c r="P34" s="1">
        <f>IF(OR($B33&lt;&gt;$B18,$B34&lt;&gt;$B19,$B35&lt;&gt;$B20,$B36&lt;&gt;$B21,$B37&lt;&gt;$B22,$B38&lt;&gt;$B23,$B39&lt;&gt;$B24,$B40&lt;&gt;$B25,$B41&lt;&gt;$B26,$B42&lt;&gt;$B27,$B43&lt;&gt;$B28),IF($B34&lt;&gt;$B19,P19/INDEX($C18:$AJ28,2,MATCH(IF('Data-solution'!$A$3="Maximize",MAX($C29:$AI29),MIN($C29:$AI29)),$C29:$AI29,0)),P19-INDEX($C18:$AJ28,2,MATCH(IF('Data-solution'!$A$3="Maximize",MAX($C29:$AI29),MIN($C29:$AI29)),$C29:$AI29,0))*INDEX(P18:$AJ28,MATCH(MIN($AK18:$AK28),$AK18:$AK28,0),1)/INDEX($C18:$AJ28,MATCH(MIN($AK18:$AK28),$AK18:$AK28,0),MATCH(IF('Data-solution'!$A$3="Maximize",MAX($C29:$AI29),MIN($C29:$AI29)),$C29:$AI29,0))),P19)</f>
        <v>-0.25</v>
      </c>
      <c r="Q34" s="1">
        <f>IF(OR($B33&lt;&gt;$B18,$B34&lt;&gt;$B19,$B35&lt;&gt;$B20,$B36&lt;&gt;$B21,$B37&lt;&gt;$B22,$B38&lt;&gt;$B23,$B39&lt;&gt;$B24,$B40&lt;&gt;$B25,$B41&lt;&gt;$B26,$B42&lt;&gt;$B27,$B43&lt;&gt;$B28),IF($B34&lt;&gt;$B19,Q19/INDEX($C18:$AJ28,2,MATCH(IF('Data-solution'!$A$3="Maximize",MAX($C29:$AI29),MIN($C29:$AI29)),$C29:$AI29,0)),Q19-INDEX($C18:$AJ28,2,MATCH(IF('Data-solution'!$A$3="Maximize",MAX($C29:$AI29),MIN($C29:$AI29)),$C29:$AI29,0))*INDEX(Q18:$AJ28,MATCH(MIN($AK18:$AK28),$AK18:$AK28,0),1)/INDEX($C18:$AJ28,MATCH(MIN($AK18:$AK28),$AK18:$AK28,0),MATCH(IF('Data-solution'!$A$3="Maximize",MAX($C29:$AI29),MIN($C29:$AI29)),$C29:$AI29,0))),Q19)</f>
        <v>-0.5</v>
      </c>
      <c r="R34" s="1">
        <f>IF(OR($B33&lt;&gt;$B18,$B34&lt;&gt;$B19,$B35&lt;&gt;$B20,$B36&lt;&gt;$B21,$B37&lt;&gt;$B22,$B38&lt;&gt;$B23,$B39&lt;&gt;$B24,$B40&lt;&gt;$B25,$B41&lt;&gt;$B26,$B42&lt;&gt;$B27,$B43&lt;&gt;$B28),IF($B34&lt;&gt;$B19,R19/INDEX($C18:$AJ28,2,MATCH(IF('Data-solution'!$A$3="Maximize",MAX($C29:$AI29),MIN($C29:$AI29)),$C29:$AI29,0)),R19-INDEX($C18:$AJ28,2,MATCH(IF('Data-solution'!$A$3="Maximize",MAX($C29:$AI29),MIN($C29:$AI29)),$C29:$AI29,0))*INDEX(R18:$AJ28,MATCH(MIN($AK18:$AK28),$AK18:$AK28,0),1)/INDEX($C18:$AJ28,MATCH(MIN($AK18:$AK28),$AK18:$AK28,0),MATCH(IF('Data-solution'!$A$3="Maximize",MAX($C29:$AI29),MIN($C29:$AI29)),$C29:$AI29,0))),R19)</f>
        <v>0</v>
      </c>
      <c r="S34" s="1">
        <f>IF(OR($B33&lt;&gt;$B18,$B34&lt;&gt;$B19,$B35&lt;&gt;$B20,$B36&lt;&gt;$B21,$B37&lt;&gt;$B22,$B38&lt;&gt;$B23,$B39&lt;&gt;$B24,$B40&lt;&gt;$B25,$B41&lt;&gt;$B26,$B42&lt;&gt;$B27,$B43&lt;&gt;$B28),IF($B34&lt;&gt;$B19,S19/INDEX($C18:$AJ28,2,MATCH(IF('Data-solution'!$A$3="Maximize",MAX($C29:$AI29),MIN($C29:$AI29)),$C29:$AI29,0)),S19-INDEX($C18:$AJ28,2,MATCH(IF('Data-solution'!$A$3="Maximize",MAX($C29:$AI29),MIN($C29:$AI29)),$C29:$AI29,0))*INDEX(S18:$AJ28,MATCH(MIN($AK18:$AK28),$AK18:$AK28,0),1)/INDEX($C18:$AJ28,MATCH(MIN($AK18:$AK28),$AK18:$AK28,0),MATCH(IF('Data-solution'!$A$3="Maximize",MAX($C29:$AI29),MIN($C29:$AI29)),$C29:$AI29,0))),S19)</f>
        <v>0</v>
      </c>
      <c r="T34" s="1">
        <f>IF(OR($B33&lt;&gt;$B18,$B34&lt;&gt;$B19,$B35&lt;&gt;$B20,$B36&lt;&gt;$B21,$B37&lt;&gt;$B22,$B38&lt;&gt;$B23,$B39&lt;&gt;$B24,$B40&lt;&gt;$B25,$B41&lt;&gt;$B26,$B42&lt;&gt;$B27,$B43&lt;&gt;$B28),IF($B34&lt;&gt;$B19,T19/INDEX($C18:$AJ28,2,MATCH(IF('Data-solution'!$A$3="Maximize",MAX($C29:$AI29),MIN($C29:$AI29)),$C29:$AI29,0)),T19-INDEX($C18:$AJ28,2,MATCH(IF('Data-solution'!$A$3="Maximize",MAX($C29:$AI29),MIN($C29:$AI29)),$C29:$AI29,0))*INDEX(T18:$AJ28,MATCH(MIN($AK18:$AK28),$AK18:$AK28,0),1)/INDEX($C18:$AJ28,MATCH(MIN($AK18:$AK28),$AK18:$AK28,0),MATCH(IF('Data-solution'!$A$3="Maximize",MAX($C29:$AI29),MIN($C29:$AI29)),$C29:$AI29,0))),T19)</f>
        <v>0</v>
      </c>
      <c r="U34" s="1">
        <f>IF(OR($B33&lt;&gt;$B18,$B34&lt;&gt;$B19,$B35&lt;&gt;$B20,$B36&lt;&gt;$B21,$B37&lt;&gt;$B22,$B38&lt;&gt;$B23,$B39&lt;&gt;$B24,$B40&lt;&gt;$B25,$B41&lt;&gt;$B26,$B42&lt;&gt;$B27,$B43&lt;&gt;$B28),IF($B34&lt;&gt;$B19,U19/INDEX($C18:$AJ28,2,MATCH(IF('Data-solution'!$A$3="Maximize",MAX($C29:$AI29),MIN($C29:$AI29)),$C29:$AI29,0)),U19-INDEX($C18:$AJ28,2,MATCH(IF('Data-solution'!$A$3="Maximize",MAX($C29:$AI29),MIN($C29:$AI29)),$C29:$AI29,0))*INDEX(U18:$AJ28,MATCH(MIN($AK18:$AK28),$AK18:$AK28,0),1)/INDEX($C18:$AJ28,MATCH(MIN($AK18:$AK28),$AK18:$AK28,0),MATCH(IF('Data-solution'!$A$3="Maximize",MAX($C29:$AI29),MIN($C29:$AI29)),$C29:$AI29,0))),U19)</f>
        <v>0</v>
      </c>
      <c r="V34" s="1">
        <f>IF(OR($B33&lt;&gt;$B18,$B34&lt;&gt;$B19,$B35&lt;&gt;$B20,$B36&lt;&gt;$B21,$B37&lt;&gt;$B22,$B38&lt;&gt;$B23,$B39&lt;&gt;$B24,$B40&lt;&gt;$B25,$B41&lt;&gt;$B26,$B42&lt;&gt;$B27,$B43&lt;&gt;$B28),IF($B34&lt;&gt;$B19,V19/INDEX($C18:$AJ28,2,MATCH(IF('Data-solution'!$A$3="Maximize",MAX($C29:$AI29),MIN($C29:$AI29)),$C29:$AI29,0)),V19-INDEX($C18:$AJ28,2,MATCH(IF('Data-solution'!$A$3="Maximize",MAX($C29:$AI29),MIN($C29:$AI29)),$C29:$AI29,0))*INDEX(V18:$AJ28,MATCH(MIN($AK18:$AK28),$AK18:$AK28,0),1)/INDEX($C18:$AJ28,MATCH(MIN($AK18:$AK28),$AK18:$AK28,0),MATCH(IF('Data-solution'!$A$3="Maximize",MAX($C29:$AI29),MIN($C29:$AI29)),$C29:$AI29,0))),V19)</f>
        <v>0</v>
      </c>
      <c r="W34" s="1">
        <f>IF(OR($B33&lt;&gt;$B18,$B34&lt;&gt;$B19,$B35&lt;&gt;$B20,$B36&lt;&gt;$B21,$B37&lt;&gt;$B22,$B38&lt;&gt;$B23,$B39&lt;&gt;$B24,$B40&lt;&gt;$B25,$B41&lt;&gt;$B26,$B42&lt;&gt;$B27,$B43&lt;&gt;$B28),IF($B34&lt;&gt;$B19,W19/INDEX($C18:$AJ28,2,MATCH(IF('Data-solution'!$A$3="Maximize",MAX($C29:$AI29),MIN($C29:$AI29)),$C29:$AI29,0)),W19-INDEX($C18:$AJ28,2,MATCH(IF('Data-solution'!$A$3="Maximize",MAX($C29:$AI29),MIN($C29:$AI29)),$C29:$AI29,0))*INDEX(W18:$AJ28,MATCH(MIN($AK18:$AK28),$AK18:$AK28,0),1)/INDEX($C18:$AJ28,MATCH(MIN($AK18:$AK28),$AK18:$AK28,0),MATCH(IF('Data-solution'!$A$3="Maximize",MAX($C29:$AI29),MIN($C29:$AI29)),$C29:$AI29,0))),W19)</f>
        <v>0</v>
      </c>
      <c r="X34" s="1">
        <f>IF(OR($B33&lt;&gt;$B18,$B34&lt;&gt;$B19,$B35&lt;&gt;$B20,$B36&lt;&gt;$B21,$B37&lt;&gt;$B22,$B38&lt;&gt;$B23,$B39&lt;&gt;$B24,$B40&lt;&gt;$B25,$B41&lt;&gt;$B26,$B42&lt;&gt;$B27,$B43&lt;&gt;$B28),IF($B34&lt;&gt;$B19,X19/INDEX($C18:$AJ28,2,MATCH(IF('Data-solution'!$A$3="Maximize",MAX($C29:$AI29),MIN($C29:$AI29)),$C29:$AI29,0)),X19-INDEX($C18:$AJ28,2,MATCH(IF('Data-solution'!$A$3="Maximize",MAX($C29:$AI29),MIN($C29:$AI29)),$C29:$AI29,0))*INDEX(X18:$AJ28,MATCH(MIN($AK18:$AK28),$AK18:$AK28,0),1)/INDEX($C18:$AJ28,MATCH(MIN($AK18:$AK28),$AK18:$AK28,0),MATCH(IF('Data-solution'!$A$3="Maximize",MAX($C29:$AI29),MIN($C29:$AI29)),$C29:$AI29,0))),X19)</f>
        <v>0</v>
      </c>
      <c r="Y34" s="1">
        <f>IF(OR($B33&lt;&gt;$B18,$B34&lt;&gt;$B19,$B35&lt;&gt;$B20,$B36&lt;&gt;$B21,$B37&lt;&gt;$B22,$B38&lt;&gt;$B23,$B39&lt;&gt;$B24,$B40&lt;&gt;$B25,$B41&lt;&gt;$B26,$B42&lt;&gt;$B27,$B43&lt;&gt;$B28),IF($B34&lt;&gt;$B19,Y19/INDEX($C18:$AJ28,2,MATCH(IF('Data-solution'!$A$3="Maximize",MAX($C29:$AI29),MIN($C29:$AI29)),$C29:$AI29,0)),Y19-INDEX($C18:$AJ28,2,MATCH(IF('Data-solution'!$A$3="Maximize",MAX($C29:$AI29),MIN($C29:$AI29)),$C29:$AI29,0))*INDEX(Y18:$AJ28,MATCH(MIN($AK18:$AK28),$AK18:$AK28,0),1)/INDEX($C18:$AJ28,MATCH(MIN($AK18:$AK28),$AK18:$AK28,0),MATCH(IF('Data-solution'!$A$3="Maximize",MAX($C29:$AI29),MIN($C29:$AI29)),$C29:$AI29,0))),Y19)</f>
        <v>0</v>
      </c>
      <c r="Z34" s="1">
        <f>IF(OR($B33&lt;&gt;$B18,$B34&lt;&gt;$B19,$B35&lt;&gt;$B20,$B36&lt;&gt;$B21,$B37&lt;&gt;$B22,$B38&lt;&gt;$B23,$B39&lt;&gt;$B24,$B40&lt;&gt;$B25,$B41&lt;&gt;$B26,$B42&lt;&gt;$B27,$B43&lt;&gt;$B28),IF($B34&lt;&gt;$B19,Z19/INDEX($C18:$AJ28,2,MATCH(IF('Data-solution'!$A$3="Maximize",MAX($C29:$AI29),MIN($C29:$AI29)),$C29:$AI29,0)),Z19-INDEX($C18:$AJ28,2,MATCH(IF('Data-solution'!$A$3="Maximize",MAX($C29:$AI29),MIN($C29:$AI29)),$C29:$AI29,0))*INDEX(Z18:$AJ28,MATCH(MIN($AK18:$AK28),$AK18:$AK28,0),1)/INDEX($C18:$AJ28,MATCH(MIN($AK18:$AK28),$AK18:$AK28,0),MATCH(IF('Data-solution'!$A$3="Maximize",MAX($C29:$AI29),MIN($C29:$AI29)),$C29:$AI29,0))),Z19)</f>
        <v>1</v>
      </c>
      <c r="AA34" s="1">
        <f>IF(OR($B33&lt;&gt;$B18,$B34&lt;&gt;$B19,$B35&lt;&gt;$B20,$B36&lt;&gt;$B21,$B37&lt;&gt;$B22,$B38&lt;&gt;$B23,$B39&lt;&gt;$B24,$B40&lt;&gt;$B25,$B41&lt;&gt;$B26,$B42&lt;&gt;$B27,$B43&lt;&gt;$B28),IF($B34&lt;&gt;$B19,AA19/INDEX($C18:$AJ28,2,MATCH(IF('Data-solution'!$A$3="Maximize",MAX($C29:$AI29),MIN($C29:$AI29)),$C29:$AI29,0)),AA19-INDEX($C18:$AJ28,2,MATCH(IF('Data-solution'!$A$3="Maximize",MAX($C29:$AI29),MIN($C29:$AI29)),$C29:$AI29,0))*INDEX(AA18:$AJ28,MATCH(MIN($AK18:$AK28),$AK18:$AK28,0),1)/INDEX($C18:$AJ28,MATCH(MIN($AK18:$AK28),$AK18:$AK28,0),MATCH(IF('Data-solution'!$A$3="Maximize",MAX($C29:$AI29),MIN($C29:$AI29)),$C29:$AI29,0))),AA19)</f>
        <v>-0.25</v>
      </c>
      <c r="AB34" s="1">
        <f>IF(OR($B33&lt;&gt;$B18,$B34&lt;&gt;$B19,$B35&lt;&gt;$B20,$B36&lt;&gt;$B21,$B37&lt;&gt;$B22,$B38&lt;&gt;$B23,$B39&lt;&gt;$B24,$B40&lt;&gt;$B25,$B41&lt;&gt;$B26,$B42&lt;&gt;$B27,$B43&lt;&gt;$B28),IF($B34&lt;&gt;$B19,AB19/INDEX($C18:$AJ28,2,MATCH(IF('Data-solution'!$A$3="Maximize",MAX($C29:$AI29),MIN($C29:$AI29)),$C29:$AI29,0)),AB19-INDEX($C18:$AJ28,2,MATCH(IF('Data-solution'!$A$3="Maximize",MAX($C29:$AI29),MIN($C29:$AI29)),$C29:$AI29,0))*INDEX(AB18:$AJ28,MATCH(MIN($AK18:$AK28),$AK18:$AK28,0),1)/INDEX($C18:$AJ28,MATCH(MIN($AK18:$AK28),$AK18:$AK28,0),MATCH(IF('Data-solution'!$A$3="Maximize",MAX($C29:$AI29),MIN($C29:$AI29)),$C29:$AI29,0))),AB19)</f>
        <v>-0.5</v>
      </c>
      <c r="AC34" s="1">
        <f>IF(OR($B33&lt;&gt;$B18,$B34&lt;&gt;$B19,$B35&lt;&gt;$B20,$B36&lt;&gt;$B21,$B37&lt;&gt;$B22,$B38&lt;&gt;$B23,$B39&lt;&gt;$B24,$B40&lt;&gt;$B25,$B41&lt;&gt;$B26,$B42&lt;&gt;$B27,$B43&lt;&gt;$B28),IF($B34&lt;&gt;$B19,AC19/INDEX($C18:$AJ28,2,MATCH(IF('Data-solution'!$A$3="Maximize",MAX($C29:$AI29),MIN($C29:$AI29)),$C29:$AI29,0)),AC19-INDEX($C18:$AJ28,2,MATCH(IF('Data-solution'!$A$3="Maximize",MAX($C29:$AI29),MIN($C29:$AI29)),$C29:$AI29,0))*INDEX(AC18:$AJ28,MATCH(MIN($AK18:$AK28),$AK18:$AK28,0),1)/INDEX($C18:$AJ28,MATCH(MIN($AK18:$AK28),$AK18:$AK28,0),MATCH(IF('Data-solution'!$A$3="Maximize",MAX($C29:$AI29),MIN($C29:$AI29)),$C29:$AI29,0))),AC19)</f>
        <v>0</v>
      </c>
      <c r="AD34" s="1">
        <f>IF(OR($B33&lt;&gt;$B18,$B34&lt;&gt;$B19,$B35&lt;&gt;$B20,$B36&lt;&gt;$B21,$B37&lt;&gt;$B22,$B38&lt;&gt;$B23,$B39&lt;&gt;$B24,$B40&lt;&gt;$B25,$B41&lt;&gt;$B26,$B42&lt;&gt;$B27,$B43&lt;&gt;$B28),IF($B34&lt;&gt;$B19,AD19/INDEX($C18:$AJ28,2,MATCH(IF('Data-solution'!$A$3="Maximize",MAX($C29:$AI29),MIN($C29:$AI29)),$C29:$AI29,0)),AD19-INDEX($C18:$AJ28,2,MATCH(IF('Data-solution'!$A$3="Maximize",MAX($C29:$AI29),MIN($C29:$AI29)),$C29:$AI29,0))*INDEX(AD18:$AJ28,MATCH(MIN($AK18:$AK28),$AK18:$AK28,0),1)/INDEX($C18:$AJ28,MATCH(MIN($AK18:$AK28),$AK18:$AK28,0),MATCH(IF('Data-solution'!$A$3="Maximize",MAX($C29:$AI29),MIN($C29:$AI29)),$C29:$AI29,0))),AD19)</f>
        <v>0</v>
      </c>
      <c r="AE34" s="1">
        <f>IF(OR($B33&lt;&gt;$B18,$B34&lt;&gt;$B19,$B35&lt;&gt;$B20,$B36&lt;&gt;$B21,$B37&lt;&gt;$B22,$B38&lt;&gt;$B23,$B39&lt;&gt;$B24,$B40&lt;&gt;$B25,$B41&lt;&gt;$B26,$B42&lt;&gt;$B27,$B43&lt;&gt;$B28),IF($B34&lt;&gt;$B19,AE19/INDEX($C18:$AJ28,2,MATCH(IF('Data-solution'!$A$3="Maximize",MAX($C29:$AI29),MIN($C29:$AI29)),$C29:$AI29,0)),AE19-INDEX($C18:$AJ28,2,MATCH(IF('Data-solution'!$A$3="Maximize",MAX($C29:$AI29),MIN($C29:$AI29)),$C29:$AI29,0))*INDEX(AE18:$AJ28,MATCH(MIN($AK18:$AK28),$AK18:$AK28,0),1)/INDEX($C18:$AJ28,MATCH(MIN($AK18:$AK28),$AK18:$AK28,0),MATCH(IF('Data-solution'!$A$3="Maximize",MAX($C29:$AI29),MIN($C29:$AI29)),$C29:$AI29,0))),AE19)</f>
        <v>0</v>
      </c>
      <c r="AF34" s="1">
        <f>IF(OR($B33&lt;&gt;$B18,$B34&lt;&gt;$B19,$B35&lt;&gt;$B20,$B36&lt;&gt;$B21,$B37&lt;&gt;$B22,$B38&lt;&gt;$B23,$B39&lt;&gt;$B24,$B40&lt;&gt;$B25,$B41&lt;&gt;$B26,$B42&lt;&gt;$B27,$B43&lt;&gt;$B28),IF($B34&lt;&gt;$B19,AF19/INDEX($C18:$AJ28,2,MATCH(IF('Data-solution'!$A$3="Maximize",MAX($C29:$AI29),MIN($C29:$AI29)),$C29:$AI29,0)),AF19-INDEX($C18:$AJ28,2,MATCH(IF('Data-solution'!$A$3="Maximize",MAX($C29:$AI29),MIN($C29:$AI29)),$C29:$AI29,0))*INDEX(AF18:$AJ28,MATCH(MIN($AK18:$AK28),$AK18:$AK28,0),1)/INDEX($C18:$AJ28,MATCH(MIN($AK18:$AK28),$AK18:$AK28,0),MATCH(IF('Data-solution'!$A$3="Maximize",MAX($C29:$AI29),MIN($C29:$AI29)),$C29:$AI29,0))),AF19)</f>
        <v>0</v>
      </c>
      <c r="AG34" s="1">
        <f>IF(OR($B33&lt;&gt;$B18,$B34&lt;&gt;$B19,$B35&lt;&gt;$B20,$B36&lt;&gt;$B21,$B37&lt;&gt;$B22,$B38&lt;&gt;$B23,$B39&lt;&gt;$B24,$B40&lt;&gt;$B25,$B41&lt;&gt;$B26,$B42&lt;&gt;$B27,$B43&lt;&gt;$B28),IF($B34&lt;&gt;$B19,AG19/INDEX($C18:$AJ28,2,MATCH(IF('Data-solution'!$A$3="Maximize",MAX($C29:$AI29),MIN($C29:$AI29)),$C29:$AI29,0)),AG19-INDEX($C18:$AJ28,2,MATCH(IF('Data-solution'!$A$3="Maximize",MAX($C29:$AI29),MIN($C29:$AI29)),$C29:$AI29,0))*INDEX(AG18:$AJ28,MATCH(MIN($AK18:$AK28),$AK18:$AK28,0),1)/INDEX($C18:$AJ28,MATCH(MIN($AK18:$AK28),$AK18:$AK28,0),MATCH(IF('Data-solution'!$A$3="Maximize",MAX($C29:$AI29),MIN($C29:$AI29)),$C29:$AI29,0))),AG19)</f>
        <v>0</v>
      </c>
      <c r="AH34" s="1">
        <f>IF(OR($B33&lt;&gt;$B18,$B34&lt;&gt;$B19,$B35&lt;&gt;$B20,$B36&lt;&gt;$B21,$B37&lt;&gt;$B22,$B38&lt;&gt;$B23,$B39&lt;&gt;$B24,$B40&lt;&gt;$B25,$B41&lt;&gt;$B26,$B42&lt;&gt;$B27,$B43&lt;&gt;$B28),IF($B34&lt;&gt;$B19,AH19/INDEX($C18:$AJ28,2,MATCH(IF('Data-solution'!$A$3="Maximize",MAX($C29:$AI29),MIN($C29:$AI29)),$C29:$AI29,0)),AH19-INDEX($C18:$AJ28,2,MATCH(IF('Data-solution'!$A$3="Maximize",MAX($C29:$AI29),MIN($C29:$AI29)),$C29:$AI29,0))*INDEX(AH18:$AJ28,MATCH(MIN($AK18:$AK28),$AK18:$AK28,0),1)/INDEX($C18:$AJ28,MATCH(MIN($AK18:$AK28),$AK18:$AK28,0),MATCH(IF('Data-solution'!$A$3="Maximize",MAX($C29:$AI29),MIN($C29:$AI29)),$C29:$AI29,0))),AH19)</f>
        <v>0</v>
      </c>
      <c r="AI34" s="1">
        <f>IF(OR($B33&lt;&gt;$B18,$B34&lt;&gt;$B19,$B35&lt;&gt;$B20,$B36&lt;&gt;$B21,$B37&lt;&gt;$B22,$B38&lt;&gt;$B23,$B39&lt;&gt;$B24,$B40&lt;&gt;$B25,$B41&lt;&gt;$B26,$B42&lt;&gt;$B27,$B43&lt;&gt;$B28),IF($B34&lt;&gt;$B19,AI19/INDEX($C18:$AJ28,2,MATCH(IF('Data-solution'!$A$3="Maximize",MAX($C29:$AI29),MIN($C29:$AI29)),$C29:$AI29,0)),AI19-INDEX($C18:$AJ28,2,MATCH(IF('Data-solution'!$A$3="Maximize",MAX($C29:$AI29),MIN($C29:$AI29)),$C29:$AI29,0))*INDEX(AI18:$AJ28,MATCH(MIN($AK18:$AK28),$AK18:$AK28,0),1)/INDEX($C18:$AJ28,MATCH(MIN($AK18:$AK28),$AK18:$AK28,0),MATCH(IF('Data-solution'!$A$3="Maximize",MAX($C29:$AI29),MIN($C29:$AI29)),$C29:$AI29,0))),AI19)</f>
        <v>0</v>
      </c>
      <c r="AJ34" s="1">
        <f>IF(OR($B33&lt;&gt;$B18,$B34&lt;&gt;$B19,$B35&lt;&gt;$B20,$B36&lt;&gt;$B21,$B37&lt;&gt;$B22,$B38&lt;&gt;$B23,$B39&lt;&gt;$B24,$B40&lt;&gt;$B25,$B41&lt;&gt;$B26,$B42&lt;&gt;$B27,$B43&lt;&gt;$B28),IF($B34&lt;&gt;$B19,AJ19/INDEX($C18:$AJ28,2,MATCH(IF('Data-solution'!$A$3="Maximize",MAX($C29:$AI29),MIN($C29:$AI29)),$C29:$AI29,0)),AJ19-INDEX($C18:$AJ28,2,MATCH(IF('Data-solution'!$A$3="Maximize",MAX($C29:$AI29),MIN($C29:$AI29)),$C29:$AI29,0))*INDEX(AJ18:$AJ28,MATCH(MIN($AK18:$AK28),$AK18:$AK28,0),1)/INDEX($C18:$AJ28,MATCH(MIN($AK18:$AK28),$AK18:$AK28,0),MATCH(IF('Data-solution'!$A$3="Maximize",MAX($C29:$AI29),MIN($C29:$AI29)),$C29:$AI29,0))),AJ19)</f>
        <v>300</v>
      </c>
      <c r="AK34" s="1" t="str">
        <f>IF(INDEX(C34:X34,1,MATCH(IF('Data-solution'!A$3="Maximize",MAX(C44:X44),MIN(C44:X44)),C44:X44,0))&gt;0,AJ34/INDEX(C34:X34,1,MATCH(IF('Data-solution'!A$3="Maximize",MAX(C44:X44),MIN(C44:X44)),C44:X44,0))," ")</f>
        <v xml:space="preserve"> </v>
      </c>
    </row>
    <row r="35" spans="1:37" ht="18" customHeight="1" x14ac:dyDescent="0.2">
      <c r="A35" s="1">
        <f t="shared" ref="A35" si="10">INDEX(C31:AI31,1,MATCH(B35,C32:AI32,0))</f>
        <v>350</v>
      </c>
      <c r="B35" s="2" t="str">
        <f>IF(AND('Data-solution'!A$3="Maximize",COUNTIF(C29:X29,"&gt;"&amp;0)&gt;0,AK20=MIN(AK18:AK28),COUNTIF(B33:B34,INDEX(C17:X17,1,MATCH(MAX(C29:X29),C29:X29,0)))=0),INDEX(C17:X17,1,MATCH(MAX(C29:X29),C29:X29,0)),IF(AND('Data-solution'!A$3="Minimize",COUNTIF(C29:X29,"&lt;"&amp;0)&gt;0,AK20=MIN(AK18:AK28),COUNTIF(B33:B34,INDEX(C17:X17,1,MATCH(MIN(C29:X29),C29:X29,0)))=0),INDEX(C17:X17,1,MATCH(MIN(C29:X29),C29:X29,0)),B20))</f>
        <v>X3</v>
      </c>
      <c r="C35" s="1">
        <f>IF(OR($B33&lt;&gt;$B18,$B34&lt;&gt;$B19,$B35&lt;&gt;$B20,$B36&lt;&gt;$B21,$B37&lt;&gt;$B22,$B38&lt;&gt;$B23,$B39&lt;&gt;$B24,$B40&lt;&gt;$B25,$B41&lt;&gt;$B26,$B42&lt;&gt;$B27,$B43&lt;&gt;$B28),IF($B35&lt;&gt;$B20,C20/INDEX($C18:$AJ28,3,MATCH(IF('Data-solution'!$A$3="Maximize",MAX($C29:$AI29),MIN($C29:$AI29)),$C29:$AI29,0)),C20-INDEX($C18:$AJ28,3,MATCH(IF('Data-solution'!$A$3="Maximize",MAX($C29:$AI29),MIN($C29:$AI29)),$C29:$AI29,0))*INDEX(C18:$AJ28,MATCH(MIN($AK18:$AK28),$AK18:$AK28,0),1)/INDEX($C18:$AJ28,MATCH(MIN($AK18:$AK28),$AK18:$AK28,0),MATCH(IF('Data-solution'!$A$3="Maximize",MAX($C29:$AI29),MIN($C29:$AI29)),$C29:$AI29,0))),C20)</f>
        <v>0</v>
      </c>
      <c r="D35" s="1">
        <f>IF(OR($B33&lt;&gt;$B18,$B34&lt;&gt;$B19,$B35&lt;&gt;$B20,$B36&lt;&gt;$B21,$B37&lt;&gt;$B22,$B38&lt;&gt;$B23,$B39&lt;&gt;$B24,$B40&lt;&gt;$B25,$B41&lt;&gt;$B26,$B42&lt;&gt;$B27,$B43&lt;&gt;$B28),IF($B35&lt;&gt;$B20,D20/INDEX($C18:$AJ28,3,MATCH(IF('Data-solution'!$A$3="Maximize",MAX($C29:$AI29),MIN($C29:$AI29)),$C29:$AI29,0)),D20-INDEX($C18:$AJ28,3,MATCH(IF('Data-solution'!$A$3="Maximize",MAX($C29:$AI29),MIN($C29:$AI29)),$C29:$AI29,0))*INDEX(D18:$AJ28,MATCH(MIN($AK18:$AK28),$AK18:$AK28,0),1)/INDEX($C18:$AJ28,MATCH(MIN($AK18:$AK28),$AK18:$AK28,0),MATCH(IF('Data-solution'!$A$3="Maximize",MAX($C29:$AI29),MIN($C29:$AI29)),$C29:$AI29,0))),D20)</f>
        <v>1.25</v>
      </c>
      <c r="E35" s="1">
        <f>IF(OR($B33&lt;&gt;$B18,$B34&lt;&gt;$B19,$B35&lt;&gt;$B20,$B36&lt;&gt;$B21,$B37&lt;&gt;$B22,$B38&lt;&gt;$B23,$B39&lt;&gt;$B24,$B40&lt;&gt;$B25,$B41&lt;&gt;$B26,$B42&lt;&gt;$B27,$B43&lt;&gt;$B28),IF($B35&lt;&gt;$B20,E20/INDEX($C18:$AJ28,3,MATCH(IF('Data-solution'!$A$3="Maximize",MAX($C29:$AI29),MIN($C29:$AI29)),$C29:$AI29,0)),E20-INDEX($C18:$AJ28,3,MATCH(IF('Data-solution'!$A$3="Maximize",MAX($C29:$AI29),MIN($C29:$AI29)),$C29:$AI29,0))*INDEX(E18:$AJ28,MATCH(MIN($AK18:$AK28),$AK18:$AK28,0),1)/INDEX($C18:$AJ28,MATCH(MIN($AK18:$AK28),$AK18:$AK28,0),MATCH(IF('Data-solution'!$A$3="Maximize",MAX($C29:$AI29),MIN($C29:$AI29)),$C29:$AI29,0))),E20)</f>
        <v>1</v>
      </c>
      <c r="F35" s="1">
        <f>IF(OR($B33&lt;&gt;$B18,$B34&lt;&gt;$B19,$B35&lt;&gt;$B20,$B36&lt;&gt;$B21,$B37&lt;&gt;$B22,$B38&lt;&gt;$B23,$B39&lt;&gt;$B24,$B40&lt;&gt;$B25,$B41&lt;&gt;$B26,$B42&lt;&gt;$B27,$B43&lt;&gt;$B28),IF($B35&lt;&gt;$B20,F20/INDEX($C18:$AJ28,3,MATCH(IF('Data-solution'!$A$3="Maximize",MAX($C29:$AI29),MIN($C29:$AI29)),$C29:$AI29,0)),F20-INDEX($C18:$AJ28,3,MATCH(IF('Data-solution'!$A$3="Maximize",MAX($C29:$AI29),MIN($C29:$AI29)),$C29:$AI29,0))*INDEX(F18:$AJ28,MATCH(MIN($AK18:$AK28),$AK18:$AK28,0),1)/INDEX($C18:$AJ28,MATCH(MIN($AK18:$AK28),$AK18:$AK28,0),MATCH(IF('Data-solution'!$A$3="Maximize",MAX($C29:$AI29),MIN($C29:$AI29)),$C29:$AI29,0))),F20)</f>
        <v>0</v>
      </c>
      <c r="G35" s="1">
        <f>IF(OR($B33&lt;&gt;$B18,$B34&lt;&gt;$B19,$B35&lt;&gt;$B20,$B36&lt;&gt;$B21,$B37&lt;&gt;$B22,$B38&lt;&gt;$B23,$B39&lt;&gt;$B24,$B40&lt;&gt;$B25,$B41&lt;&gt;$B26,$B42&lt;&gt;$B27,$B43&lt;&gt;$B28),IF($B35&lt;&gt;$B20,G20/INDEX($C18:$AJ28,3,MATCH(IF('Data-solution'!$A$3="Maximize",MAX($C29:$AI29),MIN($C29:$AI29)),$C29:$AI29,0)),G20-INDEX($C18:$AJ28,3,MATCH(IF('Data-solution'!$A$3="Maximize",MAX($C29:$AI29),MIN($C29:$AI29)),$C29:$AI29,0))*INDEX(G18:$AJ28,MATCH(MIN($AK18:$AK28),$AK18:$AK28,0),1)/INDEX($C18:$AJ28,MATCH(MIN($AK18:$AK28),$AK18:$AK28,0),MATCH(IF('Data-solution'!$A$3="Maximize",MAX($C29:$AI29),MIN($C29:$AI29)),$C29:$AI29,0))),G20)</f>
        <v>0</v>
      </c>
      <c r="H35" s="1">
        <f>IF(OR($B33&lt;&gt;$B18,$B34&lt;&gt;$B19,$B35&lt;&gt;$B20,$B36&lt;&gt;$B21,$B37&lt;&gt;$B22,$B38&lt;&gt;$B23,$B39&lt;&gt;$B24,$B40&lt;&gt;$B25,$B41&lt;&gt;$B26,$B42&lt;&gt;$B27,$B43&lt;&gt;$B28),IF($B35&lt;&gt;$B20,H20/INDEX($C18:$AJ28,3,MATCH(IF('Data-solution'!$A$3="Maximize",MAX($C29:$AI29),MIN($C29:$AI29)),$C29:$AI29,0)),H20-INDEX($C18:$AJ28,3,MATCH(IF('Data-solution'!$A$3="Maximize",MAX($C29:$AI29),MIN($C29:$AI29)),$C29:$AI29,0))*INDEX(H18:$AJ28,MATCH(MIN($AK18:$AK28),$AK18:$AK28,0),1)/INDEX($C18:$AJ28,MATCH(MIN($AK18:$AK28),$AK18:$AK28,0),MATCH(IF('Data-solution'!$A$3="Maximize",MAX($C29:$AI29),MIN($C29:$AI29)),$C29:$AI29,0))),H20)</f>
        <v>0</v>
      </c>
      <c r="I35" s="1">
        <f>IF(OR($B33&lt;&gt;$B18,$B34&lt;&gt;$B19,$B35&lt;&gt;$B20,$B36&lt;&gt;$B21,$B37&lt;&gt;$B22,$B38&lt;&gt;$B23,$B39&lt;&gt;$B24,$B40&lt;&gt;$B25,$B41&lt;&gt;$B26,$B42&lt;&gt;$B27,$B43&lt;&gt;$B28),IF($B35&lt;&gt;$B20,I20/INDEX($C18:$AJ28,3,MATCH(IF('Data-solution'!$A$3="Maximize",MAX($C29:$AI29),MIN($C29:$AI29)),$C29:$AI29,0)),I20-INDEX($C18:$AJ28,3,MATCH(IF('Data-solution'!$A$3="Maximize",MAX($C29:$AI29),MIN($C29:$AI29)),$C29:$AI29,0))*INDEX(I18:$AJ28,MATCH(MIN($AK18:$AK28),$AK18:$AK28,0),1)/INDEX($C18:$AJ28,MATCH(MIN($AK18:$AK28),$AK18:$AK28,0),MATCH(IF('Data-solution'!$A$3="Maximize",MAX($C29:$AI29),MIN($C29:$AI29)),$C29:$AI29,0))),I20)</f>
        <v>0</v>
      </c>
      <c r="J35" s="1">
        <f>IF(OR($B33&lt;&gt;$B18,$B34&lt;&gt;$B19,$B35&lt;&gt;$B20,$B36&lt;&gt;$B21,$B37&lt;&gt;$B22,$B38&lt;&gt;$B23,$B39&lt;&gt;$B24,$B40&lt;&gt;$B25,$B41&lt;&gt;$B26,$B42&lt;&gt;$B27,$B43&lt;&gt;$B28),IF($B35&lt;&gt;$B20,J20/INDEX($C18:$AJ28,3,MATCH(IF('Data-solution'!$A$3="Maximize",MAX($C29:$AI29),MIN($C29:$AI29)),$C29:$AI29,0)),J20-INDEX($C18:$AJ28,3,MATCH(IF('Data-solution'!$A$3="Maximize",MAX($C29:$AI29),MIN($C29:$AI29)),$C29:$AI29,0))*INDEX(J18:$AJ28,MATCH(MIN($AK18:$AK28),$AK18:$AK28,0),1)/INDEX($C18:$AJ28,MATCH(MIN($AK18:$AK28),$AK18:$AK28,0),MATCH(IF('Data-solution'!$A$3="Maximize",MAX($C29:$AI29),MIN($C29:$AI29)),$C29:$AI29,0))),J20)</f>
        <v>0</v>
      </c>
      <c r="K35" s="1">
        <f>IF(OR($B33&lt;&gt;$B18,$B34&lt;&gt;$B19,$B35&lt;&gt;$B20,$B36&lt;&gt;$B21,$B37&lt;&gt;$B22,$B38&lt;&gt;$B23,$B39&lt;&gt;$B24,$B40&lt;&gt;$B25,$B41&lt;&gt;$B26,$B42&lt;&gt;$B27,$B43&lt;&gt;$B28),IF($B35&lt;&gt;$B20,K20/INDEX($C18:$AJ28,3,MATCH(IF('Data-solution'!$A$3="Maximize",MAX($C29:$AI29),MIN($C29:$AI29)),$C29:$AI29,0)),K20-INDEX($C18:$AJ28,3,MATCH(IF('Data-solution'!$A$3="Maximize",MAX($C29:$AI29),MIN($C29:$AI29)),$C29:$AI29,0))*INDEX(K18:$AJ28,MATCH(MIN($AK18:$AK28),$AK18:$AK28,0),1)/INDEX($C18:$AJ28,MATCH(MIN($AK18:$AK28),$AK18:$AK28,0),MATCH(IF('Data-solution'!$A$3="Maximize",MAX($C29:$AI29),MIN($C29:$AI29)),$C29:$AI29,0))),K20)</f>
        <v>0</v>
      </c>
      <c r="L35" s="1">
        <f>IF(OR($B33&lt;&gt;$B18,$B34&lt;&gt;$B19,$B35&lt;&gt;$B20,$B36&lt;&gt;$B21,$B37&lt;&gt;$B22,$B38&lt;&gt;$B23,$B39&lt;&gt;$B24,$B40&lt;&gt;$B25,$B41&lt;&gt;$B26,$B42&lt;&gt;$B27,$B43&lt;&gt;$B28),IF($B35&lt;&gt;$B20,L20/INDEX($C18:$AJ28,3,MATCH(IF('Data-solution'!$A$3="Maximize",MAX($C29:$AI29),MIN($C29:$AI29)),$C29:$AI29,0)),L20-INDEX($C18:$AJ28,3,MATCH(IF('Data-solution'!$A$3="Maximize",MAX($C29:$AI29),MIN($C29:$AI29)),$C29:$AI29,0))*INDEX(L18:$AJ28,MATCH(MIN($AK18:$AK28),$AK18:$AK28,0),1)/INDEX($C18:$AJ28,MATCH(MIN($AK18:$AK28),$AK18:$AK28,0),MATCH(IF('Data-solution'!$A$3="Maximize",MAX($C29:$AI29),MIN($C29:$AI29)),$C29:$AI29,0))),L20)</f>
        <v>0</v>
      </c>
      <c r="M35" s="1">
        <f>IF(OR($B33&lt;&gt;$B18,$B34&lt;&gt;$B19,$B35&lt;&gt;$B20,$B36&lt;&gt;$B21,$B37&lt;&gt;$B22,$B38&lt;&gt;$B23,$B39&lt;&gt;$B24,$B40&lt;&gt;$B25,$B41&lt;&gt;$B26,$B42&lt;&gt;$B27,$B43&lt;&gt;$B28),IF($B35&lt;&gt;$B20,M20/INDEX($C18:$AJ28,3,MATCH(IF('Data-solution'!$A$3="Maximize",MAX($C29:$AI29),MIN($C29:$AI29)),$C29:$AI29,0)),M20-INDEX($C18:$AJ28,3,MATCH(IF('Data-solution'!$A$3="Maximize",MAX($C29:$AI29),MIN($C29:$AI29)),$C29:$AI29,0))*INDEX(M18:$AJ28,MATCH(MIN($AK18:$AK28),$AK18:$AK28,0),1)/INDEX($C18:$AJ28,MATCH(MIN($AK18:$AK28),$AK18:$AK28,0),MATCH(IF('Data-solution'!$A$3="Maximize",MAX($C29:$AI29),MIN($C29:$AI29)),$C29:$AI29,0))),M20)</f>
        <v>0</v>
      </c>
      <c r="N35" s="1">
        <f>IF(OR($B33&lt;&gt;$B18,$B34&lt;&gt;$B19,$B35&lt;&gt;$B20,$B36&lt;&gt;$B21,$B37&lt;&gt;$B22,$B38&lt;&gt;$B23,$B39&lt;&gt;$B24,$B40&lt;&gt;$B25,$B41&lt;&gt;$B26,$B42&lt;&gt;$B27,$B43&lt;&gt;$B28),IF($B35&lt;&gt;$B20,N20/INDEX($C18:$AJ28,3,MATCH(IF('Data-solution'!$A$3="Maximize",MAX($C29:$AI29),MIN($C29:$AI29)),$C29:$AI29,0)),N20-INDEX($C18:$AJ28,3,MATCH(IF('Data-solution'!$A$3="Maximize",MAX($C29:$AI29),MIN($C29:$AI29)),$C29:$AI29,0))*INDEX(N18:$AJ28,MATCH(MIN($AK18:$AK28),$AK18:$AK28,0),1)/INDEX($C18:$AJ28,MATCH(MIN($AK18:$AK28),$AK18:$AK28,0),MATCH(IF('Data-solution'!$A$3="Maximize",MAX($C29:$AI29),MIN($C29:$AI29)),$C29:$AI29,0))),N20)</f>
        <v>0</v>
      </c>
      <c r="O35" s="1">
        <f>IF(OR($B33&lt;&gt;$B18,$B34&lt;&gt;$B19,$B35&lt;&gt;$B20,$B36&lt;&gt;$B21,$B37&lt;&gt;$B22,$B38&lt;&gt;$B23,$B39&lt;&gt;$B24,$B40&lt;&gt;$B25,$B41&lt;&gt;$B26,$B42&lt;&gt;$B27,$B43&lt;&gt;$B28),IF($B35&lt;&gt;$B20,O20/INDEX($C18:$AJ28,3,MATCH(IF('Data-solution'!$A$3="Maximize",MAX($C29:$AI29),MIN($C29:$AI29)),$C29:$AI29,0)),O20-INDEX($C18:$AJ28,3,MATCH(IF('Data-solution'!$A$3="Maximize",MAX($C29:$AI29),MIN($C29:$AI29)),$C29:$AI29,0))*INDEX(O18:$AJ28,MATCH(MIN($AK18:$AK28),$AK18:$AK28,0),1)/INDEX($C18:$AJ28,MATCH(MIN($AK18:$AK28),$AK18:$AK28,0),MATCH(IF('Data-solution'!$A$3="Maximize",MAX($C29:$AI29),MIN($C29:$AI29)),$C29:$AI29,0))),O20)</f>
        <v>0</v>
      </c>
      <c r="P35" s="1">
        <f>IF(OR($B33&lt;&gt;$B18,$B34&lt;&gt;$B19,$B35&lt;&gt;$B20,$B36&lt;&gt;$B21,$B37&lt;&gt;$B22,$B38&lt;&gt;$B23,$B39&lt;&gt;$B24,$B40&lt;&gt;$B25,$B41&lt;&gt;$B26,$B42&lt;&gt;$B27,$B43&lt;&gt;$B28),IF($B35&lt;&gt;$B20,P20/INDEX($C18:$AJ28,3,MATCH(IF('Data-solution'!$A$3="Maximize",MAX($C29:$AI29),MIN($C29:$AI29)),$C29:$AI29,0)),P20-INDEX($C18:$AJ28,3,MATCH(IF('Data-solution'!$A$3="Maximize",MAX($C29:$AI29),MIN($C29:$AI29)),$C29:$AI29,0))*INDEX(P18:$AJ28,MATCH(MIN($AK18:$AK28),$AK18:$AK28,0),1)/INDEX($C18:$AJ28,MATCH(MIN($AK18:$AK28),$AK18:$AK28,0),MATCH(IF('Data-solution'!$A$3="Maximize",MAX($C29:$AI29),MIN($C29:$AI29)),$C29:$AI29,0))),P20)</f>
        <v>0.24999999999999997</v>
      </c>
      <c r="Q35" s="1">
        <f>IF(OR($B33&lt;&gt;$B18,$B34&lt;&gt;$B19,$B35&lt;&gt;$B20,$B36&lt;&gt;$B21,$B37&lt;&gt;$B22,$B38&lt;&gt;$B23,$B39&lt;&gt;$B24,$B40&lt;&gt;$B25,$B41&lt;&gt;$B26,$B42&lt;&gt;$B27,$B43&lt;&gt;$B28),IF($B35&lt;&gt;$B20,Q20/INDEX($C18:$AJ28,3,MATCH(IF('Data-solution'!$A$3="Maximize",MAX($C29:$AI29),MIN($C29:$AI29)),$C29:$AI29,0)),Q20-INDEX($C18:$AJ28,3,MATCH(IF('Data-solution'!$A$3="Maximize",MAX($C29:$AI29),MIN($C29:$AI29)),$C29:$AI29,0))*INDEX(Q18:$AJ28,MATCH(MIN($AK18:$AK28),$AK18:$AK28,0),1)/INDEX($C18:$AJ28,MATCH(MIN($AK18:$AK28),$AK18:$AK28,0),MATCH(IF('Data-solution'!$A$3="Maximize",MAX($C29:$AI29),MIN($C29:$AI29)),$C29:$AI29,0))),Q20)</f>
        <v>-0.49999999999999989</v>
      </c>
      <c r="R35" s="1">
        <f>IF(OR($B33&lt;&gt;$B18,$B34&lt;&gt;$B19,$B35&lt;&gt;$B20,$B36&lt;&gt;$B21,$B37&lt;&gt;$B22,$B38&lt;&gt;$B23,$B39&lt;&gt;$B24,$B40&lt;&gt;$B25,$B41&lt;&gt;$B26,$B42&lt;&gt;$B27,$B43&lt;&gt;$B28),IF($B35&lt;&gt;$B20,R20/INDEX($C18:$AJ28,3,MATCH(IF('Data-solution'!$A$3="Maximize",MAX($C29:$AI29),MIN($C29:$AI29)),$C29:$AI29,0)),R20-INDEX($C18:$AJ28,3,MATCH(IF('Data-solution'!$A$3="Maximize",MAX($C29:$AI29),MIN($C29:$AI29)),$C29:$AI29,0))*INDEX(R18:$AJ28,MATCH(MIN($AK18:$AK28),$AK18:$AK28,0),1)/INDEX($C18:$AJ28,MATCH(MIN($AK18:$AK28),$AK18:$AK28,0),MATCH(IF('Data-solution'!$A$3="Maximize",MAX($C29:$AI29),MIN($C29:$AI29)),$C29:$AI29,0))),R20)</f>
        <v>0</v>
      </c>
      <c r="S35" s="1">
        <f>IF(OR($B33&lt;&gt;$B18,$B34&lt;&gt;$B19,$B35&lt;&gt;$B20,$B36&lt;&gt;$B21,$B37&lt;&gt;$B22,$B38&lt;&gt;$B23,$B39&lt;&gt;$B24,$B40&lt;&gt;$B25,$B41&lt;&gt;$B26,$B42&lt;&gt;$B27,$B43&lt;&gt;$B28),IF($B35&lt;&gt;$B20,S20/INDEX($C18:$AJ28,3,MATCH(IF('Data-solution'!$A$3="Maximize",MAX($C29:$AI29),MIN($C29:$AI29)),$C29:$AI29,0)),S20-INDEX($C18:$AJ28,3,MATCH(IF('Data-solution'!$A$3="Maximize",MAX($C29:$AI29),MIN($C29:$AI29)),$C29:$AI29,0))*INDEX(S18:$AJ28,MATCH(MIN($AK18:$AK28),$AK18:$AK28,0),1)/INDEX($C18:$AJ28,MATCH(MIN($AK18:$AK28),$AK18:$AK28,0),MATCH(IF('Data-solution'!$A$3="Maximize",MAX($C29:$AI29),MIN($C29:$AI29)),$C29:$AI29,0))),S20)</f>
        <v>0</v>
      </c>
      <c r="T35" s="1">
        <f>IF(OR($B33&lt;&gt;$B18,$B34&lt;&gt;$B19,$B35&lt;&gt;$B20,$B36&lt;&gt;$B21,$B37&lt;&gt;$B22,$B38&lt;&gt;$B23,$B39&lt;&gt;$B24,$B40&lt;&gt;$B25,$B41&lt;&gt;$B26,$B42&lt;&gt;$B27,$B43&lt;&gt;$B28),IF($B35&lt;&gt;$B20,T20/INDEX($C18:$AJ28,3,MATCH(IF('Data-solution'!$A$3="Maximize",MAX($C29:$AI29),MIN($C29:$AI29)),$C29:$AI29,0)),T20-INDEX($C18:$AJ28,3,MATCH(IF('Data-solution'!$A$3="Maximize",MAX($C29:$AI29),MIN($C29:$AI29)),$C29:$AI29,0))*INDEX(T18:$AJ28,MATCH(MIN($AK18:$AK28),$AK18:$AK28,0),1)/INDEX($C18:$AJ28,MATCH(MIN($AK18:$AK28),$AK18:$AK28,0),MATCH(IF('Data-solution'!$A$3="Maximize",MAX($C29:$AI29),MIN($C29:$AI29)),$C29:$AI29,0))),T20)</f>
        <v>0</v>
      </c>
      <c r="U35" s="1">
        <f>IF(OR($B33&lt;&gt;$B18,$B34&lt;&gt;$B19,$B35&lt;&gt;$B20,$B36&lt;&gt;$B21,$B37&lt;&gt;$B22,$B38&lt;&gt;$B23,$B39&lt;&gt;$B24,$B40&lt;&gt;$B25,$B41&lt;&gt;$B26,$B42&lt;&gt;$B27,$B43&lt;&gt;$B28),IF($B35&lt;&gt;$B20,U20/INDEX($C18:$AJ28,3,MATCH(IF('Data-solution'!$A$3="Maximize",MAX($C29:$AI29),MIN($C29:$AI29)),$C29:$AI29,0)),U20-INDEX($C18:$AJ28,3,MATCH(IF('Data-solution'!$A$3="Maximize",MAX($C29:$AI29),MIN($C29:$AI29)),$C29:$AI29,0))*INDEX(U18:$AJ28,MATCH(MIN($AK18:$AK28),$AK18:$AK28,0),1)/INDEX($C18:$AJ28,MATCH(MIN($AK18:$AK28),$AK18:$AK28,0),MATCH(IF('Data-solution'!$A$3="Maximize",MAX($C29:$AI29),MIN($C29:$AI29)),$C29:$AI29,0))),U20)</f>
        <v>0</v>
      </c>
      <c r="V35" s="1">
        <f>IF(OR($B33&lt;&gt;$B18,$B34&lt;&gt;$B19,$B35&lt;&gt;$B20,$B36&lt;&gt;$B21,$B37&lt;&gt;$B22,$B38&lt;&gt;$B23,$B39&lt;&gt;$B24,$B40&lt;&gt;$B25,$B41&lt;&gt;$B26,$B42&lt;&gt;$B27,$B43&lt;&gt;$B28),IF($B35&lt;&gt;$B20,V20/INDEX($C18:$AJ28,3,MATCH(IF('Data-solution'!$A$3="Maximize",MAX($C29:$AI29),MIN($C29:$AI29)),$C29:$AI29,0)),V20-INDEX($C18:$AJ28,3,MATCH(IF('Data-solution'!$A$3="Maximize",MAX($C29:$AI29),MIN($C29:$AI29)),$C29:$AI29,0))*INDEX(V18:$AJ28,MATCH(MIN($AK18:$AK28),$AK18:$AK28,0),1)/INDEX($C18:$AJ28,MATCH(MIN($AK18:$AK28),$AK18:$AK28,0),MATCH(IF('Data-solution'!$A$3="Maximize",MAX($C29:$AI29),MIN($C29:$AI29)),$C29:$AI29,0))),V20)</f>
        <v>0</v>
      </c>
      <c r="W35" s="1">
        <f>IF(OR($B33&lt;&gt;$B18,$B34&lt;&gt;$B19,$B35&lt;&gt;$B20,$B36&lt;&gt;$B21,$B37&lt;&gt;$B22,$B38&lt;&gt;$B23,$B39&lt;&gt;$B24,$B40&lt;&gt;$B25,$B41&lt;&gt;$B26,$B42&lt;&gt;$B27,$B43&lt;&gt;$B28),IF($B35&lt;&gt;$B20,W20/INDEX($C18:$AJ28,3,MATCH(IF('Data-solution'!$A$3="Maximize",MAX($C29:$AI29),MIN($C29:$AI29)),$C29:$AI29,0)),W20-INDEX($C18:$AJ28,3,MATCH(IF('Data-solution'!$A$3="Maximize",MAX($C29:$AI29),MIN($C29:$AI29)),$C29:$AI29,0))*INDEX(W18:$AJ28,MATCH(MIN($AK18:$AK28),$AK18:$AK28,0),1)/INDEX($C18:$AJ28,MATCH(MIN($AK18:$AK28),$AK18:$AK28,0),MATCH(IF('Data-solution'!$A$3="Maximize",MAX($C29:$AI29),MIN($C29:$AI29)),$C29:$AI29,0))),W20)</f>
        <v>0</v>
      </c>
      <c r="X35" s="1">
        <f>IF(OR($B33&lt;&gt;$B18,$B34&lt;&gt;$B19,$B35&lt;&gt;$B20,$B36&lt;&gt;$B21,$B37&lt;&gt;$B22,$B38&lt;&gt;$B23,$B39&lt;&gt;$B24,$B40&lt;&gt;$B25,$B41&lt;&gt;$B26,$B42&lt;&gt;$B27,$B43&lt;&gt;$B28),IF($B35&lt;&gt;$B20,X20/INDEX($C18:$AJ28,3,MATCH(IF('Data-solution'!$A$3="Maximize",MAX($C29:$AI29),MIN($C29:$AI29)),$C29:$AI29,0)),X20-INDEX($C18:$AJ28,3,MATCH(IF('Data-solution'!$A$3="Maximize",MAX($C29:$AI29),MIN($C29:$AI29)),$C29:$AI29,0))*INDEX(X18:$AJ28,MATCH(MIN($AK18:$AK28),$AK18:$AK28,0),1)/INDEX($C18:$AJ28,MATCH(MIN($AK18:$AK28),$AK18:$AK28,0),MATCH(IF('Data-solution'!$A$3="Maximize",MAX($C29:$AI29),MIN($C29:$AI29)),$C29:$AI29,0))),X20)</f>
        <v>0</v>
      </c>
      <c r="Y35" s="1">
        <f>IF(OR($B33&lt;&gt;$B18,$B34&lt;&gt;$B19,$B35&lt;&gt;$B20,$B36&lt;&gt;$B21,$B37&lt;&gt;$B22,$B38&lt;&gt;$B23,$B39&lt;&gt;$B24,$B40&lt;&gt;$B25,$B41&lt;&gt;$B26,$B42&lt;&gt;$B27,$B43&lt;&gt;$B28),IF($B35&lt;&gt;$B20,Y20/INDEX($C18:$AJ28,3,MATCH(IF('Data-solution'!$A$3="Maximize",MAX($C29:$AI29),MIN($C29:$AI29)),$C29:$AI29,0)),Y20-INDEX($C18:$AJ28,3,MATCH(IF('Data-solution'!$A$3="Maximize",MAX($C29:$AI29),MIN($C29:$AI29)),$C29:$AI29,0))*INDEX(Y18:$AJ28,MATCH(MIN($AK18:$AK28),$AK18:$AK28,0),1)/INDEX($C18:$AJ28,MATCH(MIN($AK18:$AK28),$AK18:$AK28,0),MATCH(IF('Data-solution'!$A$3="Maximize",MAX($C29:$AI29),MIN($C29:$AI29)),$C29:$AI29,0))),Y20)</f>
        <v>0</v>
      </c>
      <c r="Z35" s="1">
        <f>IF(OR($B33&lt;&gt;$B18,$B34&lt;&gt;$B19,$B35&lt;&gt;$B20,$B36&lt;&gt;$B21,$B37&lt;&gt;$B22,$B38&lt;&gt;$B23,$B39&lt;&gt;$B24,$B40&lt;&gt;$B25,$B41&lt;&gt;$B26,$B42&lt;&gt;$B27,$B43&lt;&gt;$B28),IF($B35&lt;&gt;$B20,Z20/INDEX($C18:$AJ28,3,MATCH(IF('Data-solution'!$A$3="Maximize",MAX($C29:$AI29),MIN($C29:$AI29)),$C29:$AI29,0)),Z20-INDEX($C18:$AJ28,3,MATCH(IF('Data-solution'!$A$3="Maximize",MAX($C29:$AI29),MIN($C29:$AI29)),$C29:$AI29,0))*INDEX(Z18:$AJ28,MATCH(MIN($AK18:$AK28),$AK18:$AK28,0),1)/INDEX($C18:$AJ28,MATCH(MIN($AK18:$AK28),$AK18:$AK28,0),MATCH(IF('Data-solution'!$A$3="Maximize",MAX($C29:$AI29),MIN($C29:$AI29)),$C29:$AI29,0))),Z20)</f>
        <v>0</v>
      </c>
      <c r="AA35" s="1">
        <f>IF(OR($B33&lt;&gt;$B18,$B34&lt;&gt;$B19,$B35&lt;&gt;$B20,$B36&lt;&gt;$B21,$B37&lt;&gt;$B22,$B38&lt;&gt;$B23,$B39&lt;&gt;$B24,$B40&lt;&gt;$B25,$B41&lt;&gt;$B26,$B42&lt;&gt;$B27,$B43&lt;&gt;$B28),IF($B35&lt;&gt;$B20,AA20/INDEX($C18:$AJ28,3,MATCH(IF('Data-solution'!$A$3="Maximize",MAX($C29:$AI29),MIN($C29:$AI29)),$C29:$AI29,0)),AA20-INDEX($C18:$AJ28,3,MATCH(IF('Data-solution'!$A$3="Maximize",MAX($C29:$AI29),MIN($C29:$AI29)),$C29:$AI29,0))*INDEX(AA18:$AJ28,MATCH(MIN($AK18:$AK28),$AK18:$AK28,0),1)/INDEX($C18:$AJ28,MATCH(MIN($AK18:$AK28),$AK18:$AK28,0),MATCH(IF('Data-solution'!$A$3="Maximize",MAX($C29:$AI29),MIN($C29:$AI29)),$C29:$AI29,0))),AA20)</f>
        <v>0.24999999999999997</v>
      </c>
      <c r="AB35" s="1">
        <f>IF(OR($B33&lt;&gt;$B18,$B34&lt;&gt;$B19,$B35&lt;&gt;$B20,$B36&lt;&gt;$B21,$B37&lt;&gt;$B22,$B38&lt;&gt;$B23,$B39&lt;&gt;$B24,$B40&lt;&gt;$B25,$B41&lt;&gt;$B26,$B42&lt;&gt;$B27,$B43&lt;&gt;$B28),IF($B35&lt;&gt;$B20,AB20/INDEX($C18:$AJ28,3,MATCH(IF('Data-solution'!$A$3="Maximize",MAX($C29:$AI29),MIN($C29:$AI29)),$C29:$AI29,0)),AB20-INDEX($C18:$AJ28,3,MATCH(IF('Data-solution'!$A$3="Maximize",MAX($C29:$AI29),MIN($C29:$AI29)),$C29:$AI29,0))*INDEX(AB18:$AJ28,MATCH(MIN($AK18:$AK28),$AK18:$AK28,0),1)/INDEX($C18:$AJ28,MATCH(MIN($AK18:$AK28),$AK18:$AK28,0),MATCH(IF('Data-solution'!$A$3="Maximize",MAX($C29:$AI29),MIN($C29:$AI29)),$C29:$AI29,0))),AB20)</f>
        <v>-0.49999999999999989</v>
      </c>
      <c r="AC35" s="1">
        <f>IF(OR($B33&lt;&gt;$B18,$B34&lt;&gt;$B19,$B35&lt;&gt;$B20,$B36&lt;&gt;$B21,$B37&lt;&gt;$B22,$B38&lt;&gt;$B23,$B39&lt;&gt;$B24,$B40&lt;&gt;$B25,$B41&lt;&gt;$B26,$B42&lt;&gt;$B27,$B43&lt;&gt;$B28),IF($B35&lt;&gt;$B20,AC20/INDEX($C18:$AJ28,3,MATCH(IF('Data-solution'!$A$3="Maximize",MAX($C29:$AI29),MIN($C29:$AI29)),$C29:$AI29,0)),AC20-INDEX($C18:$AJ28,3,MATCH(IF('Data-solution'!$A$3="Maximize",MAX($C29:$AI29),MIN($C29:$AI29)),$C29:$AI29,0))*INDEX(AC18:$AJ28,MATCH(MIN($AK18:$AK28),$AK18:$AK28,0),1)/INDEX($C18:$AJ28,MATCH(MIN($AK18:$AK28),$AK18:$AK28,0),MATCH(IF('Data-solution'!$A$3="Maximize",MAX($C29:$AI29),MIN($C29:$AI29)),$C29:$AI29,0))),AC20)</f>
        <v>0</v>
      </c>
      <c r="AD35" s="1">
        <f>IF(OR($B33&lt;&gt;$B18,$B34&lt;&gt;$B19,$B35&lt;&gt;$B20,$B36&lt;&gt;$B21,$B37&lt;&gt;$B22,$B38&lt;&gt;$B23,$B39&lt;&gt;$B24,$B40&lt;&gt;$B25,$B41&lt;&gt;$B26,$B42&lt;&gt;$B27,$B43&lt;&gt;$B28),IF($B35&lt;&gt;$B20,AD20/INDEX($C18:$AJ28,3,MATCH(IF('Data-solution'!$A$3="Maximize",MAX($C29:$AI29),MIN($C29:$AI29)),$C29:$AI29,0)),AD20-INDEX($C18:$AJ28,3,MATCH(IF('Data-solution'!$A$3="Maximize",MAX($C29:$AI29),MIN($C29:$AI29)),$C29:$AI29,0))*INDEX(AD18:$AJ28,MATCH(MIN($AK18:$AK28),$AK18:$AK28,0),1)/INDEX($C18:$AJ28,MATCH(MIN($AK18:$AK28),$AK18:$AK28,0),MATCH(IF('Data-solution'!$A$3="Maximize",MAX($C29:$AI29),MIN($C29:$AI29)),$C29:$AI29,0))),AD20)</f>
        <v>0</v>
      </c>
      <c r="AE35" s="1">
        <f>IF(OR($B33&lt;&gt;$B18,$B34&lt;&gt;$B19,$B35&lt;&gt;$B20,$B36&lt;&gt;$B21,$B37&lt;&gt;$B22,$B38&lt;&gt;$B23,$B39&lt;&gt;$B24,$B40&lt;&gt;$B25,$B41&lt;&gt;$B26,$B42&lt;&gt;$B27,$B43&lt;&gt;$B28),IF($B35&lt;&gt;$B20,AE20/INDEX($C18:$AJ28,3,MATCH(IF('Data-solution'!$A$3="Maximize",MAX($C29:$AI29),MIN($C29:$AI29)),$C29:$AI29,0)),AE20-INDEX($C18:$AJ28,3,MATCH(IF('Data-solution'!$A$3="Maximize",MAX($C29:$AI29),MIN($C29:$AI29)),$C29:$AI29,0))*INDEX(AE18:$AJ28,MATCH(MIN($AK18:$AK28),$AK18:$AK28,0),1)/INDEX($C18:$AJ28,MATCH(MIN($AK18:$AK28),$AK18:$AK28,0),MATCH(IF('Data-solution'!$A$3="Maximize",MAX($C29:$AI29),MIN($C29:$AI29)),$C29:$AI29,0))),AE20)</f>
        <v>0</v>
      </c>
      <c r="AF35" s="1">
        <f>IF(OR($B33&lt;&gt;$B18,$B34&lt;&gt;$B19,$B35&lt;&gt;$B20,$B36&lt;&gt;$B21,$B37&lt;&gt;$B22,$B38&lt;&gt;$B23,$B39&lt;&gt;$B24,$B40&lt;&gt;$B25,$B41&lt;&gt;$B26,$B42&lt;&gt;$B27,$B43&lt;&gt;$B28),IF($B35&lt;&gt;$B20,AF20/INDEX($C18:$AJ28,3,MATCH(IF('Data-solution'!$A$3="Maximize",MAX($C29:$AI29),MIN($C29:$AI29)),$C29:$AI29,0)),AF20-INDEX($C18:$AJ28,3,MATCH(IF('Data-solution'!$A$3="Maximize",MAX($C29:$AI29),MIN($C29:$AI29)),$C29:$AI29,0))*INDEX(AF18:$AJ28,MATCH(MIN($AK18:$AK28),$AK18:$AK28,0),1)/INDEX($C18:$AJ28,MATCH(MIN($AK18:$AK28),$AK18:$AK28,0),MATCH(IF('Data-solution'!$A$3="Maximize",MAX($C29:$AI29),MIN($C29:$AI29)),$C29:$AI29,0))),AF20)</f>
        <v>0</v>
      </c>
      <c r="AG35" s="1">
        <f>IF(OR($B33&lt;&gt;$B18,$B34&lt;&gt;$B19,$B35&lt;&gt;$B20,$B36&lt;&gt;$B21,$B37&lt;&gt;$B22,$B38&lt;&gt;$B23,$B39&lt;&gt;$B24,$B40&lt;&gt;$B25,$B41&lt;&gt;$B26,$B42&lt;&gt;$B27,$B43&lt;&gt;$B28),IF($B35&lt;&gt;$B20,AG20/INDEX($C18:$AJ28,3,MATCH(IF('Data-solution'!$A$3="Maximize",MAX($C29:$AI29),MIN($C29:$AI29)),$C29:$AI29,0)),AG20-INDEX($C18:$AJ28,3,MATCH(IF('Data-solution'!$A$3="Maximize",MAX($C29:$AI29),MIN($C29:$AI29)),$C29:$AI29,0))*INDEX(AG18:$AJ28,MATCH(MIN($AK18:$AK28),$AK18:$AK28,0),1)/INDEX($C18:$AJ28,MATCH(MIN($AK18:$AK28),$AK18:$AK28,0),MATCH(IF('Data-solution'!$A$3="Maximize",MAX($C29:$AI29),MIN($C29:$AI29)),$C29:$AI29,0))),AG20)</f>
        <v>0</v>
      </c>
      <c r="AH35" s="1">
        <f>IF(OR($B33&lt;&gt;$B18,$B34&lt;&gt;$B19,$B35&lt;&gt;$B20,$B36&lt;&gt;$B21,$B37&lt;&gt;$B22,$B38&lt;&gt;$B23,$B39&lt;&gt;$B24,$B40&lt;&gt;$B25,$B41&lt;&gt;$B26,$B42&lt;&gt;$B27,$B43&lt;&gt;$B28),IF($B35&lt;&gt;$B20,AH20/INDEX($C18:$AJ28,3,MATCH(IF('Data-solution'!$A$3="Maximize",MAX($C29:$AI29),MIN($C29:$AI29)),$C29:$AI29,0)),AH20-INDEX($C18:$AJ28,3,MATCH(IF('Data-solution'!$A$3="Maximize",MAX($C29:$AI29),MIN($C29:$AI29)),$C29:$AI29,0))*INDEX(AH18:$AJ28,MATCH(MIN($AK18:$AK28),$AK18:$AK28,0),1)/INDEX($C18:$AJ28,MATCH(MIN($AK18:$AK28),$AK18:$AK28,0),MATCH(IF('Data-solution'!$A$3="Maximize",MAX($C29:$AI29),MIN($C29:$AI29)),$C29:$AI29,0))),AH20)</f>
        <v>0</v>
      </c>
      <c r="AI35" s="1">
        <f>IF(OR($B33&lt;&gt;$B18,$B34&lt;&gt;$B19,$B35&lt;&gt;$B20,$B36&lt;&gt;$B21,$B37&lt;&gt;$B22,$B38&lt;&gt;$B23,$B39&lt;&gt;$B24,$B40&lt;&gt;$B25,$B41&lt;&gt;$B26,$B42&lt;&gt;$B27,$B43&lt;&gt;$B28),IF($B35&lt;&gt;$B20,AI20/INDEX($C18:$AJ28,3,MATCH(IF('Data-solution'!$A$3="Maximize",MAX($C29:$AI29),MIN($C29:$AI29)),$C29:$AI29,0)),AI20-INDEX($C18:$AJ28,3,MATCH(IF('Data-solution'!$A$3="Maximize",MAX($C29:$AI29),MIN($C29:$AI29)),$C29:$AI29,0))*INDEX(AI18:$AJ28,MATCH(MIN($AK18:$AK28),$AK18:$AK28,0),1)/INDEX($C18:$AJ28,MATCH(MIN($AK18:$AK28),$AK18:$AK28,0),MATCH(IF('Data-solution'!$A$3="Maximize",MAX($C29:$AI29),MIN($C29:$AI29)),$C29:$AI29,0))),AI20)</f>
        <v>0</v>
      </c>
      <c r="AJ35" s="1">
        <f>IF(OR($B33&lt;&gt;$B18,$B34&lt;&gt;$B19,$B35&lt;&gt;$B20,$B36&lt;&gt;$B21,$B37&lt;&gt;$B22,$B38&lt;&gt;$B23,$B39&lt;&gt;$B24,$B40&lt;&gt;$B25,$B41&lt;&gt;$B26,$B42&lt;&gt;$B27,$B43&lt;&gt;$B28),IF($B35&lt;&gt;$B20,AJ20/INDEX($C18:$AJ28,3,MATCH(IF('Data-solution'!$A$3="Maximize",MAX($C29:$AI29),MIN($C29:$AI29)),$C29:$AI29,0)),AJ20-INDEX($C18:$AJ28,3,MATCH(IF('Data-solution'!$A$3="Maximize",MAX($C29:$AI29),MIN($C29:$AI29)),$C29:$AI29,0))*INDEX(AJ18:$AJ28,MATCH(MIN($AK18:$AK28),$AK18:$AK28,0),1)/INDEX($C18:$AJ28,MATCH(MIN($AK18:$AK28),$AK18:$AK28,0),MATCH(IF('Data-solution'!$A$3="Maximize",MAX($C29:$AI29),MIN($C29:$AI29)),$C29:$AI29,0))),AJ20)</f>
        <v>300</v>
      </c>
      <c r="AK35" s="1" t="str">
        <f>IF(INDEX(C35:X35,1,MATCH(IF('Data-solution'!A$3="Maximize",MAX(C44:X44),MIN(C44:X44)),C44:X44,0))&gt;0,AJ35/INDEX(C35:X35,1,MATCH(IF('Data-solution'!A$3="Maximize",MAX(C44:X44),MIN(C44:X44)),C44:X44,0))," ")</f>
        <v xml:space="preserve"> </v>
      </c>
    </row>
    <row r="36" spans="1:37" ht="18" customHeight="1" x14ac:dyDescent="0.2">
      <c r="A36" s="1">
        <f t="shared" ref="A36" si="11">INDEX(C31:AI31,1,MATCH(B36,C32:AI32,0))</f>
        <v>150</v>
      </c>
      <c r="B36" s="2" t="str">
        <f>IF(AND('Data-solution'!A$3="Maximize",COUNTIF(C29:X29,"&gt;"&amp;0)&gt;0,AK21=MIN(AK18:AK28),COUNTIF(B33:B35,INDEX(C17:X17,1,MATCH(MAX(C29:X29),C29:X29,0)))=0),INDEX(C17:X17,1,MATCH(MAX(C29:X29),C29:X29,0)),IF(AND('Data-solution'!A$3="Minimize",COUNTIF(C29:X29,"&lt;"&amp;0)&gt;0,AK21=MIN(AK18:AK28),COUNTIF(B33:B35,INDEX(C17:X17,1,MATCH(MIN(C29:X29),C29:X29,0)))=0),INDEX(C17:X17,1,MATCH(MIN(C29:X29),C29:X29,0)),B21))</f>
        <v>X1</v>
      </c>
      <c r="C36" s="1">
        <f>IF(OR($B33&lt;&gt;$B18,$B34&lt;&gt;$B19,$B35&lt;&gt;$B20,$B36&lt;&gt;$B21,$B37&lt;&gt;$B22,$B38&lt;&gt;$B23,$B39&lt;&gt;$B24,$B40&lt;&gt;$B25,$B41&lt;&gt;$B26,$B42&lt;&gt;$B27,$B43&lt;&gt;$B28),IF($B36&lt;&gt;$B21,C21/INDEX($C18:$AJ28,4,MATCH(IF('Data-solution'!$A$3="Maximize",MAX($C29:$AI29),MIN($C29:$AI29)),$C29:$AI29,0)),C21-INDEX($C18:$AJ28,4,MATCH(IF('Data-solution'!$A$3="Maximize",MAX($C29:$AI29),MIN($C29:$AI29)),$C29:$AI29,0))*INDEX(C18:$AJ28,MATCH(MIN($AK18:$AK28),$AK18:$AK28,0),1)/INDEX($C18:$AJ28,MATCH(MIN($AK18:$AK28),$AK18:$AK28,0),MATCH(IF('Data-solution'!$A$3="Maximize",MAX($C29:$AI29),MIN($C29:$AI29)),$C29:$AI29,0))),C21)</f>
        <v>1</v>
      </c>
      <c r="D36" s="1">
        <f>IF(OR($B33&lt;&gt;$B18,$B34&lt;&gt;$B19,$B35&lt;&gt;$B20,$B36&lt;&gt;$B21,$B37&lt;&gt;$B22,$B38&lt;&gt;$B23,$B39&lt;&gt;$B24,$B40&lt;&gt;$B25,$B41&lt;&gt;$B26,$B42&lt;&gt;$B27,$B43&lt;&gt;$B28),IF($B36&lt;&gt;$B21,D21/INDEX($C18:$AJ28,4,MATCH(IF('Data-solution'!$A$3="Maximize",MAX($C29:$AI29),MIN($C29:$AI29)),$C29:$AI29,0)),D21-INDEX($C18:$AJ28,4,MATCH(IF('Data-solution'!$A$3="Maximize",MAX($C29:$AI29),MIN($C29:$AI29)),$C29:$AI29,0))*INDEX(D18:$AJ28,MATCH(MIN($AK18:$AK28),$AK18:$AK28,0),1)/INDEX($C18:$AJ28,MATCH(MIN($AK18:$AK28),$AK18:$AK28,0),MATCH(IF('Data-solution'!$A$3="Maximize",MAX($C29:$AI29),MIN($C29:$AI29)),$C29:$AI29,0))),D21)</f>
        <v>-1.25</v>
      </c>
      <c r="E36" s="1">
        <f>IF(OR($B33&lt;&gt;$B18,$B34&lt;&gt;$B19,$B35&lt;&gt;$B20,$B36&lt;&gt;$B21,$B37&lt;&gt;$B22,$B38&lt;&gt;$B23,$B39&lt;&gt;$B24,$B40&lt;&gt;$B25,$B41&lt;&gt;$B26,$B42&lt;&gt;$B27,$B43&lt;&gt;$B28),IF($B36&lt;&gt;$B21,E21/INDEX($C18:$AJ28,4,MATCH(IF('Data-solution'!$A$3="Maximize",MAX($C29:$AI29),MIN($C29:$AI29)),$C29:$AI29,0)),E21-INDEX($C18:$AJ28,4,MATCH(IF('Data-solution'!$A$3="Maximize",MAX($C29:$AI29),MIN($C29:$AI29)),$C29:$AI29,0))*INDEX(E18:$AJ28,MATCH(MIN($AK18:$AK28),$AK18:$AK28,0),1)/INDEX($C18:$AJ28,MATCH(MIN($AK18:$AK28),$AK18:$AK28,0),MATCH(IF('Data-solution'!$A$3="Maximize",MAX($C29:$AI29),MIN($C29:$AI29)),$C29:$AI29,0))),E21)</f>
        <v>0</v>
      </c>
      <c r="F36" s="1">
        <f>IF(OR($B33&lt;&gt;$B18,$B34&lt;&gt;$B19,$B35&lt;&gt;$B20,$B36&lt;&gt;$B21,$B37&lt;&gt;$B22,$B38&lt;&gt;$B23,$B39&lt;&gt;$B24,$B40&lt;&gt;$B25,$B41&lt;&gt;$B26,$B42&lt;&gt;$B27,$B43&lt;&gt;$B28),IF($B36&lt;&gt;$B21,F21/INDEX($C18:$AJ28,4,MATCH(IF('Data-solution'!$A$3="Maximize",MAX($C29:$AI29),MIN($C29:$AI29)),$C29:$AI29,0)),F21-INDEX($C18:$AJ28,4,MATCH(IF('Data-solution'!$A$3="Maximize",MAX($C29:$AI29),MIN($C29:$AI29)),$C29:$AI29,0))*INDEX(F18:$AJ28,MATCH(MIN($AK18:$AK28),$AK18:$AK28,0),1)/INDEX($C18:$AJ28,MATCH(MIN($AK18:$AK28),$AK18:$AK28,0),MATCH(IF('Data-solution'!$A$3="Maximize",MAX($C29:$AI29),MIN($C29:$AI29)),$C29:$AI29,0))),F21)</f>
        <v>0</v>
      </c>
      <c r="G36" s="1">
        <f>IF(OR($B33&lt;&gt;$B18,$B34&lt;&gt;$B19,$B35&lt;&gt;$B20,$B36&lt;&gt;$B21,$B37&lt;&gt;$B22,$B38&lt;&gt;$B23,$B39&lt;&gt;$B24,$B40&lt;&gt;$B25,$B41&lt;&gt;$B26,$B42&lt;&gt;$B27,$B43&lt;&gt;$B28),IF($B36&lt;&gt;$B21,G21/INDEX($C18:$AJ28,4,MATCH(IF('Data-solution'!$A$3="Maximize",MAX($C29:$AI29),MIN($C29:$AI29)),$C29:$AI29,0)),G21-INDEX($C18:$AJ28,4,MATCH(IF('Data-solution'!$A$3="Maximize",MAX($C29:$AI29),MIN($C29:$AI29)),$C29:$AI29,0))*INDEX(G18:$AJ28,MATCH(MIN($AK18:$AK28),$AK18:$AK28,0),1)/INDEX($C18:$AJ28,MATCH(MIN($AK18:$AK28),$AK18:$AK28,0),MATCH(IF('Data-solution'!$A$3="Maximize",MAX($C29:$AI29),MIN($C29:$AI29)),$C29:$AI29,0))),G21)</f>
        <v>0</v>
      </c>
      <c r="H36" s="1">
        <f>IF(OR($B33&lt;&gt;$B18,$B34&lt;&gt;$B19,$B35&lt;&gt;$B20,$B36&lt;&gt;$B21,$B37&lt;&gt;$B22,$B38&lt;&gt;$B23,$B39&lt;&gt;$B24,$B40&lt;&gt;$B25,$B41&lt;&gt;$B26,$B42&lt;&gt;$B27,$B43&lt;&gt;$B28),IF($B36&lt;&gt;$B21,H21/INDEX($C18:$AJ28,4,MATCH(IF('Data-solution'!$A$3="Maximize",MAX($C29:$AI29),MIN($C29:$AI29)),$C29:$AI29,0)),H21-INDEX($C18:$AJ28,4,MATCH(IF('Data-solution'!$A$3="Maximize",MAX($C29:$AI29),MIN($C29:$AI29)),$C29:$AI29,0))*INDEX(H18:$AJ28,MATCH(MIN($AK18:$AK28),$AK18:$AK28,0),1)/INDEX($C18:$AJ28,MATCH(MIN($AK18:$AK28),$AK18:$AK28,0),MATCH(IF('Data-solution'!$A$3="Maximize",MAX($C29:$AI29),MIN($C29:$AI29)),$C29:$AI29,0))),H21)</f>
        <v>0</v>
      </c>
      <c r="I36" s="1">
        <f>IF(OR($B33&lt;&gt;$B18,$B34&lt;&gt;$B19,$B35&lt;&gt;$B20,$B36&lt;&gt;$B21,$B37&lt;&gt;$B22,$B38&lt;&gt;$B23,$B39&lt;&gt;$B24,$B40&lt;&gt;$B25,$B41&lt;&gt;$B26,$B42&lt;&gt;$B27,$B43&lt;&gt;$B28),IF($B36&lt;&gt;$B21,I21/INDEX($C18:$AJ28,4,MATCH(IF('Data-solution'!$A$3="Maximize",MAX($C29:$AI29),MIN($C29:$AI29)),$C29:$AI29,0)),I21-INDEX($C18:$AJ28,4,MATCH(IF('Data-solution'!$A$3="Maximize",MAX($C29:$AI29),MIN($C29:$AI29)),$C29:$AI29,0))*INDEX(I18:$AJ28,MATCH(MIN($AK18:$AK28),$AK18:$AK28,0),1)/INDEX($C18:$AJ28,MATCH(MIN($AK18:$AK28),$AK18:$AK28,0),MATCH(IF('Data-solution'!$A$3="Maximize",MAX($C29:$AI29),MIN($C29:$AI29)),$C29:$AI29,0))),I21)</f>
        <v>0</v>
      </c>
      <c r="J36" s="1">
        <f>IF(OR($B33&lt;&gt;$B18,$B34&lt;&gt;$B19,$B35&lt;&gt;$B20,$B36&lt;&gt;$B21,$B37&lt;&gt;$B22,$B38&lt;&gt;$B23,$B39&lt;&gt;$B24,$B40&lt;&gt;$B25,$B41&lt;&gt;$B26,$B42&lt;&gt;$B27,$B43&lt;&gt;$B28),IF($B36&lt;&gt;$B21,J21/INDEX($C18:$AJ28,4,MATCH(IF('Data-solution'!$A$3="Maximize",MAX($C29:$AI29),MIN($C29:$AI29)),$C29:$AI29,0)),J21-INDEX($C18:$AJ28,4,MATCH(IF('Data-solution'!$A$3="Maximize",MAX($C29:$AI29),MIN($C29:$AI29)),$C29:$AI29,0))*INDEX(J18:$AJ28,MATCH(MIN($AK18:$AK28),$AK18:$AK28,0),1)/INDEX($C18:$AJ28,MATCH(MIN($AK18:$AK28),$AK18:$AK28,0),MATCH(IF('Data-solution'!$A$3="Maximize",MAX($C29:$AI29),MIN($C29:$AI29)),$C29:$AI29,0))),J21)</f>
        <v>0</v>
      </c>
      <c r="K36" s="1">
        <f>IF(OR($B33&lt;&gt;$B18,$B34&lt;&gt;$B19,$B35&lt;&gt;$B20,$B36&lt;&gt;$B21,$B37&lt;&gt;$B22,$B38&lt;&gt;$B23,$B39&lt;&gt;$B24,$B40&lt;&gt;$B25,$B41&lt;&gt;$B26,$B42&lt;&gt;$B27,$B43&lt;&gt;$B28),IF($B36&lt;&gt;$B21,K21/INDEX($C18:$AJ28,4,MATCH(IF('Data-solution'!$A$3="Maximize",MAX($C29:$AI29),MIN($C29:$AI29)),$C29:$AI29,0)),K21-INDEX($C18:$AJ28,4,MATCH(IF('Data-solution'!$A$3="Maximize",MAX($C29:$AI29),MIN($C29:$AI29)),$C29:$AI29,0))*INDEX(K18:$AJ28,MATCH(MIN($AK18:$AK28),$AK18:$AK28,0),1)/INDEX($C18:$AJ28,MATCH(MIN($AK18:$AK28),$AK18:$AK28,0),MATCH(IF('Data-solution'!$A$3="Maximize",MAX($C29:$AI29),MIN($C29:$AI29)),$C29:$AI29,0))),K21)</f>
        <v>0</v>
      </c>
      <c r="L36" s="1">
        <f>IF(OR($B33&lt;&gt;$B18,$B34&lt;&gt;$B19,$B35&lt;&gt;$B20,$B36&lt;&gt;$B21,$B37&lt;&gt;$B22,$B38&lt;&gt;$B23,$B39&lt;&gt;$B24,$B40&lt;&gt;$B25,$B41&lt;&gt;$B26,$B42&lt;&gt;$B27,$B43&lt;&gt;$B28),IF($B36&lt;&gt;$B21,L21/INDEX($C18:$AJ28,4,MATCH(IF('Data-solution'!$A$3="Maximize",MAX($C29:$AI29),MIN($C29:$AI29)),$C29:$AI29,0)),L21-INDEX($C18:$AJ28,4,MATCH(IF('Data-solution'!$A$3="Maximize",MAX($C29:$AI29),MIN($C29:$AI29)),$C29:$AI29,0))*INDEX(L18:$AJ28,MATCH(MIN($AK18:$AK28),$AK18:$AK28,0),1)/INDEX($C18:$AJ28,MATCH(MIN($AK18:$AK28),$AK18:$AK28,0),MATCH(IF('Data-solution'!$A$3="Maximize",MAX($C29:$AI29),MIN($C29:$AI29)),$C29:$AI29,0))),L21)</f>
        <v>0</v>
      </c>
      <c r="M36" s="1">
        <f>IF(OR($B33&lt;&gt;$B18,$B34&lt;&gt;$B19,$B35&lt;&gt;$B20,$B36&lt;&gt;$B21,$B37&lt;&gt;$B22,$B38&lt;&gt;$B23,$B39&lt;&gt;$B24,$B40&lt;&gt;$B25,$B41&lt;&gt;$B26,$B42&lt;&gt;$B27,$B43&lt;&gt;$B28),IF($B36&lt;&gt;$B21,M21/INDEX($C18:$AJ28,4,MATCH(IF('Data-solution'!$A$3="Maximize",MAX($C29:$AI29),MIN($C29:$AI29)),$C29:$AI29,0)),M21-INDEX($C18:$AJ28,4,MATCH(IF('Data-solution'!$A$3="Maximize",MAX($C29:$AI29),MIN($C29:$AI29)),$C29:$AI29,0))*INDEX(M18:$AJ28,MATCH(MIN($AK18:$AK28),$AK18:$AK28,0),1)/INDEX($C18:$AJ28,MATCH(MIN($AK18:$AK28),$AK18:$AK28,0),MATCH(IF('Data-solution'!$A$3="Maximize",MAX($C29:$AI29),MIN($C29:$AI29)),$C29:$AI29,0))),M21)</f>
        <v>0</v>
      </c>
      <c r="N36" s="1">
        <f>IF(OR($B33&lt;&gt;$B18,$B34&lt;&gt;$B19,$B35&lt;&gt;$B20,$B36&lt;&gt;$B21,$B37&lt;&gt;$B22,$B38&lt;&gt;$B23,$B39&lt;&gt;$B24,$B40&lt;&gt;$B25,$B41&lt;&gt;$B26,$B42&lt;&gt;$B27,$B43&lt;&gt;$B28),IF($B36&lt;&gt;$B21,N21/INDEX($C18:$AJ28,4,MATCH(IF('Data-solution'!$A$3="Maximize",MAX($C29:$AI29),MIN($C29:$AI29)),$C29:$AI29,0)),N21-INDEX($C18:$AJ28,4,MATCH(IF('Data-solution'!$A$3="Maximize",MAX($C29:$AI29),MIN($C29:$AI29)),$C29:$AI29,0))*INDEX(N18:$AJ28,MATCH(MIN($AK18:$AK28),$AK18:$AK28,0),1)/INDEX($C18:$AJ28,MATCH(MIN($AK18:$AK28),$AK18:$AK28,0),MATCH(IF('Data-solution'!$A$3="Maximize",MAX($C29:$AI29),MIN($C29:$AI29)),$C29:$AI29,0))),N21)</f>
        <v>0</v>
      </c>
      <c r="O36" s="1">
        <f>IF(OR($B33&lt;&gt;$B18,$B34&lt;&gt;$B19,$B35&lt;&gt;$B20,$B36&lt;&gt;$B21,$B37&lt;&gt;$B22,$B38&lt;&gt;$B23,$B39&lt;&gt;$B24,$B40&lt;&gt;$B25,$B41&lt;&gt;$B26,$B42&lt;&gt;$B27,$B43&lt;&gt;$B28),IF($B36&lt;&gt;$B21,O21/INDEX($C18:$AJ28,4,MATCH(IF('Data-solution'!$A$3="Maximize",MAX($C29:$AI29),MIN($C29:$AI29)),$C29:$AI29,0)),O21-INDEX($C18:$AJ28,4,MATCH(IF('Data-solution'!$A$3="Maximize",MAX($C29:$AI29),MIN($C29:$AI29)),$C29:$AI29,0))*INDEX(O18:$AJ28,MATCH(MIN($AK18:$AK28),$AK18:$AK28,0),1)/INDEX($C18:$AJ28,MATCH(MIN($AK18:$AK28),$AK18:$AK28,0),MATCH(IF('Data-solution'!$A$3="Maximize",MAX($C29:$AI29),MIN($C29:$AI29)),$C29:$AI29,0))),O21)</f>
        <v>0</v>
      </c>
      <c r="P36" s="1">
        <f>IF(OR($B33&lt;&gt;$B18,$B34&lt;&gt;$B19,$B35&lt;&gt;$B20,$B36&lt;&gt;$B21,$B37&lt;&gt;$B22,$B38&lt;&gt;$B23,$B39&lt;&gt;$B24,$B40&lt;&gt;$B25,$B41&lt;&gt;$B26,$B42&lt;&gt;$B27,$B43&lt;&gt;$B28),IF($B36&lt;&gt;$B21,P21/INDEX($C18:$AJ28,4,MATCH(IF('Data-solution'!$A$3="Maximize",MAX($C29:$AI29),MIN($C29:$AI29)),$C29:$AI29,0)),P21-INDEX($C18:$AJ28,4,MATCH(IF('Data-solution'!$A$3="Maximize",MAX($C29:$AI29),MIN($C29:$AI29)),$C29:$AI29,0))*INDEX(P18:$AJ28,MATCH(MIN($AK18:$AK28),$AK18:$AK28,0),1)/INDEX($C18:$AJ28,MATCH(MIN($AK18:$AK28),$AK18:$AK28,0),MATCH(IF('Data-solution'!$A$3="Maximize",MAX($C29:$AI29),MIN($C29:$AI29)),$C29:$AI29,0))),P21)</f>
        <v>-0.24999999999999994</v>
      </c>
      <c r="Q36" s="1">
        <f>IF(OR($B33&lt;&gt;$B18,$B34&lt;&gt;$B19,$B35&lt;&gt;$B20,$B36&lt;&gt;$B21,$B37&lt;&gt;$B22,$B38&lt;&gt;$B23,$B39&lt;&gt;$B24,$B40&lt;&gt;$B25,$B41&lt;&gt;$B26,$B42&lt;&gt;$B27,$B43&lt;&gt;$B28),IF($B36&lt;&gt;$B21,Q21/INDEX($C18:$AJ28,4,MATCH(IF('Data-solution'!$A$3="Maximize",MAX($C29:$AI29),MIN($C29:$AI29)),$C29:$AI29,0)),Q21-INDEX($C18:$AJ28,4,MATCH(IF('Data-solution'!$A$3="Maximize",MAX($C29:$AI29),MIN($C29:$AI29)),$C29:$AI29,0))*INDEX(Q18:$AJ28,MATCH(MIN($AK18:$AK28),$AK18:$AK28,0),1)/INDEX($C18:$AJ28,MATCH(MIN($AK18:$AK28),$AK18:$AK28,0),MATCH(IF('Data-solution'!$A$3="Maximize",MAX($C29:$AI29),MIN($C29:$AI29)),$C29:$AI29,0))),Q21)</f>
        <v>1.4999999999999998</v>
      </c>
      <c r="R36" s="1">
        <f>IF(OR($B33&lt;&gt;$B18,$B34&lt;&gt;$B19,$B35&lt;&gt;$B20,$B36&lt;&gt;$B21,$B37&lt;&gt;$B22,$B38&lt;&gt;$B23,$B39&lt;&gt;$B24,$B40&lt;&gt;$B25,$B41&lt;&gt;$B26,$B42&lt;&gt;$B27,$B43&lt;&gt;$B28),IF($B36&lt;&gt;$B21,R21/INDEX($C18:$AJ28,4,MATCH(IF('Data-solution'!$A$3="Maximize",MAX($C29:$AI29),MIN($C29:$AI29)),$C29:$AI29,0)),R21-INDEX($C18:$AJ28,4,MATCH(IF('Data-solution'!$A$3="Maximize",MAX($C29:$AI29),MIN($C29:$AI29)),$C29:$AI29,0))*INDEX(R18:$AJ28,MATCH(MIN($AK18:$AK28),$AK18:$AK28,0),1)/INDEX($C18:$AJ28,MATCH(MIN($AK18:$AK28),$AK18:$AK28,0),MATCH(IF('Data-solution'!$A$3="Maximize",MAX($C29:$AI29),MIN($C29:$AI29)),$C29:$AI29,0))),R21)</f>
        <v>0</v>
      </c>
      <c r="S36" s="1">
        <f>IF(OR($B33&lt;&gt;$B18,$B34&lt;&gt;$B19,$B35&lt;&gt;$B20,$B36&lt;&gt;$B21,$B37&lt;&gt;$B22,$B38&lt;&gt;$B23,$B39&lt;&gt;$B24,$B40&lt;&gt;$B25,$B41&lt;&gt;$B26,$B42&lt;&gt;$B27,$B43&lt;&gt;$B28),IF($B36&lt;&gt;$B21,S21/INDEX($C18:$AJ28,4,MATCH(IF('Data-solution'!$A$3="Maximize",MAX($C29:$AI29),MIN($C29:$AI29)),$C29:$AI29,0)),S21-INDEX($C18:$AJ28,4,MATCH(IF('Data-solution'!$A$3="Maximize",MAX($C29:$AI29),MIN($C29:$AI29)),$C29:$AI29,0))*INDEX(S18:$AJ28,MATCH(MIN($AK18:$AK28),$AK18:$AK28,0),1)/INDEX($C18:$AJ28,MATCH(MIN($AK18:$AK28),$AK18:$AK28,0),MATCH(IF('Data-solution'!$A$3="Maximize",MAX($C29:$AI29),MIN($C29:$AI29)),$C29:$AI29,0))),S21)</f>
        <v>0</v>
      </c>
      <c r="T36" s="1">
        <f>IF(OR($B33&lt;&gt;$B18,$B34&lt;&gt;$B19,$B35&lt;&gt;$B20,$B36&lt;&gt;$B21,$B37&lt;&gt;$B22,$B38&lt;&gt;$B23,$B39&lt;&gt;$B24,$B40&lt;&gt;$B25,$B41&lt;&gt;$B26,$B42&lt;&gt;$B27,$B43&lt;&gt;$B28),IF($B36&lt;&gt;$B21,T21/INDEX($C18:$AJ28,4,MATCH(IF('Data-solution'!$A$3="Maximize",MAX($C29:$AI29),MIN($C29:$AI29)),$C29:$AI29,0)),T21-INDEX($C18:$AJ28,4,MATCH(IF('Data-solution'!$A$3="Maximize",MAX($C29:$AI29),MIN($C29:$AI29)),$C29:$AI29,0))*INDEX(T18:$AJ28,MATCH(MIN($AK18:$AK28),$AK18:$AK28,0),1)/INDEX($C18:$AJ28,MATCH(MIN($AK18:$AK28),$AK18:$AK28,0),MATCH(IF('Data-solution'!$A$3="Maximize",MAX($C29:$AI29),MIN($C29:$AI29)),$C29:$AI29,0))),T21)</f>
        <v>0</v>
      </c>
      <c r="U36" s="1">
        <f>IF(OR($B33&lt;&gt;$B18,$B34&lt;&gt;$B19,$B35&lt;&gt;$B20,$B36&lt;&gt;$B21,$B37&lt;&gt;$B22,$B38&lt;&gt;$B23,$B39&lt;&gt;$B24,$B40&lt;&gt;$B25,$B41&lt;&gt;$B26,$B42&lt;&gt;$B27,$B43&lt;&gt;$B28),IF($B36&lt;&gt;$B21,U21/INDEX($C18:$AJ28,4,MATCH(IF('Data-solution'!$A$3="Maximize",MAX($C29:$AI29),MIN($C29:$AI29)),$C29:$AI29,0)),U21-INDEX($C18:$AJ28,4,MATCH(IF('Data-solution'!$A$3="Maximize",MAX($C29:$AI29),MIN($C29:$AI29)),$C29:$AI29,0))*INDEX(U18:$AJ28,MATCH(MIN($AK18:$AK28),$AK18:$AK28,0),1)/INDEX($C18:$AJ28,MATCH(MIN($AK18:$AK28),$AK18:$AK28,0),MATCH(IF('Data-solution'!$A$3="Maximize",MAX($C29:$AI29),MIN($C29:$AI29)),$C29:$AI29,0))),U21)</f>
        <v>0</v>
      </c>
      <c r="V36" s="1">
        <f>IF(OR($B33&lt;&gt;$B18,$B34&lt;&gt;$B19,$B35&lt;&gt;$B20,$B36&lt;&gt;$B21,$B37&lt;&gt;$B22,$B38&lt;&gt;$B23,$B39&lt;&gt;$B24,$B40&lt;&gt;$B25,$B41&lt;&gt;$B26,$B42&lt;&gt;$B27,$B43&lt;&gt;$B28),IF($B36&lt;&gt;$B21,V21/INDEX($C18:$AJ28,4,MATCH(IF('Data-solution'!$A$3="Maximize",MAX($C29:$AI29),MIN($C29:$AI29)),$C29:$AI29,0)),V21-INDEX($C18:$AJ28,4,MATCH(IF('Data-solution'!$A$3="Maximize",MAX($C29:$AI29),MIN($C29:$AI29)),$C29:$AI29,0))*INDEX(V18:$AJ28,MATCH(MIN($AK18:$AK28),$AK18:$AK28,0),1)/INDEX($C18:$AJ28,MATCH(MIN($AK18:$AK28),$AK18:$AK28,0),MATCH(IF('Data-solution'!$A$3="Maximize",MAX($C29:$AI29),MIN($C29:$AI29)),$C29:$AI29,0))),V21)</f>
        <v>0</v>
      </c>
      <c r="W36" s="1">
        <f>IF(OR($B33&lt;&gt;$B18,$B34&lt;&gt;$B19,$B35&lt;&gt;$B20,$B36&lt;&gt;$B21,$B37&lt;&gt;$B22,$B38&lt;&gt;$B23,$B39&lt;&gt;$B24,$B40&lt;&gt;$B25,$B41&lt;&gt;$B26,$B42&lt;&gt;$B27,$B43&lt;&gt;$B28),IF($B36&lt;&gt;$B21,W21/INDEX($C18:$AJ28,4,MATCH(IF('Data-solution'!$A$3="Maximize",MAX($C29:$AI29),MIN($C29:$AI29)),$C29:$AI29,0)),W21-INDEX($C18:$AJ28,4,MATCH(IF('Data-solution'!$A$3="Maximize",MAX($C29:$AI29),MIN($C29:$AI29)),$C29:$AI29,0))*INDEX(W18:$AJ28,MATCH(MIN($AK18:$AK28),$AK18:$AK28,0),1)/INDEX($C18:$AJ28,MATCH(MIN($AK18:$AK28),$AK18:$AK28,0),MATCH(IF('Data-solution'!$A$3="Maximize",MAX($C29:$AI29),MIN($C29:$AI29)),$C29:$AI29,0))),W21)</f>
        <v>0</v>
      </c>
      <c r="X36" s="1">
        <f>IF(OR($B33&lt;&gt;$B18,$B34&lt;&gt;$B19,$B35&lt;&gt;$B20,$B36&lt;&gt;$B21,$B37&lt;&gt;$B22,$B38&lt;&gt;$B23,$B39&lt;&gt;$B24,$B40&lt;&gt;$B25,$B41&lt;&gt;$B26,$B42&lt;&gt;$B27,$B43&lt;&gt;$B28),IF($B36&lt;&gt;$B21,X21/INDEX($C18:$AJ28,4,MATCH(IF('Data-solution'!$A$3="Maximize",MAX($C29:$AI29),MIN($C29:$AI29)),$C29:$AI29,0)),X21-INDEX($C18:$AJ28,4,MATCH(IF('Data-solution'!$A$3="Maximize",MAX($C29:$AI29),MIN($C29:$AI29)),$C29:$AI29,0))*INDEX(X18:$AJ28,MATCH(MIN($AK18:$AK28),$AK18:$AK28,0),1)/INDEX($C18:$AJ28,MATCH(MIN($AK18:$AK28),$AK18:$AK28,0),MATCH(IF('Data-solution'!$A$3="Maximize",MAX($C29:$AI29),MIN($C29:$AI29)),$C29:$AI29,0))),X21)</f>
        <v>0</v>
      </c>
      <c r="Y36" s="1">
        <f>IF(OR($B33&lt;&gt;$B18,$B34&lt;&gt;$B19,$B35&lt;&gt;$B20,$B36&lt;&gt;$B21,$B37&lt;&gt;$B22,$B38&lt;&gt;$B23,$B39&lt;&gt;$B24,$B40&lt;&gt;$B25,$B41&lt;&gt;$B26,$B42&lt;&gt;$B27,$B43&lt;&gt;$B28),IF($B36&lt;&gt;$B21,Y21/INDEX($C18:$AJ28,4,MATCH(IF('Data-solution'!$A$3="Maximize",MAX($C29:$AI29),MIN($C29:$AI29)),$C29:$AI29,0)),Y21-INDEX($C18:$AJ28,4,MATCH(IF('Data-solution'!$A$3="Maximize",MAX($C29:$AI29),MIN($C29:$AI29)),$C29:$AI29,0))*INDEX(Y18:$AJ28,MATCH(MIN($AK18:$AK28),$AK18:$AK28,0),1)/INDEX($C18:$AJ28,MATCH(MIN($AK18:$AK28),$AK18:$AK28,0),MATCH(IF('Data-solution'!$A$3="Maximize",MAX($C29:$AI29),MIN($C29:$AI29)),$C29:$AI29,0))),Y21)</f>
        <v>0</v>
      </c>
      <c r="Z36" s="1">
        <f>IF(OR($B33&lt;&gt;$B18,$B34&lt;&gt;$B19,$B35&lt;&gt;$B20,$B36&lt;&gt;$B21,$B37&lt;&gt;$B22,$B38&lt;&gt;$B23,$B39&lt;&gt;$B24,$B40&lt;&gt;$B25,$B41&lt;&gt;$B26,$B42&lt;&gt;$B27,$B43&lt;&gt;$B28),IF($B36&lt;&gt;$B21,Z21/INDEX($C18:$AJ28,4,MATCH(IF('Data-solution'!$A$3="Maximize",MAX($C29:$AI29),MIN($C29:$AI29)),$C29:$AI29,0)),Z21-INDEX($C18:$AJ28,4,MATCH(IF('Data-solution'!$A$3="Maximize",MAX($C29:$AI29),MIN($C29:$AI29)),$C29:$AI29,0))*INDEX(Z18:$AJ28,MATCH(MIN($AK18:$AK28),$AK18:$AK28,0),1)/INDEX($C18:$AJ28,MATCH(MIN($AK18:$AK28),$AK18:$AK28,0),MATCH(IF('Data-solution'!$A$3="Maximize",MAX($C29:$AI29),MIN($C29:$AI29)),$C29:$AI29,0))),Z21)</f>
        <v>0</v>
      </c>
      <c r="AA36" s="1">
        <f>IF(OR($B33&lt;&gt;$B18,$B34&lt;&gt;$B19,$B35&lt;&gt;$B20,$B36&lt;&gt;$B21,$B37&lt;&gt;$B22,$B38&lt;&gt;$B23,$B39&lt;&gt;$B24,$B40&lt;&gt;$B25,$B41&lt;&gt;$B26,$B42&lt;&gt;$B27,$B43&lt;&gt;$B28),IF($B36&lt;&gt;$B21,AA21/INDEX($C18:$AJ28,4,MATCH(IF('Data-solution'!$A$3="Maximize",MAX($C29:$AI29),MIN($C29:$AI29)),$C29:$AI29,0)),AA21-INDEX($C18:$AJ28,4,MATCH(IF('Data-solution'!$A$3="Maximize",MAX($C29:$AI29),MIN($C29:$AI29)),$C29:$AI29,0))*INDEX(AA18:$AJ28,MATCH(MIN($AK18:$AK28),$AK18:$AK28,0),1)/INDEX($C18:$AJ28,MATCH(MIN($AK18:$AK28),$AK18:$AK28,0),MATCH(IF('Data-solution'!$A$3="Maximize",MAX($C29:$AI29),MIN($C29:$AI29)),$C29:$AI29,0))),AA21)</f>
        <v>-0.24999999999999994</v>
      </c>
      <c r="AB36" s="1">
        <f>IF(OR($B33&lt;&gt;$B18,$B34&lt;&gt;$B19,$B35&lt;&gt;$B20,$B36&lt;&gt;$B21,$B37&lt;&gt;$B22,$B38&lt;&gt;$B23,$B39&lt;&gt;$B24,$B40&lt;&gt;$B25,$B41&lt;&gt;$B26,$B42&lt;&gt;$B27,$B43&lt;&gt;$B28),IF($B36&lt;&gt;$B21,AB21/INDEX($C18:$AJ28,4,MATCH(IF('Data-solution'!$A$3="Maximize",MAX($C29:$AI29),MIN($C29:$AI29)),$C29:$AI29,0)),AB21-INDEX($C18:$AJ28,4,MATCH(IF('Data-solution'!$A$3="Maximize",MAX($C29:$AI29),MIN($C29:$AI29)),$C29:$AI29,0))*INDEX(AB18:$AJ28,MATCH(MIN($AK18:$AK28),$AK18:$AK28,0),1)/INDEX($C18:$AJ28,MATCH(MIN($AK18:$AK28),$AK18:$AK28,0),MATCH(IF('Data-solution'!$A$3="Maximize",MAX($C29:$AI29),MIN($C29:$AI29)),$C29:$AI29,0))),AB21)</f>
        <v>1.4999999999999998</v>
      </c>
      <c r="AC36" s="1">
        <f>IF(OR($B33&lt;&gt;$B18,$B34&lt;&gt;$B19,$B35&lt;&gt;$B20,$B36&lt;&gt;$B21,$B37&lt;&gt;$B22,$B38&lt;&gt;$B23,$B39&lt;&gt;$B24,$B40&lt;&gt;$B25,$B41&lt;&gt;$B26,$B42&lt;&gt;$B27,$B43&lt;&gt;$B28),IF($B36&lt;&gt;$B21,AC21/INDEX($C18:$AJ28,4,MATCH(IF('Data-solution'!$A$3="Maximize",MAX($C29:$AI29),MIN($C29:$AI29)),$C29:$AI29,0)),AC21-INDEX($C18:$AJ28,4,MATCH(IF('Data-solution'!$A$3="Maximize",MAX($C29:$AI29),MIN($C29:$AI29)),$C29:$AI29,0))*INDEX(AC18:$AJ28,MATCH(MIN($AK18:$AK28),$AK18:$AK28,0),1)/INDEX($C18:$AJ28,MATCH(MIN($AK18:$AK28),$AK18:$AK28,0),MATCH(IF('Data-solution'!$A$3="Maximize",MAX($C29:$AI29),MIN($C29:$AI29)),$C29:$AI29,0))),AC21)</f>
        <v>0</v>
      </c>
      <c r="AD36" s="1">
        <f>IF(OR($B33&lt;&gt;$B18,$B34&lt;&gt;$B19,$B35&lt;&gt;$B20,$B36&lt;&gt;$B21,$B37&lt;&gt;$B22,$B38&lt;&gt;$B23,$B39&lt;&gt;$B24,$B40&lt;&gt;$B25,$B41&lt;&gt;$B26,$B42&lt;&gt;$B27,$B43&lt;&gt;$B28),IF($B36&lt;&gt;$B21,AD21/INDEX($C18:$AJ28,4,MATCH(IF('Data-solution'!$A$3="Maximize",MAX($C29:$AI29),MIN($C29:$AI29)),$C29:$AI29,0)),AD21-INDEX($C18:$AJ28,4,MATCH(IF('Data-solution'!$A$3="Maximize",MAX($C29:$AI29),MIN($C29:$AI29)),$C29:$AI29,0))*INDEX(AD18:$AJ28,MATCH(MIN($AK18:$AK28),$AK18:$AK28,0),1)/INDEX($C18:$AJ28,MATCH(MIN($AK18:$AK28),$AK18:$AK28,0),MATCH(IF('Data-solution'!$A$3="Maximize",MAX($C29:$AI29),MIN($C29:$AI29)),$C29:$AI29,0))),AD21)</f>
        <v>0</v>
      </c>
      <c r="AE36" s="1">
        <f>IF(OR($B33&lt;&gt;$B18,$B34&lt;&gt;$B19,$B35&lt;&gt;$B20,$B36&lt;&gt;$B21,$B37&lt;&gt;$B22,$B38&lt;&gt;$B23,$B39&lt;&gt;$B24,$B40&lt;&gt;$B25,$B41&lt;&gt;$B26,$B42&lt;&gt;$B27,$B43&lt;&gt;$B28),IF($B36&lt;&gt;$B21,AE21/INDEX($C18:$AJ28,4,MATCH(IF('Data-solution'!$A$3="Maximize",MAX($C29:$AI29),MIN($C29:$AI29)),$C29:$AI29,0)),AE21-INDEX($C18:$AJ28,4,MATCH(IF('Data-solution'!$A$3="Maximize",MAX($C29:$AI29),MIN($C29:$AI29)),$C29:$AI29,0))*INDEX(AE18:$AJ28,MATCH(MIN($AK18:$AK28),$AK18:$AK28,0),1)/INDEX($C18:$AJ28,MATCH(MIN($AK18:$AK28),$AK18:$AK28,0),MATCH(IF('Data-solution'!$A$3="Maximize",MAX($C29:$AI29),MIN($C29:$AI29)),$C29:$AI29,0))),AE21)</f>
        <v>0</v>
      </c>
      <c r="AF36" s="1">
        <f>IF(OR($B33&lt;&gt;$B18,$B34&lt;&gt;$B19,$B35&lt;&gt;$B20,$B36&lt;&gt;$B21,$B37&lt;&gt;$B22,$B38&lt;&gt;$B23,$B39&lt;&gt;$B24,$B40&lt;&gt;$B25,$B41&lt;&gt;$B26,$B42&lt;&gt;$B27,$B43&lt;&gt;$B28),IF($B36&lt;&gt;$B21,AF21/INDEX($C18:$AJ28,4,MATCH(IF('Data-solution'!$A$3="Maximize",MAX($C29:$AI29),MIN($C29:$AI29)),$C29:$AI29,0)),AF21-INDEX($C18:$AJ28,4,MATCH(IF('Data-solution'!$A$3="Maximize",MAX($C29:$AI29),MIN($C29:$AI29)),$C29:$AI29,0))*INDEX(AF18:$AJ28,MATCH(MIN($AK18:$AK28),$AK18:$AK28,0),1)/INDEX($C18:$AJ28,MATCH(MIN($AK18:$AK28),$AK18:$AK28,0),MATCH(IF('Data-solution'!$A$3="Maximize",MAX($C29:$AI29),MIN($C29:$AI29)),$C29:$AI29,0))),AF21)</f>
        <v>0</v>
      </c>
      <c r="AG36" s="1">
        <f>IF(OR($B33&lt;&gt;$B18,$B34&lt;&gt;$B19,$B35&lt;&gt;$B20,$B36&lt;&gt;$B21,$B37&lt;&gt;$B22,$B38&lt;&gt;$B23,$B39&lt;&gt;$B24,$B40&lt;&gt;$B25,$B41&lt;&gt;$B26,$B42&lt;&gt;$B27,$B43&lt;&gt;$B28),IF($B36&lt;&gt;$B21,AG21/INDEX($C18:$AJ28,4,MATCH(IF('Data-solution'!$A$3="Maximize",MAX($C29:$AI29),MIN($C29:$AI29)),$C29:$AI29,0)),AG21-INDEX($C18:$AJ28,4,MATCH(IF('Data-solution'!$A$3="Maximize",MAX($C29:$AI29),MIN($C29:$AI29)),$C29:$AI29,0))*INDEX(AG18:$AJ28,MATCH(MIN($AK18:$AK28),$AK18:$AK28,0),1)/INDEX($C18:$AJ28,MATCH(MIN($AK18:$AK28),$AK18:$AK28,0),MATCH(IF('Data-solution'!$A$3="Maximize",MAX($C29:$AI29),MIN($C29:$AI29)),$C29:$AI29,0))),AG21)</f>
        <v>0</v>
      </c>
      <c r="AH36" s="1">
        <f>IF(OR($B33&lt;&gt;$B18,$B34&lt;&gt;$B19,$B35&lt;&gt;$B20,$B36&lt;&gt;$B21,$B37&lt;&gt;$B22,$B38&lt;&gt;$B23,$B39&lt;&gt;$B24,$B40&lt;&gt;$B25,$B41&lt;&gt;$B26,$B42&lt;&gt;$B27,$B43&lt;&gt;$B28),IF($B36&lt;&gt;$B21,AH21/INDEX($C18:$AJ28,4,MATCH(IF('Data-solution'!$A$3="Maximize",MAX($C29:$AI29),MIN($C29:$AI29)),$C29:$AI29,0)),AH21-INDEX($C18:$AJ28,4,MATCH(IF('Data-solution'!$A$3="Maximize",MAX($C29:$AI29),MIN($C29:$AI29)),$C29:$AI29,0))*INDEX(AH18:$AJ28,MATCH(MIN($AK18:$AK28),$AK18:$AK28,0),1)/INDEX($C18:$AJ28,MATCH(MIN($AK18:$AK28),$AK18:$AK28,0),MATCH(IF('Data-solution'!$A$3="Maximize",MAX($C29:$AI29),MIN($C29:$AI29)),$C29:$AI29,0))),AH21)</f>
        <v>0</v>
      </c>
      <c r="AI36" s="1">
        <f>IF(OR($B33&lt;&gt;$B18,$B34&lt;&gt;$B19,$B35&lt;&gt;$B20,$B36&lt;&gt;$B21,$B37&lt;&gt;$B22,$B38&lt;&gt;$B23,$B39&lt;&gt;$B24,$B40&lt;&gt;$B25,$B41&lt;&gt;$B26,$B42&lt;&gt;$B27,$B43&lt;&gt;$B28),IF($B36&lt;&gt;$B21,AI21/INDEX($C18:$AJ28,4,MATCH(IF('Data-solution'!$A$3="Maximize",MAX($C29:$AI29),MIN($C29:$AI29)),$C29:$AI29,0)),AI21-INDEX($C18:$AJ28,4,MATCH(IF('Data-solution'!$A$3="Maximize",MAX($C29:$AI29),MIN($C29:$AI29)),$C29:$AI29,0))*INDEX(AI18:$AJ28,MATCH(MIN($AK18:$AK28),$AK18:$AK28,0),1)/INDEX($C18:$AJ28,MATCH(MIN($AK18:$AK28),$AK18:$AK28,0),MATCH(IF('Data-solution'!$A$3="Maximize",MAX($C29:$AI29),MIN($C29:$AI29)),$C29:$AI29,0))),AI21)</f>
        <v>0</v>
      </c>
      <c r="AJ36" s="1">
        <f>IF(OR($B33&lt;&gt;$B18,$B34&lt;&gt;$B19,$B35&lt;&gt;$B20,$B36&lt;&gt;$B21,$B37&lt;&gt;$B22,$B38&lt;&gt;$B23,$B39&lt;&gt;$B24,$B40&lt;&gt;$B25,$B41&lt;&gt;$B26,$B42&lt;&gt;$B27,$B43&lt;&gt;$B28),IF($B36&lt;&gt;$B21,AJ21/INDEX($C18:$AJ28,4,MATCH(IF('Data-solution'!$A$3="Maximize",MAX($C29:$AI29),MIN($C29:$AI29)),$C29:$AI29,0)),AJ21-INDEX($C18:$AJ28,4,MATCH(IF('Data-solution'!$A$3="Maximize",MAX($C29:$AI29),MIN($C29:$AI29)),$C29:$AI29,0))*INDEX(AJ18:$AJ28,MATCH(MIN($AK18:$AK28),$AK18:$AK28,0),1)/INDEX($C18:$AJ28,MATCH(MIN($AK18:$AK28),$AK18:$AK28,0),MATCH(IF('Data-solution'!$A$3="Maximize",MAX($C29:$AI29),MIN($C29:$AI29)),$C29:$AI29,0))),AJ21)</f>
        <v>100.00000000000001</v>
      </c>
      <c r="AK36" s="1">
        <f>IF(INDEX(C36:X36,1,MATCH(IF('Data-solution'!A$3="Maximize",MAX(C44:X44),MIN(C44:X44)),C44:X44,0))&gt;0,AJ36/INDEX(C36:X36,1,MATCH(IF('Data-solution'!A$3="Maximize",MAX(C44:X44),MIN(C44:X44)),C44:X44,0))," ")</f>
        <v>100.00000000000001</v>
      </c>
    </row>
    <row r="37" spans="1:37" ht="18" customHeight="1" x14ac:dyDescent="0.2">
      <c r="A37" s="1">
        <f t="shared" ref="A37" si="12">INDEX(C31:AI31,1,MATCH(B37,C32:AI32,0))</f>
        <v>0</v>
      </c>
      <c r="B37" s="2" t="str">
        <f>IF(AND('Data-solution'!A$3="Maximize",COUNTIF(C29:X29,"&gt;"&amp;0)&gt;0,AK22=MIN(AK18:AK28),COUNTIF(B33:B36,INDEX(C17:X17,1,MATCH(MAX(C29:X29),C29:X29,0)))=0),INDEX(C17:X17,1,MATCH(MAX(C29:X29),C29:X29,0)),IF(AND('Data-solution'!A$3="Minimize",COUNTIF(C29:X29,"&lt;"&amp;0)&gt;0,AK22=MIN(AK18:AK28),COUNTIF(B33:B36,INDEX(C17:X17,1,MATCH(MIN(C29:X29),C29:X29,0)))=0),INDEX(C17:X17,1,MATCH(MIN(C29:X29),C29:X29,0)),B22))</f>
        <v>S5</v>
      </c>
      <c r="C37" s="1">
        <f>IF(OR($B33&lt;&gt;$B18,$B34&lt;&gt;$B19,$B35&lt;&gt;$B20,$B36&lt;&gt;$B21,$B37&lt;&gt;$B22,$B38&lt;&gt;$B23,$B39&lt;&gt;$B24,$B40&lt;&gt;$B25,$B41&lt;&gt;$B26,$B42&lt;&gt;$B27,$B43&lt;&gt;$B28),IF($B37&lt;&gt;$B22,C22/INDEX($C18:$AJ28,5,MATCH(IF('Data-solution'!$A$3="Maximize",MAX($C29:$AI29),MIN($C29:$AI29)),$C29:$AI29,0)),C22-INDEX($C18:$AJ28,5,MATCH(IF('Data-solution'!$A$3="Maximize",MAX($C29:$AI29),MIN($C29:$AI29)),$C29:$AI29,0))*INDEX(C18:$AJ28,MATCH(MIN($AK18:$AK28),$AK18:$AK28,0),1)/INDEX($C18:$AJ28,MATCH(MIN($AK18:$AK28),$AK18:$AK28,0),MATCH(IF('Data-solution'!$A$3="Maximize",MAX($C29:$AI29),MIN($C29:$AI29)),$C29:$AI29,0))),C22)</f>
        <v>0</v>
      </c>
      <c r="D37" s="1">
        <f>IF(OR($B33&lt;&gt;$B18,$B34&lt;&gt;$B19,$B35&lt;&gt;$B20,$B36&lt;&gt;$B21,$B37&lt;&gt;$B22,$B38&lt;&gt;$B23,$B39&lt;&gt;$B24,$B40&lt;&gt;$B25,$B41&lt;&gt;$B26,$B42&lt;&gt;$B27,$B43&lt;&gt;$B28),IF($B37&lt;&gt;$B22,D22/INDEX($C18:$AJ28,5,MATCH(IF('Data-solution'!$A$3="Maximize",MAX($C29:$AI29),MIN($C29:$AI29)),$C29:$AI29,0)),D22-INDEX($C18:$AJ28,5,MATCH(IF('Data-solution'!$A$3="Maximize",MAX($C29:$AI29),MIN($C29:$AI29)),$C29:$AI29,0))*INDEX(D18:$AJ28,MATCH(MIN($AK18:$AK28),$AK18:$AK28,0),1)/INDEX($C18:$AJ28,MATCH(MIN($AK18:$AK28),$AK18:$AK28,0),MATCH(IF('Data-solution'!$A$3="Maximize",MAX($C29:$AI29),MIN($C29:$AI29)),$C29:$AI29,0))),D22)</f>
        <v>0</v>
      </c>
      <c r="E37" s="1">
        <f>IF(OR($B33&lt;&gt;$B18,$B34&lt;&gt;$B19,$B35&lt;&gt;$B20,$B36&lt;&gt;$B21,$B37&lt;&gt;$B22,$B38&lt;&gt;$B23,$B39&lt;&gt;$B24,$B40&lt;&gt;$B25,$B41&lt;&gt;$B26,$B42&lt;&gt;$B27,$B43&lt;&gt;$B28),IF($B37&lt;&gt;$B22,E22/INDEX($C18:$AJ28,5,MATCH(IF('Data-solution'!$A$3="Maximize",MAX($C29:$AI29),MIN($C29:$AI29)),$C29:$AI29,0)),E22-INDEX($C18:$AJ28,5,MATCH(IF('Data-solution'!$A$3="Maximize",MAX($C29:$AI29),MIN($C29:$AI29)),$C29:$AI29,0))*INDEX(E18:$AJ28,MATCH(MIN($AK18:$AK28),$AK18:$AK28,0),1)/INDEX($C18:$AJ28,MATCH(MIN($AK18:$AK28),$AK18:$AK28,0),MATCH(IF('Data-solution'!$A$3="Maximize",MAX($C29:$AI29),MIN($C29:$AI29)),$C29:$AI29,0))),E22)</f>
        <v>0</v>
      </c>
      <c r="F37" s="1">
        <f>IF(OR($B33&lt;&gt;$B18,$B34&lt;&gt;$B19,$B35&lt;&gt;$B20,$B36&lt;&gt;$B21,$B37&lt;&gt;$B22,$B38&lt;&gt;$B23,$B39&lt;&gt;$B24,$B40&lt;&gt;$B25,$B41&lt;&gt;$B26,$B42&lt;&gt;$B27,$B43&lt;&gt;$B28),IF($B37&lt;&gt;$B22,F22/INDEX($C18:$AJ28,5,MATCH(IF('Data-solution'!$A$3="Maximize",MAX($C29:$AI29),MIN($C29:$AI29)),$C29:$AI29,0)),F22-INDEX($C18:$AJ28,5,MATCH(IF('Data-solution'!$A$3="Maximize",MAX($C29:$AI29),MIN($C29:$AI29)),$C29:$AI29,0))*INDEX(F18:$AJ28,MATCH(MIN($AK18:$AK28),$AK18:$AK28,0),1)/INDEX($C18:$AJ28,MATCH(MIN($AK18:$AK28),$AK18:$AK28,0),MATCH(IF('Data-solution'!$A$3="Maximize",MAX($C29:$AI29),MIN($C29:$AI29)),$C29:$AI29,0))),F22)</f>
        <v>0</v>
      </c>
      <c r="G37" s="1">
        <f>IF(OR($B33&lt;&gt;$B18,$B34&lt;&gt;$B19,$B35&lt;&gt;$B20,$B36&lt;&gt;$B21,$B37&lt;&gt;$B22,$B38&lt;&gt;$B23,$B39&lt;&gt;$B24,$B40&lt;&gt;$B25,$B41&lt;&gt;$B26,$B42&lt;&gt;$B27,$B43&lt;&gt;$B28),IF($B37&lt;&gt;$B22,G22/INDEX($C18:$AJ28,5,MATCH(IF('Data-solution'!$A$3="Maximize",MAX($C29:$AI29),MIN($C29:$AI29)),$C29:$AI29,0)),G22-INDEX($C18:$AJ28,5,MATCH(IF('Data-solution'!$A$3="Maximize",MAX($C29:$AI29),MIN($C29:$AI29)),$C29:$AI29,0))*INDEX(G18:$AJ28,MATCH(MIN($AK18:$AK28),$AK18:$AK28,0),1)/INDEX($C18:$AJ28,MATCH(MIN($AK18:$AK28),$AK18:$AK28,0),MATCH(IF('Data-solution'!$A$3="Maximize",MAX($C29:$AI29),MIN($C29:$AI29)),$C29:$AI29,0))),G22)</f>
        <v>0</v>
      </c>
      <c r="H37" s="1">
        <f>IF(OR($B33&lt;&gt;$B18,$B34&lt;&gt;$B19,$B35&lt;&gt;$B20,$B36&lt;&gt;$B21,$B37&lt;&gt;$B22,$B38&lt;&gt;$B23,$B39&lt;&gt;$B24,$B40&lt;&gt;$B25,$B41&lt;&gt;$B26,$B42&lt;&gt;$B27,$B43&lt;&gt;$B28),IF($B37&lt;&gt;$B22,H22/INDEX($C18:$AJ28,5,MATCH(IF('Data-solution'!$A$3="Maximize",MAX($C29:$AI29),MIN($C29:$AI29)),$C29:$AI29,0)),H22-INDEX($C18:$AJ28,5,MATCH(IF('Data-solution'!$A$3="Maximize",MAX($C29:$AI29),MIN($C29:$AI29)),$C29:$AI29,0))*INDEX(H18:$AJ28,MATCH(MIN($AK18:$AK28),$AK18:$AK28,0),1)/INDEX($C18:$AJ28,MATCH(MIN($AK18:$AK28),$AK18:$AK28,0),MATCH(IF('Data-solution'!$A$3="Maximize",MAX($C29:$AI29),MIN($C29:$AI29)),$C29:$AI29,0))),H22)</f>
        <v>0</v>
      </c>
      <c r="I37" s="1">
        <f>IF(OR($B33&lt;&gt;$B18,$B34&lt;&gt;$B19,$B35&lt;&gt;$B20,$B36&lt;&gt;$B21,$B37&lt;&gt;$B22,$B38&lt;&gt;$B23,$B39&lt;&gt;$B24,$B40&lt;&gt;$B25,$B41&lt;&gt;$B26,$B42&lt;&gt;$B27,$B43&lt;&gt;$B28),IF($B37&lt;&gt;$B22,I22/INDEX($C18:$AJ28,5,MATCH(IF('Data-solution'!$A$3="Maximize",MAX($C29:$AI29),MIN($C29:$AI29)),$C29:$AI29,0)),I22-INDEX($C18:$AJ28,5,MATCH(IF('Data-solution'!$A$3="Maximize",MAX($C29:$AI29),MIN($C29:$AI29)),$C29:$AI29,0))*INDEX(I18:$AJ28,MATCH(MIN($AK18:$AK28),$AK18:$AK28,0),1)/INDEX($C18:$AJ28,MATCH(MIN($AK18:$AK28),$AK18:$AK28,0),MATCH(IF('Data-solution'!$A$3="Maximize",MAX($C29:$AI29),MIN($C29:$AI29)),$C29:$AI29,0))),I22)</f>
        <v>0</v>
      </c>
      <c r="J37" s="1">
        <f>IF(OR($B33&lt;&gt;$B18,$B34&lt;&gt;$B19,$B35&lt;&gt;$B20,$B36&lt;&gt;$B21,$B37&lt;&gt;$B22,$B38&lt;&gt;$B23,$B39&lt;&gt;$B24,$B40&lt;&gt;$B25,$B41&lt;&gt;$B26,$B42&lt;&gt;$B27,$B43&lt;&gt;$B28),IF($B37&lt;&gt;$B22,J22/INDEX($C18:$AJ28,5,MATCH(IF('Data-solution'!$A$3="Maximize",MAX($C29:$AI29),MIN($C29:$AI29)),$C29:$AI29,0)),J22-INDEX($C18:$AJ28,5,MATCH(IF('Data-solution'!$A$3="Maximize",MAX($C29:$AI29),MIN($C29:$AI29)),$C29:$AI29,0))*INDEX(J18:$AJ28,MATCH(MIN($AK18:$AK28),$AK18:$AK28,0),1)/INDEX($C18:$AJ28,MATCH(MIN($AK18:$AK28),$AK18:$AK28,0),MATCH(IF('Data-solution'!$A$3="Maximize",MAX($C29:$AI29),MIN($C29:$AI29)),$C29:$AI29,0))),J22)</f>
        <v>0</v>
      </c>
      <c r="K37" s="1">
        <f>IF(OR($B33&lt;&gt;$B18,$B34&lt;&gt;$B19,$B35&lt;&gt;$B20,$B36&lt;&gt;$B21,$B37&lt;&gt;$B22,$B38&lt;&gt;$B23,$B39&lt;&gt;$B24,$B40&lt;&gt;$B25,$B41&lt;&gt;$B26,$B42&lt;&gt;$B27,$B43&lt;&gt;$B28),IF($B37&lt;&gt;$B22,K22/INDEX($C18:$AJ28,5,MATCH(IF('Data-solution'!$A$3="Maximize",MAX($C29:$AI29),MIN($C29:$AI29)),$C29:$AI29,0)),K22-INDEX($C18:$AJ28,5,MATCH(IF('Data-solution'!$A$3="Maximize",MAX($C29:$AI29),MIN($C29:$AI29)),$C29:$AI29,0))*INDEX(K18:$AJ28,MATCH(MIN($AK18:$AK28),$AK18:$AK28,0),1)/INDEX($C18:$AJ28,MATCH(MIN($AK18:$AK28),$AK18:$AK28,0),MATCH(IF('Data-solution'!$A$3="Maximize",MAX($C29:$AI29),MIN($C29:$AI29)),$C29:$AI29,0))),K22)</f>
        <v>0</v>
      </c>
      <c r="L37" s="1">
        <f>IF(OR($B33&lt;&gt;$B18,$B34&lt;&gt;$B19,$B35&lt;&gt;$B20,$B36&lt;&gt;$B21,$B37&lt;&gt;$B22,$B38&lt;&gt;$B23,$B39&lt;&gt;$B24,$B40&lt;&gt;$B25,$B41&lt;&gt;$B26,$B42&lt;&gt;$B27,$B43&lt;&gt;$B28),IF($B37&lt;&gt;$B22,L22/INDEX($C18:$AJ28,5,MATCH(IF('Data-solution'!$A$3="Maximize",MAX($C29:$AI29),MIN($C29:$AI29)),$C29:$AI29,0)),L22-INDEX($C18:$AJ28,5,MATCH(IF('Data-solution'!$A$3="Maximize",MAX($C29:$AI29),MIN($C29:$AI29)),$C29:$AI29,0))*INDEX(L18:$AJ28,MATCH(MIN($AK18:$AK28),$AK18:$AK28,0),1)/INDEX($C18:$AJ28,MATCH(MIN($AK18:$AK28),$AK18:$AK28,0),MATCH(IF('Data-solution'!$A$3="Maximize",MAX($C29:$AI29),MIN($C29:$AI29)),$C29:$AI29,0))),L22)</f>
        <v>0</v>
      </c>
      <c r="M37" s="1">
        <f>IF(OR($B33&lt;&gt;$B18,$B34&lt;&gt;$B19,$B35&lt;&gt;$B20,$B36&lt;&gt;$B21,$B37&lt;&gt;$B22,$B38&lt;&gt;$B23,$B39&lt;&gt;$B24,$B40&lt;&gt;$B25,$B41&lt;&gt;$B26,$B42&lt;&gt;$B27,$B43&lt;&gt;$B28),IF($B37&lt;&gt;$B22,M22/INDEX($C18:$AJ28,5,MATCH(IF('Data-solution'!$A$3="Maximize",MAX($C29:$AI29),MIN($C29:$AI29)),$C29:$AI29,0)),M22-INDEX($C18:$AJ28,5,MATCH(IF('Data-solution'!$A$3="Maximize",MAX($C29:$AI29),MIN($C29:$AI29)),$C29:$AI29,0))*INDEX(M18:$AJ28,MATCH(MIN($AK18:$AK28),$AK18:$AK28,0),1)/INDEX($C18:$AJ28,MATCH(MIN($AK18:$AK28),$AK18:$AK28,0),MATCH(IF('Data-solution'!$A$3="Maximize",MAX($C29:$AI29),MIN($C29:$AI29)),$C29:$AI29,0))),M22)</f>
        <v>0</v>
      </c>
      <c r="N37" s="1">
        <f>IF(OR($B33&lt;&gt;$B18,$B34&lt;&gt;$B19,$B35&lt;&gt;$B20,$B36&lt;&gt;$B21,$B37&lt;&gt;$B22,$B38&lt;&gt;$B23,$B39&lt;&gt;$B24,$B40&lt;&gt;$B25,$B41&lt;&gt;$B26,$B42&lt;&gt;$B27,$B43&lt;&gt;$B28),IF($B37&lt;&gt;$B22,N22/INDEX($C18:$AJ28,5,MATCH(IF('Data-solution'!$A$3="Maximize",MAX($C29:$AI29),MIN($C29:$AI29)),$C29:$AI29,0)),N22-INDEX($C18:$AJ28,5,MATCH(IF('Data-solution'!$A$3="Maximize",MAX($C29:$AI29),MIN($C29:$AI29)),$C29:$AI29,0))*INDEX(N18:$AJ28,MATCH(MIN($AK18:$AK28),$AK18:$AK28,0),1)/INDEX($C18:$AJ28,MATCH(MIN($AK18:$AK28),$AK18:$AK28,0),MATCH(IF('Data-solution'!$A$3="Maximize",MAX($C29:$AI29),MIN($C29:$AI29)),$C29:$AI29,0))),N22)</f>
        <v>0</v>
      </c>
      <c r="O37" s="1">
        <f>IF(OR($B33&lt;&gt;$B18,$B34&lt;&gt;$B19,$B35&lt;&gt;$B20,$B36&lt;&gt;$B21,$B37&lt;&gt;$B22,$B38&lt;&gt;$B23,$B39&lt;&gt;$B24,$B40&lt;&gt;$B25,$B41&lt;&gt;$B26,$B42&lt;&gt;$B27,$B43&lt;&gt;$B28),IF($B37&lt;&gt;$B22,O22/INDEX($C18:$AJ28,5,MATCH(IF('Data-solution'!$A$3="Maximize",MAX($C29:$AI29),MIN($C29:$AI29)),$C29:$AI29,0)),O22-INDEX($C18:$AJ28,5,MATCH(IF('Data-solution'!$A$3="Maximize",MAX($C29:$AI29),MIN($C29:$AI29)),$C29:$AI29,0))*INDEX(O18:$AJ28,MATCH(MIN($AK18:$AK28),$AK18:$AK28,0),1)/INDEX($C18:$AJ28,MATCH(MIN($AK18:$AK28),$AK18:$AK28,0),MATCH(IF('Data-solution'!$A$3="Maximize",MAX($C29:$AI29),MIN($C29:$AI29)),$C29:$AI29,0))),O22)</f>
        <v>0</v>
      </c>
      <c r="P37" s="1">
        <f>IF(OR($B33&lt;&gt;$B18,$B34&lt;&gt;$B19,$B35&lt;&gt;$B20,$B36&lt;&gt;$B21,$B37&lt;&gt;$B22,$B38&lt;&gt;$B23,$B39&lt;&gt;$B24,$B40&lt;&gt;$B25,$B41&lt;&gt;$B26,$B42&lt;&gt;$B27,$B43&lt;&gt;$B28),IF($B37&lt;&gt;$B22,P22/INDEX($C18:$AJ28,5,MATCH(IF('Data-solution'!$A$3="Maximize",MAX($C29:$AI29),MIN($C29:$AI29)),$C29:$AI29,0)),P22-INDEX($C18:$AJ28,5,MATCH(IF('Data-solution'!$A$3="Maximize",MAX($C29:$AI29),MIN($C29:$AI29)),$C29:$AI29,0))*INDEX(P18:$AJ28,MATCH(MIN($AK18:$AK28),$AK18:$AK28,0),1)/INDEX($C18:$AJ28,MATCH(MIN($AK18:$AK28),$AK18:$AK28,0),MATCH(IF('Data-solution'!$A$3="Maximize",MAX($C29:$AI29),MIN($C29:$AI29)),$C29:$AI29,0))),P22)</f>
        <v>0</v>
      </c>
      <c r="Q37" s="1">
        <f>IF(OR($B33&lt;&gt;$B18,$B34&lt;&gt;$B19,$B35&lt;&gt;$B20,$B36&lt;&gt;$B21,$B37&lt;&gt;$B22,$B38&lt;&gt;$B23,$B39&lt;&gt;$B24,$B40&lt;&gt;$B25,$B41&lt;&gt;$B26,$B42&lt;&gt;$B27,$B43&lt;&gt;$B28),IF($B37&lt;&gt;$B22,Q22/INDEX($C18:$AJ28,5,MATCH(IF('Data-solution'!$A$3="Maximize",MAX($C29:$AI29),MIN($C29:$AI29)),$C29:$AI29,0)),Q22-INDEX($C18:$AJ28,5,MATCH(IF('Data-solution'!$A$3="Maximize",MAX($C29:$AI29),MIN($C29:$AI29)),$C29:$AI29,0))*INDEX(Q18:$AJ28,MATCH(MIN($AK18:$AK28),$AK18:$AK28,0),1)/INDEX($C18:$AJ28,MATCH(MIN($AK18:$AK28),$AK18:$AK28,0),MATCH(IF('Data-solution'!$A$3="Maximize",MAX($C29:$AI29),MIN($C29:$AI29)),$C29:$AI29,0))),Q22)</f>
        <v>0</v>
      </c>
      <c r="R37" s="1">
        <f>IF(OR($B33&lt;&gt;$B18,$B34&lt;&gt;$B19,$B35&lt;&gt;$B20,$B36&lt;&gt;$B21,$B37&lt;&gt;$B22,$B38&lt;&gt;$B23,$B39&lt;&gt;$B24,$B40&lt;&gt;$B25,$B41&lt;&gt;$B26,$B42&lt;&gt;$B27,$B43&lt;&gt;$B28),IF($B37&lt;&gt;$B22,R22/INDEX($C18:$AJ28,5,MATCH(IF('Data-solution'!$A$3="Maximize",MAX($C29:$AI29),MIN($C29:$AI29)),$C29:$AI29,0)),R22-INDEX($C18:$AJ28,5,MATCH(IF('Data-solution'!$A$3="Maximize",MAX($C29:$AI29),MIN($C29:$AI29)),$C29:$AI29,0))*INDEX(R18:$AJ28,MATCH(MIN($AK18:$AK28),$AK18:$AK28,0),1)/INDEX($C18:$AJ28,MATCH(MIN($AK18:$AK28),$AK18:$AK28,0),MATCH(IF('Data-solution'!$A$3="Maximize",MAX($C29:$AI29),MIN($C29:$AI29)),$C29:$AI29,0))),R22)</f>
        <v>1</v>
      </c>
      <c r="S37" s="1">
        <f>IF(OR($B33&lt;&gt;$B18,$B34&lt;&gt;$B19,$B35&lt;&gt;$B20,$B36&lt;&gt;$B21,$B37&lt;&gt;$B22,$B38&lt;&gt;$B23,$B39&lt;&gt;$B24,$B40&lt;&gt;$B25,$B41&lt;&gt;$B26,$B42&lt;&gt;$B27,$B43&lt;&gt;$B28),IF($B37&lt;&gt;$B22,S22/INDEX($C18:$AJ28,5,MATCH(IF('Data-solution'!$A$3="Maximize",MAX($C29:$AI29),MIN($C29:$AI29)),$C29:$AI29,0)),S22-INDEX($C18:$AJ28,5,MATCH(IF('Data-solution'!$A$3="Maximize",MAX($C29:$AI29),MIN($C29:$AI29)),$C29:$AI29,0))*INDEX(S18:$AJ28,MATCH(MIN($AK18:$AK28),$AK18:$AK28,0),1)/INDEX($C18:$AJ28,MATCH(MIN($AK18:$AK28),$AK18:$AK28,0),MATCH(IF('Data-solution'!$A$3="Maximize",MAX($C29:$AI29),MIN($C29:$AI29)),$C29:$AI29,0))),S22)</f>
        <v>0</v>
      </c>
      <c r="T37" s="1">
        <f>IF(OR($B33&lt;&gt;$B18,$B34&lt;&gt;$B19,$B35&lt;&gt;$B20,$B36&lt;&gt;$B21,$B37&lt;&gt;$B22,$B38&lt;&gt;$B23,$B39&lt;&gt;$B24,$B40&lt;&gt;$B25,$B41&lt;&gt;$B26,$B42&lt;&gt;$B27,$B43&lt;&gt;$B28),IF($B37&lt;&gt;$B22,T22/INDEX($C18:$AJ28,5,MATCH(IF('Data-solution'!$A$3="Maximize",MAX($C29:$AI29),MIN($C29:$AI29)),$C29:$AI29,0)),T22-INDEX($C18:$AJ28,5,MATCH(IF('Data-solution'!$A$3="Maximize",MAX($C29:$AI29),MIN($C29:$AI29)),$C29:$AI29,0))*INDEX(T18:$AJ28,MATCH(MIN($AK18:$AK28),$AK18:$AK28,0),1)/INDEX($C18:$AJ28,MATCH(MIN($AK18:$AK28),$AK18:$AK28,0),MATCH(IF('Data-solution'!$A$3="Maximize",MAX($C29:$AI29),MIN($C29:$AI29)),$C29:$AI29,0))),T22)</f>
        <v>0</v>
      </c>
      <c r="U37" s="1">
        <f>IF(OR($B33&lt;&gt;$B18,$B34&lt;&gt;$B19,$B35&lt;&gt;$B20,$B36&lt;&gt;$B21,$B37&lt;&gt;$B22,$B38&lt;&gt;$B23,$B39&lt;&gt;$B24,$B40&lt;&gt;$B25,$B41&lt;&gt;$B26,$B42&lt;&gt;$B27,$B43&lt;&gt;$B28),IF($B37&lt;&gt;$B22,U22/INDEX($C18:$AJ28,5,MATCH(IF('Data-solution'!$A$3="Maximize",MAX($C29:$AI29),MIN($C29:$AI29)),$C29:$AI29,0)),U22-INDEX($C18:$AJ28,5,MATCH(IF('Data-solution'!$A$3="Maximize",MAX($C29:$AI29),MIN($C29:$AI29)),$C29:$AI29,0))*INDEX(U18:$AJ28,MATCH(MIN($AK18:$AK28),$AK18:$AK28,0),1)/INDEX($C18:$AJ28,MATCH(MIN($AK18:$AK28),$AK18:$AK28,0),MATCH(IF('Data-solution'!$A$3="Maximize",MAX($C29:$AI29),MIN($C29:$AI29)),$C29:$AI29,0))),U22)</f>
        <v>0</v>
      </c>
      <c r="V37" s="1">
        <f>IF(OR($B33&lt;&gt;$B18,$B34&lt;&gt;$B19,$B35&lt;&gt;$B20,$B36&lt;&gt;$B21,$B37&lt;&gt;$B22,$B38&lt;&gt;$B23,$B39&lt;&gt;$B24,$B40&lt;&gt;$B25,$B41&lt;&gt;$B26,$B42&lt;&gt;$B27,$B43&lt;&gt;$B28),IF($B37&lt;&gt;$B22,V22/INDEX($C18:$AJ28,5,MATCH(IF('Data-solution'!$A$3="Maximize",MAX($C29:$AI29),MIN($C29:$AI29)),$C29:$AI29,0)),V22-INDEX($C18:$AJ28,5,MATCH(IF('Data-solution'!$A$3="Maximize",MAX($C29:$AI29),MIN($C29:$AI29)),$C29:$AI29,0))*INDEX(V18:$AJ28,MATCH(MIN($AK18:$AK28),$AK18:$AK28,0),1)/INDEX($C18:$AJ28,MATCH(MIN($AK18:$AK28),$AK18:$AK28,0),MATCH(IF('Data-solution'!$A$3="Maximize",MAX($C29:$AI29),MIN($C29:$AI29)),$C29:$AI29,0))),V22)</f>
        <v>0</v>
      </c>
      <c r="W37" s="1">
        <f>IF(OR($B33&lt;&gt;$B18,$B34&lt;&gt;$B19,$B35&lt;&gt;$B20,$B36&lt;&gt;$B21,$B37&lt;&gt;$B22,$B38&lt;&gt;$B23,$B39&lt;&gt;$B24,$B40&lt;&gt;$B25,$B41&lt;&gt;$B26,$B42&lt;&gt;$B27,$B43&lt;&gt;$B28),IF($B37&lt;&gt;$B22,W22/INDEX($C18:$AJ28,5,MATCH(IF('Data-solution'!$A$3="Maximize",MAX($C29:$AI29),MIN($C29:$AI29)),$C29:$AI29,0)),W22-INDEX($C18:$AJ28,5,MATCH(IF('Data-solution'!$A$3="Maximize",MAX($C29:$AI29),MIN($C29:$AI29)),$C29:$AI29,0))*INDEX(W18:$AJ28,MATCH(MIN($AK18:$AK28),$AK18:$AK28,0),1)/INDEX($C18:$AJ28,MATCH(MIN($AK18:$AK28),$AK18:$AK28,0),MATCH(IF('Data-solution'!$A$3="Maximize",MAX($C29:$AI29),MIN($C29:$AI29)),$C29:$AI29,0))),W22)</f>
        <v>0</v>
      </c>
      <c r="X37" s="1">
        <f>IF(OR($B33&lt;&gt;$B18,$B34&lt;&gt;$B19,$B35&lt;&gt;$B20,$B36&lt;&gt;$B21,$B37&lt;&gt;$B22,$B38&lt;&gt;$B23,$B39&lt;&gt;$B24,$B40&lt;&gt;$B25,$B41&lt;&gt;$B26,$B42&lt;&gt;$B27,$B43&lt;&gt;$B28),IF($B37&lt;&gt;$B22,X22/INDEX($C18:$AJ28,5,MATCH(IF('Data-solution'!$A$3="Maximize",MAX($C29:$AI29),MIN($C29:$AI29)),$C29:$AI29,0)),X22-INDEX($C18:$AJ28,5,MATCH(IF('Data-solution'!$A$3="Maximize",MAX($C29:$AI29),MIN($C29:$AI29)),$C29:$AI29,0))*INDEX(X18:$AJ28,MATCH(MIN($AK18:$AK28),$AK18:$AK28,0),1)/INDEX($C18:$AJ28,MATCH(MIN($AK18:$AK28),$AK18:$AK28,0),MATCH(IF('Data-solution'!$A$3="Maximize",MAX($C29:$AI29),MIN($C29:$AI29)),$C29:$AI29,0))),X22)</f>
        <v>0</v>
      </c>
      <c r="Y37" s="1">
        <f>IF(OR($B33&lt;&gt;$B18,$B34&lt;&gt;$B19,$B35&lt;&gt;$B20,$B36&lt;&gt;$B21,$B37&lt;&gt;$B22,$B38&lt;&gt;$B23,$B39&lt;&gt;$B24,$B40&lt;&gt;$B25,$B41&lt;&gt;$B26,$B42&lt;&gt;$B27,$B43&lt;&gt;$B28),IF($B37&lt;&gt;$B22,Y22/INDEX($C18:$AJ28,5,MATCH(IF('Data-solution'!$A$3="Maximize",MAX($C29:$AI29),MIN($C29:$AI29)),$C29:$AI29,0)),Y22-INDEX($C18:$AJ28,5,MATCH(IF('Data-solution'!$A$3="Maximize",MAX($C29:$AI29),MIN($C29:$AI29)),$C29:$AI29,0))*INDEX(Y18:$AJ28,MATCH(MIN($AK18:$AK28),$AK18:$AK28,0),1)/INDEX($C18:$AJ28,MATCH(MIN($AK18:$AK28),$AK18:$AK28,0),MATCH(IF('Data-solution'!$A$3="Maximize",MAX($C29:$AI29),MIN($C29:$AI29)),$C29:$AI29,0))),Y22)</f>
        <v>0</v>
      </c>
      <c r="Z37" s="1">
        <f>IF(OR($B33&lt;&gt;$B18,$B34&lt;&gt;$B19,$B35&lt;&gt;$B20,$B36&lt;&gt;$B21,$B37&lt;&gt;$B22,$B38&lt;&gt;$B23,$B39&lt;&gt;$B24,$B40&lt;&gt;$B25,$B41&lt;&gt;$B26,$B42&lt;&gt;$B27,$B43&lt;&gt;$B28),IF($B37&lt;&gt;$B22,Z22/INDEX($C18:$AJ28,5,MATCH(IF('Data-solution'!$A$3="Maximize",MAX($C29:$AI29),MIN($C29:$AI29)),$C29:$AI29,0)),Z22-INDEX($C18:$AJ28,5,MATCH(IF('Data-solution'!$A$3="Maximize",MAX($C29:$AI29),MIN($C29:$AI29)),$C29:$AI29,0))*INDEX(Z18:$AJ28,MATCH(MIN($AK18:$AK28),$AK18:$AK28,0),1)/INDEX($C18:$AJ28,MATCH(MIN($AK18:$AK28),$AK18:$AK28,0),MATCH(IF('Data-solution'!$A$3="Maximize",MAX($C29:$AI29),MIN($C29:$AI29)),$C29:$AI29,0))),Z22)</f>
        <v>0</v>
      </c>
      <c r="AA37" s="1">
        <f>IF(OR($B33&lt;&gt;$B18,$B34&lt;&gt;$B19,$B35&lt;&gt;$B20,$B36&lt;&gt;$B21,$B37&lt;&gt;$B22,$B38&lt;&gt;$B23,$B39&lt;&gt;$B24,$B40&lt;&gt;$B25,$B41&lt;&gt;$B26,$B42&lt;&gt;$B27,$B43&lt;&gt;$B28),IF($B37&lt;&gt;$B22,AA22/INDEX($C18:$AJ28,5,MATCH(IF('Data-solution'!$A$3="Maximize",MAX($C29:$AI29),MIN($C29:$AI29)),$C29:$AI29,0)),AA22-INDEX($C18:$AJ28,5,MATCH(IF('Data-solution'!$A$3="Maximize",MAX($C29:$AI29),MIN($C29:$AI29)),$C29:$AI29,0))*INDEX(AA18:$AJ28,MATCH(MIN($AK18:$AK28),$AK18:$AK28,0),1)/INDEX($C18:$AJ28,MATCH(MIN($AK18:$AK28),$AK18:$AK28,0),MATCH(IF('Data-solution'!$A$3="Maximize",MAX($C29:$AI29),MIN($C29:$AI29)),$C29:$AI29,0))),AA22)</f>
        <v>0</v>
      </c>
      <c r="AB37" s="1">
        <f>IF(OR($B33&lt;&gt;$B18,$B34&lt;&gt;$B19,$B35&lt;&gt;$B20,$B36&lt;&gt;$B21,$B37&lt;&gt;$B22,$B38&lt;&gt;$B23,$B39&lt;&gt;$B24,$B40&lt;&gt;$B25,$B41&lt;&gt;$B26,$B42&lt;&gt;$B27,$B43&lt;&gt;$B28),IF($B37&lt;&gt;$B22,AB22/INDEX($C18:$AJ28,5,MATCH(IF('Data-solution'!$A$3="Maximize",MAX($C29:$AI29),MIN($C29:$AI29)),$C29:$AI29,0)),AB22-INDEX($C18:$AJ28,5,MATCH(IF('Data-solution'!$A$3="Maximize",MAX($C29:$AI29),MIN($C29:$AI29)),$C29:$AI29,0))*INDEX(AB18:$AJ28,MATCH(MIN($AK18:$AK28),$AK18:$AK28,0),1)/INDEX($C18:$AJ28,MATCH(MIN($AK18:$AK28),$AK18:$AK28,0),MATCH(IF('Data-solution'!$A$3="Maximize",MAX($C29:$AI29),MIN($C29:$AI29)),$C29:$AI29,0))),AB22)</f>
        <v>0</v>
      </c>
      <c r="AC37" s="1">
        <f>IF(OR($B33&lt;&gt;$B18,$B34&lt;&gt;$B19,$B35&lt;&gt;$B20,$B36&lt;&gt;$B21,$B37&lt;&gt;$B22,$B38&lt;&gt;$B23,$B39&lt;&gt;$B24,$B40&lt;&gt;$B25,$B41&lt;&gt;$B26,$B42&lt;&gt;$B27,$B43&lt;&gt;$B28),IF($B37&lt;&gt;$B22,AC22/INDEX($C18:$AJ28,5,MATCH(IF('Data-solution'!$A$3="Maximize",MAX($C29:$AI29),MIN($C29:$AI29)),$C29:$AI29,0)),AC22-INDEX($C18:$AJ28,5,MATCH(IF('Data-solution'!$A$3="Maximize",MAX($C29:$AI29),MIN($C29:$AI29)),$C29:$AI29,0))*INDEX(AC18:$AJ28,MATCH(MIN($AK18:$AK28),$AK18:$AK28,0),1)/INDEX($C18:$AJ28,MATCH(MIN($AK18:$AK28),$AK18:$AK28,0),MATCH(IF('Data-solution'!$A$3="Maximize",MAX($C29:$AI29),MIN($C29:$AI29)),$C29:$AI29,0))),AC22)</f>
        <v>1</v>
      </c>
      <c r="AD37" s="1">
        <f>IF(OR($B33&lt;&gt;$B18,$B34&lt;&gt;$B19,$B35&lt;&gt;$B20,$B36&lt;&gt;$B21,$B37&lt;&gt;$B22,$B38&lt;&gt;$B23,$B39&lt;&gt;$B24,$B40&lt;&gt;$B25,$B41&lt;&gt;$B26,$B42&lt;&gt;$B27,$B43&lt;&gt;$B28),IF($B37&lt;&gt;$B22,AD22/INDEX($C18:$AJ28,5,MATCH(IF('Data-solution'!$A$3="Maximize",MAX($C29:$AI29),MIN($C29:$AI29)),$C29:$AI29,0)),AD22-INDEX($C18:$AJ28,5,MATCH(IF('Data-solution'!$A$3="Maximize",MAX($C29:$AI29),MIN($C29:$AI29)),$C29:$AI29,0))*INDEX(AD18:$AJ28,MATCH(MIN($AK18:$AK28),$AK18:$AK28,0),1)/INDEX($C18:$AJ28,MATCH(MIN($AK18:$AK28),$AK18:$AK28,0),MATCH(IF('Data-solution'!$A$3="Maximize",MAX($C29:$AI29),MIN($C29:$AI29)),$C29:$AI29,0))),AD22)</f>
        <v>0</v>
      </c>
      <c r="AE37" s="1">
        <f>IF(OR($B33&lt;&gt;$B18,$B34&lt;&gt;$B19,$B35&lt;&gt;$B20,$B36&lt;&gt;$B21,$B37&lt;&gt;$B22,$B38&lt;&gt;$B23,$B39&lt;&gt;$B24,$B40&lt;&gt;$B25,$B41&lt;&gt;$B26,$B42&lt;&gt;$B27,$B43&lt;&gt;$B28),IF($B37&lt;&gt;$B22,AE22/INDEX($C18:$AJ28,5,MATCH(IF('Data-solution'!$A$3="Maximize",MAX($C29:$AI29),MIN($C29:$AI29)),$C29:$AI29,0)),AE22-INDEX($C18:$AJ28,5,MATCH(IF('Data-solution'!$A$3="Maximize",MAX($C29:$AI29),MIN($C29:$AI29)),$C29:$AI29,0))*INDEX(AE18:$AJ28,MATCH(MIN($AK18:$AK28),$AK18:$AK28,0),1)/INDEX($C18:$AJ28,MATCH(MIN($AK18:$AK28),$AK18:$AK28,0),MATCH(IF('Data-solution'!$A$3="Maximize",MAX($C29:$AI29),MIN($C29:$AI29)),$C29:$AI29,0))),AE22)</f>
        <v>0</v>
      </c>
      <c r="AF37" s="1">
        <f>IF(OR($B33&lt;&gt;$B18,$B34&lt;&gt;$B19,$B35&lt;&gt;$B20,$B36&lt;&gt;$B21,$B37&lt;&gt;$B22,$B38&lt;&gt;$B23,$B39&lt;&gt;$B24,$B40&lt;&gt;$B25,$B41&lt;&gt;$B26,$B42&lt;&gt;$B27,$B43&lt;&gt;$B28),IF($B37&lt;&gt;$B22,AF22/INDEX($C18:$AJ28,5,MATCH(IF('Data-solution'!$A$3="Maximize",MAX($C29:$AI29),MIN($C29:$AI29)),$C29:$AI29,0)),AF22-INDEX($C18:$AJ28,5,MATCH(IF('Data-solution'!$A$3="Maximize",MAX($C29:$AI29),MIN($C29:$AI29)),$C29:$AI29,0))*INDEX(AF18:$AJ28,MATCH(MIN($AK18:$AK28),$AK18:$AK28,0),1)/INDEX($C18:$AJ28,MATCH(MIN($AK18:$AK28),$AK18:$AK28,0),MATCH(IF('Data-solution'!$A$3="Maximize",MAX($C29:$AI29),MIN($C29:$AI29)),$C29:$AI29,0))),AF22)</f>
        <v>0</v>
      </c>
      <c r="AG37" s="1">
        <f>IF(OR($B33&lt;&gt;$B18,$B34&lt;&gt;$B19,$B35&lt;&gt;$B20,$B36&lt;&gt;$B21,$B37&lt;&gt;$B22,$B38&lt;&gt;$B23,$B39&lt;&gt;$B24,$B40&lt;&gt;$B25,$B41&lt;&gt;$B26,$B42&lt;&gt;$B27,$B43&lt;&gt;$B28),IF($B37&lt;&gt;$B22,AG22/INDEX($C18:$AJ28,5,MATCH(IF('Data-solution'!$A$3="Maximize",MAX($C29:$AI29),MIN($C29:$AI29)),$C29:$AI29,0)),AG22-INDEX($C18:$AJ28,5,MATCH(IF('Data-solution'!$A$3="Maximize",MAX($C29:$AI29),MIN($C29:$AI29)),$C29:$AI29,0))*INDEX(AG18:$AJ28,MATCH(MIN($AK18:$AK28),$AK18:$AK28,0),1)/INDEX($C18:$AJ28,MATCH(MIN($AK18:$AK28),$AK18:$AK28,0),MATCH(IF('Data-solution'!$A$3="Maximize",MAX($C29:$AI29),MIN($C29:$AI29)),$C29:$AI29,0))),AG22)</f>
        <v>0</v>
      </c>
      <c r="AH37" s="1">
        <f>IF(OR($B33&lt;&gt;$B18,$B34&lt;&gt;$B19,$B35&lt;&gt;$B20,$B36&lt;&gt;$B21,$B37&lt;&gt;$B22,$B38&lt;&gt;$B23,$B39&lt;&gt;$B24,$B40&lt;&gt;$B25,$B41&lt;&gt;$B26,$B42&lt;&gt;$B27,$B43&lt;&gt;$B28),IF($B37&lt;&gt;$B22,AH22/INDEX($C18:$AJ28,5,MATCH(IF('Data-solution'!$A$3="Maximize",MAX($C29:$AI29),MIN($C29:$AI29)),$C29:$AI29,0)),AH22-INDEX($C18:$AJ28,5,MATCH(IF('Data-solution'!$A$3="Maximize",MAX($C29:$AI29),MIN($C29:$AI29)),$C29:$AI29,0))*INDEX(AH18:$AJ28,MATCH(MIN($AK18:$AK28),$AK18:$AK28,0),1)/INDEX($C18:$AJ28,MATCH(MIN($AK18:$AK28),$AK18:$AK28,0),MATCH(IF('Data-solution'!$A$3="Maximize",MAX($C29:$AI29),MIN($C29:$AI29)),$C29:$AI29,0))),AH22)</f>
        <v>0</v>
      </c>
      <c r="AI37" s="1">
        <f>IF(OR($B33&lt;&gt;$B18,$B34&lt;&gt;$B19,$B35&lt;&gt;$B20,$B36&lt;&gt;$B21,$B37&lt;&gt;$B22,$B38&lt;&gt;$B23,$B39&lt;&gt;$B24,$B40&lt;&gt;$B25,$B41&lt;&gt;$B26,$B42&lt;&gt;$B27,$B43&lt;&gt;$B28),IF($B37&lt;&gt;$B22,AI22/INDEX($C18:$AJ28,5,MATCH(IF('Data-solution'!$A$3="Maximize",MAX($C29:$AI29),MIN($C29:$AI29)),$C29:$AI29,0)),AI22-INDEX($C18:$AJ28,5,MATCH(IF('Data-solution'!$A$3="Maximize",MAX($C29:$AI29),MIN($C29:$AI29)),$C29:$AI29,0))*INDEX(AI18:$AJ28,MATCH(MIN($AK18:$AK28),$AK18:$AK28,0),1)/INDEX($C18:$AJ28,MATCH(MIN($AK18:$AK28),$AK18:$AK28,0),MATCH(IF('Data-solution'!$A$3="Maximize",MAX($C29:$AI29),MIN($C29:$AI29)),$C29:$AI29,0))),AI22)</f>
        <v>0</v>
      </c>
      <c r="AJ37" s="1">
        <f>IF(OR($B33&lt;&gt;$B18,$B34&lt;&gt;$B19,$B35&lt;&gt;$B20,$B36&lt;&gt;$B21,$B37&lt;&gt;$B22,$B38&lt;&gt;$B23,$B39&lt;&gt;$B24,$B40&lt;&gt;$B25,$B41&lt;&gt;$B26,$B42&lt;&gt;$B27,$B43&lt;&gt;$B28),IF($B37&lt;&gt;$B22,AJ22/INDEX($C18:$AJ28,5,MATCH(IF('Data-solution'!$A$3="Maximize",MAX($C29:$AI29),MIN($C29:$AI29)),$C29:$AI29,0)),AJ22-INDEX($C18:$AJ28,5,MATCH(IF('Data-solution'!$A$3="Maximize",MAX($C29:$AI29),MIN($C29:$AI29)),$C29:$AI29,0))*INDEX(AJ18:$AJ28,MATCH(MIN($AK18:$AK28),$AK18:$AK28,0),1)/INDEX($C18:$AJ28,MATCH(MIN($AK18:$AK28),$AK18:$AK28,0),MATCH(IF('Data-solution'!$A$3="Maximize",MAX($C29:$AI29),MIN($C29:$AI29)),$C29:$AI29,0))),AJ22)</f>
        <v>0</v>
      </c>
      <c r="AK37" s="1" t="str">
        <f>IF(INDEX(C37:X37,1,MATCH(IF('Data-solution'!A$3="Maximize",MAX(C44:X44),MIN(C44:X44)),C44:X44,0))&gt;0,AJ37/INDEX(C37:X37,1,MATCH(IF('Data-solution'!A$3="Maximize",MAX(C44:X44),MIN(C44:X44)),C44:X44,0))," ")</f>
        <v xml:space="preserve"> </v>
      </c>
    </row>
    <row r="38" spans="1:37" ht="18" customHeight="1" x14ac:dyDescent="0.2">
      <c r="A38" s="1">
        <f t="shared" ref="A38" si="13">INDEX(C31:AI31,1,MATCH(B38,C32:AI32,0))</f>
        <v>0</v>
      </c>
      <c r="B38" s="2" t="str">
        <f>IF(AND('Data-solution'!A$3="Maximize",COUNTIF(C29:X29,"&gt;"&amp;0)&gt;0,AK23=MIN(AK18:AK28),COUNTIF(B33:B37,INDEX(C17:X17,1,MATCH(MAX(C29:X29),C29:X29,0)))=0),INDEX(C17:X17,1,MATCH(MAX(C29:X29),C29:X29,0)),IF(AND('Data-solution'!A$3="Minimize",COUNTIF(C29:X29,"&lt;"&amp;0)&gt;0,AK23=MIN(AK18:AK28),COUNTIF(B33:B37,INDEX(C17:X17,1,MATCH(MIN(C29:X29),C29:X29,0)))=0),INDEX(C17:X17,1,MATCH(MIN(C29:X29),C29:X29,0)),B23))</f>
        <v>S6</v>
      </c>
      <c r="C38" s="1">
        <f>IF(OR($B33&lt;&gt;$B18,$B34&lt;&gt;$B19,$B35&lt;&gt;$B20,$B36&lt;&gt;$B21,$B37&lt;&gt;$B22,$B38&lt;&gt;$B23,$B39&lt;&gt;$B24,$B40&lt;&gt;$B25,$B41&lt;&gt;$B26,$B42&lt;&gt;$B27,$B43&lt;&gt;$B28),IF($B38&lt;&gt;$B23,C23/INDEX($C18:$AJ28,6,MATCH(IF('Data-solution'!$A$3="Maximize",MAX($C29:$AI29),MIN($C29:$AI29)),$C29:$AI29,0)),C23-INDEX($C18:$AJ28,6,MATCH(IF('Data-solution'!$A$3="Maximize",MAX($C29:$AI29),MIN($C29:$AI29)),$C29:$AI29,0))*INDEX(C18:$AJ28,MATCH(MIN($AK18:$AK28),$AK18:$AK28,0),1)/INDEX($C18:$AJ28,MATCH(MIN($AK18:$AK28),$AK18:$AK28,0),MATCH(IF('Data-solution'!$A$3="Maximize",MAX($C29:$AI29),MIN($C29:$AI29)),$C29:$AI29,0))),C23)</f>
        <v>0</v>
      </c>
      <c r="D38" s="1">
        <f>IF(OR($B33&lt;&gt;$B18,$B34&lt;&gt;$B19,$B35&lt;&gt;$B20,$B36&lt;&gt;$B21,$B37&lt;&gt;$B22,$B38&lt;&gt;$B23,$B39&lt;&gt;$B24,$B40&lt;&gt;$B25,$B41&lt;&gt;$B26,$B42&lt;&gt;$B27,$B43&lt;&gt;$B28),IF($B38&lt;&gt;$B23,D23/INDEX($C18:$AJ28,6,MATCH(IF('Data-solution'!$A$3="Maximize",MAX($C29:$AI29),MIN($C29:$AI29)),$C29:$AI29,0)),D23-INDEX($C18:$AJ28,6,MATCH(IF('Data-solution'!$A$3="Maximize",MAX($C29:$AI29),MIN($C29:$AI29)),$C29:$AI29,0))*INDEX(D18:$AJ28,MATCH(MIN($AK18:$AK28),$AK18:$AK28,0),1)/INDEX($C18:$AJ28,MATCH(MIN($AK18:$AK28),$AK18:$AK28,0),MATCH(IF('Data-solution'!$A$3="Maximize",MAX($C29:$AI29),MIN($C29:$AI29)),$C29:$AI29,0))),D23)</f>
        <v>0</v>
      </c>
      <c r="E38" s="1">
        <f>IF(OR($B33&lt;&gt;$B18,$B34&lt;&gt;$B19,$B35&lt;&gt;$B20,$B36&lt;&gt;$B21,$B37&lt;&gt;$B22,$B38&lt;&gt;$B23,$B39&lt;&gt;$B24,$B40&lt;&gt;$B25,$B41&lt;&gt;$B26,$B42&lt;&gt;$B27,$B43&lt;&gt;$B28),IF($B38&lt;&gt;$B23,E23/INDEX($C18:$AJ28,6,MATCH(IF('Data-solution'!$A$3="Maximize",MAX($C29:$AI29),MIN($C29:$AI29)),$C29:$AI29,0)),E23-INDEX($C18:$AJ28,6,MATCH(IF('Data-solution'!$A$3="Maximize",MAX($C29:$AI29),MIN($C29:$AI29)),$C29:$AI29,0))*INDEX(E18:$AJ28,MATCH(MIN($AK18:$AK28),$AK18:$AK28,0),1)/INDEX($C18:$AJ28,MATCH(MIN($AK18:$AK28),$AK18:$AK28,0),MATCH(IF('Data-solution'!$A$3="Maximize",MAX($C29:$AI29),MIN($C29:$AI29)),$C29:$AI29,0))),E23)</f>
        <v>0</v>
      </c>
      <c r="F38" s="1">
        <f>IF(OR($B33&lt;&gt;$B18,$B34&lt;&gt;$B19,$B35&lt;&gt;$B20,$B36&lt;&gt;$B21,$B37&lt;&gt;$B22,$B38&lt;&gt;$B23,$B39&lt;&gt;$B24,$B40&lt;&gt;$B25,$B41&lt;&gt;$B26,$B42&lt;&gt;$B27,$B43&lt;&gt;$B28),IF($B38&lt;&gt;$B23,F23/INDEX($C18:$AJ28,6,MATCH(IF('Data-solution'!$A$3="Maximize",MAX($C29:$AI29),MIN($C29:$AI29)),$C29:$AI29,0)),F23-INDEX($C18:$AJ28,6,MATCH(IF('Data-solution'!$A$3="Maximize",MAX($C29:$AI29),MIN($C29:$AI29)),$C29:$AI29,0))*INDEX(F18:$AJ28,MATCH(MIN($AK18:$AK28),$AK18:$AK28,0),1)/INDEX($C18:$AJ28,MATCH(MIN($AK18:$AK28),$AK18:$AK28,0),MATCH(IF('Data-solution'!$A$3="Maximize",MAX($C29:$AI29),MIN($C29:$AI29)),$C29:$AI29,0))),F23)</f>
        <v>0</v>
      </c>
      <c r="G38" s="1">
        <f>IF(OR($B33&lt;&gt;$B18,$B34&lt;&gt;$B19,$B35&lt;&gt;$B20,$B36&lt;&gt;$B21,$B37&lt;&gt;$B22,$B38&lt;&gt;$B23,$B39&lt;&gt;$B24,$B40&lt;&gt;$B25,$B41&lt;&gt;$B26,$B42&lt;&gt;$B27,$B43&lt;&gt;$B28),IF($B38&lt;&gt;$B23,G23/INDEX($C18:$AJ28,6,MATCH(IF('Data-solution'!$A$3="Maximize",MAX($C29:$AI29),MIN($C29:$AI29)),$C29:$AI29,0)),G23-INDEX($C18:$AJ28,6,MATCH(IF('Data-solution'!$A$3="Maximize",MAX($C29:$AI29),MIN($C29:$AI29)),$C29:$AI29,0))*INDEX(G18:$AJ28,MATCH(MIN($AK18:$AK28),$AK18:$AK28,0),1)/INDEX($C18:$AJ28,MATCH(MIN($AK18:$AK28),$AK18:$AK28,0),MATCH(IF('Data-solution'!$A$3="Maximize",MAX($C29:$AI29),MIN($C29:$AI29)),$C29:$AI29,0))),G23)</f>
        <v>0</v>
      </c>
      <c r="H38" s="1">
        <f>IF(OR($B33&lt;&gt;$B18,$B34&lt;&gt;$B19,$B35&lt;&gt;$B20,$B36&lt;&gt;$B21,$B37&lt;&gt;$B22,$B38&lt;&gt;$B23,$B39&lt;&gt;$B24,$B40&lt;&gt;$B25,$B41&lt;&gt;$B26,$B42&lt;&gt;$B27,$B43&lt;&gt;$B28),IF($B38&lt;&gt;$B23,H23/INDEX($C18:$AJ28,6,MATCH(IF('Data-solution'!$A$3="Maximize",MAX($C29:$AI29),MIN($C29:$AI29)),$C29:$AI29,0)),H23-INDEX($C18:$AJ28,6,MATCH(IF('Data-solution'!$A$3="Maximize",MAX($C29:$AI29),MIN($C29:$AI29)),$C29:$AI29,0))*INDEX(H18:$AJ28,MATCH(MIN($AK18:$AK28),$AK18:$AK28,0),1)/INDEX($C18:$AJ28,MATCH(MIN($AK18:$AK28),$AK18:$AK28,0),MATCH(IF('Data-solution'!$A$3="Maximize",MAX($C29:$AI29),MIN($C29:$AI29)),$C29:$AI29,0))),H23)</f>
        <v>0</v>
      </c>
      <c r="I38" s="1">
        <f>IF(OR($B33&lt;&gt;$B18,$B34&lt;&gt;$B19,$B35&lt;&gt;$B20,$B36&lt;&gt;$B21,$B37&lt;&gt;$B22,$B38&lt;&gt;$B23,$B39&lt;&gt;$B24,$B40&lt;&gt;$B25,$B41&lt;&gt;$B26,$B42&lt;&gt;$B27,$B43&lt;&gt;$B28),IF($B38&lt;&gt;$B23,I23/INDEX($C18:$AJ28,6,MATCH(IF('Data-solution'!$A$3="Maximize",MAX($C29:$AI29),MIN($C29:$AI29)),$C29:$AI29,0)),I23-INDEX($C18:$AJ28,6,MATCH(IF('Data-solution'!$A$3="Maximize",MAX($C29:$AI29),MIN($C29:$AI29)),$C29:$AI29,0))*INDEX(I18:$AJ28,MATCH(MIN($AK18:$AK28),$AK18:$AK28,0),1)/INDEX($C18:$AJ28,MATCH(MIN($AK18:$AK28),$AK18:$AK28,0),MATCH(IF('Data-solution'!$A$3="Maximize",MAX($C29:$AI29),MIN($C29:$AI29)),$C29:$AI29,0))),I23)</f>
        <v>0</v>
      </c>
      <c r="J38" s="1">
        <f>IF(OR($B33&lt;&gt;$B18,$B34&lt;&gt;$B19,$B35&lt;&gt;$B20,$B36&lt;&gt;$B21,$B37&lt;&gt;$B22,$B38&lt;&gt;$B23,$B39&lt;&gt;$B24,$B40&lt;&gt;$B25,$B41&lt;&gt;$B26,$B42&lt;&gt;$B27,$B43&lt;&gt;$B28),IF($B38&lt;&gt;$B23,J23/INDEX($C18:$AJ28,6,MATCH(IF('Data-solution'!$A$3="Maximize",MAX($C29:$AI29),MIN($C29:$AI29)),$C29:$AI29,0)),J23-INDEX($C18:$AJ28,6,MATCH(IF('Data-solution'!$A$3="Maximize",MAX($C29:$AI29),MIN($C29:$AI29)),$C29:$AI29,0))*INDEX(J18:$AJ28,MATCH(MIN($AK18:$AK28),$AK18:$AK28,0),1)/INDEX($C18:$AJ28,MATCH(MIN($AK18:$AK28),$AK18:$AK28,0),MATCH(IF('Data-solution'!$A$3="Maximize",MAX($C29:$AI29),MIN($C29:$AI29)),$C29:$AI29,0))),J23)</f>
        <v>0</v>
      </c>
      <c r="K38" s="1">
        <f>IF(OR($B33&lt;&gt;$B18,$B34&lt;&gt;$B19,$B35&lt;&gt;$B20,$B36&lt;&gt;$B21,$B37&lt;&gt;$B22,$B38&lt;&gt;$B23,$B39&lt;&gt;$B24,$B40&lt;&gt;$B25,$B41&lt;&gt;$B26,$B42&lt;&gt;$B27,$B43&lt;&gt;$B28),IF($B38&lt;&gt;$B23,K23/INDEX($C18:$AJ28,6,MATCH(IF('Data-solution'!$A$3="Maximize",MAX($C29:$AI29),MIN($C29:$AI29)),$C29:$AI29,0)),K23-INDEX($C18:$AJ28,6,MATCH(IF('Data-solution'!$A$3="Maximize",MAX($C29:$AI29),MIN($C29:$AI29)),$C29:$AI29,0))*INDEX(K18:$AJ28,MATCH(MIN($AK18:$AK28),$AK18:$AK28,0),1)/INDEX($C18:$AJ28,MATCH(MIN($AK18:$AK28),$AK18:$AK28,0),MATCH(IF('Data-solution'!$A$3="Maximize",MAX($C29:$AI29),MIN($C29:$AI29)),$C29:$AI29,0))),K23)</f>
        <v>0</v>
      </c>
      <c r="L38" s="1">
        <f>IF(OR($B33&lt;&gt;$B18,$B34&lt;&gt;$B19,$B35&lt;&gt;$B20,$B36&lt;&gt;$B21,$B37&lt;&gt;$B22,$B38&lt;&gt;$B23,$B39&lt;&gt;$B24,$B40&lt;&gt;$B25,$B41&lt;&gt;$B26,$B42&lt;&gt;$B27,$B43&lt;&gt;$B28),IF($B38&lt;&gt;$B23,L23/INDEX($C18:$AJ28,6,MATCH(IF('Data-solution'!$A$3="Maximize",MAX($C29:$AI29),MIN($C29:$AI29)),$C29:$AI29,0)),L23-INDEX($C18:$AJ28,6,MATCH(IF('Data-solution'!$A$3="Maximize",MAX($C29:$AI29),MIN($C29:$AI29)),$C29:$AI29,0))*INDEX(L18:$AJ28,MATCH(MIN($AK18:$AK28),$AK18:$AK28,0),1)/INDEX($C18:$AJ28,MATCH(MIN($AK18:$AK28),$AK18:$AK28,0),MATCH(IF('Data-solution'!$A$3="Maximize",MAX($C29:$AI29),MIN($C29:$AI29)),$C29:$AI29,0))),L23)</f>
        <v>0</v>
      </c>
      <c r="M38" s="1">
        <f>IF(OR($B33&lt;&gt;$B18,$B34&lt;&gt;$B19,$B35&lt;&gt;$B20,$B36&lt;&gt;$B21,$B37&lt;&gt;$B22,$B38&lt;&gt;$B23,$B39&lt;&gt;$B24,$B40&lt;&gt;$B25,$B41&lt;&gt;$B26,$B42&lt;&gt;$B27,$B43&lt;&gt;$B28),IF($B38&lt;&gt;$B23,M23/INDEX($C18:$AJ28,6,MATCH(IF('Data-solution'!$A$3="Maximize",MAX($C29:$AI29),MIN($C29:$AI29)),$C29:$AI29,0)),M23-INDEX($C18:$AJ28,6,MATCH(IF('Data-solution'!$A$3="Maximize",MAX($C29:$AI29),MIN($C29:$AI29)),$C29:$AI29,0))*INDEX(M18:$AJ28,MATCH(MIN($AK18:$AK28),$AK18:$AK28,0),1)/INDEX($C18:$AJ28,MATCH(MIN($AK18:$AK28),$AK18:$AK28,0),MATCH(IF('Data-solution'!$A$3="Maximize",MAX($C29:$AI29),MIN($C29:$AI29)),$C29:$AI29,0))),M23)</f>
        <v>0</v>
      </c>
      <c r="N38" s="1">
        <f>IF(OR($B33&lt;&gt;$B18,$B34&lt;&gt;$B19,$B35&lt;&gt;$B20,$B36&lt;&gt;$B21,$B37&lt;&gt;$B22,$B38&lt;&gt;$B23,$B39&lt;&gt;$B24,$B40&lt;&gt;$B25,$B41&lt;&gt;$B26,$B42&lt;&gt;$B27,$B43&lt;&gt;$B28),IF($B38&lt;&gt;$B23,N23/INDEX($C18:$AJ28,6,MATCH(IF('Data-solution'!$A$3="Maximize",MAX($C29:$AI29),MIN($C29:$AI29)),$C29:$AI29,0)),N23-INDEX($C18:$AJ28,6,MATCH(IF('Data-solution'!$A$3="Maximize",MAX($C29:$AI29),MIN($C29:$AI29)),$C29:$AI29,0))*INDEX(N18:$AJ28,MATCH(MIN($AK18:$AK28),$AK18:$AK28,0),1)/INDEX($C18:$AJ28,MATCH(MIN($AK18:$AK28),$AK18:$AK28,0),MATCH(IF('Data-solution'!$A$3="Maximize",MAX($C29:$AI29),MIN($C29:$AI29)),$C29:$AI29,0))),N23)</f>
        <v>0</v>
      </c>
      <c r="O38" s="1">
        <f>IF(OR($B33&lt;&gt;$B18,$B34&lt;&gt;$B19,$B35&lt;&gt;$B20,$B36&lt;&gt;$B21,$B37&lt;&gt;$B22,$B38&lt;&gt;$B23,$B39&lt;&gt;$B24,$B40&lt;&gt;$B25,$B41&lt;&gt;$B26,$B42&lt;&gt;$B27,$B43&lt;&gt;$B28),IF($B38&lt;&gt;$B23,O23/INDEX($C18:$AJ28,6,MATCH(IF('Data-solution'!$A$3="Maximize",MAX($C29:$AI29),MIN($C29:$AI29)),$C29:$AI29,0)),O23-INDEX($C18:$AJ28,6,MATCH(IF('Data-solution'!$A$3="Maximize",MAX($C29:$AI29),MIN($C29:$AI29)),$C29:$AI29,0))*INDEX(O18:$AJ28,MATCH(MIN($AK18:$AK28),$AK18:$AK28,0),1)/INDEX($C18:$AJ28,MATCH(MIN($AK18:$AK28),$AK18:$AK28,0),MATCH(IF('Data-solution'!$A$3="Maximize",MAX($C29:$AI29),MIN($C29:$AI29)),$C29:$AI29,0))),O23)</f>
        <v>0</v>
      </c>
      <c r="P38" s="1">
        <f>IF(OR($B33&lt;&gt;$B18,$B34&lt;&gt;$B19,$B35&lt;&gt;$B20,$B36&lt;&gt;$B21,$B37&lt;&gt;$B22,$B38&lt;&gt;$B23,$B39&lt;&gt;$B24,$B40&lt;&gt;$B25,$B41&lt;&gt;$B26,$B42&lt;&gt;$B27,$B43&lt;&gt;$B28),IF($B38&lt;&gt;$B23,P23/INDEX($C18:$AJ28,6,MATCH(IF('Data-solution'!$A$3="Maximize",MAX($C29:$AI29),MIN($C29:$AI29)),$C29:$AI29,0)),P23-INDEX($C18:$AJ28,6,MATCH(IF('Data-solution'!$A$3="Maximize",MAX($C29:$AI29),MIN($C29:$AI29)),$C29:$AI29,0))*INDEX(P18:$AJ28,MATCH(MIN($AK18:$AK28),$AK18:$AK28,0),1)/INDEX($C18:$AJ28,MATCH(MIN($AK18:$AK28),$AK18:$AK28,0),MATCH(IF('Data-solution'!$A$3="Maximize",MAX($C29:$AI29),MIN($C29:$AI29)),$C29:$AI29,0))),P23)</f>
        <v>0</v>
      </c>
      <c r="Q38" s="1">
        <f>IF(OR($B33&lt;&gt;$B18,$B34&lt;&gt;$B19,$B35&lt;&gt;$B20,$B36&lt;&gt;$B21,$B37&lt;&gt;$B22,$B38&lt;&gt;$B23,$B39&lt;&gt;$B24,$B40&lt;&gt;$B25,$B41&lt;&gt;$B26,$B42&lt;&gt;$B27,$B43&lt;&gt;$B28),IF($B38&lt;&gt;$B23,Q23/INDEX($C18:$AJ28,6,MATCH(IF('Data-solution'!$A$3="Maximize",MAX($C29:$AI29),MIN($C29:$AI29)),$C29:$AI29,0)),Q23-INDEX($C18:$AJ28,6,MATCH(IF('Data-solution'!$A$3="Maximize",MAX($C29:$AI29),MIN($C29:$AI29)),$C29:$AI29,0))*INDEX(Q18:$AJ28,MATCH(MIN($AK18:$AK28),$AK18:$AK28,0),1)/INDEX($C18:$AJ28,MATCH(MIN($AK18:$AK28),$AK18:$AK28,0),MATCH(IF('Data-solution'!$A$3="Maximize",MAX($C29:$AI29),MIN($C29:$AI29)),$C29:$AI29,0))),Q23)</f>
        <v>0</v>
      </c>
      <c r="R38" s="1">
        <f>IF(OR($B33&lt;&gt;$B18,$B34&lt;&gt;$B19,$B35&lt;&gt;$B20,$B36&lt;&gt;$B21,$B37&lt;&gt;$B22,$B38&lt;&gt;$B23,$B39&lt;&gt;$B24,$B40&lt;&gt;$B25,$B41&lt;&gt;$B26,$B42&lt;&gt;$B27,$B43&lt;&gt;$B28),IF($B38&lt;&gt;$B23,R23/INDEX($C18:$AJ28,6,MATCH(IF('Data-solution'!$A$3="Maximize",MAX($C29:$AI29),MIN($C29:$AI29)),$C29:$AI29,0)),R23-INDEX($C18:$AJ28,6,MATCH(IF('Data-solution'!$A$3="Maximize",MAX($C29:$AI29),MIN($C29:$AI29)),$C29:$AI29,0))*INDEX(R18:$AJ28,MATCH(MIN($AK18:$AK28),$AK18:$AK28,0),1)/INDEX($C18:$AJ28,MATCH(MIN($AK18:$AK28),$AK18:$AK28,0),MATCH(IF('Data-solution'!$A$3="Maximize",MAX($C29:$AI29),MIN($C29:$AI29)),$C29:$AI29,0))),R23)</f>
        <v>0</v>
      </c>
      <c r="S38" s="1">
        <f>IF(OR($B33&lt;&gt;$B18,$B34&lt;&gt;$B19,$B35&lt;&gt;$B20,$B36&lt;&gt;$B21,$B37&lt;&gt;$B22,$B38&lt;&gt;$B23,$B39&lt;&gt;$B24,$B40&lt;&gt;$B25,$B41&lt;&gt;$B26,$B42&lt;&gt;$B27,$B43&lt;&gt;$B28),IF($B38&lt;&gt;$B23,S23/INDEX($C18:$AJ28,6,MATCH(IF('Data-solution'!$A$3="Maximize",MAX($C29:$AI29),MIN($C29:$AI29)),$C29:$AI29,0)),S23-INDEX($C18:$AJ28,6,MATCH(IF('Data-solution'!$A$3="Maximize",MAX($C29:$AI29),MIN($C29:$AI29)),$C29:$AI29,0))*INDEX(S18:$AJ28,MATCH(MIN($AK18:$AK28),$AK18:$AK28,0),1)/INDEX($C18:$AJ28,MATCH(MIN($AK18:$AK28),$AK18:$AK28,0),MATCH(IF('Data-solution'!$A$3="Maximize",MAX($C29:$AI29),MIN($C29:$AI29)),$C29:$AI29,0))),S23)</f>
        <v>1</v>
      </c>
      <c r="T38" s="1">
        <f>IF(OR($B33&lt;&gt;$B18,$B34&lt;&gt;$B19,$B35&lt;&gt;$B20,$B36&lt;&gt;$B21,$B37&lt;&gt;$B22,$B38&lt;&gt;$B23,$B39&lt;&gt;$B24,$B40&lt;&gt;$B25,$B41&lt;&gt;$B26,$B42&lt;&gt;$B27,$B43&lt;&gt;$B28),IF($B38&lt;&gt;$B23,T23/INDEX($C18:$AJ28,6,MATCH(IF('Data-solution'!$A$3="Maximize",MAX($C29:$AI29),MIN($C29:$AI29)),$C29:$AI29,0)),T23-INDEX($C18:$AJ28,6,MATCH(IF('Data-solution'!$A$3="Maximize",MAX($C29:$AI29),MIN($C29:$AI29)),$C29:$AI29,0))*INDEX(T18:$AJ28,MATCH(MIN($AK18:$AK28),$AK18:$AK28,0),1)/INDEX($C18:$AJ28,MATCH(MIN($AK18:$AK28),$AK18:$AK28,0),MATCH(IF('Data-solution'!$A$3="Maximize",MAX($C29:$AI29),MIN($C29:$AI29)),$C29:$AI29,0))),T23)</f>
        <v>0</v>
      </c>
      <c r="U38" s="1">
        <f>IF(OR($B33&lt;&gt;$B18,$B34&lt;&gt;$B19,$B35&lt;&gt;$B20,$B36&lt;&gt;$B21,$B37&lt;&gt;$B22,$B38&lt;&gt;$B23,$B39&lt;&gt;$B24,$B40&lt;&gt;$B25,$B41&lt;&gt;$B26,$B42&lt;&gt;$B27,$B43&lt;&gt;$B28),IF($B38&lt;&gt;$B23,U23/INDEX($C18:$AJ28,6,MATCH(IF('Data-solution'!$A$3="Maximize",MAX($C29:$AI29),MIN($C29:$AI29)),$C29:$AI29,0)),U23-INDEX($C18:$AJ28,6,MATCH(IF('Data-solution'!$A$3="Maximize",MAX($C29:$AI29),MIN($C29:$AI29)),$C29:$AI29,0))*INDEX(U18:$AJ28,MATCH(MIN($AK18:$AK28),$AK18:$AK28,0),1)/INDEX($C18:$AJ28,MATCH(MIN($AK18:$AK28),$AK18:$AK28,0),MATCH(IF('Data-solution'!$A$3="Maximize",MAX($C29:$AI29),MIN($C29:$AI29)),$C29:$AI29,0))),U23)</f>
        <v>0</v>
      </c>
      <c r="V38" s="1">
        <f>IF(OR($B33&lt;&gt;$B18,$B34&lt;&gt;$B19,$B35&lt;&gt;$B20,$B36&lt;&gt;$B21,$B37&lt;&gt;$B22,$B38&lt;&gt;$B23,$B39&lt;&gt;$B24,$B40&lt;&gt;$B25,$B41&lt;&gt;$B26,$B42&lt;&gt;$B27,$B43&lt;&gt;$B28),IF($B38&lt;&gt;$B23,V23/INDEX($C18:$AJ28,6,MATCH(IF('Data-solution'!$A$3="Maximize",MAX($C29:$AI29),MIN($C29:$AI29)),$C29:$AI29,0)),V23-INDEX($C18:$AJ28,6,MATCH(IF('Data-solution'!$A$3="Maximize",MAX($C29:$AI29),MIN($C29:$AI29)),$C29:$AI29,0))*INDEX(V18:$AJ28,MATCH(MIN($AK18:$AK28),$AK18:$AK28,0),1)/INDEX($C18:$AJ28,MATCH(MIN($AK18:$AK28),$AK18:$AK28,0),MATCH(IF('Data-solution'!$A$3="Maximize",MAX($C29:$AI29),MIN($C29:$AI29)),$C29:$AI29,0))),V23)</f>
        <v>0</v>
      </c>
      <c r="W38" s="1">
        <f>IF(OR($B33&lt;&gt;$B18,$B34&lt;&gt;$B19,$B35&lt;&gt;$B20,$B36&lt;&gt;$B21,$B37&lt;&gt;$B22,$B38&lt;&gt;$B23,$B39&lt;&gt;$B24,$B40&lt;&gt;$B25,$B41&lt;&gt;$B26,$B42&lt;&gt;$B27,$B43&lt;&gt;$B28),IF($B38&lt;&gt;$B23,W23/INDEX($C18:$AJ28,6,MATCH(IF('Data-solution'!$A$3="Maximize",MAX($C29:$AI29),MIN($C29:$AI29)),$C29:$AI29,0)),W23-INDEX($C18:$AJ28,6,MATCH(IF('Data-solution'!$A$3="Maximize",MAX($C29:$AI29),MIN($C29:$AI29)),$C29:$AI29,0))*INDEX(W18:$AJ28,MATCH(MIN($AK18:$AK28),$AK18:$AK28,0),1)/INDEX($C18:$AJ28,MATCH(MIN($AK18:$AK28),$AK18:$AK28,0),MATCH(IF('Data-solution'!$A$3="Maximize",MAX($C29:$AI29),MIN($C29:$AI29)),$C29:$AI29,0))),W23)</f>
        <v>0</v>
      </c>
      <c r="X38" s="1">
        <f>IF(OR($B33&lt;&gt;$B18,$B34&lt;&gt;$B19,$B35&lt;&gt;$B20,$B36&lt;&gt;$B21,$B37&lt;&gt;$B22,$B38&lt;&gt;$B23,$B39&lt;&gt;$B24,$B40&lt;&gt;$B25,$B41&lt;&gt;$B26,$B42&lt;&gt;$B27,$B43&lt;&gt;$B28),IF($B38&lt;&gt;$B23,X23/INDEX($C18:$AJ28,6,MATCH(IF('Data-solution'!$A$3="Maximize",MAX($C29:$AI29),MIN($C29:$AI29)),$C29:$AI29,0)),X23-INDEX($C18:$AJ28,6,MATCH(IF('Data-solution'!$A$3="Maximize",MAX($C29:$AI29),MIN($C29:$AI29)),$C29:$AI29,0))*INDEX(X18:$AJ28,MATCH(MIN($AK18:$AK28),$AK18:$AK28,0),1)/INDEX($C18:$AJ28,MATCH(MIN($AK18:$AK28),$AK18:$AK28,0),MATCH(IF('Data-solution'!$A$3="Maximize",MAX($C29:$AI29),MIN($C29:$AI29)),$C29:$AI29,0))),X23)</f>
        <v>0</v>
      </c>
      <c r="Y38" s="1">
        <f>IF(OR($B33&lt;&gt;$B18,$B34&lt;&gt;$B19,$B35&lt;&gt;$B20,$B36&lt;&gt;$B21,$B37&lt;&gt;$B22,$B38&lt;&gt;$B23,$B39&lt;&gt;$B24,$B40&lt;&gt;$B25,$B41&lt;&gt;$B26,$B42&lt;&gt;$B27,$B43&lt;&gt;$B28),IF($B38&lt;&gt;$B23,Y23/INDEX($C18:$AJ28,6,MATCH(IF('Data-solution'!$A$3="Maximize",MAX($C29:$AI29),MIN($C29:$AI29)),$C29:$AI29,0)),Y23-INDEX($C18:$AJ28,6,MATCH(IF('Data-solution'!$A$3="Maximize",MAX($C29:$AI29),MIN($C29:$AI29)),$C29:$AI29,0))*INDEX(Y18:$AJ28,MATCH(MIN($AK18:$AK28),$AK18:$AK28,0),1)/INDEX($C18:$AJ28,MATCH(MIN($AK18:$AK28),$AK18:$AK28,0),MATCH(IF('Data-solution'!$A$3="Maximize",MAX($C29:$AI29),MIN($C29:$AI29)),$C29:$AI29,0))),Y23)</f>
        <v>0</v>
      </c>
      <c r="Z38" s="1">
        <f>IF(OR($B33&lt;&gt;$B18,$B34&lt;&gt;$B19,$B35&lt;&gt;$B20,$B36&lt;&gt;$B21,$B37&lt;&gt;$B22,$B38&lt;&gt;$B23,$B39&lt;&gt;$B24,$B40&lt;&gt;$B25,$B41&lt;&gt;$B26,$B42&lt;&gt;$B27,$B43&lt;&gt;$B28),IF($B38&lt;&gt;$B23,Z23/INDEX($C18:$AJ28,6,MATCH(IF('Data-solution'!$A$3="Maximize",MAX($C29:$AI29),MIN($C29:$AI29)),$C29:$AI29,0)),Z23-INDEX($C18:$AJ28,6,MATCH(IF('Data-solution'!$A$3="Maximize",MAX($C29:$AI29),MIN($C29:$AI29)),$C29:$AI29,0))*INDEX(Z18:$AJ28,MATCH(MIN($AK18:$AK28),$AK18:$AK28,0),1)/INDEX($C18:$AJ28,MATCH(MIN($AK18:$AK28),$AK18:$AK28,0),MATCH(IF('Data-solution'!$A$3="Maximize",MAX($C29:$AI29),MIN($C29:$AI29)),$C29:$AI29,0))),Z23)</f>
        <v>0</v>
      </c>
      <c r="AA38" s="1">
        <f>IF(OR($B33&lt;&gt;$B18,$B34&lt;&gt;$B19,$B35&lt;&gt;$B20,$B36&lt;&gt;$B21,$B37&lt;&gt;$B22,$B38&lt;&gt;$B23,$B39&lt;&gt;$B24,$B40&lt;&gt;$B25,$B41&lt;&gt;$B26,$B42&lt;&gt;$B27,$B43&lt;&gt;$B28),IF($B38&lt;&gt;$B23,AA23/INDEX($C18:$AJ28,6,MATCH(IF('Data-solution'!$A$3="Maximize",MAX($C29:$AI29),MIN($C29:$AI29)),$C29:$AI29,0)),AA23-INDEX($C18:$AJ28,6,MATCH(IF('Data-solution'!$A$3="Maximize",MAX($C29:$AI29),MIN($C29:$AI29)),$C29:$AI29,0))*INDEX(AA18:$AJ28,MATCH(MIN($AK18:$AK28),$AK18:$AK28,0),1)/INDEX($C18:$AJ28,MATCH(MIN($AK18:$AK28),$AK18:$AK28,0),MATCH(IF('Data-solution'!$A$3="Maximize",MAX($C29:$AI29),MIN($C29:$AI29)),$C29:$AI29,0))),AA23)</f>
        <v>0</v>
      </c>
      <c r="AB38" s="1">
        <f>IF(OR($B33&lt;&gt;$B18,$B34&lt;&gt;$B19,$B35&lt;&gt;$B20,$B36&lt;&gt;$B21,$B37&lt;&gt;$B22,$B38&lt;&gt;$B23,$B39&lt;&gt;$B24,$B40&lt;&gt;$B25,$B41&lt;&gt;$B26,$B42&lt;&gt;$B27,$B43&lt;&gt;$B28),IF($B38&lt;&gt;$B23,AB23/INDEX($C18:$AJ28,6,MATCH(IF('Data-solution'!$A$3="Maximize",MAX($C29:$AI29),MIN($C29:$AI29)),$C29:$AI29,0)),AB23-INDEX($C18:$AJ28,6,MATCH(IF('Data-solution'!$A$3="Maximize",MAX($C29:$AI29),MIN($C29:$AI29)),$C29:$AI29,0))*INDEX(AB18:$AJ28,MATCH(MIN($AK18:$AK28),$AK18:$AK28,0),1)/INDEX($C18:$AJ28,MATCH(MIN($AK18:$AK28),$AK18:$AK28,0),MATCH(IF('Data-solution'!$A$3="Maximize",MAX($C29:$AI29),MIN($C29:$AI29)),$C29:$AI29,0))),AB23)</f>
        <v>0</v>
      </c>
      <c r="AC38" s="1">
        <f>IF(OR($B33&lt;&gt;$B18,$B34&lt;&gt;$B19,$B35&lt;&gt;$B20,$B36&lt;&gt;$B21,$B37&lt;&gt;$B22,$B38&lt;&gt;$B23,$B39&lt;&gt;$B24,$B40&lt;&gt;$B25,$B41&lt;&gt;$B26,$B42&lt;&gt;$B27,$B43&lt;&gt;$B28),IF($B38&lt;&gt;$B23,AC23/INDEX($C18:$AJ28,6,MATCH(IF('Data-solution'!$A$3="Maximize",MAX($C29:$AI29),MIN($C29:$AI29)),$C29:$AI29,0)),AC23-INDEX($C18:$AJ28,6,MATCH(IF('Data-solution'!$A$3="Maximize",MAX($C29:$AI29),MIN($C29:$AI29)),$C29:$AI29,0))*INDEX(AC18:$AJ28,MATCH(MIN($AK18:$AK28),$AK18:$AK28,0),1)/INDEX($C18:$AJ28,MATCH(MIN($AK18:$AK28),$AK18:$AK28,0),MATCH(IF('Data-solution'!$A$3="Maximize",MAX($C29:$AI29),MIN($C29:$AI29)),$C29:$AI29,0))),AC23)</f>
        <v>0</v>
      </c>
      <c r="AD38" s="1">
        <f>IF(OR($B33&lt;&gt;$B18,$B34&lt;&gt;$B19,$B35&lt;&gt;$B20,$B36&lt;&gt;$B21,$B37&lt;&gt;$B22,$B38&lt;&gt;$B23,$B39&lt;&gt;$B24,$B40&lt;&gt;$B25,$B41&lt;&gt;$B26,$B42&lt;&gt;$B27,$B43&lt;&gt;$B28),IF($B38&lt;&gt;$B23,AD23/INDEX($C18:$AJ28,6,MATCH(IF('Data-solution'!$A$3="Maximize",MAX($C29:$AI29),MIN($C29:$AI29)),$C29:$AI29,0)),AD23-INDEX($C18:$AJ28,6,MATCH(IF('Data-solution'!$A$3="Maximize",MAX($C29:$AI29),MIN($C29:$AI29)),$C29:$AI29,0))*INDEX(AD18:$AJ28,MATCH(MIN($AK18:$AK28),$AK18:$AK28,0),1)/INDEX($C18:$AJ28,MATCH(MIN($AK18:$AK28),$AK18:$AK28,0),MATCH(IF('Data-solution'!$A$3="Maximize",MAX($C29:$AI29),MIN($C29:$AI29)),$C29:$AI29,0))),AD23)</f>
        <v>1</v>
      </c>
      <c r="AE38" s="1">
        <f>IF(OR($B33&lt;&gt;$B18,$B34&lt;&gt;$B19,$B35&lt;&gt;$B20,$B36&lt;&gt;$B21,$B37&lt;&gt;$B22,$B38&lt;&gt;$B23,$B39&lt;&gt;$B24,$B40&lt;&gt;$B25,$B41&lt;&gt;$B26,$B42&lt;&gt;$B27,$B43&lt;&gt;$B28),IF($B38&lt;&gt;$B23,AE23/INDEX($C18:$AJ28,6,MATCH(IF('Data-solution'!$A$3="Maximize",MAX($C29:$AI29),MIN($C29:$AI29)),$C29:$AI29,0)),AE23-INDEX($C18:$AJ28,6,MATCH(IF('Data-solution'!$A$3="Maximize",MAX($C29:$AI29),MIN($C29:$AI29)),$C29:$AI29,0))*INDEX(AE18:$AJ28,MATCH(MIN($AK18:$AK28),$AK18:$AK28,0),1)/INDEX($C18:$AJ28,MATCH(MIN($AK18:$AK28),$AK18:$AK28,0),MATCH(IF('Data-solution'!$A$3="Maximize",MAX($C29:$AI29),MIN($C29:$AI29)),$C29:$AI29,0))),AE23)</f>
        <v>0</v>
      </c>
      <c r="AF38" s="1">
        <f>IF(OR($B33&lt;&gt;$B18,$B34&lt;&gt;$B19,$B35&lt;&gt;$B20,$B36&lt;&gt;$B21,$B37&lt;&gt;$B22,$B38&lt;&gt;$B23,$B39&lt;&gt;$B24,$B40&lt;&gt;$B25,$B41&lt;&gt;$B26,$B42&lt;&gt;$B27,$B43&lt;&gt;$B28),IF($B38&lt;&gt;$B23,AF23/INDEX($C18:$AJ28,6,MATCH(IF('Data-solution'!$A$3="Maximize",MAX($C29:$AI29),MIN($C29:$AI29)),$C29:$AI29,0)),AF23-INDEX($C18:$AJ28,6,MATCH(IF('Data-solution'!$A$3="Maximize",MAX($C29:$AI29),MIN($C29:$AI29)),$C29:$AI29,0))*INDEX(AF18:$AJ28,MATCH(MIN($AK18:$AK28),$AK18:$AK28,0),1)/INDEX($C18:$AJ28,MATCH(MIN($AK18:$AK28),$AK18:$AK28,0),MATCH(IF('Data-solution'!$A$3="Maximize",MAX($C29:$AI29),MIN($C29:$AI29)),$C29:$AI29,0))),AF23)</f>
        <v>0</v>
      </c>
      <c r="AG38" s="1">
        <f>IF(OR($B33&lt;&gt;$B18,$B34&lt;&gt;$B19,$B35&lt;&gt;$B20,$B36&lt;&gt;$B21,$B37&lt;&gt;$B22,$B38&lt;&gt;$B23,$B39&lt;&gt;$B24,$B40&lt;&gt;$B25,$B41&lt;&gt;$B26,$B42&lt;&gt;$B27,$B43&lt;&gt;$B28),IF($B38&lt;&gt;$B23,AG23/INDEX($C18:$AJ28,6,MATCH(IF('Data-solution'!$A$3="Maximize",MAX($C29:$AI29),MIN($C29:$AI29)),$C29:$AI29,0)),AG23-INDEX($C18:$AJ28,6,MATCH(IF('Data-solution'!$A$3="Maximize",MAX($C29:$AI29),MIN($C29:$AI29)),$C29:$AI29,0))*INDEX(AG18:$AJ28,MATCH(MIN($AK18:$AK28),$AK18:$AK28,0),1)/INDEX($C18:$AJ28,MATCH(MIN($AK18:$AK28),$AK18:$AK28,0),MATCH(IF('Data-solution'!$A$3="Maximize",MAX($C29:$AI29),MIN($C29:$AI29)),$C29:$AI29,0))),AG23)</f>
        <v>0</v>
      </c>
      <c r="AH38" s="1">
        <f>IF(OR($B33&lt;&gt;$B18,$B34&lt;&gt;$B19,$B35&lt;&gt;$B20,$B36&lt;&gt;$B21,$B37&lt;&gt;$B22,$B38&lt;&gt;$B23,$B39&lt;&gt;$B24,$B40&lt;&gt;$B25,$B41&lt;&gt;$B26,$B42&lt;&gt;$B27,$B43&lt;&gt;$B28),IF($B38&lt;&gt;$B23,AH23/INDEX($C18:$AJ28,6,MATCH(IF('Data-solution'!$A$3="Maximize",MAX($C29:$AI29),MIN($C29:$AI29)),$C29:$AI29,0)),AH23-INDEX($C18:$AJ28,6,MATCH(IF('Data-solution'!$A$3="Maximize",MAX($C29:$AI29),MIN($C29:$AI29)),$C29:$AI29,0))*INDEX(AH18:$AJ28,MATCH(MIN($AK18:$AK28),$AK18:$AK28,0),1)/INDEX($C18:$AJ28,MATCH(MIN($AK18:$AK28),$AK18:$AK28,0),MATCH(IF('Data-solution'!$A$3="Maximize",MAX($C29:$AI29),MIN($C29:$AI29)),$C29:$AI29,0))),AH23)</f>
        <v>0</v>
      </c>
      <c r="AI38" s="1">
        <f>IF(OR($B33&lt;&gt;$B18,$B34&lt;&gt;$B19,$B35&lt;&gt;$B20,$B36&lt;&gt;$B21,$B37&lt;&gt;$B22,$B38&lt;&gt;$B23,$B39&lt;&gt;$B24,$B40&lt;&gt;$B25,$B41&lt;&gt;$B26,$B42&lt;&gt;$B27,$B43&lt;&gt;$B28),IF($B38&lt;&gt;$B23,AI23/INDEX($C18:$AJ28,6,MATCH(IF('Data-solution'!$A$3="Maximize",MAX($C29:$AI29),MIN($C29:$AI29)),$C29:$AI29,0)),AI23-INDEX($C18:$AJ28,6,MATCH(IF('Data-solution'!$A$3="Maximize",MAX($C29:$AI29),MIN($C29:$AI29)),$C29:$AI29,0))*INDEX(AI18:$AJ28,MATCH(MIN($AK18:$AK28),$AK18:$AK28,0),1)/INDEX($C18:$AJ28,MATCH(MIN($AK18:$AK28),$AK18:$AK28,0),MATCH(IF('Data-solution'!$A$3="Maximize",MAX($C29:$AI29),MIN($C29:$AI29)),$C29:$AI29,0))),AI23)</f>
        <v>0</v>
      </c>
      <c r="AJ38" s="1">
        <f>IF(OR($B33&lt;&gt;$B18,$B34&lt;&gt;$B19,$B35&lt;&gt;$B20,$B36&lt;&gt;$B21,$B37&lt;&gt;$B22,$B38&lt;&gt;$B23,$B39&lt;&gt;$B24,$B40&lt;&gt;$B25,$B41&lt;&gt;$B26,$B42&lt;&gt;$B27,$B43&lt;&gt;$B28),IF($B38&lt;&gt;$B23,AJ23/INDEX($C18:$AJ28,6,MATCH(IF('Data-solution'!$A$3="Maximize",MAX($C29:$AI29),MIN($C29:$AI29)),$C29:$AI29,0)),AJ23-INDEX($C18:$AJ28,6,MATCH(IF('Data-solution'!$A$3="Maximize",MAX($C29:$AI29),MIN($C29:$AI29)),$C29:$AI29,0))*INDEX(AJ18:$AJ28,MATCH(MIN($AK18:$AK28),$AK18:$AK28,0),1)/INDEX($C18:$AJ28,MATCH(MIN($AK18:$AK28),$AK18:$AK28,0),MATCH(IF('Data-solution'!$A$3="Maximize",MAX($C29:$AI29),MIN($C29:$AI29)),$C29:$AI29,0))),AJ23)</f>
        <v>0</v>
      </c>
      <c r="AK38" s="1" t="str">
        <f>IF(INDEX(C38:X38,1,MATCH(IF('Data-solution'!A$3="Maximize",MAX(C44:X44),MIN(C44:X44)),C44:X44,0))&gt;0,AJ38/INDEX(C38:X38,1,MATCH(IF('Data-solution'!A$3="Maximize",MAX(C44:X44),MIN(C44:X44)),C44:X44,0))," ")</f>
        <v xml:space="preserve"> </v>
      </c>
    </row>
    <row r="39" spans="1:37" ht="18" customHeight="1" x14ac:dyDescent="0.2">
      <c r="A39" s="1">
        <f t="shared" ref="A39" si="14">INDEX(C31:AI31,1,MATCH(B39,C32:AI32,0))</f>
        <v>0</v>
      </c>
      <c r="B39" s="2" t="str">
        <f>IF(AND('Data-solution'!A$3="Maximize",COUNTIF(C29:X29,"&gt;"&amp;0)&gt;0,AK24=MIN(AK18:AK28),COUNTIF(B33:B38,INDEX(C17:X17,1,MATCH(MAX(C29:X29),C29:X29,0)))=0),INDEX(C17:X17,1,MATCH(MAX(C29:X29),C29:X29,0)),IF(AND('Data-solution'!A$3="Minimize",COUNTIF(C29:X29,"&lt;"&amp;0)&gt;0,AK24=MIN(AK18:AK28),COUNTIF(B33:B38,INDEX(C17:X17,1,MATCH(MIN(C29:X29),C29:X29,0)))=0),INDEX(C17:X17,1,MATCH(MIN(C29:X29),C29:X29,0)),B24))</f>
        <v>S7</v>
      </c>
      <c r="C39" s="1">
        <f>IF(OR($B33&lt;&gt;$B18,$B34&lt;&gt;$B19,$B35&lt;&gt;$B20,$B36&lt;&gt;$B21,$B37&lt;&gt;$B22,$B38&lt;&gt;$B23,$B39&lt;&gt;$B24,$B40&lt;&gt;$B25,$B41&lt;&gt;$B26,$B42&lt;&gt;$B27,$B43&lt;&gt;$B28),IF($B39&lt;&gt;$B24,C24/INDEX($C18:$AJ28,7,MATCH(IF('Data-solution'!$A$3="Maximize",MAX($C29:$AI29),MIN($C29:$AI29)),$C29:$AI29,0)),C24-INDEX($C18:$AJ28,7,MATCH(IF('Data-solution'!$A$3="Maximize",MAX($C29:$AI29),MIN($C29:$AI29)),$C29:$AI29,0))*INDEX(C18:$AJ28,MATCH(MIN($AK18:$AK28),$AK18:$AK28,0),1)/INDEX($C18:$AJ28,MATCH(MIN($AK18:$AK28),$AK18:$AK28,0),MATCH(IF('Data-solution'!$A$3="Maximize",MAX($C29:$AI29),MIN($C29:$AI29)),$C29:$AI29,0))),C24)</f>
        <v>0</v>
      </c>
      <c r="D39" s="1">
        <f>IF(OR($B33&lt;&gt;$B18,$B34&lt;&gt;$B19,$B35&lt;&gt;$B20,$B36&lt;&gt;$B21,$B37&lt;&gt;$B22,$B38&lt;&gt;$B23,$B39&lt;&gt;$B24,$B40&lt;&gt;$B25,$B41&lt;&gt;$B26,$B42&lt;&gt;$B27,$B43&lt;&gt;$B28),IF($B39&lt;&gt;$B24,D24/INDEX($C18:$AJ28,7,MATCH(IF('Data-solution'!$A$3="Maximize",MAX($C29:$AI29),MIN($C29:$AI29)),$C29:$AI29,0)),D24-INDEX($C18:$AJ28,7,MATCH(IF('Data-solution'!$A$3="Maximize",MAX($C29:$AI29),MIN($C29:$AI29)),$C29:$AI29,0))*INDEX(D18:$AJ28,MATCH(MIN($AK18:$AK28),$AK18:$AK28,0),1)/INDEX($C18:$AJ28,MATCH(MIN($AK18:$AK28),$AK18:$AK28,0),MATCH(IF('Data-solution'!$A$3="Maximize",MAX($C29:$AI29),MIN($C29:$AI29)),$C29:$AI29,0))),D24)</f>
        <v>0</v>
      </c>
      <c r="E39" s="1">
        <f>IF(OR($B33&lt;&gt;$B18,$B34&lt;&gt;$B19,$B35&lt;&gt;$B20,$B36&lt;&gt;$B21,$B37&lt;&gt;$B22,$B38&lt;&gt;$B23,$B39&lt;&gt;$B24,$B40&lt;&gt;$B25,$B41&lt;&gt;$B26,$B42&lt;&gt;$B27,$B43&lt;&gt;$B28),IF($B39&lt;&gt;$B24,E24/INDEX($C18:$AJ28,7,MATCH(IF('Data-solution'!$A$3="Maximize",MAX($C29:$AI29),MIN($C29:$AI29)),$C29:$AI29,0)),E24-INDEX($C18:$AJ28,7,MATCH(IF('Data-solution'!$A$3="Maximize",MAX($C29:$AI29),MIN($C29:$AI29)),$C29:$AI29,0))*INDEX(E18:$AJ28,MATCH(MIN($AK18:$AK28),$AK18:$AK28,0),1)/INDEX($C18:$AJ28,MATCH(MIN($AK18:$AK28),$AK18:$AK28,0),MATCH(IF('Data-solution'!$A$3="Maximize",MAX($C29:$AI29),MIN($C29:$AI29)),$C29:$AI29,0))),E24)</f>
        <v>0</v>
      </c>
      <c r="F39" s="1">
        <f>IF(OR($B33&lt;&gt;$B18,$B34&lt;&gt;$B19,$B35&lt;&gt;$B20,$B36&lt;&gt;$B21,$B37&lt;&gt;$B22,$B38&lt;&gt;$B23,$B39&lt;&gt;$B24,$B40&lt;&gt;$B25,$B41&lt;&gt;$B26,$B42&lt;&gt;$B27,$B43&lt;&gt;$B28),IF($B39&lt;&gt;$B24,F24/INDEX($C18:$AJ28,7,MATCH(IF('Data-solution'!$A$3="Maximize",MAX($C29:$AI29),MIN($C29:$AI29)),$C29:$AI29,0)),F24-INDEX($C18:$AJ28,7,MATCH(IF('Data-solution'!$A$3="Maximize",MAX($C29:$AI29),MIN($C29:$AI29)),$C29:$AI29,0))*INDEX(F18:$AJ28,MATCH(MIN($AK18:$AK28),$AK18:$AK28,0),1)/INDEX($C18:$AJ28,MATCH(MIN($AK18:$AK28),$AK18:$AK28,0),MATCH(IF('Data-solution'!$A$3="Maximize",MAX($C29:$AI29),MIN($C29:$AI29)),$C29:$AI29,0))),F24)</f>
        <v>0</v>
      </c>
      <c r="G39" s="1">
        <f>IF(OR($B33&lt;&gt;$B18,$B34&lt;&gt;$B19,$B35&lt;&gt;$B20,$B36&lt;&gt;$B21,$B37&lt;&gt;$B22,$B38&lt;&gt;$B23,$B39&lt;&gt;$B24,$B40&lt;&gt;$B25,$B41&lt;&gt;$B26,$B42&lt;&gt;$B27,$B43&lt;&gt;$B28),IF($B39&lt;&gt;$B24,G24/INDEX($C18:$AJ28,7,MATCH(IF('Data-solution'!$A$3="Maximize",MAX($C29:$AI29),MIN($C29:$AI29)),$C29:$AI29,0)),G24-INDEX($C18:$AJ28,7,MATCH(IF('Data-solution'!$A$3="Maximize",MAX($C29:$AI29),MIN($C29:$AI29)),$C29:$AI29,0))*INDEX(G18:$AJ28,MATCH(MIN($AK18:$AK28),$AK18:$AK28,0),1)/INDEX($C18:$AJ28,MATCH(MIN($AK18:$AK28),$AK18:$AK28,0),MATCH(IF('Data-solution'!$A$3="Maximize",MAX($C29:$AI29),MIN($C29:$AI29)),$C29:$AI29,0))),G24)</f>
        <v>0</v>
      </c>
      <c r="H39" s="1">
        <f>IF(OR($B33&lt;&gt;$B18,$B34&lt;&gt;$B19,$B35&lt;&gt;$B20,$B36&lt;&gt;$B21,$B37&lt;&gt;$B22,$B38&lt;&gt;$B23,$B39&lt;&gt;$B24,$B40&lt;&gt;$B25,$B41&lt;&gt;$B26,$B42&lt;&gt;$B27,$B43&lt;&gt;$B28),IF($B39&lt;&gt;$B24,H24/INDEX($C18:$AJ28,7,MATCH(IF('Data-solution'!$A$3="Maximize",MAX($C29:$AI29),MIN($C29:$AI29)),$C29:$AI29,0)),H24-INDEX($C18:$AJ28,7,MATCH(IF('Data-solution'!$A$3="Maximize",MAX($C29:$AI29),MIN($C29:$AI29)),$C29:$AI29,0))*INDEX(H18:$AJ28,MATCH(MIN($AK18:$AK28),$AK18:$AK28,0),1)/INDEX($C18:$AJ28,MATCH(MIN($AK18:$AK28),$AK18:$AK28,0),MATCH(IF('Data-solution'!$A$3="Maximize",MAX($C29:$AI29),MIN($C29:$AI29)),$C29:$AI29,0))),H24)</f>
        <v>0</v>
      </c>
      <c r="I39" s="1">
        <f>IF(OR($B33&lt;&gt;$B18,$B34&lt;&gt;$B19,$B35&lt;&gt;$B20,$B36&lt;&gt;$B21,$B37&lt;&gt;$B22,$B38&lt;&gt;$B23,$B39&lt;&gt;$B24,$B40&lt;&gt;$B25,$B41&lt;&gt;$B26,$B42&lt;&gt;$B27,$B43&lt;&gt;$B28),IF($B39&lt;&gt;$B24,I24/INDEX($C18:$AJ28,7,MATCH(IF('Data-solution'!$A$3="Maximize",MAX($C29:$AI29),MIN($C29:$AI29)),$C29:$AI29,0)),I24-INDEX($C18:$AJ28,7,MATCH(IF('Data-solution'!$A$3="Maximize",MAX($C29:$AI29),MIN($C29:$AI29)),$C29:$AI29,0))*INDEX(I18:$AJ28,MATCH(MIN($AK18:$AK28),$AK18:$AK28,0),1)/INDEX($C18:$AJ28,MATCH(MIN($AK18:$AK28),$AK18:$AK28,0),MATCH(IF('Data-solution'!$A$3="Maximize",MAX($C29:$AI29),MIN($C29:$AI29)),$C29:$AI29,0))),I24)</f>
        <v>0</v>
      </c>
      <c r="J39" s="1">
        <f>IF(OR($B33&lt;&gt;$B18,$B34&lt;&gt;$B19,$B35&lt;&gt;$B20,$B36&lt;&gt;$B21,$B37&lt;&gt;$B22,$B38&lt;&gt;$B23,$B39&lt;&gt;$B24,$B40&lt;&gt;$B25,$B41&lt;&gt;$B26,$B42&lt;&gt;$B27,$B43&lt;&gt;$B28),IF($B39&lt;&gt;$B24,J24/INDEX($C18:$AJ28,7,MATCH(IF('Data-solution'!$A$3="Maximize",MAX($C29:$AI29),MIN($C29:$AI29)),$C29:$AI29,0)),J24-INDEX($C18:$AJ28,7,MATCH(IF('Data-solution'!$A$3="Maximize",MAX($C29:$AI29),MIN($C29:$AI29)),$C29:$AI29,0))*INDEX(J18:$AJ28,MATCH(MIN($AK18:$AK28),$AK18:$AK28,0),1)/INDEX($C18:$AJ28,MATCH(MIN($AK18:$AK28),$AK18:$AK28,0),MATCH(IF('Data-solution'!$A$3="Maximize",MAX($C29:$AI29),MIN($C29:$AI29)),$C29:$AI29,0))),J24)</f>
        <v>0</v>
      </c>
      <c r="K39" s="1">
        <f>IF(OR($B33&lt;&gt;$B18,$B34&lt;&gt;$B19,$B35&lt;&gt;$B20,$B36&lt;&gt;$B21,$B37&lt;&gt;$B22,$B38&lt;&gt;$B23,$B39&lt;&gt;$B24,$B40&lt;&gt;$B25,$B41&lt;&gt;$B26,$B42&lt;&gt;$B27,$B43&lt;&gt;$B28),IF($B39&lt;&gt;$B24,K24/INDEX($C18:$AJ28,7,MATCH(IF('Data-solution'!$A$3="Maximize",MAX($C29:$AI29),MIN($C29:$AI29)),$C29:$AI29,0)),K24-INDEX($C18:$AJ28,7,MATCH(IF('Data-solution'!$A$3="Maximize",MAX($C29:$AI29),MIN($C29:$AI29)),$C29:$AI29,0))*INDEX(K18:$AJ28,MATCH(MIN($AK18:$AK28),$AK18:$AK28,0),1)/INDEX($C18:$AJ28,MATCH(MIN($AK18:$AK28),$AK18:$AK28,0),MATCH(IF('Data-solution'!$A$3="Maximize",MAX($C29:$AI29),MIN($C29:$AI29)),$C29:$AI29,0))),K24)</f>
        <v>0</v>
      </c>
      <c r="L39" s="1">
        <f>IF(OR($B33&lt;&gt;$B18,$B34&lt;&gt;$B19,$B35&lt;&gt;$B20,$B36&lt;&gt;$B21,$B37&lt;&gt;$B22,$B38&lt;&gt;$B23,$B39&lt;&gt;$B24,$B40&lt;&gt;$B25,$B41&lt;&gt;$B26,$B42&lt;&gt;$B27,$B43&lt;&gt;$B28),IF($B39&lt;&gt;$B24,L24/INDEX($C18:$AJ28,7,MATCH(IF('Data-solution'!$A$3="Maximize",MAX($C29:$AI29),MIN($C29:$AI29)),$C29:$AI29,0)),L24-INDEX($C18:$AJ28,7,MATCH(IF('Data-solution'!$A$3="Maximize",MAX($C29:$AI29),MIN($C29:$AI29)),$C29:$AI29,0))*INDEX(L18:$AJ28,MATCH(MIN($AK18:$AK28),$AK18:$AK28,0),1)/INDEX($C18:$AJ28,MATCH(MIN($AK18:$AK28),$AK18:$AK28,0),MATCH(IF('Data-solution'!$A$3="Maximize",MAX($C29:$AI29),MIN($C29:$AI29)),$C29:$AI29,0))),L24)</f>
        <v>0</v>
      </c>
      <c r="M39" s="1">
        <f>IF(OR($B33&lt;&gt;$B18,$B34&lt;&gt;$B19,$B35&lt;&gt;$B20,$B36&lt;&gt;$B21,$B37&lt;&gt;$B22,$B38&lt;&gt;$B23,$B39&lt;&gt;$B24,$B40&lt;&gt;$B25,$B41&lt;&gt;$B26,$B42&lt;&gt;$B27,$B43&lt;&gt;$B28),IF($B39&lt;&gt;$B24,M24/INDEX($C18:$AJ28,7,MATCH(IF('Data-solution'!$A$3="Maximize",MAX($C29:$AI29),MIN($C29:$AI29)),$C29:$AI29,0)),M24-INDEX($C18:$AJ28,7,MATCH(IF('Data-solution'!$A$3="Maximize",MAX($C29:$AI29),MIN($C29:$AI29)),$C29:$AI29,0))*INDEX(M18:$AJ28,MATCH(MIN($AK18:$AK28),$AK18:$AK28,0),1)/INDEX($C18:$AJ28,MATCH(MIN($AK18:$AK28),$AK18:$AK28,0),MATCH(IF('Data-solution'!$A$3="Maximize",MAX($C29:$AI29),MIN($C29:$AI29)),$C29:$AI29,0))),M24)</f>
        <v>0</v>
      </c>
      <c r="N39" s="1">
        <f>IF(OR($B33&lt;&gt;$B18,$B34&lt;&gt;$B19,$B35&lt;&gt;$B20,$B36&lt;&gt;$B21,$B37&lt;&gt;$B22,$B38&lt;&gt;$B23,$B39&lt;&gt;$B24,$B40&lt;&gt;$B25,$B41&lt;&gt;$B26,$B42&lt;&gt;$B27,$B43&lt;&gt;$B28),IF($B39&lt;&gt;$B24,N24/INDEX($C18:$AJ28,7,MATCH(IF('Data-solution'!$A$3="Maximize",MAX($C29:$AI29),MIN($C29:$AI29)),$C29:$AI29,0)),N24-INDEX($C18:$AJ28,7,MATCH(IF('Data-solution'!$A$3="Maximize",MAX($C29:$AI29),MIN($C29:$AI29)),$C29:$AI29,0))*INDEX(N18:$AJ28,MATCH(MIN($AK18:$AK28),$AK18:$AK28,0),1)/INDEX($C18:$AJ28,MATCH(MIN($AK18:$AK28),$AK18:$AK28,0),MATCH(IF('Data-solution'!$A$3="Maximize",MAX($C29:$AI29),MIN($C29:$AI29)),$C29:$AI29,0))),N24)</f>
        <v>0</v>
      </c>
      <c r="O39" s="1">
        <f>IF(OR($B33&lt;&gt;$B18,$B34&lt;&gt;$B19,$B35&lt;&gt;$B20,$B36&lt;&gt;$B21,$B37&lt;&gt;$B22,$B38&lt;&gt;$B23,$B39&lt;&gt;$B24,$B40&lt;&gt;$B25,$B41&lt;&gt;$B26,$B42&lt;&gt;$B27,$B43&lt;&gt;$B28),IF($B39&lt;&gt;$B24,O24/INDEX($C18:$AJ28,7,MATCH(IF('Data-solution'!$A$3="Maximize",MAX($C29:$AI29),MIN($C29:$AI29)),$C29:$AI29,0)),O24-INDEX($C18:$AJ28,7,MATCH(IF('Data-solution'!$A$3="Maximize",MAX($C29:$AI29),MIN($C29:$AI29)),$C29:$AI29,0))*INDEX(O18:$AJ28,MATCH(MIN($AK18:$AK28),$AK18:$AK28,0),1)/INDEX($C18:$AJ28,MATCH(MIN($AK18:$AK28),$AK18:$AK28,0),MATCH(IF('Data-solution'!$A$3="Maximize",MAX($C29:$AI29),MIN($C29:$AI29)),$C29:$AI29,0))),O24)</f>
        <v>0</v>
      </c>
      <c r="P39" s="1">
        <f>IF(OR($B33&lt;&gt;$B18,$B34&lt;&gt;$B19,$B35&lt;&gt;$B20,$B36&lt;&gt;$B21,$B37&lt;&gt;$B22,$B38&lt;&gt;$B23,$B39&lt;&gt;$B24,$B40&lt;&gt;$B25,$B41&lt;&gt;$B26,$B42&lt;&gt;$B27,$B43&lt;&gt;$B28),IF($B39&lt;&gt;$B24,P24/INDEX($C18:$AJ28,7,MATCH(IF('Data-solution'!$A$3="Maximize",MAX($C29:$AI29),MIN($C29:$AI29)),$C29:$AI29,0)),P24-INDEX($C18:$AJ28,7,MATCH(IF('Data-solution'!$A$3="Maximize",MAX($C29:$AI29),MIN($C29:$AI29)),$C29:$AI29,0))*INDEX(P18:$AJ28,MATCH(MIN($AK18:$AK28),$AK18:$AK28,0),1)/INDEX($C18:$AJ28,MATCH(MIN($AK18:$AK28),$AK18:$AK28,0),MATCH(IF('Data-solution'!$A$3="Maximize",MAX($C29:$AI29),MIN($C29:$AI29)),$C29:$AI29,0))),P24)</f>
        <v>0</v>
      </c>
      <c r="Q39" s="1">
        <f>IF(OR($B33&lt;&gt;$B18,$B34&lt;&gt;$B19,$B35&lt;&gt;$B20,$B36&lt;&gt;$B21,$B37&lt;&gt;$B22,$B38&lt;&gt;$B23,$B39&lt;&gt;$B24,$B40&lt;&gt;$B25,$B41&lt;&gt;$B26,$B42&lt;&gt;$B27,$B43&lt;&gt;$B28),IF($B39&lt;&gt;$B24,Q24/INDEX($C18:$AJ28,7,MATCH(IF('Data-solution'!$A$3="Maximize",MAX($C29:$AI29),MIN($C29:$AI29)),$C29:$AI29,0)),Q24-INDEX($C18:$AJ28,7,MATCH(IF('Data-solution'!$A$3="Maximize",MAX($C29:$AI29),MIN($C29:$AI29)),$C29:$AI29,0))*INDEX(Q18:$AJ28,MATCH(MIN($AK18:$AK28),$AK18:$AK28,0),1)/INDEX($C18:$AJ28,MATCH(MIN($AK18:$AK28),$AK18:$AK28,0),MATCH(IF('Data-solution'!$A$3="Maximize",MAX($C29:$AI29),MIN($C29:$AI29)),$C29:$AI29,0))),Q24)</f>
        <v>0</v>
      </c>
      <c r="R39" s="1">
        <f>IF(OR($B33&lt;&gt;$B18,$B34&lt;&gt;$B19,$B35&lt;&gt;$B20,$B36&lt;&gt;$B21,$B37&lt;&gt;$B22,$B38&lt;&gt;$B23,$B39&lt;&gt;$B24,$B40&lt;&gt;$B25,$B41&lt;&gt;$B26,$B42&lt;&gt;$B27,$B43&lt;&gt;$B28),IF($B39&lt;&gt;$B24,R24/INDEX($C18:$AJ28,7,MATCH(IF('Data-solution'!$A$3="Maximize",MAX($C29:$AI29),MIN($C29:$AI29)),$C29:$AI29,0)),R24-INDEX($C18:$AJ28,7,MATCH(IF('Data-solution'!$A$3="Maximize",MAX($C29:$AI29),MIN($C29:$AI29)),$C29:$AI29,0))*INDEX(R18:$AJ28,MATCH(MIN($AK18:$AK28),$AK18:$AK28,0),1)/INDEX($C18:$AJ28,MATCH(MIN($AK18:$AK28),$AK18:$AK28,0),MATCH(IF('Data-solution'!$A$3="Maximize",MAX($C29:$AI29),MIN($C29:$AI29)),$C29:$AI29,0))),R24)</f>
        <v>0</v>
      </c>
      <c r="S39" s="1">
        <f>IF(OR($B33&lt;&gt;$B18,$B34&lt;&gt;$B19,$B35&lt;&gt;$B20,$B36&lt;&gt;$B21,$B37&lt;&gt;$B22,$B38&lt;&gt;$B23,$B39&lt;&gt;$B24,$B40&lt;&gt;$B25,$B41&lt;&gt;$B26,$B42&lt;&gt;$B27,$B43&lt;&gt;$B28),IF($B39&lt;&gt;$B24,S24/INDEX($C18:$AJ28,7,MATCH(IF('Data-solution'!$A$3="Maximize",MAX($C29:$AI29),MIN($C29:$AI29)),$C29:$AI29,0)),S24-INDEX($C18:$AJ28,7,MATCH(IF('Data-solution'!$A$3="Maximize",MAX($C29:$AI29),MIN($C29:$AI29)),$C29:$AI29,0))*INDEX(S18:$AJ28,MATCH(MIN($AK18:$AK28),$AK18:$AK28,0),1)/INDEX($C18:$AJ28,MATCH(MIN($AK18:$AK28),$AK18:$AK28,0),MATCH(IF('Data-solution'!$A$3="Maximize",MAX($C29:$AI29),MIN($C29:$AI29)),$C29:$AI29,0))),S24)</f>
        <v>0</v>
      </c>
      <c r="T39" s="1">
        <f>IF(OR($B33&lt;&gt;$B18,$B34&lt;&gt;$B19,$B35&lt;&gt;$B20,$B36&lt;&gt;$B21,$B37&lt;&gt;$B22,$B38&lt;&gt;$B23,$B39&lt;&gt;$B24,$B40&lt;&gt;$B25,$B41&lt;&gt;$B26,$B42&lt;&gt;$B27,$B43&lt;&gt;$B28),IF($B39&lt;&gt;$B24,T24/INDEX($C18:$AJ28,7,MATCH(IF('Data-solution'!$A$3="Maximize",MAX($C29:$AI29),MIN($C29:$AI29)),$C29:$AI29,0)),T24-INDEX($C18:$AJ28,7,MATCH(IF('Data-solution'!$A$3="Maximize",MAX($C29:$AI29),MIN($C29:$AI29)),$C29:$AI29,0))*INDEX(T18:$AJ28,MATCH(MIN($AK18:$AK28),$AK18:$AK28,0),1)/INDEX($C18:$AJ28,MATCH(MIN($AK18:$AK28),$AK18:$AK28,0),MATCH(IF('Data-solution'!$A$3="Maximize",MAX($C29:$AI29),MIN($C29:$AI29)),$C29:$AI29,0))),T24)</f>
        <v>1</v>
      </c>
      <c r="U39" s="1">
        <f>IF(OR($B33&lt;&gt;$B18,$B34&lt;&gt;$B19,$B35&lt;&gt;$B20,$B36&lt;&gt;$B21,$B37&lt;&gt;$B22,$B38&lt;&gt;$B23,$B39&lt;&gt;$B24,$B40&lt;&gt;$B25,$B41&lt;&gt;$B26,$B42&lt;&gt;$B27,$B43&lt;&gt;$B28),IF($B39&lt;&gt;$B24,U24/INDEX($C18:$AJ28,7,MATCH(IF('Data-solution'!$A$3="Maximize",MAX($C29:$AI29),MIN($C29:$AI29)),$C29:$AI29,0)),U24-INDEX($C18:$AJ28,7,MATCH(IF('Data-solution'!$A$3="Maximize",MAX($C29:$AI29),MIN($C29:$AI29)),$C29:$AI29,0))*INDEX(U18:$AJ28,MATCH(MIN($AK18:$AK28),$AK18:$AK28,0),1)/INDEX($C18:$AJ28,MATCH(MIN($AK18:$AK28),$AK18:$AK28,0),MATCH(IF('Data-solution'!$A$3="Maximize",MAX($C29:$AI29),MIN($C29:$AI29)),$C29:$AI29,0))),U24)</f>
        <v>0</v>
      </c>
      <c r="V39" s="1">
        <f>IF(OR($B33&lt;&gt;$B18,$B34&lt;&gt;$B19,$B35&lt;&gt;$B20,$B36&lt;&gt;$B21,$B37&lt;&gt;$B22,$B38&lt;&gt;$B23,$B39&lt;&gt;$B24,$B40&lt;&gt;$B25,$B41&lt;&gt;$B26,$B42&lt;&gt;$B27,$B43&lt;&gt;$B28),IF($B39&lt;&gt;$B24,V24/INDEX($C18:$AJ28,7,MATCH(IF('Data-solution'!$A$3="Maximize",MAX($C29:$AI29),MIN($C29:$AI29)),$C29:$AI29,0)),V24-INDEX($C18:$AJ28,7,MATCH(IF('Data-solution'!$A$3="Maximize",MAX($C29:$AI29),MIN($C29:$AI29)),$C29:$AI29,0))*INDEX(V18:$AJ28,MATCH(MIN($AK18:$AK28),$AK18:$AK28,0),1)/INDEX($C18:$AJ28,MATCH(MIN($AK18:$AK28),$AK18:$AK28,0),MATCH(IF('Data-solution'!$A$3="Maximize",MAX($C29:$AI29),MIN($C29:$AI29)),$C29:$AI29,0))),V24)</f>
        <v>0</v>
      </c>
      <c r="W39" s="1">
        <f>IF(OR($B33&lt;&gt;$B18,$B34&lt;&gt;$B19,$B35&lt;&gt;$B20,$B36&lt;&gt;$B21,$B37&lt;&gt;$B22,$B38&lt;&gt;$B23,$B39&lt;&gt;$B24,$B40&lt;&gt;$B25,$B41&lt;&gt;$B26,$B42&lt;&gt;$B27,$B43&lt;&gt;$B28),IF($B39&lt;&gt;$B24,W24/INDEX($C18:$AJ28,7,MATCH(IF('Data-solution'!$A$3="Maximize",MAX($C29:$AI29),MIN($C29:$AI29)),$C29:$AI29,0)),W24-INDEX($C18:$AJ28,7,MATCH(IF('Data-solution'!$A$3="Maximize",MAX($C29:$AI29),MIN($C29:$AI29)),$C29:$AI29,0))*INDEX(W18:$AJ28,MATCH(MIN($AK18:$AK28),$AK18:$AK28,0),1)/INDEX($C18:$AJ28,MATCH(MIN($AK18:$AK28),$AK18:$AK28,0),MATCH(IF('Data-solution'!$A$3="Maximize",MAX($C29:$AI29),MIN($C29:$AI29)),$C29:$AI29,0))),W24)</f>
        <v>0</v>
      </c>
      <c r="X39" s="1">
        <f>IF(OR($B33&lt;&gt;$B18,$B34&lt;&gt;$B19,$B35&lt;&gt;$B20,$B36&lt;&gt;$B21,$B37&lt;&gt;$B22,$B38&lt;&gt;$B23,$B39&lt;&gt;$B24,$B40&lt;&gt;$B25,$B41&lt;&gt;$B26,$B42&lt;&gt;$B27,$B43&lt;&gt;$B28),IF($B39&lt;&gt;$B24,X24/INDEX($C18:$AJ28,7,MATCH(IF('Data-solution'!$A$3="Maximize",MAX($C29:$AI29),MIN($C29:$AI29)),$C29:$AI29,0)),X24-INDEX($C18:$AJ28,7,MATCH(IF('Data-solution'!$A$3="Maximize",MAX($C29:$AI29),MIN($C29:$AI29)),$C29:$AI29,0))*INDEX(X18:$AJ28,MATCH(MIN($AK18:$AK28),$AK18:$AK28,0),1)/INDEX($C18:$AJ28,MATCH(MIN($AK18:$AK28),$AK18:$AK28,0),MATCH(IF('Data-solution'!$A$3="Maximize",MAX($C29:$AI29),MIN($C29:$AI29)),$C29:$AI29,0))),X24)</f>
        <v>0</v>
      </c>
      <c r="Y39" s="1">
        <f>IF(OR($B33&lt;&gt;$B18,$B34&lt;&gt;$B19,$B35&lt;&gt;$B20,$B36&lt;&gt;$B21,$B37&lt;&gt;$B22,$B38&lt;&gt;$B23,$B39&lt;&gt;$B24,$B40&lt;&gt;$B25,$B41&lt;&gt;$B26,$B42&lt;&gt;$B27,$B43&lt;&gt;$B28),IF($B39&lt;&gt;$B24,Y24/INDEX($C18:$AJ28,7,MATCH(IF('Data-solution'!$A$3="Maximize",MAX($C29:$AI29),MIN($C29:$AI29)),$C29:$AI29,0)),Y24-INDEX($C18:$AJ28,7,MATCH(IF('Data-solution'!$A$3="Maximize",MAX($C29:$AI29),MIN($C29:$AI29)),$C29:$AI29,0))*INDEX(Y18:$AJ28,MATCH(MIN($AK18:$AK28),$AK18:$AK28,0),1)/INDEX($C18:$AJ28,MATCH(MIN($AK18:$AK28),$AK18:$AK28,0),MATCH(IF('Data-solution'!$A$3="Maximize",MAX($C29:$AI29),MIN($C29:$AI29)),$C29:$AI29,0))),Y24)</f>
        <v>0</v>
      </c>
      <c r="Z39" s="1">
        <f>IF(OR($B33&lt;&gt;$B18,$B34&lt;&gt;$B19,$B35&lt;&gt;$B20,$B36&lt;&gt;$B21,$B37&lt;&gt;$B22,$B38&lt;&gt;$B23,$B39&lt;&gt;$B24,$B40&lt;&gt;$B25,$B41&lt;&gt;$B26,$B42&lt;&gt;$B27,$B43&lt;&gt;$B28),IF($B39&lt;&gt;$B24,Z24/INDEX($C18:$AJ28,7,MATCH(IF('Data-solution'!$A$3="Maximize",MAX($C29:$AI29),MIN($C29:$AI29)),$C29:$AI29,0)),Z24-INDEX($C18:$AJ28,7,MATCH(IF('Data-solution'!$A$3="Maximize",MAX($C29:$AI29),MIN($C29:$AI29)),$C29:$AI29,0))*INDEX(Z18:$AJ28,MATCH(MIN($AK18:$AK28),$AK18:$AK28,0),1)/INDEX($C18:$AJ28,MATCH(MIN($AK18:$AK28),$AK18:$AK28,0),MATCH(IF('Data-solution'!$A$3="Maximize",MAX($C29:$AI29),MIN($C29:$AI29)),$C29:$AI29,0))),Z24)</f>
        <v>0</v>
      </c>
      <c r="AA39" s="1">
        <f>IF(OR($B33&lt;&gt;$B18,$B34&lt;&gt;$B19,$B35&lt;&gt;$B20,$B36&lt;&gt;$B21,$B37&lt;&gt;$B22,$B38&lt;&gt;$B23,$B39&lt;&gt;$B24,$B40&lt;&gt;$B25,$B41&lt;&gt;$B26,$B42&lt;&gt;$B27,$B43&lt;&gt;$B28),IF($B39&lt;&gt;$B24,AA24/INDEX($C18:$AJ28,7,MATCH(IF('Data-solution'!$A$3="Maximize",MAX($C29:$AI29),MIN($C29:$AI29)),$C29:$AI29,0)),AA24-INDEX($C18:$AJ28,7,MATCH(IF('Data-solution'!$A$3="Maximize",MAX($C29:$AI29),MIN($C29:$AI29)),$C29:$AI29,0))*INDEX(AA18:$AJ28,MATCH(MIN($AK18:$AK28),$AK18:$AK28,0),1)/INDEX($C18:$AJ28,MATCH(MIN($AK18:$AK28),$AK18:$AK28,0),MATCH(IF('Data-solution'!$A$3="Maximize",MAX($C29:$AI29),MIN($C29:$AI29)),$C29:$AI29,0))),AA24)</f>
        <v>0</v>
      </c>
      <c r="AB39" s="1">
        <f>IF(OR($B33&lt;&gt;$B18,$B34&lt;&gt;$B19,$B35&lt;&gt;$B20,$B36&lt;&gt;$B21,$B37&lt;&gt;$B22,$B38&lt;&gt;$B23,$B39&lt;&gt;$B24,$B40&lt;&gt;$B25,$B41&lt;&gt;$B26,$B42&lt;&gt;$B27,$B43&lt;&gt;$B28),IF($B39&lt;&gt;$B24,AB24/INDEX($C18:$AJ28,7,MATCH(IF('Data-solution'!$A$3="Maximize",MAX($C29:$AI29),MIN($C29:$AI29)),$C29:$AI29,0)),AB24-INDEX($C18:$AJ28,7,MATCH(IF('Data-solution'!$A$3="Maximize",MAX($C29:$AI29),MIN($C29:$AI29)),$C29:$AI29,0))*INDEX(AB18:$AJ28,MATCH(MIN($AK18:$AK28),$AK18:$AK28,0),1)/INDEX($C18:$AJ28,MATCH(MIN($AK18:$AK28),$AK18:$AK28,0),MATCH(IF('Data-solution'!$A$3="Maximize",MAX($C29:$AI29),MIN($C29:$AI29)),$C29:$AI29,0))),AB24)</f>
        <v>0</v>
      </c>
      <c r="AC39" s="1">
        <f>IF(OR($B33&lt;&gt;$B18,$B34&lt;&gt;$B19,$B35&lt;&gt;$B20,$B36&lt;&gt;$B21,$B37&lt;&gt;$B22,$B38&lt;&gt;$B23,$B39&lt;&gt;$B24,$B40&lt;&gt;$B25,$B41&lt;&gt;$B26,$B42&lt;&gt;$B27,$B43&lt;&gt;$B28),IF($B39&lt;&gt;$B24,AC24/INDEX($C18:$AJ28,7,MATCH(IF('Data-solution'!$A$3="Maximize",MAX($C29:$AI29),MIN($C29:$AI29)),$C29:$AI29,0)),AC24-INDEX($C18:$AJ28,7,MATCH(IF('Data-solution'!$A$3="Maximize",MAX($C29:$AI29),MIN($C29:$AI29)),$C29:$AI29,0))*INDEX(AC18:$AJ28,MATCH(MIN($AK18:$AK28),$AK18:$AK28,0),1)/INDEX($C18:$AJ28,MATCH(MIN($AK18:$AK28),$AK18:$AK28,0),MATCH(IF('Data-solution'!$A$3="Maximize",MAX($C29:$AI29),MIN($C29:$AI29)),$C29:$AI29,0))),AC24)</f>
        <v>0</v>
      </c>
      <c r="AD39" s="1">
        <f>IF(OR($B33&lt;&gt;$B18,$B34&lt;&gt;$B19,$B35&lt;&gt;$B20,$B36&lt;&gt;$B21,$B37&lt;&gt;$B22,$B38&lt;&gt;$B23,$B39&lt;&gt;$B24,$B40&lt;&gt;$B25,$B41&lt;&gt;$B26,$B42&lt;&gt;$B27,$B43&lt;&gt;$B28),IF($B39&lt;&gt;$B24,AD24/INDEX($C18:$AJ28,7,MATCH(IF('Data-solution'!$A$3="Maximize",MAX($C29:$AI29),MIN($C29:$AI29)),$C29:$AI29,0)),AD24-INDEX($C18:$AJ28,7,MATCH(IF('Data-solution'!$A$3="Maximize",MAX($C29:$AI29),MIN($C29:$AI29)),$C29:$AI29,0))*INDEX(AD18:$AJ28,MATCH(MIN($AK18:$AK28),$AK18:$AK28,0),1)/INDEX($C18:$AJ28,MATCH(MIN($AK18:$AK28),$AK18:$AK28,0),MATCH(IF('Data-solution'!$A$3="Maximize",MAX($C29:$AI29),MIN($C29:$AI29)),$C29:$AI29,0))),AD24)</f>
        <v>0</v>
      </c>
      <c r="AE39" s="1">
        <f>IF(OR($B33&lt;&gt;$B18,$B34&lt;&gt;$B19,$B35&lt;&gt;$B20,$B36&lt;&gt;$B21,$B37&lt;&gt;$B22,$B38&lt;&gt;$B23,$B39&lt;&gt;$B24,$B40&lt;&gt;$B25,$B41&lt;&gt;$B26,$B42&lt;&gt;$B27,$B43&lt;&gt;$B28),IF($B39&lt;&gt;$B24,AE24/INDEX($C18:$AJ28,7,MATCH(IF('Data-solution'!$A$3="Maximize",MAX($C29:$AI29),MIN($C29:$AI29)),$C29:$AI29,0)),AE24-INDEX($C18:$AJ28,7,MATCH(IF('Data-solution'!$A$3="Maximize",MAX($C29:$AI29),MIN($C29:$AI29)),$C29:$AI29,0))*INDEX(AE18:$AJ28,MATCH(MIN($AK18:$AK28),$AK18:$AK28,0),1)/INDEX($C18:$AJ28,MATCH(MIN($AK18:$AK28),$AK18:$AK28,0),MATCH(IF('Data-solution'!$A$3="Maximize",MAX($C29:$AI29),MIN($C29:$AI29)),$C29:$AI29,0))),AE24)</f>
        <v>1</v>
      </c>
      <c r="AF39" s="1">
        <f>IF(OR($B33&lt;&gt;$B18,$B34&lt;&gt;$B19,$B35&lt;&gt;$B20,$B36&lt;&gt;$B21,$B37&lt;&gt;$B22,$B38&lt;&gt;$B23,$B39&lt;&gt;$B24,$B40&lt;&gt;$B25,$B41&lt;&gt;$B26,$B42&lt;&gt;$B27,$B43&lt;&gt;$B28),IF($B39&lt;&gt;$B24,AF24/INDEX($C18:$AJ28,7,MATCH(IF('Data-solution'!$A$3="Maximize",MAX($C29:$AI29),MIN($C29:$AI29)),$C29:$AI29,0)),AF24-INDEX($C18:$AJ28,7,MATCH(IF('Data-solution'!$A$3="Maximize",MAX($C29:$AI29),MIN($C29:$AI29)),$C29:$AI29,0))*INDEX(AF18:$AJ28,MATCH(MIN($AK18:$AK28),$AK18:$AK28,0),1)/INDEX($C18:$AJ28,MATCH(MIN($AK18:$AK28),$AK18:$AK28,0),MATCH(IF('Data-solution'!$A$3="Maximize",MAX($C29:$AI29),MIN($C29:$AI29)),$C29:$AI29,0))),AF24)</f>
        <v>0</v>
      </c>
      <c r="AG39" s="1">
        <f>IF(OR($B33&lt;&gt;$B18,$B34&lt;&gt;$B19,$B35&lt;&gt;$B20,$B36&lt;&gt;$B21,$B37&lt;&gt;$B22,$B38&lt;&gt;$B23,$B39&lt;&gt;$B24,$B40&lt;&gt;$B25,$B41&lt;&gt;$B26,$B42&lt;&gt;$B27,$B43&lt;&gt;$B28),IF($B39&lt;&gt;$B24,AG24/INDEX($C18:$AJ28,7,MATCH(IF('Data-solution'!$A$3="Maximize",MAX($C29:$AI29),MIN($C29:$AI29)),$C29:$AI29,0)),AG24-INDEX($C18:$AJ28,7,MATCH(IF('Data-solution'!$A$3="Maximize",MAX($C29:$AI29),MIN($C29:$AI29)),$C29:$AI29,0))*INDEX(AG18:$AJ28,MATCH(MIN($AK18:$AK28),$AK18:$AK28,0),1)/INDEX($C18:$AJ28,MATCH(MIN($AK18:$AK28),$AK18:$AK28,0),MATCH(IF('Data-solution'!$A$3="Maximize",MAX($C29:$AI29),MIN($C29:$AI29)),$C29:$AI29,0))),AG24)</f>
        <v>0</v>
      </c>
      <c r="AH39" s="1">
        <f>IF(OR($B33&lt;&gt;$B18,$B34&lt;&gt;$B19,$B35&lt;&gt;$B20,$B36&lt;&gt;$B21,$B37&lt;&gt;$B22,$B38&lt;&gt;$B23,$B39&lt;&gt;$B24,$B40&lt;&gt;$B25,$B41&lt;&gt;$B26,$B42&lt;&gt;$B27,$B43&lt;&gt;$B28),IF($B39&lt;&gt;$B24,AH24/INDEX($C18:$AJ28,7,MATCH(IF('Data-solution'!$A$3="Maximize",MAX($C29:$AI29),MIN($C29:$AI29)),$C29:$AI29,0)),AH24-INDEX($C18:$AJ28,7,MATCH(IF('Data-solution'!$A$3="Maximize",MAX($C29:$AI29),MIN($C29:$AI29)),$C29:$AI29,0))*INDEX(AH18:$AJ28,MATCH(MIN($AK18:$AK28),$AK18:$AK28,0),1)/INDEX($C18:$AJ28,MATCH(MIN($AK18:$AK28),$AK18:$AK28,0),MATCH(IF('Data-solution'!$A$3="Maximize",MAX($C29:$AI29),MIN($C29:$AI29)),$C29:$AI29,0))),AH24)</f>
        <v>0</v>
      </c>
      <c r="AI39" s="1">
        <f>IF(OR($B33&lt;&gt;$B18,$B34&lt;&gt;$B19,$B35&lt;&gt;$B20,$B36&lt;&gt;$B21,$B37&lt;&gt;$B22,$B38&lt;&gt;$B23,$B39&lt;&gt;$B24,$B40&lt;&gt;$B25,$B41&lt;&gt;$B26,$B42&lt;&gt;$B27,$B43&lt;&gt;$B28),IF($B39&lt;&gt;$B24,AI24/INDEX($C18:$AJ28,7,MATCH(IF('Data-solution'!$A$3="Maximize",MAX($C29:$AI29),MIN($C29:$AI29)),$C29:$AI29,0)),AI24-INDEX($C18:$AJ28,7,MATCH(IF('Data-solution'!$A$3="Maximize",MAX($C29:$AI29),MIN($C29:$AI29)),$C29:$AI29,0))*INDEX(AI18:$AJ28,MATCH(MIN($AK18:$AK28),$AK18:$AK28,0),1)/INDEX($C18:$AJ28,MATCH(MIN($AK18:$AK28),$AK18:$AK28,0),MATCH(IF('Data-solution'!$A$3="Maximize",MAX($C29:$AI29),MIN($C29:$AI29)),$C29:$AI29,0))),AI24)</f>
        <v>0</v>
      </c>
      <c r="AJ39" s="1">
        <f>IF(OR($B33&lt;&gt;$B18,$B34&lt;&gt;$B19,$B35&lt;&gt;$B20,$B36&lt;&gt;$B21,$B37&lt;&gt;$B22,$B38&lt;&gt;$B23,$B39&lt;&gt;$B24,$B40&lt;&gt;$B25,$B41&lt;&gt;$B26,$B42&lt;&gt;$B27,$B43&lt;&gt;$B28),IF($B39&lt;&gt;$B24,AJ24/INDEX($C18:$AJ28,7,MATCH(IF('Data-solution'!$A$3="Maximize",MAX($C29:$AI29),MIN($C29:$AI29)),$C29:$AI29,0)),AJ24-INDEX($C18:$AJ28,7,MATCH(IF('Data-solution'!$A$3="Maximize",MAX($C29:$AI29),MIN($C29:$AI29)),$C29:$AI29,0))*INDEX(AJ18:$AJ28,MATCH(MIN($AK18:$AK28),$AK18:$AK28,0),1)/INDEX($C18:$AJ28,MATCH(MIN($AK18:$AK28),$AK18:$AK28,0),MATCH(IF('Data-solution'!$A$3="Maximize",MAX($C29:$AI29),MIN($C29:$AI29)),$C29:$AI29,0))),AJ24)</f>
        <v>0</v>
      </c>
      <c r="AK39" s="1" t="str">
        <f>IF(INDEX(C39:X39,1,MATCH(IF('Data-solution'!A$3="Maximize",MAX(C44:X44),MIN(C44:X44)),C44:X44,0))&gt;0,AJ39/INDEX(C39:X39,1,MATCH(IF('Data-solution'!A$3="Maximize",MAX(C44:X44),MIN(C44:X44)),C44:X44,0))," ")</f>
        <v xml:space="preserve"> </v>
      </c>
    </row>
    <row r="40" spans="1:37" ht="18" customHeight="1" x14ac:dyDescent="0.2">
      <c r="A40" s="1">
        <f t="shared" ref="A40" si="15">INDEX(C31:AI31,1,MATCH(B40,C32:AI32,0))</f>
        <v>0</v>
      </c>
      <c r="B40" s="2" t="str">
        <f>IF(AND('Data-solution'!A$3="Maximize",COUNTIF(C29:X29,"&gt;"&amp;0)&gt;0,AK25=MIN(AK18:AK28),COUNTIF(B33:B39,INDEX(C17:X17,1,MATCH(MAX(C29:X29),C29:X29,0)))=0),INDEX(C17:X17,1,MATCH(MAX(C29:X29),C29:X29,0)),IF(AND('Data-solution'!A$3="Minimize",COUNTIF(C29:X29,"&lt;"&amp;0)&gt;0,AK25=MIN(AK18:AK28),COUNTIF(B33:B39,INDEX(C17:X17,1,MATCH(MIN(C29:X29),C29:X29,0)))=0),INDEX(C17:X17,1,MATCH(MIN(C29:X29),C29:X29,0)),B25))</f>
        <v>S8</v>
      </c>
      <c r="C40" s="1">
        <f>IF(OR($B33&lt;&gt;$B18,$B34&lt;&gt;$B19,$B35&lt;&gt;$B20,$B36&lt;&gt;$B21,$B37&lt;&gt;$B22,$B38&lt;&gt;$B23,$B39&lt;&gt;$B24,$B40&lt;&gt;$B25,$B41&lt;&gt;$B26,$B42&lt;&gt;$B27,$B43&lt;&gt;$B28),IF($B40&lt;&gt;$B25,C25/INDEX($C18:$AJ28,8,MATCH(IF('Data-solution'!$A$3="Maximize",MAX($C29:$AI29),MIN($C29:$AI29)),$C29:$AI29,0)),C25-INDEX($C18:$AJ28,8,MATCH(IF('Data-solution'!$A$3="Maximize",MAX($C29:$AI29),MIN($C29:$AI29)),$C29:$AI29,0))*INDEX(C18:$AJ28,MATCH(MIN($AK18:$AK28),$AK18:$AK28,0),1)/INDEX($C18:$AJ28,MATCH(MIN($AK18:$AK28),$AK18:$AK28,0),MATCH(IF('Data-solution'!$A$3="Maximize",MAX($C29:$AI29),MIN($C29:$AI29)),$C29:$AI29,0))),C25)</f>
        <v>0</v>
      </c>
      <c r="D40" s="1">
        <f>IF(OR($B33&lt;&gt;$B18,$B34&lt;&gt;$B19,$B35&lt;&gt;$B20,$B36&lt;&gt;$B21,$B37&lt;&gt;$B22,$B38&lt;&gt;$B23,$B39&lt;&gt;$B24,$B40&lt;&gt;$B25,$B41&lt;&gt;$B26,$B42&lt;&gt;$B27,$B43&lt;&gt;$B28),IF($B40&lt;&gt;$B25,D25/INDEX($C18:$AJ28,8,MATCH(IF('Data-solution'!$A$3="Maximize",MAX($C29:$AI29),MIN($C29:$AI29)),$C29:$AI29,0)),D25-INDEX($C18:$AJ28,8,MATCH(IF('Data-solution'!$A$3="Maximize",MAX($C29:$AI29),MIN($C29:$AI29)),$C29:$AI29,0))*INDEX(D18:$AJ28,MATCH(MIN($AK18:$AK28),$AK18:$AK28,0),1)/INDEX($C18:$AJ28,MATCH(MIN($AK18:$AK28),$AK18:$AK28,0),MATCH(IF('Data-solution'!$A$3="Maximize",MAX($C29:$AI29),MIN($C29:$AI29)),$C29:$AI29,0))),D25)</f>
        <v>0</v>
      </c>
      <c r="E40" s="1">
        <f>IF(OR($B33&lt;&gt;$B18,$B34&lt;&gt;$B19,$B35&lt;&gt;$B20,$B36&lt;&gt;$B21,$B37&lt;&gt;$B22,$B38&lt;&gt;$B23,$B39&lt;&gt;$B24,$B40&lt;&gt;$B25,$B41&lt;&gt;$B26,$B42&lt;&gt;$B27,$B43&lt;&gt;$B28),IF($B40&lt;&gt;$B25,E25/INDEX($C18:$AJ28,8,MATCH(IF('Data-solution'!$A$3="Maximize",MAX($C29:$AI29),MIN($C29:$AI29)),$C29:$AI29,0)),E25-INDEX($C18:$AJ28,8,MATCH(IF('Data-solution'!$A$3="Maximize",MAX($C29:$AI29),MIN($C29:$AI29)),$C29:$AI29,0))*INDEX(E18:$AJ28,MATCH(MIN($AK18:$AK28),$AK18:$AK28,0),1)/INDEX($C18:$AJ28,MATCH(MIN($AK18:$AK28),$AK18:$AK28,0),MATCH(IF('Data-solution'!$A$3="Maximize",MAX($C29:$AI29),MIN($C29:$AI29)),$C29:$AI29,0))),E25)</f>
        <v>0</v>
      </c>
      <c r="F40" s="1">
        <f>IF(OR($B33&lt;&gt;$B18,$B34&lt;&gt;$B19,$B35&lt;&gt;$B20,$B36&lt;&gt;$B21,$B37&lt;&gt;$B22,$B38&lt;&gt;$B23,$B39&lt;&gt;$B24,$B40&lt;&gt;$B25,$B41&lt;&gt;$B26,$B42&lt;&gt;$B27,$B43&lt;&gt;$B28),IF($B40&lt;&gt;$B25,F25/INDEX($C18:$AJ28,8,MATCH(IF('Data-solution'!$A$3="Maximize",MAX($C29:$AI29),MIN($C29:$AI29)),$C29:$AI29,0)),F25-INDEX($C18:$AJ28,8,MATCH(IF('Data-solution'!$A$3="Maximize",MAX($C29:$AI29),MIN($C29:$AI29)),$C29:$AI29,0))*INDEX(F18:$AJ28,MATCH(MIN($AK18:$AK28),$AK18:$AK28,0),1)/INDEX($C18:$AJ28,MATCH(MIN($AK18:$AK28),$AK18:$AK28,0),MATCH(IF('Data-solution'!$A$3="Maximize",MAX($C29:$AI29),MIN($C29:$AI29)),$C29:$AI29,0))),F25)</f>
        <v>0</v>
      </c>
      <c r="G40" s="1">
        <f>IF(OR($B33&lt;&gt;$B18,$B34&lt;&gt;$B19,$B35&lt;&gt;$B20,$B36&lt;&gt;$B21,$B37&lt;&gt;$B22,$B38&lt;&gt;$B23,$B39&lt;&gt;$B24,$B40&lt;&gt;$B25,$B41&lt;&gt;$B26,$B42&lt;&gt;$B27,$B43&lt;&gt;$B28),IF($B40&lt;&gt;$B25,G25/INDEX($C18:$AJ28,8,MATCH(IF('Data-solution'!$A$3="Maximize",MAX($C29:$AI29),MIN($C29:$AI29)),$C29:$AI29,0)),G25-INDEX($C18:$AJ28,8,MATCH(IF('Data-solution'!$A$3="Maximize",MAX($C29:$AI29),MIN($C29:$AI29)),$C29:$AI29,0))*INDEX(G18:$AJ28,MATCH(MIN($AK18:$AK28),$AK18:$AK28,0),1)/INDEX($C18:$AJ28,MATCH(MIN($AK18:$AK28),$AK18:$AK28,0),MATCH(IF('Data-solution'!$A$3="Maximize",MAX($C29:$AI29),MIN($C29:$AI29)),$C29:$AI29,0))),G25)</f>
        <v>0</v>
      </c>
      <c r="H40" s="1">
        <f>IF(OR($B33&lt;&gt;$B18,$B34&lt;&gt;$B19,$B35&lt;&gt;$B20,$B36&lt;&gt;$B21,$B37&lt;&gt;$B22,$B38&lt;&gt;$B23,$B39&lt;&gt;$B24,$B40&lt;&gt;$B25,$B41&lt;&gt;$B26,$B42&lt;&gt;$B27,$B43&lt;&gt;$B28),IF($B40&lt;&gt;$B25,H25/INDEX($C18:$AJ28,8,MATCH(IF('Data-solution'!$A$3="Maximize",MAX($C29:$AI29),MIN($C29:$AI29)),$C29:$AI29,0)),H25-INDEX($C18:$AJ28,8,MATCH(IF('Data-solution'!$A$3="Maximize",MAX($C29:$AI29),MIN($C29:$AI29)),$C29:$AI29,0))*INDEX(H18:$AJ28,MATCH(MIN($AK18:$AK28),$AK18:$AK28,0),1)/INDEX($C18:$AJ28,MATCH(MIN($AK18:$AK28),$AK18:$AK28,0),MATCH(IF('Data-solution'!$A$3="Maximize",MAX($C29:$AI29),MIN($C29:$AI29)),$C29:$AI29,0))),H25)</f>
        <v>0</v>
      </c>
      <c r="I40" s="1">
        <f>IF(OR($B33&lt;&gt;$B18,$B34&lt;&gt;$B19,$B35&lt;&gt;$B20,$B36&lt;&gt;$B21,$B37&lt;&gt;$B22,$B38&lt;&gt;$B23,$B39&lt;&gt;$B24,$B40&lt;&gt;$B25,$B41&lt;&gt;$B26,$B42&lt;&gt;$B27,$B43&lt;&gt;$B28),IF($B40&lt;&gt;$B25,I25/INDEX($C18:$AJ28,8,MATCH(IF('Data-solution'!$A$3="Maximize",MAX($C29:$AI29),MIN($C29:$AI29)),$C29:$AI29,0)),I25-INDEX($C18:$AJ28,8,MATCH(IF('Data-solution'!$A$3="Maximize",MAX($C29:$AI29),MIN($C29:$AI29)),$C29:$AI29,0))*INDEX(I18:$AJ28,MATCH(MIN($AK18:$AK28),$AK18:$AK28,0),1)/INDEX($C18:$AJ28,MATCH(MIN($AK18:$AK28),$AK18:$AK28,0),MATCH(IF('Data-solution'!$A$3="Maximize",MAX($C29:$AI29),MIN($C29:$AI29)),$C29:$AI29,0))),I25)</f>
        <v>0</v>
      </c>
      <c r="J40" s="1">
        <f>IF(OR($B33&lt;&gt;$B18,$B34&lt;&gt;$B19,$B35&lt;&gt;$B20,$B36&lt;&gt;$B21,$B37&lt;&gt;$B22,$B38&lt;&gt;$B23,$B39&lt;&gt;$B24,$B40&lt;&gt;$B25,$B41&lt;&gt;$B26,$B42&lt;&gt;$B27,$B43&lt;&gt;$B28),IF($B40&lt;&gt;$B25,J25/INDEX($C18:$AJ28,8,MATCH(IF('Data-solution'!$A$3="Maximize",MAX($C29:$AI29),MIN($C29:$AI29)),$C29:$AI29,0)),J25-INDEX($C18:$AJ28,8,MATCH(IF('Data-solution'!$A$3="Maximize",MAX($C29:$AI29),MIN($C29:$AI29)),$C29:$AI29,0))*INDEX(J18:$AJ28,MATCH(MIN($AK18:$AK28),$AK18:$AK28,0),1)/INDEX($C18:$AJ28,MATCH(MIN($AK18:$AK28),$AK18:$AK28,0),MATCH(IF('Data-solution'!$A$3="Maximize",MAX($C29:$AI29),MIN($C29:$AI29)),$C29:$AI29,0))),J25)</f>
        <v>0</v>
      </c>
      <c r="K40" s="1">
        <f>IF(OR($B33&lt;&gt;$B18,$B34&lt;&gt;$B19,$B35&lt;&gt;$B20,$B36&lt;&gt;$B21,$B37&lt;&gt;$B22,$B38&lt;&gt;$B23,$B39&lt;&gt;$B24,$B40&lt;&gt;$B25,$B41&lt;&gt;$B26,$B42&lt;&gt;$B27,$B43&lt;&gt;$B28),IF($B40&lt;&gt;$B25,K25/INDEX($C18:$AJ28,8,MATCH(IF('Data-solution'!$A$3="Maximize",MAX($C29:$AI29),MIN($C29:$AI29)),$C29:$AI29,0)),K25-INDEX($C18:$AJ28,8,MATCH(IF('Data-solution'!$A$3="Maximize",MAX($C29:$AI29),MIN($C29:$AI29)),$C29:$AI29,0))*INDEX(K18:$AJ28,MATCH(MIN($AK18:$AK28),$AK18:$AK28,0),1)/INDEX($C18:$AJ28,MATCH(MIN($AK18:$AK28),$AK18:$AK28,0),MATCH(IF('Data-solution'!$A$3="Maximize",MAX($C29:$AI29),MIN($C29:$AI29)),$C29:$AI29,0))),K25)</f>
        <v>0</v>
      </c>
      <c r="L40" s="1">
        <f>IF(OR($B33&lt;&gt;$B18,$B34&lt;&gt;$B19,$B35&lt;&gt;$B20,$B36&lt;&gt;$B21,$B37&lt;&gt;$B22,$B38&lt;&gt;$B23,$B39&lt;&gt;$B24,$B40&lt;&gt;$B25,$B41&lt;&gt;$B26,$B42&lt;&gt;$B27,$B43&lt;&gt;$B28),IF($B40&lt;&gt;$B25,L25/INDEX($C18:$AJ28,8,MATCH(IF('Data-solution'!$A$3="Maximize",MAX($C29:$AI29),MIN($C29:$AI29)),$C29:$AI29,0)),L25-INDEX($C18:$AJ28,8,MATCH(IF('Data-solution'!$A$3="Maximize",MAX($C29:$AI29),MIN($C29:$AI29)),$C29:$AI29,0))*INDEX(L18:$AJ28,MATCH(MIN($AK18:$AK28),$AK18:$AK28,0),1)/INDEX($C18:$AJ28,MATCH(MIN($AK18:$AK28),$AK18:$AK28,0),MATCH(IF('Data-solution'!$A$3="Maximize",MAX($C29:$AI29),MIN($C29:$AI29)),$C29:$AI29,0))),L25)</f>
        <v>0</v>
      </c>
      <c r="M40" s="1">
        <f>IF(OR($B33&lt;&gt;$B18,$B34&lt;&gt;$B19,$B35&lt;&gt;$B20,$B36&lt;&gt;$B21,$B37&lt;&gt;$B22,$B38&lt;&gt;$B23,$B39&lt;&gt;$B24,$B40&lt;&gt;$B25,$B41&lt;&gt;$B26,$B42&lt;&gt;$B27,$B43&lt;&gt;$B28),IF($B40&lt;&gt;$B25,M25/INDEX($C18:$AJ28,8,MATCH(IF('Data-solution'!$A$3="Maximize",MAX($C29:$AI29),MIN($C29:$AI29)),$C29:$AI29,0)),M25-INDEX($C18:$AJ28,8,MATCH(IF('Data-solution'!$A$3="Maximize",MAX($C29:$AI29),MIN($C29:$AI29)),$C29:$AI29,0))*INDEX(M18:$AJ28,MATCH(MIN($AK18:$AK28),$AK18:$AK28,0),1)/INDEX($C18:$AJ28,MATCH(MIN($AK18:$AK28),$AK18:$AK28,0),MATCH(IF('Data-solution'!$A$3="Maximize",MAX($C29:$AI29),MIN($C29:$AI29)),$C29:$AI29,0))),M25)</f>
        <v>0</v>
      </c>
      <c r="N40" s="1">
        <f>IF(OR($B33&lt;&gt;$B18,$B34&lt;&gt;$B19,$B35&lt;&gt;$B20,$B36&lt;&gt;$B21,$B37&lt;&gt;$B22,$B38&lt;&gt;$B23,$B39&lt;&gt;$B24,$B40&lt;&gt;$B25,$B41&lt;&gt;$B26,$B42&lt;&gt;$B27,$B43&lt;&gt;$B28),IF($B40&lt;&gt;$B25,N25/INDEX($C18:$AJ28,8,MATCH(IF('Data-solution'!$A$3="Maximize",MAX($C29:$AI29),MIN($C29:$AI29)),$C29:$AI29,0)),N25-INDEX($C18:$AJ28,8,MATCH(IF('Data-solution'!$A$3="Maximize",MAX($C29:$AI29),MIN($C29:$AI29)),$C29:$AI29,0))*INDEX(N18:$AJ28,MATCH(MIN($AK18:$AK28),$AK18:$AK28,0),1)/INDEX($C18:$AJ28,MATCH(MIN($AK18:$AK28),$AK18:$AK28,0),MATCH(IF('Data-solution'!$A$3="Maximize",MAX($C29:$AI29),MIN($C29:$AI29)),$C29:$AI29,0))),N25)</f>
        <v>0</v>
      </c>
      <c r="O40" s="1">
        <f>IF(OR($B33&lt;&gt;$B18,$B34&lt;&gt;$B19,$B35&lt;&gt;$B20,$B36&lt;&gt;$B21,$B37&lt;&gt;$B22,$B38&lt;&gt;$B23,$B39&lt;&gt;$B24,$B40&lt;&gt;$B25,$B41&lt;&gt;$B26,$B42&lt;&gt;$B27,$B43&lt;&gt;$B28),IF($B40&lt;&gt;$B25,O25/INDEX($C18:$AJ28,8,MATCH(IF('Data-solution'!$A$3="Maximize",MAX($C29:$AI29),MIN($C29:$AI29)),$C29:$AI29,0)),O25-INDEX($C18:$AJ28,8,MATCH(IF('Data-solution'!$A$3="Maximize",MAX($C29:$AI29),MIN($C29:$AI29)),$C29:$AI29,0))*INDEX(O18:$AJ28,MATCH(MIN($AK18:$AK28),$AK18:$AK28,0),1)/INDEX($C18:$AJ28,MATCH(MIN($AK18:$AK28),$AK18:$AK28,0),MATCH(IF('Data-solution'!$A$3="Maximize",MAX($C29:$AI29),MIN($C29:$AI29)),$C29:$AI29,0))),O25)</f>
        <v>0</v>
      </c>
      <c r="P40" s="1">
        <f>IF(OR($B33&lt;&gt;$B18,$B34&lt;&gt;$B19,$B35&lt;&gt;$B20,$B36&lt;&gt;$B21,$B37&lt;&gt;$B22,$B38&lt;&gt;$B23,$B39&lt;&gt;$B24,$B40&lt;&gt;$B25,$B41&lt;&gt;$B26,$B42&lt;&gt;$B27,$B43&lt;&gt;$B28),IF($B40&lt;&gt;$B25,P25/INDEX($C18:$AJ28,8,MATCH(IF('Data-solution'!$A$3="Maximize",MAX($C29:$AI29),MIN($C29:$AI29)),$C29:$AI29,0)),P25-INDEX($C18:$AJ28,8,MATCH(IF('Data-solution'!$A$3="Maximize",MAX($C29:$AI29),MIN($C29:$AI29)),$C29:$AI29,0))*INDEX(P18:$AJ28,MATCH(MIN($AK18:$AK28),$AK18:$AK28,0),1)/INDEX($C18:$AJ28,MATCH(MIN($AK18:$AK28),$AK18:$AK28,0),MATCH(IF('Data-solution'!$A$3="Maximize",MAX($C29:$AI29),MIN($C29:$AI29)),$C29:$AI29,0))),P25)</f>
        <v>0</v>
      </c>
      <c r="Q40" s="1">
        <f>IF(OR($B33&lt;&gt;$B18,$B34&lt;&gt;$B19,$B35&lt;&gt;$B20,$B36&lt;&gt;$B21,$B37&lt;&gt;$B22,$B38&lt;&gt;$B23,$B39&lt;&gt;$B24,$B40&lt;&gt;$B25,$B41&lt;&gt;$B26,$B42&lt;&gt;$B27,$B43&lt;&gt;$B28),IF($B40&lt;&gt;$B25,Q25/INDEX($C18:$AJ28,8,MATCH(IF('Data-solution'!$A$3="Maximize",MAX($C29:$AI29),MIN($C29:$AI29)),$C29:$AI29,0)),Q25-INDEX($C18:$AJ28,8,MATCH(IF('Data-solution'!$A$3="Maximize",MAX($C29:$AI29),MIN($C29:$AI29)),$C29:$AI29,0))*INDEX(Q18:$AJ28,MATCH(MIN($AK18:$AK28),$AK18:$AK28,0),1)/INDEX($C18:$AJ28,MATCH(MIN($AK18:$AK28),$AK18:$AK28,0),MATCH(IF('Data-solution'!$A$3="Maximize",MAX($C29:$AI29),MIN($C29:$AI29)),$C29:$AI29,0))),Q25)</f>
        <v>0</v>
      </c>
      <c r="R40" s="1">
        <f>IF(OR($B33&lt;&gt;$B18,$B34&lt;&gt;$B19,$B35&lt;&gt;$B20,$B36&lt;&gt;$B21,$B37&lt;&gt;$B22,$B38&lt;&gt;$B23,$B39&lt;&gt;$B24,$B40&lt;&gt;$B25,$B41&lt;&gt;$B26,$B42&lt;&gt;$B27,$B43&lt;&gt;$B28),IF($B40&lt;&gt;$B25,R25/INDEX($C18:$AJ28,8,MATCH(IF('Data-solution'!$A$3="Maximize",MAX($C29:$AI29),MIN($C29:$AI29)),$C29:$AI29,0)),R25-INDEX($C18:$AJ28,8,MATCH(IF('Data-solution'!$A$3="Maximize",MAX($C29:$AI29),MIN($C29:$AI29)),$C29:$AI29,0))*INDEX(R18:$AJ28,MATCH(MIN($AK18:$AK28),$AK18:$AK28,0),1)/INDEX($C18:$AJ28,MATCH(MIN($AK18:$AK28),$AK18:$AK28,0),MATCH(IF('Data-solution'!$A$3="Maximize",MAX($C29:$AI29),MIN($C29:$AI29)),$C29:$AI29,0))),R25)</f>
        <v>0</v>
      </c>
      <c r="S40" s="1">
        <f>IF(OR($B33&lt;&gt;$B18,$B34&lt;&gt;$B19,$B35&lt;&gt;$B20,$B36&lt;&gt;$B21,$B37&lt;&gt;$B22,$B38&lt;&gt;$B23,$B39&lt;&gt;$B24,$B40&lt;&gt;$B25,$B41&lt;&gt;$B26,$B42&lt;&gt;$B27,$B43&lt;&gt;$B28),IF($B40&lt;&gt;$B25,S25/INDEX($C18:$AJ28,8,MATCH(IF('Data-solution'!$A$3="Maximize",MAX($C29:$AI29),MIN($C29:$AI29)),$C29:$AI29,0)),S25-INDEX($C18:$AJ28,8,MATCH(IF('Data-solution'!$A$3="Maximize",MAX($C29:$AI29),MIN($C29:$AI29)),$C29:$AI29,0))*INDEX(S18:$AJ28,MATCH(MIN($AK18:$AK28),$AK18:$AK28,0),1)/INDEX($C18:$AJ28,MATCH(MIN($AK18:$AK28),$AK18:$AK28,0),MATCH(IF('Data-solution'!$A$3="Maximize",MAX($C29:$AI29),MIN($C29:$AI29)),$C29:$AI29,0))),S25)</f>
        <v>0</v>
      </c>
      <c r="T40" s="1">
        <f>IF(OR($B33&lt;&gt;$B18,$B34&lt;&gt;$B19,$B35&lt;&gt;$B20,$B36&lt;&gt;$B21,$B37&lt;&gt;$B22,$B38&lt;&gt;$B23,$B39&lt;&gt;$B24,$B40&lt;&gt;$B25,$B41&lt;&gt;$B26,$B42&lt;&gt;$B27,$B43&lt;&gt;$B28),IF($B40&lt;&gt;$B25,T25/INDEX($C18:$AJ28,8,MATCH(IF('Data-solution'!$A$3="Maximize",MAX($C29:$AI29),MIN($C29:$AI29)),$C29:$AI29,0)),T25-INDEX($C18:$AJ28,8,MATCH(IF('Data-solution'!$A$3="Maximize",MAX($C29:$AI29),MIN($C29:$AI29)),$C29:$AI29,0))*INDEX(T18:$AJ28,MATCH(MIN($AK18:$AK28),$AK18:$AK28,0),1)/INDEX($C18:$AJ28,MATCH(MIN($AK18:$AK28),$AK18:$AK28,0),MATCH(IF('Data-solution'!$A$3="Maximize",MAX($C29:$AI29),MIN($C29:$AI29)),$C29:$AI29,0))),T25)</f>
        <v>0</v>
      </c>
      <c r="U40" s="1">
        <f>IF(OR($B33&lt;&gt;$B18,$B34&lt;&gt;$B19,$B35&lt;&gt;$B20,$B36&lt;&gt;$B21,$B37&lt;&gt;$B22,$B38&lt;&gt;$B23,$B39&lt;&gt;$B24,$B40&lt;&gt;$B25,$B41&lt;&gt;$B26,$B42&lt;&gt;$B27,$B43&lt;&gt;$B28),IF($B40&lt;&gt;$B25,U25/INDEX($C18:$AJ28,8,MATCH(IF('Data-solution'!$A$3="Maximize",MAX($C29:$AI29),MIN($C29:$AI29)),$C29:$AI29,0)),U25-INDEX($C18:$AJ28,8,MATCH(IF('Data-solution'!$A$3="Maximize",MAX($C29:$AI29),MIN($C29:$AI29)),$C29:$AI29,0))*INDEX(U18:$AJ28,MATCH(MIN($AK18:$AK28),$AK18:$AK28,0),1)/INDEX($C18:$AJ28,MATCH(MIN($AK18:$AK28),$AK18:$AK28,0),MATCH(IF('Data-solution'!$A$3="Maximize",MAX($C29:$AI29),MIN($C29:$AI29)),$C29:$AI29,0))),U25)</f>
        <v>1</v>
      </c>
      <c r="V40" s="1">
        <f>IF(OR($B33&lt;&gt;$B18,$B34&lt;&gt;$B19,$B35&lt;&gt;$B20,$B36&lt;&gt;$B21,$B37&lt;&gt;$B22,$B38&lt;&gt;$B23,$B39&lt;&gt;$B24,$B40&lt;&gt;$B25,$B41&lt;&gt;$B26,$B42&lt;&gt;$B27,$B43&lt;&gt;$B28),IF($B40&lt;&gt;$B25,V25/INDEX($C18:$AJ28,8,MATCH(IF('Data-solution'!$A$3="Maximize",MAX($C29:$AI29),MIN($C29:$AI29)),$C29:$AI29,0)),V25-INDEX($C18:$AJ28,8,MATCH(IF('Data-solution'!$A$3="Maximize",MAX($C29:$AI29),MIN($C29:$AI29)),$C29:$AI29,0))*INDEX(V18:$AJ28,MATCH(MIN($AK18:$AK28),$AK18:$AK28,0),1)/INDEX($C18:$AJ28,MATCH(MIN($AK18:$AK28),$AK18:$AK28,0),MATCH(IF('Data-solution'!$A$3="Maximize",MAX($C29:$AI29),MIN($C29:$AI29)),$C29:$AI29,0))),V25)</f>
        <v>0</v>
      </c>
      <c r="W40" s="1">
        <f>IF(OR($B33&lt;&gt;$B18,$B34&lt;&gt;$B19,$B35&lt;&gt;$B20,$B36&lt;&gt;$B21,$B37&lt;&gt;$B22,$B38&lt;&gt;$B23,$B39&lt;&gt;$B24,$B40&lt;&gt;$B25,$B41&lt;&gt;$B26,$B42&lt;&gt;$B27,$B43&lt;&gt;$B28),IF($B40&lt;&gt;$B25,W25/INDEX($C18:$AJ28,8,MATCH(IF('Data-solution'!$A$3="Maximize",MAX($C29:$AI29),MIN($C29:$AI29)),$C29:$AI29,0)),W25-INDEX($C18:$AJ28,8,MATCH(IF('Data-solution'!$A$3="Maximize",MAX($C29:$AI29),MIN($C29:$AI29)),$C29:$AI29,0))*INDEX(W18:$AJ28,MATCH(MIN($AK18:$AK28),$AK18:$AK28,0),1)/INDEX($C18:$AJ28,MATCH(MIN($AK18:$AK28),$AK18:$AK28,0),MATCH(IF('Data-solution'!$A$3="Maximize",MAX($C29:$AI29),MIN($C29:$AI29)),$C29:$AI29,0))),W25)</f>
        <v>0</v>
      </c>
      <c r="X40" s="1">
        <f>IF(OR($B33&lt;&gt;$B18,$B34&lt;&gt;$B19,$B35&lt;&gt;$B20,$B36&lt;&gt;$B21,$B37&lt;&gt;$B22,$B38&lt;&gt;$B23,$B39&lt;&gt;$B24,$B40&lt;&gt;$B25,$B41&lt;&gt;$B26,$B42&lt;&gt;$B27,$B43&lt;&gt;$B28),IF($B40&lt;&gt;$B25,X25/INDEX($C18:$AJ28,8,MATCH(IF('Data-solution'!$A$3="Maximize",MAX($C29:$AI29),MIN($C29:$AI29)),$C29:$AI29,0)),X25-INDEX($C18:$AJ28,8,MATCH(IF('Data-solution'!$A$3="Maximize",MAX($C29:$AI29),MIN($C29:$AI29)),$C29:$AI29,0))*INDEX(X18:$AJ28,MATCH(MIN($AK18:$AK28),$AK18:$AK28,0),1)/INDEX($C18:$AJ28,MATCH(MIN($AK18:$AK28),$AK18:$AK28,0),MATCH(IF('Data-solution'!$A$3="Maximize",MAX($C29:$AI29),MIN($C29:$AI29)),$C29:$AI29,0))),X25)</f>
        <v>0</v>
      </c>
      <c r="Y40" s="1">
        <f>IF(OR($B33&lt;&gt;$B18,$B34&lt;&gt;$B19,$B35&lt;&gt;$B20,$B36&lt;&gt;$B21,$B37&lt;&gt;$B22,$B38&lt;&gt;$B23,$B39&lt;&gt;$B24,$B40&lt;&gt;$B25,$B41&lt;&gt;$B26,$B42&lt;&gt;$B27,$B43&lt;&gt;$B28),IF($B40&lt;&gt;$B25,Y25/INDEX($C18:$AJ28,8,MATCH(IF('Data-solution'!$A$3="Maximize",MAX($C29:$AI29),MIN($C29:$AI29)),$C29:$AI29,0)),Y25-INDEX($C18:$AJ28,8,MATCH(IF('Data-solution'!$A$3="Maximize",MAX($C29:$AI29),MIN($C29:$AI29)),$C29:$AI29,0))*INDEX(Y18:$AJ28,MATCH(MIN($AK18:$AK28),$AK18:$AK28,0),1)/INDEX($C18:$AJ28,MATCH(MIN($AK18:$AK28),$AK18:$AK28,0),MATCH(IF('Data-solution'!$A$3="Maximize",MAX($C29:$AI29),MIN($C29:$AI29)),$C29:$AI29,0))),Y25)</f>
        <v>0</v>
      </c>
      <c r="Z40" s="1">
        <f>IF(OR($B33&lt;&gt;$B18,$B34&lt;&gt;$B19,$B35&lt;&gt;$B20,$B36&lt;&gt;$B21,$B37&lt;&gt;$B22,$B38&lt;&gt;$B23,$B39&lt;&gt;$B24,$B40&lt;&gt;$B25,$B41&lt;&gt;$B26,$B42&lt;&gt;$B27,$B43&lt;&gt;$B28),IF($B40&lt;&gt;$B25,Z25/INDEX($C18:$AJ28,8,MATCH(IF('Data-solution'!$A$3="Maximize",MAX($C29:$AI29),MIN($C29:$AI29)),$C29:$AI29,0)),Z25-INDEX($C18:$AJ28,8,MATCH(IF('Data-solution'!$A$3="Maximize",MAX($C29:$AI29),MIN($C29:$AI29)),$C29:$AI29,0))*INDEX(Z18:$AJ28,MATCH(MIN($AK18:$AK28),$AK18:$AK28,0),1)/INDEX($C18:$AJ28,MATCH(MIN($AK18:$AK28),$AK18:$AK28,0),MATCH(IF('Data-solution'!$A$3="Maximize",MAX($C29:$AI29),MIN($C29:$AI29)),$C29:$AI29,0))),Z25)</f>
        <v>0</v>
      </c>
      <c r="AA40" s="1">
        <f>IF(OR($B33&lt;&gt;$B18,$B34&lt;&gt;$B19,$B35&lt;&gt;$B20,$B36&lt;&gt;$B21,$B37&lt;&gt;$B22,$B38&lt;&gt;$B23,$B39&lt;&gt;$B24,$B40&lt;&gt;$B25,$B41&lt;&gt;$B26,$B42&lt;&gt;$B27,$B43&lt;&gt;$B28),IF($B40&lt;&gt;$B25,AA25/INDEX($C18:$AJ28,8,MATCH(IF('Data-solution'!$A$3="Maximize",MAX($C29:$AI29),MIN($C29:$AI29)),$C29:$AI29,0)),AA25-INDEX($C18:$AJ28,8,MATCH(IF('Data-solution'!$A$3="Maximize",MAX($C29:$AI29),MIN($C29:$AI29)),$C29:$AI29,0))*INDEX(AA18:$AJ28,MATCH(MIN($AK18:$AK28),$AK18:$AK28,0),1)/INDEX($C18:$AJ28,MATCH(MIN($AK18:$AK28),$AK18:$AK28,0),MATCH(IF('Data-solution'!$A$3="Maximize",MAX($C29:$AI29),MIN($C29:$AI29)),$C29:$AI29,0))),AA25)</f>
        <v>0</v>
      </c>
      <c r="AB40" s="1">
        <f>IF(OR($B33&lt;&gt;$B18,$B34&lt;&gt;$B19,$B35&lt;&gt;$B20,$B36&lt;&gt;$B21,$B37&lt;&gt;$B22,$B38&lt;&gt;$B23,$B39&lt;&gt;$B24,$B40&lt;&gt;$B25,$B41&lt;&gt;$B26,$B42&lt;&gt;$B27,$B43&lt;&gt;$B28),IF($B40&lt;&gt;$B25,AB25/INDEX($C18:$AJ28,8,MATCH(IF('Data-solution'!$A$3="Maximize",MAX($C29:$AI29),MIN($C29:$AI29)),$C29:$AI29,0)),AB25-INDEX($C18:$AJ28,8,MATCH(IF('Data-solution'!$A$3="Maximize",MAX($C29:$AI29),MIN($C29:$AI29)),$C29:$AI29,0))*INDEX(AB18:$AJ28,MATCH(MIN($AK18:$AK28),$AK18:$AK28,0),1)/INDEX($C18:$AJ28,MATCH(MIN($AK18:$AK28),$AK18:$AK28,0),MATCH(IF('Data-solution'!$A$3="Maximize",MAX($C29:$AI29),MIN($C29:$AI29)),$C29:$AI29,0))),AB25)</f>
        <v>0</v>
      </c>
      <c r="AC40" s="1">
        <f>IF(OR($B33&lt;&gt;$B18,$B34&lt;&gt;$B19,$B35&lt;&gt;$B20,$B36&lt;&gt;$B21,$B37&lt;&gt;$B22,$B38&lt;&gt;$B23,$B39&lt;&gt;$B24,$B40&lt;&gt;$B25,$B41&lt;&gt;$B26,$B42&lt;&gt;$B27,$B43&lt;&gt;$B28),IF($B40&lt;&gt;$B25,AC25/INDEX($C18:$AJ28,8,MATCH(IF('Data-solution'!$A$3="Maximize",MAX($C29:$AI29),MIN($C29:$AI29)),$C29:$AI29,0)),AC25-INDEX($C18:$AJ28,8,MATCH(IF('Data-solution'!$A$3="Maximize",MAX($C29:$AI29),MIN($C29:$AI29)),$C29:$AI29,0))*INDEX(AC18:$AJ28,MATCH(MIN($AK18:$AK28),$AK18:$AK28,0),1)/INDEX($C18:$AJ28,MATCH(MIN($AK18:$AK28),$AK18:$AK28,0),MATCH(IF('Data-solution'!$A$3="Maximize",MAX($C29:$AI29),MIN($C29:$AI29)),$C29:$AI29,0))),AC25)</f>
        <v>0</v>
      </c>
      <c r="AD40" s="1">
        <f>IF(OR($B33&lt;&gt;$B18,$B34&lt;&gt;$B19,$B35&lt;&gt;$B20,$B36&lt;&gt;$B21,$B37&lt;&gt;$B22,$B38&lt;&gt;$B23,$B39&lt;&gt;$B24,$B40&lt;&gt;$B25,$B41&lt;&gt;$B26,$B42&lt;&gt;$B27,$B43&lt;&gt;$B28),IF($B40&lt;&gt;$B25,AD25/INDEX($C18:$AJ28,8,MATCH(IF('Data-solution'!$A$3="Maximize",MAX($C29:$AI29),MIN($C29:$AI29)),$C29:$AI29,0)),AD25-INDEX($C18:$AJ28,8,MATCH(IF('Data-solution'!$A$3="Maximize",MAX($C29:$AI29),MIN($C29:$AI29)),$C29:$AI29,0))*INDEX(AD18:$AJ28,MATCH(MIN($AK18:$AK28),$AK18:$AK28,0),1)/INDEX($C18:$AJ28,MATCH(MIN($AK18:$AK28),$AK18:$AK28,0),MATCH(IF('Data-solution'!$A$3="Maximize",MAX($C29:$AI29),MIN($C29:$AI29)),$C29:$AI29,0))),AD25)</f>
        <v>0</v>
      </c>
      <c r="AE40" s="1">
        <f>IF(OR($B33&lt;&gt;$B18,$B34&lt;&gt;$B19,$B35&lt;&gt;$B20,$B36&lt;&gt;$B21,$B37&lt;&gt;$B22,$B38&lt;&gt;$B23,$B39&lt;&gt;$B24,$B40&lt;&gt;$B25,$B41&lt;&gt;$B26,$B42&lt;&gt;$B27,$B43&lt;&gt;$B28),IF($B40&lt;&gt;$B25,AE25/INDEX($C18:$AJ28,8,MATCH(IF('Data-solution'!$A$3="Maximize",MAX($C29:$AI29),MIN($C29:$AI29)),$C29:$AI29,0)),AE25-INDEX($C18:$AJ28,8,MATCH(IF('Data-solution'!$A$3="Maximize",MAX($C29:$AI29),MIN($C29:$AI29)),$C29:$AI29,0))*INDEX(AE18:$AJ28,MATCH(MIN($AK18:$AK28),$AK18:$AK28,0),1)/INDEX($C18:$AJ28,MATCH(MIN($AK18:$AK28),$AK18:$AK28,0),MATCH(IF('Data-solution'!$A$3="Maximize",MAX($C29:$AI29),MIN($C29:$AI29)),$C29:$AI29,0))),AE25)</f>
        <v>0</v>
      </c>
      <c r="AF40" s="1">
        <f>IF(OR($B33&lt;&gt;$B18,$B34&lt;&gt;$B19,$B35&lt;&gt;$B20,$B36&lt;&gt;$B21,$B37&lt;&gt;$B22,$B38&lt;&gt;$B23,$B39&lt;&gt;$B24,$B40&lt;&gt;$B25,$B41&lt;&gt;$B26,$B42&lt;&gt;$B27,$B43&lt;&gt;$B28),IF($B40&lt;&gt;$B25,AF25/INDEX($C18:$AJ28,8,MATCH(IF('Data-solution'!$A$3="Maximize",MAX($C29:$AI29),MIN($C29:$AI29)),$C29:$AI29,0)),AF25-INDEX($C18:$AJ28,8,MATCH(IF('Data-solution'!$A$3="Maximize",MAX($C29:$AI29),MIN($C29:$AI29)),$C29:$AI29,0))*INDEX(AF18:$AJ28,MATCH(MIN($AK18:$AK28),$AK18:$AK28,0),1)/INDEX($C18:$AJ28,MATCH(MIN($AK18:$AK28),$AK18:$AK28,0),MATCH(IF('Data-solution'!$A$3="Maximize",MAX($C29:$AI29),MIN($C29:$AI29)),$C29:$AI29,0))),AF25)</f>
        <v>1</v>
      </c>
      <c r="AG40" s="1">
        <f>IF(OR($B33&lt;&gt;$B18,$B34&lt;&gt;$B19,$B35&lt;&gt;$B20,$B36&lt;&gt;$B21,$B37&lt;&gt;$B22,$B38&lt;&gt;$B23,$B39&lt;&gt;$B24,$B40&lt;&gt;$B25,$B41&lt;&gt;$B26,$B42&lt;&gt;$B27,$B43&lt;&gt;$B28),IF($B40&lt;&gt;$B25,AG25/INDEX($C18:$AJ28,8,MATCH(IF('Data-solution'!$A$3="Maximize",MAX($C29:$AI29),MIN($C29:$AI29)),$C29:$AI29,0)),AG25-INDEX($C18:$AJ28,8,MATCH(IF('Data-solution'!$A$3="Maximize",MAX($C29:$AI29),MIN($C29:$AI29)),$C29:$AI29,0))*INDEX(AG18:$AJ28,MATCH(MIN($AK18:$AK28),$AK18:$AK28,0),1)/INDEX($C18:$AJ28,MATCH(MIN($AK18:$AK28),$AK18:$AK28,0),MATCH(IF('Data-solution'!$A$3="Maximize",MAX($C29:$AI29),MIN($C29:$AI29)),$C29:$AI29,0))),AG25)</f>
        <v>0</v>
      </c>
      <c r="AH40" s="1">
        <f>IF(OR($B33&lt;&gt;$B18,$B34&lt;&gt;$B19,$B35&lt;&gt;$B20,$B36&lt;&gt;$B21,$B37&lt;&gt;$B22,$B38&lt;&gt;$B23,$B39&lt;&gt;$B24,$B40&lt;&gt;$B25,$B41&lt;&gt;$B26,$B42&lt;&gt;$B27,$B43&lt;&gt;$B28),IF($B40&lt;&gt;$B25,AH25/INDEX($C18:$AJ28,8,MATCH(IF('Data-solution'!$A$3="Maximize",MAX($C29:$AI29),MIN($C29:$AI29)),$C29:$AI29,0)),AH25-INDEX($C18:$AJ28,8,MATCH(IF('Data-solution'!$A$3="Maximize",MAX($C29:$AI29),MIN($C29:$AI29)),$C29:$AI29,0))*INDEX(AH18:$AJ28,MATCH(MIN($AK18:$AK28),$AK18:$AK28,0),1)/INDEX($C18:$AJ28,MATCH(MIN($AK18:$AK28),$AK18:$AK28,0),MATCH(IF('Data-solution'!$A$3="Maximize",MAX($C29:$AI29),MIN($C29:$AI29)),$C29:$AI29,0))),AH25)</f>
        <v>0</v>
      </c>
      <c r="AI40" s="1">
        <f>IF(OR($B33&lt;&gt;$B18,$B34&lt;&gt;$B19,$B35&lt;&gt;$B20,$B36&lt;&gt;$B21,$B37&lt;&gt;$B22,$B38&lt;&gt;$B23,$B39&lt;&gt;$B24,$B40&lt;&gt;$B25,$B41&lt;&gt;$B26,$B42&lt;&gt;$B27,$B43&lt;&gt;$B28),IF($B40&lt;&gt;$B25,AI25/INDEX($C18:$AJ28,8,MATCH(IF('Data-solution'!$A$3="Maximize",MAX($C29:$AI29),MIN($C29:$AI29)),$C29:$AI29,0)),AI25-INDEX($C18:$AJ28,8,MATCH(IF('Data-solution'!$A$3="Maximize",MAX($C29:$AI29),MIN($C29:$AI29)),$C29:$AI29,0))*INDEX(AI18:$AJ28,MATCH(MIN($AK18:$AK28),$AK18:$AK28,0),1)/INDEX($C18:$AJ28,MATCH(MIN($AK18:$AK28),$AK18:$AK28,0),MATCH(IF('Data-solution'!$A$3="Maximize",MAX($C29:$AI29),MIN($C29:$AI29)),$C29:$AI29,0))),AI25)</f>
        <v>0</v>
      </c>
      <c r="AJ40" s="1">
        <f>IF(OR($B33&lt;&gt;$B18,$B34&lt;&gt;$B19,$B35&lt;&gt;$B20,$B36&lt;&gt;$B21,$B37&lt;&gt;$B22,$B38&lt;&gt;$B23,$B39&lt;&gt;$B24,$B40&lt;&gt;$B25,$B41&lt;&gt;$B26,$B42&lt;&gt;$B27,$B43&lt;&gt;$B28),IF($B40&lt;&gt;$B25,AJ25/INDEX($C18:$AJ28,8,MATCH(IF('Data-solution'!$A$3="Maximize",MAX($C29:$AI29),MIN($C29:$AI29)),$C29:$AI29,0)),AJ25-INDEX($C18:$AJ28,8,MATCH(IF('Data-solution'!$A$3="Maximize",MAX($C29:$AI29),MIN($C29:$AI29)),$C29:$AI29,0))*INDEX(AJ18:$AJ28,MATCH(MIN($AK18:$AK28),$AK18:$AK28,0),1)/INDEX($C18:$AJ28,MATCH(MIN($AK18:$AK28),$AK18:$AK28,0),MATCH(IF('Data-solution'!$A$3="Maximize",MAX($C29:$AI29),MIN($C29:$AI29)),$C29:$AI29,0))),AJ25)</f>
        <v>0</v>
      </c>
      <c r="AK40" s="1" t="str">
        <f>IF(INDEX(C40:X40,1,MATCH(IF('Data-solution'!A$3="Maximize",MAX(C44:X44),MIN(C44:X44)),C44:X44,0))&gt;0,AJ40/INDEX(C40:X40,1,MATCH(IF('Data-solution'!A$3="Maximize",MAX(C44:X44),MIN(C44:X44)),C44:X44,0))," ")</f>
        <v xml:space="preserve"> </v>
      </c>
    </row>
    <row r="41" spans="1:37" ht="18" customHeight="1" x14ac:dyDescent="0.2">
      <c r="A41" s="1">
        <f t="shared" ref="A41" si="16">INDEX(C31:AI31,1,MATCH(B41,C32:AI32,0))</f>
        <v>0</v>
      </c>
      <c r="B41" s="2" t="str">
        <f>IF(AND('Data-solution'!A$3="Maximize",COUNTIF(C29:X29,"&gt;"&amp;0)&gt;0,AK26=MIN(AK18:AK28),COUNTIF(B33:B40,INDEX(C17:X17,1,MATCH(MAX(C29:X29),C29:X29,0)))=0),INDEX(C17:X17,1,MATCH(MAX(C29:X29),C29:X29,0)),IF(AND('Data-solution'!A$3="Minimize",COUNTIF(C29:X29,"&lt;"&amp;0)&gt;0,AK26=MIN(AK18:AK28),COUNTIF(B33:B40,INDEX(C17:X17,1,MATCH(MIN(C29:X29),C29:X29,0)))=0),INDEX(C17:X17,1,MATCH(MIN(C29:X29),C29:X29,0)),B26))</f>
        <v>S9</v>
      </c>
      <c r="C41" s="1">
        <f>IF(OR($B33&lt;&gt;$B18,$B34&lt;&gt;$B19,$B35&lt;&gt;$B20,$B36&lt;&gt;$B21,$B37&lt;&gt;$B22,$B38&lt;&gt;$B23,$B39&lt;&gt;$B24,$B40&lt;&gt;$B25,$B41&lt;&gt;$B26,$B42&lt;&gt;$B27,$B43&lt;&gt;$B28),IF($B41&lt;&gt;$B26,C26/INDEX($C18:$AJ28,9,MATCH(IF('Data-solution'!$A$3="Maximize",MAX($C29:$AI29),MIN($C29:$AI29)),$C29:$AI29,0)),C26-INDEX($C18:$AJ28,9,MATCH(IF('Data-solution'!$A$3="Maximize",MAX($C29:$AI29),MIN($C29:$AI29)),$C29:$AI29,0))*INDEX(C18:$AJ28,MATCH(MIN($AK18:$AK28),$AK18:$AK28,0),1)/INDEX($C18:$AJ28,MATCH(MIN($AK18:$AK28),$AK18:$AK28,0),MATCH(IF('Data-solution'!$A$3="Maximize",MAX($C29:$AI29),MIN($C29:$AI29)),$C29:$AI29,0))),C26)</f>
        <v>0</v>
      </c>
      <c r="D41" s="1">
        <f>IF(OR($B33&lt;&gt;$B18,$B34&lt;&gt;$B19,$B35&lt;&gt;$B20,$B36&lt;&gt;$B21,$B37&lt;&gt;$B22,$B38&lt;&gt;$B23,$B39&lt;&gt;$B24,$B40&lt;&gt;$B25,$B41&lt;&gt;$B26,$B42&lt;&gt;$B27,$B43&lt;&gt;$B28),IF($B41&lt;&gt;$B26,D26/INDEX($C18:$AJ28,9,MATCH(IF('Data-solution'!$A$3="Maximize",MAX($C29:$AI29),MIN($C29:$AI29)),$C29:$AI29,0)),D26-INDEX($C18:$AJ28,9,MATCH(IF('Data-solution'!$A$3="Maximize",MAX($C29:$AI29),MIN($C29:$AI29)),$C29:$AI29,0))*INDEX(D18:$AJ28,MATCH(MIN($AK18:$AK28),$AK18:$AK28,0),1)/INDEX($C18:$AJ28,MATCH(MIN($AK18:$AK28),$AK18:$AK28,0),MATCH(IF('Data-solution'!$A$3="Maximize",MAX($C29:$AI29),MIN($C29:$AI29)),$C29:$AI29,0))),D26)</f>
        <v>0</v>
      </c>
      <c r="E41" s="1">
        <f>IF(OR($B33&lt;&gt;$B18,$B34&lt;&gt;$B19,$B35&lt;&gt;$B20,$B36&lt;&gt;$B21,$B37&lt;&gt;$B22,$B38&lt;&gt;$B23,$B39&lt;&gt;$B24,$B40&lt;&gt;$B25,$B41&lt;&gt;$B26,$B42&lt;&gt;$B27,$B43&lt;&gt;$B28),IF($B41&lt;&gt;$B26,E26/INDEX($C18:$AJ28,9,MATCH(IF('Data-solution'!$A$3="Maximize",MAX($C29:$AI29),MIN($C29:$AI29)),$C29:$AI29,0)),E26-INDEX($C18:$AJ28,9,MATCH(IF('Data-solution'!$A$3="Maximize",MAX($C29:$AI29),MIN($C29:$AI29)),$C29:$AI29,0))*INDEX(E18:$AJ28,MATCH(MIN($AK18:$AK28),$AK18:$AK28,0),1)/INDEX($C18:$AJ28,MATCH(MIN($AK18:$AK28),$AK18:$AK28,0),MATCH(IF('Data-solution'!$A$3="Maximize",MAX($C29:$AI29),MIN($C29:$AI29)),$C29:$AI29,0))),E26)</f>
        <v>0</v>
      </c>
      <c r="F41" s="1">
        <f>IF(OR($B33&lt;&gt;$B18,$B34&lt;&gt;$B19,$B35&lt;&gt;$B20,$B36&lt;&gt;$B21,$B37&lt;&gt;$B22,$B38&lt;&gt;$B23,$B39&lt;&gt;$B24,$B40&lt;&gt;$B25,$B41&lt;&gt;$B26,$B42&lt;&gt;$B27,$B43&lt;&gt;$B28),IF($B41&lt;&gt;$B26,F26/INDEX($C18:$AJ28,9,MATCH(IF('Data-solution'!$A$3="Maximize",MAX($C29:$AI29),MIN($C29:$AI29)),$C29:$AI29,0)),F26-INDEX($C18:$AJ28,9,MATCH(IF('Data-solution'!$A$3="Maximize",MAX($C29:$AI29),MIN($C29:$AI29)),$C29:$AI29,0))*INDEX(F18:$AJ28,MATCH(MIN($AK18:$AK28),$AK18:$AK28,0),1)/INDEX($C18:$AJ28,MATCH(MIN($AK18:$AK28),$AK18:$AK28,0),MATCH(IF('Data-solution'!$A$3="Maximize",MAX($C29:$AI29),MIN($C29:$AI29)),$C29:$AI29,0))),F26)</f>
        <v>0</v>
      </c>
      <c r="G41" s="1">
        <f>IF(OR($B33&lt;&gt;$B18,$B34&lt;&gt;$B19,$B35&lt;&gt;$B20,$B36&lt;&gt;$B21,$B37&lt;&gt;$B22,$B38&lt;&gt;$B23,$B39&lt;&gt;$B24,$B40&lt;&gt;$B25,$B41&lt;&gt;$B26,$B42&lt;&gt;$B27,$B43&lt;&gt;$B28),IF($B41&lt;&gt;$B26,G26/INDEX($C18:$AJ28,9,MATCH(IF('Data-solution'!$A$3="Maximize",MAX($C29:$AI29),MIN($C29:$AI29)),$C29:$AI29,0)),G26-INDEX($C18:$AJ28,9,MATCH(IF('Data-solution'!$A$3="Maximize",MAX($C29:$AI29),MIN($C29:$AI29)),$C29:$AI29,0))*INDEX(G18:$AJ28,MATCH(MIN($AK18:$AK28),$AK18:$AK28,0),1)/INDEX($C18:$AJ28,MATCH(MIN($AK18:$AK28),$AK18:$AK28,0),MATCH(IF('Data-solution'!$A$3="Maximize",MAX($C29:$AI29),MIN($C29:$AI29)),$C29:$AI29,0))),G26)</f>
        <v>0</v>
      </c>
      <c r="H41" s="1">
        <f>IF(OR($B33&lt;&gt;$B18,$B34&lt;&gt;$B19,$B35&lt;&gt;$B20,$B36&lt;&gt;$B21,$B37&lt;&gt;$B22,$B38&lt;&gt;$B23,$B39&lt;&gt;$B24,$B40&lt;&gt;$B25,$B41&lt;&gt;$B26,$B42&lt;&gt;$B27,$B43&lt;&gt;$B28),IF($B41&lt;&gt;$B26,H26/INDEX($C18:$AJ28,9,MATCH(IF('Data-solution'!$A$3="Maximize",MAX($C29:$AI29),MIN($C29:$AI29)),$C29:$AI29,0)),H26-INDEX($C18:$AJ28,9,MATCH(IF('Data-solution'!$A$3="Maximize",MAX($C29:$AI29),MIN($C29:$AI29)),$C29:$AI29,0))*INDEX(H18:$AJ28,MATCH(MIN($AK18:$AK28),$AK18:$AK28,0),1)/INDEX($C18:$AJ28,MATCH(MIN($AK18:$AK28),$AK18:$AK28,0),MATCH(IF('Data-solution'!$A$3="Maximize",MAX($C29:$AI29),MIN($C29:$AI29)),$C29:$AI29,0))),H26)</f>
        <v>0</v>
      </c>
      <c r="I41" s="1">
        <f>IF(OR($B33&lt;&gt;$B18,$B34&lt;&gt;$B19,$B35&lt;&gt;$B20,$B36&lt;&gt;$B21,$B37&lt;&gt;$B22,$B38&lt;&gt;$B23,$B39&lt;&gt;$B24,$B40&lt;&gt;$B25,$B41&lt;&gt;$B26,$B42&lt;&gt;$B27,$B43&lt;&gt;$B28),IF($B41&lt;&gt;$B26,I26/INDEX($C18:$AJ28,9,MATCH(IF('Data-solution'!$A$3="Maximize",MAX($C29:$AI29),MIN($C29:$AI29)),$C29:$AI29,0)),I26-INDEX($C18:$AJ28,9,MATCH(IF('Data-solution'!$A$3="Maximize",MAX($C29:$AI29),MIN($C29:$AI29)),$C29:$AI29,0))*INDEX(I18:$AJ28,MATCH(MIN($AK18:$AK28),$AK18:$AK28,0),1)/INDEX($C18:$AJ28,MATCH(MIN($AK18:$AK28),$AK18:$AK28,0),MATCH(IF('Data-solution'!$A$3="Maximize",MAX($C29:$AI29),MIN($C29:$AI29)),$C29:$AI29,0))),I26)</f>
        <v>0</v>
      </c>
      <c r="J41" s="1">
        <f>IF(OR($B33&lt;&gt;$B18,$B34&lt;&gt;$B19,$B35&lt;&gt;$B20,$B36&lt;&gt;$B21,$B37&lt;&gt;$B22,$B38&lt;&gt;$B23,$B39&lt;&gt;$B24,$B40&lt;&gt;$B25,$B41&lt;&gt;$B26,$B42&lt;&gt;$B27,$B43&lt;&gt;$B28),IF($B41&lt;&gt;$B26,J26/INDEX($C18:$AJ28,9,MATCH(IF('Data-solution'!$A$3="Maximize",MAX($C29:$AI29),MIN($C29:$AI29)),$C29:$AI29,0)),J26-INDEX($C18:$AJ28,9,MATCH(IF('Data-solution'!$A$3="Maximize",MAX($C29:$AI29),MIN($C29:$AI29)),$C29:$AI29,0))*INDEX(J18:$AJ28,MATCH(MIN($AK18:$AK28),$AK18:$AK28,0),1)/INDEX($C18:$AJ28,MATCH(MIN($AK18:$AK28),$AK18:$AK28,0),MATCH(IF('Data-solution'!$A$3="Maximize",MAX($C29:$AI29),MIN($C29:$AI29)),$C29:$AI29,0))),J26)</f>
        <v>0</v>
      </c>
      <c r="K41" s="1">
        <f>IF(OR($B33&lt;&gt;$B18,$B34&lt;&gt;$B19,$B35&lt;&gt;$B20,$B36&lt;&gt;$B21,$B37&lt;&gt;$B22,$B38&lt;&gt;$B23,$B39&lt;&gt;$B24,$B40&lt;&gt;$B25,$B41&lt;&gt;$B26,$B42&lt;&gt;$B27,$B43&lt;&gt;$B28),IF($B41&lt;&gt;$B26,K26/INDEX($C18:$AJ28,9,MATCH(IF('Data-solution'!$A$3="Maximize",MAX($C29:$AI29),MIN($C29:$AI29)),$C29:$AI29,0)),K26-INDEX($C18:$AJ28,9,MATCH(IF('Data-solution'!$A$3="Maximize",MAX($C29:$AI29),MIN($C29:$AI29)),$C29:$AI29,0))*INDEX(K18:$AJ28,MATCH(MIN($AK18:$AK28),$AK18:$AK28,0),1)/INDEX($C18:$AJ28,MATCH(MIN($AK18:$AK28),$AK18:$AK28,0),MATCH(IF('Data-solution'!$A$3="Maximize",MAX($C29:$AI29),MIN($C29:$AI29)),$C29:$AI29,0))),K26)</f>
        <v>0</v>
      </c>
      <c r="L41" s="1">
        <f>IF(OR($B33&lt;&gt;$B18,$B34&lt;&gt;$B19,$B35&lt;&gt;$B20,$B36&lt;&gt;$B21,$B37&lt;&gt;$B22,$B38&lt;&gt;$B23,$B39&lt;&gt;$B24,$B40&lt;&gt;$B25,$B41&lt;&gt;$B26,$B42&lt;&gt;$B27,$B43&lt;&gt;$B28),IF($B41&lt;&gt;$B26,L26/INDEX($C18:$AJ28,9,MATCH(IF('Data-solution'!$A$3="Maximize",MAX($C29:$AI29),MIN($C29:$AI29)),$C29:$AI29,0)),L26-INDEX($C18:$AJ28,9,MATCH(IF('Data-solution'!$A$3="Maximize",MAX($C29:$AI29),MIN($C29:$AI29)),$C29:$AI29,0))*INDEX(L18:$AJ28,MATCH(MIN($AK18:$AK28),$AK18:$AK28,0),1)/INDEX($C18:$AJ28,MATCH(MIN($AK18:$AK28),$AK18:$AK28,0),MATCH(IF('Data-solution'!$A$3="Maximize",MAX($C29:$AI29),MIN($C29:$AI29)),$C29:$AI29,0))),L26)</f>
        <v>0</v>
      </c>
      <c r="M41" s="1">
        <f>IF(OR($B33&lt;&gt;$B18,$B34&lt;&gt;$B19,$B35&lt;&gt;$B20,$B36&lt;&gt;$B21,$B37&lt;&gt;$B22,$B38&lt;&gt;$B23,$B39&lt;&gt;$B24,$B40&lt;&gt;$B25,$B41&lt;&gt;$B26,$B42&lt;&gt;$B27,$B43&lt;&gt;$B28),IF($B41&lt;&gt;$B26,M26/INDEX($C18:$AJ28,9,MATCH(IF('Data-solution'!$A$3="Maximize",MAX($C29:$AI29),MIN($C29:$AI29)),$C29:$AI29,0)),M26-INDEX($C18:$AJ28,9,MATCH(IF('Data-solution'!$A$3="Maximize",MAX($C29:$AI29),MIN($C29:$AI29)),$C29:$AI29,0))*INDEX(M18:$AJ28,MATCH(MIN($AK18:$AK28),$AK18:$AK28,0),1)/INDEX($C18:$AJ28,MATCH(MIN($AK18:$AK28),$AK18:$AK28,0),MATCH(IF('Data-solution'!$A$3="Maximize",MAX($C29:$AI29),MIN($C29:$AI29)),$C29:$AI29,0))),M26)</f>
        <v>0</v>
      </c>
      <c r="N41" s="1">
        <f>IF(OR($B33&lt;&gt;$B18,$B34&lt;&gt;$B19,$B35&lt;&gt;$B20,$B36&lt;&gt;$B21,$B37&lt;&gt;$B22,$B38&lt;&gt;$B23,$B39&lt;&gt;$B24,$B40&lt;&gt;$B25,$B41&lt;&gt;$B26,$B42&lt;&gt;$B27,$B43&lt;&gt;$B28),IF($B41&lt;&gt;$B26,N26/INDEX($C18:$AJ28,9,MATCH(IF('Data-solution'!$A$3="Maximize",MAX($C29:$AI29),MIN($C29:$AI29)),$C29:$AI29,0)),N26-INDEX($C18:$AJ28,9,MATCH(IF('Data-solution'!$A$3="Maximize",MAX($C29:$AI29),MIN($C29:$AI29)),$C29:$AI29,0))*INDEX(N18:$AJ28,MATCH(MIN($AK18:$AK28),$AK18:$AK28,0),1)/INDEX($C18:$AJ28,MATCH(MIN($AK18:$AK28),$AK18:$AK28,0),MATCH(IF('Data-solution'!$A$3="Maximize",MAX($C29:$AI29),MIN($C29:$AI29)),$C29:$AI29,0))),N26)</f>
        <v>0</v>
      </c>
      <c r="O41" s="1">
        <f>IF(OR($B33&lt;&gt;$B18,$B34&lt;&gt;$B19,$B35&lt;&gt;$B20,$B36&lt;&gt;$B21,$B37&lt;&gt;$B22,$B38&lt;&gt;$B23,$B39&lt;&gt;$B24,$B40&lt;&gt;$B25,$B41&lt;&gt;$B26,$B42&lt;&gt;$B27,$B43&lt;&gt;$B28),IF($B41&lt;&gt;$B26,O26/INDEX($C18:$AJ28,9,MATCH(IF('Data-solution'!$A$3="Maximize",MAX($C29:$AI29),MIN($C29:$AI29)),$C29:$AI29,0)),O26-INDEX($C18:$AJ28,9,MATCH(IF('Data-solution'!$A$3="Maximize",MAX($C29:$AI29),MIN($C29:$AI29)),$C29:$AI29,0))*INDEX(O18:$AJ28,MATCH(MIN($AK18:$AK28),$AK18:$AK28,0),1)/INDEX($C18:$AJ28,MATCH(MIN($AK18:$AK28),$AK18:$AK28,0),MATCH(IF('Data-solution'!$A$3="Maximize",MAX($C29:$AI29),MIN($C29:$AI29)),$C29:$AI29,0))),O26)</f>
        <v>0</v>
      </c>
      <c r="P41" s="1">
        <f>IF(OR($B33&lt;&gt;$B18,$B34&lt;&gt;$B19,$B35&lt;&gt;$B20,$B36&lt;&gt;$B21,$B37&lt;&gt;$B22,$B38&lt;&gt;$B23,$B39&lt;&gt;$B24,$B40&lt;&gt;$B25,$B41&lt;&gt;$B26,$B42&lt;&gt;$B27,$B43&lt;&gt;$B28),IF($B41&lt;&gt;$B26,P26/INDEX($C18:$AJ28,9,MATCH(IF('Data-solution'!$A$3="Maximize",MAX($C29:$AI29),MIN($C29:$AI29)),$C29:$AI29,0)),P26-INDEX($C18:$AJ28,9,MATCH(IF('Data-solution'!$A$3="Maximize",MAX($C29:$AI29),MIN($C29:$AI29)),$C29:$AI29,0))*INDEX(P18:$AJ28,MATCH(MIN($AK18:$AK28),$AK18:$AK28,0),1)/INDEX($C18:$AJ28,MATCH(MIN($AK18:$AK28),$AK18:$AK28,0),MATCH(IF('Data-solution'!$A$3="Maximize",MAX($C29:$AI29),MIN($C29:$AI29)),$C29:$AI29,0))),P26)</f>
        <v>0</v>
      </c>
      <c r="Q41" s="1">
        <f>IF(OR($B33&lt;&gt;$B18,$B34&lt;&gt;$B19,$B35&lt;&gt;$B20,$B36&lt;&gt;$B21,$B37&lt;&gt;$B22,$B38&lt;&gt;$B23,$B39&lt;&gt;$B24,$B40&lt;&gt;$B25,$B41&lt;&gt;$B26,$B42&lt;&gt;$B27,$B43&lt;&gt;$B28),IF($B41&lt;&gt;$B26,Q26/INDEX($C18:$AJ28,9,MATCH(IF('Data-solution'!$A$3="Maximize",MAX($C29:$AI29),MIN($C29:$AI29)),$C29:$AI29,0)),Q26-INDEX($C18:$AJ28,9,MATCH(IF('Data-solution'!$A$3="Maximize",MAX($C29:$AI29),MIN($C29:$AI29)),$C29:$AI29,0))*INDEX(Q18:$AJ28,MATCH(MIN($AK18:$AK28),$AK18:$AK28,0),1)/INDEX($C18:$AJ28,MATCH(MIN($AK18:$AK28),$AK18:$AK28,0),MATCH(IF('Data-solution'!$A$3="Maximize",MAX($C29:$AI29),MIN($C29:$AI29)),$C29:$AI29,0))),Q26)</f>
        <v>0</v>
      </c>
      <c r="R41" s="1">
        <f>IF(OR($B33&lt;&gt;$B18,$B34&lt;&gt;$B19,$B35&lt;&gt;$B20,$B36&lt;&gt;$B21,$B37&lt;&gt;$B22,$B38&lt;&gt;$B23,$B39&lt;&gt;$B24,$B40&lt;&gt;$B25,$B41&lt;&gt;$B26,$B42&lt;&gt;$B27,$B43&lt;&gt;$B28),IF($B41&lt;&gt;$B26,R26/INDEX($C18:$AJ28,9,MATCH(IF('Data-solution'!$A$3="Maximize",MAX($C29:$AI29),MIN($C29:$AI29)),$C29:$AI29,0)),R26-INDEX($C18:$AJ28,9,MATCH(IF('Data-solution'!$A$3="Maximize",MAX($C29:$AI29),MIN($C29:$AI29)),$C29:$AI29,0))*INDEX(R18:$AJ28,MATCH(MIN($AK18:$AK28),$AK18:$AK28,0),1)/INDEX($C18:$AJ28,MATCH(MIN($AK18:$AK28),$AK18:$AK28,0),MATCH(IF('Data-solution'!$A$3="Maximize",MAX($C29:$AI29),MIN($C29:$AI29)),$C29:$AI29,0))),R26)</f>
        <v>0</v>
      </c>
      <c r="S41" s="1">
        <f>IF(OR($B33&lt;&gt;$B18,$B34&lt;&gt;$B19,$B35&lt;&gt;$B20,$B36&lt;&gt;$B21,$B37&lt;&gt;$B22,$B38&lt;&gt;$B23,$B39&lt;&gt;$B24,$B40&lt;&gt;$B25,$B41&lt;&gt;$B26,$B42&lt;&gt;$B27,$B43&lt;&gt;$B28),IF($B41&lt;&gt;$B26,S26/INDEX($C18:$AJ28,9,MATCH(IF('Data-solution'!$A$3="Maximize",MAX($C29:$AI29),MIN($C29:$AI29)),$C29:$AI29,0)),S26-INDEX($C18:$AJ28,9,MATCH(IF('Data-solution'!$A$3="Maximize",MAX($C29:$AI29),MIN($C29:$AI29)),$C29:$AI29,0))*INDEX(S18:$AJ28,MATCH(MIN($AK18:$AK28),$AK18:$AK28,0),1)/INDEX($C18:$AJ28,MATCH(MIN($AK18:$AK28),$AK18:$AK28,0),MATCH(IF('Data-solution'!$A$3="Maximize",MAX($C29:$AI29),MIN($C29:$AI29)),$C29:$AI29,0))),S26)</f>
        <v>0</v>
      </c>
      <c r="T41" s="1">
        <f>IF(OR($B33&lt;&gt;$B18,$B34&lt;&gt;$B19,$B35&lt;&gt;$B20,$B36&lt;&gt;$B21,$B37&lt;&gt;$B22,$B38&lt;&gt;$B23,$B39&lt;&gt;$B24,$B40&lt;&gt;$B25,$B41&lt;&gt;$B26,$B42&lt;&gt;$B27,$B43&lt;&gt;$B28),IF($B41&lt;&gt;$B26,T26/INDEX($C18:$AJ28,9,MATCH(IF('Data-solution'!$A$3="Maximize",MAX($C29:$AI29),MIN($C29:$AI29)),$C29:$AI29,0)),T26-INDEX($C18:$AJ28,9,MATCH(IF('Data-solution'!$A$3="Maximize",MAX($C29:$AI29),MIN($C29:$AI29)),$C29:$AI29,0))*INDEX(T18:$AJ28,MATCH(MIN($AK18:$AK28),$AK18:$AK28,0),1)/INDEX($C18:$AJ28,MATCH(MIN($AK18:$AK28),$AK18:$AK28,0),MATCH(IF('Data-solution'!$A$3="Maximize",MAX($C29:$AI29),MIN($C29:$AI29)),$C29:$AI29,0))),T26)</f>
        <v>0</v>
      </c>
      <c r="U41" s="1">
        <f>IF(OR($B33&lt;&gt;$B18,$B34&lt;&gt;$B19,$B35&lt;&gt;$B20,$B36&lt;&gt;$B21,$B37&lt;&gt;$B22,$B38&lt;&gt;$B23,$B39&lt;&gt;$B24,$B40&lt;&gt;$B25,$B41&lt;&gt;$B26,$B42&lt;&gt;$B27,$B43&lt;&gt;$B28),IF($B41&lt;&gt;$B26,U26/INDEX($C18:$AJ28,9,MATCH(IF('Data-solution'!$A$3="Maximize",MAX($C29:$AI29),MIN($C29:$AI29)),$C29:$AI29,0)),U26-INDEX($C18:$AJ28,9,MATCH(IF('Data-solution'!$A$3="Maximize",MAX($C29:$AI29),MIN($C29:$AI29)),$C29:$AI29,0))*INDEX(U18:$AJ28,MATCH(MIN($AK18:$AK28),$AK18:$AK28,0),1)/INDEX($C18:$AJ28,MATCH(MIN($AK18:$AK28),$AK18:$AK28,0),MATCH(IF('Data-solution'!$A$3="Maximize",MAX($C29:$AI29),MIN($C29:$AI29)),$C29:$AI29,0))),U26)</f>
        <v>0</v>
      </c>
      <c r="V41" s="1">
        <f>IF(OR($B33&lt;&gt;$B18,$B34&lt;&gt;$B19,$B35&lt;&gt;$B20,$B36&lt;&gt;$B21,$B37&lt;&gt;$B22,$B38&lt;&gt;$B23,$B39&lt;&gt;$B24,$B40&lt;&gt;$B25,$B41&lt;&gt;$B26,$B42&lt;&gt;$B27,$B43&lt;&gt;$B28),IF($B41&lt;&gt;$B26,V26/INDEX($C18:$AJ28,9,MATCH(IF('Data-solution'!$A$3="Maximize",MAX($C29:$AI29),MIN($C29:$AI29)),$C29:$AI29,0)),V26-INDEX($C18:$AJ28,9,MATCH(IF('Data-solution'!$A$3="Maximize",MAX($C29:$AI29),MIN($C29:$AI29)),$C29:$AI29,0))*INDEX(V18:$AJ28,MATCH(MIN($AK18:$AK28),$AK18:$AK28,0),1)/INDEX($C18:$AJ28,MATCH(MIN($AK18:$AK28),$AK18:$AK28,0),MATCH(IF('Data-solution'!$A$3="Maximize",MAX($C29:$AI29),MIN($C29:$AI29)),$C29:$AI29,0))),V26)</f>
        <v>1</v>
      </c>
      <c r="W41" s="1">
        <f>IF(OR($B33&lt;&gt;$B18,$B34&lt;&gt;$B19,$B35&lt;&gt;$B20,$B36&lt;&gt;$B21,$B37&lt;&gt;$B22,$B38&lt;&gt;$B23,$B39&lt;&gt;$B24,$B40&lt;&gt;$B25,$B41&lt;&gt;$B26,$B42&lt;&gt;$B27,$B43&lt;&gt;$B28),IF($B41&lt;&gt;$B26,W26/INDEX($C18:$AJ28,9,MATCH(IF('Data-solution'!$A$3="Maximize",MAX($C29:$AI29),MIN($C29:$AI29)),$C29:$AI29,0)),W26-INDEX($C18:$AJ28,9,MATCH(IF('Data-solution'!$A$3="Maximize",MAX($C29:$AI29),MIN($C29:$AI29)),$C29:$AI29,0))*INDEX(W18:$AJ28,MATCH(MIN($AK18:$AK28),$AK18:$AK28,0),1)/INDEX($C18:$AJ28,MATCH(MIN($AK18:$AK28),$AK18:$AK28,0),MATCH(IF('Data-solution'!$A$3="Maximize",MAX($C29:$AI29),MIN($C29:$AI29)),$C29:$AI29,0))),W26)</f>
        <v>0</v>
      </c>
      <c r="X41" s="1">
        <f>IF(OR($B33&lt;&gt;$B18,$B34&lt;&gt;$B19,$B35&lt;&gt;$B20,$B36&lt;&gt;$B21,$B37&lt;&gt;$B22,$B38&lt;&gt;$B23,$B39&lt;&gt;$B24,$B40&lt;&gt;$B25,$B41&lt;&gt;$B26,$B42&lt;&gt;$B27,$B43&lt;&gt;$B28),IF($B41&lt;&gt;$B26,X26/INDEX($C18:$AJ28,9,MATCH(IF('Data-solution'!$A$3="Maximize",MAX($C29:$AI29),MIN($C29:$AI29)),$C29:$AI29,0)),X26-INDEX($C18:$AJ28,9,MATCH(IF('Data-solution'!$A$3="Maximize",MAX($C29:$AI29),MIN($C29:$AI29)),$C29:$AI29,0))*INDEX(X18:$AJ28,MATCH(MIN($AK18:$AK28),$AK18:$AK28,0),1)/INDEX($C18:$AJ28,MATCH(MIN($AK18:$AK28),$AK18:$AK28,0),MATCH(IF('Data-solution'!$A$3="Maximize",MAX($C29:$AI29),MIN($C29:$AI29)),$C29:$AI29,0))),X26)</f>
        <v>0</v>
      </c>
      <c r="Y41" s="1">
        <f>IF(OR($B33&lt;&gt;$B18,$B34&lt;&gt;$B19,$B35&lt;&gt;$B20,$B36&lt;&gt;$B21,$B37&lt;&gt;$B22,$B38&lt;&gt;$B23,$B39&lt;&gt;$B24,$B40&lt;&gt;$B25,$B41&lt;&gt;$B26,$B42&lt;&gt;$B27,$B43&lt;&gt;$B28),IF($B41&lt;&gt;$B26,Y26/INDEX($C18:$AJ28,9,MATCH(IF('Data-solution'!$A$3="Maximize",MAX($C29:$AI29),MIN($C29:$AI29)),$C29:$AI29,0)),Y26-INDEX($C18:$AJ28,9,MATCH(IF('Data-solution'!$A$3="Maximize",MAX($C29:$AI29),MIN($C29:$AI29)),$C29:$AI29,0))*INDEX(Y18:$AJ28,MATCH(MIN($AK18:$AK28),$AK18:$AK28,0),1)/INDEX($C18:$AJ28,MATCH(MIN($AK18:$AK28),$AK18:$AK28,0),MATCH(IF('Data-solution'!$A$3="Maximize",MAX($C29:$AI29),MIN($C29:$AI29)),$C29:$AI29,0))),Y26)</f>
        <v>0</v>
      </c>
      <c r="Z41" s="1">
        <f>IF(OR($B33&lt;&gt;$B18,$B34&lt;&gt;$B19,$B35&lt;&gt;$B20,$B36&lt;&gt;$B21,$B37&lt;&gt;$B22,$B38&lt;&gt;$B23,$B39&lt;&gt;$B24,$B40&lt;&gt;$B25,$B41&lt;&gt;$B26,$B42&lt;&gt;$B27,$B43&lt;&gt;$B28),IF($B41&lt;&gt;$B26,Z26/INDEX($C18:$AJ28,9,MATCH(IF('Data-solution'!$A$3="Maximize",MAX($C29:$AI29),MIN($C29:$AI29)),$C29:$AI29,0)),Z26-INDEX($C18:$AJ28,9,MATCH(IF('Data-solution'!$A$3="Maximize",MAX($C29:$AI29),MIN($C29:$AI29)),$C29:$AI29,0))*INDEX(Z18:$AJ28,MATCH(MIN($AK18:$AK28),$AK18:$AK28,0),1)/INDEX($C18:$AJ28,MATCH(MIN($AK18:$AK28),$AK18:$AK28,0),MATCH(IF('Data-solution'!$A$3="Maximize",MAX($C29:$AI29),MIN($C29:$AI29)),$C29:$AI29,0))),Z26)</f>
        <v>0</v>
      </c>
      <c r="AA41" s="1">
        <f>IF(OR($B33&lt;&gt;$B18,$B34&lt;&gt;$B19,$B35&lt;&gt;$B20,$B36&lt;&gt;$B21,$B37&lt;&gt;$B22,$B38&lt;&gt;$B23,$B39&lt;&gt;$B24,$B40&lt;&gt;$B25,$B41&lt;&gt;$B26,$B42&lt;&gt;$B27,$B43&lt;&gt;$B28),IF($B41&lt;&gt;$B26,AA26/INDEX($C18:$AJ28,9,MATCH(IF('Data-solution'!$A$3="Maximize",MAX($C29:$AI29),MIN($C29:$AI29)),$C29:$AI29,0)),AA26-INDEX($C18:$AJ28,9,MATCH(IF('Data-solution'!$A$3="Maximize",MAX($C29:$AI29),MIN($C29:$AI29)),$C29:$AI29,0))*INDEX(AA18:$AJ28,MATCH(MIN($AK18:$AK28),$AK18:$AK28,0),1)/INDEX($C18:$AJ28,MATCH(MIN($AK18:$AK28),$AK18:$AK28,0),MATCH(IF('Data-solution'!$A$3="Maximize",MAX($C29:$AI29),MIN($C29:$AI29)),$C29:$AI29,0))),AA26)</f>
        <v>0</v>
      </c>
      <c r="AB41" s="1">
        <f>IF(OR($B33&lt;&gt;$B18,$B34&lt;&gt;$B19,$B35&lt;&gt;$B20,$B36&lt;&gt;$B21,$B37&lt;&gt;$B22,$B38&lt;&gt;$B23,$B39&lt;&gt;$B24,$B40&lt;&gt;$B25,$B41&lt;&gt;$B26,$B42&lt;&gt;$B27,$B43&lt;&gt;$B28),IF($B41&lt;&gt;$B26,AB26/INDEX($C18:$AJ28,9,MATCH(IF('Data-solution'!$A$3="Maximize",MAX($C29:$AI29),MIN($C29:$AI29)),$C29:$AI29,0)),AB26-INDEX($C18:$AJ28,9,MATCH(IF('Data-solution'!$A$3="Maximize",MAX($C29:$AI29),MIN($C29:$AI29)),$C29:$AI29,0))*INDEX(AB18:$AJ28,MATCH(MIN($AK18:$AK28),$AK18:$AK28,0),1)/INDEX($C18:$AJ28,MATCH(MIN($AK18:$AK28),$AK18:$AK28,0),MATCH(IF('Data-solution'!$A$3="Maximize",MAX($C29:$AI29),MIN($C29:$AI29)),$C29:$AI29,0))),AB26)</f>
        <v>0</v>
      </c>
      <c r="AC41" s="1">
        <f>IF(OR($B33&lt;&gt;$B18,$B34&lt;&gt;$B19,$B35&lt;&gt;$B20,$B36&lt;&gt;$B21,$B37&lt;&gt;$B22,$B38&lt;&gt;$B23,$B39&lt;&gt;$B24,$B40&lt;&gt;$B25,$B41&lt;&gt;$B26,$B42&lt;&gt;$B27,$B43&lt;&gt;$B28),IF($B41&lt;&gt;$B26,AC26/INDEX($C18:$AJ28,9,MATCH(IF('Data-solution'!$A$3="Maximize",MAX($C29:$AI29),MIN($C29:$AI29)),$C29:$AI29,0)),AC26-INDEX($C18:$AJ28,9,MATCH(IF('Data-solution'!$A$3="Maximize",MAX($C29:$AI29),MIN($C29:$AI29)),$C29:$AI29,0))*INDEX(AC18:$AJ28,MATCH(MIN($AK18:$AK28),$AK18:$AK28,0),1)/INDEX($C18:$AJ28,MATCH(MIN($AK18:$AK28),$AK18:$AK28,0),MATCH(IF('Data-solution'!$A$3="Maximize",MAX($C29:$AI29),MIN($C29:$AI29)),$C29:$AI29,0))),AC26)</f>
        <v>0</v>
      </c>
      <c r="AD41" s="1">
        <f>IF(OR($B33&lt;&gt;$B18,$B34&lt;&gt;$B19,$B35&lt;&gt;$B20,$B36&lt;&gt;$B21,$B37&lt;&gt;$B22,$B38&lt;&gt;$B23,$B39&lt;&gt;$B24,$B40&lt;&gt;$B25,$B41&lt;&gt;$B26,$B42&lt;&gt;$B27,$B43&lt;&gt;$B28),IF($B41&lt;&gt;$B26,AD26/INDEX($C18:$AJ28,9,MATCH(IF('Data-solution'!$A$3="Maximize",MAX($C29:$AI29),MIN($C29:$AI29)),$C29:$AI29,0)),AD26-INDEX($C18:$AJ28,9,MATCH(IF('Data-solution'!$A$3="Maximize",MAX($C29:$AI29),MIN($C29:$AI29)),$C29:$AI29,0))*INDEX(AD18:$AJ28,MATCH(MIN($AK18:$AK28),$AK18:$AK28,0),1)/INDEX($C18:$AJ28,MATCH(MIN($AK18:$AK28),$AK18:$AK28,0),MATCH(IF('Data-solution'!$A$3="Maximize",MAX($C29:$AI29),MIN($C29:$AI29)),$C29:$AI29,0))),AD26)</f>
        <v>0</v>
      </c>
      <c r="AE41" s="1">
        <f>IF(OR($B33&lt;&gt;$B18,$B34&lt;&gt;$B19,$B35&lt;&gt;$B20,$B36&lt;&gt;$B21,$B37&lt;&gt;$B22,$B38&lt;&gt;$B23,$B39&lt;&gt;$B24,$B40&lt;&gt;$B25,$B41&lt;&gt;$B26,$B42&lt;&gt;$B27,$B43&lt;&gt;$B28),IF($B41&lt;&gt;$B26,AE26/INDEX($C18:$AJ28,9,MATCH(IF('Data-solution'!$A$3="Maximize",MAX($C29:$AI29),MIN($C29:$AI29)),$C29:$AI29,0)),AE26-INDEX($C18:$AJ28,9,MATCH(IF('Data-solution'!$A$3="Maximize",MAX($C29:$AI29),MIN($C29:$AI29)),$C29:$AI29,0))*INDEX(AE18:$AJ28,MATCH(MIN($AK18:$AK28),$AK18:$AK28,0),1)/INDEX($C18:$AJ28,MATCH(MIN($AK18:$AK28),$AK18:$AK28,0),MATCH(IF('Data-solution'!$A$3="Maximize",MAX($C29:$AI29),MIN($C29:$AI29)),$C29:$AI29,0))),AE26)</f>
        <v>0</v>
      </c>
      <c r="AF41" s="1">
        <f>IF(OR($B33&lt;&gt;$B18,$B34&lt;&gt;$B19,$B35&lt;&gt;$B20,$B36&lt;&gt;$B21,$B37&lt;&gt;$B22,$B38&lt;&gt;$B23,$B39&lt;&gt;$B24,$B40&lt;&gt;$B25,$B41&lt;&gt;$B26,$B42&lt;&gt;$B27,$B43&lt;&gt;$B28),IF($B41&lt;&gt;$B26,AF26/INDEX($C18:$AJ28,9,MATCH(IF('Data-solution'!$A$3="Maximize",MAX($C29:$AI29),MIN($C29:$AI29)),$C29:$AI29,0)),AF26-INDEX($C18:$AJ28,9,MATCH(IF('Data-solution'!$A$3="Maximize",MAX($C29:$AI29),MIN($C29:$AI29)),$C29:$AI29,0))*INDEX(AF18:$AJ28,MATCH(MIN($AK18:$AK28),$AK18:$AK28,0),1)/INDEX($C18:$AJ28,MATCH(MIN($AK18:$AK28),$AK18:$AK28,0),MATCH(IF('Data-solution'!$A$3="Maximize",MAX($C29:$AI29),MIN($C29:$AI29)),$C29:$AI29,0))),AF26)</f>
        <v>0</v>
      </c>
      <c r="AG41" s="1">
        <f>IF(OR($B33&lt;&gt;$B18,$B34&lt;&gt;$B19,$B35&lt;&gt;$B20,$B36&lt;&gt;$B21,$B37&lt;&gt;$B22,$B38&lt;&gt;$B23,$B39&lt;&gt;$B24,$B40&lt;&gt;$B25,$B41&lt;&gt;$B26,$B42&lt;&gt;$B27,$B43&lt;&gt;$B28),IF($B41&lt;&gt;$B26,AG26/INDEX($C18:$AJ28,9,MATCH(IF('Data-solution'!$A$3="Maximize",MAX($C29:$AI29),MIN($C29:$AI29)),$C29:$AI29,0)),AG26-INDEX($C18:$AJ28,9,MATCH(IF('Data-solution'!$A$3="Maximize",MAX($C29:$AI29),MIN($C29:$AI29)),$C29:$AI29,0))*INDEX(AG18:$AJ28,MATCH(MIN($AK18:$AK28),$AK18:$AK28,0),1)/INDEX($C18:$AJ28,MATCH(MIN($AK18:$AK28),$AK18:$AK28,0),MATCH(IF('Data-solution'!$A$3="Maximize",MAX($C29:$AI29),MIN($C29:$AI29)),$C29:$AI29,0))),AG26)</f>
        <v>1</v>
      </c>
      <c r="AH41" s="1">
        <f>IF(OR($B33&lt;&gt;$B18,$B34&lt;&gt;$B19,$B35&lt;&gt;$B20,$B36&lt;&gt;$B21,$B37&lt;&gt;$B22,$B38&lt;&gt;$B23,$B39&lt;&gt;$B24,$B40&lt;&gt;$B25,$B41&lt;&gt;$B26,$B42&lt;&gt;$B27,$B43&lt;&gt;$B28),IF($B41&lt;&gt;$B26,AH26/INDEX($C18:$AJ28,9,MATCH(IF('Data-solution'!$A$3="Maximize",MAX($C29:$AI29),MIN($C29:$AI29)),$C29:$AI29,0)),AH26-INDEX($C18:$AJ28,9,MATCH(IF('Data-solution'!$A$3="Maximize",MAX($C29:$AI29),MIN($C29:$AI29)),$C29:$AI29,0))*INDEX(AH18:$AJ28,MATCH(MIN($AK18:$AK28),$AK18:$AK28,0),1)/INDEX($C18:$AJ28,MATCH(MIN($AK18:$AK28),$AK18:$AK28,0),MATCH(IF('Data-solution'!$A$3="Maximize",MAX($C29:$AI29),MIN($C29:$AI29)),$C29:$AI29,0))),AH26)</f>
        <v>0</v>
      </c>
      <c r="AI41" s="1">
        <f>IF(OR($B33&lt;&gt;$B18,$B34&lt;&gt;$B19,$B35&lt;&gt;$B20,$B36&lt;&gt;$B21,$B37&lt;&gt;$B22,$B38&lt;&gt;$B23,$B39&lt;&gt;$B24,$B40&lt;&gt;$B25,$B41&lt;&gt;$B26,$B42&lt;&gt;$B27,$B43&lt;&gt;$B28),IF($B41&lt;&gt;$B26,AI26/INDEX($C18:$AJ28,9,MATCH(IF('Data-solution'!$A$3="Maximize",MAX($C29:$AI29),MIN($C29:$AI29)),$C29:$AI29,0)),AI26-INDEX($C18:$AJ28,9,MATCH(IF('Data-solution'!$A$3="Maximize",MAX($C29:$AI29),MIN($C29:$AI29)),$C29:$AI29,0))*INDEX(AI18:$AJ28,MATCH(MIN($AK18:$AK28),$AK18:$AK28,0),1)/INDEX($C18:$AJ28,MATCH(MIN($AK18:$AK28),$AK18:$AK28,0),MATCH(IF('Data-solution'!$A$3="Maximize",MAX($C29:$AI29),MIN($C29:$AI29)),$C29:$AI29,0))),AI26)</f>
        <v>0</v>
      </c>
      <c r="AJ41" s="1">
        <f>IF(OR($B33&lt;&gt;$B18,$B34&lt;&gt;$B19,$B35&lt;&gt;$B20,$B36&lt;&gt;$B21,$B37&lt;&gt;$B22,$B38&lt;&gt;$B23,$B39&lt;&gt;$B24,$B40&lt;&gt;$B25,$B41&lt;&gt;$B26,$B42&lt;&gt;$B27,$B43&lt;&gt;$B28),IF($B41&lt;&gt;$B26,AJ26/INDEX($C18:$AJ28,9,MATCH(IF('Data-solution'!$A$3="Maximize",MAX($C29:$AI29),MIN($C29:$AI29)),$C29:$AI29,0)),AJ26-INDEX($C18:$AJ28,9,MATCH(IF('Data-solution'!$A$3="Maximize",MAX($C29:$AI29),MIN($C29:$AI29)),$C29:$AI29,0))*INDEX(AJ18:$AJ28,MATCH(MIN($AK18:$AK28),$AK18:$AK28,0),1)/INDEX($C18:$AJ28,MATCH(MIN($AK18:$AK28),$AK18:$AK28,0),MATCH(IF('Data-solution'!$A$3="Maximize",MAX($C29:$AI29),MIN($C29:$AI29)),$C29:$AI29,0))),AJ26)</f>
        <v>0</v>
      </c>
      <c r="AK41" s="1" t="str">
        <f>IF(INDEX(C41:X41,1,MATCH(IF('Data-solution'!A$3="Maximize",MAX(C44:X44),MIN(C44:X44)),C44:X44,0))&gt;0,AJ41/INDEX(C41:X41,1,MATCH(IF('Data-solution'!A$3="Maximize",MAX(C44:X44),MIN(C44:X44)),C44:X44,0))," ")</f>
        <v xml:space="preserve"> </v>
      </c>
    </row>
    <row r="42" spans="1:37" ht="18" customHeight="1" x14ac:dyDescent="0.2">
      <c r="A42" s="1">
        <f t="shared" ref="A42" si="17">INDEX(C31:AI31,1,MATCH(B42,C32:AI32,0))</f>
        <v>0</v>
      </c>
      <c r="B42" s="2" t="str">
        <f>IF(AND('Data-solution'!A$3="Maximize",COUNTIF(C29:X29,"&gt;"&amp;0)&gt;0,AK27=MIN(AK18:AK28),COUNTIF(B33:B41,INDEX(C17:X17,1,MATCH(MAX(C29:X29),C29:X29,0)))=0),INDEX(C17:X17,1,MATCH(MAX(C29:X29),C29:X29,0)),IF(AND('Data-solution'!A$3="Minimize",COUNTIF(C29:X29,"&lt;"&amp;0)&gt;0,AK27=MIN(AK18:AK28),COUNTIF(B33:B41,INDEX(C17:X17,1,MATCH(MIN(C29:X29),C29:X29,0)))=0),INDEX(C17:X17,1,MATCH(MIN(C29:X29),C29:X29,0)),B27))</f>
        <v>S10</v>
      </c>
      <c r="C42" s="1">
        <f>IF(OR($B33&lt;&gt;$B18,$B34&lt;&gt;$B19,$B35&lt;&gt;$B20,$B36&lt;&gt;$B21,$B37&lt;&gt;$B22,$B38&lt;&gt;$B23,$B39&lt;&gt;$B24,$B40&lt;&gt;$B25,$B41&lt;&gt;$B26,$B42&lt;&gt;$B27,$B43&lt;&gt;$B28),IF($B42&lt;&gt;$B27,C27/INDEX($C18:$AJ28,10,MATCH(IF('Data-solution'!$A$3="Maximize",MAX($C29:$AI29),MIN($C29:$AI29)),$C29:$AI29,0)),C27-INDEX($C18:$AJ28,10,MATCH(IF('Data-solution'!$A$3="Maximize",MAX($C29:$AI29),MIN($C29:$AI29)),$C29:$AI29,0))*INDEX(C18:$AJ28,MATCH(MIN($AK18:$AK28),$AK18:$AK28,0),1)/INDEX($C18:$AJ28,MATCH(MIN($AK18:$AK28),$AK18:$AK28,0),MATCH(IF('Data-solution'!$A$3="Maximize",MAX($C29:$AI29),MIN($C29:$AI29)),$C29:$AI29,0))),C27)</f>
        <v>0</v>
      </c>
      <c r="D42" s="1">
        <f>IF(OR($B33&lt;&gt;$B18,$B34&lt;&gt;$B19,$B35&lt;&gt;$B20,$B36&lt;&gt;$B21,$B37&lt;&gt;$B22,$B38&lt;&gt;$B23,$B39&lt;&gt;$B24,$B40&lt;&gt;$B25,$B41&lt;&gt;$B26,$B42&lt;&gt;$B27,$B43&lt;&gt;$B28),IF($B42&lt;&gt;$B27,D27/INDEX($C18:$AJ28,10,MATCH(IF('Data-solution'!$A$3="Maximize",MAX($C29:$AI29),MIN($C29:$AI29)),$C29:$AI29,0)),D27-INDEX($C18:$AJ28,10,MATCH(IF('Data-solution'!$A$3="Maximize",MAX($C29:$AI29),MIN($C29:$AI29)),$C29:$AI29,0))*INDEX(D18:$AJ28,MATCH(MIN($AK18:$AK28),$AK18:$AK28,0),1)/INDEX($C18:$AJ28,MATCH(MIN($AK18:$AK28),$AK18:$AK28,0),MATCH(IF('Data-solution'!$A$3="Maximize",MAX($C29:$AI29),MIN($C29:$AI29)),$C29:$AI29,0))),D27)</f>
        <v>0</v>
      </c>
      <c r="E42" s="1">
        <f>IF(OR($B33&lt;&gt;$B18,$B34&lt;&gt;$B19,$B35&lt;&gt;$B20,$B36&lt;&gt;$B21,$B37&lt;&gt;$B22,$B38&lt;&gt;$B23,$B39&lt;&gt;$B24,$B40&lt;&gt;$B25,$B41&lt;&gt;$B26,$B42&lt;&gt;$B27,$B43&lt;&gt;$B28),IF($B42&lt;&gt;$B27,E27/INDEX($C18:$AJ28,10,MATCH(IF('Data-solution'!$A$3="Maximize",MAX($C29:$AI29),MIN($C29:$AI29)),$C29:$AI29,0)),E27-INDEX($C18:$AJ28,10,MATCH(IF('Data-solution'!$A$3="Maximize",MAX($C29:$AI29),MIN($C29:$AI29)),$C29:$AI29,0))*INDEX(E18:$AJ28,MATCH(MIN($AK18:$AK28),$AK18:$AK28,0),1)/INDEX($C18:$AJ28,MATCH(MIN($AK18:$AK28),$AK18:$AK28,0),MATCH(IF('Data-solution'!$A$3="Maximize",MAX($C29:$AI29),MIN($C29:$AI29)),$C29:$AI29,0))),E27)</f>
        <v>0</v>
      </c>
      <c r="F42" s="1">
        <f>IF(OR($B33&lt;&gt;$B18,$B34&lt;&gt;$B19,$B35&lt;&gt;$B20,$B36&lt;&gt;$B21,$B37&lt;&gt;$B22,$B38&lt;&gt;$B23,$B39&lt;&gt;$B24,$B40&lt;&gt;$B25,$B41&lt;&gt;$B26,$B42&lt;&gt;$B27,$B43&lt;&gt;$B28),IF($B42&lt;&gt;$B27,F27/INDEX($C18:$AJ28,10,MATCH(IF('Data-solution'!$A$3="Maximize",MAX($C29:$AI29),MIN($C29:$AI29)),$C29:$AI29,0)),F27-INDEX($C18:$AJ28,10,MATCH(IF('Data-solution'!$A$3="Maximize",MAX($C29:$AI29),MIN($C29:$AI29)),$C29:$AI29,0))*INDEX(F18:$AJ28,MATCH(MIN($AK18:$AK28),$AK18:$AK28,0),1)/INDEX($C18:$AJ28,MATCH(MIN($AK18:$AK28),$AK18:$AK28,0),MATCH(IF('Data-solution'!$A$3="Maximize",MAX($C29:$AI29),MIN($C29:$AI29)),$C29:$AI29,0))),F27)</f>
        <v>0</v>
      </c>
      <c r="G42" s="1">
        <f>IF(OR($B33&lt;&gt;$B18,$B34&lt;&gt;$B19,$B35&lt;&gt;$B20,$B36&lt;&gt;$B21,$B37&lt;&gt;$B22,$B38&lt;&gt;$B23,$B39&lt;&gt;$B24,$B40&lt;&gt;$B25,$B41&lt;&gt;$B26,$B42&lt;&gt;$B27,$B43&lt;&gt;$B28),IF($B42&lt;&gt;$B27,G27/INDEX($C18:$AJ28,10,MATCH(IF('Data-solution'!$A$3="Maximize",MAX($C29:$AI29),MIN($C29:$AI29)),$C29:$AI29,0)),G27-INDEX($C18:$AJ28,10,MATCH(IF('Data-solution'!$A$3="Maximize",MAX($C29:$AI29),MIN($C29:$AI29)),$C29:$AI29,0))*INDEX(G18:$AJ28,MATCH(MIN($AK18:$AK28),$AK18:$AK28,0),1)/INDEX($C18:$AJ28,MATCH(MIN($AK18:$AK28),$AK18:$AK28,0),MATCH(IF('Data-solution'!$A$3="Maximize",MAX($C29:$AI29),MIN($C29:$AI29)),$C29:$AI29,0))),G27)</f>
        <v>0</v>
      </c>
      <c r="H42" s="1">
        <f>IF(OR($B33&lt;&gt;$B18,$B34&lt;&gt;$B19,$B35&lt;&gt;$B20,$B36&lt;&gt;$B21,$B37&lt;&gt;$B22,$B38&lt;&gt;$B23,$B39&lt;&gt;$B24,$B40&lt;&gt;$B25,$B41&lt;&gt;$B26,$B42&lt;&gt;$B27,$B43&lt;&gt;$B28),IF($B42&lt;&gt;$B27,H27/INDEX($C18:$AJ28,10,MATCH(IF('Data-solution'!$A$3="Maximize",MAX($C29:$AI29),MIN($C29:$AI29)),$C29:$AI29,0)),H27-INDEX($C18:$AJ28,10,MATCH(IF('Data-solution'!$A$3="Maximize",MAX($C29:$AI29),MIN($C29:$AI29)),$C29:$AI29,0))*INDEX(H18:$AJ28,MATCH(MIN($AK18:$AK28),$AK18:$AK28,0),1)/INDEX($C18:$AJ28,MATCH(MIN($AK18:$AK28),$AK18:$AK28,0),MATCH(IF('Data-solution'!$A$3="Maximize",MAX($C29:$AI29),MIN($C29:$AI29)),$C29:$AI29,0))),H27)</f>
        <v>0</v>
      </c>
      <c r="I42" s="1">
        <f>IF(OR($B33&lt;&gt;$B18,$B34&lt;&gt;$B19,$B35&lt;&gt;$B20,$B36&lt;&gt;$B21,$B37&lt;&gt;$B22,$B38&lt;&gt;$B23,$B39&lt;&gt;$B24,$B40&lt;&gt;$B25,$B41&lt;&gt;$B26,$B42&lt;&gt;$B27,$B43&lt;&gt;$B28),IF($B42&lt;&gt;$B27,I27/INDEX($C18:$AJ28,10,MATCH(IF('Data-solution'!$A$3="Maximize",MAX($C29:$AI29),MIN($C29:$AI29)),$C29:$AI29,0)),I27-INDEX($C18:$AJ28,10,MATCH(IF('Data-solution'!$A$3="Maximize",MAX($C29:$AI29),MIN($C29:$AI29)),$C29:$AI29,0))*INDEX(I18:$AJ28,MATCH(MIN($AK18:$AK28),$AK18:$AK28,0),1)/INDEX($C18:$AJ28,MATCH(MIN($AK18:$AK28),$AK18:$AK28,0),MATCH(IF('Data-solution'!$A$3="Maximize",MAX($C29:$AI29),MIN($C29:$AI29)),$C29:$AI29,0))),I27)</f>
        <v>0</v>
      </c>
      <c r="J42" s="1">
        <f>IF(OR($B33&lt;&gt;$B18,$B34&lt;&gt;$B19,$B35&lt;&gt;$B20,$B36&lt;&gt;$B21,$B37&lt;&gt;$B22,$B38&lt;&gt;$B23,$B39&lt;&gt;$B24,$B40&lt;&gt;$B25,$B41&lt;&gt;$B26,$B42&lt;&gt;$B27,$B43&lt;&gt;$B28),IF($B42&lt;&gt;$B27,J27/INDEX($C18:$AJ28,10,MATCH(IF('Data-solution'!$A$3="Maximize",MAX($C29:$AI29),MIN($C29:$AI29)),$C29:$AI29,0)),J27-INDEX($C18:$AJ28,10,MATCH(IF('Data-solution'!$A$3="Maximize",MAX($C29:$AI29),MIN($C29:$AI29)),$C29:$AI29,0))*INDEX(J18:$AJ28,MATCH(MIN($AK18:$AK28),$AK18:$AK28,0),1)/INDEX($C18:$AJ28,MATCH(MIN($AK18:$AK28),$AK18:$AK28,0),MATCH(IF('Data-solution'!$A$3="Maximize",MAX($C29:$AI29),MIN($C29:$AI29)),$C29:$AI29,0))),J27)</f>
        <v>0</v>
      </c>
      <c r="K42" s="1">
        <f>IF(OR($B33&lt;&gt;$B18,$B34&lt;&gt;$B19,$B35&lt;&gt;$B20,$B36&lt;&gt;$B21,$B37&lt;&gt;$B22,$B38&lt;&gt;$B23,$B39&lt;&gt;$B24,$B40&lt;&gt;$B25,$B41&lt;&gt;$B26,$B42&lt;&gt;$B27,$B43&lt;&gt;$B28),IF($B42&lt;&gt;$B27,K27/INDEX($C18:$AJ28,10,MATCH(IF('Data-solution'!$A$3="Maximize",MAX($C29:$AI29),MIN($C29:$AI29)),$C29:$AI29,0)),K27-INDEX($C18:$AJ28,10,MATCH(IF('Data-solution'!$A$3="Maximize",MAX($C29:$AI29),MIN($C29:$AI29)),$C29:$AI29,0))*INDEX(K18:$AJ28,MATCH(MIN($AK18:$AK28),$AK18:$AK28,0),1)/INDEX($C18:$AJ28,MATCH(MIN($AK18:$AK28),$AK18:$AK28,0),MATCH(IF('Data-solution'!$A$3="Maximize",MAX($C29:$AI29),MIN($C29:$AI29)),$C29:$AI29,0))),K27)</f>
        <v>0</v>
      </c>
      <c r="L42" s="1">
        <f>IF(OR($B33&lt;&gt;$B18,$B34&lt;&gt;$B19,$B35&lt;&gt;$B20,$B36&lt;&gt;$B21,$B37&lt;&gt;$B22,$B38&lt;&gt;$B23,$B39&lt;&gt;$B24,$B40&lt;&gt;$B25,$B41&lt;&gt;$B26,$B42&lt;&gt;$B27,$B43&lt;&gt;$B28),IF($B42&lt;&gt;$B27,L27/INDEX($C18:$AJ28,10,MATCH(IF('Data-solution'!$A$3="Maximize",MAX($C29:$AI29),MIN($C29:$AI29)),$C29:$AI29,0)),L27-INDEX($C18:$AJ28,10,MATCH(IF('Data-solution'!$A$3="Maximize",MAX($C29:$AI29),MIN($C29:$AI29)),$C29:$AI29,0))*INDEX(L18:$AJ28,MATCH(MIN($AK18:$AK28),$AK18:$AK28,0),1)/INDEX($C18:$AJ28,MATCH(MIN($AK18:$AK28),$AK18:$AK28,0),MATCH(IF('Data-solution'!$A$3="Maximize",MAX($C29:$AI29),MIN($C29:$AI29)),$C29:$AI29,0))),L27)</f>
        <v>0</v>
      </c>
      <c r="M42" s="1">
        <f>IF(OR($B33&lt;&gt;$B18,$B34&lt;&gt;$B19,$B35&lt;&gt;$B20,$B36&lt;&gt;$B21,$B37&lt;&gt;$B22,$B38&lt;&gt;$B23,$B39&lt;&gt;$B24,$B40&lt;&gt;$B25,$B41&lt;&gt;$B26,$B42&lt;&gt;$B27,$B43&lt;&gt;$B28),IF($B42&lt;&gt;$B27,M27/INDEX($C18:$AJ28,10,MATCH(IF('Data-solution'!$A$3="Maximize",MAX($C29:$AI29),MIN($C29:$AI29)),$C29:$AI29,0)),M27-INDEX($C18:$AJ28,10,MATCH(IF('Data-solution'!$A$3="Maximize",MAX($C29:$AI29),MIN($C29:$AI29)),$C29:$AI29,0))*INDEX(M18:$AJ28,MATCH(MIN($AK18:$AK28),$AK18:$AK28,0),1)/INDEX($C18:$AJ28,MATCH(MIN($AK18:$AK28),$AK18:$AK28,0),MATCH(IF('Data-solution'!$A$3="Maximize",MAX($C29:$AI29),MIN($C29:$AI29)),$C29:$AI29,0))),M27)</f>
        <v>0</v>
      </c>
      <c r="N42" s="1">
        <f>IF(OR($B33&lt;&gt;$B18,$B34&lt;&gt;$B19,$B35&lt;&gt;$B20,$B36&lt;&gt;$B21,$B37&lt;&gt;$B22,$B38&lt;&gt;$B23,$B39&lt;&gt;$B24,$B40&lt;&gt;$B25,$B41&lt;&gt;$B26,$B42&lt;&gt;$B27,$B43&lt;&gt;$B28),IF($B42&lt;&gt;$B27,N27/INDEX($C18:$AJ28,10,MATCH(IF('Data-solution'!$A$3="Maximize",MAX($C29:$AI29),MIN($C29:$AI29)),$C29:$AI29,0)),N27-INDEX($C18:$AJ28,10,MATCH(IF('Data-solution'!$A$3="Maximize",MAX($C29:$AI29),MIN($C29:$AI29)),$C29:$AI29,0))*INDEX(N18:$AJ28,MATCH(MIN($AK18:$AK28),$AK18:$AK28,0),1)/INDEX($C18:$AJ28,MATCH(MIN($AK18:$AK28),$AK18:$AK28,0),MATCH(IF('Data-solution'!$A$3="Maximize",MAX($C29:$AI29),MIN($C29:$AI29)),$C29:$AI29,0))),N27)</f>
        <v>0</v>
      </c>
      <c r="O42" s="1">
        <f>IF(OR($B33&lt;&gt;$B18,$B34&lt;&gt;$B19,$B35&lt;&gt;$B20,$B36&lt;&gt;$B21,$B37&lt;&gt;$B22,$B38&lt;&gt;$B23,$B39&lt;&gt;$B24,$B40&lt;&gt;$B25,$B41&lt;&gt;$B26,$B42&lt;&gt;$B27,$B43&lt;&gt;$B28),IF($B42&lt;&gt;$B27,O27/INDEX($C18:$AJ28,10,MATCH(IF('Data-solution'!$A$3="Maximize",MAX($C29:$AI29),MIN($C29:$AI29)),$C29:$AI29,0)),O27-INDEX($C18:$AJ28,10,MATCH(IF('Data-solution'!$A$3="Maximize",MAX($C29:$AI29),MIN($C29:$AI29)),$C29:$AI29,0))*INDEX(O18:$AJ28,MATCH(MIN($AK18:$AK28),$AK18:$AK28,0),1)/INDEX($C18:$AJ28,MATCH(MIN($AK18:$AK28),$AK18:$AK28,0),MATCH(IF('Data-solution'!$A$3="Maximize",MAX($C29:$AI29),MIN($C29:$AI29)),$C29:$AI29,0))),O27)</f>
        <v>0</v>
      </c>
      <c r="P42" s="1">
        <f>IF(OR($B33&lt;&gt;$B18,$B34&lt;&gt;$B19,$B35&lt;&gt;$B20,$B36&lt;&gt;$B21,$B37&lt;&gt;$B22,$B38&lt;&gt;$B23,$B39&lt;&gt;$B24,$B40&lt;&gt;$B25,$B41&lt;&gt;$B26,$B42&lt;&gt;$B27,$B43&lt;&gt;$B28),IF($B42&lt;&gt;$B27,P27/INDEX($C18:$AJ28,10,MATCH(IF('Data-solution'!$A$3="Maximize",MAX($C29:$AI29),MIN($C29:$AI29)),$C29:$AI29,0)),P27-INDEX($C18:$AJ28,10,MATCH(IF('Data-solution'!$A$3="Maximize",MAX($C29:$AI29),MIN($C29:$AI29)),$C29:$AI29,0))*INDEX(P18:$AJ28,MATCH(MIN($AK18:$AK28),$AK18:$AK28,0),1)/INDEX($C18:$AJ28,MATCH(MIN($AK18:$AK28),$AK18:$AK28,0),MATCH(IF('Data-solution'!$A$3="Maximize",MAX($C29:$AI29),MIN($C29:$AI29)),$C29:$AI29,0))),P27)</f>
        <v>0</v>
      </c>
      <c r="Q42" s="1">
        <f>IF(OR($B33&lt;&gt;$B18,$B34&lt;&gt;$B19,$B35&lt;&gt;$B20,$B36&lt;&gt;$B21,$B37&lt;&gt;$B22,$B38&lt;&gt;$B23,$B39&lt;&gt;$B24,$B40&lt;&gt;$B25,$B41&lt;&gt;$B26,$B42&lt;&gt;$B27,$B43&lt;&gt;$B28),IF($B42&lt;&gt;$B27,Q27/INDEX($C18:$AJ28,10,MATCH(IF('Data-solution'!$A$3="Maximize",MAX($C29:$AI29),MIN($C29:$AI29)),$C29:$AI29,0)),Q27-INDEX($C18:$AJ28,10,MATCH(IF('Data-solution'!$A$3="Maximize",MAX($C29:$AI29),MIN($C29:$AI29)),$C29:$AI29,0))*INDEX(Q18:$AJ28,MATCH(MIN($AK18:$AK28),$AK18:$AK28,0),1)/INDEX($C18:$AJ28,MATCH(MIN($AK18:$AK28),$AK18:$AK28,0),MATCH(IF('Data-solution'!$A$3="Maximize",MAX($C29:$AI29),MIN($C29:$AI29)),$C29:$AI29,0))),Q27)</f>
        <v>0</v>
      </c>
      <c r="R42" s="1">
        <f>IF(OR($B33&lt;&gt;$B18,$B34&lt;&gt;$B19,$B35&lt;&gt;$B20,$B36&lt;&gt;$B21,$B37&lt;&gt;$B22,$B38&lt;&gt;$B23,$B39&lt;&gt;$B24,$B40&lt;&gt;$B25,$B41&lt;&gt;$B26,$B42&lt;&gt;$B27,$B43&lt;&gt;$B28),IF($B42&lt;&gt;$B27,R27/INDEX($C18:$AJ28,10,MATCH(IF('Data-solution'!$A$3="Maximize",MAX($C29:$AI29),MIN($C29:$AI29)),$C29:$AI29,0)),R27-INDEX($C18:$AJ28,10,MATCH(IF('Data-solution'!$A$3="Maximize",MAX($C29:$AI29),MIN($C29:$AI29)),$C29:$AI29,0))*INDEX(R18:$AJ28,MATCH(MIN($AK18:$AK28),$AK18:$AK28,0),1)/INDEX($C18:$AJ28,MATCH(MIN($AK18:$AK28),$AK18:$AK28,0),MATCH(IF('Data-solution'!$A$3="Maximize",MAX($C29:$AI29),MIN($C29:$AI29)),$C29:$AI29,0))),R27)</f>
        <v>0</v>
      </c>
      <c r="S42" s="1">
        <f>IF(OR($B33&lt;&gt;$B18,$B34&lt;&gt;$B19,$B35&lt;&gt;$B20,$B36&lt;&gt;$B21,$B37&lt;&gt;$B22,$B38&lt;&gt;$B23,$B39&lt;&gt;$B24,$B40&lt;&gt;$B25,$B41&lt;&gt;$B26,$B42&lt;&gt;$B27,$B43&lt;&gt;$B28),IF($B42&lt;&gt;$B27,S27/INDEX($C18:$AJ28,10,MATCH(IF('Data-solution'!$A$3="Maximize",MAX($C29:$AI29),MIN($C29:$AI29)),$C29:$AI29,0)),S27-INDEX($C18:$AJ28,10,MATCH(IF('Data-solution'!$A$3="Maximize",MAX($C29:$AI29),MIN($C29:$AI29)),$C29:$AI29,0))*INDEX(S18:$AJ28,MATCH(MIN($AK18:$AK28),$AK18:$AK28,0),1)/INDEX($C18:$AJ28,MATCH(MIN($AK18:$AK28),$AK18:$AK28,0),MATCH(IF('Data-solution'!$A$3="Maximize",MAX($C29:$AI29),MIN($C29:$AI29)),$C29:$AI29,0))),S27)</f>
        <v>0</v>
      </c>
      <c r="T42" s="1">
        <f>IF(OR($B33&lt;&gt;$B18,$B34&lt;&gt;$B19,$B35&lt;&gt;$B20,$B36&lt;&gt;$B21,$B37&lt;&gt;$B22,$B38&lt;&gt;$B23,$B39&lt;&gt;$B24,$B40&lt;&gt;$B25,$B41&lt;&gt;$B26,$B42&lt;&gt;$B27,$B43&lt;&gt;$B28),IF($B42&lt;&gt;$B27,T27/INDEX($C18:$AJ28,10,MATCH(IF('Data-solution'!$A$3="Maximize",MAX($C29:$AI29),MIN($C29:$AI29)),$C29:$AI29,0)),T27-INDEX($C18:$AJ28,10,MATCH(IF('Data-solution'!$A$3="Maximize",MAX($C29:$AI29),MIN($C29:$AI29)),$C29:$AI29,0))*INDEX(T18:$AJ28,MATCH(MIN($AK18:$AK28),$AK18:$AK28,0),1)/INDEX($C18:$AJ28,MATCH(MIN($AK18:$AK28),$AK18:$AK28,0),MATCH(IF('Data-solution'!$A$3="Maximize",MAX($C29:$AI29),MIN($C29:$AI29)),$C29:$AI29,0))),T27)</f>
        <v>0</v>
      </c>
      <c r="U42" s="1">
        <f>IF(OR($B33&lt;&gt;$B18,$B34&lt;&gt;$B19,$B35&lt;&gt;$B20,$B36&lt;&gt;$B21,$B37&lt;&gt;$B22,$B38&lt;&gt;$B23,$B39&lt;&gt;$B24,$B40&lt;&gt;$B25,$B41&lt;&gt;$B26,$B42&lt;&gt;$B27,$B43&lt;&gt;$B28),IF($B42&lt;&gt;$B27,U27/INDEX($C18:$AJ28,10,MATCH(IF('Data-solution'!$A$3="Maximize",MAX($C29:$AI29),MIN($C29:$AI29)),$C29:$AI29,0)),U27-INDEX($C18:$AJ28,10,MATCH(IF('Data-solution'!$A$3="Maximize",MAX($C29:$AI29),MIN($C29:$AI29)),$C29:$AI29,0))*INDEX(U18:$AJ28,MATCH(MIN($AK18:$AK28),$AK18:$AK28,0),1)/INDEX($C18:$AJ28,MATCH(MIN($AK18:$AK28),$AK18:$AK28,0),MATCH(IF('Data-solution'!$A$3="Maximize",MAX($C29:$AI29),MIN($C29:$AI29)),$C29:$AI29,0))),U27)</f>
        <v>0</v>
      </c>
      <c r="V42" s="1">
        <f>IF(OR($B33&lt;&gt;$B18,$B34&lt;&gt;$B19,$B35&lt;&gt;$B20,$B36&lt;&gt;$B21,$B37&lt;&gt;$B22,$B38&lt;&gt;$B23,$B39&lt;&gt;$B24,$B40&lt;&gt;$B25,$B41&lt;&gt;$B26,$B42&lt;&gt;$B27,$B43&lt;&gt;$B28),IF($B42&lt;&gt;$B27,V27/INDEX($C18:$AJ28,10,MATCH(IF('Data-solution'!$A$3="Maximize",MAX($C29:$AI29),MIN($C29:$AI29)),$C29:$AI29,0)),V27-INDEX($C18:$AJ28,10,MATCH(IF('Data-solution'!$A$3="Maximize",MAX($C29:$AI29),MIN($C29:$AI29)),$C29:$AI29,0))*INDEX(V18:$AJ28,MATCH(MIN($AK18:$AK28),$AK18:$AK28,0),1)/INDEX($C18:$AJ28,MATCH(MIN($AK18:$AK28),$AK18:$AK28,0),MATCH(IF('Data-solution'!$A$3="Maximize",MAX($C29:$AI29),MIN($C29:$AI29)),$C29:$AI29,0))),V27)</f>
        <v>0</v>
      </c>
      <c r="W42" s="1">
        <f>IF(OR($B33&lt;&gt;$B18,$B34&lt;&gt;$B19,$B35&lt;&gt;$B20,$B36&lt;&gt;$B21,$B37&lt;&gt;$B22,$B38&lt;&gt;$B23,$B39&lt;&gt;$B24,$B40&lt;&gt;$B25,$B41&lt;&gt;$B26,$B42&lt;&gt;$B27,$B43&lt;&gt;$B28),IF($B42&lt;&gt;$B27,W27/INDEX($C18:$AJ28,10,MATCH(IF('Data-solution'!$A$3="Maximize",MAX($C29:$AI29),MIN($C29:$AI29)),$C29:$AI29,0)),W27-INDEX($C18:$AJ28,10,MATCH(IF('Data-solution'!$A$3="Maximize",MAX($C29:$AI29),MIN($C29:$AI29)),$C29:$AI29,0))*INDEX(W18:$AJ28,MATCH(MIN($AK18:$AK28),$AK18:$AK28,0),1)/INDEX($C18:$AJ28,MATCH(MIN($AK18:$AK28),$AK18:$AK28,0),MATCH(IF('Data-solution'!$A$3="Maximize",MAX($C29:$AI29),MIN($C29:$AI29)),$C29:$AI29,0))),W27)</f>
        <v>1</v>
      </c>
      <c r="X42" s="1">
        <f>IF(OR($B33&lt;&gt;$B18,$B34&lt;&gt;$B19,$B35&lt;&gt;$B20,$B36&lt;&gt;$B21,$B37&lt;&gt;$B22,$B38&lt;&gt;$B23,$B39&lt;&gt;$B24,$B40&lt;&gt;$B25,$B41&lt;&gt;$B26,$B42&lt;&gt;$B27,$B43&lt;&gt;$B28),IF($B42&lt;&gt;$B27,X27/INDEX($C18:$AJ28,10,MATCH(IF('Data-solution'!$A$3="Maximize",MAX($C29:$AI29),MIN($C29:$AI29)),$C29:$AI29,0)),X27-INDEX($C18:$AJ28,10,MATCH(IF('Data-solution'!$A$3="Maximize",MAX($C29:$AI29),MIN($C29:$AI29)),$C29:$AI29,0))*INDEX(X18:$AJ28,MATCH(MIN($AK18:$AK28),$AK18:$AK28,0),1)/INDEX($C18:$AJ28,MATCH(MIN($AK18:$AK28),$AK18:$AK28,0),MATCH(IF('Data-solution'!$A$3="Maximize",MAX($C29:$AI29),MIN($C29:$AI29)),$C29:$AI29,0))),X27)</f>
        <v>0</v>
      </c>
      <c r="Y42" s="1">
        <f>IF(OR($B33&lt;&gt;$B18,$B34&lt;&gt;$B19,$B35&lt;&gt;$B20,$B36&lt;&gt;$B21,$B37&lt;&gt;$B22,$B38&lt;&gt;$B23,$B39&lt;&gt;$B24,$B40&lt;&gt;$B25,$B41&lt;&gt;$B26,$B42&lt;&gt;$B27,$B43&lt;&gt;$B28),IF($B42&lt;&gt;$B27,Y27/INDEX($C18:$AJ28,10,MATCH(IF('Data-solution'!$A$3="Maximize",MAX($C29:$AI29),MIN($C29:$AI29)),$C29:$AI29,0)),Y27-INDEX($C18:$AJ28,10,MATCH(IF('Data-solution'!$A$3="Maximize",MAX($C29:$AI29),MIN($C29:$AI29)),$C29:$AI29,0))*INDEX(Y18:$AJ28,MATCH(MIN($AK18:$AK28),$AK18:$AK28,0),1)/INDEX($C18:$AJ28,MATCH(MIN($AK18:$AK28),$AK18:$AK28,0),MATCH(IF('Data-solution'!$A$3="Maximize",MAX($C29:$AI29),MIN($C29:$AI29)),$C29:$AI29,0))),Y27)</f>
        <v>0</v>
      </c>
      <c r="Z42" s="1">
        <f>IF(OR($B33&lt;&gt;$B18,$B34&lt;&gt;$B19,$B35&lt;&gt;$B20,$B36&lt;&gt;$B21,$B37&lt;&gt;$B22,$B38&lt;&gt;$B23,$B39&lt;&gt;$B24,$B40&lt;&gt;$B25,$B41&lt;&gt;$B26,$B42&lt;&gt;$B27,$B43&lt;&gt;$B28),IF($B42&lt;&gt;$B27,Z27/INDEX($C18:$AJ28,10,MATCH(IF('Data-solution'!$A$3="Maximize",MAX($C29:$AI29),MIN($C29:$AI29)),$C29:$AI29,0)),Z27-INDEX($C18:$AJ28,10,MATCH(IF('Data-solution'!$A$3="Maximize",MAX($C29:$AI29),MIN($C29:$AI29)),$C29:$AI29,0))*INDEX(Z18:$AJ28,MATCH(MIN($AK18:$AK28),$AK18:$AK28,0),1)/INDEX($C18:$AJ28,MATCH(MIN($AK18:$AK28),$AK18:$AK28,0),MATCH(IF('Data-solution'!$A$3="Maximize",MAX($C29:$AI29),MIN($C29:$AI29)),$C29:$AI29,0))),Z27)</f>
        <v>0</v>
      </c>
      <c r="AA42" s="1">
        <f>IF(OR($B33&lt;&gt;$B18,$B34&lt;&gt;$B19,$B35&lt;&gt;$B20,$B36&lt;&gt;$B21,$B37&lt;&gt;$B22,$B38&lt;&gt;$B23,$B39&lt;&gt;$B24,$B40&lt;&gt;$B25,$B41&lt;&gt;$B26,$B42&lt;&gt;$B27,$B43&lt;&gt;$B28),IF($B42&lt;&gt;$B27,AA27/INDEX($C18:$AJ28,10,MATCH(IF('Data-solution'!$A$3="Maximize",MAX($C29:$AI29),MIN($C29:$AI29)),$C29:$AI29,0)),AA27-INDEX($C18:$AJ28,10,MATCH(IF('Data-solution'!$A$3="Maximize",MAX($C29:$AI29),MIN($C29:$AI29)),$C29:$AI29,0))*INDEX(AA18:$AJ28,MATCH(MIN($AK18:$AK28),$AK18:$AK28,0),1)/INDEX($C18:$AJ28,MATCH(MIN($AK18:$AK28),$AK18:$AK28,0),MATCH(IF('Data-solution'!$A$3="Maximize",MAX($C29:$AI29),MIN($C29:$AI29)),$C29:$AI29,0))),AA27)</f>
        <v>0</v>
      </c>
      <c r="AB42" s="1">
        <f>IF(OR($B33&lt;&gt;$B18,$B34&lt;&gt;$B19,$B35&lt;&gt;$B20,$B36&lt;&gt;$B21,$B37&lt;&gt;$B22,$B38&lt;&gt;$B23,$B39&lt;&gt;$B24,$B40&lt;&gt;$B25,$B41&lt;&gt;$B26,$B42&lt;&gt;$B27,$B43&lt;&gt;$B28),IF($B42&lt;&gt;$B27,AB27/INDEX($C18:$AJ28,10,MATCH(IF('Data-solution'!$A$3="Maximize",MAX($C29:$AI29),MIN($C29:$AI29)),$C29:$AI29,0)),AB27-INDEX($C18:$AJ28,10,MATCH(IF('Data-solution'!$A$3="Maximize",MAX($C29:$AI29),MIN($C29:$AI29)),$C29:$AI29,0))*INDEX(AB18:$AJ28,MATCH(MIN($AK18:$AK28),$AK18:$AK28,0),1)/INDEX($C18:$AJ28,MATCH(MIN($AK18:$AK28),$AK18:$AK28,0),MATCH(IF('Data-solution'!$A$3="Maximize",MAX($C29:$AI29),MIN($C29:$AI29)),$C29:$AI29,0))),AB27)</f>
        <v>0</v>
      </c>
      <c r="AC42" s="1">
        <f>IF(OR($B33&lt;&gt;$B18,$B34&lt;&gt;$B19,$B35&lt;&gt;$B20,$B36&lt;&gt;$B21,$B37&lt;&gt;$B22,$B38&lt;&gt;$B23,$B39&lt;&gt;$B24,$B40&lt;&gt;$B25,$B41&lt;&gt;$B26,$B42&lt;&gt;$B27,$B43&lt;&gt;$B28),IF($B42&lt;&gt;$B27,AC27/INDEX($C18:$AJ28,10,MATCH(IF('Data-solution'!$A$3="Maximize",MAX($C29:$AI29),MIN($C29:$AI29)),$C29:$AI29,0)),AC27-INDEX($C18:$AJ28,10,MATCH(IF('Data-solution'!$A$3="Maximize",MAX($C29:$AI29),MIN($C29:$AI29)),$C29:$AI29,0))*INDEX(AC18:$AJ28,MATCH(MIN($AK18:$AK28),$AK18:$AK28,0),1)/INDEX($C18:$AJ28,MATCH(MIN($AK18:$AK28),$AK18:$AK28,0),MATCH(IF('Data-solution'!$A$3="Maximize",MAX($C29:$AI29),MIN($C29:$AI29)),$C29:$AI29,0))),AC27)</f>
        <v>0</v>
      </c>
      <c r="AD42" s="1">
        <f>IF(OR($B33&lt;&gt;$B18,$B34&lt;&gt;$B19,$B35&lt;&gt;$B20,$B36&lt;&gt;$B21,$B37&lt;&gt;$B22,$B38&lt;&gt;$B23,$B39&lt;&gt;$B24,$B40&lt;&gt;$B25,$B41&lt;&gt;$B26,$B42&lt;&gt;$B27,$B43&lt;&gt;$B28),IF($B42&lt;&gt;$B27,AD27/INDEX($C18:$AJ28,10,MATCH(IF('Data-solution'!$A$3="Maximize",MAX($C29:$AI29),MIN($C29:$AI29)),$C29:$AI29,0)),AD27-INDEX($C18:$AJ28,10,MATCH(IF('Data-solution'!$A$3="Maximize",MAX($C29:$AI29),MIN($C29:$AI29)),$C29:$AI29,0))*INDEX(AD18:$AJ28,MATCH(MIN($AK18:$AK28),$AK18:$AK28,0),1)/INDEX($C18:$AJ28,MATCH(MIN($AK18:$AK28),$AK18:$AK28,0),MATCH(IF('Data-solution'!$A$3="Maximize",MAX($C29:$AI29),MIN($C29:$AI29)),$C29:$AI29,0))),AD27)</f>
        <v>0</v>
      </c>
      <c r="AE42" s="1">
        <f>IF(OR($B33&lt;&gt;$B18,$B34&lt;&gt;$B19,$B35&lt;&gt;$B20,$B36&lt;&gt;$B21,$B37&lt;&gt;$B22,$B38&lt;&gt;$B23,$B39&lt;&gt;$B24,$B40&lt;&gt;$B25,$B41&lt;&gt;$B26,$B42&lt;&gt;$B27,$B43&lt;&gt;$B28),IF($B42&lt;&gt;$B27,AE27/INDEX($C18:$AJ28,10,MATCH(IF('Data-solution'!$A$3="Maximize",MAX($C29:$AI29),MIN($C29:$AI29)),$C29:$AI29,0)),AE27-INDEX($C18:$AJ28,10,MATCH(IF('Data-solution'!$A$3="Maximize",MAX($C29:$AI29),MIN($C29:$AI29)),$C29:$AI29,0))*INDEX(AE18:$AJ28,MATCH(MIN($AK18:$AK28),$AK18:$AK28,0),1)/INDEX($C18:$AJ28,MATCH(MIN($AK18:$AK28),$AK18:$AK28,0),MATCH(IF('Data-solution'!$A$3="Maximize",MAX($C29:$AI29),MIN($C29:$AI29)),$C29:$AI29,0))),AE27)</f>
        <v>0</v>
      </c>
      <c r="AF42" s="1">
        <f>IF(OR($B33&lt;&gt;$B18,$B34&lt;&gt;$B19,$B35&lt;&gt;$B20,$B36&lt;&gt;$B21,$B37&lt;&gt;$B22,$B38&lt;&gt;$B23,$B39&lt;&gt;$B24,$B40&lt;&gt;$B25,$B41&lt;&gt;$B26,$B42&lt;&gt;$B27,$B43&lt;&gt;$B28),IF($B42&lt;&gt;$B27,AF27/INDEX($C18:$AJ28,10,MATCH(IF('Data-solution'!$A$3="Maximize",MAX($C29:$AI29),MIN($C29:$AI29)),$C29:$AI29,0)),AF27-INDEX($C18:$AJ28,10,MATCH(IF('Data-solution'!$A$3="Maximize",MAX($C29:$AI29),MIN($C29:$AI29)),$C29:$AI29,0))*INDEX(AF18:$AJ28,MATCH(MIN($AK18:$AK28),$AK18:$AK28,0),1)/INDEX($C18:$AJ28,MATCH(MIN($AK18:$AK28),$AK18:$AK28,0),MATCH(IF('Data-solution'!$A$3="Maximize",MAX($C29:$AI29),MIN($C29:$AI29)),$C29:$AI29,0))),AF27)</f>
        <v>0</v>
      </c>
      <c r="AG42" s="1">
        <f>IF(OR($B33&lt;&gt;$B18,$B34&lt;&gt;$B19,$B35&lt;&gt;$B20,$B36&lt;&gt;$B21,$B37&lt;&gt;$B22,$B38&lt;&gt;$B23,$B39&lt;&gt;$B24,$B40&lt;&gt;$B25,$B41&lt;&gt;$B26,$B42&lt;&gt;$B27,$B43&lt;&gt;$B28),IF($B42&lt;&gt;$B27,AG27/INDEX($C18:$AJ28,10,MATCH(IF('Data-solution'!$A$3="Maximize",MAX($C29:$AI29),MIN($C29:$AI29)),$C29:$AI29,0)),AG27-INDEX($C18:$AJ28,10,MATCH(IF('Data-solution'!$A$3="Maximize",MAX($C29:$AI29),MIN($C29:$AI29)),$C29:$AI29,0))*INDEX(AG18:$AJ28,MATCH(MIN($AK18:$AK28),$AK18:$AK28,0),1)/INDEX($C18:$AJ28,MATCH(MIN($AK18:$AK28),$AK18:$AK28,0),MATCH(IF('Data-solution'!$A$3="Maximize",MAX($C29:$AI29),MIN($C29:$AI29)),$C29:$AI29,0))),AG27)</f>
        <v>0</v>
      </c>
      <c r="AH42" s="1">
        <f>IF(OR($B33&lt;&gt;$B18,$B34&lt;&gt;$B19,$B35&lt;&gt;$B20,$B36&lt;&gt;$B21,$B37&lt;&gt;$B22,$B38&lt;&gt;$B23,$B39&lt;&gt;$B24,$B40&lt;&gt;$B25,$B41&lt;&gt;$B26,$B42&lt;&gt;$B27,$B43&lt;&gt;$B28),IF($B42&lt;&gt;$B27,AH27/INDEX($C18:$AJ28,10,MATCH(IF('Data-solution'!$A$3="Maximize",MAX($C29:$AI29),MIN($C29:$AI29)),$C29:$AI29,0)),AH27-INDEX($C18:$AJ28,10,MATCH(IF('Data-solution'!$A$3="Maximize",MAX($C29:$AI29),MIN($C29:$AI29)),$C29:$AI29,0))*INDEX(AH18:$AJ28,MATCH(MIN($AK18:$AK28),$AK18:$AK28,0),1)/INDEX($C18:$AJ28,MATCH(MIN($AK18:$AK28),$AK18:$AK28,0),MATCH(IF('Data-solution'!$A$3="Maximize",MAX($C29:$AI29),MIN($C29:$AI29)),$C29:$AI29,0))),AH27)</f>
        <v>1</v>
      </c>
      <c r="AI42" s="1">
        <f>IF(OR($B33&lt;&gt;$B18,$B34&lt;&gt;$B19,$B35&lt;&gt;$B20,$B36&lt;&gt;$B21,$B37&lt;&gt;$B22,$B38&lt;&gt;$B23,$B39&lt;&gt;$B24,$B40&lt;&gt;$B25,$B41&lt;&gt;$B26,$B42&lt;&gt;$B27,$B43&lt;&gt;$B28),IF($B42&lt;&gt;$B27,AI27/INDEX($C18:$AJ28,10,MATCH(IF('Data-solution'!$A$3="Maximize",MAX($C29:$AI29),MIN($C29:$AI29)),$C29:$AI29,0)),AI27-INDEX($C18:$AJ28,10,MATCH(IF('Data-solution'!$A$3="Maximize",MAX($C29:$AI29),MIN($C29:$AI29)),$C29:$AI29,0))*INDEX(AI18:$AJ28,MATCH(MIN($AK18:$AK28),$AK18:$AK28,0),1)/INDEX($C18:$AJ28,MATCH(MIN($AK18:$AK28),$AK18:$AK28,0),MATCH(IF('Data-solution'!$A$3="Maximize",MAX($C29:$AI29),MIN($C29:$AI29)),$C29:$AI29,0))),AI27)</f>
        <v>0</v>
      </c>
      <c r="AJ42" s="1">
        <f>IF(OR($B33&lt;&gt;$B18,$B34&lt;&gt;$B19,$B35&lt;&gt;$B20,$B36&lt;&gt;$B21,$B37&lt;&gt;$B22,$B38&lt;&gt;$B23,$B39&lt;&gt;$B24,$B40&lt;&gt;$B25,$B41&lt;&gt;$B26,$B42&lt;&gt;$B27,$B43&lt;&gt;$B28),IF($B42&lt;&gt;$B27,AJ27/INDEX($C18:$AJ28,10,MATCH(IF('Data-solution'!$A$3="Maximize",MAX($C29:$AI29),MIN($C29:$AI29)),$C29:$AI29,0)),AJ27-INDEX($C18:$AJ28,10,MATCH(IF('Data-solution'!$A$3="Maximize",MAX($C29:$AI29),MIN($C29:$AI29)),$C29:$AI29,0))*INDEX(AJ18:$AJ28,MATCH(MIN($AK18:$AK28),$AK18:$AK28,0),1)/INDEX($C18:$AJ28,MATCH(MIN($AK18:$AK28),$AK18:$AK28,0),MATCH(IF('Data-solution'!$A$3="Maximize",MAX($C29:$AI29),MIN($C29:$AI29)),$C29:$AI29,0))),AJ27)</f>
        <v>0</v>
      </c>
      <c r="AK42" s="1" t="str">
        <f>IF(INDEX(C42:X42,1,MATCH(IF('Data-solution'!A$3="Maximize",MAX(C44:X44),MIN(C44:X44)),C44:X44,0))&gt;0,AJ42/INDEX(C42:X42,1,MATCH(IF('Data-solution'!A$3="Maximize",MAX(C44:X44),MIN(C44:X44)),C44:X44,0))," ")</f>
        <v xml:space="preserve"> </v>
      </c>
    </row>
    <row r="43" spans="1:37" ht="18" customHeight="1" x14ac:dyDescent="0.2">
      <c r="A43" s="1">
        <f t="shared" ref="A43" si="18">INDEX(C31:AI31,1,MATCH(B43,C32:AI32,0))</f>
        <v>0</v>
      </c>
      <c r="B43" s="2" t="str">
        <f>IF(AND('Data-solution'!A$3="Maximize",COUNTIF(C29:X29,"&gt;"&amp;0)&gt;0,AK28=MIN(AK18:AK28),COUNTIF(B33:B42,INDEX(C17:X17,1,MATCH(MAX(C29:X29),C29:X29,0)))=0),INDEX(C17:X17,1,MATCH(MAX(C29:X29),C29:X29,0)),IF(AND('Data-solution'!A$3="Minimize",COUNTIF(C29:X29,"&lt;"&amp;0)&gt;0,AK28=MIN(AK18:AK28),COUNTIF(B33:B42,INDEX(C17:X17,1,MATCH(MIN(C29:X29),C29:X29,0)))=0),INDEX(C17:X17,1,MATCH(MIN(C29:X29),C29:X29,0)),B28))</f>
        <v>S11</v>
      </c>
      <c r="C43" s="1">
        <f>IF(OR($B33&lt;&gt;$B18,$B34&lt;&gt;$B19,$B35&lt;&gt;$B20,$B36&lt;&gt;$B21,$B37&lt;&gt;$B22,$B38&lt;&gt;$B23,$B39&lt;&gt;$B24,$B40&lt;&gt;$B25,$B41&lt;&gt;$B26,$B42&lt;&gt;$B27,$B43&lt;&gt;$B28),IF($B43&lt;&gt;$B28,C28/INDEX($C18:$AJ28,11,MATCH(IF('Data-solution'!$A$3="Maximize",MAX($C29:$AI29),MIN($C29:$AI29)),$C29:$AI29,0)),C28-INDEX($C18:$AJ28,11,MATCH(IF('Data-solution'!$A$3="Maximize",MAX($C29:$AI29),MIN($C29:$AI29)),$C29:$AI29,0))*INDEX(C18:$AJ28,MATCH(MIN($AK18:$AK28),$AK18:$AK28,0),1)/INDEX($C18:$AJ28,MATCH(MIN($AK18:$AK28),$AK18:$AK28,0),MATCH(IF('Data-solution'!$A$3="Maximize",MAX($C29:$AI29),MIN($C29:$AI29)),$C29:$AI29,0))),C28)</f>
        <v>0</v>
      </c>
      <c r="D43" s="1">
        <f>IF(OR($B33&lt;&gt;$B18,$B34&lt;&gt;$B19,$B35&lt;&gt;$B20,$B36&lt;&gt;$B21,$B37&lt;&gt;$B22,$B38&lt;&gt;$B23,$B39&lt;&gt;$B24,$B40&lt;&gt;$B25,$B41&lt;&gt;$B26,$B42&lt;&gt;$B27,$B43&lt;&gt;$B28),IF($B43&lt;&gt;$B28,D28/INDEX($C18:$AJ28,11,MATCH(IF('Data-solution'!$A$3="Maximize",MAX($C29:$AI29),MIN($C29:$AI29)),$C29:$AI29,0)),D28-INDEX($C18:$AJ28,11,MATCH(IF('Data-solution'!$A$3="Maximize",MAX($C29:$AI29),MIN($C29:$AI29)),$C29:$AI29,0))*INDEX(D18:$AJ28,MATCH(MIN($AK18:$AK28),$AK18:$AK28,0),1)/INDEX($C18:$AJ28,MATCH(MIN($AK18:$AK28),$AK18:$AK28,0),MATCH(IF('Data-solution'!$A$3="Maximize",MAX($C29:$AI29),MIN($C29:$AI29)),$C29:$AI29,0))),D28)</f>
        <v>0</v>
      </c>
      <c r="E43" s="1">
        <f>IF(OR($B33&lt;&gt;$B18,$B34&lt;&gt;$B19,$B35&lt;&gt;$B20,$B36&lt;&gt;$B21,$B37&lt;&gt;$B22,$B38&lt;&gt;$B23,$B39&lt;&gt;$B24,$B40&lt;&gt;$B25,$B41&lt;&gt;$B26,$B42&lt;&gt;$B27,$B43&lt;&gt;$B28),IF($B43&lt;&gt;$B28,E28/INDEX($C18:$AJ28,11,MATCH(IF('Data-solution'!$A$3="Maximize",MAX($C29:$AI29),MIN($C29:$AI29)),$C29:$AI29,0)),E28-INDEX($C18:$AJ28,11,MATCH(IF('Data-solution'!$A$3="Maximize",MAX($C29:$AI29),MIN($C29:$AI29)),$C29:$AI29,0))*INDEX(E18:$AJ28,MATCH(MIN($AK18:$AK28),$AK18:$AK28,0),1)/INDEX($C18:$AJ28,MATCH(MIN($AK18:$AK28),$AK18:$AK28,0),MATCH(IF('Data-solution'!$A$3="Maximize",MAX($C29:$AI29),MIN($C29:$AI29)),$C29:$AI29,0))),E28)</f>
        <v>0</v>
      </c>
      <c r="F43" s="1">
        <f>IF(OR($B33&lt;&gt;$B18,$B34&lt;&gt;$B19,$B35&lt;&gt;$B20,$B36&lt;&gt;$B21,$B37&lt;&gt;$B22,$B38&lt;&gt;$B23,$B39&lt;&gt;$B24,$B40&lt;&gt;$B25,$B41&lt;&gt;$B26,$B42&lt;&gt;$B27,$B43&lt;&gt;$B28),IF($B43&lt;&gt;$B28,F28/INDEX($C18:$AJ28,11,MATCH(IF('Data-solution'!$A$3="Maximize",MAX($C29:$AI29),MIN($C29:$AI29)),$C29:$AI29,0)),F28-INDEX($C18:$AJ28,11,MATCH(IF('Data-solution'!$A$3="Maximize",MAX($C29:$AI29),MIN($C29:$AI29)),$C29:$AI29,0))*INDEX(F18:$AJ28,MATCH(MIN($AK18:$AK28),$AK18:$AK28,0),1)/INDEX($C18:$AJ28,MATCH(MIN($AK18:$AK28),$AK18:$AK28,0),MATCH(IF('Data-solution'!$A$3="Maximize",MAX($C29:$AI29),MIN($C29:$AI29)),$C29:$AI29,0))),F28)</f>
        <v>0</v>
      </c>
      <c r="G43" s="1">
        <f>IF(OR($B33&lt;&gt;$B18,$B34&lt;&gt;$B19,$B35&lt;&gt;$B20,$B36&lt;&gt;$B21,$B37&lt;&gt;$B22,$B38&lt;&gt;$B23,$B39&lt;&gt;$B24,$B40&lt;&gt;$B25,$B41&lt;&gt;$B26,$B42&lt;&gt;$B27,$B43&lt;&gt;$B28),IF($B43&lt;&gt;$B28,G28/INDEX($C18:$AJ28,11,MATCH(IF('Data-solution'!$A$3="Maximize",MAX($C29:$AI29),MIN($C29:$AI29)),$C29:$AI29,0)),G28-INDEX($C18:$AJ28,11,MATCH(IF('Data-solution'!$A$3="Maximize",MAX($C29:$AI29),MIN($C29:$AI29)),$C29:$AI29,0))*INDEX(G18:$AJ28,MATCH(MIN($AK18:$AK28),$AK18:$AK28,0),1)/INDEX($C18:$AJ28,MATCH(MIN($AK18:$AK28),$AK18:$AK28,0),MATCH(IF('Data-solution'!$A$3="Maximize",MAX($C29:$AI29),MIN($C29:$AI29)),$C29:$AI29,0))),G28)</f>
        <v>0</v>
      </c>
      <c r="H43" s="1">
        <f>IF(OR($B33&lt;&gt;$B18,$B34&lt;&gt;$B19,$B35&lt;&gt;$B20,$B36&lt;&gt;$B21,$B37&lt;&gt;$B22,$B38&lt;&gt;$B23,$B39&lt;&gt;$B24,$B40&lt;&gt;$B25,$B41&lt;&gt;$B26,$B42&lt;&gt;$B27,$B43&lt;&gt;$B28),IF($B43&lt;&gt;$B28,H28/INDEX($C18:$AJ28,11,MATCH(IF('Data-solution'!$A$3="Maximize",MAX($C29:$AI29),MIN($C29:$AI29)),$C29:$AI29,0)),H28-INDEX($C18:$AJ28,11,MATCH(IF('Data-solution'!$A$3="Maximize",MAX($C29:$AI29),MIN($C29:$AI29)),$C29:$AI29,0))*INDEX(H18:$AJ28,MATCH(MIN($AK18:$AK28),$AK18:$AK28,0),1)/INDEX($C18:$AJ28,MATCH(MIN($AK18:$AK28),$AK18:$AK28,0),MATCH(IF('Data-solution'!$A$3="Maximize",MAX($C29:$AI29),MIN($C29:$AI29)),$C29:$AI29,0))),H28)</f>
        <v>0</v>
      </c>
      <c r="I43" s="1">
        <f>IF(OR($B33&lt;&gt;$B18,$B34&lt;&gt;$B19,$B35&lt;&gt;$B20,$B36&lt;&gt;$B21,$B37&lt;&gt;$B22,$B38&lt;&gt;$B23,$B39&lt;&gt;$B24,$B40&lt;&gt;$B25,$B41&lt;&gt;$B26,$B42&lt;&gt;$B27,$B43&lt;&gt;$B28),IF($B43&lt;&gt;$B28,I28/INDEX($C18:$AJ28,11,MATCH(IF('Data-solution'!$A$3="Maximize",MAX($C29:$AI29),MIN($C29:$AI29)),$C29:$AI29,0)),I28-INDEX($C18:$AJ28,11,MATCH(IF('Data-solution'!$A$3="Maximize",MAX($C29:$AI29),MIN($C29:$AI29)),$C29:$AI29,0))*INDEX(I18:$AJ28,MATCH(MIN($AK18:$AK28),$AK18:$AK28,0),1)/INDEX($C18:$AJ28,MATCH(MIN($AK18:$AK28),$AK18:$AK28,0),MATCH(IF('Data-solution'!$A$3="Maximize",MAX($C29:$AI29),MIN($C29:$AI29)),$C29:$AI29,0))),I28)</f>
        <v>0</v>
      </c>
      <c r="J43" s="1">
        <f>IF(OR($B33&lt;&gt;$B18,$B34&lt;&gt;$B19,$B35&lt;&gt;$B20,$B36&lt;&gt;$B21,$B37&lt;&gt;$B22,$B38&lt;&gt;$B23,$B39&lt;&gt;$B24,$B40&lt;&gt;$B25,$B41&lt;&gt;$B26,$B42&lt;&gt;$B27,$B43&lt;&gt;$B28),IF($B43&lt;&gt;$B28,J28/INDEX($C18:$AJ28,11,MATCH(IF('Data-solution'!$A$3="Maximize",MAX($C29:$AI29),MIN($C29:$AI29)),$C29:$AI29,0)),J28-INDEX($C18:$AJ28,11,MATCH(IF('Data-solution'!$A$3="Maximize",MAX($C29:$AI29),MIN($C29:$AI29)),$C29:$AI29,0))*INDEX(J18:$AJ28,MATCH(MIN($AK18:$AK28),$AK18:$AK28,0),1)/INDEX($C18:$AJ28,MATCH(MIN($AK18:$AK28),$AK18:$AK28,0),MATCH(IF('Data-solution'!$A$3="Maximize",MAX($C29:$AI29),MIN($C29:$AI29)),$C29:$AI29,0))),J28)</f>
        <v>0</v>
      </c>
      <c r="K43" s="1">
        <f>IF(OR($B33&lt;&gt;$B18,$B34&lt;&gt;$B19,$B35&lt;&gt;$B20,$B36&lt;&gt;$B21,$B37&lt;&gt;$B22,$B38&lt;&gt;$B23,$B39&lt;&gt;$B24,$B40&lt;&gt;$B25,$B41&lt;&gt;$B26,$B42&lt;&gt;$B27,$B43&lt;&gt;$B28),IF($B43&lt;&gt;$B28,K28/INDEX($C18:$AJ28,11,MATCH(IF('Data-solution'!$A$3="Maximize",MAX($C29:$AI29),MIN($C29:$AI29)),$C29:$AI29,0)),K28-INDEX($C18:$AJ28,11,MATCH(IF('Data-solution'!$A$3="Maximize",MAX($C29:$AI29),MIN($C29:$AI29)),$C29:$AI29,0))*INDEX(K18:$AJ28,MATCH(MIN($AK18:$AK28),$AK18:$AK28,0),1)/INDEX($C18:$AJ28,MATCH(MIN($AK18:$AK28),$AK18:$AK28,0),MATCH(IF('Data-solution'!$A$3="Maximize",MAX($C29:$AI29),MIN($C29:$AI29)),$C29:$AI29,0))),K28)</f>
        <v>0</v>
      </c>
      <c r="L43" s="1">
        <f>IF(OR($B33&lt;&gt;$B18,$B34&lt;&gt;$B19,$B35&lt;&gt;$B20,$B36&lt;&gt;$B21,$B37&lt;&gt;$B22,$B38&lt;&gt;$B23,$B39&lt;&gt;$B24,$B40&lt;&gt;$B25,$B41&lt;&gt;$B26,$B42&lt;&gt;$B27,$B43&lt;&gt;$B28),IF($B43&lt;&gt;$B28,L28/INDEX($C18:$AJ28,11,MATCH(IF('Data-solution'!$A$3="Maximize",MAX($C29:$AI29),MIN($C29:$AI29)),$C29:$AI29,0)),L28-INDEX($C18:$AJ28,11,MATCH(IF('Data-solution'!$A$3="Maximize",MAX($C29:$AI29),MIN($C29:$AI29)),$C29:$AI29,0))*INDEX(L18:$AJ28,MATCH(MIN($AK18:$AK28),$AK18:$AK28,0),1)/INDEX($C18:$AJ28,MATCH(MIN($AK18:$AK28),$AK18:$AK28,0),MATCH(IF('Data-solution'!$A$3="Maximize",MAX($C29:$AI29),MIN($C29:$AI29)),$C29:$AI29,0))),L28)</f>
        <v>0</v>
      </c>
      <c r="M43" s="1">
        <f>IF(OR($B33&lt;&gt;$B18,$B34&lt;&gt;$B19,$B35&lt;&gt;$B20,$B36&lt;&gt;$B21,$B37&lt;&gt;$B22,$B38&lt;&gt;$B23,$B39&lt;&gt;$B24,$B40&lt;&gt;$B25,$B41&lt;&gt;$B26,$B42&lt;&gt;$B27,$B43&lt;&gt;$B28),IF($B43&lt;&gt;$B28,M28/INDEX($C18:$AJ28,11,MATCH(IF('Data-solution'!$A$3="Maximize",MAX($C29:$AI29),MIN($C29:$AI29)),$C29:$AI29,0)),M28-INDEX($C18:$AJ28,11,MATCH(IF('Data-solution'!$A$3="Maximize",MAX($C29:$AI29),MIN($C29:$AI29)),$C29:$AI29,0))*INDEX(M18:$AJ28,MATCH(MIN($AK18:$AK28),$AK18:$AK28,0),1)/INDEX($C18:$AJ28,MATCH(MIN($AK18:$AK28),$AK18:$AK28,0),MATCH(IF('Data-solution'!$A$3="Maximize",MAX($C29:$AI29),MIN($C29:$AI29)),$C29:$AI29,0))),M28)</f>
        <v>0</v>
      </c>
      <c r="N43" s="1">
        <f>IF(OR($B33&lt;&gt;$B18,$B34&lt;&gt;$B19,$B35&lt;&gt;$B20,$B36&lt;&gt;$B21,$B37&lt;&gt;$B22,$B38&lt;&gt;$B23,$B39&lt;&gt;$B24,$B40&lt;&gt;$B25,$B41&lt;&gt;$B26,$B42&lt;&gt;$B27,$B43&lt;&gt;$B28),IF($B43&lt;&gt;$B28,N28/INDEX($C18:$AJ28,11,MATCH(IF('Data-solution'!$A$3="Maximize",MAX($C29:$AI29),MIN($C29:$AI29)),$C29:$AI29,0)),N28-INDEX($C18:$AJ28,11,MATCH(IF('Data-solution'!$A$3="Maximize",MAX($C29:$AI29),MIN($C29:$AI29)),$C29:$AI29,0))*INDEX(N18:$AJ28,MATCH(MIN($AK18:$AK28),$AK18:$AK28,0),1)/INDEX($C18:$AJ28,MATCH(MIN($AK18:$AK28),$AK18:$AK28,0),MATCH(IF('Data-solution'!$A$3="Maximize",MAX($C29:$AI29),MIN($C29:$AI29)),$C29:$AI29,0))),N28)</f>
        <v>0</v>
      </c>
      <c r="O43" s="1">
        <f>IF(OR($B33&lt;&gt;$B18,$B34&lt;&gt;$B19,$B35&lt;&gt;$B20,$B36&lt;&gt;$B21,$B37&lt;&gt;$B22,$B38&lt;&gt;$B23,$B39&lt;&gt;$B24,$B40&lt;&gt;$B25,$B41&lt;&gt;$B26,$B42&lt;&gt;$B27,$B43&lt;&gt;$B28),IF($B43&lt;&gt;$B28,O28/INDEX($C18:$AJ28,11,MATCH(IF('Data-solution'!$A$3="Maximize",MAX($C29:$AI29),MIN($C29:$AI29)),$C29:$AI29,0)),O28-INDEX($C18:$AJ28,11,MATCH(IF('Data-solution'!$A$3="Maximize",MAX($C29:$AI29),MIN($C29:$AI29)),$C29:$AI29,0))*INDEX(O18:$AJ28,MATCH(MIN($AK18:$AK28),$AK18:$AK28,0),1)/INDEX($C18:$AJ28,MATCH(MIN($AK18:$AK28),$AK18:$AK28,0),MATCH(IF('Data-solution'!$A$3="Maximize",MAX($C29:$AI29),MIN($C29:$AI29)),$C29:$AI29,0))),O28)</f>
        <v>0</v>
      </c>
      <c r="P43" s="1">
        <f>IF(OR($B33&lt;&gt;$B18,$B34&lt;&gt;$B19,$B35&lt;&gt;$B20,$B36&lt;&gt;$B21,$B37&lt;&gt;$B22,$B38&lt;&gt;$B23,$B39&lt;&gt;$B24,$B40&lt;&gt;$B25,$B41&lt;&gt;$B26,$B42&lt;&gt;$B27,$B43&lt;&gt;$B28),IF($B43&lt;&gt;$B28,P28/INDEX($C18:$AJ28,11,MATCH(IF('Data-solution'!$A$3="Maximize",MAX($C29:$AI29),MIN($C29:$AI29)),$C29:$AI29,0)),P28-INDEX($C18:$AJ28,11,MATCH(IF('Data-solution'!$A$3="Maximize",MAX($C29:$AI29),MIN($C29:$AI29)),$C29:$AI29,0))*INDEX(P18:$AJ28,MATCH(MIN($AK18:$AK28),$AK18:$AK28,0),1)/INDEX($C18:$AJ28,MATCH(MIN($AK18:$AK28),$AK18:$AK28,0),MATCH(IF('Data-solution'!$A$3="Maximize",MAX($C29:$AI29),MIN($C29:$AI29)),$C29:$AI29,0))),P28)</f>
        <v>0</v>
      </c>
      <c r="Q43" s="1">
        <f>IF(OR($B33&lt;&gt;$B18,$B34&lt;&gt;$B19,$B35&lt;&gt;$B20,$B36&lt;&gt;$B21,$B37&lt;&gt;$B22,$B38&lt;&gt;$B23,$B39&lt;&gt;$B24,$B40&lt;&gt;$B25,$B41&lt;&gt;$B26,$B42&lt;&gt;$B27,$B43&lt;&gt;$B28),IF($B43&lt;&gt;$B28,Q28/INDEX($C18:$AJ28,11,MATCH(IF('Data-solution'!$A$3="Maximize",MAX($C29:$AI29),MIN($C29:$AI29)),$C29:$AI29,0)),Q28-INDEX($C18:$AJ28,11,MATCH(IF('Data-solution'!$A$3="Maximize",MAX($C29:$AI29),MIN($C29:$AI29)),$C29:$AI29,0))*INDEX(Q18:$AJ28,MATCH(MIN($AK18:$AK28),$AK18:$AK28,0),1)/INDEX($C18:$AJ28,MATCH(MIN($AK18:$AK28),$AK18:$AK28,0),MATCH(IF('Data-solution'!$A$3="Maximize",MAX($C29:$AI29),MIN($C29:$AI29)),$C29:$AI29,0))),Q28)</f>
        <v>0</v>
      </c>
      <c r="R43" s="1">
        <f>IF(OR($B33&lt;&gt;$B18,$B34&lt;&gt;$B19,$B35&lt;&gt;$B20,$B36&lt;&gt;$B21,$B37&lt;&gt;$B22,$B38&lt;&gt;$B23,$B39&lt;&gt;$B24,$B40&lt;&gt;$B25,$B41&lt;&gt;$B26,$B42&lt;&gt;$B27,$B43&lt;&gt;$B28),IF($B43&lt;&gt;$B28,R28/INDEX($C18:$AJ28,11,MATCH(IF('Data-solution'!$A$3="Maximize",MAX($C29:$AI29),MIN($C29:$AI29)),$C29:$AI29,0)),R28-INDEX($C18:$AJ28,11,MATCH(IF('Data-solution'!$A$3="Maximize",MAX($C29:$AI29),MIN($C29:$AI29)),$C29:$AI29,0))*INDEX(R18:$AJ28,MATCH(MIN($AK18:$AK28),$AK18:$AK28,0),1)/INDEX($C18:$AJ28,MATCH(MIN($AK18:$AK28),$AK18:$AK28,0),MATCH(IF('Data-solution'!$A$3="Maximize",MAX($C29:$AI29),MIN($C29:$AI29)),$C29:$AI29,0))),R28)</f>
        <v>0</v>
      </c>
      <c r="S43" s="1">
        <f>IF(OR($B33&lt;&gt;$B18,$B34&lt;&gt;$B19,$B35&lt;&gt;$B20,$B36&lt;&gt;$B21,$B37&lt;&gt;$B22,$B38&lt;&gt;$B23,$B39&lt;&gt;$B24,$B40&lt;&gt;$B25,$B41&lt;&gt;$B26,$B42&lt;&gt;$B27,$B43&lt;&gt;$B28),IF($B43&lt;&gt;$B28,S28/INDEX($C18:$AJ28,11,MATCH(IF('Data-solution'!$A$3="Maximize",MAX($C29:$AI29),MIN($C29:$AI29)),$C29:$AI29,0)),S28-INDEX($C18:$AJ28,11,MATCH(IF('Data-solution'!$A$3="Maximize",MAX($C29:$AI29),MIN($C29:$AI29)),$C29:$AI29,0))*INDEX(S18:$AJ28,MATCH(MIN($AK18:$AK28),$AK18:$AK28,0),1)/INDEX($C18:$AJ28,MATCH(MIN($AK18:$AK28),$AK18:$AK28,0),MATCH(IF('Data-solution'!$A$3="Maximize",MAX($C29:$AI29),MIN($C29:$AI29)),$C29:$AI29,0))),S28)</f>
        <v>0</v>
      </c>
      <c r="T43" s="1">
        <f>IF(OR($B33&lt;&gt;$B18,$B34&lt;&gt;$B19,$B35&lt;&gt;$B20,$B36&lt;&gt;$B21,$B37&lt;&gt;$B22,$B38&lt;&gt;$B23,$B39&lt;&gt;$B24,$B40&lt;&gt;$B25,$B41&lt;&gt;$B26,$B42&lt;&gt;$B27,$B43&lt;&gt;$B28),IF($B43&lt;&gt;$B28,T28/INDEX($C18:$AJ28,11,MATCH(IF('Data-solution'!$A$3="Maximize",MAX($C29:$AI29),MIN($C29:$AI29)),$C29:$AI29,0)),T28-INDEX($C18:$AJ28,11,MATCH(IF('Data-solution'!$A$3="Maximize",MAX($C29:$AI29),MIN($C29:$AI29)),$C29:$AI29,0))*INDEX(T18:$AJ28,MATCH(MIN($AK18:$AK28),$AK18:$AK28,0),1)/INDEX($C18:$AJ28,MATCH(MIN($AK18:$AK28),$AK18:$AK28,0),MATCH(IF('Data-solution'!$A$3="Maximize",MAX($C29:$AI29),MIN($C29:$AI29)),$C29:$AI29,0))),T28)</f>
        <v>0</v>
      </c>
      <c r="U43" s="1">
        <f>IF(OR($B33&lt;&gt;$B18,$B34&lt;&gt;$B19,$B35&lt;&gt;$B20,$B36&lt;&gt;$B21,$B37&lt;&gt;$B22,$B38&lt;&gt;$B23,$B39&lt;&gt;$B24,$B40&lt;&gt;$B25,$B41&lt;&gt;$B26,$B42&lt;&gt;$B27,$B43&lt;&gt;$B28),IF($B43&lt;&gt;$B28,U28/INDEX($C18:$AJ28,11,MATCH(IF('Data-solution'!$A$3="Maximize",MAX($C29:$AI29),MIN($C29:$AI29)),$C29:$AI29,0)),U28-INDEX($C18:$AJ28,11,MATCH(IF('Data-solution'!$A$3="Maximize",MAX($C29:$AI29),MIN($C29:$AI29)),$C29:$AI29,0))*INDEX(U18:$AJ28,MATCH(MIN($AK18:$AK28),$AK18:$AK28,0),1)/INDEX($C18:$AJ28,MATCH(MIN($AK18:$AK28),$AK18:$AK28,0),MATCH(IF('Data-solution'!$A$3="Maximize",MAX($C29:$AI29),MIN($C29:$AI29)),$C29:$AI29,0))),U28)</f>
        <v>0</v>
      </c>
      <c r="V43" s="1">
        <f>IF(OR($B33&lt;&gt;$B18,$B34&lt;&gt;$B19,$B35&lt;&gt;$B20,$B36&lt;&gt;$B21,$B37&lt;&gt;$B22,$B38&lt;&gt;$B23,$B39&lt;&gt;$B24,$B40&lt;&gt;$B25,$B41&lt;&gt;$B26,$B42&lt;&gt;$B27,$B43&lt;&gt;$B28),IF($B43&lt;&gt;$B28,V28/INDEX($C18:$AJ28,11,MATCH(IF('Data-solution'!$A$3="Maximize",MAX($C29:$AI29),MIN($C29:$AI29)),$C29:$AI29,0)),V28-INDEX($C18:$AJ28,11,MATCH(IF('Data-solution'!$A$3="Maximize",MAX($C29:$AI29),MIN($C29:$AI29)),$C29:$AI29,0))*INDEX(V18:$AJ28,MATCH(MIN($AK18:$AK28),$AK18:$AK28,0),1)/INDEX($C18:$AJ28,MATCH(MIN($AK18:$AK28),$AK18:$AK28,0),MATCH(IF('Data-solution'!$A$3="Maximize",MAX($C29:$AI29),MIN($C29:$AI29)),$C29:$AI29,0))),V28)</f>
        <v>0</v>
      </c>
      <c r="W43" s="1">
        <f>IF(OR($B33&lt;&gt;$B18,$B34&lt;&gt;$B19,$B35&lt;&gt;$B20,$B36&lt;&gt;$B21,$B37&lt;&gt;$B22,$B38&lt;&gt;$B23,$B39&lt;&gt;$B24,$B40&lt;&gt;$B25,$B41&lt;&gt;$B26,$B42&lt;&gt;$B27,$B43&lt;&gt;$B28),IF($B43&lt;&gt;$B28,W28/INDEX($C18:$AJ28,11,MATCH(IF('Data-solution'!$A$3="Maximize",MAX($C29:$AI29),MIN($C29:$AI29)),$C29:$AI29,0)),W28-INDEX($C18:$AJ28,11,MATCH(IF('Data-solution'!$A$3="Maximize",MAX($C29:$AI29),MIN($C29:$AI29)),$C29:$AI29,0))*INDEX(W18:$AJ28,MATCH(MIN($AK18:$AK28),$AK18:$AK28,0),1)/INDEX($C18:$AJ28,MATCH(MIN($AK18:$AK28),$AK18:$AK28,0),MATCH(IF('Data-solution'!$A$3="Maximize",MAX($C29:$AI29),MIN($C29:$AI29)),$C29:$AI29,0))),W28)</f>
        <v>0</v>
      </c>
      <c r="X43" s="1">
        <f>IF(OR($B33&lt;&gt;$B18,$B34&lt;&gt;$B19,$B35&lt;&gt;$B20,$B36&lt;&gt;$B21,$B37&lt;&gt;$B22,$B38&lt;&gt;$B23,$B39&lt;&gt;$B24,$B40&lt;&gt;$B25,$B41&lt;&gt;$B26,$B42&lt;&gt;$B27,$B43&lt;&gt;$B28),IF($B43&lt;&gt;$B28,X28/INDEX($C18:$AJ28,11,MATCH(IF('Data-solution'!$A$3="Maximize",MAX($C29:$AI29),MIN($C29:$AI29)),$C29:$AI29,0)),X28-INDEX($C18:$AJ28,11,MATCH(IF('Data-solution'!$A$3="Maximize",MAX($C29:$AI29),MIN($C29:$AI29)),$C29:$AI29,0))*INDEX(X18:$AJ28,MATCH(MIN($AK18:$AK28),$AK18:$AK28,0),1)/INDEX($C18:$AJ28,MATCH(MIN($AK18:$AK28),$AK18:$AK28,0),MATCH(IF('Data-solution'!$A$3="Maximize",MAX($C29:$AI29),MIN($C29:$AI29)),$C29:$AI29,0))),X28)</f>
        <v>1</v>
      </c>
      <c r="Y43" s="1">
        <f>IF(OR($B33&lt;&gt;$B18,$B34&lt;&gt;$B19,$B35&lt;&gt;$B20,$B36&lt;&gt;$B21,$B37&lt;&gt;$B22,$B38&lt;&gt;$B23,$B39&lt;&gt;$B24,$B40&lt;&gt;$B25,$B41&lt;&gt;$B26,$B42&lt;&gt;$B27,$B43&lt;&gt;$B28),IF($B43&lt;&gt;$B28,Y28/INDEX($C18:$AJ28,11,MATCH(IF('Data-solution'!$A$3="Maximize",MAX($C29:$AI29),MIN($C29:$AI29)),$C29:$AI29,0)),Y28-INDEX($C18:$AJ28,11,MATCH(IF('Data-solution'!$A$3="Maximize",MAX($C29:$AI29),MIN($C29:$AI29)),$C29:$AI29,0))*INDEX(Y18:$AJ28,MATCH(MIN($AK18:$AK28),$AK18:$AK28,0),1)/INDEX($C18:$AJ28,MATCH(MIN($AK18:$AK28),$AK18:$AK28,0),MATCH(IF('Data-solution'!$A$3="Maximize",MAX($C29:$AI29),MIN($C29:$AI29)),$C29:$AI29,0))),Y28)</f>
        <v>0</v>
      </c>
      <c r="Z43" s="1">
        <f>IF(OR($B33&lt;&gt;$B18,$B34&lt;&gt;$B19,$B35&lt;&gt;$B20,$B36&lt;&gt;$B21,$B37&lt;&gt;$B22,$B38&lt;&gt;$B23,$B39&lt;&gt;$B24,$B40&lt;&gt;$B25,$B41&lt;&gt;$B26,$B42&lt;&gt;$B27,$B43&lt;&gt;$B28),IF($B43&lt;&gt;$B28,Z28/INDEX($C18:$AJ28,11,MATCH(IF('Data-solution'!$A$3="Maximize",MAX($C29:$AI29),MIN($C29:$AI29)),$C29:$AI29,0)),Z28-INDEX($C18:$AJ28,11,MATCH(IF('Data-solution'!$A$3="Maximize",MAX($C29:$AI29),MIN($C29:$AI29)),$C29:$AI29,0))*INDEX(Z18:$AJ28,MATCH(MIN($AK18:$AK28),$AK18:$AK28,0),1)/INDEX($C18:$AJ28,MATCH(MIN($AK18:$AK28),$AK18:$AK28,0),MATCH(IF('Data-solution'!$A$3="Maximize",MAX($C29:$AI29),MIN($C29:$AI29)),$C29:$AI29,0))),Z28)</f>
        <v>0</v>
      </c>
      <c r="AA43" s="1">
        <f>IF(OR($B33&lt;&gt;$B18,$B34&lt;&gt;$B19,$B35&lt;&gt;$B20,$B36&lt;&gt;$B21,$B37&lt;&gt;$B22,$B38&lt;&gt;$B23,$B39&lt;&gt;$B24,$B40&lt;&gt;$B25,$B41&lt;&gt;$B26,$B42&lt;&gt;$B27,$B43&lt;&gt;$B28),IF($B43&lt;&gt;$B28,AA28/INDEX($C18:$AJ28,11,MATCH(IF('Data-solution'!$A$3="Maximize",MAX($C29:$AI29),MIN($C29:$AI29)),$C29:$AI29,0)),AA28-INDEX($C18:$AJ28,11,MATCH(IF('Data-solution'!$A$3="Maximize",MAX($C29:$AI29),MIN($C29:$AI29)),$C29:$AI29,0))*INDEX(AA18:$AJ28,MATCH(MIN($AK18:$AK28),$AK18:$AK28,0),1)/INDEX($C18:$AJ28,MATCH(MIN($AK18:$AK28),$AK18:$AK28,0),MATCH(IF('Data-solution'!$A$3="Maximize",MAX($C29:$AI29),MIN($C29:$AI29)),$C29:$AI29,0))),AA28)</f>
        <v>0</v>
      </c>
      <c r="AB43" s="1">
        <f>IF(OR($B33&lt;&gt;$B18,$B34&lt;&gt;$B19,$B35&lt;&gt;$B20,$B36&lt;&gt;$B21,$B37&lt;&gt;$B22,$B38&lt;&gt;$B23,$B39&lt;&gt;$B24,$B40&lt;&gt;$B25,$B41&lt;&gt;$B26,$B42&lt;&gt;$B27,$B43&lt;&gt;$B28),IF($B43&lt;&gt;$B28,AB28/INDEX($C18:$AJ28,11,MATCH(IF('Data-solution'!$A$3="Maximize",MAX($C29:$AI29),MIN($C29:$AI29)),$C29:$AI29,0)),AB28-INDEX($C18:$AJ28,11,MATCH(IF('Data-solution'!$A$3="Maximize",MAX($C29:$AI29),MIN($C29:$AI29)),$C29:$AI29,0))*INDEX(AB18:$AJ28,MATCH(MIN($AK18:$AK28),$AK18:$AK28,0),1)/INDEX($C18:$AJ28,MATCH(MIN($AK18:$AK28),$AK18:$AK28,0),MATCH(IF('Data-solution'!$A$3="Maximize",MAX($C29:$AI29),MIN($C29:$AI29)),$C29:$AI29,0))),AB28)</f>
        <v>0</v>
      </c>
      <c r="AC43" s="1">
        <f>IF(OR($B33&lt;&gt;$B18,$B34&lt;&gt;$B19,$B35&lt;&gt;$B20,$B36&lt;&gt;$B21,$B37&lt;&gt;$B22,$B38&lt;&gt;$B23,$B39&lt;&gt;$B24,$B40&lt;&gt;$B25,$B41&lt;&gt;$B26,$B42&lt;&gt;$B27,$B43&lt;&gt;$B28),IF($B43&lt;&gt;$B28,AC28/INDEX($C18:$AJ28,11,MATCH(IF('Data-solution'!$A$3="Maximize",MAX($C29:$AI29),MIN($C29:$AI29)),$C29:$AI29,0)),AC28-INDEX($C18:$AJ28,11,MATCH(IF('Data-solution'!$A$3="Maximize",MAX($C29:$AI29),MIN($C29:$AI29)),$C29:$AI29,0))*INDEX(AC18:$AJ28,MATCH(MIN($AK18:$AK28),$AK18:$AK28,0),1)/INDEX($C18:$AJ28,MATCH(MIN($AK18:$AK28),$AK18:$AK28,0),MATCH(IF('Data-solution'!$A$3="Maximize",MAX($C29:$AI29),MIN($C29:$AI29)),$C29:$AI29,0))),AC28)</f>
        <v>0</v>
      </c>
      <c r="AD43" s="1">
        <f>IF(OR($B33&lt;&gt;$B18,$B34&lt;&gt;$B19,$B35&lt;&gt;$B20,$B36&lt;&gt;$B21,$B37&lt;&gt;$B22,$B38&lt;&gt;$B23,$B39&lt;&gt;$B24,$B40&lt;&gt;$B25,$B41&lt;&gt;$B26,$B42&lt;&gt;$B27,$B43&lt;&gt;$B28),IF($B43&lt;&gt;$B28,AD28/INDEX($C18:$AJ28,11,MATCH(IF('Data-solution'!$A$3="Maximize",MAX($C29:$AI29),MIN($C29:$AI29)),$C29:$AI29,0)),AD28-INDEX($C18:$AJ28,11,MATCH(IF('Data-solution'!$A$3="Maximize",MAX($C29:$AI29),MIN($C29:$AI29)),$C29:$AI29,0))*INDEX(AD18:$AJ28,MATCH(MIN($AK18:$AK28),$AK18:$AK28,0),1)/INDEX($C18:$AJ28,MATCH(MIN($AK18:$AK28),$AK18:$AK28,0),MATCH(IF('Data-solution'!$A$3="Maximize",MAX($C29:$AI29),MIN($C29:$AI29)),$C29:$AI29,0))),AD28)</f>
        <v>0</v>
      </c>
      <c r="AE43" s="1">
        <f>IF(OR($B33&lt;&gt;$B18,$B34&lt;&gt;$B19,$B35&lt;&gt;$B20,$B36&lt;&gt;$B21,$B37&lt;&gt;$B22,$B38&lt;&gt;$B23,$B39&lt;&gt;$B24,$B40&lt;&gt;$B25,$B41&lt;&gt;$B26,$B42&lt;&gt;$B27,$B43&lt;&gt;$B28),IF($B43&lt;&gt;$B28,AE28/INDEX($C18:$AJ28,11,MATCH(IF('Data-solution'!$A$3="Maximize",MAX($C29:$AI29),MIN($C29:$AI29)),$C29:$AI29,0)),AE28-INDEX($C18:$AJ28,11,MATCH(IF('Data-solution'!$A$3="Maximize",MAX($C29:$AI29),MIN($C29:$AI29)),$C29:$AI29,0))*INDEX(AE18:$AJ28,MATCH(MIN($AK18:$AK28),$AK18:$AK28,0),1)/INDEX($C18:$AJ28,MATCH(MIN($AK18:$AK28),$AK18:$AK28,0),MATCH(IF('Data-solution'!$A$3="Maximize",MAX($C29:$AI29),MIN($C29:$AI29)),$C29:$AI29,0))),AE28)</f>
        <v>0</v>
      </c>
      <c r="AF43" s="1">
        <f>IF(OR($B33&lt;&gt;$B18,$B34&lt;&gt;$B19,$B35&lt;&gt;$B20,$B36&lt;&gt;$B21,$B37&lt;&gt;$B22,$B38&lt;&gt;$B23,$B39&lt;&gt;$B24,$B40&lt;&gt;$B25,$B41&lt;&gt;$B26,$B42&lt;&gt;$B27,$B43&lt;&gt;$B28),IF($B43&lt;&gt;$B28,AF28/INDEX($C18:$AJ28,11,MATCH(IF('Data-solution'!$A$3="Maximize",MAX($C29:$AI29),MIN($C29:$AI29)),$C29:$AI29,0)),AF28-INDEX($C18:$AJ28,11,MATCH(IF('Data-solution'!$A$3="Maximize",MAX($C29:$AI29),MIN($C29:$AI29)),$C29:$AI29,0))*INDEX(AF18:$AJ28,MATCH(MIN($AK18:$AK28),$AK18:$AK28,0),1)/INDEX($C18:$AJ28,MATCH(MIN($AK18:$AK28),$AK18:$AK28,0),MATCH(IF('Data-solution'!$A$3="Maximize",MAX($C29:$AI29),MIN($C29:$AI29)),$C29:$AI29,0))),AF28)</f>
        <v>0</v>
      </c>
      <c r="AG43" s="1">
        <f>IF(OR($B33&lt;&gt;$B18,$B34&lt;&gt;$B19,$B35&lt;&gt;$B20,$B36&lt;&gt;$B21,$B37&lt;&gt;$B22,$B38&lt;&gt;$B23,$B39&lt;&gt;$B24,$B40&lt;&gt;$B25,$B41&lt;&gt;$B26,$B42&lt;&gt;$B27,$B43&lt;&gt;$B28),IF($B43&lt;&gt;$B28,AG28/INDEX($C18:$AJ28,11,MATCH(IF('Data-solution'!$A$3="Maximize",MAX($C29:$AI29),MIN($C29:$AI29)),$C29:$AI29,0)),AG28-INDEX($C18:$AJ28,11,MATCH(IF('Data-solution'!$A$3="Maximize",MAX($C29:$AI29),MIN($C29:$AI29)),$C29:$AI29,0))*INDEX(AG18:$AJ28,MATCH(MIN($AK18:$AK28),$AK18:$AK28,0),1)/INDEX($C18:$AJ28,MATCH(MIN($AK18:$AK28),$AK18:$AK28,0),MATCH(IF('Data-solution'!$A$3="Maximize",MAX($C29:$AI29),MIN($C29:$AI29)),$C29:$AI29,0))),AG28)</f>
        <v>0</v>
      </c>
      <c r="AH43" s="1">
        <f>IF(OR($B33&lt;&gt;$B18,$B34&lt;&gt;$B19,$B35&lt;&gt;$B20,$B36&lt;&gt;$B21,$B37&lt;&gt;$B22,$B38&lt;&gt;$B23,$B39&lt;&gt;$B24,$B40&lt;&gt;$B25,$B41&lt;&gt;$B26,$B42&lt;&gt;$B27,$B43&lt;&gt;$B28),IF($B43&lt;&gt;$B28,AH28/INDEX($C18:$AJ28,11,MATCH(IF('Data-solution'!$A$3="Maximize",MAX($C29:$AI29),MIN($C29:$AI29)),$C29:$AI29,0)),AH28-INDEX($C18:$AJ28,11,MATCH(IF('Data-solution'!$A$3="Maximize",MAX($C29:$AI29),MIN($C29:$AI29)),$C29:$AI29,0))*INDEX(AH18:$AJ28,MATCH(MIN($AK18:$AK28),$AK18:$AK28,0),1)/INDEX($C18:$AJ28,MATCH(MIN($AK18:$AK28),$AK18:$AK28,0),MATCH(IF('Data-solution'!$A$3="Maximize",MAX($C29:$AI29),MIN($C29:$AI29)),$C29:$AI29,0))),AH28)</f>
        <v>0</v>
      </c>
      <c r="AI43" s="1">
        <f>IF(OR($B33&lt;&gt;$B18,$B34&lt;&gt;$B19,$B35&lt;&gt;$B20,$B36&lt;&gt;$B21,$B37&lt;&gt;$B22,$B38&lt;&gt;$B23,$B39&lt;&gt;$B24,$B40&lt;&gt;$B25,$B41&lt;&gt;$B26,$B42&lt;&gt;$B27,$B43&lt;&gt;$B28),IF($B43&lt;&gt;$B28,AI28/INDEX($C18:$AJ28,11,MATCH(IF('Data-solution'!$A$3="Maximize",MAX($C29:$AI29),MIN($C29:$AI29)),$C29:$AI29,0)),AI28-INDEX($C18:$AJ28,11,MATCH(IF('Data-solution'!$A$3="Maximize",MAX($C29:$AI29),MIN($C29:$AI29)),$C29:$AI29,0))*INDEX(AI18:$AJ28,MATCH(MIN($AK18:$AK28),$AK18:$AK28,0),1)/INDEX($C18:$AJ28,MATCH(MIN($AK18:$AK28),$AK18:$AK28,0),MATCH(IF('Data-solution'!$A$3="Maximize",MAX($C29:$AI29),MIN($C29:$AI29)),$C29:$AI29,0))),AI28)</f>
        <v>1</v>
      </c>
      <c r="AJ43" s="1">
        <f>IF(OR($B33&lt;&gt;$B18,$B34&lt;&gt;$B19,$B35&lt;&gt;$B20,$B36&lt;&gt;$B21,$B37&lt;&gt;$B22,$B38&lt;&gt;$B23,$B39&lt;&gt;$B24,$B40&lt;&gt;$B25,$B41&lt;&gt;$B26,$B42&lt;&gt;$B27,$B43&lt;&gt;$B28),IF($B43&lt;&gt;$B28,AJ28/INDEX($C18:$AJ28,11,MATCH(IF('Data-solution'!$A$3="Maximize",MAX($C29:$AI29),MIN($C29:$AI29)),$C29:$AI29,0)),AJ28-INDEX($C18:$AJ28,11,MATCH(IF('Data-solution'!$A$3="Maximize",MAX($C29:$AI29),MIN($C29:$AI29)),$C29:$AI29,0))*INDEX(AJ18:$AJ28,MATCH(MIN($AK18:$AK28),$AK18:$AK28,0),1)/INDEX($C18:$AJ28,MATCH(MIN($AK18:$AK28),$AK18:$AK28,0),MATCH(IF('Data-solution'!$A$3="Maximize",MAX($C29:$AI29),MIN($C29:$AI29)),$C29:$AI29,0))),AJ28)</f>
        <v>0</v>
      </c>
      <c r="AK43" s="1" t="str">
        <f>IF(INDEX(C43:X43,1,MATCH(IF('Data-solution'!A$3="Maximize",MAX(C44:X44),MIN(C44:X44)),C44:X44,0))&gt;0,AJ43/INDEX(C43:X43,1,MATCH(IF('Data-solution'!A$3="Maximize",MAX(C44:X44),MIN(C44:X44)),C44:X44,0))," ")</f>
        <v xml:space="preserve"> </v>
      </c>
    </row>
    <row r="44" spans="1:37" ht="18" customHeight="1" x14ac:dyDescent="0.2">
      <c r="B44" s="2" t="s">
        <v>5</v>
      </c>
      <c r="C44" s="1">
        <f>IF(SUM(COUNTIF($B33:$B43,$Y32),COUNTIF($B33:$B43,$Z32),COUNTIF($B33:$B43,$AA32),COUNTIF($B33:$B43,$AB32),COUNTIF($B33:$B43,$AC32),COUNTIF($B33:$B43,$AD32),COUNTIF($B33:$B43,$AE32),COUNTIF($B33:$B43,$AF32),COUNTIF($B33:$B43,$AG32),COUNTIF($B33:$B43,$AH32),COUNTIF($B33:$B43,$AI32))=0,C31-SUMPRODUCT($A33:$A43,C33:C43),IF('Data-solution'!$A$3="Maximize",1,-1)*SUM(SUMIF($B33:$B43,$Y32,C33:C43),SUMIF($B33:$B43,$Z32,C33:C43),SUMIF($B33:$B43,$AA32,C33:C43),SUMIF($B33:$B43,$AB32,C33:C43),SUMIF($B33:$B43,$AC32,C33:C43),SUMIF($B33:$B43,$AD32,C33:C43),SUMIF($B33:$B43,$AE32,C33:C43),SUMIF($B33:$B43,$AF32,C33:C43),SUMIF($B33:$B43,$AG32,C33:C43),SUMIF($B33:$B43,$AH32,C33:C43),SUMIF($B33:$B43,$AI32,C33:C43)))</f>
        <v>0</v>
      </c>
      <c r="D44" s="1">
        <f>IF(SUM(COUNTIF($B33:$B43,$Y32),COUNTIF($B33:$B43,$Z32),COUNTIF($B33:$B43,$AA32),COUNTIF($B33:$B43,$AB32),COUNTIF($B33:$B43,$AC32),COUNTIF($B33:$B43,$AD32),COUNTIF($B33:$B43,$AE32),COUNTIF($B33:$B43,$AF32),COUNTIF($B33:$B43,$AG32),COUNTIF($B33:$B43,$AH32),COUNTIF($B33:$B43,$AI32))=0,D31-SUMPRODUCT($A33:$A43,D33:D43),IF('Data-solution'!$A$3="Maximize",1,-1)*SUM(SUMIF($B33:$B43,$Y32,D33:D43),SUMIF($B33:$B43,$Z32,D33:D43),SUMIF($B33:$B43,$AA32,D33:D43),SUMIF($B33:$B43,$AB32,D33:D43),SUMIF($B33:$B43,$AC32,D33:D43),SUMIF($B33:$B43,$AD32,D33:D43),SUMIF($B33:$B43,$AE32,D33:D43),SUMIF($B33:$B43,$AF32,D33:D43),SUMIF($B33:$B43,$AG32,D33:D43),SUMIF($B33:$B43,$AH32,D33:D43),SUMIF($B33:$B43,$AI32,D33:D43)))</f>
        <v>-50</v>
      </c>
      <c r="E44" s="1">
        <f>IF(SUM(COUNTIF($B33:$B43,$Y32),COUNTIF($B33:$B43,$Z32),COUNTIF($B33:$B43,$AA32),COUNTIF($B33:$B43,$AB32),COUNTIF($B33:$B43,$AC32),COUNTIF($B33:$B43,$AD32),COUNTIF($B33:$B43,$AE32),COUNTIF($B33:$B43,$AF32),COUNTIF($B33:$B43,$AG32),COUNTIF($B33:$B43,$AH32),COUNTIF($B33:$B43,$AI32))=0,E31-SUMPRODUCT($A33:$A43,E33:E43),IF('Data-solution'!$A$3="Maximize",1,-1)*SUM(SUMIF($B33:$B43,$Y32,E33:E43),SUMIF($B33:$B43,$Z32,E33:E43),SUMIF($B33:$B43,$AA32,E33:E43),SUMIF($B33:$B43,$AB32,E33:E43),SUMIF($B33:$B43,$AC32,E33:E43),SUMIF($B33:$B43,$AD32,E33:E43),SUMIF($B33:$B43,$AE32,E33:E43),SUMIF($B33:$B43,$AF32,E33:E43),SUMIF($B33:$B43,$AG32,E33:E43),SUMIF($B33:$B43,$AH32,E33:E43),SUMIF($B33:$B43,$AI32,E33:E43)))</f>
        <v>0</v>
      </c>
      <c r="F44" s="1">
        <f>IF(SUM(COUNTIF($B33:$B43,$Y32),COUNTIF($B33:$B43,$Z32),COUNTIF($B33:$B43,$AA32),COUNTIF($B33:$B43,$AB32),COUNTIF($B33:$B43,$AC32),COUNTIF($B33:$B43,$AD32),COUNTIF($B33:$B43,$AE32),COUNTIF($B33:$B43,$AF32),COUNTIF($B33:$B43,$AG32),COUNTIF($B33:$B43,$AH32),COUNTIF($B33:$B43,$AI32))=0,F31-SUMPRODUCT($A33:$A43,F33:F43),IF('Data-solution'!$A$3="Maximize",1,-1)*SUM(SUMIF($B33:$B43,$Y32,F33:F43),SUMIF($B33:$B43,$Z32,F33:F43),SUMIF($B33:$B43,$AA32,F33:F43),SUMIF($B33:$B43,$AB32,F33:F43),SUMIF($B33:$B43,$AC32,F33:F43),SUMIF($B33:$B43,$AD32,F33:F43),SUMIF($B33:$B43,$AE32,F33:F43),SUMIF($B33:$B43,$AF32,F33:F43),SUMIF($B33:$B43,$AG32,F33:F43),SUMIF($B33:$B43,$AH32,F33:F43),SUMIF($B33:$B43,$AI32,F33:F43)))</f>
        <v>0</v>
      </c>
      <c r="G44" s="1">
        <f>IF(SUM(COUNTIF($B33:$B43,$Y32),COUNTIF($B33:$B43,$Z32),COUNTIF($B33:$B43,$AA32),COUNTIF($B33:$B43,$AB32),COUNTIF($B33:$B43,$AC32),COUNTIF($B33:$B43,$AD32),COUNTIF($B33:$B43,$AE32),COUNTIF($B33:$B43,$AF32),COUNTIF($B33:$B43,$AG32),COUNTIF($B33:$B43,$AH32),COUNTIF($B33:$B43,$AI32))=0,G31-SUMPRODUCT($A33:$A43,G33:G43),IF('Data-solution'!$A$3="Maximize",1,-1)*SUM(SUMIF($B33:$B43,$Y32,G33:G43),SUMIF($B33:$B43,$Z32,G33:G43),SUMIF($B33:$B43,$AA32,G33:G43),SUMIF($B33:$B43,$AB32,G33:G43),SUMIF($B33:$B43,$AC32,G33:G43),SUMIF($B33:$B43,$AD32,G33:G43),SUMIF($B33:$B43,$AE32,G33:G43),SUMIF($B33:$B43,$AF32,G33:G43),SUMIF($B33:$B43,$AG32,G33:G43),SUMIF($B33:$B43,$AH32,G33:G43),SUMIF($B33:$B43,$AI32,G33:G43)))</f>
        <v>0</v>
      </c>
      <c r="H44" s="1">
        <f>IF(SUM(COUNTIF($B33:$B43,$Y32),COUNTIF($B33:$B43,$Z32),COUNTIF($B33:$B43,$AA32),COUNTIF($B33:$B43,$AB32),COUNTIF($B33:$B43,$AC32),COUNTIF($B33:$B43,$AD32),COUNTIF($B33:$B43,$AE32),COUNTIF($B33:$B43,$AF32),COUNTIF($B33:$B43,$AG32),COUNTIF($B33:$B43,$AH32),COUNTIF($B33:$B43,$AI32))=0,H31-SUMPRODUCT($A33:$A43,H33:H43),IF('Data-solution'!$A$3="Maximize",1,-1)*SUM(SUMIF($B33:$B43,$Y32,H33:H43),SUMIF($B33:$B43,$Z32,H33:H43),SUMIF($B33:$B43,$AA32,H33:H43),SUMIF($B33:$B43,$AB32,H33:H43),SUMIF($B33:$B43,$AC32,H33:H43),SUMIF($B33:$B43,$AD32,H33:H43),SUMIF($B33:$B43,$AE32,H33:H43),SUMIF($B33:$B43,$AF32,H33:H43),SUMIF($B33:$B43,$AG32,H33:H43),SUMIF($B33:$B43,$AH32,H33:H43),SUMIF($B33:$B43,$AI32,H33:H43)))</f>
        <v>0</v>
      </c>
      <c r="I44" s="1">
        <f>IF(SUM(COUNTIF($B33:$B43,$Y32),COUNTIF($B33:$B43,$Z32),COUNTIF($B33:$B43,$AA32),COUNTIF($B33:$B43,$AB32),COUNTIF($B33:$B43,$AC32),COUNTIF($B33:$B43,$AD32),COUNTIF($B33:$B43,$AE32),COUNTIF($B33:$B43,$AF32),COUNTIF($B33:$B43,$AG32),COUNTIF($B33:$B43,$AH32),COUNTIF($B33:$B43,$AI32))=0,I31-SUMPRODUCT($A33:$A43,I33:I43),IF('Data-solution'!$A$3="Maximize",1,-1)*SUM(SUMIF($B33:$B43,$Y32,I33:I43),SUMIF($B33:$B43,$Z32,I33:I43),SUMIF($B33:$B43,$AA32,I33:I43),SUMIF($B33:$B43,$AB32,I33:I43),SUMIF($B33:$B43,$AC32,I33:I43),SUMIF($B33:$B43,$AD32,I33:I43),SUMIF($B33:$B43,$AE32,I33:I43),SUMIF($B33:$B43,$AF32,I33:I43),SUMIF($B33:$B43,$AG32,I33:I43),SUMIF($B33:$B43,$AH32,I33:I43),SUMIF($B33:$B43,$AI32,I33:I43)))</f>
        <v>0</v>
      </c>
      <c r="J44" s="1">
        <f>IF(SUM(COUNTIF($B33:$B43,$Y32),COUNTIF($B33:$B43,$Z32),COUNTIF($B33:$B43,$AA32),COUNTIF($B33:$B43,$AB32),COUNTIF($B33:$B43,$AC32),COUNTIF($B33:$B43,$AD32),COUNTIF($B33:$B43,$AE32),COUNTIF($B33:$B43,$AF32),COUNTIF($B33:$B43,$AG32),COUNTIF($B33:$B43,$AH32),COUNTIF($B33:$B43,$AI32))=0,J31-SUMPRODUCT($A33:$A43,J33:J43),IF('Data-solution'!$A$3="Maximize",1,-1)*SUM(SUMIF($B33:$B43,$Y32,J33:J43),SUMIF($B33:$B43,$Z32,J33:J43),SUMIF($B33:$B43,$AA32,J33:J43),SUMIF($B33:$B43,$AB32,J33:J43),SUMIF($B33:$B43,$AC32,J33:J43),SUMIF($B33:$B43,$AD32,J33:J43),SUMIF($B33:$B43,$AE32,J33:J43),SUMIF($B33:$B43,$AF32,J33:J43),SUMIF($B33:$B43,$AG32,J33:J43),SUMIF($B33:$B43,$AH32,J33:J43),SUMIF($B33:$B43,$AI32,J33:J43)))</f>
        <v>0</v>
      </c>
      <c r="K44" s="1">
        <f>IF(SUM(COUNTIF($B33:$B43,$Y32),COUNTIF($B33:$B43,$Z32),COUNTIF($B33:$B43,$AA32),COUNTIF($B33:$B43,$AB32),COUNTIF($B33:$B43,$AC32),COUNTIF($B33:$B43,$AD32),COUNTIF($B33:$B43,$AE32),COUNTIF($B33:$B43,$AF32),COUNTIF($B33:$B43,$AG32),COUNTIF($B33:$B43,$AH32),COUNTIF($B33:$B43,$AI32))=0,K31-SUMPRODUCT($A33:$A43,K33:K43),IF('Data-solution'!$A$3="Maximize",1,-1)*SUM(SUMIF($B33:$B43,$Y32,K33:K43),SUMIF($B33:$B43,$Z32,K33:K43),SUMIF($B33:$B43,$AA32,K33:K43),SUMIF($B33:$B43,$AB32,K33:K43),SUMIF($B33:$B43,$AC32,K33:K43),SUMIF($B33:$B43,$AD32,K33:K43),SUMIF($B33:$B43,$AE32,K33:K43),SUMIF($B33:$B43,$AF32,K33:K43),SUMIF($B33:$B43,$AG32,K33:K43),SUMIF($B33:$B43,$AH32,K33:K43),SUMIF($B33:$B43,$AI32,K33:K43)))</f>
        <v>0</v>
      </c>
      <c r="L44" s="1">
        <f>IF(SUM(COUNTIF($B33:$B43,$Y32),COUNTIF($B33:$B43,$Z32),COUNTIF($B33:$B43,$AA32),COUNTIF($B33:$B43,$AB32),COUNTIF($B33:$B43,$AC32),COUNTIF($B33:$B43,$AD32),COUNTIF($B33:$B43,$AE32),COUNTIF($B33:$B43,$AF32),COUNTIF($B33:$B43,$AG32),COUNTIF($B33:$B43,$AH32),COUNTIF($B33:$B43,$AI32))=0,L31-SUMPRODUCT($A33:$A43,L33:L43),IF('Data-solution'!$A$3="Maximize",1,-1)*SUM(SUMIF($B33:$B43,$Y32,L33:L43),SUMIF($B33:$B43,$Z32,L33:L43),SUMIF($B33:$B43,$AA32,L33:L43),SUMIF($B33:$B43,$AB32,L33:L43),SUMIF($B33:$B43,$AC32,L33:L43),SUMIF($B33:$B43,$AD32,L33:L43),SUMIF($B33:$B43,$AE32,L33:L43),SUMIF($B33:$B43,$AF32,L33:L43),SUMIF($B33:$B43,$AG32,L33:L43),SUMIF($B33:$B43,$AH32,L33:L43),SUMIF($B33:$B43,$AI32,L33:L43)))</f>
        <v>0</v>
      </c>
      <c r="M44" s="1">
        <f>IF(SUM(COUNTIF($B33:$B43,$Y32),COUNTIF($B33:$B43,$Z32),COUNTIF($B33:$B43,$AA32),COUNTIF($B33:$B43,$AB32),COUNTIF($B33:$B43,$AC32),COUNTIF($B33:$B43,$AD32),COUNTIF($B33:$B43,$AE32),COUNTIF($B33:$B43,$AF32),COUNTIF($B33:$B43,$AG32),COUNTIF($B33:$B43,$AH32),COUNTIF($B33:$B43,$AI32))=0,M31-SUMPRODUCT($A33:$A43,M33:M43),IF('Data-solution'!$A$3="Maximize",1,-1)*SUM(SUMIF($B33:$B43,$Y32,M33:M43),SUMIF($B33:$B43,$Z32,M33:M43),SUMIF($B33:$B43,$AA32,M33:M43),SUMIF($B33:$B43,$AB32,M33:M43),SUMIF($B33:$B43,$AC32,M33:M43),SUMIF($B33:$B43,$AD32,M33:M43),SUMIF($B33:$B43,$AE32,M33:M43),SUMIF($B33:$B43,$AF32,M33:M43),SUMIF($B33:$B43,$AG32,M33:M43),SUMIF($B33:$B43,$AH32,M33:M43),SUMIF($B33:$B43,$AI32,M33:M43)))</f>
        <v>0</v>
      </c>
      <c r="N44" s="1">
        <f>IF(SUM(COUNTIF($B33:$B43,$Y32),COUNTIF($B33:$B43,$Z32),COUNTIF($B33:$B43,$AA32),COUNTIF($B33:$B43,$AB32),COUNTIF($B33:$B43,$AC32),COUNTIF($B33:$B43,$AD32),COUNTIF($B33:$B43,$AE32),COUNTIF($B33:$B43,$AF32),COUNTIF($B33:$B43,$AG32),COUNTIF($B33:$B43,$AH32),COUNTIF($B33:$B43,$AI32))=0,N31-SUMPRODUCT($A33:$A43,N33:N43),IF('Data-solution'!$A$3="Maximize",1,-1)*SUM(SUMIF($B33:$B43,$Y32,N33:N43),SUMIF($B33:$B43,$Z32,N33:N43),SUMIF($B33:$B43,$AA32,N33:N43),SUMIF($B33:$B43,$AB32,N33:N43),SUMIF($B33:$B43,$AC32,N33:N43),SUMIF($B33:$B43,$AD32,N33:N43),SUMIF($B33:$B43,$AE32,N33:N43),SUMIF($B33:$B43,$AF32,N33:N43),SUMIF($B33:$B43,$AG32,N33:N43),SUMIF($B33:$B43,$AH32,N33:N43),SUMIF($B33:$B43,$AI32,N33:N43)))</f>
        <v>0</v>
      </c>
      <c r="O44" s="1">
        <f>IF(SUM(COUNTIF($B33:$B43,$Y32),COUNTIF($B33:$B43,$Z32),COUNTIF($B33:$B43,$AA32),COUNTIF($B33:$B43,$AB32),COUNTIF($B33:$B43,$AC32),COUNTIF($B33:$B43,$AD32),COUNTIF($B33:$B43,$AE32),COUNTIF($B33:$B43,$AF32),COUNTIF($B33:$B43,$AG32),COUNTIF($B33:$B43,$AH32),COUNTIF($B33:$B43,$AI32))=0,O31-SUMPRODUCT($A33:$A43,O33:O43),IF('Data-solution'!$A$3="Maximize",1,-1)*SUM(SUMIF($B33:$B43,$Y32,O33:O43),SUMIF($B33:$B43,$Z32,O33:O43),SUMIF($B33:$B43,$AA32,O33:O43),SUMIF($B33:$B43,$AB32,O33:O43),SUMIF($B33:$B43,$AC32,O33:O43),SUMIF($B33:$B43,$AD32,O33:O43),SUMIF($B33:$B43,$AE32,O33:O43),SUMIF($B33:$B43,$AF32,O33:O43),SUMIF($B33:$B43,$AG32,O33:O43),SUMIF($B33:$B43,$AH32,O33:O43),SUMIF($B33:$B43,$AI32,O33:O43)))</f>
        <v>0</v>
      </c>
      <c r="P44" s="1">
        <f>IF(SUM(COUNTIF($B33:$B43,$Y32),COUNTIF($B33:$B43,$Z32),COUNTIF($B33:$B43,$AA32),COUNTIF($B33:$B43,$AB32),COUNTIF($B33:$B43,$AC32),COUNTIF($B33:$B43,$AD32),COUNTIF($B33:$B43,$AE32),COUNTIF($B33:$B43,$AF32),COUNTIF($B33:$B43,$AG32),COUNTIF($B33:$B43,$AH32),COUNTIF($B33:$B43,$AI32))=0,P31-SUMPRODUCT($A33:$A43,P33:P43),IF('Data-solution'!$A$3="Maximize",1,-1)*SUM(SUMIF($B33:$B43,$Y32,P33:P43),SUMIF($B33:$B43,$Z32,P33:P43),SUMIF($B33:$B43,$AA32,P33:P43),SUMIF($B33:$B43,$AB32,P33:P43),SUMIF($B33:$B43,$AC32,P33:P43),SUMIF($B33:$B43,$AD32,P33:P43),SUMIF($B33:$B43,$AE32,P33:P43),SUMIF($B33:$B43,$AF32,P33:P43),SUMIF($B33:$B43,$AG32,P33:P43),SUMIF($B33:$B43,$AH32,P33:P43),SUMIF($B33:$B43,$AI32,P33:P43)))</f>
        <v>-49.999999999999993</v>
      </c>
      <c r="Q44" s="1">
        <f>IF(SUM(COUNTIF($B33:$B43,$Y32),COUNTIF($B33:$B43,$Z32),COUNTIF($B33:$B43,$AA32),COUNTIF($B33:$B43,$AB32),COUNTIF($B33:$B43,$AC32),COUNTIF($B33:$B43,$AD32),COUNTIF($B33:$B43,$AE32),COUNTIF($B33:$B43,$AF32),COUNTIF($B33:$B43,$AG32),COUNTIF($B33:$B43,$AH32),COUNTIF($B33:$B43,$AI32))=0,Q31-SUMPRODUCT($A33:$A43,Q33:Q43),IF('Data-solution'!$A$3="Maximize",1,-1)*SUM(SUMIF($B33:$B43,$Y32,Q33:Q43),SUMIF($B33:$B43,$Z32,Q33:Q43),SUMIF($B33:$B43,$AA32,Q33:Q43),SUMIF($B33:$B43,$AB32,Q33:Q43),SUMIF($B33:$B43,$AC32,Q33:Q43),SUMIF($B33:$B43,$AD32,Q33:Q43),SUMIF($B33:$B43,$AE32,Q33:Q43),SUMIF($B33:$B43,$AF32,Q33:Q43),SUMIF($B33:$B43,$AG32,Q33:Q43),SUMIF($B33:$B43,$AH32,Q33:Q43),SUMIF($B33:$B43,$AI32,Q33:Q43)))</f>
        <v>-50</v>
      </c>
      <c r="R44" s="1">
        <f>IF(SUM(COUNTIF($B33:$B43,$Y32),COUNTIF($B33:$B43,$Z32),COUNTIF($B33:$B43,$AA32),COUNTIF($B33:$B43,$AB32),COUNTIF($B33:$B43,$AC32),COUNTIF($B33:$B43,$AD32),COUNTIF($B33:$B43,$AE32),COUNTIF($B33:$B43,$AF32),COUNTIF($B33:$B43,$AG32),COUNTIF($B33:$B43,$AH32),COUNTIF($B33:$B43,$AI32))=0,R31-SUMPRODUCT($A33:$A43,R33:R43),IF('Data-solution'!$A$3="Maximize",1,-1)*SUM(SUMIF($B33:$B43,$Y32,R33:R43),SUMIF($B33:$B43,$Z32,R33:R43),SUMIF($B33:$B43,$AA32,R33:R43),SUMIF($B33:$B43,$AB32,R33:R43),SUMIF($B33:$B43,$AC32,R33:R43),SUMIF($B33:$B43,$AD32,R33:R43),SUMIF($B33:$B43,$AE32,R33:R43),SUMIF($B33:$B43,$AF32,R33:R43),SUMIF($B33:$B43,$AG32,R33:R43),SUMIF($B33:$B43,$AH32,R33:R43),SUMIF($B33:$B43,$AI32,R33:R43)))</f>
        <v>0</v>
      </c>
      <c r="S44" s="1">
        <f>IF(SUM(COUNTIF($B33:$B43,$Y32),COUNTIF($B33:$B43,$Z32),COUNTIF($B33:$B43,$AA32),COUNTIF($B33:$B43,$AB32),COUNTIF($B33:$B43,$AC32),COUNTIF($B33:$B43,$AD32),COUNTIF($B33:$B43,$AE32),COUNTIF($B33:$B43,$AF32),COUNTIF($B33:$B43,$AG32),COUNTIF($B33:$B43,$AH32),COUNTIF($B33:$B43,$AI32))=0,S31-SUMPRODUCT($A33:$A43,S33:S43),IF('Data-solution'!$A$3="Maximize",1,-1)*SUM(SUMIF($B33:$B43,$Y32,S33:S43),SUMIF($B33:$B43,$Z32,S33:S43),SUMIF($B33:$B43,$AA32,S33:S43),SUMIF($B33:$B43,$AB32,S33:S43),SUMIF($B33:$B43,$AC32,S33:S43),SUMIF($B33:$B43,$AD32,S33:S43),SUMIF($B33:$B43,$AE32,S33:S43),SUMIF($B33:$B43,$AF32,S33:S43),SUMIF($B33:$B43,$AG32,S33:S43),SUMIF($B33:$B43,$AH32,S33:S43),SUMIF($B33:$B43,$AI32,S33:S43)))</f>
        <v>0</v>
      </c>
      <c r="T44" s="1">
        <f>IF(SUM(COUNTIF($B33:$B43,$Y32),COUNTIF($B33:$B43,$Z32),COUNTIF($B33:$B43,$AA32),COUNTIF($B33:$B43,$AB32),COUNTIF($B33:$B43,$AC32),COUNTIF($B33:$B43,$AD32),COUNTIF($B33:$B43,$AE32),COUNTIF($B33:$B43,$AF32),COUNTIF($B33:$B43,$AG32),COUNTIF($B33:$B43,$AH32),COUNTIF($B33:$B43,$AI32))=0,T31-SUMPRODUCT($A33:$A43,T33:T43),IF('Data-solution'!$A$3="Maximize",1,-1)*SUM(SUMIF($B33:$B43,$Y32,T33:T43),SUMIF($B33:$B43,$Z32,T33:T43),SUMIF($B33:$B43,$AA32,T33:T43),SUMIF($B33:$B43,$AB32,T33:T43),SUMIF($B33:$B43,$AC32,T33:T43),SUMIF($B33:$B43,$AD32,T33:T43),SUMIF($B33:$B43,$AE32,T33:T43),SUMIF($B33:$B43,$AF32,T33:T43),SUMIF($B33:$B43,$AG32,T33:T43),SUMIF($B33:$B43,$AH32,T33:T43),SUMIF($B33:$B43,$AI32,T33:T43)))</f>
        <v>0</v>
      </c>
      <c r="U44" s="1">
        <f>IF(SUM(COUNTIF($B33:$B43,$Y32),COUNTIF($B33:$B43,$Z32),COUNTIF($B33:$B43,$AA32),COUNTIF($B33:$B43,$AB32),COUNTIF($B33:$B43,$AC32),COUNTIF($B33:$B43,$AD32),COUNTIF($B33:$B43,$AE32),COUNTIF($B33:$B43,$AF32),COUNTIF($B33:$B43,$AG32),COUNTIF($B33:$B43,$AH32),COUNTIF($B33:$B43,$AI32))=0,U31-SUMPRODUCT($A33:$A43,U33:U43),IF('Data-solution'!$A$3="Maximize",1,-1)*SUM(SUMIF($B33:$B43,$Y32,U33:U43),SUMIF($B33:$B43,$Z32,U33:U43),SUMIF($B33:$B43,$AA32,U33:U43),SUMIF($B33:$B43,$AB32,U33:U43),SUMIF($B33:$B43,$AC32,U33:U43),SUMIF($B33:$B43,$AD32,U33:U43),SUMIF($B33:$B43,$AE32,U33:U43),SUMIF($B33:$B43,$AF32,U33:U43),SUMIF($B33:$B43,$AG32,U33:U43),SUMIF($B33:$B43,$AH32,U33:U43),SUMIF($B33:$B43,$AI32,U33:U43)))</f>
        <v>0</v>
      </c>
      <c r="V44" s="1">
        <f>IF(SUM(COUNTIF($B33:$B43,$Y32),COUNTIF($B33:$B43,$Z32),COUNTIF($B33:$B43,$AA32),COUNTIF($B33:$B43,$AB32),COUNTIF($B33:$B43,$AC32),COUNTIF($B33:$B43,$AD32),COUNTIF($B33:$B43,$AE32),COUNTIF($B33:$B43,$AF32),COUNTIF($B33:$B43,$AG32),COUNTIF($B33:$B43,$AH32),COUNTIF($B33:$B43,$AI32))=0,V31-SUMPRODUCT($A33:$A43,V33:V43),IF('Data-solution'!$A$3="Maximize",1,-1)*SUM(SUMIF($B33:$B43,$Y32,V33:V43),SUMIF($B33:$B43,$Z32,V33:V43),SUMIF($B33:$B43,$AA32,V33:V43),SUMIF($B33:$B43,$AB32,V33:V43),SUMIF($B33:$B43,$AC32,V33:V43),SUMIF($B33:$B43,$AD32,V33:V43),SUMIF($B33:$B43,$AE32,V33:V43),SUMIF($B33:$B43,$AF32,V33:V43),SUMIF($B33:$B43,$AG32,V33:V43),SUMIF($B33:$B43,$AH32,V33:V43),SUMIF($B33:$B43,$AI32,V33:V43)))</f>
        <v>0</v>
      </c>
      <c r="W44" s="1">
        <f>IF(SUM(COUNTIF($B33:$B43,$Y32),COUNTIF($B33:$B43,$Z32),COUNTIF($B33:$B43,$AA32),COUNTIF($B33:$B43,$AB32),COUNTIF($B33:$B43,$AC32),COUNTIF($B33:$B43,$AD32),COUNTIF($B33:$B43,$AE32),COUNTIF($B33:$B43,$AF32),COUNTIF($B33:$B43,$AG32),COUNTIF($B33:$B43,$AH32),COUNTIF($B33:$B43,$AI32))=0,W31-SUMPRODUCT($A33:$A43,W33:W43),IF('Data-solution'!$A$3="Maximize",1,-1)*SUM(SUMIF($B33:$B43,$Y32,W33:W43),SUMIF($B33:$B43,$Z32,W33:W43),SUMIF($B33:$B43,$AA32,W33:W43),SUMIF($B33:$B43,$AB32,W33:W43),SUMIF($B33:$B43,$AC32,W33:W43),SUMIF($B33:$B43,$AD32,W33:W43),SUMIF($B33:$B43,$AE32,W33:W43),SUMIF($B33:$B43,$AF32,W33:W43),SUMIF($B33:$B43,$AG32,W33:W43),SUMIF($B33:$B43,$AH32,W33:W43),SUMIF($B33:$B43,$AI32,W33:W43)))</f>
        <v>0</v>
      </c>
      <c r="X44" s="1">
        <f>IF(SUM(COUNTIF($B33:$B43,$Y32),COUNTIF($B33:$B43,$Z32),COUNTIF($B33:$B43,$AA32),COUNTIF($B33:$B43,$AB32),COUNTIF($B33:$B43,$AC32),COUNTIF($B33:$B43,$AD32),COUNTIF($B33:$B43,$AE32),COUNTIF($B33:$B43,$AF32),COUNTIF($B33:$B43,$AG32),COUNTIF($B33:$B43,$AH32),COUNTIF($B33:$B43,$AI32))=0,X31-SUMPRODUCT($A33:$A43,X33:X43),IF('Data-solution'!$A$3="Maximize",1,-1)*SUM(SUMIF($B33:$B43,$Y32,X33:X43),SUMIF($B33:$B43,$Z32,X33:X43),SUMIF($B33:$B43,$AA32,X33:X43),SUMIF($B33:$B43,$AB32,X33:X43),SUMIF($B33:$B43,$AC32,X33:X43),SUMIF($B33:$B43,$AD32,X33:X43),SUMIF($B33:$B43,$AE32,X33:X43),SUMIF($B33:$B43,$AF32,X33:X43),SUMIF($B33:$B43,$AG32,X33:X43),SUMIF($B33:$B43,$AH32,X33:X43),SUMIF($B33:$B43,$AI32,X33:X43)))</f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2">
        <f t="shared" ref="AJ44" si="19">IF(SUMPRODUCT(A33:A43,AJ33:AJ43)&gt;=0,SUMPRODUCT(A33:A43,AJ33:AJ43),0)</f>
        <v>120000</v>
      </c>
    </row>
    <row r="46" spans="1:37" ht="18" customHeight="1" x14ac:dyDescent="0.2">
      <c r="A46" s="1" t="s">
        <v>62</v>
      </c>
      <c r="B46" s="2" t="s">
        <v>4</v>
      </c>
      <c r="C46" s="1">
        <f t="shared" ref="C46" si="20">C$1</f>
        <v>150</v>
      </c>
      <c r="D46" s="1">
        <f t="shared" si="4"/>
        <v>200</v>
      </c>
      <c r="E46" s="1">
        <f t="shared" si="4"/>
        <v>350</v>
      </c>
      <c r="F46" s="1">
        <f t="shared" si="4"/>
        <v>0</v>
      </c>
      <c r="G46" s="1">
        <f t="shared" si="4"/>
        <v>0</v>
      </c>
      <c r="H46" s="1">
        <f t="shared" si="4"/>
        <v>0</v>
      </c>
      <c r="I46" s="1">
        <f t="shared" si="4"/>
        <v>0</v>
      </c>
      <c r="J46" s="1">
        <f t="shared" si="4"/>
        <v>0</v>
      </c>
      <c r="K46" s="1">
        <f t="shared" si="4"/>
        <v>0</v>
      </c>
      <c r="L46" s="1">
        <f t="shared" si="4"/>
        <v>0</v>
      </c>
      <c r="M46" s="1">
        <f t="shared" si="4"/>
        <v>0</v>
      </c>
      <c r="N46" s="1">
        <f t="shared" si="4"/>
        <v>0</v>
      </c>
      <c r="O46" s="1">
        <f t="shared" si="4"/>
        <v>0</v>
      </c>
      <c r="P46" s="1">
        <f t="shared" si="4"/>
        <v>0</v>
      </c>
      <c r="Q46" s="1">
        <f t="shared" si="4"/>
        <v>0</v>
      </c>
      <c r="R46" s="1">
        <f t="shared" si="4"/>
        <v>0</v>
      </c>
      <c r="S46" s="1">
        <f t="shared" si="4"/>
        <v>0</v>
      </c>
      <c r="T46" s="1">
        <f t="shared" si="4"/>
        <v>0</v>
      </c>
      <c r="U46" s="1">
        <f t="shared" si="4"/>
        <v>0</v>
      </c>
      <c r="V46" s="1">
        <f t="shared" si="4"/>
        <v>0</v>
      </c>
      <c r="W46" s="1">
        <f t="shared" si="4"/>
        <v>0</v>
      </c>
      <c r="X46" s="1">
        <f t="shared" si="4"/>
        <v>0</v>
      </c>
      <c r="Y46" s="1">
        <f t="shared" si="4"/>
        <v>-999999</v>
      </c>
      <c r="Z46" s="1">
        <f t="shared" si="4"/>
        <v>-999999</v>
      </c>
      <c r="AA46" s="1">
        <f t="shared" si="4"/>
        <v>-999999</v>
      </c>
      <c r="AB46" s="1">
        <f t="shared" si="4"/>
        <v>-999999</v>
      </c>
      <c r="AC46" s="1">
        <f t="shared" si="4"/>
        <v>-999999</v>
      </c>
      <c r="AD46" s="1">
        <f t="shared" si="4"/>
        <v>-999999</v>
      </c>
      <c r="AE46" s="1">
        <f t="shared" si="4"/>
        <v>-999999</v>
      </c>
      <c r="AF46" s="1">
        <f t="shared" si="4"/>
        <v>-999999</v>
      </c>
      <c r="AG46" s="1">
        <f t="shared" si="4"/>
        <v>-999999</v>
      </c>
      <c r="AH46" s="1">
        <f t="shared" si="4"/>
        <v>-999999</v>
      </c>
      <c r="AI46" s="1">
        <f t="shared" si="4"/>
        <v>-999999</v>
      </c>
    </row>
    <row r="47" spans="1:37" ht="18" customHeight="1" x14ac:dyDescent="0.2">
      <c r="A47" s="2" t="s">
        <v>3</v>
      </c>
      <c r="B47" s="2" t="s">
        <v>1</v>
      </c>
      <c r="C47" s="2" t="str">
        <f t="shared" ref="C47" si="21">C$2</f>
        <v>X1</v>
      </c>
      <c r="D47" s="2" t="str">
        <f t="shared" si="7"/>
        <v>X2</v>
      </c>
      <c r="E47" s="2" t="str">
        <f t="shared" si="7"/>
        <v>X3</v>
      </c>
      <c r="F47" s="2" t="str">
        <f t="shared" si="7"/>
        <v>X4</v>
      </c>
      <c r="G47" s="2" t="str">
        <f t="shared" si="7"/>
        <v>X5</v>
      </c>
      <c r="H47" s="2" t="str">
        <f t="shared" si="7"/>
        <v>X6</v>
      </c>
      <c r="I47" s="2" t="str">
        <f t="shared" si="7"/>
        <v>X7</v>
      </c>
      <c r="J47" s="2" t="str">
        <f t="shared" si="7"/>
        <v>X8</v>
      </c>
      <c r="K47" s="2" t="str">
        <f t="shared" si="7"/>
        <v>X9</v>
      </c>
      <c r="L47" s="2" t="str">
        <f t="shared" si="7"/>
        <v>X10</v>
      </c>
      <c r="M47" s="2" t="str">
        <f t="shared" si="7"/>
        <v>X11</v>
      </c>
      <c r="N47" s="2" t="str">
        <f t="shared" si="7"/>
        <v>S1</v>
      </c>
      <c r="O47" s="2" t="str">
        <f t="shared" si="7"/>
        <v>S2</v>
      </c>
      <c r="P47" s="2" t="str">
        <f t="shared" si="7"/>
        <v>S3</v>
      </c>
      <c r="Q47" s="2" t="str">
        <f t="shared" si="7"/>
        <v>S4</v>
      </c>
      <c r="R47" s="2" t="str">
        <f t="shared" si="7"/>
        <v>S5</v>
      </c>
      <c r="S47" s="2" t="str">
        <f t="shared" si="7"/>
        <v>S6</v>
      </c>
      <c r="T47" s="2" t="str">
        <f t="shared" si="7"/>
        <v>S7</v>
      </c>
      <c r="U47" s="2" t="str">
        <f t="shared" si="7"/>
        <v>S8</v>
      </c>
      <c r="V47" s="2" t="str">
        <f t="shared" si="7"/>
        <v>S9</v>
      </c>
      <c r="W47" s="2" t="str">
        <f t="shared" si="7"/>
        <v>S10</v>
      </c>
      <c r="X47" s="2" t="str">
        <f t="shared" si="7"/>
        <v>S11</v>
      </c>
      <c r="Y47" s="2" t="str">
        <f t="shared" si="7"/>
        <v xml:space="preserve"> </v>
      </c>
      <c r="Z47" s="2" t="str">
        <f t="shared" si="7"/>
        <v xml:space="preserve"> </v>
      </c>
      <c r="AA47" s="2" t="str">
        <f t="shared" si="7"/>
        <v xml:space="preserve"> </v>
      </c>
      <c r="AB47" s="2" t="str">
        <f t="shared" si="7"/>
        <v xml:space="preserve"> </v>
      </c>
      <c r="AC47" s="2" t="str">
        <f t="shared" si="7"/>
        <v xml:space="preserve"> </v>
      </c>
      <c r="AD47" s="2" t="str">
        <f t="shared" si="7"/>
        <v xml:space="preserve"> </v>
      </c>
      <c r="AE47" s="2" t="str">
        <f t="shared" si="7"/>
        <v xml:space="preserve"> </v>
      </c>
      <c r="AF47" s="2" t="str">
        <f t="shared" si="7"/>
        <v xml:space="preserve"> </v>
      </c>
      <c r="AG47" s="2" t="str">
        <f t="shared" si="7"/>
        <v xml:space="preserve"> </v>
      </c>
      <c r="AH47" s="2" t="str">
        <f t="shared" si="7"/>
        <v xml:space="preserve"> </v>
      </c>
      <c r="AI47" s="2" t="str">
        <f t="shared" si="7"/>
        <v xml:space="preserve"> </v>
      </c>
      <c r="AJ47" s="2" t="s">
        <v>9</v>
      </c>
      <c r="AK47" s="2" t="s">
        <v>10</v>
      </c>
    </row>
    <row r="48" spans="1:37" ht="18" customHeight="1" x14ac:dyDescent="0.2">
      <c r="A48" s="1">
        <f t="shared" ref="A48" si="22">INDEX(C46:AI46,1,MATCH(B48,C47:AI47,0))</f>
        <v>0</v>
      </c>
      <c r="B48" s="2" t="str">
        <f>IF(AND('Data-solution'!A$3="Maximize",COUNTIF(C44:X44,"&gt;"&amp;0)&gt;0,AK33=MIN(AK33:AK43)),INDEX(C32:X32,1,MATCH(MAX(C44:X44),C44:X44,0)),IF(AND('Data-solution'!A$3="Minimize",COUNTIF(C44:X44,"&lt;"&amp;0)&gt;0,AK33=MIN(AK33:AK43)),INDEX(C32:X32,1,MATCH(MIN(C44:X44),C44:X44,0)),B33))</f>
        <v>S1</v>
      </c>
      <c r="C48" s="1">
        <f>IF(OR($B48&lt;&gt;$B33,$B49&lt;&gt;$B34,$B50&lt;&gt;$B35,$B51&lt;&gt;$B36,$B52&lt;&gt;$B37,$B53&lt;&gt;$B38,$B54&lt;&gt;$B39,$B55&lt;&gt;$B40,$B56&lt;&gt;$B41,$B57&lt;&gt;$B42,$B58&lt;&gt;$B43),IF($B48&lt;&gt;$B33,C33/INDEX($C33:$AJ43,1,MATCH(IF('Data-solution'!$A$3="Maximize",MAX($C44:$AI44),MIN($C44:$AI44)),$C44:$AI44,0)),C33-INDEX($C33:$AJ43,1,MATCH(IF('Data-solution'!$A$3="Maximize",MAX($C44:$AI44),MIN($C44:$AI44)),$C44:$AI44,0))*INDEX(C33:$AJ43,MATCH(MIN($AK33:$AK43),$AK33:$AK43,0),1)/INDEX($C33:$AJ43,MATCH(MIN($AK33:$AK43),$AK33:$AK43,0),MATCH(IF('Data-solution'!$A$3="Maximize",MAX($C44:$AI44),MIN($C44:$AI44)),$C44:$AI44,0))),C33)</f>
        <v>0</v>
      </c>
      <c r="D48" s="1">
        <f>IF(OR($B48&lt;&gt;$B33,$B49&lt;&gt;$B34,$B50&lt;&gt;$B35,$B51&lt;&gt;$B36,$B52&lt;&gt;$B37,$B53&lt;&gt;$B38,$B54&lt;&gt;$B39,$B55&lt;&gt;$B40,$B56&lt;&gt;$B41,$B57&lt;&gt;$B42,$B58&lt;&gt;$B43),IF($B48&lt;&gt;$B33,D33/INDEX($C33:$AJ43,1,MATCH(IF('Data-solution'!$A$3="Maximize",MAX($C44:$AI44),MIN($C44:$AI44)),$C44:$AI44,0)),D33-INDEX($C33:$AJ43,1,MATCH(IF('Data-solution'!$A$3="Maximize",MAX($C44:$AI44),MIN($C44:$AI44)),$C44:$AI44,0))*INDEX(D33:$AJ43,MATCH(MIN($AK33:$AK43),$AK33:$AK43,0),1)/INDEX($C33:$AJ43,MATCH(MIN($AK33:$AK43),$AK33:$AK43,0),MATCH(IF('Data-solution'!$A$3="Maximize",MAX($C44:$AI44),MIN($C44:$AI44)),$C44:$AI44,0))),D33)</f>
        <v>1</v>
      </c>
      <c r="E48" s="1">
        <f>IF(OR($B48&lt;&gt;$B33,$B49&lt;&gt;$B34,$B50&lt;&gt;$B35,$B51&lt;&gt;$B36,$B52&lt;&gt;$B37,$B53&lt;&gt;$B38,$B54&lt;&gt;$B39,$B55&lt;&gt;$B40,$B56&lt;&gt;$B41,$B57&lt;&gt;$B42,$B58&lt;&gt;$B43),IF($B48&lt;&gt;$B33,E33/INDEX($C33:$AJ43,1,MATCH(IF('Data-solution'!$A$3="Maximize",MAX($C44:$AI44),MIN($C44:$AI44)),$C44:$AI44,0)),E33-INDEX($C33:$AJ43,1,MATCH(IF('Data-solution'!$A$3="Maximize",MAX($C44:$AI44),MIN($C44:$AI44)),$C44:$AI44,0))*INDEX(E33:$AJ43,MATCH(MIN($AK33:$AK43),$AK33:$AK43,0),1)/INDEX($C33:$AJ43,MATCH(MIN($AK33:$AK43),$AK33:$AK43,0),MATCH(IF('Data-solution'!$A$3="Maximize",MAX($C44:$AI44),MIN($C44:$AI44)),$C44:$AI44,0))),E33)</f>
        <v>0</v>
      </c>
      <c r="F48" s="1">
        <f>IF(OR($B48&lt;&gt;$B33,$B49&lt;&gt;$B34,$B50&lt;&gt;$B35,$B51&lt;&gt;$B36,$B52&lt;&gt;$B37,$B53&lt;&gt;$B38,$B54&lt;&gt;$B39,$B55&lt;&gt;$B40,$B56&lt;&gt;$B41,$B57&lt;&gt;$B42,$B58&lt;&gt;$B43),IF($B48&lt;&gt;$B33,F33/INDEX($C33:$AJ43,1,MATCH(IF('Data-solution'!$A$3="Maximize",MAX($C44:$AI44),MIN($C44:$AI44)),$C44:$AI44,0)),F33-INDEX($C33:$AJ43,1,MATCH(IF('Data-solution'!$A$3="Maximize",MAX($C44:$AI44),MIN($C44:$AI44)),$C44:$AI44,0))*INDEX(F33:$AJ43,MATCH(MIN($AK33:$AK43),$AK33:$AK43,0),1)/INDEX($C33:$AJ43,MATCH(MIN($AK33:$AK43),$AK33:$AK43,0),MATCH(IF('Data-solution'!$A$3="Maximize",MAX($C44:$AI44),MIN($C44:$AI44)),$C44:$AI44,0))),F33)</f>
        <v>0</v>
      </c>
      <c r="G48" s="1">
        <f>IF(OR($B48&lt;&gt;$B33,$B49&lt;&gt;$B34,$B50&lt;&gt;$B35,$B51&lt;&gt;$B36,$B52&lt;&gt;$B37,$B53&lt;&gt;$B38,$B54&lt;&gt;$B39,$B55&lt;&gt;$B40,$B56&lt;&gt;$B41,$B57&lt;&gt;$B42,$B58&lt;&gt;$B43),IF($B48&lt;&gt;$B33,G33/INDEX($C33:$AJ43,1,MATCH(IF('Data-solution'!$A$3="Maximize",MAX($C44:$AI44),MIN($C44:$AI44)),$C44:$AI44,0)),G33-INDEX($C33:$AJ43,1,MATCH(IF('Data-solution'!$A$3="Maximize",MAX($C44:$AI44),MIN($C44:$AI44)),$C44:$AI44,0))*INDEX(G33:$AJ43,MATCH(MIN($AK33:$AK43),$AK33:$AK43,0),1)/INDEX($C33:$AJ43,MATCH(MIN($AK33:$AK43),$AK33:$AK43,0),MATCH(IF('Data-solution'!$A$3="Maximize",MAX($C44:$AI44),MIN($C44:$AI44)),$C44:$AI44,0))),G33)</f>
        <v>0</v>
      </c>
      <c r="H48" s="1">
        <f>IF(OR($B48&lt;&gt;$B33,$B49&lt;&gt;$B34,$B50&lt;&gt;$B35,$B51&lt;&gt;$B36,$B52&lt;&gt;$B37,$B53&lt;&gt;$B38,$B54&lt;&gt;$B39,$B55&lt;&gt;$B40,$B56&lt;&gt;$B41,$B57&lt;&gt;$B42,$B58&lt;&gt;$B43),IF($B48&lt;&gt;$B33,H33/INDEX($C33:$AJ43,1,MATCH(IF('Data-solution'!$A$3="Maximize",MAX($C44:$AI44),MIN($C44:$AI44)),$C44:$AI44,0)),H33-INDEX($C33:$AJ43,1,MATCH(IF('Data-solution'!$A$3="Maximize",MAX($C44:$AI44),MIN($C44:$AI44)),$C44:$AI44,0))*INDEX(H33:$AJ43,MATCH(MIN($AK33:$AK43),$AK33:$AK43,0),1)/INDEX($C33:$AJ43,MATCH(MIN($AK33:$AK43),$AK33:$AK43,0),MATCH(IF('Data-solution'!$A$3="Maximize",MAX($C44:$AI44),MIN($C44:$AI44)),$C44:$AI44,0))),H33)</f>
        <v>0</v>
      </c>
      <c r="I48" s="1">
        <f>IF(OR($B48&lt;&gt;$B33,$B49&lt;&gt;$B34,$B50&lt;&gt;$B35,$B51&lt;&gt;$B36,$B52&lt;&gt;$B37,$B53&lt;&gt;$B38,$B54&lt;&gt;$B39,$B55&lt;&gt;$B40,$B56&lt;&gt;$B41,$B57&lt;&gt;$B42,$B58&lt;&gt;$B43),IF($B48&lt;&gt;$B33,I33/INDEX($C33:$AJ43,1,MATCH(IF('Data-solution'!$A$3="Maximize",MAX($C44:$AI44),MIN($C44:$AI44)),$C44:$AI44,0)),I33-INDEX($C33:$AJ43,1,MATCH(IF('Data-solution'!$A$3="Maximize",MAX($C44:$AI44),MIN($C44:$AI44)),$C44:$AI44,0))*INDEX(I33:$AJ43,MATCH(MIN($AK33:$AK43),$AK33:$AK43,0),1)/INDEX($C33:$AJ43,MATCH(MIN($AK33:$AK43),$AK33:$AK43,0),MATCH(IF('Data-solution'!$A$3="Maximize",MAX($C44:$AI44),MIN($C44:$AI44)),$C44:$AI44,0))),I33)</f>
        <v>0</v>
      </c>
      <c r="J48" s="1">
        <f>IF(OR($B48&lt;&gt;$B33,$B49&lt;&gt;$B34,$B50&lt;&gt;$B35,$B51&lt;&gt;$B36,$B52&lt;&gt;$B37,$B53&lt;&gt;$B38,$B54&lt;&gt;$B39,$B55&lt;&gt;$B40,$B56&lt;&gt;$B41,$B57&lt;&gt;$B42,$B58&lt;&gt;$B43),IF($B48&lt;&gt;$B33,J33/INDEX($C33:$AJ43,1,MATCH(IF('Data-solution'!$A$3="Maximize",MAX($C44:$AI44),MIN($C44:$AI44)),$C44:$AI44,0)),J33-INDEX($C33:$AJ43,1,MATCH(IF('Data-solution'!$A$3="Maximize",MAX($C44:$AI44),MIN($C44:$AI44)),$C44:$AI44,0))*INDEX(J33:$AJ43,MATCH(MIN($AK33:$AK43),$AK33:$AK43,0),1)/INDEX($C33:$AJ43,MATCH(MIN($AK33:$AK43),$AK33:$AK43,0),MATCH(IF('Data-solution'!$A$3="Maximize",MAX($C44:$AI44),MIN($C44:$AI44)),$C44:$AI44,0))),J33)</f>
        <v>0</v>
      </c>
      <c r="K48" s="1">
        <f>IF(OR($B48&lt;&gt;$B33,$B49&lt;&gt;$B34,$B50&lt;&gt;$B35,$B51&lt;&gt;$B36,$B52&lt;&gt;$B37,$B53&lt;&gt;$B38,$B54&lt;&gt;$B39,$B55&lt;&gt;$B40,$B56&lt;&gt;$B41,$B57&lt;&gt;$B42,$B58&lt;&gt;$B43),IF($B48&lt;&gt;$B33,K33/INDEX($C33:$AJ43,1,MATCH(IF('Data-solution'!$A$3="Maximize",MAX($C44:$AI44),MIN($C44:$AI44)),$C44:$AI44,0)),K33-INDEX($C33:$AJ43,1,MATCH(IF('Data-solution'!$A$3="Maximize",MAX($C44:$AI44),MIN($C44:$AI44)),$C44:$AI44,0))*INDEX(K33:$AJ43,MATCH(MIN($AK33:$AK43),$AK33:$AK43,0),1)/INDEX($C33:$AJ43,MATCH(MIN($AK33:$AK43),$AK33:$AK43,0),MATCH(IF('Data-solution'!$A$3="Maximize",MAX($C44:$AI44),MIN($C44:$AI44)),$C44:$AI44,0))),K33)</f>
        <v>0</v>
      </c>
      <c r="L48" s="1">
        <f>IF(OR($B48&lt;&gt;$B33,$B49&lt;&gt;$B34,$B50&lt;&gt;$B35,$B51&lt;&gt;$B36,$B52&lt;&gt;$B37,$B53&lt;&gt;$B38,$B54&lt;&gt;$B39,$B55&lt;&gt;$B40,$B56&lt;&gt;$B41,$B57&lt;&gt;$B42,$B58&lt;&gt;$B43),IF($B48&lt;&gt;$B33,L33/INDEX($C33:$AJ43,1,MATCH(IF('Data-solution'!$A$3="Maximize",MAX($C44:$AI44),MIN($C44:$AI44)),$C44:$AI44,0)),L33-INDEX($C33:$AJ43,1,MATCH(IF('Data-solution'!$A$3="Maximize",MAX($C44:$AI44),MIN($C44:$AI44)),$C44:$AI44,0))*INDEX(L33:$AJ43,MATCH(MIN($AK33:$AK43),$AK33:$AK43,0),1)/INDEX($C33:$AJ43,MATCH(MIN($AK33:$AK43),$AK33:$AK43,0),MATCH(IF('Data-solution'!$A$3="Maximize",MAX($C44:$AI44),MIN($C44:$AI44)),$C44:$AI44,0))),L33)</f>
        <v>0</v>
      </c>
      <c r="M48" s="1">
        <f>IF(OR($B48&lt;&gt;$B33,$B49&lt;&gt;$B34,$B50&lt;&gt;$B35,$B51&lt;&gt;$B36,$B52&lt;&gt;$B37,$B53&lt;&gt;$B38,$B54&lt;&gt;$B39,$B55&lt;&gt;$B40,$B56&lt;&gt;$B41,$B57&lt;&gt;$B42,$B58&lt;&gt;$B43),IF($B48&lt;&gt;$B33,M33/INDEX($C33:$AJ43,1,MATCH(IF('Data-solution'!$A$3="Maximize",MAX($C44:$AI44),MIN($C44:$AI44)),$C44:$AI44,0)),M33-INDEX($C33:$AJ43,1,MATCH(IF('Data-solution'!$A$3="Maximize",MAX($C44:$AI44),MIN($C44:$AI44)),$C44:$AI44,0))*INDEX(M33:$AJ43,MATCH(MIN($AK33:$AK43),$AK33:$AK43,0),1)/INDEX($C33:$AJ43,MATCH(MIN($AK33:$AK43),$AK33:$AK43,0),MATCH(IF('Data-solution'!$A$3="Maximize",MAX($C44:$AI44),MIN($C44:$AI44)),$C44:$AI44,0))),M33)</f>
        <v>0</v>
      </c>
      <c r="N48" s="1">
        <f>IF(OR($B48&lt;&gt;$B33,$B49&lt;&gt;$B34,$B50&lt;&gt;$B35,$B51&lt;&gt;$B36,$B52&lt;&gt;$B37,$B53&lt;&gt;$B38,$B54&lt;&gt;$B39,$B55&lt;&gt;$B40,$B56&lt;&gt;$B41,$B57&lt;&gt;$B42,$B58&lt;&gt;$B43),IF($B48&lt;&gt;$B33,N33/INDEX($C33:$AJ43,1,MATCH(IF('Data-solution'!$A$3="Maximize",MAX($C44:$AI44),MIN($C44:$AI44)),$C44:$AI44,0)),N33-INDEX($C33:$AJ43,1,MATCH(IF('Data-solution'!$A$3="Maximize",MAX($C44:$AI44),MIN($C44:$AI44)),$C44:$AI44,0))*INDEX(N33:$AJ43,MATCH(MIN($AK33:$AK43),$AK33:$AK43,0),1)/INDEX($C33:$AJ43,MATCH(MIN($AK33:$AK43),$AK33:$AK43,0),MATCH(IF('Data-solution'!$A$3="Maximize",MAX($C44:$AI44),MIN($C44:$AI44)),$C44:$AI44,0))),N33)</f>
        <v>1</v>
      </c>
      <c r="O48" s="1">
        <f>IF(OR($B48&lt;&gt;$B33,$B49&lt;&gt;$B34,$B50&lt;&gt;$B35,$B51&lt;&gt;$B36,$B52&lt;&gt;$B37,$B53&lt;&gt;$B38,$B54&lt;&gt;$B39,$B55&lt;&gt;$B40,$B56&lt;&gt;$B41,$B57&lt;&gt;$B42,$B58&lt;&gt;$B43),IF($B48&lt;&gt;$B33,O33/INDEX($C33:$AJ43,1,MATCH(IF('Data-solution'!$A$3="Maximize",MAX($C44:$AI44),MIN($C44:$AI44)),$C44:$AI44,0)),O33-INDEX($C33:$AJ43,1,MATCH(IF('Data-solution'!$A$3="Maximize",MAX($C44:$AI44),MIN($C44:$AI44)),$C44:$AI44,0))*INDEX(O33:$AJ43,MATCH(MIN($AK33:$AK43),$AK33:$AK43,0),1)/INDEX($C33:$AJ43,MATCH(MIN($AK33:$AK43),$AK33:$AK43,0),MATCH(IF('Data-solution'!$A$3="Maximize",MAX($C44:$AI44),MIN($C44:$AI44)),$C44:$AI44,0))),O33)</f>
        <v>0</v>
      </c>
      <c r="P48" s="1">
        <f>IF(OR($B48&lt;&gt;$B33,$B49&lt;&gt;$B34,$B50&lt;&gt;$B35,$B51&lt;&gt;$B36,$B52&lt;&gt;$B37,$B53&lt;&gt;$B38,$B54&lt;&gt;$B39,$B55&lt;&gt;$B40,$B56&lt;&gt;$B41,$B57&lt;&gt;$B42,$B58&lt;&gt;$B43),IF($B48&lt;&gt;$B33,P33/INDEX($C33:$AJ43,1,MATCH(IF('Data-solution'!$A$3="Maximize",MAX($C44:$AI44),MIN($C44:$AI44)),$C44:$AI44,0)),P33-INDEX($C33:$AJ43,1,MATCH(IF('Data-solution'!$A$3="Maximize",MAX($C44:$AI44),MIN($C44:$AI44)),$C44:$AI44,0))*INDEX(P33:$AJ43,MATCH(MIN($AK33:$AK43),$AK33:$AK43,0),1)/INDEX($C33:$AJ43,MATCH(MIN($AK33:$AK43),$AK33:$AK43,0),MATCH(IF('Data-solution'!$A$3="Maximize",MAX($C44:$AI44),MIN($C44:$AI44)),$C44:$AI44,0))),P33)</f>
        <v>0</v>
      </c>
      <c r="Q48" s="1">
        <f>IF(OR($B48&lt;&gt;$B33,$B49&lt;&gt;$B34,$B50&lt;&gt;$B35,$B51&lt;&gt;$B36,$B52&lt;&gt;$B37,$B53&lt;&gt;$B38,$B54&lt;&gt;$B39,$B55&lt;&gt;$B40,$B56&lt;&gt;$B41,$B57&lt;&gt;$B42,$B58&lt;&gt;$B43),IF($B48&lt;&gt;$B33,Q33/INDEX($C33:$AJ43,1,MATCH(IF('Data-solution'!$A$3="Maximize",MAX($C44:$AI44),MIN($C44:$AI44)),$C44:$AI44,0)),Q33-INDEX($C33:$AJ43,1,MATCH(IF('Data-solution'!$A$3="Maximize",MAX($C44:$AI44),MIN($C44:$AI44)),$C44:$AI44,0))*INDEX(Q33:$AJ43,MATCH(MIN($AK33:$AK43),$AK33:$AK43,0),1)/INDEX($C33:$AJ43,MATCH(MIN($AK33:$AK43),$AK33:$AK43,0),MATCH(IF('Data-solution'!$A$3="Maximize",MAX($C44:$AI44),MIN($C44:$AI44)),$C44:$AI44,0))),Q33)</f>
        <v>-1</v>
      </c>
      <c r="R48" s="1">
        <f>IF(OR($B48&lt;&gt;$B33,$B49&lt;&gt;$B34,$B50&lt;&gt;$B35,$B51&lt;&gt;$B36,$B52&lt;&gt;$B37,$B53&lt;&gt;$B38,$B54&lt;&gt;$B39,$B55&lt;&gt;$B40,$B56&lt;&gt;$B41,$B57&lt;&gt;$B42,$B58&lt;&gt;$B43),IF($B48&lt;&gt;$B33,R33/INDEX($C33:$AJ43,1,MATCH(IF('Data-solution'!$A$3="Maximize",MAX($C44:$AI44),MIN($C44:$AI44)),$C44:$AI44,0)),R33-INDEX($C33:$AJ43,1,MATCH(IF('Data-solution'!$A$3="Maximize",MAX($C44:$AI44),MIN($C44:$AI44)),$C44:$AI44,0))*INDEX(R33:$AJ43,MATCH(MIN($AK33:$AK43),$AK33:$AK43,0),1)/INDEX($C33:$AJ43,MATCH(MIN($AK33:$AK43),$AK33:$AK43,0),MATCH(IF('Data-solution'!$A$3="Maximize",MAX($C44:$AI44),MIN($C44:$AI44)),$C44:$AI44,0))),R33)</f>
        <v>0</v>
      </c>
      <c r="S48" s="1">
        <f>IF(OR($B48&lt;&gt;$B33,$B49&lt;&gt;$B34,$B50&lt;&gt;$B35,$B51&lt;&gt;$B36,$B52&lt;&gt;$B37,$B53&lt;&gt;$B38,$B54&lt;&gt;$B39,$B55&lt;&gt;$B40,$B56&lt;&gt;$B41,$B57&lt;&gt;$B42,$B58&lt;&gt;$B43),IF($B48&lt;&gt;$B33,S33/INDEX($C33:$AJ43,1,MATCH(IF('Data-solution'!$A$3="Maximize",MAX($C44:$AI44),MIN($C44:$AI44)),$C44:$AI44,0)),S33-INDEX($C33:$AJ43,1,MATCH(IF('Data-solution'!$A$3="Maximize",MAX($C44:$AI44),MIN($C44:$AI44)),$C44:$AI44,0))*INDEX(S33:$AJ43,MATCH(MIN($AK33:$AK43),$AK33:$AK43,0),1)/INDEX($C33:$AJ43,MATCH(MIN($AK33:$AK43),$AK33:$AK43,0),MATCH(IF('Data-solution'!$A$3="Maximize",MAX($C44:$AI44),MIN($C44:$AI44)),$C44:$AI44,0))),S33)</f>
        <v>0</v>
      </c>
      <c r="T48" s="1">
        <f>IF(OR($B48&lt;&gt;$B33,$B49&lt;&gt;$B34,$B50&lt;&gt;$B35,$B51&lt;&gt;$B36,$B52&lt;&gt;$B37,$B53&lt;&gt;$B38,$B54&lt;&gt;$B39,$B55&lt;&gt;$B40,$B56&lt;&gt;$B41,$B57&lt;&gt;$B42,$B58&lt;&gt;$B43),IF($B48&lt;&gt;$B33,T33/INDEX($C33:$AJ43,1,MATCH(IF('Data-solution'!$A$3="Maximize",MAX($C44:$AI44),MIN($C44:$AI44)),$C44:$AI44,0)),T33-INDEX($C33:$AJ43,1,MATCH(IF('Data-solution'!$A$3="Maximize",MAX($C44:$AI44),MIN($C44:$AI44)),$C44:$AI44,0))*INDEX(T33:$AJ43,MATCH(MIN($AK33:$AK43),$AK33:$AK43,0),1)/INDEX($C33:$AJ43,MATCH(MIN($AK33:$AK43),$AK33:$AK43,0),MATCH(IF('Data-solution'!$A$3="Maximize",MAX($C44:$AI44),MIN($C44:$AI44)),$C44:$AI44,0))),T33)</f>
        <v>0</v>
      </c>
      <c r="U48" s="1">
        <f>IF(OR($B48&lt;&gt;$B33,$B49&lt;&gt;$B34,$B50&lt;&gt;$B35,$B51&lt;&gt;$B36,$B52&lt;&gt;$B37,$B53&lt;&gt;$B38,$B54&lt;&gt;$B39,$B55&lt;&gt;$B40,$B56&lt;&gt;$B41,$B57&lt;&gt;$B42,$B58&lt;&gt;$B43),IF($B48&lt;&gt;$B33,U33/INDEX($C33:$AJ43,1,MATCH(IF('Data-solution'!$A$3="Maximize",MAX($C44:$AI44),MIN($C44:$AI44)),$C44:$AI44,0)),U33-INDEX($C33:$AJ43,1,MATCH(IF('Data-solution'!$A$3="Maximize",MAX($C44:$AI44),MIN($C44:$AI44)),$C44:$AI44,0))*INDEX(U33:$AJ43,MATCH(MIN($AK33:$AK43),$AK33:$AK43,0),1)/INDEX($C33:$AJ43,MATCH(MIN($AK33:$AK43),$AK33:$AK43,0),MATCH(IF('Data-solution'!$A$3="Maximize",MAX($C44:$AI44),MIN($C44:$AI44)),$C44:$AI44,0))),U33)</f>
        <v>0</v>
      </c>
      <c r="V48" s="1">
        <f>IF(OR($B48&lt;&gt;$B33,$B49&lt;&gt;$B34,$B50&lt;&gt;$B35,$B51&lt;&gt;$B36,$B52&lt;&gt;$B37,$B53&lt;&gt;$B38,$B54&lt;&gt;$B39,$B55&lt;&gt;$B40,$B56&lt;&gt;$B41,$B57&lt;&gt;$B42,$B58&lt;&gt;$B43),IF($B48&lt;&gt;$B33,V33/INDEX($C33:$AJ43,1,MATCH(IF('Data-solution'!$A$3="Maximize",MAX($C44:$AI44),MIN($C44:$AI44)),$C44:$AI44,0)),V33-INDEX($C33:$AJ43,1,MATCH(IF('Data-solution'!$A$3="Maximize",MAX($C44:$AI44),MIN($C44:$AI44)),$C44:$AI44,0))*INDEX(V33:$AJ43,MATCH(MIN($AK33:$AK43),$AK33:$AK43,0),1)/INDEX($C33:$AJ43,MATCH(MIN($AK33:$AK43),$AK33:$AK43,0),MATCH(IF('Data-solution'!$A$3="Maximize",MAX($C44:$AI44),MIN($C44:$AI44)),$C44:$AI44,0))),V33)</f>
        <v>0</v>
      </c>
      <c r="W48" s="1">
        <f>IF(OR($B48&lt;&gt;$B33,$B49&lt;&gt;$B34,$B50&lt;&gt;$B35,$B51&lt;&gt;$B36,$B52&lt;&gt;$B37,$B53&lt;&gt;$B38,$B54&lt;&gt;$B39,$B55&lt;&gt;$B40,$B56&lt;&gt;$B41,$B57&lt;&gt;$B42,$B58&lt;&gt;$B43),IF($B48&lt;&gt;$B33,W33/INDEX($C33:$AJ43,1,MATCH(IF('Data-solution'!$A$3="Maximize",MAX($C44:$AI44),MIN($C44:$AI44)),$C44:$AI44,0)),W33-INDEX($C33:$AJ43,1,MATCH(IF('Data-solution'!$A$3="Maximize",MAX($C44:$AI44),MIN($C44:$AI44)),$C44:$AI44,0))*INDEX(W33:$AJ43,MATCH(MIN($AK33:$AK43),$AK33:$AK43,0),1)/INDEX($C33:$AJ43,MATCH(MIN($AK33:$AK43),$AK33:$AK43,0),MATCH(IF('Data-solution'!$A$3="Maximize",MAX($C44:$AI44),MIN($C44:$AI44)),$C44:$AI44,0))),W33)</f>
        <v>0</v>
      </c>
      <c r="X48" s="1">
        <f>IF(OR($B48&lt;&gt;$B33,$B49&lt;&gt;$B34,$B50&lt;&gt;$B35,$B51&lt;&gt;$B36,$B52&lt;&gt;$B37,$B53&lt;&gt;$B38,$B54&lt;&gt;$B39,$B55&lt;&gt;$B40,$B56&lt;&gt;$B41,$B57&lt;&gt;$B42,$B58&lt;&gt;$B43),IF($B48&lt;&gt;$B33,X33/INDEX($C33:$AJ43,1,MATCH(IF('Data-solution'!$A$3="Maximize",MAX($C44:$AI44),MIN($C44:$AI44)),$C44:$AI44,0)),X33-INDEX($C33:$AJ43,1,MATCH(IF('Data-solution'!$A$3="Maximize",MAX($C44:$AI44),MIN($C44:$AI44)),$C44:$AI44,0))*INDEX(X33:$AJ43,MATCH(MIN($AK33:$AK43),$AK33:$AK43,0),1)/INDEX($C33:$AJ43,MATCH(MIN($AK33:$AK43),$AK33:$AK43,0),MATCH(IF('Data-solution'!$A$3="Maximize",MAX($C44:$AI44),MIN($C44:$AI44)),$C44:$AI44,0))),X33)</f>
        <v>0</v>
      </c>
      <c r="Y48" s="1">
        <f>IF(OR($B48&lt;&gt;$B33,$B49&lt;&gt;$B34,$B50&lt;&gt;$B35,$B51&lt;&gt;$B36,$B52&lt;&gt;$B37,$B53&lt;&gt;$B38,$B54&lt;&gt;$B39,$B55&lt;&gt;$B40,$B56&lt;&gt;$B41,$B57&lt;&gt;$B42,$B58&lt;&gt;$B43),IF($B48&lt;&gt;$B33,Y33/INDEX($C33:$AJ43,1,MATCH(IF('Data-solution'!$A$3="Maximize",MAX($C44:$AI44),MIN($C44:$AI44)),$C44:$AI44,0)),Y33-INDEX($C33:$AJ43,1,MATCH(IF('Data-solution'!$A$3="Maximize",MAX($C44:$AI44),MIN($C44:$AI44)),$C44:$AI44,0))*INDEX(Y33:$AJ43,MATCH(MIN($AK33:$AK43),$AK33:$AK43,0),1)/INDEX($C33:$AJ43,MATCH(MIN($AK33:$AK43),$AK33:$AK43,0),MATCH(IF('Data-solution'!$A$3="Maximize",MAX($C44:$AI44),MIN($C44:$AI44)),$C44:$AI44,0))),Y33)</f>
        <v>1</v>
      </c>
      <c r="Z48" s="1">
        <f>IF(OR($B48&lt;&gt;$B33,$B49&lt;&gt;$B34,$B50&lt;&gt;$B35,$B51&lt;&gt;$B36,$B52&lt;&gt;$B37,$B53&lt;&gt;$B38,$B54&lt;&gt;$B39,$B55&lt;&gt;$B40,$B56&lt;&gt;$B41,$B57&lt;&gt;$B42,$B58&lt;&gt;$B43),IF($B48&lt;&gt;$B33,Z33/INDEX($C33:$AJ43,1,MATCH(IF('Data-solution'!$A$3="Maximize",MAX($C44:$AI44),MIN($C44:$AI44)),$C44:$AI44,0)),Z33-INDEX($C33:$AJ43,1,MATCH(IF('Data-solution'!$A$3="Maximize",MAX($C44:$AI44),MIN($C44:$AI44)),$C44:$AI44,0))*INDEX(Z33:$AJ43,MATCH(MIN($AK33:$AK43),$AK33:$AK43,0),1)/INDEX($C33:$AJ43,MATCH(MIN($AK33:$AK43),$AK33:$AK43,0),MATCH(IF('Data-solution'!$A$3="Maximize",MAX($C44:$AI44),MIN($C44:$AI44)),$C44:$AI44,0))),Z33)</f>
        <v>0</v>
      </c>
      <c r="AA48" s="1">
        <f>IF(OR($B48&lt;&gt;$B33,$B49&lt;&gt;$B34,$B50&lt;&gt;$B35,$B51&lt;&gt;$B36,$B52&lt;&gt;$B37,$B53&lt;&gt;$B38,$B54&lt;&gt;$B39,$B55&lt;&gt;$B40,$B56&lt;&gt;$B41,$B57&lt;&gt;$B42,$B58&lt;&gt;$B43),IF($B48&lt;&gt;$B33,AA33/INDEX($C33:$AJ43,1,MATCH(IF('Data-solution'!$A$3="Maximize",MAX($C44:$AI44),MIN($C44:$AI44)),$C44:$AI44,0)),AA33-INDEX($C33:$AJ43,1,MATCH(IF('Data-solution'!$A$3="Maximize",MAX($C44:$AI44),MIN($C44:$AI44)),$C44:$AI44,0))*INDEX(AA33:$AJ43,MATCH(MIN($AK33:$AK43),$AK33:$AK43,0),1)/INDEX($C33:$AJ43,MATCH(MIN($AK33:$AK43),$AK33:$AK43,0),MATCH(IF('Data-solution'!$A$3="Maximize",MAX($C44:$AI44),MIN($C44:$AI44)),$C44:$AI44,0))),AA33)</f>
        <v>0</v>
      </c>
      <c r="AB48" s="1">
        <f>IF(OR($B48&lt;&gt;$B33,$B49&lt;&gt;$B34,$B50&lt;&gt;$B35,$B51&lt;&gt;$B36,$B52&lt;&gt;$B37,$B53&lt;&gt;$B38,$B54&lt;&gt;$B39,$B55&lt;&gt;$B40,$B56&lt;&gt;$B41,$B57&lt;&gt;$B42,$B58&lt;&gt;$B43),IF($B48&lt;&gt;$B33,AB33/INDEX($C33:$AJ43,1,MATCH(IF('Data-solution'!$A$3="Maximize",MAX($C44:$AI44),MIN($C44:$AI44)),$C44:$AI44,0)),AB33-INDEX($C33:$AJ43,1,MATCH(IF('Data-solution'!$A$3="Maximize",MAX($C44:$AI44),MIN($C44:$AI44)),$C44:$AI44,0))*INDEX(AB33:$AJ43,MATCH(MIN($AK33:$AK43),$AK33:$AK43,0),1)/INDEX($C33:$AJ43,MATCH(MIN($AK33:$AK43),$AK33:$AK43,0),MATCH(IF('Data-solution'!$A$3="Maximize",MAX($C44:$AI44),MIN($C44:$AI44)),$C44:$AI44,0))),AB33)</f>
        <v>-1</v>
      </c>
      <c r="AC48" s="1">
        <f>IF(OR($B48&lt;&gt;$B33,$B49&lt;&gt;$B34,$B50&lt;&gt;$B35,$B51&lt;&gt;$B36,$B52&lt;&gt;$B37,$B53&lt;&gt;$B38,$B54&lt;&gt;$B39,$B55&lt;&gt;$B40,$B56&lt;&gt;$B41,$B57&lt;&gt;$B42,$B58&lt;&gt;$B43),IF($B48&lt;&gt;$B33,AC33/INDEX($C33:$AJ43,1,MATCH(IF('Data-solution'!$A$3="Maximize",MAX($C44:$AI44),MIN($C44:$AI44)),$C44:$AI44,0)),AC33-INDEX($C33:$AJ43,1,MATCH(IF('Data-solution'!$A$3="Maximize",MAX($C44:$AI44),MIN($C44:$AI44)),$C44:$AI44,0))*INDEX(AC33:$AJ43,MATCH(MIN($AK33:$AK43),$AK33:$AK43,0),1)/INDEX($C33:$AJ43,MATCH(MIN($AK33:$AK43),$AK33:$AK43,0),MATCH(IF('Data-solution'!$A$3="Maximize",MAX($C44:$AI44),MIN($C44:$AI44)),$C44:$AI44,0))),AC33)</f>
        <v>0</v>
      </c>
      <c r="AD48" s="1">
        <f>IF(OR($B48&lt;&gt;$B33,$B49&lt;&gt;$B34,$B50&lt;&gt;$B35,$B51&lt;&gt;$B36,$B52&lt;&gt;$B37,$B53&lt;&gt;$B38,$B54&lt;&gt;$B39,$B55&lt;&gt;$B40,$B56&lt;&gt;$B41,$B57&lt;&gt;$B42,$B58&lt;&gt;$B43),IF($B48&lt;&gt;$B33,AD33/INDEX($C33:$AJ43,1,MATCH(IF('Data-solution'!$A$3="Maximize",MAX($C44:$AI44),MIN($C44:$AI44)),$C44:$AI44,0)),AD33-INDEX($C33:$AJ43,1,MATCH(IF('Data-solution'!$A$3="Maximize",MAX($C44:$AI44),MIN($C44:$AI44)),$C44:$AI44,0))*INDEX(AD33:$AJ43,MATCH(MIN($AK33:$AK43),$AK33:$AK43,0),1)/INDEX($C33:$AJ43,MATCH(MIN($AK33:$AK43),$AK33:$AK43,0),MATCH(IF('Data-solution'!$A$3="Maximize",MAX($C44:$AI44),MIN($C44:$AI44)),$C44:$AI44,0))),AD33)</f>
        <v>0</v>
      </c>
      <c r="AE48" s="1">
        <f>IF(OR($B48&lt;&gt;$B33,$B49&lt;&gt;$B34,$B50&lt;&gt;$B35,$B51&lt;&gt;$B36,$B52&lt;&gt;$B37,$B53&lt;&gt;$B38,$B54&lt;&gt;$B39,$B55&lt;&gt;$B40,$B56&lt;&gt;$B41,$B57&lt;&gt;$B42,$B58&lt;&gt;$B43),IF($B48&lt;&gt;$B33,AE33/INDEX($C33:$AJ43,1,MATCH(IF('Data-solution'!$A$3="Maximize",MAX($C44:$AI44),MIN($C44:$AI44)),$C44:$AI44,0)),AE33-INDEX($C33:$AJ43,1,MATCH(IF('Data-solution'!$A$3="Maximize",MAX($C44:$AI44),MIN($C44:$AI44)),$C44:$AI44,0))*INDEX(AE33:$AJ43,MATCH(MIN($AK33:$AK43),$AK33:$AK43,0),1)/INDEX($C33:$AJ43,MATCH(MIN($AK33:$AK43),$AK33:$AK43,0),MATCH(IF('Data-solution'!$A$3="Maximize",MAX($C44:$AI44),MIN($C44:$AI44)),$C44:$AI44,0))),AE33)</f>
        <v>0</v>
      </c>
      <c r="AF48" s="1">
        <f>IF(OR($B48&lt;&gt;$B33,$B49&lt;&gt;$B34,$B50&lt;&gt;$B35,$B51&lt;&gt;$B36,$B52&lt;&gt;$B37,$B53&lt;&gt;$B38,$B54&lt;&gt;$B39,$B55&lt;&gt;$B40,$B56&lt;&gt;$B41,$B57&lt;&gt;$B42,$B58&lt;&gt;$B43),IF($B48&lt;&gt;$B33,AF33/INDEX($C33:$AJ43,1,MATCH(IF('Data-solution'!$A$3="Maximize",MAX($C44:$AI44),MIN($C44:$AI44)),$C44:$AI44,0)),AF33-INDEX($C33:$AJ43,1,MATCH(IF('Data-solution'!$A$3="Maximize",MAX($C44:$AI44),MIN($C44:$AI44)),$C44:$AI44,0))*INDEX(AF33:$AJ43,MATCH(MIN($AK33:$AK43),$AK33:$AK43,0),1)/INDEX($C33:$AJ43,MATCH(MIN($AK33:$AK43),$AK33:$AK43,0),MATCH(IF('Data-solution'!$A$3="Maximize",MAX($C44:$AI44),MIN($C44:$AI44)),$C44:$AI44,0))),AF33)</f>
        <v>0</v>
      </c>
      <c r="AG48" s="1">
        <f>IF(OR($B48&lt;&gt;$B33,$B49&lt;&gt;$B34,$B50&lt;&gt;$B35,$B51&lt;&gt;$B36,$B52&lt;&gt;$B37,$B53&lt;&gt;$B38,$B54&lt;&gt;$B39,$B55&lt;&gt;$B40,$B56&lt;&gt;$B41,$B57&lt;&gt;$B42,$B58&lt;&gt;$B43),IF($B48&lt;&gt;$B33,AG33/INDEX($C33:$AJ43,1,MATCH(IF('Data-solution'!$A$3="Maximize",MAX($C44:$AI44),MIN($C44:$AI44)),$C44:$AI44,0)),AG33-INDEX($C33:$AJ43,1,MATCH(IF('Data-solution'!$A$3="Maximize",MAX($C44:$AI44),MIN($C44:$AI44)),$C44:$AI44,0))*INDEX(AG33:$AJ43,MATCH(MIN($AK33:$AK43),$AK33:$AK43,0),1)/INDEX($C33:$AJ43,MATCH(MIN($AK33:$AK43),$AK33:$AK43,0),MATCH(IF('Data-solution'!$A$3="Maximize",MAX($C44:$AI44),MIN($C44:$AI44)),$C44:$AI44,0))),AG33)</f>
        <v>0</v>
      </c>
      <c r="AH48" s="1">
        <f>IF(OR($B48&lt;&gt;$B33,$B49&lt;&gt;$B34,$B50&lt;&gt;$B35,$B51&lt;&gt;$B36,$B52&lt;&gt;$B37,$B53&lt;&gt;$B38,$B54&lt;&gt;$B39,$B55&lt;&gt;$B40,$B56&lt;&gt;$B41,$B57&lt;&gt;$B42,$B58&lt;&gt;$B43),IF($B48&lt;&gt;$B33,AH33/INDEX($C33:$AJ43,1,MATCH(IF('Data-solution'!$A$3="Maximize",MAX($C44:$AI44),MIN($C44:$AI44)),$C44:$AI44,0)),AH33-INDEX($C33:$AJ43,1,MATCH(IF('Data-solution'!$A$3="Maximize",MAX($C44:$AI44),MIN($C44:$AI44)),$C44:$AI44,0))*INDEX(AH33:$AJ43,MATCH(MIN($AK33:$AK43),$AK33:$AK43,0),1)/INDEX($C33:$AJ43,MATCH(MIN($AK33:$AK43),$AK33:$AK43,0),MATCH(IF('Data-solution'!$A$3="Maximize",MAX($C44:$AI44),MIN($C44:$AI44)),$C44:$AI44,0))),AH33)</f>
        <v>0</v>
      </c>
      <c r="AI48" s="1">
        <f>IF(OR($B48&lt;&gt;$B33,$B49&lt;&gt;$B34,$B50&lt;&gt;$B35,$B51&lt;&gt;$B36,$B52&lt;&gt;$B37,$B53&lt;&gt;$B38,$B54&lt;&gt;$B39,$B55&lt;&gt;$B40,$B56&lt;&gt;$B41,$B57&lt;&gt;$B42,$B58&lt;&gt;$B43),IF($B48&lt;&gt;$B33,AI33/INDEX($C33:$AJ43,1,MATCH(IF('Data-solution'!$A$3="Maximize",MAX($C44:$AI44),MIN($C44:$AI44)),$C44:$AI44,0)),AI33-INDEX($C33:$AJ43,1,MATCH(IF('Data-solution'!$A$3="Maximize",MAX($C44:$AI44),MIN($C44:$AI44)),$C44:$AI44,0))*INDEX(AI33:$AJ43,MATCH(MIN($AK33:$AK43),$AK33:$AK43,0),1)/INDEX($C33:$AJ43,MATCH(MIN($AK33:$AK43),$AK33:$AK43,0),MATCH(IF('Data-solution'!$A$3="Maximize",MAX($C44:$AI44),MIN($C44:$AI44)),$C44:$AI44,0))),AI33)</f>
        <v>0</v>
      </c>
      <c r="AJ48" s="1">
        <f>IF(OR($B48&lt;&gt;$B33,$B49&lt;&gt;$B34,$B50&lt;&gt;$B35,$B51&lt;&gt;$B36,$B52&lt;&gt;$B37,$B53&lt;&gt;$B38,$B54&lt;&gt;$B39,$B55&lt;&gt;$B40,$B56&lt;&gt;$B41,$B57&lt;&gt;$B42,$B58&lt;&gt;$B43),IF($B48&lt;&gt;$B33,AJ33/INDEX($C33:$AJ43,1,MATCH(IF('Data-solution'!$A$3="Maximize",MAX($C44:$AI44),MIN($C44:$AI44)),$C44:$AI44,0)),AJ33-INDEX($C33:$AJ43,1,MATCH(IF('Data-solution'!$A$3="Maximize",MAX($C44:$AI44),MIN($C44:$AI44)),$C44:$AI44,0))*INDEX(AJ33:$AJ43,MATCH(MIN($AK33:$AK43),$AK33:$AK43,0),1)/INDEX($C33:$AJ43,MATCH(MIN($AK33:$AK43),$AK33:$AK43,0),MATCH(IF('Data-solution'!$A$3="Maximize",MAX($C44:$AI44),MIN($C44:$AI44)),$C44:$AI44,0))),AJ33)</f>
        <v>150</v>
      </c>
      <c r="AK48" s="1" t="str">
        <f>IF(INDEX(C48:X48,1,MATCH(IF('Data-solution'!A$3="Maximize",MAX(C59:X59),MIN(C59:X59)),C59:X59,0))&gt;0,AJ48/INDEX(C48:X48,1,MATCH(IF('Data-solution'!A$3="Maximize",MAX(C59:X59),MIN(C59:X59)),C59:X59,0))," ")</f>
        <v xml:space="preserve"> </v>
      </c>
    </row>
    <row r="49" spans="1:37" ht="18" customHeight="1" x14ac:dyDescent="0.2">
      <c r="A49" s="1">
        <f t="shared" ref="A49" si="23">INDEX(C46:AI46,1,MATCH(B49,C47:AI47,0))</f>
        <v>0</v>
      </c>
      <c r="B49" s="2" t="str">
        <f>IF(AND('Data-solution'!A$3="Maximize",COUNTIF(C44:X44,"&gt;"&amp;0)&gt;0,AK34=MIN(AK33:AK43),COUNTIF(B48,INDEX(C32:X32,1,MATCH(MAX(C44:X44),C44:X44,0)))=0),INDEX(C32:X32,1,MATCH(MAX(C44:X44),C44:X44,0)),IF(AND('Data-solution'!A$3="Minimize",COUNTIF(C44:X44,"&lt;"&amp;0)&gt;0,AK34=MIN(AK33:AK43),COUNTIF(B48,INDEX(C32:X32,1,MATCH(MIN(C44:X44),C44:X44,0)))=0),INDEX(C32:X32,1,MATCH(MIN(C44:X44),C44:X44,0)),B34))</f>
        <v>S2</v>
      </c>
      <c r="C49" s="1">
        <f>IF(OR($B48&lt;&gt;$B33,$B49&lt;&gt;$B34,$B50&lt;&gt;$B35,$B51&lt;&gt;$B36,$B52&lt;&gt;$B37,$B53&lt;&gt;$B38,$B54&lt;&gt;$B39,$B55&lt;&gt;$B40,$B56&lt;&gt;$B41,$B57&lt;&gt;$B42,$B58&lt;&gt;$B43),IF($B49&lt;&gt;$B34,C34/INDEX($C33:$AJ43,2,MATCH(IF('Data-solution'!$A$3="Maximize",MAX($C44:$AI44),MIN($C44:$AI44)),$C44:$AI44,0)),C34-INDEX($C33:$AJ43,2,MATCH(IF('Data-solution'!$A$3="Maximize",MAX($C44:$AI44),MIN($C44:$AI44)),$C44:$AI44,0))*INDEX(C33:$AJ43,MATCH(MIN($AK33:$AK43),$AK33:$AK43,0),1)/INDEX($C33:$AJ43,MATCH(MIN($AK33:$AK43),$AK33:$AK43,0),MATCH(IF('Data-solution'!$A$3="Maximize",MAX($C44:$AI44),MIN($C44:$AI44)),$C44:$AI44,0))),C34)</f>
        <v>0</v>
      </c>
      <c r="D49" s="1">
        <f>IF(OR($B48&lt;&gt;$B33,$B49&lt;&gt;$B34,$B50&lt;&gt;$B35,$B51&lt;&gt;$B36,$B52&lt;&gt;$B37,$B53&lt;&gt;$B38,$B54&lt;&gt;$B39,$B55&lt;&gt;$B40,$B56&lt;&gt;$B41,$B57&lt;&gt;$B42,$B58&lt;&gt;$B43),IF($B49&lt;&gt;$B34,D34/INDEX($C33:$AJ43,2,MATCH(IF('Data-solution'!$A$3="Maximize",MAX($C44:$AI44),MIN($C44:$AI44)),$C44:$AI44,0)),D34-INDEX($C33:$AJ43,2,MATCH(IF('Data-solution'!$A$3="Maximize",MAX($C44:$AI44),MIN($C44:$AI44)),$C44:$AI44,0))*INDEX(D33:$AJ43,MATCH(MIN($AK33:$AK43),$AK33:$AK43,0),1)/INDEX($C33:$AJ43,MATCH(MIN($AK33:$AK43),$AK33:$AK43,0),MATCH(IF('Data-solution'!$A$3="Maximize",MAX($C44:$AI44),MIN($C44:$AI44)),$C44:$AI44,0))),D34)</f>
        <v>1.75</v>
      </c>
      <c r="E49" s="1">
        <f>IF(OR($B48&lt;&gt;$B33,$B49&lt;&gt;$B34,$B50&lt;&gt;$B35,$B51&lt;&gt;$B36,$B52&lt;&gt;$B37,$B53&lt;&gt;$B38,$B54&lt;&gt;$B39,$B55&lt;&gt;$B40,$B56&lt;&gt;$B41,$B57&lt;&gt;$B42,$B58&lt;&gt;$B43),IF($B49&lt;&gt;$B34,E34/INDEX($C33:$AJ43,2,MATCH(IF('Data-solution'!$A$3="Maximize",MAX($C44:$AI44),MIN($C44:$AI44)),$C44:$AI44,0)),E34-INDEX($C33:$AJ43,2,MATCH(IF('Data-solution'!$A$3="Maximize",MAX($C44:$AI44),MIN($C44:$AI44)),$C44:$AI44,0))*INDEX(E33:$AJ43,MATCH(MIN($AK33:$AK43),$AK33:$AK43,0),1)/INDEX($C33:$AJ43,MATCH(MIN($AK33:$AK43),$AK33:$AK43,0),MATCH(IF('Data-solution'!$A$3="Maximize",MAX($C44:$AI44),MIN($C44:$AI44)),$C44:$AI44,0))),E34)</f>
        <v>0</v>
      </c>
      <c r="F49" s="1">
        <f>IF(OR($B48&lt;&gt;$B33,$B49&lt;&gt;$B34,$B50&lt;&gt;$B35,$B51&lt;&gt;$B36,$B52&lt;&gt;$B37,$B53&lt;&gt;$B38,$B54&lt;&gt;$B39,$B55&lt;&gt;$B40,$B56&lt;&gt;$B41,$B57&lt;&gt;$B42,$B58&lt;&gt;$B43),IF($B49&lt;&gt;$B34,F34/INDEX($C33:$AJ43,2,MATCH(IF('Data-solution'!$A$3="Maximize",MAX($C44:$AI44),MIN($C44:$AI44)),$C44:$AI44,0)),F34-INDEX($C33:$AJ43,2,MATCH(IF('Data-solution'!$A$3="Maximize",MAX($C44:$AI44),MIN($C44:$AI44)),$C44:$AI44,0))*INDEX(F33:$AJ43,MATCH(MIN($AK33:$AK43),$AK33:$AK43,0),1)/INDEX($C33:$AJ43,MATCH(MIN($AK33:$AK43),$AK33:$AK43,0),MATCH(IF('Data-solution'!$A$3="Maximize",MAX($C44:$AI44),MIN($C44:$AI44)),$C44:$AI44,0))),F34)</f>
        <v>0</v>
      </c>
      <c r="G49" s="1">
        <f>IF(OR($B48&lt;&gt;$B33,$B49&lt;&gt;$B34,$B50&lt;&gt;$B35,$B51&lt;&gt;$B36,$B52&lt;&gt;$B37,$B53&lt;&gt;$B38,$B54&lt;&gt;$B39,$B55&lt;&gt;$B40,$B56&lt;&gt;$B41,$B57&lt;&gt;$B42,$B58&lt;&gt;$B43),IF($B49&lt;&gt;$B34,G34/INDEX($C33:$AJ43,2,MATCH(IF('Data-solution'!$A$3="Maximize",MAX($C44:$AI44),MIN($C44:$AI44)),$C44:$AI44,0)),G34-INDEX($C33:$AJ43,2,MATCH(IF('Data-solution'!$A$3="Maximize",MAX($C44:$AI44),MIN($C44:$AI44)),$C44:$AI44,0))*INDEX(G33:$AJ43,MATCH(MIN($AK33:$AK43),$AK33:$AK43,0),1)/INDEX($C33:$AJ43,MATCH(MIN($AK33:$AK43),$AK33:$AK43,0),MATCH(IF('Data-solution'!$A$3="Maximize",MAX($C44:$AI44),MIN($C44:$AI44)),$C44:$AI44,0))),G34)</f>
        <v>0</v>
      </c>
      <c r="H49" s="1">
        <f>IF(OR($B48&lt;&gt;$B33,$B49&lt;&gt;$B34,$B50&lt;&gt;$B35,$B51&lt;&gt;$B36,$B52&lt;&gt;$B37,$B53&lt;&gt;$B38,$B54&lt;&gt;$B39,$B55&lt;&gt;$B40,$B56&lt;&gt;$B41,$B57&lt;&gt;$B42,$B58&lt;&gt;$B43),IF($B49&lt;&gt;$B34,H34/INDEX($C33:$AJ43,2,MATCH(IF('Data-solution'!$A$3="Maximize",MAX($C44:$AI44),MIN($C44:$AI44)),$C44:$AI44,0)),H34-INDEX($C33:$AJ43,2,MATCH(IF('Data-solution'!$A$3="Maximize",MAX($C44:$AI44),MIN($C44:$AI44)),$C44:$AI44,0))*INDEX(H33:$AJ43,MATCH(MIN($AK33:$AK43),$AK33:$AK43,0),1)/INDEX($C33:$AJ43,MATCH(MIN($AK33:$AK43),$AK33:$AK43,0),MATCH(IF('Data-solution'!$A$3="Maximize",MAX($C44:$AI44),MIN($C44:$AI44)),$C44:$AI44,0))),H34)</f>
        <v>0</v>
      </c>
      <c r="I49" s="1">
        <f>IF(OR($B48&lt;&gt;$B33,$B49&lt;&gt;$B34,$B50&lt;&gt;$B35,$B51&lt;&gt;$B36,$B52&lt;&gt;$B37,$B53&lt;&gt;$B38,$B54&lt;&gt;$B39,$B55&lt;&gt;$B40,$B56&lt;&gt;$B41,$B57&lt;&gt;$B42,$B58&lt;&gt;$B43),IF($B49&lt;&gt;$B34,I34/INDEX($C33:$AJ43,2,MATCH(IF('Data-solution'!$A$3="Maximize",MAX($C44:$AI44),MIN($C44:$AI44)),$C44:$AI44,0)),I34-INDEX($C33:$AJ43,2,MATCH(IF('Data-solution'!$A$3="Maximize",MAX($C44:$AI44),MIN($C44:$AI44)),$C44:$AI44,0))*INDEX(I33:$AJ43,MATCH(MIN($AK33:$AK43),$AK33:$AK43,0),1)/INDEX($C33:$AJ43,MATCH(MIN($AK33:$AK43),$AK33:$AK43,0),MATCH(IF('Data-solution'!$A$3="Maximize",MAX($C44:$AI44),MIN($C44:$AI44)),$C44:$AI44,0))),I34)</f>
        <v>0</v>
      </c>
      <c r="J49" s="1">
        <f>IF(OR($B48&lt;&gt;$B33,$B49&lt;&gt;$B34,$B50&lt;&gt;$B35,$B51&lt;&gt;$B36,$B52&lt;&gt;$B37,$B53&lt;&gt;$B38,$B54&lt;&gt;$B39,$B55&lt;&gt;$B40,$B56&lt;&gt;$B41,$B57&lt;&gt;$B42,$B58&lt;&gt;$B43),IF($B49&lt;&gt;$B34,J34/INDEX($C33:$AJ43,2,MATCH(IF('Data-solution'!$A$3="Maximize",MAX($C44:$AI44),MIN($C44:$AI44)),$C44:$AI44,0)),J34-INDEX($C33:$AJ43,2,MATCH(IF('Data-solution'!$A$3="Maximize",MAX($C44:$AI44),MIN($C44:$AI44)),$C44:$AI44,0))*INDEX(J33:$AJ43,MATCH(MIN($AK33:$AK43),$AK33:$AK43,0),1)/INDEX($C33:$AJ43,MATCH(MIN($AK33:$AK43),$AK33:$AK43,0),MATCH(IF('Data-solution'!$A$3="Maximize",MAX($C44:$AI44),MIN($C44:$AI44)),$C44:$AI44,0))),J34)</f>
        <v>0</v>
      </c>
      <c r="K49" s="1">
        <f>IF(OR($B48&lt;&gt;$B33,$B49&lt;&gt;$B34,$B50&lt;&gt;$B35,$B51&lt;&gt;$B36,$B52&lt;&gt;$B37,$B53&lt;&gt;$B38,$B54&lt;&gt;$B39,$B55&lt;&gt;$B40,$B56&lt;&gt;$B41,$B57&lt;&gt;$B42,$B58&lt;&gt;$B43),IF($B49&lt;&gt;$B34,K34/INDEX($C33:$AJ43,2,MATCH(IF('Data-solution'!$A$3="Maximize",MAX($C44:$AI44),MIN($C44:$AI44)),$C44:$AI44,0)),K34-INDEX($C33:$AJ43,2,MATCH(IF('Data-solution'!$A$3="Maximize",MAX($C44:$AI44),MIN($C44:$AI44)),$C44:$AI44,0))*INDEX(K33:$AJ43,MATCH(MIN($AK33:$AK43),$AK33:$AK43,0),1)/INDEX($C33:$AJ43,MATCH(MIN($AK33:$AK43),$AK33:$AK43,0),MATCH(IF('Data-solution'!$A$3="Maximize",MAX($C44:$AI44),MIN($C44:$AI44)),$C44:$AI44,0))),K34)</f>
        <v>0</v>
      </c>
      <c r="L49" s="1">
        <f>IF(OR($B48&lt;&gt;$B33,$B49&lt;&gt;$B34,$B50&lt;&gt;$B35,$B51&lt;&gt;$B36,$B52&lt;&gt;$B37,$B53&lt;&gt;$B38,$B54&lt;&gt;$B39,$B55&lt;&gt;$B40,$B56&lt;&gt;$B41,$B57&lt;&gt;$B42,$B58&lt;&gt;$B43),IF($B49&lt;&gt;$B34,L34/INDEX($C33:$AJ43,2,MATCH(IF('Data-solution'!$A$3="Maximize",MAX($C44:$AI44),MIN($C44:$AI44)),$C44:$AI44,0)),L34-INDEX($C33:$AJ43,2,MATCH(IF('Data-solution'!$A$3="Maximize",MAX($C44:$AI44),MIN($C44:$AI44)),$C44:$AI44,0))*INDEX(L33:$AJ43,MATCH(MIN($AK33:$AK43),$AK33:$AK43,0),1)/INDEX($C33:$AJ43,MATCH(MIN($AK33:$AK43),$AK33:$AK43,0),MATCH(IF('Data-solution'!$A$3="Maximize",MAX($C44:$AI44),MIN($C44:$AI44)),$C44:$AI44,0))),L34)</f>
        <v>0</v>
      </c>
      <c r="M49" s="1">
        <f>IF(OR($B48&lt;&gt;$B33,$B49&lt;&gt;$B34,$B50&lt;&gt;$B35,$B51&lt;&gt;$B36,$B52&lt;&gt;$B37,$B53&lt;&gt;$B38,$B54&lt;&gt;$B39,$B55&lt;&gt;$B40,$B56&lt;&gt;$B41,$B57&lt;&gt;$B42,$B58&lt;&gt;$B43),IF($B49&lt;&gt;$B34,M34/INDEX($C33:$AJ43,2,MATCH(IF('Data-solution'!$A$3="Maximize",MAX($C44:$AI44),MIN($C44:$AI44)),$C44:$AI44,0)),M34-INDEX($C33:$AJ43,2,MATCH(IF('Data-solution'!$A$3="Maximize",MAX($C44:$AI44),MIN($C44:$AI44)),$C44:$AI44,0))*INDEX(M33:$AJ43,MATCH(MIN($AK33:$AK43),$AK33:$AK43,0),1)/INDEX($C33:$AJ43,MATCH(MIN($AK33:$AK43),$AK33:$AK43,0),MATCH(IF('Data-solution'!$A$3="Maximize",MAX($C44:$AI44),MIN($C44:$AI44)),$C44:$AI44,0))),M34)</f>
        <v>0</v>
      </c>
      <c r="N49" s="1">
        <f>IF(OR($B48&lt;&gt;$B33,$B49&lt;&gt;$B34,$B50&lt;&gt;$B35,$B51&lt;&gt;$B36,$B52&lt;&gt;$B37,$B53&lt;&gt;$B38,$B54&lt;&gt;$B39,$B55&lt;&gt;$B40,$B56&lt;&gt;$B41,$B57&lt;&gt;$B42,$B58&lt;&gt;$B43),IF($B49&lt;&gt;$B34,N34/INDEX($C33:$AJ43,2,MATCH(IF('Data-solution'!$A$3="Maximize",MAX($C44:$AI44),MIN($C44:$AI44)),$C44:$AI44,0)),N34-INDEX($C33:$AJ43,2,MATCH(IF('Data-solution'!$A$3="Maximize",MAX($C44:$AI44),MIN($C44:$AI44)),$C44:$AI44,0))*INDEX(N33:$AJ43,MATCH(MIN($AK33:$AK43),$AK33:$AK43,0),1)/INDEX($C33:$AJ43,MATCH(MIN($AK33:$AK43),$AK33:$AK43,0),MATCH(IF('Data-solution'!$A$3="Maximize",MAX($C44:$AI44),MIN($C44:$AI44)),$C44:$AI44,0))),N34)</f>
        <v>0</v>
      </c>
      <c r="O49" s="1">
        <f>IF(OR($B48&lt;&gt;$B33,$B49&lt;&gt;$B34,$B50&lt;&gt;$B35,$B51&lt;&gt;$B36,$B52&lt;&gt;$B37,$B53&lt;&gt;$B38,$B54&lt;&gt;$B39,$B55&lt;&gt;$B40,$B56&lt;&gt;$B41,$B57&lt;&gt;$B42,$B58&lt;&gt;$B43),IF($B49&lt;&gt;$B34,O34/INDEX($C33:$AJ43,2,MATCH(IF('Data-solution'!$A$3="Maximize",MAX($C44:$AI44),MIN($C44:$AI44)),$C44:$AI44,0)),O34-INDEX($C33:$AJ43,2,MATCH(IF('Data-solution'!$A$3="Maximize",MAX($C44:$AI44),MIN($C44:$AI44)),$C44:$AI44,0))*INDEX(O33:$AJ43,MATCH(MIN($AK33:$AK43),$AK33:$AK43,0),1)/INDEX($C33:$AJ43,MATCH(MIN($AK33:$AK43),$AK33:$AK43,0),MATCH(IF('Data-solution'!$A$3="Maximize",MAX($C44:$AI44),MIN($C44:$AI44)),$C44:$AI44,0))),O34)</f>
        <v>1</v>
      </c>
      <c r="P49" s="1">
        <f>IF(OR($B48&lt;&gt;$B33,$B49&lt;&gt;$B34,$B50&lt;&gt;$B35,$B51&lt;&gt;$B36,$B52&lt;&gt;$B37,$B53&lt;&gt;$B38,$B54&lt;&gt;$B39,$B55&lt;&gt;$B40,$B56&lt;&gt;$B41,$B57&lt;&gt;$B42,$B58&lt;&gt;$B43),IF($B49&lt;&gt;$B34,P34/INDEX($C33:$AJ43,2,MATCH(IF('Data-solution'!$A$3="Maximize",MAX($C44:$AI44),MIN($C44:$AI44)),$C44:$AI44,0)),P34-INDEX($C33:$AJ43,2,MATCH(IF('Data-solution'!$A$3="Maximize",MAX($C44:$AI44),MIN($C44:$AI44)),$C44:$AI44,0))*INDEX(P33:$AJ43,MATCH(MIN($AK33:$AK43),$AK33:$AK43,0),1)/INDEX($C33:$AJ43,MATCH(MIN($AK33:$AK43),$AK33:$AK43,0),MATCH(IF('Data-solution'!$A$3="Maximize",MAX($C44:$AI44),MIN($C44:$AI44)),$C44:$AI44,0))),P34)</f>
        <v>-0.25</v>
      </c>
      <c r="Q49" s="1">
        <f>IF(OR($B48&lt;&gt;$B33,$B49&lt;&gt;$B34,$B50&lt;&gt;$B35,$B51&lt;&gt;$B36,$B52&lt;&gt;$B37,$B53&lt;&gt;$B38,$B54&lt;&gt;$B39,$B55&lt;&gt;$B40,$B56&lt;&gt;$B41,$B57&lt;&gt;$B42,$B58&lt;&gt;$B43),IF($B49&lt;&gt;$B34,Q34/INDEX($C33:$AJ43,2,MATCH(IF('Data-solution'!$A$3="Maximize",MAX($C44:$AI44),MIN($C44:$AI44)),$C44:$AI44,0)),Q34-INDEX($C33:$AJ43,2,MATCH(IF('Data-solution'!$A$3="Maximize",MAX($C44:$AI44),MIN($C44:$AI44)),$C44:$AI44,0))*INDEX(Q33:$AJ43,MATCH(MIN($AK33:$AK43),$AK33:$AK43,0),1)/INDEX($C33:$AJ43,MATCH(MIN($AK33:$AK43),$AK33:$AK43,0),MATCH(IF('Data-solution'!$A$3="Maximize",MAX($C44:$AI44),MIN($C44:$AI44)),$C44:$AI44,0))),Q34)</f>
        <v>-0.5</v>
      </c>
      <c r="R49" s="1">
        <f>IF(OR($B48&lt;&gt;$B33,$B49&lt;&gt;$B34,$B50&lt;&gt;$B35,$B51&lt;&gt;$B36,$B52&lt;&gt;$B37,$B53&lt;&gt;$B38,$B54&lt;&gt;$B39,$B55&lt;&gt;$B40,$B56&lt;&gt;$B41,$B57&lt;&gt;$B42,$B58&lt;&gt;$B43),IF($B49&lt;&gt;$B34,R34/INDEX($C33:$AJ43,2,MATCH(IF('Data-solution'!$A$3="Maximize",MAX($C44:$AI44),MIN($C44:$AI44)),$C44:$AI44,0)),R34-INDEX($C33:$AJ43,2,MATCH(IF('Data-solution'!$A$3="Maximize",MAX($C44:$AI44),MIN($C44:$AI44)),$C44:$AI44,0))*INDEX(R33:$AJ43,MATCH(MIN($AK33:$AK43),$AK33:$AK43,0),1)/INDEX($C33:$AJ43,MATCH(MIN($AK33:$AK43),$AK33:$AK43,0),MATCH(IF('Data-solution'!$A$3="Maximize",MAX($C44:$AI44),MIN($C44:$AI44)),$C44:$AI44,0))),R34)</f>
        <v>0</v>
      </c>
      <c r="S49" s="1">
        <f>IF(OR($B48&lt;&gt;$B33,$B49&lt;&gt;$B34,$B50&lt;&gt;$B35,$B51&lt;&gt;$B36,$B52&lt;&gt;$B37,$B53&lt;&gt;$B38,$B54&lt;&gt;$B39,$B55&lt;&gt;$B40,$B56&lt;&gt;$B41,$B57&lt;&gt;$B42,$B58&lt;&gt;$B43),IF($B49&lt;&gt;$B34,S34/INDEX($C33:$AJ43,2,MATCH(IF('Data-solution'!$A$3="Maximize",MAX($C44:$AI44),MIN($C44:$AI44)),$C44:$AI44,0)),S34-INDEX($C33:$AJ43,2,MATCH(IF('Data-solution'!$A$3="Maximize",MAX($C44:$AI44),MIN($C44:$AI44)),$C44:$AI44,0))*INDEX(S33:$AJ43,MATCH(MIN($AK33:$AK43),$AK33:$AK43,0),1)/INDEX($C33:$AJ43,MATCH(MIN($AK33:$AK43),$AK33:$AK43,0),MATCH(IF('Data-solution'!$A$3="Maximize",MAX($C44:$AI44),MIN($C44:$AI44)),$C44:$AI44,0))),S34)</f>
        <v>0</v>
      </c>
      <c r="T49" s="1">
        <f>IF(OR($B48&lt;&gt;$B33,$B49&lt;&gt;$B34,$B50&lt;&gt;$B35,$B51&lt;&gt;$B36,$B52&lt;&gt;$B37,$B53&lt;&gt;$B38,$B54&lt;&gt;$B39,$B55&lt;&gt;$B40,$B56&lt;&gt;$B41,$B57&lt;&gt;$B42,$B58&lt;&gt;$B43),IF($B49&lt;&gt;$B34,T34/INDEX($C33:$AJ43,2,MATCH(IF('Data-solution'!$A$3="Maximize",MAX($C44:$AI44),MIN($C44:$AI44)),$C44:$AI44,0)),T34-INDEX($C33:$AJ43,2,MATCH(IF('Data-solution'!$A$3="Maximize",MAX($C44:$AI44),MIN($C44:$AI44)),$C44:$AI44,0))*INDEX(T33:$AJ43,MATCH(MIN($AK33:$AK43),$AK33:$AK43,0),1)/INDEX($C33:$AJ43,MATCH(MIN($AK33:$AK43),$AK33:$AK43,0),MATCH(IF('Data-solution'!$A$3="Maximize",MAX($C44:$AI44),MIN($C44:$AI44)),$C44:$AI44,0))),T34)</f>
        <v>0</v>
      </c>
      <c r="U49" s="1">
        <f>IF(OR($B48&lt;&gt;$B33,$B49&lt;&gt;$B34,$B50&lt;&gt;$B35,$B51&lt;&gt;$B36,$B52&lt;&gt;$B37,$B53&lt;&gt;$B38,$B54&lt;&gt;$B39,$B55&lt;&gt;$B40,$B56&lt;&gt;$B41,$B57&lt;&gt;$B42,$B58&lt;&gt;$B43),IF($B49&lt;&gt;$B34,U34/INDEX($C33:$AJ43,2,MATCH(IF('Data-solution'!$A$3="Maximize",MAX($C44:$AI44),MIN($C44:$AI44)),$C44:$AI44,0)),U34-INDEX($C33:$AJ43,2,MATCH(IF('Data-solution'!$A$3="Maximize",MAX($C44:$AI44),MIN($C44:$AI44)),$C44:$AI44,0))*INDEX(U33:$AJ43,MATCH(MIN($AK33:$AK43),$AK33:$AK43,0),1)/INDEX($C33:$AJ43,MATCH(MIN($AK33:$AK43),$AK33:$AK43,0),MATCH(IF('Data-solution'!$A$3="Maximize",MAX($C44:$AI44),MIN($C44:$AI44)),$C44:$AI44,0))),U34)</f>
        <v>0</v>
      </c>
      <c r="V49" s="1">
        <f>IF(OR($B48&lt;&gt;$B33,$B49&lt;&gt;$B34,$B50&lt;&gt;$B35,$B51&lt;&gt;$B36,$B52&lt;&gt;$B37,$B53&lt;&gt;$B38,$B54&lt;&gt;$B39,$B55&lt;&gt;$B40,$B56&lt;&gt;$B41,$B57&lt;&gt;$B42,$B58&lt;&gt;$B43),IF($B49&lt;&gt;$B34,V34/INDEX($C33:$AJ43,2,MATCH(IF('Data-solution'!$A$3="Maximize",MAX($C44:$AI44),MIN($C44:$AI44)),$C44:$AI44,0)),V34-INDEX($C33:$AJ43,2,MATCH(IF('Data-solution'!$A$3="Maximize",MAX($C44:$AI44),MIN($C44:$AI44)),$C44:$AI44,0))*INDEX(V33:$AJ43,MATCH(MIN($AK33:$AK43),$AK33:$AK43,0),1)/INDEX($C33:$AJ43,MATCH(MIN($AK33:$AK43),$AK33:$AK43,0),MATCH(IF('Data-solution'!$A$3="Maximize",MAX($C44:$AI44),MIN($C44:$AI44)),$C44:$AI44,0))),V34)</f>
        <v>0</v>
      </c>
      <c r="W49" s="1">
        <f>IF(OR($B48&lt;&gt;$B33,$B49&lt;&gt;$B34,$B50&lt;&gt;$B35,$B51&lt;&gt;$B36,$B52&lt;&gt;$B37,$B53&lt;&gt;$B38,$B54&lt;&gt;$B39,$B55&lt;&gt;$B40,$B56&lt;&gt;$B41,$B57&lt;&gt;$B42,$B58&lt;&gt;$B43),IF($B49&lt;&gt;$B34,W34/INDEX($C33:$AJ43,2,MATCH(IF('Data-solution'!$A$3="Maximize",MAX($C44:$AI44),MIN($C44:$AI44)),$C44:$AI44,0)),W34-INDEX($C33:$AJ43,2,MATCH(IF('Data-solution'!$A$3="Maximize",MAX($C44:$AI44),MIN($C44:$AI44)),$C44:$AI44,0))*INDEX(W33:$AJ43,MATCH(MIN($AK33:$AK43),$AK33:$AK43,0),1)/INDEX($C33:$AJ43,MATCH(MIN($AK33:$AK43),$AK33:$AK43,0),MATCH(IF('Data-solution'!$A$3="Maximize",MAX($C44:$AI44),MIN($C44:$AI44)),$C44:$AI44,0))),W34)</f>
        <v>0</v>
      </c>
      <c r="X49" s="1">
        <f>IF(OR($B48&lt;&gt;$B33,$B49&lt;&gt;$B34,$B50&lt;&gt;$B35,$B51&lt;&gt;$B36,$B52&lt;&gt;$B37,$B53&lt;&gt;$B38,$B54&lt;&gt;$B39,$B55&lt;&gt;$B40,$B56&lt;&gt;$B41,$B57&lt;&gt;$B42,$B58&lt;&gt;$B43),IF($B49&lt;&gt;$B34,X34/INDEX($C33:$AJ43,2,MATCH(IF('Data-solution'!$A$3="Maximize",MAX($C44:$AI44),MIN($C44:$AI44)),$C44:$AI44,0)),X34-INDEX($C33:$AJ43,2,MATCH(IF('Data-solution'!$A$3="Maximize",MAX($C44:$AI44),MIN($C44:$AI44)),$C44:$AI44,0))*INDEX(X33:$AJ43,MATCH(MIN($AK33:$AK43),$AK33:$AK43,0),1)/INDEX($C33:$AJ43,MATCH(MIN($AK33:$AK43),$AK33:$AK43,0),MATCH(IF('Data-solution'!$A$3="Maximize",MAX($C44:$AI44),MIN($C44:$AI44)),$C44:$AI44,0))),X34)</f>
        <v>0</v>
      </c>
      <c r="Y49" s="1">
        <f>IF(OR($B48&lt;&gt;$B33,$B49&lt;&gt;$B34,$B50&lt;&gt;$B35,$B51&lt;&gt;$B36,$B52&lt;&gt;$B37,$B53&lt;&gt;$B38,$B54&lt;&gt;$B39,$B55&lt;&gt;$B40,$B56&lt;&gt;$B41,$B57&lt;&gt;$B42,$B58&lt;&gt;$B43),IF($B49&lt;&gt;$B34,Y34/INDEX($C33:$AJ43,2,MATCH(IF('Data-solution'!$A$3="Maximize",MAX($C44:$AI44),MIN($C44:$AI44)),$C44:$AI44,0)),Y34-INDEX($C33:$AJ43,2,MATCH(IF('Data-solution'!$A$3="Maximize",MAX($C44:$AI44),MIN($C44:$AI44)),$C44:$AI44,0))*INDEX(Y33:$AJ43,MATCH(MIN($AK33:$AK43),$AK33:$AK43,0),1)/INDEX($C33:$AJ43,MATCH(MIN($AK33:$AK43),$AK33:$AK43,0),MATCH(IF('Data-solution'!$A$3="Maximize",MAX($C44:$AI44),MIN($C44:$AI44)),$C44:$AI44,0))),Y34)</f>
        <v>0</v>
      </c>
      <c r="Z49" s="1">
        <f>IF(OR($B48&lt;&gt;$B33,$B49&lt;&gt;$B34,$B50&lt;&gt;$B35,$B51&lt;&gt;$B36,$B52&lt;&gt;$B37,$B53&lt;&gt;$B38,$B54&lt;&gt;$B39,$B55&lt;&gt;$B40,$B56&lt;&gt;$B41,$B57&lt;&gt;$B42,$B58&lt;&gt;$B43),IF($B49&lt;&gt;$B34,Z34/INDEX($C33:$AJ43,2,MATCH(IF('Data-solution'!$A$3="Maximize",MAX($C44:$AI44),MIN($C44:$AI44)),$C44:$AI44,0)),Z34-INDEX($C33:$AJ43,2,MATCH(IF('Data-solution'!$A$3="Maximize",MAX($C44:$AI44),MIN($C44:$AI44)),$C44:$AI44,0))*INDEX(Z33:$AJ43,MATCH(MIN($AK33:$AK43),$AK33:$AK43,0),1)/INDEX($C33:$AJ43,MATCH(MIN($AK33:$AK43),$AK33:$AK43,0),MATCH(IF('Data-solution'!$A$3="Maximize",MAX($C44:$AI44),MIN($C44:$AI44)),$C44:$AI44,0))),Z34)</f>
        <v>1</v>
      </c>
      <c r="AA49" s="1">
        <f>IF(OR($B48&lt;&gt;$B33,$B49&lt;&gt;$B34,$B50&lt;&gt;$B35,$B51&lt;&gt;$B36,$B52&lt;&gt;$B37,$B53&lt;&gt;$B38,$B54&lt;&gt;$B39,$B55&lt;&gt;$B40,$B56&lt;&gt;$B41,$B57&lt;&gt;$B42,$B58&lt;&gt;$B43),IF($B49&lt;&gt;$B34,AA34/INDEX($C33:$AJ43,2,MATCH(IF('Data-solution'!$A$3="Maximize",MAX($C44:$AI44),MIN($C44:$AI44)),$C44:$AI44,0)),AA34-INDEX($C33:$AJ43,2,MATCH(IF('Data-solution'!$A$3="Maximize",MAX($C44:$AI44),MIN($C44:$AI44)),$C44:$AI44,0))*INDEX(AA33:$AJ43,MATCH(MIN($AK33:$AK43),$AK33:$AK43,0),1)/INDEX($C33:$AJ43,MATCH(MIN($AK33:$AK43),$AK33:$AK43,0),MATCH(IF('Data-solution'!$A$3="Maximize",MAX($C44:$AI44),MIN($C44:$AI44)),$C44:$AI44,0))),AA34)</f>
        <v>-0.25</v>
      </c>
      <c r="AB49" s="1">
        <f>IF(OR($B48&lt;&gt;$B33,$B49&lt;&gt;$B34,$B50&lt;&gt;$B35,$B51&lt;&gt;$B36,$B52&lt;&gt;$B37,$B53&lt;&gt;$B38,$B54&lt;&gt;$B39,$B55&lt;&gt;$B40,$B56&lt;&gt;$B41,$B57&lt;&gt;$B42,$B58&lt;&gt;$B43),IF($B49&lt;&gt;$B34,AB34/INDEX($C33:$AJ43,2,MATCH(IF('Data-solution'!$A$3="Maximize",MAX($C44:$AI44),MIN($C44:$AI44)),$C44:$AI44,0)),AB34-INDEX($C33:$AJ43,2,MATCH(IF('Data-solution'!$A$3="Maximize",MAX($C44:$AI44),MIN($C44:$AI44)),$C44:$AI44,0))*INDEX(AB33:$AJ43,MATCH(MIN($AK33:$AK43),$AK33:$AK43,0),1)/INDEX($C33:$AJ43,MATCH(MIN($AK33:$AK43),$AK33:$AK43,0),MATCH(IF('Data-solution'!$A$3="Maximize",MAX($C44:$AI44),MIN($C44:$AI44)),$C44:$AI44,0))),AB34)</f>
        <v>-0.5</v>
      </c>
      <c r="AC49" s="1">
        <f>IF(OR($B48&lt;&gt;$B33,$B49&lt;&gt;$B34,$B50&lt;&gt;$B35,$B51&lt;&gt;$B36,$B52&lt;&gt;$B37,$B53&lt;&gt;$B38,$B54&lt;&gt;$B39,$B55&lt;&gt;$B40,$B56&lt;&gt;$B41,$B57&lt;&gt;$B42,$B58&lt;&gt;$B43),IF($B49&lt;&gt;$B34,AC34/INDEX($C33:$AJ43,2,MATCH(IF('Data-solution'!$A$3="Maximize",MAX($C44:$AI44),MIN($C44:$AI44)),$C44:$AI44,0)),AC34-INDEX($C33:$AJ43,2,MATCH(IF('Data-solution'!$A$3="Maximize",MAX($C44:$AI44),MIN($C44:$AI44)),$C44:$AI44,0))*INDEX(AC33:$AJ43,MATCH(MIN($AK33:$AK43),$AK33:$AK43,0),1)/INDEX($C33:$AJ43,MATCH(MIN($AK33:$AK43),$AK33:$AK43,0),MATCH(IF('Data-solution'!$A$3="Maximize",MAX($C44:$AI44),MIN($C44:$AI44)),$C44:$AI44,0))),AC34)</f>
        <v>0</v>
      </c>
      <c r="AD49" s="1">
        <f>IF(OR($B48&lt;&gt;$B33,$B49&lt;&gt;$B34,$B50&lt;&gt;$B35,$B51&lt;&gt;$B36,$B52&lt;&gt;$B37,$B53&lt;&gt;$B38,$B54&lt;&gt;$B39,$B55&lt;&gt;$B40,$B56&lt;&gt;$B41,$B57&lt;&gt;$B42,$B58&lt;&gt;$B43),IF($B49&lt;&gt;$B34,AD34/INDEX($C33:$AJ43,2,MATCH(IF('Data-solution'!$A$3="Maximize",MAX($C44:$AI44),MIN($C44:$AI44)),$C44:$AI44,0)),AD34-INDEX($C33:$AJ43,2,MATCH(IF('Data-solution'!$A$3="Maximize",MAX($C44:$AI44),MIN($C44:$AI44)),$C44:$AI44,0))*INDEX(AD33:$AJ43,MATCH(MIN($AK33:$AK43),$AK33:$AK43,0),1)/INDEX($C33:$AJ43,MATCH(MIN($AK33:$AK43),$AK33:$AK43,0),MATCH(IF('Data-solution'!$A$3="Maximize",MAX($C44:$AI44),MIN($C44:$AI44)),$C44:$AI44,0))),AD34)</f>
        <v>0</v>
      </c>
      <c r="AE49" s="1">
        <f>IF(OR($B48&lt;&gt;$B33,$B49&lt;&gt;$B34,$B50&lt;&gt;$B35,$B51&lt;&gt;$B36,$B52&lt;&gt;$B37,$B53&lt;&gt;$B38,$B54&lt;&gt;$B39,$B55&lt;&gt;$B40,$B56&lt;&gt;$B41,$B57&lt;&gt;$B42,$B58&lt;&gt;$B43),IF($B49&lt;&gt;$B34,AE34/INDEX($C33:$AJ43,2,MATCH(IF('Data-solution'!$A$3="Maximize",MAX($C44:$AI44),MIN($C44:$AI44)),$C44:$AI44,0)),AE34-INDEX($C33:$AJ43,2,MATCH(IF('Data-solution'!$A$3="Maximize",MAX($C44:$AI44),MIN($C44:$AI44)),$C44:$AI44,0))*INDEX(AE33:$AJ43,MATCH(MIN($AK33:$AK43),$AK33:$AK43,0),1)/INDEX($C33:$AJ43,MATCH(MIN($AK33:$AK43),$AK33:$AK43,0),MATCH(IF('Data-solution'!$A$3="Maximize",MAX($C44:$AI44),MIN($C44:$AI44)),$C44:$AI44,0))),AE34)</f>
        <v>0</v>
      </c>
      <c r="AF49" s="1">
        <f>IF(OR($B48&lt;&gt;$B33,$B49&lt;&gt;$B34,$B50&lt;&gt;$B35,$B51&lt;&gt;$B36,$B52&lt;&gt;$B37,$B53&lt;&gt;$B38,$B54&lt;&gt;$B39,$B55&lt;&gt;$B40,$B56&lt;&gt;$B41,$B57&lt;&gt;$B42,$B58&lt;&gt;$B43),IF($B49&lt;&gt;$B34,AF34/INDEX($C33:$AJ43,2,MATCH(IF('Data-solution'!$A$3="Maximize",MAX($C44:$AI44),MIN($C44:$AI44)),$C44:$AI44,0)),AF34-INDEX($C33:$AJ43,2,MATCH(IF('Data-solution'!$A$3="Maximize",MAX($C44:$AI44),MIN($C44:$AI44)),$C44:$AI44,0))*INDEX(AF33:$AJ43,MATCH(MIN($AK33:$AK43),$AK33:$AK43,0),1)/INDEX($C33:$AJ43,MATCH(MIN($AK33:$AK43),$AK33:$AK43,0),MATCH(IF('Data-solution'!$A$3="Maximize",MAX($C44:$AI44),MIN($C44:$AI44)),$C44:$AI44,0))),AF34)</f>
        <v>0</v>
      </c>
      <c r="AG49" s="1">
        <f>IF(OR($B48&lt;&gt;$B33,$B49&lt;&gt;$B34,$B50&lt;&gt;$B35,$B51&lt;&gt;$B36,$B52&lt;&gt;$B37,$B53&lt;&gt;$B38,$B54&lt;&gt;$B39,$B55&lt;&gt;$B40,$B56&lt;&gt;$B41,$B57&lt;&gt;$B42,$B58&lt;&gt;$B43),IF($B49&lt;&gt;$B34,AG34/INDEX($C33:$AJ43,2,MATCH(IF('Data-solution'!$A$3="Maximize",MAX($C44:$AI44),MIN($C44:$AI44)),$C44:$AI44,0)),AG34-INDEX($C33:$AJ43,2,MATCH(IF('Data-solution'!$A$3="Maximize",MAX($C44:$AI44),MIN($C44:$AI44)),$C44:$AI44,0))*INDEX(AG33:$AJ43,MATCH(MIN($AK33:$AK43),$AK33:$AK43,0),1)/INDEX($C33:$AJ43,MATCH(MIN($AK33:$AK43),$AK33:$AK43,0),MATCH(IF('Data-solution'!$A$3="Maximize",MAX($C44:$AI44),MIN($C44:$AI44)),$C44:$AI44,0))),AG34)</f>
        <v>0</v>
      </c>
      <c r="AH49" s="1">
        <f>IF(OR($B48&lt;&gt;$B33,$B49&lt;&gt;$B34,$B50&lt;&gt;$B35,$B51&lt;&gt;$B36,$B52&lt;&gt;$B37,$B53&lt;&gt;$B38,$B54&lt;&gt;$B39,$B55&lt;&gt;$B40,$B56&lt;&gt;$B41,$B57&lt;&gt;$B42,$B58&lt;&gt;$B43),IF($B49&lt;&gt;$B34,AH34/INDEX($C33:$AJ43,2,MATCH(IF('Data-solution'!$A$3="Maximize",MAX($C44:$AI44),MIN($C44:$AI44)),$C44:$AI44,0)),AH34-INDEX($C33:$AJ43,2,MATCH(IF('Data-solution'!$A$3="Maximize",MAX($C44:$AI44),MIN($C44:$AI44)),$C44:$AI44,0))*INDEX(AH33:$AJ43,MATCH(MIN($AK33:$AK43),$AK33:$AK43,0),1)/INDEX($C33:$AJ43,MATCH(MIN($AK33:$AK43),$AK33:$AK43,0),MATCH(IF('Data-solution'!$A$3="Maximize",MAX($C44:$AI44),MIN($C44:$AI44)),$C44:$AI44,0))),AH34)</f>
        <v>0</v>
      </c>
      <c r="AI49" s="1">
        <f>IF(OR($B48&lt;&gt;$B33,$B49&lt;&gt;$B34,$B50&lt;&gt;$B35,$B51&lt;&gt;$B36,$B52&lt;&gt;$B37,$B53&lt;&gt;$B38,$B54&lt;&gt;$B39,$B55&lt;&gt;$B40,$B56&lt;&gt;$B41,$B57&lt;&gt;$B42,$B58&lt;&gt;$B43),IF($B49&lt;&gt;$B34,AI34/INDEX($C33:$AJ43,2,MATCH(IF('Data-solution'!$A$3="Maximize",MAX($C44:$AI44),MIN($C44:$AI44)),$C44:$AI44,0)),AI34-INDEX($C33:$AJ43,2,MATCH(IF('Data-solution'!$A$3="Maximize",MAX($C44:$AI44),MIN($C44:$AI44)),$C44:$AI44,0))*INDEX(AI33:$AJ43,MATCH(MIN($AK33:$AK43),$AK33:$AK43,0),1)/INDEX($C33:$AJ43,MATCH(MIN($AK33:$AK43),$AK33:$AK43,0),MATCH(IF('Data-solution'!$A$3="Maximize",MAX($C44:$AI44),MIN($C44:$AI44)),$C44:$AI44,0))),AI34)</f>
        <v>0</v>
      </c>
      <c r="AJ49" s="1">
        <f>IF(OR($B48&lt;&gt;$B33,$B49&lt;&gt;$B34,$B50&lt;&gt;$B35,$B51&lt;&gt;$B36,$B52&lt;&gt;$B37,$B53&lt;&gt;$B38,$B54&lt;&gt;$B39,$B55&lt;&gt;$B40,$B56&lt;&gt;$B41,$B57&lt;&gt;$B42,$B58&lt;&gt;$B43),IF($B49&lt;&gt;$B34,AJ34/INDEX($C33:$AJ43,2,MATCH(IF('Data-solution'!$A$3="Maximize",MAX($C44:$AI44),MIN($C44:$AI44)),$C44:$AI44,0)),AJ34-INDEX($C33:$AJ43,2,MATCH(IF('Data-solution'!$A$3="Maximize",MAX($C44:$AI44),MIN($C44:$AI44)),$C44:$AI44,0))*INDEX(AJ33:$AJ43,MATCH(MIN($AK33:$AK43),$AK33:$AK43,0),1)/INDEX($C33:$AJ43,MATCH(MIN($AK33:$AK43),$AK33:$AK43,0),MATCH(IF('Data-solution'!$A$3="Maximize",MAX($C44:$AI44),MIN($C44:$AI44)),$C44:$AI44,0))),AJ34)</f>
        <v>300</v>
      </c>
      <c r="AK49" s="1" t="str">
        <f>IF(INDEX(C49:X49,1,MATCH(IF('Data-solution'!A$3="Maximize",MAX(C59:X59),MIN(C59:X59)),C59:X59,0))&gt;0,AJ49/INDEX(C49:X49,1,MATCH(IF('Data-solution'!A$3="Maximize",MAX(C59:X59),MIN(C59:X59)),C59:X59,0))," ")</f>
        <v xml:space="preserve"> </v>
      </c>
    </row>
    <row r="50" spans="1:37" ht="18" customHeight="1" x14ac:dyDescent="0.2">
      <c r="A50" s="1">
        <f t="shared" ref="A50" si="24">INDEX(C46:AI46,1,MATCH(B50,C47:AI47,0))</f>
        <v>350</v>
      </c>
      <c r="B50" s="2" t="str">
        <f>IF(AND('Data-solution'!A$3="Maximize",COUNTIF(C44:X44,"&gt;"&amp;0)&gt;0,AK35=MIN(AK33:AK43),COUNTIF(B48:B49,INDEX(C32:X32,1,MATCH(MAX(C44:X44),C44:X44,0)))=0),INDEX(C32:X32,1,MATCH(MAX(C44:X44),C44:X44,0)),IF(AND('Data-solution'!A$3="Minimize",COUNTIF(C44:X44,"&lt;"&amp;0)&gt;0,AK35=MIN(AK33:AK43),COUNTIF(B48:B49,INDEX(C32:X32,1,MATCH(MIN(C44:X44),C44:X44,0)))=0),INDEX(C32:X32,1,MATCH(MIN(C44:X44),C44:X44,0)),B35))</f>
        <v>X3</v>
      </c>
      <c r="C50" s="1">
        <f>IF(OR($B48&lt;&gt;$B33,$B49&lt;&gt;$B34,$B50&lt;&gt;$B35,$B51&lt;&gt;$B36,$B52&lt;&gt;$B37,$B53&lt;&gt;$B38,$B54&lt;&gt;$B39,$B55&lt;&gt;$B40,$B56&lt;&gt;$B41,$B57&lt;&gt;$B42,$B58&lt;&gt;$B43),IF($B50&lt;&gt;$B35,C35/INDEX($C33:$AJ43,3,MATCH(IF('Data-solution'!$A$3="Maximize",MAX($C44:$AI44),MIN($C44:$AI44)),$C44:$AI44,0)),C35-INDEX($C33:$AJ43,3,MATCH(IF('Data-solution'!$A$3="Maximize",MAX($C44:$AI44),MIN($C44:$AI44)),$C44:$AI44,0))*INDEX(C33:$AJ43,MATCH(MIN($AK33:$AK43),$AK33:$AK43,0),1)/INDEX($C33:$AJ43,MATCH(MIN($AK33:$AK43),$AK33:$AK43,0),MATCH(IF('Data-solution'!$A$3="Maximize",MAX($C44:$AI44),MIN($C44:$AI44)),$C44:$AI44,0))),C35)</f>
        <v>0</v>
      </c>
      <c r="D50" s="1">
        <f>IF(OR($B48&lt;&gt;$B33,$B49&lt;&gt;$B34,$B50&lt;&gt;$B35,$B51&lt;&gt;$B36,$B52&lt;&gt;$B37,$B53&lt;&gt;$B38,$B54&lt;&gt;$B39,$B55&lt;&gt;$B40,$B56&lt;&gt;$B41,$B57&lt;&gt;$B42,$B58&lt;&gt;$B43),IF($B50&lt;&gt;$B35,D35/INDEX($C33:$AJ43,3,MATCH(IF('Data-solution'!$A$3="Maximize",MAX($C44:$AI44),MIN($C44:$AI44)),$C44:$AI44,0)),D35-INDEX($C33:$AJ43,3,MATCH(IF('Data-solution'!$A$3="Maximize",MAX($C44:$AI44),MIN($C44:$AI44)),$C44:$AI44,0))*INDEX(D33:$AJ43,MATCH(MIN($AK33:$AK43),$AK33:$AK43,0),1)/INDEX($C33:$AJ43,MATCH(MIN($AK33:$AK43),$AK33:$AK43,0),MATCH(IF('Data-solution'!$A$3="Maximize",MAX($C44:$AI44),MIN($C44:$AI44)),$C44:$AI44,0))),D35)</f>
        <v>1.25</v>
      </c>
      <c r="E50" s="1">
        <f>IF(OR($B48&lt;&gt;$B33,$B49&lt;&gt;$B34,$B50&lt;&gt;$B35,$B51&lt;&gt;$B36,$B52&lt;&gt;$B37,$B53&lt;&gt;$B38,$B54&lt;&gt;$B39,$B55&lt;&gt;$B40,$B56&lt;&gt;$B41,$B57&lt;&gt;$B42,$B58&lt;&gt;$B43),IF($B50&lt;&gt;$B35,E35/INDEX($C33:$AJ43,3,MATCH(IF('Data-solution'!$A$3="Maximize",MAX($C44:$AI44),MIN($C44:$AI44)),$C44:$AI44,0)),E35-INDEX($C33:$AJ43,3,MATCH(IF('Data-solution'!$A$3="Maximize",MAX($C44:$AI44),MIN($C44:$AI44)),$C44:$AI44,0))*INDEX(E33:$AJ43,MATCH(MIN($AK33:$AK43),$AK33:$AK43,0),1)/INDEX($C33:$AJ43,MATCH(MIN($AK33:$AK43),$AK33:$AK43,0),MATCH(IF('Data-solution'!$A$3="Maximize",MAX($C44:$AI44),MIN($C44:$AI44)),$C44:$AI44,0))),E35)</f>
        <v>1</v>
      </c>
      <c r="F50" s="1">
        <f>IF(OR($B48&lt;&gt;$B33,$B49&lt;&gt;$B34,$B50&lt;&gt;$B35,$B51&lt;&gt;$B36,$B52&lt;&gt;$B37,$B53&lt;&gt;$B38,$B54&lt;&gt;$B39,$B55&lt;&gt;$B40,$B56&lt;&gt;$B41,$B57&lt;&gt;$B42,$B58&lt;&gt;$B43),IF($B50&lt;&gt;$B35,F35/INDEX($C33:$AJ43,3,MATCH(IF('Data-solution'!$A$3="Maximize",MAX($C44:$AI44),MIN($C44:$AI44)),$C44:$AI44,0)),F35-INDEX($C33:$AJ43,3,MATCH(IF('Data-solution'!$A$3="Maximize",MAX($C44:$AI44),MIN($C44:$AI44)),$C44:$AI44,0))*INDEX(F33:$AJ43,MATCH(MIN($AK33:$AK43),$AK33:$AK43,0),1)/INDEX($C33:$AJ43,MATCH(MIN($AK33:$AK43),$AK33:$AK43,0),MATCH(IF('Data-solution'!$A$3="Maximize",MAX($C44:$AI44),MIN($C44:$AI44)),$C44:$AI44,0))),F35)</f>
        <v>0</v>
      </c>
      <c r="G50" s="1">
        <f>IF(OR($B48&lt;&gt;$B33,$B49&lt;&gt;$B34,$B50&lt;&gt;$B35,$B51&lt;&gt;$B36,$B52&lt;&gt;$B37,$B53&lt;&gt;$B38,$B54&lt;&gt;$B39,$B55&lt;&gt;$B40,$B56&lt;&gt;$B41,$B57&lt;&gt;$B42,$B58&lt;&gt;$B43),IF($B50&lt;&gt;$B35,G35/INDEX($C33:$AJ43,3,MATCH(IF('Data-solution'!$A$3="Maximize",MAX($C44:$AI44),MIN($C44:$AI44)),$C44:$AI44,0)),G35-INDEX($C33:$AJ43,3,MATCH(IF('Data-solution'!$A$3="Maximize",MAX($C44:$AI44),MIN($C44:$AI44)),$C44:$AI44,0))*INDEX(G33:$AJ43,MATCH(MIN($AK33:$AK43),$AK33:$AK43,0),1)/INDEX($C33:$AJ43,MATCH(MIN($AK33:$AK43),$AK33:$AK43,0),MATCH(IF('Data-solution'!$A$3="Maximize",MAX($C44:$AI44),MIN($C44:$AI44)),$C44:$AI44,0))),G35)</f>
        <v>0</v>
      </c>
      <c r="H50" s="1">
        <f>IF(OR($B48&lt;&gt;$B33,$B49&lt;&gt;$B34,$B50&lt;&gt;$B35,$B51&lt;&gt;$B36,$B52&lt;&gt;$B37,$B53&lt;&gt;$B38,$B54&lt;&gt;$B39,$B55&lt;&gt;$B40,$B56&lt;&gt;$B41,$B57&lt;&gt;$B42,$B58&lt;&gt;$B43),IF($B50&lt;&gt;$B35,H35/INDEX($C33:$AJ43,3,MATCH(IF('Data-solution'!$A$3="Maximize",MAX($C44:$AI44),MIN($C44:$AI44)),$C44:$AI44,0)),H35-INDEX($C33:$AJ43,3,MATCH(IF('Data-solution'!$A$3="Maximize",MAX($C44:$AI44),MIN($C44:$AI44)),$C44:$AI44,0))*INDEX(H33:$AJ43,MATCH(MIN($AK33:$AK43),$AK33:$AK43,0),1)/INDEX($C33:$AJ43,MATCH(MIN($AK33:$AK43),$AK33:$AK43,0),MATCH(IF('Data-solution'!$A$3="Maximize",MAX($C44:$AI44),MIN($C44:$AI44)),$C44:$AI44,0))),H35)</f>
        <v>0</v>
      </c>
      <c r="I50" s="1">
        <f>IF(OR($B48&lt;&gt;$B33,$B49&lt;&gt;$B34,$B50&lt;&gt;$B35,$B51&lt;&gt;$B36,$B52&lt;&gt;$B37,$B53&lt;&gt;$B38,$B54&lt;&gt;$B39,$B55&lt;&gt;$B40,$B56&lt;&gt;$B41,$B57&lt;&gt;$B42,$B58&lt;&gt;$B43),IF($B50&lt;&gt;$B35,I35/INDEX($C33:$AJ43,3,MATCH(IF('Data-solution'!$A$3="Maximize",MAX($C44:$AI44),MIN($C44:$AI44)),$C44:$AI44,0)),I35-INDEX($C33:$AJ43,3,MATCH(IF('Data-solution'!$A$3="Maximize",MAX($C44:$AI44),MIN($C44:$AI44)),$C44:$AI44,0))*INDEX(I33:$AJ43,MATCH(MIN($AK33:$AK43),$AK33:$AK43,0),1)/INDEX($C33:$AJ43,MATCH(MIN($AK33:$AK43),$AK33:$AK43,0),MATCH(IF('Data-solution'!$A$3="Maximize",MAX($C44:$AI44),MIN($C44:$AI44)),$C44:$AI44,0))),I35)</f>
        <v>0</v>
      </c>
      <c r="J50" s="1">
        <f>IF(OR($B48&lt;&gt;$B33,$B49&lt;&gt;$B34,$B50&lt;&gt;$B35,$B51&lt;&gt;$B36,$B52&lt;&gt;$B37,$B53&lt;&gt;$B38,$B54&lt;&gt;$B39,$B55&lt;&gt;$B40,$B56&lt;&gt;$B41,$B57&lt;&gt;$B42,$B58&lt;&gt;$B43),IF($B50&lt;&gt;$B35,J35/INDEX($C33:$AJ43,3,MATCH(IF('Data-solution'!$A$3="Maximize",MAX($C44:$AI44),MIN($C44:$AI44)),$C44:$AI44,0)),J35-INDEX($C33:$AJ43,3,MATCH(IF('Data-solution'!$A$3="Maximize",MAX($C44:$AI44),MIN($C44:$AI44)),$C44:$AI44,0))*INDEX(J33:$AJ43,MATCH(MIN($AK33:$AK43),$AK33:$AK43,0),1)/INDEX($C33:$AJ43,MATCH(MIN($AK33:$AK43),$AK33:$AK43,0),MATCH(IF('Data-solution'!$A$3="Maximize",MAX($C44:$AI44),MIN($C44:$AI44)),$C44:$AI44,0))),J35)</f>
        <v>0</v>
      </c>
      <c r="K50" s="1">
        <f>IF(OR($B48&lt;&gt;$B33,$B49&lt;&gt;$B34,$B50&lt;&gt;$B35,$B51&lt;&gt;$B36,$B52&lt;&gt;$B37,$B53&lt;&gt;$B38,$B54&lt;&gt;$B39,$B55&lt;&gt;$B40,$B56&lt;&gt;$B41,$B57&lt;&gt;$B42,$B58&lt;&gt;$B43),IF($B50&lt;&gt;$B35,K35/INDEX($C33:$AJ43,3,MATCH(IF('Data-solution'!$A$3="Maximize",MAX($C44:$AI44),MIN($C44:$AI44)),$C44:$AI44,0)),K35-INDEX($C33:$AJ43,3,MATCH(IF('Data-solution'!$A$3="Maximize",MAX($C44:$AI44),MIN($C44:$AI44)),$C44:$AI44,0))*INDEX(K33:$AJ43,MATCH(MIN($AK33:$AK43),$AK33:$AK43,0),1)/INDEX($C33:$AJ43,MATCH(MIN($AK33:$AK43),$AK33:$AK43,0),MATCH(IF('Data-solution'!$A$3="Maximize",MAX($C44:$AI44),MIN($C44:$AI44)),$C44:$AI44,0))),K35)</f>
        <v>0</v>
      </c>
      <c r="L50" s="1">
        <f>IF(OR($B48&lt;&gt;$B33,$B49&lt;&gt;$B34,$B50&lt;&gt;$B35,$B51&lt;&gt;$B36,$B52&lt;&gt;$B37,$B53&lt;&gt;$B38,$B54&lt;&gt;$B39,$B55&lt;&gt;$B40,$B56&lt;&gt;$B41,$B57&lt;&gt;$B42,$B58&lt;&gt;$B43),IF($B50&lt;&gt;$B35,L35/INDEX($C33:$AJ43,3,MATCH(IF('Data-solution'!$A$3="Maximize",MAX($C44:$AI44),MIN($C44:$AI44)),$C44:$AI44,0)),L35-INDEX($C33:$AJ43,3,MATCH(IF('Data-solution'!$A$3="Maximize",MAX($C44:$AI44),MIN($C44:$AI44)),$C44:$AI44,0))*INDEX(L33:$AJ43,MATCH(MIN($AK33:$AK43),$AK33:$AK43,0),1)/INDEX($C33:$AJ43,MATCH(MIN($AK33:$AK43),$AK33:$AK43,0),MATCH(IF('Data-solution'!$A$3="Maximize",MAX($C44:$AI44),MIN($C44:$AI44)),$C44:$AI44,0))),L35)</f>
        <v>0</v>
      </c>
      <c r="M50" s="1">
        <f>IF(OR($B48&lt;&gt;$B33,$B49&lt;&gt;$B34,$B50&lt;&gt;$B35,$B51&lt;&gt;$B36,$B52&lt;&gt;$B37,$B53&lt;&gt;$B38,$B54&lt;&gt;$B39,$B55&lt;&gt;$B40,$B56&lt;&gt;$B41,$B57&lt;&gt;$B42,$B58&lt;&gt;$B43),IF($B50&lt;&gt;$B35,M35/INDEX($C33:$AJ43,3,MATCH(IF('Data-solution'!$A$3="Maximize",MAX($C44:$AI44),MIN($C44:$AI44)),$C44:$AI44,0)),M35-INDEX($C33:$AJ43,3,MATCH(IF('Data-solution'!$A$3="Maximize",MAX($C44:$AI44),MIN($C44:$AI44)),$C44:$AI44,0))*INDEX(M33:$AJ43,MATCH(MIN($AK33:$AK43),$AK33:$AK43,0),1)/INDEX($C33:$AJ43,MATCH(MIN($AK33:$AK43),$AK33:$AK43,0),MATCH(IF('Data-solution'!$A$3="Maximize",MAX($C44:$AI44),MIN($C44:$AI44)),$C44:$AI44,0))),M35)</f>
        <v>0</v>
      </c>
      <c r="N50" s="1">
        <f>IF(OR($B48&lt;&gt;$B33,$B49&lt;&gt;$B34,$B50&lt;&gt;$B35,$B51&lt;&gt;$B36,$B52&lt;&gt;$B37,$B53&lt;&gt;$B38,$B54&lt;&gt;$B39,$B55&lt;&gt;$B40,$B56&lt;&gt;$B41,$B57&lt;&gt;$B42,$B58&lt;&gt;$B43),IF($B50&lt;&gt;$B35,N35/INDEX($C33:$AJ43,3,MATCH(IF('Data-solution'!$A$3="Maximize",MAX($C44:$AI44),MIN($C44:$AI44)),$C44:$AI44,0)),N35-INDEX($C33:$AJ43,3,MATCH(IF('Data-solution'!$A$3="Maximize",MAX($C44:$AI44),MIN($C44:$AI44)),$C44:$AI44,0))*INDEX(N33:$AJ43,MATCH(MIN($AK33:$AK43),$AK33:$AK43,0),1)/INDEX($C33:$AJ43,MATCH(MIN($AK33:$AK43),$AK33:$AK43,0),MATCH(IF('Data-solution'!$A$3="Maximize",MAX($C44:$AI44),MIN($C44:$AI44)),$C44:$AI44,0))),N35)</f>
        <v>0</v>
      </c>
      <c r="O50" s="1">
        <f>IF(OR($B48&lt;&gt;$B33,$B49&lt;&gt;$B34,$B50&lt;&gt;$B35,$B51&lt;&gt;$B36,$B52&lt;&gt;$B37,$B53&lt;&gt;$B38,$B54&lt;&gt;$B39,$B55&lt;&gt;$B40,$B56&lt;&gt;$B41,$B57&lt;&gt;$B42,$B58&lt;&gt;$B43),IF($B50&lt;&gt;$B35,O35/INDEX($C33:$AJ43,3,MATCH(IF('Data-solution'!$A$3="Maximize",MAX($C44:$AI44),MIN($C44:$AI44)),$C44:$AI44,0)),O35-INDEX($C33:$AJ43,3,MATCH(IF('Data-solution'!$A$3="Maximize",MAX($C44:$AI44),MIN($C44:$AI44)),$C44:$AI44,0))*INDEX(O33:$AJ43,MATCH(MIN($AK33:$AK43),$AK33:$AK43,0),1)/INDEX($C33:$AJ43,MATCH(MIN($AK33:$AK43),$AK33:$AK43,0),MATCH(IF('Data-solution'!$A$3="Maximize",MAX($C44:$AI44),MIN($C44:$AI44)),$C44:$AI44,0))),O35)</f>
        <v>0</v>
      </c>
      <c r="P50" s="1">
        <f>IF(OR($B48&lt;&gt;$B33,$B49&lt;&gt;$B34,$B50&lt;&gt;$B35,$B51&lt;&gt;$B36,$B52&lt;&gt;$B37,$B53&lt;&gt;$B38,$B54&lt;&gt;$B39,$B55&lt;&gt;$B40,$B56&lt;&gt;$B41,$B57&lt;&gt;$B42,$B58&lt;&gt;$B43),IF($B50&lt;&gt;$B35,P35/INDEX($C33:$AJ43,3,MATCH(IF('Data-solution'!$A$3="Maximize",MAX($C44:$AI44),MIN($C44:$AI44)),$C44:$AI44,0)),P35-INDEX($C33:$AJ43,3,MATCH(IF('Data-solution'!$A$3="Maximize",MAX($C44:$AI44),MIN($C44:$AI44)),$C44:$AI44,0))*INDEX(P33:$AJ43,MATCH(MIN($AK33:$AK43),$AK33:$AK43,0),1)/INDEX($C33:$AJ43,MATCH(MIN($AK33:$AK43),$AK33:$AK43,0),MATCH(IF('Data-solution'!$A$3="Maximize",MAX($C44:$AI44),MIN($C44:$AI44)),$C44:$AI44,0))),P35)</f>
        <v>0.24999999999999997</v>
      </c>
      <c r="Q50" s="1">
        <f>IF(OR($B48&lt;&gt;$B33,$B49&lt;&gt;$B34,$B50&lt;&gt;$B35,$B51&lt;&gt;$B36,$B52&lt;&gt;$B37,$B53&lt;&gt;$B38,$B54&lt;&gt;$B39,$B55&lt;&gt;$B40,$B56&lt;&gt;$B41,$B57&lt;&gt;$B42,$B58&lt;&gt;$B43),IF($B50&lt;&gt;$B35,Q35/INDEX($C33:$AJ43,3,MATCH(IF('Data-solution'!$A$3="Maximize",MAX($C44:$AI44),MIN($C44:$AI44)),$C44:$AI44,0)),Q35-INDEX($C33:$AJ43,3,MATCH(IF('Data-solution'!$A$3="Maximize",MAX($C44:$AI44),MIN($C44:$AI44)),$C44:$AI44,0))*INDEX(Q33:$AJ43,MATCH(MIN($AK33:$AK43),$AK33:$AK43,0),1)/INDEX($C33:$AJ43,MATCH(MIN($AK33:$AK43),$AK33:$AK43,0),MATCH(IF('Data-solution'!$A$3="Maximize",MAX($C44:$AI44),MIN($C44:$AI44)),$C44:$AI44,0))),Q35)</f>
        <v>-0.49999999999999989</v>
      </c>
      <c r="R50" s="1">
        <f>IF(OR($B48&lt;&gt;$B33,$B49&lt;&gt;$B34,$B50&lt;&gt;$B35,$B51&lt;&gt;$B36,$B52&lt;&gt;$B37,$B53&lt;&gt;$B38,$B54&lt;&gt;$B39,$B55&lt;&gt;$B40,$B56&lt;&gt;$B41,$B57&lt;&gt;$B42,$B58&lt;&gt;$B43),IF($B50&lt;&gt;$B35,R35/INDEX($C33:$AJ43,3,MATCH(IF('Data-solution'!$A$3="Maximize",MAX($C44:$AI44),MIN($C44:$AI44)),$C44:$AI44,0)),R35-INDEX($C33:$AJ43,3,MATCH(IF('Data-solution'!$A$3="Maximize",MAX($C44:$AI44),MIN($C44:$AI44)),$C44:$AI44,0))*INDEX(R33:$AJ43,MATCH(MIN($AK33:$AK43),$AK33:$AK43,0),1)/INDEX($C33:$AJ43,MATCH(MIN($AK33:$AK43),$AK33:$AK43,0),MATCH(IF('Data-solution'!$A$3="Maximize",MAX($C44:$AI44),MIN($C44:$AI44)),$C44:$AI44,0))),R35)</f>
        <v>0</v>
      </c>
      <c r="S50" s="1">
        <f>IF(OR($B48&lt;&gt;$B33,$B49&lt;&gt;$B34,$B50&lt;&gt;$B35,$B51&lt;&gt;$B36,$B52&lt;&gt;$B37,$B53&lt;&gt;$B38,$B54&lt;&gt;$B39,$B55&lt;&gt;$B40,$B56&lt;&gt;$B41,$B57&lt;&gt;$B42,$B58&lt;&gt;$B43),IF($B50&lt;&gt;$B35,S35/INDEX($C33:$AJ43,3,MATCH(IF('Data-solution'!$A$3="Maximize",MAX($C44:$AI44),MIN($C44:$AI44)),$C44:$AI44,0)),S35-INDEX($C33:$AJ43,3,MATCH(IF('Data-solution'!$A$3="Maximize",MAX($C44:$AI44),MIN($C44:$AI44)),$C44:$AI44,0))*INDEX(S33:$AJ43,MATCH(MIN($AK33:$AK43),$AK33:$AK43,0),1)/INDEX($C33:$AJ43,MATCH(MIN($AK33:$AK43),$AK33:$AK43,0),MATCH(IF('Data-solution'!$A$3="Maximize",MAX($C44:$AI44),MIN($C44:$AI44)),$C44:$AI44,0))),S35)</f>
        <v>0</v>
      </c>
      <c r="T50" s="1">
        <f>IF(OR($B48&lt;&gt;$B33,$B49&lt;&gt;$B34,$B50&lt;&gt;$B35,$B51&lt;&gt;$B36,$B52&lt;&gt;$B37,$B53&lt;&gt;$B38,$B54&lt;&gt;$B39,$B55&lt;&gt;$B40,$B56&lt;&gt;$B41,$B57&lt;&gt;$B42,$B58&lt;&gt;$B43),IF($B50&lt;&gt;$B35,T35/INDEX($C33:$AJ43,3,MATCH(IF('Data-solution'!$A$3="Maximize",MAX($C44:$AI44),MIN($C44:$AI44)),$C44:$AI44,0)),T35-INDEX($C33:$AJ43,3,MATCH(IF('Data-solution'!$A$3="Maximize",MAX($C44:$AI44),MIN($C44:$AI44)),$C44:$AI44,0))*INDEX(T33:$AJ43,MATCH(MIN($AK33:$AK43),$AK33:$AK43,0),1)/INDEX($C33:$AJ43,MATCH(MIN($AK33:$AK43),$AK33:$AK43,0),MATCH(IF('Data-solution'!$A$3="Maximize",MAX($C44:$AI44),MIN($C44:$AI44)),$C44:$AI44,0))),T35)</f>
        <v>0</v>
      </c>
      <c r="U50" s="1">
        <f>IF(OR($B48&lt;&gt;$B33,$B49&lt;&gt;$B34,$B50&lt;&gt;$B35,$B51&lt;&gt;$B36,$B52&lt;&gt;$B37,$B53&lt;&gt;$B38,$B54&lt;&gt;$B39,$B55&lt;&gt;$B40,$B56&lt;&gt;$B41,$B57&lt;&gt;$B42,$B58&lt;&gt;$B43),IF($B50&lt;&gt;$B35,U35/INDEX($C33:$AJ43,3,MATCH(IF('Data-solution'!$A$3="Maximize",MAX($C44:$AI44),MIN($C44:$AI44)),$C44:$AI44,0)),U35-INDEX($C33:$AJ43,3,MATCH(IF('Data-solution'!$A$3="Maximize",MAX($C44:$AI44),MIN($C44:$AI44)),$C44:$AI44,0))*INDEX(U33:$AJ43,MATCH(MIN($AK33:$AK43),$AK33:$AK43,0),1)/INDEX($C33:$AJ43,MATCH(MIN($AK33:$AK43),$AK33:$AK43,0),MATCH(IF('Data-solution'!$A$3="Maximize",MAX($C44:$AI44),MIN($C44:$AI44)),$C44:$AI44,0))),U35)</f>
        <v>0</v>
      </c>
      <c r="V50" s="1">
        <f>IF(OR($B48&lt;&gt;$B33,$B49&lt;&gt;$B34,$B50&lt;&gt;$B35,$B51&lt;&gt;$B36,$B52&lt;&gt;$B37,$B53&lt;&gt;$B38,$B54&lt;&gt;$B39,$B55&lt;&gt;$B40,$B56&lt;&gt;$B41,$B57&lt;&gt;$B42,$B58&lt;&gt;$B43),IF($B50&lt;&gt;$B35,V35/INDEX($C33:$AJ43,3,MATCH(IF('Data-solution'!$A$3="Maximize",MAX($C44:$AI44),MIN($C44:$AI44)),$C44:$AI44,0)),V35-INDEX($C33:$AJ43,3,MATCH(IF('Data-solution'!$A$3="Maximize",MAX($C44:$AI44),MIN($C44:$AI44)),$C44:$AI44,0))*INDEX(V33:$AJ43,MATCH(MIN($AK33:$AK43),$AK33:$AK43,0),1)/INDEX($C33:$AJ43,MATCH(MIN($AK33:$AK43),$AK33:$AK43,0),MATCH(IF('Data-solution'!$A$3="Maximize",MAX($C44:$AI44),MIN($C44:$AI44)),$C44:$AI44,0))),V35)</f>
        <v>0</v>
      </c>
      <c r="W50" s="1">
        <f>IF(OR($B48&lt;&gt;$B33,$B49&lt;&gt;$B34,$B50&lt;&gt;$B35,$B51&lt;&gt;$B36,$B52&lt;&gt;$B37,$B53&lt;&gt;$B38,$B54&lt;&gt;$B39,$B55&lt;&gt;$B40,$B56&lt;&gt;$B41,$B57&lt;&gt;$B42,$B58&lt;&gt;$B43),IF($B50&lt;&gt;$B35,W35/INDEX($C33:$AJ43,3,MATCH(IF('Data-solution'!$A$3="Maximize",MAX($C44:$AI44),MIN($C44:$AI44)),$C44:$AI44,0)),W35-INDEX($C33:$AJ43,3,MATCH(IF('Data-solution'!$A$3="Maximize",MAX($C44:$AI44),MIN($C44:$AI44)),$C44:$AI44,0))*INDEX(W33:$AJ43,MATCH(MIN($AK33:$AK43),$AK33:$AK43,0),1)/INDEX($C33:$AJ43,MATCH(MIN($AK33:$AK43),$AK33:$AK43,0),MATCH(IF('Data-solution'!$A$3="Maximize",MAX($C44:$AI44),MIN($C44:$AI44)),$C44:$AI44,0))),W35)</f>
        <v>0</v>
      </c>
      <c r="X50" s="1">
        <f>IF(OR($B48&lt;&gt;$B33,$B49&lt;&gt;$B34,$B50&lt;&gt;$B35,$B51&lt;&gt;$B36,$B52&lt;&gt;$B37,$B53&lt;&gt;$B38,$B54&lt;&gt;$B39,$B55&lt;&gt;$B40,$B56&lt;&gt;$B41,$B57&lt;&gt;$B42,$B58&lt;&gt;$B43),IF($B50&lt;&gt;$B35,X35/INDEX($C33:$AJ43,3,MATCH(IF('Data-solution'!$A$3="Maximize",MAX($C44:$AI44),MIN($C44:$AI44)),$C44:$AI44,0)),X35-INDEX($C33:$AJ43,3,MATCH(IF('Data-solution'!$A$3="Maximize",MAX($C44:$AI44),MIN($C44:$AI44)),$C44:$AI44,0))*INDEX(X33:$AJ43,MATCH(MIN($AK33:$AK43),$AK33:$AK43,0),1)/INDEX($C33:$AJ43,MATCH(MIN($AK33:$AK43),$AK33:$AK43,0),MATCH(IF('Data-solution'!$A$3="Maximize",MAX($C44:$AI44),MIN($C44:$AI44)),$C44:$AI44,0))),X35)</f>
        <v>0</v>
      </c>
      <c r="Y50" s="1">
        <f>IF(OR($B48&lt;&gt;$B33,$B49&lt;&gt;$B34,$B50&lt;&gt;$B35,$B51&lt;&gt;$B36,$B52&lt;&gt;$B37,$B53&lt;&gt;$B38,$B54&lt;&gt;$B39,$B55&lt;&gt;$B40,$B56&lt;&gt;$B41,$B57&lt;&gt;$B42,$B58&lt;&gt;$B43),IF($B50&lt;&gt;$B35,Y35/INDEX($C33:$AJ43,3,MATCH(IF('Data-solution'!$A$3="Maximize",MAX($C44:$AI44),MIN($C44:$AI44)),$C44:$AI44,0)),Y35-INDEX($C33:$AJ43,3,MATCH(IF('Data-solution'!$A$3="Maximize",MAX($C44:$AI44),MIN($C44:$AI44)),$C44:$AI44,0))*INDEX(Y33:$AJ43,MATCH(MIN($AK33:$AK43),$AK33:$AK43,0),1)/INDEX($C33:$AJ43,MATCH(MIN($AK33:$AK43),$AK33:$AK43,0),MATCH(IF('Data-solution'!$A$3="Maximize",MAX($C44:$AI44),MIN($C44:$AI44)),$C44:$AI44,0))),Y35)</f>
        <v>0</v>
      </c>
      <c r="Z50" s="1">
        <f>IF(OR($B48&lt;&gt;$B33,$B49&lt;&gt;$B34,$B50&lt;&gt;$B35,$B51&lt;&gt;$B36,$B52&lt;&gt;$B37,$B53&lt;&gt;$B38,$B54&lt;&gt;$B39,$B55&lt;&gt;$B40,$B56&lt;&gt;$B41,$B57&lt;&gt;$B42,$B58&lt;&gt;$B43),IF($B50&lt;&gt;$B35,Z35/INDEX($C33:$AJ43,3,MATCH(IF('Data-solution'!$A$3="Maximize",MAX($C44:$AI44),MIN($C44:$AI44)),$C44:$AI44,0)),Z35-INDEX($C33:$AJ43,3,MATCH(IF('Data-solution'!$A$3="Maximize",MAX($C44:$AI44),MIN($C44:$AI44)),$C44:$AI44,0))*INDEX(Z33:$AJ43,MATCH(MIN($AK33:$AK43),$AK33:$AK43,0),1)/INDEX($C33:$AJ43,MATCH(MIN($AK33:$AK43),$AK33:$AK43,0),MATCH(IF('Data-solution'!$A$3="Maximize",MAX($C44:$AI44),MIN($C44:$AI44)),$C44:$AI44,0))),Z35)</f>
        <v>0</v>
      </c>
      <c r="AA50" s="1">
        <f>IF(OR($B48&lt;&gt;$B33,$B49&lt;&gt;$B34,$B50&lt;&gt;$B35,$B51&lt;&gt;$B36,$B52&lt;&gt;$B37,$B53&lt;&gt;$B38,$B54&lt;&gt;$B39,$B55&lt;&gt;$B40,$B56&lt;&gt;$B41,$B57&lt;&gt;$B42,$B58&lt;&gt;$B43),IF($B50&lt;&gt;$B35,AA35/INDEX($C33:$AJ43,3,MATCH(IF('Data-solution'!$A$3="Maximize",MAX($C44:$AI44),MIN($C44:$AI44)),$C44:$AI44,0)),AA35-INDEX($C33:$AJ43,3,MATCH(IF('Data-solution'!$A$3="Maximize",MAX($C44:$AI44),MIN($C44:$AI44)),$C44:$AI44,0))*INDEX(AA33:$AJ43,MATCH(MIN($AK33:$AK43),$AK33:$AK43,0),1)/INDEX($C33:$AJ43,MATCH(MIN($AK33:$AK43),$AK33:$AK43,0),MATCH(IF('Data-solution'!$A$3="Maximize",MAX($C44:$AI44),MIN($C44:$AI44)),$C44:$AI44,0))),AA35)</f>
        <v>0.24999999999999997</v>
      </c>
      <c r="AB50" s="1">
        <f>IF(OR($B48&lt;&gt;$B33,$B49&lt;&gt;$B34,$B50&lt;&gt;$B35,$B51&lt;&gt;$B36,$B52&lt;&gt;$B37,$B53&lt;&gt;$B38,$B54&lt;&gt;$B39,$B55&lt;&gt;$B40,$B56&lt;&gt;$B41,$B57&lt;&gt;$B42,$B58&lt;&gt;$B43),IF($B50&lt;&gt;$B35,AB35/INDEX($C33:$AJ43,3,MATCH(IF('Data-solution'!$A$3="Maximize",MAX($C44:$AI44),MIN($C44:$AI44)),$C44:$AI44,0)),AB35-INDEX($C33:$AJ43,3,MATCH(IF('Data-solution'!$A$3="Maximize",MAX($C44:$AI44),MIN($C44:$AI44)),$C44:$AI44,0))*INDEX(AB33:$AJ43,MATCH(MIN($AK33:$AK43),$AK33:$AK43,0),1)/INDEX($C33:$AJ43,MATCH(MIN($AK33:$AK43),$AK33:$AK43,0),MATCH(IF('Data-solution'!$A$3="Maximize",MAX($C44:$AI44),MIN($C44:$AI44)),$C44:$AI44,0))),AB35)</f>
        <v>-0.49999999999999989</v>
      </c>
      <c r="AC50" s="1">
        <f>IF(OR($B48&lt;&gt;$B33,$B49&lt;&gt;$B34,$B50&lt;&gt;$B35,$B51&lt;&gt;$B36,$B52&lt;&gt;$B37,$B53&lt;&gt;$B38,$B54&lt;&gt;$B39,$B55&lt;&gt;$B40,$B56&lt;&gt;$B41,$B57&lt;&gt;$B42,$B58&lt;&gt;$B43),IF($B50&lt;&gt;$B35,AC35/INDEX($C33:$AJ43,3,MATCH(IF('Data-solution'!$A$3="Maximize",MAX($C44:$AI44),MIN($C44:$AI44)),$C44:$AI44,0)),AC35-INDEX($C33:$AJ43,3,MATCH(IF('Data-solution'!$A$3="Maximize",MAX($C44:$AI44),MIN($C44:$AI44)),$C44:$AI44,0))*INDEX(AC33:$AJ43,MATCH(MIN($AK33:$AK43),$AK33:$AK43,0),1)/INDEX($C33:$AJ43,MATCH(MIN($AK33:$AK43),$AK33:$AK43,0),MATCH(IF('Data-solution'!$A$3="Maximize",MAX($C44:$AI44),MIN($C44:$AI44)),$C44:$AI44,0))),AC35)</f>
        <v>0</v>
      </c>
      <c r="AD50" s="1">
        <f>IF(OR($B48&lt;&gt;$B33,$B49&lt;&gt;$B34,$B50&lt;&gt;$B35,$B51&lt;&gt;$B36,$B52&lt;&gt;$B37,$B53&lt;&gt;$B38,$B54&lt;&gt;$B39,$B55&lt;&gt;$B40,$B56&lt;&gt;$B41,$B57&lt;&gt;$B42,$B58&lt;&gt;$B43),IF($B50&lt;&gt;$B35,AD35/INDEX($C33:$AJ43,3,MATCH(IF('Data-solution'!$A$3="Maximize",MAX($C44:$AI44),MIN($C44:$AI44)),$C44:$AI44,0)),AD35-INDEX($C33:$AJ43,3,MATCH(IF('Data-solution'!$A$3="Maximize",MAX($C44:$AI44),MIN($C44:$AI44)),$C44:$AI44,0))*INDEX(AD33:$AJ43,MATCH(MIN($AK33:$AK43),$AK33:$AK43,0),1)/INDEX($C33:$AJ43,MATCH(MIN($AK33:$AK43),$AK33:$AK43,0),MATCH(IF('Data-solution'!$A$3="Maximize",MAX($C44:$AI44),MIN($C44:$AI44)),$C44:$AI44,0))),AD35)</f>
        <v>0</v>
      </c>
      <c r="AE50" s="1">
        <f>IF(OR($B48&lt;&gt;$B33,$B49&lt;&gt;$B34,$B50&lt;&gt;$B35,$B51&lt;&gt;$B36,$B52&lt;&gt;$B37,$B53&lt;&gt;$B38,$B54&lt;&gt;$B39,$B55&lt;&gt;$B40,$B56&lt;&gt;$B41,$B57&lt;&gt;$B42,$B58&lt;&gt;$B43),IF($B50&lt;&gt;$B35,AE35/INDEX($C33:$AJ43,3,MATCH(IF('Data-solution'!$A$3="Maximize",MAX($C44:$AI44),MIN($C44:$AI44)),$C44:$AI44,0)),AE35-INDEX($C33:$AJ43,3,MATCH(IF('Data-solution'!$A$3="Maximize",MAX($C44:$AI44),MIN($C44:$AI44)),$C44:$AI44,0))*INDEX(AE33:$AJ43,MATCH(MIN($AK33:$AK43),$AK33:$AK43,0),1)/INDEX($C33:$AJ43,MATCH(MIN($AK33:$AK43),$AK33:$AK43,0),MATCH(IF('Data-solution'!$A$3="Maximize",MAX($C44:$AI44),MIN($C44:$AI44)),$C44:$AI44,0))),AE35)</f>
        <v>0</v>
      </c>
      <c r="AF50" s="1">
        <f>IF(OR($B48&lt;&gt;$B33,$B49&lt;&gt;$B34,$B50&lt;&gt;$B35,$B51&lt;&gt;$B36,$B52&lt;&gt;$B37,$B53&lt;&gt;$B38,$B54&lt;&gt;$B39,$B55&lt;&gt;$B40,$B56&lt;&gt;$B41,$B57&lt;&gt;$B42,$B58&lt;&gt;$B43),IF($B50&lt;&gt;$B35,AF35/INDEX($C33:$AJ43,3,MATCH(IF('Data-solution'!$A$3="Maximize",MAX($C44:$AI44),MIN($C44:$AI44)),$C44:$AI44,0)),AF35-INDEX($C33:$AJ43,3,MATCH(IF('Data-solution'!$A$3="Maximize",MAX($C44:$AI44),MIN($C44:$AI44)),$C44:$AI44,0))*INDEX(AF33:$AJ43,MATCH(MIN($AK33:$AK43),$AK33:$AK43,0),1)/INDEX($C33:$AJ43,MATCH(MIN($AK33:$AK43),$AK33:$AK43,0),MATCH(IF('Data-solution'!$A$3="Maximize",MAX($C44:$AI44),MIN($C44:$AI44)),$C44:$AI44,0))),AF35)</f>
        <v>0</v>
      </c>
      <c r="AG50" s="1">
        <f>IF(OR($B48&lt;&gt;$B33,$B49&lt;&gt;$B34,$B50&lt;&gt;$B35,$B51&lt;&gt;$B36,$B52&lt;&gt;$B37,$B53&lt;&gt;$B38,$B54&lt;&gt;$B39,$B55&lt;&gt;$B40,$B56&lt;&gt;$B41,$B57&lt;&gt;$B42,$B58&lt;&gt;$B43),IF($B50&lt;&gt;$B35,AG35/INDEX($C33:$AJ43,3,MATCH(IF('Data-solution'!$A$3="Maximize",MAX($C44:$AI44),MIN($C44:$AI44)),$C44:$AI44,0)),AG35-INDEX($C33:$AJ43,3,MATCH(IF('Data-solution'!$A$3="Maximize",MAX($C44:$AI44),MIN($C44:$AI44)),$C44:$AI44,0))*INDEX(AG33:$AJ43,MATCH(MIN($AK33:$AK43),$AK33:$AK43,0),1)/INDEX($C33:$AJ43,MATCH(MIN($AK33:$AK43),$AK33:$AK43,0),MATCH(IF('Data-solution'!$A$3="Maximize",MAX($C44:$AI44),MIN($C44:$AI44)),$C44:$AI44,0))),AG35)</f>
        <v>0</v>
      </c>
      <c r="AH50" s="1">
        <f>IF(OR($B48&lt;&gt;$B33,$B49&lt;&gt;$B34,$B50&lt;&gt;$B35,$B51&lt;&gt;$B36,$B52&lt;&gt;$B37,$B53&lt;&gt;$B38,$B54&lt;&gt;$B39,$B55&lt;&gt;$B40,$B56&lt;&gt;$B41,$B57&lt;&gt;$B42,$B58&lt;&gt;$B43),IF($B50&lt;&gt;$B35,AH35/INDEX($C33:$AJ43,3,MATCH(IF('Data-solution'!$A$3="Maximize",MAX($C44:$AI44),MIN($C44:$AI44)),$C44:$AI44,0)),AH35-INDEX($C33:$AJ43,3,MATCH(IF('Data-solution'!$A$3="Maximize",MAX($C44:$AI44),MIN($C44:$AI44)),$C44:$AI44,0))*INDEX(AH33:$AJ43,MATCH(MIN($AK33:$AK43),$AK33:$AK43,0),1)/INDEX($C33:$AJ43,MATCH(MIN($AK33:$AK43),$AK33:$AK43,0),MATCH(IF('Data-solution'!$A$3="Maximize",MAX($C44:$AI44),MIN($C44:$AI44)),$C44:$AI44,0))),AH35)</f>
        <v>0</v>
      </c>
      <c r="AI50" s="1">
        <f>IF(OR($B48&lt;&gt;$B33,$B49&lt;&gt;$B34,$B50&lt;&gt;$B35,$B51&lt;&gt;$B36,$B52&lt;&gt;$B37,$B53&lt;&gt;$B38,$B54&lt;&gt;$B39,$B55&lt;&gt;$B40,$B56&lt;&gt;$B41,$B57&lt;&gt;$B42,$B58&lt;&gt;$B43),IF($B50&lt;&gt;$B35,AI35/INDEX($C33:$AJ43,3,MATCH(IF('Data-solution'!$A$3="Maximize",MAX($C44:$AI44),MIN($C44:$AI44)),$C44:$AI44,0)),AI35-INDEX($C33:$AJ43,3,MATCH(IF('Data-solution'!$A$3="Maximize",MAX($C44:$AI44),MIN($C44:$AI44)),$C44:$AI44,0))*INDEX(AI33:$AJ43,MATCH(MIN($AK33:$AK43),$AK33:$AK43,0),1)/INDEX($C33:$AJ43,MATCH(MIN($AK33:$AK43),$AK33:$AK43,0),MATCH(IF('Data-solution'!$A$3="Maximize",MAX($C44:$AI44),MIN($C44:$AI44)),$C44:$AI44,0))),AI35)</f>
        <v>0</v>
      </c>
      <c r="AJ50" s="1">
        <f>IF(OR($B48&lt;&gt;$B33,$B49&lt;&gt;$B34,$B50&lt;&gt;$B35,$B51&lt;&gt;$B36,$B52&lt;&gt;$B37,$B53&lt;&gt;$B38,$B54&lt;&gt;$B39,$B55&lt;&gt;$B40,$B56&lt;&gt;$B41,$B57&lt;&gt;$B42,$B58&lt;&gt;$B43),IF($B50&lt;&gt;$B35,AJ35/INDEX($C33:$AJ43,3,MATCH(IF('Data-solution'!$A$3="Maximize",MAX($C44:$AI44),MIN($C44:$AI44)),$C44:$AI44,0)),AJ35-INDEX($C33:$AJ43,3,MATCH(IF('Data-solution'!$A$3="Maximize",MAX($C44:$AI44),MIN($C44:$AI44)),$C44:$AI44,0))*INDEX(AJ33:$AJ43,MATCH(MIN($AK33:$AK43),$AK33:$AK43,0),1)/INDEX($C33:$AJ43,MATCH(MIN($AK33:$AK43),$AK33:$AK43,0),MATCH(IF('Data-solution'!$A$3="Maximize",MAX($C44:$AI44),MIN($C44:$AI44)),$C44:$AI44,0))),AJ35)</f>
        <v>300</v>
      </c>
      <c r="AK50" s="1" t="str">
        <f>IF(INDEX(C50:X50,1,MATCH(IF('Data-solution'!A$3="Maximize",MAX(C59:X59),MIN(C59:X59)),C59:X59,0))&gt;0,AJ50/INDEX(C50:X50,1,MATCH(IF('Data-solution'!A$3="Maximize",MAX(C59:X59),MIN(C59:X59)),C59:X59,0))," ")</f>
        <v xml:space="preserve"> </v>
      </c>
    </row>
    <row r="51" spans="1:37" ht="18" customHeight="1" x14ac:dyDescent="0.2">
      <c r="A51" s="1">
        <f t="shared" ref="A51" si="25">INDEX(C46:AI46,1,MATCH(B51,C47:AI47,0))</f>
        <v>150</v>
      </c>
      <c r="B51" s="2" t="str">
        <f>IF(AND('Data-solution'!A$3="Maximize",COUNTIF(C44:X44,"&gt;"&amp;0)&gt;0,AK36=MIN(AK33:AK43),COUNTIF(B48:B50,INDEX(C32:X32,1,MATCH(MAX(C44:X44),C44:X44,0)))=0),INDEX(C32:X32,1,MATCH(MAX(C44:X44),C44:X44,0)),IF(AND('Data-solution'!A$3="Minimize",COUNTIF(C44:X44,"&lt;"&amp;0)&gt;0,AK36=MIN(AK33:AK43),COUNTIF(B48:B50,INDEX(C32:X32,1,MATCH(MIN(C44:X44),C44:X44,0)))=0),INDEX(C32:X32,1,MATCH(MIN(C44:X44),C44:X44,0)),B36))</f>
        <v>X1</v>
      </c>
      <c r="C51" s="1">
        <f>IF(OR($B48&lt;&gt;$B33,$B49&lt;&gt;$B34,$B50&lt;&gt;$B35,$B51&lt;&gt;$B36,$B52&lt;&gt;$B37,$B53&lt;&gt;$B38,$B54&lt;&gt;$B39,$B55&lt;&gt;$B40,$B56&lt;&gt;$B41,$B57&lt;&gt;$B42,$B58&lt;&gt;$B43),IF($B51&lt;&gt;$B36,C36/INDEX($C33:$AJ43,4,MATCH(IF('Data-solution'!$A$3="Maximize",MAX($C44:$AI44),MIN($C44:$AI44)),$C44:$AI44,0)),C36-INDEX($C33:$AJ43,4,MATCH(IF('Data-solution'!$A$3="Maximize",MAX($C44:$AI44),MIN($C44:$AI44)),$C44:$AI44,0))*INDEX(C33:$AJ43,MATCH(MIN($AK33:$AK43),$AK33:$AK43,0),1)/INDEX($C33:$AJ43,MATCH(MIN($AK33:$AK43),$AK33:$AK43,0),MATCH(IF('Data-solution'!$A$3="Maximize",MAX($C44:$AI44),MIN($C44:$AI44)),$C44:$AI44,0))),C36)</f>
        <v>1</v>
      </c>
      <c r="D51" s="1">
        <f>IF(OR($B48&lt;&gt;$B33,$B49&lt;&gt;$B34,$B50&lt;&gt;$B35,$B51&lt;&gt;$B36,$B52&lt;&gt;$B37,$B53&lt;&gt;$B38,$B54&lt;&gt;$B39,$B55&lt;&gt;$B40,$B56&lt;&gt;$B41,$B57&lt;&gt;$B42,$B58&lt;&gt;$B43),IF($B51&lt;&gt;$B36,D36/INDEX($C33:$AJ43,4,MATCH(IF('Data-solution'!$A$3="Maximize",MAX($C44:$AI44),MIN($C44:$AI44)),$C44:$AI44,0)),D36-INDEX($C33:$AJ43,4,MATCH(IF('Data-solution'!$A$3="Maximize",MAX($C44:$AI44),MIN($C44:$AI44)),$C44:$AI44,0))*INDEX(D33:$AJ43,MATCH(MIN($AK33:$AK43),$AK33:$AK43,0),1)/INDEX($C33:$AJ43,MATCH(MIN($AK33:$AK43),$AK33:$AK43,0),MATCH(IF('Data-solution'!$A$3="Maximize",MAX($C44:$AI44),MIN($C44:$AI44)),$C44:$AI44,0))),D36)</f>
        <v>-1.25</v>
      </c>
      <c r="E51" s="1">
        <f>IF(OR($B48&lt;&gt;$B33,$B49&lt;&gt;$B34,$B50&lt;&gt;$B35,$B51&lt;&gt;$B36,$B52&lt;&gt;$B37,$B53&lt;&gt;$B38,$B54&lt;&gt;$B39,$B55&lt;&gt;$B40,$B56&lt;&gt;$B41,$B57&lt;&gt;$B42,$B58&lt;&gt;$B43),IF($B51&lt;&gt;$B36,E36/INDEX($C33:$AJ43,4,MATCH(IF('Data-solution'!$A$3="Maximize",MAX($C44:$AI44),MIN($C44:$AI44)),$C44:$AI44,0)),E36-INDEX($C33:$AJ43,4,MATCH(IF('Data-solution'!$A$3="Maximize",MAX($C44:$AI44),MIN($C44:$AI44)),$C44:$AI44,0))*INDEX(E33:$AJ43,MATCH(MIN($AK33:$AK43),$AK33:$AK43,0),1)/INDEX($C33:$AJ43,MATCH(MIN($AK33:$AK43),$AK33:$AK43,0),MATCH(IF('Data-solution'!$A$3="Maximize",MAX($C44:$AI44),MIN($C44:$AI44)),$C44:$AI44,0))),E36)</f>
        <v>0</v>
      </c>
      <c r="F51" s="1">
        <f>IF(OR($B48&lt;&gt;$B33,$B49&lt;&gt;$B34,$B50&lt;&gt;$B35,$B51&lt;&gt;$B36,$B52&lt;&gt;$B37,$B53&lt;&gt;$B38,$B54&lt;&gt;$B39,$B55&lt;&gt;$B40,$B56&lt;&gt;$B41,$B57&lt;&gt;$B42,$B58&lt;&gt;$B43),IF($B51&lt;&gt;$B36,F36/INDEX($C33:$AJ43,4,MATCH(IF('Data-solution'!$A$3="Maximize",MAX($C44:$AI44),MIN($C44:$AI44)),$C44:$AI44,0)),F36-INDEX($C33:$AJ43,4,MATCH(IF('Data-solution'!$A$3="Maximize",MAX($C44:$AI44),MIN($C44:$AI44)),$C44:$AI44,0))*INDEX(F33:$AJ43,MATCH(MIN($AK33:$AK43),$AK33:$AK43,0),1)/INDEX($C33:$AJ43,MATCH(MIN($AK33:$AK43),$AK33:$AK43,0),MATCH(IF('Data-solution'!$A$3="Maximize",MAX($C44:$AI44),MIN($C44:$AI44)),$C44:$AI44,0))),F36)</f>
        <v>0</v>
      </c>
      <c r="G51" s="1">
        <f>IF(OR($B48&lt;&gt;$B33,$B49&lt;&gt;$B34,$B50&lt;&gt;$B35,$B51&lt;&gt;$B36,$B52&lt;&gt;$B37,$B53&lt;&gt;$B38,$B54&lt;&gt;$B39,$B55&lt;&gt;$B40,$B56&lt;&gt;$B41,$B57&lt;&gt;$B42,$B58&lt;&gt;$B43),IF($B51&lt;&gt;$B36,G36/INDEX($C33:$AJ43,4,MATCH(IF('Data-solution'!$A$3="Maximize",MAX($C44:$AI44),MIN($C44:$AI44)),$C44:$AI44,0)),G36-INDEX($C33:$AJ43,4,MATCH(IF('Data-solution'!$A$3="Maximize",MAX($C44:$AI44),MIN($C44:$AI44)),$C44:$AI44,0))*INDEX(G33:$AJ43,MATCH(MIN($AK33:$AK43),$AK33:$AK43,0),1)/INDEX($C33:$AJ43,MATCH(MIN($AK33:$AK43),$AK33:$AK43,0),MATCH(IF('Data-solution'!$A$3="Maximize",MAX($C44:$AI44),MIN($C44:$AI44)),$C44:$AI44,0))),G36)</f>
        <v>0</v>
      </c>
      <c r="H51" s="1">
        <f>IF(OR($B48&lt;&gt;$B33,$B49&lt;&gt;$B34,$B50&lt;&gt;$B35,$B51&lt;&gt;$B36,$B52&lt;&gt;$B37,$B53&lt;&gt;$B38,$B54&lt;&gt;$B39,$B55&lt;&gt;$B40,$B56&lt;&gt;$B41,$B57&lt;&gt;$B42,$B58&lt;&gt;$B43),IF($B51&lt;&gt;$B36,H36/INDEX($C33:$AJ43,4,MATCH(IF('Data-solution'!$A$3="Maximize",MAX($C44:$AI44),MIN($C44:$AI44)),$C44:$AI44,0)),H36-INDEX($C33:$AJ43,4,MATCH(IF('Data-solution'!$A$3="Maximize",MAX($C44:$AI44),MIN($C44:$AI44)),$C44:$AI44,0))*INDEX(H33:$AJ43,MATCH(MIN($AK33:$AK43),$AK33:$AK43,0),1)/INDEX($C33:$AJ43,MATCH(MIN($AK33:$AK43),$AK33:$AK43,0),MATCH(IF('Data-solution'!$A$3="Maximize",MAX($C44:$AI44),MIN($C44:$AI44)),$C44:$AI44,0))),H36)</f>
        <v>0</v>
      </c>
      <c r="I51" s="1">
        <f>IF(OR($B48&lt;&gt;$B33,$B49&lt;&gt;$B34,$B50&lt;&gt;$B35,$B51&lt;&gt;$B36,$B52&lt;&gt;$B37,$B53&lt;&gt;$B38,$B54&lt;&gt;$B39,$B55&lt;&gt;$B40,$B56&lt;&gt;$B41,$B57&lt;&gt;$B42,$B58&lt;&gt;$B43),IF($B51&lt;&gt;$B36,I36/INDEX($C33:$AJ43,4,MATCH(IF('Data-solution'!$A$3="Maximize",MAX($C44:$AI44),MIN($C44:$AI44)),$C44:$AI44,0)),I36-INDEX($C33:$AJ43,4,MATCH(IF('Data-solution'!$A$3="Maximize",MAX($C44:$AI44),MIN($C44:$AI44)),$C44:$AI44,0))*INDEX(I33:$AJ43,MATCH(MIN($AK33:$AK43),$AK33:$AK43,0),1)/INDEX($C33:$AJ43,MATCH(MIN($AK33:$AK43),$AK33:$AK43,0),MATCH(IF('Data-solution'!$A$3="Maximize",MAX($C44:$AI44),MIN($C44:$AI44)),$C44:$AI44,0))),I36)</f>
        <v>0</v>
      </c>
      <c r="J51" s="1">
        <f>IF(OR($B48&lt;&gt;$B33,$B49&lt;&gt;$B34,$B50&lt;&gt;$B35,$B51&lt;&gt;$B36,$B52&lt;&gt;$B37,$B53&lt;&gt;$B38,$B54&lt;&gt;$B39,$B55&lt;&gt;$B40,$B56&lt;&gt;$B41,$B57&lt;&gt;$B42,$B58&lt;&gt;$B43),IF($B51&lt;&gt;$B36,J36/INDEX($C33:$AJ43,4,MATCH(IF('Data-solution'!$A$3="Maximize",MAX($C44:$AI44),MIN($C44:$AI44)),$C44:$AI44,0)),J36-INDEX($C33:$AJ43,4,MATCH(IF('Data-solution'!$A$3="Maximize",MAX($C44:$AI44),MIN($C44:$AI44)),$C44:$AI44,0))*INDEX(J33:$AJ43,MATCH(MIN($AK33:$AK43),$AK33:$AK43,0),1)/INDEX($C33:$AJ43,MATCH(MIN($AK33:$AK43),$AK33:$AK43,0),MATCH(IF('Data-solution'!$A$3="Maximize",MAX($C44:$AI44),MIN($C44:$AI44)),$C44:$AI44,0))),J36)</f>
        <v>0</v>
      </c>
      <c r="K51" s="1">
        <f>IF(OR($B48&lt;&gt;$B33,$B49&lt;&gt;$B34,$B50&lt;&gt;$B35,$B51&lt;&gt;$B36,$B52&lt;&gt;$B37,$B53&lt;&gt;$B38,$B54&lt;&gt;$B39,$B55&lt;&gt;$B40,$B56&lt;&gt;$B41,$B57&lt;&gt;$B42,$B58&lt;&gt;$B43),IF($B51&lt;&gt;$B36,K36/INDEX($C33:$AJ43,4,MATCH(IF('Data-solution'!$A$3="Maximize",MAX($C44:$AI44),MIN($C44:$AI44)),$C44:$AI44,0)),K36-INDEX($C33:$AJ43,4,MATCH(IF('Data-solution'!$A$3="Maximize",MAX($C44:$AI44),MIN($C44:$AI44)),$C44:$AI44,0))*INDEX(K33:$AJ43,MATCH(MIN($AK33:$AK43),$AK33:$AK43,0),1)/INDEX($C33:$AJ43,MATCH(MIN($AK33:$AK43),$AK33:$AK43,0),MATCH(IF('Data-solution'!$A$3="Maximize",MAX($C44:$AI44),MIN($C44:$AI44)),$C44:$AI44,0))),K36)</f>
        <v>0</v>
      </c>
      <c r="L51" s="1">
        <f>IF(OR($B48&lt;&gt;$B33,$B49&lt;&gt;$B34,$B50&lt;&gt;$B35,$B51&lt;&gt;$B36,$B52&lt;&gt;$B37,$B53&lt;&gt;$B38,$B54&lt;&gt;$B39,$B55&lt;&gt;$B40,$B56&lt;&gt;$B41,$B57&lt;&gt;$B42,$B58&lt;&gt;$B43),IF($B51&lt;&gt;$B36,L36/INDEX($C33:$AJ43,4,MATCH(IF('Data-solution'!$A$3="Maximize",MAX($C44:$AI44),MIN($C44:$AI44)),$C44:$AI44,0)),L36-INDEX($C33:$AJ43,4,MATCH(IF('Data-solution'!$A$3="Maximize",MAX($C44:$AI44),MIN($C44:$AI44)),$C44:$AI44,0))*INDEX(L33:$AJ43,MATCH(MIN($AK33:$AK43),$AK33:$AK43,0),1)/INDEX($C33:$AJ43,MATCH(MIN($AK33:$AK43),$AK33:$AK43,0),MATCH(IF('Data-solution'!$A$3="Maximize",MAX($C44:$AI44),MIN($C44:$AI44)),$C44:$AI44,0))),L36)</f>
        <v>0</v>
      </c>
      <c r="M51" s="1">
        <f>IF(OR($B48&lt;&gt;$B33,$B49&lt;&gt;$B34,$B50&lt;&gt;$B35,$B51&lt;&gt;$B36,$B52&lt;&gt;$B37,$B53&lt;&gt;$B38,$B54&lt;&gt;$B39,$B55&lt;&gt;$B40,$B56&lt;&gt;$B41,$B57&lt;&gt;$B42,$B58&lt;&gt;$B43),IF($B51&lt;&gt;$B36,M36/INDEX($C33:$AJ43,4,MATCH(IF('Data-solution'!$A$3="Maximize",MAX($C44:$AI44),MIN($C44:$AI44)),$C44:$AI44,0)),M36-INDEX($C33:$AJ43,4,MATCH(IF('Data-solution'!$A$3="Maximize",MAX($C44:$AI44),MIN($C44:$AI44)),$C44:$AI44,0))*INDEX(M33:$AJ43,MATCH(MIN($AK33:$AK43),$AK33:$AK43,0),1)/INDEX($C33:$AJ43,MATCH(MIN($AK33:$AK43),$AK33:$AK43,0),MATCH(IF('Data-solution'!$A$3="Maximize",MAX($C44:$AI44),MIN($C44:$AI44)),$C44:$AI44,0))),M36)</f>
        <v>0</v>
      </c>
      <c r="N51" s="1">
        <f>IF(OR($B48&lt;&gt;$B33,$B49&lt;&gt;$B34,$B50&lt;&gt;$B35,$B51&lt;&gt;$B36,$B52&lt;&gt;$B37,$B53&lt;&gt;$B38,$B54&lt;&gt;$B39,$B55&lt;&gt;$B40,$B56&lt;&gt;$B41,$B57&lt;&gt;$B42,$B58&lt;&gt;$B43),IF($B51&lt;&gt;$B36,N36/INDEX($C33:$AJ43,4,MATCH(IF('Data-solution'!$A$3="Maximize",MAX($C44:$AI44),MIN($C44:$AI44)),$C44:$AI44,0)),N36-INDEX($C33:$AJ43,4,MATCH(IF('Data-solution'!$A$3="Maximize",MAX($C44:$AI44),MIN($C44:$AI44)),$C44:$AI44,0))*INDEX(N33:$AJ43,MATCH(MIN($AK33:$AK43),$AK33:$AK43,0),1)/INDEX($C33:$AJ43,MATCH(MIN($AK33:$AK43),$AK33:$AK43,0),MATCH(IF('Data-solution'!$A$3="Maximize",MAX($C44:$AI44),MIN($C44:$AI44)),$C44:$AI44,0))),N36)</f>
        <v>0</v>
      </c>
      <c r="O51" s="1">
        <f>IF(OR($B48&lt;&gt;$B33,$B49&lt;&gt;$B34,$B50&lt;&gt;$B35,$B51&lt;&gt;$B36,$B52&lt;&gt;$B37,$B53&lt;&gt;$B38,$B54&lt;&gt;$B39,$B55&lt;&gt;$B40,$B56&lt;&gt;$B41,$B57&lt;&gt;$B42,$B58&lt;&gt;$B43),IF($B51&lt;&gt;$B36,O36/INDEX($C33:$AJ43,4,MATCH(IF('Data-solution'!$A$3="Maximize",MAX($C44:$AI44),MIN($C44:$AI44)),$C44:$AI44,0)),O36-INDEX($C33:$AJ43,4,MATCH(IF('Data-solution'!$A$3="Maximize",MAX($C44:$AI44),MIN($C44:$AI44)),$C44:$AI44,0))*INDEX(O33:$AJ43,MATCH(MIN($AK33:$AK43),$AK33:$AK43,0),1)/INDEX($C33:$AJ43,MATCH(MIN($AK33:$AK43),$AK33:$AK43,0),MATCH(IF('Data-solution'!$A$3="Maximize",MAX($C44:$AI44),MIN($C44:$AI44)),$C44:$AI44,0))),O36)</f>
        <v>0</v>
      </c>
      <c r="P51" s="1">
        <f>IF(OR($B48&lt;&gt;$B33,$B49&lt;&gt;$B34,$B50&lt;&gt;$B35,$B51&lt;&gt;$B36,$B52&lt;&gt;$B37,$B53&lt;&gt;$B38,$B54&lt;&gt;$B39,$B55&lt;&gt;$B40,$B56&lt;&gt;$B41,$B57&lt;&gt;$B42,$B58&lt;&gt;$B43),IF($B51&lt;&gt;$B36,P36/INDEX($C33:$AJ43,4,MATCH(IF('Data-solution'!$A$3="Maximize",MAX($C44:$AI44),MIN($C44:$AI44)),$C44:$AI44,0)),P36-INDEX($C33:$AJ43,4,MATCH(IF('Data-solution'!$A$3="Maximize",MAX($C44:$AI44),MIN($C44:$AI44)),$C44:$AI44,0))*INDEX(P33:$AJ43,MATCH(MIN($AK33:$AK43),$AK33:$AK43,0),1)/INDEX($C33:$AJ43,MATCH(MIN($AK33:$AK43),$AK33:$AK43,0),MATCH(IF('Data-solution'!$A$3="Maximize",MAX($C44:$AI44),MIN($C44:$AI44)),$C44:$AI44,0))),P36)</f>
        <v>-0.24999999999999994</v>
      </c>
      <c r="Q51" s="1">
        <f>IF(OR($B48&lt;&gt;$B33,$B49&lt;&gt;$B34,$B50&lt;&gt;$B35,$B51&lt;&gt;$B36,$B52&lt;&gt;$B37,$B53&lt;&gt;$B38,$B54&lt;&gt;$B39,$B55&lt;&gt;$B40,$B56&lt;&gt;$B41,$B57&lt;&gt;$B42,$B58&lt;&gt;$B43),IF($B51&lt;&gt;$B36,Q36/INDEX($C33:$AJ43,4,MATCH(IF('Data-solution'!$A$3="Maximize",MAX($C44:$AI44),MIN($C44:$AI44)),$C44:$AI44,0)),Q36-INDEX($C33:$AJ43,4,MATCH(IF('Data-solution'!$A$3="Maximize",MAX($C44:$AI44),MIN($C44:$AI44)),$C44:$AI44,0))*INDEX(Q33:$AJ43,MATCH(MIN($AK33:$AK43),$AK33:$AK43,0),1)/INDEX($C33:$AJ43,MATCH(MIN($AK33:$AK43),$AK33:$AK43,0),MATCH(IF('Data-solution'!$A$3="Maximize",MAX($C44:$AI44),MIN($C44:$AI44)),$C44:$AI44,0))),Q36)</f>
        <v>1.4999999999999998</v>
      </c>
      <c r="R51" s="1">
        <f>IF(OR($B48&lt;&gt;$B33,$B49&lt;&gt;$B34,$B50&lt;&gt;$B35,$B51&lt;&gt;$B36,$B52&lt;&gt;$B37,$B53&lt;&gt;$B38,$B54&lt;&gt;$B39,$B55&lt;&gt;$B40,$B56&lt;&gt;$B41,$B57&lt;&gt;$B42,$B58&lt;&gt;$B43),IF($B51&lt;&gt;$B36,R36/INDEX($C33:$AJ43,4,MATCH(IF('Data-solution'!$A$3="Maximize",MAX($C44:$AI44),MIN($C44:$AI44)),$C44:$AI44,0)),R36-INDEX($C33:$AJ43,4,MATCH(IF('Data-solution'!$A$3="Maximize",MAX($C44:$AI44),MIN($C44:$AI44)),$C44:$AI44,0))*INDEX(R33:$AJ43,MATCH(MIN($AK33:$AK43),$AK33:$AK43,0),1)/INDEX($C33:$AJ43,MATCH(MIN($AK33:$AK43),$AK33:$AK43,0),MATCH(IF('Data-solution'!$A$3="Maximize",MAX($C44:$AI44),MIN($C44:$AI44)),$C44:$AI44,0))),R36)</f>
        <v>0</v>
      </c>
      <c r="S51" s="1">
        <f>IF(OR($B48&lt;&gt;$B33,$B49&lt;&gt;$B34,$B50&lt;&gt;$B35,$B51&lt;&gt;$B36,$B52&lt;&gt;$B37,$B53&lt;&gt;$B38,$B54&lt;&gt;$B39,$B55&lt;&gt;$B40,$B56&lt;&gt;$B41,$B57&lt;&gt;$B42,$B58&lt;&gt;$B43),IF($B51&lt;&gt;$B36,S36/INDEX($C33:$AJ43,4,MATCH(IF('Data-solution'!$A$3="Maximize",MAX($C44:$AI44),MIN($C44:$AI44)),$C44:$AI44,0)),S36-INDEX($C33:$AJ43,4,MATCH(IF('Data-solution'!$A$3="Maximize",MAX($C44:$AI44),MIN($C44:$AI44)),$C44:$AI44,0))*INDEX(S33:$AJ43,MATCH(MIN($AK33:$AK43),$AK33:$AK43,0),1)/INDEX($C33:$AJ43,MATCH(MIN($AK33:$AK43),$AK33:$AK43,0),MATCH(IF('Data-solution'!$A$3="Maximize",MAX($C44:$AI44),MIN($C44:$AI44)),$C44:$AI44,0))),S36)</f>
        <v>0</v>
      </c>
      <c r="T51" s="1">
        <f>IF(OR($B48&lt;&gt;$B33,$B49&lt;&gt;$B34,$B50&lt;&gt;$B35,$B51&lt;&gt;$B36,$B52&lt;&gt;$B37,$B53&lt;&gt;$B38,$B54&lt;&gt;$B39,$B55&lt;&gt;$B40,$B56&lt;&gt;$B41,$B57&lt;&gt;$B42,$B58&lt;&gt;$B43),IF($B51&lt;&gt;$B36,T36/INDEX($C33:$AJ43,4,MATCH(IF('Data-solution'!$A$3="Maximize",MAX($C44:$AI44),MIN($C44:$AI44)),$C44:$AI44,0)),T36-INDEX($C33:$AJ43,4,MATCH(IF('Data-solution'!$A$3="Maximize",MAX($C44:$AI44),MIN($C44:$AI44)),$C44:$AI44,0))*INDEX(T33:$AJ43,MATCH(MIN($AK33:$AK43),$AK33:$AK43,0),1)/INDEX($C33:$AJ43,MATCH(MIN($AK33:$AK43),$AK33:$AK43,0),MATCH(IF('Data-solution'!$A$3="Maximize",MAX($C44:$AI44),MIN($C44:$AI44)),$C44:$AI44,0))),T36)</f>
        <v>0</v>
      </c>
      <c r="U51" s="1">
        <f>IF(OR($B48&lt;&gt;$B33,$B49&lt;&gt;$B34,$B50&lt;&gt;$B35,$B51&lt;&gt;$B36,$B52&lt;&gt;$B37,$B53&lt;&gt;$B38,$B54&lt;&gt;$B39,$B55&lt;&gt;$B40,$B56&lt;&gt;$B41,$B57&lt;&gt;$B42,$B58&lt;&gt;$B43),IF($B51&lt;&gt;$B36,U36/INDEX($C33:$AJ43,4,MATCH(IF('Data-solution'!$A$3="Maximize",MAX($C44:$AI44),MIN($C44:$AI44)),$C44:$AI44,0)),U36-INDEX($C33:$AJ43,4,MATCH(IF('Data-solution'!$A$3="Maximize",MAX($C44:$AI44),MIN($C44:$AI44)),$C44:$AI44,0))*INDEX(U33:$AJ43,MATCH(MIN($AK33:$AK43),$AK33:$AK43,0),1)/INDEX($C33:$AJ43,MATCH(MIN($AK33:$AK43),$AK33:$AK43,0),MATCH(IF('Data-solution'!$A$3="Maximize",MAX($C44:$AI44),MIN($C44:$AI44)),$C44:$AI44,0))),U36)</f>
        <v>0</v>
      </c>
      <c r="V51" s="1">
        <f>IF(OR($B48&lt;&gt;$B33,$B49&lt;&gt;$B34,$B50&lt;&gt;$B35,$B51&lt;&gt;$B36,$B52&lt;&gt;$B37,$B53&lt;&gt;$B38,$B54&lt;&gt;$B39,$B55&lt;&gt;$B40,$B56&lt;&gt;$B41,$B57&lt;&gt;$B42,$B58&lt;&gt;$B43),IF($B51&lt;&gt;$B36,V36/INDEX($C33:$AJ43,4,MATCH(IF('Data-solution'!$A$3="Maximize",MAX($C44:$AI44),MIN($C44:$AI44)),$C44:$AI44,0)),V36-INDEX($C33:$AJ43,4,MATCH(IF('Data-solution'!$A$3="Maximize",MAX($C44:$AI44),MIN($C44:$AI44)),$C44:$AI44,0))*INDEX(V33:$AJ43,MATCH(MIN($AK33:$AK43),$AK33:$AK43,0),1)/INDEX($C33:$AJ43,MATCH(MIN($AK33:$AK43),$AK33:$AK43,0),MATCH(IF('Data-solution'!$A$3="Maximize",MAX($C44:$AI44),MIN($C44:$AI44)),$C44:$AI44,0))),V36)</f>
        <v>0</v>
      </c>
      <c r="W51" s="1">
        <f>IF(OR($B48&lt;&gt;$B33,$B49&lt;&gt;$B34,$B50&lt;&gt;$B35,$B51&lt;&gt;$B36,$B52&lt;&gt;$B37,$B53&lt;&gt;$B38,$B54&lt;&gt;$B39,$B55&lt;&gt;$B40,$B56&lt;&gt;$B41,$B57&lt;&gt;$B42,$B58&lt;&gt;$B43),IF($B51&lt;&gt;$B36,W36/INDEX($C33:$AJ43,4,MATCH(IF('Data-solution'!$A$3="Maximize",MAX($C44:$AI44),MIN($C44:$AI44)),$C44:$AI44,0)),W36-INDEX($C33:$AJ43,4,MATCH(IF('Data-solution'!$A$3="Maximize",MAX($C44:$AI44),MIN($C44:$AI44)),$C44:$AI44,0))*INDEX(W33:$AJ43,MATCH(MIN($AK33:$AK43),$AK33:$AK43,0),1)/INDEX($C33:$AJ43,MATCH(MIN($AK33:$AK43),$AK33:$AK43,0),MATCH(IF('Data-solution'!$A$3="Maximize",MAX($C44:$AI44),MIN($C44:$AI44)),$C44:$AI44,0))),W36)</f>
        <v>0</v>
      </c>
      <c r="X51" s="1">
        <f>IF(OR($B48&lt;&gt;$B33,$B49&lt;&gt;$B34,$B50&lt;&gt;$B35,$B51&lt;&gt;$B36,$B52&lt;&gt;$B37,$B53&lt;&gt;$B38,$B54&lt;&gt;$B39,$B55&lt;&gt;$B40,$B56&lt;&gt;$B41,$B57&lt;&gt;$B42,$B58&lt;&gt;$B43),IF($B51&lt;&gt;$B36,X36/INDEX($C33:$AJ43,4,MATCH(IF('Data-solution'!$A$3="Maximize",MAX($C44:$AI44),MIN($C44:$AI44)),$C44:$AI44,0)),X36-INDEX($C33:$AJ43,4,MATCH(IF('Data-solution'!$A$3="Maximize",MAX($C44:$AI44),MIN($C44:$AI44)),$C44:$AI44,0))*INDEX(X33:$AJ43,MATCH(MIN($AK33:$AK43),$AK33:$AK43,0),1)/INDEX($C33:$AJ43,MATCH(MIN($AK33:$AK43),$AK33:$AK43,0),MATCH(IF('Data-solution'!$A$3="Maximize",MAX($C44:$AI44),MIN($C44:$AI44)),$C44:$AI44,0))),X36)</f>
        <v>0</v>
      </c>
      <c r="Y51" s="1">
        <f>IF(OR($B48&lt;&gt;$B33,$B49&lt;&gt;$B34,$B50&lt;&gt;$B35,$B51&lt;&gt;$B36,$B52&lt;&gt;$B37,$B53&lt;&gt;$B38,$B54&lt;&gt;$B39,$B55&lt;&gt;$B40,$B56&lt;&gt;$B41,$B57&lt;&gt;$B42,$B58&lt;&gt;$B43),IF($B51&lt;&gt;$B36,Y36/INDEX($C33:$AJ43,4,MATCH(IF('Data-solution'!$A$3="Maximize",MAX($C44:$AI44),MIN($C44:$AI44)),$C44:$AI44,0)),Y36-INDEX($C33:$AJ43,4,MATCH(IF('Data-solution'!$A$3="Maximize",MAX($C44:$AI44),MIN($C44:$AI44)),$C44:$AI44,0))*INDEX(Y33:$AJ43,MATCH(MIN($AK33:$AK43),$AK33:$AK43,0),1)/INDEX($C33:$AJ43,MATCH(MIN($AK33:$AK43),$AK33:$AK43,0),MATCH(IF('Data-solution'!$A$3="Maximize",MAX($C44:$AI44),MIN($C44:$AI44)),$C44:$AI44,0))),Y36)</f>
        <v>0</v>
      </c>
      <c r="Z51" s="1">
        <f>IF(OR($B48&lt;&gt;$B33,$B49&lt;&gt;$B34,$B50&lt;&gt;$B35,$B51&lt;&gt;$B36,$B52&lt;&gt;$B37,$B53&lt;&gt;$B38,$B54&lt;&gt;$B39,$B55&lt;&gt;$B40,$B56&lt;&gt;$B41,$B57&lt;&gt;$B42,$B58&lt;&gt;$B43),IF($B51&lt;&gt;$B36,Z36/INDEX($C33:$AJ43,4,MATCH(IF('Data-solution'!$A$3="Maximize",MAX($C44:$AI44),MIN($C44:$AI44)),$C44:$AI44,0)),Z36-INDEX($C33:$AJ43,4,MATCH(IF('Data-solution'!$A$3="Maximize",MAX($C44:$AI44),MIN($C44:$AI44)),$C44:$AI44,0))*INDEX(Z33:$AJ43,MATCH(MIN($AK33:$AK43),$AK33:$AK43,0),1)/INDEX($C33:$AJ43,MATCH(MIN($AK33:$AK43),$AK33:$AK43,0),MATCH(IF('Data-solution'!$A$3="Maximize",MAX($C44:$AI44),MIN($C44:$AI44)),$C44:$AI44,0))),Z36)</f>
        <v>0</v>
      </c>
      <c r="AA51" s="1">
        <f>IF(OR($B48&lt;&gt;$B33,$B49&lt;&gt;$B34,$B50&lt;&gt;$B35,$B51&lt;&gt;$B36,$B52&lt;&gt;$B37,$B53&lt;&gt;$B38,$B54&lt;&gt;$B39,$B55&lt;&gt;$B40,$B56&lt;&gt;$B41,$B57&lt;&gt;$B42,$B58&lt;&gt;$B43),IF($B51&lt;&gt;$B36,AA36/INDEX($C33:$AJ43,4,MATCH(IF('Data-solution'!$A$3="Maximize",MAX($C44:$AI44),MIN($C44:$AI44)),$C44:$AI44,0)),AA36-INDEX($C33:$AJ43,4,MATCH(IF('Data-solution'!$A$3="Maximize",MAX($C44:$AI44),MIN($C44:$AI44)),$C44:$AI44,0))*INDEX(AA33:$AJ43,MATCH(MIN($AK33:$AK43),$AK33:$AK43,0),1)/INDEX($C33:$AJ43,MATCH(MIN($AK33:$AK43),$AK33:$AK43,0),MATCH(IF('Data-solution'!$A$3="Maximize",MAX($C44:$AI44),MIN($C44:$AI44)),$C44:$AI44,0))),AA36)</f>
        <v>-0.24999999999999994</v>
      </c>
      <c r="AB51" s="1">
        <f>IF(OR($B48&lt;&gt;$B33,$B49&lt;&gt;$B34,$B50&lt;&gt;$B35,$B51&lt;&gt;$B36,$B52&lt;&gt;$B37,$B53&lt;&gt;$B38,$B54&lt;&gt;$B39,$B55&lt;&gt;$B40,$B56&lt;&gt;$B41,$B57&lt;&gt;$B42,$B58&lt;&gt;$B43),IF($B51&lt;&gt;$B36,AB36/INDEX($C33:$AJ43,4,MATCH(IF('Data-solution'!$A$3="Maximize",MAX($C44:$AI44),MIN($C44:$AI44)),$C44:$AI44,0)),AB36-INDEX($C33:$AJ43,4,MATCH(IF('Data-solution'!$A$3="Maximize",MAX($C44:$AI44),MIN($C44:$AI44)),$C44:$AI44,0))*INDEX(AB33:$AJ43,MATCH(MIN($AK33:$AK43),$AK33:$AK43,0),1)/INDEX($C33:$AJ43,MATCH(MIN($AK33:$AK43),$AK33:$AK43,0),MATCH(IF('Data-solution'!$A$3="Maximize",MAX($C44:$AI44),MIN($C44:$AI44)),$C44:$AI44,0))),AB36)</f>
        <v>1.4999999999999998</v>
      </c>
      <c r="AC51" s="1">
        <f>IF(OR($B48&lt;&gt;$B33,$B49&lt;&gt;$B34,$B50&lt;&gt;$B35,$B51&lt;&gt;$B36,$B52&lt;&gt;$B37,$B53&lt;&gt;$B38,$B54&lt;&gt;$B39,$B55&lt;&gt;$B40,$B56&lt;&gt;$B41,$B57&lt;&gt;$B42,$B58&lt;&gt;$B43),IF($B51&lt;&gt;$B36,AC36/INDEX($C33:$AJ43,4,MATCH(IF('Data-solution'!$A$3="Maximize",MAX($C44:$AI44),MIN($C44:$AI44)),$C44:$AI44,0)),AC36-INDEX($C33:$AJ43,4,MATCH(IF('Data-solution'!$A$3="Maximize",MAX($C44:$AI44),MIN($C44:$AI44)),$C44:$AI44,0))*INDEX(AC33:$AJ43,MATCH(MIN($AK33:$AK43),$AK33:$AK43,0),1)/INDEX($C33:$AJ43,MATCH(MIN($AK33:$AK43),$AK33:$AK43,0),MATCH(IF('Data-solution'!$A$3="Maximize",MAX($C44:$AI44),MIN($C44:$AI44)),$C44:$AI44,0))),AC36)</f>
        <v>0</v>
      </c>
      <c r="AD51" s="1">
        <f>IF(OR($B48&lt;&gt;$B33,$B49&lt;&gt;$B34,$B50&lt;&gt;$B35,$B51&lt;&gt;$B36,$B52&lt;&gt;$B37,$B53&lt;&gt;$B38,$B54&lt;&gt;$B39,$B55&lt;&gt;$B40,$B56&lt;&gt;$B41,$B57&lt;&gt;$B42,$B58&lt;&gt;$B43),IF($B51&lt;&gt;$B36,AD36/INDEX($C33:$AJ43,4,MATCH(IF('Data-solution'!$A$3="Maximize",MAX($C44:$AI44),MIN($C44:$AI44)),$C44:$AI44,0)),AD36-INDEX($C33:$AJ43,4,MATCH(IF('Data-solution'!$A$3="Maximize",MAX($C44:$AI44),MIN($C44:$AI44)),$C44:$AI44,0))*INDEX(AD33:$AJ43,MATCH(MIN($AK33:$AK43),$AK33:$AK43,0),1)/INDEX($C33:$AJ43,MATCH(MIN($AK33:$AK43),$AK33:$AK43,0),MATCH(IF('Data-solution'!$A$3="Maximize",MAX($C44:$AI44),MIN($C44:$AI44)),$C44:$AI44,0))),AD36)</f>
        <v>0</v>
      </c>
      <c r="AE51" s="1">
        <f>IF(OR($B48&lt;&gt;$B33,$B49&lt;&gt;$B34,$B50&lt;&gt;$B35,$B51&lt;&gt;$B36,$B52&lt;&gt;$B37,$B53&lt;&gt;$B38,$B54&lt;&gt;$B39,$B55&lt;&gt;$B40,$B56&lt;&gt;$B41,$B57&lt;&gt;$B42,$B58&lt;&gt;$B43),IF($B51&lt;&gt;$B36,AE36/INDEX($C33:$AJ43,4,MATCH(IF('Data-solution'!$A$3="Maximize",MAX($C44:$AI44),MIN($C44:$AI44)),$C44:$AI44,0)),AE36-INDEX($C33:$AJ43,4,MATCH(IF('Data-solution'!$A$3="Maximize",MAX($C44:$AI44),MIN($C44:$AI44)),$C44:$AI44,0))*INDEX(AE33:$AJ43,MATCH(MIN($AK33:$AK43),$AK33:$AK43,0),1)/INDEX($C33:$AJ43,MATCH(MIN($AK33:$AK43),$AK33:$AK43,0),MATCH(IF('Data-solution'!$A$3="Maximize",MAX($C44:$AI44),MIN($C44:$AI44)),$C44:$AI44,0))),AE36)</f>
        <v>0</v>
      </c>
      <c r="AF51" s="1">
        <f>IF(OR($B48&lt;&gt;$B33,$B49&lt;&gt;$B34,$B50&lt;&gt;$B35,$B51&lt;&gt;$B36,$B52&lt;&gt;$B37,$B53&lt;&gt;$B38,$B54&lt;&gt;$B39,$B55&lt;&gt;$B40,$B56&lt;&gt;$B41,$B57&lt;&gt;$B42,$B58&lt;&gt;$B43),IF($B51&lt;&gt;$B36,AF36/INDEX($C33:$AJ43,4,MATCH(IF('Data-solution'!$A$3="Maximize",MAX($C44:$AI44),MIN($C44:$AI44)),$C44:$AI44,0)),AF36-INDEX($C33:$AJ43,4,MATCH(IF('Data-solution'!$A$3="Maximize",MAX($C44:$AI44),MIN($C44:$AI44)),$C44:$AI44,0))*INDEX(AF33:$AJ43,MATCH(MIN($AK33:$AK43),$AK33:$AK43,0),1)/INDEX($C33:$AJ43,MATCH(MIN($AK33:$AK43),$AK33:$AK43,0),MATCH(IF('Data-solution'!$A$3="Maximize",MAX($C44:$AI44),MIN($C44:$AI44)),$C44:$AI44,0))),AF36)</f>
        <v>0</v>
      </c>
      <c r="AG51" s="1">
        <f>IF(OR($B48&lt;&gt;$B33,$B49&lt;&gt;$B34,$B50&lt;&gt;$B35,$B51&lt;&gt;$B36,$B52&lt;&gt;$B37,$B53&lt;&gt;$B38,$B54&lt;&gt;$B39,$B55&lt;&gt;$B40,$B56&lt;&gt;$B41,$B57&lt;&gt;$B42,$B58&lt;&gt;$B43),IF($B51&lt;&gt;$B36,AG36/INDEX($C33:$AJ43,4,MATCH(IF('Data-solution'!$A$3="Maximize",MAX($C44:$AI44),MIN($C44:$AI44)),$C44:$AI44,0)),AG36-INDEX($C33:$AJ43,4,MATCH(IF('Data-solution'!$A$3="Maximize",MAX($C44:$AI44),MIN($C44:$AI44)),$C44:$AI44,0))*INDEX(AG33:$AJ43,MATCH(MIN($AK33:$AK43),$AK33:$AK43,0),1)/INDEX($C33:$AJ43,MATCH(MIN($AK33:$AK43),$AK33:$AK43,0),MATCH(IF('Data-solution'!$A$3="Maximize",MAX($C44:$AI44),MIN($C44:$AI44)),$C44:$AI44,0))),AG36)</f>
        <v>0</v>
      </c>
      <c r="AH51" s="1">
        <f>IF(OR($B48&lt;&gt;$B33,$B49&lt;&gt;$B34,$B50&lt;&gt;$B35,$B51&lt;&gt;$B36,$B52&lt;&gt;$B37,$B53&lt;&gt;$B38,$B54&lt;&gt;$B39,$B55&lt;&gt;$B40,$B56&lt;&gt;$B41,$B57&lt;&gt;$B42,$B58&lt;&gt;$B43),IF($B51&lt;&gt;$B36,AH36/INDEX($C33:$AJ43,4,MATCH(IF('Data-solution'!$A$3="Maximize",MAX($C44:$AI44),MIN($C44:$AI44)),$C44:$AI44,0)),AH36-INDEX($C33:$AJ43,4,MATCH(IF('Data-solution'!$A$3="Maximize",MAX($C44:$AI44),MIN($C44:$AI44)),$C44:$AI44,0))*INDEX(AH33:$AJ43,MATCH(MIN($AK33:$AK43),$AK33:$AK43,0),1)/INDEX($C33:$AJ43,MATCH(MIN($AK33:$AK43),$AK33:$AK43,0),MATCH(IF('Data-solution'!$A$3="Maximize",MAX($C44:$AI44),MIN($C44:$AI44)),$C44:$AI44,0))),AH36)</f>
        <v>0</v>
      </c>
      <c r="AI51" s="1">
        <f>IF(OR($B48&lt;&gt;$B33,$B49&lt;&gt;$B34,$B50&lt;&gt;$B35,$B51&lt;&gt;$B36,$B52&lt;&gt;$B37,$B53&lt;&gt;$B38,$B54&lt;&gt;$B39,$B55&lt;&gt;$B40,$B56&lt;&gt;$B41,$B57&lt;&gt;$B42,$B58&lt;&gt;$B43),IF($B51&lt;&gt;$B36,AI36/INDEX($C33:$AJ43,4,MATCH(IF('Data-solution'!$A$3="Maximize",MAX($C44:$AI44),MIN($C44:$AI44)),$C44:$AI44,0)),AI36-INDEX($C33:$AJ43,4,MATCH(IF('Data-solution'!$A$3="Maximize",MAX($C44:$AI44),MIN($C44:$AI44)),$C44:$AI44,0))*INDEX(AI33:$AJ43,MATCH(MIN($AK33:$AK43),$AK33:$AK43,0),1)/INDEX($C33:$AJ43,MATCH(MIN($AK33:$AK43),$AK33:$AK43,0),MATCH(IF('Data-solution'!$A$3="Maximize",MAX($C44:$AI44),MIN($C44:$AI44)),$C44:$AI44,0))),AI36)</f>
        <v>0</v>
      </c>
      <c r="AJ51" s="1">
        <f>IF(OR($B48&lt;&gt;$B33,$B49&lt;&gt;$B34,$B50&lt;&gt;$B35,$B51&lt;&gt;$B36,$B52&lt;&gt;$B37,$B53&lt;&gt;$B38,$B54&lt;&gt;$B39,$B55&lt;&gt;$B40,$B56&lt;&gt;$B41,$B57&lt;&gt;$B42,$B58&lt;&gt;$B43),IF($B51&lt;&gt;$B36,AJ36/INDEX($C33:$AJ43,4,MATCH(IF('Data-solution'!$A$3="Maximize",MAX($C44:$AI44),MIN($C44:$AI44)),$C44:$AI44,0)),AJ36-INDEX($C33:$AJ43,4,MATCH(IF('Data-solution'!$A$3="Maximize",MAX($C44:$AI44),MIN($C44:$AI44)),$C44:$AI44,0))*INDEX(AJ33:$AJ43,MATCH(MIN($AK33:$AK43),$AK33:$AK43,0),1)/INDEX($C33:$AJ43,MATCH(MIN($AK33:$AK43),$AK33:$AK43,0),MATCH(IF('Data-solution'!$A$3="Maximize",MAX($C44:$AI44),MIN($C44:$AI44)),$C44:$AI44,0))),AJ36)</f>
        <v>100.00000000000001</v>
      </c>
      <c r="AK51" s="1">
        <f>IF(INDEX(C51:X51,1,MATCH(IF('Data-solution'!A$3="Maximize",MAX(C59:X59),MIN(C59:X59)),C59:X59,0))&gt;0,AJ51/INDEX(C51:X51,1,MATCH(IF('Data-solution'!A$3="Maximize",MAX(C59:X59),MIN(C59:X59)),C59:X59,0))," ")</f>
        <v>100.00000000000001</v>
      </c>
    </row>
    <row r="52" spans="1:37" ht="18" customHeight="1" x14ac:dyDescent="0.2">
      <c r="A52" s="1">
        <f t="shared" ref="A52" si="26">INDEX(C46:AI46,1,MATCH(B52,C47:AI47,0))</f>
        <v>0</v>
      </c>
      <c r="B52" s="2" t="str">
        <f>IF(AND('Data-solution'!A$3="Maximize",COUNTIF(C44:X44,"&gt;"&amp;0)&gt;0,AK37=MIN(AK33:AK43),COUNTIF(B48:B51,INDEX(C32:X32,1,MATCH(MAX(C44:X44),C44:X44,0)))=0),INDEX(C32:X32,1,MATCH(MAX(C44:X44),C44:X44,0)),IF(AND('Data-solution'!A$3="Minimize",COUNTIF(C44:X44,"&lt;"&amp;0)&gt;0,AK37=MIN(AK33:AK43),COUNTIF(B48:B51,INDEX(C32:X32,1,MATCH(MIN(C44:X44),C44:X44,0)))=0),INDEX(C32:X32,1,MATCH(MIN(C44:X44),C44:X44,0)),B37))</f>
        <v>S5</v>
      </c>
      <c r="C52" s="1">
        <f>IF(OR($B48&lt;&gt;$B33,$B49&lt;&gt;$B34,$B50&lt;&gt;$B35,$B51&lt;&gt;$B36,$B52&lt;&gt;$B37,$B53&lt;&gt;$B38,$B54&lt;&gt;$B39,$B55&lt;&gt;$B40,$B56&lt;&gt;$B41,$B57&lt;&gt;$B42,$B58&lt;&gt;$B43),IF($B52&lt;&gt;$B37,C37/INDEX($C33:$AJ43,5,MATCH(IF('Data-solution'!$A$3="Maximize",MAX($C44:$AI44),MIN($C44:$AI44)),$C44:$AI44,0)),C37-INDEX($C33:$AJ43,5,MATCH(IF('Data-solution'!$A$3="Maximize",MAX($C44:$AI44),MIN($C44:$AI44)),$C44:$AI44,0))*INDEX(C33:$AJ43,MATCH(MIN($AK33:$AK43),$AK33:$AK43,0),1)/INDEX($C33:$AJ43,MATCH(MIN($AK33:$AK43),$AK33:$AK43,0),MATCH(IF('Data-solution'!$A$3="Maximize",MAX($C44:$AI44),MIN($C44:$AI44)),$C44:$AI44,0))),C37)</f>
        <v>0</v>
      </c>
      <c r="D52" s="1">
        <f>IF(OR($B48&lt;&gt;$B33,$B49&lt;&gt;$B34,$B50&lt;&gt;$B35,$B51&lt;&gt;$B36,$B52&lt;&gt;$B37,$B53&lt;&gt;$B38,$B54&lt;&gt;$B39,$B55&lt;&gt;$B40,$B56&lt;&gt;$B41,$B57&lt;&gt;$B42,$B58&lt;&gt;$B43),IF($B52&lt;&gt;$B37,D37/INDEX($C33:$AJ43,5,MATCH(IF('Data-solution'!$A$3="Maximize",MAX($C44:$AI44),MIN($C44:$AI44)),$C44:$AI44,0)),D37-INDEX($C33:$AJ43,5,MATCH(IF('Data-solution'!$A$3="Maximize",MAX($C44:$AI44),MIN($C44:$AI44)),$C44:$AI44,0))*INDEX(D33:$AJ43,MATCH(MIN($AK33:$AK43),$AK33:$AK43,0),1)/INDEX($C33:$AJ43,MATCH(MIN($AK33:$AK43),$AK33:$AK43,0),MATCH(IF('Data-solution'!$A$3="Maximize",MAX($C44:$AI44),MIN($C44:$AI44)),$C44:$AI44,0))),D37)</f>
        <v>0</v>
      </c>
      <c r="E52" s="1">
        <f>IF(OR($B48&lt;&gt;$B33,$B49&lt;&gt;$B34,$B50&lt;&gt;$B35,$B51&lt;&gt;$B36,$B52&lt;&gt;$B37,$B53&lt;&gt;$B38,$B54&lt;&gt;$B39,$B55&lt;&gt;$B40,$B56&lt;&gt;$B41,$B57&lt;&gt;$B42,$B58&lt;&gt;$B43),IF($B52&lt;&gt;$B37,E37/INDEX($C33:$AJ43,5,MATCH(IF('Data-solution'!$A$3="Maximize",MAX($C44:$AI44),MIN($C44:$AI44)),$C44:$AI44,0)),E37-INDEX($C33:$AJ43,5,MATCH(IF('Data-solution'!$A$3="Maximize",MAX($C44:$AI44),MIN($C44:$AI44)),$C44:$AI44,0))*INDEX(E33:$AJ43,MATCH(MIN($AK33:$AK43),$AK33:$AK43,0),1)/INDEX($C33:$AJ43,MATCH(MIN($AK33:$AK43),$AK33:$AK43,0),MATCH(IF('Data-solution'!$A$3="Maximize",MAX($C44:$AI44),MIN($C44:$AI44)),$C44:$AI44,0))),E37)</f>
        <v>0</v>
      </c>
      <c r="F52" s="1">
        <f>IF(OR($B48&lt;&gt;$B33,$B49&lt;&gt;$B34,$B50&lt;&gt;$B35,$B51&lt;&gt;$B36,$B52&lt;&gt;$B37,$B53&lt;&gt;$B38,$B54&lt;&gt;$B39,$B55&lt;&gt;$B40,$B56&lt;&gt;$B41,$B57&lt;&gt;$B42,$B58&lt;&gt;$B43),IF($B52&lt;&gt;$B37,F37/INDEX($C33:$AJ43,5,MATCH(IF('Data-solution'!$A$3="Maximize",MAX($C44:$AI44),MIN($C44:$AI44)),$C44:$AI44,0)),F37-INDEX($C33:$AJ43,5,MATCH(IF('Data-solution'!$A$3="Maximize",MAX($C44:$AI44),MIN($C44:$AI44)),$C44:$AI44,0))*INDEX(F33:$AJ43,MATCH(MIN($AK33:$AK43),$AK33:$AK43,0),1)/INDEX($C33:$AJ43,MATCH(MIN($AK33:$AK43),$AK33:$AK43,0),MATCH(IF('Data-solution'!$A$3="Maximize",MAX($C44:$AI44),MIN($C44:$AI44)),$C44:$AI44,0))),F37)</f>
        <v>0</v>
      </c>
      <c r="G52" s="1">
        <f>IF(OR($B48&lt;&gt;$B33,$B49&lt;&gt;$B34,$B50&lt;&gt;$B35,$B51&lt;&gt;$B36,$B52&lt;&gt;$B37,$B53&lt;&gt;$B38,$B54&lt;&gt;$B39,$B55&lt;&gt;$B40,$B56&lt;&gt;$B41,$B57&lt;&gt;$B42,$B58&lt;&gt;$B43),IF($B52&lt;&gt;$B37,G37/INDEX($C33:$AJ43,5,MATCH(IF('Data-solution'!$A$3="Maximize",MAX($C44:$AI44),MIN($C44:$AI44)),$C44:$AI44,0)),G37-INDEX($C33:$AJ43,5,MATCH(IF('Data-solution'!$A$3="Maximize",MAX($C44:$AI44),MIN($C44:$AI44)),$C44:$AI44,0))*INDEX(G33:$AJ43,MATCH(MIN($AK33:$AK43),$AK33:$AK43,0),1)/INDEX($C33:$AJ43,MATCH(MIN($AK33:$AK43),$AK33:$AK43,0),MATCH(IF('Data-solution'!$A$3="Maximize",MAX($C44:$AI44),MIN($C44:$AI44)),$C44:$AI44,0))),G37)</f>
        <v>0</v>
      </c>
      <c r="H52" s="1">
        <f>IF(OR($B48&lt;&gt;$B33,$B49&lt;&gt;$B34,$B50&lt;&gt;$B35,$B51&lt;&gt;$B36,$B52&lt;&gt;$B37,$B53&lt;&gt;$B38,$B54&lt;&gt;$B39,$B55&lt;&gt;$B40,$B56&lt;&gt;$B41,$B57&lt;&gt;$B42,$B58&lt;&gt;$B43),IF($B52&lt;&gt;$B37,H37/INDEX($C33:$AJ43,5,MATCH(IF('Data-solution'!$A$3="Maximize",MAX($C44:$AI44),MIN($C44:$AI44)),$C44:$AI44,0)),H37-INDEX($C33:$AJ43,5,MATCH(IF('Data-solution'!$A$3="Maximize",MAX($C44:$AI44),MIN($C44:$AI44)),$C44:$AI44,0))*INDEX(H33:$AJ43,MATCH(MIN($AK33:$AK43),$AK33:$AK43,0),1)/INDEX($C33:$AJ43,MATCH(MIN($AK33:$AK43),$AK33:$AK43,0),MATCH(IF('Data-solution'!$A$3="Maximize",MAX($C44:$AI44),MIN($C44:$AI44)),$C44:$AI44,0))),H37)</f>
        <v>0</v>
      </c>
      <c r="I52" s="1">
        <f>IF(OR($B48&lt;&gt;$B33,$B49&lt;&gt;$B34,$B50&lt;&gt;$B35,$B51&lt;&gt;$B36,$B52&lt;&gt;$B37,$B53&lt;&gt;$B38,$B54&lt;&gt;$B39,$B55&lt;&gt;$B40,$B56&lt;&gt;$B41,$B57&lt;&gt;$B42,$B58&lt;&gt;$B43),IF($B52&lt;&gt;$B37,I37/INDEX($C33:$AJ43,5,MATCH(IF('Data-solution'!$A$3="Maximize",MAX($C44:$AI44),MIN($C44:$AI44)),$C44:$AI44,0)),I37-INDEX($C33:$AJ43,5,MATCH(IF('Data-solution'!$A$3="Maximize",MAX($C44:$AI44),MIN($C44:$AI44)),$C44:$AI44,0))*INDEX(I33:$AJ43,MATCH(MIN($AK33:$AK43),$AK33:$AK43,0),1)/INDEX($C33:$AJ43,MATCH(MIN($AK33:$AK43),$AK33:$AK43,0),MATCH(IF('Data-solution'!$A$3="Maximize",MAX($C44:$AI44),MIN($C44:$AI44)),$C44:$AI44,0))),I37)</f>
        <v>0</v>
      </c>
      <c r="J52" s="1">
        <f>IF(OR($B48&lt;&gt;$B33,$B49&lt;&gt;$B34,$B50&lt;&gt;$B35,$B51&lt;&gt;$B36,$B52&lt;&gt;$B37,$B53&lt;&gt;$B38,$B54&lt;&gt;$B39,$B55&lt;&gt;$B40,$B56&lt;&gt;$B41,$B57&lt;&gt;$B42,$B58&lt;&gt;$B43),IF($B52&lt;&gt;$B37,J37/INDEX($C33:$AJ43,5,MATCH(IF('Data-solution'!$A$3="Maximize",MAX($C44:$AI44),MIN($C44:$AI44)),$C44:$AI44,0)),J37-INDEX($C33:$AJ43,5,MATCH(IF('Data-solution'!$A$3="Maximize",MAX($C44:$AI44),MIN($C44:$AI44)),$C44:$AI44,0))*INDEX(J33:$AJ43,MATCH(MIN($AK33:$AK43),$AK33:$AK43,0),1)/INDEX($C33:$AJ43,MATCH(MIN($AK33:$AK43),$AK33:$AK43,0),MATCH(IF('Data-solution'!$A$3="Maximize",MAX($C44:$AI44),MIN($C44:$AI44)),$C44:$AI44,0))),J37)</f>
        <v>0</v>
      </c>
      <c r="K52" s="1">
        <f>IF(OR($B48&lt;&gt;$B33,$B49&lt;&gt;$B34,$B50&lt;&gt;$B35,$B51&lt;&gt;$B36,$B52&lt;&gt;$B37,$B53&lt;&gt;$B38,$B54&lt;&gt;$B39,$B55&lt;&gt;$B40,$B56&lt;&gt;$B41,$B57&lt;&gt;$B42,$B58&lt;&gt;$B43),IF($B52&lt;&gt;$B37,K37/INDEX($C33:$AJ43,5,MATCH(IF('Data-solution'!$A$3="Maximize",MAX($C44:$AI44),MIN($C44:$AI44)),$C44:$AI44,0)),K37-INDEX($C33:$AJ43,5,MATCH(IF('Data-solution'!$A$3="Maximize",MAX($C44:$AI44),MIN($C44:$AI44)),$C44:$AI44,0))*INDEX(K33:$AJ43,MATCH(MIN($AK33:$AK43),$AK33:$AK43,0),1)/INDEX($C33:$AJ43,MATCH(MIN($AK33:$AK43),$AK33:$AK43,0),MATCH(IF('Data-solution'!$A$3="Maximize",MAX($C44:$AI44),MIN($C44:$AI44)),$C44:$AI44,0))),K37)</f>
        <v>0</v>
      </c>
      <c r="L52" s="1">
        <f>IF(OR($B48&lt;&gt;$B33,$B49&lt;&gt;$B34,$B50&lt;&gt;$B35,$B51&lt;&gt;$B36,$B52&lt;&gt;$B37,$B53&lt;&gt;$B38,$B54&lt;&gt;$B39,$B55&lt;&gt;$B40,$B56&lt;&gt;$B41,$B57&lt;&gt;$B42,$B58&lt;&gt;$B43),IF($B52&lt;&gt;$B37,L37/INDEX($C33:$AJ43,5,MATCH(IF('Data-solution'!$A$3="Maximize",MAX($C44:$AI44),MIN($C44:$AI44)),$C44:$AI44,0)),L37-INDEX($C33:$AJ43,5,MATCH(IF('Data-solution'!$A$3="Maximize",MAX($C44:$AI44),MIN($C44:$AI44)),$C44:$AI44,0))*INDEX(L33:$AJ43,MATCH(MIN($AK33:$AK43),$AK33:$AK43,0),1)/INDEX($C33:$AJ43,MATCH(MIN($AK33:$AK43),$AK33:$AK43,0),MATCH(IF('Data-solution'!$A$3="Maximize",MAX($C44:$AI44),MIN($C44:$AI44)),$C44:$AI44,0))),L37)</f>
        <v>0</v>
      </c>
      <c r="M52" s="1">
        <f>IF(OR($B48&lt;&gt;$B33,$B49&lt;&gt;$B34,$B50&lt;&gt;$B35,$B51&lt;&gt;$B36,$B52&lt;&gt;$B37,$B53&lt;&gt;$B38,$B54&lt;&gt;$B39,$B55&lt;&gt;$B40,$B56&lt;&gt;$B41,$B57&lt;&gt;$B42,$B58&lt;&gt;$B43),IF($B52&lt;&gt;$B37,M37/INDEX($C33:$AJ43,5,MATCH(IF('Data-solution'!$A$3="Maximize",MAX($C44:$AI44),MIN($C44:$AI44)),$C44:$AI44,0)),M37-INDEX($C33:$AJ43,5,MATCH(IF('Data-solution'!$A$3="Maximize",MAX($C44:$AI44),MIN($C44:$AI44)),$C44:$AI44,0))*INDEX(M33:$AJ43,MATCH(MIN($AK33:$AK43),$AK33:$AK43,0),1)/INDEX($C33:$AJ43,MATCH(MIN($AK33:$AK43),$AK33:$AK43,0),MATCH(IF('Data-solution'!$A$3="Maximize",MAX($C44:$AI44),MIN($C44:$AI44)),$C44:$AI44,0))),M37)</f>
        <v>0</v>
      </c>
      <c r="N52" s="1">
        <f>IF(OR($B48&lt;&gt;$B33,$B49&lt;&gt;$B34,$B50&lt;&gt;$B35,$B51&lt;&gt;$B36,$B52&lt;&gt;$B37,$B53&lt;&gt;$B38,$B54&lt;&gt;$B39,$B55&lt;&gt;$B40,$B56&lt;&gt;$B41,$B57&lt;&gt;$B42,$B58&lt;&gt;$B43),IF($B52&lt;&gt;$B37,N37/INDEX($C33:$AJ43,5,MATCH(IF('Data-solution'!$A$3="Maximize",MAX($C44:$AI44),MIN($C44:$AI44)),$C44:$AI44,0)),N37-INDEX($C33:$AJ43,5,MATCH(IF('Data-solution'!$A$3="Maximize",MAX($C44:$AI44),MIN($C44:$AI44)),$C44:$AI44,0))*INDEX(N33:$AJ43,MATCH(MIN($AK33:$AK43),$AK33:$AK43,0),1)/INDEX($C33:$AJ43,MATCH(MIN($AK33:$AK43),$AK33:$AK43,0),MATCH(IF('Data-solution'!$A$3="Maximize",MAX($C44:$AI44),MIN($C44:$AI44)),$C44:$AI44,0))),N37)</f>
        <v>0</v>
      </c>
      <c r="O52" s="1">
        <f>IF(OR($B48&lt;&gt;$B33,$B49&lt;&gt;$B34,$B50&lt;&gt;$B35,$B51&lt;&gt;$B36,$B52&lt;&gt;$B37,$B53&lt;&gt;$B38,$B54&lt;&gt;$B39,$B55&lt;&gt;$B40,$B56&lt;&gt;$B41,$B57&lt;&gt;$B42,$B58&lt;&gt;$B43),IF($B52&lt;&gt;$B37,O37/INDEX($C33:$AJ43,5,MATCH(IF('Data-solution'!$A$3="Maximize",MAX($C44:$AI44),MIN($C44:$AI44)),$C44:$AI44,0)),O37-INDEX($C33:$AJ43,5,MATCH(IF('Data-solution'!$A$3="Maximize",MAX($C44:$AI44),MIN($C44:$AI44)),$C44:$AI44,0))*INDEX(O33:$AJ43,MATCH(MIN($AK33:$AK43),$AK33:$AK43,0),1)/INDEX($C33:$AJ43,MATCH(MIN($AK33:$AK43),$AK33:$AK43,0),MATCH(IF('Data-solution'!$A$3="Maximize",MAX($C44:$AI44),MIN($C44:$AI44)),$C44:$AI44,0))),O37)</f>
        <v>0</v>
      </c>
      <c r="P52" s="1">
        <f>IF(OR($B48&lt;&gt;$B33,$B49&lt;&gt;$B34,$B50&lt;&gt;$B35,$B51&lt;&gt;$B36,$B52&lt;&gt;$B37,$B53&lt;&gt;$B38,$B54&lt;&gt;$B39,$B55&lt;&gt;$B40,$B56&lt;&gt;$B41,$B57&lt;&gt;$B42,$B58&lt;&gt;$B43),IF($B52&lt;&gt;$B37,P37/INDEX($C33:$AJ43,5,MATCH(IF('Data-solution'!$A$3="Maximize",MAX($C44:$AI44),MIN($C44:$AI44)),$C44:$AI44,0)),P37-INDEX($C33:$AJ43,5,MATCH(IF('Data-solution'!$A$3="Maximize",MAX($C44:$AI44),MIN($C44:$AI44)),$C44:$AI44,0))*INDEX(P33:$AJ43,MATCH(MIN($AK33:$AK43),$AK33:$AK43,0),1)/INDEX($C33:$AJ43,MATCH(MIN($AK33:$AK43),$AK33:$AK43,0),MATCH(IF('Data-solution'!$A$3="Maximize",MAX($C44:$AI44),MIN($C44:$AI44)),$C44:$AI44,0))),P37)</f>
        <v>0</v>
      </c>
      <c r="Q52" s="1">
        <f>IF(OR($B48&lt;&gt;$B33,$B49&lt;&gt;$B34,$B50&lt;&gt;$B35,$B51&lt;&gt;$B36,$B52&lt;&gt;$B37,$B53&lt;&gt;$B38,$B54&lt;&gt;$B39,$B55&lt;&gt;$B40,$B56&lt;&gt;$B41,$B57&lt;&gt;$B42,$B58&lt;&gt;$B43),IF($B52&lt;&gt;$B37,Q37/INDEX($C33:$AJ43,5,MATCH(IF('Data-solution'!$A$3="Maximize",MAX($C44:$AI44),MIN($C44:$AI44)),$C44:$AI44,0)),Q37-INDEX($C33:$AJ43,5,MATCH(IF('Data-solution'!$A$3="Maximize",MAX($C44:$AI44),MIN($C44:$AI44)),$C44:$AI44,0))*INDEX(Q33:$AJ43,MATCH(MIN($AK33:$AK43),$AK33:$AK43,0),1)/INDEX($C33:$AJ43,MATCH(MIN($AK33:$AK43),$AK33:$AK43,0),MATCH(IF('Data-solution'!$A$3="Maximize",MAX($C44:$AI44),MIN($C44:$AI44)),$C44:$AI44,0))),Q37)</f>
        <v>0</v>
      </c>
      <c r="R52" s="1">
        <f>IF(OR($B48&lt;&gt;$B33,$B49&lt;&gt;$B34,$B50&lt;&gt;$B35,$B51&lt;&gt;$B36,$B52&lt;&gt;$B37,$B53&lt;&gt;$B38,$B54&lt;&gt;$B39,$B55&lt;&gt;$B40,$B56&lt;&gt;$B41,$B57&lt;&gt;$B42,$B58&lt;&gt;$B43),IF($B52&lt;&gt;$B37,R37/INDEX($C33:$AJ43,5,MATCH(IF('Data-solution'!$A$3="Maximize",MAX($C44:$AI44),MIN($C44:$AI44)),$C44:$AI44,0)),R37-INDEX($C33:$AJ43,5,MATCH(IF('Data-solution'!$A$3="Maximize",MAX($C44:$AI44),MIN($C44:$AI44)),$C44:$AI44,0))*INDEX(R33:$AJ43,MATCH(MIN($AK33:$AK43),$AK33:$AK43,0),1)/INDEX($C33:$AJ43,MATCH(MIN($AK33:$AK43),$AK33:$AK43,0),MATCH(IF('Data-solution'!$A$3="Maximize",MAX($C44:$AI44),MIN($C44:$AI44)),$C44:$AI44,0))),R37)</f>
        <v>1</v>
      </c>
      <c r="S52" s="1">
        <f>IF(OR($B48&lt;&gt;$B33,$B49&lt;&gt;$B34,$B50&lt;&gt;$B35,$B51&lt;&gt;$B36,$B52&lt;&gt;$B37,$B53&lt;&gt;$B38,$B54&lt;&gt;$B39,$B55&lt;&gt;$B40,$B56&lt;&gt;$B41,$B57&lt;&gt;$B42,$B58&lt;&gt;$B43),IF($B52&lt;&gt;$B37,S37/INDEX($C33:$AJ43,5,MATCH(IF('Data-solution'!$A$3="Maximize",MAX($C44:$AI44),MIN($C44:$AI44)),$C44:$AI44,0)),S37-INDEX($C33:$AJ43,5,MATCH(IF('Data-solution'!$A$3="Maximize",MAX($C44:$AI44),MIN($C44:$AI44)),$C44:$AI44,0))*INDEX(S33:$AJ43,MATCH(MIN($AK33:$AK43),$AK33:$AK43,0),1)/INDEX($C33:$AJ43,MATCH(MIN($AK33:$AK43),$AK33:$AK43,0),MATCH(IF('Data-solution'!$A$3="Maximize",MAX($C44:$AI44),MIN($C44:$AI44)),$C44:$AI44,0))),S37)</f>
        <v>0</v>
      </c>
      <c r="T52" s="1">
        <f>IF(OR($B48&lt;&gt;$B33,$B49&lt;&gt;$B34,$B50&lt;&gt;$B35,$B51&lt;&gt;$B36,$B52&lt;&gt;$B37,$B53&lt;&gt;$B38,$B54&lt;&gt;$B39,$B55&lt;&gt;$B40,$B56&lt;&gt;$B41,$B57&lt;&gt;$B42,$B58&lt;&gt;$B43),IF($B52&lt;&gt;$B37,T37/INDEX($C33:$AJ43,5,MATCH(IF('Data-solution'!$A$3="Maximize",MAX($C44:$AI44),MIN($C44:$AI44)),$C44:$AI44,0)),T37-INDEX($C33:$AJ43,5,MATCH(IF('Data-solution'!$A$3="Maximize",MAX($C44:$AI44),MIN($C44:$AI44)),$C44:$AI44,0))*INDEX(T33:$AJ43,MATCH(MIN($AK33:$AK43),$AK33:$AK43,0),1)/INDEX($C33:$AJ43,MATCH(MIN($AK33:$AK43),$AK33:$AK43,0),MATCH(IF('Data-solution'!$A$3="Maximize",MAX($C44:$AI44),MIN($C44:$AI44)),$C44:$AI44,0))),T37)</f>
        <v>0</v>
      </c>
      <c r="U52" s="1">
        <f>IF(OR($B48&lt;&gt;$B33,$B49&lt;&gt;$B34,$B50&lt;&gt;$B35,$B51&lt;&gt;$B36,$B52&lt;&gt;$B37,$B53&lt;&gt;$B38,$B54&lt;&gt;$B39,$B55&lt;&gt;$B40,$B56&lt;&gt;$B41,$B57&lt;&gt;$B42,$B58&lt;&gt;$B43),IF($B52&lt;&gt;$B37,U37/INDEX($C33:$AJ43,5,MATCH(IF('Data-solution'!$A$3="Maximize",MAX($C44:$AI44),MIN($C44:$AI44)),$C44:$AI44,0)),U37-INDEX($C33:$AJ43,5,MATCH(IF('Data-solution'!$A$3="Maximize",MAX($C44:$AI44),MIN($C44:$AI44)),$C44:$AI44,0))*INDEX(U33:$AJ43,MATCH(MIN($AK33:$AK43),$AK33:$AK43,0),1)/INDEX($C33:$AJ43,MATCH(MIN($AK33:$AK43),$AK33:$AK43,0),MATCH(IF('Data-solution'!$A$3="Maximize",MAX($C44:$AI44),MIN($C44:$AI44)),$C44:$AI44,0))),U37)</f>
        <v>0</v>
      </c>
      <c r="V52" s="1">
        <f>IF(OR($B48&lt;&gt;$B33,$B49&lt;&gt;$B34,$B50&lt;&gt;$B35,$B51&lt;&gt;$B36,$B52&lt;&gt;$B37,$B53&lt;&gt;$B38,$B54&lt;&gt;$B39,$B55&lt;&gt;$B40,$B56&lt;&gt;$B41,$B57&lt;&gt;$B42,$B58&lt;&gt;$B43),IF($B52&lt;&gt;$B37,V37/INDEX($C33:$AJ43,5,MATCH(IF('Data-solution'!$A$3="Maximize",MAX($C44:$AI44),MIN($C44:$AI44)),$C44:$AI44,0)),V37-INDEX($C33:$AJ43,5,MATCH(IF('Data-solution'!$A$3="Maximize",MAX($C44:$AI44),MIN($C44:$AI44)),$C44:$AI44,0))*INDEX(V33:$AJ43,MATCH(MIN($AK33:$AK43),$AK33:$AK43,0),1)/INDEX($C33:$AJ43,MATCH(MIN($AK33:$AK43),$AK33:$AK43,0),MATCH(IF('Data-solution'!$A$3="Maximize",MAX($C44:$AI44),MIN($C44:$AI44)),$C44:$AI44,0))),V37)</f>
        <v>0</v>
      </c>
      <c r="W52" s="1">
        <f>IF(OR($B48&lt;&gt;$B33,$B49&lt;&gt;$B34,$B50&lt;&gt;$B35,$B51&lt;&gt;$B36,$B52&lt;&gt;$B37,$B53&lt;&gt;$B38,$B54&lt;&gt;$B39,$B55&lt;&gt;$B40,$B56&lt;&gt;$B41,$B57&lt;&gt;$B42,$B58&lt;&gt;$B43),IF($B52&lt;&gt;$B37,W37/INDEX($C33:$AJ43,5,MATCH(IF('Data-solution'!$A$3="Maximize",MAX($C44:$AI44),MIN($C44:$AI44)),$C44:$AI44,0)),W37-INDEX($C33:$AJ43,5,MATCH(IF('Data-solution'!$A$3="Maximize",MAX($C44:$AI44),MIN($C44:$AI44)),$C44:$AI44,0))*INDEX(W33:$AJ43,MATCH(MIN($AK33:$AK43),$AK33:$AK43,0),1)/INDEX($C33:$AJ43,MATCH(MIN($AK33:$AK43),$AK33:$AK43,0),MATCH(IF('Data-solution'!$A$3="Maximize",MAX($C44:$AI44),MIN($C44:$AI44)),$C44:$AI44,0))),W37)</f>
        <v>0</v>
      </c>
      <c r="X52" s="1">
        <f>IF(OR($B48&lt;&gt;$B33,$B49&lt;&gt;$B34,$B50&lt;&gt;$B35,$B51&lt;&gt;$B36,$B52&lt;&gt;$B37,$B53&lt;&gt;$B38,$B54&lt;&gt;$B39,$B55&lt;&gt;$B40,$B56&lt;&gt;$B41,$B57&lt;&gt;$B42,$B58&lt;&gt;$B43),IF($B52&lt;&gt;$B37,X37/INDEX($C33:$AJ43,5,MATCH(IF('Data-solution'!$A$3="Maximize",MAX($C44:$AI44),MIN($C44:$AI44)),$C44:$AI44,0)),X37-INDEX($C33:$AJ43,5,MATCH(IF('Data-solution'!$A$3="Maximize",MAX($C44:$AI44),MIN($C44:$AI44)),$C44:$AI44,0))*INDEX(X33:$AJ43,MATCH(MIN($AK33:$AK43),$AK33:$AK43,0),1)/INDEX($C33:$AJ43,MATCH(MIN($AK33:$AK43),$AK33:$AK43,0),MATCH(IF('Data-solution'!$A$3="Maximize",MAX($C44:$AI44),MIN($C44:$AI44)),$C44:$AI44,0))),X37)</f>
        <v>0</v>
      </c>
      <c r="Y52" s="1">
        <f>IF(OR($B48&lt;&gt;$B33,$B49&lt;&gt;$B34,$B50&lt;&gt;$B35,$B51&lt;&gt;$B36,$B52&lt;&gt;$B37,$B53&lt;&gt;$B38,$B54&lt;&gt;$B39,$B55&lt;&gt;$B40,$B56&lt;&gt;$B41,$B57&lt;&gt;$B42,$B58&lt;&gt;$B43),IF($B52&lt;&gt;$B37,Y37/INDEX($C33:$AJ43,5,MATCH(IF('Data-solution'!$A$3="Maximize",MAX($C44:$AI44),MIN($C44:$AI44)),$C44:$AI44,0)),Y37-INDEX($C33:$AJ43,5,MATCH(IF('Data-solution'!$A$3="Maximize",MAX($C44:$AI44),MIN($C44:$AI44)),$C44:$AI44,0))*INDEX(Y33:$AJ43,MATCH(MIN($AK33:$AK43),$AK33:$AK43,0),1)/INDEX($C33:$AJ43,MATCH(MIN($AK33:$AK43),$AK33:$AK43,0),MATCH(IF('Data-solution'!$A$3="Maximize",MAX($C44:$AI44),MIN($C44:$AI44)),$C44:$AI44,0))),Y37)</f>
        <v>0</v>
      </c>
      <c r="Z52" s="1">
        <f>IF(OR($B48&lt;&gt;$B33,$B49&lt;&gt;$B34,$B50&lt;&gt;$B35,$B51&lt;&gt;$B36,$B52&lt;&gt;$B37,$B53&lt;&gt;$B38,$B54&lt;&gt;$B39,$B55&lt;&gt;$B40,$B56&lt;&gt;$B41,$B57&lt;&gt;$B42,$B58&lt;&gt;$B43),IF($B52&lt;&gt;$B37,Z37/INDEX($C33:$AJ43,5,MATCH(IF('Data-solution'!$A$3="Maximize",MAX($C44:$AI44),MIN($C44:$AI44)),$C44:$AI44,0)),Z37-INDEX($C33:$AJ43,5,MATCH(IF('Data-solution'!$A$3="Maximize",MAX($C44:$AI44),MIN($C44:$AI44)),$C44:$AI44,0))*INDEX(Z33:$AJ43,MATCH(MIN($AK33:$AK43),$AK33:$AK43,0),1)/INDEX($C33:$AJ43,MATCH(MIN($AK33:$AK43),$AK33:$AK43,0),MATCH(IF('Data-solution'!$A$3="Maximize",MAX($C44:$AI44),MIN($C44:$AI44)),$C44:$AI44,0))),Z37)</f>
        <v>0</v>
      </c>
      <c r="AA52" s="1">
        <f>IF(OR($B48&lt;&gt;$B33,$B49&lt;&gt;$B34,$B50&lt;&gt;$B35,$B51&lt;&gt;$B36,$B52&lt;&gt;$B37,$B53&lt;&gt;$B38,$B54&lt;&gt;$B39,$B55&lt;&gt;$B40,$B56&lt;&gt;$B41,$B57&lt;&gt;$B42,$B58&lt;&gt;$B43),IF($B52&lt;&gt;$B37,AA37/INDEX($C33:$AJ43,5,MATCH(IF('Data-solution'!$A$3="Maximize",MAX($C44:$AI44),MIN($C44:$AI44)),$C44:$AI44,0)),AA37-INDEX($C33:$AJ43,5,MATCH(IF('Data-solution'!$A$3="Maximize",MAX($C44:$AI44),MIN($C44:$AI44)),$C44:$AI44,0))*INDEX(AA33:$AJ43,MATCH(MIN($AK33:$AK43),$AK33:$AK43,0),1)/INDEX($C33:$AJ43,MATCH(MIN($AK33:$AK43),$AK33:$AK43,0),MATCH(IF('Data-solution'!$A$3="Maximize",MAX($C44:$AI44),MIN($C44:$AI44)),$C44:$AI44,0))),AA37)</f>
        <v>0</v>
      </c>
      <c r="AB52" s="1">
        <f>IF(OR($B48&lt;&gt;$B33,$B49&lt;&gt;$B34,$B50&lt;&gt;$B35,$B51&lt;&gt;$B36,$B52&lt;&gt;$B37,$B53&lt;&gt;$B38,$B54&lt;&gt;$B39,$B55&lt;&gt;$B40,$B56&lt;&gt;$B41,$B57&lt;&gt;$B42,$B58&lt;&gt;$B43),IF($B52&lt;&gt;$B37,AB37/INDEX($C33:$AJ43,5,MATCH(IF('Data-solution'!$A$3="Maximize",MAX($C44:$AI44),MIN($C44:$AI44)),$C44:$AI44,0)),AB37-INDEX($C33:$AJ43,5,MATCH(IF('Data-solution'!$A$3="Maximize",MAX($C44:$AI44),MIN($C44:$AI44)),$C44:$AI44,0))*INDEX(AB33:$AJ43,MATCH(MIN($AK33:$AK43),$AK33:$AK43,0),1)/INDEX($C33:$AJ43,MATCH(MIN($AK33:$AK43),$AK33:$AK43,0),MATCH(IF('Data-solution'!$A$3="Maximize",MAX($C44:$AI44),MIN($C44:$AI44)),$C44:$AI44,0))),AB37)</f>
        <v>0</v>
      </c>
      <c r="AC52" s="1">
        <f>IF(OR($B48&lt;&gt;$B33,$B49&lt;&gt;$B34,$B50&lt;&gt;$B35,$B51&lt;&gt;$B36,$B52&lt;&gt;$B37,$B53&lt;&gt;$B38,$B54&lt;&gt;$B39,$B55&lt;&gt;$B40,$B56&lt;&gt;$B41,$B57&lt;&gt;$B42,$B58&lt;&gt;$B43),IF($B52&lt;&gt;$B37,AC37/INDEX($C33:$AJ43,5,MATCH(IF('Data-solution'!$A$3="Maximize",MAX($C44:$AI44),MIN($C44:$AI44)),$C44:$AI44,0)),AC37-INDEX($C33:$AJ43,5,MATCH(IF('Data-solution'!$A$3="Maximize",MAX($C44:$AI44),MIN($C44:$AI44)),$C44:$AI44,0))*INDEX(AC33:$AJ43,MATCH(MIN($AK33:$AK43),$AK33:$AK43,0),1)/INDEX($C33:$AJ43,MATCH(MIN($AK33:$AK43),$AK33:$AK43,0),MATCH(IF('Data-solution'!$A$3="Maximize",MAX($C44:$AI44),MIN($C44:$AI44)),$C44:$AI44,0))),AC37)</f>
        <v>1</v>
      </c>
      <c r="AD52" s="1">
        <f>IF(OR($B48&lt;&gt;$B33,$B49&lt;&gt;$B34,$B50&lt;&gt;$B35,$B51&lt;&gt;$B36,$B52&lt;&gt;$B37,$B53&lt;&gt;$B38,$B54&lt;&gt;$B39,$B55&lt;&gt;$B40,$B56&lt;&gt;$B41,$B57&lt;&gt;$B42,$B58&lt;&gt;$B43),IF($B52&lt;&gt;$B37,AD37/INDEX($C33:$AJ43,5,MATCH(IF('Data-solution'!$A$3="Maximize",MAX($C44:$AI44),MIN($C44:$AI44)),$C44:$AI44,0)),AD37-INDEX($C33:$AJ43,5,MATCH(IF('Data-solution'!$A$3="Maximize",MAX($C44:$AI44),MIN($C44:$AI44)),$C44:$AI44,0))*INDEX(AD33:$AJ43,MATCH(MIN($AK33:$AK43),$AK33:$AK43,0),1)/INDEX($C33:$AJ43,MATCH(MIN($AK33:$AK43),$AK33:$AK43,0),MATCH(IF('Data-solution'!$A$3="Maximize",MAX($C44:$AI44),MIN($C44:$AI44)),$C44:$AI44,0))),AD37)</f>
        <v>0</v>
      </c>
      <c r="AE52" s="1">
        <f>IF(OR($B48&lt;&gt;$B33,$B49&lt;&gt;$B34,$B50&lt;&gt;$B35,$B51&lt;&gt;$B36,$B52&lt;&gt;$B37,$B53&lt;&gt;$B38,$B54&lt;&gt;$B39,$B55&lt;&gt;$B40,$B56&lt;&gt;$B41,$B57&lt;&gt;$B42,$B58&lt;&gt;$B43),IF($B52&lt;&gt;$B37,AE37/INDEX($C33:$AJ43,5,MATCH(IF('Data-solution'!$A$3="Maximize",MAX($C44:$AI44),MIN($C44:$AI44)),$C44:$AI44,0)),AE37-INDEX($C33:$AJ43,5,MATCH(IF('Data-solution'!$A$3="Maximize",MAX($C44:$AI44),MIN($C44:$AI44)),$C44:$AI44,0))*INDEX(AE33:$AJ43,MATCH(MIN($AK33:$AK43),$AK33:$AK43,0),1)/INDEX($C33:$AJ43,MATCH(MIN($AK33:$AK43),$AK33:$AK43,0),MATCH(IF('Data-solution'!$A$3="Maximize",MAX($C44:$AI44),MIN($C44:$AI44)),$C44:$AI44,0))),AE37)</f>
        <v>0</v>
      </c>
      <c r="AF52" s="1">
        <f>IF(OR($B48&lt;&gt;$B33,$B49&lt;&gt;$B34,$B50&lt;&gt;$B35,$B51&lt;&gt;$B36,$B52&lt;&gt;$B37,$B53&lt;&gt;$B38,$B54&lt;&gt;$B39,$B55&lt;&gt;$B40,$B56&lt;&gt;$B41,$B57&lt;&gt;$B42,$B58&lt;&gt;$B43),IF($B52&lt;&gt;$B37,AF37/INDEX($C33:$AJ43,5,MATCH(IF('Data-solution'!$A$3="Maximize",MAX($C44:$AI44),MIN($C44:$AI44)),$C44:$AI44,0)),AF37-INDEX($C33:$AJ43,5,MATCH(IF('Data-solution'!$A$3="Maximize",MAX($C44:$AI44),MIN($C44:$AI44)),$C44:$AI44,0))*INDEX(AF33:$AJ43,MATCH(MIN($AK33:$AK43),$AK33:$AK43,0),1)/INDEX($C33:$AJ43,MATCH(MIN($AK33:$AK43),$AK33:$AK43,0),MATCH(IF('Data-solution'!$A$3="Maximize",MAX($C44:$AI44),MIN($C44:$AI44)),$C44:$AI44,0))),AF37)</f>
        <v>0</v>
      </c>
      <c r="AG52" s="1">
        <f>IF(OR($B48&lt;&gt;$B33,$B49&lt;&gt;$B34,$B50&lt;&gt;$B35,$B51&lt;&gt;$B36,$B52&lt;&gt;$B37,$B53&lt;&gt;$B38,$B54&lt;&gt;$B39,$B55&lt;&gt;$B40,$B56&lt;&gt;$B41,$B57&lt;&gt;$B42,$B58&lt;&gt;$B43),IF($B52&lt;&gt;$B37,AG37/INDEX($C33:$AJ43,5,MATCH(IF('Data-solution'!$A$3="Maximize",MAX($C44:$AI44),MIN($C44:$AI44)),$C44:$AI44,0)),AG37-INDEX($C33:$AJ43,5,MATCH(IF('Data-solution'!$A$3="Maximize",MAX($C44:$AI44),MIN($C44:$AI44)),$C44:$AI44,0))*INDEX(AG33:$AJ43,MATCH(MIN($AK33:$AK43),$AK33:$AK43,0),1)/INDEX($C33:$AJ43,MATCH(MIN($AK33:$AK43),$AK33:$AK43,0),MATCH(IF('Data-solution'!$A$3="Maximize",MAX($C44:$AI44),MIN($C44:$AI44)),$C44:$AI44,0))),AG37)</f>
        <v>0</v>
      </c>
      <c r="AH52" s="1">
        <f>IF(OR($B48&lt;&gt;$B33,$B49&lt;&gt;$B34,$B50&lt;&gt;$B35,$B51&lt;&gt;$B36,$B52&lt;&gt;$B37,$B53&lt;&gt;$B38,$B54&lt;&gt;$B39,$B55&lt;&gt;$B40,$B56&lt;&gt;$B41,$B57&lt;&gt;$B42,$B58&lt;&gt;$B43),IF($B52&lt;&gt;$B37,AH37/INDEX($C33:$AJ43,5,MATCH(IF('Data-solution'!$A$3="Maximize",MAX($C44:$AI44),MIN($C44:$AI44)),$C44:$AI44,0)),AH37-INDEX($C33:$AJ43,5,MATCH(IF('Data-solution'!$A$3="Maximize",MAX($C44:$AI44),MIN($C44:$AI44)),$C44:$AI44,0))*INDEX(AH33:$AJ43,MATCH(MIN($AK33:$AK43),$AK33:$AK43,0),1)/INDEX($C33:$AJ43,MATCH(MIN($AK33:$AK43),$AK33:$AK43,0),MATCH(IF('Data-solution'!$A$3="Maximize",MAX($C44:$AI44),MIN($C44:$AI44)),$C44:$AI44,0))),AH37)</f>
        <v>0</v>
      </c>
      <c r="AI52" s="1">
        <f>IF(OR($B48&lt;&gt;$B33,$B49&lt;&gt;$B34,$B50&lt;&gt;$B35,$B51&lt;&gt;$B36,$B52&lt;&gt;$B37,$B53&lt;&gt;$B38,$B54&lt;&gt;$B39,$B55&lt;&gt;$B40,$B56&lt;&gt;$B41,$B57&lt;&gt;$B42,$B58&lt;&gt;$B43),IF($B52&lt;&gt;$B37,AI37/INDEX($C33:$AJ43,5,MATCH(IF('Data-solution'!$A$3="Maximize",MAX($C44:$AI44),MIN($C44:$AI44)),$C44:$AI44,0)),AI37-INDEX($C33:$AJ43,5,MATCH(IF('Data-solution'!$A$3="Maximize",MAX($C44:$AI44),MIN($C44:$AI44)),$C44:$AI44,0))*INDEX(AI33:$AJ43,MATCH(MIN($AK33:$AK43),$AK33:$AK43,0),1)/INDEX($C33:$AJ43,MATCH(MIN($AK33:$AK43),$AK33:$AK43,0),MATCH(IF('Data-solution'!$A$3="Maximize",MAX($C44:$AI44),MIN($C44:$AI44)),$C44:$AI44,0))),AI37)</f>
        <v>0</v>
      </c>
      <c r="AJ52" s="1">
        <f>IF(OR($B48&lt;&gt;$B33,$B49&lt;&gt;$B34,$B50&lt;&gt;$B35,$B51&lt;&gt;$B36,$B52&lt;&gt;$B37,$B53&lt;&gt;$B38,$B54&lt;&gt;$B39,$B55&lt;&gt;$B40,$B56&lt;&gt;$B41,$B57&lt;&gt;$B42,$B58&lt;&gt;$B43),IF($B52&lt;&gt;$B37,AJ37/INDEX($C33:$AJ43,5,MATCH(IF('Data-solution'!$A$3="Maximize",MAX($C44:$AI44),MIN($C44:$AI44)),$C44:$AI44,0)),AJ37-INDEX($C33:$AJ43,5,MATCH(IF('Data-solution'!$A$3="Maximize",MAX($C44:$AI44),MIN($C44:$AI44)),$C44:$AI44,0))*INDEX(AJ33:$AJ43,MATCH(MIN($AK33:$AK43),$AK33:$AK43,0),1)/INDEX($C33:$AJ43,MATCH(MIN($AK33:$AK43),$AK33:$AK43,0),MATCH(IF('Data-solution'!$A$3="Maximize",MAX($C44:$AI44),MIN($C44:$AI44)),$C44:$AI44,0))),AJ37)</f>
        <v>0</v>
      </c>
      <c r="AK52" s="1" t="str">
        <f>IF(INDEX(C52:X52,1,MATCH(IF('Data-solution'!A$3="Maximize",MAX(C59:X59),MIN(C59:X59)),C59:X59,0))&gt;0,AJ52/INDEX(C52:X52,1,MATCH(IF('Data-solution'!A$3="Maximize",MAX(C59:X59),MIN(C59:X59)),C59:X59,0))," ")</f>
        <v xml:space="preserve"> </v>
      </c>
    </row>
    <row r="53" spans="1:37" ht="18" customHeight="1" x14ac:dyDescent="0.2">
      <c r="A53" s="1">
        <f t="shared" ref="A53" si="27">INDEX(C46:AI46,1,MATCH(B53,C47:AI47,0))</f>
        <v>0</v>
      </c>
      <c r="B53" s="2" t="str">
        <f>IF(AND('Data-solution'!A$3="Maximize",COUNTIF(C44:X44,"&gt;"&amp;0)&gt;0,AK38=MIN(AK33:AK43),COUNTIF(B48:B52,INDEX(C32:X32,1,MATCH(MAX(C44:X44),C44:X44,0)))=0),INDEX(C32:X32,1,MATCH(MAX(C44:X44),C44:X44,0)),IF(AND('Data-solution'!A$3="Minimize",COUNTIF(C44:X44,"&lt;"&amp;0)&gt;0,AK38=MIN(AK33:AK43),COUNTIF(B48:B52,INDEX(C32:X32,1,MATCH(MIN(C44:X44),C44:X44,0)))=0),INDEX(C32:X32,1,MATCH(MIN(C44:X44),C44:X44,0)),B38))</f>
        <v>S6</v>
      </c>
      <c r="C53" s="1">
        <f>IF(OR($B48&lt;&gt;$B33,$B49&lt;&gt;$B34,$B50&lt;&gt;$B35,$B51&lt;&gt;$B36,$B52&lt;&gt;$B37,$B53&lt;&gt;$B38,$B54&lt;&gt;$B39,$B55&lt;&gt;$B40,$B56&lt;&gt;$B41,$B57&lt;&gt;$B42,$B58&lt;&gt;$B43),IF($B53&lt;&gt;$B38,C38/INDEX($C33:$AJ43,6,MATCH(IF('Data-solution'!$A$3="Maximize",MAX($C44:$AI44),MIN($C44:$AI44)),$C44:$AI44,0)),C38-INDEX($C33:$AJ43,6,MATCH(IF('Data-solution'!$A$3="Maximize",MAX($C44:$AI44),MIN($C44:$AI44)),$C44:$AI44,0))*INDEX(C33:$AJ43,MATCH(MIN($AK33:$AK43),$AK33:$AK43,0),1)/INDEX($C33:$AJ43,MATCH(MIN($AK33:$AK43),$AK33:$AK43,0),MATCH(IF('Data-solution'!$A$3="Maximize",MAX($C44:$AI44),MIN($C44:$AI44)),$C44:$AI44,0))),C38)</f>
        <v>0</v>
      </c>
      <c r="D53" s="1">
        <f>IF(OR($B48&lt;&gt;$B33,$B49&lt;&gt;$B34,$B50&lt;&gt;$B35,$B51&lt;&gt;$B36,$B52&lt;&gt;$B37,$B53&lt;&gt;$B38,$B54&lt;&gt;$B39,$B55&lt;&gt;$B40,$B56&lt;&gt;$B41,$B57&lt;&gt;$B42,$B58&lt;&gt;$B43),IF($B53&lt;&gt;$B38,D38/INDEX($C33:$AJ43,6,MATCH(IF('Data-solution'!$A$3="Maximize",MAX($C44:$AI44),MIN($C44:$AI44)),$C44:$AI44,0)),D38-INDEX($C33:$AJ43,6,MATCH(IF('Data-solution'!$A$3="Maximize",MAX($C44:$AI44),MIN($C44:$AI44)),$C44:$AI44,0))*INDEX(D33:$AJ43,MATCH(MIN($AK33:$AK43),$AK33:$AK43,0),1)/INDEX($C33:$AJ43,MATCH(MIN($AK33:$AK43),$AK33:$AK43,0),MATCH(IF('Data-solution'!$A$3="Maximize",MAX($C44:$AI44),MIN($C44:$AI44)),$C44:$AI44,0))),D38)</f>
        <v>0</v>
      </c>
      <c r="E53" s="1">
        <f>IF(OR($B48&lt;&gt;$B33,$B49&lt;&gt;$B34,$B50&lt;&gt;$B35,$B51&lt;&gt;$B36,$B52&lt;&gt;$B37,$B53&lt;&gt;$B38,$B54&lt;&gt;$B39,$B55&lt;&gt;$B40,$B56&lt;&gt;$B41,$B57&lt;&gt;$B42,$B58&lt;&gt;$B43),IF($B53&lt;&gt;$B38,E38/INDEX($C33:$AJ43,6,MATCH(IF('Data-solution'!$A$3="Maximize",MAX($C44:$AI44),MIN($C44:$AI44)),$C44:$AI44,0)),E38-INDEX($C33:$AJ43,6,MATCH(IF('Data-solution'!$A$3="Maximize",MAX($C44:$AI44),MIN($C44:$AI44)),$C44:$AI44,0))*INDEX(E33:$AJ43,MATCH(MIN($AK33:$AK43),$AK33:$AK43,0),1)/INDEX($C33:$AJ43,MATCH(MIN($AK33:$AK43),$AK33:$AK43,0),MATCH(IF('Data-solution'!$A$3="Maximize",MAX($C44:$AI44),MIN($C44:$AI44)),$C44:$AI44,0))),E38)</f>
        <v>0</v>
      </c>
      <c r="F53" s="1">
        <f>IF(OR($B48&lt;&gt;$B33,$B49&lt;&gt;$B34,$B50&lt;&gt;$B35,$B51&lt;&gt;$B36,$B52&lt;&gt;$B37,$B53&lt;&gt;$B38,$B54&lt;&gt;$B39,$B55&lt;&gt;$B40,$B56&lt;&gt;$B41,$B57&lt;&gt;$B42,$B58&lt;&gt;$B43),IF($B53&lt;&gt;$B38,F38/INDEX($C33:$AJ43,6,MATCH(IF('Data-solution'!$A$3="Maximize",MAX($C44:$AI44),MIN($C44:$AI44)),$C44:$AI44,0)),F38-INDEX($C33:$AJ43,6,MATCH(IF('Data-solution'!$A$3="Maximize",MAX($C44:$AI44),MIN($C44:$AI44)),$C44:$AI44,0))*INDEX(F33:$AJ43,MATCH(MIN($AK33:$AK43),$AK33:$AK43,0),1)/INDEX($C33:$AJ43,MATCH(MIN($AK33:$AK43),$AK33:$AK43,0),MATCH(IF('Data-solution'!$A$3="Maximize",MAX($C44:$AI44),MIN($C44:$AI44)),$C44:$AI44,0))),F38)</f>
        <v>0</v>
      </c>
      <c r="G53" s="1">
        <f>IF(OR($B48&lt;&gt;$B33,$B49&lt;&gt;$B34,$B50&lt;&gt;$B35,$B51&lt;&gt;$B36,$B52&lt;&gt;$B37,$B53&lt;&gt;$B38,$B54&lt;&gt;$B39,$B55&lt;&gt;$B40,$B56&lt;&gt;$B41,$B57&lt;&gt;$B42,$B58&lt;&gt;$B43),IF($B53&lt;&gt;$B38,G38/INDEX($C33:$AJ43,6,MATCH(IF('Data-solution'!$A$3="Maximize",MAX($C44:$AI44),MIN($C44:$AI44)),$C44:$AI44,0)),G38-INDEX($C33:$AJ43,6,MATCH(IF('Data-solution'!$A$3="Maximize",MAX($C44:$AI44),MIN($C44:$AI44)),$C44:$AI44,0))*INDEX(G33:$AJ43,MATCH(MIN($AK33:$AK43),$AK33:$AK43,0),1)/INDEX($C33:$AJ43,MATCH(MIN($AK33:$AK43),$AK33:$AK43,0),MATCH(IF('Data-solution'!$A$3="Maximize",MAX($C44:$AI44),MIN($C44:$AI44)),$C44:$AI44,0))),G38)</f>
        <v>0</v>
      </c>
      <c r="H53" s="1">
        <f>IF(OR($B48&lt;&gt;$B33,$B49&lt;&gt;$B34,$B50&lt;&gt;$B35,$B51&lt;&gt;$B36,$B52&lt;&gt;$B37,$B53&lt;&gt;$B38,$B54&lt;&gt;$B39,$B55&lt;&gt;$B40,$B56&lt;&gt;$B41,$B57&lt;&gt;$B42,$B58&lt;&gt;$B43),IF($B53&lt;&gt;$B38,H38/INDEX($C33:$AJ43,6,MATCH(IF('Data-solution'!$A$3="Maximize",MAX($C44:$AI44),MIN($C44:$AI44)),$C44:$AI44,0)),H38-INDEX($C33:$AJ43,6,MATCH(IF('Data-solution'!$A$3="Maximize",MAX($C44:$AI44),MIN($C44:$AI44)),$C44:$AI44,0))*INDEX(H33:$AJ43,MATCH(MIN($AK33:$AK43),$AK33:$AK43,0),1)/INDEX($C33:$AJ43,MATCH(MIN($AK33:$AK43),$AK33:$AK43,0),MATCH(IF('Data-solution'!$A$3="Maximize",MAX($C44:$AI44),MIN($C44:$AI44)),$C44:$AI44,0))),H38)</f>
        <v>0</v>
      </c>
      <c r="I53" s="1">
        <f>IF(OR($B48&lt;&gt;$B33,$B49&lt;&gt;$B34,$B50&lt;&gt;$B35,$B51&lt;&gt;$B36,$B52&lt;&gt;$B37,$B53&lt;&gt;$B38,$B54&lt;&gt;$B39,$B55&lt;&gt;$B40,$B56&lt;&gt;$B41,$B57&lt;&gt;$B42,$B58&lt;&gt;$B43),IF($B53&lt;&gt;$B38,I38/INDEX($C33:$AJ43,6,MATCH(IF('Data-solution'!$A$3="Maximize",MAX($C44:$AI44),MIN($C44:$AI44)),$C44:$AI44,0)),I38-INDEX($C33:$AJ43,6,MATCH(IF('Data-solution'!$A$3="Maximize",MAX($C44:$AI44),MIN($C44:$AI44)),$C44:$AI44,0))*INDEX(I33:$AJ43,MATCH(MIN($AK33:$AK43),$AK33:$AK43,0),1)/INDEX($C33:$AJ43,MATCH(MIN($AK33:$AK43),$AK33:$AK43,0),MATCH(IF('Data-solution'!$A$3="Maximize",MAX($C44:$AI44),MIN($C44:$AI44)),$C44:$AI44,0))),I38)</f>
        <v>0</v>
      </c>
      <c r="J53" s="1">
        <f>IF(OR($B48&lt;&gt;$B33,$B49&lt;&gt;$B34,$B50&lt;&gt;$B35,$B51&lt;&gt;$B36,$B52&lt;&gt;$B37,$B53&lt;&gt;$B38,$B54&lt;&gt;$B39,$B55&lt;&gt;$B40,$B56&lt;&gt;$B41,$B57&lt;&gt;$B42,$B58&lt;&gt;$B43),IF($B53&lt;&gt;$B38,J38/INDEX($C33:$AJ43,6,MATCH(IF('Data-solution'!$A$3="Maximize",MAX($C44:$AI44),MIN($C44:$AI44)),$C44:$AI44,0)),J38-INDEX($C33:$AJ43,6,MATCH(IF('Data-solution'!$A$3="Maximize",MAX($C44:$AI44),MIN($C44:$AI44)),$C44:$AI44,0))*INDEX(J33:$AJ43,MATCH(MIN($AK33:$AK43),$AK33:$AK43,0),1)/INDEX($C33:$AJ43,MATCH(MIN($AK33:$AK43),$AK33:$AK43,0),MATCH(IF('Data-solution'!$A$3="Maximize",MAX($C44:$AI44),MIN($C44:$AI44)),$C44:$AI44,0))),J38)</f>
        <v>0</v>
      </c>
      <c r="K53" s="1">
        <f>IF(OR($B48&lt;&gt;$B33,$B49&lt;&gt;$B34,$B50&lt;&gt;$B35,$B51&lt;&gt;$B36,$B52&lt;&gt;$B37,$B53&lt;&gt;$B38,$B54&lt;&gt;$B39,$B55&lt;&gt;$B40,$B56&lt;&gt;$B41,$B57&lt;&gt;$B42,$B58&lt;&gt;$B43),IF($B53&lt;&gt;$B38,K38/INDEX($C33:$AJ43,6,MATCH(IF('Data-solution'!$A$3="Maximize",MAX($C44:$AI44),MIN($C44:$AI44)),$C44:$AI44,0)),K38-INDEX($C33:$AJ43,6,MATCH(IF('Data-solution'!$A$3="Maximize",MAX($C44:$AI44),MIN($C44:$AI44)),$C44:$AI44,0))*INDEX(K33:$AJ43,MATCH(MIN($AK33:$AK43),$AK33:$AK43,0),1)/INDEX($C33:$AJ43,MATCH(MIN($AK33:$AK43),$AK33:$AK43,0),MATCH(IF('Data-solution'!$A$3="Maximize",MAX($C44:$AI44),MIN($C44:$AI44)),$C44:$AI44,0))),K38)</f>
        <v>0</v>
      </c>
      <c r="L53" s="1">
        <f>IF(OR($B48&lt;&gt;$B33,$B49&lt;&gt;$B34,$B50&lt;&gt;$B35,$B51&lt;&gt;$B36,$B52&lt;&gt;$B37,$B53&lt;&gt;$B38,$B54&lt;&gt;$B39,$B55&lt;&gt;$B40,$B56&lt;&gt;$B41,$B57&lt;&gt;$B42,$B58&lt;&gt;$B43),IF($B53&lt;&gt;$B38,L38/INDEX($C33:$AJ43,6,MATCH(IF('Data-solution'!$A$3="Maximize",MAX($C44:$AI44),MIN($C44:$AI44)),$C44:$AI44,0)),L38-INDEX($C33:$AJ43,6,MATCH(IF('Data-solution'!$A$3="Maximize",MAX($C44:$AI44),MIN($C44:$AI44)),$C44:$AI44,0))*INDEX(L33:$AJ43,MATCH(MIN($AK33:$AK43),$AK33:$AK43,0),1)/INDEX($C33:$AJ43,MATCH(MIN($AK33:$AK43),$AK33:$AK43,0),MATCH(IF('Data-solution'!$A$3="Maximize",MAX($C44:$AI44),MIN($C44:$AI44)),$C44:$AI44,0))),L38)</f>
        <v>0</v>
      </c>
      <c r="M53" s="1">
        <f>IF(OR($B48&lt;&gt;$B33,$B49&lt;&gt;$B34,$B50&lt;&gt;$B35,$B51&lt;&gt;$B36,$B52&lt;&gt;$B37,$B53&lt;&gt;$B38,$B54&lt;&gt;$B39,$B55&lt;&gt;$B40,$B56&lt;&gt;$B41,$B57&lt;&gt;$B42,$B58&lt;&gt;$B43),IF($B53&lt;&gt;$B38,M38/INDEX($C33:$AJ43,6,MATCH(IF('Data-solution'!$A$3="Maximize",MAX($C44:$AI44),MIN($C44:$AI44)),$C44:$AI44,0)),M38-INDEX($C33:$AJ43,6,MATCH(IF('Data-solution'!$A$3="Maximize",MAX($C44:$AI44),MIN($C44:$AI44)),$C44:$AI44,0))*INDEX(M33:$AJ43,MATCH(MIN($AK33:$AK43),$AK33:$AK43,0),1)/INDEX($C33:$AJ43,MATCH(MIN($AK33:$AK43),$AK33:$AK43,0),MATCH(IF('Data-solution'!$A$3="Maximize",MAX($C44:$AI44),MIN($C44:$AI44)),$C44:$AI44,0))),M38)</f>
        <v>0</v>
      </c>
      <c r="N53" s="1">
        <f>IF(OR($B48&lt;&gt;$B33,$B49&lt;&gt;$B34,$B50&lt;&gt;$B35,$B51&lt;&gt;$B36,$B52&lt;&gt;$B37,$B53&lt;&gt;$B38,$B54&lt;&gt;$B39,$B55&lt;&gt;$B40,$B56&lt;&gt;$B41,$B57&lt;&gt;$B42,$B58&lt;&gt;$B43),IF($B53&lt;&gt;$B38,N38/INDEX($C33:$AJ43,6,MATCH(IF('Data-solution'!$A$3="Maximize",MAX($C44:$AI44),MIN($C44:$AI44)),$C44:$AI44,0)),N38-INDEX($C33:$AJ43,6,MATCH(IF('Data-solution'!$A$3="Maximize",MAX($C44:$AI44),MIN($C44:$AI44)),$C44:$AI44,0))*INDEX(N33:$AJ43,MATCH(MIN($AK33:$AK43),$AK33:$AK43,0),1)/INDEX($C33:$AJ43,MATCH(MIN($AK33:$AK43),$AK33:$AK43,0),MATCH(IF('Data-solution'!$A$3="Maximize",MAX($C44:$AI44),MIN($C44:$AI44)),$C44:$AI44,0))),N38)</f>
        <v>0</v>
      </c>
      <c r="O53" s="1">
        <f>IF(OR($B48&lt;&gt;$B33,$B49&lt;&gt;$B34,$B50&lt;&gt;$B35,$B51&lt;&gt;$B36,$B52&lt;&gt;$B37,$B53&lt;&gt;$B38,$B54&lt;&gt;$B39,$B55&lt;&gt;$B40,$B56&lt;&gt;$B41,$B57&lt;&gt;$B42,$B58&lt;&gt;$B43),IF($B53&lt;&gt;$B38,O38/INDEX($C33:$AJ43,6,MATCH(IF('Data-solution'!$A$3="Maximize",MAX($C44:$AI44),MIN($C44:$AI44)),$C44:$AI44,0)),O38-INDEX($C33:$AJ43,6,MATCH(IF('Data-solution'!$A$3="Maximize",MAX($C44:$AI44),MIN($C44:$AI44)),$C44:$AI44,0))*INDEX(O33:$AJ43,MATCH(MIN($AK33:$AK43),$AK33:$AK43,0),1)/INDEX($C33:$AJ43,MATCH(MIN($AK33:$AK43),$AK33:$AK43,0),MATCH(IF('Data-solution'!$A$3="Maximize",MAX($C44:$AI44),MIN($C44:$AI44)),$C44:$AI44,0))),O38)</f>
        <v>0</v>
      </c>
      <c r="P53" s="1">
        <f>IF(OR($B48&lt;&gt;$B33,$B49&lt;&gt;$B34,$B50&lt;&gt;$B35,$B51&lt;&gt;$B36,$B52&lt;&gt;$B37,$B53&lt;&gt;$B38,$B54&lt;&gt;$B39,$B55&lt;&gt;$B40,$B56&lt;&gt;$B41,$B57&lt;&gt;$B42,$B58&lt;&gt;$B43),IF($B53&lt;&gt;$B38,P38/INDEX($C33:$AJ43,6,MATCH(IF('Data-solution'!$A$3="Maximize",MAX($C44:$AI44),MIN($C44:$AI44)),$C44:$AI44,0)),P38-INDEX($C33:$AJ43,6,MATCH(IF('Data-solution'!$A$3="Maximize",MAX($C44:$AI44),MIN($C44:$AI44)),$C44:$AI44,0))*INDEX(P33:$AJ43,MATCH(MIN($AK33:$AK43),$AK33:$AK43,0),1)/INDEX($C33:$AJ43,MATCH(MIN($AK33:$AK43),$AK33:$AK43,0),MATCH(IF('Data-solution'!$A$3="Maximize",MAX($C44:$AI44),MIN($C44:$AI44)),$C44:$AI44,0))),P38)</f>
        <v>0</v>
      </c>
      <c r="Q53" s="1">
        <f>IF(OR($B48&lt;&gt;$B33,$B49&lt;&gt;$B34,$B50&lt;&gt;$B35,$B51&lt;&gt;$B36,$B52&lt;&gt;$B37,$B53&lt;&gt;$B38,$B54&lt;&gt;$B39,$B55&lt;&gt;$B40,$B56&lt;&gt;$B41,$B57&lt;&gt;$B42,$B58&lt;&gt;$B43),IF($B53&lt;&gt;$B38,Q38/INDEX($C33:$AJ43,6,MATCH(IF('Data-solution'!$A$3="Maximize",MAX($C44:$AI44),MIN($C44:$AI44)),$C44:$AI44,0)),Q38-INDEX($C33:$AJ43,6,MATCH(IF('Data-solution'!$A$3="Maximize",MAX($C44:$AI44),MIN($C44:$AI44)),$C44:$AI44,0))*INDEX(Q33:$AJ43,MATCH(MIN($AK33:$AK43),$AK33:$AK43,0),1)/INDEX($C33:$AJ43,MATCH(MIN($AK33:$AK43),$AK33:$AK43,0),MATCH(IF('Data-solution'!$A$3="Maximize",MAX($C44:$AI44),MIN($C44:$AI44)),$C44:$AI44,0))),Q38)</f>
        <v>0</v>
      </c>
      <c r="R53" s="1">
        <f>IF(OR($B48&lt;&gt;$B33,$B49&lt;&gt;$B34,$B50&lt;&gt;$B35,$B51&lt;&gt;$B36,$B52&lt;&gt;$B37,$B53&lt;&gt;$B38,$B54&lt;&gt;$B39,$B55&lt;&gt;$B40,$B56&lt;&gt;$B41,$B57&lt;&gt;$B42,$B58&lt;&gt;$B43),IF($B53&lt;&gt;$B38,R38/INDEX($C33:$AJ43,6,MATCH(IF('Data-solution'!$A$3="Maximize",MAX($C44:$AI44),MIN($C44:$AI44)),$C44:$AI44,0)),R38-INDEX($C33:$AJ43,6,MATCH(IF('Data-solution'!$A$3="Maximize",MAX($C44:$AI44),MIN($C44:$AI44)),$C44:$AI44,0))*INDEX(R33:$AJ43,MATCH(MIN($AK33:$AK43),$AK33:$AK43,0),1)/INDEX($C33:$AJ43,MATCH(MIN($AK33:$AK43),$AK33:$AK43,0),MATCH(IF('Data-solution'!$A$3="Maximize",MAX($C44:$AI44),MIN($C44:$AI44)),$C44:$AI44,0))),R38)</f>
        <v>0</v>
      </c>
      <c r="S53" s="1">
        <f>IF(OR($B48&lt;&gt;$B33,$B49&lt;&gt;$B34,$B50&lt;&gt;$B35,$B51&lt;&gt;$B36,$B52&lt;&gt;$B37,$B53&lt;&gt;$B38,$B54&lt;&gt;$B39,$B55&lt;&gt;$B40,$B56&lt;&gt;$B41,$B57&lt;&gt;$B42,$B58&lt;&gt;$B43),IF($B53&lt;&gt;$B38,S38/INDEX($C33:$AJ43,6,MATCH(IF('Data-solution'!$A$3="Maximize",MAX($C44:$AI44),MIN($C44:$AI44)),$C44:$AI44,0)),S38-INDEX($C33:$AJ43,6,MATCH(IF('Data-solution'!$A$3="Maximize",MAX($C44:$AI44),MIN($C44:$AI44)),$C44:$AI44,0))*INDEX(S33:$AJ43,MATCH(MIN($AK33:$AK43),$AK33:$AK43,0),1)/INDEX($C33:$AJ43,MATCH(MIN($AK33:$AK43),$AK33:$AK43,0),MATCH(IF('Data-solution'!$A$3="Maximize",MAX($C44:$AI44),MIN($C44:$AI44)),$C44:$AI44,0))),S38)</f>
        <v>1</v>
      </c>
      <c r="T53" s="1">
        <f>IF(OR($B48&lt;&gt;$B33,$B49&lt;&gt;$B34,$B50&lt;&gt;$B35,$B51&lt;&gt;$B36,$B52&lt;&gt;$B37,$B53&lt;&gt;$B38,$B54&lt;&gt;$B39,$B55&lt;&gt;$B40,$B56&lt;&gt;$B41,$B57&lt;&gt;$B42,$B58&lt;&gt;$B43),IF($B53&lt;&gt;$B38,T38/INDEX($C33:$AJ43,6,MATCH(IF('Data-solution'!$A$3="Maximize",MAX($C44:$AI44),MIN($C44:$AI44)),$C44:$AI44,0)),T38-INDEX($C33:$AJ43,6,MATCH(IF('Data-solution'!$A$3="Maximize",MAX($C44:$AI44),MIN($C44:$AI44)),$C44:$AI44,0))*INDEX(T33:$AJ43,MATCH(MIN($AK33:$AK43),$AK33:$AK43,0),1)/INDEX($C33:$AJ43,MATCH(MIN($AK33:$AK43),$AK33:$AK43,0),MATCH(IF('Data-solution'!$A$3="Maximize",MAX($C44:$AI44),MIN($C44:$AI44)),$C44:$AI44,0))),T38)</f>
        <v>0</v>
      </c>
      <c r="U53" s="1">
        <f>IF(OR($B48&lt;&gt;$B33,$B49&lt;&gt;$B34,$B50&lt;&gt;$B35,$B51&lt;&gt;$B36,$B52&lt;&gt;$B37,$B53&lt;&gt;$B38,$B54&lt;&gt;$B39,$B55&lt;&gt;$B40,$B56&lt;&gt;$B41,$B57&lt;&gt;$B42,$B58&lt;&gt;$B43),IF($B53&lt;&gt;$B38,U38/INDEX($C33:$AJ43,6,MATCH(IF('Data-solution'!$A$3="Maximize",MAX($C44:$AI44),MIN($C44:$AI44)),$C44:$AI44,0)),U38-INDEX($C33:$AJ43,6,MATCH(IF('Data-solution'!$A$3="Maximize",MAX($C44:$AI44),MIN($C44:$AI44)),$C44:$AI44,0))*INDEX(U33:$AJ43,MATCH(MIN($AK33:$AK43),$AK33:$AK43,0),1)/INDEX($C33:$AJ43,MATCH(MIN($AK33:$AK43),$AK33:$AK43,0),MATCH(IF('Data-solution'!$A$3="Maximize",MAX($C44:$AI44),MIN($C44:$AI44)),$C44:$AI44,0))),U38)</f>
        <v>0</v>
      </c>
      <c r="V53" s="1">
        <f>IF(OR($B48&lt;&gt;$B33,$B49&lt;&gt;$B34,$B50&lt;&gt;$B35,$B51&lt;&gt;$B36,$B52&lt;&gt;$B37,$B53&lt;&gt;$B38,$B54&lt;&gt;$B39,$B55&lt;&gt;$B40,$B56&lt;&gt;$B41,$B57&lt;&gt;$B42,$B58&lt;&gt;$B43),IF($B53&lt;&gt;$B38,V38/INDEX($C33:$AJ43,6,MATCH(IF('Data-solution'!$A$3="Maximize",MAX($C44:$AI44),MIN($C44:$AI44)),$C44:$AI44,0)),V38-INDEX($C33:$AJ43,6,MATCH(IF('Data-solution'!$A$3="Maximize",MAX($C44:$AI44),MIN($C44:$AI44)),$C44:$AI44,0))*INDEX(V33:$AJ43,MATCH(MIN($AK33:$AK43),$AK33:$AK43,0),1)/INDEX($C33:$AJ43,MATCH(MIN($AK33:$AK43),$AK33:$AK43,0),MATCH(IF('Data-solution'!$A$3="Maximize",MAX($C44:$AI44),MIN($C44:$AI44)),$C44:$AI44,0))),V38)</f>
        <v>0</v>
      </c>
      <c r="W53" s="1">
        <f>IF(OR($B48&lt;&gt;$B33,$B49&lt;&gt;$B34,$B50&lt;&gt;$B35,$B51&lt;&gt;$B36,$B52&lt;&gt;$B37,$B53&lt;&gt;$B38,$B54&lt;&gt;$B39,$B55&lt;&gt;$B40,$B56&lt;&gt;$B41,$B57&lt;&gt;$B42,$B58&lt;&gt;$B43),IF($B53&lt;&gt;$B38,W38/INDEX($C33:$AJ43,6,MATCH(IF('Data-solution'!$A$3="Maximize",MAX($C44:$AI44),MIN($C44:$AI44)),$C44:$AI44,0)),W38-INDEX($C33:$AJ43,6,MATCH(IF('Data-solution'!$A$3="Maximize",MAX($C44:$AI44),MIN($C44:$AI44)),$C44:$AI44,0))*INDEX(W33:$AJ43,MATCH(MIN($AK33:$AK43),$AK33:$AK43,0),1)/INDEX($C33:$AJ43,MATCH(MIN($AK33:$AK43),$AK33:$AK43,0),MATCH(IF('Data-solution'!$A$3="Maximize",MAX($C44:$AI44),MIN($C44:$AI44)),$C44:$AI44,0))),W38)</f>
        <v>0</v>
      </c>
      <c r="X53" s="1">
        <f>IF(OR($B48&lt;&gt;$B33,$B49&lt;&gt;$B34,$B50&lt;&gt;$B35,$B51&lt;&gt;$B36,$B52&lt;&gt;$B37,$B53&lt;&gt;$B38,$B54&lt;&gt;$B39,$B55&lt;&gt;$B40,$B56&lt;&gt;$B41,$B57&lt;&gt;$B42,$B58&lt;&gt;$B43),IF($B53&lt;&gt;$B38,X38/INDEX($C33:$AJ43,6,MATCH(IF('Data-solution'!$A$3="Maximize",MAX($C44:$AI44),MIN($C44:$AI44)),$C44:$AI44,0)),X38-INDEX($C33:$AJ43,6,MATCH(IF('Data-solution'!$A$3="Maximize",MAX($C44:$AI44),MIN($C44:$AI44)),$C44:$AI44,0))*INDEX(X33:$AJ43,MATCH(MIN($AK33:$AK43),$AK33:$AK43,0),1)/INDEX($C33:$AJ43,MATCH(MIN($AK33:$AK43),$AK33:$AK43,0),MATCH(IF('Data-solution'!$A$3="Maximize",MAX($C44:$AI44),MIN($C44:$AI44)),$C44:$AI44,0))),X38)</f>
        <v>0</v>
      </c>
      <c r="Y53" s="1">
        <f>IF(OR($B48&lt;&gt;$B33,$B49&lt;&gt;$B34,$B50&lt;&gt;$B35,$B51&lt;&gt;$B36,$B52&lt;&gt;$B37,$B53&lt;&gt;$B38,$B54&lt;&gt;$B39,$B55&lt;&gt;$B40,$B56&lt;&gt;$B41,$B57&lt;&gt;$B42,$B58&lt;&gt;$B43),IF($B53&lt;&gt;$B38,Y38/INDEX($C33:$AJ43,6,MATCH(IF('Data-solution'!$A$3="Maximize",MAX($C44:$AI44),MIN($C44:$AI44)),$C44:$AI44,0)),Y38-INDEX($C33:$AJ43,6,MATCH(IF('Data-solution'!$A$3="Maximize",MAX($C44:$AI44),MIN($C44:$AI44)),$C44:$AI44,0))*INDEX(Y33:$AJ43,MATCH(MIN($AK33:$AK43),$AK33:$AK43,0),1)/INDEX($C33:$AJ43,MATCH(MIN($AK33:$AK43),$AK33:$AK43,0),MATCH(IF('Data-solution'!$A$3="Maximize",MAX($C44:$AI44),MIN($C44:$AI44)),$C44:$AI44,0))),Y38)</f>
        <v>0</v>
      </c>
      <c r="Z53" s="1">
        <f>IF(OR($B48&lt;&gt;$B33,$B49&lt;&gt;$B34,$B50&lt;&gt;$B35,$B51&lt;&gt;$B36,$B52&lt;&gt;$B37,$B53&lt;&gt;$B38,$B54&lt;&gt;$B39,$B55&lt;&gt;$B40,$B56&lt;&gt;$B41,$B57&lt;&gt;$B42,$B58&lt;&gt;$B43),IF($B53&lt;&gt;$B38,Z38/INDEX($C33:$AJ43,6,MATCH(IF('Data-solution'!$A$3="Maximize",MAX($C44:$AI44),MIN($C44:$AI44)),$C44:$AI44,0)),Z38-INDEX($C33:$AJ43,6,MATCH(IF('Data-solution'!$A$3="Maximize",MAX($C44:$AI44),MIN($C44:$AI44)),$C44:$AI44,0))*INDEX(Z33:$AJ43,MATCH(MIN($AK33:$AK43),$AK33:$AK43,0),1)/INDEX($C33:$AJ43,MATCH(MIN($AK33:$AK43),$AK33:$AK43,0),MATCH(IF('Data-solution'!$A$3="Maximize",MAX($C44:$AI44),MIN($C44:$AI44)),$C44:$AI44,0))),Z38)</f>
        <v>0</v>
      </c>
      <c r="AA53" s="1">
        <f>IF(OR($B48&lt;&gt;$B33,$B49&lt;&gt;$B34,$B50&lt;&gt;$B35,$B51&lt;&gt;$B36,$B52&lt;&gt;$B37,$B53&lt;&gt;$B38,$B54&lt;&gt;$B39,$B55&lt;&gt;$B40,$B56&lt;&gt;$B41,$B57&lt;&gt;$B42,$B58&lt;&gt;$B43),IF($B53&lt;&gt;$B38,AA38/INDEX($C33:$AJ43,6,MATCH(IF('Data-solution'!$A$3="Maximize",MAX($C44:$AI44),MIN($C44:$AI44)),$C44:$AI44,0)),AA38-INDEX($C33:$AJ43,6,MATCH(IF('Data-solution'!$A$3="Maximize",MAX($C44:$AI44),MIN($C44:$AI44)),$C44:$AI44,0))*INDEX(AA33:$AJ43,MATCH(MIN($AK33:$AK43),$AK33:$AK43,0),1)/INDEX($C33:$AJ43,MATCH(MIN($AK33:$AK43),$AK33:$AK43,0),MATCH(IF('Data-solution'!$A$3="Maximize",MAX($C44:$AI44),MIN($C44:$AI44)),$C44:$AI44,0))),AA38)</f>
        <v>0</v>
      </c>
      <c r="AB53" s="1">
        <f>IF(OR($B48&lt;&gt;$B33,$B49&lt;&gt;$B34,$B50&lt;&gt;$B35,$B51&lt;&gt;$B36,$B52&lt;&gt;$B37,$B53&lt;&gt;$B38,$B54&lt;&gt;$B39,$B55&lt;&gt;$B40,$B56&lt;&gt;$B41,$B57&lt;&gt;$B42,$B58&lt;&gt;$B43),IF($B53&lt;&gt;$B38,AB38/INDEX($C33:$AJ43,6,MATCH(IF('Data-solution'!$A$3="Maximize",MAX($C44:$AI44),MIN($C44:$AI44)),$C44:$AI44,0)),AB38-INDEX($C33:$AJ43,6,MATCH(IF('Data-solution'!$A$3="Maximize",MAX($C44:$AI44),MIN($C44:$AI44)),$C44:$AI44,0))*INDEX(AB33:$AJ43,MATCH(MIN($AK33:$AK43),$AK33:$AK43,0),1)/INDEX($C33:$AJ43,MATCH(MIN($AK33:$AK43),$AK33:$AK43,0),MATCH(IF('Data-solution'!$A$3="Maximize",MAX($C44:$AI44),MIN($C44:$AI44)),$C44:$AI44,0))),AB38)</f>
        <v>0</v>
      </c>
      <c r="AC53" s="1">
        <f>IF(OR($B48&lt;&gt;$B33,$B49&lt;&gt;$B34,$B50&lt;&gt;$B35,$B51&lt;&gt;$B36,$B52&lt;&gt;$B37,$B53&lt;&gt;$B38,$B54&lt;&gt;$B39,$B55&lt;&gt;$B40,$B56&lt;&gt;$B41,$B57&lt;&gt;$B42,$B58&lt;&gt;$B43),IF($B53&lt;&gt;$B38,AC38/INDEX($C33:$AJ43,6,MATCH(IF('Data-solution'!$A$3="Maximize",MAX($C44:$AI44),MIN($C44:$AI44)),$C44:$AI44,0)),AC38-INDEX($C33:$AJ43,6,MATCH(IF('Data-solution'!$A$3="Maximize",MAX($C44:$AI44),MIN($C44:$AI44)),$C44:$AI44,0))*INDEX(AC33:$AJ43,MATCH(MIN($AK33:$AK43),$AK33:$AK43,0),1)/INDEX($C33:$AJ43,MATCH(MIN($AK33:$AK43),$AK33:$AK43,0),MATCH(IF('Data-solution'!$A$3="Maximize",MAX($C44:$AI44),MIN($C44:$AI44)),$C44:$AI44,0))),AC38)</f>
        <v>0</v>
      </c>
      <c r="AD53" s="1">
        <f>IF(OR($B48&lt;&gt;$B33,$B49&lt;&gt;$B34,$B50&lt;&gt;$B35,$B51&lt;&gt;$B36,$B52&lt;&gt;$B37,$B53&lt;&gt;$B38,$B54&lt;&gt;$B39,$B55&lt;&gt;$B40,$B56&lt;&gt;$B41,$B57&lt;&gt;$B42,$B58&lt;&gt;$B43),IF($B53&lt;&gt;$B38,AD38/INDEX($C33:$AJ43,6,MATCH(IF('Data-solution'!$A$3="Maximize",MAX($C44:$AI44),MIN($C44:$AI44)),$C44:$AI44,0)),AD38-INDEX($C33:$AJ43,6,MATCH(IF('Data-solution'!$A$3="Maximize",MAX($C44:$AI44),MIN($C44:$AI44)),$C44:$AI44,0))*INDEX(AD33:$AJ43,MATCH(MIN($AK33:$AK43),$AK33:$AK43,0),1)/INDEX($C33:$AJ43,MATCH(MIN($AK33:$AK43),$AK33:$AK43,0),MATCH(IF('Data-solution'!$A$3="Maximize",MAX($C44:$AI44),MIN($C44:$AI44)),$C44:$AI44,0))),AD38)</f>
        <v>1</v>
      </c>
      <c r="AE53" s="1">
        <f>IF(OR($B48&lt;&gt;$B33,$B49&lt;&gt;$B34,$B50&lt;&gt;$B35,$B51&lt;&gt;$B36,$B52&lt;&gt;$B37,$B53&lt;&gt;$B38,$B54&lt;&gt;$B39,$B55&lt;&gt;$B40,$B56&lt;&gt;$B41,$B57&lt;&gt;$B42,$B58&lt;&gt;$B43),IF($B53&lt;&gt;$B38,AE38/INDEX($C33:$AJ43,6,MATCH(IF('Data-solution'!$A$3="Maximize",MAX($C44:$AI44),MIN($C44:$AI44)),$C44:$AI44,0)),AE38-INDEX($C33:$AJ43,6,MATCH(IF('Data-solution'!$A$3="Maximize",MAX($C44:$AI44),MIN($C44:$AI44)),$C44:$AI44,0))*INDEX(AE33:$AJ43,MATCH(MIN($AK33:$AK43),$AK33:$AK43,0),1)/INDEX($C33:$AJ43,MATCH(MIN($AK33:$AK43),$AK33:$AK43,0),MATCH(IF('Data-solution'!$A$3="Maximize",MAX($C44:$AI44),MIN($C44:$AI44)),$C44:$AI44,0))),AE38)</f>
        <v>0</v>
      </c>
      <c r="AF53" s="1">
        <f>IF(OR($B48&lt;&gt;$B33,$B49&lt;&gt;$B34,$B50&lt;&gt;$B35,$B51&lt;&gt;$B36,$B52&lt;&gt;$B37,$B53&lt;&gt;$B38,$B54&lt;&gt;$B39,$B55&lt;&gt;$B40,$B56&lt;&gt;$B41,$B57&lt;&gt;$B42,$B58&lt;&gt;$B43),IF($B53&lt;&gt;$B38,AF38/INDEX($C33:$AJ43,6,MATCH(IF('Data-solution'!$A$3="Maximize",MAX($C44:$AI44),MIN($C44:$AI44)),$C44:$AI44,0)),AF38-INDEX($C33:$AJ43,6,MATCH(IF('Data-solution'!$A$3="Maximize",MAX($C44:$AI44),MIN($C44:$AI44)),$C44:$AI44,0))*INDEX(AF33:$AJ43,MATCH(MIN($AK33:$AK43),$AK33:$AK43,0),1)/INDEX($C33:$AJ43,MATCH(MIN($AK33:$AK43),$AK33:$AK43,0),MATCH(IF('Data-solution'!$A$3="Maximize",MAX($C44:$AI44),MIN($C44:$AI44)),$C44:$AI44,0))),AF38)</f>
        <v>0</v>
      </c>
      <c r="AG53" s="1">
        <f>IF(OR($B48&lt;&gt;$B33,$B49&lt;&gt;$B34,$B50&lt;&gt;$B35,$B51&lt;&gt;$B36,$B52&lt;&gt;$B37,$B53&lt;&gt;$B38,$B54&lt;&gt;$B39,$B55&lt;&gt;$B40,$B56&lt;&gt;$B41,$B57&lt;&gt;$B42,$B58&lt;&gt;$B43),IF($B53&lt;&gt;$B38,AG38/INDEX($C33:$AJ43,6,MATCH(IF('Data-solution'!$A$3="Maximize",MAX($C44:$AI44),MIN($C44:$AI44)),$C44:$AI44,0)),AG38-INDEX($C33:$AJ43,6,MATCH(IF('Data-solution'!$A$3="Maximize",MAX($C44:$AI44),MIN($C44:$AI44)),$C44:$AI44,0))*INDEX(AG33:$AJ43,MATCH(MIN($AK33:$AK43),$AK33:$AK43,0),1)/INDEX($C33:$AJ43,MATCH(MIN($AK33:$AK43),$AK33:$AK43,0),MATCH(IF('Data-solution'!$A$3="Maximize",MAX($C44:$AI44),MIN($C44:$AI44)),$C44:$AI44,0))),AG38)</f>
        <v>0</v>
      </c>
      <c r="AH53" s="1">
        <f>IF(OR($B48&lt;&gt;$B33,$B49&lt;&gt;$B34,$B50&lt;&gt;$B35,$B51&lt;&gt;$B36,$B52&lt;&gt;$B37,$B53&lt;&gt;$B38,$B54&lt;&gt;$B39,$B55&lt;&gt;$B40,$B56&lt;&gt;$B41,$B57&lt;&gt;$B42,$B58&lt;&gt;$B43),IF($B53&lt;&gt;$B38,AH38/INDEX($C33:$AJ43,6,MATCH(IF('Data-solution'!$A$3="Maximize",MAX($C44:$AI44),MIN($C44:$AI44)),$C44:$AI44,0)),AH38-INDEX($C33:$AJ43,6,MATCH(IF('Data-solution'!$A$3="Maximize",MAX($C44:$AI44),MIN($C44:$AI44)),$C44:$AI44,0))*INDEX(AH33:$AJ43,MATCH(MIN($AK33:$AK43),$AK33:$AK43,0),1)/INDEX($C33:$AJ43,MATCH(MIN($AK33:$AK43),$AK33:$AK43,0),MATCH(IF('Data-solution'!$A$3="Maximize",MAX($C44:$AI44),MIN($C44:$AI44)),$C44:$AI44,0))),AH38)</f>
        <v>0</v>
      </c>
      <c r="AI53" s="1">
        <f>IF(OR($B48&lt;&gt;$B33,$B49&lt;&gt;$B34,$B50&lt;&gt;$B35,$B51&lt;&gt;$B36,$B52&lt;&gt;$B37,$B53&lt;&gt;$B38,$B54&lt;&gt;$B39,$B55&lt;&gt;$B40,$B56&lt;&gt;$B41,$B57&lt;&gt;$B42,$B58&lt;&gt;$B43),IF($B53&lt;&gt;$B38,AI38/INDEX($C33:$AJ43,6,MATCH(IF('Data-solution'!$A$3="Maximize",MAX($C44:$AI44),MIN($C44:$AI44)),$C44:$AI44,0)),AI38-INDEX($C33:$AJ43,6,MATCH(IF('Data-solution'!$A$3="Maximize",MAX($C44:$AI44),MIN($C44:$AI44)),$C44:$AI44,0))*INDEX(AI33:$AJ43,MATCH(MIN($AK33:$AK43),$AK33:$AK43,0),1)/INDEX($C33:$AJ43,MATCH(MIN($AK33:$AK43),$AK33:$AK43,0),MATCH(IF('Data-solution'!$A$3="Maximize",MAX($C44:$AI44),MIN($C44:$AI44)),$C44:$AI44,0))),AI38)</f>
        <v>0</v>
      </c>
      <c r="AJ53" s="1">
        <f>IF(OR($B48&lt;&gt;$B33,$B49&lt;&gt;$B34,$B50&lt;&gt;$B35,$B51&lt;&gt;$B36,$B52&lt;&gt;$B37,$B53&lt;&gt;$B38,$B54&lt;&gt;$B39,$B55&lt;&gt;$B40,$B56&lt;&gt;$B41,$B57&lt;&gt;$B42,$B58&lt;&gt;$B43),IF($B53&lt;&gt;$B38,AJ38/INDEX($C33:$AJ43,6,MATCH(IF('Data-solution'!$A$3="Maximize",MAX($C44:$AI44),MIN($C44:$AI44)),$C44:$AI44,0)),AJ38-INDEX($C33:$AJ43,6,MATCH(IF('Data-solution'!$A$3="Maximize",MAX($C44:$AI44),MIN($C44:$AI44)),$C44:$AI44,0))*INDEX(AJ33:$AJ43,MATCH(MIN($AK33:$AK43),$AK33:$AK43,0),1)/INDEX($C33:$AJ43,MATCH(MIN($AK33:$AK43),$AK33:$AK43,0),MATCH(IF('Data-solution'!$A$3="Maximize",MAX($C44:$AI44),MIN($C44:$AI44)),$C44:$AI44,0))),AJ38)</f>
        <v>0</v>
      </c>
      <c r="AK53" s="1" t="str">
        <f>IF(INDEX(C53:X53,1,MATCH(IF('Data-solution'!A$3="Maximize",MAX(C59:X59),MIN(C59:X59)),C59:X59,0))&gt;0,AJ53/INDEX(C53:X53,1,MATCH(IF('Data-solution'!A$3="Maximize",MAX(C59:X59),MIN(C59:X59)),C59:X59,0))," ")</f>
        <v xml:space="preserve"> </v>
      </c>
    </row>
    <row r="54" spans="1:37" ht="18" customHeight="1" x14ac:dyDescent="0.2">
      <c r="A54" s="1">
        <f t="shared" ref="A54" si="28">INDEX(C46:AI46,1,MATCH(B54,C47:AI47,0))</f>
        <v>0</v>
      </c>
      <c r="B54" s="2" t="str">
        <f>IF(AND('Data-solution'!A$3="Maximize",COUNTIF(C44:X44,"&gt;"&amp;0)&gt;0,AK39=MIN(AK33:AK43),COUNTIF(B48:B53,INDEX(C32:X32,1,MATCH(MAX(C44:X44),C44:X44,0)))=0),INDEX(C32:X32,1,MATCH(MAX(C44:X44),C44:X44,0)),IF(AND('Data-solution'!A$3="Minimize",COUNTIF(C44:X44,"&lt;"&amp;0)&gt;0,AK39=MIN(AK33:AK43),COUNTIF(B48:B53,INDEX(C32:X32,1,MATCH(MIN(C44:X44),C44:X44,0)))=0),INDEX(C32:X32,1,MATCH(MIN(C44:X44),C44:X44,0)),B39))</f>
        <v>S7</v>
      </c>
      <c r="C54" s="1">
        <f>IF(OR($B48&lt;&gt;$B33,$B49&lt;&gt;$B34,$B50&lt;&gt;$B35,$B51&lt;&gt;$B36,$B52&lt;&gt;$B37,$B53&lt;&gt;$B38,$B54&lt;&gt;$B39,$B55&lt;&gt;$B40,$B56&lt;&gt;$B41,$B57&lt;&gt;$B42,$B58&lt;&gt;$B43),IF($B54&lt;&gt;$B39,C39/INDEX($C33:$AJ43,7,MATCH(IF('Data-solution'!$A$3="Maximize",MAX($C44:$AI44),MIN($C44:$AI44)),$C44:$AI44,0)),C39-INDEX($C33:$AJ43,7,MATCH(IF('Data-solution'!$A$3="Maximize",MAX($C44:$AI44),MIN($C44:$AI44)),$C44:$AI44,0))*INDEX(C33:$AJ43,MATCH(MIN($AK33:$AK43),$AK33:$AK43,0),1)/INDEX($C33:$AJ43,MATCH(MIN($AK33:$AK43),$AK33:$AK43,0),MATCH(IF('Data-solution'!$A$3="Maximize",MAX($C44:$AI44),MIN($C44:$AI44)),$C44:$AI44,0))),C39)</f>
        <v>0</v>
      </c>
      <c r="D54" s="1">
        <f>IF(OR($B48&lt;&gt;$B33,$B49&lt;&gt;$B34,$B50&lt;&gt;$B35,$B51&lt;&gt;$B36,$B52&lt;&gt;$B37,$B53&lt;&gt;$B38,$B54&lt;&gt;$B39,$B55&lt;&gt;$B40,$B56&lt;&gt;$B41,$B57&lt;&gt;$B42,$B58&lt;&gt;$B43),IF($B54&lt;&gt;$B39,D39/INDEX($C33:$AJ43,7,MATCH(IF('Data-solution'!$A$3="Maximize",MAX($C44:$AI44),MIN($C44:$AI44)),$C44:$AI44,0)),D39-INDEX($C33:$AJ43,7,MATCH(IF('Data-solution'!$A$3="Maximize",MAX($C44:$AI44),MIN($C44:$AI44)),$C44:$AI44,0))*INDEX(D33:$AJ43,MATCH(MIN($AK33:$AK43),$AK33:$AK43,0),1)/INDEX($C33:$AJ43,MATCH(MIN($AK33:$AK43),$AK33:$AK43,0),MATCH(IF('Data-solution'!$A$3="Maximize",MAX($C44:$AI44),MIN($C44:$AI44)),$C44:$AI44,0))),D39)</f>
        <v>0</v>
      </c>
      <c r="E54" s="1">
        <f>IF(OR($B48&lt;&gt;$B33,$B49&lt;&gt;$B34,$B50&lt;&gt;$B35,$B51&lt;&gt;$B36,$B52&lt;&gt;$B37,$B53&lt;&gt;$B38,$B54&lt;&gt;$B39,$B55&lt;&gt;$B40,$B56&lt;&gt;$B41,$B57&lt;&gt;$B42,$B58&lt;&gt;$B43),IF($B54&lt;&gt;$B39,E39/INDEX($C33:$AJ43,7,MATCH(IF('Data-solution'!$A$3="Maximize",MAX($C44:$AI44),MIN($C44:$AI44)),$C44:$AI44,0)),E39-INDEX($C33:$AJ43,7,MATCH(IF('Data-solution'!$A$3="Maximize",MAX($C44:$AI44),MIN($C44:$AI44)),$C44:$AI44,0))*INDEX(E33:$AJ43,MATCH(MIN($AK33:$AK43),$AK33:$AK43,0),1)/INDEX($C33:$AJ43,MATCH(MIN($AK33:$AK43),$AK33:$AK43,0),MATCH(IF('Data-solution'!$A$3="Maximize",MAX($C44:$AI44),MIN($C44:$AI44)),$C44:$AI44,0))),E39)</f>
        <v>0</v>
      </c>
      <c r="F54" s="1">
        <f>IF(OR($B48&lt;&gt;$B33,$B49&lt;&gt;$B34,$B50&lt;&gt;$B35,$B51&lt;&gt;$B36,$B52&lt;&gt;$B37,$B53&lt;&gt;$B38,$B54&lt;&gt;$B39,$B55&lt;&gt;$B40,$B56&lt;&gt;$B41,$B57&lt;&gt;$B42,$B58&lt;&gt;$B43),IF($B54&lt;&gt;$B39,F39/INDEX($C33:$AJ43,7,MATCH(IF('Data-solution'!$A$3="Maximize",MAX($C44:$AI44),MIN($C44:$AI44)),$C44:$AI44,0)),F39-INDEX($C33:$AJ43,7,MATCH(IF('Data-solution'!$A$3="Maximize",MAX($C44:$AI44),MIN($C44:$AI44)),$C44:$AI44,0))*INDEX(F33:$AJ43,MATCH(MIN($AK33:$AK43),$AK33:$AK43,0),1)/INDEX($C33:$AJ43,MATCH(MIN($AK33:$AK43),$AK33:$AK43,0),MATCH(IF('Data-solution'!$A$3="Maximize",MAX($C44:$AI44),MIN($C44:$AI44)),$C44:$AI44,0))),F39)</f>
        <v>0</v>
      </c>
      <c r="G54" s="1">
        <f>IF(OR($B48&lt;&gt;$B33,$B49&lt;&gt;$B34,$B50&lt;&gt;$B35,$B51&lt;&gt;$B36,$B52&lt;&gt;$B37,$B53&lt;&gt;$B38,$B54&lt;&gt;$B39,$B55&lt;&gt;$B40,$B56&lt;&gt;$B41,$B57&lt;&gt;$B42,$B58&lt;&gt;$B43),IF($B54&lt;&gt;$B39,G39/INDEX($C33:$AJ43,7,MATCH(IF('Data-solution'!$A$3="Maximize",MAX($C44:$AI44),MIN($C44:$AI44)),$C44:$AI44,0)),G39-INDEX($C33:$AJ43,7,MATCH(IF('Data-solution'!$A$3="Maximize",MAX($C44:$AI44),MIN($C44:$AI44)),$C44:$AI44,0))*INDEX(G33:$AJ43,MATCH(MIN($AK33:$AK43),$AK33:$AK43,0),1)/INDEX($C33:$AJ43,MATCH(MIN($AK33:$AK43),$AK33:$AK43,0),MATCH(IF('Data-solution'!$A$3="Maximize",MAX($C44:$AI44),MIN($C44:$AI44)),$C44:$AI44,0))),G39)</f>
        <v>0</v>
      </c>
      <c r="H54" s="1">
        <f>IF(OR($B48&lt;&gt;$B33,$B49&lt;&gt;$B34,$B50&lt;&gt;$B35,$B51&lt;&gt;$B36,$B52&lt;&gt;$B37,$B53&lt;&gt;$B38,$B54&lt;&gt;$B39,$B55&lt;&gt;$B40,$B56&lt;&gt;$B41,$B57&lt;&gt;$B42,$B58&lt;&gt;$B43),IF($B54&lt;&gt;$B39,H39/INDEX($C33:$AJ43,7,MATCH(IF('Data-solution'!$A$3="Maximize",MAX($C44:$AI44),MIN($C44:$AI44)),$C44:$AI44,0)),H39-INDEX($C33:$AJ43,7,MATCH(IF('Data-solution'!$A$3="Maximize",MAX($C44:$AI44),MIN($C44:$AI44)),$C44:$AI44,0))*INDEX(H33:$AJ43,MATCH(MIN($AK33:$AK43),$AK33:$AK43,0),1)/INDEX($C33:$AJ43,MATCH(MIN($AK33:$AK43),$AK33:$AK43,0),MATCH(IF('Data-solution'!$A$3="Maximize",MAX($C44:$AI44),MIN($C44:$AI44)),$C44:$AI44,0))),H39)</f>
        <v>0</v>
      </c>
      <c r="I54" s="1">
        <f>IF(OR($B48&lt;&gt;$B33,$B49&lt;&gt;$B34,$B50&lt;&gt;$B35,$B51&lt;&gt;$B36,$B52&lt;&gt;$B37,$B53&lt;&gt;$B38,$B54&lt;&gt;$B39,$B55&lt;&gt;$B40,$B56&lt;&gt;$B41,$B57&lt;&gt;$B42,$B58&lt;&gt;$B43),IF($B54&lt;&gt;$B39,I39/INDEX($C33:$AJ43,7,MATCH(IF('Data-solution'!$A$3="Maximize",MAX($C44:$AI44),MIN($C44:$AI44)),$C44:$AI44,0)),I39-INDEX($C33:$AJ43,7,MATCH(IF('Data-solution'!$A$3="Maximize",MAX($C44:$AI44),MIN($C44:$AI44)),$C44:$AI44,0))*INDEX(I33:$AJ43,MATCH(MIN($AK33:$AK43),$AK33:$AK43,0),1)/INDEX($C33:$AJ43,MATCH(MIN($AK33:$AK43),$AK33:$AK43,0),MATCH(IF('Data-solution'!$A$3="Maximize",MAX($C44:$AI44),MIN($C44:$AI44)),$C44:$AI44,0))),I39)</f>
        <v>0</v>
      </c>
      <c r="J54" s="1">
        <f>IF(OR($B48&lt;&gt;$B33,$B49&lt;&gt;$B34,$B50&lt;&gt;$B35,$B51&lt;&gt;$B36,$B52&lt;&gt;$B37,$B53&lt;&gt;$B38,$B54&lt;&gt;$B39,$B55&lt;&gt;$B40,$B56&lt;&gt;$B41,$B57&lt;&gt;$B42,$B58&lt;&gt;$B43),IF($B54&lt;&gt;$B39,J39/INDEX($C33:$AJ43,7,MATCH(IF('Data-solution'!$A$3="Maximize",MAX($C44:$AI44),MIN($C44:$AI44)),$C44:$AI44,0)),J39-INDEX($C33:$AJ43,7,MATCH(IF('Data-solution'!$A$3="Maximize",MAX($C44:$AI44),MIN($C44:$AI44)),$C44:$AI44,0))*INDEX(J33:$AJ43,MATCH(MIN($AK33:$AK43),$AK33:$AK43,0),1)/INDEX($C33:$AJ43,MATCH(MIN($AK33:$AK43),$AK33:$AK43,0),MATCH(IF('Data-solution'!$A$3="Maximize",MAX($C44:$AI44),MIN($C44:$AI44)),$C44:$AI44,0))),J39)</f>
        <v>0</v>
      </c>
      <c r="K54" s="1">
        <f>IF(OR($B48&lt;&gt;$B33,$B49&lt;&gt;$B34,$B50&lt;&gt;$B35,$B51&lt;&gt;$B36,$B52&lt;&gt;$B37,$B53&lt;&gt;$B38,$B54&lt;&gt;$B39,$B55&lt;&gt;$B40,$B56&lt;&gt;$B41,$B57&lt;&gt;$B42,$B58&lt;&gt;$B43),IF($B54&lt;&gt;$B39,K39/INDEX($C33:$AJ43,7,MATCH(IF('Data-solution'!$A$3="Maximize",MAX($C44:$AI44),MIN($C44:$AI44)),$C44:$AI44,0)),K39-INDEX($C33:$AJ43,7,MATCH(IF('Data-solution'!$A$3="Maximize",MAX($C44:$AI44),MIN($C44:$AI44)),$C44:$AI44,0))*INDEX(K33:$AJ43,MATCH(MIN($AK33:$AK43),$AK33:$AK43,0),1)/INDEX($C33:$AJ43,MATCH(MIN($AK33:$AK43),$AK33:$AK43,0),MATCH(IF('Data-solution'!$A$3="Maximize",MAX($C44:$AI44),MIN($C44:$AI44)),$C44:$AI44,0))),K39)</f>
        <v>0</v>
      </c>
      <c r="L54" s="1">
        <f>IF(OR($B48&lt;&gt;$B33,$B49&lt;&gt;$B34,$B50&lt;&gt;$B35,$B51&lt;&gt;$B36,$B52&lt;&gt;$B37,$B53&lt;&gt;$B38,$B54&lt;&gt;$B39,$B55&lt;&gt;$B40,$B56&lt;&gt;$B41,$B57&lt;&gt;$B42,$B58&lt;&gt;$B43),IF($B54&lt;&gt;$B39,L39/INDEX($C33:$AJ43,7,MATCH(IF('Data-solution'!$A$3="Maximize",MAX($C44:$AI44),MIN($C44:$AI44)),$C44:$AI44,0)),L39-INDEX($C33:$AJ43,7,MATCH(IF('Data-solution'!$A$3="Maximize",MAX($C44:$AI44),MIN($C44:$AI44)),$C44:$AI44,0))*INDEX(L33:$AJ43,MATCH(MIN($AK33:$AK43),$AK33:$AK43,0),1)/INDEX($C33:$AJ43,MATCH(MIN($AK33:$AK43),$AK33:$AK43,0),MATCH(IF('Data-solution'!$A$3="Maximize",MAX($C44:$AI44),MIN($C44:$AI44)),$C44:$AI44,0))),L39)</f>
        <v>0</v>
      </c>
      <c r="M54" s="1">
        <f>IF(OR($B48&lt;&gt;$B33,$B49&lt;&gt;$B34,$B50&lt;&gt;$B35,$B51&lt;&gt;$B36,$B52&lt;&gt;$B37,$B53&lt;&gt;$B38,$B54&lt;&gt;$B39,$B55&lt;&gt;$B40,$B56&lt;&gt;$B41,$B57&lt;&gt;$B42,$B58&lt;&gt;$B43),IF($B54&lt;&gt;$B39,M39/INDEX($C33:$AJ43,7,MATCH(IF('Data-solution'!$A$3="Maximize",MAX($C44:$AI44),MIN($C44:$AI44)),$C44:$AI44,0)),M39-INDEX($C33:$AJ43,7,MATCH(IF('Data-solution'!$A$3="Maximize",MAX($C44:$AI44),MIN($C44:$AI44)),$C44:$AI44,0))*INDEX(M33:$AJ43,MATCH(MIN($AK33:$AK43),$AK33:$AK43,0),1)/INDEX($C33:$AJ43,MATCH(MIN($AK33:$AK43),$AK33:$AK43,0),MATCH(IF('Data-solution'!$A$3="Maximize",MAX($C44:$AI44),MIN($C44:$AI44)),$C44:$AI44,0))),M39)</f>
        <v>0</v>
      </c>
      <c r="N54" s="1">
        <f>IF(OR($B48&lt;&gt;$B33,$B49&lt;&gt;$B34,$B50&lt;&gt;$B35,$B51&lt;&gt;$B36,$B52&lt;&gt;$B37,$B53&lt;&gt;$B38,$B54&lt;&gt;$B39,$B55&lt;&gt;$B40,$B56&lt;&gt;$B41,$B57&lt;&gt;$B42,$B58&lt;&gt;$B43),IF($B54&lt;&gt;$B39,N39/INDEX($C33:$AJ43,7,MATCH(IF('Data-solution'!$A$3="Maximize",MAX($C44:$AI44),MIN($C44:$AI44)),$C44:$AI44,0)),N39-INDEX($C33:$AJ43,7,MATCH(IF('Data-solution'!$A$3="Maximize",MAX($C44:$AI44),MIN($C44:$AI44)),$C44:$AI44,0))*INDEX(N33:$AJ43,MATCH(MIN($AK33:$AK43),$AK33:$AK43,0),1)/INDEX($C33:$AJ43,MATCH(MIN($AK33:$AK43),$AK33:$AK43,0),MATCH(IF('Data-solution'!$A$3="Maximize",MAX($C44:$AI44),MIN($C44:$AI44)),$C44:$AI44,0))),N39)</f>
        <v>0</v>
      </c>
      <c r="O54" s="1">
        <f>IF(OR($B48&lt;&gt;$B33,$B49&lt;&gt;$B34,$B50&lt;&gt;$B35,$B51&lt;&gt;$B36,$B52&lt;&gt;$B37,$B53&lt;&gt;$B38,$B54&lt;&gt;$B39,$B55&lt;&gt;$B40,$B56&lt;&gt;$B41,$B57&lt;&gt;$B42,$B58&lt;&gt;$B43),IF($B54&lt;&gt;$B39,O39/INDEX($C33:$AJ43,7,MATCH(IF('Data-solution'!$A$3="Maximize",MAX($C44:$AI44),MIN($C44:$AI44)),$C44:$AI44,0)),O39-INDEX($C33:$AJ43,7,MATCH(IF('Data-solution'!$A$3="Maximize",MAX($C44:$AI44),MIN($C44:$AI44)),$C44:$AI44,0))*INDEX(O33:$AJ43,MATCH(MIN($AK33:$AK43),$AK33:$AK43,0),1)/INDEX($C33:$AJ43,MATCH(MIN($AK33:$AK43),$AK33:$AK43,0),MATCH(IF('Data-solution'!$A$3="Maximize",MAX($C44:$AI44),MIN($C44:$AI44)),$C44:$AI44,0))),O39)</f>
        <v>0</v>
      </c>
      <c r="P54" s="1">
        <f>IF(OR($B48&lt;&gt;$B33,$B49&lt;&gt;$B34,$B50&lt;&gt;$B35,$B51&lt;&gt;$B36,$B52&lt;&gt;$B37,$B53&lt;&gt;$B38,$B54&lt;&gt;$B39,$B55&lt;&gt;$B40,$B56&lt;&gt;$B41,$B57&lt;&gt;$B42,$B58&lt;&gt;$B43),IF($B54&lt;&gt;$B39,P39/INDEX($C33:$AJ43,7,MATCH(IF('Data-solution'!$A$3="Maximize",MAX($C44:$AI44),MIN($C44:$AI44)),$C44:$AI44,0)),P39-INDEX($C33:$AJ43,7,MATCH(IF('Data-solution'!$A$3="Maximize",MAX($C44:$AI44),MIN($C44:$AI44)),$C44:$AI44,0))*INDEX(P33:$AJ43,MATCH(MIN($AK33:$AK43),$AK33:$AK43,0),1)/INDEX($C33:$AJ43,MATCH(MIN($AK33:$AK43),$AK33:$AK43,0),MATCH(IF('Data-solution'!$A$3="Maximize",MAX($C44:$AI44),MIN($C44:$AI44)),$C44:$AI44,0))),P39)</f>
        <v>0</v>
      </c>
      <c r="Q54" s="1">
        <f>IF(OR($B48&lt;&gt;$B33,$B49&lt;&gt;$B34,$B50&lt;&gt;$B35,$B51&lt;&gt;$B36,$B52&lt;&gt;$B37,$B53&lt;&gt;$B38,$B54&lt;&gt;$B39,$B55&lt;&gt;$B40,$B56&lt;&gt;$B41,$B57&lt;&gt;$B42,$B58&lt;&gt;$B43),IF($B54&lt;&gt;$B39,Q39/INDEX($C33:$AJ43,7,MATCH(IF('Data-solution'!$A$3="Maximize",MAX($C44:$AI44),MIN($C44:$AI44)),$C44:$AI44,0)),Q39-INDEX($C33:$AJ43,7,MATCH(IF('Data-solution'!$A$3="Maximize",MAX($C44:$AI44),MIN($C44:$AI44)),$C44:$AI44,0))*INDEX(Q33:$AJ43,MATCH(MIN($AK33:$AK43),$AK33:$AK43,0),1)/INDEX($C33:$AJ43,MATCH(MIN($AK33:$AK43),$AK33:$AK43,0),MATCH(IF('Data-solution'!$A$3="Maximize",MAX($C44:$AI44),MIN($C44:$AI44)),$C44:$AI44,0))),Q39)</f>
        <v>0</v>
      </c>
      <c r="R54" s="1">
        <f>IF(OR($B48&lt;&gt;$B33,$B49&lt;&gt;$B34,$B50&lt;&gt;$B35,$B51&lt;&gt;$B36,$B52&lt;&gt;$B37,$B53&lt;&gt;$B38,$B54&lt;&gt;$B39,$B55&lt;&gt;$B40,$B56&lt;&gt;$B41,$B57&lt;&gt;$B42,$B58&lt;&gt;$B43),IF($B54&lt;&gt;$B39,R39/INDEX($C33:$AJ43,7,MATCH(IF('Data-solution'!$A$3="Maximize",MAX($C44:$AI44),MIN($C44:$AI44)),$C44:$AI44,0)),R39-INDEX($C33:$AJ43,7,MATCH(IF('Data-solution'!$A$3="Maximize",MAX($C44:$AI44),MIN($C44:$AI44)),$C44:$AI44,0))*INDEX(R33:$AJ43,MATCH(MIN($AK33:$AK43),$AK33:$AK43,0),1)/INDEX($C33:$AJ43,MATCH(MIN($AK33:$AK43),$AK33:$AK43,0),MATCH(IF('Data-solution'!$A$3="Maximize",MAX($C44:$AI44),MIN($C44:$AI44)),$C44:$AI44,0))),R39)</f>
        <v>0</v>
      </c>
      <c r="S54" s="1">
        <f>IF(OR($B48&lt;&gt;$B33,$B49&lt;&gt;$B34,$B50&lt;&gt;$B35,$B51&lt;&gt;$B36,$B52&lt;&gt;$B37,$B53&lt;&gt;$B38,$B54&lt;&gt;$B39,$B55&lt;&gt;$B40,$B56&lt;&gt;$B41,$B57&lt;&gt;$B42,$B58&lt;&gt;$B43),IF($B54&lt;&gt;$B39,S39/INDEX($C33:$AJ43,7,MATCH(IF('Data-solution'!$A$3="Maximize",MAX($C44:$AI44),MIN($C44:$AI44)),$C44:$AI44,0)),S39-INDEX($C33:$AJ43,7,MATCH(IF('Data-solution'!$A$3="Maximize",MAX($C44:$AI44),MIN($C44:$AI44)),$C44:$AI44,0))*INDEX(S33:$AJ43,MATCH(MIN($AK33:$AK43),$AK33:$AK43,0),1)/INDEX($C33:$AJ43,MATCH(MIN($AK33:$AK43),$AK33:$AK43,0),MATCH(IF('Data-solution'!$A$3="Maximize",MAX($C44:$AI44),MIN($C44:$AI44)),$C44:$AI44,0))),S39)</f>
        <v>0</v>
      </c>
      <c r="T54" s="1">
        <f>IF(OR($B48&lt;&gt;$B33,$B49&lt;&gt;$B34,$B50&lt;&gt;$B35,$B51&lt;&gt;$B36,$B52&lt;&gt;$B37,$B53&lt;&gt;$B38,$B54&lt;&gt;$B39,$B55&lt;&gt;$B40,$B56&lt;&gt;$B41,$B57&lt;&gt;$B42,$B58&lt;&gt;$B43),IF($B54&lt;&gt;$B39,T39/INDEX($C33:$AJ43,7,MATCH(IF('Data-solution'!$A$3="Maximize",MAX($C44:$AI44),MIN($C44:$AI44)),$C44:$AI44,0)),T39-INDEX($C33:$AJ43,7,MATCH(IF('Data-solution'!$A$3="Maximize",MAX($C44:$AI44),MIN($C44:$AI44)),$C44:$AI44,0))*INDEX(T33:$AJ43,MATCH(MIN($AK33:$AK43),$AK33:$AK43,0),1)/INDEX($C33:$AJ43,MATCH(MIN($AK33:$AK43),$AK33:$AK43,0),MATCH(IF('Data-solution'!$A$3="Maximize",MAX($C44:$AI44),MIN($C44:$AI44)),$C44:$AI44,0))),T39)</f>
        <v>1</v>
      </c>
      <c r="U54" s="1">
        <f>IF(OR($B48&lt;&gt;$B33,$B49&lt;&gt;$B34,$B50&lt;&gt;$B35,$B51&lt;&gt;$B36,$B52&lt;&gt;$B37,$B53&lt;&gt;$B38,$B54&lt;&gt;$B39,$B55&lt;&gt;$B40,$B56&lt;&gt;$B41,$B57&lt;&gt;$B42,$B58&lt;&gt;$B43),IF($B54&lt;&gt;$B39,U39/INDEX($C33:$AJ43,7,MATCH(IF('Data-solution'!$A$3="Maximize",MAX($C44:$AI44),MIN($C44:$AI44)),$C44:$AI44,0)),U39-INDEX($C33:$AJ43,7,MATCH(IF('Data-solution'!$A$3="Maximize",MAX($C44:$AI44),MIN($C44:$AI44)),$C44:$AI44,0))*INDEX(U33:$AJ43,MATCH(MIN($AK33:$AK43),$AK33:$AK43,0),1)/INDEX($C33:$AJ43,MATCH(MIN($AK33:$AK43),$AK33:$AK43,0),MATCH(IF('Data-solution'!$A$3="Maximize",MAX($C44:$AI44),MIN($C44:$AI44)),$C44:$AI44,0))),U39)</f>
        <v>0</v>
      </c>
      <c r="V54" s="1">
        <f>IF(OR($B48&lt;&gt;$B33,$B49&lt;&gt;$B34,$B50&lt;&gt;$B35,$B51&lt;&gt;$B36,$B52&lt;&gt;$B37,$B53&lt;&gt;$B38,$B54&lt;&gt;$B39,$B55&lt;&gt;$B40,$B56&lt;&gt;$B41,$B57&lt;&gt;$B42,$B58&lt;&gt;$B43),IF($B54&lt;&gt;$B39,V39/INDEX($C33:$AJ43,7,MATCH(IF('Data-solution'!$A$3="Maximize",MAX($C44:$AI44),MIN($C44:$AI44)),$C44:$AI44,0)),V39-INDEX($C33:$AJ43,7,MATCH(IF('Data-solution'!$A$3="Maximize",MAX($C44:$AI44),MIN($C44:$AI44)),$C44:$AI44,0))*INDEX(V33:$AJ43,MATCH(MIN($AK33:$AK43),$AK33:$AK43,0),1)/INDEX($C33:$AJ43,MATCH(MIN($AK33:$AK43),$AK33:$AK43,0),MATCH(IF('Data-solution'!$A$3="Maximize",MAX($C44:$AI44),MIN($C44:$AI44)),$C44:$AI44,0))),V39)</f>
        <v>0</v>
      </c>
      <c r="W54" s="1">
        <f>IF(OR($B48&lt;&gt;$B33,$B49&lt;&gt;$B34,$B50&lt;&gt;$B35,$B51&lt;&gt;$B36,$B52&lt;&gt;$B37,$B53&lt;&gt;$B38,$B54&lt;&gt;$B39,$B55&lt;&gt;$B40,$B56&lt;&gt;$B41,$B57&lt;&gt;$B42,$B58&lt;&gt;$B43),IF($B54&lt;&gt;$B39,W39/INDEX($C33:$AJ43,7,MATCH(IF('Data-solution'!$A$3="Maximize",MAX($C44:$AI44),MIN($C44:$AI44)),$C44:$AI44,0)),W39-INDEX($C33:$AJ43,7,MATCH(IF('Data-solution'!$A$3="Maximize",MAX($C44:$AI44),MIN($C44:$AI44)),$C44:$AI44,0))*INDEX(W33:$AJ43,MATCH(MIN($AK33:$AK43),$AK33:$AK43,0),1)/INDEX($C33:$AJ43,MATCH(MIN($AK33:$AK43),$AK33:$AK43,0),MATCH(IF('Data-solution'!$A$3="Maximize",MAX($C44:$AI44),MIN($C44:$AI44)),$C44:$AI44,0))),W39)</f>
        <v>0</v>
      </c>
      <c r="X54" s="1">
        <f>IF(OR($B48&lt;&gt;$B33,$B49&lt;&gt;$B34,$B50&lt;&gt;$B35,$B51&lt;&gt;$B36,$B52&lt;&gt;$B37,$B53&lt;&gt;$B38,$B54&lt;&gt;$B39,$B55&lt;&gt;$B40,$B56&lt;&gt;$B41,$B57&lt;&gt;$B42,$B58&lt;&gt;$B43),IF($B54&lt;&gt;$B39,X39/INDEX($C33:$AJ43,7,MATCH(IF('Data-solution'!$A$3="Maximize",MAX($C44:$AI44),MIN($C44:$AI44)),$C44:$AI44,0)),X39-INDEX($C33:$AJ43,7,MATCH(IF('Data-solution'!$A$3="Maximize",MAX($C44:$AI44),MIN($C44:$AI44)),$C44:$AI44,0))*INDEX(X33:$AJ43,MATCH(MIN($AK33:$AK43),$AK33:$AK43,0),1)/INDEX($C33:$AJ43,MATCH(MIN($AK33:$AK43),$AK33:$AK43,0),MATCH(IF('Data-solution'!$A$3="Maximize",MAX($C44:$AI44),MIN($C44:$AI44)),$C44:$AI44,0))),X39)</f>
        <v>0</v>
      </c>
      <c r="Y54" s="1">
        <f>IF(OR($B48&lt;&gt;$B33,$B49&lt;&gt;$B34,$B50&lt;&gt;$B35,$B51&lt;&gt;$B36,$B52&lt;&gt;$B37,$B53&lt;&gt;$B38,$B54&lt;&gt;$B39,$B55&lt;&gt;$B40,$B56&lt;&gt;$B41,$B57&lt;&gt;$B42,$B58&lt;&gt;$B43),IF($B54&lt;&gt;$B39,Y39/INDEX($C33:$AJ43,7,MATCH(IF('Data-solution'!$A$3="Maximize",MAX($C44:$AI44),MIN($C44:$AI44)),$C44:$AI44,0)),Y39-INDEX($C33:$AJ43,7,MATCH(IF('Data-solution'!$A$3="Maximize",MAX($C44:$AI44),MIN($C44:$AI44)),$C44:$AI44,0))*INDEX(Y33:$AJ43,MATCH(MIN($AK33:$AK43),$AK33:$AK43,0),1)/INDEX($C33:$AJ43,MATCH(MIN($AK33:$AK43),$AK33:$AK43,0),MATCH(IF('Data-solution'!$A$3="Maximize",MAX($C44:$AI44),MIN($C44:$AI44)),$C44:$AI44,0))),Y39)</f>
        <v>0</v>
      </c>
      <c r="Z54" s="1">
        <f>IF(OR($B48&lt;&gt;$B33,$B49&lt;&gt;$B34,$B50&lt;&gt;$B35,$B51&lt;&gt;$B36,$B52&lt;&gt;$B37,$B53&lt;&gt;$B38,$B54&lt;&gt;$B39,$B55&lt;&gt;$B40,$B56&lt;&gt;$B41,$B57&lt;&gt;$B42,$B58&lt;&gt;$B43),IF($B54&lt;&gt;$B39,Z39/INDEX($C33:$AJ43,7,MATCH(IF('Data-solution'!$A$3="Maximize",MAX($C44:$AI44),MIN($C44:$AI44)),$C44:$AI44,0)),Z39-INDEX($C33:$AJ43,7,MATCH(IF('Data-solution'!$A$3="Maximize",MAX($C44:$AI44),MIN($C44:$AI44)),$C44:$AI44,0))*INDEX(Z33:$AJ43,MATCH(MIN($AK33:$AK43),$AK33:$AK43,0),1)/INDEX($C33:$AJ43,MATCH(MIN($AK33:$AK43),$AK33:$AK43,0),MATCH(IF('Data-solution'!$A$3="Maximize",MAX($C44:$AI44),MIN($C44:$AI44)),$C44:$AI44,0))),Z39)</f>
        <v>0</v>
      </c>
      <c r="AA54" s="1">
        <f>IF(OR($B48&lt;&gt;$B33,$B49&lt;&gt;$B34,$B50&lt;&gt;$B35,$B51&lt;&gt;$B36,$B52&lt;&gt;$B37,$B53&lt;&gt;$B38,$B54&lt;&gt;$B39,$B55&lt;&gt;$B40,$B56&lt;&gt;$B41,$B57&lt;&gt;$B42,$B58&lt;&gt;$B43),IF($B54&lt;&gt;$B39,AA39/INDEX($C33:$AJ43,7,MATCH(IF('Data-solution'!$A$3="Maximize",MAX($C44:$AI44),MIN($C44:$AI44)),$C44:$AI44,0)),AA39-INDEX($C33:$AJ43,7,MATCH(IF('Data-solution'!$A$3="Maximize",MAX($C44:$AI44),MIN($C44:$AI44)),$C44:$AI44,0))*INDEX(AA33:$AJ43,MATCH(MIN($AK33:$AK43),$AK33:$AK43,0),1)/INDEX($C33:$AJ43,MATCH(MIN($AK33:$AK43),$AK33:$AK43,0),MATCH(IF('Data-solution'!$A$3="Maximize",MAX($C44:$AI44),MIN($C44:$AI44)),$C44:$AI44,0))),AA39)</f>
        <v>0</v>
      </c>
      <c r="AB54" s="1">
        <f>IF(OR($B48&lt;&gt;$B33,$B49&lt;&gt;$B34,$B50&lt;&gt;$B35,$B51&lt;&gt;$B36,$B52&lt;&gt;$B37,$B53&lt;&gt;$B38,$B54&lt;&gt;$B39,$B55&lt;&gt;$B40,$B56&lt;&gt;$B41,$B57&lt;&gt;$B42,$B58&lt;&gt;$B43),IF($B54&lt;&gt;$B39,AB39/INDEX($C33:$AJ43,7,MATCH(IF('Data-solution'!$A$3="Maximize",MAX($C44:$AI44),MIN($C44:$AI44)),$C44:$AI44,0)),AB39-INDEX($C33:$AJ43,7,MATCH(IF('Data-solution'!$A$3="Maximize",MAX($C44:$AI44),MIN($C44:$AI44)),$C44:$AI44,0))*INDEX(AB33:$AJ43,MATCH(MIN($AK33:$AK43),$AK33:$AK43,0),1)/INDEX($C33:$AJ43,MATCH(MIN($AK33:$AK43),$AK33:$AK43,0),MATCH(IF('Data-solution'!$A$3="Maximize",MAX($C44:$AI44),MIN($C44:$AI44)),$C44:$AI44,0))),AB39)</f>
        <v>0</v>
      </c>
      <c r="AC54" s="1">
        <f>IF(OR($B48&lt;&gt;$B33,$B49&lt;&gt;$B34,$B50&lt;&gt;$B35,$B51&lt;&gt;$B36,$B52&lt;&gt;$B37,$B53&lt;&gt;$B38,$B54&lt;&gt;$B39,$B55&lt;&gt;$B40,$B56&lt;&gt;$B41,$B57&lt;&gt;$B42,$B58&lt;&gt;$B43),IF($B54&lt;&gt;$B39,AC39/INDEX($C33:$AJ43,7,MATCH(IF('Data-solution'!$A$3="Maximize",MAX($C44:$AI44),MIN($C44:$AI44)),$C44:$AI44,0)),AC39-INDEX($C33:$AJ43,7,MATCH(IF('Data-solution'!$A$3="Maximize",MAX($C44:$AI44),MIN($C44:$AI44)),$C44:$AI44,0))*INDEX(AC33:$AJ43,MATCH(MIN($AK33:$AK43),$AK33:$AK43,0),1)/INDEX($C33:$AJ43,MATCH(MIN($AK33:$AK43),$AK33:$AK43,0),MATCH(IF('Data-solution'!$A$3="Maximize",MAX($C44:$AI44),MIN($C44:$AI44)),$C44:$AI44,0))),AC39)</f>
        <v>0</v>
      </c>
      <c r="AD54" s="1">
        <f>IF(OR($B48&lt;&gt;$B33,$B49&lt;&gt;$B34,$B50&lt;&gt;$B35,$B51&lt;&gt;$B36,$B52&lt;&gt;$B37,$B53&lt;&gt;$B38,$B54&lt;&gt;$B39,$B55&lt;&gt;$B40,$B56&lt;&gt;$B41,$B57&lt;&gt;$B42,$B58&lt;&gt;$B43),IF($B54&lt;&gt;$B39,AD39/INDEX($C33:$AJ43,7,MATCH(IF('Data-solution'!$A$3="Maximize",MAX($C44:$AI44),MIN($C44:$AI44)),$C44:$AI44,0)),AD39-INDEX($C33:$AJ43,7,MATCH(IF('Data-solution'!$A$3="Maximize",MAX($C44:$AI44),MIN($C44:$AI44)),$C44:$AI44,0))*INDEX(AD33:$AJ43,MATCH(MIN($AK33:$AK43),$AK33:$AK43,0),1)/INDEX($C33:$AJ43,MATCH(MIN($AK33:$AK43),$AK33:$AK43,0),MATCH(IF('Data-solution'!$A$3="Maximize",MAX($C44:$AI44),MIN($C44:$AI44)),$C44:$AI44,0))),AD39)</f>
        <v>0</v>
      </c>
      <c r="AE54" s="1">
        <f>IF(OR($B48&lt;&gt;$B33,$B49&lt;&gt;$B34,$B50&lt;&gt;$B35,$B51&lt;&gt;$B36,$B52&lt;&gt;$B37,$B53&lt;&gt;$B38,$B54&lt;&gt;$B39,$B55&lt;&gt;$B40,$B56&lt;&gt;$B41,$B57&lt;&gt;$B42,$B58&lt;&gt;$B43),IF($B54&lt;&gt;$B39,AE39/INDEX($C33:$AJ43,7,MATCH(IF('Data-solution'!$A$3="Maximize",MAX($C44:$AI44),MIN($C44:$AI44)),$C44:$AI44,0)),AE39-INDEX($C33:$AJ43,7,MATCH(IF('Data-solution'!$A$3="Maximize",MAX($C44:$AI44),MIN($C44:$AI44)),$C44:$AI44,0))*INDEX(AE33:$AJ43,MATCH(MIN($AK33:$AK43),$AK33:$AK43,0),1)/INDEX($C33:$AJ43,MATCH(MIN($AK33:$AK43),$AK33:$AK43,0),MATCH(IF('Data-solution'!$A$3="Maximize",MAX($C44:$AI44),MIN($C44:$AI44)),$C44:$AI44,0))),AE39)</f>
        <v>1</v>
      </c>
      <c r="AF54" s="1">
        <f>IF(OR($B48&lt;&gt;$B33,$B49&lt;&gt;$B34,$B50&lt;&gt;$B35,$B51&lt;&gt;$B36,$B52&lt;&gt;$B37,$B53&lt;&gt;$B38,$B54&lt;&gt;$B39,$B55&lt;&gt;$B40,$B56&lt;&gt;$B41,$B57&lt;&gt;$B42,$B58&lt;&gt;$B43),IF($B54&lt;&gt;$B39,AF39/INDEX($C33:$AJ43,7,MATCH(IF('Data-solution'!$A$3="Maximize",MAX($C44:$AI44),MIN($C44:$AI44)),$C44:$AI44,0)),AF39-INDEX($C33:$AJ43,7,MATCH(IF('Data-solution'!$A$3="Maximize",MAX($C44:$AI44),MIN($C44:$AI44)),$C44:$AI44,0))*INDEX(AF33:$AJ43,MATCH(MIN($AK33:$AK43),$AK33:$AK43,0),1)/INDEX($C33:$AJ43,MATCH(MIN($AK33:$AK43),$AK33:$AK43,0),MATCH(IF('Data-solution'!$A$3="Maximize",MAX($C44:$AI44),MIN($C44:$AI44)),$C44:$AI44,0))),AF39)</f>
        <v>0</v>
      </c>
      <c r="AG54" s="1">
        <f>IF(OR($B48&lt;&gt;$B33,$B49&lt;&gt;$B34,$B50&lt;&gt;$B35,$B51&lt;&gt;$B36,$B52&lt;&gt;$B37,$B53&lt;&gt;$B38,$B54&lt;&gt;$B39,$B55&lt;&gt;$B40,$B56&lt;&gt;$B41,$B57&lt;&gt;$B42,$B58&lt;&gt;$B43),IF($B54&lt;&gt;$B39,AG39/INDEX($C33:$AJ43,7,MATCH(IF('Data-solution'!$A$3="Maximize",MAX($C44:$AI44),MIN($C44:$AI44)),$C44:$AI44,0)),AG39-INDEX($C33:$AJ43,7,MATCH(IF('Data-solution'!$A$3="Maximize",MAX($C44:$AI44),MIN($C44:$AI44)),$C44:$AI44,0))*INDEX(AG33:$AJ43,MATCH(MIN($AK33:$AK43),$AK33:$AK43,0),1)/INDEX($C33:$AJ43,MATCH(MIN($AK33:$AK43),$AK33:$AK43,0),MATCH(IF('Data-solution'!$A$3="Maximize",MAX($C44:$AI44),MIN($C44:$AI44)),$C44:$AI44,0))),AG39)</f>
        <v>0</v>
      </c>
      <c r="AH54" s="1">
        <f>IF(OR($B48&lt;&gt;$B33,$B49&lt;&gt;$B34,$B50&lt;&gt;$B35,$B51&lt;&gt;$B36,$B52&lt;&gt;$B37,$B53&lt;&gt;$B38,$B54&lt;&gt;$B39,$B55&lt;&gt;$B40,$B56&lt;&gt;$B41,$B57&lt;&gt;$B42,$B58&lt;&gt;$B43),IF($B54&lt;&gt;$B39,AH39/INDEX($C33:$AJ43,7,MATCH(IF('Data-solution'!$A$3="Maximize",MAX($C44:$AI44),MIN($C44:$AI44)),$C44:$AI44,0)),AH39-INDEX($C33:$AJ43,7,MATCH(IF('Data-solution'!$A$3="Maximize",MAX($C44:$AI44),MIN($C44:$AI44)),$C44:$AI44,0))*INDEX(AH33:$AJ43,MATCH(MIN($AK33:$AK43),$AK33:$AK43,0),1)/INDEX($C33:$AJ43,MATCH(MIN($AK33:$AK43),$AK33:$AK43,0),MATCH(IF('Data-solution'!$A$3="Maximize",MAX($C44:$AI44),MIN($C44:$AI44)),$C44:$AI44,0))),AH39)</f>
        <v>0</v>
      </c>
      <c r="AI54" s="1">
        <f>IF(OR($B48&lt;&gt;$B33,$B49&lt;&gt;$B34,$B50&lt;&gt;$B35,$B51&lt;&gt;$B36,$B52&lt;&gt;$B37,$B53&lt;&gt;$B38,$B54&lt;&gt;$B39,$B55&lt;&gt;$B40,$B56&lt;&gt;$B41,$B57&lt;&gt;$B42,$B58&lt;&gt;$B43),IF($B54&lt;&gt;$B39,AI39/INDEX($C33:$AJ43,7,MATCH(IF('Data-solution'!$A$3="Maximize",MAX($C44:$AI44),MIN($C44:$AI44)),$C44:$AI44,0)),AI39-INDEX($C33:$AJ43,7,MATCH(IF('Data-solution'!$A$3="Maximize",MAX($C44:$AI44),MIN($C44:$AI44)),$C44:$AI44,0))*INDEX(AI33:$AJ43,MATCH(MIN($AK33:$AK43),$AK33:$AK43,0),1)/INDEX($C33:$AJ43,MATCH(MIN($AK33:$AK43),$AK33:$AK43,0),MATCH(IF('Data-solution'!$A$3="Maximize",MAX($C44:$AI44),MIN($C44:$AI44)),$C44:$AI44,0))),AI39)</f>
        <v>0</v>
      </c>
      <c r="AJ54" s="1">
        <f>IF(OR($B48&lt;&gt;$B33,$B49&lt;&gt;$B34,$B50&lt;&gt;$B35,$B51&lt;&gt;$B36,$B52&lt;&gt;$B37,$B53&lt;&gt;$B38,$B54&lt;&gt;$B39,$B55&lt;&gt;$B40,$B56&lt;&gt;$B41,$B57&lt;&gt;$B42,$B58&lt;&gt;$B43),IF($B54&lt;&gt;$B39,AJ39/INDEX($C33:$AJ43,7,MATCH(IF('Data-solution'!$A$3="Maximize",MAX($C44:$AI44),MIN($C44:$AI44)),$C44:$AI44,0)),AJ39-INDEX($C33:$AJ43,7,MATCH(IF('Data-solution'!$A$3="Maximize",MAX($C44:$AI44),MIN($C44:$AI44)),$C44:$AI44,0))*INDEX(AJ33:$AJ43,MATCH(MIN($AK33:$AK43),$AK33:$AK43,0),1)/INDEX($C33:$AJ43,MATCH(MIN($AK33:$AK43),$AK33:$AK43,0),MATCH(IF('Data-solution'!$A$3="Maximize",MAX($C44:$AI44),MIN($C44:$AI44)),$C44:$AI44,0))),AJ39)</f>
        <v>0</v>
      </c>
      <c r="AK54" s="1" t="str">
        <f>IF(INDEX(C54:X54,1,MATCH(IF('Data-solution'!A$3="Maximize",MAX(C59:X59),MIN(C59:X59)),C59:X59,0))&gt;0,AJ54/INDEX(C54:X54,1,MATCH(IF('Data-solution'!A$3="Maximize",MAX(C59:X59),MIN(C59:X59)),C59:X59,0))," ")</f>
        <v xml:space="preserve"> </v>
      </c>
    </row>
    <row r="55" spans="1:37" ht="18" customHeight="1" x14ac:dyDescent="0.2">
      <c r="A55" s="1">
        <f t="shared" ref="A55" si="29">INDEX(C46:AI46,1,MATCH(B55,C47:AI47,0))</f>
        <v>0</v>
      </c>
      <c r="B55" s="2" t="str">
        <f>IF(AND('Data-solution'!A$3="Maximize",COUNTIF(C44:X44,"&gt;"&amp;0)&gt;0,AK40=MIN(AK33:AK43),COUNTIF(B48:B54,INDEX(C32:X32,1,MATCH(MAX(C44:X44),C44:X44,0)))=0),INDEX(C32:X32,1,MATCH(MAX(C44:X44),C44:X44,0)),IF(AND('Data-solution'!A$3="Minimize",COUNTIF(C44:X44,"&lt;"&amp;0)&gt;0,AK40=MIN(AK33:AK43),COUNTIF(B48:B54,INDEX(C32:X32,1,MATCH(MIN(C44:X44),C44:X44,0)))=0),INDEX(C32:X32,1,MATCH(MIN(C44:X44),C44:X44,0)),B40))</f>
        <v>S8</v>
      </c>
      <c r="C55" s="1">
        <f>IF(OR($B48&lt;&gt;$B33,$B49&lt;&gt;$B34,$B50&lt;&gt;$B35,$B51&lt;&gt;$B36,$B52&lt;&gt;$B37,$B53&lt;&gt;$B38,$B54&lt;&gt;$B39,$B55&lt;&gt;$B40,$B56&lt;&gt;$B41,$B57&lt;&gt;$B42,$B58&lt;&gt;$B43),IF($B55&lt;&gt;$B40,C40/INDEX($C33:$AJ43,8,MATCH(IF('Data-solution'!$A$3="Maximize",MAX($C44:$AI44),MIN($C44:$AI44)),$C44:$AI44,0)),C40-INDEX($C33:$AJ43,8,MATCH(IF('Data-solution'!$A$3="Maximize",MAX($C44:$AI44),MIN($C44:$AI44)),$C44:$AI44,0))*INDEX(C33:$AJ43,MATCH(MIN($AK33:$AK43),$AK33:$AK43,0),1)/INDEX($C33:$AJ43,MATCH(MIN($AK33:$AK43),$AK33:$AK43,0),MATCH(IF('Data-solution'!$A$3="Maximize",MAX($C44:$AI44),MIN($C44:$AI44)),$C44:$AI44,0))),C40)</f>
        <v>0</v>
      </c>
      <c r="D55" s="1">
        <f>IF(OR($B48&lt;&gt;$B33,$B49&lt;&gt;$B34,$B50&lt;&gt;$B35,$B51&lt;&gt;$B36,$B52&lt;&gt;$B37,$B53&lt;&gt;$B38,$B54&lt;&gt;$B39,$B55&lt;&gt;$B40,$B56&lt;&gt;$B41,$B57&lt;&gt;$B42,$B58&lt;&gt;$B43),IF($B55&lt;&gt;$B40,D40/INDEX($C33:$AJ43,8,MATCH(IF('Data-solution'!$A$3="Maximize",MAX($C44:$AI44),MIN($C44:$AI44)),$C44:$AI44,0)),D40-INDEX($C33:$AJ43,8,MATCH(IF('Data-solution'!$A$3="Maximize",MAX($C44:$AI44),MIN($C44:$AI44)),$C44:$AI44,0))*INDEX(D33:$AJ43,MATCH(MIN($AK33:$AK43),$AK33:$AK43,0),1)/INDEX($C33:$AJ43,MATCH(MIN($AK33:$AK43),$AK33:$AK43,0),MATCH(IF('Data-solution'!$A$3="Maximize",MAX($C44:$AI44),MIN($C44:$AI44)),$C44:$AI44,0))),D40)</f>
        <v>0</v>
      </c>
      <c r="E55" s="1">
        <f>IF(OR($B48&lt;&gt;$B33,$B49&lt;&gt;$B34,$B50&lt;&gt;$B35,$B51&lt;&gt;$B36,$B52&lt;&gt;$B37,$B53&lt;&gt;$B38,$B54&lt;&gt;$B39,$B55&lt;&gt;$B40,$B56&lt;&gt;$B41,$B57&lt;&gt;$B42,$B58&lt;&gt;$B43),IF($B55&lt;&gt;$B40,E40/INDEX($C33:$AJ43,8,MATCH(IF('Data-solution'!$A$3="Maximize",MAX($C44:$AI44),MIN($C44:$AI44)),$C44:$AI44,0)),E40-INDEX($C33:$AJ43,8,MATCH(IF('Data-solution'!$A$3="Maximize",MAX($C44:$AI44),MIN($C44:$AI44)),$C44:$AI44,0))*INDEX(E33:$AJ43,MATCH(MIN($AK33:$AK43),$AK33:$AK43,0),1)/INDEX($C33:$AJ43,MATCH(MIN($AK33:$AK43),$AK33:$AK43,0),MATCH(IF('Data-solution'!$A$3="Maximize",MAX($C44:$AI44),MIN($C44:$AI44)),$C44:$AI44,0))),E40)</f>
        <v>0</v>
      </c>
      <c r="F55" s="1">
        <f>IF(OR($B48&lt;&gt;$B33,$B49&lt;&gt;$B34,$B50&lt;&gt;$B35,$B51&lt;&gt;$B36,$B52&lt;&gt;$B37,$B53&lt;&gt;$B38,$B54&lt;&gt;$B39,$B55&lt;&gt;$B40,$B56&lt;&gt;$B41,$B57&lt;&gt;$B42,$B58&lt;&gt;$B43),IF($B55&lt;&gt;$B40,F40/INDEX($C33:$AJ43,8,MATCH(IF('Data-solution'!$A$3="Maximize",MAX($C44:$AI44),MIN($C44:$AI44)),$C44:$AI44,0)),F40-INDEX($C33:$AJ43,8,MATCH(IF('Data-solution'!$A$3="Maximize",MAX($C44:$AI44),MIN($C44:$AI44)),$C44:$AI44,0))*INDEX(F33:$AJ43,MATCH(MIN($AK33:$AK43),$AK33:$AK43,0),1)/INDEX($C33:$AJ43,MATCH(MIN($AK33:$AK43),$AK33:$AK43,0),MATCH(IF('Data-solution'!$A$3="Maximize",MAX($C44:$AI44),MIN($C44:$AI44)),$C44:$AI44,0))),F40)</f>
        <v>0</v>
      </c>
      <c r="G55" s="1">
        <f>IF(OR($B48&lt;&gt;$B33,$B49&lt;&gt;$B34,$B50&lt;&gt;$B35,$B51&lt;&gt;$B36,$B52&lt;&gt;$B37,$B53&lt;&gt;$B38,$B54&lt;&gt;$B39,$B55&lt;&gt;$B40,$B56&lt;&gt;$B41,$B57&lt;&gt;$B42,$B58&lt;&gt;$B43),IF($B55&lt;&gt;$B40,G40/INDEX($C33:$AJ43,8,MATCH(IF('Data-solution'!$A$3="Maximize",MAX($C44:$AI44),MIN($C44:$AI44)),$C44:$AI44,0)),G40-INDEX($C33:$AJ43,8,MATCH(IF('Data-solution'!$A$3="Maximize",MAX($C44:$AI44),MIN($C44:$AI44)),$C44:$AI44,0))*INDEX(G33:$AJ43,MATCH(MIN($AK33:$AK43),$AK33:$AK43,0),1)/INDEX($C33:$AJ43,MATCH(MIN($AK33:$AK43),$AK33:$AK43,0),MATCH(IF('Data-solution'!$A$3="Maximize",MAX($C44:$AI44),MIN($C44:$AI44)),$C44:$AI44,0))),G40)</f>
        <v>0</v>
      </c>
      <c r="H55" s="1">
        <f>IF(OR($B48&lt;&gt;$B33,$B49&lt;&gt;$B34,$B50&lt;&gt;$B35,$B51&lt;&gt;$B36,$B52&lt;&gt;$B37,$B53&lt;&gt;$B38,$B54&lt;&gt;$B39,$B55&lt;&gt;$B40,$B56&lt;&gt;$B41,$B57&lt;&gt;$B42,$B58&lt;&gt;$B43),IF($B55&lt;&gt;$B40,H40/INDEX($C33:$AJ43,8,MATCH(IF('Data-solution'!$A$3="Maximize",MAX($C44:$AI44),MIN($C44:$AI44)),$C44:$AI44,0)),H40-INDEX($C33:$AJ43,8,MATCH(IF('Data-solution'!$A$3="Maximize",MAX($C44:$AI44),MIN($C44:$AI44)),$C44:$AI44,0))*INDEX(H33:$AJ43,MATCH(MIN($AK33:$AK43),$AK33:$AK43,0),1)/INDEX($C33:$AJ43,MATCH(MIN($AK33:$AK43),$AK33:$AK43,0),MATCH(IF('Data-solution'!$A$3="Maximize",MAX($C44:$AI44),MIN($C44:$AI44)),$C44:$AI44,0))),H40)</f>
        <v>0</v>
      </c>
      <c r="I55" s="1">
        <f>IF(OR($B48&lt;&gt;$B33,$B49&lt;&gt;$B34,$B50&lt;&gt;$B35,$B51&lt;&gt;$B36,$B52&lt;&gt;$B37,$B53&lt;&gt;$B38,$B54&lt;&gt;$B39,$B55&lt;&gt;$B40,$B56&lt;&gt;$B41,$B57&lt;&gt;$B42,$B58&lt;&gt;$B43),IF($B55&lt;&gt;$B40,I40/INDEX($C33:$AJ43,8,MATCH(IF('Data-solution'!$A$3="Maximize",MAX($C44:$AI44),MIN($C44:$AI44)),$C44:$AI44,0)),I40-INDEX($C33:$AJ43,8,MATCH(IF('Data-solution'!$A$3="Maximize",MAX($C44:$AI44),MIN($C44:$AI44)),$C44:$AI44,0))*INDEX(I33:$AJ43,MATCH(MIN($AK33:$AK43),$AK33:$AK43,0),1)/INDEX($C33:$AJ43,MATCH(MIN($AK33:$AK43),$AK33:$AK43,0),MATCH(IF('Data-solution'!$A$3="Maximize",MAX($C44:$AI44),MIN($C44:$AI44)),$C44:$AI44,0))),I40)</f>
        <v>0</v>
      </c>
      <c r="J55" s="1">
        <f>IF(OR($B48&lt;&gt;$B33,$B49&lt;&gt;$B34,$B50&lt;&gt;$B35,$B51&lt;&gt;$B36,$B52&lt;&gt;$B37,$B53&lt;&gt;$B38,$B54&lt;&gt;$B39,$B55&lt;&gt;$B40,$B56&lt;&gt;$B41,$B57&lt;&gt;$B42,$B58&lt;&gt;$B43),IF($B55&lt;&gt;$B40,J40/INDEX($C33:$AJ43,8,MATCH(IF('Data-solution'!$A$3="Maximize",MAX($C44:$AI44),MIN($C44:$AI44)),$C44:$AI44,0)),J40-INDEX($C33:$AJ43,8,MATCH(IF('Data-solution'!$A$3="Maximize",MAX($C44:$AI44),MIN($C44:$AI44)),$C44:$AI44,0))*INDEX(J33:$AJ43,MATCH(MIN($AK33:$AK43),$AK33:$AK43,0),1)/INDEX($C33:$AJ43,MATCH(MIN($AK33:$AK43),$AK33:$AK43,0),MATCH(IF('Data-solution'!$A$3="Maximize",MAX($C44:$AI44),MIN($C44:$AI44)),$C44:$AI44,0))),J40)</f>
        <v>0</v>
      </c>
      <c r="K55" s="1">
        <f>IF(OR($B48&lt;&gt;$B33,$B49&lt;&gt;$B34,$B50&lt;&gt;$B35,$B51&lt;&gt;$B36,$B52&lt;&gt;$B37,$B53&lt;&gt;$B38,$B54&lt;&gt;$B39,$B55&lt;&gt;$B40,$B56&lt;&gt;$B41,$B57&lt;&gt;$B42,$B58&lt;&gt;$B43),IF($B55&lt;&gt;$B40,K40/INDEX($C33:$AJ43,8,MATCH(IF('Data-solution'!$A$3="Maximize",MAX($C44:$AI44),MIN($C44:$AI44)),$C44:$AI44,0)),K40-INDEX($C33:$AJ43,8,MATCH(IF('Data-solution'!$A$3="Maximize",MAX($C44:$AI44),MIN($C44:$AI44)),$C44:$AI44,0))*INDEX(K33:$AJ43,MATCH(MIN($AK33:$AK43),$AK33:$AK43,0),1)/INDEX($C33:$AJ43,MATCH(MIN($AK33:$AK43),$AK33:$AK43,0),MATCH(IF('Data-solution'!$A$3="Maximize",MAX($C44:$AI44),MIN($C44:$AI44)),$C44:$AI44,0))),K40)</f>
        <v>0</v>
      </c>
      <c r="L55" s="1">
        <f>IF(OR($B48&lt;&gt;$B33,$B49&lt;&gt;$B34,$B50&lt;&gt;$B35,$B51&lt;&gt;$B36,$B52&lt;&gt;$B37,$B53&lt;&gt;$B38,$B54&lt;&gt;$B39,$B55&lt;&gt;$B40,$B56&lt;&gt;$B41,$B57&lt;&gt;$B42,$B58&lt;&gt;$B43),IF($B55&lt;&gt;$B40,L40/INDEX($C33:$AJ43,8,MATCH(IF('Data-solution'!$A$3="Maximize",MAX($C44:$AI44),MIN($C44:$AI44)),$C44:$AI44,0)),L40-INDEX($C33:$AJ43,8,MATCH(IF('Data-solution'!$A$3="Maximize",MAX($C44:$AI44),MIN($C44:$AI44)),$C44:$AI44,0))*INDEX(L33:$AJ43,MATCH(MIN($AK33:$AK43),$AK33:$AK43,0),1)/INDEX($C33:$AJ43,MATCH(MIN($AK33:$AK43),$AK33:$AK43,0),MATCH(IF('Data-solution'!$A$3="Maximize",MAX($C44:$AI44),MIN($C44:$AI44)),$C44:$AI44,0))),L40)</f>
        <v>0</v>
      </c>
      <c r="M55" s="1">
        <f>IF(OR($B48&lt;&gt;$B33,$B49&lt;&gt;$B34,$B50&lt;&gt;$B35,$B51&lt;&gt;$B36,$B52&lt;&gt;$B37,$B53&lt;&gt;$B38,$B54&lt;&gt;$B39,$B55&lt;&gt;$B40,$B56&lt;&gt;$B41,$B57&lt;&gt;$B42,$B58&lt;&gt;$B43),IF($B55&lt;&gt;$B40,M40/INDEX($C33:$AJ43,8,MATCH(IF('Data-solution'!$A$3="Maximize",MAX($C44:$AI44),MIN($C44:$AI44)),$C44:$AI44,0)),M40-INDEX($C33:$AJ43,8,MATCH(IF('Data-solution'!$A$3="Maximize",MAX($C44:$AI44),MIN($C44:$AI44)),$C44:$AI44,0))*INDEX(M33:$AJ43,MATCH(MIN($AK33:$AK43),$AK33:$AK43,0),1)/INDEX($C33:$AJ43,MATCH(MIN($AK33:$AK43),$AK33:$AK43,0),MATCH(IF('Data-solution'!$A$3="Maximize",MAX($C44:$AI44),MIN($C44:$AI44)),$C44:$AI44,0))),M40)</f>
        <v>0</v>
      </c>
      <c r="N55" s="1">
        <f>IF(OR($B48&lt;&gt;$B33,$B49&lt;&gt;$B34,$B50&lt;&gt;$B35,$B51&lt;&gt;$B36,$B52&lt;&gt;$B37,$B53&lt;&gt;$B38,$B54&lt;&gt;$B39,$B55&lt;&gt;$B40,$B56&lt;&gt;$B41,$B57&lt;&gt;$B42,$B58&lt;&gt;$B43),IF($B55&lt;&gt;$B40,N40/INDEX($C33:$AJ43,8,MATCH(IF('Data-solution'!$A$3="Maximize",MAX($C44:$AI44),MIN($C44:$AI44)),$C44:$AI44,0)),N40-INDEX($C33:$AJ43,8,MATCH(IF('Data-solution'!$A$3="Maximize",MAX($C44:$AI44),MIN($C44:$AI44)),$C44:$AI44,0))*INDEX(N33:$AJ43,MATCH(MIN($AK33:$AK43),$AK33:$AK43,0),1)/INDEX($C33:$AJ43,MATCH(MIN($AK33:$AK43),$AK33:$AK43,0),MATCH(IF('Data-solution'!$A$3="Maximize",MAX($C44:$AI44),MIN($C44:$AI44)),$C44:$AI44,0))),N40)</f>
        <v>0</v>
      </c>
      <c r="O55" s="1">
        <f>IF(OR($B48&lt;&gt;$B33,$B49&lt;&gt;$B34,$B50&lt;&gt;$B35,$B51&lt;&gt;$B36,$B52&lt;&gt;$B37,$B53&lt;&gt;$B38,$B54&lt;&gt;$B39,$B55&lt;&gt;$B40,$B56&lt;&gt;$B41,$B57&lt;&gt;$B42,$B58&lt;&gt;$B43),IF($B55&lt;&gt;$B40,O40/INDEX($C33:$AJ43,8,MATCH(IF('Data-solution'!$A$3="Maximize",MAX($C44:$AI44),MIN($C44:$AI44)),$C44:$AI44,0)),O40-INDEX($C33:$AJ43,8,MATCH(IF('Data-solution'!$A$3="Maximize",MAX($C44:$AI44),MIN($C44:$AI44)),$C44:$AI44,0))*INDEX(O33:$AJ43,MATCH(MIN($AK33:$AK43),$AK33:$AK43,0),1)/INDEX($C33:$AJ43,MATCH(MIN($AK33:$AK43),$AK33:$AK43,0),MATCH(IF('Data-solution'!$A$3="Maximize",MAX($C44:$AI44),MIN($C44:$AI44)),$C44:$AI44,0))),O40)</f>
        <v>0</v>
      </c>
      <c r="P55" s="1">
        <f>IF(OR($B48&lt;&gt;$B33,$B49&lt;&gt;$B34,$B50&lt;&gt;$B35,$B51&lt;&gt;$B36,$B52&lt;&gt;$B37,$B53&lt;&gt;$B38,$B54&lt;&gt;$B39,$B55&lt;&gt;$B40,$B56&lt;&gt;$B41,$B57&lt;&gt;$B42,$B58&lt;&gt;$B43),IF($B55&lt;&gt;$B40,P40/INDEX($C33:$AJ43,8,MATCH(IF('Data-solution'!$A$3="Maximize",MAX($C44:$AI44),MIN($C44:$AI44)),$C44:$AI44,0)),P40-INDEX($C33:$AJ43,8,MATCH(IF('Data-solution'!$A$3="Maximize",MAX($C44:$AI44),MIN($C44:$AI44)),$C44:$AI44,0))*INDEX(P33:$AJ43,MATCH(MIN($AK33:$AK43),$AK33:$AK43,0),1)/INDEX($C33:$AJ43,MATCH(MIN($AK33:$AK43),$AK33:$AK43,0),MATCH(IF('Data-solution'!$A$3="Maximize",MAX($C44:$AI44),MIN($C44:$AI44)),$C44:$AI44,0))),P40)</f>
        <v>0</v>
      </c>
      <c r="Q55" s="1">
        <f>IF(OR($B48&lt;&gt;$B33,$B49&lt;&gt;$B34,$B50&lt;&gt;$B35,$B51&lt;&gt;$B36,$B52&lt;&gt;$B37,$B53&lt;&gt;$B38,$B54&lt;&gt;$B39,$B55&lt;&gt;$B40,$B56&lt;&gt;$B41,$B57&lt;&gt;$B42,$B58&lt;&gt;$B43),IF($B55&lt;&gt;$B40,Q40/INDEX($C33:$AJ43,8,MATCH(IF('Data-solution'!$A$3="Maximize",MAX($C44:$AI44),MIN($C44:$AI44)),$C44:$AI44,0)),Q40-INDEX($C33:$AJ43,8,MATCH(IF('Data-solution'!$A$3="Maximize",MAX($C44:$AI44),MIN($C44:$AI44)),$C44:$AI44,0))*INDEX(Q33:$AJ43,MATCH(MIN($AK33:$AK43),$AK33:$AK43,0),1)/INDEX($C33:$AJ43,MATCH(MIN($AK33:$AK43),$AK33:$AK43,0),MATCH(IF('Data-solution'!$A$3="Maximize",MAX($C44:$AI44),MIN($C44:$AI44)),$C44:$AI44,0))),Q40)</f>
        <v>0</v>
      </c>
      <c r="R55" s="1">
        <f>IF(OR($B48&lt;&gt;$B33,$B49&lt;&gt;$B34,$B50&lt;&gt;$B35,$B51&lt;&gt;$B36,$B52&lt;&gt;$B37,$B53&lt;&gt;$B38,$B54&lt;&gt;$B39,$B55&lt;&gt;$B40,$B56&lt;&gt;$B41,$B57&lt;&gt;$B42,$B58&lt;&gt;$B43),IF($B55&lt;&gt;$B40,R40/INDEX($C33:$AJ43,8,MATCH(IF('Data-solution'!$A$3="Maximize",MAX($C44:$AI44),MIN($C44:$AI44)),$C44:$AI44,0)),R40-INDEX($C33:$AJ43,8,MATCH(IF('Data-solution'!$A$3="Maximize",MAX($C44:$AI44),MIN($C44:$AI44)),$C44:$AI44,0))*INDEX(R33:$AJ43,MATCH(MIN($AK33:$AK43),$AK33:$AK43,0),1)/INDEX($C33:$AJ43,MATCH(MIN($AK33:$AK43),$AK33:$AK43,0),MATCH(IF('Data-solution'!$A$3="Maximize",MAX($C44:$AI44),MIN($C44:$AI44)),$C44:$AI44,0))),R40)</f>
        <v>0</v>
      </c>
      <c r="S55" s="1">
        <f>IF(OR($B48&lt;&gt;$B33,$B49&lt;&gt;$B34,$B50&lt;&gt;$B35,$B51&lt;&gt;$B36,$B52&lt;&gt;$B37,$B53&lt;&gt;$B38,$B54&lt;&gt;$B39,$B55&lt;&gt;$B40,$B56&lt;&gt;$B41,$B57&lt;&gt;$B42,$B58&lt;&gt;$B43),IF($B55&lt;&gt;$B40,S40/INDEX($C33:$AJ43,8,MATCH(IF('Data-solution'!$A$3="Maximize",MAX($C44:$AI44),MIN($C44:$AI44)),$C44:$AI44,0)),S40-INDEX($C33:$AJ43,8,MATCH(IF('Data-solution'!$A$3="Maximize",MAX($C44:$AI44),MIN($C44:$AI44)),$C44:$AI44,0))*INDEX(S33:$AJ43,MATCH(MIN($AK33:$AK43),$AK33:$AK43,0),1)/INDEX($C33:$AJ43,MATCH(MIN($AK33:$AK43),$AK33:$AK43,0),MATCH(IF('Data-solution'!$A$3="Maximize",MAX($C44:$AI44),MIN($C44:$AI44)),$C44:$AI44,0))),S40)</f>
        <v>0</v>
      </c>
      <c r="T55" s="1">
        <f>IF(OR($B48&lt;&gt;$B33,$B49&lt;&gt;$B34,$B50&lt;&gt;$B35,$B51&lt;&gt;$B36,$B52&lt;&gt;$B37,$B53&lt;&gt;$B38,$B54&lt;&gt;$B39,$B55&lt;&gt;$B40,$B56&lt;&gt;$B41,$B57&lt;&gt;$B42,$B58&lt;&gt;$B43),IF($B55&lt;&gt;$B40,T40/INDEX($C33:$AJ43,8,MATCH(IF('Data-solution'!$A$3="Maximize",MAX($C44:$AI44),MIN($C44:$AI44)),$C44:$AI44,0)),T40-INDEX($C33:$AJ43,8,MATCH(IF('Data-solution'!$A$3="Maximize",MAX($C44:$AI44),MIN($C44:$AI44)),$C44:$AI44,0))*INDEX(T33:$AJ43,MATCH(MIN($AK33:$AK43),$AK33:$AK43,0),1)/INDEX($C33:$AJ43,MATCH(MIN($AK33:$AK43),$AK33:$AK43,0),MATCH(IF('Data-solution'!$A$3="Maximize",MAX($C44:$AI44),MIN($C44:$AI44)),$C44:$AI44,0))),T40)</f>
        <v>0</v>
      </c>
      <c r="U55" s="1">
        <f>IF(OR($B48&lt;&gt;$B33,$B49&lt;&gt;$B34,$B50&lt;&gt;$B35,$B51&lt;&gt;$B36,$B52&lt;&gt;$B37,$B53&lt;&gt;$B38,$B54&lt;&gt;$B39,$B55&lt;&gt;$B40,$B56&lt;&gt;$B41,$B57&lt;&gt;$B42,$B58&lt;&gt;$B43),IF($B55&lt;&gt;$B40,U40/INDEX($C33:$AJ43,8,MATCH(IF('Data-solution'!$A$3="Maximize",MAX($C44:$AI44),MIN($C44:$AI44)),$C44:$AI44,0)),U40-INDEX($C33:$AJ43,8,MATCH(IF('Data-solution'!$A$3="Maximize",MAX($C44:$AI44),MIN($C44:$AI44)),$C44:$AI44,0))*INDEX(U33:$AJ43,MATCH(MIN($AK33:$AK43),$AK33:$AK43,0),1)/INDEX($C33:$AJ43,MATCH(MIN($AK33:$AK43),$AK33:$AK43,0),MATCH(IF('Data-solution'!$A$3="Maximize",MAX($C44:$AI44),MIN($C44:$AI44)),$C44:$AI44,0))),U40)</f>
        <v>1</v>
      </c>
      <c r="V55" s="1">
        <f>IF(OR($B48&lt;&gt;$B33,$B49&lt;&gt;$B34,$B50&lt;&gt;$B35,$B51&lt;&gt;$B36,$B52&lt;&gt;$B37,$B53&lt;&gt;$B38,$B54&lt;&gt;$B39,$B55&lt;&gt;$B40,$B56&lt;&gt;$B41,$B57&lt;&gt;$B42,$B58&lt;&gt;$B43),IF($B55&lt;&gt;$B40,V40/INDEX($C33:$AJ43,8,MATCH(IF('Data-solution'!$A$3="Maximize",MAX($C44:$AI44),MIN($C44:$AI44)),$C44:$AI44,0)),V40-INDEX($C33:$AJ43,8,MATCH(IF('Data-solution'!$A$3="Maximize",MAX($C44:$AI44),MIN($C44:$AI44)),$C44:$AI44,0))*INDEX(V33:$AJ43,MATCH(MIN($AK33:$AK43),$AK33:$AK43,0),1)/INDEX($C33:$AJ43,MATCH(MIN($AK33:$AK43),$AK33:$AK43,0),MATCH(IF('Data-solution'!$A$3="Maximize",MAX($C44:$AI44),MIN($C44:$AI44)),$C44:$AI44,0))),V40)</f>
        <v>0</v>
      </c>
      <c r="W55" s="1">
        <f>IF(OR($B48&lt;&gt;$B33,$B49&lt;&gt;$B34,$B50&lt;&gt;$B35,$B51&lt;&gt;$B36,$B52&lt;&gt;$B37,$B53&lt;&gt;$B38,$B54&lt;&gt;$B39,$B55&lt;&gt;$B40,$B56&lt;&gt;$B41,$B57&lt;&gt;$B42,$B58&lt;&gt;$B43),IF($B55&lt;&gt;$B40,W40/INDEX($C33:$AJ43,8,MATCH(IF('Data-solution'!$A$3="Maximize",MAX($C44:$AI44),MIN($C44:$AI44)),$C44:$AI44,0)),W40-INDEX($C33:$AJ43,8,MATCH(IF('Data-solution'!$A$3="Maximize",MAX($C44:$AI44),MIN($C44:$AI44)),$C44:$AI44,0))*INDEX(W33:$AJ43,MATCH(MIN($AK33:$AK43),$AK33:$AK43,0),1)/INDEX($C33:$AJ43,MATCH(MIN($AK33:$AK43),$AK33:$AK43,0),MATCH(IF('Data-solution'!$A$3="Maximize",MAX($C44:$AI44),MIN($C44:$AI44)),$C44:$AI44,0))),W40)</f>
        <v>0</v>
      </c>
      <c r="X55" s="1">
        <f>IF(OR($B48&lt;&gt;$B33,$B49&lt;&gt;$B34,$B50&lt;&gt;$B35,$B51&lt;&gt;$B36,$B52&lt;&gt;$B37,$B53&lt;&gt;$B38,$B54&lt;&gt;$B39,$B55&lt;&gt;$B40,$B56&lt;&gt;$B41,$B57&lt;&gt;$B42,$B58&lt;&gt;$B43),IF($B55&lt;&gt;$B40,X40/INDEX($C33:$AJ43,8,MATCH(IF('Data-solution'!$A$3="Maximize",MAX($C44:$AI44),MIN($C44:$AI44)),$C44:$AI44,0)),X40-INDEX($C33:$AJ43,8,MATCH(IF('Data-solution'!$A$3="Maximize",MAX($C44:$AI44),MIN($C44:$AI44)),$C44:$AI44,0))*INDEX(X33:$AJ43,MATCH(MIN($AK33:$AK43),$AK33:$AK43,0),1)/INDEX($C33:$AJ43,MATCH(MIN($AK33:$AK43),$AK33:$AK43,0),MATCH(IF('Data-solution'!$A$3="Maximize",MAX($C44:$AI44),MIN($C44:$AI44)),$C44:$AI44,0))),X40)</f>
        <v>0</v>
      </c>
      <c r="Y55" s="1">
        <f>IF(OR($B48&lt;&gt;$B33,$B49&lt;&gt;$B34,$B50&lt;&gt;$B35,$B51&lt;&gt;$B36,$B52&lt;&gt;$B37,$B53&lt;&gt;$B38,$B54&lt;&gt;$B39,$B55&lt;&gt;$B40,$B56&lt;&gt;$B41,$B57&lt;&gt;$B42,$B58&lt;&gt;$B43),IF($B55&lt;&gt;$B40,Y40/INDEX($C33:$AJ43,8,MATCH(IF('Data-solution'!$A$3="Maximize",MAX($C44:$AI44),MIN($C44:$AI44)),$C44:$AI44,0)),Y40-INDEX($C33:$AJ43,8,MATCH(IF('Data-solution'!$A$3="Maximize",MAX($C44:$AI44),MIN($C44:$AI44)),$C44:$AI44,0))*INDEX(Y33:$AJ43,MATCH(MIN($AK33:$AK43),$AK33:$AK43,0),1)/INDEX($C33:$AJ43,MATCH(MIN($AK33:$AK43),$AK33:$AK43,0),MATCH(IF('Data-solution'!$A$3="Maximize",MAX($C44:$AI44),MIN($C44:$AI44)),$C44:$AI44,0))),Y40)</f>
        <v>0</v>
      </c>
      <c r="Z55" s="1">
        <f>IF(OR($B48&lt;&gt;$B33,$B49&lt;&gt;$B34,$B50&lt;&gt;$B35,$B51&lt;&gt;$B36,$B52&lt;&gt;$B37,$B53&lt;&gt;$B38,$B54&lt;&gt;$B39,$B55&lt;&gt;$B40,$B56&lt;&gt;$B41,$B57&lt;&gt;$B42,$B58&lt;&gt;$B43),IF($B55&lt;&gt;$B40,Z40/INDEX($C33:$AJ43,8,MATCH(IF('Data-solution'!$A$3="Maximize",MAX($C44:$AI44),MIN($C44:$AI44)),$C44:$AI44,0)),Z40-INDEX($C33:$AJ43,8,MATCH(IF('Data-solution'!$A$3="Maximize",MAX($C44:$AI44),MIN($C44:$AI44)),$C44:$AI44,0))*INDEX(Z33:$AJ43,MATCH(MIN($AK33:$AK43),$AK33:$AK43,0),1)/INDEX($C33:$AJ43,MATCH(MIN($AK33:$AK43),$AK33:$AK43,0),MATCH(IF('Data-solution'!$A$3="Maximize",MAX($C44:$AI44),MIN($C44:$AI44)),$C44:$AI44,0))),Z40)</f>
        <v>0</v>
      </c>
      <c r="AA55" s="1">
        <f>IF(OR($B48&lt;&gt;$B33,$B49&lt;&gt;$B34,$B50&lt;&gt;$B35,$B51&lt;&gt;$B36,$B52&lt;&gt;$B37,$B53&lt;&gt;$B38,$B54&lt;&gt;$B39,$B55&lt;&gt;$B40,$B56&lt;&gt;$B41,$B57&lt;&gt;$B42,$B58&lt;&gt;$B43),IF($B55&lt;&gt;$B40,AA40/INDEX($C33:$AJ43,8,MATCH(IF('Data-solution'!$A$3="Maximize",MAX($C44:$AI44),MIN($C44:$AI44)),$C44:$AI44,0)),AA40-INDEX($C33:$AJ43,8,MATCH(IF('Data-solution'!$A$3="Maximize",MAX($C44:$AI44),MIN($C44:$AI44)),$C44:$AI44,0))*INDEX(AA33:$AJ43,MATCH(MIN($AK33:$AK43),$AK33:$AK43,0),1)/INDEX($C33:$AJ43,MATCH(MIN($AK33:$AK43),$AK33:$AK43,0),MATCH(IF('Data-solution'!$A$3="Maximize",MAX($C44:$AI44),MIN($C44:$AI44)),$C44:$AI44,0))),AA40)</f>
        <v>0</v>
      </c>
      <c r="AB55" s="1">
        <f>IF(OR($B48&lt;&gt;$B33,$B49&lt;&gt;$B34,$B50&lt;&gt;$B35,$B51&lt;&gt;$B36,$B52&lt;&gt;$B37,$B53&lt;&gt;$B38,$B54&lt;&gt;$B39,$B55&lt;&gt;$B40,$B56&lt;&gt;$B41,$B57&lt;&gt;$B42,$B58&lt;&gt;$B43),IF($B55&lt;&gt;$B40,AB40/INDEX($C33:$AJ43,8,MATCH(IF('Data-solution'!$A$3="Maximize",MAX($C44:$AI44),MIN($C44:$AI44)),$C44:$AI44,0)),AB40-INDEX($C33:$AJ43,8,MATCH(IF('Data-solution'!$A$3="Maximize",MAX($C44:$AI44),MIN($C44:$AI44)),$C44:$AI44,0))*INDEX(AB33:$AJ43,MATCH(MIN($AK33:$AK43),$AK33:$AK43,0),1)/INDEX($C33:$AJ43,MATCH(MIN($AK33:$AK43),$AK33:$AK43,0),MATCH(IF('Data-solution'!$A$3="Maximize",MAX($C44:$AI44),MIN($C44:$AI44)),$C44:$AI44,0))),AB40)</f>
        <v>0</v>
      </c>
      <c r="AC55" s="1">
        <f>IF(OR($B48&lt;&gt;$B33,$B49&lt;&gt;$B34,$B50&lt;&gt;$B35,$B51&lt;&gt;$B36,$B52&lt;&gt;$B37,$B53&lt;&gt;$B38,$B54&lt;&gt;$B39,$B55&lt;&gt;$B40,$B56&lt;&gt;$B41,$B57&lt;&gt;$B42,$B58&lt;&gt;$B43),IF($B55&lt;&gt;$B40,AC40/INDEX($C33:$AJ43,8,MATCH(IF('Data-solution'!$A$3="Maximize",MAX($C44:$AI44),MIN($C44:$AI44)),$C44:$AI44,0)),AC40-INDEX($C33:$AJ43,8,MATCH(IF('Data-solution'!$A$3="Maximize",MAX($C44:$AI44),MIN($C44:$AI44)),$C44:$AI44,0))*INDEX(AC33:$AJ43,MATCH(MIN($AK33:$AK43),$AK33:$AK43,0),1)/INDEX($C33:$AJ43,MATCH(MIN($AK33:$AK43),$AK33:$AK43,0),MATCH(IF('Data-solution'!$A$3="Maximize",MAX($C44:$AI44),MIN($C44:$AI44)),$C44:$AI44,0))),AC40)</f>
        <v>0</v>
      </c>
      <c r="AD55" s="1">
        <f>IF(OR($B48&lt;&gt;$B33,$B49&lt;&gt;$B34,$B50&lt;&gt;$B35,$B51&lt;&gt;$B36,$B52&lt;&gt;$B37,$B53&lt;&gt;$B38,$B54&lt;&gt;$B39,$B55&lt;&gt;$B40,$B56&lt;&gt;$B41,$B57&lt;&gt;$B42,$B58&lt;&gt;$B43),IF($B55&lt;&gt;$B40,AD40/INDEX($C33:$AJ43,8,MATCH(IF('Data-solution'!$A$3="Maximize",MAX($C44:$AI44),MIN($C44:$AI44)),$C44:$AI44,0)),AD40-INDEX($C33:$AJ43,8,MATCH(IF('Data-solution'!$A$3="Maximize",MAX($C44:$AI44),MIN($C44:$AI44)),$C44:$AI44,0))*INDEX(AD33:$AJ43,MATCH(MIN($AK33:$AK43),$AK33:$AK43,0),1)/INDEX($C33:$AJ43,MATCH(MIN($AK33:$AK43),$AK33:$AK43,0),MATCH(IF('Data-solution'!$A$3="Maximize",MAX($C44:$AI44),MIN($C44:$AI44)),$C44:$AI44,0))),AD40)</f>
        <v>0</v>
      </c>
      <c r="AE55" s="1">
        <f>IF(OR($B48&lt;&gt;$B33,$B49&lt;&gt;$B34,$B50&lt;&gt;$B35,$B51&lt;&gt;$B36,$B52&lt;&gt;$B37,$B53&lt;&gt;$B38,$B54&lt;&gt;$B39,$B55&lt;&gt;$B40,$B56&lt;&gt;$B41,$B57&lt;&gt;$B42,$B58&lt;&gt;$B43),IF($B55&lt;&gt;$B40,AE40/INDEX($C33:$AJ43,8,MATCH(IF('Data-solution'!$A$3="Maximize",MAX($C44:$AI44),MIN($C44:$AI44)),$C44:$AI44,0)),AE40-INDEX($C33:$AJ43,8,MATCH(IF('Data-solution'!$A$3="Maximize",MAX($C44:$AI44),MIN($C44:$AI44)),$C44:$AI44,0))*INDEX(AE33:$AJ43,MATCH(MIN($AK33:$AK43),$AK33:$AK43,0),1)/INDEX($C33:$AJ43,MATCH(MIN($AK33:$AK43),$AK33:$AK43,0),MATCH(IF('Data-solution'!$A$3="Maximize",MAX($C44:$AI44),MIN($C44:$AI44)),$C44:$AI44,0))),AE40)</f>
        <v>0</v>
      </c>
      <c r="AF55" s="1">
        <f>IF(OR($B48&lt;&gt;$B33,$B49&lt;&gt;$B34,$B50&lt;&gt;$B35,$B51&lt;&gt;$B36,$B52&lt;&gt;$B37,$B53&lt;&gt;$B38,$B54&lt;&gt;$B39,$B55&lt;&gt;$B40,$B56&lt;&gt;$B41,$B57&lt;&gt;$B42,$B58&lt;&gt;$B43),IF($B55&lt;&gt;$B40,AF40/INDEX($C33:$AJ43,8,MATCH(IF('Data-solution'!$A$3="Maximize",MAX($C44:$AI44),MIN($C44:$AI44)),$C44:$AI44,0)),AF40-INDEX($C33:$AJ43,8,MATCH(IF('Data-solution'!$A$3="Maximize",MAX($C44:$AI44),MIN($C44:$AI44)),$C44:$AI44,0))*INDEX(AF33:$AJ43,MATCH(MIN($AK33:$AK43),$AK33:$AK43,0),1)/INDEX($C33:$AJ43,MATCH(MIN($AK33:$AK43),$AK33:$AK43,0),MATCH(IF('Data-solution'!$A$3="Maximize",MAX($C44:$AI44),MIN($C44:$AI44)),$C44:$AI44,0))),AF40)</f>
        <v>1</v>
      </c>
      <c r="AG55" s="1">
        <f>IF(OR($B48&lt;&gt;$B33,$B49&lt;&gt;$B34,$B50&lt;&gt;$B35,$B51&lt;&gt;$B36,$B52&lt;&gt;$B37,$B53&lt;&gt;$B38,$B54&lt;&gt;$B39,$B55&lt;&gt;$B40,$B56&lt;&gt;$B41,$B57&lt;&gt;$B42,$B58&lt;&gt;$B43),IF($B55&lt;&gt;$B40,AG40/INDEX($C33:$AJ43,8,MATCH(IF('Data-solution'!$A$3="Maximize",MAX($C44:$AI44),MIN($C44:$AI44)),$C44:$AI44,0)),AG40-INDEX($C33:$AJ43,8,MATCH(IF('Data-solution'!$A$3="Maximize",MAX($C44:$AI44),MIN($C44:$AI44)),$C44:$AI44,0))*INDEX(AG33:$AJ43,MATCH(MIN($AK33:$AK43),$AK33:$AK43,0),1)/INDEX($C33:$AJ43,MATCH(MIN($AK33:$AK43),$AK33:$AK43,0),MATCH(IF('Data-solution'!$A$3="Maximize",MAX($C44:$AI44),MIN($C44:$AI44)),$C44:$AI44,0))),AG40)</f>
        <v>0</v>
      </c>
      <c r="AH55" s="1">
        <f>IF(OR($B48&lt;&gt;$B33,$B49&lt;&gt;$B34,$B50&lt;&gt;$B35,$B51&lt;&gt;$B36,$B52&lt;&gt;$B37,$B53&lt;&gt;$B38,$B54&lt;&gt;$B39,$B55&lt;&gt;$B40,$B56&lt;&gt;$B41,$B57&lt;&gt;$B42,$B58&lt;&gt;$B43),IF($B55&lt;&gt;$B40,AH40/INDEX($C33:$AJ43,8,MATCH(IF('Data-solution'!$A$3="Maximize",MAX($C44:$AI44),MIN($C44:$AI44)),$C44:$AI44,0)),AH40-INDEX($C33:$AJ43,8,MATCH(IF('Data-solution'!$A$3="Maximize",MAX($C44:$AI44),MIN($C44:$AI44)),$C44:$AI44,0))*INDEX(AH33:$AJ43,MATCH(MIN($AK33:$AK43),$AK33:$AK43,0),1)/INDEX($C33:$AJ43,MATCH(MIN($AK33:$AK43),$AK33:$AK43,0),MATCH(IF('Data-solution'!$A$3="Maximize",MAX($C44:$AI44),MIN($C44:$AI44)),$C44:$AI44,0))),AH40)</f>
        <v>0</v>
      </c>
      <c r="AI55" s="1">
        <f>IF(OR($B48&lt;&gt;$B33,$B49&lt;&gt;$B34,$B50&lt;&gt;$B35,$B51&lt;&gt;$B36,$B52&lt;&gt;$B37,$B53&lt;&gt;$B38,$B54&lt;&gt;$B39,$B55&lt;&gt;$B40,$B56&lt;&gt;$B41,$B57&lt;&gt;$B42,$B58&lt;&gt;$B43),IF($B55&lt;&gt;$B40,AI40/INDEX($C33:$AJ43,8,MATCH(IF('Data-solution'!$A$3="Maximize",MAX($C44:$AI44),MIN($C44:$AI44)),$C44:$AI44,0)),AI40-INDEX($C33:$AJ43,8,MATCH(IF('Data-solution'!$A$3="Maximize",MAX($C44:$AI44),MIN($C44:$AI44)),$C44:$AI44,0))*INDEX(AI33:$AJ43,MATCH(MIN($AK33:$AK43),$AK33:$AK43,0),1)/INDEX($C33:$AJ43,MATCH(MIN($AK33:$AK43),$AK33:$AK43,0),MATCH(IF('Data-solution'!$A$3="Maximize",MAX($C44:$AI44),MIN($C44:$AI44)),$C44:$AI44,0))),AI40)</f>
        <v>0</v>
      </c>
      <c r="AJ55" s="1">
        <f>IF(OR($B48&lt;&gt;$B33,$B49&lt;&gt;$B34,$B50&lt;&gt;$B35,$B51&lt;&gt;$B36,$B52&lt;&gt;$B37,$B53&lt;&gt;$B38,$B54&lt;&gt;$B39,$B55&lt;&gt;$B40,$B56&lt;&gt;$B41,$B57&lt;&gt;$B42,$B58&lt;&gt;$B43),IF($B55&lt;&gt;$B40,AJ40/INDEX($C33:$AJ43,8,MATCH(IF('Data-solution'!$A$3="Maximize",MAX($C44:$AI44),MIN($C44:$AI44)),$C44:$AI44,0)),AJ40-INDEX($C33:$AJ43,8,MATCH(IF('Data-solution'!$A$3="Maximize",MAX($C44:$AI44),MIN($C44:$AI44)),$C44:$AI44,0))*INDEX(AJ33:$AJ43,MATCH(MIN($AK33:$AK43),$AK33:$AK43,0),1)/INDEX($C33:$AJ43,MATCH(MIN($AK33:$AK43),$AK33:$AK43,0),MATCH(IF('Data-solution'!$A$3="Maximize",MAX($C44:$AI44),MIN($C44:$AI44)),$C44:$AI44,0))),AJ40)</f>
        <v>0</v>
      </c>
      <c r="AK55" s="1" t="str">
        <f>IF(INDEX(C55:X55,1,MATCH(IF('Data-solution'!A$3="Maximize",MAX(C59:X59),MIN(C59:X59)),C59:X59,0))&gt;0,AJ55/INDEX(C55:X55,1,MATCH(IF('Data-solution'!A$3="Maximize",MAX(C59:X59),MIN(C59:X59)),C59:X59,0))," ")</f>
        <v xml:space="preserve"> </v>
      </c>
    </row>
    <row r="56" spans="1:37" ht="18" customHeight="1" x14ac:dyDescent="0.2">
      <c r="A56" s="1">
        <f t="shared" ref="A56" si="30">INDEX(C46:AI46,1,MATCH(B56,C47:AI47,0))</f>
        <v>0</v>
      </c>
      <c r="B56" s="2" t="str">
        <f>IF(AND('Data-solution'!A$3="Maximize",COUNTIF(C44:X44,"&gt;"&amp;0)&gt;0,AK41=MIN(AK33:AK43),COUNTIF(B48:B55,INDEX(C32:X32,1,MATCH(MAX(C44:X44),C44:X44,0)))=0),INDEX(C32:X32,1,MATCH(MAX(C44:X44),C44:X44,0)),IF(AND('Data-solution'!A$3="Minimize",COUNTIF(C44:X44,"&lt;"&amp;0)&gt;0,AK41=MIN(AK33:AK43),COUNTIF(B48:B55,INDEX(C32:X32,1,MATCH(MIN(C44:X44),C44:X44,0)))=0),INDEX(C32:X32,1,MATCH(MIN(C44:X44),C44:X44,0)),B41))</f>
        <v>S9</v>
      </c>
      <c r="C56" s="1">
        <f>IF(OR($B48&lt;&gt;$B33,$B49&lt;&gt;$B34,$B50&lt;&gt;$B35,$B51&lt;&gt;$B36,$B52&lt;&gt;$B37,$B53&lt;&gt;$B38,$B54&lt;&gt;$B39,$B55&lt;&gt;$B40,$B56&lt;&gt;$B41,$B57&lt;&gt;$B42,$B58&lt;&gt;$B43),IF($B56&lt;&gt;$B41,C41/INDEX($C33:$AJ43,9,MATCH(IF('Data-solution'!$A$3="Maximize",MAX($C44:$AI44),MIN($C44:$AI44)),$C44:$AI44,0)),C41-INDEX($C33:$AJ43,9,MATCH(IF('Data-solution'!$A$3="Maximize",MAX($C44:$AI44),MIN($C44:$AI44)),$C44:$AI44,0))*INDEX(C33:$AJ43,MATCH(MIN($AK33:$AK43),$AK33:$AK43,0),1)/INDEX($C33:$AJ43,MATCH(MIN($AK33:$AK43),$AK33:$AK43,0),MATCH(IF('Data-solution'!$A$3="Maximize",MAX($C44:$AI44),MIN($C44:$AI44)),$C44:$AI44,0))),C41)</f>
        <v>0</v>
      </c>
      <c r="D56" s="1">
        <f>IF(OR($B48&lt;&gt;$B33,$B49&lt;&gt;$B34,$B50&lt;&gt;$B35,$B51&lt;&gt;$B36,$B52&lt;&gt;$B37,$B53&lt;&gt;$B38,$B54&lt;&gt;$B39,$B55&lt;&gt;$B40,$B56&lt;&gt;$B41,$B57&lt;&gt;$B42,$B58&lt;&gt;$B43),IF($B56&lt;&gt;$B41,D41/INDEX($C33:$AJ43,9,MATCH(IF('Data-solution'!$A$3="Maximize",MAX($C44:$AI44),MIN($C44:$AI44)),$C44:$AI44,0)),D41-INDEX($C33:$AJ43,9,MATCH(IF('Data-solution'!$A$3="Maximize",MAX($C44:$AI44),MIN($C44:$AI44)),$C44:$AI44,0))*INDEX(D33:$AJ43,MATCH(MIN($AK33:$AK43),$AK33:$AK43,0),1)/INDEX($C33:$AJ43,MATCH(MIN($AK33:$AK43),$AK33:$AK43,0),MATCH(IF('Data-solution'!$A$3="Maximize",MAX($C44:$AI44),MIN($C44:$AI44)),$C44:$AI44,0))),D41)</f>
        <v>0</v>
      </c>
      <c r="E56" s="1">
        <f>IF(OR($B48&lt;&gt;$B33,$B49&lt;&gt;$B34,$B50&lt;&gt;$B35,$B51&lt;&gt;$B36,$B52&lt;&gt;$B37,$B53&lt;&gt;$B38,$B54&lt;&gt;$B39,$B55&lt;&gt;$B40,$B56&lt;&gt;$B41,$B57&lt;&gt;$B42,$B58&lt;&gt;$B43),IF($B56&lt;&gt;$B41,E41/INDEX($C33:$AJ43,9,MATCH(IF('Data-solution'!$A$3="Maximize",MAX($C44:$AI44),MIN($C44:$AI44)),$C44:$AI44,0)),E41-INDEX($C33:$AJ43,9,MATCH(IF('Data-solution'!$A$3="Maximize",MAX($C44:$AI44),MIN($C44:$AI44)),$C44:$AI44,0))*INDEX(E33:$AJ43,MATCH(MIN($AK33:$AK43),$AK33:$AK43,0),1)/INDEX($C33:$AJ43,MATCH(MIN($AK33:$AK43),$AK33:$AK43,0),MATCH(IF('Data-solution'!$A$3="Maximize",MAX($C44:$AI44),MIN($C44:$AI44)),$C44:$AI44,0))),E41)</f>
        <v>0</v>
      </c>
      <c r="F56" s="1">
        <f>IF(OR($B48&lt;&gt;$B33,$B49&lt;&gt;$B34,$B50&lt;&gt;$B35,$B51&lt;&gt;$B36,$B52&lt;&gt;$B37,$B53&lt;&gt;$B38,$B54&lt;&gt;$B39,$B55&lt;&gt;$B40,$B56&lt;&gt;$B41,$B57&lt;&gt;$B42,$B58&lt;&gt;$B43),IF($B56&lt;&gt;$B41,F41/INDEX($C33:$AJ43,9,MATCH(IF('Data-solution'!$A$3="Maximize",MAX($C44:$AI44),MIN($C44:$AI44)),$C44:$AI44,0)),F41-INDEX($C33:$AJ43,9,MATCH(IF('Data-solution'!$A$3="Maximize",MAX($C44:$AI44),MIN($C44:$AI44)),$C44:$AI44,0))*INDEX(F33:$AJ43,MATCH(MIN($AK33:$AK43),$AK33:$AK43,0),1)/INDEX($C33:$AJ43,MATCH(MIN($AK33:$AK43),$AK33:$AK43,0),MATCH(IF('Data-solution'!$A$3="Maximize",MAX($C44:$AI44),MIN($C44:$AI44)),$C44:$AI44,0))),F41)</f>
        <v>0</v>
      </c>
      <c r="G56" s="1">
        <f>IF(OR($B48&lt;&gt;$B33,$B49&lt;&gt;$B34,$B50&lt;&gt;$B35,$B51&lt;&gt;$B36,$B52&lt;&gt;$B37,$B53&lt;&gt;$B38,$B54&lt;&gt;$B39,$B55&lt;&gt;$B40,$B56&lt;&gt;$B41,$B57&lt;&gt;$B42,$B58&lt;&gt;$B43),IF($B56&lt;&gt;$B41,G41/INDEX($C33:$AJ43,9,MATCH(IF('Data-solution'!$A$3="Maximize",MAX($C44:$AI44),MIN($C44:$AI44)),$C44:$AI44,0)),G41-INDEX($C33:$AJ43,9,MATCH(IF('Data-solution'!$A$3="Maximize",MAX($C44:$AI44),MIN($C44:$AI44)),$C44:$AI44,0))*INDEX(G33:$AJ43,MATCH(MIN($AK33:$AK43),$AK33:$AK43,0),1)/INDEX($C33:$AJ43,MATCH(MIN($AK33:$AK43),$AK33:$AK43,0),MATCH(IF('Data-solution'!$A$3="Maximize",MAX($C44:$AI44),MIN($C44:$AI44)),$C44:$AI44,0))),G41)</f>
        <v>0</v>
      </c>
      <c r="H56" s="1">
        <f>IF(OR($B48&lt;&gt;$B33,$B49&lt;&gt;$B34,$B50&lt;&gt;$B35,$B51&lt;&gt;$B36,$B52&lt;&gt;$B37,$B53&lt;&gt;$B38,$B54&lt;&gt;$B39,$B55&lt;&gt;$B40,$B56&lt;&gt;$B41,$B57&lt;&gt;$B42,$B58&lt;&gt;$B43),IF($B56&lt;&gt;$B41,H41/INDEX($C33:$AJ43,9,MATCH(IF('Data-solution'!$A$3="Maximize",MAX($C44:$AI44),MIN($C44:$AI44)),$C44:$AI44,0)),H41-INDEX($C33:$AJ43,9,MATCH(IF('Data-solution'!$A$3="Maximize",MAX($C44:$AI44),MIN($C44:$AI44)),$C44:$AI44,0))*INDEX(H33:$AJ43,MATCH(MIN($AK33:$AK43),$AK33:$AK43,0),1)/INDEX($C33:$AJ43,MATCH(MIN($AK33:$AK43),$AK33:$AK43,0),MATCH(IF('Data-solution'!$A$3="Maximize",MAX($C44:$AI44),MIN($C44:$AI44)),$C44:$AI44,0))),H41)</f>
        <v>0</v>
      </c>
      <c r="I56" s="1">
        <f>IF(OR($B48&lt;&gt;$B33,$B49&lt;&gt;$B34,$B50&lt;&gt;$B35,$B51&lt;&gt;$B36,$B52&lt;&gt;$B37,$B53&lt;&gt;$B38,$B54&lt;&gt;$B39,$B55&lt;&gt;$B40,$B56&lt;&gt;$B41,$B57&lt;&gt;$B42,$B58&lt;&gt;$B43),IF($B56&lt;&gt;$B41,I41/INDEX($C33:$AJ43,9,MATCH(IF('Data-solution'!$A$3="Maximize",MAX($C44:$AI44),MIN($C44:$AI44)),$C44:$AI44,0)),I41-INDEX($C33:$AJ43,9,MATCH(IF('Data-solution'!$A$3="Maximize",MAX($C44:$AI44),MIN($C44:$AI44)),$C44:$AI44,0))*INDEX(I33:$AJ43,MATCH(MIN($AK33:$AK43),$AK33:$AK43,0),1)/INDEX($C33:$AJ43,MATCH(MIN($AK33:$AK43),$AK33:$AK43,0),MATCH(IF('Data-solution'!$A$3="Maximize",MAX($C44:$AI44),MIN($C44:$AI44)),$C44:$AI44,0))),I41)</f>
        <v>0</v>
      </c>
      <c r="J56" s="1">
        <f>IF(OR($B48&lt;&gt;$B33,$B49&lt;&gt;$B34,$B50&lt;&gt;$B35,$B51&lt;&gt;$B36,$B52&lt;&gt;$B37,$B53&lt;&gt;$B38,$B54&lt;&gt;$B39,$B55&lt;&gt;$B40,$B56&lt;&gt;$B41,$B57&lt;&gt;$B42,$B58&lt;&gt;$B43),IF($B56&lt;&gt;$B41,J41/INDEX($C33:$AJ43,9,MATCH(IF('Data-solution'!$A$3="Maximize",MAX($C44:$AI44),MIN($C44:$AI44)),$C44:$AI44,0)),J41-INDEX($C33:$AJ43,9,MATCH(IF('Data-solution'!$A$3="Maximize",MAX($C44:$AI44),MIN($C44:$AI44)),$C44:$AI44,0))*INDEX(J33:$AJ43,MATCH(MIN($AK33:$AK43),$AK33:$AK43,0),1)/INDEX($C33:$AJ43,MATCH(MIN($AK33:$AK43),$AK33:$AK43,0),MATCH(IF('Data-solution'!$A$3="Maximize",MAX($C44:$AI44),MIN($C44:$AI44)),$C44:$AI44,0))),J41)</f>
        <v>0</v>
      </c>
      <c r="K56" s="1">
        <f>IF(OR($B48&lt;&gt;$B33,$B49&lt;&gt;$B34,$B50&lt;&gt;$B35,$B51&lt;&gt;$B36,$B52&lt;&gt;$B37,$B53&lt;&gt;$B38,$B54&lt;&gt;$B39,$B55&lt;&gt;$B40,$B56&lt;&gt;$B41,$B57&lt;&gt;$B42,$B58&lt;&gt;$B43),IF($B56&lt;&gt;$B41,K41/INDEX($C33:$AJ43,9,MATCH(IF('Data-solution'!$A$3="Maximize",MAX($C44:$AI44),MIN($C44:$AI44)),$C44:$AI44,0)),K41-INDEX($C33:$AJ43,9,MATCH(IF('Data-solution'!$A$3="Maximize",MAX($C44:$AI44),MIN($C44:$AI44)),$C44:$AI44,0))*INDEX(K33:$AJ43,MATCH(MIN($AK33:$AK43),$AK33:$AK43,0),1)/INDEX($C33:$AJ43,MATCH(MIN($AK33:$AK43),$AK33:$AK43,0),MATCH(IF('Data-solution'!$A$3="Maximize",MAX($C44:$AI44),MIN($C44:$AI44)),$C44:$AI44,0))),K41)</f>
        <v>0</v>
      </c>
      <c r="L56" s="1">
        <f>IF(OR($B48&lt;&gt;$B33,$B49&lt;&gt;$B34,$B50&lt;&gt;$B35,$B51&lt;&gt;$B36,$B52&lt;&gt;$B37,$B53&lt;&gt;$B38,$B54&lt;&gt;$B39,$B55&lt;&gt;$B40,$B56&lt;&gt;$B41,$B57&lt;&gt;$B42,$B58&lt;&gt;$B43),IF($B56&lt;&gt;$B41,L41/INDEX($C33:$AJ43,9,MATCH(IF('Data-solution'!$A$3="Maximize",MAX($C44:$AI44),MIN($C44:$AI44)),$C44:$AI44,0)),L41-INDEX($C33:$AJ43,9,MATCH(IF('Data-solution'!$A$3="Maximize",MAX($C44:$AI44),MIN($C44:$AI44)),$C44:$AI44,0))*INDEX(L33:$AJ43,MATCH(MIN($AK33:$AK43),$AK33:$AK43,0),1)/INDEX($C33:$AJ43,MATCH(MIN($AK33:$AK43),$AK33:$AK43,0),MATCH(IF('Data-solution'!$A$3="Maximize",MAX($C44:$AI44),MIN($C44:$AI44)),$C44:$AI44,0))),L41)</f>
        <v>0</v>
      </c>
      <c r="M56" s="1">
        <f>IF(OR($B48&lt;&gt;$B33,$B49&lt;&gt;$B34,$B50&lt;&gt;$B35,$B51&lt;&gt;$B36,$B52&lt;&gt;$B37,$B53&lt;&gt;$B38,$B54&lt;&gt;$B39,$B55&lt;&gt;$B40,$B56&lt;&gt;$B41,$B57&lt;&gt;$B42,$B58&lt;&gt;$B43),IF($B56&lt;&gt;$B41,M41/INDEX($C33:$AJ43,9,MATCH(IF('Data-solution'!$A$3="Maximize",MAX($C44:$AI44),MIN($C44:$AI44)),$C44:$AI44,0)),M41-INDEX($C33:$AJ43,9,MATCH(IF('Data-solution'!$A$3="Maximize",MAX($C44:$AI44),MIN($C44:$AI44)),$C44:$AI44,0))*INDEX(M33:$AJ43,MATCH(MIN($AK33:$AK43),$AK33:$AK43,0),1)/INDEX($C33:$AJ43,MATCH(MIN($AK33:$AK43),$AK33:$AK43,0),MATCH(IF('Data-solution'!$A$3="Maximize",MAX($C44:$AI44),MIN($C44:$AI44)),$C44:$AI44,0))),M41)</f>
        <v>0</v>
      </c>
      <c r="N56" s="1">
        <f>IF(OR($B48&lt;&gt;$B33,$B49&lt;&gt;$B34,$B50&lt;&gt;$B35,$B51&lt;&gt;$B36,$B52&lt;&gt;$B37,$B53&lt;&gt;$B38,$B54&lt;&gt;$B39,$B55&lt;&gt;$B40,$B56&lt;&gt;$B41,$B57&lt;&gt;$B42,$B58&lt;&gt;$B43),IF($B56&lt;&gt;$B41,N41/INDEX($C33:$AJ43,9,MATCH(IF('Data-solution'!$A$3="Maximize",MAX($C44:$AI44),MIN($C44:$AI44)),$C44:$AI44,0)),N41-INDEX($C33:$AJ43,9,MATCH(IF('Data-solution'!$A$3="Maximize",MAX($C44:$AI44),MIN($C44:$AI44)),$C44:$AI44,0))*INDEX(N33:$AJ43,MATCH(MIN($AK33:$AK43),$AK33:$AK43,0),1)/INDEX($C33:$AJ43,MATCH(MIN($AK33:$AK43),$AK33:$AK43,0),MATCH(IF('Data-solution'!$A$3="Maximize",MAX($C44:$AI44),MIN($C44:$AI44)),$C44:$AI44,0))),N41)</f>
        <v>0</v>
      </c>
      <c r="O56" s="1">
        <f>IF(OR($B48&lt;&gt;$B33,$B49&lt;&gt;$B34,$B50&lt;&gt;$B35,$B51&lt;&gt;$B36,$B52&lt;&gt;$B37,$B53&lt;&gt;$B38,$B54&lt;&gt;$B39,$B55&lt;&gt;$B40,$B56&lt;&gt;$B41,$B57&lt;&gt;$B42,$B58&lt;&gt;$B43),IF($B56&lt;&gt;$B41,O41/INDEX($C33:$AJ43,9,MATCH(IF('Data-solution'!$A$3="Maximize",MAX($C44:$AI44),MIN($C44:$AI44)),$C44:$AI44,0)),O41-INDEX($C33:$AJ43,9,MATCH(IF('Data-solution'!$A$3="Maximize",MAX($C44:$AI44),MIN($C44:$AI44)),$C44:$AI44,0))*INDEX(O33:$AJ43,MATCH(MIN($AK33:$AK43),$AK33:$AK43,0),1)/INDEX($C33:$AJ43,MATCH(MIN($AK33:$AK43),$AK33:$AK43,0),MATCH(IF('Data-solution'!$A$3="Maximize",MAX($C44:$AI44),MIN($C44:$AI44)),$C44:$AI44,0))),O41)</f>
        <v>0</v>
      </c>
      <c r="P56" s="1">
        <f>IF(OR($B48&lt;&gt;$B33,$B49&lt;&gt;$B34,$B50&lt;&gt;$B35,$B51&lt;&gt;$B36,$B52&lt;&gt;$B37,$B53&lt;&gt;$B38,$B54&lt;&gt;$B39,$B55&lt;&gt;$B40,$B56&lt;&gt;$B41,$B57&lt;&gt;$B42,$B58&lt;&gt;$B43),IF($B56&lt;&gt;$B41,P41/INDEX($C33:$AJ43,9,MATCH(IF('Data-solution'!$A$3="Maximize",MAX($C44:$AI44),MIN($C44:$AI44)),$C44:$AI44,0)),P41-INDEX($C33:$AJ43,9,MATCH(IF('Data-solution'!$A$3="Maximize",MAX($C44:$AI44),MIN($C44:$AI44)),$C44:$AI44,0))*INDEX(P33:$AJ43,MATCH(MIN($AK33:$AK43),$AK33:$AK43,0),1)/INDEX($C33:$AJ43,MATCH(MIN($AK33:$AK43),$AK33:$AK43,0),MATCH(IF('Data-solution'!$A$3="Maximize",MAX($C44:$AI44),MIN($C44:$AI44)),$C44:$AI44,0))),P41)</f>
        <v>0</v>
      </c>
      <c r="Q56" s="1">
        <f>IF(OR($B48&lt;&gt;$B33,$B49&lt;&gt;$B34,$B50&lt;&gt;$B35,$B51&lt;&gt;$B36,$B52&lt;&gt;$B37,$B53&lt;&gt;$B38,$B54&lt;&gt;$B39,$B55&lt;&gt;$B40,$B56&lt;&gt;$B41,$B57&lt;&gt;$B42,$B58&lt;&gt;$B43),IF($B56&lt;&gt;$B41,Q41/INDEX($C33:$AJ43,9,MATCH(IF('Data-solution'!$A$3="Maximize",MAX($C44:$AI44),MIN($C44:$AI44)),$C44:$AI44,0)),Q41-INDEX($C33:$AJ43,9,MATCH(IF('Data-solution'!$A$3="Maximize",MAX($C44:$AI44),MIN($C44:$AI44)),$C44:$AI44,0))*INDEX(Q33:$AJ43,MATCH(MIN($AK33:$AK43),$AK33:$AK43,0),1)/INDEX($C33:$AJ43,MATCH(MIN($AK33:$AK43),$AK33:$AK43,0),MATCH(IF('Data-solution'!$A$3="Maximize",MAX($C44:$AI44),MIN($C44:$AI44)),$C44:$AI44,0))),Q41)</f>
        <v>0</v>
      </c>
      <c r="R56" s="1">
        <f>IF(OR($B48&lt;&gt;$B33,$B49&lt;&gt;$B34,$B50&lt;&gt;$B35,$B51&lt;&gt;$B36,$B52&lt;&gt;$B37,$B53&lt;&gt;$B38,$B54&lt;&gt;$B39,$B55&lt;&gt;$B40,$B56&lt;&gt;$B41,$B57&lt;&gt;$B42,$B58&lt;&gt;$B43),IF($B56&lt;&gt;$B41,R41/INDEX($C33:$AJ43,9,MATCH(IF('Data-solution'!$A$3="Maximize",MAX($C44:$AI44),MIN($C44:$AI44)),$C44:$AI44,0)),R41-INDEX($C33:$AJ43,9,MATCH(IF('Data-solution'!$A$3="Maximize",MAX($C44:$AI44),MIN($C44:$AI44)),$C44:$AI44,0))*INDEX(R33:$AJ43,MATCH(MIN($AK33:$AK43),$AK33:$AK43,0),1)/INDEX($C33:$AJ43,MATCH(MIN($AK33:$AK43),$AK33:$AK43,0),MATCH(IF('Data-solution'!$A$3="Maximize",MAX($C44:$AI44),MIN($C44:$AI44)),$C44:$AI44,0))),R41)</f>
        <v>0</v>
      </c>
      <c r="S56" s="1">
        <f>IF(OR($B48&lt;&gt;$B33,$B49&lt;&gt;$B34,$B50&lt;&gt;$B35,$B51&lt;&gt;$B36,$B52&lt;&gt;$B37,$B53&lt;&gt;$B38,$B54&lt;&gt;$B39,$B55&lt;&gt;$B40,$B56&lt;&gt;$B41,$B57&lt;&gt;$B42,$B58&lt;&gt;$B43),IF($B56&lt;&gt;$B41,S41/INDEX($C33:$AJ43,9,MATCH(IF('Data-solution'!$A$3="Maximize",MAX($C44:$AI44),MIN($C44:$AI44)),$C44:$AI44,0)),S41-INDEX($C33:$AJ43,9,MATCH(IF('Data-solution'!$A$3="Maximize",MAX($C44:$AI44),MIN($C44:$AI44)),$C44:$AI44,0))*INDEX(S33:$AJ43,MATCH(MIN($AK33:$AK43),$AK33:$AK43,0),1)/INDEX($C33:$AJ43,MATCH(MIN($AK33:$AK43),$AK33:$AK43,0),MATCH(IF('Data-solution'!$A$3="Maximize",MAX($C44:$AI44),MIN($C44:$AI44)),$C44:$AI44,0))),S41)</f>
        <v>0</v>
      </c>
      <c r="T56" s="1">
        <f>IF(OR($B48&lt;&gt;$B33,$B49&lt;&gt;$B34,$B50&lt;&gt;$B35,$B51&lt;&gt;$B36,$B52&lt;&gt;$B37,$B53&lt;&gt;$B38,$B54&lt;&gt;$B39,$B55&lt;&gt;$B40,$B56&lt;&gt;$B41,$B57&lt;&gt;$B42,$B58&lt;&gt;$B43),IF($B56&lt;&gt;$B41,T41/INDEX($C33:$AJ43,9,MATCH(IF('Data-solution'!$A$3="Maximize",MAX($C44:$AI44),MIN($C44:$AI44)),$C44:$AI44,0)),T41-INDEX($C33:$AJ43,9,MATCH(IF('Data-solution'!$A$3="Maximize",MAX($C44:$AI44),MIN($C44:$AI44)),$C44:$AI44,0))*INDEX(T33:$AJ43,MATCH(MIN($AK33:$AK43),$AK33:$AK43,0),1)/INDEX($C33:$AJ43,MATCH(MIN($AK33:$AK43),$AK33:$AK43,0),MATCH(IF('Data-solution'!$A$3="Maximize",MAX($C44:$AI44),MIN($C44:$AI44)),$C44:$AI44,0))),T41)</f>
        <v>0</v>
      </c>
      <c r="U56" s="1">
        <f>IF(OR($B48&lt;&gt;$B33,$B49&lt;&gt;$B34,$B50&lt;&gt;$B35,$B51&lt;&gt;$B36,$B52&lt;&gt;$B37,$B53&lt;&gt;$B38,$B54&lt;&gt;$B39,$B55&lt;&gt;$B40,$B56&lt;&gt;$B41,$B57&lt;&gt;$B42,$B58&lt;&gt;$B43),IF($B56&lt;&gt;$B41,U41/INDEX($C33:$AJ43,9,MATCH(IF('Data-solution'!$A$3="Maximize",MAX($C44:$AI44),MIN($C44:$AI44)),$C44:$AI44,0)),U41-INDEX($C33:$AJ43,9,MATCH(IF('Data-solution'!$A$3="Maximize",MAX($C44:$AI44),MIN($C44:$AI44)),$C44:$AI44,0))*INDEX(U33:$AJ43,MATCH(MIN($AK33:$AK43),$AK33:$AK43,0),1)/INDEX($C33:$AJ43,MATCH(MIN($AK33:$AK43),$AK33:$AK43,0),MATCH(IF('Data-solution'!$A$3="Maximize",MAX($C44:$AI44),MIN($C44:$AI44)),$C44:$AI44,0))),U41)</f>
        <v>0</v>
      </c>
      <c r="V56" s="1">
        <f>IF(OR($B48&lt;&gt;$B33,$B49&lt;&gt;$B34,$B50&lt;&gt;$B35,$B51&lt;&gt;$B36,$B52&lt;&gt;$B37,$B53&lt;&gt;$B38,$B54&lt;&gt;$B39,$B55&lt;&gt;$B40,$B56&lt;&gt;$B41,$B57&lt;&gt;$B42,$B58&lt;&gt;$B43),IF($B56&lt;&gt;$B41,V41/INDEX($C33:$AJ43,9,MATCH(IF('Data-solution'!$A$3="Maximize",MAX($C44:$AI44),MIN($C44:$AI44)),$C44:$AI44,0)),V41-INDEX($C33:$AJ43,9,MATCH(IF('Data-solution'!$A$3="Maximize",MAX($C44:$AI44),MIN($C44:$AI44)),$C44:$AI44,0))*INDEX(V33:$AJ43,MATCH(MIN($AK33:$AK43),$AK33:$AK43,0),1)/INDEX($C33:$AJ43,MATCH(MIN($AK33:$AK43),$AK33:$AK43,0),MATCH(IF('Data-solution'!$A$3="Maximize",MAX($C44:$AI44),MIN($C44:$AI44)),$C44:$AI44,0))),V41)</f>
        <v>1</v>
      </c>
      <c r="W56" s="1">
        <f>IF(OR($B48&lt;&gt;$B33,$B49&lt;&gt;$B34,$B50&lt;&gt;$B35,$B51&lt;&gt;$B36,$B52&lt;&gt;$B37,$B53&lt;&gt;$B38,$B54&lt;&gt;$B39,$B55&lt;&gt;$B40,$B56&lt;&gt;$B41,$B57&lt;&gt;$B42,$B58&lt;&gt;$B43),IF($B56&lt;&gt;$B41,W41/INDEX($C33:$AJ43,9,MATCH(IF('Data-solution'!$A$3="Maximize",MAX($C44:$AI44),MIN($C44:$AI44)),$C44:$AI44,0)),W41-INDEX($C33:$AJ43,9,MATCH(IF('Data-solution'!$A$3="Maximize",MAX($C44:$AI44),MIN($C44:$AI44)),$C44:$AI44,0))*INDEX(W33:$AJ43,MATCH(MIN($AK33:$AK43),$AK33:$AK43,0),1)/INDEX($C33:$AJ43,MATCH(MIN($AK33:$AK43),$AK33:$AK43,0),MATCH(IF('Data-solution'!$A$3="Maximize",MAX($C44:$AI44),MIN($C44:$AI44)),$C44:$AI44,0))),W41)</f>
        <v>0</v>
      </c>
      <c r="X56" s="1">
        <f>IF(OR($B48&lt;&gt;$B33,$B49&lt;&gt;$B34,$B50&lt;&gt;$B35,$B51&lt;&gt;$B36,$B52&lt;&gt;$B37,$B53&lt;&gt;$B38,$B54&lt;&gt;$B39,$B55&lt;&gt;$B40,$B56&lt;&gt;$B41,$B57&lt;&gt;$B42,$B58&lt;&gt;$B43),IF($B56&lt;&gt;$B41,X41/INDEX($C33:$AJ43,9,MATCH(IF('Data-solution'!$A$3="Maximize",MAX($C44:$AI44),MIN($C44:$AI44)),$C44:$AI44,0)),X41-INDEX($C33:$AJ43,9,MATCH(IF('Data-solution'!$A$3="Maximize",MAX($C44:$AI44),MIN($C44:$AI44)),$C44:$AI44,0))*INDEX(X33:$AJ43,MATCH(MIN($AK33:$AK43),$AK33:$AK43,0),1)/INDEX($C33:$AJ43,MATCH(MIN($AK33:$AK43),$AK33:$AK43,0),MATCH(IF('Data-solution'!$A$3="Maximize",MAX($C44:$AI44),MIN($C44:$AI44)),$C44:$AI44,0))),X41)</f>
        <v>0</v>
      </c>
      <c r="Y56" s="1">
        <f>IF(OR($B48&lt;&gt;$B33,$B49&lt;&gt;$B34,$B50&lt;&gt;$B35,$B51&lt;&gt;$B36,$B52&lt;&gt;$B37,$B53&lt;&gt;$B38,$B54&lt;&gt;$B39,$B55&lt;&gt;$B40,$B56&lt;&gt;$B41,$B57&lt;&gt;$B42,$B58&lt;&gt;$B43),IF($B56&lt;&gt;$B41,Y41/INDEX($C33:$AJ43,9,MATCH(IF('Data-solution'!$A$3="Maximize",MAX($C44:$AI44),MIN($C44:$AI44)),$C44:$AI44,0)),Y41-INDEX($C33:$AJ43,9,MATCH(IF('Data-solution'!$A$3="Maximize",MAX($C44:$AI44),MIN($C44:$AI44)),$C44:$AI44,0))*INDEX(Y33:$AJ43,MATCH(MIN($AK33:$AK43),$AK33:$AK43,0),1)/INDEX($C33:$AJ43,MATCH(MIN($AK33:$AK43),$AK33:$AK43,0),MATCH(IF('Data-solution'!$A$3="Maximize",MAX($C44:$AI44),MIN($C44:$AI44)),$C44:$AI44,0))),Y41)</f>
        <v>0</v>
      </c>
      <c r="Z56" s="1">
        <f>IF(OR($B48&lt;&gt;$B33,$B49&lt;&gt;$B34,$B50&lt;&gt;$B35,$B51&lt;&gt;$B36,$B52&lt;&gt;$B37,$B53&lt;&gt;$B38,$B54&lt;&gt;$B39,$B55&lt;&gt;$B40,$B56&lt;&gt;$B41,$B57&lt;&gt;$B42,$B58&lt;&gt;$B43),IF($B56&lt;&gt;$B41,Z41/INDEX($C33:$AJ43,9,MATCH(IF('Data-solution'!$A$3="Maximize",MAX($C44:$AI44),MIN($C44:$AI44)),$C44:$AI44,0)),Z41-INDEX($C33:$AJ43,9,MATCH(IF('Data-solution'!$A$3="Maximize",MAX($C44:$AI44),MIN($C44:$AI44)),$C44:$AI44,0))*INDEX(Z33:$AJ43,MATCH(MIN($AK33:$AK43),$AK33:$AK43,0),1)/INDEX($C33:$AJ43,MATCH(MIN($AK33:$AK43),$AK33:$AK43,0),MATCH(IF('Data-solution'!$A$3="Maximize",MAX($C44:$AI44),MIN($C44:$AI44)),$C44:$AI44,0))),Z41)</f>
        <v>0</v>
      </c>
      <c r="AA56" s="1">
        <f>IF(OR($B48&lt;&gt;$B33,$B49&lt;&gt;$B34,$B50&lt;&gt;$B35,$B51&lt;&gt;$B36,$B52&lt;&gt;$B37,$B53&lt;&gt;$B38,$B54&lt;&gt;$B39,$B55&lt;&gt;$B40,$B56&lt;&gt;$B41,$B57&lt;&gt;$B42,$B58&lt;&gt;$B43),IF($B56&lt;&gt;$B41,AA41/INDEX($C33:$AJ43,9,MATCH(IF('Data-solution'!$A$3="Maximize",MAX($C44:$AI44),MIN($C44:$AI44)),$C44:$AI44,0)),AA41-INDEX($C33:$AJ43,9,MATCH(IF('Data-solution'!$A$3="Maximize",MAX($C44:$AI44),MIN($C44:$AI44)),$C44:$AI44,0))*INDEX(AA33:$AJ43,MATCH(MIN($AK33:$AK43),$AK33:$AK43,0),1)/INDEX($C33:$AJ43,MATCH(MIN($AK33:$AK43),$AK33:$AK43,0),MATCH(IF('Data-solution'!$A$3="Maximize",MAX($C44:$AI44),MIN($C44:$AI44)),$C44:$AI44,0))),AA41)</f>
        <v>0</v>
      </c>
      <c r="AB56" s="1">
        <f>IF(OR($B48&lt;&gt;$B33,$B49&lt;&gt;$B34,$B50&lt;&gt;$B35,$B51&lt;&gt;$B36,$B52&lt;&gt;$B37,$B53&lt;&gt;$B38,$B54&lt;&gt;$B39,$B55&lt;&gt;$B40,$B56&lt;&gt;$B41,$B57&lt;&gt;$B42,$B58&lt;&gt;$B43),IF($B56&lt;&gt;$B41,AB41/INDEX($C33:$AJ43,9,MATCH(IF('Data-solution'!$A$3="Maximize",MAX($C44:$AI44),MIN($C44:$AI44)),$C44:$AI44,0)),AB41-INDEX($C33:$AJ43,9,MATCH(IF('Data-solution'!$A$3="Maximize",MAX($C44:$AI44),MIN($C44:$AI44)),$C44:$AI44,0))*INDEX(AB33:$AJ43,MATCH(MIN($AK33:$AK43),$AK33:$AK43,0),1)/INDEX($C33:$AJ43,MATCH(MIN($AK33:$AK43),$AK33:$AK43,0),MATCH(IF('Data-solution'!$A$3="Maximize",MAX($C44:$AI44),MIN($C44:$AI44)),$C44:$AI44,0))),AB41)</f>
        <v>0</v>
      </c>
      <c r="AC56" s="1">
        <f>IF(OR($B48&lt;&gt;$B33,$B49&lt;&gt;$B34,$B50&lt;&gt;$B35,$B51&lt;&gt;$B36,$B52&lt;&gt;$B37,$B53&lt;&gt;$B38,$B54&lt;&gt;$B39,$B55&lt;&gt;$B40,$B56&lt;&gt;$B41,$B57&lt;&gt;$B42,$B58&lt;&gt;$B43),IF($B56&lt;&gt;$B41,AC41/INDEX($C33:$AJ43,9,MATCH(IF('Data-solution'!$A$3="Maximize",MAX($C44:$AI44),MIN($C44:$AI44)),$C44:$AI44,0)),AC41-INDEX($C33:$AJ43,9,MATCH(IF('Data-solution'!$A$3="Maximize",MAX($C44:$AI44),MIN($C44:$AI44)),$C44:$AI44,0))*INDEX(AC33:$AJ43,MATCH(MIN($AK33:$AK43),$AK33:$AK43,0),1)/INDEX($C33:$AJ43,MATCH(MIN($AK33:$AK43),$AK33:$AK43,0),MATCH(IF('Data-solution'!$A$3="Maximize",MAX($C44:$AI44),MIN($C44:$AI44)),$C44:$AI44,0))),AC41)</f>
        <v>0</v>
      </c>
      <c r="AD56" s="1">
        <f>IF(OR($B48&lt;&gt;$B33,$B49&lt;&gt;$B34,$B50&lt;&gt;$B35,$B51&lt;&gt;$B36,$B52&lt;&gt;$B37,$B53&lt;&gt;$B38,$B54&lt;&gt;$B39,$B55&lt;&gt;$B40,$B56&lt;&gt;$B41,$B57&lt;&gt;$B42,$B58&lt;&gt;$B43),IF($B56&lt;&gt;$B41,AD41/INDEX($C33:$AJ43,9,MATCH(IF('Data-solution'!$A$3="Maximize",MAX($C44:$AI44),MIN($C44:$AI44)),$C44:$AI44,0)),AD41-INDEX($C33:$AJ43,9,MATCH(IF('Data-solution'!$A$3="Maximize",MAX($C44:$AI44),MIN($C44:$AI44)),$C44:$AI44,0))*INDEX(AD33:$AJ43,MATCH(MIN($AK33:$AK43),$AK33:$AK43,0),1)/INDEX($C33:$AJ43,MATCH(MIN($AK33:$AK43),$AK33:$AK43,0),MATCH(IF('Data-solution'!$A$3="Maximize",MAX($C44:$AI44),MIN($C44:$AI44)),$C44:$AI44,0))),AD41)</f>
        <v>0</v>
      </c>
      <c r="AE56" s="1">
        <f>IF(OR($B48&lt;&gt;$B33,$B49&lt;&gt;$B34,$B50&lt;&gt;$B35,$B51&lt;&gt;$B36,$B52&lt;&gt;$B37,$B53&lt;&gt;$B38,$B54&lt;&gt;$B39,$B55&lt;&gt;$B40,$B56&lt;&gt;$B41,$B57&lt;&gt;$B42,$B58&lt;&gt;$B43),IF($B56&lt;&gt;$B41,AE41/INDEX($C33:$AJ43,9,MATCH(IF('Data-solution'!$A$3="Maximize",MAX($C44:$AI44),MIN($C44:$AI44)),$C44:$AI44,0)),AE41-INDEX($C33:$AJ43,9,MATCH(IF('Data-solution'!$A$3="Maximize",MAX($C44:$AI44),MIN($C44:$AI44)),$C44:$AI44,0))*INDEX(AE33:$AJ43,MATCH(MIN($AK33:$AK43),$AK33:$AK43,0),1)/INDEX($C33:$AJ43,MATCH(MIN($AK33:$AK43),$AK33:$AK43,0),MATCH(IF('Data-solution'!$A$3="Maximize",MAX($C44:$AI44),MIN($C44:$AI44)),$C44:$AI44,0))),AE41)</f>
        <v>0</v>
      </c>
      <c r="AF56" s="1">
        <f>IF(OR($B48&lt;&gt;$B33,$B49&lt;&gt;$B34,$B50&lt;&gt;$B35,$B51&lt;&gt;$B36,$B52&lt;&gt;$B37,$B53&lt;&gt;$B38,$B54&lt;&gt;$B39,$B55&lt;&gt;$B40,$B56&lt;&gt;$B41,$B57&lt;&gt;$B42,$B58&lt;&gt;$B43),IF($B56&lt;&gt;$B41,AF41/INDEX($C33:$AJ43,9,MATCH(IF('Data-solution'!$A$3="Maximize",MAX($C44:$AI44),MIN($C44:$AI44)),$C44:$AI44,0)),AF41-INDEX($C33:$AJ43,9,MATCH(IF('Data-solution'!$A$3="Maximize",MAX($C44:$AI44),MIN($C44:$AI44)),$C44:$AI44,0))*INDEX(AF33:$AJ43,MATCH(MIN($AK33:$AK43),$AK33:$AK43,0),1)/INDEX($C33:$AJ43,MATCH(MIN($AK33:$AK43),$AK33:$AK43,0),MATCH(IF('Data-solution'!$A$3="Maximize",MAX($C44:$AI44),MIN($C44:$AI44)),$C44:$AI44,0))),AF41)</f>
        <v>0</v>
      </c>
      <c r="AG56" s="1">
        <f>IF(OR($B48&lt;&gt;$B33,$B49&lt;&gt;$B34,$B50&lt;&gt;$B35,$B51&lt;&gt;$B36,$B52&lt;&gt;$B37,$B53&lt;&gt;$B38,$B54&lt;&gt;$B39,$B55&lt;&gt;$B40,$B56&lt;&gt;$B41,$B57&lt;&gt;$B42,$B58&lt;&gt;$B43),IF($B56&lt;&gt;$B41,AG41/INDEX($C33:$AJ43,9,MATCH(IF('Data-solution'!$A$3="Maximize",MAX($C44:$AI44),MIN($C44:$AI44)),$C44:$AI44,0)),AG41-INDEX($C33:$AJ43,9,MATCH(IF('Data-solution'!$A$3="Maximize",MAX($C44:$AI44),MIN($C44:$AI44)),$C44:$AI44,0))*INDEX(AG33:$AJ43,MATCH(MIN($AK33:$AK43),$AK33:$AK43,0),1)/INDEX($C33:$AJ43,MATCH(MIN($AK33:$AK43),$AK33:$AK43,0),MATCH(IF('Data-solution'!$A$3="Maximize",MAX($C44:$AI44),MIN($C44:$AI44)),$C44:$AI44,0))),AG41)</f>
        <v>1</v>
      </c>
      <c r="AH56" s="1">
        <f>IF(OR($B48&lt;&gt;$B33,$B49&lt;&gt;$B34,$B50&lt;&gt;$B35,$B51&lt;&gt;$B36,$B52&lt;&gt;$B37,$B53&lt;&gt;$B38,$B54&lt;&gt;$B39,$B55&lt;&gt;$B40,$B56&lt;&gt;$B41,$B57&lt;&gt;$B42,$B58&lt;&gt;$B43),IF($B56&lt;&gt;$B41,AH41/INDEX($C33:$AJ43,9,MATCH(IF('Data-solution'!$A$3="Maximize",MAX($C44:$AI44),MIN($C44:$AI44)),$C44:$AI44,0)),AH41-INDEX($C33:$AJ43,9,MATCH(IF('Data-solution'!$A$3="Maximize",MAX($C44:$AI44),MIN($C44:$AI44)),$C44:$AI44,0))*INDEX(AH33:$AJ43,MATCH(MIN($AK33:$AK43),$AK33:$AK43,0),1)/INDEX($C33:$AJ43,MATCH(MIN($AK33:$AK43),$AK33:$AK43,0),MATCH(IF('Data-solution'!$A$3="Maximize",MAX($C44:$AI44),MIN($C44:$AI44)),$C44:$AI44,0))),AH41)</f>
        <v>0</v>
      </c>
      <c r="AI56" s="1">
        <f>IF(OR($B48&lt;&gt;$B33,$B49&lt;&gt;$B34,$B50&lt;&gt;$B35,$B51&lt;&gt;$B36,$B52&lt;&gt;$B37,$B53&lt;&gt;$B38,$B54&lt;&gt;$B39,$B55&lt;&gt;$B40,$B56&lt;&gt;$B41,$B57&lt;&gt;$B42,$B58&lt;&gt;$B43),IF($B56&lt;&gt;$B41,AI41/INDEX($C33:$AJ43,9,MATCH(IF('Data-solution'!$A$3="Maximize",MAX($C44:$AI44),MIN($C44:$AI44)),$C44:$AI44,0)),AI41-INDEX($C33:$AJ43,9,MATCH(IF('Data-solution'!$A$3="Maximize",MAX($C44:$AI44),MIN($C44:$AI44)),$C44:$AI44,0))*INDEX(AI33:$AJ43,MATCH(MIN($AK33:$AK43),$AK33:$AK43,0),1)/INDEX($C33:$AJ43,MATCH(MIN($AK33:$AK43),$AK33:$AK43,0),MATCH(IF('Data-solution'!$A$3="Maximize",MAX($C44:$AI44),MIN($C44:$AI44)),$C44:$AI44,0))),AI41)</f>
        <v>0</v>
      </c>
      <c r="AJ56" s="1">
        <f>IF(OR($B48&lt;&gt;$B33,$B49&lt;&gt;$B34,$B50&lt;&gt;$B35,$B51&lt;&gt;$B36,$B52&lt;&gt;$B37,$B53&lt;&gt;$B38,$B54&lt;&gt;$B39,$B55&lt;&gt;$B40,$B56&lt;&gt;$B41,$B57&lt;&gt;$B42,$B58&lt;&gt;$B43),IF($B56&lt;&gt;$B41,AJ41/INDEX($C33:$AJ43,9,MATCH(IF('Data-solution'!$A$3="Maximize",MAX($C44:$AI44),MIN($C44:$AI44)),$C44:$AI44,0)),AJ41-INDEX($C33:$AJ43,9,MATCH(IF('Data-solution'!$A$3="Maximize",MAX($C44:$AI44),MIN($C44:$AI44)),$C44:$AI44,0))*INDEX(AJ33:$AJ43,MATCH(MIN($AK33:$AK43),$AK33:$AK43,0),1)/INDEX($C33:$AJ43,MATCH(MIN($AK33:$AK43),$AK33:$AK43,0),MATCH(IF('Data-solution'!$A$3="Maximize",MAX($C44:$AI44),MIN($C44:$AI44)),$C44:$AI44,0))),AJ41)</f>
        <v>0</v>
      </c>
      <c r="AK56" s="1" t="str">
        <f>IF(INDEX(C56:X56,1,MATCH(IF('Data-solution'!A$3="Maximize",MAX(C59:X59),MIN(C59:X59)),C59:X59,0))&gt;0,AJ56/INDEX(C56:X56,1,MATCH(IF('Data-solution'!A$3="Maximize",MAX(C59:X59),MIN(C59:X59)),C59:X59,0))," ")</f>
        <v xml:space="preserve"> </v>
      </c>
    </row>
    <row r="57" spans="1:37" ht="18" customHeight="1" x14ac:dyDescent="0.2">
      <c r="A57" s="1">
        <f t="shared" ref="A57" si="31">INDEX(C46:AI46,1,MATCH(B57,C47:AI47,0))</f>
        <v>0</v>
      </c>
      <c r="B57" s="2" t="str">
        <f>IF(AND('Data-solution'!A$3="Maximize",COUNTIF(C44:X44,"&gt;"&amp;0)&gt;0,AK42=MIN(AK33:AK43),COUNTIF(B48:B56,INDEX(C32:X32,1,MATCH(MAX(C44:X44),C44:X44,0)))=0),INDEX(C32:X32,1,MATCH(MAX(C44:X44),C44:X44,0)),IF(AND('Data-solution'!A$3="Minimize",COUNTIF(C44:X44,"&lt;"&amp;0)&gt;0,AK42=MIN(AK33:AK43),COUNTIF(B48:B56,INDEX(C32:X32,1,MATCH(MIN(C44:X44),C44:X44,0)))=0),INDEX(C32:X32,1,MATCH(MIN(C44:X44),C44:X44,0)),B42))</f>
        <v>S10</v>
      </c>
      <c r="C57" s="1">
        <f>IF(OR($B48&lt;&gt;$B33,$B49&lt;&gt;$B34,$B50&lt;&gt;$B35,$B51&lt;&gt;$B36,$B52&lt;&gt;$B37,$B53&lt;&gt;$B38,$B54&lt;&gt;$B39,$B55&lt;&gt;$B40,$B56&lt;&gt;$B41,$B57&lt;&gt;$B42,$B58&lt;&gt;$B43),IF($B57&lt;&gt;$B42,C42/INDEX($C33:$AJ43,10,MATCH(IF('Data-solution'!$A$3="Maximize",MAX($C44:$AI44),MIN($C44:$AI44)),$C44:$AI44,0)),C42-INDEX($C33:$AJ43,10,MATCH(IF('Data-solution'!$A$3="Maximize",MAX($C44:$AI44),MIN($C44:$AI44)),$C44:$AI44,0))*INDEX(C33:$AJ43,MATCH(MIN($AK33:$AK43),$AK33:$AK43,0),1)/INDEX($C33:$AJ43,MATCH(MIN($AK33:$AK43),$AK33:$AK43,0),MATCH(IF('Data-solution'!$A$3="Maximize",MAX($C44:$AI44),MIN($C44:$AI44)),$C44:$AI44,0))),C42)</f>
        <v>0</v>
      </c>
      <c r="D57" s="1">
        <f>IF(OR($B48&lt;&gt;$B33,$B49&lt;&gt;$B34,$B50&lt;&gt;$B35,$B51&lt;&gt;$B36,$B52&lt;&gt;$B37,$B53&lt;&gt;$B38,$B54&lt;&gt;$B39,$B55&lt;&gt;$B40,$B56&lt;&gt;$B41,$B57&lt;&gt;$B42,$B58&lt;&gt;$B43),IF($B57&lt;&gt;$B42,D42/INDEX($C33:$AJ43,10,MATCH(IF('Data-solution'!$A$3="Maximize",MAX($C44:$AI44),MIN($C44:$AI44)),$C44:$AI44,0)),D42-INDEX($C33:$AJ43,10,MATCH(IF('Data-solution'!$A$3="Maximize",MAX($C44:$AI44),MIN($C44:$AI44)),$C44:$AI44,0))*INDEX(D33:$AJ43,MATCH(MIN($AK33:$AK43),$AK33:$AK43,0),1)/INDEX($C33:$AJ43,MATCH(MIN($AK33:$AK43),$AK33:$AK43,0),MATCH(IF('Data-solution'!$A$3="Maximize",MAX($C44:$AI44),MIN($C44:$AI44)),$C44:$AI44,0))),D42)</f>
        <v>0</v>
      </c>
      <c r="E57" s="1">
        <f>IF(OR($B48&lt;&gt;$B33,$B49&lt;&gt;$B34,$B50&lt;&gt;$B35,$B51&lt;&gt;$B36,$B52&lt;&gt;$B37,$B53&lt;&gt;$B38,$B54&lt;&gt;$B39,$B55&lt;&gt;$B40,$B56&lt;&gt;$B41,$B57&lt;&gt;$B42,$B58&lt;&gt;$B43),IF($B57&lt;&gt;$B42,E42/INDEX($C33:$AJ43,10,MATCH(IF('Data-solution'!$A$3="Maximize",MAX($C44:$AI44),MIN($C44:$AI44)),$C44:$AI44,0)),E42-INDEX($C33:$AJ43,10,MATCH(IF('Data-solution'!$A$3="Maximize",MAX($C44:$AI44),MIN($C44:$AI44)),$C44:$AI44,0))*INDEX(E33:$AJ43,MATCH(MIN($AK33:$AK43),$AK33:$AK43,0),1)/INDEX($C33:$AJ43,MATCH(MIN($AK33:$AK43),$AK33:$AK43,0),MATCH(IF('Data-solution'!$A$3="Maximize",MAX($C44:$AI44),MIN($C44:$AI44)),$C44:$AI44,0))),E42)</f>
        <v>0</v>
      </c>
      <c r="F57" s="1">
        <f>IF(OR($B48&lt;&gt;$B33,$B49&lt;&gt;$B34,$B50&lt;&gt;$B35,$B51&lt;&gt;$B36,$B52&lt;&gt;$B37,$B53&lt;&gt;$B38,$B54&lt;&gt;$B39,$B55&lt;&gt;$B40,$B56&lt;&gt;$B41,$B57&lt;&gt;$B42,$B58&lt;&gt;$B43),IF($B57&lt;&gt;$B42,F42/INDEX($C33:$AJ43,10,MATCH(IF('Data-solution'!$A$3="Maximize",MAX($C44:$AI44),MIN($C44:$AI44)),$C44:$AI44,0)),F42-INDEX($C33:$AJ43,10,MATCH(IF('Data-solution'!$A$3="Maximize",MAX($C44:$AI44),MIN($C44:$AI44)),$C44:$AI44,0))*INDEX(F33:$AJ43,MATCH(MIN($AK33:$AK43),$AK33:$AK43,0),1)/INDEX($C33:$AJ43,MATCH(MIN($AK33:$AK43),$AK33:$AK43,0),MATCH(IF('Data-solution'!$A$3="Maximize",MAX($C44:$AI44),MIN($C44:$AI44)),$C44:$AI44,0))),F42)</f>
        <v>0</v>
      </c>
      <c r="G57" s="1">
        <f>IF(OR($B48&lt;&gt;$B33,$B49&lt;&gt;$B34,$B50&lt;&gt;$B35,$B51&lt;&gt;$B36,$B52&lt;&gt;$B37,$B53&lt;&gt;$B38,$B54&lt;&gt;$B39,$B55&lt;&gt;$B40,$B56&lt;&gt;$B41,$B57&lt;&gt;$B42,$B58&lt;&gt;$B43),IF($B57&lt;&gt;$B42,G42/INDEX($C33:$AJ43,10,MATCH(IF('Data-solution'!$A$3="Maximize",MAX($C44:$AI44),MIN($C44:$AI44)),$C44:$AI44,0)),G42-INDEX($C33:$AJ43,10,MATCH(IF('Data-solution'!$A$3="Maximize",MAX($C44:$AI44),MIN($C44:$AI44)),$C44:$AI44,0))*INDEX(G33:$AJ43,MATCH(MIN($AK33:$AK43),$AK33:$AK43,0),1)/INDEX($C33:$AJ43,MATCH(MIN($AK33:$AK43),$AK33:$AK43,0),MATCH(IF('Data-solution'!$A$3="Maximize",MAX($C44:$AI44),MIN($C44:$AI44)),$C44:$AI44,0))),G42)</f>
        <v>0</v>
      </c>
      <c r="H57" s="1">
        <f>IF(OR($B48&lt;&gt;$B33,$B49&lt;&gt;$B34,$B50&lt;&gt;$B35,$B51&lt;&gt;$B36,$B52&lt;&gt;$B37,$B53&lt;&gt;$B38,$B54&lt;&gt;$B39,$B55&lt;&gt;$B40,$B56&lt;&gt;$B41,$B57&lt;&gt;$B42,$B58&lt;&gt;$B43),IF($B57&lt;&gt;$B42,H42/INDEX($C33:$AJ43,10,MATCH(IF('Data-solution'!$A$3="Maximize",MAX($C44:$AI44),MIN($C44:$AI44)),$C44:$AI44,0)),H42-INDEX($C33:$AJ43,10,MATCH(IF('Data-solution'!$A$3="Maximize",MAX($C44:$AI44),MIN($C44:$AI44)),$C44:$AI44,0))*INDEX(H33:$AJ43,MATCH(MIN($AK33:$AK43),$AK33:$AK43,0),1)/INDEX($C33:$AJ43,MATCH(MIN($AK33:$AK43),$AK33:$AK43,0),MATCH(IF('Data-solution'!$A$3="Maximize",MAX($C44:$AI44),MIN($C44:$AI44)),$C44:$AI44,0))),H42)</f>
        <v>0</v>
      </c>
      <c r="I57" s="1">
        <f>IF(OR($B48&lt;&gt;$B33,$B49&lt;&gt;$B34,$B50&lt;&gt;$B35,$B51&lt;&gt;$B36,$B52&lt;&gt;$B37,$B53&lt;&gt;$B38,$B54&lt;&gt;$B39,$B55&lt;&gt;$B40,$B56&lt;&gt;$B41,$B57&lt;&gt;$B42,$B58&lt;&gt;$B43),IF($B57&lt;&gt;$B42,I42/INDEX($C33:$AJ43,10,MATCH(IF('Data-solution'!$A$3="Maximize",MAX($C44:$AI44),MIN($C44:$AI44)),$C44:$AI44,0)),I42-INDEX($C33:$AJ43,10,MATCH(IF('Data-solution'!$A$3="Maximize",MAX($C44:$AI44),MIN($C44:$AI44)),$C44:$AI44,0))*INDEX(I33:$AJ43,MATCH(MIN($AK33:$AK43),$AK33:$AK43,0),1)/INDEX($C33:$AJ43,MATCH(MIN($AK33:$AK43),$AK33:$AK43,0),MATCH(IF('Data-solution'!$A$3="Maximize",MAX($C44:$AI44),MIN($C44:$AI44)),$C44:$AI44,0))),I42)</f>
        <v>0</v>
      </c>
      <c r="J57" s="1">
        <f>IF(OR($B48&lt;&gt;$B33,$B49&lt;&gt;$B34,$B50&lt;&gt;$B35,$B51&lt;&gt;$B36,$B52&lt;&gt;$B37,$B53&lt;&gt;$B38,$B54&lt;&gt;$B39,$B55&lt;&gt;$B40,$B56&lt;&gt;$B41,$B57&lt;&gt;$B42,$B58&lt;&gt;$B43),IF($B57&lt;&gt;$B42,J42/INDEX($C33:$AJ43,10,MATCH(IF('Data-solution'!$A$3="Maximize",MAX($C44:$AI44),MIN($C44:$AI44)),$C44:$AI44,0)),J42-INDEX($C33:$AJ43,10,MATCH(IF('Data-solution'!$A$3="Maximize",MAX($C44:$AI44),MIN($C44:$AI44)),$C44:$AI44,0))*INDEX(J33:$AJ43,MATCH(MIN($AK33:$AK43),$AK33:$AK43,0),1)/INDEX($C33:$AJ43,MATCH(MIN($AK33:$AK43),$AK33:$AK43,0),MATCH(IF('Data-solution'!$A$3="Maximize",MAX($C44:$AI44),MIN($C44:$AI44)),$C44:$AI44,0))),J42)</f>
        <v>0</v>
      </c>
      <c r="K57" s="1">
        <f>IF(OR($B48&lt;&gt;$B33,$B49&lt;&gt;$B34,$B50&lt;&gt;$B35,$B51&lt;&gt;$B36,$B52&lt;&gt;$B37,$B53&lt;&gt;$B38,$B54&lt;&gt;$B39,$B55&lt;&gt;$B40,$B56&lt;&gt;$B41,$B57&lt;&gt;$B42,$B58&lt;&gt;$B43),IF($B57&lt;&gt;$B42,K42/INDEX($C33:$AJ43,10,MATCH(IF('Data-solution'!$A$3="Maximize",MAX($C44:$AI44),MIN($C44:$AI44)),$C44:$AI44,0)),K42-INDEX($C33:$AJ43,10,MATCH(IF('Data-solution'!$A$3="Maximize",MAX($C44:$AI44),MIN($C44:$AI44)),$C44:$AI44,0))*INDEX(K33:$AJ43,MATCH(MIN($AK33:$AK43),$AK33:$AK43,0),1)/INDEX($C33:$AJ43,MATCH(MIN($AK33:$AK43),$AK33:$AK43,0),MATCH(IF('Data-solution'!$A$3="Maximize",MAX($C44:$AI44),MIN($C44:$AI44)),$C44:$AI44,0))),K42)</f>
        <v>0</v>
      </c>
      <c r="L57" s="1">
        <f>IF(OR($B48&lt;&gt;$B33,$B49&lt;&gt;$B34,$B50&lt;&gt;$B35,$B51&lt;&gt;$B36,$B52&lt;&gt;$B37,$B53&lt;&gt;$B38,$B54&lt;&gt;$B39,$B55&lt;&gt;$B40,$B56&lt;&gt;$B41,$B57&lt;&gt;$B42,$B58&lt;&gt;$B43),IF($B57&lt;&gt;$B42,L42/INDEX($C33:$AJ43,10,MATCH(IF('Data-solution'!$A$3="Maximize",MAX($C44:$AI44),MIN($C44:$AI44)),$C44:$AI44,0)),L42-INDEX($C33:$AJ43,10,MATCH(IF('Data-solution'!$A$3="Maximize",MAX($C44:$AI44),MIN($C44:$AI44)),$C44:$AI44,0))*INDEX(L33:$AJ43,MATCH(MIN($AK33:$AK43),$AK33:$AK43,0),1)/INDEX($C33:$AJ43,MATCH(MIN($AK33:$AK43),$AK33:$AK43,0),MATCH(IF('Data-solution'!$A$3="Maximize",MAX($C44:$AI44),MIN($C44:$AI44)),$C44:$AI44,0))),L42)</f>
        <v>0</v>
      </c>
      <c r="M57" s="1">
        <f>IF(OR($B48&lt;&gt;$B33,$B49&lt;&gt;$B34,$B50&lt;&gt;$B35,$B51&lt;&gt;$B36,$B52&lt;&gt;$B37,$B53&lt;&gt;$B38,$B54&lt;&gt;$B39,$B55&lt;&gt;$B40,$B56&lt;&gt;$B41,$B57&lt;&gt;$B42,$B58&lt;&gt;$B43),IF($B57&lt;&gt;$B42,M42/INDEX($C33:$AJ43,10,MATCH(IF('Data-solution'!$A$3="Maximize",MAX($C44:$AI44),MIN($C44:$AI44)),$C44:$AI44,0)),M42-INDEX($C33:$AJ43,10,MATCH(IF('Data-solution'!$A$3="Maximize",MAX($C44:$AI44),MIN($C44:$AI44)),$C44:$AI44,0))*INDEX(M33:$AJ43,MATCH(MIN($AK33:$AK43),$AK33:$AK43,0),1)/INDEX($C33:$AJ43,MATCH(MIN($AK33:$AK43),$AK33:$AK43,0),MATCH(IF('Data-solution'!$A$3="Maximize",MAX($C44:$AI44),MIN($C44:$AI44)),$C44:$AI44,0))),M42)</f>
        <v>0</v>
      </c>
      <c r="N57" s="1">
        <f>IF(OR($B48&lt;&gt;$B33,$B49&lt;&gt;$B34,$B50&lt;&gt;$B35,$B51&lt;&gt;$B36,$B52&lt;&gt;$B37,$B53&lt;&gt;$B38,$B54&lt;&gt;$B39,$B55&lt;&gt;$B40,$B56&lt;&gt;$B41,$B57&lt;&gt;$B42,$B58&lt;&gt;$B43),IF($B57&lt;&gt;$B42,N42/INDEX($C33:$AJ43,10,MATCH(IF('Data-solution'!$A$3="Maximize",MAX($C44:$AI44),MIN($C44:$AI44)),$C44:$AI44,0)),N42-INDEX($C33:$AJ43,10,MATCH(IF('Data-solution'!$A$3="Maximize",MAX($C44:$AI44),MIN($C44:$AI44)),$C44:$AI44,0))*INDEX(N33:$AJ43,MATCH(MIN($AK33:$AK43),$AK33:$AK43,0),1)/INDEX($C33:$AJ43,MATCH(MIN($AK33:$AK43),$AK33:$AK43,0),MATCH(IF('Data-solution'!$A$3="Maximize",MAX($C44:$AI44),MIN($C44:$AI44)),$C44:$AI44,0))),N42)</f>
        <v>0</v>
      </c>
      <c r="O57" s="1">
        <f>IF(OR($B48&lt;&gt;$B33,$B49&lt;&gt;$B34,$B50&lt;&gt;$B35,$B51&lt;&gt;$B36,$B52&lt;&gt;$B37,$B53&lt;&gt;$B38,$B54&lt;&gt;$B39,$B55&lt;&gt;$B40,$B56&lt;&gt;$B41,$B57&lt;&gt;$B42,$B58&lt;&gt;$B43),IF($B57&lt;&gt;$B42,O42/INDEX($C33:$AJ43,10,MATCH(IF('Data-solution'!$A$3="Maximize",MAX($C44:$AI44),MIN($C44:$AI44)),$C44:$AI44,0)),O42-INDEX($C33:$AJ43,10,MATCH(IF('Data-solution'!$A$3="Maximize",MAX($C44:$AI44),MIN($C44:$AI44)),$C44:$AI44,0))*INDEX(O33:$AJ43,MATCH(MIN($AK33:$AK43),$AK33:$AK43,0),1)/INDEX($C33:$AJ43,MATCH(MIN($AK33:$AK43),$AK33:$AK43,0),MATCH(IF('Data-solution'!$A$3="Maximize",MAX($C44:$AI44),MIN($C44:$AI44)),$C44:$AI44,0))),O42)</f>
        <v>0</v>
      </c>
      <c r="P57" s="1">
        <f>IF(OR($B48&lt;&gt;$B33,$B49&lt;&gt;$B34,$B50&lt;&gt;$B35,$B51&lt;&gt;$B36,$B52&lt;&gt;$B37,$B53&lt;&gt;$B38,$B54&lt;&gt;$B39,$B55&lt;&gt;$B40,$B56&lt;&gt;$B41,$B57&lt;&gt;$B42,$B58&lt;&gt;$B43),IF($B57&lt;&gt;$B42,P42/INDEX($C33:$AJ43,10,MATCH(IF('Data-solution'!$A$3="Maximize",MAX($C44:$AI44),MIN($C44:$AI44)),$C44:$AI44,0)),P42-INDEX($C33:$AJ43,10,MATCH(IF('Data-solution'!$A$3="Maximize",MAX($C44:$AI44),MIN($C44:$AI44)),$C44:$AI44,0))*INDEX(P33:$AJ43,MATCH(MIN($AK33:$AK43),$AK33:$AK43,0),1)/INDEX($C33:$AJ43,MATCH(MIN($AK33:$AK43),$AK33:$AK43,0),MATCH(IF('Data-solution'!$A$3="Maximize",MAX($C44:$AI44),MIN($C44:$AI44)),$C44:$AI44,0))),P42)</f>
        <v>0</v>
      </c>
      <c r="Q57" s="1">
        <f>IF(OR($B48&lt;&gt;$B33,$B49&lt;&gt;$B34,$B50&lt;&gt;$B35,$B51&lt;&gt;$B36,$B52&lt;&gt;$B37,$B53&lt;&gt;$B38,$B54&lt;&gt;$B39,$B55&lt;&gt;$B40,$B56&lt;&gt;$B41,$B57&lt;&gt;$B42,$B58&lt;&gt;$B43),IF($B57&lt;&gt;$B42,Q42/INDEX($C33:$AJ43,10,MATCH(IF('Data-solution'!$A$3="Maximize",MAX($C44:$AI44),MIN($C44:$AI44)),$C44:$AI44,0)),Q42-INDEX($C33:$AJ43,10,MATCH(IF('Data-solution'!$A$3="Maximize",MAX($C44:$AI44),MIN($C44:$AI44)),$C44:$AI44,0))*INDEX(Q33:$AJ43,MATCH(MIN($AK33:$AK43),$AK33:$AK43,0),1)/INDEX($C33:$AJ43,MATCH(MIN($AK33:$AK43),$AK33:$AK43,0),MATCH(IF('Data-solution'!$A$3="Maximize",MAX($C44:$AI44),MIN($C44:$AI44)),$C44:$AI44,0))),Q42)</f>
        <v>0</v>
      </c>
      <c r="R57" s="1">
        <f>IF(OR($B48&lt;&gt;$B33,$B49&lt;&gt;$B34,$B50&lt;&gt;$B35,$B51&lt;&gt;$B36,$B52&lt;&gt;$B37,$B53&lt;&gt;$B38,$B54&lt;&gt;$B39,$B55&lt;&gt;$B40,$B56&lt;&gt;$B41,$B57&lt;&gt;$B42,$B58&lt;&gt;$B43),IF($B57&lt;&gt;$B42,R42/INDEX($C33:$AJ43,10,MATCH(IF('Data-solution'!$A$3="Maximize",MAX($C44:$AI44),MIN($C44:$AI44)),$C44:$AI44,0)),R42-INDEX($C33:$AJ43,10,MATCH(IF('Data-solution'!$A$3="Maximize",MAX($C44:$AI44),MIN($C44:$AI44)),$C44:$AI44,0))*INDEX(R33:$AJ43,MATCH(MIN($AK33:$AK43),$AK33:$AK43,0),1)/INDEX($C33:$AJ43,MATCH(MIN($AK33:$AK43),$AK33:$AK43,0),MATCH(IF('Data-solution'!$A$3="Maximize",MAX($C44:$AI44),MIN($C44:$AI44)),$C44:$AI44,0))),R42)</f>
        <v>0</v>
      </c>
      <c r="S57" s="1">
        <f>IF(OR($B48&lt;&gt;$B33,$B49&lt;&gt;$B34,$B50&lt;&gt;$B35,$B51&lt;&gt;$B36,$B52&lt;&gt;$B37,$B53&lt;&gt;$B38,$B54&lt;&gt;$B39,$B55&lt;&gt;$B40,$B56&lt;&gt;$B41,$B57&lt;&gt;$B42,$B58&lt;&gt;$B43),IF($B57&lt;&gt;$B42,S42/INDEX($C33:$AJ43,10,MATCH(IF('Data-solution'!$A$3="Maximize",MAX($C44:$AI44),MIN($C44:$AI44)),$C44:$AI44,0)),S42-INDEX($C33:$AJ43,10,MATCH(IF('Data-solution'!$A$3="Maximize",MAX($C44:$AI44),MIN($C44:$AI44)),$C44:$AI44,0))*INDEX(S33:$AJ43,MATCH(MIN($AK33:$AK43),$AK33:$AK43,0),1)/INDEX($C33:$AJ43,MATCH(MIN($AK33:$AK43),$AK33:$AK43,0),MATCH(IF('Data-solution'!$A$3="Maximize",MAX($C44:$AI44),MIN($C44:$AI44)),$C44:$AI44,0))),S42)</f>
        <v>0</v>
      </c>
      <c r="T57" s="1">
        <f>IF(OR($B48&lt;&gt;$B33,$B49&lt;&gt;$B34,$B50&lt;&gt;$B35,$B51&lt;&gt;$B36,$B52&lt;&gt;$B37,$B53&lt;&gt;$B38,$B54&lt;&gt;$B39,$B55&lt;&gt;$B40,$B56&lt;&gt;$B41,$B57&lt;&gt;$B42,$B58&lt;&gt;$B43),IF($B57&lt;&gt;$B42,T42/INDEX($C33:$AJ43,10,MATCH(IF('Data-solution'!$A$3="Maximize",MAX($C44:$AI44),MIN($C44:$AI44)),$C44:$AI44,0)),T42-INDEX($C33:$AJ43,10,MATCH(IF('Data-solution'!$A$3="Maximize",MAX($C44:$AI44),MIN($C44:$AI44)),$C44:$AI44,0))*INDEX(T33:$AJ43,MATCH(MIN($AK33:$AK43),$AK33:$AK43,0),1)/INDEX($C33:$AJ43,MATCH(MIN($AK33:$AK43),$AK33:$AK43,0),MATCH(IF('Data-solution'!$A$3="Maximize",MAX($C44:$AI44),MIN($C44:$AI44)),$C44:$AI44,0))),T42)</f>
        <v>0</v>
      </c>
      <c r="U57" s="1">
        <f>IF(OR($B48&lt;&gt;$B33,$B49&lt;&gt;$B34,$B50&lt;&gt;$B35,$B51&lt;&gt;$B36,$B52&lt;&gt;$B37,$B53&lt;&gt;$B38,$B54&lt;&gt;$B39,$B55&lt;&gt;$B40,$B56&lt;&gt;$B41,$B57&lt;&gt;$B42,$B58&lt;&gt;$B43),IF($B57&lt;&gt;$B42,U42/INDEX($C33:$AJ43,10,MATCH(IF('Data-solution'!$A$3="Maximize",MAX($C44:$AI44),MIN($C44:$AI44)),$C44:$AI44,0)),U42-INDEX($C33:$AJ43,10,MATCH(IF('Data-solution'!$A$3="Maximize",MAX($C44:$AI44),MIN($C44:$AI44)),$C44:$AI44,0))*INDEX(U33:$AJ43,MATCH(MIN($AK33:$AK43),$AK33:$AK43,0),1)/INDEX($C33:$AJ43,MATCH(MIN($AK33:$AK43),$AK33:$AK43,0),MATCH(IF('Data-solution'!$A$3="Maximize",MAX($C44:$AI44),MIN($C44:$AI44)),$C44:$AI44,0))),U42)</f>
        <v>0</v>
      </c>
      <c r="V57" s="1">
        <f>IF(OR($B48&lt;&gt;$B33,$B49&lt;&gt;$B34,$B50&lt;&gt;$B35,$B51&lt;&gt;$B36,$B52&lt;&gt;$B37,$B53&lt;&gt;$B38,$B54&lt;&gt;$B39,$B55&lt;&gt;$B40,$B56&lt;&gt;$B41,$B57&lt;&gt;$B42,$B58&lt;&gt;$B43),IF($B57&lt;&gt;$B42,V42/INDEX($C33:$AJ43,10,MATCH(IF('Data-solution'!$A$3="Maximize",MAX($C44:$AI44),MIN($C44:$AI44)),$C44:$AI44,0)),V42-INDEX($C33:$AJ43,10,MATCH(IF('Data-solution'!$A$3="Maximize",MAX($C44:$AI44),MIN($C44:$AI44)),$C44:$AI44,0))*INDEX(V33:$AJ43,MATCH(MIN($AK33:$AK43),$AK33:$AK43,0),1)/INDEX($C33:$AJ43,MATCH(MIN($AK33:$AK43),$AK33:$AK43,0),MATCH(IF('Data-solution'!$A$3="Maximize",MAX($C44:$AI44),MIN($C44:$AI44)),$C44:$AI44,0))),V42)</f>
        <v>0</v>
      </c>
      <c r="W57" s="1">
        <f>IF(OR($B48&lt;&gt;$B33,$B49&lt;&gt;$B34,$B50&lt;&gt;$B35,$B51&lt;&gt;$B36,$B52&lt;&gt;$B37,$B53&lt;&gt;$B38,$B54&lt;&gt;$B39,$B55&lt;&gt;$B40,$B56&lt;&gt;$B41,$B57&lt;&gt;$B42,$B58&lt;&gt;$B43),IF($B57&lt;&gt;$B42,W42/INDEX($C33:$AJ43,10,MATCH(IF('Data-solution'!$A$3="Maximize",MAX($C44:$AI44),MIN($C44:$AI44)),$C44:$AI44,0)),W42-INDEX($C33:$AJ43,10,MATCH(IF('Data-solution'!$A$3="Maximize",MAX($C44:$AI44),MIN($C44:$AI44)),$C44:$AI44,0))*INDEX(W33:$AJ43,MATCH(MIN($AK33:$AK43),$AK33:$AK43,0),1)/INDEX($C33:$AJ43,MATCH(MIN($AK33:$AK43),$AK33:$AK43,0),MATCH(IF('Data-solution'!$A$3="Maximize",MAX($C44:$AI44),MIN($C44:$AI44)),$C44:$AI44,0))),W42)</f>
        <v>1</v>
      </c>
      <c r="X57" s="1">
        <f>IF(OR($B48&lt;&gt;$B33,$B49&lt;&gt;$B34,$B50&lt;&gt;$B35,$B51&lt;&gt;$B36,$B52&lt;&gt;$B37,$B53&lt;&gt;$B38,$B54&lt;&gt;$B39,$B55&lt;&gt;$B40,$B56&lt;&gt;$B41,$B57&lt;&gt;$B42,$B58&lt;&gt;$B43),IF($B57&lt;&gt;$B42,X42/INDEX($C33:$AJ43,10,MATCH(IF('Data-solution'!$A$3="Maximize",MAX($C44:$AI44),MIN($C44:$AI44)),$C44:$AI44,0)),X42-INDEX($C33:$AJ43,10,MATCH(IF('Data-solution'!$A$3="Maximize",MAX($C44:$AI44),MIN($C44:$AI44)),$C44:$AI44,0))*INDEX(X33:$AJ43,MATCH(MIN($AK33:$AK43),$AK33:$AK43,0),1)/INDEX($C33:$AJ43,MATCH(MIN($AK33:$AK43),$AK33:$AK43,0),MATCH(IF('Data-solution'!$A$3="Maximize",MAX($C44:$AI44),MIN($C44:$AI44)),$C44:$AI44,0))),X42)</f>
        <v>0</v>
      </c>
      <c r="Y57" s="1">
        <f>IF(OR($B48&lt;&gt;$B33,$B49&lt;&gt;$B34,$B50&lt;&gt;$B35,$B51&lt;&gt;$B36,$B52&lt;&gt;$B37,$B53&lt;&gt;$B38,$B54&lt;&gt;$B39,$B55&lt;&gt;$B40,$B56&lt;&gt;$B41,$B57&lt;&gt;$B42,$B58&lt;&gt;$B43),IF($B57&lt;&gt;$B42,Y42/INDEX($C33:$AJ43,10,MATCH(IF('Data-solution'!$A$3="Maximize",MAX($C44:$AI44),MIN($C44:$AI44)),$C44:$AI44,0)),Y42-INDEX($C33:$AJ43,10,MATCH(IF('Data-solution'!$A$3="Maximize",MAX($C44:$AI44),MIN($C44:$AI44)),$C44:$AI44,0))*INDEX(Y33:$AJ43,MATCH(MIN($AK33:$AK43),$AK33:$AK43,0),1)/INDEX($C33:$AJ43,MATCH(MIN($AK33:$AK43),$AK33:$AK43,0),MATCH(IF('Data-solution'!$A$3="Maximize",MAX($C44:$AI44),MIN($C44:$AI44)),$C44:$AI44,0))),Y42)</f>
        <v>0</v>
      </c>
      <c r="Z57" s="1">
        <f>IF(OR($B48&lt;&gt;$B33,$B49&lt;&gt;$B34,$B50&lt;&gt;$B35,$B51&lt;&gt;$B36,$B52&lt;&gt;$B37,$B53&lt;&gt;$B38,$B54&lt;&gt;$B39,$B55&lt;&gt;$B40,$B56&lt;&gt;$B41,$B57&lt;&gt;$B42,$B58&lt;&gt;$B43),IF($B57&lt;&gt;$B42,Z42/INDEX($C33:$AJ43,10,MATCH(IF('Data-solution'!$A$3="Maximize",MAX($C44:$AI44),MIN($C44:$AI44)),$C44:$AI44,0)),Z42-INDEX($C33:$AJ43,10,MATCH(IF('Data-solution'!$A$3="Maximize",MAX($C44:$AI44),MIN($C44:$AI44)),$C44:$AI44,0))*INDEX(Z33:$AJ43,MATCH(MIN($AK33:$AK43),$AK33:$AK43,0),1)/INDEX($C33:$AJ43,MATCH(MIN($AK33:$AK43),$AK33:$AK43,0),MATCH(IF('Data-solution'!$A$3="Maximize",MAX($C44:$AI44),MIN($C44:$AI44)),$C44:$AI44,0))),Z42)</f>
        <v>0</v>
      </c>
      <c r="AA57" s="1">
        <f>IF(OR($B48&lt;&gt;$B33,$B49&lt;&gt;$B34,$B50&lt;&gt;$B35,$B51&lt;&gt;$B36,$B52&lt;&gt;$B37,$B53&lt;&gt;$B38,$B54&lt;&gt;$B39,$B55&lt;&gt;$B40,$B56&lt;&gt;$B41,$B57&lt;&gt;$B42,$B58&lt;&gt;$B43),IF($B57&lt;&gt;$B42,AA42/INDEX($C33:$AJ43,10,MATCH(IF('Data-solution'!$A$3="Maximize",MAX($C44:$AI44),MIN($C44:$AI44)),$C44:$AI44,0)),AA42-INDEX($C33:$AJ43,10,MATCH(IF('Data-solution'!$A$3="Maximize",MAX($C44:$AI44),MIN($C44:$AI44)),$C44:$AI44,0))*INDEX(AA33:$AJ43,MATCH(MIN($AK33:$AK43),$AK33:$AK43,0),1)/INDEX($C33:$AJ43,MATCH(MIN($AK33:$AK43),$AK33:$AK43,0),MATCH(IF('Data-solution'!$A$3="Maximize",MAX($C44:$AI44),MIN($C44:$AI44)),$C44:$AI44,0))),AA42)</f>
        <v>0</v>
      </c>
      <c r="AB57" s="1">
        <f>IF(OR($B48&lt;&gt;$B33,$B49&lt;&gt;$B34,$B50&lt;&gt;$B35,$B51&lt;&gt;$B36,$B52&lt;&gt;$B37,$B53&lt;&gt;$B38,$B54&lt;&gt;$B39,$B55&lt;&gt;$B40,$B56&lt;&gt;$B41,$B57&lt;&gt;$B42,$B58&lt;&gt;$B43),IF($B57&lt;&gt;$B42,AB42/INDEX($C33:$AJ43,10,MATCH(IF('Data-solution'!$A$3="Maximize",MAX($C44:$AI44),MIN($C44:$AI44)),$C44:$AI44,0)),AB42-INDEX($C33:$AJ43,10,MATCH(IF('Data-solution'!$A$3="Maximize",MAX($C44:$AI44),MIN($C44:$AI44)),$C44:$AI44,0))*INDEX(AB33:$AJ43,MATCH(MIN($AK33:$AK43),$AK33:$AK43,0),1)/INDEX($C33:$AJ43,MATCH(MIN($AK33:$AK43),$AK33:$AK43,0),MATCH(IF('Data-solution'!$A$3="Maximize",MAX($C44:$AI44),MIN($C44:$AI44)),$C44:$AI44,0))),AB42)</f>
        <v>0</v>
      </c>
      <c r="AC57" s="1">
        <f>IF(OR($B48&lt;&gt;$B33,$B49&lt;&gt;$B34,$B50&lt;&gt;$B35,$B51&lt;&gt;$B36,$B52&lt;&gt;$B37,$B53&lt;&gt;$B38,$B54&lt;&gt;$B39,$B55&lt;&gt;$B40,$B56&lt;&gt;$B41,$B57&lt;&gt;$B42,$B58&lt;&gt;$B43),IF($B57&lt;&gt;$B42,AC42/INDEX($C33:$AJ43,10,MATCH(IF('Data-solution'!$A$3="Maximize",MAX($C44:$AI44),MIN($C44:$AI44)),$C44:$AI44,0)),AC42-INDEX($C33:$AJ43,10,MATCH(IF('Data-solution'!$A$3="Maximize",MAX($C44:$AI44),MIN($C44:$AI44)),$C44:$AI44,0))*INDEX(AC33:$AJ43,MATCH(MIN($AK33:$AK43),$AK33:$AK43,0),1)/INDEX($C33:$AJ43,MATCH(MIN($AK33:$AK43),$AK33:$AK43,0),MATCH(IF('Data-solution'!$A$3="Maximize",MAX($C44:$AI44),MIN($C44:$AI44)),$C44:$AI44,0))),AC42)</f>
        <v>0</v>
      </c>
      <c r="AD57" s="1">
        <f>IF(OR($B48&lt;&gt;$B33,$B49&lt;&gt;$B34,$B50&lt;&gt;$B35,$B51&lt;&gt;$B36,$B52&lt;&gt;$B37,$B53&lt;&gt;$B38,$B54&lt;&gt;$B39,$B55&lt;&gt;$B40,$B56&lt;&gt;$B41,$B57&lt;&gt;$B42,$B58&lt;&gt;$B43),IF($B57&lt;&gt;$B42,AD42/INDEX($C33:$AJ43,10,MATCH(IF('Data-solution'!$A$3="Maximize",MAX($C44:$AI44),MIN($C44:$AI44)),$C44:$AI44,0)),AD42-INDEX($C33:$AJ43,10,MATCH(IF('Data-solution'!$A$3="Maximize",MAX($C44:$AI44),MIN($C44:$AI44)),$C44:$AI44,0))*INDEX(AD33:$AJ43,MATCH(MIN($AK33:$AK43),$AK33:$AK43,0),1)/INDEX($C33:$AJ43,MATCH(MIN($AK33:$AK43),$AK33:$AK43,0),MATCH(IF('Data-solution'!$A$3="Maximize",MAX($C44:$AI44),MIN($C44:$AI44)),$C44:$AI44,0))),AD42)</f>
        <v>0</v>
      </c>
      <c r="AE57" s="1">
        <f>IF(OR($B48&lt;&gt;$B33,$B49&lt;&gt;$B34,$B50&lt;&gt;$B35,$B51&lt;&gt;$B36,$B52&lt;&gt;$B37,$B53&lt;&gt;$B38,$B54&lt;&gt;$B39,$B55&lt;&gt;$B40,$B56&lt;&gt;$B41,$B57&lt;&gt;$B42,$B58&lt;&gt;$B43),IF($B57&lt;&gt;$B42,AE42/INDEX($C33:$AJ43,10,MATCH(IF('Data-solution'!$A$3="Maximize",MAX($C44:$AI44),MIN($C44:$AI44)),$C44:$AI44,0)),AE42-INDEX($C33:$AJ43,10,MATCH(IF('Data-solution'!$A$3="Maximize",MAX($C44:$AI44),MIN($C44:$AI44)),$C44:$AI44,0))*INDEX(AE33:$AJ43,MATCH(MIN($AK33:$AK43),$AK33:$AK43,0),1)/INDEX($C33:$AJ43,MATCH(MIN($AK33:$AK43),$AK33:$AK43,0),MATCH(IF('Data-solution'!$A$3="Maximize",MAX($C44:$AI44),MIN($C44:$AI44)),$C44:$AI44,0))),AE42)</f>
        <v>0</v>
      </c>
      <c r="AF57" s="1">
        <f>IF(OR($B48&lt;&gt;$B33,$B49&lt;&gt;$B34,$B50&lt;&gt;$B35,$B51&lt;&gt;$B36,$B52&lt;&gt;$B37,$B53&lt;&gt;$B38,$B54&lt;&gt;$B39,$B55&lt;&gt;$B40,$B56&lt;&gt;$B41,$B57&lt;&gt;$B42,$B58&lt;&gt;$B43),IF($B57&lt;&gt;$B42,AF42/INDEX($C33:$AJ43,10,MATCH(IF('Data-solution'!$A$3="Maximize",MAX($C44:$AI44),MIN($C44:$AI44)),$C44:$AI44,0)),AF42-INDEX($C33:$AJ43,10,MATCH(IF('Data-solution'!$A$3="Maximize",MAX($C44:$AI44),MIN($C44:$AI44)),$C44:$AI44,0))*INDEX(AF33:$AJ43,MATCH(MIN($AK33:$AK43),$AK33:$AK43,0),1)/INDEX($C33:$AJ43,MATCH(MIN($AK33:$AK43),$AK33:$AK43,0),MATCH(IF('Data-solution'!$A$3="Maximize",MAX($C44:$AI44),MIN($C44:$AI44)),$C44:$AI44,0))),AF42)</f>
        <v>0</v>
      </c>
      <c r="AG57" s="1">
        <f>IF(OR($B48&lt;&gt;$B33,$B49&lt;&gt;$B34,$B50&lt;&gt;$B35,$B51&lt;&gt;$B36,$B52&lt;&gt;$B37,$B53&lt;&gt;$B38,$B54&lt;&gt;$B39,$B55&lt;&gt;$B40,$B56&lt;&gt;$B41,$B57&lt;&gt;$B42,$B58&lt;&gt;$B43),IF($B57&lt;&gt;$B42,AG42/INDEX($C33:$AJ43,10,MATCH(IF('Data-solution'!$A$3="Maximize",MAX($C44:$AI44),MIN($C44:$AI44)),$C44:$AI44,0)),AG42-INDEX($C33:$AJ43,10,MATCH(IF('Data-solution'!$A$3="Maximize",MAX($C44:$AI44),MIN($C44:$AI44)),$C44:$AI44,0))*INDEX(AG33:$AJ43,MATCH(MIN($AK33:$AK43),$AK33:$AK43,0),1)/INDEX($C33:$AJ43,MATCH(MIN($AK33:$AK43),$AK33:$AK43,0),MATCH(IF('Data-solution'!$A$3="Maximize",MAX($C44:$AI44),MIN($C44:$AI44)),$C44:$AI44,0))),AG42)</f>
        <v>0</v>
      </c>
      <c r="AH57" s="1">
        <f>IF(OR($B48&lt;&gt;$B33,$B49&lt;&gt;$B34,$B50&lt;&gt;$B35,$B51&lt;&gt;$B36,$B52&lt;&gt;$B37,$B53&lt;&gt;$B38,$B54&lt;&gt;$B39,$B55&lt;&gt;$B40,$B56&lt;&gt;$B41,$B57&lt;&gt;$B42,$B58&lt;&gt;$B43),IF($B57&lt;&gt;$B42,AH42/INDEX($C33:$AJ43,10,MATCH(IF('Data-solution'!$A$3="Maximize",MAX($C44:$AI44),MIN($C44:$AI44)),$C44:$AI44,0)),AH42-INDEX($C33:$AJ43,10,MATCH(IF('Data-solution'!$A$3="Maximize",MAX($C44:$AI44),MIN($C44:$AI44)),$C44:$AI44,0))*INDEX(AH33:$AJ43,MATCH(MIN($AK33:$AK43),$AK33:$AK43,0),1)/INDEX($C33:$AJ43,MATCH(MIN($AK33:$AK43),$AK33:$AK43,0),MATCH(IF('Data-solution'!$A$3="Maximize",MAX($C44:$AI44),MIN($C44:$AI44)),$C44:$AI44,0))),AH42)</f>
        <v>1</v>
      </c>
      <c r="AI57" s="1">
        <f>IF(OR($B48&lt;&gt;$B33,$B49&lt;&gt;$B34,$B50&lt;&gt;$B35,$B51&lt;&gt;$B36,$B52&lt;&gt;$B37,$B53&lt;&gt;$B38,$B54&lt;&gt;$B39,$B55&lt;&gt;$B40,$B56&lt;&gt;$B41,$B57&lt;&gt;$B42,$B58&lt;&gt;$B43),IF($B57&lt;&gt;$B42,AI42/INDEX($C33:$AJ43,10,MATCH(IF('Data-solution'!$A$3="Maximize",MAX($C44:$AI44),MIN($C44:$AI44)),$C44:$AI44,0)),AI42-INDEX($C33:$AJ43,10,MATCH(IF('Data-solution'!$A$3="Maximize",MAX($C44:$AI44),MIN($C44:$AI44)),$C44:$AI44,0))*INDEX(AI33:$AJ43,MATCH(MIN($AK33:$AK43),$AK33:$AK43,0),1)/INDEX($C33:$AJ43,MATCH(MIN($AK33:$AK43),$AK33:$AK43,0),MATCH(IF('Data-solution'!$A$3="Maximize",MAX($C44:$AI44),MIN($C44:$AI44)),$C44:$AI44,0))),AI42)</f>
        <v>0</v>
      </c>
      <c r="AJ57" s="1">
        <f>IF(OR($B48&lt;&gt;$B33,$B49&lt;&gt;$B34,$B50&lt;&gt;$B35,$B51&lt;&gt;$B36,$B52&lt;&gt;$B37,$B53&lt;&gt;$B38,$B54&lt;&gt;$B39,$B55&lt;&gt;$B40,$B56&lt;&gt;$B41,$B57&lt;&gt;$B42,$B58&lt;&gt;$B43),IF($B57&lt;&gt;$B42,AJ42/INDEX($C33:$AJ43,10,MATCH(IF('Data-solution'!$A$3="Maximize",MAX($C44:$AI44),MIN($C44:$AI44)),$C44:$AI44,0)),AJ42-INDEX($C33:$AJ43,10,MATCH(IF('Data-solution'!$A$3="Maximize",MAX($C44:$AI44),MIN($C44:$AI44)),$C44:$AI44,0))*INDEX(AJ33:$AJ43,MATCH(MIN($AK33:$AK43),$AK33:$AK43,0),1)/INDEX($C33:$AJ43,MATCH(MIN($AK33:$AK43),$AK33:$AK43,0),MATCH(IF('Data-solution'!$A$3="Maximize",MAX($C44:$AI44),MIN($C44:$AI44)),$C44:$AI44,0))),AJ42)</f>
        <v>0</v>
      </c>
      <c r="AK57" s="1" t="str">
        <f>IF(INDEX(C57:X57,1,MATCH(IF('Data-solution'!A$3="Maximize",MAX(C59:X59),MIN(C59:X59)),C59:X59,0))&gt;0,AJ57/INDEX(C57:X57,1,MATCH(IF('Data-solution'!A$3="Maximize",MAX(C59:X59),MIN(C59:X59)),C59:X59,0))," ")</f>
        <v xml:space="preserve"> </v>
      </c>
    </row>
    <row r="58" spans="1:37" ht="18" customHeight="1" x14ac:dyDescent="0.2">
      <c r="A58" s="1">
        <f t="shared" ref="A58" si="32">INDEX(C46:AI46,1,MATCH(B58,C47:AI47,0))</f>
        <v>0</v>
      </c>
      <c r="B58" s="2" t="str">
        <f>IF(AND('Data-solution'!A$3="Maximize",COUNTIF(C44:X44,"&gt;"&amp;0)&gt;0,AK43=MIN(AK33:AK43),COUNTIF(B48:B57,INDEX(C32:X32,1,MATCH(MAX(C44:X44),C44:X44,0)))=0),INDEX(C32:X32,1,MATCH(MAX(C44:X44),C44:X44,0)),IF(AND('Data-solution'!A$3="Minimize",COUNTIF(C44:X44,"&lt;"&amp;0)&gt;0,AK43=MIN(AK33:AK43),COUNTIF(B48:B57,INDEX(C32:X32,1,MATCH(MIN(C44:X44),C44:X44,0)))=0),INDEX(C32:X32,1,MATCH(MIN(C44:X44),C44:X44,0)),B43))</f>
        <v>S11</v>
      </c>
      <c r="C58" s="1">
        <f>IF(OR($B48&lt;&gt;$B33,$B49&lt;&gt;$B34,$B50&lt;&gt;$B35,$B51&lt;&gt;$B36,$B52&lt;&gt;$B37,$B53&lt;&gt;$B38,$B54&lt;&gt;$B39,$B55&lt;&gt;$B40,$B56&lt;&gt;$B41,$B57&lt;&gt;$B42,$B58&lt;&gt;$B43),IF($B58&lt;&gt;$B43,C43/INDEX($C33:$AJ43,11,MATCH(IF('Data-solution'!$A$3="Maximize",MAX($C44:$AI44),MIN($C44:$AI44)),$C44:$AI44,0)),C43-INDEX($C33:$AJ43,11,MATCH(IF('Data-solution'!$A$3="Maximize",MAX($C44:$AI44),MIN($C44:$AI44)),$C44:$AI44,0))*INDEX(C33:$AJ43,MATCH(MIN($AK33:$AK43),$AK33:$AK43,0),1)/INDEX($C33:$AJ43,MATCH(MIN($AK33:$AK43),$AK33:$AK43,0),MATCH(IF('Data-solution'!$A$3="Maximize",MAX($C44:$AI44),MIN($C44:$AI44)),$C44:$AI44,0))),C43)</f>
        <v>0</v>
      </c>
      <c r="D58" s="1">
        <f>IF(OR($B48&lt;&gt;$B33,$B49&lt;&gt;$B34,$B50&lt;&gt;$B35,$B51&lt;&gt;$B36,$B52&lt;&gt;$B37,$B53&lt;&gt;$B38,$B54&lt;&gt;$B39,$B55&lt;&gt;$B40,$B56&lt;&gt;$B41,$B57&lt;&gt;$B42,$B58&lt;&gt;$B43),IF($B58&lt;&gt;$B43,D43/INDEX($C33:$AJ43,11,MATCH(IF('Data-solution'!$A$3="Maximize",MAX($C44:$AI44),MIN($C44:$AI44)),$C44:$AI44,0)),D43-INDEX($C33:$AJ43,11,MATCH(IF('Data-solution'!$A$3="Maximize",MAX($C44:$AI44),MIN($C44:$AI44)),$C44:$AI44,0))*INDEX(D33:$AJ43,MATCH(MIN($AK33:$AK43),$AK33:$AK43,0),1)/INDEX($C33:$AJ43,MATCH(MIN($AK33:$AK43),$AK33:$AK43,0),MATCH(IF('Data-solution'!$A$3="Maximize",MAX($C44:$AI44),MIN($C44:$AI44)),$C44:$AI44,0))),D43)</f>
        <v>0</v>
      </c>
      <c r="E58" s="1">
        <f>IF(OR($B48&lt;&gt;$B33,$B49&lt;&gt;$B34,$B50&lt;&gt;$B35,$B51&lt;&gt;$B36,$B52&lt;&gt;$B37,$B53&lt;&gt;$B38,$B54&lt;&gt;$B39,$B55&lt;&gt;$B40,$B56&lt;&gt;$B41,$B57&lt;&gt;$B42,$B58&lt;&gt;$B43),IF($B58&lt;&gt;$B43,E43/INDEX($C33:$AJ43,11,MATCH(IF('Data-solution'!$A$3="Maximize",MAX($C44:$AI44),MIN($C44:$AI44)),$C44:$AI44,0)),E43-INDEX($C33:$AJ43,11,MATCH(IF('Data-solution'!$A$3="Maximize",MAX($C44:$AI44),MIN($C44:$AI44)),$C44:$AI44,0))*INDEX(E33:$AJ43,MATCH(MIN($AK33:$AK43),$AK33:$AK43,0),1)/INDEX($C33:$AJ43,MATCH(MIN($AK33:$AK43),$AK33:$AK43,0),MATCH(IF('Data-solution'!$A$3="Maximize",MAX($C44:$AI44),MIN($C44:$AI44)),$C44:$AI44,0))),E43)</f>
        <v>0</v>
      </c>
      <c r="F58" s="1">
        <f>IF(OR($B48&lt;&gt;$B33,$B49&lt;&gt;$B34,$B50&lt;&gt;$B35,$B51&lt;&gt;$B36,$B52&lt;&gt;$B37,$B53&lt;&gt;$B38,$B54&lt;&gt;$B39,$B55&lt;&gt;$B40,$B56&lt;&gt;$B41,$B57&lt;&gt;$B42,$B58&lt;&gt;$B43),IF($B58&lt;&gt;$B43,F43/INDEX($C33:$AJ43,11,MATCH(IF('Data-solution'!$A$3="Maximize",MAX($C44:$AI44),MIN($C44:$AI44)),$C44:$AI44,0)),F43-INDEX($C33:$AJ43,11,MATCH(IF('Data-solution'!$A$3="Maximize",MAX($C44:$AI44),MIN($C44:$AI44)),$C44:$AI44,0))*INDEX(F33:$AJ43,MATCH(MIN($AK33:$AK43),$AK33:$AK43,0),1)/INDEX($C33:$AJ43,MATCH(MIN($AK33:$AK43),$AK33:$AK43,0),MATCH(IF('Data-solution'!$A$3="Maximize",MAX($C44:$AI44),MIN($C44:$AI44)),$C44:$AI44,0))),F43)</f>
        <v>0</v>
      </c>
      <c r="G58" s="1">
        <f>IF(OR($B48&lt;&gt;$B33,$B49&lt;&gt;$B34,$B50&lt;&gt;$B35,$B51&lt;&gt;$B36,$B52&lt;&gt;$B37,$B53&lt;&gt;$B38,$B54&lt;&gt;$B39,$B55&lt;&gt;$B40,$B56&lt;&gt;$B41,$B57&lt;&gt;$B42,$B58&lt;&gt;$B43),IF($B58&lt;&gt;$B43,G43/INDEX($C33:$AJ43,11,MATCH(IF('Data-solution'!$A$3="Maximize",MAX($C44:$AI44),MIN($C44:$AI44)),$C44:$AI44,0)),G43-INDEX($C33:$AJ43,11,MATCH(IF('Data-solution'!$A$3="Maximize",MAX($C44:$AI44),MIN($C44:$AI44)),$C44:$AI44,0))*INDEX(G33:$AJ43,MATCH(MIN($AK33:$AK43),$AK33:$AK43,0),1)/INDEX($C33:$AJ43,MATCH(MIN($AK33:$AK43),$AK33:$AK43,0),MATCH(IF('Data-solution'!$A$3="Maximize",MAX($C44:$AI44),MIN($C44:$AI44)),$C44:$AI44,0))),G43)</f>
        <v>0</v>
      </c>
      <c r="H58" s="1">
        <f>IF(OR($B48&lt;&gt;$B33,$B49&lt;&gt;$B34,$B50&lt;&gt;$B35,$B51&lt;&gt;$B36,$B52&lt;&gt;$B37,$B53&lt;&gt;$B38,$B54&lt;&gt;$B39,$B55&lt;&gt;$B40,$B56&lt;&gt;$B41,$B57&lt;&gt;$B42,$B58&lt;&gt;$B43),IF($B58&lt;&gt;$B43,H43/INDEX($C33:$AJ43,11,MATCH(IF('Data-solution'!$A$3="Maximize",MAX($C44:$AI44),MIN($C44:$AI44)),$C44:$AI44,0)),H43-INDEX($C33:$AJ43,11,MATCH(IF('Data-solution'!$A$3="Maximize",MAX($C44:$AI44),MIN($C44:$AI44)),$C44:$AI44,0))*INDEX(H33:$AJ43,MATCH(MIN($AK33:$AK43),$AK33:$AK43,0),1)/INDEX($C33:$AJ43,MATCH(MIN($AK33:$AK43),$AK33:$AK43,0),MATCH(IF('Data-solution'!$A$3="Maximize",MAX($C44:$AI44),MIN($C44:$AI44)),$C44:$AI44,0))),H43)</f>
        <v>0</v>
      </c>
      <c r="I58" s="1">
        <f>IF(OR($B48&lt;&gt;$B33,$B49&lt;&gt;$B34,$B50&lt;&gt;$B35,$B51&lt;&gt;$B36,$B52&lt;&gt;$B37,$B53&lt;&gt;$B38,$B54&lt;&gt;$B39,$B55&lt;&gt;$B40,$B56&lt;&gt;$B41,$B57&lt;&gt;$B42,$B58&lt;&gt;$B43),IF($B58&lt;&gt;$B43,I43/INDEX($C33:$AJ43,11,MATCH(IF('Data-solution'!$A$3="Maximize",MAX($C44:$AI44),MIN($C44:$AI44)),$C44:$AI44,0)),I43-INDEX($C33:$AJ43,11,MATCH(IF('Data-solution'!$A$3="Maximize",MAX($C44:$AI44),MIN($C44:$AI44)),$C44:$AI44,0))*INDEX(I33:$AJ43,MATCH(MIN($AK33:$AK43),$AK33:$AK43,0),1)/INDEX($C33:$AJ43,MATCH(MIN($AK33:$AK43),$AK33:$AK43,0),MATCH(IF('Data-solution'!$A$3="Maximize",MAX($C44:$AI44),MIN($C44:$AI44)),$C44:$AI44,0))),I43)</f>
        <v>0</v>
      </c>
      <c r="J58" s="1">
        <f>IF(OR($B48&lt;&gt;$B33,$B49&lt;&gt;$B34,$B50&lt;&gt;$B35,$B51&lt;&gt;$B36,$B52&lt;&gt;$B37,$B53&lt;&gt;$B38,$B54&lt;&gt;$B39,$B55&lt;&gt;$B40,$B56&lt;&gt;$B41,$B57&lt;&gt;$B42,$B58&lt;&gt;$B43),IF($B58&lt;&gt;$B43,J43/INDEX($C33:$AJ43,11,MATCH(IF('Data-solution'!$A$3="Maximize",MAX($C44:$AI44),MIN($C44:$AI44)),$C44:$AI44,0)),J43-INDEX($C33:$AJ43,11,MATCH(IF('Data-solution'!$A$3="Maximize",MAX($C44:$AI44),MIN($C44:$AI44)),$C44:$AI44,0))*INDEX(J33:$AJ43,MATCH(MIN($AK33:$AK43),$AK33:$AK43,0),1)/INDEX($C33:$AJ43,MATCH(MIN($AK33:$AK43),$AK33:$AK43,0),MATCH(IF('Data-solution'!$A$3="Maximize",MAX($C44:$AI44),MIN($C44:$AI44)),$C44:$AI44,0))),J43)</f>
        <v>0</v>
      </c>
      <c r="K58" s="1">
        <f>IF(OR($B48&lt;&gt;$B33,$B49&lt;&gt;$B34,$B50&lt;&gt;$B35,$B51&lt;&gt;$B36,$B52&lt;&gt;$B37,$B53&lt;&gt;$B38,$B54&lt;&gt;$B39,$B55&lt;&gt;$B40,$B56&lt;&gt;$B41,$B57&lt;&gt;$B42,$B58&lt;&gt;$B43),IF($B58&lt;&gt;$B43,K43/INDEX($C33:$AJ43,11,MATCH(IF('Data-solution'!$A$3="Maximize",MAX($C44:$AI44),MIN($C44:$AI44)),$C44:$AI44,0)),K43-INDEX($C33:$AJ43,11,MATCH(IF('Data-solution'!$A$3="Maximize",MAX($C44:$AI44),MIN($C44:$AI44)),$C44:$AI44,0))*INDEX(K33:$AJ43,MATCH(MIN($AK33:$AK43),$AK33:$AK43,0),1)/INDEX($C33:$AJ43,MATCH(MIN($AK33:$AK43),$AK33:$AK43,0),MATCH(IF('Data-solution'!$A$3="Maximize",MAX($C44:$AI44),MIN($C44:$AI44)),$C44:$AI44,0))),K43)</f>
        <v>0</v>
      </c>
      <c r="L58" s="1">
        <f>IF(OR($B48&lt;&gt;$B33,$B49&lt;&gt;$B34,$B50&lt;&gt;$B35,$B51&lt;&gt;$B36,$B52&lt;&gt;$B37,$B53&lt;&gt;$B38,$B54&lt;&gt;$B39,$B55&lt;&gt;$B40,$B56&lt;&gt;$B41,$B57&lt;&gt;$B42,$B58&lt;&gt;$B43),IF($B58&lt;&gt;$B43,L43/INDEX($C33:$AJ43,11,MATCH(IF('Data-solution'!$A$3="Maximize",MAX($C44:$AI44),MIN($C44:$AI44)),$C44:$AI44,0)),L43-INDEX($C33:$AJ43,11,MATCH(IF('Data-solution'!$A$3="Maximize",MAX($C44:$AI44),MIN($C44:$AI44)),$C44:$AI44,0))*INDEX(L33:$AJ43,MATCH(MIN($AK33:$AK43),$AK33:$AK43,0),1)/INDEX($C33:$AJ43,MATCH(MIN($AK33:$AK43),$AK33:$AK43,0),MATCH(IF('Data-solution'!$A$3="Maximize",MAX($C44:$AI44),MIN($C44:$AI44)),$C44:$AI44,0))),L43)</f>
        <v>0</v>
      </c>
      <c r="M58" s="1">
        <f>IF(OR($B48&lt;&gt;$B33,$B49&lt;&gt;$B34,$B50&lt;&gt;$B35,$B51&lt;&gt;$B36,$B52&lt;&gt;$B37,$B53&lt;&gt;$B38,$B54&lt;&gt;$B39,$B55&lt;&gt;$B40,$B56&lt;&gt;$B41,$B57&lt;&gt;$B42,$B58&lt;&gt;$B43),IF($B58&lt;&gt;$B43,M43/INDEX($C33:$AJ43,11,MATCH(IF('Data-solution'!$A$3="Maximize",MAX($C44:$AI44),MIN($C44:$AI44)),$C44:$AI44,0)),M43-INDEX($C33:$AJ43,11,MATCH(IF('Data-solution'!$A$3="Maximize",MAX($C44:$AI44),MIN($C44:$AI44)),$C44:$AI44,0))*INDEX(M33:$AJ43,MATCH(MIN($AK33:$AK43),$AK33:$AK43,0),1)/INDEX($C33:$AJ43,MATCH(MIN($AK33:$AK43),$AK33:$AK43,0),MATCH(IF('Data-solution'!$A$3="Maximize",MAX($C44:$AI44),MIN($C44:$AI44)),$C44:$AI44,0))),M43)</f>
        <v>0</v>
      </c>
      <c r="N58" s="1">
        <f>IF(OR($B48&lt;&gt;$B33,$B49&lt;&gt;$B34,$B50&lt;&gt;$B35,$B51&lt;&gt;$B36,$B52&lt;&gt;$B37,$B53&lt;&gt;$B38,$B54&lt;&gt;$B39,$B55&lt;&gt;$B40,$B56&lt;&gt;$B41,$B57&lt;&gt;$B42,$B58&lt;&gt;$B43),IF($B58&lt;&gt;$B43,N43/INDEX($C33:$AJ43,11,MATCH(IF('Data-solution'!$A$3="Maximize",MAX($C44:$AI44),MIN($C44:$AI44)),$C44:$AI44,0)),N43-INDEX($C33:$AJ43,11,MATCH(IF('Data-solution'!$A$3="Maximize",MAX($C44:$AI44),MIN($C44:$AI44)),$C44:$AI44,0))*INDEX(N33:$AJ43,MATCH(MIN($AK33:$AK43),$AK33:$AK43,0),1)/INDEX($C33:$AJ43,MATCH(MIN($AK33:$AK43),$AK33:$AK43,0),MATCH(IF('Data-solution'!$A$3="Maximize",MAX($C44:$AI44),MIN($C44:$AI44)),$C44:$AI44,0))),N43)</f>
        <v>0</v>
      </c>
      <c r="O58" s="1">
        <f>IF(OR($B48&lt;&gt;$B33,$B49&lt;&gt;$B34,$B50&lt;&gt;$B35,$B51&lt;&gt;$B36,$B52&lt;&gt;$B37,$B53&lt;&gt;$B38,$B54&lt;&gt;$B39,$B55&lt;&gt;$B40,$B56&lt;&gt;$B41,$B57&lt;&gt;$B42,$B58&lt;&gt;$B43),IF($B58&lt;&gt;$B43,O43/INDEX($C33:$AJ43,11,MATCH(IF('Data-solution'!$A$3="Maximize",MAX($C44:$AI44),MIN($C44:$AI44)),$C44:$AI44,0)),O43-INDEX($C33:$AJ43,11,MATCH(IF('Data-solution'!$A$3="Maximize",MAX($C44:$AI44),MIN($C44:$AI44)),$C44:$AI44,0))*INDEX(O33:$AJ43,MATCH(MIN($AK33:$AK43),$AK33:$AK43,0),1)/INDEX($C33:$AJ43,MATCH(MIN($AK33:$AK43),$AK33:$AK43,0),MATCH(IF('Data-solution'!$A$3="Maximize",MAX($C44:$AI44),MIN($C44:$AI44)),$C44:$AI44,0))),O43)</f>
        <v>0</v>
      </c>
      <c r="P58" s="1">
        <f>IF(OR($B48&lt;&gt;$B33,$B49&lt;&gt;$B34,$B50&lt;&gt;$B35,$B51&lt;&gt;$B36,$B52&lt;&gt;$B37,$B53&lt;&gt;$B38,$B54&lt;&gt;$B39,$B55&lt;&gt;$B40,$B56&lt;&gt;$B41,$B57&lt;&gt;$B42,$B58&lt;&gt;$B43),IF($B58&lt;&gt;$B43,P43/INDEX($C33:$AJ43,11,MATCH(IF('Data-solution'!$A$3="Maximize",MAX($C44:$AI44),MIN($C44:$AI44)),$C44:$AI44,0)),P43-INDEX($C33:$AJ43,11,MATCH(IF('Data-solution'!$A$3="Maximize",MAX($C44:$AI44),MIN($C44:$AI44)),$C44:$AI44,0))*INDEX(P33:$AJ43,MATCH(MIN($AK33:$AK43),$AK33:$AK43,0),1)/INDEX($C33:$AJ43,MATCH(MIN($AK33:$AK43),$AK33:$AK43,0),MATCH(IF('Data-solution'!$A$3="Maximize",MAX($C44:$AI44),MIN($C44:$AI44)),$C44:$AI44,0))),P43)</f>
        <v>0</v>
      </c>
      <c r="Q58" s="1">
        <f>IF(OR($B48&lt;&gt;$B33,$B49&lt;&gt;$B34,$B50&lt;&gt;$B35,$B51&lt;&gt;$B36,$B52&lt;&gt;$B37,$B53&lt;&gt;$B38,$B54&lt;&gt;$B39,$B55&lt;&gt;$B40,$B56&lt;&gt;$B41,$B57&lt;&gt;$B42,$B58&lt;&gt;$B43),IF($B58&lt;&gt;$B43,Q43/INDEX($C33:$AJ43,11,MATCH(IF('Data-solution'!$A$3="Maximize",MAX($C44:$AI44),MIN($C44:$AI44)),$C44:$AI44,0)),Q43-INDEX($C33:$AJ43,11,MATCH(IF('Data-solution'!$A$3="Maximize",MAX($C44:$AI44),MIN($C44:$AI44)),$C44:$AI44,0))*INDEX(Q33:$AJ43,MATCH(MIN($AK33:$AK43),$AK33:$AK43,0),1)/INDEX($C33:$AJ43,MATCH(MIN($AK33:$AK43),$AK33:$AK43,0),MATCH(IF('Data-solution'!$A$3="Maximize",MAX($C44:$AI44),MIN($C44:$AI44)),$C44:$AI44,0))),Q43)</f>
        <v>0</v>
      </c>
      <c r="R58" s="1">
        <f>IF(OR($B48&lt;&gt;$B33,$B49&lt;&gt;$B34,$B50&lt;&gt;$B35,$B51&lt;&gt;$B36,$B52&lt;&gt;$B37,$B53&lt;&gt;$B38,$B54&lt;&gt;$B39,$B55&lt;&gt;$B40,$B56&lt;&gt;$B41,$B57&lt;&gt;$B42,$B58&lt;&gt;$B43),IF($B58&lt;&gt;$B43,R43/INDEX($C33:$AJ43,11,MATCH(IF('Data-solution'!$A$3="Maximize",MAX($C44:$AI44),MIN($C44:$AI44)),$C44:$AI44,0)),R43-INDEX($C33:$AJ43,11,MATCH(IF('Data-solution'!$A$3="Maximize",MAX($C44:$AI44),MIN($C44:$AI44)),$C44:$AI44,0))*INDEX(R33:$AJ43,MATCH(MIN($AK33:$AK43),$AK33:$AK43,0),1)/INDEX($C33:$AJ43,MATCH(MIN($AK33:$AK43),$AK33:$AK43,0),MATCH(IF('Data-solution'!$A$3="Maximize",MAX($C44:$AI44),MIN($C44:$AI44)),$C44:$AI44,0))),R43)</f>
        <v>0</v>
      </c>
      <c r="S58" s="1">
        <f>IF(OR($B48&lt;&gt;$B33,$B49&lt;&gt;$B34,$B50&lt;&gt;$B35,$B51&lt;&gt;$B36,$B52&lt;&gt;$B37,$B53&lt;&gt;$B38,$B54&lt;&gt;$B39,$B55&lt;&gt;$B40,$B56&lt;&gt;$B41,$B57&lt;&gt;$B42,$B58&lt;&gt;$B43),IF($B58&lt;&gt;$B43,S43/INDEX($C33:$AJ43,11,MATCH(IF('Data-solution'!$A$3="Maximize",MAX($C44:$AI44),MIN($C44:$AI44)),$C44:$AI44,0)),S43-INDEX($C33:$AJ43,11,MATCH(IF('Data-solution'!$A$3="Maximize",MAX($C44:$AI44),MIN($C44:$AI44)),$C44:$AI44,0))*INDEX(S33:$AJ43,MATCH(MIN($AK33:$AK43),$AK33:$AK43,0),1)/INDEX($C33:$AJ43,MATCH(MIN($AK33:$AK43),$AK33:$AK43,0),MATCH(IF('Data-solution'!$A$3="Maximize",MAX($C44:$AI44),MIN($C44:$AI44)),$C44:$AI44,0))),S43)</f>
        <v>0</v>
      </c>
      <c r="T58" s="1">
        <f>IF(OR($B48&lt;&gt;$B33,$B49&lt;&gt;$B34,$B50&lt;&gt;$B35,$B51&lt;&gt;$B36,$B52&lt;&gt;$B37,$B53&lt;&gt;$B38,$B54&lt;&gt;$B39,$B55&lt;&gt;$B40,$B56&lt;&gt;$B41,$B57&lt;&gt;$B42,$B58&lt;&gt;$B43),IF($B58&lt;&gt;$B43,T43/INDEX($C33:$AJ43,11,MATCH(IF('Data-solution'!$A$3="Maximize",MAX($C44:$AI44),MIN($C44:$AI44)),$C44:$AI44,0)),T43-INDEX($C33:$AJ43,11,MATCH(IF('Data-solution'!$A$3="Maximize",MAX($C44:$AI44),MIN($C44:$AI44)),$C44:$AI44,0))*INDEX(T33:$AJ43,MATCH(MIN($AK33:$AK43),$AK33:$AK43,0),1)/INDEX($C33:$AJ43,MATCH(MIN($AK33:$AK43),$AK33:$AK43,0),MATCH(IF('Data-solution'!$A$3="Maximize",MAX($C44:$AI44),MIN($C44:$AI44)),$C44:$AI44,0))),T43)</f>
        <v>0</v>
      </c>
      <c r="U58" s="1">
        <f>IF(OR($B48&lt;&gt;$B33,$B49&lt;&gt;$B34,$B50&lt;&gt;$B35,$B51&lt;&gt;$B36,$B52&lt;&gt;$B37,$B53&lt;&gt;$B38,$B54&lt;&gt;$B39,$B55&lt;&gt;$B40,$B56&lt;&gt;$B41,$B57&lt;&gt;$B42,$B58&lt;&gt;$B43),IF($B58&lt;&gt;$B43,U43/INDEX($C33:$AJ43,11,MATCH(IF('Data-solution'!$A$3="Maximize",MAX($C44:$AI44),MIN($C44:$AI44)),$C44:$AI44,0)),U43-INDEX($C33:$AJ43,11,MATCH(IF('Data-solution'!$A$3="Maximize",MAX($C44:$AI44),MIN($C44:$AI44)),$C44:$AI44,0))*INDEX(U33:$AJ43,MATCH(MIN($AK33:$AK43),$AK33:$AK43,0),1)/INDEX($C33:$AJ43,MATCH(MIN($AK33:$AK43),$AK33:$AK43,0),MATCH(IF('Data-solution'!$A$3="Maximize",MAX($C44:$AI44),MIN($C44:$AI44)),$C44:$AI44,0))),U43)</f>
        <v>0</v>
      </c>
      <c r="V58" s="1">
        <f>IF(OR($B48&lt;&gt;$B33,$B49&lt;&gt;$B34,$B50&lt;&gt;$B35,$B51&lt;&gt;$B36,$B52&lt;&gt;$B37,$B53&lt;&gt;$B38,$B54&lt;&gt;$B39,$B55&lt;&gt;$B40,$B56&lt;&gt;$B41,$B57&lt;&gt;$B42,$B58&lt;&gt;$B43),IF($B58&lt;&gt;$B43,V43/INDEX($C33:$AJ43,11,MATCH(IF('Data-solution'!$A$3="Maximize",MAX($C44:$AI44),MIN($C44:$AI44)),$C44:$AI44,0)),V43-INDEX($C33:$AJ43,11,MATCH(IF('Data-solution'!$A$3="Maximize",MAX($C44:$AI44),MIN($C44:$AI44)),$C44:$AI44,0))*INDEX(V33:$AJ43,MATCH(MIN($AK33:$AK43),$AK33:$AK43,0),1)/INDEX($C33:$AJ43,MATCH(MIN($AK33:$AK43),$AK33:$AK43,0),MATCH(IF('Data-solution'!$A$3="Maximize",MAX($C44:$AI44),MIN($C44:$AI44)),$C44:$AI44,0))),V43)</f>
        <v>0</v>
      </c>
      <c r="W58" s="1">
        <f>IF(OR($B48&lt;&gt;$B33,$B49&lt;&gt;$B34,$B50&lt;&gt;$B35,$B51&lt;&gt;$B36,$B52&lt;&gt;$B37,$B53&lt;&gt;$B38,$B54&lt;&gt;$B39,$B55&lt;&gt;$B40,$B56&lt;&gt;$B41,$B57&lt;&gt;$B42,$B58&lt;&gt;$B43),IF($B58&lt;&gt;$B43,W43/INDEX($C33:$AJ43,11,MATCH(IF('Data-solution'!$A$3="Maximize",MAX($C44:$AI44),MIN($C44:$AI44)),$C44:$AI44,0)),W43-INDEX($C33:$AJ43,11,MATCH(IF('Data-solution'!$A$3="Maximize",MAX($C44:$AI44),MIN($C44:$AI44)),$C44:$AI44,0))*INDEX(W33:$AJ43,MATCH(MIN($AK33:$AK43),$AK33:$AK43,0),1)/INDEX($C33:$AJ43,MATCH(MIN($AK33:$AK43),$AK33:$AK43,0),MATCH(IF('Data-solution'!$A$3="Maximize",MAX($C44:$AI44),MIN($C44:$AI44)),$C44:$AI44,0))),W43)</f>
        <v>0</v>
      </c>
      <c r="X58" s="1">
        <f>IF(OR($B48&lt;&gt;$B33,$B49&lt;&gt;$B34,$B50&lt;&gt;$B35,$B51&lt;&gt;$B36,$B52&lt;&gt;$B37,$B53&lt;&gt;$B38,$B54&lt;&gt;$B39,$B55&lt;&gt;$B40,$B56&lt;&gt;$B41,$B57&lt;&gt;$B42,$B58&lt;&gt;$B43),IF($B58&lt;&gt;$B43,X43/INDEX($C33:$AJ43,11,MATCH(IF('Data-solution'!$A$3="Maximize",MAX($C44:$AI44),MIN($C44:$AI44)),$C44:$AI44,0)),X43-INDEX($C33:$AJ43,11,MATCH(IF('Data-solution'!$A$3="Maximize",MAX($C44:$AI44),MIN($C44:$AI44)),$C44:$AI44,0))*INDEX(X33:$AJ43,MATCH(MIN($AK33:$AK43),$AK33:$AK43,0),1)/INDEX($C33:$AJ43,MATCH(MIN($AK33:$AK43),$AK33:$AK43,0),MATCH(IF('Data-solution'!$A$3="Maximize",MAX($C44:$AI44),MIN($C44:$AI44)),$C44:$AI44,0))),X43)</f>
        <v>1</v>
      </c>
      <c r="Y58" s="1">
        <f>IF(OR($B48&lt;&gt;$B33,$B49&lt;&gt;$B34,$B50&lt;&gt;$B35,$B51&lt;&gt;$B36,$B52&lt;&gt;$B37,$B53&lt;&gt;$B38,$B54&lt;&gt;$B39,$B55&lt;&gt;$B40,$B56&lt;&gt;$B41,$B57&lt;&gt;$B42,$B58&lt;&gt;$B43),IF($B58&lt;&gt;$B43,Y43/INDEX($C33:$AJ43,11,MATCH(IF('Data-solution'!$A$3="Maximize",MAX($C44:$AI44),MIN($C44:$AI44)),$C44:$AI44,0)),Y43-INDEX($C33:$AJ43,11,MATCH(IF('Data-solution'!$A$3="Maximize",MAX($C44:$AI44),MIN($C44:$AI44)),$C44:$AI44,0))*INDEX(Y33:$AJ43,MATCH(MIN($AK33:$AK43),$AK33:$AK43,0),1)/INDEX($C33:$AJ43,MATCH(MIN($AK33:$AK43),$AK33:$AK43,0),MATCH(IF('Data-solution'!$A$3="Maximize",MAX($C44:$AI44),MIN($C44:$AI44)),$C44:$AI44,0))),Y43)</f>
        <v>0</v>
      </c>
      <c r="Z58" s="1">
        <f>IF(OR($B48&lt;&gt;$B33,$B49&lt;&gt;$B34,$B50&lt;&gt;$B35,$B51&lt;&gt;$B36,$B52&lt;&gt;$B37,$B53&lt;&gt;$B38,$B54&lt;&gt;$B39,$B55&lt;&gt;$B40,$B56&lt;&gt;$B41,$B57&lt;&gt;$B42,$B58&lt;&gt;$B43),IF($B58&lt;&gt;$B43,Z43/INDEX($C33:$AJ43,11,MATCH(IF('Data-solution'!$A$3="Maximize",MAX($C44:$AI44),MIN($C44:$AI44)),$C44:$AI44,0)),Z43-INDEX($C33:$AJ43,11,MATCH(IF('Data-solution'!$A$3="Maximize",MAX($C44:$AI44),MIN($C44:$AI44)),$C44:$AI44,0))*INDEX(Z33:$AJ43,MATCH(MIN($AK33:$AK43),$AK33:$AK43,0),1)/INDEX($C33:$AJ43,MATCH(MIN($AK33:$AK43),$AK33:$AK43,0),MATCH(IF('Data-solution'!$A$3="Maximize",MAX($C44:$AI44),MIN($C44:$AI44)),$C44:$AI44,0))),Z43)</f>
        <v>0</v>
      </c>
      <c r="AA58" s="1">
        <f>IF(OR($B48&lt;&gt;$B33,$B49&lt;&gt;$B34,$B50&lt;&gt;$B35,$B51&lt;&gt;$B36,$B52&lt;&gt;$B37,$B53&lt;&gt;$B38,$B54&lt;&gt;$B39,$B55&lt;&gt;$B40,$B56&lt;&gt;$B41,$B57&lt;&gt;$B42,$B58&lt;&gt;$B43),IF($B58&lt;&gt;$B43,AA43/INDEX($C33:$AJ43,11,MATCH(IF('Data-solution'!$A$3="Maximize",MAX($C44:$AI44),MIN($C44:$AI44)),$C44:$AI44,0)),AA43-INDEX($C33:$AJ43,11,MATCH(IF('Data-solution'!$A$3="Maximize",MAX($C44:$AI44),MIN($C44:$AI44)),$C44:$AI44,0))*INDEX(AA33:$AJ43,MATCH(MIN($AK33:$AK43),$AK33:$AK43,0),1)/INDEX($C33:$AJ43,MATCH(MIN($AK33:$AK43),$AK33:$AK43,0),MATCH(IF('Data-solution'!$A$3="Maximize",MAX($C44:$AI44),MIN($C44:$AI44)),$C44:$AI44,0))),AA43)</f>
        <v>0</v>
      </c>
      <c r="AB58" s="1">
        <f>IF(OR($B48&lt;&gt;$B33,$B49&lt;&gt;$B34,$B50&lt;&gt;$B35,$B51&lt;&gt;$B36,$B52&lt;&gt;$B37,$B53&lt;&gt;$B38,$B54&lt;&gt;$B39,$B55&lt;&gt;$B40,$B56&lt;&gt;$B41,$B57&lt;&gt;$B42,$B58&lt;&gt;$B43),IF($B58&lt;&gt;$B43,AB43/INDEX($C33:$AJ43,11,MATCH(IF('Data-solution'!$A$3="Maximize",MAX($C44:$AI44),MIN($C44:$AI44)),$C44:$AI44,0)),AB43-INDEX($C33:$AJ43,11,MATCH(IF('Data-solution'!$A$3="Maximize",MAX($C44:$AI44),MIN($C44:$AI44)),$C44:$AI44,0))*INDEX(AB33:$AJ43,MATCH(MIN($AK33:$AK43),$AK33:$AK43,0),1)/INDEX($C33:$AJ43,MATCH(MIN($AK33:$AK43),$AK33:$AK43,0),MATCH(IF('Data-solution'!$A$3="Maximize",MAX($C44:$AI44),MIN($C44:$AI44)),$C44:$AI44,0))),AB43)</f>
        <v>0</v>
      </c>
      <c r="AC58" s="1">
        <f>IF(OR($B48&lt;&gt;$B33,$B49&lt;&gt;$B34,$B50&lt;&gt;$B35,$B51&lt;&gt;$B36,$B52&lt;&gt;$B37,$B53&lt;&gt;$B38,$B54&lt;&gt;$B39,$B55&lt;&gt;$B40,$B56&lt;&gt;$B41,$B57&lt;&gt;$B42,$B58&lt;&gt;$B43),IF($B58&lt;&gt;$B43,AC43/INDEX($C33:$AJ43,11,MATCH(IF('Data-solution'!$A$3="Maximize",MAX($C44:$AI44),MIN($C44:$AI44)),$C44:$AI44,0)),AC43-INDEX($C33:$AJ43,11,MATCH(IF('Data-solution'!$A$3="Maximize",MAX($C44:$AI44),MIN($C44:$AI44)),$C44:$AI44,0))*INDEX(AC33:$AJ43,MATCH(MIN($AK33:$AK43),$AK33:$AK43,0),1)/INDEX($C33:$AJ43,MATCH(MIN($AK33:$AK43),$AK33:$AK43,0),MATCH(IF('Data-solution'!$A$3="Maximize",MAX($C44:$AI44),MIN($C44:$AI44)),$C44:$AI44,0))),AC43)</f>
        <v>0</v>
      </c>
      <c r="AD58" s="1">
        <f>IF(OR($B48&lt;&gt;$B33,$B49&lt;&gt;$B34,$B50&lt;&gt;$B35,$B51&lt;&gt;$B36,$B52&lt;&gt;$B37,$B53&lt;&gt;$B38,$B54&lt;&gt;$B39,$B55&lt;&gt;$B40,$B56&lt;&gt;$B41,$B57&lt;&gt;$B42,$B58&lt;&gt;$B43),IF($B58&lt;&gt;$B43,AD43/INDEX($C33:$AJ43,11,MATCH(IF('Data-solution'!$A$3="Maximize",MAX($C44:$AI44),MIN($C44:$AI44)),$C44:$AI44,0)),AD43-INDEX($C33:$AJ43,11,MATCH(IF('Data-solution'!$A$3="Maximize",MAX($C44:$AI44),MIN($C44:$AI44)),$C44:$AI44,0))*INDEX(AD33:$AJ43,MATCH(MIN($AK33:$AK43),$AK33:$AK43,0),1)/INDEX($C33:$AJ43,MATCH(MIN($AK33:$AK43),$AK33:$AK43,0),MATCH(IF('Data-solution'!$A$3="Maximize",MAX($C44:$AI44),MIN($C44:$AI44)),$C44:$AI44,0))),AD43)</f>
        <v>0</v>
      </c>
      <c r="AE58" s="1">
        <f>IF(OR($B48&lt;&gt;$B33,$B49&lt;&gt;$B34,$B50&lt;&gt;$B35,$B51&lt;&gt;$B36,$B52&lt;&gt;$B37,$B53&lt;&gt;$B38,$B54&lt;&gt;$B39,$B55&lt;&gt;$B40,$B56&lt;&gt;$B41,$B57&lt;&gt;$B42,$B58&lt;&gt;$B43),IF($B58&lt;&gt;$B43,AE43/INDEX($C33:$AJ43,11,MATCH(IF('Data-solution'!$A$3="Maximize",MAX($C44:$AI44),MIN($C44:$AI44)),$C44:$AI44,0)),AE43-INDEX($C33:$AJ43,11,MATCH(IF('Data-solution'!$A$3="Maximize",MAX($C44:$AI44),MIN($C44:$AI44)),$C44:$AI44,0))*INDEX(AE33:$AJ43,MATCH(MIN($AK33:$AK43),$AK33:$AK43,0),1)/INDEX($C33:$AJ43,MATCH(MIN($AK33:$AK43),$AK33:$AK43,0),MATCH(IF('Data-solution'!$A$3="Maximize",MAX($C44:$AI44),MIN($C44:$AI44)),$C44:$AI44,0))),AE43)</f>
        <v>0</v>
      </c>
      <c r="AF58" s="1">
        <f>IF(OR($B48&lt;&gt;$B33,$B49&lt;&gt;$B34,$B50&lt;&gt;$B35,$B51&lt;&gt;$B36,$B52&lt;&gt;$B37,$B53&lt;&gt;$B38,$B54&lt;&gt;$B39,$B55&lt;&gt;$B40,$B56&lt;&gt;$B41,$B57&lt;&gt;$B42,$B58&lt;&gt;$B43),IF($B58&lt;&gt;$B43,AF43/INDEX($C33:$AJ43,11,MATCH(IF('Data-solution'!$A$3="Maximize",MAX($C44:$AI44),MIN($C44:$AI44)),$C44:$AI44,0)),AF43-INDEX($C33:$AJ43,11,MATCH(IF('Data-solution'!$A$3="Maximize",MAX($C44:$AI44),MIN($C44:$AI44)),$C44:$AI44,0))*INDEX(AF33:$AJ43,MATCH(MIN($AK33:$AK43),$AK33:$AK43,0),1)/INDEX($C33:$AJ43,MATCH(MIN($AK33:$AK43),$AK33:$AK43,0),MATCH(IF('Data-solution'!$A$3="Maximize",MAX($C44:$AI44),MIN($C44:$AI44)),$C44:$AI44,0))),AF43)</f>
        <v>0</v>
      </c>
      <c r="AG58" s="1">
        <f>IF(OR($B48&lt;&gt;$B33,$B49&lt;&gt;$B34,$B50&lt;&gt;$B35,$B51&lt;&gt;$B36,$B52&lt;&gt;$B37,$B53&lt;&gt;$B38,$B54&lt;&gt;$B39,$B55&lt;&gt;$B40,$B56&lt;&gt;$B41,$B57&lt;&gt;$B42,$B58&lt;&gt;$B43),IF($B58&lt;&gt;$B43,AG43/INDEX($C33:$AJ43,11,MATCH(IF('Data-solution'!$A$3="Maximize",MAX($C44:$AI44),MIN($C44:$AI44)),$C44:$AI44,0)),AG43-INDEX($C33:$AJ43,11,MATCH(IF('Data-solution'!$A$3="Maximize",MAX($C44:$AI44),MIN($C44:$AI44)),$C44:$AI44,0))*INDEX(AG33:$AJ43,MATCH(MIN($AK33:$AK43),$AK33:$AK43,0),1)/INDEX($C33:$AJ43,MATCH(MIN($AK33:$AK43),$AK33:$AK43,0),MATCH(IF('Data-solution'!$A$3="Maximize",MAX($C44:$AI44),MIN($C44:$AI44)),$C44:$AI44,0))),AG43)</f>
        <v>0</v>
      </c>
      <c r="AH58" s="1">
        <f>IF(OR($B48&lt;&gt;$B33,$B49&lt;&gt;$B34,$B50&lt;&gt;$B35,$B51&lt;&gt;$B36,$B52&lt;&gt;$B37,$B53&lt;&gt;$B38,$B54&lt;&gt;$B39,$B55&lt;&gt;$B40,$B56&lt;&gt;$B41,$B57&lt;&gt;$B42,$B58&lt;&gt;$B43),IF($B58&lt;&gt;$B43,AH43/INDEX($C33:$AJ43,11,MATCH(IF('Data-solution'!$A$3="Maximize",MAX($C44:$AI44),MIN($C44:$AI44)),$C44:$AI44,0)),AH43-INDEX($C33:$AJ43,11,MATCH(IF('Data-solution'!$A$3="Maximize",MAX($C44:$AI44),MIN($C44:$AI44)),$C44:$AI44,0))*INDEX(AH33:$AJ43,MATCH(MIN($AK33:$AK43),$AK33:$AK43,0),1)/INDEX($C33:$AJ43,MATCH(MIN($AK33:$AK43),$AK33:$AK43,0),MATCH(IF('Data-solution'!$A$3="Maximize",MAX($C44:$AI44),MIN($C44:$AI44)),$C44:$AI44,0))),AH43)</f>
        <v>0</v>
      </c>
      <c r="AI58" s="1">
        <f>IF(OR($B48&lt;&gt;$B33,$B49&lt;&gt;$B34,$B50&lt;&gt;$B35,$B51&lt;&gt;$B36,$B52&lt;&gt;$B37,$B53&lt;&gt;$B38,$B54&lt;&gt;$B39,$B55&lt;&gt;$B40,$B56&lt;&gt;$B41,$B57&lt;&gt;$B42,$B58&lt;&gt;$B43),IF($B58&lt;&gt;$B43,AI43/INDEX($C33:$AJ43,11,MATCH(IF('Data-solution'!$A$3="Maximize",MAX($C44:$AI44),MIN($C44:$AI44)),$C44:$AI44,0)),AI43-INDEX($C33:$AJ43,11,MATCH(IF('Data-solution'!$A$3="Maximize",MAX($C44:$AI44),MIN($C44:$AI44)),$C44:$AI44,0))*INDEX(AI33:$AJ43,MATCH(MIN($AK33:$AK43),$AK33:$AK43,0),1)/INDEX($C33:$AJ43,MATCH(MIN($AK33:$AK43),$AK33:$AK43,0),MATCH(IF('Data-solution'!$A$3="Maximize",MAX($C44:$AI44),MIN($C44:$AI44)),$C44:$AI44,0))),AI43)</f>
        <v>1</v>
      </c>
      <c r="AJ58" s="1">
        <f>IF(OR($B48&lt;&gt;$B33,$B49&lt;&gt;$B34,$B50&lt;&gt;$B35,$B51&lt;&gt;$B36,$B52&lt;&gt;$B37,$B53&lt;&gt;$B38,$B54&lt;&gt;$B39,$B55&lt;&gt;$B40,$B56&lt;&gt;$B41,$B57&lt;&gt;$B42,$B58&lt;&gt;$B43),IF($B58&lt;&gt;$B43,AJ43/INDEX($C33:$AJ43,11,MATCH(IF('Data-solution'!$A$3="Maximize",MAX($C44:$AI44),MIN($C44:$AI44)),$C44:$AI44,0)),AJ43-INDEX($C33:$AJ43,11,MATCH(IF('Data-solution'!$A$3="Maximize",MAX($C44:$AI44),MIN($C44:$AI44)),$C44:$AI44,0))*INDEX(AJ33:$AJ43,MATCH(MIN($AK33:$AK43),$AK33:$AK43,0),1)/INDEX($C33:$AJ43,MATCH(MIN($AK33:$AK43),$AK33:$AK43,0),MATCH(IF('Data-solution'!$A$3="Maximize",MAX($C44:$AI44),MIN($C44:$AI44)),$C44:$AI44,0))),AJ43)</f>
        <v>0</v>
      </c>
      <c r="AK58" s="1" t="str">
        <f>IF(INDEX(C58:X58,1,MATCH(IF('Data-solution'!A$3="Maximize",MAX(C59:X59),MIN(C59:X59)),C59:X59,0))&gt;0,AJ58/INDEX(C58:X58,1,MATCH(IF('Data-solution'!A$3="Maximize",MAX(C59:X59),MIN(C59:X59)),C59:X59,0))," ")</f>
        <v xml:space="preserve"> </v>
      </c>
    </row>
    <row r="59" spans="1:37" ht="18" customHeight="1" x14ac:dyDescent="0.2">
      <c r="B59" s="2" t="s">
        <v>5</v>
      </c>
      <c r="C59" s="1">
        <f>IF(SUM(COUNTIF($B48:$B58,$Y47),COUNTIF($B48:$B58,$Z47),COUNTIF($B48:$B58,$AA47),COUNTIF($B48:$B58,$AB47),COUNTIF($B48:$B58,$AC47),COUNTIF($B48:$B58,$AD47),COUNTIF($B48:$B58,$AE47),COUNTIF($B48:$B58,$AF47),COUNTIF($B48:$B58,$AG47),COUNTIF($B48:$B58,$AH47),COUNTIF($B48:$B58,$AI47))=0,C46-SUMPRODUCT($A48:$A58,C48:C58),IF('Data-solution'!$A$3="Maximize",1,-1)*SUM(SUMIF($B48:$B58,$Y47,C48:C58),SUMIF($B48:$B58,$Z47,C48:C58),SUMIF($B48:$B58,$AA47,C48:C58),SUMIF($B48:$B58,$AB47,C48:C58),SUMIF($B48:$B58,$AC47,C48:C58),SUMIF($B48:$B58,$AD47,C48:C58),SUMIF($B48:$B58,$AE47,C48:C58),SUMIF($B48:$B58,$AF47,C48:C58),SUMIF($B48:$B58,$AG47,C48:C58),SUMIF($B48:$B58,$AH47,C48:C58),SUMIF($B48:$B58,$AI47,C48:C58)))</f>
        <v>0</v>
      </c>
      <c r="D59" s="1">
        <f>IF(SUM(COUNTIF($B48:$B58,$Y47),COUNTIF($B48:$B58,$Z47),COUNTIF($B48:$B58,$AA47),COUNTIF($B48:$B58,$AB47),COUNTIF($B48:$B58,$AC47),COUNTIF($B48:$B58,$AD47),COUNTIF($B48:$B58,$AE47),COUNTIF($B48:$B58,$AF47),COUNTIF($B48:$B58,$AG47),COUNTIF($B48:$B58,$AH47),COUNTIF($B48:$B58,$AI47))=0,D46-SUMPRODUCT($A48:$A58,D48:D58),IF('Data-solution'!$A$3="Maximize",1,-1)*SUM(SUMIF($B48:$B58,$Y47,D48:D58),SUMIF($B48:$B58,$Z47,D48:D58),SUMIF($B48:$B58,$AA47,D48:D58),SUMIF($B48:$B58,$AB47,D48:D58),SUMIF($B48:$B58,$AC47,D48:D58),SUMIF($B48:$B58,$AD47,D48:D58),SUMIF($B48:$B58,$AE47,D48:D58),SUMIF($B48:$B58,$AF47,D48:D58),SUMIF($B48:$B58,$AG47,D48:D58),SUMIF($B48:$B58,$AH47,D48:D58),SUMIF($B48:$B58,$AI47,D48:D58)))</f>
        <v>-50</v>
      </c>
      <c r="E59" s="1">
        <f>IF(SUM(COUNTIF($B48:$B58,$Y47),COUNTIF($B48:$B58,$Z47),COUNTIF($B48:$B58,$AA47),COUNTIF($B48:$B58,$AB47),COUNTIF($B48:$B58,$AC47),COUNTIF($B48:$B58,$AD47),COUNTIF($B48:$B58,$AE47),COUNTIF($B48:$B58,$AF47),COUNTIF($B48:$B58,$AG47),COUNTIF($B48:$B58,$AH47),COUNTIF($B48:$B58,$AI47))=0,E46-SUMPRODUCT($A48:$A58,E48:E58),IF('Data-solution'!$A$3="Maximize",1,-1)*SUM(SUMIF($B48:$B58,$Y47,E48:E58),SUMIF($B48:$B58,$Z47,E48:E58),SUMIF($B48:$B58,$AA47,E48:E58),SUMIF($B48:$B58,$AB47,E48:E58),SUMIF($B48:$B58,$AC47,E48:E58),SUMIF($B48:$B58,$AD47,E48:E58),SUMIF($B48:$B58,$AE47,E48:E58),SUMIF($B48:$B58,$AF47,E48:E58),SUMIF($B48:$B58,$AG47,E48:E58),SUMIF($B48:$B58,$AH47,E48:E58),SUMIF($B48:$B58,$AI47,E48:E58)))</f>
        <v>0</v>
      </c>
      <c r="F59" s="1">
        <f>IF(SUM(COUNTIF($B48:$B58,$Y47),COUNTIF($B48:$B58,$Z47),COUNTIF($B48:$B58,$AA47),COUNTIF($B48:$B58,$AB47),COUNTIF($B48:$B58,$AC47),COUNTIF($B48:$B58,$AD47),COUNTIF($B48:$B58,$AE47),COUNTIF($B48:$B58,$AF47),COUNTIF($B48:$B58,$AG47),COUNTIF($B48:$B58,$AH47),COUNTIF($B48:$B58,$AI47))=0,F46-SUMPRODUCT($A48:$A58,F48:F58),IF('Data-solution'!$A$3="Maximize",1,-1)*SUM(SUMIF($B48:$B58,$Y47,F48:F58),SUMIF($B48:$B58,$Z47,F48:F58),SUMIF($B48:$B58,$AA47,F48:F58),SUMIF($B48:$B58,$AB47,F48:F58),SUMIF($B48:$B58,$AC47,F48:F58),SUMIF($B48:$B58,$AD47,F48:F58),SUMIF($B48:$B58,$AE47,F48:F58),SUMIF($B48:$B58,$AF47,F48:F58),SUMIF($B48:$B58,$AG47,F48:F58),SUMIF($B48:$B58,$AH47,F48:F58),SUMIF($B48:$B58,$AI47,F48:F58)))</f>
        <v>0</v>
      </c>
      <c r="G59" s="1">
        <f>IF(SUM(COUNTIF($B48:$B58,$Y47),COUNTIF($B48:$B58,$Z47),COUNTIF($B48:$B58,$AA47),COUNTIF($B48:$B58,$AB47),COUNTIF($B48:$B58,$AC47),COUNTIF($B48:$B58,$AD47),COUNTIF($B48:$B58,$AE47),COUNTIF($B48:$B58,$AF47),COUNTIF($B48:$B58,$AG47),COUNTIF($B48:$B58,$AH47),COUNTIF($B48:$B58,$AI47))=0,G46-SUMPRODUCT($A48:$A58,G48:G58),IF('Data-solution'!$A$3="Maximize",1,-1)*SUM(SUMIF($B48:$B58,$Y47,G48:G58),SUMIF($B48:$B58,$Z47,G48:G58),SUMIF($B48:$B58,$AA47,G48:G58),SUMIF($B48:$B58,$AB47,G48:G58),SUMIF($B48:$B58,$AC47,G48:G58),SUMIF($B48:$B58,$AD47,G48:G58),SUMIF($B48:$B58,$AE47,G48:G58),SUMIF($B48:$B58,$AF47,G48:G58),SUMIF($B48:$B58,$AG47,G48:G58),SUMIF($B48:$B58,$AH47,G48:G58),SUMIF($B48:$B58,$AI47,G48:G58)))</f>
        <v>0</v>
      </c>
      <c r="H59" s="1">
        <f>IF(SUM(COUNTIF($B48:$B58,$Y47),COUNTIF($B48:$B58,$Z47),COUNTIF($B48:$B58,$AA47),COUNTIF($B48:$B58,$AB47),COUNTIF($B48:$B58,$AC47),COUNTIF($B48:$B58,$AD47),COUNTIF($B48:$B58,$AE47),COUNTIF($B48:$B58,$AF47),COUNTIF($B48:$B58,$AG47),COUNTIF($B48:$B58,$AH47),COUNTIF($B48:$B58,$AI47))=0,H46-SUMPRODUCT($A48:$A58,H48:H58),IF('Data-solution'!$A$3="Maximize",1,-1)*SUM(SUMIF($B48:$B58,$Y47,H48:H58),SUMIF($B48:$B58,$Z47,H48:H58),SUMIF($B48:$B58,$AA47,H48:H58),SUMIF($B48:$B58,$AB47,H48:H58),SUMIF($B48:$B58,$AC47,H48:H58),SUMIF($B48:$B58,$AD47,H48:H58),SUMIF($B48:$B58,$AE47,H48:H58),SUMIF($B48:$B58,$AF47,H48:H58),SUMIF($B48:$B58,$AG47,H48:H58),SUMIF($B48:$B58,$AH47,H48:H58),SUMIF($B48:$B58,$AI47,H48:H58)))</f>
        <v>0</v>
      </c>
      <c r="I59" s="1">
        <f>IF(SUM(COUNTIF($B48:$B58,$Y47),COUNTIF($B48:$B58,$Z47),COUNTIF($B48:$B58,$AA47),COUNTIF($B48:$B58,$AB47),COUNTIF($B48:$B58,$AC47),COUNTIF($B48:$B58,$AD47),COUNTIF($B48:$B58,$AE47),COUNTIF($B48:$B58,$AF47),COUNTIF($B48:$B58,$AG47),COUNTIF($B48:$B58,$AH47),COUNTIF($B48:$B58,$AI47))=0,I46-SUMPRODUCT($A48:$A58,I48:I58),IF('Data-solution'!$A$3="Maximize",1,-1)*SUM(SUMIF($B48:$B58,$Y47,I48:I58),SUMIF($B48:$B58,$Z47,I48:I58),SUMIF($B48:$B58,$AA47,I48:I58),SUMIF($B48:$B58,$AB47,I48:I58),SUMIF($B48:$B58,$AC47,I48:I58),SUMIF($B48:$B58,$AD47,I48:I58),SUMIF($B48:$B58,$AE47,I48:I58),SUMIF($B48:$B58,$AF47,I48:I58),SUMIF($B48:$B58,$AG47,I48:I58),SUMIF($B48:$B58,$AH47,I48:I58),SUMIF($B48:$B58,$AI47,I48:I58)))</f>
        <v>0</v>
      </c>
      <c r="J59" s="1">
        <f>IF(SUM(COUNTIF($B48:$B58,$Y47),COUNTIF($B48:$B58,$Z47),COUNTIF($B48:$B58,$AA47),COUNTIF($B48:$B58,$AB47),COUNTIF($B48:$B58,$AC47),COUNTIF($B48:$B58,$AD47),COUNTIF($B48:$B58,$AE47),COUNTIF($B48:$B58,$AF47),COUNTIF($B48:$B58,$AG47),COUNTIF($B48:$B58,$AH47),COUNTIF($B48:$B58,$AI47))=0,J46-SUMPRODUCT($A48:$A58,J48:J58),IF('Data-solution'!$A$3="Maximize",1,-1)*SUM(SUMIF($B48:$B58,$Y47,J48:J58),SUMIF($B48:$B58,$Z47,J48:J58),SUMIF($B48:$B58,$AA47,J48:J58),SUMIF($B48:$B58,$AB47,J48:J58),SUMIF($B48:$B58,$AC47,J48:J58),SUMIF($B48:$B58,$AD47,J48:J58),SUMIF($B48:$B58,$AE47,J48:J58),SUMIF($B48:$B58,$AF47,J48:J58),SUMIF($B48:$B58,$AG47,J48:J58),SUMIF($B48:$B58,$AH47,J48:J58),SUMIF($B48:$B58,$AI47,J48:J58)))</f>
        <v>0</v>
      </c>
      <c r="K59" s="1">
        <f>IF(SUM(COUNTIF($B48:$B58,$Y47),COUNTIF($B48:$B58,$Z47),COUNTIF($B48:$B58,$AA47),COUNTIF($B48:$B58,$AB47),COUNTIF($B48:$B58,$AC47),COUNTIF($B48:$B58,$AD47),COUNTIF($B48:$B58,$AE47),COUNTIF($B48:$B58,$AF47),COUNTIF($B48:$B58,$AG47),COUNTIF($B48:$B58,$AH47),COUNTIF($B48:$B58,$AI47))=0,K46-SUMPRODUCT($A48:$A58,K48:K58),IF('Data-solution'!$A$3="Maximize",1,-1)*SUM(SUMIF($B48:$B58,$Y47,K48:K58),SUMIF($B48:$B58,$Z47,K48:K58),SUMIF($B48:$B58,$AA47,K48:K58),SUMIF($B48:$B58,$AB47,K48:K58),SUMIF($B48:$B58,$AC47,K48:K58),SUMIF($B48:$B58,$AD47,K48:K58),SUMIF($B48:$B58,$AE47,K48:K58),SUMIF($B48:$B58,$AF47,K48:K58),SUMIF($B48:$B58,$AG47,K48:K58),SUMIF($B48:$B58,$AH47,K48:K58),SUMIF($B48:$B58,$AI47,K48:K58)))</f>
        <v>0</v>
      </c>
      <c r="L59" s="1">
        <f>IF(SUM(COUNTIF($B48:$B58,$Y47),COUNTIF($B48:$B58,$Z47),COUNTIF($B48:$B58,$AA47),COUNTIF($B48:$B58,$AB47),COUNTIF($B48:$B58,$AC47),COUNTIF($B48:$B58,$AD47),COUNTIF($B48:$B58,$AE47),COUNTIF($B48:$B58,$AF47),COUNTIF($B48:$B58,$AG47),COUNTIF($B48:$B58,$AH47),COUNTIF($B48:$B58,$AI47))=0,L46-SUMPRODUCT($A48:$A58,L48:L58),IF('Data-solution'!$A$3="Maximize",1,-1)*SUM(SUMIF($B48:$B58,$Y47,L48:L58),SUMIF($B48:$B58,$Z47,L48:L58),SUMIF($B48:$B58,$AA47,L48:L58),SUMIF($B48:$B58,$AB47,L48:L58),SUMIF($B48:$B58,$AC47,L48:L58),SUMIF($B48:$B58,$AD47,L48:L58),SUMIF($B48:$B58,$AE47,L48:L58),SUMIF($B48:$B58,$AF47,L48:L58),SUMIF($B48:$B58,$AG47,L48:L58),SUMIF($B48:$B58,$AH47,L48:L58),SUMIF($B48:$B58,$AI47,L48:L58)))</f>
        <v>0</v>
      </c>
      <c r="M59" s="1">
        <f>IF(SUM(COUNTIF($B48:$B58,$Y47),COUNTIF($B48:$B58,$Z47),COUNTIF($B48:$B58,$AA47),COUNTIF($B48:$B58,$AB47),COUNTIF($B48:$B58,$AC47),COUNTIF($B48:$B58,$AD47),COUNTIF($B48:$B58,$AE47),COUNTIF($B48:$B58,$AF47),COUNTIF($B48:$B58,$AG47),COUNTIF($B48:$B58,$AH47),COUNTIF($B48:$B58,$AI47))=0,M46-SUMPRODUCT($A48:$A58,M48:M58),IF('Data-solution'!$A$3="Maximize",1,-1)*SUM(SUMIF($B48:$B58,$Y47,M48:M58),SUMIF($B48:$B58,$Z47,M48:M58),SUMIF($B48:$B58,$AA47,M48:M58),SUMIF($B48:$B58,$AB47,M48:M58),SUMIF($B48:$B58,$AC47,M48:M58),SUMIF($B48:$B58,$AD47,M48:M58),SUMIF($B48:$B58,$AE47,M48:M58),SUMIF($B48:$B58,$AF47,M48:M58),SUMIF($B48:$B58,$AG47,M48:M58),SUMIF($B48:$B58,$AH47,M48:M58),SUMIF($B48:$B58,$AI47,M48:M58)))</f>
        <v>0</v>
      </c>
      <c r="N59" s="1">
        <f>IF(SUM(COUNTIF($B48:$B58,$Y47),COUNTIF($B48:$B58,$Z47),COUNTIF($B48:$B58,$AA47),COUNTIF($B48:$B58,$AB47),COUNTIF($B48:$B58,$AC47),COUNTIF($B48:$B58,$AD47),COUNTIF($B48:$B58,$AE47),COUNTIF($B48:$B58,$AF47),COUNTIF($B48:$B58,$AG47),COUNTIF($B48:$B58,$AH47),COUNTIF($B48:$B58,$AI47))=0,N46-SUMPRODUCT($A48:$A58,N48:N58),IF('Data-solution'!$A$3="Maximize",1,-1)*SUM(SUMIF($B48:$B58,$Y47,N48:N58),SUMIF($B48:$B58,$Z47,N48:N58),SUMIF($B48:$B58,$AA47,N48:N58),SUMIF($B48:$B58,$AB47,N48:N58),SUMIF($B48:$B58,$AC47,N48:N58),SUMIF($B48:$B58,$AD47,N48:N58),SUMIF($B48:$B58,$AE47,N48:N58),SUMIF($B48:$B58,$AF47,N48:N58),SUMIF($B48:$B58,$AG47,N48:N58),SUMIF($B48:$B58,$AH47,N48:N58),SUMIF($B48:$B58,$AI47,N48:N58)))</f>
        <v>0</v>
      </c>
      <c r="O59" s="1">
        <f>IF(SUM(COUNTIF($B48:$B58,$Y47),COUNTIF($B48:$B58,$Z47),COUNTIF($B48:$B58,$AA47),COUNTIF($B48:$B58,$AB47),COUNTIF($B48:$B58,$AC47),COUNTIF($B48:$B58,$AD47),COUNTIF($B48:$B58,$AE47),COUNTIF($B48:$B58,$AF47),COUNTIF($B48:$B58,$AG47),COUNTIF($B48:$B58,$AH47),COUNTIF($B48:$B58,$AI47))=0,O46-SUMPRODUCT($A48:$A58,O48:O58),IF('Data-solution'!$A$3="Maximize",1,-1)*SUM(SUMIF($B48:$B58,$Y47,O48:O58),SUMIF($B48:$B58,$Z47,O48:O58),SUMIF($B48:$B58,$AA47,O48:O58),SUMIF($B48:$B58,$AB47,O48:O58),SUMIF($B48:$B58,$AC47,O48:O58),SUMIF($B48:$B58,$AD47,O48:O58),SUMIF($B48:$B58,$AE47,O48:O58),SUMIF($B48:$B58,$AF47,O48:O58),SUMIF($B48:$B58,$AG47,O48:O58),SUMIF($B48:$B58,$AH47,O48:O58),SUMIF($B48:$B58,$AI47,O48:O58)))</f>
        <v>0</v>
      </c>
      <c r="P59" s="1">
        <f>IF(SUM(COUNTIF($B48:$B58,$Y47),COUNTIF($B48:$B58,$Z47),COUNTIF($B48:$B58,$AA47),COUNTIF($B48:$B58,$AB47),COUNTIF($B48:$B58,$AC47),COUNTIF($B48:$B58,$AD47),COUNTIF($B48:$B58,$AE47),COUNTIF($B48:$B58,$AF47),COUNTIF($B48:$B58,$AG47),COUNTIF($B48:$B58,$AH47),COUNTIF($B48:$B58,$AI47))=0,P46-SUMPRODUCT($A48:$A58,P48:P58),IF('Data-solution'!$A$3="Maximize",1,-1)*SUM(SUMIF($B48:$B58,$Y47,P48:P58),SUMIF($B48:$B58,$Z47,P48:P58),SUMIF($B48:$B58,$AA47,P48:P58),SUMIF($B48:$B58,$AB47,P48:P58),SUMIF($B48:$B58,$AC47,P48:P58),SUMIF($B48:$B58,$AD47,P48:P58),SUMIF($B48:$B58,$AE47,P48:P58),SUMIF($B48:$B58,$AF47,P48:P58),SUMIF($B48:$B58,$AG47,P48:P58),SUMIF($B48:$B58,$AH47,P48:P58),SUMIF($B48:$B58,$AI47,P48:P58)))</f>
        <v>-49.999999999999993</v>
      </c>
      <c r="Q59" s="1">
        <f>IF(SUM(COUNTIF($B48:$B58,$Y47),COUNTIF($B48:$B58,$Z47),COUNTIF($B48:$B58,$AA47),COUNTIF($B48:$B58,$AB47),COUNTIF($B48:$B58,$AC47),COUNTIF($B48:$B58,$AD47),COUNTIF($B48:$B58,$AE47),COUNTIF($B48:$B58,$AF47),COUNTIF($B48:$B58,$AG47),COUNTIF($B48:$B58,$AH47),COUNTIF($B48:$B58,$AI47))=0,Q46-SUMPRODUCT($A48:$A58,Q48:Q58),IF('Data-solution'!$A$3="Maximize",1,-1)*SUM(SUMIF($B48:$B58,$Y47,Q48:Q58),SUMIF($B48:$B58,$Z47,Q48:Q58),SUMIF($B48:$B58,$AA47,Q48:Q58),SUMIF($B48:$B58,$AB47,Q48:Q58),SUMIF($B48:$B58,$AC47,Q48:Q58),SUMIF($B48:$B58,$AD47,Q48:Q58),SUMIF($B48:$B58,$AE47,Q48:Q58),SUMIF($B48:$B58,$AF47,Q48:Q58),SUMIF($B48:$B58,$AG47,Q48:Q58),SUMIF($B48:$B58,$AH47,Q48:Q58),SUMIF($B48:$B58,$AI47,Q48:Q58)))</f>
        <v>-50</v>
      </c>
      <c r="R59" s="1">
        <f>IF(SUM(COUNTIF($B48:$B58,$Y47),COUNTIF($B48:$B58,$Z47),COUNTIF($B48:$B58,$AA47),COUNTIF($B48:$B58,$AB47),COUNTIF($B48:$B58,$AC47),COUNTIF($B48:$B58,$AD47),COUNTIF($B48:$B58,$AE47),COUNTIF($B48:$B58,$AF47),COUNTIF($B48:$B58,$AG47),COUNTIF($B48:$B58,$AH47),COUNTIF($B48:$B58,$AI47))=0,R46-SUMPRODUCT($A48:$A58,R48:R58),IF('Data-solution'!$A$3="Maximize",1,-1)*SUM(SUMIF($B48:$B58,$Y47,R48:R58),SUMIF($B48:$B58,$Z47,R48:R58),SUMIF($B48:$B58,$AA47,R48:R58),SUMIF($B48:$B58,$AB47,R48:R58),SUMIF($B48:$B58,$AC47,R48:R58),SUMIF($B48:$B58,$AD47,R48:R58),SUMIF($B48:$B58,$AE47,R48:R58),SUMIF($B48:$B58,$AF47,R48:R58),SUMIF($B48:$B58,$AG47,R48:R58),SUMIF($B48:$B58,$AH47,R48:R58),SUMIF($B48:$B58,$AI47,R48:R58)))</f>
        <v>0</v>
      </c>
      <c r="S59" s="1">
        <f>IF(SUM(COUNTIF($B48:$B58,$Y47),COUNTIF($B48:$B58,$Z47),COUNTIF($B48:$B58,$AA47),COUNTIF($B48:$B58,$AB47),COUNTIF($B48:$B58,$AC47),COUNTIF($B48:$B58,$AD47),COUNTIF($B48:$B58,$AE47),COUNTIF($B48:$B58,$AF47),COUNTIF($B48:$B58,$AG47),COUNTIF($B48:$B58,$AH47),COUNTIF($B48:$B58,$AI47))=0,S46-SUMPRODUCT($A48:$A58,S48:S58),IF('Data-solution'!$A$3="Maximize",1,-1)*SUM(SUMIF($B48:$B58,$Y47,S48:S58),SUMIF($B48:$B58,$Z47,S48:S58),SUMIF($B48:$B58,$AA47,S48:S58),SUMIF($B48:$B58,$AB47,S48:S58),SUMIF($B48:$B58,$AC47,S48:S58),SUMIF($B48:$B58,$AD47,S48:S58),SUMIF($B48:$B58,$AE47,S48:S58),SUMIF($B48:$B58,$AF47,S48:S58),SUMIF($B48:$B58,$AG47,S48:S58),SUMIF($B48:$B58,$AH47,S48:S58),SUMIF($B48:$B58,$AI47,S48:S58)))</f>
        <v>0</v>
      </c>
      <c r="T59" s="1">
        <f>IF(SUM(COUNTIF($B48:$B58,$Y47),COUNTIF($B48:$B58,$Z47),COUNTIF($B48:$B58,$AA47),COUNTIF($B48:$B58,$AB47),COUNTIF($B48:$B58,$AC47),COUNTIF($B48:$B58,$AD47),COUNTIF($B48:$B58,$AE47),COUNTIF($B48:$B58,$AF47),COUNTIF($B48:$B58,$AG47),COUNTIF($B48:$B58,$AH47),COUNTIF($B48:$B58,$AI47))=0,T46-SUMPRODUCT($A48:$A58,T48:T58),IF('Data-solution'!$A$3="Maximize",1,-1)*SUM(SUMIF($B48:$B58,$Y47,T48:T58),SUMIF($B48:$B58,$Z47,T48:T58),SUMIF($B48:$B58,$AA47,T48:T58),SUMIF($B48:$B58,$AB47,T48:T58),SUMIF($B48:$B58,$AC47,T48:T58),SUMIF($B48:$B58,$AD47,T48:T58),SUMIF($B48:$B58,$AE47,T48:T58),SUMIF($B48:$B58,$AF47,T48:T58),SUMIF($B48:$B58,$AG47,T48:T58),SUMIF($B48:$B58,$AH47,T48:T58),SUMIF($B48:$B58,$AI47,T48:T58)))</f>
        <v>0</v>
      </c>
      <c r="U59" s="1">
        <f>IF(SUM(COUNTIF($B48:$B58,$Y47),COUNTIF($B48:$B58,$Z47),COUNTIF($B48:$B58,$AA47),COUNTIF($B48:$B58,$AB47),COUNTIF($B48:$B58,$AC47),COUNTIF($B48:$B58,$AD47),COUNTIF($B48:$B58,$AE47),COUNTIF($B48:$B58,$AF47),COUNTIF($B48:$B58,$AG47),COUNTIF($B48:$B58,$AH47),COUNTIF($B48:$B58,$AI47))=0,U46-SUMPRODUCT($A48:$A58,U48:U58),IF('Data-solution'!$A$3="Maximize",1,-1)*SUM(SUMIF($B48:$B58,$Y47,U48:U58),SUMIF($B48:$B58,$Z47,U48:U58),SUMIF($B48:$B58,$AA47,U48:U58),SUMIF($B48:$B58,$AB47,U48:U58),SUMIF($B48:$B58,$AC47,U48:U58),SUMIF($B48:$B58,$AD47,U48:U58),SUMIF($B48:$B58,$AE47,U48:U58),SUMIF($B48:$B58,$AF47,U48:U58),SUMIF($B48:$B58,$AG47,U48:U58),SUMIF($B48:$B58,$AH47,U48:U58),SUMIF($B48:$B58,$AI47,U48:U58)))</f>
        <v>0</v>
      </c>
      <c r="V59" s="1">
        <f>IF(SUM(COUNTIF($B48:$B58,$Y47),COUNTIF($B48:$B58,$Z47),COUNTIF($B48:$B58,$AA47),COUNTIF($B48:$B58,$AB47),COUNTIF($B48:$B58,$AC47),COUNTIF($B48:$B58,$AD47),COUNTIF($B48:$B58,$AE47),COUNTIF($B48:$B58,$AF47),COUNTIF($B48:$B58,$AG47),COUNTIF($B48:$B58,$AH47),COUNTIF($B48:$B58,$AI47))=0,V46-SUMPRODUCT($A48:$A58,V48:V58),IF('Data-solution'!$A$3="Maximize",1,-1)*SUM(SUMIF($B48:$B58,$Y47,V48:V58),SUMIF($B48:$B58,$Z47,V48:V58),SUMIF($B48:$B58,$AA47,V48:V58),SUMIF($B48:$B58,$AB47,V48:V58),SUMIF($B48:$B58,$AC47,V48:V58),SUMIF($B48:$B58,$AD47,V48:V58),SUMIF($B48:$B58,$AE47,V48:V58),SUMIF($B48:$B58,$AF47,V48:V58),SUMIF($B48:$B58,$AG47,V48:V58),SUMIF($B48:$B58,$AH47,V48:V58),SUMIF($B48:$B58,$AI47,V48:V58)))</f>
        <v>0</v>
      </c>
      <c r="W59" s="1">
        <f>IF(SUM(COUNTIF($B48:$B58,$Y47),COUNTIF($B48:$B58,$Z47),COUNTIF($B48:$B58,$AA47),COUNTIF($B48:$B58,$AB47),COUNTIF($B48:$B58,$AC47),COUNTIF($B48:$B58,$AD47),COUNTIF($B48:$B58,$AE47),COUNTIF($B48:$B58,$AF47),COUNTIF($B48:$B58,$AG47),COUNTIF($B48:$B58,$AH47),COUNTIF($B48:$B58,$AI47))=0,W46-SUMPRODUCT($A48:$A58,W48:W58),IF('Data-solution'!$A$3="Maximize",1,-1)*SUM(SUMIF($B48:$B58,$Y47,W48:W58),SUMIF($B48:$B58,$Z47,W48:W58),SUMIF($B48:$B58,$AA47,W48:W58),SUMIF($B48:$B58,$AB47,W48:W58),SUMIF($B48:$B58,$AC47,W48:W58),SUMIF($B48:$B58,$AD47,W48:W58),SUMIF($B48:$B58,$AE47,W48:W58),SUMIF($B48:$B58,$AF47,W48:W58),SUMIF($B48:$B58,$AG47,W48:W58),SUMIF($B48:$B58,$AH47,W48:W58),SUMIF($B48:$B58,$AI47,W48:W58)))</f>
        <v>0</v>
      </c>
      <c r="X59" s="1">
        <f>IF(SUM(COUNTIF($B48:$B58,$Y47),COUNTIF($B48:$B58,$Z47),COUNTIF($B48:$B58,$AA47),COUNTIF($B48:$B58,$AB47),COUNTIF($B48:$B58,$AC47),COUNTIF($B48:$B58,$AD47),COUNTIF($B48:$B58,$AE47),COUNTIF($B48:$B58,$AF47),COUNTIF($B48:$B58,$AG47),COUNTIF($B48:$B58,$AH47),COUNTIF($B48:$B58,$AI47))=0,X46-SUMPRODUCT($A48:$A58,X48:X58),IF('Data-solution'!$A$3="Maximize",1,-1)*SUM(SUMIF($B48:$B58,$Y47,X48:X58),SUMIF($B48:$B58,$Z47,X48:X58),SUMIF($B48:$B58,$AA47,X48:X58),SUMIF($B48:$B58,$AB47,X48:X58),SUMIF($B48:$B58,$AC47,X48:X58),SUMIF($B48:$B58,$AD47,X48:X58),SUMIF($B48:$B58,$AE47,X48:X58),SUMIF($B48:$B58,$AF47,X48:X58),SUMIF($B48:$B58,$AG47,X48:X58),SUMIF($B48:$B58,$AH47,X48:X58),SUMIF($B48:$B58,$AI47,X48:X58)))</f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2">
        <f t="shared" ref="AJ59" si="33">IF(SUMPRODUCT(A48:A58,AJ48:AJ58)&gt;=0,SUMPRODUCT(A48:A58,AJ48:AJ58),0)</f>
        <v>120000</v>
      </c>
    </row>
    <row r="61" spans="1:37" ht="18" customHeight="1" x14ac:dyDescent="0.2">
      <c r="A61" s="1" t="s">
        <v>63</v>
      </c>
      <c r="B61" s="2" t="s">
        <v>4</v>
      </c>
      <c r="C61" s="1">
        <f t="shared" ref="C61" si="34">C$1</f>
        <v>150</v>
      </c>
      <c r="D61" s="1">
        <f t="shared" si="4"/>
        <v>200</v>
      </c>
      <c r="E61" s="1">
        <f t="shared" si="4"/>
        <v>350</v>
      </c>
      <c r="F61" s="1">
        <f t="shared" si="4"/>
        <v>0</v>
      </c>
      <c r="G61" s="1">
        <f t="shared" si="4"/>
        <v>0</v>
      </c>
      <c r="H61" s="1">
        <f t="shared" si="4"/>
        <v>0</v>
      </c>
      <c r="I61" s="1">
        <f t="shared" si="4"/>
        <v>0</v>
      </c>
      <c r="J61" s="1">
        <f t="shared" si="4"/>
        <v>0</v>
      </c>
      <c r="K61" s="1">
        <f t="shared" si="4"/>
        <v>0</v>
      </c>
      <c r="L61" s="1">
        <f t="shared" si="4"/>
        <v>0</v>
      </c>
      <c r="M61" s="1">
        <f t="shared" si="4"/>
        <v>0</v>
      </c>
      <c r="N61" s="1">
        <f t="shared" si="4"/>
        <v>0</v>
      </c>
      <c r="O61" s="1">
        <f t="shared" si="4"/>
        <v>0</v>
      </c>
      <c r="P61" s="1">
        <f t="shared" si="4"/>
        <v>0</v>
      </c>
      <c r="Q61" s="1">
        <f t="shared" si="4"/>
        <v>0</v>
      </c>
      <c r="R61" s="1">
        <f t="shared" si="4"/>
        <v>0</v>
      </c>
      <c r="S61" s="1">
        <f t="shared" si="4"/>
        <v>0</v>
      </c>
      <c r="T61" s="1">
        <f t="shared" si="4"/>
        <v>0</v>
      </c>
      <c r="U61" s="1">
        <f t="shared" si="4"/>
        <v>0</v>
      </c>
      <c r="V61" s="1">
        <f t="shared" si="4"/>
        <v>0</v>
      </c>
      <c r="W61" s="1">
        <f t="shared" si="4"/>
        <v>0</v>
      </c>
      <c r="X61" s="1">
        <f t="shared" si="4"/>
        <v>0</v>
      </c>
      <c r="Y61" s="1">
        <f t="shared" si="4"/>
        <v>-999999</v>
      </c>
      <c r="Z61" s="1">
        <f t="shared" si="4"/>
        <v>-999999</v>
      </c>
      <c r="AA61" s="1">
        <f t="shared" si="4"/>
        <v>-999999</v>
      </c>
      <c r="AB61" s="1">
        <f t="shared" si="4"/>
        <v>-999999</v>
      </c>
      <c r="AC61" s="1">
        <f t="shared" si="4"/>
        <v>-999999</v>
      </c>
      <c r="AD61" s="1">
        <f t="shared" si="4"/>
        <v>-999999</v>
      </c>
      <c r="AE61" s="1">
        <f t="shared" si="4"/>
        <v>-999999</v>
      </c>
      <c r="AF61" s="1">
        <f t="shared" si="4"/>
        <v>-999999</v>
      </c>
      <c r="AG61" s="1">
        <f t="shared" si="4"/>
        <v>-999999</v>
      </c>
      <c r="AH61" s="1">
        <f t="shared" si="4"/>
        <v>-999999</v>
      </c>
      <c r="AI61" s="1">
        <f t="shared" si="4"/>
        <v>-999999</v>
      </c>
    </row>
    <row r="62" spans="1:37" ht="18" customHeight="1" x14ac:dyDescent="0.2">
      <c r="A62" s="2" t="s">
        <v>3</v>
      </c>
      <c r="B62" s="2" t="s">
        <v>1</v>
      </c>
      <c r="C62" s="2" t="str">
        <f t="shared" ref="C62" si="35">C$2</f>
        <v>X1</v>
      </c>
      <c r="D62" s="2" t="str">
        <f t="shared" si="7"/>
        <v>X2</v>
      </c>
      <c r="E62" s="2" t="str">
        <f t="shared" si="7"/>
        <v>X3</v>
      </c>
      <c r="F62" s="2" t="str">
        <f t="shared" si="7"/>
        <v>X4</v>
      </c>
      <c r="G62" s="2" t="str">
        <f t="shared" si="7"/>
        <v>X5</v>
      </c>
      <c r="H62" s="2" t="str">
        <f t="shared" si="7"/>
        <v>X6</v>
      </c>
      <c r="I62" s="2" t="str">
        <f t="shared" si="7"/>
        <v>X7</v>
      </c>
      <c r="J62" s="2" t="str">
        <f t="shared" si="7"/>
        <v>X8</v>
      </c>
      <c r="K62" s="2" t="str">
        <f t="shared" si="7"/>
        <v>X9</v>
      </c>
      <c r="L62" s="2" t="str">
        <f t="shared" si="7"/>
        <v>X10</v>
      </c>
      <c r="M62" s="2" t="str">
        <f t="shared" si="7"/>
        <v>X11</v>
      </c>
      <c r="N62" s="2" t="str">
        <f t="shared" si="7"/>
        <v>S1</v>
      </c>
      <c r="O62" s="2" t="str">
        <f t="shared" si="7"/>
        <v>S2</v>
      </c>
      <c r="P62" s="2" t="str">
        <f t="shared" si="7"/>
        <v>S3</v>
      </c>
      <c r="Q62" s="2" t="str">
        <f t="shared" si="7"/>
        <v>S4</v>
      </c>
      <c r="R62" s="2" t="str">
        <f t="shared" si="7"/>
        <v>S5</v>
      </c>
      <c r="S62" s="2" t="str">
        <f t="shared" si="7"/>
        <v>S6</v>
      </c>
      <c r="T62" s="2" t="str">
        <f t="shared" si="7"/>
        <v>S7</v>
      </c>
      <c r="U62" s="2" t="str">
        <f t="shared" si="7"/>
        <v>S8</v>
      </c>
      <c r="V62" s="2" t="str">
        <f t="shared" si="7"/>
        <v>S9</v>
      </c>
      <c r="W62" s="2" t="str">
        <f t="shared" si="7"/>
        <v>S10</v>
      </c>
      <c r="X62" s="2" t="str">
        <f t="shared" si="7"/>
        <v>S11</v>
      </c>
      <c r="Y62" s="2" t="str">
        <f t="shared" si="7"/>
        <v xml:space="preserve"> </v>
      </c>
      <c r="Z62" s="2" t="str">
        <f t="shared" si="7"/>
        <v xml:space="preserve"> </v>
      </c>
      <c r="AA62" s="2" t="str">
        <f t="shared" si="7"/>
        <v xml:space="preserve"> </v>
      </c>
      <c r="AB62" s="2" t="str">
        <f t="shared" si="7"/>
        <v xml:space="preserve"> </v>
      </c>
      <c r="AC62" s="2" t="str">
        <f t="shared" si="7"/>
        <v xml:space="preserve"> </v>
      </c>
      <c r="AD62" s="2" t="str">
        <f t="shared" si="7"/>
        <v xml:space="preserve"> </v>
      </c>
      <c r="AE62" s="2" t="str">
        <f t="shared" si="7"/>
        <v xml:space="preserve"> </v>
      </c>
      <c r="AF62" s="2" t="str">
        <f t="shared" si="7"/>
        <v xml:space="preserve"> </v>
      </c>
      <c r="AG62" s="2" t="str">
        <f t="shared" si="7"/>
        <v xml:space="preserve"> </v>
      </c>
      <c r="AH62" s="2" t="str">
        <f t="shared" si="7"/>
        <v xml:space="preserve"> </v>
      </c>
      <c r="AI62" s="2" t="str">
        <f t="shared" si="7"/>
        <v xml:space="preserve"> </v>
      </c>
      <c r="AJ62" s="2" t="s">
        <v>9</v>
      </c>
      <c r="AK62" s="2" t="s">
        <v>10</v>
      </c>
    </row>
    <row r="63" spans="1:37" ht="18" customHeight="1" x14ac:dyDescent="0.2">
      <c r="A63" s="1">
        <f t="shared" ref="A63" si="36">INDEX(C61:AI61,1,MATCH(B63,C62:AI62,0))</f>
        <v>0</v>
      </c>
      <c r="B63" s="2" t="str">
        <f>IF(AND('Data-solution'!A$3="Maximize",COUNTIF(C59:X59,"&gt;"&amp;0)&gt;0,AK48=MIN(AK48:AK58)),INDEX(C47:X47,1,MATCH(MAX(C59:X59),C59:X59,0)),IF(AND('Data-solution'!A$3="Minimize",COUNTIF(C59:X59,"&lt;"&amp;0)&gt;0,AK48=MIN(AK48:AK58)),INDEX(C47:X47,1,MATCH(MIN(C59:X59),C59:X59,0)),B48))</f>
        <v>S1</v>
      </c>
      <c r="C63" s="1">
        <f>IF(OR($B63&lt;&gt;$B48,$B64&lt;&gt;$B49,$B65&lt;&gt;$B50,$B66&lt;&gt;$B51,$B67&lt;&gt;$B52,$B68&lt;&gt;$B53,$B69&lt;&gt;$B54,$B70&lt;&gt;$B55,$B71&lt;&gt;$B56,$B72&lt;&gt;$B57,$B73&lt;&gt;$B58),IF($B63&lt;&gt;$B48,C48/INDEX($C48:$AJ58,1,MATCH(IF('Data-solution'!$A$3="Maximize",MAX($C59:$AI59),MIN($C59:$AI59)),$C59:$AI59,0)),C48-INDEX($C48:$AJ58,1,MATCH(IF('Data-solution'!$A$3="Maximize",MAX($C59:$AI59),MIN($C59:$AI59)),$C59:$AI59,0))*INDEX(C48:$AJ58,MATCH(MIN($AK48:$AK58),$AK48:$AK58,0),1)/INDEX($C48:$AJ58,MATCH(MIN($AK48:$AK58),$AK48:$AK58,0),MATCH(IF('Data-solution'!$A$3="Maximize",MAX($C59:$AI59),MIN($C59:$AI59)),$C59:$AI59,0))),C48)</f>
        <v>0</v>
      </c>
      <c r="D63" s="1">
        <f>IF(OR($B63&lt;&gt;$B48,$B64&lt;&gt;$B49,$B65&lt;&gt;$B50,$B66&lt;&gt;$B51,$B67&lt;&gt;$B52,$B68&lt;&gt;$B53,$B69&lt;&gt;$B54,$B70&lt;&gt;$B55,$B71&lt;&gt;$B56,$B72&lt;&gt;$B57,$B73&lt;&gt;$B58),IF($B63&lt;&gt;$B48,D48/INDEX($C48:$AJ58,1,MATCH(IF('Data-solution'!$A$3="Maximize",MAX($C59:$AI59),MIN($C59:$AI59)),$C59:$AI59,0)),D48-INDEX($C48:$AJ58,1,MATCH(IF('Data-solution'!$A$3="Maximize",MAX($C59:$AI59),MIN($C59:$AI59)),$C59:$AI59,0))*INDEX(D48:$AJ58,MATCH(MIN($AK48:$AK58),$AK48:$AK58,0),1)/INDEX($C48:$AJ58,MATCH(MIN($AK48:$AK58),$AK48:$AK58,0),MATCH(IF('Data-solution'!$A$3="Maximize",MAX($C59:$AI59),MIN($C59:$AI59)),$C59:$AI59,0))),D48)</f>
        <v>1</v>
      </c>
      <c r="E63" s="1">
        <f>IF(OR($B63&lt;&gt;$B48,$B64&lt;&gt;$B49,$B65&lt;&gt;$B50,$B66&lt;&gt;$B51,$B67&lt;&gt;$B52,$B68&lt;&gt;$B53,$B69&lt;&gt;$B54,$B70&lt;&gt;$B55,$B71&lt;&gt;$B56,$B72&lt;&gt;$B57,$B73&lt;&gt;$B58),IF($B63&lt;&gt;$B48,E48/INDEX($C48:$AJ58,1,MATCH(IF('Data-solution'!$A$3="Maximize",MAX($C59:$AI59),MIN($C59:$AI59)),$C59:$AI59,0)),E48-INDEX($C48:$AJ58,1,MATCH(IF('Data-solution'!$A$3="Maximize",MAX($C59:$AI59),MIN($C59:$AI59)),$C59:$AI59,0))*INDEX(E48:$AJ58,MATCH(MIN($AK48:$AK58),$AK48:$AK58,0),1)/INDEX($C48:$AJ58,MATCH(MIN($AK48:$AK58),$AK48:$AK58,0),MATCH(IF('Data-solution'!$A$3="Maximize",MAX($C59:$AI59),MIN($C59:$AI59)),$C59:$AI59,0))),E48)</f>
        <v>0</v>
      </c>
      <c r="F63" s="1">
        <f>IF(OR($B63&lt;&gt;$B48,$B64&lt;&gt;$B49,$B65&lt;&gt;$B50,$B66&lt;&gt;$B51,$B67&lt;&gt;$B52,$B68&lt;&gt;$B53,$B69&lt;&gt;$B54,$B70&lt;&gt;$B55,$B71&lt;&gt;$B56,$B72&lt;&gt;$B57,$B73&lt;&gt;$B58),IF($B63&lt;&gt;$B48,F48/INDEX($C48:$AJ58,1,MATCH(IF('Data-solution'!$A$3="Maximize",MAX($C59:$AI59),MIN($C59:$AI59)),$C59:$AI59,0)),F48-INDEX($C48:$AJ58,1,MATCH(IF('Data-solution'!$A$3="Maximize",MAX($C59:$AI59),MIN($C59:$AI59)),$C59:$AI59,0))*INDEX(F48:$AJ58,MATCH(MIN($AK48:$AK58),$AK48:$AK58,0),1)/INDEX($C48:$AJ58,MATCH(MIN($AK48:$AK58),$AK48:$AK58,0),MATCH(IF('Data-solution'!$A$3="Maximize",MAX($C59:$AI59),MIN($C59:$AI59)),$C59:$AI59,0))),F48)</f>
        <v>0</v>
      </c>
      <c r="G63" s="1">
        <f>IF(OR($B63&lt;&gt;$B48,$B64&lt;&gt;$B49,$B65&lt;&gt;$B50,$B66&lt;&gt;$B51,$B67&lt;&gt;$B52,$B68&lt;&gt;$B53,$B69&lt;&gt;$B54,$B70&lt;&gt;$B55,$B71&lt;&gt;$B56,$B72&lt;&gt;$B57,$B73&lt;&gt;$B58),IF($B63&lt;&gt;$B48,G48/INDEX($C48:$AJ58,1,MATCH(IF('Data-solution'!$A$3="Maximize",MAX($C59:$AI59),MIN($C59:$AI59)),$C59:$AI59,0)),G48-INDEX($C48:$AJ58,1,MATCH(IF('Data-solution'!$A$3="Maximize",MAX($C59:$AI59),MIN($C59:$AI59)),$C59:$AI59,0))*INDEX(G48:$AJ58,MATCH(MIN($AK48:$AK58),$AK48:$AK58,0),1)/INDEX($C48:$AJ58,MATCH(MIN($AK48:$AK58),$AK48:$AK58,0),MATCH(IF('Data-solution'!$A$3="Maximize",MAX($C59:$AI59),MIN($C59:$AI59)),$C59:$AI59,0))),G48)</f>
        <v>0</v>
      </c>
      <c r="H63" s="1">
        <f>IF(OR($B63&lt;&gt;$B48,$B64&lt;&gt;$B49,$B65&lt;&gt;$B50,$B66&lt;&gt;$B51,$B67&lt;&gt;$B52,$B68&lt;&gt;$B53,$B69&lt;&gt;$B54,$B70&lt;&gt;$B55,$B71&lt;&gt;$B56,$B72&lt;&gt;$B57,$B73&lt;&gt;$B58),IF($B63&lt;&gt;$B48,H48/INDEX($C48:$AJ58,1,MATCH(IF('Data-solution'!$A$3="Maximize",MAX($C59:$AI59),MIN($C59:$AI59)),$C59:$AI59,0)),H48-INDEX($C48:$AJ58,1,MATCH(IF('Data-solution'!$A$3="Maximize",MAX($C59:$AI59),MIN($C59:$AI59)),$C59:$AI59,0))*INDEX(H48:$AJ58,MATCH(MIN($AK48:$AK58),$AK48:$AK58,0),1)/INDEX($C48:$AJ58,MATCH(MIN($AK48:$AK58),$AK48:$AK58,0),MATCH(IF('Data-solution'!$A$3="Maximize",MAX($C59:$AI59),MIN($C59:$AI59)),$C59:$AI59,0))),H48)</f>
        <v>0</v>
      </c>
      <c r="I63" s="1">
        <f>IF(OR($B63&lt;&gt;$B48,$B64&lt;&gt;$B49,$B65&lt;&gt;$B50,$B66&lt;&gt;$B51,$B67&lt;&gt;$B52,$B68&lt;&gt;$B53,$B69&lt;&gt;$B54,$B70&lt;&gt;$B55,$B71&lt;&gt;$B56,$B72&lt;&gt;$B57,$B73&lt;&gt;$B58),IF($B63&lt;&gt;$B48,I48/INDEX($C48:$AJ58,1,MATCH(IF('Data-solution'!$A$3="Maximize",MAX($C59:$AI59),MIN($C59:$AI59)),$C59:$AI59,0)),I48-INDEX($C48:$AJ58,1,MATCH(IF('Data-solution'!$A$3="Maximize",MAX($C59:$AI59),MIN($C59:$AI59)),$C59:$AI59,0))*INDEX(I48:$AJ58,MATCH(MIN($AK48:$AK58),$AK48:$AK58,0),1)/INDEX($C48:$AJ58,MATCH(MIN($AK48:$AK58),$AK48:$AK58,0),MATCH(IF('Data-solution'!$A$3="Maximize",MAX($C59:$AI59),MIN($C59:$AI59)),$C59:$AI59,0))),I48)</f>
        <v>0</v>
      </c>
      <c r="J63" s="1">
        <f>IF(OR($B63&lt;&gt;$B48,$B64&lt;&gt;$B49,$B65&lt;&gt;$B50,$B66&lt;&gt;$B51,$B67&lt;&gt;$B52,$B68&lt;&gt;$B53,$B69&lt;&gt;$B54,$B70&lt;&gt;$B55,$B71&lt;&gt;$B56,$B72&lt;&gt;$B57,$B73&lt;&gt;$B58),IF($B63&lt;&gt;$B48,J48/INDEX($C48:$AJ58,1,MATCH(IF('Data-solution'!$A$3="Maximize",MAX($C59:$AI59),MIN($C59:$AI59)),$C59:$AI59,0)),J48-INDEX($C48:$AJ58,1,MATCH(IF('Data-solution'!$A$3="Maximize",MAX($C59:$AI59),MIN($C59:$AI59)),$C59:$AI59,0))*INDEX(J48:$AJ58,MATCH(MIN($AK48:$AK58),$AK48:$AK58,0),1)/INDEX($C48:$AJ58,MATCH(MIN($AK48:$AK58),$AK48:$AK58,0),MATCH(IF('Data-solution'!$A$3="Maximize",MAX($C59:$AI59),MIN($C59:$AI59)),$C59:$AI59,0))),J48)</f>
        <v>0</v>
      </c>
      <c r="K63" s="1">
        <f>IF(OR($B63&lt;&gt;$B48,$B64&lt;&gt;$B49,$B65&lt;&gt;$B50,$B66&lt;&gt;$B51,$B67&lt;&gt;$B52,$B68&lt;&gt;$B53,$B69&lt;&gt;$B54,$B70&lt;&gt;$B55,$B71&lt;&gt;$B56,$B72&lt;&gt;$B57,$B73&lt;&gt;$B58),IF($B63&lt;&gt;$B48,K48/INDEX($C48:$AJ58,1,MATCH(IF('Data-solution'!$A$3="Maximize",MAX($C59:$AI59),MIN($C59:$AI59)),$C59:$AI59,0)),K48-INDEX($C48:$AJ58,1,MATCH(IF('Data-solution'!$A$3="Maximize",MAX($C59:$AI59),MIN($C59:$AI59)),$C59:$AI59,0))*INDEX(K48:$AJ58,MATCH(MIN($AK48:$AK58),$AK48:$AK58,0),1)/INDEX($C48:$AJ58,MATCH(MIN($AK48:$AK58),$AK48:$AK58,0),MATCH(IF('Data-solution'!$A$3="Maximize",MAX($C59:$AI59),MIN($C59:$AI59)),$C59:$AI59,0))),K48)</f>
        <v>0</v>
      </c>
      <c r="L63" s="1">
        <f>IF(OR($B63&lt;&gt;$B48,$B64&lt;&gt;$B49,$B65&lt;&gt;$B50,$B66&lt;&gt;$B51,$B67&lt;&gt;$B52,$B68&lt;&gt;$B53,$B69&lt;&gt;$B54,$B70&lt;&gt;$B55,$B71&lt;&gt;$B56,$B72&lt;&gt;$B57,$B73&lt;&gt;$B58),IF($B63&lt;&gt;$B48,L48/INDEX($C48:$AJ58,1,MATCH(IF('Data-solution'!$A$3="Maximize",MAX($C59:$AI59),MIN($C59:$AI59)),$C59:$AI59,0)),L48-INDEX($C48:$AJ58,1,MATCH(IF('Data-solution'!$A$3="Maximize",MAX($C59:$AI59),MIN($C59:$AI59)),$C59:$AI59,0))*INDEX(L48:$AJ58,MATCH(MIN($AK48:$AK58),$AK48:$AK58,0),1)/INDEX($C48:$AJ58,MATCH(MIN($AK48:$AK58),$AK48:$AK58,0),MATCH(IF('Data-solution'!$A$3="Maximize",MAX($C59:$AI59),MIN($C59:$AI59)),$C59:$AI59,0))),L48)</f>
        <v>0</v>
      </c>
      <c r="M63" s="1">
        <f>IF(OR($B63&lt;&gt;$B48,$B64&lt;&gt;$B49,$B65&lt;&gt;$B50,$B66&lt;&gt;$B51,$B67&lt;&gt;$B52,$B68&lt;&gt;$B53,$B69&lt;&gt;$B54,$B70&lt;&gt;$B55,$B71&lt;&gt;$B56,$B72&lt;&gt;$B57,$B73&lt;&gt;$B58),IF($B63&lt;&gt;$B48,M48/INDEX($C48:$AJ58,1,MATCH(IF('Data-solution'!$A$3="Maximize",MAX($C59:$AI59),MIN($C59:$AI59)),$C59:$AI59,0)),M48-INDEX($C48:$AJ58,1,MATCH(IF('Data-solution'!$A$3="Maximize",MAX($C59:$AI59),MIN($C59:$AI59)),$C59:$AI59,0))*INDEX(M48:$AJ58,MATCH(MIN($AK48:$AK58),$AK48:$AK58,0),1)/INDEX($C48:$AJ58,MATCH(MIN($AK48:$AK58),$AK48:$AK58,0),MATCH(IF('Data-solution'!$A$3="Maximize",MAX($C59:$AI59),MIN($C59:$AI59)),$C59:$AI59,0))),M48)</f>
        <v>0</v>
      </c>
      <c r="N63" s="1">
        <f>IF(OR($B63&lt;&gt;$B48,$B64&lt;&gt;$B49,$B65&lt;&gt;$B50,$B66&lt;&gt;$B51,$B67&lt;&gt;$B52,$B68&lt;&gt;$B53,$B69&lt;&gt;$B54,$B70&lt;&gt;$B55,$B71&lt;&gt;$B56,$B72&lt;&gt;$B57,$B73&lt;&gt;$B58),IF($B63&lt;&gt;$B48,N48/INDEX($C48:$AJ58,1,MATCH(IF('Data-solution'!$A$3="Maximize",MAX($C59:$AI59),MIN($C59:$AI59)),$C59:$AI59,0)),N48-INDEX($C48:$AJ58,1,MATCH(IF('Data-solution'!$A$3="Maximize",MAX($C59:$AI59),MIN($C59:$AI59)),$C59:$AI59,0))*INDEX(N48:$AJ58,MATCH(MIN($AK48:$AK58),$AK48:$AK58,0),1)/INDEX($C48:$AJ58,MATCH(MIN($AK48:$AK58),$AK48:$AK58,0),MATCH(IF('Data-solution'!$A$3="Maximize",MAX($C59:$AI59),MIN($C59:$AI59)),$C59:$AI59,0))),N48)</f>
        <v>1</v>
      </c>
      <c r="O63" s="1">
        <f>IF(OR($B63&lt;&gt;$B48,$B64&lt;&gt;$B49,$B65&lt;&gt;$B50,$B66&lt;&gt;$B51,$B67&lt;&gt;$B52,$B68&lt;&gt;$B53,$B69&lt;&gt;$B54,$B70&lt;&gt;$B55,$B71&lt;&gt;$B56,$B72&lt;&gt;$B57,$B73&lt;&gt;$B58),IF($B63&lt;&gt;$B48,O48/INDEX($C48:$AJ58,1,MATCH(IF('Data-solution'!$A$3="Maximize",MAX($C59:$AI59),MIN($C59:$AI59)),$C59:$AI59,0)),O48-INDEX($C48:$AJ58,1,MATCH(IF('Data-solution'!$A$3="Maximize",MAX($C59:$AI59),MIN($C59:$AI59)),$C59:$AI59,0))*INDEX(O48:$AJ58,MATCH(MIN($AK48:$AK58),$AK48:$AK58,0),1)/INDEX($C48:$AJ58,MATCH(MIN($AK48:$AK58),$AK48:$AK58,0),MATCH(IF('Data-solution'!$A$3="Maximize",MAX($C59:$AI59),MIN($C59:$AI59)),$C59:$AI59,0))),O48)</f>
        <v>0</v>
      </c>
      <c r="P63" s="1">
        <f>IF(OR($B63&lt;&gt;$B48,$B64&lt;&gt;$B49,$B65&lt;&gt;$B50,$B66&lt;&gt;$B51,$B67&lt;&gt;$B52,$B68&lt;&gt;$B53,$B69&lt;&gt;$B54,$B70&lt;&gt;$B55,$B71&lt;&gt;$B56,$B72&lt;&gt;$B57,$B73&lt;&gt;$B58),IF($B63&lt;&gt;$B48,P48/INDEX($C48:$AJ58,1,MATCH(IF('Data-solution'!$A$3="Maximize",MAX($C59:$AI59),MIN($C59:$AI59)),$C59:$AI59,0)),P48-INDEX($C48:$AJ58,1,MATCH(IF('Data-solution'!$A$3="Maximize",MAX($C59:$AI59),MIN($C59:$AI59)),$C59:$AI59,0))*INDEX(P48:$AJ58,MATCH(MIN($AK48:$AK58),$AK48:$AK58,0),1)/INDEX($C48:$AJ58,MATCH(MIN($AK48:$AK58),$AK48:$AK58,0),MATCH(IF('Data-solution'!$A$3="Maximize",MAX($C59:$AI59),MIN($C59:$AI59)),$C59:$AI59,0))),P48)</f>
        <v>0</v>
      </c>
      <c r="Q63" s="1">
        <f>IF(OR($B63&lt;&gt;$B48,$B64&lt;&gt;$B49,$B65&lt;&gt;$B50,$B66&lt;&gt;$B51,$B67&lt;&gt;$B52,$B68&lt;&gt;$B53,$B69&lt;&gt;$B54,$B70&lt;&gt;$B55,$B71&lt;&gt;$B56,$B72&lt;&gt;$B57,$B73&lt;&gt;$B58),IF($B63&lt;&gt;$B48,Q48/INDEX($C48:$AJ58,1,MATCH(IF('Data-solution'!$A$3="Maximize",MAX($C59:$AI59),MIN($C59:$AI59)),$C59:$AI59,0)),Q48-INDEX($C48:$AJ58,1,MATCH(IF('Data-solution'!$A$3="Maximize",MAX($C59:$AI59),MIN($C59:$AI59)),$C59:$AI59,0))*INDEX(Q48:$AJ58,MATCH(MIN($AK48:$AK58),$AK48:$AK58,0),1)/INDEX($C48:$AJ58,MATCH(MIN($AK48:$AK58),$AK48:$AK58,0),MATCH(IF('Data-solution'!$A$3="Maximize",MAX($C59:$AI59),MIN($C59:$AI59)),$C59:$AI59,0))),Q48)</f>
        <v>-1</v>
      </c>
      <c r="R63" s="1">
        <f>IF(OR($B63&lt;&gt;$B48,$B64&lt;&gt;$B49,$B65&lt;&gt;$B50,$B66&lt;&gt;$B51,$B67&lt;&gt;$B52,$B68&lt;&gt;$B53,$B69&lt;&gt;$B54,$B70&lt;&gt;$B55,$B71&lt;&gt;$B56,$B72&lt;&gt;$B57,$B73&lt;&gt;$B58),IF($B63&lt;&gt;$B48,R48/INDEX($C48:$AJ58,1,MATCH(IF('Data-solution'!$A$3="Maximize",MAX($C59:$AI59),MIN($C59:$AI59)),$C59:$AI59,0)),R48-INDEX($C48:$AJ58,1,MATCH(IF('Data-solution'!$A$3="Maximize",MAX($C59:$AI59),MIN($C59:$AI59)),$C59:$AI59,0))*INDEX(R48:$AJ58,MATCH(MIN($AK48:$AK58),$AK48:$AK58,0),1)/INDEX($C48:$AJ58,MATCH(MIN($AK48:$AK58),$AK48:$AK58,0),MATCH(IF('Data-solution'!$A$3="Maximize",MAX($C59:$AI59),MIN($C59:$AI59)),$C59:$AI59,0))),R48)</f>
        <v>0</v>
      </c>
      <c r="S63" s="1">
        <f>IF(OR($B63&lt;&gt;$B48,$B64&lt;&gt;$B49,$B65&lt;&gt;$B50,$B66&lt;&gt;$B51,$B67&lt;&gt;$B52,$B68&lt;&gt;$B53,$B69&lt;&gt;$B54,$B70&lt;&gt;$B55,$B71&lt;&gt;$B56,$B72&lt;&gt;$B57,$B73&lt;&gt;$B58),IF($B63&lt;&gt;$B48,S48/INDEX($C48:$AJ58,1,MATCH(IF('Data-solution'!$A$3="Maximize",MAX($C59:$AI59),MIN($C59:$AI59)),$C59:$AI59,0)),S48-INDEX($C48:$AJ58,1,MATCH(IF('Data-solution'!$A$3="Maximize",MAX($C59:$AI59),MIN($C59:$AI59)),$C59:$AI59,0))*INDEX(S48:$AJ58,MATCH(MIN($AK48:$AK58),$AK48:$AK58,0),1)/INDEX($C48:$AJ58,MATCH(MIN($AK48:$AK58),$AK48:$AK58,0),MATCH(IF('Data-solution'!$A$3="Maximize",MAX($C59:$AI59),MIN($C59:$AI59)),$C59:$AI59,0))),S48)</f>
        <v>0</v>
      </c>
      <c r="T63" s="1">
        <f>IF(OR($B63&lt;&gt;$B48,$B64&lt;&gt;$B49,$B65&lt;&gt;$B50,$B66&lt;&gt;$B51,$B67&lt;&gt;$B52,$B68&lt;&gt;$B53,$B69&lt;&gt;$B54,$B70&lt;&gt;$B55,$B71&lt;&gt;$B56,$B72&lt;&gt;$B57,$B73&lt;&gt;$B58),IF($B63&lt;&gt;$B48,T48/INDEX($C48:$AJ58,1,MATCH(IF('Data-solution'!$A$3="Maximize",MAX($C59:$AI59),MIN($C59:$AI59)),$C59:$AI59,0)),T48-INDEX($C48:$AJ58,1,MATCH(IF('Data-solution'!$A$3="Maximize",MAX($C59:$AI59),MIN($C59:$AI59)),$C59:$AI59,0))*INDEX(T48:$AJ58,MATCH(MIN($AK48:$AK58),$AK48:$AK58,0),1)/INDEX($C48:$AJ58,MATCH(MIN($AK48:$AK58),$AK48:$AK58,0),MATCH(IF('Data-solution'!$A$3="Maximize",MAX($C59:$AI59),MIN($C59:$AI59)),$C59:$AI59,0))),T48)</f>
        <v>0</v>
      </c>
      <c r="U63" s="1">
        <f>IF(OR($B63&lt;&gt;$B48,$B64&lt;&gt;$B49,$B65&lt;&gt;$B50,$B66&lt;&gt;$B51,$B67&lt;&gt;$B52,$B68&lt;&gt;$B53,$B69&lt;&gt;$B54,$B70&lt;&gt;$B55,$B71&lt;&gt;$B56,$B72&lt;&gt;$B57,$B73&lt;&gt;$B58),IF($B63&lt;&gt;$B48,U48/INDEX($C48:$AJ58,1,MATCH(IF('Data-solution'!$A$3="Maximize",MAX($C59:$AI59),MIN($C59:$AI59)),$C59:$AI59,0)),U48-INDEX($C48:$AJ58,1,MATCH(IF('Data-solution'!$A$3="Maximize",MAX($C59:$AI59),MIN($C59:$AI59)),$C59:$AI59,0))*INDEX(U48:$AJ58,MATCH(MIN($AK48:$AK58),$AK48:$AK58,0),1)/INDEX($C48:$AJ58,MATCH(MIN($AK48:$AK58),$AK48:$AK58,0),MATCH(IF('Data-solution'!$A$3="Maximize",MAX($C59:$AI59),MIN($C59:$AI59)),$C59:$AI59,0))),U48)</f>
        <v>0</v>
      </c>
      <c r="V63" s="1">
        <f>IF(OR($B63&lt;&gt;$B48,$B64&lt;&gt;$B49,$B65&lt;&gt;$B50,$B66&lt;&gt;$B51,$B67&lt;&gt;$B52,$B68&lt;&gt;$B53,$B69&lt;&gt;$B54,$B70&lt;&gt;$B55,$B71&lt;&gt;$B56,$B72&lt;&gt;$B57,$B73&lt;&gt;$B58),IF($B63&lt;&gt;$B48,V48/INDEX($C48:$AJ58,1,MATCH(IF('Data-solution'!$A$3="Maximize",MAX($C59:$AI59),MIN($C59:$AI59)),$C59:$AI59,0)),V48-INDEX($C48:$AJ58,1,MATCH(IF('Data-solution'!$A$3="Maximize",MAX($C59:$AI59),MIN($C59:$AI59)),$C59:$AI59,0))*INDEX(V48:$AJ58,MATCH(MIN($AK48:$AK58),$AK48:$AK58,0),1)/INDEX($C48:$AJ58,MATCH(MIN($AK48:$AK58),$AK48:$AK58,0),MATCH(IF('Data-solution'!$A$3="Maximize",MAX($C59:$AI59),MIN($C59:$AI59)),$C59:$AI59,0))),V48)</f>
        <v>0</v>
      </c>
      <c r="W63" s="1">
        <f>IF(OR($B63&lt;&gt;$B48,$B64&lt;&gt;$B49,$B65&lt;&gt;$B50,$B66&lt;&gt;$B51,$B67&lt;&gt;$B52,$B68&lt;&gt;$B53,$B69&lt;&gt;$B54,$B70&lt;&gt;$B55,$B71&lt;&gt;$B56,$B72&lt;&gt;$B57,$B73&lt;&gt;$B58),IF($B63&lt;&gt;$B48,W48/INDEX($C48:$AJ58,1,MATCH(IF('Data-solution'!$A$3="Maximize",MAX($C59:$AI59),MIN($C59:$AI59)),$C59:$AI59,0)),W48-INDEX($C48:$AJ58,1,MATCH(IF('Data-solution'!$A$3="Maximize",MAX($C59:$AI59),MIN($C59:$AI59)),$C59:$AI59,0))*INDEX(W48:$AJ58,MATCH(MIN($AK48:$AK58),$AK48:$AK58,0),1)/INDEX($C48:$AJ58,MATCH(MIN($AK48:$AK58),$AK48:$AK58,0),MATCH(IF('Data-solution'!$A$3="Maximize",MAX($C59:$AI59),MIN($C59:$AI59)),$C59:$AI59,0))),W48)</f>
        <v>0</v>
      </c>
      <c r="X63" s="1">
        <f>IF(OR($B63&lt;&gt;$B48,$B64&lt;&gt;$B49,$B65&lt;&gt;$B50,$B66&lt;&gt;$B51,$B67&lt;&gt;$B52,$B68&lt;&gt;$B53,$B69&lt;&gt;$B54,$B70&lt;&gt;$B55,$B71&lt;&gt;$B56,$B72&lt;&gt;$B57,$B73&lt;&gt;$B58),IF($B63&lt;&gt;$B48,X48/INDEX($C48:$AJ58,1,MATCH(IF('Data-solution'!$A$3="Maximize",MAX($C59:$AI59),MIN($C59:$AI59)),$C59:$AI59,0)),X48-INDEX($C48:$AJ58,1,MATCH(IF('Data-solution'!$A$3="Maximize",MAX($C59:$AI59),MIN($C59:$AI59)),$C59:$AI59,0))*INDEX(X48:$AJ58,MATCH(MIN($AK48:$AK58),$AK48:$AK58,0),1)/INDEX($C48:$AJ58,MATCH(MIN($AK48:$AK58),$AK48:$AK58,0),MATCH(IF('Data-solution'!$A$3="Maximize",MAX($C59:$AI59),MIN($C59:$AI59)),$C59:$AI59,0))),X48)</f>
        <v>0</v>
      </c>
      <c r="Y63" s="1">
        <f>IF(OR($B63&lt;&gt;$B48,$B64&lt;&gt;$B49,$B65&lt;&gt;$B50,$B66&lt;&gt;$B51,$B67&lt;&gt;$B52,$B68&lt;&gt;$B53,$B69&lt;&gt;$B54,$B70&lt;&gt;$B55,$B71&lt;&gt;$B56,$B72&lt;&gt;$B57,$B73&lt;&gt;$B58),IF($B63&lt;&gt;$B48,Y48/INDEX($C48:$AJ58,1,MATCH(IF('Data-solution'!$A$3="Maximize",MAX($C59:$AI59),MIN($C59:$AI59)),$C59:$AI59,0)),Y48-INDEX($C48:$AJ58,1,MATCH(IF('Data-solution'!$A$3="Maximize",MAX($C59:$AI59),MIN($C59:$AI59)),$C59:$AI59,0))*INDEX(Y48:$AJ58,MATCH(MIN($AK48:$AK58),$AK48:$AK58,0),1)/INDEX($C48:$AJ58,MATCH(MIN($AK48:$AK58),$AK48:$AK58,0),MATCH(IF('Data-solution'!$A$3="Maximize",MAX($C59:$AI59),MIN($C59:$AI59)),$C59:$AI59,0))),Y48)</f>
        <v>1</v>
      </c>
      <c r="Z63" s="1">
        <f>IF(OR($B63&lt;&gt;$B48,$B64&lt;&gt;$B49,$B65&lt;&gt;$B50,$B66&lt;&gt;$B51,$B67&lt;&gt;$B52,$B68&lt;&gt;$B53,$B69&lt;&gt;$B54,$B70&lt;&gt;$B55,$B71&lt;&gt;$B56,$B72&lt;&gt;$B57,$B73&lt;&gt;$B58),IF($B63&lt;&gt;$B48,Z48/INDEX($C48:$AJ58,1,MATCH(IF('Data-solution'!$A$3="Maximize",MAX($C59:$AI59),MIN($C59:$AI59)),$C59:$AI59,0)),Z48-INDEX($C48:$AJ58,1,MATCH(IF('Data-solution'!$A$3="Maximize",MAX($C59:$AI59),MIN($C59:$AI59)),$C59:$AI59,0))*INDEX(Z48:$AJ58,MATCH(MIN($AK48:$AK58),$AK48:$AK58,0),1)/INDEX($C48:$AJ58,MATCH(MIN($AK48:$AK58),$AK48:$AK58,0),MATCH(IF('Data-solution'!$A$3="Maximize",MAX($C59:$AI59),MIN($C59:$AI59)),$C59:$AI59,0))),Z48)</f>
        <v>0</v>
      </c>
      <c r="AA63" s="1">
        <f>IF(OR($B63&lt;&gt;$B48,$B64&lt;&gt;$B49,$B65&lt;&gt;$B50,$B66&lt;&gt;$B51,$B67&lt;&gt;$B52,$B68&lt;&gt;$B53,$B69&lt;&gt;$B54,$B70&lt;&gt;$B55,$B71&lt;&gt;$B56,$B72&lt;&gt;$B57,$B73&lt;&gt;$B58),IF($B63&lt;&gt;$B48,AA48/INDEX($C48:$AJ58,1,MATCH(IF('Data-solution'!$A$3="Maximize",MAX($C59:$AI59),MIN($C59:$AI59)),$C59:$AI59,0)),AA48-INDEX($C48:$AJ58,1,MATCH(IF('Data-solution'!$A$3="Maximize",MAX($C59:$AI59),MIN($C59:$AI59)),$C59:$AI59,0))*INDEX(AA48:$AJ58,MATCH(MIN($AK48:$AK58),$AK48:$AK58,0),1)/INDEX($C48:$AJ58,MATCH(MIN($AK48:$AK58),$AK48:$AK58,0),MATCH(IF('Data-solution'!$A$3="Maximize",MAX($C59:$AI59),MIN($C59:$AI59)),$C59:$AI59,0))),AA48)</f>
        <v>0</v>
      </c>
      <c r="AB63" s="1">
        <f>IF(OR($B63&lt;&gt;$B48,$B64&lt;&gt;$B49,$B65&lt;&gt;$B50,$B66&lt;&gt;$B51,$B67&lt;&gt;$B52,$B68&lt;&gt;$B53,$B69&lt;&gt;$B54,$B70&lt;&gt;$B55,$B71&lt;&gt;$B56,$B72&lt;&gt;$B57,$B73&lt;&gt;$B58),IF($B63&lt;&gt;$B48,AB48/INDEX($C48:$AJ58,1,MATCH(IF('Data-solution'!$A$3="Maximize",MAX($C59:$AI59),MIN($C59:$AI59)),$C59:$AI59,0)),AB48-INDEX($C48:$AJ58,1,MATCH(IF('Data-solution'!$A$3="Maximize",MAX($C59:$AI59),MIN($C59:$AI59)),$C59:$AI59,0))*INDEX(AB48:$AJ58,MATCH(MIN($AK48:$AK58),$AK48:$AK58,0),1)/INDEX($C48:$AJ58,MATCH(MIN($AK48:$AK58),$AK48:$AK58,0),MATCH(IF('Data-solution'!$A$3="Maximize",MAX($C59:$AI59),MIN($C59:$AI59)),$C59:$AI59,0))),AB48)</f>
        <v>-1</v>
      </c>
      <c r="AC63" s="1">
        <f>IF(OR($B63&lt;&gt;$B48,$B64&lt;&gt;$B49,$B65&lt;&gt;$B50,$B66&lt;&gt;$B51,$B67&lt;&gt;$B52,$B68&lt;&gt;$B53,$B69&lt;&gt;$B54,$B70&lt;&gt;$B55,$B71&lt;&gt;$B56,$B72&lt;&gt;$B57,$B73&lt;&gt;$B58),IF($B63&lt;&gt;$B48,AC48/INDEX($C48:$AJ58,1,MATCH(IF('Data-solution'!$A$3="Maximize",MAX($C59:$AI59),MIN($C59:$AI59)),$C59:$AI59,0)),AC48-INDEX($C48:$AJ58,1,MATCH(IF('Data-solution'!$A$3="Maximize",MAX($C59:$AI59),MIN($C59:$AI59)),$C59:$AI59,0))*INDEX(AC48:$AJ58,MATCH(MIN($AK48:$AK58),$AK48:$AK58,0),1)/INDEX($C48:$AJ58,MATCH(MIN($AK48:$AK58),$AK48:$AK58,0),MATCH(IF('Data-solution'!$A$3="Maximize",MAX($C59:$AI59),MIN($C59:$AI59)),$C59:$AI59,0))),AC48)</f>
        <v>0</v>
      </c>
      <c r="AD63" s="1">
        <f>IF(OR($B63&lt;&gt;$B48,$B64&lt;&gt;$B49,$B65&lt;&gt;$B50,$B66&lt;&gt;$B51,$B67&lt;&gt;$B52,$B68&lt;&gt;$B53,$B69&lt;&gt;$B54,$B70&lt;&gt;$B55,$B71&lt;&gt;$B56,$B72&lt;&gt;$B57,$B73&lt;&gt;$B58),IF($B63&lt;&gt;$B48,AD48/INDEX($C48:$AJ58,1,MATCH(IF('Data-solution'!$A$3="Maximize",MAX($C59:$AI59),MIN($C59:$AI59)),$C59:$AI59,0)),AD48-INDEX($C48:$AJ58,1,MATCH(IF('Data-solution'!$A$3="Maximize",MAX($C59:$AI59),MIN($C59:$AI59)),$C59:$AI59,0))*INDEX(AD48:$AJ58,MATCH(MIN($AK48:$AK58),$AK48:$AK58,0),1)/INDEX($C48:$AJ58,MATCH(MIN($AK48:$AK58),$AK48:$AK58,0),MATCH(IF('Data-solution'!$A$3="Maximize",MAX($C59:$AI59),MIN($C59:$AI59)),$C59:$AI59,0))),AD48)</f>
        <v>0</v>
      </c>
      <c r="AE63" s="1">
        <f>IF(OR($B63&lt;&gt;$B48,$B64&lt;&gt;$B49,$B65&lt;&gt;$B50,$B66&lt;&gt;$B51,$B67&lt;&gt;$B52,$B68&lt;&gt;$B53,$B69&lt;&gt;$B54,$B70&lt;&gt;$B55,$B71&lt;&gt;$B56,$B72&lt;&gt;$B57,$B73&lt;&gt;$B58),IF($B63&lt;&gt;$B48,AE48/INDEX($C48:$AJ58,1,MATCH(IF('Data-solution'!$A$3="Maximize",MAX($C59:$AI59),MIN($C59:$AI59)),$C59:$AI59,0)),AE48-INDEX($C48:$AJ58,1,MATCH(IF('Data-solution'!$A$3="Maximize",MAX($C59:$AI59),MIN($C59:$AI59)),$C59:$AI59,0))*INDEX(AE48:$AJ58,MATCH(MIN($AK48:$AK58),$AK48:$AK58,0),1)/INDEX($C48:$AJ58,MATCH(MIN($AK48:$AK58),$AK48:$AK58,0),MATCH(IF('Data-solution'!$A$3="Maximize",MAX($C59:$AI59),MIN($C59:$AI59)),$C59:$AI59,0))),AE48)</f>
        <v>0</v>
      </c>
      <c r="AF63" s="1">
        <f>IF(OR($B63&lt;&gt;$B48,$B64&lt;&gt;$B49,$B65&lt;&gt;$B50,$B66&lt;&gt;$B51,$B67&lt;&gt;$B52,$B68&lt;&gt;$B53,$B69&lt;&gt;$B54,$B70&lt;&gt;$B55,$B71&lt;&gt;$B56,$B72&lt;&gt;$B57,$B73&lt;&gt;$B58),IF($B63&lt;&gt;$B48,AF48/INDEX($C48:$AJ58,1,MATCH(IF('Data-solution'!$A$3="Maximize",MAX($C59:$AI59),MIN($C59:$AI59)),$C59:$AI59,0)),AF48-INDEX($C48:$AJ58,1,MATCH(IF('Data-solution'!$A$3="Maximize",MAX($C59:$AI59),MIN($C59:$AI59)),$C59:$AI59,0))*INDEX(AF48:$AJ58,MATCH(MIN($AK48:$AK58),$AK48:$AK58,0),1)/INDEX($C48:$AJ58,MATCH(MIN($AK48:$AK58),$AK48:$AK58,0),MATCH(IF('Data-solution'!$A$3="Maximize",MAX($C59:$AI59),MIN($C59:$AI59)),$C59:$AI59,0))),AF48)</f>
        <v>0</v>
      </c>
      <c r="AG63" s="1">
        <f>IF(OR($B63&lt;&gt;$B48,$B64&lt;&gt;$B49,$B65&lt;&gt;$B50,$B66&lt;&gt;$B51,$B67&lt;&gt;$B52,$B68&lt;&gt;$B53,$B69&lt;&gt;$B54,$B70&lt;&gt;$B55,$B71&lt;&gt;$B56,$B72&lt;&gt;$B57,$B73&lt;&gt;$B58),IF($B63&lt;&gt;$B48,AG48/INDEX($C48:$AJ58,1,MATCH(IF('Data-solution'!$A$3="Maximize",MAX($C59:$AI59),MIN($C59:$AI59)),$C59:$AI59,0)),AG48-INDEX($C48:$AJ58,1,MATCH(IF('Data-solution'!$A$3="Maximize",MAX($C59:$AI59),MIN($C59:$AI59)),$C59:$AI59,0))*INDEX(AG48:$AJ58,MATCH(MIN($AK48:$AK58),$AK48:$AK58,0),1)/INDEX($C48:$AJ58,MATCH(MIN($AK48:$AK58),$AK48:$AK58,0),MATCH(IF('Data-solution'!$A$3="Maximize",MAX($C59:$AI59),MIN($C59:$AI59)),$C59:$AI59,0))),AG48)</f>
        <v>0</v>
      </c>
      <c r="AH63" s="1">
        <f>IF(OR($B63&lt;&gt;$B48,$B64&lt;&gt;$B49,$B65&lt;&gt;$B50,$B66&lt;&gt;$B51,$B67&lt;&gt;$B52,$B68&lt;&gt;$B53,$B69&lt;&gt;$B54,$B70&lt;&gt;$B55,$B71&lt;&gt;$B56,$B72&lt;&gt;$B57,$B73&lt;&gt;$B58),IF($B63&lt;&gt;$B48,AH48/INDEX($C48:$AJ58,1,MATCH(IF('Data-solution'!$A$3="Maximize",MAX($C59:$AI59),MIN($C59:$AI59)),$C59:$AI59,0)),AH48-INDEX($C48:$AJ58,1,MATCH(IF('Data-solution'!$A$3="Maximize",MAX($C59:$AI59),MIN($C59:$AI59)),$C59:$AI59,0))*INDEX(AH48:$AJ58,MATCH(MIN($AK48:$AK58),$AK48:$AK58,0),1)/INDEX($C48:$AJ58,MATCH(MIN($AK48:$AK58),$AK48:$AK58,0),MATCH(IF('Data-solution'!$A$3="Maximize",MAX($C59:$AI59),MIN($C59:$AI59)),$C59:$AI59,0))),AH48)</f>
        <v>0</v>
      </c>
      <c r="AI63" s="1">
        <f>IF(OR($B63&lt;&gt;$B48,$B64&lt;&gt;$B49,$B65&lt;&gt;$B50,$B66&lt;&gt;$B51,$B67&lt;&gt;$B52,$B68&lt;&gt;$B53,$B69&lt;&gt;$B54,$B70&lt;&gt;$B55,$B71&lt;&gt;$B56,$B72&lt;&gt;$B57,$B73&lt;&gt;$B58),IF($B63&lt;&gt;$B48,AI48/INDEX($C48:$AJ58,1,MATCH(IF('Data-solution'!$A$3="Maximize",MAX($C59:$AI59),MIN($C59:$AI59)),$C59:$AI59,0)),AI48-INDEX($C48:$AJ58,1,MATCH(IF('Data-solution'!$A$3="Maximize",MAX($C59:$AI59),MIN($C59:$AI59)),$C59:$AI59,0))*INDEX(AI48:$AJ58,MATCH(MIN($AK48:$AK58),$AK48:$AK58,0),1)/INDEX($C48:$AJ58,MATCH(MIN($AK48:$AK58),$AK48:$AK58,0),MATCH(IF('Data-solution'!$A$3="Maximize",MAX($C59:$AI59),MIN($C59:$AI59)),$C59:$AI59,0))),AI48)</f>
        <v>0</v>
      </c>
      <c r="AJ63" s="1">
        <f>IF(OR($B63&lt;&gt;$B48,$B64&lt;&gt;$B49,$B65&lt;&gt;$B50,$B66&lt;&gt;$B51,$B67&lt;&gt;$B52,$B68&lt;&gt;$B53,$B69&lt;&gt;$B54,$B70&lt;&gt;$B55,$B71&lt;&gt;$B56,$B72&lt;&gt;$B57,$B73&lt;&gt;$B58),IF($B63&lt;&gt;$B48,AJ48/INDEX($C48:$AJ58,1,MATCH(IF('Data-solution'!$A$3="Maximize",MAX($C59:$AI59),MIN($C59:$AI59)),$C59:$AI59,0)),AJ48-INDEX($C48:$AJ58,1,MATCH(IF('Data-solution'!$A$3="Maximize",MAX($C59:$AI59),MIN($C59:$AI59)),$C59:$AI59,0))*INDEX(AJ48:$AJ58,MATCH(MIN($AK48:$AK58),$AK48:$AK58,0),1)/INDEX($C48:$AJ58,MATCH(MIN($AK48:$AK58),$AK48:$AK58,0),MATCH(IF('Data-solution'!$A$3="Maximize",MAX($C59:$AI59),MIN($C59:$AI59)),$C59:$AI59,0))),AJ48)</f>
        <v>150</v>
      </c>
      <c r="AK63" s="1" t="str">
        <f>IF(INDEX(C63:X63,1,MATCH(IF('Data-solution'!A$3="Maximize",MAX(C74:X74),MIN(C74:X74)),C74:X74,0))&gt;0,AJ63/INDEX(C63:X63,1,MATCH(IF('Data-solution'!A$3="Maximize",MAX(C74:X74),MIN(C74:X74)),C74:X74,0))," ")</f>
        <v xml:space="preserve"> </v>
      </c>
    </row>
    <row r="64" spans="1:37" ht="18" customHeight="1" x14ac:dyDescent="0.2">
      <c r="A64" s="1">
        <f t="shared" ref="A64" si="37">INDEX(C61:AI61,1,MATCH(B64,C62:AI62,0))</f>
        <v>0</v>
      </c>
      <c r="B64" s="2" t="str">
        <f>IF(AND('Data-solution'!A$3="Maximize",COUNTIF(C59:X59,"&gt;"&amp;0)&gt;0,AK49=MIN(AK48:AK58),COUNTIF(B63,INDEX(C47:X47,1,MATCH(MAX(C59:X59),C59:X59,0)))=0),INDEX(C47:X47,1,MATCH(MAX(C59:X59),C59:X59,0)),IF(AND('Data-solution'!A$3="Minimize",COUNTIF(C59:X59,"&lt;"&amp;0)&gt;0,AK49=MIN(AK48:AK58),COUNTIF(B63,INDEX(C47:X47,1,MATCH(MIN(C59:X59),C59:X59,0)))=0),INDEX(C47:X47,1,MATCH(MIN(C59:X59),C59:X59,0)),B49))</f>
        <v>S2</v>
      </c>
      <c r="C64" s="1">
        <f>IF(OR($B63&lt;&gt;$B48,$B64&lt;&gt;$B49,$B65&lt;&gt;$B50,$B66&lt;&gt;$B51,$B67&lt;&gt;$B52,$B68&lt;&gt;$B53,$B69&lt;&gt;$B54,$B70&lt;&gt;$B55,$B71&lt;&gt;$B56,$B72&lt;&gt;$B57,$B73&lt;&gt;$B58),IF($B64&lt;&gt;$B49,C49/INDEX($C48:$AJ58,2,MATCH(IF('Data-solution'!$A$3="Maximize",MAX($C59:$AI59),MIN($C59:$AI59)),$C59:$AI59,0)),C49-INDEX($C48:$AJ58,2,MATCH(IF('Data-solution'!$A$3="Maximize",MAX($C59:$AI59),MIN($C59:$AI59)),$C59:$AI59,0))*INDEX(C48:$AJ58,MATCH(MIN($AK48:$AK58),$AK48:$AK58,0),1)/INDEX($C48:$AJ58,MATCH(MIN($AK48:$AK58),$AK48:$AK58,0),MATCH(IF('Data-solution'!$A$3="Maximize",MAX($C59:$AI59),MIN($C59:$AI59)),$C59:$AI59,0))),C49)</f>
        <v>0</v>
      </c>
      <c r="D64" s="1">
        <f>IF(OR($B63&lt;&gt;$B48,$B64&lt;&gt;$B49,$B65&lt;&gt;$B50,$B66&lt;&gt;$B51,$B67&lt;&gt;$B52,$B68&lt;&gt;$B53,$B69&lt;&gt;$B54,$B70&lt;&gt;$B55,$B71&lt;&gt;$B56,$B72&lt;&gt;$B57,$B73&lt;&gt;$B58),IF($B64&lt;&gt;$B49,D49/INDEX($C48:$AJ58,2,MATCH(IF('Data-solution'!$A$3="Maximize",MAX($C59:$AI59),MIN($C59:$AI59)),$C59:$AI59,0)),D49-INDEX($C48:$AJ58,2,MATCH(IF('Data-solution'!$A$3="Maximize",MAX($C59:$AI59),MIN($C59:$AI59)),$C59:$AI59,0))*INDEX(D48:$AJ58,MATCH(MIN($AK48:$AK58),$AK48:$AK58,0),1)/INDEX($C48:$AJ58,MATCH(MIN($AK48:$AK58),$AK48:$AK58,0),MATCH(IF('Data-solution'!$A$3="Maximize",MAX($C59:$AI59),MIN($C59:$AI59)),$C59:$AI59,0))),D49)</f>
        <v>1.75</v>
      </c>
      <c r="E64" s="1">
        <f>IF(OR($B63&lt;&gt;$B48,$B64&lt;&gt;$B49,$B65&lt;&gt;$B50,$B66&lt;&gt;$B51,$B67&lt;&gt;$B52,$B68&lt;&gt;$B53,$B69&lt;&gt;$B54,$B70&lt;&gt;$B55,$B71&lt;&gt;$B56,$B72&lt;&gt;$B57,$B73&lt;&gt;$B58),IF($B64&lt;&gt;$B49,E49/INDEX($C48:$AJ58,2,MATCH(IF('Data-solution'!$A$3="Maximize",MAX($C59:$AI59),MIN($C59:$AI59)),$C59:$AI59,0)),E49-INDEX($C48:$AJ58,2,MATCH(IF('Data-solution'!$A$3="Maximize",MAX($C59:$AI59),MIN($C59:$AI59)),$C59:$AI59,0))*INDEX(E48:$AJ58,MATCH(MIN($AK48:$AK58),$AK48:$AK58,0),1)/INDEX($C48:$AJ58,MATCH(MIN($AK48:$AK58),$AK48:$AK58,0),MATCH(IF('Data-solution'!$A$3="Maximize",MAX($C59:$AI59),MIN($C59:$AI59)),$C59:$AI59,0))),E49)</f>
        <v>0</v>
      </c>
      <c r="F64" s="1">
        <f>IF(OR($B63&lt;&gt;$B48,$B64&lt;&gt;$B49,$B65&lt;&gt;$B50,$B66&lt;&gt;$B51,$B67&lt;&gt;$B52,$B68&lt;&gt;$B53,$B69&lt;&gt;$B54,$B70&lt;&gt;$B55,$B71&lt;&gt;$B56,$B72&lt;&gt;$B57,$B73&lt;&gt;$B58),IF($B64&lt;&gt;$B49,F49/INDEX($C48:$AJ58,2,MATCH(IF('Data-solution'!$A$3="Maximize",MAX($C59:$AI59),MIN($C59:$AI59)),$C59:$AI59,0)),F49-INDEX($C48:$AJ58,2,MATCH(IF('Data-solution'!$A$3="Maximize",MAX($C59:$AI59),MIN($C59:$AI59)),$C59:$AI59,0))*INDEX(F48:$AJ58,MATCH(MIN($AK48:$AK58),$AK48:$AK58,0),1)/INDEX($C48:$AJ58,MATCH(MIN($AK48:$AK58),$AK48:$AK58,0),MATCH(IF('Data-solution'!$A$3="Maximize",MAX($C59:$AI59),MIN($C59:$AI59)),$C59:$AI59,0))),F49)</f>
        <v>0</v>
      </c>
      <c r="G64" s="1">
        <f>IF(OR($B63&lt;&gt;$B48,$B64&lt;&gt;$B49,$B65&lt;&gt;$B50,$B66&lt;&gt;$B51,$B67&lt;&gt;$B52,$B68&lt;&gt;$B53,$B69&lt;&gt;$B54,$B70&lt;&gt;$B55,$B71&lt;&gt;$B56,$B72&lt;&gt;$B57,$B73&lt;&gt;$B58),IF($B64&lt;&gt;$B49,G49/INDEX($C48:$AJ58,2,MATCH(IF('Data-solution'!$A$3="Maximize",MAX($C59:$AI59),MIN($C59:$AI59)),$C59:$AI59,0)),G49-INDEX($C48:$AJ58,2,MATCH(IF('Data-solution'!$A$3="Maximize",MAX($C59:$AI59),MIN($C59:$AI59)),$C59:$AI59,0))*INDEX(G48:$AJ58,MATCH(MIN($AK48:$AK58),$AK48:$AK58,0),1)/INDEX($C48:$AJ58,MATCH(MIN($AK48:$AK58),$AK48:$AK58,0),MATCH(IF('Data-solution'!$A$3="Maximize",MAX($C59:$AI59),MIN($C59:$AI59)),$C59:$AI59,0))),G49)</f>
        <v>0</v>
      </c>
      <c r="H64" s="1">
        <f>IF(OR($B63&lt;&gt;$B48,$B64&lt;&gt;$B49,$B65&lt;&gt;$B50,$B66&lt;&gt;$B51,$B67&lt;&gt;$B52,$B68&lt;&gt;$B53,$B69&lt;&gt;$B54,$B70&lt;&gt;$B55,$B71&lt;&gt;$B56,$B72&lt;&gt;$B57,$B73&lt;&gt;$B58),IF($B64&lt;&gt;$B49,H49/INDEX($C48:$AJ58,2,MATCH(IF('Data-solution'!$A$3="Maximize",MAX($C59:$AI59),MIN($C59:$AI59)),$C59:$AI59,0)),H49-INDEX($C48:$AJ58,2,MATCH(IF('Data-solution'!$A$3="Maximize",MAX($C59:$AI59),MIN($C59:$AI59)),$C59:$AI59,0))*INDEX(H48:$AJ58,MATCH(MIN($AK48:$AK58),$AK48:$AK58,0),1)/INDEX($C48:$AJ58,MATCH(MIN($AK48:$AK58),$AK48:$AK58,0),MATCH(IF('Data-solution'!$A$3="Maximize",MAX($C59:$AI59),MIN($C59:$AI59)),$C59:$AI59,0))),H49)</f>
        <v>0</v>
      </c>
      <c r="I64" s="1">
        <f>IF(OR($B63&lt;&gt;$B48,$B64&lt;&gt;$B49,$B65&lt;&gt;$B50,$B66&lt;&gt;$B51,$B67&lt;&gt;$B52,$B68&lt;&gt;$B53,$B69&lt;&gt;$B54,$B70&lt;&gt;$B55,$B71&lt;&gt;$B56,$B72&lt;&gt;$B57,$B73&lt;&gt;$B58),IF($B64&lt;&gt;$B49,I49/INDEX($C48:$AJ58,2,MATCH(IF('Data-solution'!$A$3="Maximize",MAX($C59:$AI59),MIN($C59:$AI59)),$C59:$AI59,0)),I49-INDEX($C48:$AJ58,2,MATCH(IF('Data-solution'!$A$3="Maximize",MAX($C59:$AI59),MIN($C59:$AI59)),$C59:$AI59,0))*INDEX(I48:$AJ58,MATCH(MIN($AK48:$AK58),$AK48:$AK58,0),1)/INDEX($C48:$AJ58,MATCH(MIN($AK48:$AK58),$AK48:$AK58,0),MATCH(IF('Data-solution'!$A$3="Maximize",MAX($C59:$AI59),MIN($C59:$AI59)),$C59:$AI59,0))),I49)</f>
        <v>0</v>
      </c>
      <c r="J64" s="1">
        <f>IF(OR($B63&lt;&gt;$B48,$B64&lt;&gt;$B49,$B65&lt;&gt;$B50,$B66&lt;&gt;$B51,$B67&lt;&gt;$B52,$B68&lt;&gt;$B53,$B69&lt;&gt;$B54,$B70&lt;&gt;$B55,$B71&lt;&gt;$B56,$B72&lt;&gt;$B57,$B73&lt;&gt;$B58),IF($B64&lt;&gt;$B49,J49/INDEX($C48:$AJ58,2,MATCH(IF('Data-solution'!$A$3="Maximize",MAX($C59:$AI59),MIN($C59:$AI59)),$C59:$AI59,0)),J49-INDEX($C48:$AJ58,2,MATCH(IF('Data-solution'!$A$3="Maximize",MAX($C59:$AI59),MIN($C59:$AI59)),$C59:$AI59,0))*INDEX(J48:$AJ58,MATCH(MIN($AK48:$AK58),$AK48:$AK58,0),1)/INDEX($C48:$AJ58,MATCH(MIN($AK48:$AK58),$AK48:$AK58,0),MATCH(IF('Data-solution'!$A$3="Maximize",MAX($C59:$AI59),MIN($C59:$AI59)),$C59:$AI59,0))),J49)</f>
        <v>0</v>
      </c>
      <c r="K64" s="1">
        <f>IF(OR($B63&lt;&gt;$B48,$B64&lt;&gt;$B49,$B65&lt;&gt;$B50,$B66&lt;&gt;$B51,$B67&lt;&gt;$B52,$B68&lt;&gt;$B53,$B69&lt;&gt;$B54,$B70&lt;&gt;$B55,$B71&lt;&gt;$B56,$B72&lt;&gt;$B57,$B73&lt;&gt;$B58),IF($B64&lt;&gt;$B49,K49/INDEX($C48:$AJ58,2,MATCH(IF('Data-solution'!$A$3="Maximize",MAX($C59:$AI59),MIN($C59:$AI59)),$C59:$AI59,0)),K49-INDEX($C48:$AJ58,2,MATCH(IF('Data-solution'!$A$3="Maximize",MAX($C59:$AI59),MIN($C59:$AI59)),$C59:$AI59,0))*INDEX(K48:$AJ58,MATCH(MIN($AK48:$AK58),$AK48:$AK58,0),1)/INDEX($C48:$AJ58,MATCH(MIN($AK48:$AK58),$AK48:$AK58,0),MATCH(IF('Data-solution'!$A$3="Maximize",MAX($C59:$AI59),MIN($C59:$AI59)),$C59:$AI59,0))),K49)</f>
        <v>0</v>
      </c>
      <c r="L64" s="1">
        <f>IF(OR($B63&lt;&gt;$B48,$B64&lt;&gt;$B49,$B65&lt;&gt;$B50,$B66&lt;&gt;$B51,$B67&lt;&gt;$B52,$B68&lt;&gt;$B53,$B69&lt;&gt;$B54,$B70&lt;&gt;$B55,$B71&lt;&gt;$B56,$B72&lt;&gt;$B57,$B73&lt;&gt;$B58),IF($B64&lt;&gt;$B49,L49/INDEX($C48:$AJ58,2,MATCH(IF('Data-solution'!$A$3="Maximize",MAX($C59:$AI59),MIN($C59:$AI59)),$C59:$AI59,0)),L49-INDEX($C48:$AJ58,2,MATCH(IF('Data-solution'!$A$3="Maximize",MAX($C59:$AI59),MIN($C59:$AI59)),$C59:$AI59,0))*INDEX(L48:$AJ58,MATCH(MIN($AK48:$AK58),$AK48:$AK58,0),1)/INDEX($C48:$AJ58,MATCH(MIN($AK48:$AK58),$AK48:$AK58,0),MATCH(IF('Data-solution'!$A$3="Maximize",MAX($C59:$AI59),MIN($C59:$AI59)),$C59:$AI59,0))),L49)</f>
        <v>0</v>
      </c>
      <c r="M64" s="1">
        <f>IF(OR($B63&lt;&gt;$B48,$B64&lt;&gt;$B49,$B65&lt;&gt;$B50,$B66&lt;&gt;$B51,$B67&lt;&gt;$B52,$B68&lt;&gt;$B53,$B69&lt;&gt;$B54,$B70&lt;&gt;$B55,$B71&lt;&gt;$B56,$B72&lt;&gt;$B57,$B73&lt;&gt;$B58),IF($B64&lt;&gt;$B49,M49/INDEX($C48:$AJ58,2,MATCH(IF('Data-solution'!$A$3="Maximize",MAX($C59:$AI59),MIN($C59:$AI59)),$C59:$AI59,0)),M49-INDEX($C48:$AJ58,2,MATCH(IF('Data-solution'!$A$3="Maximize",MAX($C59:$AI59),MIN($C59:$AI59)),$C59:$AI59,0))*INDEX(M48:$AJ58,MATCH(MIN($AK48:$AK58),$AK48:$AK58,0),1)/INDEX($C48:$AJ58,MATCH(MIN($AK48:$AK58),$AK48:$AK58,0),MATCH(IF('Data-solution'!$A$3="Maximize",MAX($C59:$AI59),MIN($C59:$AI59)),$C59:$AI59,0))),M49)</f>
        <v>0</v>
      </c>
      <c r="N64" s="1">
        <f>IF(OR($B63&lt;&gt;$B48,$B64&lt;&gt;$B49,$B65&lt;&gt;$B50,$B66&lt;&gt;$B51,$B67&lt;&gt;$B52,$B68&lt;&gt;$B53,$B69&lt;&gt;$B54,$B70&lt;&gt;$B55,$B71&lt;&gt;$B56,$B72&lt;&gt;$B57,$B73&lt;&gt;$B58),IF($B64&lt;&gt;$B49,N49/INDEX($C48:$AJ58,2,MATCH(IF('Data-solution'!$A$3="Maximize",MAX($C59:$AI59),MIN($C59:$AI59)),$C59:$AI59,0)),N49-INDEX($C48:$AJ58,2,MATCH(IF('Data-solution'!$A$3="Maximize",MAX($C59:$AI59),MIN($C59:$AI59)),$C59:$AI59,0))*INDEX(N48:$AJ58,MATCH(MIN($AK48:$AK58),$AK48:$AK58,0),1)/INDEX($C48:$AJ58,MATCH(MIN($AK48:$AK58),$AK48:$AK58,0),MATCH(IF('Data-solution'!$A$3="Maximize",MAX($C59:$AI59),MIN($C59:$AI59)),$C59:$AI59,0))),N49)</f>
        <v>0</v>
      </c>
      <c r="O64" s="1">
        <f>IF(OR($B63&lt;&gt;$B48,$B64&lt;&gt;$B49,$B65&lt;&gt;$B50,$B66&lt;&gt;$B51,$B67&lt;&gt;$B52,$B68&lt;&gt;$B53,$B69&lt;&gt;$B54,$B70&lt;&gt;$B55,$B71&lt;&gt;$B56,$B72&lt;&gt;$B57,$B73&lt;&gt;$B58),IF($B64&lt;&gt;$B49,O49/INDEX($C48:$AJ58,2,MATCH(IF('Data-solution'!$A$3="Maximize",MAX($C59:$AI59),MIN($C59:$AI59)),$C59:$AI59,0)),O49-INDEX($C48:$AJ58,2,MATCH(IF('Data-solution'!$A$3="Maximize",MAX($C59:$AI59),MIN($C59:$AI59)),$C59:$AI59,0))*INDEX(O48:$AJ58,MATCH(MIN($AK48:$AK58),$AK48:$AK58,0),1)/INDEX($C48:$AJ58,MATCH(MIN($AK48:$AK58),$AK48:$AK58,0),MATCH(IF('Data-solution'!$A$3="Maximize",MAX($C59:$AI59),MIN($C59:$AI59)),$C59:$AI59,0))),O49)</f>
        <v>1</v>
      </c>
      <c r="P64" s="1">
        <f>IF(OR($B63&lt;&gt;$B48,$B64&lt;&gt;$B49,$B65&lt;&gt;$B50,$B66&lt;&gt;$B51,$B67&lt;&gt;$B52,$B68&lt;&gt;$B53,$B69&lt;&gt;$B54,$B70&lt;&gt;$B55,$B71&lt;&gt;$B56,$B72&lt;&gt;$B57,$B73&lt;&gt;$B58),IF($B64&lt;&gt;$B49,P49/INDEX($C48:$AJ58,2,MATCH(IF('Data-solution'!$A$3="Maximize",MAX($C59:$AI59),MIN($C59:$AI59)),$C59:$AI59,0)),P49-INDEX($C48:$AJ58,2,MATCH(IF('Data-solution'!$A$3="Maximize",MAX($C59:$AI59),MIN($C59:$AI59)),$C59:$AI59,0))*INDEX(P48:$AJ58,MATCH(MIN($AK48:$AK58),$AK48:$AK58,0),1)/INDEX($C48:$AJ58,MATCH(MIN($AK48:$AK58),$AK48:$AK58,0),MATCH(IF('Data-solution'!$A$3="Maximize",MAX($C59:$AI59),MIN($C59:$AI59)),$C59:$AI59,0))),P49)</f>
        <v>-0.25</v>
      </c>
      <c r="Q64" s="1">
        <f>IF(OR($B63&lt;&gt;$B48,$B64&lt;&gt;$B49,$B65&lt;&gt;$B50,$B66&lt;&gt;$B51,$B67&lt;&gt;$B52,$B68&lt;&gt;$B53,$B69&lt;&gt;$B54,$B70&lt;&gt;$B55,$B71&lt;&gt;$B56,$B72&lt;&gt;$B57,$B73&lt;&gt;$B58),IF($B64&lt;&gt;$B49,Q49/INDEX($C48:$AJ58,2,MATCH(IF('Data-solution'!$A$3="Maximize",MAX($C59:$AI59),MIN($C59:$AI59)),$C59:$AI59,0)),Q49-INDEX($C48:$AJ58,2,MATCH(IF('Data-solution'!$A$3="Maximize",MAX($C59:$AI59),MIN($C59:$AI59)),$C59:$AI59,0))*INDEX(Q48:$AJ58,MATCH(MIN($AK48:$AK58),$AK48:$AK58,0),1)/INDEX($C48:$AJ58,MATCH(MIN($AK48:$AK58),$AK48:$AK58,0),MATCH(IF('Data-solution'!$A$3="Maximize",MAX($C59:$AI59),MIN($C59:$AI59)),$C59:$AI59,0))),Q49)</f>
        <v>-0.5</v>
      </c>
      <c r="R64" s="1">
        <f>IF(OR($B63&lt;&gt;$B48,$B64&lt;&gt;$B49,$B65&lt;&gt;$B50,$B66&lt;&gt;$B51,$B67&lt;&gt;$B52,$B68&lt;&gt;$B53,$B69&lt;&gt;$B54,$B70&lt;&gt;$B55,$B71&lt;&gt;$B56,$B72&lt;&gt;$B57,$B73&lt;&gt;$B58),IF($B64&lt;&gt;$B49,R49/INDEX($C48:$AJ58,2,MATCH(IF('Data-solution'!$A$3="Maximize",MAX($C59:$AI59),MIN($C59:$AI59)),$C59:$AI59,0)),R49-INDEX($C48:$AJ58,2,MATCH(IF('Data-solution'!$A$3="Maximize",MAX($C59:$AI59),MIN($C59:$AI59)),$C59:$AI59,0))*INDEX(R48:$AJ58,MATCH(MIN($AK48:$AK58),$AK48:$AK58,0),1)/INDEX($C48:$AJ58,MATCH(MIN($AK48:$AK58),$AK48:$AK58,0),MATCH(IF('Data-solution'!$A$3="Maximize",MAX($C59:$AI59),MIN($C59:$AI59)),$C59:$AI59,0))),R49)</f>
        <v>0</v>
      </c>
      <c r="S64" s="1">
        <f>IF(OR($B63&lt;&gt;$B48,$B64&lt;&gt;$B49,$B65&lt;&gt;$B50,$B66&lt;&gt;$B51,$B67&lt;&gt;$B52,$B68&lt;&gt;$B53,$B69&lt;&gt;$B54,$B70&lt;&gt;$B55,$B71&lt;&gt;$B56,$B72&lt;&gt;$B57,$B73&lt;&gt;$B58),IF($B64&lt;&gt;$B49,S49/INDEX($C48:$AJ58,2,MATCH(IF('Data-solution'!$A$3="Maximize",MAX($C59:$AI59),MIN($C59:$AI59)),$C59:$AI59,0)),S49-INDEX($C48:$AJ58,2,MATCH(IF('Data-solution'!$A$3="Maximize",MAX($C59:$AI59),MIN($C59:$AI59)),$C59:$AI59,0))*INDEX(S48:$AJ58,MATCH(MIN($AK48:$AK58),$AK48:$AK58,0),1)/INDEX($C48:$AJ58,MATCH(MIN($AK48:$AK58),$AK48:$AK58,0),MATCH(IF('Data-solution'!$A$3="Maximize",MAX($C59:$AI59),MIN($C59:$AI59)),$C59:$AI59,0))),S49)</f>
        <v>0</v>
      </c>
      <c r="T64" s="1">
        <f>IF(OR($B63&lt;&gt;$B48,$B64&lt;&gt;$B49,$B65&lt;&gt;$B50,$B66&lt;&gt;$B51,$B67&lt;&gt;$B52,$B68&lt;&gt;$B53,$B69&lt;&gt;$B54,$B70&lt;&gt;$B55,$B71&lt;&gt;$B56,$B72&lt;&gt;$B57,$B73&lt;&gt;$B58),IF($B64&lt;&gt;$B49,T49/INDEX($C48:$AJ58,2,MATCH(IF('Data-solution'!$A$3="Maximize",MAX($C59:$AI59),MIN($C59:$AI59)),$C59:$AI59,0)),T49-INDEX($C48:$AJ58,2,MATCH(IF('Data-solution'!$A$3="Maximize",MAX($C59:$AI59),MIN($C59:$AI59)),$C59:$AI59,0))*INDEX(T48:$AJ58,MATCH(MIN($AK48:$AK58),$AK48:$AK58,0),1)/INDEX($C48:$AJ58,MATCH(MIN($AK48:$AK58),$AK48:$AK58,0),MATCH(IF('Data-solution'!$A$3="Maximize",MAX($C59:$AI59),MIN($C59:$AI59)),$C59:$AI59,0))),T49)</f>
        <v>0</v>
      </c>
      <c r="U64" s="1">
        <f>IF(OR($B63&lt;&gt;$B48,$B64&lt;&gt;$B49,$B65&lt;&gt;$B50,$B66&lt;&gt;$B51,$B67&lt;&gt;$B52,$B68&lt;&gt;$B53,$B69&lt;&gt;$B54,$B70&lt;&gt;$B55,$B71&lt;&gt;$B56,$B72&lt;&gt;$B57,$B73&lt;&gt;$B58),IF($B64&lt;&gt;$B49,U49/INDEX($C48:$AJ58,2,MATCH(IF('Data-solution'!$A$3="Maximize",MAX($C59:$AI59),MIN($C59:$AI59)),$C59:$AI59,0)),U49-INDEX($C48:$AJ58,2,MATCH(IF('Data-solution'!$A$3="Maximize",MAX($C59:$AI59),MIN($C59:$AI59)),$C59:$AI59,0))*INDEX(U48:$AJ58,MATCH(MIN($AK48:$AK58),$AK48:$AK58,0),1)/INDEX($C48:$AJ58,MATCH(MIN($AK48:$AK58),$AK48:$AK58,0),MATCH(IF('Data-solution'!$A$3="Maximize",MAX($C59:$AI59),MIN($C59:$AI59)),$C59:$AI59,0))),U49)</f>
        <v>0</v>
      </c>
      <c r="V64" s="1">
        <f>IF(OR($B63&lt;&gt;$B48,$B64&lt;&gt;$B49,$B65&lt;&gt;$B50,$B66&lt;&gt;$B51,$B67&lt;&gt;$B52,$B68&lt;&gt;$B53,$B69&lt;&gt;$B54,$B70&lt;&gt;$B55,$B71&lt;&gt;$B56,$B72&lt;&gt;$B57,$B73&lt;&gt;$B58),IF($B64&lt;&gt;$B49,V49/INDEX($C48:$AJ58,2,MATCH(IF('Data-solution'!$A$3="Maximize",MAX($C59:$AI59),MIN($C59:$AI59)),$C59:$AI59,0)),V49-INDEX($C48:$AJ58,2,MATCH(IF('Data-solution'!$A$3="Maximize",MAX($C59:$AI59),MIN($C59:$AI59)),$C59:$AI59,0))*INDEX(V48:$AJ58,MATCH(MIN($AK48:$AK58),$AK48:$AK58,0),1)/INDEX($C48:$AJ58,MATCH(MIN($AK48:$AK58),$AK48:$AK58,0),MATCH(IF('Data-solution'!$A$3="Maximize",MAX($C59:$AI59),MIN($C59:$AI59)),$C59:$AI59,0))),V49)</f>
        <v>0</v>
      </c>
      <c r="W64" s="1">
        <f>IF(OR($B63&lt;&gt;$B48,$B64&lt;&gt;$B49,$B65&lt;&gt;$B50,$B66&lt;&gt;$B51,$B67&lt;&gt;$B52,$B68&lt;&gt;$B53,$B69&lt;&gt;$B54,$B70&lt;&gt;$B55,$B71&lt;&gt;$B56,$B72&lt;&gt;$B57,$B73&lt;&gt;$B58),IF($B64&lt;&gt;$B49,W49/INDEX($C48:$AJ58,2,MATCH(IF('Data-solution'!$A$3="Maximize",MAX($C59:$AI59),MIN($C59:$AI59)),$C59:$AI59,0)),W49-INDEX($C48:$AJ58,2,MATCH(IF('Data-solution'!$A$3="Maximize",MAX($C59:$AI59),MIN($C59:$AI59)),$C59:$AI59,0))*INDEX(W48:$AJ58,MATCH(MIN($AK48:$AK58),$AK48:$AK58,0),1)/INDEX($C48:$AJ58,MATCH(MIN($AK48:$AK58),$AK48:$AK58,0),MATCH(IF('Data-solution'!$A$3="Maximize",MAX($C59:$AI59),MIN($C59:$AI59)),$C59:$AI59,0))),W49)</f>
        <v>0</v>
      </c>
      <c r="X64" s="1">
        <f>IF(OR($B63&lt;&gt;$B48,$B64&lt;&gt;$B49,$B65&lt;&gt;$B50,$B66&lt;&gt;$B51,$B67&lt;&gt;$B52,$B68&lt;&gt;$B53,$B69&lt;&gt;$B54,$B70&lt;&gt;$B55,$B71&lt;&gt;$B56,$B72&lt;&gt;$B57,$B73&lt;&gt;$B58),IF($B64&lt;&gt;$B49,X49/INDEX($C48:$AJ58,2,MATCH(IF('Data-solution'!$A$3="Maximize",MAX($C59:$AI59),MIN($C59:$AI59)),$C59:$AI59,0)),X49-INDEX($C48:$AJ58,2,MATCH(IF('Data-solution'!$A$3="Maximize",MAX($C59:$AI59),MIN($C59:$AI59)),$C59:$AI59,0))*INDEX(X48:$AJ58,MATCH(MIN($AK48:$AK58),$AK48:$AK58,0),1)/INDEX($C48:$AJ58,MATCH(MIN($AK48:$AK58),$AK48:$AK58,0),MATCH(IF('Data-solution'!$A$3="Maximize",MAX($C59:$AI59),MIN($C59:$AI59)),$C59:$AI59,0))),X49)</f>
        <v>0</v>
      </c>
      <c r="Y64" s="1">
        <f>IF(OR($B63&lt;&gt;$B48,$B64&lt;&gt;$B49,$B65&lt;&gt;$B50,$B66&lt;&gt;$B51,$B67&lt;&gt;$B52,$B68&lt;&gt;$B53,$B69&lt;&gt;$B54,$B70&lt;&gt;$B55,$B71&lt;&gt;$B56,$B72&lt;&gt;$B57,$B73&lt;&gt;$B58),IF($B64&lt;&gt;$B49,Y49/INDEX($C48:$AJ58,2,MATCH(IF('Data-solution'!$A$3="Maximize",MAX($C59:$AI59),MIN($C59:$AI59)),$C59:$AI59,0)),Y49-INDEX($C48:$AJ58,2,MATCH(IF('Data-solution'!$A$3="Maximize",MAX($C59:$AI59),MIN($C59:$AI59)),$C59:$AI59,0))*INDEX(Y48:$AJ58,MATCH(MIN($AK48:$AK58),$AK48:$AK58,0),1)/INDEX($C48:$AJ58,MATCH(MIN($AK48:$AK58),$AK48:$AK58,0),MATCH(IF('Data-solution'!$A$3="Maximize",MAX($C59:$AI59),MIN($C59:$AI59)),$C59:$AI59,0))),Y49)</f>
        <v>0</v>
      </c>
      <c r="Z64" s="1">
        <f>IF(OR($B63&lt;&gt;$B48,$B64&lt;&gt;$B49,$B65&lt;&gt;$B50,$B66&lt;&gt;$B51,$B67&lt;&gt;$B52,$B68&lt;&gt;$B53,$B69&lt;&gt;$B54,$B70&lt;&gt;$B55,$B71&lt;&gt;$B56,$B72&lt;&gt;$B57,$B73&lt;&gt;$B58),IF($B64&lt;&gt;$B49,Z49/INDEX($C48:$AJ58,2,MATCH(IF('Data-solution'!$A$3="Maximize",MAX($C59:$AI59),MIN($C59:$AI59)),$C59:$AI59,0)),Z49-INDEX($C48:$AJ58,2,MATCH(IF('Data-solution'!$A$3="Maximize",MAX($C59:$AI59),MIN($C59:$AI59)),$C59:$AI59,0))*INDEX(Z48:$AJ58,MATCH(MIN($AK48:$AK58),$AK48:$AK58,0),1)/INDEX($C48:$AJ58,MATCH(MIN($AK48:$AK58),$AK48:$AK58,0),MATCH(IF('Data-solution'!$A$3="Maximize",MAX($C59:$AI59),MIN($C59:$AI59)),$C59:$AI59,0))),Z49)</f>
        <v>1</v>
      </c>
      <c r="AA64" s="1">
        <f>IF(OR($B63&lt;&gt;$B48,$B64&lt;&gt;$B49,$B65&lt;&gt;$B50,$B66&lt;&gt;$B51,$B67&lt;&gt;$B52,$B68&lt;&gt;$B53,$B69&lt;&gt;$B54,$B70&lt;&gt;$B55,$B71&lt;&gt;$B56,$B72&lt;&gt;$B57,$B73&lt;&gt;$B58),IF($B64&lt;&gt;$B49,AA49/INDEX($C48:$AJ58,2,MATCH(IF('Data-solution'!$A$3="Maximize",MAX($C59:$AI59),MIN($C59:$AI59)),$C59:$AI59,0)),AA49-INDEX($C48:$AJ58,2,MATCH(IF('Data-solution'!$A$3="Maximize",MAX($C59:$AI59),MIN($C59:$AI59)),$C59:$AI59,0))*INDEX(AA48:$AJ58,MATCH(MIN($AK48:$AK58),$AK48:$AK58,0),1)/INDEX($C48:$AJ58,MATCH(MIN($AK48:$AK58),$AK48:$AK58,0),MATCH(IF('Data-solution'!$A$3="Maximize",MAX($C59:$AI59),MIN($C59:$AI59)),$C59:$AI59,0))),AA49)</f>
        <v>-0.25</v>
      </c>
      <c r="AB64" s="1">
        <f>IF(OR($B63&lt;&gt;$B48,$B64&lt;&gt;$B49,$B65&lt;&gt;$B50,$B66&lt;&gt;$B51,$B67&lt;&gt;$B52,$B68&lt;&gt;$B53,$B69&lt;&gt;$B54,$B70&lt;&gt;$B55,$B71&lt;&gt;$B56,$B72&lt;&gt;$B57,$B73&lt;&gt;$B58),IF($B64&lt;&gt;$B49,AB49/INDEX($C48:$AJ58,2,MATCH(IF('Data-solution'!$A$3="Maximize",MAX($C59:$AI59),MIN($C59:$AI59)),$C59:$AI59,0)),AB49-INDEX($C48:$AJ58,2,MATCH(IF('Data-solution'!$A$3="Maximize",MAX($C59:$AI59),MIN($C59:$AI59)),$C59:$AI59,0))*INDEX(AB48:$AJ58,MATCH(MIN($AK48:$AK58),$AK48:$AK58,0),1)/INDEX($C48:$AJ58,MATCH(MIN($AK48:$AK58),$AK48:$AK58,0),MATCH(IF('Data-solution'!$A$3="Maximize",MAX($C59:$AI59),MIN($C59:$AI59)),$C59:$AI59,0))),AB49)</f>
        <v>-0.5</v>
      </c>
      <c r="AC64" s="1">
        <f>IF(OR($B63&lt;&gt;$B48,$B64&lt;&gt;$B49,$B65&lt;&gt;$B50,$B66&lt;&gt;$B51,$B67&lt;&gt;$B52,$B68&lt;&gt;$B53,$B69&lt;&gt;$B54,$B70&lt;&gt;$B55,$B71&lt;&gt;$B56,$B72&lt;&gt;$B57,$B73&lt;&gt;$B58),IF($B64&lt;&gt;$B49,AC49/INDEX($C48:$AJ58,2,MATCH(IF('Data-solution'!$A$3="Maximize",MAX($C59:$AI59),MIN($C59:$AI59)),$C59:$AI59,0)),AC49-INDEX($C48:$AJ58,2,MATCH(IF('Data-solution'!$A$3="Maximize",MAX($C59:$AI59),MIN($C59:$AI59)),$C59:$AI59,0))*INDEX(AC48:$AJ58,MATCH(MIN($AK48:$AK58),$AK48:$AK58,0),1)/INDEX($C48:$AJ58,MATCH(MIN($AK48:$AK58),$AK48:$AK58,0),MATCH(IF('Data-solution'!$A$3="Maximize",MAX($C59:$AI59),MIN($C59:$AI59)),$C59:$AI59,0))),AC49)</f>
        <v>0</v>
      </c>
      <c r="AD64" s="1">
        <f>IF(OR($B63&lt;&gt;$B48,$B64&lt;&gt;$B49,$B65&lt;&gt;$B50,$B66&lt;&gt;$B51,$B67&lt;&gt;$B52,$B68&lt;&gt;$B53,$B69&lt;&gt;$B54,$B70&lt;&gt;$B55,$B71&lt;&gt;$B56,$B72&lt;&gt;$B57,$B73&lt;&gt;$B58),IF($B64&lt;&gt;$B49,AD49/INDEX($C48:$AJ58,2,MATCH(IF('Data-solution'!$A$3="Maximize",MAX($C59:$AI59),MIN($C59:$AI59)),$C59:$AI59,0)),AD49-INDEX($C48:$AJ58,2,MATCH(IF('Data-solution'!$A$3="Maximize",MAX($C59:$AI59),MIN($C59:$AI59)),$C59:$AI59,0))*INDEX(AD48:$AJ58,MATCH(MIN($AK48:$AK58),$AK48:$AK58,0),1)/INDEX($C48:$AJ58,MATCH(MIN($AK48:$AK58),$AK48:$AK58,0),MATCH(IF('Data-solution'!$A$3="Maximize",MAX($C59:$AI59),MIN($C59:$AI59)),$C59:$AI59,0))),AD49)</f>
        <v>0</v>
      </c>
      <c r="AE64" s="1">
        <f>IF(OR($B63&lt;&gt;$B48,$B64&lt;&gt;$B49,$B65&lt;&gt;$B50,$B66&lt;&gt;$B51,$B67&lt;&gt;$B52,$B68&lt;&gt;$B53,$B69&lt;&gt;$B54,$B70&lt;&gt;$B55,$B71&lt;&gt;$B56,$B72&lt;&gt;$B57,$B73&lt;&gt;$B58),IF($B64&lt;&gt;$B49,AE49/INDEX($C48:$AJ58,2,MATCH(IF('Data-solution'!$A$3="Maximize",MAX($C59:$AI59),MIN($C59:$AI59)),$C59:$AI59,0)),AE49-INDEX($C48:$AJ58,2,MATCH(IF('Data-solution'!$A$3="Maximize",MAX($C59:$AI59),MIN($C59:$AI59)),$C59:$AI59,0))*INDEX(AE48:$AJ58,MATCH(MIN($AK48:$AK58),$AK48:$AK58,0),1)/INDEX($C48:$AJ58,MATCH(MIN($AK48:$AK58),$AK48:$AK58,0),MATCH(IF('Data-solution'!$A$3="Maximize",MAX($C59:$AI59),MIN($C59:$AI59)),$C59:$AI59,0))),AE49)</f>
        <v>0</v>
      </c>
      <c r="AF64" s="1">
        <f>IF(OR($B63&lt;&gt;$B48,$B64&lt;&gt;$B49,$B65&lt;&gt;$B50,$B66&lt;&gt;$B51,$B67&lt;&gt;$B52,$B68&lt;&gt;$B53,$B69&lt;&gt;$B54,$B70&lt;&gt;$B55,$B71&lt;&gt;$B56,$B72&lt;&gt;$B57,$B73&lt;&gt;$B58),IF($B64&lt;&gt;$B49,AF49/INDEX($C48:$AJ58,2,MATCH(IF('Data-solution'!$A$3="Maximize",MAX($C59:$AI59),MIN($C59:$AI59)),$C59:$AI59,0)),AF49-INDEX($C48:$AJ58,2,MATCH(IF('Data-solution'!$A$3="Maximize",MAX($C59:$AI59),MIN($C59:$AI59)),$C59:$AI59,0))*INDEX(AF48:$AJ58,MATCH(MIN($AK48:$AK58),$AK48:$AK58,0),1)/INDEX($C48:$AJ58,MATCH(MIN($AK48:$AK58),$AK48:$AK58,0),MATCH(IF('Data-solution'!$A$3="Maximize",MAX($C59:$AI59),MIN($C59:$AI59)),$C59:$AI59,0))),AF49)</f>
        <v>0</v>
      </c>
      <c r="AG64" s="1">
        <f>IF(OR($B63&lt;&gt;$B48,$B64&lt;&gt;$B49,$B65&lt;&gt;$B50,$B66&lt;&gt;$B51,$B67&lt;&gt;$B52,$B68&lt;&gt;$B53,$B69&lt;&gt;$B54,$B70&lt;&gt;$B55,$B71&lt;&gt;$B56,$B72&lt;&gt;$B57,$B73&lt;&gt;$B58),IF($B64&lt;&gt;$B49,AG49/INDEX($C48:$AJ58,2,MATCH(IF('Data-solution'!$A$3="Maximize",MAX($C59:$AI59),MIN($C59:$AI59)),$C59:$AI59,0)),AG49-INDEX($C48:$AJ58,2,MATCH(IF('Data-solution'!$A$3="Maximize",MAX($C59:$AI59),MIN($C59:$AI59)),$C59:$AI59,0))*INDEX(AG48:$AJ58,MATCH(MIN($AK48:$AK58),$AK48:$AK58,0),1)/INDEX($C48:$AJ58,MATCH(MIN($AK48:$AK58),$AK48:$AK58,0),MATCH(IF('Data-solution'!$A$3="Maximize",MAX($C59:$AI59),MIN($C59:$AI59)),$C59:$AI59,0))),AG49)</f>
        <v>0</v>
      </c>
      <c r="AH64" s="1">
        <f>IF(OR($B63&lt;&gt;$B48,$B64&lt;&gt;$B49,$B65&lt;&gt;$B50,$B66&lt;&gt;$B51,$B67&lt;&gt;$B52,$B68&lt;&gt;$B53,$B69&lt;&gt;$B54,$B70&lt;&gt;$B55,$B71&lt;&gt;$B56,$B72&lt;&gt;$B57,$B73&lt;&gt;$B58),IF($B64&lt;&gt;$B49,AH49/INDEX($C48:$AJ58,2,MATCH(IF('Data-solution'!$A$3="Maximize",MAX($C59:$AI59),MIN($C59:$AI59)),$C59:$AI59,0)),AH49-INDEX($C48:$AJ58,2,MATCH(IF('Data-solution'!$A$3="Maximize",MAX($C59:$AI59),MIN($C59:$AI59)),$C59:$AI59,0))*INDEX(AH48:$AJ58,MATCH(MIN($AK48:$AK58),$AK48:$AK58,0),1)/INDEX($C48:$AJ58,MATCH(MIN($AK48:$AK58),$AK48:$AK58,0),MATCH(IF('Data-solution'!$A$3="Maximize",MAX($C59:$AI59),MIN($C59:$AI59)),$C59:$AI59,0))),AH49)</f>
        <v>0</v>
      </c>
      <c r="AI64" s="1">
        <f>IF(OR($B63&lt;&gt;$B48,$B64&lt;&gt;$B49,$B65&lt;&gt;$B50,$B66&lt;&gt;$B51,$B67&lt;&gt;$B52,$B68&lt;&gt;$B53,$B69&lt;&gt;$B54,$B70&lt;&gt;$B55,$B71&lt;&gt;$B56,$B72&lt;&gt;$B57,$B73&lt;&gt;$B58),IF($B64&lt;&gt;$B49,AI49/INDEX($C48:$AJ58,2,MATCH(IF('Data-solution'!$A$3="Maximize",MAX($C59:$AI59),MIN($C59:$AI59)),$C59:$AI59,0)),AI49-INDEX($C48:$AJ58,2,MATCH(IF('Data-solution'!$A$3="Maximize",MAX($C59:$AI59),MIN($C59:$AI59)),$C59:$AI59,0))*INDEX(AI48:$AJ58,MATCH(MIN($AK48:$AK58),$AK48:$AK58,0),1)/INDEX($C48:$AJ58,MATCH(MIN($AK48:$AK58),$AK48:$AK58,0),MATCH(IF('Data-solution'!$A$3="Maximize",MAX($C59:$AI59),MIN($C59:$AI59)),$C59:$AI59,0))),AI49)</f>
        <v>0</v>
      </c>
      <c r="AJ64" s="1">
        <f>IF(OR($B63&lt;&gt;$B48,$B64&lt;&gt;$B49,$B65&lt;&gt;$B50,$B66&lt;&gt;$B51,$B67&lt;&gt;$B52,$B68&lt;&gt;$B53,$B69&lt;&gt;$B54,$B70&lt;&gt;$B55,$B71&lt;&gt;$B56,$B72&lt;&gt;$B57,$B73&lt;&gt;$B58),IF($B64&lt;&gt;$B49,AJ49/INDEX($C48:$AJ58,2,MATCH(IF('Data-solution'!$A$3="Maximize",MAX($C59:$AI59),MIN($C59:$AI59)),$C59:$AI59,0)),AJ49-INDEX($C48:$AJ58,2,MATCH(IF('Data-solution'!$A$3="Maximize",MAX($C59:$AI59),MIN($C59:$AI59)),$C59:$AI59,0))*INDEX(AJ48:$AJ58,MATCH(MIN($AK48:$AK58),$AK48:$AK58,0),1)/INDEX($C48:$AJ58,MATCH(MIN($AK48:$AK58),$AK48:$AK58,0),MATCH(IF('Data-solution'!$A$3="Maximize",MAX($C59:$AI59),MIN($C59:$AI59)),$C59:$AI59,0))),AJ49)</f>
        <v>300</v>
      </c>
      <c r="AK64" s="1" t="str">
        <f>IF(INDEX(C64:X64,1,MATCH(IF('Data-solution'!A$3="Maximize",MAX(C74:X74),MIN(C74:X74)),C74:X74,0))&gt;0,AJ64/INDEX(C64:X64,1,MATCH(IF('Data-solution'!A$3="Maximize",MAX(C74:X74),MIN(C74:X74)),C74:X74,0))," ")</f>
        <v xml:space="preserve"> </v>
      </c>
    </row>
    <row r="65" spans="1:37" ht="18" customHeight="1" x14ac:dyDescent="0.2">
      <c r="A65" s="1">
        <f t="shared" ref="A65" si="38">INDEX(C61:AI61,1,MATCH(B65,C62:AI62,0))</f>
        <v>350</v>
      </c>
      <c r="B65" s="2" t="str">
        <f>IF(AND('Data-solution'!A$3="Maximize",COUNTIF(C59:X59,"&gt;"&amp;0)&gt;0,AK50=MIN(AK48:AK58),COUNTIF(B63:B64,INDEX(C47:X47,1,MATCH(MAX(C59:X59),C59:X59,0)))=0),INDEX(C47:X47,1,MATCH(MAX(C59:X59),C59:X59,0)),IF(AND('Data-solution'!A$3="Minimize",COUNTIF(C59:X59,"&lt;"&amp;0)&gt;0,AK50=MIN(AK48:AK58),COUNTIF(B63:B64,INDEX(C47:X47,1,MATCH(MIN(C59:X59),C59:X59,0)))=0),INDEX(C47:X47,1,MATCH(MIN(C59:X59),C59:X59,0)),B50))</f>
        <v>X3</v>
      </c>
      <c r="C65" s="1">
        <f>IF(OR($B63&lt;&gt;$B48,$B64&lt;&gt;$B49,$B65&lt;&gt;$B50,$B66&lt;&gt;$B51,$B67&lt;&gt;$B52,$B68&lt;&gt;$B53,$B69&lt;&gt;$B54,$B70&lt;&gt;$B55,$B71&lt;&gt;$B56,$B72&lt;&gt;$B57,$B73&lt;&gt;$B58),IF($B65&lt;&gt;$B50,C50/INDEX($C48:$AJ58,3,MATCH(IF('Data-solution'!$A$3="Maximize",MAX($C59:$AI59),MIN($C59:$AI59)),$C59:$AI59,0)),C50-INDEX($C48:$AJ58,3,MATCH(IF('Data-solution'!$A$3="Maximize",MAX($C59:$AI59),MIN($C59:$AI59)),$C59:$AI59,0))*INDEX(C48:$AJ58,MATCH(MIN($AK48:$AK58),$AK48:$AK58,0),1)/INDEX($C48:$AJ58,MATCH(MIN($AK48:$AK58),$AK48:$AK58,0),MATCH(IF('Data-solution'!$A$3="Maximize",MAX($C59:$AI59),MIN($C59:$AI59)),$C59:$AI59,0))),C50)</f>
        <v>0</v>
      </c>
      <c r="D65" s="1">
        <f>IF(OR($B63&lt;&gt;$B48,$B64&lt;&gt;$B49,$B65&lt;&gt;$B50,$B66&lt;&gt;$B51,$B67&lt;&gt;$B52,$B68&lt;&gt;$B53,$B69&lt;&gt;$B54,$B70&lt;&gt;$B55,$B71&lt;&gt;$B56,$B72&lt;&gt;$B57,$B73&lt;&gt;$B58),IF($B65&lt;&gt;$B50,D50/INDEX($C48:$AJ58,3,MATCH(IF('Data-solution'!$A$3="Maximize",MAX($C59:$AI59),MIN($C59:$AI59)),$C59:$AI59,0)),D50-INDEX($C48:$AJ58,3,MATCH(IF('Data-solution'!$A$3="Maximize",MAX($C59:$AI59),MIN($C59:$AI59)),$C59:$AI59,0))*INDEX(D48:$AJ58,MATCH(MIN($AK48:$AK58),$AK48:$AK58,0),1)/INDEX($C48:$AJ58,MATCH(MIN($AK48:$AK58),$AK48:$AK58,0),MATCH(IF('Data-solution'!$A$3="Maximize",MAX($C59:$AI59),MIN($C59:$AI59)),$C59:$AI59,0))),D50)</f>
        <v>1.25</v>
      </c>
      <c r="E65" s="1">
        <f>IF(OR($B63&lt;&gt;$B48,$B64&lt;&gt;$B49,$B65&lt;&gt;$B50,$B66&lt;&gt;$B51,$B67&lt;&gt;$B52,$B68&lt;&gt;$B53,$B69&lt;&gt;$B54,$B70&lt;&gt;$B55,$B71&lt;&gt;$B56,$B72&lt;&gt;$B57,$B73&lt;&gt;$B58),IF($B65&lt;&gt;$B50,E50/INDEX($C48:$AJ58,3,MATCH(IF('Data-solution'!$A$3="Maximize",MAX($C59:$AI59),MIN($C59:$AI59)),$C59:$AI59,0)),E50-INDEX($C48:$AJ58,3,MATCH(IF('Data-solution'!$A$3="Maximize",MAX($C59:$AI59),MIN($C59:$AI59)),$C59:$AI59,0))*INDEX(E48:$AJ58,MATCH(MIN($AK48:$AK58),$AK48:$AK58,0),1)/INDEX($C48:$AJ58,MATCH(MIN($AK48:$AK58),$AK48:$AK58,0),MATCH(IF('Data-solution'!$A$3="Maximize",MAX($C59:$AI59),MIN($C59:$AI59)),$C59:$AI59,0))),E50)</f>
        <v>1</v>
      </c>
      <c r="F65" s="1">
        <f>IF(OR($B63&lt;&gt;$B48,$B64&lt;&gt;$B49,$B65&lt;&gt;$B50,$B66&lt;&gt;$B51,$B67&lt;&gt;$B52,$B68&lt;&gt;$B53,$B69&lt;&gt;$B54,$B70&lt;&gt;$B55,$B71&lt;&gt;$B56,$B72&lt;&gt;$B57,$B73&lt;&gt;$B58),IF($B65&lt;&gt;$B50,F50/INDEX($C48:$AJ58,3,MATCH(IF('Data-solution'!$A$3="Maximize",MAX($C59:$AI59),MIN($C59:$AI59)),$C59:$AI59,0)),F50-INDEX($C48:$AJ58,3,MATCH(IF('Data-solution'!$A$3="Maximize",MAX($C59:$AI59),MIN($C59:$AI59)),$C59:$AI59,0))*INDEX(F48:$AJ58,MATCH(MIN($AK48:$AK58),$AK48:$AK58,0),1)/INDEX($C48:$AJ58,MATCH(MIN($AK48:$AK58),$AK48:$AK58,0),MATCH(IF('Data-solution'!$A$3="Maximize",MAX($C59:$AI59),MIN($C59:$AI59)),$C59:$AI59,0))),F50)</f>
        <v>0</v>
      </c>
      <c r="G65" s="1">
        <f>IF(OR($B63&lt;&gt;$B48,$B64&lt;&gt;$B49,$B65&lt;&gt;$B50,$B66&lt;&gt;$B51,$B67&lt;&gt;$B52,$B68&lt;&gt;$B53,$B69&lt;&gt;$B54,$B70&lt;&gt;$B55,$B71&lt;&gt;$B56,$B72&lt;&gt;$B57,$B73&lt;&gt;$B58),IF($B65&lt;&gt;$B50,G50/INDEX($C48:$AJ58,3,MATCH(IF('Data-solution'!$A$3="Maximize",MAX($C59:$AI59),MIN($C59:$AI59)),$C59:$AI59,0)),G50-INDEX($C48:$AJ58,3,MATCH(IF('Data-solution'!$A$3="Maximize",MAX($C59:$AI59),MIN($C59:$AI59)),$C59:$AI59,0))*INDEX(G48:$AJ58,MATCH(MIN($AK48:$AK58),$AK48:$AK58,0),1)/INDEX($C48:$AJ58,MATCH(MIN($AK48:$AK58),$AK48:$AK58,0),MATCH(IF('Data-solution'!$A$3="Maximize",MAX($C59:$AI59),MIN($C59:$AI59)),$C59:$AI59,0))),G50)</f>
        <v>0</v>
      </c>
      <c r="H65" s="1">
        <f>IF(OR($B63&lt;&gt;$B48,$B64&lt;&gt;$B49,$B65&lt;&gt;$B50,$B66&lt;&gt;$B51,$B67&lt;&gt;$B52,$B68&lt;&gt;$B53,$B69&lt;&gt;$B54,$B70&lt;&gt;$B55,$B71&lt;&gt;$B56,$B72&lt;&gt;$B57,$B73&lt;&gt;$B58),IF($B65&lt;&gt;$B50,H50/INDEX($C48:$AJ58,3,MATCH(IF('Data-solution'!$A$3="Maximize",MAX($C59:$AI59),MIN($C59:$AI59)),$C59:$AI59,0)),H50-INDEX($C48:$AJ58,3,MATCH(IF('Data-solution'!$A$3="Maximize",MAX($C59:$AI59),MIN($C59:$AI59)),$C59:$AI59,0))*INDEX(H48:$AJ58,MATCH(MIN($AK48:$AK58),$AK48:$AK58,0),1)/INDEX($C48:$AJ58,MATCH(MIN($AK48:$AK58),$AK48:$AK58,0),MATCH(IF('Data-solution'!$A$3="Maximize",MAX($C59:$AI59),MIN($C59:$AI59)),$C59:$AI59,0))),H50)</f>
        <v>0</v>
      </c>
      <c r="I65" s="1">
        <f>IF(OR($B63&lt;&gt;$B48,$B64&lt;&gt;$B49,$B65&lt;&gt;$B50,$B66&lt;&gt;$B51,$B67&lt;&gt;$B52,$B68&lt;&gt;$B53,$B69&lt;&gt;$B54,$B70&lt;&gt;$B55,$B71&lt;&gt;$B56,$B72&lt;&gt;$B57,$B73&lt;&gt;$B58),IF($B65&lt;&gt;$B50,I50/INDEX($C48:$AJ58,3,MATCH(IF('Data-solution'!$A$3="Maximize",MAX($C59:$AI59),MIN($C59:$AI59)),$C59:$AI59,0)),I50-INDEX($C48:$AJ58,3,MATCH(IF('Data-solution'!$A$3="Maximize",MAX($C59:$AI59),MIN($C59:$AI59)),$C59:$AI59,0))*INDEX(I48:$AJ58,MATCH(MIN($AK48:$AK58),$AK48:$AK58,0),1)/INDEX($C48:$AJ58,MATCH(MIN($AK48:$AK58),$AK48:$AK58,0),MATCH(IF('Data-solution'!$A$3="Maximize",MAX($C59:$AI59),MIN($C59:$AI59)),$C59:$AI59,0))),I50)</f>
        <v>0</v>
      </c>
      <c r="J65" s="1">
        <f>IF(OR($B63&lt;&gt;$B48,$B64&lt;&gt;$B49,$B65&lt;&gt;$B50,$B66&lt;&gt;$B51,$B67&lt;&gt;$B52,$B68&lt;&gt;$B53,$B69&lt;&gt;$B54,$B70&lt;&gt;$B55,$B71&lt;&gt;$B56,$B72&lt;&gt;$B57,$B73&lt;&gt;$B58),IF($B65&lt;&gt;$B50,J50/INDEX($C48:$AJ58,3,MATCH(IF('Data-solution'!$A$3="Maximize",MAX($C59:$AI59),MIN($C59:$AI59)),$C59:$AI59,0)),J50-INDEX($C48:$AJ58,3,MATCH(IF('Data-solution'!$A$3="Maximize",MAX($C59:$AI59),MIN($C59:$AI59)),$C59:$AI59,0))*INDEX(J48:$AJ58,MATCH(MIN($AK48:$AK58),$AK48:$AK58,0),1)/INDEX($C48:$AJ58,MATCH(MIN($AK48:$AK58),$AK48:$AK58,0),MATCH(IF('Data-solution'!$A$3="Maximize",MAX($C59:$AI59),MIN($C59:$AI59)),$C59:$AI59,0))),J50)</f>
        <v>0</v>
      </c>
      <c r="K65" s="1">
        <f>IF(OR($B63&lt;&gt;$B48,$B64&lt;&gt;$B49,$B65&lt;&gt;$B50,$B66&lt;&gt;$B51,$B67&lt;&gt;$B52,$B68&lt;&gt;$B53,$B69&lt;&gt;$B54,$B70&lt;&gt;$B55,$B71&lt;&gt;$B56,$B72&lt;&gt;$B57,$B73&lt;&gt;$B58),IF($B65&lt;&gt;$B50,K50/INDEX($C48:$AJ58,3,MATCH(IF('Data-solution'!$A$3="Maximize",MAX($C59:$AI59),MIN($C59:$AI59)),$C59:$AI59,0)),K50-INDEX($C48:$AJ58,3,MATCH(IF('Data-solution'!$A$3="Maximize",MAX($C59:$AI59),MIN($C59:$AI59)),$C59:$AI59,0))*INDEX(K48:$AJ58,MATCH(MIN($AK48:$AK58),$AK48:$AK58,0),1)/INDEX($C48:$AJ58,MATCH(MIN($AK48:$AK58),$AK48:$AK58,0),MATCH(IF('Data-solution'!$A$3="Maximize",MAX($C59:$AI59),MIN($C59:$AI59)),$C59:$AI59,0))),K50)</f>
        <v>0</v>
      </c>
      <c r="L65" s="1">
        <f>IF(OR($B63&lt;&gt;$B48,$B64&lt;&gt;$B49,$B65&lt;&gt;$B50,$B66&lt;&gt;$B51,$B67&lt;&gt;$B52,$B68&lt;&gt;$B53,$B69&lt;&gt;$B54,$B70&lt;&gt;$B55,$B71&lt;&gt;$B56,$B72&lt;&gt;$B57,$B73&lt;&gt;$B58),IF($B65&lt;&gt;$B50,L50/INDEX($C48:$AJ58,3,MATCH(IF('Data-solution'!$A$3="Maximize",MAX($C59:$AI59),MIN($C59:$AI59)),$C59:$AI59,0)),L50-INDEX($C48:$AJ58,3,MATCH(IF('Data-solution'!$A$3="Maximize",MAX($C59:$AI59),MIN($C59:$AI59)),$C59:$AI59,0))*INDEX(L48:$AJ58,MATCH(MIN($AK48:$AK58),$AK48:$AK58,0),1)/INDEX($C48:$AJ58,MATCH(MIN($AK48:$AK58),$AK48:$AK58,0),MATCH(IF('Data-solution'!$A$3="Maximize",MAX($C59:$AI59),MIN($C59:$AI59)),$C59:$AI59,0))),L50)</f>
        <v>0</v>
      </c>
      <c r="M65" s="1">
        <f>IF(OR($B63&lt;&gt;$B48,$B64&lt;&gt;$B49,$B65&lt;&gt;$B50,$B66&lt;&gt;$B51,$B67&lt;&gt;$B52,$B68&lt;&gt;$B53,$B69&lt;&gt;$B54,$B70&lt;&gt;$B55,$B71&lt;&gt;$B56,$B72&lt;&gt;$B57,$B73&lt;&gt;$B58),IF($B65&lt;&gt;$B50,M50/INDEX($C48:$AJ58,3,MATCH(IF('Data-solution'!$A$3="Maximize",MAX($C59:$AI59),MIN($C59:$AI59)),$C59:$AI59,0)),M50-INDEX($C48:$AJ58,3,MATCH(IF('Data-solution'!$A$3="Maximize",MAX($C59:$AI59),MIN($C59:$AI59)),$C59:$AI59,0))*INDEX(M48:$AJ58,MATCH(MIN($AK48:$AK58),$AK48:$AK58,0),1)/INDEX($C48:$AJ58,MATCH(MIN($AK48:$AK58),$AK48:$AK58,0),MATCH(IF('Data-solution'!$A$3="Maximize",MAX($C59:$AI59),MIN($C59:$AI59)),$C59:$AI59,0))),M50)</f>
        <v>0</v>
      </c>
      <c r="N65" s="1">
        <f>IF(OR($B63&lt;&gt;$B48,$B64&lt;&gt;$B49,$B65&lt;&gt;$B50,$B66&lt;&gt;$B51,$B67&lt;&gt;$B52,$B68&lt;&gt;$B53,$B69&lt;&gt;$B54,$B70&lt;&gt;$B55,$B71&lt;&gt;$B56,$B72&lt;&gt;$B57,$B73&lt;&gt;$B58),IF($B65&lt;&gt;$B50,N50/INDEX($C48:$AJ58,3,MATCH(IF('Data-solution'!$A$3="Maximize",MAX($C59:$AI59),MIN($C59:$AI59)),$C59:$AI59,0)),N50-INDEX($C48:$AJ58,3,MATCH(IF('Data-solution'!$A$3="Maximize",MAX($C59:$AI59),MIN($C59:$AI59)),$C59:$AI59,0))*INDEX(N48:$AJ58,MATCH(MIN($AK48:$AK58),$AK48:$AK58,0),1)/INDEX($C48:$AJ58,MATCH(MIN($AK48:$AK58),$AK48:$AK58,0),MATCH(IF('Data-solution'!$A$3="Maximize",MAX($C59:$AI59),MIN($C59:$AI59)),$C59:$AI59,0))),N50)</f>
        <v>0</v>
      </c>
      <c r="O65" s="1">
        <f>IF(OR($B63&lt;&gt;$B48,$B64&lt;&gt;$B49,$B65&lt;&gt;$B50,$B66&lt;&gt;$B51,$B67&lt;&gt;$B52,$B68&lt;&gt;$B53,$B69&lt;&gt;$B54,$B70&lt;&gt;$B55,$B71&lt;&gt;$B56,$B72&lt;&gt;$B57,$B73&lt;&gt;$B58),IF($B65&lt;&gt;$B50,O50/INDEX($C48:$AJ58,3,MATCH(IF('Data-solution'!$A$3="Maximize",MAX($C59:$AI59),MIN($C59:$AI59)),$C59:$AI59,0)),O50-INDEX($C48:$AJ58,3,MATCH(IF('Data-solution'!$A$3="Maximize",MAX($C59:$AI59),MIN($C59:$AI59)),$C59:$AI59,0))*INDEX(O48:$AJ58,MATCH(MIN($AK48:$AK58),$AK48:$AK58,0),1)/INDEX($C48:$AJ58,MATCH(MIN($AK48:$AK58),$AK48:$AK58,0),MATCH(IF('Data-solution'!$A$3="Maximize",MAX($C59:$AI59),MIN($C59:$AI59)),$C59:$AI59,0))),O50)</f>
        <v>0</v>
      </c>
      <c r="P65" s="1">
        <f>IF(OR($B63&lt;&gt;$B48,$B64&lt;&gt;$B49,$B65&lt;&gt;$B50,$B66&lt;&gt;$B51,$B67&lt;&gt;$B52,$B68&lt;&gt;$B53,$B69&lt;&gt;$B54,$B70&lt;&gt;$B55,$B71&lt;&gt;$B56,$B72&lt;&gt;$B57,$B73&lt;&gt;$B58),IF($B65&lt;&gt;$B50,P50/INDEX($C48:$AJ58,3,MATCH(IF('Data-solution'!$A$3="Maximize",MAX($C59:$AI59),MIN($C59:$AI59)),$C59:$AI59,0)),P50-INDEX($C48:$AJ58,3,MATCH(IF('Data-solution'!$A$3="Maximize",MAX($C59:$AI59),MIN($C59:$AI59)),$C59:$AI59,0))*INDEX(P48:$AJ58,MATCH(MIN($AK48:$AK58),$AK48:$AK58,0),1)/INDEX($C48:$AJ58,MATCH(MIN($AK48:$AK58),$AK48:$AK58,0),MATCH(IF('Data-solution'!$A$3="Maximize",MAX($C59:$AI59),MIN($C59:$AI59)),$C59:$AI59,0))),P50)</f>
        <v>0.24999999999999997</v>
      </c>
      <c r="Q65" s="1">
        <f>IF(OR($B63&lt;&gt;$B48,$B64&lt;&gt;$B49,$B65&lt;&gt;$B50,$B66&lt;&gt;$B51,$B67&lt;&gt;$B52,$B68&lt;&gt;$B53,$B69&lt;&gt;$B54,$B70&lt;&gt;$B55,$B71&lt;&gt;$B56,$B72&lt;&gt;$B57,$B73&lt;&gt;$B58),IF($B65&lt;&gt;$B50,Q50/INDEX($C48:$AJ58,3,MATCH(IF('Data-solution'!$A$3="Maximize",MAX($C59:$AI59),MIN($C59:$AI59)),$C59:$AI59,0)),Q50-INDEX($C48:$AJ58,3,MATCH(IF('Data-solution'!$A$3="Maximize",MAX($C59:$AI59),MIN($C59:$AI59)),$C59:$AI59,0))*INDEX(Q48:$AJ58,MATCH(MIN($AK48:$AK58),$AK48:$AK58,0),1)/INDEX($C48:$AJ58,MATCH(MIN($AK48:$AK58),$AK48:$AK58,0),MATCH(IF('Data-solution'!$A$3="Maximize",MAX($C59:$AI59),MIN($C59:$AI59)),$C59:$AI59,0))),Q50)</f>
        <v>-0.49999999999999989</v>
      </c>
      <c r="R65" s="1">
        <f>IF(OR($B63&lt;&gt;$B48,$B64&lt;&gt;$B49,$B65&lt;&gt;$B50,$B66&lt;&gt;$B51,$B67&lt;&gt;$B52,$B68&lt;&gt;$B53,$B69&lt;&gt;$B54,$B70&lt;&gt;$B55,$B71&lt;&gt;$B56,$B72&lt;&gt;$B57,$B73&lt;&gt;$B58),IF($B65&lt;&gt;$B50,R50/INDEX($C48:$AJ58,3,MATCH(IF('Data-solution'!$A$3="Maximize",MAX($C59:$AI59),MIN($C59:$AI59)),$C59:$AI59,0)),R50-INDEX($C48:$AJ58,3,MATCH(IF('Data-solution'!$A$3="Maximize",MAX($C59:$AI59),MIN($C59:$AI59)),$C59:$AI59,0))*INDEX(R48:$AJ58,MATCH(MIN($AK48:$AK58),$AK48:$AK58,0),1)/INDEX($C48:$AJ58,MATCH(MIN($AK48:$AK58),$AK48:$AK58,0),MATCH(IF('Data-solution'!$A$3="Maximize",MAX($C59:$AI59),MIN($C59:$AI59)),$C59:$AI59,0))),R50)</f>
        <v>0</v>
      </c>
      <c r="S65" s="1">
        <f>IF(OR($B63&lt;&gt;$B48,$B64&lt;&gt;$B49,$B65&lt;&gt;$B50,$B66&lt;&gt;$B51,$B67&lt;&gt;$B52,$B68&lt;&gt;$B53,$B69&lt;&gt;$B54,$B70&lt;&gt;$B55,$B71&lt;&gt;$B56,$B72&lt;&gt;$B57,$B73&lt;&gt;$B58),IF($B65&lt;&gt;$B50,S50/INDEX($C48:$AJ58,3,MATCH(IF('Data-solution'!$A$3="Maximize",MAX($C59:$AI59),MIN($C59:$AI59)),$C59:$AI59,0)),S50-INDEX($C48:$AJ58,3,MATCH(IF('Data-solution'!$A$3="Maximize",MAX($C59:$AI59),MIN($C59:$AI59)),$C59:$AI59,0))*INDEX(S48:$AJ58,MATCH(MIN($AK48:$AK58),$AK48:$AK58,0),1)/INDEX($C48:$AJ58,MATCH(MIN($AK48:$AK58),$AK48:$AK58,0),MATCH(IF('Data-solution'!$A$3="Maximize",MAX($C59:$AI59),MIN($C59:$AI59)),$C59:$AI59,0))),S50)</f>
        <v>0</v>
      </c>
      <c r="T65" s="1">
        <f>IF(OR($B63&lt;&gt;$B48,$B64&lt;&gt;$B49,$B65&lt;&gt;$B50,$B66&lt;&gt;$B51,$B67&lt;&gt;$B52,$B68&lt;&gt;$B53,$B69&lt;&gt;$B54,$B70&lt;&gt;$B55,$B71&lt;&gt;$B56,$B72&lt;&gt;$B57,$B73&lt;&gt;$B58),IF($B65&lt;&gt;$B50,T50/INDEX($C48:$AJ58,3,MATCH(IF('Data-solution'!$A$3="Maximize",MAX($C59:$AI59),MIN($C59:$AI59)),$C59:$AI59,0)),T50-INDEX($C48:$AJ58,3,MATCH(IF('Data-solution'!$A$3="Maximize",MAX($C59:$AI59),MIN($C59:$AI59)),$C59:$AI59,0))*INDEX(T48:$AJ58,MATCH(MIN($AK48:$AK58),$AK48:$AK58,0),1)/INDEX($C48:$AJ58,MATCH(MIN($AK48:$AK58),$AK48:$AK58,0),MATCH(IF('Data-solution'!$A$3="Maximize",MAX($C59:$AI59),MIN($C59:$AI59)),$C59:$AI59,0))),T50)</f>
        <v>0</v>
      </c>
      <c r="U65" s="1">
        <f>IF(OR($B63&lt;&gt;$B48,$B64&lt;&gt;$B49,$B65&lt;&gt;$B50,$B66&lt;&gt;$B51,$B67&lt;&gt;$B52,$B68&lt;&gt;$B53,$B69&lt;&gt;$B54,$B70&lt;&gt;$B55,$B71&lt;&gt;$B56,$B72&lt;&gt;$B57,$B73&lt;&gt;$B58),IF($B65&lt;&gt;$B50,U50/INDEX($C48:$AJ58,3,MATCH(IF('Data-solution'!$A$3="Maximize",MAX($C59:$AI59),MIN($C59:$AI59)),$C59:$AI59,0)),U50-INDEX($C48:$AJ58,3,MATCH(IF('Data-solution'!$A$3="Maximize",MAX($C59:$AI59),MIN($C59:$AI59)),$C59:$AI59,0))*INDEX(U48:$AJ58,MATCH(MIN($AK48:$AK58),$AK48:$AK58,0),1)/INDEX($C48:$AJ58,MATCH(MIN($AK48:$AK58),$AK48:$AK58,0),MATCH(IF('Data-solution'!$A$3="Maximize",MAX($C59:$AI59),MIN($C59:$AI59)),$C59:$AI59,0))),U50)</f>
        <v>0</v>
      </c>
      <c r="V65" s="1">
        <f>IF(OR($B63&lt;&gt;$B48,$B64&lt;&gt;$B49,$B65&lt;&gt;$B50,$B66&lt;&gt;$B51,$B67&lt;&gt;$B52,$B68&lt;&gt;$B53,$B69&lt;&gt;$B54,$B70&lt;&gt;$B55,$B71&lt;&gt;$B56,$B72&lt;&gt;$B57,$B73&lt;&gt;$B58),IF($B65&lt;&gt;$B50,V50/INDEX($C48:$AJ58,3,MATCH(IF('Data-solution'!$A$3="Maximize",MAX($C59:$AI59),MIN($C59:$AI59)),$C59:$AI59,0)),V50-INDEX($C48:$AJ58,3,MATCH(IF('Data-solution'!$A$3="Maximize",MAX($C59:$AI59),MIN($C59:$AI59)),$C59:$AI59,0))*INDEX(V48:$AJ58,MATCH(MIN($AK48:$AK58),$AK48:$AK58,0),1)/INDEX($C48:$AJ58,MATCH(MIN($AK48:$AK58),$AK48:$AK58,0),MATCH(IF('Data-solution'!$A$3="Maximize",MAX($C59:$AI59),MIN($C59:$AI59)),$C59:$AI59,0))),V50)</f>
        <v>0</v>
      </c>
      <c r="W65" s="1">
        <f>IF(OR($B63&lt;&gt;$B48,$B64&lt;&gt;$B49,$B65&lt;&gt;$B50,$B66&lt;&gt;$B51,$B67&lt;&gt;$B52,$B68&lt;&gt;$B53,$B69&lt;&gt;$B54,$B70&lt;&gt;$B55,$B71&lt;&gt;$B56,$B72&lt;&gt;$B57,$B73&lt;&gt;$B58),IF($B65&lt;&gt;$B50,W50/INDEX($C48:$AJ58,3,MATCH(IF('Data-solution'!$A$3="Maximize",MAX($C59:$AI59),MIN($C59:$AI59)),$C59:$AI59,0)),W50-INDEX($C48:$AJ58,3,MATCH(IF('Data-solution'!$A$3="Maximize",MAX($C59:$AI59),MIN($C59:$AI59)),$C59:$AI59,0))*INDEX(W48:$AJ58,MATCH(MIN($AK48:$AK58),$AK48:$AK58,0),1)/INDEX($C48:$AJ58,MATCH(MIN($AK48:$AK58),$AK48:$AK58,0),MATCH(IF('Data-solution'!$A$3="Maximize",MAX($C59:$AI59),MIN($C59:$AI59)),$C59:$AI59,0))),W50)</f>
        <v>0</v>
      </c>
      <c r="X65" s="1">
        <f>IF(OR($B63&lt;&gt;$B48,$B64&lt;&gt;$B49,$B65&lt;&gt;$B50,$B66&lt;&gt;$B51,$B67&lt;&gt;$B52,$B68&lt;&gt;$B53,$B69&lt;&gt;$B54,$B70&lt;&gt;$B55,$B71&lt;&gt;$B56,$B72&lt;&gt;$B57,$B73&lt;&gt;$B58),IF($B65&lt;&gt;$B50,X50/INDEX($C48:$AJ58,3,MATCH(IF('Data-solution'!$A$3="Maximize",MAX($C59:$AI59),MIN($C59:$AI59)),$C59:$AI59,0)),X50-INDEX($C48:$AJ58,3,MATCH(IF('Data-solution'!$A$3="Maximize",MAX($C59:$AI59),MIN($C59:$AI59)),$C59:$AI59,0))*INDEX(X48:$AJ58,MATCH(MIN($AK48:$AK58),$AK48:$AK58,0),1)/INDEX($C48:$AJ58,MATCH(MIN($AK48:$AK58),$AK48:$AK58,0),MATCH(IF('Data-solution'!$A$3="Maximize",MAX($C59:$AI59),MIN($C59:$AI59)),$C59:$AI59,0))),X50)</f>
        <v>0</v>
      </c>
      <c r="Y65" s="1">
        <f>IF(OR($B63&lt;&gt;$B48,$B64&lt;&gt;$B49,$B65&lt;&gt;$B50,$B66&lt;&gt;$B51,$B67&lt;&gt;$B52,$B68&lt;&gt;$B53,$B69&lt;&gt;$B54,$B70&lt;&gt;$B55,$B71&lt;&gt;$B56,$B72&lt;&gt;$B57,$B73&lt;&gt;$B58),IF($B65&lt;&gt;$B50,Y50/INDEX($C48:$AJ58,3,MATCH(IF('Data-solution'!$A$3="Maximize",MAX($C59:$AI59),MIN($C59:$AI59)),$C59:$AI59,0)),Y50-INDEX($C48:$AJ58,3,MATCH(IF('Data-solution'!$A$3="Maximize",MAX($C59:$AI59),MIN($C59:$AI59)),$C59:$AI59,0))*INDEX(Y48:$AJ58,MATCH(MIN($AK48:$AK58),$AK48:$AK58,0),1)/INDEX($C48:$AJ58,MATCH(MIN($AK48:$AK58),$AK48:$AK58,0),MATCH(IF('Data-solution'!$A$3="Maximize",MAX($C59:$AI59),MIN($C59:$AI59)),$C59:$AI59,0))),Y50)</f>
        <v>0</v>
      </c>
      <c r="Z65" s="1">
        <f>IF(OR($B63&lt;&gt;$B48,$B64&lt;&gt;$B49,$B65&lt;&gt;$B50,$B66&lt;&gt;$B51,$B67&lt;&gt;$B52,$B68&lt;&gt;$B53,$B69&lt;&gt;$B54,$B70&lt;&gt;$B55,$B71&lt;&gt;$B56,$B72&lt;&gt;$B57,$B73&lt;&gt;$B58),IF($B65&lt;&gt;$B50,Z50/INDEX($C48:$AJ58,3,MATCH(IF('Data-solution'!$A$3="Maximize",MAX($C59:$AI59),MIN($C59:$AI59)),$C59:$AI59,0)),Z50-INDEX($C48:$AJ58,3,MATCH(IF('Data-solution'!$A$3="Maximize",MAX($C59:$AI59),MIN($C59:$AI59)),$C59:$AI59,0))*INDEX(Z48:$AJ58,MATCH(MIN($AK48:$AK58),$AK48:$AK58,0),1)/INDEX($C48:$AJ58,MATCH(MIN($AK48:$AK58),$AK48:$AK58,0),MATCH(IF('Data-solution'!$A$3="Maximize",MAX($C59:$AI59),MIN($C59:$AI59)),$C59:$AI59,0))),Z50)</f>
        <v>0</v>
      </c>
      <c r="AA65" s="1">
        <f>IF(OR($B63&lt;&gt;$B48,$B64&lt;&gt;$B49,$B65&lt;&gt;$B50,$B66&lt;&gt;$B51,$B67&lt;&gt;$B52,$B68&lt;&gt;$B53,$B69&lt;&gt;$B54,$B70&lt;&gt;$B55,$B71&lt;&gt;$B56,$B72&lt;&gt;$B57,$B73&lt;&gt;$B58),IF($B65&lt;&gt;$B50,AA50/INDEX($C48:$AJ58,3,MATCH(IF('Data-solution'!$A$3="Maximize",MAX($C59:$AI59),MIN($C59:$AI59)),$C59:$AI59,0)),AA50-INDEX($C48:$AJ58,3,MATCH(IF('Data-solution'!$A$3="Maximize",MAX($C59:$AI59),MIN($C59:$AI59)),$C59:$AI59,0))*INDEX(AA48:$AJ58,MATCH(MIN($AK48:$AK58),$AK48:$AK58,0),1)/INDEX($C48:$AJ58,MATCH(MIN($AK48:$AK58),$AK48:$AK58,0),MATCH(IF('Data-solution'!$A$3="Maximize",MAX($C59:$AI59),MIN($C59:$AI59)),$C59:$AI59,0))),AA50)</f>
        <v>0.24999999999999997</v>
      </c>
      <c r="AB65" s="1">
        <f>IF(OR($B63&lt;&gt;$B48,$B64&lt;&gt;$B49,$B65&lt;&gt;$B50,$B66&lt;&gt;$B51,$B67&lt;&gt;$B52,$B68&lt;&gt;$B53,$B69&lt;&gt;$B54,$B70&lt;&gt;$B55,$B71&lt;&gt;$B56,$B72&lt;&gt;$B57,$B73&lt;&gt;$B58),IF($B65&lt;&gt;$B50,AB50/INDEX($C48:$AJ58,3,MATCH(IF('Data-solution'!$A$3="Maximize",MAX($C59:$AI59),MIN($C59:$AI59)),$C59:$AI59,0)),AB50-INDEX($C48:$AJ58,3,MATCH(IF('Data-solution'!$A$3="Maximize",MAX($C59:$AI59),MIN($C59:$AI59)),$C59:$AI59,0))*INDEX(AB48:$AJ58,MATCH(MIN($AK48:$AK58),$AK48:$AK58,0),1)/INDEX($C48:$AJ58,MATCH(MIN($AK48:$AK58),$AK48:$AK58,0),MATCH(IF('Data-solution'!$A$3="Maximize",MAX($C59:$AI59),MIN($C59:$AI59)),$C59:$AI59,0))),AB50)</f>
        <v>-0.49999999999999989</v>
      </c>
      <c r="AC65" s="1">
        <f>IF(OR($B63&lt;&gt;$B48,$B64&lt;&gt;$B49,$B65&lt;&gt;$B50,$B66&lt;&gt;$B51,$B67&lt;&gt;$B52,$B68&lt;&gt;$B53,$B69&lt;&gt;$B54,$B70&lt;&gt;$B55,$B71&lt;&gt;$B56,$B72&lt;&gt;$B57,$B73&lt;&gt;$B58),IF($B65&lt;&gt;$B50,AC50/INDEX($C48:$AJ58,3,MATCH(IF('Data-solution'!$A$3="Maximize",MAX($C59:$AI59),MIN($C59:$AI59)),$C59:$AI59,0)),AC50-INDEX($C48:$AJ58,3,MATCH(IF('Data-solution'!$A$3="Maximize",MAX($C59:$AI59),MIN($C59:$AI59)),$C59:$AI59,0))*INDEX(AC48:$AJ58,MATCH(MIN($AK48:$AK58),$AK48:$AK58,0),1)/INDEX($C48:$AJ58,MATCH(MIN($AK48:$AK58),$AK48:$AK58,0),MATCH(IF('Data-solution'!$A$3="Maximize",MAX($C59:$AI59),MIN($C59:$AI59)),$C59:$AI59,0))),AC50)</f>
        <v>0</v>
      </c>
      <c r="AD65" s="1">
        <f>IF(OR($B63&lt;&gt;$B48,$B64&lt;&gt;$B49,$B65&lt;&gt;$B50,$B66&lt;&gt;$B51,$B67&lt;&gt;$B52,$B68&lt;&gt;$B53,$B69&lt;&gt;$B54,$B70&lt;&gt;$B55,$B71&lt;&gt;$B56,$B72&lt;&gt;$B57,$B73&lt;&gt;$B58),IF($B65&lt;&gt;$B50,AD50/INDEX($C48:$AJ58,3,MATCH(IF('Data-solution'!$A$3="Maximize",MAX($C59:$AI59),MIN($C59:$AI59)),$C59:$AI59,0)),AD50-INDEX($C48:$AJ58,3,MATCH(IF('Data-solution'!$A$3="Maximize",MAX($C59:$AI59),MIN($C59:$AI59)),$C59:$AI59,0))*INDEX(AD48:$AJ58,MATCH(MIN($AK48:$AK58),$AK48:$AK58,0),1)/INDEX($C48:$AJ58,MATCH(MIN($AK48:$AK58),$AK48:$AK58,0),MATCH(IF('Data-solution'!$A$3="Maximize",MAX($C59:$AI59),MIN($C59:$AI59)),$C59:$AI59,0))),AD50)</f>
        <v>0</v>
      </c>
      <c r="AE65" s="1">
        <f>IF(OR($B63&lt;&gt;$B48,$B64&lt;&gt;$B49,$B65&lt;&gt;$B50,$B66&lt;&gt;$B51,$B67&lt;&gt;$B52,$B68&lt;&gt;$B53,$B69&lt;&gt;$B54,$B70&lt;&gt;$B55,$B71&lt;&gt;$B56,$B72&lt;&gt;$B57,$B73&lt;&gt;$B58),IF($B65&lt;&gt;$B50,AE50/INDEX($C48:$AJ58,3,MATCH(IF('Data-solution'!$A$3="Maximize",MAX($C59:$AI59),MIN($C59:$AI59)),$C59:$AI59,0)),AE50-INDEX($C48:$AJ58,3,MATCH(IF('Data-solution'!$A$3="Maximize",MAX($C59:$AI59),MIN($C59:$AI59)),$C59:$AI59,0))*INDEX(AE48:$AJ58,MATCH(MIN($AK48:$AK58),$AK48:$AK58,0),1)/INDEX($C48:$AJ58,MATCH(MIN($AK48:$AK58),$AK48:$AK58,0),MATCH(IF('Data-solution'!$A$3="Maximize",MAX($C59:$AI59),MIN($C59:$AI59)),$C59:$AI59,0))),AE50)</f>
        <v>0</v>
      </c>
      <c r="AF65" s="1">
        <f>IF(OR($B63&lt;&gt;$B48,$B64&lt;&gt;$B49,$B65&lt;&gt;$B50,$B66&lt;&gt;$B51,$B67&lt;&gt;$B52,$B68&lt;&gt;$B53,$B69&lt;&gt;$B54,$B70&lt;&gt;$B55,$B71&lt;&gt;$B56,$B72&lt;&gt;$B57,$B73&lt;&gt;$B58),IF($B65&lt;&gt;$B50,AF50/INDEX($C48:$AJ58,3,MATCH(IF('Data-solution'!$A$3="Maximize",MAX($C59:$AI59),MIN($C59:$AI59)),$C59:$AI59,0)),AF50-INDEX($C48:$AJ58,3,MATCH(IF('Data-solution'!$A$3="Maximize",MAX($C59:$AI59),MIN($C59:$AI59)),$C59:$AI59,0))*INDEX(AF48:$AJ58,MATCH(MIN($AK48:$AK58),$AK48:$AK58,0),1)/INDEX($C48:$AJ58,MATCH(MIN($AK48:$AK58),$AK48:$AK58,0),MATCH(IF('Data-solution'!$A$3="Maximize",MAX($C59:$AI59),MIN($C59:$AI59)),$C59:$AI59,0))),AF50)</f>
        <v>0</v>
      </c>
      <c r="AG65" s="1">
        <f>IF(OR($B63&lt;&gt;$B48,$B64&lt;&gt;$B49,$B65&lt;&gt;$B50,$B66&lt;&gt;$B51,$B67&lt;&gt;$B52,$B68&lt;&gt;$B53,$B69&lt;&gt;$B54,$B70&lt;&gt;$B55,$B71&lt;&gt;$B56,$B72&lt;&gt;$B57,$B73&lt;&gt;$B58),IF($B65&lt;&gt;$B50,AG50/INDEX($C48:$AJ58,3,MATCH(IF('Data-solution'!$A$3="Maximize",MAX($C59:$AI59),MIN($C59:$AI59)),$C59:$AI59,0)),AG50-INDEX($C48:$AJ58,3,MATCH(IF('Data-solution'!$A$3="Maximize",MAX($C59:$AI59),MIN($C59:$AI59)),$C59:$AI59,0))*INDEX(AG48:$AJ58,MATCH(MIN($AK48:$AK58),$AK48:$AK58,0),1)/INDEX($C48:$AJ58,MATCH(MIN($AK48:$AK58),$AK48:$AK58,0),MATCH(IF('Data-solution'!$A$3="Maximize",MAX($C59:$AI59),MIN($C59:$AI59)),$C59:$AI59,0))),AG50)</f>
        <v>0</v>
      </c>
      <c r="AH65" s="1">
        <f>IF(OR($B63&lt;&gt;$B48,$B64&lt;&gt;$B49,$B65&lt;&gt;$B50,$B66&lt;&gt;$B51,$B67&lt;&gt;$B52,$B68&lt;&gt;$B53,$B69&lt;&gt;$B54,$B70&lt;&gt;$B55,$B71&lt;&gt;$B56,$B72&lt;&gt;$B57,$B73&lt;&gt;$B58),IF($B65&lt;&gt;$B50,AH50/INDEX($C48:$AJ58,3,MATCH(IF('Data-solution'!$A$3="Maximize",MAX($C59:$AI59),MIN($C59:$AI59)),$C59:$AI59,0)),AH50-INDEX($C48:$AJ58,3,MATCH(IF('Data-solution'!$A$3="Maximize",MAX($C59:$AI59),MIN($C59:$AI59)),$C59:$AI59,0))*INDEX(AH48:$AJ58,MATCH(MIN($AK48:$AK58),$AK48:$AK58,0),1)/INDEX($C48:$AJ58,MATCH(MIN($AK48:$AK58),$AK48:$AK58,0),MATCH(IF('Data-solution'!$A$3="Maximize",MAX($C59:$AI59),MIN($C59:$AI59)),$C59:$AI59,0))),AH50)</f>
        <v>0</v>
      </c>
      <c r="AI65" s="1">
        <f>IF(OR($B63&lt;&gt;$B48,$B64&lt;&gt;$B49,$B65&lt;&gt;$B50,$B66&lt;&gt;$B51,$B67&lt;&gt;$B52,$B68&lt;&gt;$B53,$B69&lt;&gt;$B54,$B70&lt;&gt;$B55,$B71&lt;&gt;$B56,$B72&lt;&gt;$B57,$B73&lt;&gt;$B58),IF($B65&lt;&gt;$B50,AI50/INDEX($C48:$AJ58,3,MATCH(IF('Data-solution'!$A$3="Maximize",MAX($C59:$AI59),MIN($C59:$AI59)),$C59:$AI59,0)),AI50-INDEX($C48:$AJ58,3,MATCH(IF('Data-solution'!$A$3="Maximize",MAX($C59:$AI59),MIN($C59:$AI59)),$C59:$AI59,0))*INDEX(AI48:$AJ58,MATCH(MIN($AK48:$AK58),$AK48:$AK58,0),1)/INDEX($C48:$AJ58,MATCH(MIN($AK48:$AK58),$AK48:$AK58,0),MATCH(IF('Data-solution'!$A$3="Maximize",MAX($C59:$AI59),MIN($C59:$AI59)),$C59:$AI59,0))),AI50)</f>
        <v>0</v>
      </c>
      <c r="AJ65" s="1">
        <f>IF(OR($B63&lt;&gt;$B48,$B64&lt;&gt;$B49,$B65&lt;&gt;$B50,$B66&lt;&gt;$B51,$B67&lt;&gt;$B52,$B68&lt;&gt;$B53,$B69&lt;&gt;$B54,$B70&lt;&gt;$B55,$B71&lt;&gt;$B56,$B72&lt;&gt;$B57,$B73&lt;&gt;$B58),IF($B65&lt;&gt;$B50,AJ50/INDEX($C48:$AJ58,3,MATCH(IF('Data-solution'!$A$3="Maximize",MAX($C59:$AI59),MIN($C59:$AI59)),$C59:$AI59,0)),AJ50-INDEX($C48:$AJ58,3,MATCH(IF('Data-solution'!$A$3="Maximize",MAX($C59:$AI59),MIN($C59:$AI59)),$C59:$AI59,0))*INDEX(AJ48:$AJ58,MATCH(MIN($AK48:$AK58),$AK48:$AK58,0),1)/INDEX($C48:$AJ58,MATCH(MIN($AK48:$AK58),$AK48:$AK58,0),MATCH(IF('Data-solution'!$A$3="Maximize",MAX($C59:$AI59),MIN($C59:$AI59)),$C59:$AI59,0))),AJ50)</f>
        <v>300</v>
      </c>
      <c r="AK65" s="1" t="str">
        <f>IF(INDEX(C65:X65,1,MATCH(IF('Data-solution'!A$3="Maximize",MAX(C74:X74),MIN(C74:X74)),C74:X74,0))&gt;0,AJ65/INDEX(C65:X65,1,MATCH(IF('Data-solution'!A$3="Maximize",MAX(C74:X74),MIN(C74:X74)),C74:X74,0))," ")</f>
        <v xml:space="preserve"> </v>
      </c>
    </row>
    <row r="66" spans="1:37" ht="18" customHeight="1" x14ac:dyDescent="0.2">
      <c r="A66" s="1">
        <f t="shared" ref="A66" si="39">INDEX(C61:AI61,1,MATCH(B66,C62:AI62,0))</f>
        <v>150</v>
      </c>
      <c r="B66" s="2" t="str">
        <f>IF(AND('Data-solution'!A$3="Maximize",COUNTIF(C59:X59,"&gt;"&amp;0)&gt;0,AK51=MIN(AK48:AK58),COUNTIF(B63:B65,INDEX(C47:X47,1,MATCH(MAX(C59:X59),C59:X59,0)))=0),INDEX(C47:X47,1,MATCH(MAX(C59:X59),C59:X59,0)),IF(AND('Data-solution'!A$3="Minimize",COUNTIF(C59:X59,"&lt;"&amp;0)&gt;0,AK51=MIN(AK48:AK58),COUNTIF(B63:B65,INDEX(C47:X47,1,MATCH(MIN(C59:X59),C59:X59,0)))=0),INDEX(C47:X47,1,MATCH(MIN(C59:X59),C59:X59,0)),B51))</f>
        <v>X1</v>
      </c>
      <c r="C66" s="1">
        <f>IF(OR($B63&lt;&gt;$B48,$B64&lt;&gt;$B49,$B65&lt;&gt;$B50,$B66&lt;&gt;$B51,$B67&lt;&gt;$B52,$B68&lt;&gt;$B53,$B69&lt;&gt;$B54,$B70&lt;&gt;$B55,$B71&lt;&gt;$B56,$B72&lt;&gt;$B57,$B73&lt;&gt;$B58),IF($B66&lt;&gt;$B51,C51/INDEX($C48:$AJ58,4,MATCH(IF('Data-solution'!$A$3="Maximize",MAX($C59:$AI59),MIN($C59:$AI59)),$C59:$AI59,0)),C51-INDEX($C48:$AJ58,4,MATCH(IF('Data-solution'!$A$3="Maximize",MAX($C59:$AI59),MIN($C59:$AI59)),$C59:$AI59,0))*INDEX(C48:$AJ58,MATCH(MIN($AK48:$AK58),$AK48:$AK58,0),1)/INDEX($C48:$AJ58,MATCH(MIN($AK48:$AK58),$AK48:$AK58,0),MATCH(IF('Data-solution'!$A$3="Maximize",MAX($C59:$AI59),MIN($C59:$AI59)),$C59:$AI59,0))),C51)</f>
        <v>1</v>
      </c>
      <c r="D66" s="1">
        <f>IF(OR($B63&lt;&gt;$B48,$B64&lt;&gt;$B49,$B65&lt;&gt;$B50,$B66&lt;&gt;$B51,$B67&lt;&gt;$B52,$B68&lt;&gt;$B53,$B69&lt;&gt;$B54,$B70&lt;&gt;$B55,$B71&lt;&gt;$B56,$B72&lt;&gt;$B57,$B73&lt;&gt;$B58),IF($B66&lt;&gt;$B51,D51/INDEX($C48:$AJ58,4,MATCH(IF('Data-solution'!$A$3="Maximize",MAX($C59:$AI59),MIN($C59:$AI59)),$C59:$AI59,0)),D51-INDEX($C48:$AJ58,4,MATCH(IF('Data-solution'!$A$3="Maximize",MAX($C59:$AI59),MIN($C59:$AI59)),$C59:$AI59,0))*INDEX(D48:$AJ58,MATCH(MIN($AK48:$AK58),$AK48:$AK58,0),1)/INDEX($C48:$AJ58,MATCH(MIN($AK48:$AK58),$AK48:$AK58,0),MATCH(IF('Data-solution'!$A$3="Maximize",MAX($C59:$AI59),MIN($C59:$AI59)),$C59:$AI59,0))),D51)</f>
        <v>-1.25</v>
      </c>
      <c r="E66" s="1">
        <f>IF(OR($B63&lt;&gt;$B48,$B64&lt;&gt;$B49,$B65&lt;&gt;$B50,$B66&lt;&gt;$B51,$B67&lt;&gt;$B52,$B68&lt;&gt;$B53,$B69&lt;&gt;$B54,$B70&lt;&gt;$B55,$B71&lt;&gt;$B56,$B72&lt;&gt;$B57,$B73&lt;&gt;$B58),IF($B66&lt;&gt;$B51,E51/INDEX($C48:$AJ58,4,MATCH(IF('Data-solution'!$A$3="Maximize",MAX($C59:$AI59),MIN($C59:$AI59)),$C59:$AI59,0)),E51-INDEX($C48:$AJ58,4,MATCH(IF('Data-solution'!$A$3="Maximize",MAX($C59:$AI59),MIN($C59:$AI59)),$C59:$AI59,0))*INDEX(E48:$AJ58,MATCH(MIN($AK48:$AK58),$AK48:$AK58,0),1)/INDEX($C48:$AJ58,MATCH(MIN($AK48:$AK58),$AK48:$AK58,0),MATCH(IF('Data-solution'!$A$3="Maximize",MAX($C59:$AI59),MIN($C59:$AI59)),$C59:$AI59,0))),E51)</f>
        <v>0</v>
      </c>
      <c r="F66" s="1">
        <f>IF(OR($B63&lt;&gt;$B48,$B64&lt;&gt;$B49,$B65&lt;&gt;$B50,$B66&lt;&gt;$B51,$B67&lt;&gt;$B52,$B68&lt;&gt;$B53,$B69&lt;&gt;$B54,$B70&lt;&gt;$B55,$B71&lt;&gt;$B56,$B72&lt;&gt;$B57,$B73&lt;&gt;$B58),IF($B66&lt;&gt;$B51,F51/INDEX($C48:$AJ58,4,MATCH(IF('Data-solution'!$A$3="Maximize",MAX($C59:$AI59),MIN($C59:$AI59)),$C59:$AI59,0)),F51-INDEX($C48:$AJ58,4,MATCH(IF('Data-solution'!$A$3="Maximize",MAX($C59:$AI59),MIN($C59:$AI59)),$C59:$AI59,0))*INDEX(F48:$AJ58,MATCH(MIN($AK48:$AK58),$AK48:$AK58,0),1)/INDEX($C48:$AJ58,MATCH(MIN($AK48:$AK58),$AK48:$AK58,0),MATCH(IF('Data-solution'!$A$3="Maximize",MAX($C59:$AI59),MIN($C59:$AI59)),$C59:$AI59,0))),F51)</f>
        <v>0</v>
      </c>
      <c r="G66" s="1">
        <f>IF(OR($B63&lt;&gt;$B48,$B64&lt;&gt;$B49,$B65&lt;&gt;$B50,$B66&lt;&gt;$B51,$B67&lt;&gt;$B52,$B68&lt;&gt;$B53,$B69&lt;&gt;$B54,$B70&lt;&gt;$B55,$B71&lt;&gt;$B56,$B72&lt;&gt;$B57,$B73&lt;&gt;$B58),IF($B66&lt;&gt;$B51,G51/INDEX($C48:$AJ58,4,MATCH(IF('Data-solution'!$A$3="Maximize",MAX($C59:$AI59),MIN($C59:$AI59)),$C59:$AI59,0)),G51-INDEX($C48:$AJ58,4,MATCH(IF('Data-solution'!$A$3="Maximize",MAX($C59:$AI59),MIN($C59:$AI59)),$C59:$AI59,0))*INDEX(G48:$AJ58,MATCH(MIN($AK48:$AK58),$AK48:$AK58,0),1)/INDEX($C48:$AJ58,MATCH(MIN($AK48:$AK58),$AK48:$AK58,0),MATCH(IF('Data-solution'!$A$3="Maximize",MAX($C59:$AI59),MIN($C59:$AI59)),$C59:$AI59,0))),G51)</f>
        <v>0</v>
      </c>
      <c r="H66" s="1">
        <f>IF(OR($B63&lt;&gt;$B48,$B64&lt;&gt;$B49,$B65&lt;&gt;$B50,$B66&lt;&gt;$B51,$B67&lt;&gt;$B52,$B68&lt;&gt;$B53,$B69&lt;&gt;$B54,$B70&lt;&gt;$B55,$B71&lt;&gt;$B56,$B72&lt;&gt;$B57,$B73&lt;&gt;$B58),IF($B66&lt;&gt;$B51,H51/INDEX($C48:$AJ58,4,MATCH(IF('Data-solution'!$A$3="Maximize",MAX($C59:$AI59),MIN($C59:$AI59)),$C59:$AI59,0)),H51-INDEX($C48:$AJ58,4,MATCH(IF('Data-solution'!$A$3="Maximize",MAX($C59:$AI59),MIN($C59:$AI59)),$C59:$AI59,0))*INDEX(H48:$AJ58,MATCH(MIN($AK48:$AK58),$AK48:$AK58,0),1)/INDEX($C48:$AJ58,MATCH(MIN($AK48:$AK58),$AK48:$AK58,0),MATCH(IF('Data-solution'!$A$3="Maximize",MAX($C59:$AI59),MIN($C59:$AI59)),$C59:$AI59,0))),H51)</f>
        <v>0</v>
      </c>
      <c r="I66" s="1">
        <f>IF(OR($B63&lt;&gt;$B48,$B64&lt;&gt;$B49,$B65&lt;&gt;$B50,$B66&lt;&gt;$B51,$B67&lt;&gt;$B52,$B68&lt;&gt;$B53,$B69&lt;&gt;$B54,$B70&lt;&gt;$B55,$B71&lt;&gt;$B56,$B72&lt;&gt;$B57,$B73&lt;&gt;$B58),IF($B66&lt;&gt;$B51,I51/INDEX($C48:$AJ58,4,MATCH(IF('Data-solution'!$A$3="Maximize",MAX($C59:$AI59),MIN($C59:$AI59)),$C59:$AI59,0)),I51-INDEX($C48:$AJ58,4,MATCH(IF('Data-solution'!$A$3="Maximize",MAX($C59:$AI59),MIN($C59:$AI59)),$C59:$AI59,0))*INDEX(I48:$AJ58,MATCH(MIN($AK48:$AK58),$AK48:$AK58,0),1)/INDEX($C48:$AJ58,MATCH(MIN($AK48:$AK58),$AK48:$AK58,0),MATCH(IF('Data-solution'!$A$3="Maximize",MAX($C59:$AI59),MIN($C59:$AI59)),$C59:$AI59,0))),I51)</f>
        <v>0</v>
      </c>
      <c r="J66" s="1">
        <f>IF(OR($B63&lt;&gt;$B48,$B64&lt;&gt;$B49,$B65&lt;&gt;$B50,$B66&lt;&gt;$B51,$B67&lt;&gt;$B52,$B68&lt;&gt;$B53,$B69&lt;&gt;$B54,$B70&lt;&gt;$B55,$B71&lt;&gt;$B56,$B72&lt;&gt;$B57,$B73&lt;&gt;$B58),IF($B66&lt;&gt;$B51,J51/INDEX($C48:$AJ58,4,MATCH(IF('Data-solution'!$A$3="Maximize",MAX($C59:$AI59),MIN($C59:$AI59)),$C59:$AI59,0)),J51-INDEX($C48:$AJ58,4,MATCH(IF('Data-solution'!$A$3="Maximize",MAX($C59:$AI59),MIN($C59:$AI59)),$C59:$AI59,0))*INDEX(J48:$AJ58,MATCH(MIN($AK48:$AK58),$AK48:$AK58,0),1)/INDEX($C48:$AJ58,MATCH(MIN($AK48:$AK58),$AK48:$AK58,0),MATCH(IF('Data-solution'!$A$3="Maximize",MAX($C59:$AI59),MIN($C59:$AI59)),$C59:$AI59,0))),J51)</f>
        <v>0</v>
      </c>
      <c r="K66" s="1">
        <f>IF(OR($B63&lt;&gt;$B48,$B64&lt;&gt;$B49,$B65&lt;&gt;$B50,$B66&lt;&gt;$B51,$B67&lt;&gt;$B52,$B68&lt;&gt;$B53,$B69&lt;&gt;$B54,$B70&lt;&gt;$B55,$B71&lt;&gt;$B56,$B72&lt;&gt;$B57,$B73&lt;&gt;$B58),IF($B66&lt;&gt;$B51,K51/INDEX($C48:$AJ58,4,MATCH(IF('Data-solution'!$A$3="Maximize",MAX($C59:$AI59),MIN($C59:$AI59)),$C59:$AI59,0)),K51-INDEX($C48:$AJ58,4,MATCH(IF('Data-solution'!$A$3="Maximize",MAX($C59:$AI59),MIN($C59:$AI59)),$C59:$AI59,0))*INDEX(K48:$AJ58,MATCH(MIN($AK48:$AK58),$AK48:$AK58,0),1)/INDEX($C48:$AJ58,MATCH(MIN($AK48:$AK58),$AK48:$AK58,0),MATCH(IF('Data-solution'!$A$3="Maximize",MAX($C59:$AI59),MIN($C59:$AI59)),$C59:$AI59,0))),K51)</f>
        <v>0</v>
      </c>
      <c r="L66" s="1">
        <f>IF(OR($B63&lt;&gt;$B48,$B64&lt;&gt;$B49,$B65&lt;&gt;$B50,$B66&lt;&gt;$B51,$B67&lt;&gt;$B52,$B68&lt;&gt;$B53,$B69&lt;&gt;$B54,$B70&lt;&gt;$B55,$B71&lt;&gt;$B56,$B72&lt;&gt;$B57,$B73&lt;&gt;$B58),IF($B66&lt;&gt;$B51,L51/INDEX($C48:$AJ58,4,MATCH(IF('Data-solution'!$A$3="Maximize",MAX($C59:$AI59),MIN($C59:$AI59)),$C59:$AI59,0)),L51-INDEX($C48:$AJ58,4,MATCH(IF('Data-solution'!$A$3="Maximize",MAX($C59:$AI59),MIN($C59:$AI59)),$C59:$AI59,0))*INDEX(L48:$AJ58,MATCH(MIN($AK48:$AK58),$AK48:$AK58,0),1)/INDEX($C48:$AJ58,MATCH(MIN($AK48:$AK58),$AK48:$AK58,0),MATCH(IF('Data-solution'!$A$3="Maximize",MAX($C59:$AI59),MIN($C59:$AI59)),$C59:$AI59,0))),L51)</f>
        <v>0</v>
      </c>
      <c r="M66" s="1">
        <f>IF(OR($B63&lt;&gt;$B48,$B64&lt;&gt;$B49,$B65&lt;&gt;$B50,$B66&lt;&gt;$B51,$B67&lt;&gt;$B52,$B68&lt;&gt;$B53,$B69&lt;&gt;$B54,$B70&lt;&gt;$B55,$B71&lt;&gt;$B56,$B72&lt;&gt;$B57,$B73&lt;&gt;$B58),IF($B66&lt;&gt;$B51,M51/INDEX($C48:$AJ58,4,MATCH(IF('Data-solution'!$A$3="Maximize",MAX($C59:$AI59),MIN($C59:$AI59)),$C59:$AI59,0)),M51-INDEX($C48:$AJ58,4,MATCH(IF('Data-solution'!$A$3="Maximize",MAX($C59:$AI59),MIN($C59:$AI59)),$C59:$AI59,0))*INDEX(M48:$AJ58,MATCH(MIN($AK48:$AK58),$AK48:$AK58,0),1)/INDEX($C48:$AJ58,MATCH(MIN($AK48:$AK58),$AK48:$AK58,0),MATCH(IF('Data-solution'!$A$3="Maximize",MAX($C59:$AI59),MIN($C59:$AI59)),$C59:$AI59,0))),M51)</f>
        <v>0</v>
      </c>
      <c r="N66" s="1">
        <f>IF(OR($B63&lt;&gt;$B48,$B64&lt;&gt;$B49,$B65&lt;&gt;$B50,$B66&lt;&gt;$B51,$B67&lt;&gt;$B52,$B68&lt;&gt;$B53,$B69&lt;&gt;$B54,$B70&lt;&gt;$B55,$B71&lt;&gt;$B56,$B72&lt;&gt;$B57,$B73&lt;&gt;$B58),IF($B66&lt;&gt;$B51,N51/INDEX($C48:$AJ58,4,MATCH(IF('Data-solution'!$A$3="Maximize",MAX($C59:$AI59),MIN($C59:$AI59)),$C59:$AI59,0)),N51-INDEX($C48:$AJ58,4,MATCH(IF('Data-solution'!$A$3="Maximize",MAX($C59:$AI59),MIN($C59:$AI59)),$C59:$AI59,0))*INDEX(N48:$AJ58,MATCH(MIN($AK48:$AK58),$AK48:$AK58,0),1)/INDEX($C48:$AJ58,MATCH(MIN($AK48:$AK58),$AK48:$AK58,0),MATCH(IF('Data-solution'!$A$3="Maximize",MAX($C59:$AI59),MIN($C59:$AI59)),$C59:$AI59,0))),N51)</f>
        <v>0</v>
      </c>
      <c r="O66" s="1">
        <f>IF(OR($B63&lt;&gt;$B48,$B64&lt;&gt;$B49,$B65&lt;&gt;$B50,$B66&lt;&gt;$B51,$B67&lt;&gt;$B52,$B68&lt;&gt;$B53,$B69&lt;&gt;$B54,$B70&lt;&gt;$B55,$B71&lt;&gt;$B56,$B72&lt;&gt;$B57,$B73&lt;&gt;$B58),IF($B66&lt;&gt;$B51,O51/INDEX($C48:$AJ58,4,MATCH(IF('Data-solution'!$A$3="Maximize",MAX($C59:$AI59),MIN($C59:$AI59)),$C59:$AI59,0)),O51-INDEX($C48:$AJ58,4,MATCH(IF('Data-solution'!$A$3="Maximize",MAX($C59:$AI59),MIN($C59:$AI59)),$C59:$AI59,0))*INDEX(O48:$AJ58,MATCH(MIN($AK48:$AK58),$AK48:$AK58,0),1)/INDEX($C48:$AJ58,MATCH(MIN($AK48:$AK58),$AK48:$AK58,0),MATCH(IF('Data-solution'!$A$3="Maximize",MAX($C59:$AI59),MIN($C59:$AI59)),$C59:$AI59,0))),O51)</f>
        <v>0</v>
      </c>
      <c r="P66" s="1">
        <f>IF(OR($B63&lt;&gt;$B48,$B64&lt;&gt;$B49,$B65&lt;&gt;$B50,$B66&lt;&gt;$B51,$B67&lt;&gt;$B52,$B68&lt;&gt;$B53,$B69&lt;&gt;$B54,$B70&lt;&gt;$B55,$B71&lt;&gt;$B56,$B72&lt;&gt;$B57,$B73&lt;&gt;$B58),IF($B66&lt;&gt;$B51,P51/INDEX($C48:$AJ58,4,MATCH(IF('Data-solution'!$A$3="Maximize",MAX($C59:$AI59),MIN($C59:$AI59)),$C59:$AI59,0)),P51-INDEX($C48:$AJ58,4,MATCH(IF('Data-solution'!$A$3="Maximize",MAX($C59:$AI59),MIN($C59:$AI59)),$C59:$AI59,0))*INDEX(P48:$AJ58,MATCH(MIN($AK48:$AK58),$AK48:$AK58,0),1)/INDEX($C48:$AJ58,MATCH(MIN($AK48:$AK58),$AK48:$AK58,0),MATCH(IF('Data-solution'!$A$3="Maximize",MAX($C59:$AI59),MIN($C59:$AI59)),$C59:$AI59,0))),P51)</f>
        <v>-0.24999999999999994</v>
      </c>
      <c r="Q66" s="1">
        <f>IF(OR($B63&lt;&gt;$B48,$B64&lt;&gt;$B49,$B65&lt;&gt;$B50,$B66&lt;&gt;$B51,$B67&lt;&gt;$B52,$B68&lt;&gt;$B53,$B69&lt;&gt;$B54,$B70&lt;&gt;$B55,$B71&lt;&gt;$B56,$B72&lt;&gt;$B57,$B73&lt;&gt;$B58),IF($B66&lt;&gt;$B51,Q51/INDEX($C48:$AJ58,4,MATCH(IF('Data-solution'!$A$3="Maximize",MAX($C59:$AI59),MIN($C59:$AI59)),$C59:$AI59,0)),Q51-INDEX($C48:$AJ58,4,MATCH(IF('Data-solution'!$A$3="Maximize",MAX($C59:$AI59),MIN($C59:$AI59)),$C59:$AI59,0))*INDEX(Q48:$AJ58,MATCH(MIN($AK48:$AK58),$AK48:$AK58,0),1)/INDEX($C48:$AJ58,MATCH(MIN($AK48:$AK58),$AK48:$AK58,0),MATCH(IF('Data-solution'!$A$3="Maximize",MAX($C59:$AI59),MIN($C59:$AI59)),$C59:$AI59,0))),Q51)</f>
        <v>1.4999999999999998</v>
      </c>
      <c r="R66" s="1">
        <f>IF(OR($B63&lt;&gt;$B48,$B64&lt;&gt;$B49,$B65&lt;&gt;$B50,$B66&lt;&gt;$B51,$B67&lt;&gt;$B52,$B68&lt;&gt;$B53,$B69&lt;&gt;$B54,$B70&lt;&gt;$B55,$B71&lt;&gt;$B56,$B72&lt;&gt;$B57,$B73&lt;&gt;$B58),IF($B66&lt;&gt;$B51,R51/INDEX($C48:$AJ58,4,MATCH(IF('Data-solution'!$A$3="Maximize",MAX($C59:$AI59),MIN($C59:$AI59)),$C59:$AI59,0)),R51-INDEX($C48:$AJ58,4,MATCH(IF('Data-solution'!$A$3="Maximize",MAX($C59:$AI59),MIN($C59:$AI59)),$C59:$AI59,0))*INDEX(R48:$AJ58,MATCH(MIN($AK48:$AK58),$AK48:$AK58,0),1)/INDEX($C48:$AJ58,MATCH(MIN($AK48:$AK58),$AK48:$AK58,0),MATCH(IF('Data-solution'!$A$3="Maximize",MAX($C59:$AI59),MIN($C59:$AI59)),$C59:$AI59,0))),R51)</f>
        <v>0</v>
      </c>
      <c r="S66" s="1">
        <f>IF(OR($B63&lt;&gt;$B48,$B64&lt;&gt;$B49,$B65&lt;&gt;$B50,$B66&lt;&gt;$B51,$B67&lt;&gt;$B52,$B68&lt;&gt;$B53,$B69&lt;&gt;$B54,$B70&lt;&gt;$B55,$B71&lt;&gt;$B56,$B72&lt;&gt;$B57,$B73&lt;&gt;$B58),IF($B66&lt;&gt;$B51,S51/INDEX($C48:$AJ58,4,MATCH(IF('Data-solution'!$A$3="Maximize",MAX($C59:$AI59),MIN($C59:$AI59)),$C59:$AI59,0)),S51-INDEX($C48:$AJ58,4,MATCH(IF('Data-solution'!$A$3="Maximize",MAX($C59:$AI59),MIN($C59:$AI59)),$C59:$AI59,0))*INDEX(S48:$AJ58,MATCH(MIN($AK48:$AK58),$AK48:$AK58,0),1)/INDEX($C48:$AJ58,MATCH(MIN($AK48:$AK58),$AK48:$AK58,0),MATCH(IF('Data-solution'!$A$3="Maximize",MAX($C59:$AI59),MIN($C59:$AI59)),$C59:$AI59,0))),S51)</f>
        <v>0</v>
      </c>
      <c r="T66" s="1">
        <f>IF(OR($B63&lt;&gt;$B48,$B64&lt;&gt;$B49,$B65&lt;&gt;$B50,$B66&lt;&gt;$B51,$B67&lt;&gt;$B52,$B68&lt;&gt;$B53,$B69&lt;&gt;$B54,$B70&lt;&gt;$B55,$B71&lt;&gt;$B56,$B72&lt;&gt;$B57,$B73&lt;&gt;$B58),IF($B66&lt;&gt;$B51,T51/INDEX($C48:$AJ58,4,MATCH(IF('Data-solution'!$A$3="Maximize",MAX($C59:$AI59),MIN($C59:$AI59)),$C59:$AI59,0)),T51-INDEX($C48:$AJ58,4,MATCH(IF('Data-solution'!$A$3="Maximize",MAX($C59:$AI59),MIN($C59:$AI59)),$C59:$AI59,0))*INDEX(T48:$AJ58,MATCH(MIN($AK48:$AK58),$AK48:$AK58,0),1)/INDEX($C48:$AJ58,MATCH(MIN($AK48:$AK58),$AK48:$AK58,0),MATCH(IF('Data-solution'!$A$3="Maximize",MAX($C59:$AI59),MIN($C59:$AI59)),$C59:$AI59,0))),T51)</f>
        <v>0</v>
      </c>
      <c r="U66" s="1">
        <f>IF(OR($B63&lt;&gt;$B48,$B64&lt;&gt;$B49,$B65&lt;&gt;$B50,$B66&lt;&gt;$B51,$B67&lt;&gt;$B52,$B68&lt;&gt;$B53,$B69&lt;&gt;$B54,$B70&lt;&gt;$B55,$B71&lt;&gt;$B56,$B72&lt;&gt;$B57,$B73&lt;&gt;$B58),IF($B66&lt;&gt;$B51,U51/INDEX($C48:$AJ58,4,MATCH(IF('Data-solution'!$A$3="Maximize",MAX($C59:$AI59),MIN($C59:$AI59)),$C59:$AI59,0)),U51-INDEX($C48:$AJ58,4,MATCH(IF('Data-solution'!$A$3="Maximize",MAX($C59:$AI59),MIN($C59:$AI59)),$C59:$AI59,0))*INDEX(U48:$AJ58,MATCH(MIN($AK48:$AK58),$AK48:$AK58,0),1)/INDEX($C48:$AJ58,MATCH(MIN($AK48:$AK58),$AK48:$AK58,0),MATCH(IF('Data-solution'!$A$3="Maximize",MAX($C59:$AI59),MIN($C59:$AI59)),$C59:$AI59,0))),U51)</f>
        <v>0</v>
      </c>
      <c r="V66" s="1">
        <f>IF(OR($B63&lt;&gt;$B48,$B64&lt;&gt;$B49,$B65&lt;&gt;$B50,$B66&lt;&gt;$B51,$B67&lt;&gt;$B52,$B68&lt;&gt;$B53,$B69&lt;&gt;$B54,$B70&lt;&gt;$B55,$B71&lt;&gt;$B56,$B72&lt;&gt;$B57,$B73&lt;&gt;$B58),IF($B66&lt;&gt;$B51,V51/INDEX($C48:$AJ58,4,MATCH(IF('Data-solution'!$A$3="Maximize",MAX($C59:$AI59),MIN($C59:$AI59)),$C59:$AI59,0)),V51-INDEX($C48:$AJ58,4,MATCH(IF('Data-solution'!$A$3="Maximize",MAX($C59:$AI59),MIN($C59:$AI59)),$C59:$AI59,0))*INDEX(V48:$AJ58,MATCH(MIN($AK48:$AK58),$AK48:$AK58,0),1)/INDEX($C48:$AJ58,MATCH(MIN($AK48:$AK58),$AK48:$AK58,0),MATCH(IF('Data-solution'!$A$3="Maximize",MAX($C59:$AI59),MIN($C59:$AI59)),$C59:$AI59,0))),V51)</f>
        <v>0</v>
      </c>
      <c r="W66" s="1">
        <f>IF(OR($B63&lt;&gt;$B48,$B64&lt;&gt;$B49,$B65&lt;&gt;$B50,$B66&lt;&gt;$B51,$B67&lt;&gt;$B52,$B68&lt;&gt;$B53,$B69&lt;&gt;$B54,$B70&lt;&gt;$B55,$B71&lt;&gt;$B56,$B72&lt;&gt;$B57,$B73&lt;&gt;$B58),IF($B66&lt;&gt;$B51,W51/INDEX($C48:$AJ58,4,MATCH(IF('Data-solution'!$A$3="Maximize",MAX($C59:$AI59),MIN($C59:$AI59)),$C59:$AI59,0)),W51-INDEX($C48:$AJ58,4,MATCH(IF('Data-solution'!$A$3="Maximize",MAX($C59:$AI59),MIN($C59:$AI59)),$C59:$AI59,0))*INDEX(W48:$AJ58,MATCH(MIN($AK48:$AK58),$AK48:$AK58,0),1)/INDEX($C48:$AJ58,MATCH(MIN($AK48:$AK58),$AK48:$AK58,0),MATCH(IF('Data-solution'!$A$3="Maximize",MAX($C59:$AI59),MIN($C59:$AI59)),$C59:$AI59,0))),W51)</f>
        <v>0</v>
      </c>
      <c r="X66" s="1">
        <f>IF(OR($B63&lt;&gt;$B48,$B64&lt;&gt;$B49,$B65&lt;&gt;$B50,$B66&lt;&gt;$B51,$B67&lt;&gt;$B52,$B68&lt;&gt;$B53,$B69&lt;&gt;$B54,$B70&lt;&gt;$B55,$B71&lt;&gt;$B56,$B72&lt;&gt;$B57,$B73&lt;&gt;$B58),IF($B66&lt;&gt;$B51,X51/INDEX($C48:$AJ58,4,MATCH(IF('Data-solution'!$A$3="Maximize",MAX($C59:$AI59),MIN($C59:$AI59)),$C59:$AI59,0)),X51-INDEX($C48:$AJ58,4,MATCH(IF('Data-solution'!$A$3="Maximize",MAX($C59:$AI59),MIN($C59:$AI59)),$C59:$AI59,0))*INDEX(X48:$AJ58,MATCH(MIN($AK48:$AK58),$AK48:$AK58,0),1)/INDEX($C48:$AJ58,MATCH(MIN($AK48:$AK58),$AK48:$AK58,0),MATCH(IF('Data-solution'!$A$3="Maximize",MAX($C59:$AI59),MIN($C59:$AI59)),$C59:$AI59,0))),X51)</f>
        <v>0</v>
      </c>
      <c r="Y66" s="1">
        <f>IF(OR($B63&lt;&gt;$B48,$B64&lt;&gt;$B49,$B65&lt;&gt;$B50,$B66&lt;&gt;$B51,$B67&lt;&gt;$B52,$B68&lt;&gt;$B53,$B69&lt;&gt;$B54,$B70&lt;&gt;$B55,$B71&lt;&gt;$B56,$B72&lt;&gt;$B57,$B73&lt;&gt;$B58),IF($B66&lt;&gt;$B51,Y51/INDEX($C48:$AJ58,4,MATCH(IF('Data-solution'!$A$3="Maximize",MAX($C59:$AI59),MIN($C59:$AI59)),$C59:$AI59,0)),Y51-INDEX($C48:$AJ58,4,MATCH(IF('Data-solution'!$A$3="Maximize",MAX($C59:$AI59),MIN($C59:$AI59)),$C59:$AI59,0))*INDEX(Y48:$AJ58,MATCH(MIN($AK48:$AK58),$AK48:$AK58,0),1)/INDEX($C48:$AJ58,MATCH(MIN($AK48:$AK58),$AK48:$AK58,0),MATCH(IF('Data-solution'!$A$3="Maximize",MAX($C59:$AI59),MIN($C59:$AI59)),$C59:$AI59,0))),Y51)</f>
        <v>0</v>
      </c>
      <c r="Z66" s="1">
        <f>IF(OR($B63&lt;&gt;$B48,$B64&lt;&gt;$B49,$B65&lt;&gt;$B50,$B66&lt;&gt;$B51,$B67&lt;&gt;$B52,$B68&lt;&gt;$B53,$B69&lt;&gt;$B54,$B70&lt;&gt;$B55,$B71&lt;&gt;$B56,$B72&lt;&gt;$B57,$B73&lt;&gt;$B58),IF($B66&lt;&gt;$B51,Z51/INDEX($C48:$AJ58,4,MATCH(IF('Data-solution'!$A$3="Maximize",MAX($C59:$AI59),MIN($C59:$AI59)),$C59:$AI59,0)),Z51-INDEX($C48:$AJ58,4,MATCH(IF('Data-solution'!$A$3="Maximize",MAX($C59:$AI59),MIN($C59:$AI59)),$C59:$AI59,0))*INDEX(Z48:$AJ58,MATCH(MIN($AK48:$AK58),$AK48:$AK58,0),1)/INDEX($C48:$AJ58,MATCH(MIN($AK48:$AK58),$AK48:$AK58,0),MATCH(IF('Data-solution'!$A$3="Maximize",MAX($C59:$AI59),MIN($C59:$AI59)),$C59:$AI59,0))),Z51)</f>
        <v>0</v>
      </c>
      <c r="AA66" s="1">
        <f>IF(OR($B63&lt;&gt;$B48,$B64&lt;&gt;$B49,$B65&lt;&gt;$B50,$B66&lt;&gt;$B51,$B67&lt;&gt;$B52,$B68&lt;&gt;$B53,$B69&lt;&gt;$B54,$B70&lt;&gt;$B55,$B71&lt;&gt;$B56,$B72&lt;&gt;$B57,$B73&lt;&gt;$B58),IF($B66&lt;&gt;$B51,AA51/INDEX($C48:$AJ58,4,MATCH(IF('Data-solution'!$A$3="Maximize",MAX($C59:$AI59),MIN($C59:$AI59)),$C59:$AI59,0)),AA51-INDEX($C48:$AJ58,4,MATCH(IF('Data-solution'!$A$3="Maximize",MAX($C59:$AI59),MIN($C59:$AI59)),$C59:$AI59,0))*INDEX(AA48:$AJ58,MATCH(MIN($AK48:$AK58),$AK48:$AK58,0),1)/INDEX($C48:$AJ58,MATCH(MIN($AK48:$AK58),$AK48:$AK58,0),MATCH(IF('Data-solution'!$A$3="Maximize",MAX($C59:$AI59),MIN($C59:$AI59)),$C59:$AI59,0))),AA51)</f>
        <v>-0.24999999999999994</v>
      </c>
      <c r="AB66" s="1">
        <f>IF(OR($B63&lt;&gt;$B48,$B64&lt;&gt;$B49,$B65&lt;&gt;$B50,$B66&lt;&gt;$B51,$B67&lt;&gt;$B52,$B68&lt;&gt;$B53,$B69&lt;&gt;$B54,$B70&lt;&gt;$B55,$B71&lt;&gt;$B56,$B72&lt;&gt;$B57,$B73&lt;&gt;$B58),IF($B66&lt;&gt;$B51,AB51/INDEX($C48:$AJ58,4,MATCH(IF('Data-solution'!$A$3="Maximize",MAX($C59:$AI59),MIN($C59:$AI59)),$C59:$AI59,0)),AB51-INDEX($C48:$AJ58,4,MATCH(IF('Data-solution'!$A$3="Maximize",MAX($C59:$AI59),MIN($C59:$AI59)),$C59:$AI59,0))*INDEX(AB48:$AJ58,MATCH(MIN($AK48:$AK58),$AK48:$AK58,0),1)/INDEX($C48:$AJ58,MATCH(MIN($AK48:$AK58),$AK48:$AK58,0),MATCH(IF('Data-solution'!$A$3="Maximize",MAX($C59:$AI59),MIN($C59:$AI59)),$C59:$AI59,0))),AB51)</f>
        <v>1.4999999999999998</v>
      </c>
      <c r="AC66" s="1">
        <f>IF(OR($B63&lt;&gt;$B48,$B64&lt;&gt;$B49,$B65&lt;&gt;$B50,$B66&lt;&gt;$B51,$B67&lt;&gt;$B52,$B68&lt;&gt;$B53,$B69&lt;&gt;$B54,$B70&lt;&gt;$B55,$B71&lt;&gt;$B56,$B72&lt;&gt;$B57,$B73&lt;&gt;$B58),IF($B66&lt;&gt;$B51,AC51/INDEX($C48:$AJ58,4,MATCH(IF('Data-solution'!$A$3="Maximize",MAX($C59:$AI59),MIN($C59:$AI59)),$C59:$AI59,0)),AC51-INDEX($C48:$AJ58,4,MATCH(IF('Data-solution'!$A$3="Maximize",MAX($C59:$AI59),MIN($C59:$AI59)),$C59:$AI59,0))*INDEX(AC48:$AJ58,MATCH(MIN($AK48:$AK58),$AK48:$AK58,0),1)/INDEX($C48:$AJ58,MATCH(MIN($AK48:$AK58),$AK48:$AK58,0),MATCH(IF('Data-solution'!$A$3="Maximize",MAX($C59:$AI59),MIN($C59:$AI59)),$C59:$AI59,0))),AC51)</f>
        <v>0</v>
      </c>
      <c r="AD66" s="1">
        <f>IF(OR($B63&lt;&gt;$B48,$B64&lt;&gt;$B49,$B65&lt;&gt;$B50,$B66&lt;&gt;$B51,$B67&lt;&gt;$B52,$B68&lt;&gt;$B53,$B69&lt;&gt;$B54,$B70&lt;&gt;$B55,$B71&lt;&gt;$B56,$B72&lt;&gt;$B57,$B73&lt;&gt;$B58),IF($B66&lt;&gt;$B51,AD51/INDEX($C48:$AJ58,4,MATCH(IF('Data-solution'!$A$3="Maximize",MAX($C59:$AI59),MIN($C59:$AI59)),$C59:$AI59,0)),AD51-INDEX($C48:$AJ58,4,MATCH(IF('Data-solution'!$A$3="Maximize",MAX($C59:$AI59),MIN($C59:$AI59)),$C59:$AI59,0))*INDEX(AD48:$AJ58,MATCH(MIN($AK48:$AK58),$AK48:$AK58,0),1)/INDEX($C48:$AJ58,MATCH(MIN($AK48:$AK58),$AK48:$AK58,0),MATCH(IF('Data-solution'!$A$3="Maximize",MAX($C59:$AI59),MIN($C59:$AI59)),$C59:$AI59,0))),AD51)</f>
        <v>0</v>
      </c>
      <c r="AE66" s="1">
        <f>IF(OR($B63&lt;&gt;$B48,$B64&lt;&gt;$B49,$B65&lt;&gt;$B50,$B66&lt;&gt;$B51,$B67&lt;&gt;$B52,$B68&lt;&gt;$B53,$B69&lt;&gt;$B54,$B70&lt;&gt;$B55,$B71&lt;&gt;$B56,$B72&lt;&gt;$B57,$B73&lt;&gt;$B58),IF($B66&lt;&gt;$B51,AE51/INDEX($C48:$AJ58,4,MATCH(IF('Data-solution'!$A$3="Maximize",MAX($C59:$AI59),MIN($C59:$AI59)),$C59:$AI59,0)),AE51-INDEX($C48:$AJ58,4,MATCH(IF('Data-solution'!$A$3="Maximize",MAX($C59:$AI59),MIN($C59:$AI59)),$C59:$AI59,0))*INDEX(AE48:$AJ58,MATCH(MIN($AK48:$AK58),$AK48:$AK58,0),1)/INDEX($C48:$AJ58,MATCH(MIN($AK48:$AK58),$AK48:$AK58,0),MATCH(IF('Data-solution'!$A$3="Maximize",MAX($C59:$AI59),MIN($C59:$AI59)),$C59:$AI59,0))),AE51)</f>
        <v>0</v>
      </c>
      <c r="AF66" s="1">
        <f>IF(OR($B63&lt;&gt;$B48,$B64&lt;&gt;$B49,$B65&lt;&gt;$B50,$B66&lt;&gt;$B51,$B67&lt;&gt;$B52,$B68&lt;&gt;$B53,$B69&lt;&gt;$B54,$B70&lt;&gt;$B55,$B71&lt;&gt;$B56,$B72&lt;&gt;$B57,$B73&lt;&gt;$B58),IF($B66&lt;&gt;$B51,AF51/INDEX($C48:$AJ58,4,MATCH(IF('Data-solution'!$A$3="Maximize",MAX($C59:$AI59),MIN($C59:$AI59)),$C59:$AI59,0)),AF51-INDEX($C48:$AJ58,4,MATCH(IF('Data-solution'!$A$3="Maximize",MAX($C59:$AI59),MIN($C59:$AI59)),$C59:$AI59,0))*INDEX(AF48:$AJ58,MATCH(MIN($AK48:$AK58),$AK48:$AK58,0),1)/INDEX($C48:$AJ58,MATCH(MIN($AK48:$AK58),$AK48:$AK58,0),MATCH(IF('Data-solution'!$A$3="Maximize",MAX($C59:$AI59),MIN($C59:$AI59)),$C59:$AI59,0))),AF51)</f>
        <v>0</v>
      </c>
      <c r="AG66" s="1">
        <f>IF(OR($B63&lt;&gt;$B48,$B64&lt;&gt;$B49,$B65&lt;&gt;$B50,$B66&lt;&gt;$B51,$B67&lt;&gt;$B52,$B68&lt;&gt;$B53,$B69&lt;&gt;$B54,$B70&lt;&gt;$B55,$B71&lt;&gt;$B56,$B72&lt;&gt;$B57,$B73&lt;&gt;$B58),IF($B66&lt;&gt;$B51,AG51/INDEX($C48:$AJ58,4,MATCH(IF('Data-solution'!$A$3="Maximize",MAX($C59:$AI59),MIN($C59:$AI59)),$C59:$AI59,0)),AG51-INDEX($C48:$AJ58,4,MATCH(IF('Data-solution'!$A$3="Maximize",MAX($C59:$AI59),MIN($C59:$AI59)),$C59:$AI59,0))*INDEX(AG48:$AJ58,MATCH(MIN($AK48:$AK58),$AK48:$AK58,0),1)/INDEX($C48:$AJ58,MATCH(MIN($AK48:$AK58),$AK48:$AK58,0),MATCH(IF('Data-solution'!$A$3="Maximize",MAX($C59:$AI59),MIN($C59:$AI59)),$C59:$AI59,0))),AG51)</f>
        <v>0</v>
      </c>
      <c r="AH66" s="1">
        <f>IF(OR($B63&lt;&gt;$B48,$B64&lt;&gt;$B49,$B65&lt;&gt;$B50,$B66&lt;&gt;$B51,$B67&lt;&gt;$B52,$B68&lt;&gt;$B53,$B69&lt;&gt;$B54,$B70&lt;&gt;$B55,$B71&lt;&gt;$B56,$B72&lt;&gt;$B57,$B73&lt;&gt;$B58),IF($B66&lt;&gt;$B51,AH51/INDEX($C48:$AJ58,4,MATCH(IF('Data-solution'!$A$3="Maximize",MAX($C59:$AI59),MIN($C59:$AI59)),$C59:$AI59,0)),AH51-INDEX($C48:$AJ58,4,MATCH(IF('Data-solution'!$A$3="Maximize",MAX($C59:$AI59),MIN($C59:$AI59)),$C59:$AI59,0))*INDEX(AH48:$AJ58,MATCH(MIN($AK48:$AK58),$AK48:$AK58,0),1)/INDEX($C48:$AJ58,MATCH(MIN($AK48:$AK58),$AK48:$AK58,0),MATCH(IF('Data-solution'!$A$3="Maximize",MAX($C59:$AI59),MIN($C59:$AI59)),$C59:$AI59,0))),AH51)</f>
        <v>0</v>
      </c>
      <c r="AI66" s="1">
        <f>IF(OR($B63&lt;&gt;$B48,$B64&lt;&gt;$B49,$B65&lt;&gt;$B50,$B66&lt;&gt;$B51,$B67&lt;&gt;$B52,$B68&lt;&gt;$B53,$B69&lt;&gt;$B54,$B70&lt;&gt;$B55,$B71&lt;&gt;$B56,$B72&lt;&gt;$B57,$B73&lt;&gt;$B58),IF($B66&lt;&gt;$B51,AI51/INDEX($C48:$AJ58,4,MATCH(IF('Data-solution'!$A$3="Maximize",MAX($C59:$AI59),MIN($C59:$AI59)),$C59:$AI59,0)),AI51-INDEX($C48:$AJ58,4,MATCH(IF('Data-solution'!$A$3="Maximize",MAX($C59:$AI59),MIN($C59:$AI59)),$C59:$AI59,0))*INDEX(AI48:$AJ58,MATCH(MIN($AK48:$AK58),$AK48:$AK58,0),1)/INDEX($C48:$AJ58,MATCH(MIN($AK48:$AK58),$AK48:$AK58,0),MATCH(IF('Data-solution'!$A$3="Maximize",MAX($C59:$AI59),MIN($C59:$AI59)),$C59:$AI59,0))),AI51)</f>
        <v>0</v>
      </c>
      <c r="AJ66" s="1">
        <f>IF(OR($B63&lt;&gt;$B48,$B64&lt;&gt;$B49,$B65&lt;&gt;$B50,$B66&lt;&gt;$B51,$B67&lt;&gt;$B52,$B68&lt;&gt;$B53,$B69&lt;&gt;$B54,$B70&lt;&gt;$B55,$B71&lt;&gt;$B56,$B72&lt;&gt;$B57,$B73&lt;&gt;$B58),IF($B66&lt;&gt;$B51,AJ51/INDEX($C48:$AJ58,4,MATCH(IF('Data-solution'!$A$3="Maximize",MAX($C59:$AI59),MIN($C59:$AI59)),$C59:$AI59,0)),AJ51-INDEX($C48:$AJ58,4,MATCH(IF('Data-solution'!$A$3="Maximize",MAX($C59:$AI59),MIN($C59:$AI59)),$C59:$AI59,0))*INDEX(AJ48:$AJ58,MATCH(MIN($AK48:$AK58),$AK48:$AK58,0),1)/INDEX($C48:$AJ58,MATCH(MIN($AK48:$AK58),$AK48:$AK58,0),MATCH(IF('Data-solution'!$A$3="Maximize",MAX($C59:$AI59),MIN($C59:$AI59)),$C59:$AI59,0))),AJ51)</f>
        <v>100.00000000000001</v>
      </c>
      <c r="AK66" s="1">
        <f>IF(INDEX(C66:X66,1,MATCH(IF('Data-solution'!A$3="Maximize",MAX(C74:X74),MIN(C74:X74)),C74:X74,0))&gt;0,AJ66/INDEX(C66:X66,1,MATCH(IF('Data-solution'!A$3="Maximize",MAX(C74:X74),MIN(C74:X74)),C74:X74,0))," ")</f>
        <v>100.00000000000001</v>
      </c>
    </row>
    <row r="67" spans="1:37" ht="18" customHeight="1" x14ac:dyDescent="0.2">
      <c r="A67" s="1">
        <f t="shared" ref="A67" si="40">INDEX(C61:AI61,1,MATCH(B67,C62:AI62,0))</f>
        <v>0</v>
      </c>
      <c r="B67" s="2" t="str">
        <f>IF(AND('Data-solution'!A$3="Maximize",COUNTIF(C59:X59,"&gt;"&amp;0)&gt;0,AK52=MIN(AK48:AK58),COUNTIF(B63:B66,INDEX(C47:X47,1,MATCH(MAX(C59:X59),C59:X59,0)))=0),INDEX(C47:X47,1,MATCH(MAX(C59:X59),C59:X59,0)),IF(AND('Data-solution'!A$3="Minimize",COUNTIF(C59:X59,"&lt;"&amp;0)&gt;0,AK52=MIN(AK48:AK58),COUNTIF(B63:B66,INDEX(C47:X47,1,MATCH(MIN(C59:X59),C59:X59,0)))=0),INDEX(C47:X47,1,MATCH(MIN(C59:X59),C59:X59,0)),B52))</f>
        <v>S5</v>
      </c>
      <c r="C67" s="1">
        <f>IF(OR($B63&lt;&gt;$B48,$B64&lt;&gt;$B49,$B65&lt;&gt;$B50,$B66&lt;&gt;$B51,$B67&lt;&gt;$B52,$B68&lt;&gt;$B53,$B69&lt;&gt;$B54,$B70&lt;&gt;$B55,$B71&lt;&gt;$B56,$B72&lt;&gt;$B57,$B73&lt;&gt;$B58),IF($B67&lt;&gt;$B52,C52/INDEX($C48:$AJ58,5,MATCH(IF('Data-solution'!$A$3="Maximize",MAX($C59:$AI59),MIN($C59:$AI59)),$C59:$AI59,0)),C52-INDEX($C48:$AJ58,5,MATCH(IF('Data-solution'!$A$3="Maximize",MAX($C59:$AI59),MIN($C59:$AI59)),$C59:$AI59,0))*INDEX(C48:$AJ58,MATCH(MIN($AK48:$AK58),$AK48:$AK58,0),1)/INDEX($C48:$AJ58,MATCH(MIN($AK48:$AK58),$AK48:$AK58,0),MATCH(IF('Data-solution'!$A$3="Maximize",MAX($C59:$AI59),MIN($C59:$AI59)),$C59:$AI59,0))),C52)</f>
        <v>0</v>
      </c>
      <c r="D67" s="1">
        <f>IF(OR($B63&lt;&gt;$B48,$B64&lt;&gt;$B49,$B65&lt;&gt;$B50,$B66&lt;&gt;$B51,$B67&lt;&gt;$B52,$B68&lt;&gt;$B53,$B69&lt;&gt;$B54,$B70&lt;&gt;$B55,$B71&lt;&gt;$B56,$B72&lt;&gt;$B57,$B73&lt;&gt;$B58),IF($B67&lt;&gt;$B52,D52/INDEX($C48:$AJ58,5,MATCH(IF('Data-solution'!$A$3="Maximize",MAX($C59:$AI59),MIN($C59:$AI59)),$C59:$AI59,0)),D52-INDEX($C48:$AJ58,5,MATCH(IF('Data-solution'!$A$3="Maximize",MAX($C59:$AI59),MIN($C59:$AI59)),$C59:$AI59,0))*INDEX(D48:$AJ58,MATCH(MIN($AK48:$AK58),$AK48:$AK58,0),1)/INDEX($C48:$AJ58,MATCH(MIN($AK48:$AK58),$AK48:$AK58,0),MATCH(IF('Data-solution'!$A$3="Maximize",MAX($C59:$AI59),MIN($C59:$AI59)),$C59:$AI59,0))),D52)</f>
        <v>0</v>
      </c>
      <c r="E67" s="1">
        <f>IF(OR($B63&lt;&gt;$B48,$B64&lt;&gt;$B49,$B65&lt;&gt;$B50,$B66&lt;&gt;$B51,$B67&lt;&gt;$B52,$B68&lt;&gt;$B53,$B69&lt;&gt;$B54,$B70&lt;&gt;$B55,$B71&lt;&gt;$B56,$B72&lt;&gt;$B57,$B73&lt;&gt;$B58),IF($B67&lt;&gt;$B52,E52/INDEX($C48:$AJ58,5,MATCH(IF('Data-solution'!$A$3="Maximize",MAX($C59:$AI59),MIN($C59:$AI59)),$C59:$AI59,0)),E52-INDEX($C48:$AJ58,5,MATCH(IF('Data-solution'!$A$3="Maximize",MAX($C59:$AI59),MIN($C59:$AI59)),$C59:$AI59,0))*INDEX(E48:$AJ58,MATCH(MIN($AK48:$AK58),$AK48:$AK58,0),1)/INDEX($C48:$AJ58,MATCH(MIN($AK48:$AK58),$AK48:$AK58,0),MATCH(IF('Data-solution'!$A$3="Maximize",MAX($C59:$AI59),MIN($C59:$AI59)),$C59:$AI59,0))),E52)</f>
        <v>0</v>
      </c>
      <c r="F67" s="1">
        <f>IF(OR($B63&lt;&gt;$B48,$B64&lt;&gt;$B49,$B65&lt;&gt;$B50,$B66&lt;&gt;$B51,$B67&lt;&gt;$B52,$B68&lt;&gt;$B53,$B69&lt;&gt;$B54,$B70&lt;&gt;$B55,$B71&lt;&gt;$B56,$B72&lt;&gt;$B57,$B73&lt;&gt;$B58),IF($B67&lt;&gt;$B52,F52/INDEX($C48:$AJ58,5,MATCH(IF('Data-solution'!$A$3="Maximize",MAX($C59:$AI59),MIN($C59:$AI59)),$C59:$AI59,0)),F52-INDEX($C48:$AJ58,5,MATCH(IF('Data-solution'!$A$3="Maximize",MAX($C59:$AI59),MIN($C59:$AI59)),$C59:$AI59,0))*INDEX(F48:$AJ58,MATCH(MIN($AK48:$AK58),$AK48:$AK58,0),1)/INDEX($C48:$AJ58,MATCH(MIN($AK48:$AK58),$AK48:$AK58,0),MATCH(IF('Data-solution'!$A$3="Maximize",MAX($C59:$AI59),MIN($C59:$AI59)),$C59:$AI59,0))),F52)</f>
        <v>0</v>
      </c>
      <c r="G67" s="1">
        <f>IF(OR($B63&lt;&gt;$B48,$B64&lt;&gt;$B49,$B65&lt;&gt;$B50,$B66&lt;&gt;$B51,$B67&lt;&gt;$B52,$B68&lt;&gt;$B53,$B69&lt;&gt;$B54,$B70&lt;&gt;$B55,$B71&lt;&gt;$B56,$B72&lt;&gt;$B57,$B73&lt;&gt;$B58),IF($B67&lt;&gt;$B52,G52/INDEX($C48:$AJ58,5,MATCH(IF('Data-solution'!$A$3="Maximize",MAX($C59:$AI59),MIN($C59:$AI59)),$C59:$AI59,0)),G52-INDEX($C48:$AJ58,5,MATCH(IF('Data-solution'!$A$3="Maximize",MAX($C59:$AI59),MIN($C59:$AI59)),$C59:$AI59,0))*INDEX(G48:$AJ58,MATCH(MIN($AK48:$AK58),$AK48:$AK58,0),1)/INDEX($C48:$AJ58,MATCH(MIN($AK48:$AK58),$AK48:$AK58,0),MATCH(IF('Data-solution'!$A$3="Maximize",MAX($C59:$AI59),MIN($C59:$AI59)),$C59:$AI59,0))),G52)</f>
        <v>0</v>
      </c>
      <c r="H67" s="1">
        <f>IF(OR($B63&lt;&gt;$B48,$B64&lt;&gt;$B49,$B65&lt;&gt;$B50,$B66&lt;&gt;$B51,$B67&lt;&gt;$B52,$B68&lt;&gt;$B53,$B69&lt;&gt;$B54,$B70&lt;&gt;$B55,$B71&lt;&gt;$B56,$B72&lt;&gt;$B57,$B73&lt;&gt;$B58),IF($B67&lt;&gt;$B52,H52/INDEX($C48:$AJ58,5,MATCH(IF('Data-solution'!$A$3="Maximize",MAX($C59:$AI59),MIN($C59:$AI59)),$C59:$AI59,0)),H52-INDEX($C48:$AJ58,5,MATCH(IF('Data-solution'!$A$3="Maximize",MAX($C59:$AI59),MIN($C59:$AI59)),$C59:$AI59,0))*INDEX(H48:$AJ58,MATCH(MIN($AK48:$AK58),$AK48:$AK58,0),1)/INDEX($C48:$AJ58,MATCH(MIN($AK48:$AK58),$AK48:$AK58,0),MATCH(IF('Data-solution'!$A$3="Maximize",MAX($C59:$AI59),MIN($C59:$AI59)),$C59:$AI59,0))),H52)</f>
        <v>0</v>
      </c>
      <c r="I67" s="1">
        <f>IF(OR($B63&lt;&gt;$B48,$B64&lt;&gt;$B49,$B65&lt;&gt;$B50,$B66&lt;&gt;$B51,$B67&lt;&gt;$B52,$B68&lt;&gt;$B53,$B69&lt;&gt;$B54,$B70&lt;&gt;$B55,$B71&lt;&gt;$B56,$B72&lt;&gt;$B57,$B73&lt;&gt;$B58),IF($B67&lt;&gt;$B52,I52/INDEX($C48:$AJ58,5,MATCH(IF('Data-solution'!$A$3="Maximize",MAX($C59:$AI59),MIN($C59:$AI59)),$C59:$AI59,0)),I52-INDEX($C48:$AJ58,5,MATCH(IF('Data-solution'!$A$3="Maximize",MAX($C59:$AI59),MIN($C59:$AI59)),$C59:$AI59,0))*INDEX(I48:$AJ58,MATCH(MIN($AK48:$AK58),$AK48:$AK58,0),1)/INDEX($C48:$AJ58,MATCH(MIN($AK48:$AK58),$AK48:$AK58,0),MATCH(IF('Data-solution'!$A$3="Maximize",MAX($C59:$AI59),MIN($C59:$AI59)),$C59:$AI59,0))),I52)</f>
        <v>0</v>
      </c>
      <c r="J67" s="1">
        <f>IF(OR($B63&lt;&gt;$B48,$B64&lt;&gt;$B49,$B65&lt;&gt;$B50,$B66&lt;&gt;$B51,$B67&lt;&gt;$B52,$B68&lt;&gt;$B53,$B69&lt;&gt;$B54,$B70&lt;&gt;$B55,$B71&lt;&gt;$B56,$B72&lt;&gt;$B57,$B73&lt;&gt;$B58),IF($B67&lt;&gt;$B52,J52/INDEX($C48:$AJ58,5,MATCH(IF('Data-solution'!$A$3="Maximize",MAX($C59:$AI59),MIN($C59:$AI59)),$C59:$AI59,0)),J52-INDEX($C48:$AJ58,5,MATCH(IF('Data-solution'!$A$3="Maximize",MAX($C59:$AI59),MIN($C59:$AI59)),$C59:$AI59,0))*INDEX(J48:$AJ58,MATCH(MIN($AK48:$AK58),$AK48:$AK58,0),1)/INDEX($C48:$AJ58,MATCH(MIN($AK48:$AK58),$AK48:$AK58,0),MATCH(IF('Data-solution'!$A$3="Maximize",MAX($C59:$AI59),MIN($C59:$AI59)),$C59:$AI59,0))),J52)</f>
        <v>0</v>
      </c>
      <c r="K67" s="1">
        <f>IF(OR($B63&lt;&gt;$B48,$B64&lt;&gt;$B49,$B65&lt;&gt;$B50,$B66&lt;&gt;$B51,$B67&lt;&gt;$B52,$B68&lt;&gt;$B53,$B69&lt;&gt;$B54,$B70&lt;&gt;$B55,$B71&lt;&gt;$B56,$B72&lt;&gt;$B57,$B73&lt;&gt;$B58),IF($B67&lt;&gt;$B52,K52/INDEX($C48:$AJ58,5,MATCH(IF('Data-solution'!$A$3="Maximize",MAX($C59:$AI59),MIN($C59:$AI59)),$C59:$AI59,0)),K52-INDEX($C48:$AJ58,5,MATCH(IF('Data-solution'!$A$3="Maximize",MAX($C59:$AI59),MIN($C59:$AI59)),$C59:$AI59,0))*INDEX(K48:$AJ58,MATCH(MIN($AK48:$AK58),$AK48:$AK58,0),1)/INDEX($C48:$AJ58,MATCH(MIN($AK48:$AK58),$AK48:$AK58,0),MATCH(IF('Data-solution'!$A$3="Maximize",MAX($C59:$AI59),MIN($C59:$AI59)),$C59:$AI59,0))),K52)</f>
        <v>0</v>
      </c>
      <c r="L67" s="1">
        <f>IF(OR($B63&lt;&gt;$B48,$B64&lt;&gt;$B49,$B65&lt;&gt;$B50,$B66&lt;&gt;$B51,$B67&lt;&gt;$B52,$B68&lt;&gt;$B53,$B69&lt;&gt;$B54,$B70&lt;&gt;$B55,$B71&lt;&gt;$B56,$B72&lt;&gt;$B57,$B73&lt;&gt;$B58),IF($B67&lt;&gt;$B52,L52/INDEX($C48:$AJ58,5,MATCH(IF('Data-solution'!$A$3="Maximize",MAX($C59:$AI59),MIN($C59:$AI59)),$C59:$AI59,0)),L52-INDEX($C48:$AJ58,5,MATCH(IF('Data-solution'!$A$3="Maximize",MAX($C59:$AI59),MIN($C59:$AI59)),$C59:$AI59,0))*INDEX(L48:$AJ58,MATCH(MIN($AK48:$AK58),$AK48:$AK58,0),1)/INDEX($C48:$AJ58,MATCH(MIN($AK48:$AK58),$AK48:$AK58,0),MATCH(IF('Data-solution'!$A$3="Maximize",MAX($C59:$AI59),MIN($C59:$AI59)),$C59:$AI59,0))),L52)</f>
        <v>0</v>
      </c>
      <c r="M67" s="1">
        <f>IF(OR($B63&lt;&gt;$B48,$B64&lt;&gt;$B49,$B65&lt;&gt;$B50,$B66&lt;&gt;$B51,$B67&lt;&gt;$B52,$B68&lt;&gt;$B53,$B69&lt;&gt;$B54,$B70&lt;&gt;$B55,$B71&lt;&gt;$B56,$B72&lt;&gt;$B57,$B73&lt;&gt;$B58),IF($B67&lt;&gt;$B52,M52/INDEX($C48:$AJ58,5,MATCH(IF('Data-solution'!$A$3="Maximize",MAX($C59:$AI59),MIN($C59:$AI59)),$C59:$AI59,0)),M52-INDEX($C48:$AJ58,5,MATCH(IF('Data-solution'!$A$3="Maximize",MAX($C59:$AI59),MIN($C59:$AI59)),$C59:$AI59,0))*INDEX(M48:$AJ58,MATCH(MIN($AK48:$AK58),$AK48:$AK58,0),1)/INDEX($C48:$AJ58,MATCH(MIN($AK48:$AK58),$AK48:$AK58,0),MATCH(IF('Data-solution'!$A$3="Maximize",MAX($C59:$AI59),MIN($C59:$AI59)),$C59:$AI59,0))),M52)</f>
        <v>0</v>
      </c>
      <c r="N67" s="1">
        <f>IF(OR($B63&lt;&gt;$B48,$B64&lt;&gt;$B49,$B65&lt;&gt;$B50,$B66&lt;&gt;$B51,$B67&lt;&gt;$B52,$B68&lt;&gt;$B53,$B69&lt;&gt;$B54,$B70&lt;&gt;$B55,$B71&lt;&gt;$B56,$B72&lt;&gt;$B57,$B73&lt;&gt;$B58),IF($B67&lt;&gt;$B52,N52/INDEX($C48:$AJ58,5,MATCH(IF('Data-solution'!$A$3="Maximize",MAX($C59:$AI59),MIN($C59:$AI59)),$C59:$AI59,0)),N52-INDEX($C48:$AJ58,5,MATCH(IF('Data-solution'!$A$3="Maximize",MAX($C59:$AI59),MIN($C59:$AI59)),$C59:$AI59,0))*INDEX(N48:$AJ58,MATCH(MIN($AK48:$AK58),$AK48:$AK58,0),1)/INDEX($C48:$AJ58,MATCH(MIN($AK48:$AK58),$AK48:$AK58,0),MATCH(IF('Data-solution'!$A$3="Maximize",MAX($C59:$AI59),MIN($C59:$AI59)),$C59:$AI59,0))),N52)</f>
        <v>0</v>
      </c>
      <c r="O67" s="1">
        <f>IF(OR($B63&lt;&gt;$B48,$B64&lt;&gt;$B49,$B65&lt;&gt;$B50,$B66&lt;&gt;$B51,$B67&lt;&gt;$B52,$B68&lt;&gt;$B53,$B69&lt;&gt;$B54,$B70&lt;&gt;$B55,$B71&lt;&gt;$B56,$B72&lt;&gt;$B57,$B73&lt;&gt;$B58),IF($B67&lt;&gt;$B52,O52/INDEX($C48:$AJ58,5,MATCH(IF('Data-solution'!$A$3="Maximize",MAX($C59:$AI59),MIN($C59:$AI59)),$C59:$AI59,0)),O52-INDEX($C48:$AJ58,5,MATCH(IF('Data-solution'!$A$3="Maximize",MAX($C59:$AI59),MIN($C59:$AI59)),$C59:$AI59,0))*INDEX(O48:$AJ58,MATCH(MIN($AK48:$AK58),$AK48:$AK58,0),1)/INDEX($C48:$AJ58,MATCH(MIN($AK48:$AK58),$AK48:$AK58,0),MATCH(IF('Data-solution'!$A$3="Maximize",MAX($C59:$AI59),MIN($C59:$AI59)),$C59:$AI59,0))),O52)</f>
        <v>0</v>
      </c>
      <c r="P67" s="1">
        <f>IF(OR($B63&lt;&gt;$B48,$B64&lt;&gt;$B49,$B65&lt;&gt;$B50,$B66&lt;&gt;$B51,$B67&lt;&gt;$B52,$B68&lt;&gt;$B53,$B69&lt;&gt;$B54,$B70&lt;&gt;$B55,$B71&lt;&gt;$B56,$B72&lt;&gt;$B57,$B73&lt;&gt;$B58),IF($B67&lt;&gt;$B52,P52/INDEX($C48:$AJ58,5,MATCH(IF('Data-solution'!$A$3="Maximize",MAX($C59:$AI59),MIN($C59:$AI59)),$C59:$AI59,0)),P52-INDEX($C48:$AJ58,5,MATCH(IF('Data-solution'!$A$3="Maximize",MAX($C59:$AI59),MIN($C59:$AI59)),$C59:$AI59,0))*INDEX(P48:$AJ58,MATCH(MIN($AK48:$AK58),$AK48:$AK58,0),1)/INDEX($C48:$AJ58,MATCH(MIN($AK48:$AK58),$AK48:$AK58,0),MATCH(IF('Data-solution'!$A$3="Maximize",MAX($C59:$AI59),MIN($C59:$AI59)),$C59:$AI59,0))),P52)</f>
        <v>0</v>
      </c>
      <c r="Q67" s="1">
        <f>IF(OR($B63&lt;&gt;$B48,$B64&lt;&gt;$B49,$B65&lt;&gt;$B50,$B66&lt;&gt;$B51,$B67&lt;&gt;$B52,$B68&lt;&gt;$B53,$B69&lt;&gt;$B54,$B70&lt;&gt;$B55,$B71&lt;&gt;$B56,$B72&lt;&gt;$B57,$B73&lt;&gt;$B58),IF($B67&lt;&gt;$B52,Q52/INDEX($C48:$AJ58,5,MATCH(IF('Data-solution'!$A$3="Maximize",MAX($C59:$AI59),MIN($C59:$AI59)),$C59:$AI59,0)),Q52-INDEX($C48:$AJ58,5,MATCH(IF('Data-solution'!$A$3="Maximize",MAX($C59:$AI59),MIN($C59:$AI59)),$C59:$AI59,0))*INDEX(Q48:$AJ58,MATCH(MIN($AK48:$AK58),$AK48:$AK58,0),1)/INDEX($C48:$AJ58,MATCH(MIN($AK48:$AK58),$AK48:$AK58,0),MATCH(IF('Data-solution'!$A$3="Maximize",MAX($C59:$AI59),MIN($C59:$AI59)),$C59:$AI59,0))),Q52)</f>
        <v>0</v>
      </c>
      <c r="R67" s="1">
        <f>IF(OR($B63&lt;&gt;$B48,$B64&lt;&gt;$B49,$B65&lt;&gt;$B50,$B66&lt;&gt;$B51,$B67&lt;&gt;$B52,$B68&lt;&gt;$B53,$B69&lt;&gt;$B54,$B70&lt;&gt;$B55,$B71&lt;&gt;$B56,$B72&lt;&gt;$B57,$B73&lt;&gt;$B58),IF($B67&lt;&gt;$B52,R52/INDEX($C48:$AJ58,5,MATCH(IF('Data-solution'!$A$3="Maximize",MAX($C59:$AI59),MIN($C59:$AI59)),$C59:$AI59,0)),R52-INDEX($C48:$AJ58,5,MATCH(IF('Data-solution'!$A$3="Maximize",MAX($C59:$AI59),MIN($C59:$AI59)),$C59:$AI59,0))*INDEX(R48:$AJ58,MATCH(MIN($AK48:$AK58),$AK48:$AK58,0),1)/INDEX($C48:$AJ58,MATCH(MIN($AK48:$AK58),$AK48:$AK58,0),MATCH(IF('Data-solution'!$A$3="Maximize",MAX($C59:$AI59),MIN($C59:$AI59)),$C59:$AI59,0))),R52)</f>
        <v>1</v>
      </c>
      <c r="S67" s="1">
        <f>IF(OR($B63&lt;&gt;$B48,$B64&lt;&gt;$B49,$B65&lt;&gt;$B50,$B66&lt;&gt;$B51,$B67&lt;&gt;$B52,$B68&lt;&gt;$B53,$B69&lt;&gt;$B54,$B70&lt;&gt;$B55,$B71&lt;&gt;$B56,$B72&lt;&gt;$B57,$B73&lt;&gt;$B58),IF($B67&lt;&gt;$B52,S52/INDEX($C48:$AJ58,5,MATCH(IF('Data-solution'!$A$3="Maximize",MAX($C59:$AI59),MIN($C59:$AI59)),$C59:$AI59,0)),S52-INDEX($C48:$AJ58,5,MATCH(IF('Data-solution'!$A$3="Maximize",MAX($C59:$AI59),MIN($C59:$AI59)),$C59:$AI59,0))*INDEX(S48:$AJ58,MATCH(MIN($AK48:$AK58),$AK48:$AK58,0),1)/INDEX($C48:$AJ58,MATCH(MIN($AK48:$AK58),$AK48:$AK58,0),MATCH(IF('Data-solution'!$A$3="Maximize",MAX($C59:$AI59),MIN($C59:$AI59)),$C59:$AI59,0))),S52)</f>
        <v>0</v>
      </c>
      <c r="T67" s="1">
        <f>IF(OR($B63&lt;&gt;$B48,$B64&lt;&gt;$B49,$B65&lt;&gt;$B50,$B66&lt;&gt;$B51,$B67&lt;&gt;$B52,$B68&lt;&gt;$B53,$B69&lt;&gt;$B54,$B70&lt;&gt;$B55,$B71&lt;&gt;$B56,$B72&lt;&gt;$B57,$B73&lt;&gt;$B58),IF($B67&lt;&gt;$B52,T52/INDEX($C48:$AJ58,5,MATCH(IF('Data-solution'!$A$3="Maximize",MAX($C59:$AI59),MIN($C59:$AI59)),$C59:$AI59,0)),T52-INDEX($C48:$AJ58,5,MATCH(IF('Data-solution'!$A$3="Maximize",MAX($C59:$AI59),MIN($C59:$AI59)),$C59:$AI59,0))*INDEX(T48:$AJ58,MATCH(MIN($AK48:$AK58),$AK48:$AK58,0),1)/INDEX($C48:$AJ58,MATCH(MIN($AK48:$AK58),$AK48:$AK58,0),MATCH(IF('Data-solution'!$A$3="Maximize",MAX($C59:$AI59),MIN($C59:$AI59)),$C59:$AI59,0))),T52)</f>
        <v>0</v>
      </c>
      <c r="U67" s="1">
        <f>IF(OR($B63&lt;&gt;$B48,$B64&lt;&gt;$B49,$B65&lt;&gt;$B50,$B66&lt;&gt;$B51,$B67&lt;&gt;$B52,$B68&lt;&gt;$B53,$B69&lt;&gt;$B54,$B70&lt;&gt;$B55,$B71&lt;&gt;$B56,$B72&lt;&gt;$B57,$B73&lt;&gt;$B58),IF($B67&lt;&gt;$B52,U52/INDEX($C48:$AJ58,5,MATCH(IF('Data-solution'!$A$3="Maximize",MAX($C59:$AI59),MIN($C59:$AI59)),$C59:$AI59,0)),U52-INDEX($C48:$AJ58,5,MATCH(IF('Data-solution'!$A$3="Maximize",MAX($C59:$AI59),MIN($C59:$AI59)),$C59:$AI59,0))*INDEX(U48:$AJ58,MATCH(MIN($AK48:$AK58),$AK48:$AK58,0),1)/INDEX($C48:$AJ58,MATCH(MIN($AK48:$AK58),$AK48:$AK58,0),MATCH(IF('Data-solution'!$A$3="Maximize",MAX($C59:$AI59),MIN($C59:$AI59)),$C59:$AI59,0))),U52)</f>
        <v>0</v>
      </c>
      <c r="V67" s="1">
        <f>IF(OR($B63&lt;&gt;$B48,$B64&lt;&gt;$B49,$B65&lt;&gt;$B50,$B66&lt;&gt;$B51,$B67&lt;&gt;$B52,$B68&lt;&gt;$B53,$B69&lt;&gt;$B54,$B70&lt;&gt;$B55,$B71&lt;&gt;$B56,$B72&lt;&gt;$B57,$B73&lt;&gt;$B58),IF($B67&lt;&gt;$B52,V52/INDEX($C48:$AJ58,5,MATCH(IF('Data-solution'!$A$3="Maximize",MAX($C59:$AI59),MIN($C59:$AI59)),$C59:$AI59,0)),V52-INDEX($C48:$AJ58,5,MATCH(IF('Data-solution'!$A$3="Maximize",MAX($C59:$AI59),MIN($C59:$AI59)),$C59:$AI59,0))*INDEX(V48:$AJ58,MATCH(MIN($AK48:$AK58),$AK48:$AK58,0),1)/INDEX($C48:$AJ58,MATCH(MIN($AK48:$AK58),$AK48:$AK58,0),MATCH(IF('Data-solution'!$A$3="Maximize",MAX($C59:$AI59),MIN($C59:$AI59)),$C59:$AI59,0))),V52)</f>
        <v>0</v>
      </c>
      <c r="W67" s="1">
        <f>IF(OR($B63&lt;&gt;$B48,$B64&lt;&gt;$B49,$B65&lt;&gt;$B50,$B66&lt;&gt;$B51,$B67&lt;&gt;$B52,$B68&lt;&gt;$B53,$B69&lt;&gt;$B54,$B70&lt;&gt;$B55,$B71&lt;&gt;$B56,$B72&lt;&gt;$B57,$B73&lt;&gt;$B58),IF($B67&lt;&gt;$B52,W52/INDEX($C48:$AJ58,5,MATCH(IF('Data-solution'!$A$3="Maximize",MAX($C59:$AI59),MIN($C59:$AI59)),$C59:$AI59,0)),W52-INDEX($C48:$AJ58,5,MATCH(IF('Data-solution'!$A$3="Maximize",MAX($C59:$AI59),MIN($C59:$AI59)),$C59:$AI59,0))*INDEX(W48:$AJ58,MATCH(MIN($AK48:$AK58),$AK48:$AK58,0),1)/INDEX($C48:$AJ58,MATCH(MIN($AK48:$AK58),$AK48:$AK58,0),MATCH(IF('Data-solution'!$A$3="Maximize",MAX($C59:$AI59),MIN($C59:$AI59)),$C59:$AI59,0))),W52)</f>
        <v>0</v>
      </c>
      <c r="X67" s="1">
        <f>IF(OR($B63&lt;&gt;$B48,$B64&lt;&gt;$B49,$B65&lt;&gt;$B50,$B66&lt;&gt;$B51,$B67&lt;&gt;$B52,$B68&lt;&gt;$B53,$B69&lt;&gt;$B54,$B70&lt;&gt;$B55,$B71&lt;&gt;$B56,$B72&lt;&gt;$B57,$B73&lt;&gt;$B58),IF($B67&lt;&gt;$B52,X52/INDEX($C48:$AJ58,5,MATCH(IF('Data-solution'!$A$3="Maximize",MAX($C59:$AI59),MIN($C59:$AI59)),$C59:$AI59,0)),X52-INDEX($C48:$AJ58,5,MATCH(IF('Data-solution'!$A$3="Maximize",MAX($C59:$AI59),MIN($C59:$AI59)),$C59:$AI59,0))*INDEX(X48:$AJ58,MATCH(MIN($AK48:$AK58),$AK48:$AK58,0),1)/INDEX($C48:$AJ58,MATCH(MIN($AK48:$AK58),$AK48:$AK58,0),MATCH(IF('Data-solution'!$A$3="Maximize",MAX($C59:$AI59),MIN($C59:$AI59)),$C59:$AI59,0))),X52)</f>
        <v>0</v>
      </c>
      <c r="Y67" s="1">
        <f>IF(OR($B63&lt;&gt;$B48,$B64&lt;&gt;$B49,$B65&lt;&gt;$B50,$B66&lt;&gt;$B51,$B67&lt;&gt;$B52,$B68&lt;&gt;$B53,$B69&lt;&gt;$B54,$B70&lt;&gt;$B55,$B71&lt;&gt;$B56,$B72&lt;&gt;$B57,$B73&lt;&gt;$B58),IF($B67&lt;&gt;$B52,Y52/INDEX($C48:$AJ58,5,MATCH(IF('Data-solution'!$A$3="Maximize",MAX($C59:$AI59),MIN($C59:$AI59)),$C59:$AI59,0)),Y52-INDEX($C48:$AJ58,5,MATCH(IF('Data-solution'!$A$3="Maximize",MAX($C59:$AI59),MIN($C59:$AI59)),$C59:$AI59,0))*INDEX(Y48:$AJ58,MATCH(MIN($AK48:$AK58),$AK48:$AK58,0),1)/INDEX($C48:$AJ58,MATCH(MIN($AK48:$AK58),$AK48:$AK58,0),MATCH(IF('Data-solution'!$A$3="Maximize",MAX($C59:$AI59),MIN($C59:$AI59)),$C59:$AI59,0))),Y52)</f>
        <v>0</v>
      </c>
      <c r="Z67" s="1">
        <f>IF(OR($B63&lt;&gt;$B48,$B64&lt;&gt;$B49,$B65&lt;&gt;$B50,$B66&lt;&gt;$B51,$B67&lt;&gt;$B52,$B68&lt;&gt;$B53,$B69&lt;&gt;$B54,$B70&lt;&gt;$B55,$B71&lt;&gt;$B56,$B72&lt;&gt;$B57,$B73&lt;&gt;$B58),IF($B67&lt;&gt;$B52,Z52/INDEX($C48:$AJ58,5,MATCH(IF('Data-solution'!$A$3="Maximize",MAX($C59:$AI59),MIN($C59:$AI59)),$C59:$AI59,0)),Z52-INDEX($C48:$AJ58,5,MATCH(IF('Data-solution'!$A$3="Maximize",MAX($C59:$AI59),MIN($C59:$AI59)),$C59:$AI59,0))*INDEX(Z48:$AJ58,MATCH(MIN($AK48:$AK58),$AK48:$AK58,0),1)/INDEX($C48:$AJ58,MATCH(MIN($AK48:$AK58),$AK48:$AK58,0),MATCH(IF('Data-solution'!$A$3="Maximize",MAX($C59:$AI59),MIN($C59:$AI59)),$C59:$AI59,0))),Z52)</f>
        <v>0</v>
      </c>
      <c r="AA67" s="1">
        <f>IF(OR($B63&lt;&gt;$B48,$B64&lt;&gt;$B49,$B65&lt;&gt;$B50,$B66&lt;&gt;$B51,$B67&lt;&gt;$B52,$B68&lt;&gt;$B53,$B69&lt;&gt;$B54,$B70&lt;&gt;$B55,$B71&lt;&gt;$B56,$B72&lt;&gt;$B57,$B73&lt;&gt;$B58),IF($B67&lt;&gt;$B52,AA52/INDEX($C48:$AJ58,5,MATCH(IF('Data-solution'!$A$3="Maximize",MAX($C59:$AI59),MIN($C59:$AI59)),$C59:$AI59,0)),AA52-INDEX($C48:$AJ58,5,MATCH(IF('Data-solution'!$A$3="Maximize",MAX($C59:$AI59),MIN($C59:$AI59)),$C59:$AI59,0))*INDEX(AA48:$AJ58,MATCH(MIN($AK48:$AK58),$AK48:$AK58,0),1)/INDEX($C48:$AJ58,MATCH(MIN($AK48:$AK58),$AK48:$AK58,0),MATCH(IF('Data-solution'!$A$3="Maximize",MAX($C59:$AI59),MIN($C59:$AI59)),$C59:$AI59,0))),AA52)</f>
        <v>0</v>
      </c>
      <c r="AB67" s="1">
        <f>IF(OR($B63&lt;&gt;$B48,$B64&lt;&gt;$B49,$B65&lt;&gt;$B50,$B66&lt;&gt;$B51,$B67&lt;&gt;$B52,$B68&lt;&gt;$B53,$B69&lt;&gt;$B54,$B70&lt;&gt;$B55,$B71&lt;&gt;$B56,$B72&lt;&gt;$B57,$B73&lt;&gt;$B58),IF($B67&lt;&gt;$B52,AB52/INDEX($C48:$AJ58,5,MATCH(IF('Data-solution'!$A$3="Maximize",MAX($C59:$AI59),MIN($C59:$AI59)),$C59:$AI59,0)),AB52-INDEX($C48:$AJ58,5,MATCH(IF('Data-solution'!$A$3="Maximize",MAX($C59:$AI59),MIN($C59:$AI59)),$C59:$AI59,0))*INDEX(AB48:$AJ58,MATCH(MIN($AK48:$AK58),$AK48:$AK58,0),1)/INDEX($C48:$AJ58,MATCH(MIN($AK48:$AK58),$AK48:$AK58,0),MATCH(IF('Data-solution'!$A$3="Maximize",MAX($C59:$AI59),MIN($C59:$AI59)),$C59:$AI59,0))),AB52)</f>
        <v>0</v>
      </c>
      <c r="AC67" s="1">
        <f>IF(OR($B63&lt;&gt;$B48,$B64&lt;&gt;$B49,$B65&lt;&gt;$B50,$B66&lt;&gt;$B51,$B67&lt;&gt;$B52,$B68&lt;&gt;$B53,$B69&lt;&gt;$B54,$B70&lt;&gt;$B55,$B71&lt;&gt;$B56,$B72&lt;&gt;$B57,$B73&lt;&gt;$B58),IF($B67&lt;&gt;$B52,AC52/INDEX($C48:$AJ58,5,MATCH(IF('Data-solution'!$A$3="Maximize",MAX($C59:$AI59),MIN($C59:$AI59)),$C59:$AI59,0)),AC52-INDEX($C48:$AJ58,5,MATCH(IF('Data-solution'!$A$3="Maximize",MAX($C59:$AI59),MIN($C59:$AI59)),$C59:$AI59,0))*INDEX(AC48:$AJ58,MATCH(MIN($AK48:$AK58),$AK48:$AK58,0),1)/INDEX($C48:$AJ58,MATCH(MIN($AK48:$AK58),$AK48:$AK58,0),MATCH(IF('Data-solution'!$A$3="Maximize",MAX($C59:$AI59),MIN($C59:$AI59)),$C59:$AI59,0))),AC52)</f>
        <v>1</v>
      </c>
      <c r="AD67" s="1">
        <f>IF(OR($B63&lt;&gt;$B48,$B64&lt;&gt;$B49,$B65&lt;&gt;$B50,$B66&lt;&gt;$B51,$B67&lt;&gt;$B52,$B68&lt;&gt;$B53,$B69&lt;&gt;$B54,$B70&lt;&gt;$B55,$B71&lt;&gt;$B56,$B72&lt;&gt;$B57,$B73&lt;&gt;$B58),IF($B67&lt;&gt;$B52,AD52/INDEX($C48:$AJ58,5,MATCH(IF('Data-solution'!$A$3="Maximize",MAX($C59:$AI59),MIN($C59:$AI59)),$C59:$AI59,0)),AD52-INDEX($C48:$AJ58,5,MATCH(IF('Data-solution'!$A$3="Maximize",MAX($C59:$AI59),MIN($C59:$AI59)),$C59:$AI59,0))*INDEX(AD48:$AJ58,MATCH(MIN($AK48:$AK58),$AK48:$AK58,0),1)/INDEX($C48:$AJ58,MATCH(MIN($AK48:$AK58),$AK48:$AK58,0),MATCH(IF('Data-solution'!$A$3="Maximize",MAX($C59:$AI59),MIN($C59:$AI59)),$C59:$AI59,0))),AD52)</f>
        <v>0</v>
      </c>
      <c r="AE67" s="1">
        <f>IF(OR($B63&lt;&gt;$B48,$B64&lt;&gt;$B49,$B65&lt;&gt;$B50,$B66&lt;&gt;$B51,$B67&lt;&gt;$B52,$B68&lt;&gt;$B53,$B69&lt;&gt;$B54,$B70&lt;&gt;$B55,$B71&lt;&gt;$B56,$B72&lt;&gt;$B57,$B73&lt;&gt;$B58),IF($B67&lt;&gt;$B52,AE52/INDEX($C48:$AJ58,5,MATCH(IF('Data-solution'!$A$3="Maximize",MAX($C59:$AI59),MIN($C59:$AI59)),$C59:$AI59,0)),AE52-INDEX($C48:$AJ58,5,MATCH(IF('Data-solution'!$A$3="Maximize",MAX($C59:$AI59),MIN($C59:$AI59)),$C59:$AI59,0))*INDEX(AE48:$AJ58,MATCH(MIN($AK48:$AK58),$AK48:$AK58,0),1)/INDEX($C48:$AJ58,MATCH(MIN($AK48:$AK58),$AK48:$AK58,0),MATCH(IF('Data-solution'!$A$3="Maximize",MAX($C59:$AI59),MIN($C59:$AI59)),$C59:$AI59,0))),AE52)</f>
        <v>0</v>
      </c>
      <c r="AF67" s="1">
        <f>IF(OR($B63&lt;&gt;$B48,$B64&lt;&gt;$B49,$B65&lt;&gt;$B50,$B66&lt;&gt;$B51,$B67&lt;&gt;$B52,$B68&lt;&gt;$B53,$B69&lt;&gt;$B54,$B70&lt;&gt;$B55,$B71&lt;&gt;$B56,$B72&lt;&gt;$B57,$B73&lt;&gt;$B58),IF($B67&lt;&gt;$B52,AF52/INDEX($C48:$AJ58,5,MATCH(IF('Data-solution'!$A$3="Maximize",MAX($C59:$AI59),MIN($C59:$AI59)),$C59:$AI59,0)),AF52-INDEX($C48:$AJ58,5,MATCH(IF('Data-solution'!$A$3="Maximize",MAX($C59:$AI59),MIN($C59:$AI59)),$C59:$AI59,0))*INDEX(AF48:$AJ58,MATCH(MIN($AK48:$AK58),$AK48:$AK58,0),1)/INDEX($C48:$AJ58,MATCH(MIN($AK48:$AK58),$AK48:$AK58,0),MATCH(IF('Data-solution'!$A$3="Maximize",MAX($C59:$AI59),MIN($C59:$AI59)),$C59:$AI59,0))),AF52)</f>
        <v>0</v>
      </c>
      <c r="AG67" s="1">
        <f>IF(OR($B63&lt;&gt;$B48,$B64&lt;&gt;$B49,$B65&lt;&gt;$B50,$B66&lt;&gt;$B51,$B67&lt;&gt;$B52,$B68&lt;&gt;$B53,$B69&lt;&gt;$B54,$B70&lt;&gt;$B55,$B71&lt;&gt;$B56,$B72&lt;&gt;$B57,$B73&lt;&gt;$B58),IF($B67&lt;&gt;$B52,AG52/INDEX($C48:$AJ58,5,MATCH(IF('Data-solution'!$A$3="Maximize",MAX($C59:$AI59),MIN($C59:$AI59)),$C59:$AI59,0)),AG52-INDEX($C48:$AJ58,5,MATCH(IF('Data-solution'!$A$3="Maximize",MAX($C59:$AI59),MIN($C59:$AI59)),$C59:$AI59,0))*INDEX(AG48:$AJ58,MATCH(MIN($AK48:$AK58),$AK48:$AK58,0),1)/INDEX($C48:$AJ58,MATCH(MIN($AK48:$AK58),$AK48:$AK58,0),MATCH(IF('Data-solution'!$A$3="Maximize",MAX($C59:$AI59),MIN($C59:$AI59)),$C59:$AI59,0))),AG52)</f>
        <v>0</v>
      </c>
      <c r="AH67" s="1">
        <f>IF(OR($B63&lt;&gt;$B48,$B64&lt;&gt;$B49,$B65&lt;&gt;$B50,$B66&lt;&gt;$B51,$B67&lt;&gt;$B52,$B68&lt;&gt;$B53,$B69&lt;&gt;$B54,$B70&lt;&gt;$B55,$B71&lt;&gt;$B56,$B72&lt;&gt;$B57,$B73&lt;&gt;$B58),IF($B67&lt;&gt;$B52,AH52/INDEX($C48:$AJ58,5,MATCH(IF('Data-solution'!$A$3="Maximize",MAX($C59:$AI59),MIN($C59:$AI59)),$C59:$AI59,0)),AH52-INDEX($C48:$AJ58,5,MATCH(IF('Data-solution'!$A$3="Maximize",MAX($C59:$AI59),MIN($C59:$AI59)),$C59:$AI59,0))*INDEX(AH48:$AJ58,MATCH(MIN($AK48:$AK58),$AK48:$AK58,0),1)/INDEX($C48:$AJ58,MATCH(MIN($AK48:$AK58),$AK48:$AK58,0),MATCH(IF('Data-solution'!$A$3="Maximize",MAX($C59:$AI59),MIN($C59:$AI59)),$C59:$AI59,0))),AH52)</f>
        <v>0</v>
      </c>
      <c r="AI67" s="1">
        <f>IF(OR($B63&lt;&gt;$B48,$B64&lt;&gt;$B49,$B65&lt;&gt;$B50,$B66&lt;&gt;$B51,$B67&lt;&gt;$B52,$B68&lt;&gt;$B53,$B69&lt;&gt;$B54,$B70&lt;&gt;$B55,$B71&lt;&gt;$B56,$B72&lt;&gt;$B57,$B73&lt;&gt;$B58),IF($B67&lt;&gt;$B52,AI52/INDEX($C48:$AJ58,5,MATCH(IF('Data-solution'!$A$3="Maximize",MAX($C59:$AI59),MIN($C59:$AI59)),$C59:$AI59,0)),AI52-INDEX($C48:$AJ58,5,MATCH(IF('Data-solution'!$A$3="Maximize",MAX($C59:$AI59),MIN($C59:$AI59)),$C59:$AI59,0))*INDEX(AI48:$AJ58,MATCH(MIN($AK48:$AK58),$AK48:$AK58,0),1)/INDEX($C48:$AJ58,MATCH(MIN($AK48:$AK58),$AK48:$AK58,0),MATCH(IF('Data-solution'!$A$3="Maximize",MAX($C59:$AI59),MIN($C59:$AI59)),$C59:$AI59,0))),AI52)</f>
        <v>0</v>
      </c>
      <c r="AJ67" s="1">
        <f>IF(OR($B63&lt;&gt;$B48,$B64&lt;&gt;$B49,$B65&lt;&gt;$B50,$B66&lt;&gt;$B51,$B67&lt;&gt;$B52,$B68&lt;&gt;$B53,$B69&lt;&gt;$B54,$B70&lt;&gt;$B55,$B71&lt;&gt;$B56,$B72&lt;&gt;$B57,$B73&lt;&gt;$B58),IF($B67&lt;&gt;$B52,AJ52/INDEX($C48:$AJ58,5,MATCH(IF('Data-solution'!$A$3="Maximize",MAX($C59:$AI59),MIN($C59:$AI59)),$C59:$AI59,0)),AJ52-INDEX($C48:$AJ58,5,MATCH(IF('Data-solution'!$A$3="Maximize",MAX($C59:$AI59),MIN($C59:$AI59)),$C59:$AI59,0))*INDEX(AJ48:$AJ58,MATCH(MIN($AK48:$AK58),$AK48:$AK58,0),1)/INDEX($C48:$AJ58,MATCH(MIN($AK48:$AK58),$AK48:$AK58,0),MATCH(IF('Data-solution'!$A$3="Maximize",MAX($C59:$AI59),MIN($C59:$AI59)),$C59:$AI59,0))),AJ52)</f>
        <v>0</v>
      </c>
      <c r="AK67" s="1" t="str">
        <f>IF(INDEX(C67:X67,1,MATCH(IF('Data-solution'!A$3="Maximize",MAX(C74:X74),MIN(C74:X74)),C74:X74,0))&gt;0,AJ67/INDEX(C67:X67,1,MATCH(IF('Data-solution'!A$3="Maximize",MAX(C74:X74),MIN(C74:X74)),C74:X74,0))," ")</f>
        <v xml:space="preserve"> </v>
      </c>
    </row>
    <row r="68" spans="1:37" ht="18" customHeight="1" x14ac:dyDescent="0.2">
      <c r="A68" s="1">
        <f t="shared" ref="A68" si="41">INDEX(C61:AI61,1,MATCH(B68,C62:AI62,0))</f>
        <v>0</v>
      </c>
      <c r="B68" s="2" t="str">
        <f>IF(AND('Data-solution'!A$3="Maximize",COUNTIF(C59:X59,"&gt;"&amp;0)&gt;0,AK53=MIN(AK48:AK58),COUNTIF(B63:B67,INDEX(C47:X47,1,MATCH(MAX(C59:X59),C59:X59,0)))=0),INDEX(C47:X47,1,MATCH(MAX(C59:X59),C59:X59,0)),IF(AND('Data-solution'!A$3="Minimize",COUNTIF(C59:X59,"&lt;"&amp;0)&gt;0,AK53=MIN(AK48:AK58),COUNTIF(B63:B67,INDEX(C47:X47,1,MATCH(MIN(C59:X59),C59:X59,0)))=0),INDEX(C47:X47,1,MATCH(MIN(C59:X59),C59:X59,0)),B53))</f>
        <v>S6</v>
      </c>
      <c r="C68" s="1">
        <f>IF(OR($B63&lt;&gt;$B48,$B64&lt;&gt;$B49,$B65&lt;&gt;$B50,$B66&lt;&gt;$B51,$B67&lt;&gt;$B52,$B68&lt;&gt;$B53,$B69&lt;&gt;$B54,$B70&lt;&gt;$B55,$B71&lt;&gt;$B56,$B72&lt;&gt;$B57,$B73&lt;&gt;$B58),IF($B68&lt;&gt;$B53,C53/INDEX($C48:$AJ58,6,MATCH(IF('Data-solution'!$A$3="Maximize",MAX($C59:$AI59),MIN($C59:$AI59)),$C59:$AI59,0)),C53-INDEX($C48:$AJ58,6,MATCH(IF('Data-solution'!$A$3="Maximize",MAX($C59:$AI59),MIN($C59:$AI59)),$C59:$AI59,0))*INDEX(C48:$AJ58,MATCH(MIN($AK48:$AK58),$AK48:$AK58,0),1)/INDEX($C48:$AJ58,MATCH(MIN($AK48:$AK58),$AK48:$AK58,0),MATCH(IF('Data-solution'!$A$3="Maximize",MAX($C59:$AI59),MIN($C59:$AI59)),$C59:$AI59,0))),C53)</f>
        <v>0</v>
      </c>
      <c r="D68" s="1">
        <f>IF(OR($B63&lt;&gt;$B48,$B64&lt;&gt;$B49,$B65&lt;&gt;$B50,$B66&lt;&gt;$B51,$B67&lt;&gt;$B52,$B68&lt;&gt;$B53,$B69&lt;&gt;$B54,$B70&lt;&gt;$B55,$B71&lt;&gt;$B56,$B72&lt;&gt;$B57,$B73&lt;&gt;$B58),IF($B68&lt;&gt;$B53,D53/INDEX($C48:$AJ58,6,MATCH(IF('Data-solution'!$A$3="Maximize",MAX($C59:$AI59),MIN($C59:$AI59)),$C59:$AI59,0)),D53-INDEX($C48:$AJ58,6,MATCH(IF('Data-solution'!$A$3="Maximize",MAX($C59:$AI59),MIN($C59:$AI59)),$C59:$AI59,0))*INDEX(D48:$AJ58,MATCH(MIN($AK48:$AK58),$AK48:$AK58,0),1)/INDEX($C48:$AJ58,MATCH(MIN($AK48:$AK58),$AK48:$AK58,0),MATCH(IF('Data-solution'!$A$3="Maximize",MAX($C59:$AI59),MIN($C59:$AI59)),$C59:$AI59,0))),D53)</f>
        <v>0</v>
      </c>
      <c r="E68" s="1">
        <f>IF(OR($B63&lt;&gt;$B48,$B64&lt;&gt;$B49,$B65&lt;&gt;$B50,$B66&lt;&gt;$B51,$B67&lt;&gt;$B52,$B68&lt;&gt;$B53,$B69&lt;&gt;$B54,$B70&lt;&gt;$B55,$B71&lt;&gt;$B56,$B72&lt;&gt;$B57,$B73&lt;&gt;$B58),IF($B68&lt;&gt;$B53,E53/INDEX($C48:$AJ58,6,MATCH(IF('Data-solution'!$A$3="Maximize",MAX($C59:$AI59),MIN($C59:$AI59)),$C59:$AI59,0)),E53-INDEX($C48:$AJ58,6,MATCH(IF('Data-solution'!$A$3="Maximize",MAX($C59:$AI59),MIN($C59:$AI59)),$C59:$AI59,0))*INDEX(E48:$AJ58,MATCH(MIN($AK48:$AK58),$AK48:$AK58,0),1)/INDEX($C48:$AJ58,MATCH(MIN($AK48:$AK58),$AK48:$AK58,0),MATCH(IF('Data-solution'!$A$3="Maximize",MAX($C59:$AI59),MIN($C59:$AI59)),$C59:$AI59,0))),E53)</f>
        <v>0</v>
      </c>
      <c r="F68" s="1">
        <f>IF(OR($B63&lt;&gt;$B48,$B64&lt;&gt;$B49,$B65&lt;&gt;$B50,$B66&lt;&gt;$B51,$B67&lt;&gt;$B52,$B68&lt;&gt;$B53,$B69&lt;&gt;$B54,$B70&lt;&gt;$B55,$B71&lt;&gt;$B56,$B72&lt;&gt;$B57,$B73&lt;&gt;$B58),IF($B68&lt;&gt;$B53,F53/INDEX($C48:$AJ58,6,MATCH(IF('Data-solution'!$A$3="Maximize",MAX($C59:$AI59),MIN($C59:$AI59)),$C59:$AI59,0)),F53-INDEX($C48:$AJ58,6,MATCH(IF('Data-solution'!$A$3="Maximize",MAX($C59:$AI59),MIN($C59:$AI59)),$C59:$AI59,0))*INDEX(F48:$AJ58,MATCH(MIN($AK48:$AK58),$AK48:$AK58,0),1)/INDEX($C48:$AJ58,MATCH(MIN($AK48:$AK58),$AK48:$AK58,0),MATCH(IF('Data-solution'!$A$3="Maximize",MAX($C59:$AI59),MIN($C59:$AI59)),$C59:$AI59,0))),F53)</f>
        <v>0</v>
      </c>
      <c r="G68" s="1">
        <f>IF(OR($B63&lt;&gt;$B48,$B64&lt;&gt;$B49,$B65&lt;&gt;$B50,$B66&lt;&gt;$B51,$B67&lt;&gt;$B52,$B68&lt;&gt;$B53,$B69&lt;&gt;$B54,$B70&lt;&gt;$B55,$B71&lt;&gt;$B56,$B72&lt;&gt;$B57,$B73&lt;&gt;$B58),IF($B68&lt;&gt;$B53,G53/INDEX($C48:$AJ58,6,MATCH(IF('Data-solution'!$A$3="Maximize",MAX($C59:$AI59),MIN($C59:$AI59)),$C59:$AI59,0)),G53-INDEX($C48:$AJ58,6,MATCH(IF('Data-solution'!$A$3="Maximize",MAX($C59:$AI59),MIN($C59:$AI59)),$C59:$AI59,0))*INDEX(G48:$AJ58,MATCH(MIN($AK48:$AK58),$AK48:$AK58,0),1)/INDEX($C48:$AJ58,MATCH(MIN($AK48:$AK58),$AK48:$AK58,0),MATCH(IF('Data-solution'!$A$3="Maximize",MAX($C59:$AI59),MIN($C59:$AI59)),$C59:$AI59,0))),G53)</f>
        <v>0</v>
      </c>
      <c r="H68" s="1">
        <f>IF(OR($B63&lt;&gt;$B48,$B64&lt;&gt;$B49,$B65&lt;&gt;$B50,$B66&lt;&gt;$B51,$B67&lt;&gt;$B52,$B68&lt;&gt;$B53,$B69&lt;&gt;$B54,$B70&lt;&gt;$B55,$B71&lt;&gt;$B56,$B72&lt;&gt;$B57,$B73&lt;&gt;$B58),IF($B68&lt;&gt;$B53,H53/INDEX($C48:$AJ58,6,MATCH(IF('Data-solution'!$A$3="Maximize",MAX($C59:$AI59),MIN($C59:$AI59)),$C59:$AI59,0)),H53-INDEX($C48:$AJ58,6,MATCH(IF('Data-solution'!$A$3="Maximize",MAX($C59:$AI59),MIN($C59:$AI59)),$C59:$AI59,0))*INDEX(H48:$AJ58,MATCH(MIN($AK48:$AK58),$AK48:$AK58,0),1)/INDEX($C48:$AJ58,MATCH(MIN($AK48:$AK58),$AK48:$AK58,0),MATCH(IF('Data-solution'!$A$3="Maximize",MAX($C59:$AI59),MIN($C59:$AI59)),$C59:$AI59,0))),H53)</f>
        <v>0</v>
      </c>
      <c r="I68" s="1">
        <f>IF(OR($B63&lt;&gt;$B48,$B64&lt;&gt;$B49,$B65&lt;&gt;$B50,$B66&lt;&gt;$B51,$B67&lt;&gt;$B52,$B68&lt;&gt;$B53,$B69&lt;&gt;$B54,$B70&lt;&gt;$B55,$B71&lt;&gt;$B56,$B72&lt;&gt;$B57,$B73&lt;&gt;$B58),IF($B68&lt;&gt;$B53,I53/INDEX($C48:$AJ58,6,MATCH(IF('Data-solution'!$A$3="Maximize",MAX($C59:$AI59),MIN($C59:$AI59)),$C59:$AI59,0)),I53-INDEX($C48:$AJ58,6,MATCH(IF('Data-solution'!$A$3="Maximize",MAX($C59:$AI59),MIN($C59:$AI59)),$C59:$AI59,0))*INDEX(I48:$AJ58,MATCH(MIN($AK48:$AK58),$AK48:$AK58,0),1)/INDEX($C48:$AJ58,MATCH(MIN($AK48:$AK58),$AK48:$AK58,0),MATCH(IF('Data-solution'!$A$3="Maximize",MAX($C59:$AI59),MIN($C59:$AI59)),$C59:$AI59,0))),I53)</f>
        <v>0</v>
      </c>
      <c r="J68" s="1">
        <f>IF(OR($B63&lt;&gt;$B48,$B64&lt;&gt;$B49,$B65&lt;&gt;$B50,$B66&lt;&gt;$B51,$B67&lt;&gt;$B52,$B68&lt;&gt;$B53,$B69&lt;&gt;$B54,$B70&lt;&gt;$B55,$B71&lt;&gt;$B56,$B72&lt;&gt;$B57,$B73&lt;&gt;$B58),IF($B68&lt;&gt;$B53,J53/INDEX($C48:$AJ58,6,MATCH(IF('Data-solution'!$A$3="Maximize",MAX($C59:$AI59),MIN($C59:$AI59)),$C59:$AI59,0)),J53-INDEX($C48:$AJ58,6,MATCH(IF('Data-solution'!$A$3="Maximize",MAX($C59:$AI59),MIN($C59:$AI59)),$C59:$AI59,0))*INDEX(J48:$AJ58,MATCH(MIN($AK48:$AK58),$AK48:$AK58,0),1)/INDEX($C48:$AJ58,MATCH(MIN($AK48:$AK58),$AK48:$AK58,0),MATCH(IF('Data-solution'!$A$3="Maximize",MAX($C59:$AI59),MIN($C59:$AI59)),$C59:$AI59,0))),J53)</f>
        <v>0</v>
      </c>
      <c r="K68" s="1">
        <f>IF(OR($B63&lt;&gt;$B48,$B64&lt;&gt;$B49,$B65&lt;&gt;$B50,$B66&lt;&gt;$B51,$B67&lt;&gt;$B52,$B68&lt;&gt;$B53,$B69&lt;&gt;$B54,$B70&lt;&gt;$B55,$B71&lt;&gt;$B56,$B72&lt;&gt;$B57,$B73&lt;&gt;$B58),IF($B68&lt;&gt;$B53,K53/INDEX($C48:$AJ58,6,MATCH(IF('Data-solution'!$A$3="Maximize",MAX($C59:$AI59),MIN($C59:$AI59)),$C59:$AI59,0)),K53-INDEX($C48:$AJ58,6,MATCH(IF('Data-solution'!$A$3="Maximize",MAX($C59:$AI59),MIN($C59:$AI59)),$C59:$AI59,0))*INDEX(K48:$AJ58,MATCH(MIN($AK48:$AK58),$AK48:$AK58,0),1)/INDEX($C48:$AJ58,MATCH(MIN($AK48:$AK58),$AK48:$AK58,0),MATCH(IF('Data-solution'!$A$3="Maximize",MAX($C59:$AI59),MIN($C59:$AI59)),$C59:$AI59,0))),K53)</f>
        <v>0</v>
      </c>
      <c r="L68" s="1">
        <f>IF(OR($B63&lt;&gt;$B48,$B64&lt;&gt;$B49,$B65&lt;&gt;$B50,$B66&lt;&gt;$B51,$B67&lt;&gt;$B52,$B68&lt;&gt;$B53,$B69&lt;&gt;$B54,$B70&lt;&gt;$B55,$B71&lt;&gt;$B56,$B72&lt;&gt;$B57,$B73&lt;&gt;$B58),IF($B68&lt;&gt;$B53,L53/INDEX($C48:$AJ58,6,MATCH(IF('Data-solution'!$A$3="Maximize",MAX($C59:$AI59),MIN($C59:$AI59)),$C59:$AI59,0)),L53-INDEX($C48:$AJ58,6,MATCH(IF('Data-solution'!$A$3="Maximize",MAX($C59:$AI59),MIN($C59:$AI59)),$C59:$AI59,0))*INDEX(L48:$AJ58,MATCH(MIN($AK48:$AK58),$AK48:$AK58,0),1)/INDEX($C48:$AJ58,MATCH(MIN($AK48:$AK58),$AK48:$AK58,0),MATCH(IF('Data-solution'!$A$3="Maximize",MAX($C59:$AI59),MIN($C59:$AI59)),$C59:$AI59,0))),L53)</f>
        <v>0</v>
      </c>
      <c r="M68" s="1">
        <f>IF(OR($B63&lt;&gt;$B48,$B64&lt;&gt;$B49,$B65&lt;&gt;$B50,$B66&lt;&gt;$B51,$B67&lt;&gt;$B52,$B68&lt;&gt;$B53,$B69&lt;&gt;$B54,$B70&lt;&gt;$B55,$B71&lt;&gt;$B56,$B72&lt;&gt;$B57,$B73&lt;&gt;$B58),IF($B68&lt;&gt;$B53,M53/INDEX($C48:$AJ58,6,MATCH(IF('Data-solution'!$A$3="Maximize",MAX($C59:$AI59),MIN($C59:$AI59)),$C59:$AI59,0)),M53-INDEX($C48:$AJ58,6,MATCH(IF('Data-solution'!$A$3="Maximize",MAX($C59:$AI59),MIN($C59:$AI59)),$C59:$AI59,0))*INDEX(M48:$AJ58,MATCH(MIN($AK48:$AK58),$AK48:$AK58,0),1)/INDEX($C48:$AJ58,MATCH(MIN($AK48:$AK58),$AK48:$AK58,0),MATCH(IF('Data-solution'!$A$3="Maximize",MAX($C59:$AI59),MIN($C59:$AI59)),$C59:$AI59,0))),M53)</f>
        <v>0</v>
      </c>
      <c r="N68" s="1">
        <f>IF(OR($B63&lt;&gt;$B48,$B64&lt;&gt;$B49,$B65&lt;&gt;$B50,$B66&lt;&gt;$B51,$B67&lt;&gt;$B52,$B68&lt;&gt;$B53,$B69&lt;&gt;$B54,$B70&lt;&gt;$B55,$B71&lt;&gt;$B56,$B72&lt;&gt;$B57,$B73&lt;&gt;$B58),IF($B68&lt;&gt;$B53,N53/INDEX($C48:$AJ58,6,MATCH(IF('Data-solution'!$A$3="Maximize",MAX($C59:$AI59),MIN($C59:$AI59)),$C59:$AI59,0)),N53-INDEX($C48:$AJ58,6,MATCH(IF('Data-solution'!$A$3="Maximize",MAX($C59:$AI59),MIN($C59:$AI59)),$C59:$AI59,0))*INDEX(N48:$AJ58,MATCH(MIN($AK48:$AK58),$AK48:$AK58,0),1)/INDEX($C48:$AJ58,MATCH(MIN($AK48:$AK58),$AK48:$AK58,0),MATCH(IF('Data-solution'!$A$3="Maximize",MAX($C59:$AI59),MIN($C59:$AI59)),$C59:$AI59,0))),N53)</f>
        <v>0</v>
      </c>
      <c r="O68" s="1">
        <f>IF(OR($B63&lt;&gt;$B48,$B64&lt;&gt;$B49,$B65&lt;&gt;$B50,$B66&lt;&gt;$B51,$B67&lt;&gt;$B52,$B68&lt;&gt;$B53,$B69&lt;&gt;$B54,$B70&lt;&gt;$B55,$B71&lt;&gt;$B56,$B72&lt;&gt;$B57,$B73&lt;&gt;$B58),IF($B68&lt;&gt;$B53,O53/INDEX($C48:$AJ58,6,MATCH(IF('Data-solution'!$A$3="Maximize",MAX($C59:$AI59),MIN($C59:$AI59)),$C59:$AI59,0)),O53-INDEX($C48:$AJ58,6,MATCH(IF('Data-solution'!$A$3="Maximize",MAX($C59:$AI59),MIN($C59:$AI59)),$C59:$AI59,0))*INDEX(O48:$AJ58,MATCH(MIN($AK48:$AK58),$AK48:$AK58,0),1)/INDEX($C48:$AJ58,MATCH(MIN($AK48:$AK58),$AK48:$AK58,0),MATCH(IF('Data-solution'!$A$3="Maximize",MAX($C59:$AI59),MIN($C59:$AI59)),$C59:$AI59,0))),O53)</f>
        <v>0</v>
      </c>
      <c r="P68" s="1">
        <f>IF(OR($B63&lt;&gt;$B48,$B64&lt;&gt;$B49,$B65&lt;&gt;$B50,$B66&lt;&gt;$B51,$B67&lt;&gt;$B52,$B68&lt;&gt;$B53,$B69&lt;&gt;$B54,$B70&lt;&gt;$B55,$B71&lt;&gt;$B56,$B72&lt;&gt;$B57,$B73&lt;&gt;$B58),IF($B68&lt;&gt;$B53,P53/INDEX($C48:$AJ58,6,MATCH(IF('Data-solution'!$A$3="Maximize",MAX($C59:$AI59),MIN($C59:$AI59)),$C59:$AI59,0)),P53-INDEX($C48:$AJ58,6,MATCH(IF('Data-solution'!$A$3="Maximize",MAX($C59:$AI59),MIN($C59:$AI59)),$C59:$AI59,0))*INDEX(P48:$AJ58,MATCH(MIN($AK48:$AK58),$AK48:$AK58,0),1)/INDEX($C48:$AJ58,MATCH(MIN($AK48:$AK58),$AK48:$AK58,0),MATCH(IF('Data-solution'!$A$3="Maximize",MAX($C59:$AI59),MIN($C59:$AI59)),$C59:$AI59,0))),P53)</f>
        <v>0</v>
      </c>
      <c r="Q68" s="1">
        <f>IF(OR($B63&lt;&gt;$B48,$B64&lt;&gt;$B49,$B65&lt;&gt;$B50,$B66&lt;&gt;$B51,$B67&lt;&gt;$B52,$B68&lt;&gt;$B53,$B69&lt;&gt;$B54,$B70&lt;&gt;$B55,$B71&lt;&gt;$B56,$B72&lt;&gt;$B57,$B73&lt;&gt;$B58),IF($B68&lt;&gt;$B53,Q53/INDEX($C48:$AJ58,6,MATCH(IF('Data-solution'!$A$3="Maximize",MAX($C59:$AI59),MIN($C59:$AI59)),$C59:$AI59,0)),Q53-INDEX($C48:$AJ58,6,MATCH(IF('Data-solution'!$A$3="Maximize",MAX($C59:$AI59),MIN($C59:$AI59)),$C59:$AI59,0))*INDEX(Q48:$AJ58,MATCH(MIN($AK48:$AK58),$AK48:$AK58,0),1)/INDEX($C48:$AJ58,MATCH(MIN($AK48:$AK58),$AK48:$AK58,0),MATCH(IF('Data-solution'!$A$3="Maximize",MAX($C59:$AI59),MIN($C59:$AI59)),$C59:$AI59,0))),Q53)</f>
        <v>0</v>
      </c>
      <c r="R68" s="1">
        <f>IF(OR($B63&lt;&gt;$B48,$B64&lt;&gt;$B49,$B65&lt;&gt;$B50,$B66&lt;&gt;$B51,$B67&lt;&gt;$B52,$B68&lt;&gt;$B53,$B69&lt;&gt;$B54,$B70&lt;&gt;$B55,$B71&lt;&gt;$B56,$B72&lt;&gt;$B57,$B73&lt;&gt;$B58),IF($B68&lt;&gt;$B53,R53/INDEX($C48:$AJ58,6,MATCH(IF('Data-solution'!$A$3="Maximize",MAX($C59:$AI59),MIN($C59:$AI59)),$C59:$AI59,0)),R53-INDEX($C48:$AJ58,6,MATCH(IF('Data-solution'!$A$3="Maximize",MAX($C59:$AI59),MIN($C59:$AI59)),$C59:$AI59,0))*INDEX(R48:$AJ58,MATCH(MIN($AK48:$AK58),$AK48:$AK58,0),1)/INDEX($C48:$AJ58,MATCH(MIN($AK48:$AK58),$AK48:$AK58,0),MATCH(IF('Data-solution'!$A$3="Maximize",MAX($C59:$AI59),MIN($C59:$AI59)),$C59:$AI59,0))),R53)</f>
        <v>0</v>
      </c>
      <c r="S68" s="1">
        <f>IF(OR($B63&lt;&gt;$B48,$B64&lt;&gt;$B49,$B65&lt;&gt;$B50,$B66&lt;&gt;$B51,$B67&lt;&gt;$B52,$B68&lt;&gt;$B53,$B69&lt;&gt;$B54,$B70&lt;&gt;$B55,$B71&lt;&gt;$B56,$B72&lt;&gt;$B57,$B73&lt;&gt;$B58),IF($B68&lt;&gt;$B53,S53/INDEX($C48:$AJ58,6,MATCH(IF('Data-solution'!$A$3="Maximize",MAX($C59:$AI59),MIN($C59:$AI59)),$C59:$AI59,0)),S53-INDEX($C48:$AJ58,6,MATCH(IF('Data-solution'!$A$3="Maximize",MAX($C59:$AI59),MIN($C59:$AI59)),$C59:$AI59,0))*INDEX(S48:$AJ58,MATCH(MIN($AK48:$AK58),$AK48:$AK58,0),1)/INDEX($C48:$AJ58,MATCH(MIN($AK48:$AK58),$AK48:$AK58,0),MATCH(IF('Data-solution'!$A$3="Maximize",MAX($C59:$AI59),MIN($C59:$AI59)),$C59:$AI59,0))),S53)</f>
        <v>1</v>
      </c>
      <c r="T68" s="1">
        <f>IF(OR($B63&lt;&gt;$B48,$B64&lt;&gt;$B49,$B65&lt;&gt;$B50,$B66&lt;&gt;$B51,$B67&lt;&gt;$B52,$B68&lt;&gt;$B53,$B69&lt;&gt;$B54,$B70&lt;&gt;$B55,$B71&lt;&gt;$B56,$B72&lt;&gt;$B57,$B73&lt;&gt;$B58),IF($B68&lt;&gt;$B53,T53/INDEX($C48:$AJ58,6,MATCH(IF('Data-solution'!$A$3="Maximize",MAX($C59:$AI59),MIN($C59:$AI59)),$C59:$AI59,0)),T53-INDEX($C48:$AJ58,6,MATCH(IF('Data-solution'!$A$3="Maximize",MAX($C59:$AI59),MIN($C59:$AI59)),$C59:$AI59,0))*INDEX(T48:$AJ58,MATCH(MIN($AK48:$AK58),$AK48:$AK58,0),1)/INDEX($C48:$AJ58,MATCH(MIN($AK48:$AK58),$AK48:$AK58,0),MATCH(IF('Data-solution'!$A$3="Maximize",MAX($C59:$AI59),MIN($C59:$AI59)),$C59:$AI59,0))),T53)</f>
        <v>0</v>
      </c>
      <c r="U68" s="1">
        <f>IF(OR($B63&lt;&gt;$B48,$B64&lt;&gt;$B49,$B65&lt;&gt;$B50,$B66&lt;&gt;$B51,$B67&lt;&gt;$B52,$B68&lt;&gt;$B53,$B69&lt;&gt;$B54,$B70&lt;&gt;$B55,$B71&lt;&gt;$B56,$B72&lt;&gt;$B57,$B73&lt;&gt;$B58),IF($B68&lt;&gt;$B53,U53/INDEX($C48:$AJ58,6,MATCH(IF('Data-solution'!$A$3="Maximize",MAX($C59:$AI59),MIN($C59:$AI59)),$C59:$AI59,0)),U53-INDEX($C48:$AJ58,6,MATCH(IF('Data-solution'!$A$3="Maximize",MAX($C59:$AI59),MIN($C59:$AI59)),$C59:$AI59,0))*INDEX(U48:$AJ58,MATCH(MIN($AK48:$AK58),$AK48:$AK58,0),1)/INDEX($C48:$AJ58,MATCH(MIN($AK48:$AK58),$AK48:$AK58,0),MATCH(IF('Data-solution'!$A$3="Maximize",MAX($C59:$AI59),MIN($C59:$AI59)),$C59:$AI59,0))),U53)</f>
        <v>0</v>
      </c>
      <c r="V68" s="1">
        <f>IF(OR($B63&lt;&gt;$B48,$B64&lt;&gt;$B49,$B65&lt;&gt;$B50,$B66&lt;&gt;$B51,$B67&lt;&gt;$B52,$B68&lt;&gt;$B53,$B69&lt;&gt;$B54,$B70&lt;&gt;$B55,$B71&lt;&gt;$B56,$B72&lt;&gt;$B57,$B73&lt;&gt;$B58),IF($B68&lt;&gt;$B53,V53/INDEX($C48:$AJ58,6,MATCH(IF('Data-solution'!$A$3="Maximize",MAX($C59:$AI59),MIN($C59:$AI59)),$C59:$AI59,0)),V53-INDEX($C48:$AJ58,6,MATCH(IF('Data-solution'!$A$3="Maximize",MAX($C59:$AI59),MIN($C59:$AI59)),$C59:$AI59,0))*INDEX(V48:$AJ58,MATCH(MIN($AK48:$AK58),$AK48:$AK58,0),1)/INDEX($C48:$AJ58,MATCH(MIN($AK48:$AK58),$AK48:$AK58,0),MATCH(IF('Data-solution'!$A$3="Maximize",MAX($C59:$AI59),MIN($C59:$AI59)),$C59:$AI59,0))),V53)</f>
        <v>0</v>
      </c>
      <c r="W68" s="1">
        <f>IF(OR($B63&lt;&gt;$B48,$B64&lt;&gt;$B49,$B65&lt;&gt;$B50,$B66&lt;&gt;$B51,$B67&lt;&gt;$B52,$B68&lt;&gt;$B53,$B69&lt;&gt;$B54,$B70&lt;&gt;$B55,$B71&lt;&gt;$B56,$B72&lt;&gt;$B57,$B73&lt;&gt;$B58),IF($B68&lt;&gt;$B53,W53/INDEX($C48:$AJ58,6,MATCH(IF('Data-solution'!$A$3="Maximize",MAX($C59:$AI59),MIN($C59:$AI59)),$C59:$AI59,0)),W53-INDEX($C48:$AJ58,6,MATCH(IF('Data-solution'!$A$3="Maximize",MAX($C59:$AI59),MIN($C59:$AI59)),$C59:$AI59,0))*INDEX(W48:$AJ58,MATCH(MIN($AK48:$AK58),$AK48:$AK58,0),1)/INDEX($C48:$AJ58,MATCH(MIN($AK48:$AK58),$AK48:$AK58,0),MATCH(IF('Data-solution'!$A$3="Maximize",MAX($C59:$AI59),MIN($C59:$AI59)),$C59:$AI59,0))),W53)</f>
        <v>0</v>
      </c>
      <c r="X68" s="1">
        <f>IF(OR($B63&lt;&gt;$B48,$B64&lt;&gt;$B49,$B65&lt;&gt;$B50,$B66&lt;&gt;$B51,$B67&lt;&gt;$B52,$B68&lt;&gt;$B53,$B69&lt;&gt;$B54,$B70&lt;&gt;$B55,$B71&lt;&gt;$B56,$B72&lt;&gt;$B57,$B73&lt;&gt;$B58),IF($B68&lt;&gt;$B53,X53/INDEX($C48:$AJ58,6,MATCH(IF('Data-solution'!$A$3="Maximize",MAX($C59:$AI59),MIN($C59:$AI59)),$C59:$AI59,0)),X53-INDEX($C48:$AJ58,6,MATCH(IF('Data-solution'!$A$3="Maximize",MAX($C59:$AI59),MIN($C59:$AI59)),$C59:$AI59,0))*INDEX(X48:$AJ58,MATCH(MIN($AK48:$AK58),$AK48:$AK58,0),1)/INDEX($C48:$AJ58,MATCH(MIN($AK48:$AK58),$AK48:$AK58,0),MATCH(IF('Data-solution'!$A$3="Maximize",MAX($C59:$AI59),MIN($C59:$AI59)),$C59:$AI59,0))),X53)</f>
        <v>0</v>
      </c>
      <c r="Y68" s="1">
        <f>IF(OR($B63&lt;&gt;$B48,$B64&lt;&gt;$B49,$B65&lt;&gt;$B50,$B66&lt;&gt;$B51,$B67&lt;&gt;$B52,$B68&lt;&gt;$B53,$B69&lt;&gt;$B54,$B70&lt;&gt;$B55,$B71&lt;&gt;$B56,$B72&lt;&gt;$B57,$B73&lt;&gt;$B58),IF($B68&lt;&gt;$B53,Y53/INDEX($C48:$AJ58,6,MATCH(IF('Data-solution'!$A$3="Maximize",MAX($C59:$AI59),MIN($C59:$AI59)),$C59:$AI59,0)),Y53-INDEX($C48:$AJ58,6,MATCH(IF('Data-solution'!$A$3="Maximize",MAX($C59:$AI59),MIN($C59:$AI59)),$C59:$AI59,0))*INDEX(Y48:$AJ58,MATCH(MIN($AK48:$AK58),$AK48:$AK58,0),1)/INDEX($C48:$AJ58,MATCH(MIN($AK48:$AK58),$AK48:$AK58,0),MATCH(IF('Data-solution'!$A$3="Maximize",MAX($C59:$AI59),MIN($C59:$AI59)),$C59:$AI59,0))),Y53)</f>
        <v>0</v>
      </c>
      <c r="Z68" s="1">
        <f>IF(OR($B63&lt;&gt;$B48,$B64&lt;&gt;$B49,$B65&lt;&gt;$B50,$B66&lt;&gt;$B51,$B67&lt;&gt;$B52,$B68&lt;&gt;$B53,$B69&lt;&gt;$B54,$B70&lt;&gt;$B55,$B71&lt;&gt;$B56,$B72&lt;&gt;$B57,$B73&lt;&gt;$B58),IF($B68&lt;&gt;$B53,Z53/INDEX($C48:$AJ58,6,MATCH(IF('Data-solution'!$A$3="Maximize",MAX($C59:$AI59),MIN($C59:$AI59)),$C59:$AI59,0)),Z53-INDEX($C48:$AJ58,6,MATCH(IF('Data-solution'!$A$3="Maximize",MAX($C59:$AI59),MIN($C59:$AI59)),$C59:$AI59,0))*INDEX(Z48:$AJ58,MATCH(MIN($AK48:$AK58),$AK48:$AK58,0),1)/INDEX($C48:$AJ58,MATCH(MIN($AK48:$AK58),$AK48:$AK58,0),MATCH(IF('Data-solution'!$A$3="Maximize",MAX($C59:$AI59),MIN($C59:$AI59)),$C59:$AI59,0))),Z53)</f>
        <v>0</v>
      </c>
      <c r="AA68" s="1">
        <f>IF(OR($B63&lt;&gt;$B48,$B64&lt;&gt;$B49,$B65&lt;&gt;$B50,$B66&lt;&gt;$B51,$B67&lt;&gt;$B52,$B68&lt;&gt;$B53,$B69&lt;&gt;$B54,$B70&lt;&gt;$B55,$B71&lt;&gt;$B56,$B72&lt;&gt;$B57,$B73&lt;&gt;$B58),IF($B68&lt;&gt;$B53,AA53/INDEX($C48:$AJ58,6,MATCH(IF('Data-solution'!$A$3="Maximize",MAX($C59:$AI59),MIN($C59:$AI59)),$C59:$AI59,0)),AA53-INDEX($C48:$AJ58,6,MATCH(IF('Data-solution'!$A$3="Maximize",MAX($C59:$AI59),MIN($C59:$AI59)),$C59:$AI59,0))*INDEX(AA48:$AJ58,MATCH(MIN($AK48:$AK58),$AK48:$AK58,0),1)/INDEX($C48:$AJ58,MATCH(MIN($AK48:$AK58),$AK48:$AK58,0),MATCH(IF('Data-solution'!$A$3="Maximize",MAX($C59:$AI59),MIN($C59:$AI59)),$C59:$AI59,0))),AA53)</f>
        <v>0</v>
      </c>
      <c r="AB68" s="1">
        <f>IF(OR($B63&lt;&gt;$B48,$B64&lt;&gt;$B49,$B65&lt;&gt;$B50,$B66&lt;&gt;$B51,$B67&lt;&gt;$B52,$B68&lt;&gt;$B53,$B69&lt;&gt;$B54,$B70&lt;&gt;$B55,$B71&lt;&gt;$B56,$B72&lt;&gt;$B57,$B73&lt;&gt;$B58),IF($B68&lt;&gt;$B53,AB53/INDEX($C48:$AJ58,6,MATCH(IF('Data-solution'!$A$3="Maximize",MAX($C59:$AI59),MIN($C59:$AI59)),$C59:$AI59,0)),AB53-INDEX($C48:$AJ58,6,MATCH(IF('Data-solution'!$A$3="Maximize",MAX($C59:$AI59),MIN($C59:$AI59)),$C59:$AI59,0))*INDEX(AB48:$AJ58,MATCH(MIN($AK48:$AK58),$AK48:$AK58,0),1)/INDEX($C48:$AJ58,MATCH(MIN($AK48:$AK58),$AK48:$AK58,0),MATCH(IF('Data-solution'!$A$3="Maximize",MAX($C59:$AI59),MIN($C59:$AI59)),$C59:$AI59,0))),AB53)</f>
        <v>0</v>
      </c>
      <c r="AC68" s="1">
        <f>IF(OR($B63&lt;&gt;$B48,$B64&lt;&gt;$B49,$B65&lt;&gt;$B50,$B66&lt;&gt;$B51,$B67&lt;&gt;$B52,$B68&lt;&gt;$B53,$B69&lt;&gt;$B54,$B70&lt;&gt;$B55,$B71&lt;&gt;$B56,$B72&lt;&gt;$B57,$B73&lt;&gt;$B58),IF($B68&lt;&gt;$B53,AC53/INDEX($C48:$AJ58,6,MATCH(IF('Data-solution'!$A$3="Maximize",MAX($C59:$AI59),MIN($C59:$AI59)),$C59:$AI59,0)),AC53-INDEX($C48:$AJ58,6,MATCH(IF('Data-solution'!$A$3="Maximize",MAX($C59:$AI59),MIN($C59:$AI59)),$C59:$AI59,0))*INDEX(AC48:$AJ58,MATCH(MIN($AK48:$AK58),$AK48:$AK58,0),1)/INDEX($C48:$AJ58,MATCH(MIN($AK48:$AK58),$AK48:$AK58,0),MATCH(IF('Data-solution'!$A$3="Maximize",MAX($C59:$AI59),MIN($C59:$AI59)),$C59:$AI59,0))),AC53)</f>
        <v>0</v>
      </c>
      <c r="AD68" s="1">
        <f>IF(OR($B63&lt;&gt;$B48,$B64&lt;&gt;$B49,$B65&lt;&gt;$B50,$B66&lt;&gt;$B51,$B67&lt;&gt;$B52,$B68&lt;&gt;$B53,$B69&lt;&gt;$B54,$B70&lt;&gt;$B55,$B71&lt;&gt;$B56,$B72&lt;&gt;$B57,$B73&lt;&gt;$B58),IF($B68&lt;&gt;$B53,AD53/INDEX($C48:$AJ58,6,MATCH(IF('Data-solution'!$A$3="Maximize",MAX($C59:$AI59),MIN($C59:$AI59)),$C59:$AI59,0)),AD53-INDEX($C48:$AJ58,6,MATCH(IF('Data-solution'!$A$3="Maximize",MAX($C59:$AI59),MIN($C59:$AI59)),$C59:$AI59,0))*INDEX(AD48:$AJ58,MATCH(MIN($AK48:$AK58),$AK48:$AK58,0),1)/INDEX($C48:$AJ58,MATCH(MIN($AK48:$AK58),$AK48:$AK58,0),MATCH(IF('Data-solution'!$A$3="Maximize",MAX($C59:$AI59),MIN($C59:$AI59)),$C59:$AI59,0))),AD53)</f>
        <v>1</v>
      </c>
      <c r="AE68" s="1">
        <f>IF(OR($B63&lt;&gt;$B48,$B64&lt;&gt;$B49,$B65&lt;&gt;$B50,$B66&lt;&gt;$B51,$B67&lt;&gt;$B52,$B68&lt;&gt;$B53,$B69&lt;&gt;$B54,$B70&lt;&gt;$B55,$B71&lt;&gt;$B56,$B72&lt;&gt;$B57,$B73&lt;&gt;$B58),IF($B68&lt;&gt;$B53,AE53/INDEX($C48:$AJ58,6,MATCH(IF('Data-solution'!$A$3="Maximize",MAX($C59:$AI59),MIN($C59:$AI59)),$C59:$AI59,0)),AE53-INDEX($C48:$AJ58,6,MATCH(IF('Data-solution'!$A$3="Maximize",MAX($C59:$AI59),MIN($C59:$AI59)),$C59:$AI59,0))*INDEX(AE48:$AJ58,MATCH(MIN($AK48:$AK58),$AK48:$AK58,0),1)/INDEX($C48:$AJ58,MATCH(MIN($AK48:$AK58),$AK48:$AK58,0),MATCH(IF('Data-solution'!$A$3="Maximize",MAX($C59:$AI59),MIN($C59:$AI59)),$C59:$AI59,0))),AE53)</f>
        <v>0</v>
      </c>
      <c r="AF68" s="1">
        <f>IF(OR($B63&lt;&gt;$B48,$B64&lt;&gt;$B49,$B65&lt;&gt;$B50,$B66&lt;&gt;$B51,$B67&lt;&gt;$B52,$B68&lt;&gt;$B53,$B69&lt;&gt;$B54,$B70&lt;&gt;$B55,$B71&lt;&gt;$B56,$B72&lt;&gt;$B57,$B73&lt;&gt;$B58),IF($B68&lt;&gt;$B53,AF53/INDEX($C48:$AJ58,6,MATCH(IF('Data-solution'!$A$3="Maximize",MAX($C59:$AI59),MIN($C59:$AI59)),$C59:$AI59,0)),AF53-INDEX($C48:$AJ58,6,MATCH(IF('Data-solution'!$A$3="Maximize",MAX($C59:$AI59),MIN($C59:$AI59)),$C59:$AI59,0))*INDEX(AF48:$AJ58,MATCH(MIN($AK48:$AK58),$AK48:$AK58,0),1)/INDEX($C48:$AJ58,MATCH(MIN($AK48:$AK58),$AK48:$AK58,0),MATCH(IF('Data-solution'!$A$3="Maximize",MAX($C59:$AI59),MIN($C59:$AI59)),$C59:$AI59,0))),AF53)</f>
        <v>0</v>
      </c>
      <c r="AG68" s="1">
        <f>IF(OR($B63&lt;&gt;$B48,$B64&lt;&gt;$B49,$B65&lt;&gt;$B50,$B66&lt;&gt;$B51,$B67&lt;&gt;$B52,$B68&lt;&gt;$B53,$B69&lt;&gt;$B54,$B70&lt;&gt;$B55,$B71&lt;&gt;$B56,$B72&lt;&gt;$B57,$B73&lt;&gt;$B58),IF($B68&lt;&gt;$B53,AG53/INDEX($C48:$AJ58,6,MATCH(IF('Data-solution'!$A$3="Maximize",MAX($C59:$AI59),MIN($C59:$AI59)),$C59:$AI59,0)),AG53-INDEX($C48:$AJ58,6,MATCH(IF('Data-solution'!$A$3="Maximize",MAX($C59:$AI59),MIN($C59:$AI59)),$C59:$AI59,0))*INDEX(AG48:$AJ58,MATCH(MIN($AK48:$AK58),$AK48:$AK58,0),1)/INDEX($C48:$AJ58,MATCH(MIN($AK48:$AK58),$AK48:$AK58,0),MATCH(IF('Data-solution'!$A$3="Maximize",MAX($C59:$AI59),MIN($C59:$AI59)),$C59:$AI59,0))),AG53)</f>
        <v>0</v>
      </c>
      <c r="AH68" s="1">
        <f>IF(OR($B63&lt;&gt;$B48,$B64&lt;&gt;$B49,$B65&lt;&gt;$B50,$B66&lt;&gt;$B51,$B67&lt;&gt;$B52,$B68&lt;&gt;$B53,$B69&lt;&gt;$B54,$B70&lt;&gt;$B55,$B71&lt;&gt;$B56,$B72&lt;&gt;$B57,$B73&lt;&gt;$B58),IF($B68&lt;&gt;$B53,AH53/INDEX($C48:$AJ58,6,MATCH(IF('Data-solution'!$A$3="Maximize",MAX($C59:$AI59),MIN($C59:$AI59)),$C59:$AI59,0)),AH53-INDEX($C48:$AJ58,6,MATCH(IF('Data-solution'!$A$3="Maximize",MAX($C59:$AI59),MIN($C59:$AI59)),$C59:$AI59,0))*INDEX(AH48:$AJ58,MATCH(MIN($AK48:$AK58),$AK48:$AK58,0),1)/INDEX($C48:$AJ58,MATCH(MIN($AK48:$AK58),$AK48:$AK58,0),MATCH(IF('Data-solution'!$A$3="Maximize",MAX($C59:$AI59),MIN($C59:$AI59)),$C59:$AI59,0))),AH53)</f>
        <v>0</v>
      </c>
      <c r="AI68" s="1">
        <f>IF(OR($B63&lt;&gt;$B48,$B64&lt;&gt;$B49,$B65&lt;&gt;$B50,$B66&lt;&gt;$B51,$B67&lt;&gt;$B52,$B68&lt;&gt;$B53,$B69&lt;&gt;$B54,$B70&lt;&gt;$B55,$B71&lt;&gt;$B56,$B72&lt;&gt;$B57,$B73&lt;&gt;$B58),IF($B68&lt;&gt;$B53,AI53/INDEX($C48:$AJ58,6,MATCH(IF('Data-solution'!$A$3="Maximize",MAX($C59:$AI59),MIN($C59:$AI59)),$C59:$AI59,0)),AI53-INDEX($C48:$AJ58,6,MATCH(IF('Data-solution'!$A$3="Maximize",MAX($C59:$AI59),MIN($C59:$AI59)),$C59:$AI59,0))*INDEX(AI48:$AJ58,MATCH(MIN($AK48:$AK58),$AK48:$AK58,0),1)/INDEX($C48:$AJ58,MATCH(MIN($AK48:$AK58),$AK48:$AK58,0),MATCH(IF('Data-solution'!$A$3="Maximize",MAX($C59:$AI59),MIN($C59:$AI59)),$C59:$AI59,0))),AI53)</f>
        <v>0</v>
      </c>
      <c r="AJ68" s="1">
        <f>IF(OR($B63&lt;&gt;$B48,$B64&lt;&gt;$B49,$B65&lt;&gt;$B50,$B66&lt;&gt;$B51,$B67&lt;&gt;$B52,$B68&lt;&gt;$B53,$B69&lt;&gt;$B54,$B70&lt;&gt;$B55,$B71&lt;&gt;$B56,$B72&lt;&gt;$B57,$B73&lt;&gt;$B58),IF($B68&lt;&gt;$B53,AJ53/INDEX($C48:$AJ58,6,MATCH(IF('Data-solution'!$A$3="Maximize",MAX($C59:$AI59),MIN($C59:$AI59)),$C59:$AI59,0)),AJ53-INDEX($C48:$AJ58,6,MATCH(IF('Data-solution'!$A$3="Maximize",MAX($C59:$AI59),MIN($C59:$AI59)),$C59:$AI59,0))*INDEX(AJ48:$AJ58,MATCH(MIN($AK48:$AK58),$AK48:$AK58,0),1)/INDEX($C48:$AJ58,MATCH(MIN($AK48:$AK58),$AK48:$AK58,0),MATCH(IF('Data-solution'!$A$3="Maximize",MAX($C59:$AI59),MIN($C59:$AI59)),$C59:$AI59,0))),AJ53)</f>
        <v>0</v>
      </c>
      <c r="AK68" s="1" t="str">
        <f>IF(INDEX(C68:X68,1,MATCH(IF('Data-solution'!A$3="Maximize",MAX(C74:X74),MIN(C74:X74)),C74:X74,0))&gt;0,AJ68/INDEX(C68:X68,1,MATCH(IF('Data-solution'!A$3="Maximize",MAX(C74:X74),MIN(C74:X74)),C74:X74,0))," ")</f>
        <v xml:space="preserve"> </v>
      </c>
    </row>
    <row r="69" spans="1:37" ht="18" customHeight="1" x14ac:dyDescent="0.2">
      <c r="A69" s="1">
        <f t="shared" ref="A69" si="42">INDEX(C61:AI61,1,MATCH(B69,C62:AI62,0))</f>
        <v>0</v>
      </c>
      <c r="B69" s="2" t="str">
        <f>IF(AND('Data-solution'!A$3="Maximize",COUNTIF(C59:X59,"&gt;"&amp;0)&gt;0,AK54=MIN(AK48:AK58),COUNTIF(B63:B68,INDEX(C47:X47,1,MATCH(MAX(C59:X59),C59:X59,0)))=0),INDEX(C47:X47,1,MATCH(MAX(C59:X59),C59:X59,0)),IF(AND('Data-solution'!A$3="Minimize",COUNTIF(C59:X59,"&lt;"&amp;0)&gt;0,AK54=MIN(AK48:AK58),COUNTIF(B63:B68,INDEX(C47:X47,1,MATCH(MIN(C59:X59),C59:X59,0)))=0),INDEX(C47:X47,1,MATCH(MIN(C59:X59),C59:X59,0)),B54))</f>
        <v>S7</v>
      </c>
      <c r="C69" s="1">
        <f>IF(OR($B63&lt;&gt;$B48,$B64&lt;&gt;$B49,$B65&lt;&gt;$B50,$B66&lt;&gt;$B51,$B67&lt;&gt;$B52,$B68&lt;&gt;$B53,$B69&lt;&gt;$B54,$B70&lt;&gt;$B55,$B71&lt;&gt;$B56,$B72&lt;&gt;$B57,$B73&lt;&gt;$B58),IF($B69&lt;&gt;$B54,C54/INDEX($C48:$AJ58,7,MATCH(IF('Data-solution'!$A$3="Maximize",MAX($C59:$AI59),MIN($C59:$AI59)),$C59:$AI59,0)),C54-INDEX($C48:$AJ58,7,MATCH(IF('Data-solution'!$A$3="Maximize",MAX($C59:$AI59),MIN($C59:$AI59)),$C59:$AI59,0))*INDEX(C48:$AJ58,MATCH(MIN($AK48:$AK58),$AK48:$AK58,0),1)/INDEX($C48:$AJ58,MATCH(MIN($AK48:$AK58),$AK48:$AK58,0),MATCH(IF('Data-solution'!$A$3="Maximize",MAX($C59:$AI59),MIN($C59:$AI59)),$C59:$AI59,0))),C54)</f>
        <v>0</v>
      </c>
      <c r="D69" s="1">
        <f>IF(OR($B63&lt;&gt;$B48,$B64&lt;&gt;$B49,$B65&lt;&gt;$B50,$B66&lt;&gt;$B51,$B67&lt;&gt;$B52,$B68&lt;&gt;$B53,$B69&lt;&gt;$B54,$B70&lt;&gt;$B55,$B71&lt;&gt;$B56,$B72&lt;&gt;$B57,$B73&lt;&gt;$B58),IF($B69&lt;&gt;$B54,D54/INDEX($C48:$AJ58,7,MATCH(IF('Data-solution'!$A$3="Maximize",MAX($C59:$AI59),MIN($C59:$AI59)),$C59:$AI59,0)),D54-INDEX($C48:$AJ58,7,MATCH(IF('Data-solution'!$A$3="Maximize",MAX($C59:$AI59),MIN($C59:$AI59)),$C59:$AI59,0))*INDEX(D48:$AJ58,MATCH(MIN($AK48:$AK58),$AK48:$AK58,0),1)/INDEX($C48:$AJ58,MATCH(MIN($AK48:$AK58),$AK48:$AK58,0),MATCH(IF('Data-solution'!$A$3="Maximize",MAX($C59:$AI59),MIN($C59:$AI59)),$C59:$AI59,0))),D54)</f>
        <v>0</v>
      </c>
      <c r="E69" s="1">
        <f>IF(OR($B63&lt;&gt;$B48,$B64&lt;&gt;$B49,$B65&lt;&gt;$B50,$B66&lt;&gt;$B51,$B67&lt;&gt;$B52,$B68&lt;&gt;$B53,$B69&lt;&gt;$B54,$B70&lt;&gt;$B55,$B71&lt;&gt;$B56,$B72&lt;&gt;$B57,$B73&lt;&gt;$B58),IF($B69&lt;&gt;$B54,E54/INDEX($C48:$AJ58,7,MATCH(IF('Data-solution'!$A$3="Maximize",MAX($C59:$AI59),MIN($C59:$AI59)),$C59:$AI59,0)),E54-INDEX($C48:$AJ58,7,MATCH(IF('Data-solution'!$A$3="Maximize",MAX($C59:$AI59),MIN($C59:$AI59)),$C59:$AI59,0))*INDEX(E48:$AJ58,MATCH(MIN($AK48:$AK58),$AK48:$AK58,0),1)/INDEX($C48:$AJ58,MATCH(MIN($AK48:$AK58),$AK48:$AK58,0),MATCH(IF('Data-solution'!$A$3="Maximize",MAX($C59:$AI59),MIN($C59:$AI59)),$C59:$AI59,0))),E54)</f>
        <v>0</v>
      </c>
      <c r="F69" s="1">
        <f>IF(OR($B63&lt;&gt;$B48,$B64&lt;&gt;$B49,$B65&lt;&gt;$B50,$B66&lt;&gt;$B51,$B67&lt;&gt;$B52,$B68&lt;&gt;$B53,$B69&lt;&gt;$B54,$B70&lt;&gt;$B55,$B71&lt;&gt;$B56,$B72&lt;&gt;$B57,$B73&lt;&gt;$B58),IF($B69&lt;&gt;$B54,F54/INDEX($C48:$AJ58,7,MATCH(IF('Data-solution'!$A$3="Maximize",MAX($C59:$AI59),MIN($C59:$AI59)),$C59:$AI59,0)),F54-INDEX($C48:$AJ58,7,MATCH(IF('Data-solution'!$A$3="Maximize",MAX($C59:$AI59),MIN($C59:$AI59)),$C59:$AI59,0))*INDEX(F48:$AJ58,MATCH(MIN($AK48:$AK58),$AK48:$AK58,0),1)/INDEX($C48:$AJ58,MATCH(MIN($AK48:$AK58),$AK48:$AK58,0),MATCH(IF('Data-solution'!$A$3="Maximize",MAX($C59:$AI59),MIN($C59:$AI59)),$C59:$AI59,0))),F54)</f>
        <v>0</v>
      </c>
      <c r="G69" s="1">
        <f>IF(OR($B63&lt;&gt;$B48,$B64&lt;&gt;$B49,$B65&lt;&gt;$B50,$B66&lt;&gt;$B51,$B67&lt;&gt;$B52,$B68&lt;&gt;$B53,$B69&lt;&gt;$B54,$B70&lt;&gt;$B55,$B71&lt;&gt;$B56,$B72&lt;&gt;$B57,$B73&lt;&gt;$B58),IF($B69&lt;&gt;$B54,G54/INDEX($C48:$AJ58,7,MATCH(IF('Data-solution'!$A$3="Maximize",MAX($C59:$AI59),MIN($C59:$AI59)),$C59:$AI59,0)),G54-INDEX($C48:$AJ58,7,MATCH(IF('Data-solution'!$A$3="Maximize",MAX($C59:$AI59),MIN($C59:$AI59)),$C59:$AI59,0))*INDEX(G48:$AJ58,MATCH(MIN($AK48:$AK58),$AK48:$AK58,0),1)/INDEX($C48:$AJ58,MATCH(MIN($AK48:$AK58),$AK48:$AK58,0),MATCH(IF('Data-solution'!$A$3="Maximize",MAX($C59:$AI59),MIN($C59:$AI59)),$C59:$AI59,0))),G54)</f>
        <v>0</v>
      </c>
      <c r="H69" s="1">
        <f>IF(OR($B63&lt;&gt;$B48,$B64&lt;&gt;$B49,$B65&lt;&gt;$B50,$B66&lt;&gt;$B51,$B67&lt;&gt;$B52,$B68&lt;&gt;$B53,$B69&lt;&gt;$B54,$B70&lt;&gt;$B55,$B71&lt;&gt;$B56,$B72&lt;&gt;$B57,$B73&lt;&gt;$B58),IF($B69&lt;&gt;$B54,H54/INDEX($C48:$AJ58,7,MATCH(IF('Data-solution'!$A$3="Maximize",MAX($C59:$AI59),MIN($C59:$AI59)),$C59:$AI59,0)),H54-INDEX($C48:$AJ58,7,MATCH(IF('Data-solution'!$A$3="Maximize",MAX($C59:$AI59),MIN($C59:$AI59)),$C59:$AI59,0))*INDEX(H48:$AJ58,MATCH(MIN($AK48:$AK58),$AK48:$AK58,0),1)/INDEX($C48:$AJ58,MATCH(MIN($AK48:$AK58),$AK48:$AK58,0),MATCH(IF('Data-solution'!$A$3="Maximize",MAX($C59:$AI59),MIN($C59:$AI59)),$C59:$AI59,0))),H54)</f>
        <v>0</v>
      </c>
      <c r="I69" s="1">
        <f>IF(OR($B63&lt;&gt;$B48,$B64&lt;&gt;$B49,$B65&lt;&gt;$B50,$B66&lt;&gt;$B51,$B67&lt;&gt;$B52,$B68&lt;&gt;$B53,$B69&lt;&gt;$B54,$B70&lt;&gt;$B55,$B71&lt;&gt;$B56,$B72&lt;&gt;$B57,$B73&lt;&gt;$B58),IF($B69&lt;&gt;$B54,I54/INDEX($C48:$AJ58,7,MATCH(IF('Data-solution'!$A$3="Maximize",MAX($C59:$AI59),MIN($C59:$AI59)),$C59:$AI59,0)),I54-INDEX($C48:$AJ58,7,MATCH(IF('Data-solution'!$A$3="Maximize",MAX($C59:$AI59),MIN($C59:$AI59)),$C59:$AI59,0))*INDEX(I48:$AJ58,MATCH(MIN($AK48:$AK58),$AK48:$AK58,0),1)/INDEX($C48:$AJ58,MATCH(MIN($AK48:$AK58),$AK48:$AK58,0),MATCH(IF('Data-solution'!$A$3="Maximize",MAX($C59:$AI59),MIN($C59:$AI59)),$C59:$AI59,0))),I54)</f>
        <v>0</v>
      </c>
      <c r="J69" s="1">
        <f>IF(OR($B63&lt;&gt;$B48,$B64&lt;&gt;$B49,$B65&lt;&gt;$B50,$B66&lt;&gt;$B51,$B67&lt;&gt;$B52,$B68&lt;&gt;$B53,$B69&lt;&gt;$B54,$B70&lt;&gt;$B55,$B71&lt;&gt;$B56,$B72&lt;&gt;$B57,$B73&lt;&gt;$B58),IF($B69&lt;&gt;$B54,J54/INDEX($C48:$AJ58,7,MATCH(IF('Data-solution'!$A$3="Maximize",MAX($C59:$AI59),MIN($C59:$AI59)),$C59:$AI59,0)),J54-INDEX($C48:$AJ58,7,MATCH(IF('Data-solution'!$A$3="Maximize",MAX($C59:$AI59),MIN($C59:$AI59)),$C59:$AI59,0))*INDEX(J48:$AJ58,MATCH(MIN($AK48:$AK58),$AK48:$AK58,0),1)/INDEX($C48:$AJ58,MATCH(MIN($AK48:$AK58),$AK48:$AK58,0),MATCH(IF('Data-solution'!$A$3="Maximize",MAX($C59:$AI59),MIN($C59:$AI59)),$C59:$AI59,0))),J54)</f>
        <v>0</v>
      </c>
      <c r="K69" s="1">
        <f>IF(OR($B63&lt;&gt;$B48,$B64&lt;&gt;$B49,$B65&lt;&gt;$B50,$B66&lt;&gt;$B51,$B67&lt;&gt;$B52,$B68&lt;&gt;$B53,$B69&lt;&gt;$B54,$B70&lt;&gt;$B55,$B71&lt;&gt;$B56,$B72&lt;&gt;$B57,$B73&lt;&gt;$B58),IF($B69&lt;&gt;$B54,K54/INDEX($C48:$AJ58,7,MATCH(IF('Data-solution'!$A$3="Maximize",MAX($C59:$AI59),MIN($C59:$AI59)),$C59:$AI59,0)),K54-INDEX($C48:$AJ58,7,MATCH(IF('Data-solution'!$A$3="Maximize",MAX($C59:$AI59),MIN($C59:$AI59)),$C59:$AI59,0))*INDEX(K48:$AJ58,MATCH(MIN($AK48:$AK58),$AK48:$AK58,0),1)/INDEX($C48:$AJ58,MATCH(MIN($AK48:$AK58),$AK48:$AK58,0),MATCH(IF('Data-solution'!$A$3="Maximize",MAX($C59:$AI59),MIN($C59:$AI59)),$C59:$AI59,0))),K54)</f>
        <v>0</v>
      </c>
      <c r="L69" s="1">
        <f>IF(OR($B63&lt;&gt;$B48,$B64&lt;&gt;$B49,$B65&lt;&gt;$B50,$B66&lt;&gt;$B51,$B67&lt;&gt;$B52,$B68&lt;&gt;$B53,$B69&lt;&gt;$B54,$B70&lt;&gt;$B55,$B71&lt;&gt;$B56,$B72&lt;&gt;$B57,$B73&lt;&gt;$B58),IF($B69&lt;&gt;$B54,L54/INDEX($C48:$AJ58,7,MATCH(IF('Data-solution'!$A$3="Maximize",MAX($C59:$AI59),MIN($C59:$AI59)),$C59:$AI59,0)),L54-INDEX($C48:$AJ58,7,MATCH(IF('Data-solution'!$A$3="Maximize",MAX($C59:$AI59),MIN($C59:$AI59)),$C59:$AI59,0))*INDEX(L48:$AJ58,MATCH(MIN($AK48:$AK58),$AK48:$AK58,0),1)/INDEX($C48:$AJ58,MATCH(MIN($AK48:$AK58),$AK48:$AK58,0),MATCH(IF('Data-solution'!$A$3="Maximize",MAX($C59:$AI59),MIN($C59:$AI59)),$C59:$AI59,0))),L54)</f>
        <v>0</v>
      </c>
      <c r="M69" s="1">
        <f>IF(OR($B63&lt;&gt;$B48,$B64&lt;&gt;$B49,$B65&lt;&gt;$B50,$B66&lt;&gt;$B51,$B67&lt;&gt;$B52,$B68&lt;&gt;$B53,$B69&lt;&gt;$B54,$B70&lt;&gt;$B55,$B71&lt;&gt;$B56,$B72&lt;&gt;$B57,$B73&lt;&gt;$B58),IF($B69&lt;&gt;$B54,M54/INDEX($C48:$AJ58,7,MATCH(IF('Data-solution'!$A$3="Maximize",MAX($C59:$AI59),MIN($C59:$AI59)),$C59:$AI59,0)),M54-INDEX($C48:$AJ58,7,MATCH(IF('Data-solution'!$A$3="Maximize",MAX($C59:$AI59),MIN($C59:$AI59)),$C59:$AI59,0))*INDEX(M48:$AJ58,MATCH(MIN($AK48:$AK58),$AK48:$AK58,0),1)/INDEX($C48:$AJ58,MATCH(MIN($AK48:$AK58),$AK48:$AK58,0),MATCH(IF('Data-solution'!$A$3="Maximize",MAX($C59:$AI59),MIN($C59:$AI59)),$C59:$AI59,0))),M54)</f>
        <v>0</v>
      </c>
      <c r="N69" s="1">
        <f>IF(OR($B63&lt;&gt;$B48,$B64&lt;&gt;$B49,$B65&lt;&gt;$B50,$B66&lt;&gt;$B51,$B67&lt;&gt;$B52,$B68&lt;&gt;$B53,$B69&lt;&gt;$B54,$B70&lt;&gt;$B55,$B71&lt;&gt;$B56,$B72&lt;&gt;$B57,$B73&lt;&gt;$B58),IF($B69&lt;&gt;$B54,N54/INDEX($C48:$AJ58,7,MATCH(IF('Data-solution'!$A$3="Maximize",MAX($C59:$AI59),MIN($C59:$AI59)),$C59:$AI59,0)),N54-INDEX($C48:$AJ58,7,MATCH(IF('Data-solution'!$A$3="Maximize",MAX($C59:$AI59),MIN($C59:$AI59)),$C59:$AI59,0))*INDEX(N48:$AJ58,MATCH(MIN($AK48:$AK58),$AK48:$AK58,0),1)/INDEX($C48:$AJ58,MATCH(MIN($AK48:$AK58),$AK48:$AK58,0),MATCH(IF('Data-solution'!$A$3="Maximize",MAX($C59:$AI59),MIN($C59:$AI59)),$C59:$AI59,0))),N54)</f>
        <v>0</v>
      </c>
      <c r="O69" s="1">
        <f>IF(OR($B63&lt;&gt;$B48,$B64&lt;&gt;$B49,$B65&lt;&gt;$B50,$B66&lt;&gt;$B51,$B67&lt;&gt;$B52,$B68&lt;&gt;$B53,$B69&lt;&gt;$B54,$B70&lt;&gt;$B55,$B71&lt;&gt;$B56,$B72&lt;&gt;$B57,$B73&lt;&gt;$B58),IF($B69&lt;&gt;$B54,O54/INDEX($C48:$AJ58,7,MATCH(IF('Data-solution'!$A$3="Maximize",MAX($C59:$AI59),MIN($C59:$AI59)),$C59:$AI59,0)),O54-INDEX($C48:$AJ58,7,MATCH(IF('Data-solution'!$A$3="Maximize",MAX($C59:$AI59),MIN($C59:$AI59)),$C59:$AI59,0))*INDEX(O48:$AJ58,MATCH(MIN($AK48:$AK58),$AK48:$AK58,0),1)/INDEX($C48:$AJ58,MATCH(MIN($AK48:$AK58),$AK48:$AK58,0),MATCH(IF('Data-solution'!$A$3="Maximize",MAX($C59:$AI59),MIN($C59:$AI59)),$C59:$AI59,0))),O54)</f>
        <v>0</v>
      </c>
      <c r="P69" s="1">
        <f>IF(OR($B63&lt;&gt;$B48,$B64&lt;&gt;$B49,$B65&lt;&gt;$B50,$B66&lt;&gt;$B51,$B67&lt;&gt;$B52,$B68&lt;&gt;$B53,$B69&lt;&gt;$B54,$B70&lt;&gt;$B55,$B71&lt;&gt;$B56,$B72&lt;&gt;$B57,$B73&lt;&gt;$B58),IF($B69&lt;&gt;$B54,P54/INDEX($C48:$AJ58,7,MATCH(IF('Data-solution'!$A$3="Maximize",MAX($C59:$AI59),MIN($C59:$AI59)),$C59:$AI59,0)),P54-INDEX($C48:$AJ58,7,MATCH(IF('Data-solution'!$A$3="Maximize",MAX($C59:$AI59),MIN($C59:$AI59)),$C59:$AI59,0))*INDEX(P48:$AJ58,MATCH(MIN($AK48:$AK58),$AK48:$AK58,0),1)/INDEX($C48:$AJ58,MATCH(MIN($AK48:$AK58),$AK48:$AK58,0),MATCH(IF('Data-solution'!$A$3="Maximize",MAX($C59:$AI59),MIN($C59:$AI59)),$C59:$AI59,0))),P54)</f>
        <v>0</v>
      </c>
      <c r="Q69" s="1">
        <f>IF(OR($B63&lt;&gt;$B48,$B64&lt;&gt;$B49,$B65&lt;&gt;$B50,$B66&lt;&gt;$B51,$B67&lt;&gt;$B52,$B68&lt;&gt;$B53,$B69&lt;&gt;$B54,$B70&lt;&gt;$B55,$B71&lt;&gt;$B56,$B72&lt;&gt;$B57,$B73&lt;&gt;$B58),IF($B69&lt;&gt;$B54,Q54/INDEX($C48:$AJ58,7,MATCH(IF('Data-solution'!$A$3="Maximize",MAX($C59:$AI59),MIN($C59:$AI59)),$C59:$AI59,0)),Q54-INDEX($C48:$AJ58,7,MATCH(IF('Data-solution'!$A$3="Maximize",MAX($C59:$AI59),MIN($C59:$AI59)),$C59:$AI59,0))*INDEX(Q48:$AJ58,MATCH(MIN($AK48:$AK58),$AK48:$AK58,0),1)/INDEX($C48:$AJ58,MATCH(MIN($AK48:$AK58),$AK48:$AK58,0),MATCH(IF('Data-solution'!$A$3="Maximize",MAX($C59:$AI59),MIN($C59:$AI59)),$C59:$AI59,0))),Q54)</f>
        <v>0</v>
      </c>
      <c r="R69" s="1">
        <f>IF(OR($B63&lt;&gt;$B48,$B64&lt;&gt;$B49,$B65&lt;&gt;$B50,$B66&lt;&gt;$B51,$B67&lt;&gt;$B52,$B68&lt;&gt;$B53,$B69&lt;&gt;$B54,$B70&lt;&gt;$B55,$B71&lt;&gt;$B56,$B72&lt;&gt;$B57,$B73&lt;&gt;$B58),IF($B69&lt;&gt;$B54,R54/INDEX($C48:$AJ58,7,MATCH(IF('Data-solution'!$A$3="Maximize",MAX($C59:$AI59),MIN($C59:$AI59)),$C59:$AI59,0)),R54-INDEX($C48:$AJ58,7,MATCH(IF('Data-solution'!$A$3="Maximize",MAX($C59:$AI59),MIN($C59:$AI59)),$C59:$AI59,0))*INDEX(R48:$AJ58,MATCH(MIN($AK48:$AK58),$AK48:$AK58,0),1)/INDEX($C48:$AJ58,MATCH(MIN($AK48:$AK58),$AK48:$AK58,0),MATCH(IF('Data-solution'!$A$3="Maximize",MAX($C59:$AI59),MIN($C59:$AI59)),$C59:$AI59,0))),R54)</f>
        <v>0</v>
      </c>
      <c r="S69" s="1">
        <f>IF(OR($B63&lt;&gt;$B48,$B64&lt;&gt;$B49,$B65&lt;&gt;$B50,$B66&lt;&gt;$B51,$B67&lt;&gt;$B52,$B68&lt;&gt;$B53,$B69&lt;&gt;$B54,$B70&lt;&gt;$B55,$B71&lt;&gt;$B56,$B72&lt;&gt;$B57,$B73&lt;&gt;$B58),IF($B69&lt;&gt;$B54,S54/INDEX($C48:$AJ58,7,MATCH(IF('Data-solution'!$A$3="Maximize",MAX($C59:$AI59),MIN($C59:$AI59)),$C59:$AI59,0)),S54-INDEX($C48:$AJ58,7,MATCH(IF('Data-solution'!$A$3="Maximize",MAX($C59:$AI59),MIN($C59:$AI59)),$C59:$AI59,0))*INDEX(S48:$AJ58,MATCH(MIN($AK48:$AK58),$AK48:$AK58,0),1)/INDEX($C48:$AJ58,MATCH(MIN($AK48:$AK58),$AK48:$AK58,0),MATCH(IF('Data-solution'!$A$3="Maximize",MAX($C59:$AI59),MIN($C59:$AI59)),$C59:$AI59,0))),S54)</f>
        <v>0</v>
      </c>
      <c r="T69" s="1">
        <f>IF(OR($B63&lt;&gt;$B48,$B64&lt;&gt;$B49,$B65&lt;&gt;$B50,$B66&lt;&gt;$B51,$B67&lt;&gt;$B52,$B68&lt;&gt;$B53,$B69&lt;&gt;$B54,$B70&lt;&gt;$B55,$B71&lt;&gt;$B56,$B72&lt;&gt;$B57,$B73&lt;&gt;$B58),IF($B69&lt;&gt;$B54,T54/INDEX($C48:$AJ58,7,MATCH(IF('Data-solution'!$A$3="Maximize",MAX($C59:$AI59),MIN($C59:$AI59)),$C59:$AI59,0)),T54-INDEX($C48:$AJ58,7,MATCH(IF('Data-solution'!$A$3="Maximize",MAX($C59:$AI59),MIN($C59:$AI59)),$C59:$AI59,0))*INDEX(T48:$AJ58,MATCH(MIN($AK48:$AK58),$AK48:$AK58,0),1)/INDEX($C48:$AJ58,MATCH(MIN($AK48:$AK58),$AK48:$AK58,0),MATCH(IF('Data-solution'!$A$3="Maximize",MAX($C59:$AI59),MIN($C59:$AI59)),$C59:$AI59,0))),T54)</f>
        <v>1</v>
      </c>
      <c r="U69" s="1">
        <f>IF(OR($B63&lt;&gt;$B48,$B64&lt;&gt;$B49,$B65&lt;&gt;$B50,$B66&lt;&gt;$B51,$B67&lt;&gt;$B52,$B68&lt;&gt;$B53,$B69&lt;&gt;$B54,$B70&lt;&gt;$B55,$B71&lt;&gt;$B56,$B72&lt;&gt;$B57,$B73&lt;&gt;$B58),IF($B69&lt;&gt;$B54,U54/INDEX($C48:$AJ58,7,MATCH(IF('Data-solution'!$A$3="Maximize",MAX($C59:$AI59),MIN($C59:$AI59)),$C59:$AI59,0)),U54-INDEX($C48:$AJ58,7,MATCH(IF('Data-solution'!$A$3="Maximize",MAX($C59:$AI59),MIN($C59:$AI59)),$C59:$AI59,0))*INDEX(U48:$AJ58,MATCH(MIN($AK48:$AK58),$AK48:$AK58,0),1)/INDEX($C48:$AJ58,MATCH(MIN($AK48:$AK58),$AK48:$AK58,0),MATCH(IF('Data-solution'!$A$3="Maximize",MAX($C59:$AI59),MIN($C59:$AI59)),$C59:$AI59,0))),U54)</f>
        <v>0</v>
      </c>
      <c r="V69" s="1">
        <f>IF(OR($B63&lt;&gt;$B48,$B64&lt;&gt;$B49,$B65&lt;&gt;$B50,$B66&lt;&gt;$B51,$B67&lt;&gt;$B52,$B68&lt;&gt;$B53,$B69&lt;&gt;$B54,$B70&lt;&gt;$B55,$B71&lt;&gt;$B56,$B72&lt;&gt;$B57,$B73&lt;&gt;$B58),IF($B69&lt;&gt;$B54,V54/INDEX($C48:$AJ58,7,MATCH(IF('Data-solution'!$A$3="Maximize",MAX($C59:$AI59),MIN($C59:$AI59)),$C59:$AI59,0)),V54-INDEX($C48:$AJ58,7,MATCH(IF('Data-solution'!$A$3="Maximize",MAX($C59:$AI59),MIN($C59:$AI59)),$C59:$AI59,0))*INDEX(V48:$AJ58,MATCH(MIN($AK48:$AK58),$AK48:$AK58,0),1)/INDEX($C48:$AJ58,MATCH(MIN($AK48:$AK58),$AK48:$AK58,0),MATCH(IF('Data-solution'!$A$3="Maximize",MAX($C59:$AI59),MIN($C59:$AI59)),$C59:$AI59,0))),V54)</f>
        <v>0</v>
      </c>
      <c r="W69" s="1">
        <f>IF(OR($B63&lt;&gt;$B48,$B64&lt;&gt;$B49,$B65&lt;&gt;$B50,$B66&lt;&gt;$B51,$B67&lt;&gt;$B52,$B68&lt;&gt;$B53,$B69&lt;&gt;$B54,$B70&lt;&gt;$B55,$B71&lt;&gt;$B56,$B72&lt;&gt;$B57,$B73&lt;&gt;$B58),IF($B69&lt;&gt;$B54,W54/INDEX($C48:$AJ58,7,MATCH(IF('Data-solution'!$A$3="Maximize",MAX($C59:$AI59),MIN($C59:$AI59)),$C59:$AI59,0)),W54-INDEX($C48:$AJ58,7,MATCH(IF('Data-solution'!$A$3="Maximize",MAX($C59:$AI59),MIN($C59:$AI59)),$C59:$AI59,0))*INDEX(W48:$AJ58,MATCH(MIN($AK48:$AK58),$AK48:$AK58,0),1)/INDEX($C48:$AJ58,MATCH(MIN($AK48:$AK58),$AK48:$AK58,0),MATCH(IF('Data-solution'!$A$3="Maximize",MAX($C59:$AI59),MIN($C59:$AI59)),$C59:$AI59,0))),W54)</f>
        <v>0</v>
      </c>
      <c r="X69" s="1">
        <f>IF(OR($B63&lt;&gt;$B48,$B64&lt;&gt;$B49,$B65&lt;&gt;$B50,$B66&lt;&gt;$B51,$B67&lt;&gt;$B52,$B68&lt;&gt;$B53,$B69&lt;&gt;$B54,$B70&lt;&gt;$B55,$B71&lt;&gt;$B56,$B72&lt;&gt;$B57,$B73&lt;&gt;$B58),IF($B69&lt;&gt;$B54,X54/INDEX($C48:$AJ58,7,MATCH(IF('Data-solution'!$A$3="Maximize",MAX($C59:$AI59),MIN($C59:$AI59)),$C59:$AI59,0)),X54-INDEX($C48:$AJ58,7,MATCH(IF('Data-solution'!$A$3="Maximize",MAX($C59:$AI59),MIN($C59:$AI59)),$C59:$AI59,0))*INDEX(X48:$AJ58,MATCH(MIN($AK48:$AK58),$AK48:$AK58,0),1)/INDEX($C48:$AJ58,MATCH(MIN($AK48:$AK58),$AK48:$AK58,0),MATCH(IF('Data-solution'!$A$3="Maximize",MAX($C59:$AI59),MIN($C59:$AI59)),$C59:$AI59,0))),X54)</f>
        <v>0</v>
      </c>
      <c r="Y69" s="1">
        <f>IF(OR($B63&lt;&gt;$B48,$B64&lt;&gt;$B49,$B65&lt;&gt;$B50,$B66&lt;&gt;$B51,$B67&lt;&gt;$B52,$B68&lt;&gt;$B53,$B69&lt;&gt;$B54,$B70&lt;&gt;$B55,$B71&lt;&gt;$B56,$B72&lt;&gt;$B57,$B73&lt;&gt;$B58),IF($B69&lt;&gt;$B54,Y54/INDEX($C48:$AJ58,7,MATCH(IF('Data-solution'!$A$3="Maximize",MAX($C59:$AI59),MIN($C59:$AI59)),$C59:$AI59,0)),Y54-INDEX($C48:$AJ58,7,MATCH(IF('Data-solution'!$A$3="Maximize",MAX($C59:$AI59),MIN($C59:$AI59)),$C59:$AI59,0))*INDEX(Y48:$AJ58,MATCH(MIN($AK48:$AK58),$AK48:$AK58,0),1)/INDEX($C48:$AJ58,MATCH(MIN($AK48:$AK58),$AK48:$AK58,0),MATCH(IF('Data-solution'!$A$3="Maximize",MAX($C59:$AI59),MIN($C59:$AI59)),$C59:$AI59,0))),Y54)</f>
        <v>0</v>
      </c>
      <c r="Z69" s="1">
        <f>IF(OR($B63&lt;&gt;$B48,$B64&lt;&gt;$B49,$B65&lt;&gt;$B50,$B66&lt;&gt;$B51,$B67&lt;&gt;$B52,$B68&lt;&gt;$B53,$B69&lt;&gt;$B54,$B70&lt;&gt;$B55,$B71&lt;&gt;$B56,$B72&lt;&gt;$B57,$B73&lt;&gt;$B58),IF($B69&lt;&gt;$B54,Z54/INDEX($C48:$AJ58,7,MATCH(IF('Data-solution'!$A$3="Maximize",MAX($C59:$AI59),MIN($C59:$AI59)),$C59:$AI59,0)),Z54-INDEX($C48:$AJ58,7,MATCH(IF('Data-solution'!$A$3="Maximize",MAX($C59:$AI59),MIN($C59:$AI59)),$C59:$AI59,0))*INDEX(Z48:$AJ58,MATCH(MIN($AK48:$AK58),$AK48:$AK58,0),1)/INDEX($C48:$AJ58,MATCH(MIN($AK48:$AK58),$AK48:$AK58,0),MATCH(IF('Data-solution'!$A$3="Maximize",MAX($C59:$AI59),MIN($C59:$AI59)),$C59:$AI59,0))),Z54)</f>
        <v>0</v>
      </c>
      <c r="AA69" s="1">
        <f>IF(OR($B63&lt;&gt;$B48,$B64&lt;&gt;$B49,$B65&lt;&gt;$B50,$B66&lt;&gt;$B51,$B67&lt;&gt;$B52,$B68&lt;&gt;$B53,$B69&lt;&gt;$B54,$B70&lt;&gt;$B55,$B71&lt;&gt;$B56,$B72&lt;&gt;$B57,$B73&lt;&gt;$B58),IF($B69&lt;&gt;$B54,AA54/INDEX($C48:$AJ58,7,MATCH(IF('Data-solution'!$A$3="Maximize",MAX($C59:$AI59),MIN($C59:$AI59)),$C59:$AI59,0)),AA54-INDEX($C48:$AJ58,7,MATCH(IF('Data-solution'!$A$3="Maximize",MAX($C59:$AI59),MIN($C59:$AI59)),$C59:$AI59,0))*INDEX(AA48:$AJ58,MATCH(MIN($AK48:$AK58),$AK48:$AK58,0),1)/INDEX($C48:$AJ58,MATCH(MIN($AK48:$AK58),$AK48:$AK58,0),MATCH(IF('Data-solution'!$A$3="Maximize",MAX($C59:$AI59),MIN($C59:$AI59)),$C59:$AI59,0))),AA54)</f>
        <v>0</v>
      </c>
      <c r="AB69" s="1">
        <f>IF(OR($B63&lt;&gt;$B48,$B64&lt;&gt;$B49,$B65&lt;&gt;$B50,$B66&lt;&gt;$B51,$B67&lt;&gt;$B52,$B68&lt;&gt;$B53,$B69&lt;&gt;$B54,$B70&lt;&gt;$B55,$B71&lt;&gt;$B56,$B72&lt;&gt;$B57,$B73&lt;&gt;$B58),IF($B69&lt;&gt;$B54,AB54/INDEX($C48:$AJ58,7,MATCH(IF('Data-solution'!$A$3="Maximize",MAX($C59:$AI59),MIN($C59:$AI59)),$C59:$AI59,0)),AB54-INDEX($C48:$AJ58,7,MATCH(IF('Data-solution'!$A$3="Maximize",MAX($C59:$AI59),MIN($C59:$AI59)),$C59:$AI59,0))*INDEX(AB48:$AJ58,MATCH(MIN($AK48:$AK58),$AK48:$AK58,0),1)/INDEX($C48:$AJ58,MATCH(MIN($AK48:$AK58),$AK48:$AK58,0),MATCH(IF('Data-solution'!$A$3="Maximize",MAX($C59:$AI59),MIN($C59:$AI59)),$C59:$AI59,0))),AB54)</f>
        <v>0</v>
      </c>
      <c r="AC69" s="1">
        <f>IF(OR($B63&lt;&gt;$B48,$B64&lt;&gt;$B49,$B65&lt;&gt;$B50,$B66&lt;&gt;$B51,$B67&lt;&gt;$B52,$B68&lt;&gt;$B53,$B69&lt;&gt;$B54,$B70&lt;&gt;$B55,$B71&lt;&gt;$B56,$B72&lt;&gt;$B57,$B73&lt;&gt;$B58),IF($B69&lt;&gt;$B54,AC54/INDEX($C48:$AJ58,7,MATCH(IF('Data-solution'!$A$3="Maximize",MAX($C59:$AI59),MIN($C59:$AI59)),$C59:$AI59,0)),AC54-INDEX($C48:$AJ58,7,MATCH(IF('Data-solution'!$A$3="Maximize",MAX($C59:$AI59),MIN($C59:$AI59)),$C59:$AI59,0))*INDEX(AC48:$AJ58,MATCH(MIN($AK48:$AK58),$AK48:$AK58,0),1)/INDEX($C48:$AJ58,MATCH(MIN($AK48:$AK58),$AK48:$AK58,0),MATCH(IF('Data-solution'!$A$3="Maximize",MAX($C59:$AI59),MIN($C59:$AI59)),$C59:$AI59,0))),AC54)</f>
        <v>0</v>
      </c>
      <c r="AD69" s="1">
        <f>IF(OR($B63&lt;&gt;$B48,$B64&lt;&gt;$B49,$B65&lt;&gt;$B50,$B66&lt;&gt;$B51,$B67&lt;&gt;$B52,$B68&lt;&gt;$B53,$B69&lt;&gt;$B54,$B70&lt;&gt;$B55,$B71&lt;&gt;$B56,$B72&lt;&gt;$B57,$B73&lt;&gt;$B58),IF($B69&lt;&gt;$B54,AD54/INDEX($C48:$AJ58,7,MATCH(IF('Data-solution'!$A$3="Maximize",MAX($C59:$AI59),MIN($C59:$AI59)),$C59:$AI59,0)),AD54-INDEX($C48:$AJ58,7,MATCH(IF('Data-solution'!$A$3="Maximize",MAX($C59:$AI59),MIN($C59:$AI59)),$C59:$AI59,0))*INDEX(AD48:$AJ58,MATCH(MIN($AK48:$AK58),$AK48:$AK58,0),1)/INDEX($C48:$AJ58,MATCH(MIN($AK48:$AK58),$AK48:$AK58,0),MATCH(IF('Data-solution'!$A$3="Maximize",MAX($C59:$AI59),MIN($C59:$AI59)),$C59:$AI59,0))),AD54)</f>
        <v>0</v>
      </c>
      <c r="AE69" s="1">
        <f>IF(OR($B63&lt;&gt;$B48,$B64&lt;&gt;$B49,$B65&lt;&gt;$B50,$B66&lt;&gt;$B51,$B67&lt;&gt;$B52,$B68&lt;&gt;$B53,$B69&lt;&gt;$B54,$B70&lt;&gt;$B55,$B71&lt;&gt;$B56,$B72&lt;&gt;$B57,$B73&lt;&gt;$B58),IF($B69&lt;&gt;$B54,AE54/INDEX($C48:$AJ58,7,MATCH(IF('Data-solution'!$A$3="Maximize",MAX($C59:$AI59),MIN($C59:$AI59)),$C59:$AI59,0)),AE54-INDEX($C48:$AJ58,7,MATCH(IF('Data-solution'!$A$3="Maximize",MAX($C59:$AI59),MIN($C59:$AI59)),$C59:$AI59,0))*INDEX(AE48:$AJ58,MATCH(MIN($AK48:$AK58),$AK48:$AK58,0),1)/INDEX($C48:$AJ58,MATCH(MIN($AK48:$AK58),$AK48:$AK58,0),MATCH(IF('Data-solution'!$A$3="Maximize",MAX($C59:$AI59),MIN($C59:$AI59)),$C59:$AI59,0))),AE54)</f>
        <v>1</v>
      </c>
      <c r="AF69" s="1">
        <f>IF(OR($B63&lt;&gt;$B48,$B64&lt;&gt;$B49,$B65&lt;&gt;$B50,$B66&lt;&gt;$B51,$B67&lt;&gt;$B52,$B68&lt;&gt;$B53,$B69&lt;&gt;$B54,$B70&lt;&gt;$B55,$B71&lt;&gt;$B56,$B72&lt;&gt;$B57,$B73&lt;&gt;$B58),IF($B69&lt;&gt;$B54,AF54/INDEX($C48:$AJ58,7,MATCH(IF('Data-solution'!$A$3="Maximize",MAX($C59:$AI59),MIN($C59:$AI59)),$C59:$AI59,0)),AF54-INDEX($C48:$AJ58,7,MATCH(IF('Data-solution'!$A$3="Maximize",MAX($C59:$AI59),MIN($C59:$AI59)),$C59:$AI59,0))*INDEX(AF48:$AJ58,MATCH(MIN($AK48:$AK58),$AK48:$AK58,0),1)/INDEX($C48:$AJ58,MATCH(MIN($AK48:$AK58),$AK48:$AK58,0),MATCH(IF('Data-solution'!$A$3="Maximize",MAX($C59:$AI59),MIN($C59:$AI59)),$C59:$AI59,0))),AF54)</f>
        <v>0</v>
      </c>
      <c r="AG69" s="1">
        <f>IF(OR($B63&lt;&gt;$B48,$B64&lt;&gt;$B49,$B65&lt;&gt;$B50,$B66&lt;&gt;$B51,$B67&lt;&gt;$B52,$B68&lt;&gt;$B53,$B69&lt;&gt;$B54,$B70&lt;&gt;$B55,$B71&lt;&gt;$B56,$B72&lt;&gt;$B57,$B73&lt;&gt;$B58),IF($B69&lt;&gt;$B54,AG54/INDEX($C48:$AJ58,7,MATCH(IF('Data-solution'!$A$3="Maximize",MAX($C59:$AI59),MIN($C59:$AI59)),$C59:$AI59,0)),AG54-INDEX($C48:$AJ58,7,MATCH(IF('Data-solution'!$A$3="Maximize",MAX($C59:$AI59),MIN($C59:$AI59)),$C59:$AI59,0))*INDEX(AG48:$AJ58,MATCH(MIN($AK48:$AK58),$AK48:$AK58,0),1)/INDEX($C48:$AJ58,MATCH(MIN($AK48:$AK58),$AK48:$AK58,0),MATCH(IF('Data-solution'!$A$3="Maximize",MAX($C59:$AI59),MIN($C59:$AI59)),$C59:$AI59,0))),AG54)</f>
        <v>0</v>
      </c>
      <c r="AH69" s="1">
        <f>IF(OR($B63&lt;&gt;$B48,$B64&lt;&gt;$B49,$B65&lt;&gt;$B50,$B66&lt;&gt;$B51,$B67&lt;&gt;$B52,$B68&lt;&gt;$B53,$B69&lt;&gt;$B54,$B70&lt;&gt;$B55,$B71&lt;&gt;$B56,$B72&lt;&gt;$B57,$B73&lt;&gt;$B58),IF($B69&lt;&gt;$B54,AH54/INDEX($C48:$AJ58,7,MATCH(IF('Data-solution'!$A$3="Maximize",MAX($C59:$AI59),MIN($C59:$AI59)),$C59:$AI59,0)),AH54-INDEX($C48:$AJ58,7,MATCH(IF('Data-solution'!$A$3="Maximize",MAX($C59:$AI59),MIN($C59:$AI59)),$C59:$AI59,0))*INDEX(AH48:$AJ58,MATCH(MIN($AK48:$AK58),$AK48:$AK58,0),1)/INDEX($C48:$AJ58,MATCH(MIN($AK48:$AK58),$AK48:$AK58,0),MATCH(IF('Data-solution'!$A$3="Maximize",MAX($C59:$AI59),MIN($C59:$AI59)),$C59:$AI59,0))),AH54)</f>
        <v>0</v>
      </c>
      <c r="AI69" s="1">
        <f>IF(OR($B63&lt;&gt;$B48,$B64&lt;&gt;$B49,$B65&lt;&gt;$B50,$B66&lt;&gt;$B51,$B67&lt;&gt;$B52,$B68&lt;&gt;$B53,$B69&lt;&gt;$B54,$B70&lt;&gt;$B55,$B71&lt;&gt;$B56,$B72&lt;&gt;$B57,$B73&lt;&gt;$B58),IF($B69&lt;&gt;$B54,AI54/INDEX($C48:$AJ58,7,MATCH(IF('Data-solution'!$A$3="Maximize",MAX($C59:$AI59),MIN($C59:$AI59)),$C59:$AI59,0)),AI54-INDEX($C48:$AJ58,7,MATCH(IF('Data-solution'!$A$3="Maximize",MAX($C59:$AI59),MIN($C59:$AI59)),$C59:$AI59,0))*INDEX(AI48:$AJ58,MATCH(MIN($AK48:$AK58),$AK48:$AK58,0),1)/INDEX($C48:$AJ58,MATCH(MIN($AK48:$AK58),$AK48:$AK58,0),MATCH(IF('Data-solution'!$A$3="Maximize",MAX($C59:$AI59),MIN($C59:$AI59)),$C59:$AI59,0))),AI54)</f>
        <v>0</v>
      </c>
      <c r="AJ69" s="1">
        <f>IF(OR($B63&lt;&gt;$B48,$B64&lt;&gt;$B49,$B65&lt;&gt;$B50,$B66&lt;&gt;$B51,$B67&lt;&gt;$B52,$B68&lt;&gt;$B53,$B69&lt;&gt;$B54,$B70&lt;&gt;$B55,$B71&lt;&gt;$B56,$B72&lt;&gt;$B57,$B73&lt;&gt;$B58),IF($B69&lt;&gt;$B54,AJ54/INDEX($C48:$AJ58,7,MATCH(IF('Data-solution'!$A$3="Maximize",MAX($C59:$AI59),MIN($C59:$AI59)),$C59:$AI59,0)),AJ54-INDEX($C48:$AJ58,7,MATCH(IF('Data-solution'!$A$3="Maximize",MAX($C59:$AI59),MIN($C59:$AI59)),$C59:$AI59,0))*INDEX(AJ48:$AJ58,MATCH(MIN($AK48:$AK58),$AK48:$AK58,0),1)/INDEX($C48:$AJ58,MATCH(MIN($AK48:$AK58),$AK48:$AK58,0),MATCH(IF('Data-solution'!$A$3="Maximize",MAX($C59:$AI59),MIN($C59:$AI59)),$C59:$AI59,0))),AJ54)</f>
        <v>0</v>
      </c>
      <c r="AK69" s="1" t="str">
        <f>IF(INDEX(C69:X69,1,MATCH(IF('Data-solution'!A$3="Maximize",MAX(C74:X74),MIN(C74:X74)),C74:X74,0))&gt;0,AJ69/INDEX(C69:X69,1,MATCH(IF('Data-solution'!A$3="Maximize",MAX(C74:X74),MIN(C74:X74)),C74:X74,0))," ")</f>
        <v xml:space="preserve"> </v>
      </c>
    </row>
    <row r="70" spans="1:37" ht="18" customHeight="1" x14ac:dyDescent="0.2">
      <c r="A70" s="1">
        <f t="shared" ref="A70" si="43">INDEX(C61:AI61,1,MATCH(B70,C62:AI62,0))</f>
        <v>0</v>
      </c>
      <c r="B70" s="2" t="str">
        <f>IF(AND('Data-solution'!A$3="Maximize",COUNTIF(C59:X59,"&gt;"&amp;0)&gt;0,AK55=MIN(AK48:AK58),COUNTIF(B63:B69,INDEX(C47:X47,1,MATCH(MAX(C59:X59),C59:X59,0)))=0),INDEX(C47:X47,1,MATCH(MAX(C59:X59),C59:X59,0)),IF(AND('Data-solution'!A$3="Minimize",COUNTIF(C59:X59,"&lt;"&amp;0)&gt;0,AK55=MIN(AK48:AK58),COUNTIF(B63:B69,INDEX(C47:X47,1,MATCH(MIN(C59:X59),C59:X59,0)))=0),INDEX(C47:X47,1,MATCH(MIN(C59:X59),C59:X59,0)),B55))</f>
        <v>S8</v>
      </c>
      <c r="C70" s="1">
        <f>IF(OR($B63&lt;&gt;$B48,$B64&lt;&gt;$B49,$B65&lt;&gt;$B50,$B66&lt;&gt;$B51,$B67&lt;&gt;$B52,$B68&lt;&gt;$B53,$B69&lt;&gt;$B54,$B70&lt;&gt;$B55,$B71&lt;&gt;$B56,$B72&lt;&gt;$B57,$B73&lt;&gt;$B58),IF($B70&lt;&gt;$B55,C55/INDEX($C48:$AJ58,8,MATCH(IF('Data-solution'!$A$3="Maximize",MAX($C59:$AI59),MIN($C59:$AI59)),$C59:$AI59,0)),C55-INDEX($C48:$AJ58,8,MATCH(IF('Data-solution'!$A$3="Maximize",MAX($C59:$AI59),MIN($C59:$AI59)),$C59:$AI59,0))*INDEX(C48:$AJ58,MATCH(MIN($AK48:$AK58),$AK48:$AK58,0),1)/INDEX($C48:$AJ58,MATCH(MIN($AK48:$AK58),$AK48:$AK58,0),MATCH(IF('Data-solution'!$A$3="Maximize",MAX($C59:$AI59),MIN($C59:$AI59)),$C59:$AI59,0))),C55)</f>
        <v>0</v>
      </c>
      <c r="D70" s="1">
        <f>IF(OR($B63&lt;&gt;$B48,$B64&lt;&gt;$B49,$B65&lt;&gt;$B50,$B66&lt;&gt;$B51,$B67&lt;&gt;$B52,$B68&lt;&gt;$B53,$B69&lt;&gt;$B54,$B70&lt;&gt;$B55,$B71&lt;&gt;$B56,$B72&lt;&gt;$B57,$B73&lt;&gt;$B58),IF($B70&lt;&gt;$B55,D55/INDEX($C48:$AJ58,8,MATCH(IF('Data-solution'!$A$3="Maximize",MAX($C59:$AI59),MIN($C59:$AI59)),$C59:$AI59,0)),D55-INDEX($C48:$AJ58,8,MATCH(IF('Data-solution'!$A$3="Maximize",MAX($C59:$AI59),MIN($C59:$AI59)),$C59:$AI59,0))*INDEX(D48:$AJ58,MATCH(MIN($AK48:$AK58),$AK48:$AK58,0),1)/INDEX($C48:$AJ58,MATCH(MIN($AK48:$AK58),$AK48:$AK58,0),MATCH(IF('Data-solution'!$A$3="Maximize",MAX($C59:$AI59),MIN($C59:$AI59)),$C59:$AI59,0))),D55)</f>
        <v>0</v>
      </c>
      <c r="E70" s="1">
        <f>IF(OR($B63&lt;&gt;$B48,$B64&lt;&gt;$B49,$B65&lt;&gt;$B50,$B66&lt;&gt;$B51,$B67&lt;&gt;$B52,$B68&lt;&gt;$B53,$B69&lt;&gt;$B54,$B70&lt;&gt;$B55,$B71&lt;&gt;$B56,$B72&lt;&gt;$B57,$B73&lt;&gt;$B58),IF($B70&lt;&gt;$B55,E55/INDEX($C48:$AJ58,8,MATCH(IF('Data-solution'!$A$3="Maximize",MAX($C59:$AI59),MIN($C59:$AI59)),$C59:$AI59,0)),E55-INDEX($C48:$AJ58,8,MATCH(IF('Data-solution'!$A$3="Maximize",MAX($C59:$AI59),MIN($C59:$AI59)),$C59:$AI59,0))*INDEX(E48:$AJ58,MATCH(MIN($AK48:$AK58),$AK48:$AK58,0),1)/INDEX($C48:$AJ58,MATCH(MIN($AK48:$AK58),$AK48:$AK58,0),MATCH(IF('Data-solution'!$A$3="Maximize",MAX($C59:$AI59),MIN($C59:$AI59)),$C59:$AI59,0))),E55)</f>
        <v>0</v>
      </c>
      <c r="F70" s="1">
        <f>IF(OR($B63&lt;&gt;$B48,$B64&lt;&gt;$B49,$B65&lt;&gt;$B50,$B66&lt;&gt;$B51,$B67&lt;&gt;$B52,$B68&lt;&gt;$B53,$B69&lt;&gt;$B54,$B70&lt;&gt;$B55,$B71&lt;&gt;$B56,$B72&lt;&gt;$B57,$B73&lt;&gt;$B58),IF($B70&lt;&gt;$B55,F55/INDEX($C48:$AJ58,8,MATCH(IF('Data-solution'!$A$3="Maximize",MAX($C59:$AI59),MIN($C59:$AI59)),$C59:$AI59,0)),F55-INDEX($C48:$AJ58,8,MATCH(IF('Data-solution'!$A$3="Maximize",MAX($C59:$AI59),MIN($C59:$AI59)),$C59:$AI59,0))*INDEX(F48:$AJ58,MATCH(MIN($AK48:$AK58),$AK48:$AK58,0),1)/INDEX($C48:$AJ58,MATCH(MIN($AK48:$AK58),$AK48:$AK58,0),MATCH(IF('Data-solution'!$A$3="Maximize",MAX($C59:$AI59),MIN($C59:$AI59)),$C59:$AI59,0))),F55)</f>
        <v>0</v>
      </c>
      <c r="G70" s="1">
        <f>IF(OR($B63&lt;&gt;$B48,$B64&lt;&gt;$B49,$B65&lt;&gt;$B50,$B66&lt;&gt;$B51,$B67&lt;&gt;$B52,$B68&lt;&gt;$B53,$B69&lt;&gt;$B54,$B70&lt;&gt;$B55,$B71&lt;&gt;$B56,$B72&lt;&gt;$B57,$B73&lt;&gt;$B58),IF($B70&lt;&gt;$B55,G55/INDEX($C48:$AJ58,8,MATCH(IF('Data-solution'!$A$3="Maximize",MAX($C59:$AI59),MIN($C59:$AI59)),$C59:$AI59,0)),G55-INDEX($C48:$AJ58,8,MATCH(IF('Data-solution'!$A$3="Maximize",MAX($C59:$AI59),MIN($C59:$AI59)),$C59:$AI59,0))*INDEX(G48:$AJ58,MATCH(MIN($AK48:$AK58),$AK48:$AK58,0),1)/INDEX($C48:$AJ58,MATCH(MIN($AK48:$AK58),$AK48:$AK58,0),MATCH(IF('Data-solution'!$A$3="Maximize",MAX($C59:$AI59),MIN($C59:$AI59)),$C59:$AI59,0))),G55)</f>
        <v>0</v>
      </c>
      <c r="H70" s="1">
        <f>IF(OR($B63&lt;&gt;$B48,$B64&lt;&gt;$B49,$B65&lt;&gt;$B50,$B66&lt;&gt;$B51,$B67&lt;&gt;$B52,$B68&lt;&gt;$B53,$B69&lt;&gt;$B54,$B70&lt;&gt;$B55,$B71&lt;&gt;$B56,$B72&lt;&gt;$B57,$B73&lt;&gt;$B58),IF($B70&lt;&gt;$B55,H55/INDEX($C48:$AJ58,8,MATCH(IF('Data-solution'!$A$3="Maximize",MAX($C59:$AI59),MIN($C59:$AI59)),$C59:$AI59,0)),H55-INDEX($C48:$AJ58,8,MATCH(IF('Data-solution'!$A$3="Maximize",MAX($C59:$AI59),MIN($C59:$AI59)),$C59:$AI59,0))*INDEX(H48:$AJ58,MATCH(MIN($AK48:$AK58),$AK48:$AK58,0),1)/INDEX($C48:$AJ58,MATCH(MIN($AK48:$AK58),$AK48:$AK58,0),MATCH(IF('Data-solution'!$A$3="Maximize",MAX($C59:$AI59),MIN($C59:$AI59)),$C59:$AI59,0))),H55)</f>
        <v>0</v>
      </c>
      <c r="I70" s="1">
        <f>IF(OR($B63&lt;&gt;$B48,$B64&lt;&gt;$B49,$B65&lt;&gt;$B50,$B66&lt;&gt;$B51,$B67&lt;&gt;$B52,$B68&lt;&gt;$B53,$B69&lt;&gt;$B54,$B70&lt;&gt;$B55,$B71&lt;&gt;$B56,$B72&lt;&gt;$B57,$B73&lt;&gt;$B58),IF($B70&lt;&gt;$B55,I55/INDEX($C48:$AJ58,8,MATCH(IF('Data-solution'!$A$3="Maximize",MAX($C59:$AI59),MIN($C59:$AI59)),$C59:$AI59,0)),I55-INDEX($C48:$AJ58,8,MATCH(IF('Data-solution'!$A$3="Maximize",MAX($C59:$AI59),MIN($C59:$AI59)),$C59:$AI59,0))*INDEX(I48:$AJ58,MATCH(MIN($AK48:$AK58),$AK48:$AK58,0),1)/INDEX($C48:$AJ58,MATCH(MIN($AK48:$AK58),$AK48:$AK58,0),MATCH(IF('Data-solution'!$A$3="Maximize",MAX($C59:$AI59),MIN($C59:$AI59)),$C59:$AI59,0))),I55)</f>
        <v>0</v>
      </c>
      <c r="J70" s="1">
        <f>IF(OR($B63&lt;&gt;$B48,$B64&lt;&gt;$B49,$B65&lt;&gt;$B50,$B66&lt;&gt;$B51,$B67&lt;&gt;$B52,$B68&lt;&gt;$B53,$B69&lt;&gt;$B54,$B70&lt;&gt;$B55,$B71&lt;&gt;$B56,$B72&lt;&gt;$B57,$B73&lt;&gt;$B58),IF($B70&lt;&gt;$B55,J55/INDEX($C48:$AJ58,8,MATCH(IF('Data-solution'!$A$3="Maximize",MAX($C59:$AI59),MIN($C59:$AI59)),$C59:$AI59,0)),J55-INDEX($C48:$AJ58,8,MATCH(IF('Data-solution'!$A$3="Maximize",MAX($C59:$AI59),MIN($C59:$AI59)),$C59:$AI59,0))*INDEX(J48:$AJ58,MATCH(MIN($AK48:$AK58),$AK48:$AK58,0),1)/INDEX($C48:$AJ58,MATCH(MIN($AK48:$AK58),$AK48:$AK58,0),MATCH(IF('Data-solution'!$A$3="Maximize",MAX($C59:$AI59),MIN($C59:$AI59)),$C59:$AI59,0))),J55)</f>
        <v>0</v>
      </c>
      <c r="K70" s="1">
        <f>IF(OR($B63&lt;&gt;$B48,$B64&lt;&gt;$B49,$B65&lt;&gt;$B50,$B66&lt;&gt;$B51,$B67&lt;&gt;$B52,$B68&lt;&gt;$B53,$B69&lt;&gt;$B54,$B70&lt;&gt;$B55,$B71&lt;&gt;$B56,$B72&lt;&gt;$B57,$B73&lt;&gt;$B58),IF($B70&lt;&gt;$B55,K55/INDEX($C48:$AJ58,8,MATCH(IF('Data-solution'!$A$3="Maximize",MAX($C59:$AI59),MIN($C59:$AI59)),$C59:$AI59,0)),K55-INDEX($C48:$AJ58,8,MATCH(IF('Data-solution'!$A$3="Maximize",MAX($C59:$AI59),MIN($C59:$AI59)),$C59:$AI59,0))*INDEX(K48:$AJ58,MATCH(MIN($AK48:$AK58),$AK48:$AK58,0),1)/INDEX($C48:$AJ58,MATCH(MIN($AK48:$AK58),$AK48:$AK58,0),MATCH(IF('Data-solution'!$A$3="Maximize",MAX($C59:$AI59),MIN($C59:$AI59)),$C59:$AI59,0))),K55)</f>
        <v>0</v>
      </c>
      <c r="L70" s="1">
        <f>IF(OR($B63&lt;&gt;$B48,$B64&lt;&gt;$B49,$B65&lt;&gt;$B50,$B66&lt;&gt;$B51,$B67&lt;&gt;$B52,$B68&lt;&gt;$B53,$B69&lt;&gt;$B54,$B70&lt;&gt;$B55,$B71&lt;&gt;$B56,$B72&lt;&gt;$B57,$B73&lt;&gt;$B58),IF($B70&lt;&gt;$B55,L55/INDEX($C48:$AJ58,8,MATCH(IF('Data-solution'!$A$3="Maximize",MAX($C59:$AI59),MIN($C59:$AI59)),$C59:$AI59,0)),L55-INDEX($C48:$AJ58,8,MATCH(IF('Data-solution'!$A$3="Maximize",MAX($C59:$AI59),MIN($C59:$AI59)),$C59:$AI59,0))*INDEX(L48:$AJ58,MATCH(MIN($AK48:$AK58),$AK48:$AK58,0),1)/INDEX($C48:$AJ58,MATCH(MIN($AK48:$AK58),$AK48:$AK58,0),MATCH(IF('Data-solution'!$A$3="Maximize",MAX($C59:$AI59),MIN($C59:$AI59)),$C59:$AI59,0))),L55)</f>
        <v>0</v>
      </c>
      <c r="M70" s="1">
        <f>IF(OR($B63&lt;&gt;$B48,$B64&lt;&gt;$B49,$B65&lt;&gt;$B50,$B66&lt;&gt;$B51,$B67&lt;&gt;$B52,$B68&lt;&gt;$B53,$B69&lt;&gt;$B54,$B70&lt;&gt;$B55,$B71&lt;&gt;$B56,$B72&lt;&gt;$B57,$B73&lt;&gt;$B58),IF($B70&lt;&gt;$B55,M55/INDEX($C48:$AJ58,8,MATCH(IF('Data-solution'!$A$3="Maximize",MAX($C59:$AI59),MIN($C59:$AI59)),$C59:$AI59,0)),M55-INDEX($C48:$AJ58,8,MATCH(IF('Data-solution'!$A$3="Maximize",MAX($C59:$AI59),MIN($C59:$AI59)),$C59:$AI59,0))*INDEX(M48:$AJ58,MATCH(MIN($AK48:$AK58),$AK48:$AK58,0),1)/INDEX($C48:$AJ58,MATCH(MIN($AK48:$AK58),$AK48:$AK58,0),MATCH(IF('Data-solution'!$A$3="Maximize",MAX($C59:$AI59),MIN($C59:$AI59)),$C59:$AI59,0))),M55)</f>
        <v>0</v>
      </c>
      <c r="N70" s="1">
        <f>IF(OR($B63&lt;&gt;$B48,$B64&lt;&gt;$B49,$B65&lt;&gt;$B50,$B66&lt;&gt;$B51,$B67&lt;&gt;$B52,$B68&lt;&gt;$B53,$B69&lt;&gt;$B54,$B70&lt;&gt;$B55,$B71&lt;&gt;$B56,$B72&lt;&gt;$B57,$B73&lt;&gt;$B58),IF($B70&lt;&gt;$B55,N55/INDEX($C48:$AJ58,8,MATCH(IF('Data-solution'!$A$3="Maximize",MAX($C59:$AI59),MIN($C59:$AI59)),$C59:$AI59,0)),N55-INDEX($C48:$AJ58,8,MATCH(IF('Data-solution'!$A$3="Maximize",MAX($C59:$AI59),MIN($C59:$AI59)),$C59:$AI59,0))*INDEX(N48:$AJ58,MATCH(MIN($AK48:$AK58),$AK48:$AK58,0),1)/INDEX($C48:$AJ58,MATCH(MIN($AK48:$AK58),$AK48:$AK58,0),MATCH(IF('Data-solution'!$A$3="Maximize",MAX($C59:$AI59),MIN($C59:$AI59)),$C59:$AI59,0))),N55)</f>
        <v>0</v>
      </c>
      <c r="O70" s="1">
        <f>IF(OR($B63&lt;&gt;$B48,$B64&lt;&gt;$B49,$B65&lt;&gt;$B50,$B66&lt;&gt;$B51,$B67&lt;&gt;$B52,$B68&lt;&gt;$B53,$B69&lt;&gt;$B54,$B70&lt;&gt;$B55,$B71&lt;&gt;$B56,$B72&lt;&gt;$B57,$B73&lt;&gt;$B58),IF($B70&lt;&gt;$B55,O55/INDEX($C48:$AJ58,8,MATCH(IF('Data-solution'!$A$3="Maximize",MAX($C59:$AI59),MIN($C59:$AI59)),$C59:$AI59,0)),O55-INDEX($C48:$AJ58,8,MATCH(IF('Data-solution'!$A$3="Maximize",MAX($C59:$AI59),MIN($C59:$AI59)),$C59:$AI59,0))*INDEX(O48:$AJ58,MATCH(MIN($AK48:$AK58),$AK48:$AK58,0),1)/INDEX($C48:$AJ58,MATCH(MIN($AK48:$AK58),$AK48:$AK58,0),MATCH(IF('Data-solution'!$A$3="Maximize",MAX($C59:$AI59),MIN($C59:$AI59)),$C59:$AI59,0))),O55)</f>
        <v>0</v>
      </c>
      <c r="P70" s="1">
        <f>IF(OR($B63&lt;&gt;$B48,$B64&lt;&gt;$B49,$B65&lt;&gt;$B50,$B66&lt;&gt;$B51,$B67&lt;&gt;$B52,$B68&lt;&gt;$B53,$B69&lt;&gt;$B54,$B70&lt;&gt;$B55,$B71&lt;&gt;$B56,$B72&lt;&gt;$B57,$B73&lt;&gt;$B58),IF($B70&lt;&gt;$B55,P55/INDEX($C48:$AJ58,8,MATCH(IF('Data-solution'!$A$3="Maximize",MAX($C59:$AI59),MIN($C59:$AI59)),$C59:$AI59,0)),P55-INDEX($C48:$AJ58,8,MATCH(IF('Data-solution'!$A$3="Maximize",MAX($C59:$AI59),MIN($C59:$AI59)),$C59:$AI59,0))*INDEX(P48:$AJ58,MATCH(MIN($AK48:$AK58),$AK48:$AK58,0),1)/INDEX($C48:$AJ58,MATCH(MIN($AK48:$AK58),$AK48:$AK58,0),MATCH(IF('Data-solution'!$A$3="Maximize",MAX($C59:$AI59),MIN($C59:$AI59)),$C59:$AI59,0))),P55)</f>
        <v>0</v>
      </c>
      <c r="Q70" s="1">
        <f>IF(OR($B63&lt;&gt;$B48,$B64&lt;&gt;$B49,$B65&lt;&gt;$B50,$B66&lt;&gt;$B51,$B67&lt;&gt;$B52,$B68&lt;&gt;$B53,$B69&lt;&gt;$B54,$B70&lt;&gt;$B55,$B71&lt;&gt;$B56,$B72&lt;&gt;$B57,$B73&lt;&gt;$B58),IF($B70&lt;&gt;$B55,Q55/INDEX($C48:$AJ58,8,MATCH(IF('Data-solution'!$A$3="Maximize",MAX($C59:$AI59),MIN($C59:$AI59)),$C59:$AI59,0)),Q55-INDEX($C48:$AJ58,8,MATCH(IF('Data-solution'!$A$3="Maximize",MAX($C59:$AI59),MIN($C59:$AI59)),$C59:$AI59,0))*INDEX(Q48:$AJ58,MATCH(MIN($AK48:$AK58),$AK48:$AK58,0),1)/INDEX($C48:$AJ58,MATCH(MIN($AK48:$AK58),$AK48:$AK58,0),MATCH(IF('Data-solution'!$A$3="Maximize",MAX($C59:$AI59),MIN($C59:$AI59)),$C59:$AI59,0))),Q55)</f>
        <v>0</v>
      </c>
      <c r="R70" s="1">
        <f>IF(OR($B63&lt;&gt;$B48,$B64&lt;&gt;$B49,$B65&lt;&gt;$B50,$B66&lt;&gt;$B51,$B67&lt;&gt;$B52,$B68&lt;&gt;$B53,$B69&lt;&gt;$B54,$B70&lt;&gt;$B55,$B71&lt;&gt;$B56,$B72&lt;&gt;$B57,$B73&lt;&gt;$B58),IF($B70&lt;&gt;$B55,R55/INDEX($C48:$AJ58,8,MATCH(IF('Data-solution'!$A$3="Maximize",MAX($C59:$AI59),MIN($C59:$AI59)),$C59:$AI59,0)),R55-INDEX($C48:$AJ58,8,MATCH(IF('Data-solution'!$A$3="Maximize",MAX($C59:$AI59),MIN($C59:$AI59)),$C59:$AI59,0))*INDEX(R48:$AJ58,MATCH(MIN($AK48:$AK58),$AK48:$AK58,0),1)/INDEX($C48:$AJ58,MATCH(MIN($AK48:$AK58),$AK48:$AK58,0),MATCH(IF('Data-solution'!$A$3="Maximize",MAX($C59:$AI59),MIN($C59:$AI59)),$C59:$AI59,0))),R55)</f>
        <v>0</v>
      </c>
      <c r="S70" s="1">
        <f>IF(OR($B63&lt;&gt;$B48,$B64&lt;&gt;$B49,$B65&lt;&gt;$B50,$B66&lt;&gt;$B51,$B67&lt;&gt;$B52,$B68&lt;&gt;$B53,$B69&lt;&gt;$B54,$B70&lt;&gt;$B55,$B71&lt;&gt;$B56,$B72&lt;&gt;$B57,$B73&lt;&gt;$B58),IF($B70&lt;&gt;$B55,S55/INDEX($C48:$AJ58,8,MATCH(IF('Data-solution'!$A$3="Maximize",MAX($C59:$AI59),MIN($C59:$AI59)),$C59:$AI59,0)),S55-INDEX($C48:$AJ58,8,MATCH(IF('Data-solution'!$A$3="Maximize",MAX($C59:$AI59),MIN($C59:$AI59)),$C59:$AI59,0))*INDEX(S48:$AJ58,MATCH(MIN($AK48:$AK58),$AK48:$AK58,0),1)/INDEX($C48:$AJ58,MATCH(MIN($AK48:$AK58),$AK48:$AK58,0),MATCH(IF('Data-solution'!$A$3="Maximize",MAX($C59:$AI59),MIN($C59:$AI59)),$C59:$AI59,0))),S55)</f>
        <v>0</v>
      </c>
      <c r="T70" s="1">
        <f>IF(OR($B63&lt;&gt;$B48,$B64&lt;&gt;$B49,$B65&lt;&gt;$B50,$B66&lt;&gt;$B51,$B67&lt;&gt;$B52,$B68&lt;&gt;$B53,$B69&lt;&gt;$B54,$B70&lt;&gt;$B55,$B71&lt;&gt;$B56,$B72&lt;&gt;$B57,$B73&lt;&gt;$B58),IF($B70&lt;&gt;$B55,T55/INDEX($C48:$AJ58,8,MATCH(IF('Data-solution'!$A$3="Maximize",MAX($C59:$AI59),MIN($C59:$AI59)),$C59:$AI59,0)),T55-INDEX($C48:$AJ58,8,MATCH(IF('Data-solution'!$A$3="Maximize",MAX($C59:$AI59),MIN($C59:$AI59)),$C59:$AI59,0))*INDEX(T48:$AJ58,MATCH(MIN($AK48:$AK58),$AK48:$AK58,0),1)/INDEX($C48:$AJ58,MATCH(MIN($AK48:$AK58),$AK48:$AK58,0),MATCH(IF('Data-solution'!$A$3="Maximize",MAX($C59:$AI59),MIN($C59:$AI59)),$C59:$AI59,0))),T55)</f>
        <v>0</v>
      </c>
      <c r="U70" s="1">
        <f>IF(OR($B63&lt;&gt;$B48,$B64&lt;&gt;$B49,$B65&lt;&gt;$B50,$B66&lt;&gt;$B51,$B67&lt;&gt;$B52,$B68&lt;&gt;$B53,$B69&lt;&gt;$B54,$B70&lt;&gt;$B55,$B71&lt;&gt;$B56,$B72&lt;&gt;$B57,$B73&lt;&gt;$B58),IF($B70&lt;&gt;$B55,U55/INDEX($C48:$AJ58,8,MATCH(IF('Data-solution'!$A$3="Maximize",MAX($C59:$AI59),MIN($C59:$AI59)),$C59:$AI59,0)),U55-INDEX($C48:$AJ58,8,MATCH(IF('Data-solution'!$A$3="Maximize",MAX($C59:$AI59),MIN($C59:$AI59)),$C59:$AI59,0))*INDEX(U48:$AJ58,MATCH(MIN($AK48:$AK58),$AK48:$AK58,0),1)/INDEX($C48:$AJ58,MATCH(MIN($AK48:$AK58),$AK48:$AK58,0),MATCH(IF('Data-solution'!$A$3="Maximize",MAX($C59:$AI59),MIN($C59:$AI59)),$C59:$AI59,0))),U55)</f>
        <v>1</v>
      </c>
      <c r="V70" s="1">
        <f>IF(OR($B63&lt;&gt;$B48,$B64&lt;&gt;$B49,$B65&lt;&gt;$B50,$B66&lt;&gt;$B51,$B67&lt;&gt;$B52,$B68&lt;&gt;$B53,$B69&lt;&gt;$B54,$B70&lt;&gt;$B55,$B71&lt;&gt;$B56,$B72&lt;&gt;$B57,$B73&lt;&gt;$B58),IF($B70&lt;&gt;$B55,V55/INDEX($C48:$AJ58,8,MATCH(IF('Data-solution'!$A$3="Maximize",MAX($C59:$AI59),MIN($C59:$AI59)),$C59:$AI59,0)),V55-INDEX($C48:$AJ58,8,MATCH(IF('Data-solution'!$A$3="Maximize",MAX($C59:$AI59),MIN($C59:$AI59)),$C59:$AI59,0))*INDEX(V48:$AJ58,MATCH(MIN($AK48:$AK58),$AK48:$AK58,0),1)/INDEX($C48:$AJ58,MATCH(MIN($AK48:$AK58),$AK48:$AK58,0),MATCH(IF('Data-solution'!$A$3="Maximize",MAX($C59:$AI59),MIN($C59:$AI59)),$C59:$AI59,0))),V55)</f>
        <v>0</v>
      </c>
      <c r="W70" s="1">
        <f>IF(OR($B63&lt;&gt;$B48,$B64&lt;&gt;$B49,$B65&lt;&gt;$B50,$B66&lt;&gt;$B51,$B67&lt;&gt;$B52,$B68&lt;&gt;$B53,$B69&lt;&gt;$B54,$B70&lt;&gt;$B55,$B71&lt;&gt;$B56,$B72&lt;&gt;$B57,$B73&lt;&gt;$B58),IF($B70&lt;&gt;$B55,W55/INDEX($C48:$AJ58,8,MATCH(IF('Data-solution'!$A$3="Maximize",MAX($C59:$AI59),MIN($C59:$AI59)),$C59:$AI59,0)),W55-INDEX($C48:$AJ58,8,MATCH(IF('Data-solution'!$A$3="Maximize",MAX($C59:$AI59),MIN($C59:$AI59)),$C59:$AI59,0))*INDEX(W48:$AJ58,MATCH(MIN($AK48:$AK58),$AK48:$AK58,0),1)/INDEX($C48:$AJ58,MATCH(MIN($AK48:$AK58),$AK48:$AK58,0),MATCH(IF('Data-solution'!$A$3="Maximize",MAX($C59:$AI59),MIN($C59:$AI59)),$C59:$AI59,0))),W55)</f>
        <v>0</v>
      </c>
      <c r="X70" s="1">
        <f>IF(OR($B63&lt;&gt;$B48,$B64&lt;&gt;$B49,$B65&lt;&gt;$B50,$B66&lt;&gt;$B51,$B67&lt;&gt;$B52,$B68&lt;&gt;$B53,$B69&lt;&gt;$B54,$B70&lt;&gt;$B55,$B71&lt;&gt;$B56,$B72&lt;&gt;$B57,$B73&lt;&gt;$B58),IF($B70&lt;&gt;$B55,X55/INDEX($C48:$AJ58,8,MATCH(IF('Data-solution'!$A$3="Maximize",MAX($C59:$AI59),MIN($C59:$AI59)),$C59:$AI59,0)),X55-INDEX($C48:$AJ58,8,MATCH(IF('Data-solution'!$A$3="Maximize",MAX($C59:$AI59),MIN($C59:$AI59)),$C59:$AI59,0))*INDEX(X48:$AJ58,MATCH(MIN($AK48:$AK58),$AK48:$AK58,0),1)/INDEX($C48:$AJ58,MATCH(MIN($AK48:$AK58),$AK48:$AK58,0),MATCH(IF('Data-solution'!$A$3="Maximize",MAX($C59:$AI59),MIN($C59:$AI59)),$C59:$AI59,0))),X55)</f>
        <v>0</v>
      </c>
      <c r="Y70" s="1">
        <f>IF(OR($B63&lt;&gt;$B48,$B64&lt;&gt;$B49,$B65&lt;&gt;$B50,$B66&lt;&gt;$B51,$B67&lt;&gt;$B52,$B68&lt;&gt;$B53,$B69&lt;&gt;$B54,$B70&lt;&gt;$B55,$B71&lt;&gt;$B56,$B72&lt;&gt;$B57,$B73&lt;&gt;$B58),IF($B70&lt;&gt;$B55,Y55/INDEX($C48:$AJ58,8,MATCH(IF('Data-solution'!$A$3="Maximize",MAX($C59:$AI59),MIN($C59:$AI59)),$C59:$AI59,0)),Y55-INDEX($C48:$AJ58,8,MATCH(IF('Data-solution'!$A$3="Maximize",MAX($C59:$AI59),MIN($C59:$AI59)),$C59:$AI59,0))*INDEX(Y48:$AJ58,MATCH(MIN($AK48:$AK58),$AK48:$AK58,0),1)/INDEX($C48:$AJ58,MATCH(MIN($AK48:$AK58),$AK48:$AK58,0),MATCH(IF('Data-solution'!$A$3="Maximize",MAX($C59:$AI59),MIN($C59:$AI59)),$C59:$AI59,0))),Y55)</f>
        <v>0</v>
      </c>
      <c r="Z70" s="1">
        <f>IF(OR($B63&lt;&gt;$B48,$B64&lt;&gt;$B49,$B65&lt;&gt;$B50,$B66&lt;&gt;$B51,$B67&lt;&gt;$B52,$B68&lt;&gt;$B53,$B69&lt;&gt;$B54,$B70&lt;&gt;$B55,$B71&lt;&gt;$B56,$B72&lt;&gt;$B57,$B73&lt;&gt;$B58),IF($B70&lt;&gt;$B55,Z55/INDEX($C48:$AJ58,8,MATCH(IF('Data-solution'!$A$3="Maximize",MAX($C59:$AI59),MIN($C59:$AI59)),$C59:$AI59,0)),Z55-INDEX($C48:$AJ58,8,MATCH(IF('Data-solution'!$A$3="Maximize",MAX($C59:$AI59),MIN($C59:$AI59)),$C59:$AI59,0))*INDEX(Z48:$AJ58,MATCH(MIN($AK48:$AK58),$AK48:$AK58,0),1)/INDEX($C48:$AJ58,MATCH(MIN($AK48:$AK58),$AK48:$AK58,0),MATCH(IF('Data-solution'!$A$3="Maximize",MAX($C59:$AI59),MIN($C59:$AI59)),$C59:$AI59,0))),Z55)</f>
        <v>0</v>
      </c>
      <c r="AA70" s="1">
        <f>IF(OR($B63&lt;&gt;$B48,$B64&lt;&gt;$B49,$B65&lt;&gt;$B50,$B66&lt;&gt;$B51,$B67&lt;&gt;$B52,$B68&lt;&gt;$B53,$B69&lt;&gt;$B54,$B70&lt;&gt;$B55,$B71&lt;&gt;$B56,$B72&lt;&gt;$B57,$B73&lt;&gt;$B58),IF($B70&lt;&gt;$B55,AA55/INDEX($C48:$AJ58,8,MATCH(IF('Data-solution'!$A$3="Maximize",MAX($C59:$AI59),MIN($C59:$AI59)),$C59:$AI59,0)),AA55-INDEX($C48:$AJ58,8,MATCH(IF('Data-solution'!$A$3="Maximize",MAX($C59:$AI59),MIN($C59:$AI59)),$C59:$AI59,0))*INDEX(AA48:$AJ58,MATCH(MIN($AK48:$AK58),$AK48:$AK58,0),1)/INDEX($C48:$AJ58,MATCH(MIN($AK48:$AK58),$AK48:$AK58,0),MATCH(IF('Data-solution'!$A$3="Maximize",MAX($C59:$AI59),MIN($C59:$AI59)),$C59:$AI59,0))),AA55)</f>
        <v>0</v>
      </c>
      <c r="AB70" s="1">
        <f>IF(OR($B63&lt;&gt;$B48,$B64&lt;&gt;$B49,$B65&lt;&gt;$B50,$B66&lt;&gt;$B51,$B67&lt;&gt;$B52,$B68&lt;&gt;$B53,$B69&lt;&gt;$B54,$B70&lt;&gt;$B55,$B71&lt;&gt;$B56,$B72&lt;&gt;$B57,$B73&lt;&gt;$B58),IF($B70&lt;&gt;$B55,AB55/INDEX($C48:$AJ58,8,MATCH(IF('Data-solution'!$A$3="Maximize",MAX($C59:$AI59),MIN($C59:$AI59)),$C59:$AI59,0)),AB55-INDEX($C48:$AJ58,8,MATCH(IF('Data-solution'!$A$3="Maximize",MAX($C59:$AI59),MIN($C59:$AI59)),$C59:$AI59,0))*INDEX(AB48:$AJ58,MATCH(MIN($AK48:$AK58),$AK48:$AK58,0),1)/INDEX($C48:$AJ58,MATCH(MIN($AK48:$AK58),$AK48:$AK58,0),MATCH(IF('Data-solution'!$A$3="Maximize",MAX($C59:$AI59),MIN($C59:$AI59)),$C59:$AI59,0))),AB55)</f>
        <v>0</v>
      </c>
      <c r="AC70" s="1">
        <f>IF(OR($B63&lt;&gt;$B48,$B64&lt;&gt;$B49,$B65&lt;&gt;$B50,$B66&lt;&gt;$B51,$B67&lt;&gt;$B52,$B68&lt;&gt;$B53,$B69&lt;&gt;$B54,$B70&lt;&gt;$B55,$B71&lt;&gt;$B56,$B72&lt;&gt;$B57,$B73&lt;&gt;$B58),IF($B70&lt;&gt;$B55,AC55/INDEX($C48:$AJ58,8,MATCH(IF('Data-solution'!$A$3="Maximize",MAX($C59:$AI59),MIN($C59:$AI59)),$C59:$AI59,0)),AC55-INDEX($C48:$AJ58,8,MATCH(IF('Data-solution'!$A$3="Maximize",MAX($C59:$AI59),MIN($C59:$AI59)),$C59:$AI59,0))*INDEX(AC48:$AJ58,MATCH(MIN($AK48:$AK58),$AK48:$AK58,0),1)/INDEX($C48:$AJ58,MATCH(MIN($AK48:$AK58),$AK48:$AK58,0),MATCH(IF('Data-solution'!$A$3="Maximize",MAX($C59:$AI59),MIN($C59:$AI59)),$C59:$AI59,0))),AC55)</f>
        <v>0</v>
      </c>
      <c r="AD70" s="1">
        <f>IF(OR($B63&lt;&gt;$B48,$B64&lt;&gt;$B49,$B65&lt;&gt;$B50,$B66&lt;&gt;$B51,$B67&lt;&gt;$B52,$B68&lt;&gt;$B53,$B69&lt;&gt;$B54,$B70&lt;&gt;$B55,$B71&lt;&gt;$B56,$B72&lt;&gt;$B57,$B73&lt;&gt;$B58),IF($B70&lt;&gt;$B55,AD55/INDEX($C48:$AJ58,8,MATCH(IF('Data-solution'!$A$3="Maximize",MAX($C59:$AI59),MIN($C59:$AI59)),$C59:$AI59,0)),AD55-INDEX($C48:$AJ58,8,MATCH(IF('Data-solution'!$A$3="Maximize",MAX($C59:$AI59),MIN($C59:$AI59)),$C59:$AI59,0))*INDEX(AD48:$AJ58,MATCH(MIN($AK48:$AK58),$AK48:$AK58,0),1)/INDEX($C48:$AJ58,MATCH(MIN($AK48:$AK58),$AK48:$AK58,0),MATCH(IF('Data-solution'!$A$3="Maximize",MAX($C59:$AI59),MIN($C59:$AI59)),$C59:$AI59,0))),AD55)</f>
        <v>0</v>
      </c>
      <c r="AE70" s="1">
        <f>IF(OR($B63&lt;&gt;$B48,$B64&lt;&gt;$B49,$B65&lt;&gt;$B50,$B66&lt;&gt;$B51,$B67&lt;&gt;$B52,$B68&lt;&gt;$B53,$B69&lt;&gt;$B54,$B70&lt;&gt;$B55,$B71&lt;&gt;$B56,$B72&lt;&gt;$B57,$B73&lt;&gt;$B58),IF($B70&lt;&gt;$B55,AE55/INDEX($C48:$AJ58,8,MATCH(IF('Data-solution'!$A$3="Maximize",MAX($C59:$AI59),MIN($C59:$AI59)),$C59:$AI59,0)),AE55-INDEX($C48:$AJ58,8,MATCH(IF('Data-solution'!$A$3="Maximize",MAX($C59:$AI59),MIN($C59:$AI59)),$C59:$AI59,0))*INDEX(AE48:$AJ58,MATCH(MIN($AK48:$AK58),$AK48:$AK58,0),1)/INDEX($C48:$AJ58,MATCH(MIN($AK48:$AK58),$AK48:$AK58,0),MATCH(IF('Data-solution'!$A$3="Maximize",MAX($C59:$AI59),MIN($C59:$AI59)),$C59:$AI59,0))),AE55)</f>
        <v>0</v>
      </c>
      <c r="AF70" s="1">
        <f>IF(OR($B63&lt;&gt;$B48,$B64&lt;&gt;$B49,$B65&lt;&gt;$B50,$B66&lt;&gt;$B51,$B67&lt;&gt;$B52,$B68&lt;&gt;$B53,$B69&lt;&gt;$B54,$B70&lt;&gt;$B55,$B71&lt;&gt;$B56,$B72&lt;&gt;$B57,$B73&lt;&gt;$B58),IF($B70&lt;&gt;$B55,AF55/INDEX($C48:$AJ58,8,MATCH(IF('Data-solution'!$A$3="Maximize",MAX($C59:$AI59),MIN($C59:$AI59)),$C59:$AI59,0)),AF55-INDEX($C48:$AJ58,8,MATCH(IF('Data-solution'!$A$3="Maximize",MAX($C59:$AI59),MIN($C59:$AI59)),$C59:$AI59,0))*INDEX(AF48:$AJ58,MATCH(MIN($AK48:$AK58),$AK48:$AK58,0),1)/INDEX($C48:$AJ58,MATCH(MIN($AK48:$AK58),$AK48:$AK58,0),MATCH(IF('Data-solution'!$A$3="Maximize",MAX($C59:$AI59),MIN($C59:$AI59)),$C59:$AI59,0))),AF55)</f>
        <v>1</v>
      </c>
      <c r="AG70" s="1">
        <f>IF(OR($B63&lt;&gt;$B48,$B64&lt;&gt;$B49,$B65&lt;&gt;$B50,$B66&lt;&gt;$B51,$B67&lt;&gt;$B52,$B68&lt;&gt;$B53,$B69&lt;&gt;$B54,$B70&lt;&gt;$B55,$B71&lt;&gt;$B56,$B72&lt;&gt;$B57,$B73&lt;&gt;$B58),IF($B70&lt;&gt;$B55,AG55/INDEX($C48:$AJ58,8,MATCH(IF('Data-solution'!$A$3="Maximize",MAX($C59:$AI59),MIN($C59:$AI59)),$C59:$AI59,0)),AG55-INDEX($C48:$AJ58,8,MATCH(IF('Data-solution'!$A$3="Maximize",MAX($C59:$AI59),MIN($C59:$AI59)),$C59:$AI59,0))*INDEX(AG48:$AJ58,MATCH(MIN($AK48:$AK58),$AK48:$AK58,0),1)/INDEX($C48:$AJ58,MATCH(MIN($AK48:$AK58),$AK48:$AK58,0),MATCH(IF('Data-solution'!$A$3="Maximize",MAX($C59:$AI59),MIN($C59:$AI59)),$C59:$AI59,0))),AG55)</f>
        <v>0</v>
      </c>
      <c r="AH70" s="1">
        <f>IF(OR($B63&lt;&gt;$B48,$B64&lt;&gt;$B49,$B65&lt;&gt;$B50,$B66&lt;&gt;$B51,$B67&lt;&gt;$B52,$B68&lt;&gt;$B53,$B69&lt;&gt;$B54,$B70&lt;&gt;$B55,$B71&lt;&gt;$B56,$B72&lt;&gt;$B57,$B73&lt;&gt;$B58),IF($B70&lt;&gt;$B55,AH55/INDEX($C48:$AJ58,8,MATCH(IF('Data-solution'!$A$3="Maximize",MAX($C59:$AI59),MIN($C59:$AI59)),$C59:$AI59,0)),AH55-INDEX($C48:$AJ58,8,MATCH(IF('Data-solution'!$A$3="Maximize",MAX($C59:$AI59),MIN($C59:$AI59)),$C59:$AI59,0))*INDEX(AH48:$AJ58,MATCH(MIN($AK48:$AK58),$AK48:$AK58,0),1)/INDEX($C48:$AJ58,MATCH(MIN($AK48:$AK58),$AK48:$AK58,0),MATCH(IF('Data-solution'!$A$3="Maximize",MAX($C59:$AI59),MIN($C59:$AI59)),$C59:$AI59,0))),AH55)</f>
        <v>0</v>
      </c>
      <c r="AI70" s="1">
        <f>IF(OR($B63&lt;&gt;$B48,$B64&lt;&gt;$B49,$B65&lt;&gt;$B50,$B66&lt;&gt;$B51,$B67&lt;&gt;$B52,$B68&lt;&gt;$B53,$B69&lt;&gt;$B54,$B70&lt;&gt;$B55,$B71&lt;&gt;$B56,$B72&lt;&gt;$B57,$B73&lt;&gt;$B58),IF($B70&lt;&gt;$B55,AI55/INDEX($C48:$AJ58,8,MATCH(IF('Data-solution'!$A$3="Maximize",MAX($C59:$AI59),MIN($C59:$AI59)),$C59:$AI59,0)),AI55-INDEX($C48:$AJ58,8,MATCH(IF('Data-solution'!$A$3="Maximize",MAX($C59:$AI59),MIN($C59:$AI59)),$C59:$AI59,0))*INDEX(AI48:$AJ58,MATCH(MIN($AK48:$AK58),$AK48:$AK58,0),1)/INDEX($C48:$AJ58,MATCH(MIN($AK48:$AK58),$AK48:$AK58,0),MATCH(IF('Data-solution'!$A$3="Maximize",MAX($C59:$AI59),MIN($C59:$AI59)),$C59:$AI59,0))),AI55)</f>
        <v>0</v>
      </c>
      <c r="AJ70" s="1">
        <f>IF(OR($B63&lt;&gt;$B48,$B64&lt;&gt;$B49,$B65&lt;&gt;$B50,$B66&lt;&gt;$B51,$B67&lt;&gt;$B52,$B68&lt;&gt;$B53,$B69&lt;&gt;$B54,$B70&lt;&gt;$B55,$B71&lt;&gt;$B56,$B72&lt;&gt;$B57,$B73&lt;&gt;$B58),IF($B70&lt;&gt;$B55,AJ55/INDEX($C48:$AJ58,8,MATCH(IF('Data-solution'!$A$3="Maximize",MAX($C59:$AI59),MIN($C59:$AI59)),$C59:$AI59,0)),AJ55-INDEX($C48:$AJ58,8,MATCH(IF('Data-solution'!$A$3="Maximize",MAX($C59:$AI59),MIN($C59:$AI59)),$C59:$AI59,0))*INDEX(AJ48:$AJ58,MATCH(MIN($AK48:$AK58),$AK48:$AK58,0),1)/INDEX($C48:$AJ58,MATCH(MIN($AK48:$AK58),$AK48:$AK58,0),MATCH(IF('Data-solution'!$A$3="Maximize",MAX($C59:$AI59),MIN($C59:$AI59)),$C59:$AI59,0))),AJ55)</f>
        <v>0</v>
      </c>
      <c r="AK70" s="1" t="str">
        <f>IF(INDEX(C70:X70,1,MATCH(IF('Data-solution'!A$3="Maximize",MAX(C74:X74),MIN(C74:X74)),C74:X74,0))&gt;0,AJ70/INDEX(C70:X70,1,MATCH(IF('Data-solution'!A$3="Maximize",MAX(C74:X74),MIN(C74:X74)),C74:X74,0))," ")</f>
        <v xml:space="preserve"> </v>
      </c>
    </row>
    <row r="71" spans="1:37" ht="18" customHeight="1" x14ac:dyDescent="0.2">
      <c r="A71" s="1">
        <f t="shared" ref="A71" si="44">INDEX(C61:AI61,1,MATCH(B71,C62:AI62,0))</f>
        <v>0</v>
      </c>
      <c r="B71" s="2" t="str">
        <f>IF(AND('Data-solution'!A$3="Maximize",COUNTIF(C59:X59,"&gt;"&amp;0)&gt;0,AK56=MIN(AK48:AK58),COUNTIF(B63:B70,INDEX(C47:X47,1,MATCH(MAX(C59:X59),C59:X59,0)))=0),INDEX(C47:X47,1,MATCH(MAX(C59:X59),C59:X59,0)),IF(AND('Data-solution'!A$3="Minimize",COUNTIF(C59:X59,"&lt;"&amp;0)&gt;0,AK56=MIN(AK48:AK58),COUNTIF(B63:B70,INDEX(C47:X47,1,MATCH(MIN(C59:X59),C59:X59,0)))=0),INDEX(C47:X47,1,MATCH(MIN(C59:X59),C59:X59,0)),B56))</f>
        <v>S9</v>
      </c>
      <c r="C71" s="1">
        <f>IF(OR($B63&lt;&gt;$B48,$B64&lt;&gt;$B49,$B65&lt;&gt;$B50,$B66&lt;&gt;$B51,$B67&lt;&gt;$B52,$B68&lt;&gt;$B53,$B69&lt;&gt;$B54,$B70&lt;&gt;$B55,$B71&lt;&gt;$B56,$B72&lt;&gt;$B57,$B73&lt;&gt;$B58),IF($B71&lt;&gt;$B56,C56/INDEX($C48:$AJ58,9,MATCH(IF('Data-solution'!$A$3="Maximize",MAX($C59:$AI59),MIN($C59:$AI59)),$C59:$AI59,0)),C56-INDEX($C48:$AJ58,9,MATCH(IF('Data-solution'!$A$3="Maximize",MAX($C59:$AI59),MIN($C59:$AI59)),$C59:$AI59,0))*INDEX(C48:$AJ58,MATCH(MIN($AK48:$AK58),$AK48:$AK58,0),1)/INDEX($C48:$AJ58,MATCH(MIN($AK48:$AK58),$AK48:$AK58,0),MATCH(IF('Data-solution'!$A$3="Maximize",MAX($C59:$AI59),MIN($C59:$AI59)),$C59:$AI59,0))),C56)</f>
        <v>0</v>
      </c>
      <c r="D71" s="1">
        <f>IF(OR($B63&lt;&gt;$B48,$B64&lt;&gt;$B49,$B65&lt;&gt;$B50,$B66&lt;&gt;$B51,$B67&lt;&gt;$B52,$B68&lt;&gt;$B53,$B69&lt;&gt;$B54,$B70&lt;&gt;$B55,$B71&lt;&gt;$B56,$B72&lt;&gt;$B57,$B73&lt;&gt;$B58),IF($B71&lt;&gt;$B56,D56/INDEX($C48:$AJ58,9,MATCH(IF('Data-solution'!$A$3="Maximize",MAX($C59:$AI59),MIN($C59:$AI59)),$C59:$AI59,0)),D56-INDEX($C48:$AJ58,9,MATCH(IF('Data-solution'!$A$3="Maximize",MAX($C59:$AI59),MIN($C59:$AI59)),$C59:$AI59,0))*INDEX(D48:$AJ58,MATCH(MIN($AK48:$AK58),$AK48:$AK58,0),1)/INDEX($C48:$AJ58,MATCH(MIN($AK48:$AK58),$AK48:$AK58,0),MATCH(IF('Data-solution'!$A$3="Maximize",MAX($C59:$AI59),MIN($C59:$AI59)),$C59:$AI59,0))),D56)</f>
        <v>0</v>
      </c>
      <c r="E71" s="1">
        <f>IF(OR($B63&lt;&gt;$B48,$B64&lt;&gt;$B49,$B65&lt;&gt;$B50,$B66&lt;&gt;$B51,$B67&lt;&gt;$B52,$B68&lt;&gt;$B53,$B69&lt;&gt;$B54,$B70&lt;&gt;$B55,$B71&lt;&gt;$B56,$B72&lt;&gt;$B57,$B73&lt;&gt;$B58),IF($B71&lt;&gt;$B56,E56/INDEX($C48:$AJ58,9,MATCH(IF('Data-solution'!$A$3="Maximize",MAX($C59:$AI59),MIN($C59:$AI59)),$C59:$AI59,0)),E56-INDEX($C48:$AJ58,9,MATCH(IF('Data-solution'!$A$3="Maximize",MAX($C59:$AI59),MIN($C59:$AI59)),$C59:$AI59,0))*INDEX(E48:$AJ58,MATCH(MIN($AK48:$AK58),$AK48:$AK58,0),1)/INDEX($C48:$AJ58,MATCH(MIN($AK48:$AK58),$AK48:$AK58,0),MATCH(IF('Data-solution'!$A$3="Maximize",MAX($C59:$AI59),MIN($C59:$AI59)),$C59:$AI59,0))),E56)</f>
        <v>0</v>
      </c>
      <c r="F71" s="1">
        <f>IF(OR($B63&lt;&gt;$B48,$B64&lt;&gt;$B49,$B65&lt;&gt;$B50,$B66&lt;&gt;$B51,$B67&lt;&gt;$B52,$B68&lt;&gt;$B53,$B69&lt;&gt;$B54,$B70&lt;&gt;$B55,$B71&lt;&gt;$B56,$B72&lt;&gt;$B57,$B73&lt;&gt;$B58),IF($B71&lt;&gt;$B56,F56/INDEX($C48:$AJ58,9,MATCH(IF('Data-solution'!$A$3="Maximize",MAX($C59:$AI59),MIN($C59:$AI59)),$C59:$AI59,0)),F56-INDEX($C48:$AJ58,9,MATCH(IF('Data-solution'!$A$3="Maximize",MAX($C59:$AI59),MIN($C59:$AI59)),$C59:$AI59,0))*INDEX(F48:$AJ58,MATCH(MIN($AK48:$AK58),$AK48:$AK58,0),1)/INDEX($C48:$AJ58,MATCH(MIN($AK48:$AK58),$AK48:$AK58,0),MATCH(IF('Data-solution'!$A$3="Maximize",MAX($C59:$AI59),MIN($C59:$AI59)),$C59:$AI59,0))),F56)</f>
        <v>0</v>
      </c>
      <c r="G71" s="1">
        <f>IF(OR($B63&lt;&gt;$B48,$B64&lt;&gt;$B49,$B65&lt;&gt;$B50,$B66&lt;&gt;$B51,$B67&lt;&gt;$B52,$B68&lt;&gt;$B53,$B69&lt;&gt;$B54,$B70&lt;&gt;$B55,$B71&lt;&gt;$B56,$B72&lt;&gt;$B57,$B73&lt;&gt;$B58),IF($B71&lt;&gt;$B56,G56/INDEX($C48:$AJ58,9,MATCH(IF('Data-solution'!$A$3="Maximize",MAX($C59:$AI59),MIN($C59:$AI59)),$C59:$AI59,0)),G56-INDEX($C48:$AJ58,9,MATCH(IF('Data-solution'!$A$3="Maximize",MAX($C59:$AI59),MIN($C59:$AI59)),$C59:$AI59,0))*INDEX(G48:$AJ58,MATCH(MIN($AK48:$AK58),$AK48:$AK58,0),1)/INDEX($C48:$AJ58,MATCH(MIN($AK48:$AK58),$AK48:$AK58,0),MATCH(IF('Data-solution'!$A$3="Maximize",MAX($C59:$AI59),MIN($C59:$AI59)),$C59:$AI59,0))),G56)</f>
        <v>0</v>
      </c>
      <c r="H71" s="1">
        <f>IF(OR($B63&lt;&gt;$B48,$B64&lt;&gt;$B49,$B65&lt;&gt;$B50,$B66&lt;&gt;$B51,$B67&lt;&gt;$B52,$B68&lt;&gt;$B53,$B69&lt;&gt;$B54,$B70&lt;&gt;$B55,$B71&lt;&gt;$B56,$B72&lt;&gt;$B57,$B73&lt;&gt;$B58),IF($B71&lt;&gt;$B56,H56/INDEX($C48:$AJ58,9,MATCH(IF('Data-solution'!$A$3="Maximize",MAX($C59:$AI59),MIN($C59:$AI59)),$C59:$AI59,0)),H56-INDEX($C48:$AJ58,9,MATCH(IF('Data-solution'!$A$3="Maximize",MAX($C59:$AI59),MIN($C59:$AI59)),$C59:$AI59,0))*INDEX(H48:$AJ58,MATCH(MIN($AK48:$AK58),$AK48:$AK58,0),1)/INDEX($C48:$AJ58,MATCH(MIN($AK48:$AK58),$AK48:$AK58,0),MATCH(IF('Data-solution'!$A$3="Maximize",MAX($C59:$AI59),MIN($C59:$AI59)),$C59:$AI59,0))),H56)</f>
        <v>0</v>
      </c>
      <c r="I71" s="1">
        <f>IF(OR($B63&lt;&gt;$B48,$B64&lt;&gt;$B49,$B65&lt;&gt;$B50,$B66&lt;&gt;$B51,$B67&lt;&gt;$B52,$B68&lt;&gt;$B53,$B69&lt;&gt;$B54,$B70&lt;&gt;$B55,$B71&lt;&gt;$B56,$B72&lt;&gt;$B57,$B73&lt;&gt;$B58),IF($B71&lt;&gt;$B56,I56/INDEX($C48:$AJ58,9,MATCH(IF('Data-solution'!$A$3="Maximize",MAX($C59:$AI59),MIN($C59:$AI59)),$C59:$AI59,0)),I56-INDEX($C48:$AJ58,9,MATCH(IF('Data-solution'!$A$3="Maximize",MAX($C59:$AI59),MIN($C59:$AI59)),$C59:$AI59,0))*INDEX(I48:$AJ58,MATCH(MIN($AK48:$AK58),$AK48:$AK58,0),1)/INDEX($C48:$AJ58,MATCH(MIN($AK48:$AK58),$AK48:$AK58,0),MATCH(IF('Data-solution'!$A$3="Maximize",MAX($C59:$AI59),MIN($C59:$AI59)),$C59:$AI59,0))),I56)</f>
        <v>0</v>
      </c>
      <c r="J71" s="1">
        <f>IF(OR($B63&lt;&gt;$B48,$B64&lt;&gt;$B49,$B65&lt;&gt;$B50,$B66&lt;&gt;$B51,$B67&lt;&gt;$B52,$B68&lt;&gt;$B53,$B69&lt;&gt;$B54,$B70&lt;&gt;$B55,$B71&lt;&gt;$B56,$B72&lt;&gt;$B57,$B73&lt;&gt;$B58),IF($B71&lt;&gt;$B56,J56/INDEX($C48:$AJ58,9,MATCH(IF('Data-solution'!$A$3="Maximize",MAX($C59:$AI59),MIN($C59:$AI59)),$C59:$AI59,0)),J56-INDEX($C48:$AJ58,9,MATCH(IF('Data-solution'!$A$3="Maximize",MAX($C59:$AI59),MIN($C59:$AI59)),$C59:$AI59,0))*INDEX(J48:$AJ58,MATCH(MIN($AK48:$AK58),$AK48:$AK58,0),1)/INDEX($C48:$AJ58,MATCH(MIN($AK48:$AK58),$AK48:$AK58,0),MATCH(IF('Data-solution'!$A$3="Maximize",MAX($C59:$AI59),MIN($C59:$AI59)),$C59:$AI59,0))),J56)</f>
        <v>0</v>
      </c>
      <c r="K71" s="1">
        <f>IF(OR($B63&lt;&gt;$B48,$B64&lt;&gt;$B49,$B65&lt;&gt;$B50,$B66&lt;&gt;$B51,$B67&lt;&gt;$B52,$B68&lt;&gt;$B53,$B69&lt;&gt;$B54,$B70&lt;&gt;$B55,$B71&lt;&gt;$B56,$B72&lt;&gt;$B57,$B73&lt;&gt;$B58),IF($B71&lt;&gt;$B56,K56/INDEX($C48:$AJ58,9,MATCH(IF('Data-solution'!$A$3="Maximize",MAX($C59:$AI59),MIN($C59:$AI59)),$C59:$AI59,0)),K56-INDEX($C48:$AJ58,9,MATCH(IF('Data-solution'!$A$3="Maximize",MAX($C59:$AI59),MIN($C59:$AI59)),$C59:$AI59,0))*INDEX(K48:$AJ58,MATCH(MIN($AK48:$AK58),$AK48:$AK58,0),1)/INDEX($C48:$AJ58,MATCH(MIN($AK48:$AK58),$AK48:$AK58,0),MATCH(IF('Data-solution'!$A$3="Maximize",MAX($C59:$AI59),MIN($C59:$AI59)),$C59:$AI59,0))),K56)</f>
        <v>0</v>
      </c>
      <c r="L71" s="1">
        <f>IF(OR($B63&lt;&gt;$B48,$B64&lt;&gt;$B49,$B65&lt;&gt;$B50,$B66&lt;&gt;$B51,$B67&lt;&gt;$B52,$B68&lt;&gt;$B53,$B69&lt;&gt;$B54,$B70&lt;&gt;$B55,$B71&lt;&gt;$B56,$B72&lt;&gt;$B57,$B73&lt;&gt;$B58),IF($B71&lt;&gt;$B56,L56/INDEX($C48:$AJ58,9,MATCH(IF('Data-solution'!$A$3="Maximize",MAX($C59:$AI59),MIN($C59:$AI59)),$C59:$AI59,0)),L56-INDEX($C48:$AJ58,9,MATCH(IF('Data-solution'!$A$3="Maximize",MAX($C59:$AI59),MIN($C59:$AI59)),$C59:$AI59,0))*INDEX(L48:$AJ58,MATCH(MIN($AK48:$AK58),$AK48:$AK58,0),1)/INDEX($C48:$AJ58,MATCH(MIN($AK48:$AK58),$AK48:$AK58,0),MATCH(IF('Data-solution'!$A$3="Maximize",MAX($C59:$AI59),MIN($C59:$AI59)),$C59:$AI59,0))),L56)</f>
        <v>0</v>
      </c>
      <c r="M71" s="1">
        <f>IF(OR($B63&lt;&gt;$B48,$B64&lt;&gt;$B49,$B65&lt;&gt;$B50,$B66&lt;&gt;$B51,$B67&lt;&gt;$B52,$B68&lt;&gt;$B53,$B69&lt;&gt;$B54,$B70&lt;&gt;$B55,$B71&lt;&gt;$B56,$B72&lt;&gt;$B57,$B73&lt;&gt;$B58),IF($B71&lt;&gt;$B56,M56/INDEX($C48:$AJ58,9,MATCH(IF('Data-solution'!$A$3="Maximize",MAX($C59:$AI59),MIN($C59:$AI59)),$C59:$AI59,0)),M56-INDEX($C48:$AJ58,9,MATCH(IF('Data-solution'!$A$3="Maximize",MAX($C59:$AI59),MIN($C59:$AI59)),$C59:$AI59,0))*INDEX(M48:$AJ58,MATCH(MIN($AK48:$AK58),$AK48:$AK58,0),1)/INDEX($C48:$AJ58,MATCH(MIN($AK48:$AK58),$AK48:$AK58,0),MATCH(IF('Data-solution'!$A$3="Maximize",MAX($C59:$AI59),MIN($C59:$AI59)),$C59:$AI59,0))),M56)</f>
        <v>0</v>
      </c>
      <c r="N71" s="1">
        <f>IF(OR($B63&lt;&gt;$B48,$B64&lt;&gt;$B49,$B65&lt;&gt;$B50,$B66&lt;&gt;$B51,$B67&lt;&gt;$B52,$B68&lt;&gt;$B53,$B69&lt;&gt;$B54,$B70&lt;&gt;$B55,$B71&lt;&gt;$B56,$B72&lt;&gt;$B57,$B73&lt;&gt;$B58),IF($B71&lt;&gt;$B56,N56/INDEX($C48:$AJ58,9,MATCH(IF('Data-solution'!$A$3="Maximize",MAX($C59:$AI59),MIN($C59:$AI59)),$C59:$AI59,0)),N56-INDEX($C48:$AJ58,9,MATCH(IF('Data-solution'!$A$3="Maximize",MAX($C59:$AI59),MIN($C59:$AI59)),$C59:$AI59,0))*INDEX(N48:$AJ58,MATCH(MIN($AK48:$AK58),$AK48:$AK58,0),1)/INDEX($C48:$AJ58,MATCH(MIN($AK48:$AK58),$AK48:$AK58,0),MATCH(IF('Data-solution'!$A$3="Maximize",MAX($C59:$AI59),MIN($C59:$AI59)),$C59:$AI59,0))),N56)</f>
        <v>0</v>
      </c>
      <c r="O71" s="1">
        <f>IF(OR($B63&lt;&gt;$B48,$B64&lt;&gt;$B49,$B65&lt;&gt;$B50,$B66&lt;&gt;$B51,$B67&lt;&gt;$B52,$B68&lt;&gt;$B53,$B69&lt;&gt;$B54,$B70&lt;&gt;$B55,$B71&lt;&gt;$B56,$B72&lt;&gt;$B57,$B73&lt;&gt;$B58),IF($B71&lt;&gt;$B56,O56/INDEX($C48:$AJ58,9,MATCH(IF('Data-solution'!$A$3="Maximize",MAX($C59:$AI59),MIN($C59:$AI59)),$C59:$AI59,0)),O56-INDEX($C48:$AJ58,9,MATCH(IF('Data-solution'!$A$3="Maximize",MAX($C59:$AI59),MIN($C59:$AI59)),$C59:$AI59,0))*INDEX(O48:$AJ58,MATCH(MIN($AK48:$AK58),$AK48:$AK58,0),1)/INDEX($C48:$AJ58,MATCH(MIN($AK48:$AK58),$AK48:$AK58,0),MATCH(IF('Data-solution'!$A$3="Maximize",MAX($C59:$AI59),MIN($C59:$AI59)),$C59:$AI59,0))),O56)</f>
        <v>0</v>
      </c>
      <c r="P71" s="1">
        <f>IF(OR($B63&lt;&gt;$B48,$B64&lt;&gt;$B49,$B65&lt;&gt;$B50,$B66&lt;&gt;$B51,$B67&lt;&gt;$B52,$B68&lt;&gt;$B53,$B69&lt;&gt;$B54,$B70&lt;&gt;$B55,$B71&lt;&gt;$B56,$B72&lt;&gt;$B57,$B73&lt;&gt;$B58),IF($B71&lt;&gt;$B56,P56/INDEX($C48:$AJ58,9,MATCH(IF('Data-solution'!$A$3="Maximize",MAX($C59:$AI59),MIN($C59:$AI59)),$C59:$AI59,0)),P56-INDEX($C48:$AJ58,9,MATCH(IF('Data-solution'!$A$3="Maximize",MAX($C59:$AI59),MIN($C59:$AI59)),$C59:$AI59,0))*INDEX(P48:$AJ58,MATCH(MIN($AK48:$AK58),$AK48:$AK58,0),1)/INDEX($C48:$AJ58,MATCH(MIN($AK48:$AK58),$AK48:$AK58,0),MATCH(IF('Data-solution'!$A$3="Maximize",MAX($C59:$AI59),MIN($C59:$AI59)),$C59:$AI59,0))),P56)</f>
        <v>0</v>
      </c>
      <c r="Q71" s="1">
        <f>IF(OR($B63&lt;&gt;$B48,$B64&lt;&gt;$B49,$B65&lt;&gt;$B50,$B66&lt;&gt;$B51,$B67&lt;&gt;$B52,$B68&lt;&gt;$B53,$B69&lt;&gt;$B54,$B70&lt;&gt;$B55,$B71&lt;&gt;$B56,$B72&lt;&gt;$B57,$B73&lt;&gt;$B58),IF($B71&lt;&gt;$B56,Q56/INDEX($C48:$AJ58,9,MATCH(IF('Data-solution'!$A$3="Maximize",MAX($C59:$AI59),MIN($C59:$AI59)),$C59:$AI59,0)),Q56-INDEX($C48:$AJ58,9,MATCH(IF('Data-solution'!$A$3="Maximize",MAX($C59:$AI59),MIN($C59:$AI59)),$C59:$AI59,0))*INDEX(Q48:$AJ58,MATCH(MIN($AK48:$AK58),$AK48:$AK58,0),1)/INDEX($C48:$AJ58,MATCH(MIN($AK48:$AK58),$AK48:$AK58,0),MATCH(IF('Data-solution'!$A$3="Maximize",MAX($C59:$AI59),MIN($C59:$AI59)),$C59:$AI59,0))),Q56)</f>
        <v>0</v>
      </c>
      <c r="R71" s="1">
        <f>IF(OR($B63&lt;&gt;$B48,$B64&lt;&gt;$B49,$B65&lt;&gt;$B50,$B66&lt;&gt;$B51,$B67&lt;&gt;$B52,$B68&lt;&gt;$B53,$B69&lt;&gt;$B54,$B70&lt;&gt;$B55,$B71&lt;&gt;$B56,$B72&lt;&gt;$B57,$B73&lt;&gt;$B58),IF($B71&lt;&gt;$B56,R56/INDEX($C48:$AJ58,9,MATCH(IF('Data-solution'!$A$3="Maximize",MAX($C59:$AI59),MIN($C59:$AI59)),$C59:$AI59,0)),R56-INDEX($C48:$AJ58,9,MATCH(IF('Data-solution'!$A$3="Maximize",MAX($C59:$AI59),MIN($C59:$AI59)),$C59:$AI59,0))*INDEX(R48:$AJ58,MATCH(MIN($AK48:$AK58),$AK48:$AK58,0),1)/INDEX($C48:$AJ58,MATCH(MIN($AK48:$AK58),$AK48:$AK58,0),MATCH(IF('Data-solution'!$A$3="Maximize",MAX($C59:$AI59),MIN($C59:$AI59)),$C59:$AI59,0))),R56)</f>
        <v>0</v>
      </c>
      <c r="S71" s="1">
        <f>IF(OR($B63&lt;&gt;$B48,$B64&lt;&gt;$B49,$B65&lt;&gt;$B50,$B66&lt;&gt;$B51,$B67&lt;&gt;$B52,$B68&lt;&gt;$B53,$B69&lt;&gt;$B54,$B70&lt;&gt;$B55,$B71&lt;&gt;$B56,$B72&lt;&gt;$B57,$B73&lt;&gt;$B58),IF($B71&lt;&gt;$B56,S56/INDEX($C48:$AJ58,9,MATCH(IF('Data-solution'!$A$3="Maximize",MAX($C59:$AI59),MIN($C59:$AI59)),$C59:$AI59,0)),S56-INDEX($C48:$AJ58,9,MATCH(IF('Data-solution'!$A$3="Maximize",MAX($C59:$AI59),MIN($C59:$AI59)),$C59:$AI59,0))*INDEX(S48:$AJ58,MATCH(MIN($AK48:$AK58),$AK48:$AK58,0),1)/INDEX($C48:$AJ58,MATCH(MIN($AK48:$AK58),$AK48:$AK58,0),MATCH(IF('Data-solution'!$A$3="Maximize",MAX($C59:$AI59),MIN($C59:$AI59)),$C59:$AI59,0))),S56)</f>
        <v>0</v>
      </c>
      <c r="T71" s="1">
        <f>IF(OR($B63&lt;&gt;$B48,$B64&lt;&gt;$B49,$B65&lt;&gt;$B50,$B66&lt;&gt;$B51,$B67&lt;&gt;$B52,$B68&lt;&gt;$B53,$B69&lt;&gt;$B54,$B70&lt;&gt;$B55,$B71&lt;&gt;$B56,$B72&lt;&gt;$B57,$B73&lt;&gt;$B58),IF($B71&lt;&gt;$B56,T56/INDEX($C48:$AJ58,9,MATCH(IF('Data-solution'!$A$3="Maximize",MAX($C59:$AI59),MIN($C59:$AI59)),$C59:$AI59,0)),T56-INDEX($C48:$AJ58,9,MATCH(IF('Data-solution'!$A$3="Maximize",MAX($C59:$AI59),MIN($C59:$AI59)),$C59:$AI59,0))*INDEX(T48:$AJ58,MATCH(MIN($AK48:$AK58),$AK48:$AK58,0),1)/INDEX($C48:$AJ58,MATCH(MIN($AK48:$AK58),$AK48:$AK58,0),MATCH(IF('Data-solution'!$A$3="Maximize",MAX($C59:$AI59),MIN($C59:$AI59)),$C59:$AI59,0))),T56)</f>
        <v>0</v>
      </c>
      <c r="U71" s="1">
        <f>IF(OR($B63&lt;&gt;$B48,$B64&lt;&gt;$B49,$B65&lt;&gt;$B50,$B66&lt;&gt;$B51,$B67&lt;&gt;$B52,$B68&lt;&gt;$B53,$B69&lt;&gt;$B54,$B70&lt;&gt;$B55,$B71&lt;&gt;$B56,$B72&lt;&gt;$B57,$B73&lt;&gt;$B58),IF($B71&lt;&gt;$B56,U56/INDEX($C48:$AJ58,9,MATCH(IF('Data-solution'!$A$3="Maximize",MAX($C59:$AI59),MIN($C59:$AI59)),$C59:$AI59,0)),U56-INDEX($C48:$AJ58,9,MATCH(IF('Data-solution'!$A$3="Maximize",MAX($C59:$AI59),MIN($C59:$AI59)),$C59:$AI59,0))*INDEX(U48:$AJ58,MATCH(MIN($AK48:$AK58),$AK48:$AK58,0),1)/INDEX($C48:$AJ58,MATCH(MIN($AK48:$AK58),$AK48:$AK58,0),MATCH(IF('Data-solution'!$A$3="Maximize",MAX($C59:$AI59),MIN($C59:$AI59)),$C59:$AI59,0))),U56)</f>
        <v>0</v>
      </c>
      <c r="V71" s="1">
        <f>IF(OR($B63&lt;&gt;$B48,$B64&lt;&gt;$B49,$B65&lt;&gt;$B50,$B66&lt;&gt;$B51,$B67&lt;&gt;$B52,$B68&lt;&gt;$B53,$B69&lt;&gt;$B54,$B70&lt;&gt;$B55,$B71&lt;&gt;$B56,$B72&lt;&gt;$B57,$B73&lt;&gt;$B58),IF($B71&lt;&gt;$B56,V56/INDEX($C48:$AJ58,9,MATCH(IF('Data-solution'!$A$3="Maximize",MAX($C59:$AI59),MIN($C59:$AI59)),$C59:$AI59,0)),V56-INDEX($C48:$AJ58,9,MATCH(IF('Data-solution'!$A$3="Maximize",MAX($C59:$AI59),MIN($C59:$AI59)),$C59:$AI59,0))*INDEX(V48:$AJ58,MATCH(MIN($AK48:$AK58),$AK48:$AK58,0),1)/INDEX($C48:$AJ58,MATCH(MIN($AK48:$AK58),$AK48:$AK58,0),MATCH(IF('Data-solution'!$A$3="Maximize",MAX($C59:$AI59),MIN($C59:$AI59)),$C59:$AI59,0))),V56)</f>
        <v>1</v>
      </c>
      <c r="W71" s="1">
        <f>IF(OR($B63&lt;&gt;$B48,$B64&lt;&gt;$B49,$B65&lt;&gt;$B50,$B66&lt;&gt;$B51,$B67&lt;&gt;$B52,$B68&lt;&gt;$B53,$B69&lt;&gt;$B54,$B70&lt;&gt;$B55,$B71&lt;&gt;$B56,$B72&lt;&gt;$B57,$B73&lt;&gt;$B58),IF($B71&lt;&gt;$B56,W56/INDEX($C48:$AJ58,9,MATCH(IF('Data-solution'!$A$3="Maximize",MAX($C59:$AI59),MIN($C59:$AI59)),$C59:$AI59,0)),W56-INDEX($C48:$AJ58,9,MATCH(IF('Data-solution'!$A$3="Maximize",MAX($C59:$AI59),MIN($C59:$AI59)),$C59:$AI59,0))*INDEX(W48:$AJ58,MATCH(MIN($AK48:$AK58),$AK48:$AK58,0),1)/INDEX($C48:$AJ58,MATCH(MIN($AK48:$AK58),$AK48:$AK58,0),MATCH(IF('Data-solution'!$A$3="Maximize",MAX($C59:$AI59),MIN($C59:$AI59)),$C59:$AI59,0))),W56)</f>
        <v>0</v>
      </c>
      <c r="X71" s="1">
        <f>IF(OR($B63&lt;&gt;$B48,$B64&lt;&gt;$B49,$B65&lt;&gt;$B50,$B66&lt;&gt;$B51,$B67&lt;&gt;$B52,$B68&lt;&gt;$B53,$B69&lt;&gt;$B54,$B70&lt;&gt;$B55,$B71&lt;&gt;$B56,$B72&lt;&gt;$B57,$B73&lt;&gt;$B58),IF($B71&lt;&gt;$B56,X56/INDEX($C48:$AJ58,9,MATCH(IF('Data-solution'!$A$3="Maximize",MAX($C59:$AI59),MIN($C59:$AI59)),$C59:$AI59,0)),X56-INDEX($C48:$AJ58,9,MATCH(IF('Data-solution'!$A$3="Maximize",MAX($C59:$AI59),MIN($C59:$AI59)),$C59:$AI59,0))*INDEX(X48:$AJ58,MATCH(MIN($AK48:$AK58),$AK48:$AK58,0),1)/INDEX($C48:$AJ58,MATCH(MIN($AK48:$AK58),$AK48:$AK58,0),MATCH(IF('Data-solution'!$A$3="Maximize",MAX($C59:$AI59),MIN($C59:$AI59)),$C59:$AI59,0))),X56)</f>
        <v>0</v>
      </c>
      <c r="Y71" s="1">
        <f>IF(OR($B63&lt;&gt;$B48,$B64&lt;&gt;$B49,$B65&lt;&gt;$B50,$B66&lt;&gt;$B51,$B67&lt;&gt;$B52,$B68&lt;&gt;$B53,$B69&lt;&gt;$B54,$B70&lt;&gt;$B55,$B71&lt;&gt;$B56,$B72&lt;&gt;$B57,$B73&lt;&gt;$B58),IF($B71&lt;&gt;$B56,Y56/INDEX($C48:$AJ58,9,MATCH(IF('Data-solution'!$A$3="Maximize",MAX($C59:$AI59),MIN($C59:$AI59)),$C59:$AI59,0)),Y56-INDEX($C48:$AJ58,9,MATCH(IF('Data-solution'!$A$3="Maximize",MAX($C59:$AI59),MIN($C59:$AI59)),$C59:$AI59,0))*INDEX(Y48:$AJ58,MATCH(MIN($AK48:$AK58),$AK48:$AK58,0),1)/INDEX($C48:$AJ58,MATCH(MIN($AK48:$AK58),$AK48:$AK58,0),MATCH(IF('Data-solution'!$A$3="Maximize",MAX($C59:$AI59),MIN($C59:$AI59)),$C59:$AI59,0))),Y56)</f>
        <v>0</v>
      </c>
      <c r="Z71" s="1">
        <f>IF(OR($B63&lt;&gt;$B48,$B64&lt;&gt;$B49,$B65&lt;&gt;$B50,$B66&lt;&gt;$B51,$B67&lt;&gt;$B52,$B68&lt;&gt;$B53,$B69&lt;&gt;$B54,$B70&lt;&gt;$B55,$B71&lt;&gt;$B56,$B72&lt;&gt;$B57,$B73&lt;&gt;$B58),IF($B71&lt;&gt;$B56,Z56/INDEX($C48:$AJ58,9,MATCH(IF('Data-solution'!$A$3="Maximize",MAX($C59:$AI59),MIN($C59:$AI59)),$C59:$AI59,0)),Z56-INDEX($C48:$AJ58,9,MATCH(IF('Data-solution'!$A$3="Maximize",MAX($C59:$AI59),MIN($C59:$AI59)),$C59:$AI59,0))*INDEX(Z48:$AJ58,MATCH(MIN($AK48:$AK58),$AK48:$AK58,0),1)/INDEX($C48:$AJ58,MATCH(MIN($AK48:$AK58),$AK48:$AK58,0),MATCH(IF('Data-solution'!$A$3="Maximize",MAX($C59:$AI59),MIN($C59:$AI59)),$C59:$AI59,0))),Z56)</f>
        <v>0</v>
      </c>
      <c r="AA71" s="1">
        <f>IF(OR($B63&lt;&gt;$B48,$B64&lt;&gt;$B49,$B65&lt;&gt;$B50,$B66&lt;&gt;$B51,$B67&lt;&gt;$B52,$B68&lt;&gt;$B53,$B69&lt;&gt;$B54,$B70&lt;&gt;$B55,$B71&lt;&gt;$B56,$B72&lt;&gt;$B57,$B73&lt;&gt;$B58),IF($B71&lt;&gt;$B56,AA56/INDEX($C48:$AJ58,9,MATCH(IF('Data-solution'!$A$3="Maximize",MAX($C59:$AI59),MIN($C59:$AI59)),$C59:$AI59,0)),AA56-INDEX($C48:$AJ58,9,MATCH(IF('Data-solution'!$A$3="Maximize",MAX($C59:$AI59),MIN($C59:$AI59)),$C59:$AI59,0))*INDEX(AA48:$AJ58,MATCH(MIN($AK48:$AK58),$AK48:$AK58,0),1)/INDEX($C48:$AJ58,MATCH(MIN($AK48:$AK58),$AK48:$AK58,0),MATCH(IF('Data-solution'!$A$3="Maximize",MAX($C59:$AI59),MIN($C59:$AI59)),$C59:$AI59,0))),AA56)</f>
        <v>0</v>
      </c>
      <c r="AB71" s="1">
        <f>IF(OR($B63&lt;&gt;$B48,$B64&lt;&gt;$B49,$B65&lt;&gt;$B50,$B66&lt;&gt;$B51,$B67&lt;&gt;$B52,$B68&lt;&gt;$B53,$B69&lt;&gt;$B54,$B70&lt;&gt;$B55,$B71&lt;&gt;$B56,$B72&lt;&gt;$B57,$B73&lt;&gt;$B58),IF($B71&lt;&gt;$B56,AB56/INDEX($C48:$AJ58,9,MATCH(IF('Data-solution'!$A$3="Maximize",MAX($C59:$AI59),MIN($C59:$AI59)),$C59:$AI59,0)),AB56-INDEX($C48:$AJ58,9,MATCH(IF('Data-solution'!$A$3="Maximize",MAX($C59:$AI59),MIN($C59:$AI59)),$C59:$AI59,0))*INDEX(AB48:$AJ58,MATCH(MIN($AK48:$AK58),$AK48:$AK58,0),1)/INDEX($C48:$AJ58,MATCH(MIN($AK48:$AK58),$AK48:$AK58,0),MATCH(IF('Data-solution'!$A$3="Maximize",MAX($C59:$AI59),MIN($C59:$AI59)),$C59:$AI59,0))),AB56)</f>
        <v>0</v>
      </c>
      <c r="AC71" s="1">
        <f>IF(OR($B63&lt;&gt;$B48,$B64&lt;&gt;$B49,$B65&lt;&gt;$B50,$B66&lt;&gt;$B51,$B67&lt;&gt;$B52,$B68&lt;&gt;$B53,$B69&lt;&gt;$B54,$B70&lt;&gt;$B55,$B71&lt;&gt;$B56,$B72&lt;&gt;$B57,$B73&lt;&gt;$B58),IF($B71&lt;&gt;$B56,AC56/INDEX($C48:$AJ58,9,MATCH(IF('Data-solution'!$A$3="Maximize",MAX($C59:$AI59),MIN($C59:$AI59)),$C59:$AI59,0)),AC56-INDEX($C48:$AJ58,9,MATCH(IF('Data-solution'!$A$3="Maximize",MAX($C59:$AI59),MIN($C59:$AI59)),$C59:$AI59,0))*INDEX(AC48:$AJ58,MATCH(MIN($AK48:$AK58),$AK48:$AK58,0),1)/INDEX($C48:$AJ58,MATCH(MIN($AK48:$AK58),$AK48:$AK58,0),MATCH(IF('Data-solution'!$A$3="Maximize",MAX($C59:$AI59),MIN($C59:$AI59)),$C59:$AI59,0))),AC56)</f>
        <v>0</v>
      </c>
      <c r="AD71" s="1">
        <f>IF(OR($B63&lt;&gt;$B48,$B64&lt;&gt;$B49,$B65&lt;&gt;$B50,$B66&lt;&gt;$B51,$B67&lt;&gt;$B52,$B68&lt;&gt;$B53,$B69&lt;&gt;$B54,$B70&lt;&gt;$B55,$B71&lt;&gt;$B56,$B72&lt;&gt;$B57,$B73&lt;&gt;$B58),IF($B71&lt;&gt;$B56,AD56/INDEX($C48:$AJ58,9,MATCH(IF('Data-solution'!$A$3="Maximize",MAX($C59:$AI59),MIN($C59:$AI59)),$C59:$AI59,0)),AD56-INDEX($C48:$AJ58,9,MATCH(IF('Data-solution'!$A$3="Maximize",MAX($C59:$AI59),MIN($C59:$AI59)),$C59:$AI59,0))*INDEX(AD48:$AJ58,MATCH(MIN($AK48:$AK58),$AK48:$AK58,0),1)/INDEX($C48:$AJ58,MATCH(MIN($AK48:$AK58),$AK48:$AK58,0),MATCH(IF('Data-solution'!$A$3="Maximize",MAX($C59:$AI59),MIN($C59:$AI59)),$C59:$AI59,0))),AD56)</f>
        <v>0</v>
      </c>
      <c r="AE71" s="1">
        <f>IF(OR($B63&lt;&gt;$B48,$B64&lt;&gt;$B49,$B65&lt;&gt;$B50,$B66&lt;&gt;$B51,$B67&lt;&gt;$B52,$B68&lt;&gt;$B53,$B69&lt;&gt;$B54,$B70&lt;&gt;$B55,$B71&lt;&gt;$B56,$B72&lt;&gt;$B57,$B73&lt;&gt;$B58),IF($B71&lt;&gt;$B56,AE56/INDEX($C48:$AJ58,9,MATCH(IF('Data-solution'!$A$3="Maximize",MAX($C59:$AI59),MIN($C59:$AI59)),$C59:$AI59,0)),AE56-INDEX($C48:$AJ58,9,MATCH(IF('Data-solution'!$A$3="Maximize",MAX($C59:$AI59),MIN($C59:$AI59)),$C59:$AI59,0))*INDEX(AE48:$AJ58,MATCH(MIN($AK48:$AK58),$AK48:$AK58,0),1)/INDEX($C48:$AJ58,MATCH(MIN($AK48:$AK58),$AK48:$AK58,0),MATCH(IF('Data-solution'!$A$3="Maximize",MAX($C59:$AI59),MIN($C59:$AI59)),$C59:$AI59,0))),AE56)</f>
        <v>0</v>
      </c>
      <c r="AF71" s="1">
        <f>IF(OR($B63&lt;&gt;$B48,$B64&lt;&gt;$B49,$B65&lt;&gt;$B50,$B66&lt;&gt;$B51,$B67&lt;&gt;$B52,$B68&lt;&gt;$B53,$B69&lt;&gt;$B54,$B70&lt;&gt;$B55,$B71&lt;&gt;$B56,$B72&lt;&gt;$B57,$B73&lt;&gt;$B58),IF($B71&lt;&gt;$B56,AF56/INDEX($C48:$AJ58,9,MATCH(IF('Data-solution'!$A$3="Maximize",MAX($C59:$AI59),MIN($C59:$AI59)),$C59:$AI59,0)),AF56-INDEX($C48:$AJ58,9,MATCH(IF('Data-solution'!$A$3="Maximize",MAX($C59:$AI59),MIN($C59:$AI59)),$C59:$AI59,0))*INDEX(AF48:$AJ58,MATCH(MIN($AK48:$AK58),$AK48:$AK58,0),1)/INDEX($C48:$AJ58,MATCH(MIN($AK48:$AK58),$AK48:$AK58,0),MATCH(IF('Data-solution'!$A$3="Maximize",MAX($C59:$AI59),MIN($C59:$AI59)),$C59:$AI59,0))),AF56)</f>
        <v>0</v>
      </c>
      <c r="AG71" s="1">
        <f>IF(OR($B63&lt;&gt;$B48,$B64&lt;&gt;$B49,$B65&lt;&gt;$B50,$B66&lt;&gt;$B51,$B67&lt;&gt;$B52,$B68&lt;&gt;$B53,$B69&lt;&gt;$B54,$B70&lt;&gt;$B55,$B71&lt;&gt;$B56,$B72&lt;&gt;$B57,$B73&lt;&gt;$B58),IF($B71&lt;&gt;$B56,AG56/INDEX($C48:$AJ58,9,MATCH(IF('Data-solution'!$A$3="Maximize",MAX($C59:$AI59),MIN($C59:$AI59)),$C59:$AI59,0)),AG56-INDEX($C48:$AJ58,9,MATCH(IF('Data-solution'!$A$3="Maximize",MAX($C59:$AI59),MIN($C59:$AI59)),$C59:$AI59,0))*INDEX(AG48:$AJ58,MATCH(MIN($AK48:$AK58),$AK48:$AK58,0),1)/INDEX($C48:$AJ58,MATCH(MIN($AK48:$AK58),$AK48:$AK58,0),MATCH(IF('Data-solution'!$A$3="Maximize",MAX($C59:$AI59),MIN($C59:$AI59)),$C59:$AI59,0))),AG56)</f>
        <v>1</v>
      </c>
      <c r="AH71" s="1">
        <f>IF(OR($B63&lt;&gt;$B48,$B64&lt;&gt;$B49,$B65&lt;&gt;$B50,$B66&lt;&gt;$B51,$B67&lt;&gt;$B52,$B68&lt;&gt;$B53,$B69&lt;&gt;$B54,$B70&lt;&gt;$B55,$B71&lt;&gt;$B56,$B72&lt;&gt;$B57,$B73&lt;&gt;$B58),IF($B71&lt;&gt;$B56,AH56/INDEX($C48:$AJ58,9,MATCH(IF('Data-solution'!$A$3="Maximize",MAX($C59:$AI59),MIN($C59:$AI59)),$C59:$AI59,0)),AH56-INDEX($C48:$AJ58,9,MATCH(IF('Data-solution'!$A$3="Maximize",MAX($C59:$AI59),MIN($C59:$AI59)),$C59:$AI59,0))*INDEX(AH48:$AJ58,MATCH(MIN($AK48:$AK58),$AK48:$AK58,0),1)/INDEX($C48:$AJ58,MATCH(MIN($AK48:$AK58),$AK48:$AK58,0),MATCH(IF('Data-solution'!$A$3="Maximize",MAX($C59:$AI59),MIN($C59:$AI59)),$C59:$AI59,0))),AH56)</f>
        <v>0</v>
      </c>
      <c r="AI71" s="1">
        <f>IF(OR($B63&lt;&gt;$B48,$B64&lt;&gt;$B49,$B65&lt;&gt;$B50,$B66&lt;&gt;$B51,$B67&lt;&gt;$B52,$B68&lt;&gt;$B53,$B69&lt;&gt;$B54,$B70&lt;&gt;$B55,$B71&lt;&gt;$B56,$B72&lt;&gt;$B57,$B73&lt;&gt;$B58),IF($B71&lt;&gt;$B56,AI56/INDEX($C48:$AJ58,9,MATCH(IF('Data-solution'!$A$3="Maximize",MAX($C59:$AI59),MIN($C59:$AI59)),$C59:$AI59,0)),AI56-INDEX($C48:$AJ58,9,MATCH(IF('Data-solution'!$A$3="Maximize",MAX($C59:$AI59),MIN($C59:$AI59)),$C59:$AI59,0))*INDEX(AI48:$AJ58,MATCH(MIN($AK48:$AK58),$AK48:$AK58,0),1)/INDEX($C48:$AJ58,MATCH(MIN($AK48:$AK58),$AK48:$AK58,0),MATCH(IF('Data-solution'!$A$3="Maximize",MAX($C59:$AI59),MIN($C59:$AI59)),$C59:$AI59,0))),AI56)</f>
        <v>0</v>
      </c>
      <c r="AJ71" s="1">
        <f>IF(OR($B63&lt;&gt;$B48,$B64&lt;&gt;$B49,$B65&lt;&gt;$B50,$B66&lt;&gt;$B51,$B67&lt;&gt;$B52,$B68&lt;&gt;$B53,$B69&lt;&gt;$B54,$B70&lt;&gt;$B55,$B71&lt;&gt;$B56,$B72&lt;&gt;$B57,$B73&lt;&gt;$B58),IF($B71&lt;&gt;$B56,AJ56/INDEX($C48:$AJ58,9,MATCH(IF('Data-solution'!$A$3="Maximize",MAX($C59:$AI59),MIN($C59:$AI59)),$C59:$AI59,0)),AJ56-INDEX($C48:$AJ58,9,MATCH(IF('Data-solution'!$A$3="Maximize",MAX($C59:$AI59),MIN($C59:$AI59)),$C59:$AI59,0))*INDEX(AJ48:$AJ58,MATCH(MIN($AK48:$AK58),$AK48:$AK58,0),1)/INDEX($C48:$AJ58,MATCH(MIN($AK48:$AK58),$AK48:$AK58,0),MATCH(IF('Data-solution'!$A$3="Maximize",MAX($C59:$AI59),MIN($C59:$AI59)),$C59:$AI59,0))),AJ56)</f>
        <v>0</v>
      </c>
      <c r="AK71" s="1" t="str">
        <f>IF(INDEX(C71:X71,1,MATCH(IF('Data-solution'!A$3="Maximize",MAX(C74:X74),MIN(C74:X74)),C74:X74,0))&gt;0,AJ71/INDEX(C71:X71,1,MATCH(IF('Data-solution'!A$3="Maximize",MAX(C74:X74),MIN(C74:X74)),C74:X74,0))," ")</f>
        <v xml:space="preserve"> </v>
      </c>
    </row>
    <row r="72" spans="1:37" ht="18" customHeight="1" x14ac:dyDescent="0.2">
      <c r="A72" s="1">
        <f t="shared" ref="A72" si="45">INDEX(C61:AI61,1,MATCH(B72,C62:AI62,0))</f>
        <v>0</v>
      </c>
      <c r="B72" s="2" t="str">
        <f>IF(AND('Data-solution'!A$3="Maximize",COUNTIF(C59:X59,"&gt;"&amp;0)&gt;0,AK57=MIN(AK48:AK58),COUNTIF(B63:B71,INDEX(C47:X47,1,MATCH(MAX(C59:X59),C59:X59,0)))=0),INDEX(C47:X47,1,MATCH(MAX(C59:X59),C59:X59,0)),IF(AND('Data-solution'!A$3="Minimize",COUNTIF(C59:X59,"&lt;"&amp;0)&gt;0,AK57=MIN(AK48:AK58),COUNTIF(B63:B71,INDEX(C47:X47,1,MATCH(MIN(C59:X59),C59:X59,0)))=0),INDEX(C47:X47,1,MATCH(MIN(C59:X59),C59:X59,0)),B57))</f>
        <v>S10</v>
      </c>
      <c r="C72" s="1">
        <f>IF(OR($B63&lt;&gt;$B48,$B64&lt;&gt;$B49,$B65&lt;&gt;$B50,$B66&lt;&gt;$B51,$B67&lt;&gt;$B52,$B68&lt;&gt;$B53,$B69&lt;&gt;$B54,$B70&lt;&gt;$B55,$B71&lt;&gt;$B56,$B72&lt;&gt;$B57,$B73&lt;&gt;$B58),IF($B72&lt;&gt;$B57,C57/INDEX($C48:$AJ58,10,MATCH(IF('Data-solution'!$A$3="Maximize",MAX($C59:$AI59),MIN($C59:$AI59)),$C59:$AI59,0)),C57-INDEX($C48:$AJ58,10,MATCH(IF('Data-solution'!$A$3="Maximize",MAX($C59:$AI59),MIN($C59:$AI59)),$C59:$AI59,0))*INDEX(C48:$AJ58,MATCH(MIN($AK48:$AK58),$AK48:$AK58,0),1)/INDEX($C48:$AJ58,MATCH(MIN($AK48:$AK58),$AK48:$AK58,0),MATCH(IF('Data-solution'!$A$3="Maximize",MAX($C59:$AI59),MIN($C59:$AI59)),$C59:$AI59,0))),C57)</f>
        <v>0</v>
      </c>
      <c r="D72" s="1">
        <f>IF(OR($B63&lt;&gt;$B48,$B64&lt;&gt;$B49,$B65&lt;&gt;$B50,$B66&lt;&gt;$B51,$B67&lt;&gt;$B52,$B68&lt;&gt;$B53,$B69&lt;&gt;$B54,$B70&lt;&gt;$B55,$B71&lt;&gt;$B56,$B72&lt;&gt;$B57,$B73&lt;&gt;$B58),IF($B72&lt;&gt;$B57,D57/INDEX($C48:$AJ58,10,MATCH(IF('Data-solution'!$A$3="Maximize",MAX($C59:$AI59),MIN($C59:$AI59)),$C59:$AI59,0)),D57-INDEX($C48:$AJ58,10,MATCH(IF('Data-solution'!$A$3="Maximize",MAX($C59:$AI59),MIN($C59:$AI59)),$C59:$AI59,0))*INDEX(D48:$AJ58,MATCH(MIN($AK48:$AK58),$AK48:$AK58,0),1)/INDEX($C48:$AJ58,MATCH(MIN($AK48:$AK58),$AK48:$AK58,0),MATCH(IF('Data-solution'!$A$3="Maximize",MAX($C59:$AI59),MIN($C59:$AI59)),$C59:$AI59,0))),D57)</f>
        <v>0</v>
      </c>
      <c r="E72" s="1">
        <f>IF(OR($B63&lt;&gt;$B48,$B64&lt;&gt;$B49,$B65&lt;&gt;$B50,$B66&lt;&gt;$B51,$B67&lt;&gt;$B52,$B68&lt;&gt;$B53,$B69&lt;&gt;$B54,$B70&lt;&gt;$B55,$B71&lt;&gt;$B56,$B72&lt;&gt;$B57,$B73&lt;&gt;$B58),IF($B72&lt;&gt;$B57,E57/INDEX($C48:$AJ58,10,MATCH(IF('Data-solution'!$A$3="Maximize",MAX($C59:$AI59),MIN($C59:$AI59)),$C59:$AI59,0)),E57-INDEX($C48:$AJ58,10,MATCH(IF('Data-solution'!$A$3="Maximize",MAX($C59:$AI59),MIN($C59:$AI59)),$C59:$AI59,0))*INDEX(E48:$AJ58,MATCH(MIN($AK48:$AK58),$AK48:$AK58,0),1)/INDEX($C48:$AJ58,MATCH(MIN($AK48:$AK58),$AK48:$AK58,0),MATCH(IF('Data-solution'!$A$3="Maximize",MAX($C59:$AI59),MIN($C59:$AI59)),$C59:$AI59,0))),E57)</f>
        <v>0</v>
      </c>
      <c r="F72" s="1">
        <f>IF(OR($B63&lt;&gt;$B48,$B64&lt;&gt;$B49,$B65&lt;&gt;$B50,$B66&lt;&gt;$B51,$B67&lt;&gt;$B52,$B68&lt;&gt;$B53,$B69&lt;&gt;$B54,$B70&lt;&gt;$B55,$B71&lt;&gt;$B56,$B72&lt;&gt;$B57,$B73&lt;&gt;$B58),IF($B72&lt;&gt;$B57,F57/INDEX($C48:$AJ58,10,MATCH(IF('Data-solution'!$A$3="Maximize",MAX($C59:$AI59),MIN($C59:$AI59)),$C59:$AI59,0)),F57-INDEX($C48:$AJ58,10,MATCH(IF('Data-solution'!$A$3="Maximize",MAX($C59:$AI59),MIN($C59:$AI59)),$C59:$AI59,0))*INDEX(F48:$AJ58,MATCH(MIN($AK48:$AK58),$AK48:$AK58,0),1)/INDEX($C48:$AJ58,MATCH(MIN($AK48:$AK58),$AK48:$AK58,0),MATCH(IF('Data-solution'!$A$3="Maximize",MAX($C59:$AI59),MIN($C59:$AI59)),$C59:$AI59,0))),F57)</f>
        <v>0</v>
      </c>
      <c r="G72" s="1">
        <f>IF(OR($B63&lt;&gt;$B48,$B64&lt;&gt;$B49,$B65&lt;&gt;$B50,$B66&lt;&gt;$B51,$B67&lt;&gt;$B52,$B68&lt;&gt;$B53,$B69&lt;&gt;$B54,$B70&lt;&gt;$B55,$B71&lt;&gt;$B56,$B72&lt;&gt;$B57,$B73&lt;&gt;$B58),IF($B72&lt;&gt;$B57,G57/INDEX($C48:$AJ58,10,MATCH(IF('Data-solution'!$A$3="Maximize",MAX($C59:$AI59),MIN($C59:$AI59)),$C59:$AI59,0)),G57-INDEX($C48:$AJ58,10,MATCH(IF('Data-solution'!$A$3="Maximize",MAX($C59:$AI59),MIN($C59:$AI59)),$C59:$AI59,0))*INDEX(G48:$AJ58,MATCH(MIN($AK48:$AK58),$AK48:$AK58,0),1)/INDEX($C48:$AJ58,MATCH(MIN($AK48:$AK58),$AK48:$AK58,0),MATCH(IF('Data-solution'!$A$3="Maximize",MAX($C59:$AI59),MIN($C59:$AI59)),$C59:$AI59,0))),G57)</f>
        <v>0</v>
      </c>
      <c r="H72" s="1">
        <f>IF(OR($B63&lt;&gt;$B48,$B64&lt;&gt;$B49,$B65&lt;&gt;$B50,$B66&lt;&gt;$B51,$B67&lt;&gt;$B52,$B68&lt;&gt;$B53,$B69&lt;&gt;$B54,$B70&lt;&gt;$B55,$B71&lt;&gt;$B56,$B72&lt;&gt;$B57,$B73&lt;&gt;$B58),IF($B72&lt;&gt;$B57,H57/INDEX($C48:$AJ58,10,MATCH(IF('Data-solution'!$A$3="Maximize",MAX($C59:$AI59),MIN($C59:$AI59)),$C59:$AI59,0)),H57-INDEX($C48:$AJ58,10,MATCH(IF('Data-solution'!$A$3="Maximize",MAX($C59:$AI59),MIN($C59:$AI59)),$C59:$AI59,0))*INDEX(H48:$AJ58,MATCH(MIN($AK48:$AK58),$AK48:$AK58,0),1)/INDEX($C48:$AJ58,MATCH(MIN($AK48:$AK58),$AK48:$AK58,0),MATCH(IF('Data-solution'!$A$3="Maximize",MAX($C59:$AI59),MIN($C59:$AI59)),$C59:$AI59,0))),H57)</f>
        <v>0</v>
      </c>
      <c r="I72" s="1">
        <f>IF(OR($B63&lt;&gt;$B48,$B64&lt;&gt;$B49,$B65&lt;&gt;$B50,$B66&lt;&gt;$B51,$B67&lt;&gt;$B52,$B68&lt;&gt;$B53,$B69&lt;&gt;$B54,$B70&lt;&gt;$B55,$B71&lt;&gt;$B56,$B72&lt;&gt;$B57,$B73&lt;&gt;$B58),IF($B72&lt;&gt;$B57,I57/INDEX($C48:$AJ58,10,MATCH(IF('Data-solution'!$A$3="Maximize",MAX($C59:$AI59),MIN($C59:$AI59)),$C59:$AI59,0)),I57-INDEX($C48:$AJ58,10,MATCH(IF('Data-solution'!$A$3="Maximize",MAX($C59:$AI59),MIN($C59:$AI59)),$C59:$AI59,0))*INDEX(I48:$AJ58,MATCH(MIN($AK48:$AK58),$AK48:$AK58,0),1)/INDEX($C48:$AJ58,MATCH(MIN($AK48:$AK58),$AK48:$AK58,0),MATCH(IF('Data-solution'!$A$3="Maximize",MAX($C59:$AI59),MIN($C59:$AI59)),$C59:$AI59,0))),I57)</f>
        <v>0</v>
      </c>
      <c r="J72" s="1">
        <f>IF(OR($B63&lt;&gt;$B48,$B64&lt;&gt;$B49,$B65&lt;&gt;$B50,$B66&lt;&gt;$B51,$B67&lt;&gt;$B52,$B68&lt;&gt;$B53,$B69&lt;&gt;$B54,$B70&lt;&gt;$B55,$B71&lt;&gt;$B56,$B72&lt;&gt;$B57,$B73&lt;&gt;$B58),IF($B72&lt;&gt;$B57,J57/INDEX($C48:$AJ58,10,MATCH(IF('Data-solution'!$A$3="Maximize",MAX($C59:$AI59),MIN($C59:$AI59)),$C59:$AI59,0)),J57-INDEX($C48:$AJ58,10,MATCH(IF('Data-solution'!$A$3="Maximize",MAX($C59:$AI59),MIN($C59:$AI59)),$C59:$AI59,0))*INDEX(J48:$AJ58,MATCH(MIN($AK48:$AK58),$AK48:$AK58,0),1)/INDEX($C48:$AJ58,MATCH(MIN($AK48:$AK58),$AK48:$AK58,0),MATCH(IF('Data-solution'!$A$3="Maximize",MAX($C59:$AI59),MIN($C59:$AI59)),$C59:$AI59,0))),J57)</f>
        <v>0</v>
      </c>
      <c r="K72" s="1">
        <f>IF(OR($B63&lt;&gt;$B48,$B64&lt;&gt;$B49,$B65&lt;&gt;$B50,$B66&lt;&gt;$B51,$B67&lt;&gt;$B52,$B68&lt;&gt;$B53,$B69&lt;&gt;$B54,$B70&lt;&gt;$B55,$B71&lt;&gt;$B56,$B72&lt;&gt;$B57,$B73&lt;&gt;$B58),IF($B72&lt;&gt;$B57,K57/INDEX($C48:$AJ58,10,MATCH(IF('Data-solution'!$A$3="Maximize",MAX($C59:$AI59),MIN($C59:$AI59)),$C59:$AI59,0)),K57-INDEX($C48:$AJ58,10,MATCH(IF('Data-solution'!$A$3="Maximize",MAX($C59:$AI59),MIN($C59:$AI59)),$C59:$AI59,0))*INDEX(K48:$AJ58,MATCH(MIN($AK48:$AK58),$AK48:$AK58,0),1)/INDEX($C48:$AJ58,MATCH(MIN($AK48:$AK58),$AK48:$AK58,0),MATCH(IF('Data-solution'!$A$3="Maximize",MAX($C59:$AI59),MIN($C59:$AI59)),$C59:$AI59,0))),K57)</f>
        <v>0</v>
      </c>
      <c r="L72" s="1">
        <f>IF(OR($B63&lt;&gt;$B48,$B64&lt;&gt;$B49,$B65&lt;&gt;$B50,$B66&lt;&gt;$B51,$B67&lt;&gt;$B52,$B68&lt;&gt;$B53,$B69&lt;&gt;$B54,$B70&lt;&gt;$B55,$B71&lt;&gt;$B56,$B72&lt;&gt;$B57,$B73&lt;&gt;$B58),IF($B72&lt;&gt;$B57,L57/INDEX($C48:$AJ58,10,MATCH(IF('Data-solution'!$A$3="Maximize",MAX($C59:$AI59),MIN($C59:$AI59)),$C59:$AI59,0)),L57-INDEX($C48:$AJ58,10,MATCH(IF('Data-solution'!$A$3="Maximize",MAX($C59:$AI59),MIN($C59:$AI59)),$C59:$AI59,0))*INDEX(L48:$AJ58,MATCH(MIN($AK48:$AK58),$AK48:$AK58,0),1)/INDEX($C48:$AJ58,MATCH(MIN($AK48:$AK58),$AK48:$AK58,0),MATCH(IF('Data-solution'!$A$3="Maximize",MAX($C59:$AI59),MIN($C59:$AI59)),$C59:$AI59,0))),L57)</f>
        <v>0</v>
      </c>
      <c r="M72" s="1">
        <f>IF(OR($B63&lt;&gt;$B48,$B64&lt;&gt;$B49,$B65&lt;&gt;$B50,$B66&lt;&gt;$B51,$B67&lt;&gt;$B52,$B68&lt;&gt;$B53,$B69&lt;&gt;$B54,$B70&lt;&gt;$B55,$B71&lt;&gt;$B56,$B72&lt;&gt;$B57,$B73&lt;&gt;$B58),IF($B72&lt;&gt;$B57,M57/INDEX($C48:$AJ58,10,MATCH(IF('Data-solution'!$A$3="Maximize",MAX($C59:$AI59),MIN($C59:$AI59)),$C59:$AI59,0)),M57-INDEX($C48:$AJ58,10,MATCH(IF('Data-solution'!$A$3="Maximize",MAX($C59:$AI59),MIN($C59:$AI59)),$C59:$AI59,0))*INDEX(M48:$AJ58,MATCH(MIN($AK48:$AK58),$AK48:$AK58,0),1)/INDEX($C48:$AJ58,MATCH(MIN($AK48:$AK58),$AK48:$AK58,0),MATCH(IF('Data-solution'!$A$3="Maximize",MAX($C59:$AI59),MIN($C59:$AI59)),$C59:$AI59,0))),M57)</f>
        <v>0</v>
      </c>
      <c r="N72" s="1">
        <f>IF(OR($B63&lt;&gt;$B48,$B64&lt;&gt;$B49,$B65&lt;&gt;$B50,$B66&lt;&gt;$B51,$B67&lt;&gt;$B52,$B68&lt;&gt;$B53,$B69&lt;&gt;$B54,$B70&lt;&gt;$B55,$B71&lt;&gt;$B56,$B72&lt;&gt;$B57,$B73&lt;&gt;$B58),IF($B72&lt;&gt;$B57,N57/INDEX($C48:$AJ58,10,MATCH(IF('Data-solution'!$A$3="Maximize",MAX($C59:$AI59),MIN($C59:$AI59)),$C59:$AI59,0)),N57-INDEX($C48:$AJ58,10,MATCH(IF('Data-solution'!$A$3="Maximize",MAX($C59:$AI59),MIN($C59:$AI59)),$C59:$AI59,0))*INDEX(N48:$AJ58,MATCH(MIN($AK48:$AK58),$AK48:$AK58,0),1)/INDEX($C48:$AJ58,MATCH(MIN($AK48:$AK58),$AK48:$AK58,0),MATCH(IF('Data-solution'!$A$3="Maximize",MAX($C59:$AI59),MIN($C59:$AI59)),$C59:$AI59,0))),N57)</f>
        <v>0</v>
      </c>
      <c r="O72" s="1">
        <f>IF(OR($B63&lt;&gt;$B48,$B64&lt;&gt;$B49,$B65&lt;&gt;$B50,$B66&lt;&gt;$B51,$B67&lt;&gt;$B52,$B68&lt;&gt;$B53,$B69&lt;&gt;$B54,$B70&lt;&gt;$B55,$B71&lt;&gt;$B56,$B72&lt;&gt;$B57,$B73&lt;&gt;$B58),IF($B72&lt;&gt;$B57,O57/INDEX($C48:$AJ58,10,MATCH(IF('Data-solution'!$A$3="Maximize",MAX($C59:$AI59),MIN($C59:$AI59)),$C59:$AI59,0)),O57-INDEX($C48:$AJ58,10,MATCH(IF('Data-solution'!$A$3="Maximize",MAX($C59:$AI59),MIN($C59:$AI59)),$C59:$AI59,0))*INDEX(O48:$AJ58,MATCH(MIN($AK48:$AK58),$AK48:$AK58,0),1)/INDEX($C48:$AJ58,MATCH(MIN($AK48:$AK58),$AK48:$AK58,0),MATCH(IF('Data-solution'!$A$3="Maximize",MAX($C59:$AI59),MIN($C59:$AI59)),$C59:$AI59,0))),O57)</f>
        <v>0</v>
      </c>
      <c r="P72" s="1">
        <f>IF(OR($B63&lt;&gt;$B48,$B64&lt;&gt;$B49,$B65&lt;&gt;$B50,$B66&lt;&gt;$B51,$B67&lt;&gt;$B52,$B68&lt;&gt;$B53,$B69&lt;&gt;$B54,$B70&lt;&gt;$B55,$B71&lt;&gt;$B56,$B72&lt;&gt;$B57,$B73&lt;&gt;$B58),IF($B72&lt;&gt;$B57,P57/INDEX($C48:$AJ58,10,MATCH(IF('Data-solution'!$A$3="Maximize",MAX($C59:$AI59),MIN($C59:$AI59)),$C59:$AI59,0)),P57-INDEX($C48:$AJ58,10,MATCH(IF('Data-solution'!$A$3="Maximize",MAX($C59:$AI59),MIN($C59:$AI59)),$C59:$AI59,0))*INDEX(P48:$AJ58,MATCH(MIN($AK48:$AK58),$AK48:$AK58,0),1)/INDEX($C48:$AJ58,MATCH(MIN($AK48:$AK58),$AK48:$AK58,0),MATCH(IF('Data-solution'!$A$3="Maximize",MAX($C59:$AI59),MIN($C59:$AI59)),$C59:$AI59,0))),P57)</f>
        <v>0</v>
      </c>
      <c r="Q72" s="1">
        <f>IF(OR($B63&lt;&gt;$B48,$B64&lt;&gt;$B49,$B65&lt;&gt;$B50,$B66&lt;&gt;$B51,$B67&lt;&gt;$B52,$B68&lt;&gt;$B53,$B69&lt;&gt;$B54,$B70&lt;&gt;$B55,$B71&lt;&gt;$B56,$B72&lt;&gt;$B57,$B73&lt;&gt;$B58),IF($B72&lt;&gt;$B57,Q57/INDEX($C48:$AJ58,10,MATCH(IF('Data-solution'!$A$3="Maximize",MAX($C59:$AI59),MIN($C59:$AI59)),$C59:$AI59,0)),Q57-INDEX($C48:$AJ58,10,MATCH(IF('Data-solution'!$A$3="Maximize",MAX($C59:$AI59),MIN($C59:$AI59)),$C59:$AI59,0))*INDEX(Q48:$AJ58,MATCH(MIN($AK48:$AK58),$AK48:$AK58,0),1)/INDEX($C48:$AJ58,MATCH(MIN($AK48:$AK58),$AK48:$AK58,0),MATCH(IF('Data-solution'!$A$3="Maximize",MAX($C59:$AI59),MIN($C59:$AI59)),$C59:$AI59,0))),Q57)</f>
        <v>0</v>
      </c>
      <c r="R72" s="1">
        <f>IF(OR($B63&lt;&gt;$B48,$B64&lt;&gt;$B49,$B65&lt;&gt;$B50,$B66&lt;&gt;$B51,$B67&lt;&gt;$B52,$B68&lt;&gt;$B53,$B69&lt;&gt;$B54,$B70&lt;&gt;$B55,$B71&lt;&gt;$B56,$B72&lt;&gt;$B57,$B73&lt;&gt;$B58),IF($B72&lt;&gt;$B57,R57/INDEX($C48:$AJ58,10,MATCH(IF('Data-solution'!$A$3="Maximize",MAX($C59:$AI59),MIN($C59:$AI59)),$C59:$AI59,0)),R57-INDEX($C48:$AJ58,10,MATCH(IF('Data-solution'!$A$3="Maximize",MAX($C59:$AI59),MIN($C59:$AI59)),$C59:$AI59,0))*INDEX(R48:$AJ58,MATCH(MIN($AK48:$AK58),$AK48:$AK58,0),1)/INDEX($C48:$AJ58,MATCH(MIN($AK48:$AK58),$AK48:$AK58,0),MATCH(IF('Data-solution'!$A$3="Maximize",MAX($C59:$AI59),MIN($C59:$AI59)),$C59:$AI59,0))),R57)</f>
        <v>0</v>
      </c>
      <c r="S72" s="1">
        <f>IF(OR($B63&lt;&gt;$B48,$B64&lt;&gt;$B49,$B65&lt;&gt;$B50,$B66&lt;&gt;$B51,$B67&lt;&gt;$B52,$B68&lt;&gt;$B53,$B69&lt;&gt;$B54,$B70&lt;&gt;$B55,$B71&lt;&gt;$B56,$B72&lt;&gt;$B57,$B73&lt;&gt;$B58),IF($B72&lt;&gt;$B57,S57/INDEX($C48:$AJ58,10,MATCH(IF('Data-solution'!$A$3="Maximize",MAX($C59:$AI59),MIN($C59:$AI59)),$C59:$AI59,0)),S57-INDEX($C48:$AJ58,10,MATCH(IF('Data-solution'!$A$3="Maximize",MAX($C59:$AI59),MIN($C59:$AI59)),$C59:$AI59,0))*INDEX(S48:$AJ58,MATCH(MIN($AK48:$AK58),$AK48:$AK58,0),1)/INDEX($C48:$AJ58,MATCH(MIN($AK48:$AK58),$AK48:$AK58,0),MATCH(IF('Data-solution'!$A$3="Maximize",MAX($C59:$AI59),MIN($C59:$AI59)),$C59:$AI59,0))),S57)</f>
        <v>0</v>
      </c>
      <c r="T72" s="1">
        <f>IF(OR($B63&lt;&gt;$B48,$B64&lt;&gt;$B49,$B65&lt;&gt;$B50,$B66&lt;&gt;$B51,$B67&lt;&gt;$B52,$B68&lt;&gt;$B53,$B69&lt;&gt;$B54,$B70&lt;&gt;$B55,$B71&lt;&gt;$B56,$B72&lt;&gt;$B57,$B73&lt;&gt;$B58),IF($B72&lt;&gt;$B57,T57/INDEX($C48:$AJ58,10,MATCH(IF('Data-solution'!$A$3="Maximize",MAX($C59:$AI59),MIN($C59:$AI59)),$C59:$AI59,0)),T57-INDEX($C48:$AJ58,10,MATCH(IF('Data-solution'!$A$3="Maximize",MAX($C59:$AI59),MIN($C59:$AI59)),$C59:$AI59,0))*INDEX(T48:$AJ58,MATCH(MIN($AK48:$AK58),$AK48:$AK58,0),1)/INDEX($C48:$AJ58,MATCH(MIN($AK48:$AK58),$AK48:$AK58,0),MATCH(IF('Data-solution'!$A$3="Maximize",MAX($C59:$AI59),MIN($C59:$AI59)),$C59:$AI59,0))),T57)</f>
        <v>0</v>
      </c>
      <c r="U72" s="1">
        <f>IF(OR($B63&lt;&gt;$B48,$B64&lt;&gt;$B49,$B65&lt;&gt;$B50,$B66&lt;&gt;$B51,$B67&lt;&gt;$B52,$B68&lt;&gt;$B53,$B69&lt;&gt;$B54,$B70&lt;&gt;$B55,$B71&lt;&gt;$B56,$B72&lt;&gt;$B57,$B73&lt;&gt;$B58),IF($B72&lt;&gt;$B57,U57/INDEX($C48:$AJ58,10,MATCH(IF('Data-solution'!$A$3="Maximize",MAX($C59:$AI59),MIN($C59:$AI59)),$C59:$AI59,0)),U57-INDEX($C48:$AJ58,10,MATCH(IF('Data-solution'!$A$3="Maximize",MAX($C59:$AI59),MIN($C59:$AI59)),$C59:$AI59,0))*INDEX(U48:$AJ58,MATCH(MIN($AK48:$AK58),$AK48:$AK58,0),1)/INDEX($C48:$AJ58,MATCH(MIN($AK48:$AK58),$AK48:$AK58,0),MATCH(IF('Data-solution'!$A$3="Maximize",MAX($C59:$AI59),MIN($C59:$AI59)),$C59:$AI59,0))),U57)</f>
        <v>0</v>
      </c>
      <c r="V72" s="1">
        <f>IF(OR($B63&lt;&gt;$B48,$B64&lt;&gt;$B49,$B65&lt;&gt;$B50,$B66&lt;&gt;$B51,$B67&lt;&gt;$B52,$B68&lt;&gt;$B53,$B69&lt;&gt;$B54,$B70&lt;&gt;$B55,$B71&lt;&gt;$B56,$B72&lt;&gt;$B57,$B73&lt;&gt;$B58),IF($B72&lt;&gt;$B57,V57/INDEX($C48:$AJ58,10,MATCH(IF('Data-solution'!$A$3="Maximize",MAX($C59:$AI59),MIN($C59:$AI59)),$C59:$AI59,0)),V57-INDEX($C48:$AJ58,10,MATCH(IF('Data-solution'!$A$3="Maximize",MAX($C59:$AI59),MIN($C59:$AI59)),$C59:$AI59,0))*INDEX(V48:$AJ58,MATCH(MIN($AK48:$AK58),$AK48:$AK58,0),1)/INDEX($C48:$AJ58,MATCH(MIN($AK48:$AK58),$AK48:$AK58,0),MATCH(IF('Data-solution'!$A$3="Maximize",MAX($C59:$AI59),MIN($C59:$AI59)),$C59:$AI59,0))),V57)</f>
        <v>0</v>
      </c>
      <c r="W72" s="1">
        <f>IF(OR($B63&lt;&gt;$B48,$B64&lt;&gt;$B49,$B65&lt;&gt;$B50,$B66&lt;&gt;$B51,$B67&lt;&gt;$B52,$B68&lt;&gt;$B53,$B69&lt;&gt;$B54,$B70&lt;&gt;$B55,$B71&lt;&gt;$B56,$B72&lt;&gt;$B57,$B73&lt;&gt;$B58),IF($B72&lt;&gt;$B57,W57/INDEX($C48:$AJ58,10,MATCH(IF('Data-solution'!$A$3="Maximize",MAX($C59:$AI59),MIN($C59:$AI59)),$C59:$AI59,0)),W57-INDEX($C48:$AJ58,10,MATCH(IF('Data-solution'!$A$3="Maximize",MAX($C59:$AI59),MIN($C59:$AI59)),$C59:$AI59,0))*INDEX(W48:$AJ58,MATCH(MIN($AK48:$AK58),$AK48:$AK58,0),1)/INDEX($C48:$AJ58,MATCH(MIN($AK48:$AK58),$AK48:$AK58,0),MATCH(IF('Data-solution'!$A$3="Maximize",MAX($C59:$AI59),MIN($C59:$AI59)),$C59:$AI59,0))),W57)</f>
        <v>1</v>
      </c>
      <c r="X72" s="1">
        <f>IF(OR($B63&lt;&gt;$B48,$B64&lt;&gt;$B49,$B65&lt;&gt;$B50,$B66&lt;&gt;$B51,$B67&lt;&gt;$B52,$B68&lt;&gt;$B53,$B69&lt;&gt;$B54,$B70&lt;&gt;$B55,$B71&lt;&gt;$B56,$B72&lt;&gt;$B57,$B73&lt;&gt;$B58),IF($B72&lt;&gt;$B57,X57/INDEX($C48:$AJ58,10,MATCH(IF('Data-solution'!$A$3="Maximize",MAX($C59:$AI59),MIN($C59:$AI59)),$C59:$AI59,0)),X57-INDEX($C48:$AJ58,10,MATCH(IF('Data-solution'!$A$3="Maximize",MAX($C59:$AI59),MIN($C59:$AI59)),$C59:$AI59,0))*INDEX(X48:$AJ58,MATCH(MIN($AK48:$AK58),$AK48:$AK58,0),1)/INDEX($C48:$AJ58,MATCH(MIN($AK48:$AK58),$AK48:$AK58,0),MATCH(IF('Data-solution'!$A$3="Maximize",MAX($C59:$AI59),MIN($C59:$AI59)),$C59:$AI59,0))),X57)</f>
        <v>0</v>
      </c>
      <c r="Y72" s="1">
        <f>IF(OR($B63&lt;&gt;$B48,$B64&lt;&gt;$B49,$B65&lt;&gt;$B50,$B66&lt;&gt;$B51,$B67&lt;&gt;$B52,$B68&lt;&gt;$B53,$B69&lt;&gt;$B54,$B70&lt;&gt;$B55,$B71&lt;&gt;$B56,$B72&lt;&gt;$B57,$B73&lt;&gt;$B58),IF($B72&lt;&gt;$B57,Y57/INDEX($C48:$AJ58,10,MATCH(IF('Data-solution'!$A$3="Maximize",MAX($C59:$AI59),MIN($C59:$AI59)),$C59:$AI59,0)),Y57-INDEX($C48:$AJ58,10,MATCH(IF('Data-solution'!$A$3="Maximize",MAX($C59:$AI59),MIN($C59:$AI59)),$C59:$AI59,0))*INDEX(Y48:$AJ58,MATCH(MIN($AK48:$AK58),$AK48:$AK58,0),1)/INDEX($C48:$AJ58,MATCH(MIN($AK48:$AK58),$AK48:$AK58,0),MATCH(IF('Data-solution'!$A$3="Maximize",MAX($C59:$AI59),MIN($C59:$AI59)),$C59:$AI59,0))),Y57)</f>
        <v>0</v>
      </c>
      <c r="Z72" s="1">
        <f>IF(OR($B63&lt;&gt;$B48,$B64&lt;&gt;$B49,$B65&lt;&gt;$B50,$B66&lt;&gt;$B51,$B67&lt;&gt;$B52,$B68&lt;&gt;$B53,$B69&lt;&gt;$B54,$B70&lt;&gt;$B55,$B71&lt;&gt;$B56,$B72&lt;&gt;$B57,$B73&lt;&gt;$B58),IF($B72&lt;&gt;$B57,Z57/INDEX($C48:$AJ58,10,MATCH(IF('Data-solution'!$A$3="Maximize",MAX($C59:$AI59),MIN($C59:$AI59)),$C59:$AI59,0)),Z57-INDEX($C48:$AJ58,10,MATCH(IF('Data-solution'!$A$3="Maximize",MAX($C59:$AI59),MIN($C59:$AI59)),$C59:$AI59,0))*INDEX(Z48:$AJ58,MATCH(MIN($AK48:$AK58),$AK48:$AK58,0),1)/INDEX($C48:$AJ58,MATCH(MIN($AK48:$AK58),$AK48:$AK58,0),MATCH(IF('Data-solution'!$A$3="Maximize",MAX($C59:$AI59),MIN($C59:$AI59)),$C59:$AI59,0))),Z57)</f>
        <v>0</v>
      </c>
      <c r="AA72" s="1">
        <f>IF(OR($B63&lt;&gt;$B48,$B64&lt;&gt;$B49,$B65&lt;&gt;$B50,$B66&lt;&gt;$B51,$B67&lt;&gt;$B52,$B68&lt;&gt;$B53,$B69&lt;&gt;$B54,$B70&lt;&gt;$B55,$B71&lt;&gt;$B56,$B72&lt;&gt;$B57,$B73&lt;&gt;$B58),IF($B72&lt;&gt;$B57,AA57/INDEX($C48:$AJ58,10,MATCH(IF('Data-solution'!$A$3="Maximize",MAX($C59:$AI59),MIN($C59:$AI59)),$C59:$AI59,0)),AA57-INDEX($C48:$AJ58,10,MATCH(IF('Data-solution'!$A$3="Maximize",MAX($C59:$AI59),MIN($C59:$AI59)),$C59:$AI59,0))*INDEX(AA48:$AJ58,MATCH(MIN($AK48:$AK58),$AK48:$AK58,0),1)/INDEX($C48:$AJ58,MATCH(MIN($AK48:$AK58),$AK48:$AK58,0),MATCH(IF('Data-solution'!$A$3="Maximize",MAX($C59:$AI59),MIN($C59:$AI59)),$C59:$AI59,0))),AA57)</f>
        <v>0</v>
      </c>
      <c r="AB72" s="1">
        <f>IF(OR($B63&lt;&gt;$B48,$B64&lt;&gt;$B49,$B65&lt;&gt;$B50,$B66&lt;&gt;$B51,$B67&lt;&gt;$B52,$B68&lt;&gt;$B53,$B69&lt;&gt;$B54,$B70&lt;&gt;$B55,$B71&lt;&gt;$B56,$B72&lt;&gt;$B57,$B73&lt;&gt;$B58),IF($B72&lt;&gt;$B57,AB57/INDEX($C48:$AJ58,10,MATCH(IF('Data-solution'!$A$3="Maximize",MAX($C59:$AI59),MIN($C59:$AI59)),$C59:$AI59,0)),AB57-INDEX($C48:$AJ58,10,MATCH(IF('Data-solution'!$A$3="Maximize",MAX($C59:$AI59),MIN($C59:$AI59)),$C59:$AI59,0))*INDEX(AB48:$AJ58,MATCH(MIN($AK48:$AK58),$AK48:$AK58,0),1)/INDEX($C48:$AJ58,MATCH(MIN($AK48:$AK58),$AK48:$AK58,0),MATCH(IF('Data-solution'!$A$3="Maximize",MAX($C59:$AI59),MIN($C59:$AI59)),$C59:$AI59,0))),AB57)</f>
        <v>0</v>
      </c>
      <c r="AC72" s="1">
        <f>IF(OR($B63&lt;&gt;$B48,$B64&lt;&gt;$B49,$B65&lt;&gt;$B50,$B66&lt;&gt;$B51,$B67&lt;&gt;$B52,$B68&lt;&gt;$B53,$B69&lt;&gt;$B54,$B70&lt;&gt;$B55,$B71&lt;&gt;$B56,$B72&lt;&gt;$B57,$B73&lt;&gt;$B58),IF($B72&lt;&gt;$B57,AC57/INDEX($C48:$AJ58,10,MATCH(IF('Data-solution'!$A$3="Maximize",MAX($C59:$AI59),MIN($C59:$AI59)),$C59:$AI59,0)),AC57-INDEX($C48:$AJ58,10,MATCH(IF('Data-solution'!$A$3="Maximize",MAX($C59:$AI59),MIN($C59:$AI59)),$C59:$AI59,0))*INDEX(AC48:$AJ58,MATCH(MIN($AK48:$AK58),$AK48:$AK58,0),1)/INDEX($C48:$AJ58,MATCH(MIN($AK48:$AK58),$AK48:$AK58,0),MATCH(IF('Data-solution'!$A$3="Maximize",MAX($C59:$AI59),MIN($C59:$AI59)),$C59:$AI59,0))),AC57)</f>
        <v>0</v>
      </c>
      <c r="AD72" s="1">
        <f>IF(OR($B63&lt;&gt;$B48,$B64&lt;&gt;$B49,$B65&lt;&gt;$B50,$B66&lt;&gt;$B51,$B67&lt;&gt;$B52,$B68&lt;&gt;$B53,$B69&lt;&gt;$B54,$B70&lt;&gt;$B55,$B71&lt;&gt;$B56,$B72&lt;&gt;$B57,$B73&lt;&gt;$B58),IF($B72&lt;&gt;$B57,AD57/INDEX($C48:$AJ58,10,MATCH(IF('Data-solution'!$A$3="Maximize",MAX($C59:$AI59),MIN($C59:$AI59)),$C59:$AI59,0)),AD57-INDEX($C48:$AJ58,10,MATCH(IF('Data-solution'!$A$3="Maximize",MAX($C59:$AI59),MIN($C59:$AI59)),$C59:$AI59,0))*INDEX(AD48:$AJ58,MATCH(MIN($AK48:$AK58),$AK48:$AK58,0),1)/INDEX($C48:$AJ58,MATCH(MIN($AK48:$AK58),$AK48:$AK58,0),MATCH(IF('Data-solution'!$A$3="Maximize",MAX($C59:$AI59),MIN($C59:$AI59)),$C59:$AI59,0))),AD57)</f>
        <v>0</v>
      </c>
      <c r="AE72" s="1">
        <f>IF(OR($B63&lt;&gt;$B48,$B64&lt;&gt;$B49,$B65&lt;&gt;$B50,$B66&lt;&gt;$B51,$B67&lt;&gt;$B52,$B68&lt;&gt;$B53,$B69&lt;&gt;$B54,$B70&lt;&gt;$B55,$B71&lt;&gt;$B56,$B72&lt;&gt;$B57,$B73&lt;&gt;$B58),IF($B72&lt;&gt;$B57,AE57/INDEX($C48:$AJ58,10,MATCH(IF('Data-solution'!$A$3="Maximize",MAX($C59:$AI59),MIN($C59:$AI59)),$C59:$AI59,0)),AE57-INDEX($C48:$AJ58,10,MATCH(IF('Data-solution'!$A$3="Maximize",MAX($C59:$AI59),MIN($C59:$AI59)),$C59:$AI59,0))*INDEX(AE48:$AJ58,MATCH(MIN($AK48:$AK58),$AK48:$AK58,0),1)/INDEX($C48:$AJ58,MATCH(MIN($AK48:$AK58),$AK48:$AK58,0),MATCH(IF('Data-solution'!$A$3="Maximize",MAX($C59:$AI59),MIN($C59:$AI59)),$C59:$AI59,0))),AE57)</f>
        <v>0</v>
      </c>
      <c r="AF72" s="1">
        <f>IF(OR($B63&lt;&gt;$B48,$B64&lt;&gt;$B49,$B65&lt;&gt;$B50,$B66&lt;&gt;$B51,$B67&lt;&gt;$B52,$B68&lt;&gt;$B53,$B69&lt;&gt;$B54,$B70&lt;&gt;$B55,$B71&lt;&gt;$B56,$B72&lt;&gt;$B57,$B73&lt;&gt;$B58),IF($B72&lt;&gt;$B57,AF57/INDEX($C48:$AJ58,10,MATCH(IF('Data-solution'!$A$3="Maximize",MAX($C59:$AI59),MIN($C59:$AI59)),$C59:$AI59,0)),AF57-INDEX($C48:$AJ58,10,MATCH(IF('Data-solution'!$A$3="Maximize",MAX($C59:$AI59),MIN($C59:$AI59)),$C59:$AI59,0))*INDEX(AF48:$AJ58,MATCH(MIN($AK48:$AK58),$AK48:$AK58,0),1)/INDEX($C48:$AJ58,MATCH(MIN($AK48:$AK58),$AK48:$AK58,0),MATCH(IF('Data-solution'!$A$3="Maximize",MAX($C59:$AI59),MIN($C59:$AI59)),$C59:$AI59,0))),AF57)</f>
        <v>0</v>
      </c>
      <c r="AG72" s="1">
        <f>IF(OR($B63&lt;&gt;$B48,$B64&lt;&gt;$B49,$B65&lt;&gt;$B50,$B66&lt;&gt;$B51,$B67&lt;&gt;$B52,$B68&lt;&gt;$B53,$B69&lt;&gt;$B54,$B70&lt;&gt;$B55,$B71&lt;&gt;$B56,$B72&lt;&gt;$B57,$B73&lt;&gt;$B58),IF($B72&lt;&gt;$B57,AG57/INDEX($C48:$AJ58,10,MATCH(IF('Data-solution'!$A$3="Maximize",MAX($C59:$AI59),MIN($C59:$AI59)),$C59:$AI59,0)),AG57-INDEX($C48:$AJ58,10,MATCH(IF('Data-solution'!$A$3="Maximize",MAX($C59:$AI59),MIN($C59:$AI59)),$C59:$AI59,0))*INDEX(AG48:$AJ58,MATCH(MIN($AK48:$AK58),$AK48:$AK58,0),1)/INDEX($C48:$AJ58,MATCH(MIN($AK48:$AK58),$AK48:$AK58,0),MATCH(IF('Data-solution'!$A$3="Maximize",MAX($C59:$AI59),MIN($C59:$AI59)),$C59:$AI59,0))),AG57)</f>
        <v>0</v>
      </c>
      <c r="AH72" s="1">
        <f>IF(OR($B63&lt;&gt;$B48,$B64&lt;&gt;$B49,$B65&lt;&gt;$B50,$B66&lt;&gt;$B51,$B67&lt;&gt;$B52,$B68&lt;&gt;$B53,$B69&lt;&gt;$B54,$B70&lt;&gt;$B55,$B71&lt;&gt;$B56,$B72&lt;&gt;$B57,$B73&lt;&gt;$B58),IF($B72&lt;&gt;$B57,AH57/INDEX($C48:$AJ58,10,MATCH(IF('Data-solution'!$A$3="Maximize",MAX($C59:$AI59),MIN($C59:$AI59)),$C59:$AI59,0)),AH57-INDEX($C48:$AJ58,10,MATCH(IF('Data-solution'!$A$3="Maximize",MAX($C59:$AI59),MIN($C59:$AI59)),$C59:$AI59,0))*INDEX(AH48:$AJ58,MATCH(MIN($AK48:$AK58),$AK48:$AK58,0),1)/INDEX($C48:$AJ58,MATCH(MIN($AK48:$AK58),$AK48:$AK58,0),MATCH(IF('Data-solution'!$A$3="Maximize",MAX($C59:$AI59),MIN($C59:$AI59)),$C59:$AI59,0))),AH57)</f>
        <v>1</v>
      </c>
      <c r="AI72" s="1">
        <f>IF(OR($B63&lt;&gt;$B48,$B64&lt;&gt;$B49,$B65&lt;&gt;$B50,$B66&lt;&gt;$B51,$B67&lt;&gt;$B52,$B68&lt;&gt;$B53,$B69&lt;&gt;$B54,$B70&lt;&gt;$B55,$B71&lt;&gt;$B56,$B72&lt;&gt;$B57,$B73&lt;&gt;$B58),IF($B72&lt;&gt;$B57,AI57/INDEX($C48:$AJ58,10,MATCH(IF('Data-solution'!$A$3="Maximize",MAX($C59:$AI59),MIN($C59:$AI59)),$C59:$AI59,0)),AI57-INDEX($C48:$AJ58,10,MATCH(IF('Data-solution'!$A$3="Maximize",MAX($C59:$AI59),MIN($C59:$AI59)),$C59:$AI59,0))*INDEX(AI48:$AJ58,MATCH(MIN($AK48:$AK58),$AK48:$AK58,0),1)/INDEX($C48:$AJ58,MATCH(MIN($AK48:$AK58),$AK48:$AK58,0),MATCH(IF('Data-solution'!$A$3="Maximize",MAX($C59:$AI59),MIN($C59:$AI59)),$C59:$AI59,0))),AI57)</f>
        <v>0</v>
      </c>
      <c r="AJ72" s="1">
        <f>IF(OR($B63&lt;&gt;$B48,$B64&lt;&gt;$B49,$B65&lt;&gt;$B50,$B66&lt;&gt;$B51,$B67&lt;&gt;$B52,$B68&lt;&gt;$B53,$B69&lt;&gt;$B54,$B70&lt;&gt;$B55,$B71&lt;&gt;$B56,$B72&lt;&gt;$B57,$B73&lt;&gt;$B58),IF($B72&lt;&gt;$B57,AJ57/INDEX($C48:$AJ58,10,MATCH(IF('Data-solution'!$A$3="Maximize",MAX($C59:$AI59),MIN($C59:$AI59)),$C59:$AI59,0)),AJ57-INDEX($C48:$AJ58,10,MATCH(IF('Data-solution'!$A$3="Maximize",MAX($C59:$AI59),MIN($C59:$AI59)),$C59:$AI59,0))*INDEX(AJ48:$AJ58,MATCH(MIN($AK48:$AK58),$AK48:$AK58,0),1)/INDEX($C48:$AJ58,MATCH(MIN($AK48:$AK58),$AK48:$AK58,0),MATCH(IF('Data-solution'!$A$3="Maximize",MAX($C59:$AI59),MIN($C59:$AI59)),$C59:$AI59,0))),AJ57)</f>
        <v>0</v>
      </c>
      <c r="AK72" s="1" t="str">
        <f>IF(INDEX(C72:X72,1,MATCH(IF('Data-solution'!A$3="Maximize",MAX(C74:X74),MIN(C74:X74)),C74:X74,0))&gt;0,AJ72/INDEX(C72:X72,1,MATCH(IF('Data-solution'!A$3="Maximize",MAX(C74:X74),MIN(C74:X74)),C74:X74,0))," ")</f>
        <v xml:space="preserve"> </v>
      </c>
    </row>
    <row r="73" spans="1:37" ht="18" customHeight="1" x14ac:dyDescent="0.2">
      <c r="A73" s="1">
        <f t="shared" ref="A73" si="46">INDEX(C61:AI61,1,MATCH(B73,C62:AI62,0))</f>
        <v>0</v>
      </c>
      <c r="B73" s="2" t="str">
        <f>IF(AND('Data-solution'!A$3="Maximize",COUNTIF(C59:X59,"&gt;"&amp;0)&gt;0,AK58=MIN(AK48:AK58),COUNTIF(B63:B72,INDEX(C47:X47,1,MATCH(MAX(C59:X59),C59:X59,0)))=0),INDEX(C47:X47,1,MATCH(MAX(C59:X59),C59:X59,0)),IF(AND('Data-solution'!A$3="Minimize",COUNTIF(C59:X59,"&lt;"&amp;0)&gt;0,AK58=MIN(AK48:AK58),COUNTIF(B63:B72,INDEX(C47:X47,1,MATCH(MIN(C59:X59),C59:X59,0)))=0),INDEX(C47:X47,1,MATCH(MIN(C59:X59),C59:X59,0)),B58))</f>
        <v>S11</v>
      </c>
      <c r="C73" s="1">
        <f>IF(OR($B63&lt;&gt;$B48,$B64&lt;&gt;$B49,$B65&lt;&gt;$B50,$B66&lt;&gt;$B51,$B67&lt;&gt;$B52,$B68&lt;&gt;$B53,$B69&lt;&gt;$B54,$B70&lt;&gt;$B55,$B71&lt;&gt;$B56,$B72&lt;&gt;$B57,$B73&lt;&gt;$B58),IF($B73&lt;&gt;$B58,C58/INDEX($C48:$AJ58,11,MATCH(IF('Data-solution'!$A$3="Maximize",MAX($C59:$AI59),MIN($C59:$AI59)),$C59:$AI59,0)),C58-INDEX($C48:$AJ58,11,MATCH(IF('Data-solution'!$A$3="Maximize",MAX($C59:$AI59),MIN($C59:$AI59)),$C59:$AI59,0))*INDEX(C48:$AJ58,MATCH(MIN($AK48:$AK58),$AK48:$AK58,0),1)/INDEX($C48:$AJ58,MATCH(MIN($AK48:$AK58),$AK48:$AK58,0),MATCH(IF('Data-solution'!$A$3="Maximize",MAX($C59:$AI59),MIN($C59:$AI59)),$C59:$AI59,0))),C58)</f>
        <v>0</v>
      </c>
      <c r="D73" s="1">
        <f>IF(OR($B63&lt;&gt;$B48,$B64&lt;&gt;$B49,$B65&lt;&gt;$B50,$B66&lt;&gt;$B51,$B67&lt;&gt;$B52,$B68&lt;&gt;$B53,$B69&lt;&gt;$B54,$B70&lt;&gt;$B55,$B71&lt;&gt;$B56,$B72&lt;&gt;$B57,$B73&lt;&gt;$B58),IF($B73&lt;&gt;$B58,D58/INDEX($C48:$AJ58,11,MATCH(IF('Data-solution'!$A$3="Maximize",MAX($C59:$AI59),MIN($C59:$AI59)),$C59:$AI59,0)),D58-INDEX($C48:$AJ58,11,MATCH(IF('Data-solution'!$A$3="Maximize",MAX($C59:$AI59),MIN($C59:$AI59)),$C59:$AI59,0))*INDEX(D48:$AJ58,MATCH(MIN($AK48:$AK58),$AK48:$AK58,0),1)/INDEX($C48:$AJ58,MATCH(MIN($AK48:$AK58),$AK48:$AK58,0),MATCH(IF('Data-solution'!$A$3="Maximize",MAX($C59:$AI59),MIN($C59:$AI59)),$C59:$AI59,0))),D58)</f>
        <v>0</v>
      </c>
      <c r="E73" s="1">
        <f>IF(OR($B63&lt;&gt;$B48,$B64&lt;&gt;$B49,$B65&lt;&gt;$B50,$B66&lt;&gt;$B51,$B67&lt;&gt;$B52,$B68&lt;&gt;$B53,$B69&lt;&gt;$B54,$B70&lt;&gt;$B55,$B71&lt;&gt;$B56,$B72&lt;&gt;$B57,$B73&lt;&gt;$B58),IF($B73&lt;&gt;$B58,E58/INDEX($C48:$AJ58,11,MATCH(IF('Data-solution'!$A$3="Maximize",MAX($C59:$AI59),MIN($C59:$AI59)),$C59:$AI59,0)),E58-INDEX($C48:$AJ58,11,MATCH(IF('Data-solution'!$A$3="Maximize",MAX($C59:$AI59),MIN($C59:$AI59)),$C59:$AI59,0))*INDEX(E48:$AJ58,MATCH(MIN($AK48:$AK58),$AK48:$AK58,0),1)/INDEX($C48:$AJ58,MATCH(MIN($AK48:$AK58),$AK48:$AK58,0),MATCH(IF('Data-solution'!$A$3="Maximize",MAX($C59:$AI59),MIN($C59:$AI59)),$C59:$AI59,0))),E58)</f>
        <v>0</v>
      </c>
      <c r="F73" s="1">
        <f>IF(OR($B63&lt;&gt;$B48,$B64&lt;&gt;$B49,$B65&lt;&gt;$B50,$B66&lt;&gt;$B51,$B67&lt;&gt;$B52,$B68&lt;&gt;$B53,$B69&lt;&gt;$B54,$B70&lt;&gt;$B55,$B71&lt;&gt;$B56,$B72&lt;&gt;$B57,$B73&lt;&gt;$B58),IF($B73&lt;&gt;$B58,F58/INDEX($C48:$AJ58,11,MATCH(IF('Data-solution'!$A$3="Maximize",MAX($C59:$AI59),MIN($C59:$AI59)),$C59:$AI59,0)),F58-INDEX($C48:$AJ58,11,MATCH(IF('Data-solution'!$A$3="Maximize",MAX($C59:$AI59),MIN($C59:$AI59)),$C59:$AI59,0))*INDEX(F48:$AJ58,MATCH(MIN($AK48:$AK58),$AK48:$AK58,0),1)/INDEX($C48:$AJ58,MATCH(MIN($AK48:$AK58),$AK48:$AK58,0),MATCH(IF('Data-solution'!$A$3="Maximize",MAX($C59:$AI59),MIN($C59:$AI59)),$C59:$AI59,0))),F58)</f>
        <v>0</v>
      </c>
      <c r="G73" s="1">
        <f>IF(OR($B63&lt;&gt;$B48,$B64&lt;&gt;$B49,$B65&lt;&gt;$B50,$B66&lt;&gt;$B51,$B67&lt;&gt;$B52,$B68&lt;&gt;$B53,$B69&lt;&gt;$B54,$B70&lt;&gt;$B55,$B71&lt;&gt;$B56,$B72&lt;&gt;$B57,$B73&lt;&gt;$B58),IF($B73&lt;&gt;$B58,G58/INDEX($C48:$AJ58,11,MATCH(IF('Data-solution'!$A$3="Maximize",MAX($C59:$AI59),MIN($C59:$AI59)),$C59:$AI59,0)),G58-INDEX($C48:$AJ58,11,MATCH(IF('Data-solution'!$A$3="Maximize",MAX($C59:$AI59),MIN($C59:$AI59)),$C59:$AI59,0))*INDEX(G48:$AJ58,MATCH(MIN($AK48:$AK58),$AK48:$AK58,0),1)/INDEX($C48:$AJ58,MATCH(MIN($AK48:$AK58),$AK48:$AK58,0),MATCH(IF('Data-solution'!$A$3="Maximize",MAX($C59:$AI59),MIN($C59:$AI59)),$C59:$AI59,0))),G58)</f>
        <v>0</v>
      </c>
      <c r="H73" s="1">
        <f>IF(OR($B63&lt;&gt;$B48,$B64&lt;&gt;$B49,$B65&lt;&gt;$B50,$B66&lt;&gt;$B51,$B67&lt;&gt;$B52,$B68&lt;&gt;$B53,$B69&lt;&gt;$B54,$B70&lt;&gt;$B55,$B71&lt;&gt;$B56,$B72&lt;&gt;$B57,$B73&lt;&gt;$B58),IF($B73&lt;&gt;$B58,H58/INDEX($C48:$AJ58,11,MATCH(IF('Data-solution'!$A$3="Maximize",MAX($C59:$AI59),MIN($C59:$AI59)),$C59:$AI59,0)),H58-INDEX($C48:$AJ58,11,MATCH(IF('Data-solution'!$A$3="Maximize",MAX($C59:$AI59),MIN($C59:$AI59)),$C59:$AI59,0))*INDEX(H48:$AJ58,MATCH(MIN($AK48:$AK58),$AK48:$AK58,0),1)/INDEX($C48:$AJ58,MATCH(MIN($AK48:$AK58),$AK48:$AK58,0),MATCH(IF('Data-solution'!$A$3="Maximize",MAX($C59:$AI59),MIN($C59:$AI59)),$C59:$AI59,0))),H58)</f>
        <v>0</v>
      </c>
      <c r="I73" s="1">
        <f>IF(OR($B63&lt;&gt;$B48,$B64&lt;&gt;$B49,$B65&lt;&gt;$B50,$B66&lt;&gt;$B51,$B67&lt;&gt;$B52,$B68&lt;&gt;$B53,$B69&lt;&gt;$B54,$B70&lt;&gt;$B55,$B71&lt;&gt;$B56,$B72&lt;&gt;$B57,$B73&lt;&gt;$B58),IF($B73&lt;&gt;$B58,I58/INDEX($C48:$AJ58,11,MATCH(IF('Data-solution'!$A$3="Maximize",MAX($C59:$AI59),MIN($C59:$AI59)),$C59:$AI59,0)),I58-INDEX($C48:$AJ58,11,MATCH(IF('Data-solution'!$A$3="Maximize",MAX($C59:$AI59),MIN($C59:$AI59)),$C59:$AI59,0))*INDEX(I48:$AJ58,MATCH(MIN($AK48:$AK58),$AK48:$AK58,0),1)/INDEX($C48:$AJ58,MATCH(MIN($AK48:$AK58),$AK48:$AK58,0),MATCH(IF('Data-solution'!$A$3="Maximize",MAX($C59:$AI59),MIN($C59:$AI59)),$C59:$AI59,0))),I58)</f>
        <v>0</v>
      </c>
      <c r="J73" s="1">
        <f>IF(OR($B63&lt;&gt;$B48,$B64&lt;&gt;$B49,$B65&lt;&gt;$B50,$B66&lt;&gt;$B51,$B67&lt;&gt;$B52,$B68&lt;&gt;$B53,$B69&lt;&gt;$B54,$B70&lt;&gt;$B55,$B71&lt;&gt;$B56,$B72&lt;&gt;$B57,$B73&lt;&gt;$B58),IF($B73&lt;&gt;$B58,J58/INDEX($C48:$AJ58,11,MATCH(IF('Data-solution'!$A$3="Maximize",MAX($C59:$AI59),MIN($C59:$AI59)),$C59:$AI59,0)),J58-INDEX($C48:$AJ58,11,MATCH(IF('Data-solution'!$A$3="Maximize",MAX($C59:$AI59),MIN($C59:$AI59)),$C59:$AI59,0))*INDEX(J48:$AJ58,MATCH(MIN($AK48:$AK58),$AK48:$AK58,0),1)/INDEX($C48:$AJ58,MATCH(MIN($AK48:$AK58),$AK48:$AK58,0),MATCH(IF('Data-solution'!$A$3="Maximize",MAX($C59:$AI59),MIN($C59:$AI59)),$C59:$AI59,0))),J58)</f>
        <v>0</v>
      </c>
      <c r="K73" s="1">
        <f>IF(OR($B63&lt;&gt;$B48,$B64&lt;&gt;$B49,$B65&lt;&gt;$B50,$B66&lt;&gt;$B51,$B67&lt;&gt;$B52,$B68&lt;&gt;$B53,$B69&lt;&gt;$B54,$B70&lt;&gt;$B55,$B71&lt;&gt;$B56,$B72&lt;&gt;$B57,$B73&lt;&gt;$B58),IF($B73&lt;&gt;$B58,K58/INDEX($C48:$AJ58,11,MATCH(IF('Data-solution'!$A$3="Maximize",MAX($C59:$AI59),MIN($C59:$AI59)),$C59:$AI59,0)),K58-INDEX($C48:$AJ58,11,MATCH(IF('Data-solution'!$A$3="Maximize",MAX($C59:$AI59),MIN($C59:$AI59)),$C59:$AI59,0))*INDEX(K48:$AJ58,MATCH(MIN($AK48:$AK58),$AK48:$AK58,0),1)/INDEX($C48:$AJ58,MATCH(MIN($AK48:$AK58),$AK48:$AK58,0),MATCH(IF('Data-solution'!$A$3="Maximize",MAX($C59:$AI59),MIN($C59:$AI59)),$C59:$AI59,0))),K58)</f>
        <v>0</v>
      </c>
      <c r="L73" s="1">
        <f>IF(OR($B63&lt;&gt;$B48,$B64&lt;&gt;$B49,$B65&lt;&gt;$B50,$B66&lt;&gt;$B51,$B67&lt;&gt;$B52,$B68&lt;&gt;$B53,$B69&lt;&gt;$B54,$B70&lt;&gt;$B55,$B71&lt;&gt;$B56,$B72&lt;&gt;$B57,$B73&lt;&gt;$B58),IF($B73&lt;&gt;$B58,L58/INDEX($C48:$AJ58,11,MATCH(IF('Data-solution'!$A$3="Maximize",MAX($C59:$AI59),MIN($C59:$AI59)),$C59:$AI59,0)),L58-INDEX($C48:$AJ58,11,MATCH(IF('Data-solution'!$A$3="Maximize",MAX($C59:$AI59),MIN($C59:$AI59)),$C59:$AI59,0))*INDEX(L48:$AJ58,MATCH(MIN($AK48:$AK58),$AK48:$AK58,0),1)/INDEX($C48:$AJ58,MATCH(MIN($AK48:$AK58),$AK48:$AK58,0),MATCH(IF('Data-solution'!$A$3="Maximize",MAX($C59:$AI59),MIN($C59:$AI59)),$C59:$AI59,0))),L58)</f>
        <v>0</v>
      </c>
      <c r="M73" s="1">
        <f>IF(OR($B63&lt;&gt;$B48,$B64&lt;&gt;$B49,$B65&lt;&gt;$B50,$B66&lt;&gt;$B51,$B67&lt;&gt;$B52,$B68&lt;&gt;$B53,$B69&lt;&gt;$B54,$B70&lt;&gt;$B55,$B71&lt;&gt;$B56,$B72&lt;&gt;$B57,$B73&lt;&gt;$B58),IF($B73&lt;&gt;$B58,M58/INDEX($C48:$AJ58,11,MATCH(IF('Data-solution'!$A$3="Maximize",MAX($C59:$AI59),MIN($C59:$AI59)),$C59:$AI59,0)),M58-INDEX($C48:$AJ58,11,MATCH(IF('Data-solution'!$A$3="Maximize",MAX($C59:$AI59),MIN($C59:$AI59)),$C59:$AI59,0))*INDEX(M48:$AJ58,MATCH(MIN($AK48:$AK58),$AK48:$AK58,0),1)/INDEX($C48:$AJ58,MATCH(MIN($AK48:$AK58),$AK48:$AK58,0),MATCH(IF('Data-solution'!$A$3="Maximize",MAX($C59:$AI59),MIN($C59:$AI59)),$C59:$AI59,0))),M58)</f>
        <v>0</v>
      </c>
      <c r="N73" s="1">
        <f>IF(OR($B63&lt;&gt;$B48,$B64&lt;&gt;$B49,$B65&lt;&gt;$B50,$B66&lt;&gt;$B51,$B67&lt;&gt;$B52,$B68&lt;&gt;$B53,$B69&lt;&gt;$B54,$B70&lt;&gt;$B55,$B71&lt;&gt;$B56,$B72&lt;&gt;$B57,$B73&lt;&gt;$B58),IF($B73&lt;&gt;$B58,N58/INDEX($C48:$AJ58,11,MATCH(IF('Data-solution'!$A$3="Maximize",MAX($C59:$AI59),MIN($C59:$AI59)),$C59:$AI59,0)),N58-INDEX($C48:$AJ58,11,MATCH(IF('Data-solution'!$A$3="Maximize",MAX($C59:$AI59),MIN($C59:$AI59)),$C59:$AI59,0))*INDEX(N48:$AJ58,MATCH(MIN($AK48:$AK58),$AK48:$AK58,0),1)/INDEX($C48:$AJ58,MATCH(MIN($AK48:$AK58),$AK48:$AK58,0),MATCH(IF('Data-solution'!$A$3="Maximize",MAX($C59:$AI59),MIN($C59:$AI59)),$C59:$AI59,0))),N58)</f>
        <v>0</v>
      </c>
      <c r="O73" s="1">
        <f>IF(OR($B63&lt;&gt;$B48,$B64&lt;&gt;$B49,$B65&lt;&gt;$B50,$B66&lt;&gt;$B51,$B67&lt;&gt;$B52,$B68&lt;&gt;$B53,$B69&lt;&gt;$B54,$B70&lt;&gt;$B55,$B71&lt;&gt;$B56,$B72&lt;&gt;$B57,$B73&lt;&gt;$B58),IF($B73&lt;&gt;$B58,O58/INDEX($C48:$AJ58,11,MATCH(IF('Data-solution'!$A$3="Maximize",MAX($C59:$AI59),MIN($C59:$AI59)),$C59:$AI59,0)),O58-INDEX($C48:$AJ58,11,MATCH(IF('Data-solution'!$A$3="Maximize",MAX($C59:$AI59),MIN($C59:$AI59)),$C59:$AI59,0))*INDEX(O48:$AJ58,MATCH(MIN($AK48:$AK58),$AK48:$AK58,0),1)/INDEX($C48:$AJ58,MATCH(MIN($AK48:$AK58),$AK48:$AK58,0),MATCH(IF('Data-solution'!$A$3="Maximize",MAX($C59:$AI59),MIN($C59:$AI59)),$C59:$AI59,0))),O58)</f>
        <v>0</v>
      </c>
      <c r="P73" s="1">
        <f>IF(OR($B63&lt;&gt;$B48,$B64&lt;&gt;$B49,$B65&lt;&gt;$B50,$B66&lt;&gt;$B51,$B67&lt;&gt;$B52,$B68&lt;&gt;$B53,$B69&lt;&gt;$B54,$B70&lt;&gt;$B55,$B71&lt;&gt;$B56,$B72&lt;&gt;$B57,$B73&lt;&gt;$B58),IF($B73&lt;&gt;$B58,P58/INDEX($C48:$AJ58,11,MATCH(IF('Data-solution'!$A$3="Maximize",MAX($C59:$AI59),MIN($C59:$AI59)),$C59:$AI59,0)),P58-INDEX($C48:$AJ58,11,MATCH(IF('Data-solution'!$A$3="Maximize",MAX($C59:$AI59),MIN($C59:$AI59)),$C59:$AI59,0))*INDEX(P48:$AJ58,MATCH(MIN($AK48:$AK58),$AK48:$AK58,0),1)/INDEX($C48:$AJ58,MATCH(MIN($AK48:$AK58),$AK48:$AK58,0),MATCH(IF('Data-solution'!$A$3="Maximize",MAX($C59:$AI59),MIN($C59:$AI59)),$C59:$AI59,0))),P58)</f>
        <v>0</v>
      </c>
      <c r="Q73" s="1">
        <f>IF(OR($B63&lt;&gt;$B48,$B64&lt;&gt;$B49,$B65&lt;&gt;$B50,$B66&lt;&gt;$B51,$B67&lt;&gt;$B52,$B68&lt;&gt;$B53,$B69&lt;&gt;$B54,$B70&lt;&gt;$B55,$B71&lt;&gt;$B56,$B72&lt;&gt;$B57,$B73&lt;&gt;$B58),IF($B73&lt;&gt;$B58,Q58/INDEX($C48:$AJ58,11,MATCH(IF('Data-solution'!$A$3="Maximize",MAX($C59:$AI59),MIN($C59:$AI59)),$C59:$AI59,0)),Q58-INDEX($C48:$AJ58,11,MATCH(IF('Data-solution'!$A$3="Maximize",MAX($C59:$AI59),MIN($C59:$AI59)),$C59:$AI59,0))*INDEX(Q48:$AJ58,MATCH(MIN($AK48:$AK58),$AK48:$AK58,0),1)/INDEX($C48:$AJ58,MATCH(MIN($AK48:$AK58),$AK48:$AK58,0),MATCH(IF('Data-solution'!$A$3="Maximize",MAX($C59:$AI59),MIN($C59:$AI59)),$C59:$AI59,0))),Q58)</f>
        <v>0</v>
      </c>
      <c r="R73" s="1">
        <f>IF(OR($B63&lt;&gt;$B48,$B64&lt;&gt;$B49,$B65&lt;&gt;$B50,$B66&lt;&gt;$B51,$B67&lt;&gt;$B52,$B68&lt;&gt;$B53,$B69&lt;&gt;$B54,$B70&lt;&gt;$B55,$B71&lt;&gt;$B56,$B72&lt;&gt;$B57,$B73&lt;&gt;$B58),IF($B73&lt;&gt;$B58,R58/INDEX($C48:$AJ58,11,MATCH(IF('Data-solution'!$A$3="Maximize",MAX($C59:$AI59),MIN($C59:$AI59)),$C59:$AI59,0)),R58-INDEX($C48:$AJ58,11,MATCH(IF('Data-solution'!$A$3="Maximize",MAX($C59:$AI59),MIN($C59:$AI59)),$C59:$AI59,0))*INDEX(R48:$AJ58,MATCH(MIN($AK48:$AK58),$AK48:$AK58,0),1)/INDEX($C48:$AJ58,MATCH(MIN($AK48:$AK58),$AK48:$AK58,0),MATCH(IF('Data-solution'!$A$3="Maximize",MAX($C59:$AI59),MIN($C59:$AI59)),$C59:$AI59,0))),R58)</f>
        <v>0</v>
      </c>
      <c r="S73" s="1">
        <f>IF(OR($B63&lt;&gt;$B48,$B64&lt;&gt;$B49,$B65&lt;&gt;$B50,$B66&lt;&gt;$B51,$B67&lt;&gt;$B52,$B68&lt;&gt;$B53,$B69&lt;&gt;$B54,$B70&lt;&gt;$B55,$B71&lt;&gt;$B56,$B72&lt;&gt;$B57,$B73&lt;&gt;$B58),IF($B73&lt;&gt;$B58,S58/INDEX($C48:$AJ58,11,MATCH(IF('Data-solution'!$A$3="Maximize",MAX($C59:$AI59),MIN($C59:$AI59)),$C59:$AI59,0)),S58-INDEX($C48:$AJ58,11,MATCH(IF('Data-solution'!$A$3="Maximize",MAX($C59:$AI59),MIN($C59:$AI59)),$C59:$AI59,0))*INDEX(S48:$AJ58,MATCH(MIN($AK48:$AK58),$AK48:$AK58,0),1)/INDEX($C48:$AJ58,MATCH(MIN($AK48:$AK58),$AK48:$AK58,0),MATCH(IF('Data-solution'!$A$3="Maximize",MAX($C59:$AI59),MIN($C59:$AI59)),$C59:$AI59,0))),S58)</f>
        <v>0</v>
      </c>
      <c r="T73" s="1">
        <f>IF(OR($B63&lt;&gt;$B48,$B64&lt;&gt;$B49,$B65&lt;&gt;$B50,$B66&lt;&gt;$B51,$B67&lt;&gt;$B52,$B68&lt;&gt;$B53,$B69&lt;&gt;$B54,$B70&lt;&gt;$B55,$B71&lt;&gt;$B56,$B72&lt;&gt;$B57,$B73&lt;&gt;$B58),IF($B73&lt;&gt;$B58,T58/INDEX($C48:$AJ58,11,MATCH(IF('Data-solution'!$A$3="Maximize",MAX($C59:$AI59),MIN($C59:$AI59)),$C59:$AI59,0)),T58-INDEX($C48:$AJ58,11,MATCH(IF('Data-solution'!$A$3="Maximize",MAX($C59:$AI59),MIN($C59:$AI59)),$C59:$AI59,0))*INDEX(T48:$AJ58,MATCH(MIN($AK48:$AK58),$AK48:$AK58,0),1)/INDEX($C48:$AJ58,MATCH(MIN($AK48:$AK58),$AK48:$AK58,0),MATCH(IF('Data-solution'!$A$3="Maximize",MAX($C59:$AI59),MIN($C59:$AI59)),$C59:$AI59,0))),T58)</f>
        <v>0</v>
      </c>
      <c r="U73" s="1">
        <f>IF(OR($B63&lt;&gt;$B48,$B64&lt;&gt;$B49,$B65&lt;&gt;$B50,$B66&lt;&gt;$B51,$B67&lt;&gt;$B52,$B68&lt;&gt;$B53,$B69&lt;&gt;$B54,$B70&lt;&gt;$B55,$B71&lt;&gt;$B56,$B72&lt;&gt;$B57,$B73&lt;&gt;$B58),IF($B73&lt;&gt;$B58,U58/INDEX($C48:$AJ58,11,MATCH(IF('Data-solution'!$A$3="Maximize",MAX($C59:$AI59),MIN($C59:$AI59)),$C59:$AI59,0)),U58-INDEX($C48:$AJ58,11,MATCH(IF('Data-solution'!$A$3="Maximize",MAX($C59:$AI59),MIN($C59:$AI59)),$C59:$AI59,0))*INDEX(U48:$AJ58,MATCH(MIN($AK48:$AK58),$AK48:$AK58,0),1)/INDEX($C48:$AJ58,MATCH(MIN($AK48:$AK58),$AK48:$AK58,0),MATCH(IF('Data-solution'!$A$3="Maximize",MAX($C59:$AI59),MIN($C59:$AI59)),$C59:$AI59,0))),U58)</f>
        <v>0</v>
      </c>
      <c r="V73" s="1">
        <f>IF(OR($B63&lt;&gt;$B48,$B64&lt;&gt;$B49,$B65&lt;&gt;$B50,$B66&lt;&gt;$B51,$B67&lt;&gt;$B52,$B68&lt;&gt;$B53,$B69&lt;&gt;$B54,$B70&lt;&gt;$B55,$B71&lt;&gt;$B56,$B72&lt;&gt;$B57,$B73&lt;&gt;$B58),IF($B73&lt;&gt;$B58,V58/INDEX($C48:$AJ58,11,MATCH(IF('Data-solution'!$A$3="Maximize",MAX($C59:$AI59),MIN($C59:$AI59)),$C59:$AI59,0)),V58-INDEX($C48:$AJ58,11,MATCH(IF('Data-solution'!$A$3="Maximize",MAX($C59:$AI59),MIN($C59:$AI59)),$C59:$AI59,0))*INDEX(V48:$AJ58,MATCH(MIN($AK48:$AK58),$AK48:$AK58,0),1)/INDEX($C48:$AJ58,MATCH(MIN($AK48:$AK58),$AK48:$AK58,0),MATCH(IF('Data-solution'!$A$3="Maximize",MAX($C59:$AI59),MIN($C59:$AI59)),$C59:$AI59,0))),V58)</f>
        <v>0</v>
      </c>
      <c r="W73" s="1">
        <f>IF(OR($B63&lt;&gt;$B48,$B64&lt;&gt;$B49,$B65&lt;&gt;$B50,$B66&lt;&gt;$B51,$B67&lt;&gt;$B52,$B68&lt;&gt;$B53,$B69&lt;&gt;$B54,$B70&lt;&gt;$B55,$B71&lt;&gt;$B56,$B72&lt;&gt;$B57,$B73&lt;&gt;$B58),IF($B73&lt;&gt;$B58,W58/INDEX($C48:$AJ58,11,MATCH(IF('Data-solution'!$A$3="Maximize",MAX($C59:$AI59),MIN($C59:$AI59)),$C59:$AI59,0)),W58-INDEX($C48:$AJ58,11,MATCH(IF('Data-solution'!$A$3="Maximize",MAX($C59:$AI59),MIN($C59:$AI59)),$C59:$AI59,0))*INDEX(W48:$AJ58,MATCH(MIN($AK48:$AK58),$AK48:$AK58,0),1)/INDEX($C48:$AJ58,MATCH(MIN($AK48:$AK58),$AK48:$AK58,0),MATCH(IF('Data-solution'!$A$3="Maximize",MAX($C59:$AI59),MIN($C59:$AI59)),$C59:$AI59,0))),W58)</f>
        <v>0</v>
      </c>
      <c r="X73" s="1">
        <f>IF(OR($B63&lt;&gt;$B48,$B64&lt;&gt;$B49,$B65&lt;&gt;$B50,$B66&lt;&gt;$B51,$B67&lt;&gt;$B52,$B68&lt;&gt;$B53,$B69&lt;&gt;$B54,$B70&lt;&gt;$B55,$B71&lt;&gt;$B56,$B72&lt;&gt;$B57,$B73&lt;&gt;$B58),IF($B73&lt;&gt;$B58,X58/INDEX($C48:$AJ58,11,MATCH(IF('Data-solution'!$A$3="Maximize",MAX($C59:$AI59),MIN($C59:$AI59)),$C59:$AI59,0)),X58-INDEX($C48:$AJ58,11,MATCH(IF('Data-solution'!$A$3="Maximize",MAX($C59:$AI59),MIN($C59:$AI59)),$C59:$AI59,0))*INDEX(X48:$AJ58,MATCH(MIN($AK48:$AK58),$AK48:$AK58,0),1)/INDEX($C48:$AJ58,MATCH(MIN($AK48:$AK58),$AK48:$AK58,0),MATCH(IF('Data-solution'!$A$3="Maximize",MAX($C59:$AI59),MIN($C59:$AI59)),$C59:$AI59,0))),X58)</f>
        <v>1</v>
      </c>
      <c r="Y73" s="1">
        <f>IF(OR($B63&lt;&gt;$B48,$B64&lt;&gt;$B49,$B65&lt;&gt;$B50,$B66&lt;&gt;$B51,$B67&lt;&gt;$B52,$B68&lt;&gt;$B53,$B69&lt;&gt;$B54,$B70&lt;&gt;$B55,$B71&lt;&gt;$B56,$B72&lt;&gt;$B57,$B73&lt;&gt;$B58),IF($B73&lt;&gt;$B58,Y58/INDEX($C48:$AJ58,11,MATCH(IF('Data-solution'!$A$3="Maximize",MAX($C59:$AI59),MIN($C59:$AI59)),$C59:$AI59,0)),Y58-INDEX($C48:$AJ58,11,MATCH(IF('Data-solution'!$A$3="Maximize",MAX($C59:$AI59),MIN($C59:$AI59)),$C59:$AI59,0))*INDEX(Y48:$AJ58,MATCH(MIN($AK48:$AK58),$AK48:$AK58,0),1)/INDEX($C48:$AJ58,MATCH(MIN($AK48:$AK58),$AK48:$AK58,0),MATCH(IF('Data-solution'!$A$3="Maximize",MAX($C59:$AI59),MIN($C59:$AI59)),$C59:$AI59,0))),Y58)</f>
        <v>0</v>
      </c>
      <c r="Z73" s="1">
        <f>IF(OR($B63&lt;&gt;$B48,$B64&lt;&gt;$B49,$B65&lt;&gt;$B50,$B66&lt;&gt;$B51,$B67&lt;&gt;$B52,$B68&lt;&gt;$B53,$B69&lt;&gt;$B54,$B70&lt;&gt;$B55,$B71&lt;&gt;$B56,$B72&lt;&gt;$B57,$B73&lt;&gt;$B58),IF($B73&lt;&gt;$B58,Z58/INDEX($C48:$AJ58,11,MATCH(IF('Data-solution'!$A$3="Maximize",MAX($C59:$AI59),MIN($C59:$AI59)),$C59:$AI59,0)),Z58-INDEX($C48:$AJ58,11,MATCH(IF('Data-solution'!$A$3="Maximize",MAX($C59:$AI59),MIN($C59:$AI59)),$C59:$AI59,0))*INDEX(Z48:$AJ58,MATCH(MIN($AK48:$AK58),$AK48:$AK58,0),1)/INDEX($C48:$AJ58,MATCH(MIN($AK48:$AK58),$AK48:$AK58,0),MATCH(IF('Data-solution'!$A$3="Maximize",MAX($C59:$AI59),MIN($C59:$AI59)),$C59:$AI59,0))),Z58)</f>
        <v>0</v>
      </c>
      <c r="AA73" s="1">
        <f>IF(OR($B63&lt;&gt;$B48,$B64&lt;&gt;$B49,$B65&lt;&gt;$B50,$B66&lt;&gt;$B51,$B67&lt;&gt;$B52,$B68&lt;&gt;$B53,$B69&lt;&gt;$B54,$B70&lt;&gt;$B55,$B71&lt;&gt;$B56,$B72&lt;&gt;$B57,$B73&lt;&gt;$B58),IF($B73&lt;&gt;$B58,AA58/INDEX($C48:$AJ58,11,MATCH(IF('Data-solution'!$A$3="Maximize",MAX($C59:$AI59),MIN($C59:$AI59)),$C59:$AI59,0)),AA58-INDEX($C48:$AJ58,11,MATCH(IF('Data-solution'!$A$3="Maximize",MAX($C59:$AI59),MIN($C59:$AI59)),$C59:$AI59,0))*INDEX(AA48:$AJ58,MATCH(MIN($AK48:$AK58),$AK48:$AK58,0),1)/INDEX($C48:$AJ58,MATCH(MIN($AK48:$AK58),$AK48:$AK58,0),MATCH(IF('Data-solution'!$A$3="Maximize",MAX($C59:$AI59),MIN($C59:$AI59)),$C59:$AI59,0))),AA58)</f>
        <v>0</v>
      </c>
      <c r="AB73" s="1">
        <f>IF(OR($B63&lt;&gt;$B48,$B64&lt;&gt;$B49,$B65&lt;&gt;$B50,$B66&lt;&gt;$B51,$B67&lt;&gt;$B52,$B68&lt;&gt;$B53,$B69&lt;&gt;$B54,$B70&lt;&gt;$B55,$B71&lt;&gt;$B56,$B72&lt;&gt;$B57,$B73&lt;&gt;$B58),IF($B73&lt;&gt;$B58,AB58/INDEX($C48:$AJ58,11,MATCH(IF('Data-solution'!$A$3="Maximize",MAX($C59:$AI59),MIN($C59:$AI59)),$C59:$AI59,0)),AB58-INDEX($C48:$AJ58,11,MATCH(IF('Data-solution'!$A$3="Maximize",MAX($C59:$AI59),MIN($C59:$AI59)),$C59:$AI59,0))*INDEX(AB48:$AJ58,MATCH(MIN($AK48:$AK58),$AK48:$AK58,0),1)/INDEX($C48:$AJ58,MATCH(MIN($AK48:$AK58),$AK48:$AK58,0),MATCH(IF('Data-solution'!$A$3="Maximize",MAX($C59:$AI59),MIN($C59:$AI59)),$C59:$AI59,0))),AB58)</f>
        <v>0</v>
      </c>
      <c r="AC73" s="1">
        <f>IF(OR($B63&lt;&gt;$B48,$B64&lt;&gt;$B49,$B65&lt;&gt;$B50,$B66&lt;&gt;$B51,$B67&lt;&gt;$B52,$B68&lt;&gt;$B53,$B69&lt;&gt;$B54,$B70&lt;&gt;$B55,$B71&lt;&gt;$B56,$B72&lt;&gt;$B57,$B73&lt;&gt;$B58),IF($B73&lt;&gt;$B58,AC58/INDEX($C48:$AJ58,11,MATCH(IF('Data-solution'!$A$3="Maximize",MAX($C59:$AI59),MIN($C59:$AI59)),$C59:$AI59,0)),AC58-INDEX($C48:$AJ58,11,MATCH(IF('Data-solution'!$A$3="Maximize",MAX($C59:$AI59),MIN($C59:$AI59)),$C59:$AI59,0))*INDEX(AC48:$AJ58,MATCH(MIN($AK48:$AK58),$AK48:$AK58,0),1)/INDEX($C48:$AJ58,MATCH(MIN($AK48:$AK58),$AK48:$AK58,0),MATCH(IF('Data-solution'!$A$3="Maximize",MAX($C59:$AI59),MIN($C59:$AI59)),$C59:$AI59,0))),AC58)</f>
        <v>0</v>
      </c>
      <c r="AD73" s="1">
        <f>IF(OR($B63&lt;&gt;$B48,$B64&lt;&gt;$B49,$B65&lt;&gt;$B50,$B66&lt;&gt;$B51,$B67&lt;&gt;$B52,$B68&lt;&gt;$B53,$B69&lt;&gt;$B54,$B70&lt;&gt;$B55,$B71&lt;&gt;$B56,$B72&lt;&gt;$B57,$B73&lt;&gt;$B58),IF($B73&lt;&gt;$B58,AD58/INDEX($C48:$AJ58,11,MATCH(IF('Data-solution'!$A$3="Maximize",MAX($C59:$AI59),MIN($C59:$AI59)),$C59:$AI59,0)),AD58-INDEX($C48:$AJ58,11,MATCH(IF('Data-solution'!$A$3="Maximize",MAX($C59:$AI59),MIN($C59:$AI59)),$C59:$AI59,0))*INDEX(AD48:$AJ58,MATCH(MIN($AK48:$AK58),$AK48:$AK58,0),1)/INDEX($C48:$AJ58,MATCH(MIN($AK48:$AK58),$AK48:$AK58,0),MATCH(IF('Data-solution'!$A$3="Maximize",MAX($C59:$AI59),MIN($C59:$AI59)),$C59:$AI59,0))),AD58)</f>
        <v>0</v>
      </c>
      <c r="AE73" s="1">
        <f>IF(OR($B63&lt;&gt;$B48,$B64&lt;&gt;$B49,$B65&lt;&gt;$B50,$B66&lt;&gt;$B51,$B67&lt;&gt;$B52,$B68&lt;&gt;$B53,$B69&lt;&gt;$B54,$B70&lt;&gt;$B55,$B71&lt;&gt;$B56,$B72&lt;&gt;$B57,$B73&lt;&gt;$B58),IF($B73&lt;&gt;$B58,AE58/INDEX($C48:$AJ58,11,MATCH(IF('Data-solution'!$A$3="Maximize",MAX($C59:$AI59),MIN($C59:$AI59)),$C59:$AI59,0)),AE58-INDEX($C48:$AJ58,11,MATCH(IF('Data-solution'!$A$3="Maximize",MAX($C59:$AI59),MIN($C59:$AI59)),$C59:$AI59,0))*INDEX(AE48:$AJ58,MATCH(MIN($AK48:$AK58),$AK48:$AK58,0),1)/INDEX($C48:$AJ58,MATCH(MIN($AK48:$AK58),$AK48:$AK58,0),MATCH(IF('Data-solution'!$A$3="Maximize",MAX($C59:$AI59),MIN($C59:$AI59)),$C59:$AI59,0))),AE58)</f>
        <v>0</v>
      </c>
      <c r="AF73" s="1">
        <f>IF(OR($B63&lt;&gt;$B48,$B64&lt;&gt;$B49,$B65&lt;&gt;$B50,$B66&lt;&gt;$B51,$B67&lt;&gt;$B52,$B68&lt;&gt;$B53,$B69&lt;&gt;$B54,$B70&lt;&gt;$B55,$B71&lt;&gt;$B56,$B72&lt;&gt;$B57,$B73&lt;&gt;$B58),IF($B73&lt;&gt;$B58,AF58/INDEX($C48:$AJ58,11,MATCH(IF('Data-solution'!$A$3="Maximize",MAX($C59:$AI59),MIN($C59:$AI59)),$C59:$AI59,0)),AF58-INDEX($C48:$AJ58,11,MATCH(IF('Data-solution'!$A$3="Maximize",MAX($C59:$AI59),MIN($C59:$AI59)),$C59:$AI59,0))*INDEX(AF48:$AJ58,MATCH(MIN($AK48:$AK58),$AK48:$AK58,0),1)/INDEX($C48:$AJ58,MATCH(MIN($AK48:$AK58),$AK48:$AK58,0),MATCH(IF('Data-solution'!$A$3="Maximize",MAX($C59:$AI59),MIN($C59:$AI59)),$C59:$AI59,0))),AF58)</f>
        <v>0</v>
      </c>
      <c r="AG73" s="1">
        <f>IF(OR($B63&lt;&gt;$B48,$B64&lt;&gt;$B49,$B65&lt;&gt;$B50,$B66&lt;&gt;$B51,$B67&lt;&gt;$B52,$B68&lt;&gt;$B53,$B69&lt;&gt;$B54,$B70&lt;&gt;$B55,$B71&lt;&gt;$B56,$B72&lt;&gt;$B57,$B73&lt;&gt;$B58),IF($B73&lt;&gt;$B58,AG58/INDEX($C48:$AJ58,11,MATCH(IF('Data-solution'!$A$3="Maximize",MAX($C59:$AI59),MIN($C59:$AI59)),$C59:$AI59,0)),AG58-INDEX($C48:$AJ58,11,MATCH(IF('Data-solution'!$A$3="Maximize",MAX($C59:$AI59),MIN($C59:$AI59)),$C59:$AI59,0))*INDEX(AG48:$AJ58,MATCH(MIN($AK48:$AK58),$AK48:$AK58,0),1)/INDEX($C48:$AJ58,MATCH(MIN($AK48:$AK58),$AK48:$AK58,0),MATCH(IF('Data-solution'!$A$3="Maximize",MAX($C59:$AI59),MIN($C59:$AI59)),$C59:$AI59,0))),AG58)</f>
        <v>0</v>
      </c>
      <c r="AH73" s="1">
        <f>IF(OR($B63&lt;&gt;$B48,$B64&lt;&gt;$B49,$B65&lt;&gt;$B50,$B66&lt;&gt;$B51,$B67&lt;&gt;$B52,$B68&lt;&gt;$B53,$B69&lt;&gt;$B54,$B70&lt;&gt;$B55,$B71&lt;&gt;$B56,$B72&lt;&gt;$B57,$B73&lt;&gt;$B58),IF($B73&lt;&gt;$B58,AH58/INDEX($C48:$AJ58,11,MATCH(IF('Data-solution'!$A$3="Maximize",MAX($C59:$AI59),MIN($C59:$AI59)),$C59:$AI59,0)),AH58-INDEX($C48:$AJ58,11,MATCH(IF('Data-solution'!$A$3="Maximize",MAX($C59:$AI59),MIN($C59:$AI59)),$C59:$AI59,0))*INDEX(AH48:$AJ58,MATCH(MIN($AK48:$AK58),$AK48:$AK58,0),1)/INDEX($C48:$AJ58,MATCH(MIN($AK48:$AK58),$AK48:$AK58,0),MATCH(IF('Data-solution'!$A$3="Maximize",MAX($C59:$AI59),MIN($C59:$AI59)),$C59:$AI59,0))),AH58)</f>
        <v>0</v>
      </c>
      <c r="AI73" s="1">
        <f>IF(OR($B63&lt;&gt;$B48,$B64&lt;&gt;$B49,$B65&lt;&gt;$B50,$B66&lt;&gt;$B51,$B67&lt;&gt;$B52,$B68&lt;&gt;$B53,$B69&lt;&gt;$B54,$B70&lt;&gt;$B55,$B71&lt;&gt;$B56,$B72&lt;&gt;$B57,$B73&lt;&gt;$B58),IF($B73&lt;&gt;$B58,AI58/INDEX($C48:$AJ58,11,MATCH(IF('Data-solution'!$A$3="Maximize",MAX($C59:$AI59),MIN($C59:$AI59)),$C59:$AI59,0)),AI58-INDEX($C48:$AJ58,11,MATCH(IF('Data-solution'!$A$3="Maximize",MAX($C59:$AI59),MIN($C59:$AI59)),$C59:$AI59,0))*INDEX(AI48:$AJ58,MATCH(MIN($AK48:$AK58),$AK48:$AK58,0),1)/INDEX($C48:$AJ58,MATCH(MIN($AK48:$AK58),$AK48:$AK58,0),MATCH(IF('Data-solution'!$A$3="Maximize",MAX($C59:$AI59),MIN($C59:$AI59)),$C59:$AI59,0))),AI58)</f>
        <v>1</v>
      </c>
      <c r="AJ73" s="1">
        <f>IF(OR($B63&lt;&gt;$B48,$B64&lt;&gt;$B49,$B65&lt;&gt;$B50,$B66&lt;&gt;$B51,$B67&lt;&gt;$B52,$B68&lt;&gt;$B53,$B69&lt;&gt;$B54,$B70&lt;&gt;$B55,$B71&lt;&gt;$B56,$B72&lt;&gt;$B57,$B73&lt;&gt;$B58),IF($B73&lt;&gt;$B58,AJ58/INDEX($C48:$AJ58,11,MATCH(IF('Data-solution'!$A$3="Maximize",MAX($C59:$AI59),MIN($C59:$AI59)),$C59:$AI59,0)),AJ58-INDEX($C48:$AJ58,11,MATCH(IF('Data-solution'!$A$3="Maximize",MAX($C59:$AI59),MIN($C59:$AI59)),$C59:$AI59,0))*INDEX(AJ48:$AJ58,MATCH(MIN($AK48:$AK58),$AK48:$AK58,0),1)/INDEX($C48:$AJ58,MATCH(MIN($AK48:$AK58),$AK48:$AK58,0),MATCH(IF('Data-solution'!$A$3="Maximize",MAX($C59:$AI59),MIN($C59:$AI59)),$C59:$AI59,0))),AJ58)</f>
        <v>0</v>
      </c>
      <c r="AK73" s="1" t="str">
        <f>IF(INDEX(C73:X73,1,MATCH(IF('Data-solution'!A$3="Maximize",MAX(C74:X74),MIN(C74:X74)),C74:X74,0))&gt;0,AJ73/INDEX(C73:X73,1,MATCH(IF('Data-solution'!A$3="Maximize",MAX(C74:X74),MIN(C74:X74)),C74:X74,0))," ")</f>
        <v xml:space="preserve"> </v>
      </c>
    </row>
    <row r="74" spans="1:37" ht="18" customHeight="1" x14ac:dyDescent="0.2">
      <c r="B74" s="2" t="s">
        <v>5</v>
      </c>
      <c r="C74" s="1">
        <f>IF(SUM(COUNTIF($B63:$B73,$Y62),COUNTIF($B63:$B73,$Z62),COUNTIF($B63:$B73,$AA62),COUNTIF($B63:$B73,$AB62),COUNTIF($B63:$B73,$AC62),COUNTIF($B63:$B73,$AD62),COUNTIF($B63:$B73,$AE62),COUNTIF($B63:$B73,$AF62),COUNTIF($B63:$B73,$AG62),COUNTIF($B63:$B73,$AH62),COUNTIF($B63:$B73,$AI62))=0,C61-SUMPRODUCT($A63:$A73,C63:C73),IF('Data-solution'!$A$3="Maximize",1,-1)*SUM(SUMIF($B63:$B73,$Y62,C63:C73),SUMIF($B63:$B73,$Z62,C63:C73),SUMIF($B63:$B73,$AA62,C63:C73),SUMIF($B63:$B73,$AB62,C63:C73),SUMIF($B63:$B73,$AC62,C63:C73),SUMIF($B63:$B73,$AD62,C63:C73),SUMIF($B63:$B73,$AE62,C63:C73),SUMIF($B63:$B73,$AF62,C63:C73),SUMIF($B63:$B73,$AG62,C63:C73),SUMIF($B63:$B73,$AH62,C63:C73),SUMIF($B63:$B73,$AI62,C63:C73)))</f>
        <v>0</v>
      </c>
      <c r="D74" s="1">
        <f>IF(SUM(COUNTIF($B63:$B73,$Y62),COUNTIF($B63:$B73,$Z62),COUNTIF($B63:$B73,$AA62),COUNTIF($B63:$B73,$AB62),COUNTIF($B63:$B73,$AC62),COUNTIF($B63:$B73,$AD62),COUNTIF($B63:$B73,$AE62),COUNTIF($B63:$B73,$AF62),COUNTIF($B63:$B73,$AG62),COUNTIF($B63:$B73,$AH62),COUNTIF($B63:$B73,$AI62))=0,D61-SUMPRODUCT($A63:$A73,D63:D73),IF('Data-solution'!$A$3="Maximize",1,-1)*SUM(SUMIF($B63:$B73,$Y62,D63:D73),SUMIF($B63:$B73,$Z62,D63:D73),SUMIF($B63:$B73,$AA62,D63:D73),SUMIF($B63:$B73,$AB62,D63:D73),SUMIF($B63:$B73,$AC62,D63:D73),SUMIF($B63:$B73,$AD62,D63:D73),SUMIF($B63:$B73,$AE62,D63:D73),SUMIF($B63:$B73,$AF62,D63:D73),SUMIF($B63:$B73,$AG62,D63:D73),SUMIF($B63:$B73,$AH62,D63:D73),SUMIF($B63:$B73,$AI62,D63:D73)))</f>
        <v>-50</v>
      </c>
      <c r="E74" s="1">
        <f>IF(SUM(COUNTIF($B63:$B73,$Y62),COUNTIF($B63:$B73,$Z62),COUNTIF($B63:$B73,$AA62),COUNTIF($B63:$B73,$AB62),COUNTIF($B63:$B73,$AC62),COUNTIF($B63:$B73,$AD62),COUNTIF($B63:$B73,$AE62),COUNTIF($B63:$B73,$AF62),COUNTIF($B63:$B73,$AG62),COUNTIF($B63:$B73,$AH62),COUNTIF($B63:$B73,$AI62))=0,E61-SUMPRODUCT($A63:$A73,E63:E73),IF('Data-solution'!$A$3="Maximize",1,-1)*SUM(SUMIF($B63:$B73,$Y62,E63:E73),SUMIF($B63:$B73,$Z62,E63:E73),SUMIF($B63:$B73,$AA62,E63:E73),SUMIF($B63:$B73,$AB62,E63:E73),SUMIF($B63:$B73,$AC62,E63:E73),SUMIF($B63:$B73,$AD62,E63:E73),SUMIF($B63:$B73,$AE62,E63:E73),SUMIF($B63:$B73,$AF62,E63:E73),SUMIF($B63:$B73,$AG62,E63:E73),SUMIF($B63:$B73,$AH62,E63:E73),SUMIF($B63:$B73,$AI62,E63:E73)))</f>
        <v>0</v>
      </c>
      <c r="F74" s="1">
        <f>IF(SUM(COUNTIF($B63:$B73,$Y62),COUNTIF($B63:$B73,$Z62),COUNTIF($B63:$B73,$AA62),COUNTIF($B63:$B73,$AB62),COUNTIF($B63:$B73,$AC62),COUNTIF($B63:$B73,$AD62),COUNTIF($B63:$B73,$AE62),COUNTIF($B63:$B73,$AF62),COUNTIF($B63:$B73,$AG62),COUNTIF($B63:$B73,$AH62),COUNTIF($B63:$B73,$AI62))=0,F61-SUMPRODUCT($A63:$A73,F63:F73),IF('Data-solution'!$A$3="Maximize",1,-1)*SUM(SUMIF($B63:$B73,$Y62,F63:F73),SUMIF($B63:$B73,$Z62,F63:F73),SUMIF($B63:$B73,$AA62,F63:F73),SUMIF($B63:$B73,$AB62,F63:F73),SUMIF($B63:$B73,$AC62,F63:F73),SUMIF($B63:$B73,$AD62,F63:F73),SUMIF($B63:$B73,$AE62,F63:F73),SUMIF($B63:$B73,$AF62,F63:F73),SUMIF($B63:$B73,$AG62,F63:F73),SUMIF($B63:$B73,$AH62,F63:F73),SUMIF($B63:$B73,$AI62,F63:F73)))</f>
        <v>0</v>
      </c>
      <c r="G74" s="1">
        <f>IF(SUM(COUNTIF($B63:$B73,$Y62),COUNTIF($B63:$B73,$Z62),COUNTIF($B63:$B73,$AA62),COUNTIF($B63:$B73,$AB62),COUNTIF($B63:$B73,$AC62),COUNTIF($B63:$B73,$AD62),COUNTIF($B63:$B73,$AE62),COUNTIF($B63:$B73,$AF62),COUNTIF($B63:$B73,$AG62),COUNTIF($B63:$B73,$AH62),COUNTIF($B63:$B73,$AI62))=0,G61-SUMPRODUCT($A63:$A73,G63:G73),IF('Data-solution'!$A$3="Maximize",1,-1)*SUM(SUMIF($B63:$B73,$Y62,G63:G73),SUMIF($B63:$B73,$Z62,G63:G73),SUMIF($B63:$B73,$AA62,G63:G73),SUMIF($B63:$B73,$AB62,G63:G73),SUMIF($B63:$B73,$AC62,G63:G73),SUMIF($B63:$B73,$AD62,G63:G73),SUMIF($B63:$B73,$AE62,G63:G73),SUMIF($B63:$B73,$AF62,G63:G73),SUMIF($B63:$B73,$AG62,G63:G73),SUMIF($B63:$B73,$AH62,G63:G73),SUMIF($B63:$B73,$AI62,G63:G73)))</f>
        <v>0</v>
      </c>
      <c r="H74" s="1">
        <f>IF(SUM(COUNTIF($B63:$B73,$Y62),COUNTIF($B63:$B73,$Z62),COUNTIF($B63:$B73,$AA62),COUNTIF($B63:$B73,$AB62),COUNTIF($B63:$B73,$AC62),COUNTIF($B63:$B73,$AD62),COUNTIF($B63:$B73,$AE62),COUNTIF($B63:$B73,$AF62),COUNTIF($B63:$B73,$AG62),COUNTIF($B63:$B73,$AH62),COUNTIF($B63:$B73,$AI62))=0,H61-SUMPRODUCT($A63:$A73,H63:H73),IF('Data-solution'!$A$3="Maximize",1,-1)*SUM(SUMIF($B63:$B73,$Y62,H63:H73),SUMIF($B63:$B73,$Z62,H63:H73),SUMIF($B63:$B73,$AA62,H63:H73),SUMIF($B63:$B73,$AB62,H63:H73),SUMIF($B63:$B73,$AC62,H63:H73),SUMIF($B63:$B73,$AD62,H63:H73),SUMIF($B63:$B73,$AE62,H63:H73),SUMIF($B63:$B73,$AF62,H63:H73),SUMIF($B63:$B73,$AG62,H63:H73),SUMIF($B63:$B73,$AH62,H63:H73),SUMIF($B63:$B73,$AI62,H63:H73)))</f>
        <v>0</v>
      </c>
      <c r="I74" s="1">
        <f>IF(SUM(COUNTIF($B63:$B73,$Y62),COUNTIF($B63:$B73,$Z62),COUNTIF($B63:$B73,$AA62),COUNTIF($B63:$B73,$AB62),COUNTIF($B63:$B73,$AC62),COUNTIF($B63:$B73,$AD62),COUNTIF($B63:$B73,$AE62),COUNTIF($B63:$B73,$AF62),COUNTIF($B63:$B73,$AG62),COUNTIF($B63:$B73,$AH62),COUNTIF($B63:$B73,$AI62))=0,I61-SUMPRODUCT($A63:$A73,I63:I73),IF('Data-solution'!$A$3="Maximize",1,-1)*SUM(SUMIF($B63:$B73,$Y62,I63:I73),SUMIF($B63:$B73,$Z62,I63:I73),SUMIF($B63:$B73,$AA62,I63:I73),SUMIF($B63:$B73,$AB62,I63:I73),SUMIF($B63:$B73,$AC62,I63:I73),SUMIF($B63:$B73,$AD62,I63:I73),SUMIF($B63:$B73,$AE62,I63:I73),SUMIF($B63:$B73,$AF62,I63:I73),SUMIF($B63:$B73,$AG62,I63:I73),SUMIF($B63:$B73,$AH62,I63:I73),SUMIF($B63:$B73,$AI62,I63:I73)))</f>
        <v>0</v>
      </c>
      <c r="J74" s="1">
        <f>IF(SUM(COUNTIF($B63:$B73,$Y62),COUNTIF($B63:$B73,$Z62),COUNTIF($B63:$B73,$AA62),COUNTIF($B63:$B73,$AB62),COUNTIF($B63:$B73,$AC62),COUNTIF($B63:$B73,$AD62),COUNTIF($B63:$B73,$AE62),COUNTIF($B63:$B73,$AF62),COUNTIF($B63:$B73,$AG62),COUNTIF($B63:$B73,$AH62),COUNTIF($B63:$B73,$AI62))=0,J61-SUMPRODUCT($A63:$A73,J63:J73),IF('Data-solution'!$A$3="Maximize",1,-1)*SUM(SUMIF($B63:$B73,$Y62,J63:J73),SUMIF($B63:$B73,$Z62,J63:J73),SUMIF($B63:$B73,$AA62,J63:J73),SUMIF($B63:$B73,$AB62,J63:J73),SUMIF($B63:$B73,$AC62,J63:J73),SUMIF($B63:$B73,$AD62,J63:J73),SUMIF($B63:$B73,$AE62,J63:J73),SUMIF($B63:$B73,$AF62,J63:J73),SUMIF($B63:$B73,$AG62,J63:J73),SUMIF($B63:$B73,$AH62,J63:J73),SUMIF($B63:$B73,$AI62,J63:J73)))</f>
        <v>0</v>
      </c>
      <c r="K74" s="1">
        <f>IF(SUM(COUNTIF($B63:$B73,$Y62),COUNTIF($B63:$B73,$Z62),COUNTIF($B63:$B73,$AA62),COUNTIF($B63:$B73,$AB62),COUNTIF($B63:$B73,$AC62),COUNTIF($B63:$B73,$AD62),COUNTIF($B63:$B73,$AE62),COUNTIF($B63:$B73,$AF62),COUNTIF($B63:$B73,$AG62),COUNTIF($B63:$B73,$AH62),COUNTIF($B63:$B73,$AI62))=0,K61-SUMPRODUCT($A63:$A73,K63:K73),IF('Data-solution'!$A$3="Maximize",1,-1)*SUM(SUMIF($B63:$B73,$Y62,K63:K73),SUMIF($B63:$B73,$Z62,K63:K73),SUMIF($B63:$B73,$AA62,K63:K73),SUMIF($B63:$B73,$AB62,K63:K73),SUMIF($B63:$B73,$AC62,K63:K73),SUMIF($B63:$B73,$AD62,K63:K73),SUMIF($B63:$B73,$AE62,K63:K73),SUMIF($B63:$B73,$AF62,K63:K73),SUMIF($B63:$B73,$AG62,K63:K73),SUMIF($B63:$B73,$AH62,K63:K73),SUMIF($B63:$B73,$AI62,K63:K73)))</f>
        <v>0</v>
      </c>
      <c r="L74" s="1">
        <f>IF(SUM(COUNTIF($B63:$B73,$Y62),COUNTIF($B63:$B73,$Z62),COUNTIF($B63:$B73,$AA62),COUNTIF($B63:$B73,$AB62),COUNTIF($B63:$B73,$AC62),COUNTIF($B63:$B73,$AD62),COUNTIF($B63:$B73,$AE62),COUNTIF($B63:$B73,$AF62),COUNTIF($B63:$B73,$AG62),COUNTIF($B63:$B73,$AH62),COUNTIF($B63:$B73,$AI62))=0,L61-SUMPRODUCT($A63:$A73,L63:L73),IF('Data-solution'!$A$3="Maximize",1,-1)*SUM(SUMIF($B63:$B73,$Y62,L63:L73),SUMIF($B63:$B73,$Z62,L63:L73),SUMIF($B63:$B73,$AA62,L63:L73),SUMIF($B63:$B73,$AB62,L63:L73),SUMIF($B63:$B73,$AC62,L63:L73),SUMIF($B63:$B73,$AD62,L63:L73),SUMIF($B63:$B73,$AE62,L63:L73),SUMIF($B63:$B73,$AF62,L63:L73),SUMIF($B63:$B73,$AG62,L63:L73),SUMIF($B63:$B73,$AH62,L63:L73),SUMIF($B63:$B73,$AI62,L63:L73)))</f>
        <v>0</v>
      </c>
      <c r="M74" s="1">
        <f>IF(SUM(COUNTIF($B63:$B73,$Y62),COUNTIF($B63:$B73,$Z62),COUNTIF($B63:$B73,$AA62),COUNTIF($B63:$B73,$AB62),COUNTIF($B63:$B73,$AC62),COUNTIF($B63:$B73,$AD62),COUNTIF($B63:$B73,$AE62),COUNTIF($B63:$B73,$AF62),COUNTIF($B63:$B73,$AG62),COUNTIF($B63:$B73,$AH62),COUNTIF($B63:$B73,$AI62))=0,M61-SUMPRODUCT($A63:$A73,M63:M73),IF('Data-solution'!$A$3="Maximize",1,-1)*SUM(SUMIF($B63:$B73,$Y62,M63:M73),SUMIF($B63:$B73,$Z62,M63:M73),SUMIF($B63:$B73,$AA62,M63:M73),SUMIF($B63:$B73,$AB62,M63:M73),SUMIF($B63:$B73,$AC62,M63:M73),SUMIF($B63:$B73,$AD62,M63:M73),SUMIF($B63:$B73,$AE62,M63:M73),SUMIF($B63:$B73,$AF62,M63:M73),SUMIF($B63:$B73,$AG62,M63:M73),SUMIF($B63:$B73,$AH62,M63:M73),SUMIF($B63:$B73,$AI62,M63:M73)))</f>
        <v>0</v>
      </c>
      <c r="N74" s="1">
        <f>IF(SUM(COUNTIF($B63:$B73,$Y62),COUNTIF($B63:$B73,$Z62),COUNTIF($B63:$B73,$AA62),COUNTIF($B63:$B73,$AB62),COUNTIF($B63:$B73,$AC62),COUNTIF($B63:$B73,$AD62),COUNTIF($B63:$B73,$AE62),COUNTIF($B63:$B73,$AF62),COUNTIF($B63:$B73,$AG62),COUNTIF($B63:$B73,$AH62),COUNTIF($B63:$B73,$AI62))=0,N61-SUMPRODUCT($A63:$A73,N63:N73),IF('Data-solution'!$A$3="Maximize",1,-1)*SUM(SUMIF($B63:$B73,$Y62,N63:N73),SUMIF($B63:$B73,$Z62,N63:N73),SUMIF($B63:$B73,$AA62,N63:N73),SUMIF($B63:$B73,$AB62,N63:N73),SUMIF($B63:$B73,$AC62,N63:N73),SUMIF($B63:$B73,$AD62,N63:N73),SUMIF($B63:$B73,$AE62,N63:N73),SUMIF($B63:$B73,$AF62,N63:N73),SUMIF($B63:$B73,$AG62,N63:N73),SUMIF($B63:$B73,$AH62,N63:N73),SUMIF($B63:$B73,$AI62,N63:N73)))</f>
        <v>0</v>
      </c>
      <c r="O74" s="1">
        <f>IF(SUM(COUNTIF($B63:$B73,$Y62),COUNTIF($B63:$B73,$Z62),COUNTIF($B63:$B73,$AA62),COUNTIF($B63:$B73,$AB62),COUNTIF($B63:$B73,$AC62),COUNTIF($B63:$B73,$AD62),COUNTIF($B63:$B73,$AE62),COUNTIF($B63:$B73,$AF62),COUNTIF($B63:$B73,$AG62),COUNTIF($B63:$B73,$AH62),COUNTIF($B63:$B73,$AI62))=0,O61-SUMPRODUCT($A63:$A73,O63:O73),IF('Data-solution'!$A$3="Maximize",1,-1)*SUM(SUMIF($B63:$B73,$Y62,O63:O73),SUMIF($B63:$B73,$Z62,O63:O73),SUMIF($B63:$B73,$AA62,O63:O73),SUMIF($B63:$B73,$AB62,O63:O73),SUMIF($B63:$B73,$AC62,O63:O73),SUMIF($B63:$B73,$AD62,O63:O73),SUMIF($B63:$B73,$AE62,O63:O73),SUMIF($B63:$B73,$AF62,O63:O73),SUMIF($B63:$B73,$AG62,O63:O73),SUMIF($B63:$B73,$AH62,O63:O73),SUMIF($B63:$B73,$AI62,O63:O73)))</f>
        <v>0</v>
      </c>
      <c r="P74" s="1">
        <f>IF(SUM(COUNTIF($B63:$B73,$Y62),COUNTIF($B63:$B73,$Z62),COUNTIF($B63:$B73,$AA62),COUNTIF($B63:$B73,$AB62),COUNTIF($B63:$B73,$AC62),COUNTIF($B63:$B73,$AD62),COUNTIF($B63:$B73,$AE62),COUNTIF($B63:$B73,$AF62),COUNTIF($B63:$B73,$AG62),COUNTIF($B63:$B73,$AH62),COUNTIF($B63:$B73,$AI62))=0,P61-SUMPRODUCT($A63:$A73,P63:P73),IF('Data-solution'!$A$3="Maximize",1,-1)*SUM(SUMIF($B63:$B73,$Y62,P63:P73),SUMIF($B63:$B73,$Z62,P63:P73),SUMIF($B63:$B73,$AA62,P63:P73),SUMIF($B63:$B73,$AB62,P63:P73),SUMIF($B63:$B73,$AC62,P63:P73),SUMIF($B63:$B73,$AD62,P63:P73),SUMIF($B63:$B73,$AE62,P63:P73),SUMIF($B63:$B73,$AF62,P63:P73),SUMIF($B63:$B73,$AG62,P63:P73),SUMIF($B63:$B73,$AH62,P63:P73),SUMIF($B63:$B73,$AI62,P63:P73)))</f>
        <v>-49.999999999999993</v>
      </c>
      <c r="Q74" s="1">
        <f>IF(SUM(COUNTIF($B63:$B73,$Y62),COUNTIF($B63:$B73,$Z62),COUNTIF($B63:$B73,$AA62),COUNTIF($B63:$B73,$AB62),COUNTIF($B63:$B73,$AC62),COUNTIF($B63:$B73,$AD62),COUNTIF($B63:$B73,$AE62),COUNTIF($B63:$B73,$AF62),COUNTIF($B63:$B73,$AG62),COUNTIF($B63:$B73,$AH62),COUNTIF($B63:$B73,$AI62))=0,Q61-SUMPRODUCT($A63:$A73,Q63:Q73),IF('Data-solution'!$A$3="Maximize",1,-1)*SUM(SUMIF($B63:$B73,$Y62,Q63:Q73),SUMIF($B63:$B73,$Z62,Q63:Q73),SUMIF($B63:$B73,$AA62,Q63:Q73),SUMIF($B63:$B73,$AB62,Q63:Q73),SUMIF($B63:$B73,$AC62,Q63:Q73),SUMIF($B63:$B73,$AD62,Q63:Q73),SUMIF($B63:$B73,$AE62,Q63:Q73),SUMIF($B63:$B73,$AF62,Q63:Q73),SUMIF($B63:$B73,$AG62,Q63:Q73),SUMIF($B63:$B73,$AH62,Q63:Q73),SUMIF($B63:$B73,$AI62,Q63:Q73)))</f>
        <v>-50</v>
      </c>
      <c r="R74" s="1">
        <f>IF(SUM(COUNTIF($B63:$B73,$Y62),COUNTIF($B63:$B73,$Z62),COUNTIF($B63:$B73,$AA62),COUNTIF($B63:$B73,$AB62),COUNTIF($B63:$B73,$AC62),COUNTIF($B63:$B73,$AD62),COUNTIF($B63:$B73,$AE62),COUNTIF($B63:$B73,$AF62),COUNTIF($B63:$B73,$AG62),COUNTIF($B63:$B73,$AH62),COUNTIF($B63:$B73,$AI62))=0,R61-SUMPRODUCT($A63:$A73,R63:R73),IF('Data-solution'!$A$3="Maximize",1,-1)*SUM(SUMIF($B63:$B73,$Y62,R63:R73),SUMIF($B63:$B73,$Z62,R63:R73),SUMIF($B63:$B73,$AA62,R63:R73),SUMIF($B63:$B73,$AB62,R63:R73),SUMIF($B63:$B73,$AC62,R63:R73),SUMIF($B63:$B73,$AD62,R63:R73),SUMIF($B63:$B73,$AE62,R63:R73),SUMIF($B63:$B73,$AF62,R63:R73),SUMIF($B63:$B73,$AG62,R63:R73),SUMIF($B63:$B73,$AH62,R63:R73),SUMIF($B63:$B73,$AI62,R63:R73)))</f>
        <v>0</v>
      </c>
      <c r="S74" s="1">
        <f>IF(SUM(COUNTIF($B63:$B73,$Y62),COUNTIF($B63:$B73,$Z62),COUNTIF($B63:$B73,$AA62),COUNTIF($B63:$B73,$AB62),COUNTIF($B63:$B73,$AC62),COUNTIF($B63:$B73,$AD62),COUNTIF($B63:$B73,$AE62),COUNTIF($B63:$B73,$AF62),COUNTIF($B63:$B73,$AG62),COUNTIF($B63:$B73,$AH62),COUNTIF($B63:$B73,$AI62))=0,S61-SUMPRODUCT($A63:$A73,S63:S73),IF('Data-solution'!$A$3="Maximize",1,-1)*SUM(SUMIF($B63:$B73,$Y62,S63:S73),SUMIF($B63:$B73,$Z62,S63:S73),SUMIF($B63:$B73,$AA62,S63:S73),SUMIF($B63:$B73,$AB62,S63:S73),SUMIF($B63:$B73,$AC62,S63:S73),SUMIF($B63:$B73,$AD62,S63:S73),SUMIF($B63:$B73,$AE62,S63:S73),SUMIF($B63:$B73,$AF62,S63:S73),SUMIF($B63:$B73,$AG62,S63:S73),SUMIF($B63:$B73,$AH62,S63:S73),SUMIF($B63:$B73,$AI62,S63:S73)))</f>
        <v>0</v>
      </c>
      <c r="T74" s="1">
        <f>IF(SUM(COUNTIF($B63:$B73,$Y62),COUNTIF($B63:$B73,$Z62),COUNTIF($B63:$B73,$AA62),COUNTIF($B63:$B73,$AB62),COUNTIF($B63:$B73,$AC62),COUNTIF($B63:$B73,$AD62),COUNTIF($B63:$B73,$AE62),COUNTIF($B63:$B73,$AF62),COUNTIF($B63:$B73,$AG62),COUNTIF($B63:$B73,$AH62),COUNTIF($B63:$B73,$AI62))=0,T61-SUMPRODUCT($A63:$A73,T63:T73),IF('Data-solution'!$A$3="Maximize",1,-1)*SUM(SUMIF($B63:$B73,$Y62,T63:T73),SUMIF($B63:$B73,$Z62,T63:T73),SUMIF($B63:$B73,$AA62,T63:T73),SUMIF($B63:$B73,$AB62,T63:T73),SUMIF($B63:$B73,$AC62,T63:T73),SUMIF($B63:$B73,$AD62,T63:T73),SUMIF($B63:$B73,$AE62,T63:T73),SUMIF($B63:$B73,$AF62,T63:T73),SUMIF($B63:$B73,$AG62,T63:T73),SUMIF($B63:$B73,$AH62,T63:T73),SUMIF($B63:$B73,$AI62,T63:T73)))</f>
        <v>0</v>
      </c>
      <c r="U74" s="1">
        <f>IF(SUM(COUNTIF($B63:$B73,$Y62),COUNTIF($B63:$B73,$Z62),COUNTIF($B63:$B73,$AA62),COUNTIF($B63:$B73,$AB62),COUNTIF($B63:$B73,$AC62),COUNTIF($B63:$B73,$AD62),COUNTIF($B63:$B73,$AE62),COUNTIF($B63:$B73,$AF62),COUNTIF($B63:$B73,$AG62),COUNTIF($B63:$B73,$AH62),COUNTIF($B63:$B73,$AI62))=0,U61-SUMPRODUCT($A63:$A73,U63:U73),IF('Data-solution'!$A$3="Maximize",1,-1)*SUM(SUMIF($B63:$B73,$Y62,U63:U73),SUMIF($B63:$B73,$Z62,U63:U73),SUMIF($B63:$B73,$AA62,U63:U73),SUMIF($B63:$B73,$AB62,U63:U73),SUMIF($B63:$B73,$AC62,U63:U73),SUMIF($B63:$B73,$AD62,U63:U73),SUMIF($B63:$B73,$AE62,U63:U73),SUMIF($B63:$B73,$AF62,U63:U73),SUMIF($B63:$B73,$AG62,U63:U73),SUMIF($B63:$B73,$AH62,U63:U73),SUMIF($B63:$B73,$AI62,U63:U73)))</f>
        <v>0</v>
      </c>
      <c r="V74" s="1">
        <f>IF(SUM(COUNTIF($B63:$B73,$Y62),COUNTIF($B63:$B73,$Z62),COUNTIF($B63:$B73,$AA62),COUNTIF($B63:$B73,$AB62),COUNTIF($B63:$B73,$AC62),COUNTIF($B63:$B73,$AD62),COUNTIF($B63:$B73,$AE62),COUNTIF($B63:$B73,$AF62),COUNTIF($B63:$B73,$AG62),COUNTIF($B63:$B73,$AH62),COUNTIF($B63:$B73,$AI62))=0,V61-SUMPRODUCT($A63:$A73,V63:V73),IF('Data-solution'!$A$3="Maximize",1,-1)*SUM(SUMIF($B63:$B73,$Y62,V63:V73),SUMIF($B63:$B73,$Z62,V63:V73),SUMIF($B63:$B73,$AA62,V63:V73),SUMIF($B63:$B73,$AB62,V63:V73),SUMIF($B63:$B73,$AC62,V63:V73),SUMIF($B63:$B73,$AD62,V63:V73),SUMIF($B63:$B73,$AE62,V63:V73),SUMIF($B63:$B73,$AF62,V63:V73),SUMIF($B63:$B73,$AG62,V63:V73),SUMIF($B63:$B73,$AH62,V63:V73),SUMIF($B63:$B73,$AI62,V63:V73)))</f>
        <v>0</v>
      </c>
      <c r="W74" s="1">
        <f>IF(SUM(COUNTIF($B63:$B73,$Y62),COUNTIF($B63:$B73,$Z62),COUNTIF($B63:$B73,$AA62),COUNTIF($B63:$B73,$AB62),COUNTIF($B63:$B73,$AC62),COUNTIF($B63:$B73,$AD62),COUNTIF($B63:$B73,$AE62),COUNTIF($B63:$B73,$AF62),COUNTIF($B63:$B73,$AG62),COUNTIF($B63:$B73,$AH62),COUNTIF($B63:$B73,$AI62))=0,W61-SUMPRODUCT($A63:$A73,W63:W73),IF('Data-solution'!$A$3="Maximize",1,-1)*SUM(SUMIF($B63:$B73,$Y62,W63:W73),SUMIF($B63:$B73,$Z62,W63:W73),SUMIF($B63:$B73,$AA62,W63:W73),SUMIF($B63:$B73,$AB62,W63:W73),SUMIF($B63:$B73,$AC62,W63:W73),SUMIF($B63:$B73,$AD62,W63:W73),SUMIF($B63:$B73,$AE62,W63:W73),SUMIF($B63:$B73,$AF62,W63:W73),SUMIF($B63:$B73,$AG62,W63:W73),SUMIF($B63:$B73,$AH62,W63:W73),SUMIF($B63:$B73,$AI62,W63:W73)))</f>
        <v>0</v>
      </c>
      <c r="X74" s="1">
        <f>IF(SUM(COUNTIF($B63:$B73,$Y62),COUNTIF($B63:$B73,$Z62),COUNTIF($B63:$B73,$AA62),COUNTIF($B63:$B73,$AB62),COUNTIF($B63:$B73,$AC62),COUNTIF($B63:$B73,$AD62),COUNTIF($B63:$B73,$AE62),COUNTIF($B63:$B73,$AF62),COUNTIF($B63:$B73,$AG62),COUNTIF($B63:$B73,$AH62),COUNTIF($B63:$B73,$AI62))=0,X61-SUMPRODUCT($A63:$A73,X63:X73),IF('Data-solution'!$A$3="Maximize",1,-1)*SUM(SUMIF($B63:$B73,$Y62,X63:X73),SUMIF($B63:$B73,$Z62,X63:X73),SUMIF($B63:$B73,$AA62,X63:X73),SUMIF($B63:$B73,$AB62,X63:X73),SUMIF($B63:$B73,$AC62,X63:X73),SUMIF($B63:$B73,$AD62,X63:X73),SUMIF($B63:$B73,$AE62,X63:X73),SUMIF($B63:$B73,$AF62,X63:X73),SUMIF($B63:$B73,$AG62,X63:X73),SUMIF($B63:$B73,$AH62,X63:X73),SUMIF($B63:$B73,$AI62,X63:X73)))</f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2">
        <f t="shared" ref="AJ74" si="47">IF(SUMPRODUCT(A63:A73,AJ63:AJ73)&gt;=0,SUMPRODUCT(A63:A73,AJ63:AJ73),0)</f>
        <v>120000</v>
      </c>
    </row>
    <row r="76" spans="1:37" ht="18" customHeight="1" x14ac:dyDescent="0.2">
      <c r="A76" s="1" t="s">
        <v>64</v>
      </c>
      <c r="B76" s="2" t="s">
        <v>4</v>
      </c>
      <c r="C76" s="1">
        <f t="shared" ref="C76" si="48">C$1</f>
        <v>150</v>
      </c>
      <c r="D76" s="1">
        <f t="shared" si="4"/>
        <v>200</v>
      </c>
      <c r="E76" s="1">
        <f t="shared" si="4"/>
        <v>350</v>
      </c>
      <c r="F76" s="1">
        <f t="shared" si="4"/>
        <v>0</v>
      </c>
      <c r="G76" s="1">
        <f t="shared" si="4"/>
        <v>0</v>
      </c>
      <c r="H76" s="1">
        <f t="shared" si="4"/>
        <v>0</v>
      </c>
      <c r="I76" s="1">
        <f t="shared" si="4"/>
        <v>0</v>
      </c>
      <c r="J76" s="1">
        <f t="shared" si="4"/>
        <v>0</v>
      </c>
      <c r="K76" s="1">
        <f t="shared" si="4"/>
        <v>0</v>
      </c>
      <c r="L76" s="1">
        <f t="shared" si="4"/>
        <v>0</v>
      </c>
      <c r="M76" s="1">
        <f t="shared" si="4"/>
        <v>0</v>
      </c>
      <c r="N76" s="1">
        <f t="shared" si="4"/>
        <v>0</v>
      </c>
      <c r="O76" s="1">
        <f t="shared" si="4"/>
        <v>0</v>
      </c>
      <c r="P76" s="1">
        <f t="shared" si="4"/>
        <v>0</v>
      </c>
      <c r="Q76" s="1">
        <f t="shared" si="4"/>
        <v>0</v>
      </c>
      <c r="R76" s="1">
        <f t="shared" si="4"/>
        <v>0</v>
      </c>
      <c r="S76" s="1">
        <f t="shared" si="4"/>
        <v>0</v>
      </c>
      <c r="T76" s="1">
        <f t="shared" si="4"/>
        <v>0</v>
      </c>
      <c r="U76" s="1">
        <f t="shared" si="4"/>
        <v>0</v>
      </c>
      <c r="V76" s="1">
        <f t="shared" si="4"/>
        <v>0</v>
      </c>
      <c r="W76" s="1">
        <f t="shared" si="4"/>
        <v>0</v>
      </c>
      <c r="X76" s="1">
        <f t="shared" si="4"/>
        <v>0</v>
      </c>
      <c r="Y76" s="1">
        <f t="shared" si="4"/>
        <v>-999999</v>
      </c>
      <c r="Z76" s="1">
        <f t="shared" si="4"/>
        <v>-999999</v>
      </c>
      <c r="AA76" s="1">
        <f t="shared" si="4"/>
        <v>-999999</v>
      </c>
      <c r="AB76" s="1">
        <f t="shared" si="4"/>
        <v>-999999</v>
      </c>
      <c r="AC76" s="1">
        <f t="shared" si="4"/>
        <v>-999999</v>
      </c>
      <c r="AD76" s="1">
        <f t="shared" si="4"/>
        <v>-999999</v>
      </c>
      <c r="AE76" s="1">
        <f t="shared" si="4"/>
        <v>-999999</v>
      </c>
      <c r="AF76" s="1">
        <f t="shared" si="4"/>
        <v>-999999</v>
      </c>
      <c r="AG76" s="1">
        <f t="shared" si="4"/>
        <v>-999999</v>
      </c>
      <c r="AH76" s="1">
        <f t="shared" si="4"/>
        <v>-999999</v>
      </c>
      <c r="AI76" s="1">
        <f t="shared" si="4"/>
        <v>-999999</v>
      </c>
    </row>
    <row r="77" spans="1:37" ht="18" customHeight="1" x14ac:dyDescent="0.2">
      <c r="A77" s="2" t="s">
        <v>3</v>
      </c>
      <c r="B77" s="2" t="s">
        <v>1</v>
      </c>
      <c r="C77" s="2" t="str">
        <f t="shared" ref="C77" si="49">C$2</f>
        <v>X1</v>
      </c>
      <c r="D77" s="2" t="str">
        <f t="shared" si="7"/>
        <v>X2</v>
      </c>
      <c r="E77" s="2" t="str">
        <f t="shared" si="7"/>
        <v>X3</v>
      </c>
      <c r="F77" s="2" t="str">
        <f t="shared" si="7"/>
        <v>X4</v>
      </c>
      <c r="G77" s="2" t="str">
        <f t="shared" si="7"/>
        <v>X5</v>
      </c>
      <c r="H77" s="2" t="str">
        <f t="shared" si="7"/>
        <v>X6</v>
      </c>
      <c r="I77" s="2" t="str">
        <f t="shared" si="7"/>
        <v>X7</v>
      </c>
      <c r="J77" s="2" t="str">
        <f t="shared" si="7"/>
        <v>X8</v>
      </c>
      <c r="K77" s="2" t="str">
        <f t="shared" si="7"/>
        <v>X9</v>
      </c>
      <c r="L77" s="2" t="str">
        <f t="shared" si="7"/>
        <v>X10</v>
      </c>
      <c r="M77" s="2" t="str">
        <f t="shared" si="7"/>
        <v>X11</v>
      </c>
      <c r="N77" s="2" t="str">
        <f t="shared" si="7"/>
        <v>S1</v>
      </c>
      <c r="O77" s="2" t="str">
        <f t="shared" si="7"/>
        <v>S2</v>
      </c>
      <c r="P77" s="2" t="str">
        <f t="shared" si="7"/>
        <v>S3</v>
      </c>
      <c r="Q77" s="2" t="str">
        <f t="shared" si="7"/>
        <v>S4</v>
      </c>
      <c r="R77" s="2" t="str">
        <f t="shared" si="7"/>
        <v>S5</v>
      </c>
      <c r="S77" s="2" t="str">
        <f t="shared" si="7"/>
        <v>S6</v>
      </c>
      <c r="T77" s="2" t="str">
        <f t="shared" si="7"/>
        <v>S7</v>
      </c>
      <c r="U77" s="2" t="str">
        <f t="shared" si="7"/>
        <v>S8</v>
      </c>
      <c r="V77" s="2" t="str">
        <f t="shared" si="7"/>
        <v>S9</v>
      </c>
      <c r="W77" s="2" t="str">
        <f t="shared" si="7"/>
        <v>S10</v>
      </c>
      <c r="X77" s="2" t="str">
        <f t="shared" si="7"/>
        <v>S11</v>
      </c>
      <c r="Y77" s="2" t="str">
        <f t="shared" si="7"/>
        <v xml:space="preserve"> </v>
      </c>
      <c r="Z77" s="2" t="str">
        <f t="shared" si="7"/>
        <v xml:space="preserve"> </v>
      </c>
      <c r="AA77" s="2" t="str">
        <f t="shared" si="7"/>
        <v xml:space="preserve"> </v>
      </c>
      <c r="AB77" s="2" t="str">
        <f t="shared" si="7"/>
        <v xml:space="preserve"> </v>
      </c>
      <c r="AC77" s="2" t="str">
        <f t="shared" si="7"/>
        <v xml:space="preserve"> </v>
      </c>
      <c r="AD77" s="2" t="str">
        <f t="shared" si="7"/>
        <v xml:space="preserve"> </v>
      </c>
      <c r="AE77" s="2" t="str">
        <f t="shared" si="7"/>
        <v xml:space="preserve"> </v>
      </c>
      <c r="AF77" s="2" t="str">
        <f t="shared" si="7"/>
        <v xml:space="preserve"> </v>
      </c>
      <c r="AG77" s="2" t="str">
        <f t="shared" si="7"/>
        <v xml:space="preserve"> </v>
      </c>
      <c r="AH77" s="2" t="str">
        <f t="shared" si="7"/>
        <v xml:space="preserve"> </v>
      </c>
      <c r="AI77" s="2" t="str">
        <f t="shared" si="7"/>
        <v xml:space="preserve"> </v>
      </c>
      <c r="AJ77" s="2" t="s">
        <v>9</v>
      </c>
      <c r="AK77" s="2" t="s">
        <v>10</v>
      </c>
    </row>
    <row r="78" spans="1:37" ht="18" customHeight="1" x14ac:dyDescent="0.2">
      <c r="A78" s="1">
        <f t="shared" ref="A78" si="50">INDEX(C76:AI76,1,MATCH(B78,C77:AI77,0))</f>
        <v>0</v>
      </c>
      <c r="B78" s="2" t="str">
        <f>IF(AND('Data-solution'!A$3="Maximize",COUNTIF(C74:X74,"&gt;"&amp;0)&gt;0,AK63=MIN(AK63:AK73)),INDEX(C62:X62,1,MATCH(MAX(C74:X74),C74:X74,0)),IF(AND('Data-solution'!A$3="Minimize",COUNTIF(C74:X74,"&lt;"&amp;0)&gt;0,AK63=MIN(AK63:AK73)),INDEX(C62:X62,1,MATCH(MIN(C74:X74),C74:X74,0)),B63))</f>
        <v>S1</v>
      </c>
      <c r="C78" s="1">
        <f>IF(OR($B78&lt;&gt;$B63,$B79&lt;&gt;$B64,$B80&lt;&gt;$B65,$B81&lt;&gt;$B66,$B82&lt;&gt;$B67,$B83&lt;&gt;$B68,$B84&lt;&gt;$B69,$B85&lt;&gt;$B70,$B86&lt;&gt;$B71,$B87&lt;&gt;$B72,$B88&lt;&gt;$B73),IF($B78&lt;&gt;$B63,C63/INDEX($C63:$AJ73,1,MATCH(IF('Data-solution'!$A$3="Maximize",MAX($C74:$AI74),MIN($C74:$AI74)),$C74:$AI74,0)),C63-INDEX($C63:$AJ73,1,MATCH(IF('Data-solution'!$A$3="Maximize",MAX($C74:$AI74),MIN($C74:$AI74)),$C74:$AI74,0))*INDEX(C63:$AJ73,MATCH(MIN($AK63:$AK73),$AK63:$AK73,0),1)/INDEX($C63:$AJ73,MATCH(MIN($AK63:$AK73),$AK63:$AK73,0),MATCH(IF('Data-solution'!$A$3="Maximize",MAX($C74:$AI74),MIN($C74:$AI74)),$C74:$AI74,0))),C63)</f>
        <v>0</v>
      </c>
      <c r="D78" s="1">
        <f>IF(OR($B78&lt;&gt;$B63,$B79&lt;&gt;$B64,$B80&lt;&gt;$B65,$B81&lt;&gt;$B66,$B82&lt;&gt;$B67,$B83&lt;&gt;$B68,$B84&lt;&gt;$B69,$B85&lt;&gt;$B70,$B86&lt;&gt;$B71,$B87&lt;&gt;$B72,$B88&lt;&gt;$B73),IF($B78&lt;&gt;$B63,D63/INDEX($C63:$AJ73,1,MATCH(IF('Data-solution'!$A$3="Maximize",MAX($C74:$AI74),MIN($C74:$AI74)),$C74:$AI74,0)),D63-INDEX($C63:$AJ73,1,MATCH(IF('Data-solution'!$A$3="Maximize",MAX($C74:$AI74),MIN($C74:$AI74)),$C74:$AI74,0))*INDEX(D63:$AJ73,MATCH(MIN($AK63:$AK73),$AK63:$AK73,0),1)/INDEX($C63:$AJ73,MATCH(MIN($AK63:$AK73),$AK63:$AK73,0),MATCH(IF('Data-solution'!$A$3="Maximize",MAX($C74:$AI74),MIN($C74:$AI74)),$C74:$AI74,0))),D63)</f>
        <v>1</v>
      </c>
      <c r="E78" s="1">
        <f>IF(OR($B78&lt;&gt;$B63,$B79&lt;&gt;$B64,$B80&lt;&gt;$B65,$B81&lt;&gt;$B66,$B82&lt;&gt;$B67,$B83&lt;&gt;$B68,$B84&lt;&gt;$B69,$B85&lt;&gt;$B70,$B86&lt;&gt;$B71,$B87&lt;&gt;$B72,$B88&lt;&gt;$B73),IF($B78&lt;&gt;$B63,E63/INDEX($C63:$AJ73,1,MATCH(IF('Data-solution'!$A$3="Maximize",MAX($C74:$AI74),MIN($C74:$AI74)),$C74:$AI74,0)),E63-INDEX($C63:$AJ73,1,MATCH(IF('Data-solution'!$A$3="Maximize",MAX($C74:$AI74),MIN($C74:$AI74)),$C74:$AI74,0))*INDEX(E63:$AJ73,MATCH(MIN($AK63:$AK73),$AK63:$AK73,0),1)/INDEX($C63:$AJ73,MATCH(MIN($AK63:$AK73),$AK63:$AK73,0),MATCH(IF('Data-solution'!$A$3="Maximize",MAX($C74:$AI74),MIN($C74:$AI74)),$C74:$AI74,0))),E63)</f>
        <v>0</v>
      </c>
      <c r="F78" s="1">
        <f>IF(OR($B78&lt;&gt;$B63,$B79&lt;&gt;$B64,$B80&lt;&gt;$B65,$B81&lt;&gt;$B66,$B82&lt;&gt;$B67,$B83&lt;&gt;$B68,$B84&lt;&gt;$B69,$B85&lt;&gt;$B70,$B86&lt;&gt;$B71,$B87&lt;&gt;$B72,$B88&lt;&gt;$B73),IF($B78&lt;&gt;$B63,F63/INDEX($C63:$AJ73,1,MATCH(IF('Data-solution'!$A$3="Maximize",MAX($C74:$AI74),MIN($C74:$AI74)),$C74:$AI74,0)),F63-INDEX($C63:$AJ73,1,MATCH(IF('Data-solution'!$A$3="Maximize",MAX($C74:$AI74),MIN($C74:$AI74)),$C74:$AI74,0))*INDEX(F63:$AJ73,MATCH(MIN($AK63:$AK73),$AK63:$AK73,0),1)/INDEX($C63:$AJ73,MATCH(MIN($AK63:$AK73),$AK63:$AK73,0),MATCH(IF('Data-solution'!$A$3="Maximize",MAX($C74:$AI74),MIN($C74:$AI74)),$C74:$AI74,0))),F63)</f>
        <v>0</v>
      </c>
      <c r="G78" s="1">
        <f>IF(OR($B78&lt;&gt;$B63,$B79&lt;&gt;$B64,$B80&lt;&gt;$B65,$B81&lt;&gt;$B66,$B82&lt;&gt;$B67,$B83&lt;&gt;$B68,$B84&lt;&gt;$B69,$B85&lt;&gt;$B70,$B86&lt;&gt;$B71,$B87&lt;&gt;$B72,$B88&lt;&gt;$B73),IF($B78&lt;&gt;$B63,G63/INDEX($C63:$AJ73,1,MATCH(IF('Data-solution'!$A$3="Maximize",MAX($C74:$AI74),MIN($C74:$AI74)),$C74:$AI74,0)),G63-INDEX($C63:$AJ73,1,MATCH(IF('Data-solution'!$A$3="Maximize",MAX($C74:$AI74),MIN($C74:$AI74)),$C74:$AI74,0))*INDEX(G63:$AJ73,MATCH(MIN($AK63:$AK73),$AK63:$AK73,0),1)/INDEX($C63:$AJ73,MATCH(MIN($AK63:$AK73),$AK63:$AK73,0),MATCH(IF('Data-solution'!$A$3="Maximize",MAX($C74:$AI74),MIN($C74:$AI74)),$C74:$AI74,0))),G63)</f>
        <v>0</v>
      </c>
      <c r="H78" s="1">
        <f>IF(OR($B78&lt;&gt;$B63,$B79&lt;&gt;$B64,$B80&lt;&gt;$B65,$B81&lt;&gt;$B66,$B82&lt;&gt;$B67,$B83&lt;&gt;$B68,$B84&lt;&gt;$B69,$B85&lt;&gt;$B70,$B86&lt;&gt;$B71,$B87&lt;&gt;$B72,$B88&lt;&gt;$B73),IF($B78&lt;&gt;$B63,H63/INDEX($C63:$AJ73,1,MATCH(IF('Data-solution'!$A$3="Maximize",MAX($C74:$AI74),MIN($C74:$AI74)),$C74:$AI74,0)),H63-INDEX($C63:$AJ73,1,MATCH(IF('Data-solution'!$A$3="Maximize",MAX($C74:$AI74),MIN($C74:$AI74)),$C74:$AI74,0))*INDEX(H63:$AJ73,MATCH(MIN($AK63:$AK73),$AK63:$AK73,0),1)/INDEX($C63:$AJ73,MATCH(MIN($AK63:$AK73),$AK63:$AK73,0),MATCH(IF('Data-solution'!$A$3="Maximize",MAX($C74:$AI74),MIN($C74:$AI74)),$C74:$AI74,0))),H63)</f>
        <v>0</v>
      </c>
      <c r="I78" s="1">
        <f>IF(OR($B78&lt;&gt;$B63,$B79&lt;&gt;$B64,$B80&lt;&gt;$B65,$B81&lt;&gt;$B66,$B82&lt;&gt;$B67,$B83&lt;&gt;$B68,$B84&lt;&gt;$B69,$B85&lt;&gt;$B70,$B86&lt;&gt;$B71,$B87&lt;&gt;$B72,$B88&lt;&gt;$B73),IF($B78&lt;&gt;$B63,I63/INDEX($C63:$AJ73,1,MATCH(IF('Data-solution'!$A$3="Maximize",MAX($C74:$AI74),MIN($C74:$AI74)),$C74:$AI74,0)),I63-INDEX($C63:$AJ73,1,MATCH(IF('Data-solution'!$A$3="Maximize",MAX($C74:$AI74),MIN($C74:$AI74)),$C74:$AI74,0))*INDEX(I63:$AJ73,MATCH(MIN($AK63:$AK73),$AK63:$AK73,0),1)/INDEX($C63:$AJ73,MATCH(MIN($AK63:$AK73),$AK63:$AK73,0),MATCH(IF('Data-solution'!$A$3="Maximize",MAX($C74:$AI74),MIN($C74:$AI74)),$C74:$AI74,0))),I63)</f>
        <v>0</v>
      </c>
      <c r="J78" s="1">
        <f>IF(OR($B78&lt;&gt;$B63,$B79&lt;&gt;$B64,$B80&lt;&gt;$B65,$B81&lt;&gt;$B66,$B82&lt;&gt;$B67,$B83&lt;&gt;$B68,$B84&lt;&gt;$B69,$B85&lt;&gt;$B70,$B86&lt;&gt;$B71,$B87&lt;&gt;$B72,$B88&lt;&gt;$B73),IF($B78&lt;&gt;$B63,J63/INDEX($C63:$AJ73,1,MATCH(IF('Data-solution'!$A$3="Maximize",MAX($C74:$AI74),MIN($C74:$AI74)),$C74:$AI74,0)),J63-INDEX($C63:$AJ73,1,MATCH(IF('Data-solution'!$A$3="Maximize",MAX($C74:$AI74),MIN($C74:$AI74)),$C74:$AI74,0))*INDEX(J63:$AJ73,MATCH(MIN($AK63:$AK73),$AK63:$AK73,0),1)/INDEX($C63:$AJ73,MATCH(MIN($AK63:$AK73),$AK63:$AK73,0),MATCH(IF('Data-solution'!$A$3="Maximize",MAX($C74:$AI74),MIN($C74:$AI74)),$C74:$AI74,0))),J63)</f>
        <v>0</v>
      </c>
      <c r="K78" s="1">
        <f>IF(OR($B78&lt;&gt;$B63,$B79&lt;&gt;$B64,$B80&lt;&gt;$B65,$B81&lt;&gt;$B66,$B82&lt;&gt;$B67,$B83&lt;&gt;$B68,$B84&lt;&gt;$B69,$B85&lt;&gt;$B70,$B86&lt;&gt;$B71,$B87&lt;&gt;$B72,$B88&lt;&gt;$B73),IF($B78&lt;&gt;$B63,K63/INDEX($C63:$AJ73,1,MATCH(IF('Data-solution'!$A$3="Maximize",MAX($C74:$AI74),MIN($C74:$AI74)),$C74:$AI74,0)),K63-INDEX($C63:$AJ73,1,MATCH(IF('Data-solution'!$A$3="Maximize",MAX($C74:$AI74),MIN($C74:$AI74)),$C74:$AI74,0))*INDEX(K63:$AJ73,MATCH(MIN($AK63:$AK73),$AK63:$AK73,0),1)/INDEX($C63:$AJ73,MATCH(MIN($AK63:$AK73),$AK63:$AK73,0),MATCH(IF('Data-solution'!$A$3="Maximize",MAX($C74:$AI74),MIN($C74:$AI74)),$C74:$AI74,0))),K63)</f>
        <v>0</v>
      </c>
      <c r="L78" s="1">
        <f>IF(OR($B78&lt;&gt;$B63,$B79&lt;&gt;$B64,$B80&lt;&gt;$B65,$B81&lt;&gt;$B66,$B82&lt;&gt;$B67,$B83&lt;&gt;$B68,$B84&lt;&gt;$B69,$B85&lt;&gt;$B70,$B86&lt;&gt;$B71,$B87&lt;&gt;$B72,$B88&lt;&gt;$B73),IF($B78&lt;&gt;$B63,L63/INDEX($C63:$AJ73,1,MATCH(IF('Data-solution'!$A$3="Maximize",MAX($C74:$AI74),MIN($C74:$AI74)),$C74:$AI74,0)),L63-INDEX($C63:$AJ73,1,MATCH(IF('Data-solution'!$A$3="Maximize",MAX($C74:$AI74),MIN($C74:$AI74)),$C74:$AI74,0))*INDEX(L63:$AJ73,MATCH(MIN($AK63:$AK73),$AK63:$AK73,0),1)/INDEX($C63:$AJ73,MATCH(MIN($AK63:$AK73),$AK63:$AK73,0),MATCH(IF('Data-solution'!$A$3="Maximize",MAX($C74:$AI74),MIN($C74:$AI74)),$C74:$AI74,0))),L63)</f>
        <v>0</v>
      </c>
      <c r="M78" s="1">
        <f>IF(OR($B78&lt;&gt;$B63,$B79&lt;&gt;$B64,$B80&lt;&gt;$B65,$B81&lt;&gt;$B66,$B82&lt;&gt;$B67,$B83&lt;&gt;$B68,$B84&lt;&gt;$B69,$B85&lt;&gt;$B70,$B86&lt;&gt;$B71,$B87&lt;&gt;$B72,$B88&lt;&gt;$B73),IF($B78&lt;&gt;$B63,M63/INDEX($C63:$AJ73,1,MATCH(IF('Data-solution'!$A$3="Maximize",MAX($C74:$AI74),MIN($C74:$AI74)),$C74:$AI74,0)),M63-INDEX($C63:$AJ73,1,MATCH(IF('Data-solution'!$A$3="Maximize",MAX($C74:$AI74),MIN($C74:$AI74)),$C74:$AI74,0))*INDEX(M63:$AJ73,MATCH(MIN($AK63:$AK73),$AK63:$AK73,0),1)/INDEX($C63:$AJ73,MATCH(MIN($AK63:$AK73),$AK63:$AK73,0),MATCH(IF('Data-solution'!$A$3="Maximize",MAX($C74:$AI74),MIN($C74:$AI74)),$C74:$AI74,0))),M63)</f>
        <v>0</v>
      </c>
      <c r="N78" s="1">
        <f>IF(OR($B78&lt;&gt;$B63,$B79&lt;&gt;$B64,$B80&lt;&gt;$B65,$B81&lt;&gt;$B66,$B82&lt;&gt;$B67,$B83&lt;&gt;$B68,$B84&lt;&gt;$B69,$B85&lt;&gt;$B70,$B86&lt;&gt;$B71,$B87&lt;&gt;$B72,$B88&lt;&gt;$B73),IF($B78&lt;&gt;$B63,N63/INDEX($C63:$AJ73,1,MATCH(IF('Data-solution'!$A$3="Maximize",MAX($C74:$AI74),MIN($C74:$AI74)),$C74:$AI74,0)),N63-INDEX($C63:$AJ73,1,MATCH(IF('Data-solution'!$A$3="Maximize",MAX($C74:$AI74),MIN($C74:$AI74)),$C74:$AI74,0))*INDEX(N63:$AJ73,MATCH(MIN($AK63:$AK73),$AK63:$AK73,0),1)/INDEX($C63:$AJ73,MATCH(MIN($AK63:$AK73),$AK63:$AK73,0),MATCH(IF('Data-solution'!$A$3="Maximize",MAX($C74:$AI74),MIN($C74:$AI74)),$C74:$AI74,0))),N63)</f>
        <v>1</v>
      </c>
      <c r="O78" s="1">
        <f>IF(OR($B78&lt;&gt;$B63,$B79&lt;&gt;$B64,$B80&lt;&gt;$B65,$B81&lt;&gt;$B66,$B82&lt;&gt;$B67,$B83&lt;&gt;$B68,$B84&lt;&gt;$B69,$B85&lt;&gt;$B70,$B86&lt;&gt;$B71,$B87&lt;&gt;$B72,$B88&lt;&gt;$B73),IF($B78&lt;&gt;$B63,O63/INDEX($C63:$AJ73,1,MATCH(IF('Data-solution'!$A$3="Maximize",MAX($C74:$AI74),MIN($C74:$AI74)),$C74:$AI74,0)),O63-INDEX($C63:$AJ73,1,MATCH(IF('Data-solution'!$A$3="Maximize",MAX($C74:$AI74),MIN($C74:$AI74)),$C74:$AI74,0))*INDEX(O63:$AJ73,MATCH(MIN($AK63:$AK73),$AK63:$AK73,0),1)/INDEX($C63:$AJ73,MATCH(MIN($AK63:$AK73),$AK63:$AK73,0),MATCH(IF('Data-solution'!$A$3="Maximize",MAX($C74:$AI74),MIN($C74:$AI74)),$C74:$AI74,0))),O63)</f>
        <v>0</v>
      </c>
      <c r="P78" s="1">
        <f>IF(OR($B78&lt;&gt;$B63,$B79&lt;&gt;$B64,$B80&lt;&gt;$B65,$B81&lt;&gt;$B66,$B82&lt;&gt;$B67,$B83&lt;&gt;$B68,$B84&lt;&gt;$B69,$B85&lt;&gt;$B70,$B86&lt;&gt;$B71,$B87&lt;&gt;$B72,$B88&lt;&gt;$B73),IF($B78&lt;&gt;$B63,P63/INDEX($C63:$AJ73,1,MATCH(IF('Data-solution'!$A$3="Maximize",MAX($C74:$AI74),MIN($C74:$AI74)),$C74:$AI74,0)),P63-INDEX($C63:$AJ73,1,MATCH(IF('Data-solution'!$A$3="Maximize",MAX($C74:$AI74),MIN($C74:$AI74)),$C74:$AI74,0))*INDEX(P63:$AJ73,MATCH(MIN($AK63:$AK73),$AK63:$AK73,0),1)/INDEX($C63:$AJ73,MATCH(MIN($AK63:$AK73),$AK63:$AK73,0),MATCH(IF('Data-solution'!$A$3="Maximize",MAX($C74:$AI74),MIN($C74:$AI74)),$C74:$AI74,0))),P63)</f>
        <v>0</v>
      </c>
      <c r="Q78" s="1">
        <f>IF(OR($B78&lt;&gt;$B63,$B79&lt;&gt;$B64,$B80&lt;&gt;$B65,$B81&lt;&gt;$B66,$B82&lt;&gt;$B67,$B83&lt;&gt;$B68,$B84&lt;&gt;$B69,$B85&lt;&gt;$B70,$B86&lt;&gt;$B71,$B87&lt;&gt;$B72,$B88&lt;&gt;$B73),IF($B78&lt;&gt;$B63,Q63/INDEX($C63:$AJ73,1,MATCH(IF('Data-solution'!$A$3="Maximize",MAX($C74:$AI74),MIN($C74:$AI74)),$C74:$AI74,0)),Q63-INDEX($C63:$AJ73,1,MATCH(IF('Data-solution'!$A$3="Maximize",MAX($C74:$AI74),MIN($C74:$AI74)),$C74:$AI74,0))*INDEX(Q63:$AJ73,MATCH(MIN($AK63:$AK73),$AK63:$AK73,0),1)/INDEX($C63:$AJ73,MATCH(MIN($AK63:$AK73),$AK63:$AK73,0),MATCH(IF('Data-solution'!$A$3="Maximize",MAX($C74:$AI74),MIN($C74:$AI74)),$C74:$AI74,0))),Q63)</f>
        <v>-1</v>
      </c>
      <c r="R78" s="1">
        <f>IF(OR($B78&lt;&gt;$B63,$B79&lt;&gt;$B64,$B80&lt;&gt;$B65,$B81&lt;&gt;$B66,$B82&lt;&gt;$B67,$B83&lt;&gt;$B68,$B84&lt;&gt;$B69,$B85&lt;&gt;$B70,$B86&lt;&gt;$B71,$B87&lt;&gt;$B72,$B88&lt;&gt;$B73),IF($B78&lt;&gt;$B63,R63/INDEX($C63:$AJ73,1,MATCH(IF('Data-solution'!$A$3="Maximize",MAX($C74:$AI74),MIN($C74:$AI74)),$C74:$AI74,0)),R63-INDEX($C63:$AJ73,1,MATCH(IF('Data-solution'!$A$3="Maximize",MAX($C74:$AI74),MIN($C74:$AI74)),$C74:$AI74,0))*INDEX(R63:$AJ73,MATCH(MIN($AK63:$AK73),$AK63:$AK73,0),1)/INDEX($C63:$AJ73,MATCH(MIN($AK63:$AK73),$AK63:$AK73,0),MATCH(IF('Data-solution'!$A$3="Maximize",MAX($C74:$AI74),MIN($C74:$AI74)),$C74:$AI74,0))),R63)</f>
        <v>0</v>
      </c>
      <c r="S78" s="1">
        <f>IF(OR($B78&lt;&gt;$B63,$B79&lt;&gt;$B64,$B80&lt;&gt;$B65,$B81&lt;&gt;$B66,$B82&lt;&gt;$B67,$B83&lt;&gt;$B68,$B84&lt;&gt;$B69,$B85&lt;&gt;$B70,$B86&lt;&gt;$B71,$B87&lt;&gt;$B72,$B88&lt;&gt;$B73),IF($B78&lt;&gt;$B63,S63/INDEX($C63:$AJ73,1,MATCH(IF('Data-solution'!$A$3="Maximize",MAX($C74:$AI74),MIN($C74:$AI74)),$C74:$AI74,0)),S63-INDEX($C63:$AJ73,1,MATCH(IF('Data-solution'!$A$3="Maximize",MAX($C74:$AI74),MIN($C74:$AI74)),$C74:$AI74,0))*INDEX(S63:$AJ73,MATCH(MIN($AK63:$AK73),$AK63:$AK73,0),1)/INDEX($C63:$AJ73,MATCH(MIN($AK63:$AK73),$AK63:$AK73,0),MATCH(IF('Data-solution'!$A$3="Maximize",MAX($C74:$AI74),MIN($C74:$AI74)),$C74:$AI74,0))),S63)</f>
        <v>0</v>
      </c>
      <c r="T78" s="1">
        <f>IF(OR($B78&lt;&gt;$B63,$B79&lt;&gt;$B64,$B80&lt;&gt;$B65,$B81&lt;&gt;$B66,$B82&lt;&gt;$B67,$B83&lt;&gt;$B68,$B84&lt;&gt;$B69,$B85&lt;&gt;$B70,$B86&lt;&gt;$B71,$B87&lt;&gt;$B72,$B88&lt;&gt;$B73),IF($B78&lt;&gt;$B63,T63/INDEX($C63:$AJ73,1,MATCH(IF('Data-solution'!$A$3="Maximize",MAX($C74:$AI74),MIN($C74:$AI74)),$C74:$AI74,0)),T63-INDEX($C63:$AJ73,1,MATCH(IF('Data-solution'!$A$3="Maximize",MAX($C74:$AI74),MIN($C74:$AI74)),$C74:$AI74,0))*INDEX(T63:$AJ73,MATCH(MIN($AK63:$AK73),$AK63:$AK73,0),1)/INDEX($C63:$AJ73,MATCH(MIN($AK63:$AK73),$AK63:$AK73,0),MATCH(IF('Data-solution'!$A$3="Maximize",MAX($C74:$AI74),MIN($C74:$AI74)),$C74:$AI74,0))),T63)</f>
        <v>0</v>
      </c>
      <c r="U78" s="1">
        <f>IF(OR($B78&lt;&gt;$B63,$B79&lt;&gt;$B64,$B80&lt;&gt;$B65,$B81&lt;&gt;$B66,$B82&lt;&gt;$B67,$B83&lt;&gt;$B68,$B84&lt;&gt;$B69,$B85&lt;&gt;$B70,$B86&lt;&gt;$B71,$B87&lt;&gt;$B72,$B88&lt;&gt;$B73),IF($B78&lt;&gt;$B63,U63/INDEX($C63:$AJ73,1,MATCH(IF('Data-solution'!$A$3="Maximize",MAX($C74:$AI74),MIN($C74:$AI74)),$C74:$AI74,0)),U63-INDEX($C63:$AJ73,1,MATCH(IF('Data-solution'!$A$3="Maximize",MAX($C74:$AI74),MIN($C74:$AI74)),$C74:$AI74,0))*INDEX(U63:$AJ73,MATCH(MIN($AK63:$AK73),$AK63:$AK73,0),1)/INDEX($C63:$AJ73,MATCH(MIN($AK63:$AK73),$AK63:$AK73,0),MATCH(IF('Data-solution'!$A$3="Maximize",MAX($C74:$AI74),MIN($C74:$AI74)),$C74:$AI74,0))),U63)</f>
        <v>0</v>
      </c>
      <c r="V78" s="1">
        <f>IF(OR($B78&lt;&gt;$B63,$B79&lt;&gt;$B64,$B80&lt;&gt;$B65,$B81&lt;&gt;$B66,$B82&lt;&gt;$B67,$B83&lt;&gt;$B68,$B84&lt;&gt;$B69,$B85&lt;&gt;$B70,$B86&lt;&gt;$B71,$B87&lt;&gt;$B72,$B88&lt;&gt;$B73),IF($B78&lt;&gt;$B63,V63/INDEX($C63:$AJ73,1,MATCH(IF('Data-solution'!$A$3="Maximize",MAX($C74:$AI74),MIN($C74:$AI74)),$C74:$AI74,0)),V63-INDEX($C63:$AJ73,1,MATCH(IF('Data-solution'!$A$3="Maximize",MAX($C74:$AI74),MIN($C74:$AI74)),$C74:$AI74,0))*INDEX(V63:$AJ73,MATCH(MIN($AK63:$AK73),$AK63:$AK73,0),1)/INDEX($C63:$AJ73,MATCH(MIN($AK63:$AK73),$AK63:$AK73,0),MATCH(IF('Data-solution'!$A$3="Maximize",MAX($C74:$AI74),MIN($C74:$AI74)),$C74:$AI74,0))),V63)</f>
        <v>0</v>
      </c>
      <c r="W78" s="1">
        <f>IF(OR($B78&lt;&gt;$B63,$B79&lt;&gt;$B64,$B80&lt;&gt;$B65,$B81&lt;&gt;$B66,$B82&lt;&gt;$B67,$B83&lt;&gt;$B68,$B84&lt;&gt;$B69,$B85&lt;&gt;$B70,$B86&lt;&gt;$B71,$B87&lt;&gt;$B72,$B88&lt;&gt;$B73),IF($B78&lt;&gt;$B63,W63/INDEX($C63:$AJ73,1,MATCH(IF('Data-solution'!$A$3="Maximize",MAX($C74:$AI74),MIN($C74:$AI74)),$C74:$AI74,0)),W63-INDEX($C63:$AJ73,1,MATCH(IF('Data-solution'!$A$3="Maximize",MAX($C74:$AI74),MIN($C74:$AI74)),$C74:$AI74,0))*INDEX(W63:$AJ73,MATCH(MIN($AK63:$AK73),$AK63:$AK73,0),1)/INDEX($C63:$AJ73,MATCH(MIN($AK63:$AK73),$AK63:$AK73,0),MATCH(IF('Data-solution'!$A$3="Maximize",MAX($C74:$AI74),MIN($C74:$AI74)),$C74:$AI74,0))),W63)</f>
        <v>0</v>
      </c>
      <c r="X78" s="1">
        <f>IF(OR($B78&lt;&gt;$B63,$B79&lt;&gt;$B64,$B80&lt;&gt;$B65,$B81&lt;&gt;$B66,$B82&lt;&gt;$B67,$B83&lt;&gt;$B68,$B84&lt;&gt;$B69,$B85&lt;&gt;$B70,$B86&lt;&gt;$B71,$B87&lt;&gt;$B72,$B88&lt;&gt;$B73),IF($B78&lt;&gt;$B63,X63/INDEX($C63:$AJ73,1,MATCH(IF('Data-solution'!$A$3="Maximize",MAX($C74:$AI74),MIN($C74:$AI74)),$C74:$AI74,0)),X63-INDEX($C63:$AJ73,1,MATCH(IF('Data-solution'!$A$3="Maximize",MAX($C74:$AI74),MIN($C74:$AI74)),$C74:$AI74,0))*INDEX(X63:$AJ73,MATCH(MIN($AK63:$AK73),$AK63:$AK73,0),1)/INDEX($C63:$AJ73,MATCH(MIN($AK63:$AK73),$AK63:$AK73,0),MATCH(IF('Data-solution'!$A$3="Maximize",MAX($C74:$AI74),MIN($C74:$AI74)),$C74:$AI74,0))),X63)</f>
        <v>0</v>
      </c>
      <c r="Y78" s="1">
        <f>IF(OR($B78&lt;&gt;$B63,$B79&lt;&gt;$B64,$B80&lt;&gt;$B65,$B81&lt;&gt;$B66,$B82&lt;&gt;$B67,$B83&lt;&gt;$B68,$B84&lt;&gt;$B69,$B85&lt;&gt;$B70,$B86&lt;&gt;$B71,$B87&lt;&gt;$B72,$B88&lt;&gt;$B73),IF($B78&lt;&gt;$B63,Y63/INDEX($C63:$AJ73,1,MATCH(IF('Data-solution'!$A$3="Maximize",MAX($C74:$AI74),MIN($C74:$AI74)),$C74:$AI74,0)),Y63-INDEX($C63:$AJ73,1,MATCH(IF('Data-solution'!$A$3="Maximize",MAX($C74:$AI74),MIN($C74:$AI74)),$C74:$AI74,0))*INDEX(Y63:$AJ73,MATCH(MIN($AK63:$AK73),$AK63:$AK73,0),1)/INDEX($C63:$AJ73,MATCH(MIN($AK63:$AK73),$AK63:$AK73,0),MATCH(IF('Data-solution'!$A$3="Maximize",MAX($C74:$AI74),MIN($C74:$AI74)),$C74:$AI74,0))),Y63)</f>
        <v>1</v>
      </c>
      <c r="Z78" s="1">
        <f>IF(OR($B78&lt;&gt;$B63,$B79&lt;&gt;$B64,$B80&lt;&gt;$B65,$B81&lt;&gt;$B66,$B82&lt;&gt;$B67,$B83&lt;&gt;$B68,$B84&lt;&gt;$B69,$B85&lt;&gt;$B70,$B86&lt;&gt;$B71,$B87&lt;&gt;$B72,$B88&lt;&gt;$B73),IF($B78&lt;&gt;$B63,Z63/INDEX($C63:$AJ73,1,MATCH(IF('Data-solution'!$A$3="Maximize",MAX($C74:$AI74),MIN($C74:$AI74)),$C74:$AI74,0)),Z63-INDEX($C63:$AJ73,1,MATCH(IF('Data-solution'!$A$3="Maximize",MAX($C74:$AI74),MIN($C74:$AI74)),$C74:$AI74,0))*INDEX(Z63:$AJ73,MATCH(MIN($AK63:$AK73),$AK63:$AK73,0),1)/INDEX($C63:$AJ73,MATCH(MIN($AK63:$AK73),$AK63:$AK73,0),MATCH(IF('Data-solution'!$A$3="Maximize",MAX($C74:$AI74),MIN($C74:$AI74)),$C74:$AI74,0))),Z63)</f>
        <v>0</v>
      </c>
      <c r="AA78" s="1">
        <f>IF(OR($B78&lt;&gt;$B63,$B79&lt;&gt;$B64,$B80&lt;&gt;$B65,$B81&lt;&gt;$B66,$B82&lt;&gt;$B67,$B83&lt;&gt;$B68,$B84&lt;&gt;$B69,$B85&lt;&gt;$B70,$B86&lt;&gt;$B71,$B87&lt;&gt;$B72,$B88&lt;&gt;$B73),IF($B78&lt;&gt;$B63,AA63/INDEX($C63:$AJ73,1,MATCH(IF('Data-solution'!$A$3="Maximize",MAX($C74:$AI74),MIN($C74:$AI74)),$C74:$AI74,0)),AA63-INDEX($C63:$AJ73,1,MATCH(IF('Data-solution'!$A$3="Maximize",MAX($C74:$AI74),MIN($C74:$AI74)),$C74:$AI74,0))*INDEX(AA63:$AJ73,MATCH(MIN($AK63:$AK73),$AK63:$AK73,0),1)/INDEX($C63:$AJ73,MATCH(MIN($AK63:$AK73),$AK63:$AK73,0),MATCH(IF('Data-solution'!$A$3="Maximize",MAX($C74:$AI74),MIN($C74:$AI74)),$C74:$AI74,0))),AA63)</f>
        <v>0</v>
      </c>
      <c r="AB78" s="1">
        <f>IF(OR($B78&lt;&gt;$B63,$B79&lt;&gt;$B64,$B80&lt;&gt;$B65,$B81&lt;&gt;$B66,$B82&lt;&gt;$B67,$B83&lt;&gt;$B68,$B84&lt;&gt;$B69,$B85&lt;&gt;$B70,$B86&lt;&gt;$B71,$B87&lt;&gt;$B72,$B88&lt;&gt;$B73),IF($B78&lt;&gt;$B63,AB63/INDEX($C63:$AJ73,1,MATCH(IF('Data-solution'!$A$3="Maximize",MAX($C74:$AI74),MIN($C74:$AI74)),$C74:$AI74,0)),AB63-INDEX($C63:$AJ73,1,MATCH(IF('Data-solution'!$A$3="Maximize",MAX($C74:$AI74),MIN($C74:$AI74)),$C74:$AI74,0))*INDEX(AB63:$AJ73,MATCH(MIN($AK63:$AK73),$AK63:$AK73,0),1)/INDEX($C63:$AJ73,MATCH(MIN($AK63:$AK73),$AK63:$AK73,0),MATCH(IF('Data-solution'!$A$3="Maximize",MAX($C74:$AI74),MIN($C74:$AI74)),$C74:$AI74,0))),AB63)</f>
        <v>-1</v>
      </c>
      <c r="AC78" s="1">
        <f>IF(OR($B78&lt;&gt;$B63,$B79&lt;&gt;$B64,$B80&lt;&gt;$B65,$B81&lt;&gt;$B66,$B82&lt;&gt;$B67,$B83&lt;&gt;$B68,$B84&lt;&gt;$B69,$B85&lt;&gt;$B70,$B86&lt;&gt;$B71,$B87&lt;&gt;$B72,$B88&lt;&gt;$B73),IF($B78&lt;&gt;$B63,AC63/INDEX($C63:$AJ73,1,MATCH(IF('Data-solution'!$A$3="Maximize",MAX($C74:$AI74),MIN($C74:$AI74)),$C74:$AI74,0)),AC63-INDEX($C63:$AJ73,1,MATCH(IF('Data-solution'!$A$3="Maximize",MAX($C74:$AI74),MIN($C74:$AI74)),$C74:$AI74,0))*INDEX(AC63:$AJ73,MATCH(MIN($AK63:$AK73),$AK63:$AK73,0),1)/INDEX($C63:$AJ73,MATCH(MIN($AK63:$AK73),$AK63:$AK73,0),MATCH(IF('Data-solution'!$A$3="Maximize",MAX($C74:$AI74),MIN($C74:$AI74)),$C74:$AI74,0))),AC63)</f>
        <v>0</v>
      </c>
      <c r="AD78" s="1">
        <f>IF(OR($B78&lt;&gt;$B63,$B79&lt;&gt;$B64,$B80&lt;&gt;$B65,$B81&lt;&gt;$B66,$B82&lt;&gt;$B67,$B83&lt;&gt;$B68,$B84&lt;&gt;$B69,$B85&lt;&gt;$B70,$B86&lt;&gt;$B71,$B87&lt;&gt;$B72,$B88&lt;&gt;$B73),IF($B78&lt;&gt;$B63,AD63/INDEX($C63:$AJ73,1,MATCH(IF('Data-solution'!$A$3="Maximize",MAX($C74:$AI74),MIN($C74:$AI74)),$C74:$AI74,0)),AD63-INDEX($C63:$AJ73,1,MATCH(IF('Data-solution'!$A$3="Maximize",MAX($C74:$AI74),MIN($C74:$AI74)),$C74:$AI74,0))*INDEX(AD63:$AJ73,MATCH(MIN($AK63:$AK73),$AK63:$AK73,0),1)/INDEX($C63:$AJ73,MATCH(MIN($AK63:$AK73),$AK63:$AK73,0),MATCH(IF('Data-solution'!$A$3="Maximize",MAX($C74:$AI74),MIN($C74:$AI74)),$C74:$AI74,0))),AD63)</f>
        <v>0</v>
      </c>
      <c r="AE78" s="1">
        <f>IF(OR($B78&lt;&gt;$B63,$B79&lt;&gt;$B64,$B80&lt;&gt;$B65,$B81&lt;&gt;$B66,$B82&lt;&gt;$B67,$B83&lt;&gt;$B68,$B84&lt;&gt;$B69,$B85&lt;&gt;$B70,$B86&lt;&gt;$B71,$B87&lt;&gt;$B72,$B88&lt;&gt;$B73),IF($B78&lt;&gt;$B63,AE63/INDEX($C63:$AJ73,1,MATCH(IF('Data-solution'!$A$3="Maximize",MAX($C74:$AI74),MIN($C74:$AI74)),$C74:$AI74,0)),AE63-INDEX($C63:$AJ73,1,MATCH(IF('Data-solution'!$A$3="Maximize",MAX($C74:$AI74),MIN($C74:$AI74)),$C74:$AI74,0))*INDEX(AE63:$AJ73,MATCH(MIN($AK63:$AK73),$AK63:$AK73,0),1)/INDEX($C63:$AJ73,MATCH(MIN($AK63:$AK73),$AK63:$AK73,0),MATCH(IF('Data-solution'!$A$3="Maximize",MAX($C74:$AI74),MIN($C74:$AI74)),$C74:$AI74,0))),AE63)</f>
        <v>0</v>
      </c>
      <c r="AF78" s="1">
        <f>IF(OR($B78&lt;&gt;$B63,$B79&lt;&gt;$B64,$B80&lt;&gt;$B65,$B81&lt;&gt;$B66,$B82&lt;&gt;$B67,$B83&lt;&gt;$B68,$B84&lt;&gt;$B69,$B85&lt;&gt;$B70,$B86&lt;&gt;$B71,$B87&lt;&gt;$B72,$B88&lt;&gt;$B73),IF($B78&lt;&gt;$B63,AF63/INDEX($C63:$AJ73,1,MATCH(IF('Data-solution'!$A$3="Maximize",MAX($C74:$AI74),MIN($C74:$AI74)),$C74:$AI74,0)),AF63-INDEX($C63:$AJ73,1,MATCH(IF('Data-solution'!$A$3="Maximize",MAX($C74:$AI74),MIN($C74:$AI74)),$C74:$AI74,0))*INDEX(AF63:$AJ73,MATCH(MIN($AK63:$AK73),$AK63:$AK73,0),1)/INDEX($C63:$AJ73,MATCH(MIN($AK63:$AK73),$AK63:$AK73,0),MATCH(IF('Data-solution'!$A$3="Maximize",MAX($C74:$AI74),MIN($C74:$AI74)),$C74:$AI74,0))),AF63)</f>
        <v>0</v>
      </c>
      <c r="AG78" s="1">
        <f>IF(OR($B78&lt;&gt;$B63,$B79&lt;&gt;$B64,$B80&lt;&gt;$B65,$B81&lt;&gt;$B66,$B82&lt;&gt;$B67,$B83&lt;&gt;$B68,$B84&lt;&gt;$B69,$B85&lt;&gt;$B70,$B86&lt;&gt;$B71,$B87&lt;&gt;$B72,$B88&lt;&gt;$B73),IF($B78&lt;&gt;$B63,AG63/INDEX($C63:$AJ73,1,MATCH(IF('Data-solution'!$A$3="Maximize",MAX($C74:$AI74),MIN($C74:$AI74)),$C74:$AI74,0)),AG63-INDEX($C63:$AJ73,1,MATCH(IF('Data-solution'!$A$3="Maximize",MAX($C74:$AI74),MIN($C74:$AI74)),$C74:$AI74,0))*INDEX(AG63:$AJ73,MATCH(MIN($AK63:$AK73),$AK63:$AK73,0),1)/INDEX($C63:$AJ73,MATCH(MIN($AK63:$AK73),$AK63:$AK73,0),MATCH(IF('Data-solution'!$A$3="Maximize",MAX($C74:$AI74),MIN($C74:$AI74)),$C74:$AI74,0))),AG63)</f>
        <v>0</v>
      </c>
      <c r="AH78" s="1">
        <f>IF(OR($B78&lt;&gt;$B63,$B79&lt;&gt;$B64,$B80&lt;&gt;$B65,$B81&lt;&gt;$B66,$B82&lt;&gt;$B67,$B83&lt;&gt;$B68,$B84&lt;&gt;$B69,$B85&lt;&gt;$B70,$B86&lt;&gt;$B71,$B87&lt;&gt;$B72,$B88&lt;&gt;$B73),IF($B78&lt;&gt;$B63,AH63/INDEX($C63:$AJ73,1,MATCH(IF('Data-solution'!$A$3="Maximize",MAX($C74:$AI74),MIN($C74:$AI74)),$C74:$AI74,0)),AH63-INDEX($C63:$AJ73,1,MATCH(IF('Data-solution'!$A$3="Maximize",MAX($C74:$AI74),MIN($C74:$AI74)),$C74:$AI74,0))*INDEX(AH63:$AJ73,MATCH(MIN($AK63:$AK73),$AK63:$AK73,0),1)/INDEX($C63:$AJ73,MATCH(MIN($AK63:$AK73),$AK63:$AK73,0),MATCH(IF('Data-solution'!$A$3="Maximize",MAX($C74:$AI74),MIN($C74:$AI74)),$C74:$AI74,0))),AH63)</f>
        <v>0</v>
      </c>
      <c r="AI78" s="1">
        <f>IF(OR($B78&lt;&gt;$B63,$B79&lt;&gt;$B64,$B80&lt;&gt;$B65,$B81&lt;&gt;$B66,$B82&lt;&gt;$B67,$B83&lt;&gt;$B68,$B84&lt;&gt;$B69,$B85&lt;&gt;$B70,$B86&lt;&gt;$B71,$B87&lt;&gt;$B72,$B88&lt;&gt;$B73),IF($B78&lt;&gt;$B63,AI63/INDEX($C63:$AJ73,1,MATCH(IF('Data-solution'!$A$3="Maximize",MAX($C74:$AI74),MIN($C74:$AI74)),$C74:$AI74,0)),AI63-INDEX($C63:$AJ73,1,MATCH(IF('Data-solution'!$A$3="Maximize",MAX($C74:$AI74),MIN($C74:$AI74)),$C74:$AI74,0))*INDEX(AI63:$AJ73,MATCH(MIN($AK63:$AK73),$AK63:$AK73,0),1)/INDEX($C63:$AJ73,MATCH(MIN($AK63:$AK73),$AK63:$AK73,0),MATCH(IF('Data-solution'!$A$3="Maximize",MAX($C74:$AI74),MIN($C74:$AI74)),$C74:$AI74,0))),AI63)</f>
        <v>0</v>
      </c>
      <c r="AJ78" s="1">
        <f>IF(OR($B78&lt;&gt;$B63,$B79&lt;&gt;$B64,$B80&lt;&gt;$B65,$B81&lt;&gt;$B66,$B82&lt;&gt;$B67,$B83&lt;&gt;$B68,$B84&lt;&gt;$B69,$B85&lt;&gt;$B70,$B86&lt;&gt;$B71,$B87&lt;&gt;$B72,$B88&lt;&gt;$B73),IF($B78&lt;&gt;$B63,AJ63/INDEX($C63:$AJ73,1,MATCH(IF('Data-solution'!$A$3="Maximize",MAX($C74:$AI74),MIN($C74:$AI74)),$C74:$AI74,0)),AJ63-INDEX($C63:$AJ73,1,MATCH(IF('Data-solution'!$A$3="Maximize",MAX($C74:$AI74),MIN($C74:$AI74)),$C74:$AI74,0))*INDEX(AJ63:$AJ73,MATCH(MIN($AK63:$AK73),$AK63:$AK73,0),1)/INDEX($C63:$AJ73,MATCH(MIN($AK63:$AK73),$AK63:$AK73,0),MATCH(IF('Data-solution'!$A$3="Maximize",MAX($C74:$AI74),MIN($C74:$AI74)),$C74:$AI74,0))),AJ63)</f>
        <v>150</v>
      </c>
      <c r="AK78" s="1" t="str">
        <f>IF(INDEX(C78:X78,1,MATCH(IF('Data-solution'!A$3="Maximize",MAX(C89:X89),MIN(C89:X89)),C89:X89,0))&gt;0,AJ78/INDEX(C78:X78,1,MATCH(IF('Data-solution'!A$3="Maximize",MAX(C89:X89),MIN(C89:X89)),C89:X89,0))," ")</f>
        <v xml:space="preserve"> </v>
      </c>
    </row>
    <row r="79" spans="1:37" ht="18" customHeight="1" x14ac:dyDescent="0.2">
      <c r="A79" s="1">
        <f t="shared" ref="A79" si="51">INDEX(C76:AI76,1,MATCH(B79,C77:AI77,0))</f>
        <v>0</v>
      </c>
      <c r="B79" s="2" t="str">
        <f>IF(AND('Data-solution'!A$3="Maximize",COUNTIF(C74:X74,"&gt;"&amp;0)&gt;0,AK64=MIN(AK63:AK73),COUNTIF(B78,INDEX(C62:X62,1,MATCH(MAX(C74:X74),C74:X74,0)))=0),INDEX(C62:X62,1,MATCH(MAX(C74:X74),C74:X74,0)),IF(AND('Data-solution'!A$3="Minimize",COUNTIF(C74:X74,"&lt;"&amp;0)&gt;0,AK64=MIN(AK63:AK73),COUNTIF(B78,INDEX(C62:X62,1,MATCH(MIN(C74:X74),C74:X74,0)))=0),INDEX(C62:X62,1,MATCH(MIN(C74:X74),C74:X74,0)),B64))</f>
        <v>S2</v>
      </c>
      <c r="C79" s="1">
        <f>IF(OR($B78&lt;&gt;$B63,$B79&lt;&gt;$B64,$B80&lt;&gt;$B65,$B81&lt;&gt;$B66,$B82&lt;&gt;$B67,$B83&lt;&gt;$B68,$B84&lt;&gt;$B69,$B85&lt;&gt;$B70,$B86&lt;&gt;$B71,$B87&lt;&gt;$B72,$B88&lt;&gt;$B73),IF($B79&lt;&gt;$B64,C64/INDEX($C63:$AJ73,2,MATCH(IF('Data-solution'!$A$3="Maximize",MAX($C74:$AI74),MIN($C74:$AI74)),$C74:$AI74,0)),C64-INDEX($C63:$AJ73,2,MATCH(IF('Data-solution'!$A$3="Maximize",MAX($C74:$AI74),MIN($C74:$AI74)),$C74:$AI74,0))*INDEX(C63:$AJ73,MATCH(MIN($AK63:$AK73),$AK63:$AK73,0),1)/INDEX($C63:$AJ73,MATCH(MIN($AK63:$AK73),$AK63:$AK73,0),MATCH(IF('Data-solution'!$A$3="Maximize",MAX($C74:$AI74),MIN($C74:$AI74)),$C74:$AI74,0))),C64)</f>
        <v>0</v>
      </c>
      <c r="D79" s="1">
        <f>IF(OR($B78&lt;&gt;$B63,$B79&lt;&gt;$B64,$B80&lt;&gt;$B65,$B81&lt;&gt;$B66,$B82&lt;&gt;$B67,$B83&lt;&gt;$B68,$B84&lt;&gt;$B69,$B85&lt;&gt;$B70,$B86&lt;&gt;$B71,$B87&lt;&gt;$B72,$B88&lt;&gt;$B73),IF($B79&lt;&gt;$B64,D64/INDEX($C63:$AJ73,2,MATCH(IF('Data-solution'!$A$3="Maximize",MAX($C74:$AI74),MIN($C74:$AI74)),$C74:$AI74,0)),D64-INDEX($C63:$AJ73,2,MATCH(IF('Data-solution'!$A$3="Maximize",MAX($C74:$AI74),MIN($C74:$AI74)),$C74:$AI74,0))*INDEX(D63:$AJ73,MATCH(MIN($AK63:$AK73),$AK63:$AK73,0),1)/INDEX($C63:$AJ73,MATCH(MIN($AK63:$AK73),$AK63:$AK73,0),MATCH(IF('Data-solution'!$A$3="Maximize",MAX($C74:$AI74),MIN($C74:$AI74)),$C74:$AI74,0))),D64)</f>
        <v>1.75</v>
      </c>
      <c r="E79" s="1">
        <f>IF(OR($B78&lt;&gt;$B63,$B79&lt;&gt;$B64,$B80&lt;&gt;$B65,$B81&lt;&gt;$B66,$B82&lt;&gt;$B67,$B83&lt;&gt;$B68,$B84&lt;&gt;$B69,$B85&lt;&gt;$B70,$B86&lt;&gt;$B71,$B87&lt;&gt;$B72,$B88&lt;&gt;$B73),IF($B79&lt;&gt;$B64,E64/INDEX($C63:$AJ73,2,MATCH(IF('Data-solution'!$A$3="Maximize",MAX($C74:$AI74),MIN($C74:$AI74)),$C74:$AI74,0)),E64-INDEX($C63:$AJ73,2,MATCH(IF('Data-solution'!$A$3="Maximize",MAX($C74:$AI74),MIN($C74:$AI74)),$C74:$AI74,0))*INDEX(E63:$AJ73,MATCH(MIN($AK63:$AK73),$AK63:$AK73,0),1)/INDEX($C63:$AJ73,MATCH(MIN($AK63:$AK73),$AK63:$AK73,0),MATCH(IF('Data-solution'!$A$3="Maximize",MAX($C74:$AI74),MIN($C74:$AI74)),$C74:$AI74,0))),E64)</f>
        <v>0</v>
      </c>
      <c r="F79" s="1">
        <f>IF(OR($B78&lt;&gt;$B63,$B79&lt;&gt;$B64,$B80&lt;&gt;$B65,$B81&lt;&gt;$B66,$B82&lt;&gt;$B67,$B83&lt;&gt;$B68,$B84&lt;&gt;$B69,$B85&lt;&gt;$B70,$B86&lt;&gt;$B71,$B87&lt;&gt;$B72,$B88&lt;&gt;$B73),IF($B79&lt;&gt;$B64,F64/INDEX($C63:$AJ73,2,MATCH(IF('Data-solution'!$A$3="Maximize",MAX($C74:$AI74),MIN($C74:$AI74)),$C74:$AI74,0)),F64-INDEX($C63:$AJ73,2,MATCH(IF('Data-solution'!$A$3="Maximize",MAX($C74:$AI74),MIN($C74:$AI74)),$C74:$AI74,0))*INDEX(F63:$AJ73,MATCH(MIN($AK63:$AK73),$AK63:$AK73,0),1)/INDEX($C63:$AJ73,MATCH(MIN($AK63:$AK73),$AK63:$AK73,0),MATCH(IF('Data-solution'!$A$3="Maximize",MAX($C74:$AI74),MIN($C74:$AI74)),$C74:$AI74,0))),F64)</f>
        <v>0</v>
      </c>
      <c r="G79" s="1">
        <f>IF(OR($B78&lt;&gt;$B63,$B79&lt;&gt;$B64,$B80&lt;&gt;$B65,$B81&lt;&gt;$B66,$B82&lt;&gt;$B67,$B83&lt;&gt;$B68,$B84&lt;&gt;$B69,$B85&lt;&gt;$B70,$B86&lt;&gt;$B71,$B87&lt;&gt;$B72,$B88&lt;&gt;$B73),IF($B79&lt;&gt;$B64,G64/INDEX($C63:$AJ73,2,MATCH(IF('Data-solution'!$A$3="Maximize",MAX($C74:$AI74),MIN($C74:$AI74)),$C74:$AI74,0)),G64-INDEX($C63:$AJ73,2,MATCH(IF('Data-solution'!$A$3="Maximize",MAX($C74:$AI74),MIN($C74:$AI74)),$C74:$AI74,0))*INDEX(G63:$AJ73,MATCH(MIN($AK63:$AK73),$AK63:$AK73,0),1)/INDEX($C63:$AJ73,MATCH(MIN($AK63:$AK73),$AK63:$AK73,0),MATCH(IF('Data-solution'!$A$3="Maximize",MAX($C74:$AI74),MIN($C74:$AI74)),$C74:$AI74,0))),G64)</f>
        <v>0</v>
      </c>
      <c r="H79" s="1">
        <f>IF(OR($B78&lt;&gt;$B63,$B79&lt;&gt;$B64,$B80&lt;&gt;$B65,$B81&lt;&gt;$B66,$B82&lt;&gt;$B67,$B83&lt;&gt;$B68,$B84&lt;&gt;$B69,$B85&lt;&gt;$B70,$B86&lt;&gt;$B71,$B87&lt;&gt;$B72,$B88&lt;&gt;$B73),IF($B79&lt;&gt;$B64,H64/INDEX($C63:$AJ73,2,MATCH(IF('Data-solution'!$A$3="Maximize",MAX($C74:$AI74),MIN($C74:$AI74)),$C74:$AI74,0)),H64-INDEX($C63:$AJ73,2,MATCH(IF('Data-solution'!$A$3="Maximize",MAX($C74:$AI74),MIN($C74:$AI74)),$C74:$AI74,0))*INDEX(H63:$AJ73,MATCH(MIN($AK63:$AK73),$AK63:$AK73,0),1)/INDEX($C63:$AJ73,MATCH(MIN($AK63:$AK73),$AK63:$AK73,0),MATCH(IF('Data-solution'!$A$3="Maximize",MAX($C74:$AI74),MIN($C74:$AI74)),$C74:$AI74,0))),H64)</f>
        <v>0</v>
      </c>
      <c r="I79" s="1">
        <f>IF(OR($B78&lt;&gt;$B63,$B79&lt;&gt;$B64,$B80&lt;&gt;$B65,$B81&lt;&gt;$B66,$B82&lt;&gt;$B67,$B83&lt;&gt;$B68,$B84&lt;&gt;$B69,$B85&lt;&gt;$B70,$B86&lt;&gt;$B71,$B87&lt;&gt;$B72,$B88&lt;&gt;$B73),IF($B79&lt;&gt;$B64,I64/INDEX($C63:$AJ73,2,MATCH(IF('Data-solution'!$A$3="Maximize",MAX($C74:$AI74),MIN($C74:$AI74)),$C74:$AI74,0)),I64-INDEX($C63:$AJ73,2,MATCH(IF('Data-solution'!$A$3="Maximize",MAX($C74:$AI74),MIN($C74:$AI74)),$C74:$AI74,0))*INDEX(I63:$AJ73,MATCH(MIN($AK63:$AK73),$AK63:$AK73,0),1)/INDEX($C63:$AJ73,MATCH(MIN($AK63:$AK73),$AK63:$AK73,0),MATCH(IF('Data-solution'!$A$3="Maximize",MAX($C74:$AI74),MIN($C74:$AI74)),$C74:$AI74,0))),I64)</f>
        <v>0</v>
      </c>
      <c r="J79" s="1">
        <f>IF(OR($B78&lt;&gt;$B63,$B79&lt;&gt;$B64,$B80&lt;&gt;$B65,$B81&lt;&gt;$B66,$B82&lt;&gt;$B67,$B83&lt;&gt;$B68,$B84&lt;&gt;$B69,$B85&lt;&gt;$B70,$B86&lt;&gt;$B71,$B87&lt;&gt;$B72,$B88&lt;&gt;$B73),IF($B79&lt;&gt;$B64,J64/INDEX($C63:$AJ73,2,MATCH(IF('Data-solution'!$A$3="Maximize",MAX($C74:$AI74),MIN($C74:$AI74)),$C74:$AI74,0)),J64-INDEX($C63:$AJ73,2,MATCH(IF('Data-solution'!$A$3="Maximize",MAX($C74:$AI74),MIN($C74:$AI74)),$C74:$AI74,0))*INDEX(J63:$AJ73,MATCH(MIN($AK63:$AK73),$AK63:$AK73,0),1)/INDEX($C63:$AJ73,MATCH(MIN($AK63:$AK73),$AK63:$AK73,0),MATCH(IF('Data-solution'!$A$3="Maximize",MAX($C74:$AI74),MIN($C74:$AI74)),$C74:$AI74,0))),J64)</f>
        <v>0</v>
      </c>
      <c r="K79" s="1">
        <f>IF(OR($B78&lt;&gt;$B63,$B79&lt;&gt;$B64,$B80&lt;&gt;$B65,$B81&lt;&gt;$B66,$B82&lt;&gt;$B67,$B83&lt;&gt;$B68,$B84&lt;&gt;$B69,$B85&lt;&gt;$B70,$B86&lt;&gt;$B71,$B87&lt;&gt;$B72,$B88&lt;&gt;$B73),IF($B79&lt;&gt;$B64,K64/INDEX($C63:$AJ73,2,MATCH(IF('Data-solution'!$A$3="Maximize",MAX($C74:$AI74),MIN($C74:$AI74)),$C74:$AI74,0)),K64-INDEX($C63:$AJ73,2,MATCH(IF('Data-solution'!$A$3="Maximize",MAX($C74:$AI74),MIN($C74:$AI74)),$C74:$AI74,0))*INDEX(K63:$AJ73,MATCH(MIN($AK63:$AK73),$AK63:$AK73,0),1)/INDEX($C63:$AJ73,MATCH(MIN($AK63:$AK73),$AK63:$AK73,0),MATCH(IF('Data-solution'!$A$3="Maximize",MAX($C74:$AI74),MIN($C74:$AI74)),$C74:$AI74,0))),K64)</f>
        <v>0</v>
      </c>
      <c r="L79" s="1">
        <f>IF(OR($B78&lt;&gt;$B63,$B79&lt;&gt;$B64,$B80&lt;&gt;$B65,$B81&lt;&gt;$B66,$B82&lt;&gt;$B67,$B83&lt;&gt;$B68,$B84&lt;&gt;$B69,$B85&lt;&gt;$B70,$B86&lt;&gt;$B71,$B87&lt;&gt;$B72,$B88&lt;&gt;$B73),IF($B79&lt;&gt;$B64,L64/INDEX($C63:$AJ73,2,MATCH(IF('Data-solution'!$A$3="Maximize",MAX($C74:$AI74),MIN($C74:$AI74)),$C74:$AI74,0)),L64-INDEX($C63:$AJ73,2,MATCH(IF('Data-solution'!$A$3="Maximize",MAX($C74:$AI74),MIN($C74:$AI74)),$C74:$AI74,0))*INDEX(L63:$AJ73,MATCH(MIN($AK63:$AK73),$AK63:$AK73,0),1)/INDEX($C63:$AJ73,MATCH(MIN($AK63:$AK73),$AK63:$AK73,0),MATCH(IF('Data-solution'!$A$3="Maximize",MAX($C74:$AI74),MIN($C74:$AI74)),$C74:$AI74,0))),L64)</f>
        <v>0</v>
      </c>
      <c r="M79" s="1">
        <f>IF(OR($B78&lt;&gt;$B63,$B79&lt;&gt;$B64,$B80&lt;&gt;$B65,$B81&lt;&gt;$B66,$B82&lt;&gt;$B67,$B83&lt;&gt;$B68,$B84&lt;&gt;$B69,$B85&lt;&gt;$B70,$B86&lt;&gt;$B71,$B87&lt;&gt;$B72,$B88&lt;&gt;$B73),IF($B79&lt;&gt;$B64,M64/INDEX($C63:$AJ73,2,MATCH(IF('Data-solution'!$A$3="Maximize",MAX($C74:$AI74),MIN($C74:$AI74)),$C74:$AI74,0)),M64-INDEX($C63:$AJ73,2,MATCH(IF('Data-solution'!$A$3="Maximize",MAX($C74:$AI74),MIN($C74:$AI74)),$C74:$AI74,0))*INDEX(M63:$AJ73,MATCH(MIN($AK63:$AK73),$AK63:$AK73,0),1)/INDEX($C63:$AJ73,MATCH(MIN($AK63:$AK73),$AK63:$AK73,0),MATCH(IF('Data-solution'!$A$3="Maximize",MAX($C74:$AI74),MIN($C74:$AI74)),$C74:$AI74,0))),M64)</f>
        <v>0</v>
      </c>
      <c r="N79" s="1">
        <f>IF(OR($B78&lt;&gt;$B63,$B79&lt;&gt;$B64,$B80&lt;&gt;$B65,$B81&lt;&gt;$B66,$B82&lt;&gt;$B67,$B83&lt;&gt;$B68,$B84&lt;&gt;$B69,$B85&lt;&gt;$B70,$B86&lt;&gt;$B71,$B87&lt;&gt;$B72,$B88&lt;&gt;$B73),IF($B79&lt;&gt;$B64,N64/INDEX($C63:$AJ73,2,MATCH(IF('Data-solution'!$A$3="Maximize",MAX($C74:$AI74),MIN($C74:$AI74)),$C74:$AI74,0)),N64-INDEX($C63:$AJ73,2,MATCH(IF('Data-solution'!$A$3="Maximize",MAX($C74:$AI74),MIN($C74:$AI74)),$C74:$AI74,0))*INDEX(N63:$AJ73,MATCH(MIN($AK63:$AK73),$AK63:$AK73,0),1)/INDEX($C63:$AJ73,MATCH(MIN($AK63:$AK73),$AK63:$AK73,0),MATCH(IF('Data-solution'!$A$3="Maximize",MAX($C74:$AI74),MIN($C74:$AI74)),$C74:$AI74,0))),N64)</f>
        <v>0</v>
      </c>
      <c r="O79" s="1">
        <f>IF(OR($B78&lt;&gt;$B63,$B79&lt;&gt;$B64,$B80&lt;&gt;$B65,$B81&lt;&gt;$B66,$B82&lt;&gt;$B67,$B83&lt;&gt;$B68,$B84&lt;&gt;$B69,$B85&lt;&gt;$B70,$B86&lt;&gt;$B71,$B87&lt;&gt;$B72,$B88&lt;&gt;$B73),IF($B79&lt;&gt;$B64,O64/INDEX($C63:$AJ73,2,MATCH(IF('Data-solution'!$A$3="Maximize",MAX($C74:$AI74),MIN($C74:$AI74)),$C74:$AI74,0)),O64-INDEX($C63:$AJ73,2,MATCH(IF('Data-solution'!$A$3="Maximize",MAX($C74:$AI74),MIN($C74:$AI74)),$C74:$AI74,0))*INDEX(O63:$AJ73,MATCH(MIN($AK63:$AK73),$AK63:$AK73,0),1)/INDEX($C63:$AJ73,MATCH(MIN($AK63:$AK73),$AK63:$AK73,0),MATCH(IF('Data-solution'!$A$3="Maximize",MAX($C74:$AI74),MIN($C74:$AI74)),$C74:$AI74,0))),O64)</f>
        <v>1</v>
      </c>
      <c r="P79" s="1">
        <f>IF(OR($B78&lt;&gt;$B63,$B79&lt;&gt;$B64,$B80&lt;&gt;$B65,$B81&lt;&gt;$B66,$B82&lt;&gt;$B67,$B83&lt;&gt;$B68,$B84&lt;&gt;$B69,$B85&lt;&gt;$B70,$B86&lt;&gt;$B71,$B87&lt;&gt;$B72,$B88&lt;&gt;$B73),IF($B79&lt;&gt;$B64,P64/INDEX($C63:$AJ73,2,MATCH(IF('Data-solution'!$A$3="Maximize",MAX($C74:$AI74),MIN($C74:$AI74)),$C74:$AI74,0)),P64-INDEX($C63:$AJ73,2,MATCH(IF('Data-solution'!$A$3="Maximize",MAX($C74:$AI74),MIN($C74:$AI74)),$C74:$AI74,0))*INDEX(P63:$AJ73,MATCH(MIN($AK63:$AK73),$AK63:$AK73,0),1)/INDEX($C63:$AJ73,MATCH(MIN($AK63:$AK73),$AK63:$AK73,0),MATCH(IF('Data-solution'!$A$3="Maximize",MAX($C74:$AI74),MIN($C74:$AI74)),$C74:$AI74,0))),P64)</f>
        <v>-0.25</v>
      </c>
      <c r="Q79" s="1">
        <f>IF(OR($B78&lt;&gt;$B63,$B79&lt;&gt;$B64,$B80&lt;&gt;$B65,$B81&lt;&gt;$B66,$B82&lt;&gt;$B67,$B83&lt;&gt;$B68,$B84&lt;&gt;$B69,$B85&lt;&gt;$B70,$B86&lt;&gt;$B71,$B87&lt;&gt;$B72,$B88&lt;&gt;$B73),IF($B79&lt;&gt;$B64,Q64/INDEX($C63:$AJ73,2,MATCH(IF('Data-solution'!$A$3="Maximize",MAX($C74:$AI74),MIN($C74:$AI74)),$C74:$AI74,0)),Q64-INDEX($C63:$AJ73,2,MATCH(IF('Data-solution'!$A$3="Maximize",MAX($C74:$AI74),MIN($C74:$AI74)),$C74:$AI74,0))*INDEX(Q63:$AJ73,MATCH(MIN($AK63:$AK73),$AK63:$AK73,0),1)/INDEX($C63:$AJ73,MATCH(MIN($AK63:$AK73),$AK63:$AK73,0),MATCH(IF('Data-solution'!$A$3="Maximize",MAX($C74:$AI74),MIN($C74:$AI74)),$C74:$AI74,0))),Q64)</f>
        <v>-0.5</v>
      </c>
      <c r="R79" s="1">
        <f>IF(OR($B78&lt;&gt;$B63,$B79&lt;&gt;$B64,$B80&lt;&gt;$B65,$B81&lt;&gt;$B66,$B82&lt;&gt;$B67,$B83&lt;&gt;$B68,$B84&lt;&gt;$B69,$B85&lt;&gt;$B70,$B86&lt;&gt;$B71,$B87&lt;&gt;$B72,$B88&lt;&gt;$B73),IF($B79&lt;&gt;$B64,R64/INDEX($C63:$AJ73,2,MATCH(IF('Data-solution'!$A$3="Maximize",MAX($C74:$AI74),MIN($C74:$AI74)),$C74:$AI74,0)),R64-INDEX($C63:$AJ73,2,MATCH(IF('Data-solution'!$A$3="Maximize",MAX($C74:$AI74),MIN($C74:$AI74)),$C74:$AI74,0))*INDEX(R63:$AJ73,MATCH(MIN($AK63:$AK73),$AK63:$AK73,0),1)/INDEX($C63:$AJ73,MATCH(MIN($AK63:$AK73),$AK63:$AK73,0),MATCH(IF('Data-solution'!$A$3="Maximize",MAX($C74:$AI74),MIN($C74:$AI74)),$C74:$AI74,0))),R64)</f>
        <v>0</v>
      </c>
      <c r="S79" s="1">
        <f>IF(OR($B78&lt;&gt;$B63,$B79&lt;&gt;$B64,$B80&lt;&gt;$B65,$B81&lt;&gt;$B66,$B82&lt;&gt;$B67,$B83&lt;&gt;$B68,$B84&lt;&gt;$B69,$B85&lt;&gt;$B70,$B86&lt;&gt;$B71,$B87&lt;&gt;$B72,$B88&lt;&gt;$B73),IF($B79&lt;&gt;$B64,S64/INDEX($C63:$AJ73,2,MATCH(IF('Data-solution'!$A$3="Maximize",MAX($C74:$AI74),MIN($C74:$AI74)),$C74:$AI74,0)),S64-INDEX($C63:$AJ73,2,MATCH(IF('Data-solution'!$A$3="Maximize",MAX($C74:$AI74),MIN($C74:$AI74)),$C74:$AI74,0))*INDEX(S63:$AJ73,MATCH(MIN($AK63:$AK73),$AK63:$AK73,0),1)/INDEX($C63:$AJ73,MATCH(MIN($AK63:$AK73),$AK63:$AK73,0),MATCH(IF('Data-solution'!$A$3="Maximize",MAX($C74:$AI74),MIN($C74:$AI74)),$C74:$AI74,0))),S64)</f>
        <v>0</v>
      </c>
      <c r="T79" s="1">
        <f>IF(OR($B78&lt;&gt;$B63,$B79&lt;&gt;$B64,$B80&lt;&gt;$B65,$B81&lt;&gt;$B66,$B82&lt;&gt;$B67,$B83&lt;&gt;$B68,$B84&lt;&gt;$B69,$B85&lt;&gt;$B70,$B86&lt;&gt;$B71,$B87&lt;&gt;$B72,$B88&lt;&gt;$B73),IF($B79&lt;&gt;$B64,T64/INDEX($C63:$AJ73,2,MATCH(IF('Data-solution'!$A$3="Maximize",MAX($C74:$AI74),MIN($C74:$AI74)),$C74:$AI74,0)),T64-INDEX($C63:$AJ73,2,MATCH(IF('Data-solution'!$A$3="Maximize",MAX($C74:$AI74),MIN($C74:$AI74)),$C74:$AI74,0))*INDEX(T63:$AJ73,MATCH(MIN($AK63:$AK73),$AK63:$AK73,0),1)/INDEX($C63:$AJ73,MATCH(MIN($AK63:$AK73),$AK63:$AK73,0),MATCH(IF('Data-solution'!$A$3="Maximize",MAX($C74:$AI74),MIN($C74:$AI74)),$C74:$AI74,0))),T64)</f>
        <v>0</v>
      </c>
      <c r="U79" s="1">
        <f>IF(OR($B78&lt;&gt;$B63,$B79&lt;&gt;$B64,$B80&lt;&gt;$B65,$B81&lt;&gt;$B66,$B82&lt;&gt;$B67,$B83&lt;&gt;$B68,$B84&lt;&gt;$B69,$B85&lt;&gt;$B70,$B86&lt;&gt;$B71,$B87&lt;&gt;$B72,$B88&lt;&gt;$B73),IF($B79&lt;&gt;$B64,U64/INDEX($C63:$AJ73,2,MATCH(IF('Data-solution'!$A$3="Maximize",MAX($C74:$AI74),MIN($C74:$AI74)),$C74:$AI74,0)),U64-INDEX($C63:$AJ73,2,MATCH(IF('Data-solution'!$A$3="Maximize",MAX($C74:$AI74),MIN($C74:$AI74)),$C74:$AI74,0))*INDEX(U63:$AJ73,MATCH(MIN($AK63:$AK73),$AK63:$AK73,0),1)/INDEX($C63:$AJ73,MATCH(MIN($AK63:$AK73),$AK63:$AK73,0),MATCH(IF('Data-solution'!$A$3="Maximize",MAX($C74:$AI74),MIN($C74:$AI74)),$C74:$AI74,0))),U64)</f>
        <v>0</v>
      </c>
      <c r="V79" s="1">
        <f>IF(OR($B78&lt;&gt;$B63,$B79&lt;&gt;$B64,$B80&lt;&gt;$B65,$B81&lt;&gt;$B66,$B82&lt;&gt;$B67,$B83&lt;&gt;$B68,$B84&lt;&gt;$B69,$B85&lt;&gt;$B70,$B86&lt;&gt;$B71,$B87&lt;&gt;$B72,$B88&lt;&gt;$B73),IF($B79&lt;&gt;$B64,V64/INDEX($C63:$AJ73,2,MATCH(IF('Data-solution'!$A$3="Maximize",MAX($C74:$AI74),MIN($C74:$AI74)),$C74:$AI74,0)),V64-INDEX($C63:$AJ73,2,MATCH(IF('Data-solution'!$A$3="Maximize",MAX($C74:$AI74),MIN($C74:$AI74)),$C74:$AI74,0))*INDEX(V63:$AJ73,MATCH(MIN($AK63:$AK73),$AK63:$AK73,0),1)/INDEX($C63:$AJ73,MATCH(MIN($AK63:$AK73),$AK63:$AK73,0),MATCH(IF('Data-solution'!$A$3="Maximize",MAX($C74:$AI74),MIN($C74:$AI74)),$C74:$AI74,0))),V64)</f>
        <v>0</v>
      </c>
      <c r="W79" s="1">
        <f>IF(OR($B78&lt;&gt;$B63,$B79&lt;&gt;$B64,$B80&lt;&gt;$B65,$B81&lt;&gt;$B66,$B82&lt;&gt;$B67,$B83&lt;&gt;$B68,$B84&lt;&gt;$B69,$B85&lt;&gt;$B70,$B86&lt;&gt;$B71,$B87&lt;&gt;$B72,$B88&lt;&gt;$B73),IF($B79&lt;&gt;$B64,W64/INDEX($C63:$AJ73,2,MATCH(IF('Data-solution'!$A$3="Maximize",MAX($C74:$AI74),MIN($C74:$AI74)),$C74:$AI74,0)),W64-INDEX($C63:$AJ73,2,MATCH(IF('Data-solution'!$A$3="Maximize",MAX($C74:$AI74),MIN($C74:$AI74)),$C74:$AI74,0))*INDEX(W63:$AJ73,MATCH(MIN($AK63:$AK73),$AK63:$AK73,0),1)/INDEX($C63:$AJ73,MATCH(MIN($AK63:$AK73),$AK63:$AK73,0),MATCH(IF('Data-solution'!$A$3="Maximize",MAX($C74:$AI74),MIN($C74:$AI74)),$C74:$AI74,0))),W64)</f>
        <v>0</v>
      </c>
      <c r="X79" s="1">
        <f>IF(OR($B78&lt;&gt;$B63,$B79&lt;&gt;$B64,$B80&lt;&gt;$B65,$B81&lt;&gt;$B66,$B82&lt;&gt;$B67,$B83&lt;&gt;$B68,$B84&lt;&gt;$B69,$B85&lt;&gt;$B70,$B86&lt;&gt;$B71,$B87&lt;&gt;$B72,$B88&lt;&gt;$B73),IF($B79&lt;&gt;$B64,X64/INDEX($C63:$AJ73,2,MATCH(IF('Data-solution'!$A$3="Maximize",MAX($C74:$AI74),MIN($C74:$AI74)),$C74:$AI74,0)),X64-INDEX($C63:$AJ73,2,MATCH(IF('Data-solution'!$A$3="Maximize",MAX($C74:$AI74),MIN($C74:$AI74)),$C74:$AI74,0))*INDEX(X63:$AJ73,MATCH(MIN($AK63:$AK73),$AK63:$AK73,0),1)/INDEX($C63:$AJ73,MATCH(MIN($AK63:$AK73),$AK63:$AK73,0),MATCH(IF('Data-solution'!$A$3="Maximize",MAX($C74:$AI74),MIN($C74:$AI74)),$C74:$AI74,0))),X64)</f>
        <v>0</v>
      </c>
      <c r="Y79" s="1">
        <f>IF(OR($B78&lt;&gt;$B63,$B79&lt;&gt;$B64,$B80&lt;&gt;$B65,$B81&lt;&gt;$B66,$B82&lt;&gt;$B67,$B83&lt;&gt;$B68,$B84&lt;&gt;$B69,$B85&lt;&gt;$B70,$B86&lt;&gt;$B71,$B87&lt;&gt;$B72,$B88&lt;&gt;$B73),IF($B79&lt;&gt;$B64,Y64/INDEX($C63:$AJ73,2,MATCH(IF('Data-solution'!$A$3="Maximize",MAX($C74:$AI74),MIN($C74:$AI74)),$C74:$AI74,0)),Y64-INDEX($C63:$AJ73,2,MATCH(IF('Data-solution'!$A$3="Maximize",MAX($C74:$AI74),MIN($C74:$AI74)),$C74:$AI74,0))*INDEX(Y63:$AJ73,MATCH(MIN($AK63:$AK73),$AK63:$AK73,0),1)/INDEX($C63:$AJ73,MATCH(MIN($AK63:$AK73),$AK63:$AK73,0),MATCH(IF('Data-solution'!$A$3="Maximize",MAX($C74:$AI74),MIN($C74:$AI74)),$C74:$AI74,0))),Y64)</f>
        <v>0</v>
      </c>
      <c r="Z79" s="1">
        <f>IF(OR($B78&lt;&gt;$B63,$B79&lt;&gt;$B64,$B80&lt;&gt;$B65,$B81&lt;&gt;$B66,$B82&lt;&gt;$B67,$B83&lt;&gt;$B68,$B84&lt;&gt;$B69,$B85&lt;&gt;$B70,$B86&lt;&gt;$B71,$B87&lt;&gt;$B72,$B88&lt;&gt;$B73),IF($B79&lt;&gt;$B64,Z64/INDEX($C63:$AJ73,2,MATCH(IF('Data-solution'!$A$3="Maximize",MAX($C74:$AI74),MIN($C74:$AI74)),$C74:$AI74,0)),Z64-INDEX($C63:$AJ73,2,MATCH(IF('Data-solution'!$A$3="Maximize",MAX($C74:$AI74),MIN($C74:$AI74)),$C74:$AI74,0))*INDEX(Z63:$AJ73,MATCH(MIN($AK63:$AK73),$AK63:$AK73,0),1)/INDEX($C63:$AJ73,MATCH(MIN($AK63:$AK73),$AK63:$AK73,0),MATCH(IF('Data-solution'!$A$3="Maximize",MAX($C74:$AI74),MIN($C74:$AI74)),$C74:$AI74,0))),Z64)</f>
        <v>1</v>
      </c>
      <c r="AA79" s="1">
        <f>IF(OR($B78&lt;&gt;$B63,$B79&lt;&gt;$B64,$B80&lt;&gt;$B65,$B81&lt;&gt;$B66,$B82&lt;&gt;$B67,$B83&lt;&gt;$B68,$B84&lt;&gt;$B69,$B85&lt;&gt;$B70,$B86&lt;&gt;$B71,$B87&lt;&gt;$B72,$B88&lt;&gt;$B73),IF($B79&lt;&gt;$B64,AA64/INDEX($C63:$AJ73,2,MATCH(IF('Data-solution'!$A$3="Maximize",MAX($C74:$AI74),MIN($C74:$AI74)),$C74:$AI74,0)),AA64-INDEX($C63:$AJ73,2,MATCH(IF('Data-solution'!$A$3="Maximize",MAX($C74:$AI74),MIN($C74:$AI74)),$C74:$AI74,0))*INDEX(AA63:$AJ73,MATCH(MIN($AK63:$AK73),$AK63:$AK73,0),1)/INDEX($C63:$AJ73,MATCH(MIN($AK63:$AK73),$AK63:$AK73,0),MATCH(IF('Data-solution'!$A$3="Maximize",MAX($C74:$AI74),MIN($C74:$AI74)),$C74:$AI74,0))),AA64)</f>
        <v>-0.25</v>
      </c>
      <c r="AB79" s="1">
        <f>IF(OR($B78&lt;&gt;$B63,$B79&lt;&gt;$B64,$B80&lt;&gt;$B65,$B81&lt;&gt;$B66,$B82&lt;&gt;$B67,$B83&lt;&gt;$B68,$B84&lt;&gt;$B69,$B85&lt;&gt;$B70,$B86&lt;&gt;$B71,$B87&lt;&gt;$B72,$B88&lt;&gt;$B73),IF($B79&lt;&gt;$B64,AB64/INDEX($C63:$AJ73,2,MATCH(IF('Data-solution'!$A$3="Maximize",MAX($C74:$AI74),MIN($C74:$AI74)),$C74:$AI74,0)),AB64-INDEX($C63:$AJ73,2,MATCH(IF('Data-solution'!$A$3="Maximize",MAX($C74:$AI74),MIN($C74:$AI74)),$C74:$AI74,0))*INDEX(AB63:$AJ73,MATCH(MIN($AK63:$AK73),$AK63:$AK73,0),1)/INDEX($C63:$AJ73,MATCH(MIN($AK63:$AK73),$AK63:$AK73,0),MATCH(IF('Data-solution'!$A$3="Maximize",MAX($C74:$AI74),MIN($C74:$AI74)),$C74:$AI74,0))),AB64)</f>
        <v>-0.5</v>
      </c>
      <c r="AC79" s="1">
        <f>IF(OR($B78&lt;&gt;$B63,$B79&lt;&gt;$B64,$B80&lt;&gt;$B65,$B81&lt;&gt;$B66,$B82&lt;&gt;$B67,$B83&lt;&gt;$B68,$B84&lt;&gt;$B69,$B85&lt;&gt;$B70,$B86&lt;&gt;$B71,$B87&lt;&gt;$B72,$B88&lt;&gt;$B73),IF($B79&lt;&gt;$B64,AC64/INDEX($C63:$AJ73,2,MATCH(IF('Data-solution'!$A$3="Maximize",MAX($C74:$AI74),MIN($C74:$AI74)),$C74:$AI74,0)),AC64-INDEX($C63:$AJ73,2,MATCH(IF('Data-solution'!$A$3="Maximize",MAX($C74:$AI74),MIN($C74:$AI74)),$C74:$AI74,0))*INDEX(AC63:$AJ73,MATCH(MIN($AK63:$AK73),$AK63:$AK73,0),1)/INDEX($C63:$AJ73,MATCH(MIN($AK63:$AK73),$AK63:$AK73,0),MATCH(IF('Data-solution'!$A$3="Maximize",MAX($C74:$AI74),MIN($C74:$AI74)),$C74:$AI74,0))),AC64)</f>
        <v>0</v>
      </c>
      <c r="AD79" s="1">
        <f>IF(OR($B78&lt;&gt;$B63,$B79&lt;&gt;$B64,$B80&lt;&gt;$B65,$B81&lt;&gt;$B66,$B82&lt;&gt;$B67,$B83&lt;&gt;$B68,$B84&lt;&gt;$B69,$B85&lt;&gt;$B70,$B86&lt;&gt;$B71,$B87&lt;&gt;$B72,$B88&lt;&gt;$B73),IF($B79&lt;&gt;$B64,AD64/INDEX($C63:$AJ73,2,MATCH(IF('Data-solution'!$A$3="Maximize",MAX($C74:$AI74),MIN($C74:$AI74)),$C74:$AI74,0)),AD64-INDEX($C63:$AJ73,2,MATCH(IF('Data-solution'!$A$3="Maximize",MAX($C74:$AI74),MIN($C74:$AI74)),$C74:$AI74,0))*INDEX(AD63:$AJ73,MATCH(MIN($AK63:$AK73),$AK63:$AK73,0),1)/INDEX($C63:$AJ73,MATCH(MIN($AK63:$AK73),$AK63:$AK73,0),MATCH(IF('Data-solution'!$A$3="Maximize",MAX($C74:$AI74),MIN($C74:$AI74)),$C74:$AI74,0))),AD64)</f>
        <v>0</v>
      </c>
      <c r="AE79" s="1">
        <f>IF(OR($B78&lt;&gt;$B63,$B79&lt;&gt;$B64,$B80&lt;&gt;$B65,$B81&lt;&gt;$B66,$B82&lt;&gt;$B67,$B83&lt;&gt;$B68,$B84&lt;&gt;$B69,$B85&lt;&gt;$B70,$B86&lt;&gt;$B71,$B87&lt;&gt;$B72,$B88&lt;&gt;$B73),IF($B79&lt;&gt;$B64,AE64/INDEX($C63:$AJ73,2,MATCH(IF('Data-solution'!$A$3="Maximize",MAX($C74:$AI74),MIN($C74:$AI74)),$C74:$AI74,0)),AE64-INDEX($C63:$AJ73,2,MATCH(IF('Data-solution'!$A$3="Maximize",MAX($C74:$AI74),MIN($C74:$AI74)),$C74:$AI74,0))*INDEX(AE63:$AJ73,MATCH(MIN($AK63:$AK73),$AK63:$AK73,0),1)/INDEX($C63:$AJ73,MATCH(MIN($AK63:$AK73),$AK63:$AK73,0),MATCH(IF('Data-solution'!$A$3="Maximize",MAX($C74:$AI74),MIN($C74:$AI74)),$C74:$AI74,0))),AE64)</f>
        <v>0</v>
      </c>
      <c r="AF79" s="1">
        <f>IF(OR($B78&lt;&gt;$B63,$B79&lt;&gt;$B64,$B80&lt;&gt;$B65,$B81&lt;&gt;$B66,$B82&lt;&gt;$B67,$B83&lt;&gt;$B68,$B84&lt;&gt;$B69,$B85&lt;&gt;$B70,$B86&lt;&gt;$B71,$B87&lt;&gt;$B72,$B88&lt;&gt;$B73),IF($B79&lt;&gt;$B64,AF64/INDEX($C63:$AJ73,2,MATCH(IF('Data-solution'!$A$3="Maximize",MAX($C74:$AI74),MIN($C74:$AI74)),$C74:$AI74,0)),AF64-INDEX($C63:$AJ73,2,MATCH(IF('Data-solution'!$A$3="Maximize",MAX($C74:$AI74),MIN($C74:$AI74)),$C74:$AI74,0))*INDEX(AF63:$AJ73,MATCH(MIN($AK63:$AK73),$AK63:$AK73,0),1)/INDEX($C63:$AJ73,MATCH(MIN($AK63:$AK73),$AK63:$AK73,0),MATCH(IF('Data-solution'!$A$3="Maximize",MAX($C74:$AI74),MIN($C74:$AI74)),$C74:$AI74,0))),AF64)</f>
        <v>0</v>
      </c>
      <c r="AG79" s="1">
        <f>IF(OR($B78&lt;&gt;$B63,$B79&lt;&gt;$B64,$B80&lt;&gt;$B65,$B81&lt;&gt;$B66,$B82&lt;&gt;$B67,$B83&lt;&gt;$B68,$B84&lt;&gt;$B69,$B85&lt;&gt;$B70,$B86&lt;&gt;$B71,$B87&lt;&gt;$B72,$B88&lt;&gt;$B73),IF($B79&lt;&gt;$B64,AG64/INDEX($C63:$AJ73,2,MATCH(IF('Data-solution'!$A$3="Maximize",MAX($C74:$AI74),MIN($C74:$AI74)),$C74:$AI74,0)),AG64-INDEX($C63:$AJ73,2,MATCH(IF('Data-solution'!$A$3="Maximize",MAX($C74:$AI74),MIN($C74:$AI74)),$C74:$AI74,0))*INDEX(AG63:$AJ73,MATCH(MIN($AK63:$AK73),$AK63:$AK73,0),1)/INDEX($C63:$AJ73,MATCH(MIN($AK63:$AK73),$AK63:$AK73,0),MATCH(IF('Data-solution'!$A$3="Maximize",MAX($C74:$AI74),MIN($C74:$AI74)),$C74:$AI74,0))),AG64)</f>
        <v>0</v>
      </c>
      <c r="AH79" s="1">
        <f>IF(OR($B78&lt;&gt;$B63,$B79&lt;&gt;$B64,$B80&lt;&gt;$B65,$B81&lt;&gt;$B66,$B82&lt;&gt;$B67,$B83&lt;&gt;$B68,$B84&lt;&gt;$B69,$B85&lt;&gt;$B70,$B86&lt;&gt;$B71,$B87&lt;&gt;$B72,$B88&lt;&gt;$B73),IF($B79&lt;&gt;$B64,AH64/INDEX($C63:$AJ73,2,MATCH(IF('Data-solution'!$A$3="Maximize",MAX($C74:$AI74),MIN($C74:$AI74)),$C74:$AI74,0)),AH64-INDEX($C63:$AJ73,2,MATCH(IF('Data-solution'!$A$3="Maximize",MAX($C74:$AI74),MIN($C74:$AI74)),$C74:$AI74,0))*INDEX(AH63:$AJ73,MATCH(MIN($AK63:$AK73),$AK63:$AK73,0),1)/INDEX($C63:$AJ73,MATCH(MIN($AK63:$AK73),$AK63:$AK73,0),MATCH(IF('Data-solution'!$A$3="Maximize",MAX($C74:$AI74),MIN($C74:$AI74)),$C74:$AI74,0))),AH64)</f>
        <v>0</v>
      </c>
      <c r="AI79" s="1">
        <f>IF(OR($B78&lt;&gt;$B63,$B79&lt;&gt;$B64,$B80&lt;&gt;$B65,$B81&lt;&gt;$B66,$B82&lt;&gt;$B67,$B83&lt;&gt;$B68,$B84&lt;&gt;$B69,$B85&lt;&gt;$B70,$B86&lt;&gt;$B71,$B87&lt;&gt;$B72,$B88&lt;&gt;$B73),IF($B79&lt;&gt;$B64,AI64/INDEX($C63:$AJ73,2,MATCH(IF('Data-solution'!$A$3="Maximize",MAX($C74:$AI74),MIN($C74:$AI74)),$C74:$AI74,0)),AI64-INDEX($C63:$AJ73,2,MATCH(IF('Data-solution'!$A$3="Maximize",MAX($C74:$AI74),MIN($C74:$AI74)),$C74:$AI74,0))*INDEX(AI63:$AJ73,MATCH(MIN($AK63:$AK73),$AK63:$AK73,0),1)/INDEX($C63:$AJ73,MATCH(MIN($AK63:$AK73),$AK63:$AK73,0),MATCH(IF('Data-solution'!$A$3="Maximize",MAX($C74:$AI74),MIN($C74:$AI74)),$C74:$AI74,0))),AI64)</f>
        <v>0</v>
      </c>
      <c r="AJ79" s="1">
        <f>IF(OR($B78&lt;&gt;$B63,$B79&lt;&gt;$B64,$B80&lt;&gt;$B65,$B81&lt;&gt;$B66,$B82&lt;&gt;$B67,$B83&lt;&gt;$B68,$B84&lt;&gt;$B69,$B85&lt;&gt;$B70,$B86&lt;&gt;$B71,$B87&lt;&gt;$B72,$B88&lt;&gt;$B73),IF($B79&lt;&gt;$B64,AJ64/INDEX($C63:$AJ73,2,MATCH(IF('Data-solution'!$A$3="Maximize",MAX($C74:$AI74),MIN($C74:$AI74)),$C74:$AI74,0)),AJ64-INDEX($C63:$AJ73,2,MATCH(IF('Data-solution'!$A$3="Maximize",MAX($C74:$AI74),MIN($C74:$AI74)),$C74:$AI74,0))*INDEX(AJ63:$AJ73,MATCH(MIN($AK63:$AK73),$AK63:$AK73,0),1)/INDEX($C63:$AJ73,MATCH(MIN($AK63:$AK73),$AK63:$AK73,0),MATCH(IF('Data-solution'!$A$3="Maximize",MAX($C74:$AI74),MIN($C74:$AI74)),$C74:$AI74,0))),AJ64)</f>
        <v>300</v>
      </c>
      <c r="AK79" s="1" t="str">
        <f>IF(INDEX(C79:X79,1,MATCH(IF('Data-solution'!A$3="Maximize",MAX(C89:X89),MIN(C89:X89)),C89:X89,0))&gt;0,AJ79/INDEX(C79:X79,1,MATCH(IF('Data-solution'!A$3="Maximize",MAX(C89:X89),MIN(C89:X89)),C89:X89,0))," ")</f>
        <v xml:space="preserve"> </v>
      </c>
    </row>
    <row r="80" spans="1:37" ht="18" customHeight="1" x14ac:dyDescent="0.2">
      <c r="A80" s="1">
        <f t="shared" ref="A80" si="52">INDEX(C76:AI76,1,MATCH(B80,C77:AI77,0))</f>
        <v>350</v>
      </c>
      <c r="B80" s="2" t="str">
        <f>IF(AND('Data-solution'!A$3="Maximize",COUNTIF(C74:X74,"&gt;"&amp;0)&gt;0,AK65=MIN(AK63:AK73),COUNTIF(B78:B79,INDEX(C62:X62,1,MATCH(MAX(C74:X74),C74:X74,0)))=0),INDEX(C62:X62,1,MATCH(MAX(C74:X74),C74:X74,0)),IF(AND('Data-solution'!A$3="Minimize",COUNTIF(C74:X74,"&lt;"&amp;0)&gt;0,AK65=MIN(AK63:AK73),COUNTIF(B78:B79,INDEX(C62:X62,1,MATCH(MIN(C74:X74),C74:X74,0)))=0),INDEX(C62:X62,1,MATCH(MIN(C74:X74),C74:X74,0)),B65))</f>
        <v>X3</v>
      </c>
      <c r="C80" s="1">
        <f>IF(OR($B78&lt;&gt;$B63,$B79&lt;&gt;$B64,$B80&lt;&gt;$B65,$B81&lt;&gt;$B66,$B82&lt;&gt;$B67,$B83&lt;&gt;$B68,$B84&lt;&gt;$B69,$B85&lt;&gt;$B70,$B86&lt;&gt;$B71,$B87&lt;&gt;$B72,$B88&lt;&gt;$B73),IF($B80&lt;&gt;$B65,C65/INDEX($C63:$AJ73,3,MATCH(IF('Data-solution'!$A$3="Maximize",MAX($C74:$AI74),MIN($C74:$AI74)),$C74:$AI74,0)),C65-INDEX($C63:$AJ73,3,MATCH(IF('Data-solution'!$A$3="Maximize",MAX($C74:$AI74),MIN($C74:$AI74)),$C74:$AI74,0))*INDEX(C63:$AJ73,MATCH(MIN($AK63:$AK73),$AK63:$AK73,0),1)/INDEX($C63:$AJ73,MATCH(MIN($AK63:$AK73),$AK63:$AK73,0),MATCH(IF('Data-solution'!$A$3="Maximize",MAX($C74:$AI74),MIN($C74:$AI74)),$C74:$AI74,0))),C65)</f>
        <v>0</v>
      </c>
      <c r="D80" s="1">
        <f>IF(OR($B78&lt;&gt;$B63,$B79&lt;&gt;$B64,$B80&lt;&gt;$B65,$B81&lt;&gt;$B66,$B82&lt;&gt;$B67,$B83&lt;&gt;$B68,$B84&lt;&gt;$B69,$B85&lt;&gt;$B70,$B86&lt;&gt;$B71,$B87&lt;&gt;$B72,$B88&lt;&gt;$B73),IF($B80&lt;&gt;$B65,D65/INDEX($C63:$AJ73,3,MATCH(IF('Data-solution'!$A$3="Maximize",MAX($C74:$AI74),MIN($C74:$AI74)),$C74:$AI74,0)),D65-INDEX($C63:$AJ73,3,MATCH(IF('Data-solution'!$A$3="Maximize",MAX($C74:$AI74),MIN($C74:$AI74)),$C74:$AI74,0))*INDEX(D63:$AJ73,MATCH(MIN($AK63:$AK73),$AK63:$AK73,0),1)/INDEX($C63:$AJ73,MATCH(MIN($AK63:$AK73),$AK63:$AK73,0),MATCH(IF('Data-solution'!$A$3="Maximize",MAX($C74:$AI74),MIN($C74:$AI74)),$C74:$AI74,0))),D65)</f>
        <v>1.25</v>
      </c>
      <c r="E80" s="1">
        <f>IF(OR($B78&lt;&gt;$B63,$B79&lt;&gt;$B64,$B80&lt;&gt;$B65,$B81&lt;&gt;$B66,$B82&lt;&gt;$B67,$B83&lt;&gt;$B68,$B84&lt;&gt;$B69,$B85&lt;&gt;$B70,$B86&lt;&gt;$B71,$B87&lt;&gt;$B72,$B88&lt;&gt;$B73),IF($B80&lt;&gt;$B65,E65/INDEX($C63:$AJ73,3,MATCH(IF('Data-solution'!$A$3="Maximize",MAX($C74:$AI74),MIN($C74:$AI74)),$C74:$AI74,0)),E65-INDEX($C63:$AJ73,3,MATCH(IF('Data-solution'!$A$3="Maximize",MAX($C74:$AI74),MIN($C74:$AI74)),$C74:$AI74,0))*INDEX(E63:$AJ73,MATCH(MIN($AK63:$AK73),$AK63:$AK73,0),1)/INDEX($C63:$AJ73,MATCH(MIN($AK63:$AK73),$AK63:$AK73,0),MATCH(IF('Data-solution'!$A$3="Maximize",MAX($C74:$AI74),MIN($C74:$AI74)),$C74:$AI74,0))),E65)</f>
        <v>1</v>
      </c>
      <c r="F80" s="1">
        <f>IF(OR($B78&lt;&gt;$B63,$B79&lt;&gt;$B64,$B80&lt;&gt;$B65,$B81&lt;&gt;$B66,$B82&lt;&gt;$B67,$B83&lt;&gt;$B68,$B84&lt;&gt;$B69,$B85&lt;&gt;$B70,$B86&lt;&gt;$B71,$B87&lt;&gt;$B72,$B88&lt;&gt;$B73),IF($B80&lt;&gt;$B65,F65/INDEX($C63:$AJ73,3,MATCH(IF('Data-solution'!$A$3="Maximize",MAX($C74:$AI74),MIN($C74:$AI74)),$C74:$AI74,0)),F65-INDEX($C63:$AJ73,3,MATCH(IF('Data-solution'!$A$3="Maximize",MAX($C74:$AI74),MIN($C74:$AI74)),$C74:$AI74,0))*INDEX(F63:$AJ73,MATCH(MIN($AK63:$AK73),$AK63:$AK73,0),1)/INDEX($C63:$AJ73,MATCH(MIN($AK63:$AK73),$AK63:$AK73,0),MATCH(IF('Data-solution'!$A$3="Maximize",MAX($C74:$AI74),MIN($C74:$AI74)),$C74:$AI74,0))),F65)</f>
        <v>0</v>
      </c>
      <c r="G80" s="1">
        <f>IF(OR($B78&lt;&gt;$B63,$B79&lt;&gt;$B64,$B80&lt;&gt;$B65,$B81&lt;&gt;$B66,$B82&lt;&gt;$B67,$B83&lt;&gt;$B68,$B84&lt;&gt;$B69,$B85&lt;&gt;$B70,$B86&lt;&gt;$B71,$B87&lt;&gt;$B72,$B88&lt;&gt;$B73),IF($B80&lt;&gt;$B65,G65/INDEX($C63:$AJ73,3,MATCH(IF('Data-solution'!$A$3="Maximize",MAX($C74:$AI74),MIN($C74:$AI74)),$C74:$AI74,0)),G65-INDEX($C63:$AJ73,3,MATCH(IF('Data-solution'!$A$3="Maximize",MAX($C74:$AI74),MIN($C74:$AI74)),$C74:$AI74,0))*INDEX(G63:$AJ73,MATCH(MIN($AK63:$AK73),$AK63:$AK73,0),1)/INDEX($C63:$AJ73,MATCH(MIN($AK63:$AK73),$AK63:$AK73,0),MATCH(IF('Data-solution'!$A$3="Maximize",MAX($C74:$AI74),MIN($C74:$AI74)),$C74:$AI74,0))),G65)</f>
        <v>0</v>
      </c>
      <c r="H80" s="1">
        <f>IF(OR($B78&lt;&gt;$B63,$B79&lt;&gt;$B64,$B80&lt;&gt;$B65,$B81&lt;&gt;$B66,$B82&lt;&gt;$B67,$B83&lt;&gt;$B68,$B84&lt;&gt;$B69,$B85&lt;&gt;$B70,$B86&lt;&gt;$B71,$B87&lt;&gt;$B72,$B88&lt;&gt;$B73),IF($B80&lt;&gt;$B65,H65/INDEX($C63:$AJ73,3,MATCH(IF('Data-solution'!$A$3="Maximize",MAX($C74:$AI74),MIN($C74:$AI74)),$C74:$AI74,0)),H65-INDEX($C63:$AJ73,3,MATCH(IF('Data-solution'!$A$3="Maximize",MAX($C74:$AI74),MIN($C74:$AI74)),$C74:$AI74,0))*INDEX(H63:$AJ73,MATCH(MIN($AK63:$AK73),$AK63:$AK73,0),1)/INDEX($C63:$AJ73,MATCH(MIN($AK63:$AK73),$AK63:$AK73,0),MATCH(IF('Data-solution'!$A$3="Maximize",MAX($C74:$AI74),MIN($C74:$AI74)),$C74:$AI74,0))),H65)</f>
        <v>0</v>
      </c>
      <c r="I80" s="1">
        <f>IF(OR($B78&lt;&gt;$B63,$B79&lt;&gt;$B64,$B80&lt;&gt;$B65,$B81&lt;&gt;$B66,$B82&lt;&gt;$B67,$B83&lt;&gt;$B68,$B84&lt;&gt;$B69,$B85&lt;&gt;$B70,$B86&lt;&gt;$B71,$B87&lt;&gt;$B72,$B88&lt;&gt;$B73),IF($B80&lt;&gt;$B65,I65/INDEX($C63:$AJ73,3,MATCH(IF('Data-solution'!$A$3="Maximize",MAX($C74:$AI74),MIN($C74:$AI74)),$C74:$AI74,0)),I65-INDEX($C63:$AJ73,3,MATCH(IF('Data-solution'!$A$3="Maximize",MAX($C74:$AI74),MIN($C74:$AI74)),$C74:$AI74,0))*INDEX(I63:$AJ73,MATCH(MIN($AK63:$AK73),$AK63:$AK73,0),1)/INDEX($C63:$AJ73,MATCH(MIN($AK63:$AK73),$AK63:$AK73,0),MATCH(IF('Data-solution'!$A$3="Maximize",MAX($C74:$AI74),MIN($C74:$AI74)),$C74:$AI74,0))),I65)</f>
        <v>0</v>
      </c>
      <c r="J80" s="1">
        <f>IF(OR($B78&lt;&gt;$B63,$B79&lt;&gt;$B64,$B80&lt;&gt;$B65,$B81&lt;&gt;$B66,$B82&lt;&gt;$B67,$B83&lt;&gt;$B68,$B84&lt;&gt;$B69,$B85&lt;&gt;$B70,$B86&lt;&gt;$B71,$B87&lt;&gt;$B72,$B88&lt;&gt;$B73),IF($B80&lt;&gt;$B65,J65/INDEX($C63:$AJ73,3,MATCH(IF('Data-solution'!$A$3="Maximize",MAX($C74:$AI74),MIN($C74:$AI74)),$C74:$AI74,0)),J65-INDEX($C63:$AJ73,3,MATCH(IF('Data-solution'!$A$3="Maximize",MAX($C74:$AI74),MIN($C74:$AI74)),$C74:$AI74,0))*INDEX(J63:$AJ73,MATCH(MIN($AK63:$AK73),$AK63:$AK73,0),1)/INDEX($C63:$AJ73,MATCH(MIN($AK63:$AK73),$AK63:$AK73,0),MATCH(IF('Data-solution'!$A$3="Maximize",MAX($C74:$AI74),MIN($C74:$AI74)),$C74:$AI74,0))),J65)</f>
        <v>0</v>
      </c>
      <c r="K80" s="1">
        <f>IF(OR($B78&lt;&gt;$B63,$B79&lt;&gt;$B64,$B80&lt;&gt;$B65,$B81&lt;&gt;$B66,$B82&lt;&gt;$B67,$B83&lt;&gt;$B68,$B84&lt;&gt;$B69,$B85&lt;&gt;$B70,$B86&lt;&gt;$B71,$B87&lt;&gt;$B72,$B88&lt;&gt;$B73),IF($B80&lt;&gt;$B65,K65/INDEX($C63:$AJ73,3,MATCH(IF('Data-solution'!$A$3="Maximize",MAX($C74:$AI74),MIN($C74:$AI74)),$C74:$AI74,0)),K65-INDEX($C63:$AJ73,3,MATCH(IF('Data-solution'!$A$3="Maximize",MAX($C74:$AI74),MIN($C74:$AI74)),$C74:$AI74,0))*INDEX(K63:$AJ73,MATCH(MIN($AK63:$AK73),$AK63:$AK73,0),1)/INDEX($C63:$AJ73,MATCH(MIN($AK63:$AK73),$AK63:$AK73,0),MATCH(IF('Data-solution'!$A$3="Maximize",MAX($C74:$AI74),MIN($C74:$AI74)),$C74:$AI74,0))),K65)</f>
        <v>0</v>
      </c>
      <c r="L80" s="1">
        <f>IF(OR($B78&lt;&gt;$B63,$B79&lt;&gt;$B64,$B80&lt;&gt;$B65,$B81&lt;&gt;$B66,$B82&lt;&gt;$B67,$B83&lt;&gt;$B68,$B84&lt;&gt;$B69,$B85&lt;&gt;$B70,$B86&lt;&gt;$B71,$B87&lt;&gt;$B72,$B88&lt;&gt;$B73),IF($B80&lt;&gt;$B65,L65/INDEX($C63:$AJ73,3,MATCH(IF('Data-solution'!$A$3="Maximize",MAX($C74:$AI74),MIN($C74:$AI74)),$C74:$AI74,0)),L65-INDEX($C63:$AJ73,3,MATCH(IF('Data-solution'!$A$3="Maximize",MAX($C74:$AI74),MIN($C74:$AI74)),$C74:$AI74,0))*INDEX(L63:$AJ73,MATCH(MIN($AK63:$AK73),$AK63:$AK73,0),1)/INDEX($C63:$AJ73,MATCH(MIN($AK63:$AK73),$AK63:$AK73,0),MATCH(IF('Data-solution'!$A$3="Maximize",MAX($C74:$AI74),MIN($C74:$AI74)),$C74:$AI74,0))),L65)</f>
        <v>0</v>
      </c>
      <c r="M80" s="1">
        <f>IF(OR($B78&lt;&gt;$B63,$B79&lt;&gt;$B64,$B80&lt;&gt;$B65,$B81&lt;&gt;$B66,$B82&lt;&gt;$B67,$B83&lt;&gt;$B68,$B84&lt;&gt;$B69,$B85&lt;&gt;$B70,$B86&lt;&gt;$B71,$B87&lt;&gt;$B72,$B88&lt;&gt;$B73),IF($B80&lt;&gt;$B65,M65/INDEX($C63:$AJ73,3,MATCH(IF('Data-solution'!$A$3="Maximize",MAX($C74:$AI74),MIN($C74:$AI74)),$C74:$AI74,0)),M65-INDEX($C63:$AJ73,3,MATCH(IF('Data-solution'!$A$3="Maximize",MAX($C74:$AI74),MIN($C74:$AI74)),$C74:$AI74,0))*INDEX(M63:$AJ73,MATCH(MIN($AK63:$AK73),$AK63:$AK73,0),1)/INDEX($C63:$AJ73,MATCH(MIN($AK63:$AK73),$AK63:$AK73,0),MATCH(IF('Data-solution'!$A$3="Maximize",MAX($C74:$AI74),MIN($C74:$AI74)),$C74:$AI74,0))),M65)</f>
        <v>0</v>
      </c>
      <c r="N80" s="1">
        <f>IF(OR($B78&lt;&gt;$B63,$B79&lt;&gt;$B64,$B80&lt;&gt;$B65,$B81&lt;&gt;$B66,$B82&lt;&gt;$B67,$B83&lt;&gt;$B68,$B84&lt;&gt;$B69,$B85&lt;&gt;$B70,$B86&lt;&gt;$B71,$B87&lt;&gt;$B72,$B88&lt;&gt;$B73),IF($B80&lt;&gt;$B65,N65/INDEX($C63:$AJ73,3,MATCH(IF('Data-solution'!$A$3="Maximize",MAX($C74:$AI74),MIN($C74:$AI74)),$C74:$AI74,0)),N65-INDEX($C63:$AJ73,3,MATCH(IF('Data-solution'!$A$3="Maximize",MAX($C74:$AI74),MIN($C74:$AI74)),$C74:$AI74,0))*INDEX(N63:$AJ73,MATCH(MIN($AK63:$AK73),$AK63:$AK73,0),1)/INDEX($C63:$AJ73,MATCH(MIN($AK63:$AK73),$AK63:$AK73,0),MATCH(IF('Data-solution'!$A$3="Maximize",MAX($C74:$AI74),MIN($C74:$AI74)),$C74:$AI74,0))),N65)</f>
        <v>0</v>
      </c>
      <c r="O80" s="1">
        <f>IF(OR($B78&lt;&gt;$B63,$B79&lt;&gt;$B64,$B80&lt;&gt;$B65,$B81&lt;&gt;$B66,$B82&lt;&gt;$B67,$B83&lt;&gt;$B68,$B84&lt;&gt;$B69,$B85&lt;&gt;$B70,$B86&lt;&gt;$B71,$B87&lt;&gt;$B72,$B88&lt;&gt;$B73),IF($B80&lt;&gt;$B65,O65/INDEX($C63:$AJ73,3,MATCH(IF('Data-solution'!$A$3="Maximize",MAX($C74:$AI74),MIN($C74:$AI74)),$C74:$AI74,0)),O65-INDEX($C63:$AJ73,3,MATCH(IF('Data-solution'!$A$3="Maximize",MAX($C74:$AI74),MIN($C74:$AI74)),$C74:$AI74,0))*INDEX(O63:$AJ73,MATCH(MIN($AK63:$AK73),$AK63:$AK73,0),1)/INDEX($C63:$AJ73,MATCH(MIN($AK63:$AK73),$AK63:$AK73,0),MATCH(IF('Data-solution'!$A$3="Maximize",MAX($C74:$AI74),MIN($C74:$AI74)),$C74:$AI74,0))),O65)</f>
        <v>0</v>
      </c>
      <c r="P80" s="1">
        <f>IF(OR($B78&lt;&gt;$B63,$B79&lt;&gt;$B64,$B80&lt;&gt;$B65,$B81&lt;&gt;$B66,$B82&lt;&gt;$B67,$B83&lt;&gt;$B68,$B84&lt;&gt;$B69,$B85&lt;&gt;$B70,$B86&lt;&gt;$B71,$B87&lt;&gt;$B72,$B88&lt;&gt;$B73),IF($B80&lt;&gt;$B65,P65/INDEX($C63:$AJ73,3,MATCH(IF('Data-solution'!$A$3="Maximize",MAX($C74:$AI74),MIN($C74:$AI74)),$C74:$AI74,0)),P65-INDEX($C63:$AJ73,3,MATCH(IF('Data-solution'!$A$3="Maximize",MAX($C74:$AI74),MIN($C74:$AI74)),$C74:$AI74,0))*INDEX(P63:$AJ73,MATCH(MIN($AK63:$AK73),$AK63:$AK73,0),1)/INDEX($C63:$AJ73,MATCH(MIN($AK63:$AK73),$AK63:$AK73,0),MATCH(IF('Data-solution'!$A$3="Maximize",MAX($C74:$AI74),MIN($C74:$AI74)),$C74:$AI74,0))),P65)</f>
        <v>0.24999999999999997</v>
      </c>
      <c r="Q80" s="1">
        <f>IF(OR($B78&lt;&gt;$B63,$B79&lt;&gt;$B64,$B80&lt;&gt;$B65,$B81&lt;&gt;$B66,$B82&lt;&gt;$B67,$B83&lt;&gt;$B68,$B84&lt;&gt;$B69,$B85&lt;&gt;$B70,$B86&lt;&gt;$B71,$B87&lt;&gt;$B72,$B88&lt;&gt;$B73),IF($B80&lt;&gt;$B65,Q65/INDEX($C63:$AJ73,3,MATCH(IF('Data-solution'!$A$3="Maximize",MAX($C74:$AI74),MIN($C74:$AI74)),$C74:$AI74,0)),Q65-INDEX($C63:$AJ73,3,MATCH(IF('Data-solution'!$A$3="Maximize",MAX($C74:$AI74),MIN($C74:$AI74)),$C74:$AI74,0))*INDEX(Q63:$AJ73,MATCH(MIN($AK63:$AK73),$AK63:$AK73,0),1)/INDEX($C63:$AJ73,MATCH(MIN($AK63:$AK73),$AK63:$AK73,0),MATCH(IF('Data-solution'!$A$3="Maximize",MAX($C74:$AI74),MIN($C74:$AI74)),$C74:$AI74,0))),Q65)</f>
        <v>-0.49999999999999989</v>
      </c>
      <c r="R80" s="1">
        <f>IF(OR($B78&lt;&gt;$B63,$B79&lt;&gt;$B64,$B80&lt;&gt;$B65,$B81&lt;&gt;$B66,$B82&lt;&gt;$B67,$B83&lt;&gt;$B68,$B84&lt;&gt;$B69,$B85&lt;&gt;$B70,$B86&lt;&gt;$B71,$B87&lt;&gt;$B72,$B88&lt;&gt;$B73),IF($B80&lt;&gt;$B65,R65/INDEX($C63:$AJ73,3,MATCH(IF('Data-solution'!$A$3="Maximize",MAX($C74:$AI74),MIN($C74:$AI74)),$C74:$AI74,0)),R65-INDEX($C63:$AJ73,3,MATCH(IF('Data-solution'!$A$3="Maximize",MAX($C74:$AI74),MIN($C74:$AI74)),$C74:$AI74,0))*INDEX(R63:$AJ73,MATCH(MIN($AK63:$AK73),$AK63:$AK73,0),1)/INDEX($C63:$AJ73,MATCH(MIN($AK63:$AK73),$AK63:$AK73,0),MATCH(IF('Data-solution'!$A$3="Maximize",MAX($C74:$AI74),MIN($C74:$AI74)),$C74:$AI74,0))),R65)</f>
        <v>0</v>
      </c>
      <c r="S80" s="1">
        <f>IF(OR($B78&lt;&gt;$B63,$B79&lt;&gt;$B64,$B80&lt;&gt;$B65,$B81&lt;&gt;$B66,$B82&lt;&gt;$B67,$B83&lt;&gt;$B68,$B84&lt;&gt;$B69,$B85&lt;&gt;$B70,$B86&lt;&gt;$B71,$B87&lt;&gt;$B72,$B88&lt;&gt;$B73),IF($B80&lt;&gt;$B65,S65/INDEX($C63:$AJ73,3,MATCH(IF('Data-solution'!$A$3="Maximize",MAX($C74:$AI74),MIN($C74:$AI74)),$C74:$AI74,0)),S65-INDEX($C63:$AJ73,3,MATCH(IF('Data-solution'!$A$3="Maximize",MAX($C74:$AI74),MIN($C74:$AI74)),$C74:$AI74,0))*INDEX(S63:$AJ73,MATCH(MIN($AK63:$AK73),$AK63:$AK73,0),1)/INDEX($C63:$AJ73,MATCH(MIN($AK63:$AK73),$AK63:$AK73,0),MATCH(IF('Data-solution'!$A$3="Maximize",MAX($C74:$AI74),MIN($C74:$AI74)),$C74:$AI74,0))),S65)</f>
        <v>0</v>
      </c>
      <c r="T80" s="1">
        <f>IF(OR($B78&lt;&gt;$B63,$B79&lt;&gt;$B64,$B80&lt;&gt;$B65,$B81&lt;&gt;$B66,$B82&lt;&gt;$B67,$B83&lt;&gt;$B68,$B84&lt;&gt;$B69,$B85&lt;&gt;$B70,$B86&lt;&gt;$B71,$B87&lt;&gt;$B72,$B88&lt;&gt;$B73),IF($B80&lt;&gt;$B65,T65/INDEX($C63:$AJ73,3,MATCH(IF('Data-solution'!$A$3="Maximize",MAX($C74:$AI74),MIN($C74:$AI74)),$C74:$AI74,0)),T65-INDEX($C63:$AJ73,3,MATCH(IF('Data-solution'!$A$3="Maximize",MAX($C74:$AI74),MIN($C74:$AI74)),$C74:$AI74,0))*INDEX(T63:$AJ73,MATCH(MIN($AK63:$AK73),$AK63:$AK73,0),1)/INDEX($C63:$AJ73,MATCH(MIN($AK63:$AK73),$AK63:$AK73,0),MATCH(IF('Data-solution'!$A$3="Maximize",MAX($C74:$AI74),MIN($C74:$AI74)),$C74:$AI74,0))),T65)</f>
        <v>0</v>
      </c>
      <c r="U80" s="1">
        <f>IF(OR($B78&lt;&gt;$B63,$B79&lt;&gt;$B64,$B80&lt;&gt;$B65,$B81&lt;&gt;$B66,$B82&lt;&gt;$B67,$B83&lt;&gt;$B68,$B84&lt;&gt;$B69,$B85&lt;&gt;$B70,$B86&lt;&gt;$B71,$B87&lt;&gt;$B72,$B88&lt;&gt;$B73),IF($B80&lt;&gt;$B65,U65/INDEX($C63:$AJ73,3,MATCH(IF('Data-solution'!$A$3="Maximize",MAX($C74:$AI74),MIN($C74:$AI74)),$C74:$AI74,0)),U65-INDEX($C63:$AJ73,3,MATCH(IF('Data-solution'!$A$3="Maximize",MAX($C74:$AI74),MIN($C74:$AI74)),$C74:$AI74,0))*INDEX(U63:$AJ73,MATCH(MIN($AK63:$AK73),$AK63:$AK73,0),1)/INDEX($C63:$AJ73,MATCH(MIN($AK63:$AK73),$AK63:$AK73,0),MATCH(IF('Data-solution'!$A$3="Maximize",MAX($C74:$AI74),MIN($C74:$AI74)),$C74:$AI74,0))),U65)</f>
        <v>0</v>
      </c>
      <c r="V80" s="1">
        <f>IF(OR($B78&lt;&gt;$B63,$B79&lt;&gt;$B64,$B80&lt;&gt;$B65,$B81&lt;&gt;$B66,$B82&lt;&gt;$B67,$B83&lt;&gt;$B68,$B84&lt;&gt;$B69,$B85&lt;&gt;$B70,$B86&lt;&gt;$B71,$B87&lt;&gt;$B72,$B88&lt;&gt;$B73),IF($B80&lt;&gt;$B65,V65/INDEX($C63:$AJ73,3,MATCH(IF('Data-solution'!$A$3="Maximize",MAX($C74:$AI74),MIN($C74:$AI74)),$C74:$AI74,0)),V65-INDEX($C63:$AJ73,3,MATCH(IF('Data-solution'!$A$3="Maximize",MAX($C74:$AI74),MIN($C74:$AI74)),$C74:$AI74,0))*INDEX(V63:$AJ73,MATCH(MIN($AK63:$AK73),$AK63:$AK73,0),1)/INDEX($C63:$AJ73,MATCH(MIN($AK63:$AK73),$AK63:$AK73,0),MATCH(IF('Data-solution'!$A$3="Maximize",MAX($C74:$AI74),MIN($C74:$AI74)),$C74:$AI74,0))),V65)</f>
        <v>0</v>
      </c>
      <c r="W80" s="1">
        <f>IF(OR($B78&lt;&gt;$B63,$B79&lt;&gt;$B64,$B80&lt;&gt;$B65,$B81&lt;&gt;$B66,$B82&lt;&gt;$B67,$B83&lt;&gt;$B68,$B84&lt;&gt;$B69,$B85&lt;&gt;$B70,$B86&lt;&gt;$B71,$B87&lt;&gt;$B72,$B88&lt;&gt;$B73),IF($B80&lt;&gt;$B65,W65/INDEX($C63:$AJ73,3,MATCH(IF('Data-solution'!$A$3="Maximize",MAX($C74:$AI74),MIN($C74:$AI74)),$C74:$AI74,0)),W65-INDEX($C63:$AJ73,3,MATCH(IF('Data-solution'!$A$3="Maximize",MAX($C74:$AI74),MIN($C74:$AI74)),$C74:$AI74,0))*INDEX(W63:$AJ73,MATCH(MIN($AK63:$AK73),$AK63:$AK73,0),1)/INDEX($C63:$AJ73,MATCH(MIN($AK63:$AK73),$AK63:$AK73,0),MATCH(IF('Data-solution'!$A$3="Maximize",MAX($C74:$AI74),MIN($C74:$AI74)),$C74:$AI74,0))),W65)</f>
        <v>0</v>
      </c>
      <c r="X80" s="1">
        <f>IF(OR($B78&lt;&gt;$B63,$B79&lt;&gt;$B64,$B80&lt;&gt;$B65,$B81&lt;&gt;$B66,$B82&lt;&gt;$B67,$B83&lt;&gt;$B68,$B84&lt;&gt;$B69,$B85&lt;&gt;$B70,$B86&lt;&gt;$B71,$B87&lt;&gt;$B72,$B88&lt;&gt;$B73),IF($B80&lt;&gt;$B65,X65/INDEX($C63:$AJ73,3,MATCH(IF('Data-solution'!$A$3="Maximize",MAX($C74:$AI74),MIN($C74:$AI74)),$C74:$AI74,0)),X65-INDEX($C63:$AJ73,3,MATCH(IF('Data-solution'!$A$3="Maximize",MAX($C74:$AI74),MIN($C74:$AI74)),$C74:$AI74,0))*INDEX(X63:$AJ73,MATCH(MIN($AK63:$AK73),$AK63:$AK73,0),1)/INDEX($C63:$AJ73,MATCH(MIN($AK63:$AK73),$AK63:$AK73,0),MATCH(IF('Data-solution'!$A$3="Maximize",MAX($C74:$AI74),MIN($C74:$AI74)),$C74:$AI74,0))),X65)</f>
        <v>0</v>
      </c>
      <c r="Y80" s="1">
        <f>IF(OR($B78&lt;&gt;$B63,$B79&lt;&gt;$B64,$B80&lt;&gt;$B65,$B81&lt;&gt;$B66,$B82&lt;&gt;$B67,$B83&lt;&gt;$B68,$B84&lt;&gt;$B69,$B85&lt;&gt;$B70,$B86&lt;&gt;$B71,$B87&lt;&gt;$B72,$B88&lt;&gt;$B73),IF($B80&lt;&gt;$B65,Y65/INDEX($C63:$AJ73,3,MATCH(IF('Data-solution'!$A$3="Maximize",MAX($C74:$AI74),MIN($C74:$AI74)),$C74:$AI74,0)),Y65-INDEX($C63:$AJ73,3,MATCH(IF('Data-solution'!$A$3="Maximize",MAX($C74:$AI74),MIN($C74:$AI74)),$C74:$AI74,0))*INDEX(Y63:$AJ73,MATCH(MIN($AK63:$AK73),$AK63:$AK73,0),1)/INDEX($C63:$AJ73,MATCH(MIN($AK63:$AK73),$AK63:$AK73,0),MATCH(IF('Data-solution'!$A$3="Maximize",MAX($C74:$AI74),MIN($C74:$AI74)),$C74:$AI74,0))),Y65)</f>
        <v>0</v>
      </c>
      <c r="Z80" s="1">
        <f>IF(OR($B78&lt;&gt;$B63,$B79&lt;&gt;$B64,$B80&lt;&gt;$B65,$B81&lt;&gt;$B66,$B82&lt;&gt;$B67,$B83&lt;&gt;$B68,$B84&lt;&gt;$B69,$B85&lt;&gt;$B70,$B86&lt;&gt;$B71,$B87&lt;&gt;$B72,$B88&lt;&gt;$B73),IF($B80&lt;&gt;$B65,Z65/INDEX($C63:$AJ73,3,MATCH(IF('Data-solution'!$A$3="Maximize",MAX($C74:$AI74),MIN($C74:$AI74)),$C74:$AI74,0)),Z65-INDEX($C63:$AJ73,3,MATCH(IF('Data-solution'!$A$3="Maximize",MAX($C74:$AI74),MIN($C74:$AI74)),$C74:$AI74,0))*INDEX(Z63:$AJ73,MATCH(MIN($AK63:$AK73),$AK63:$AK73,0),1)/INDEX($C63:$AJ73,MATCH(MIN($AK63:$AK73),$AK63:$AK73,0),MATCH(IF('Data-solution'!$A$3="Maximize",MAX($C74:$AI74),MIN($C74:$AI74)),$C74:$AI74,0))),Z65)</f>
        <v>0</v>
      </c>
      <c r="AA80" s="1">
        <f>IF(OR($B78&lt;&gt;$B63,$B79&lt;&gt;$B64,$B80&lt;&gt;$B65,$B81&lt;&gt;$B66,$B82&lt;&gt;$B67,$B83&lt;&gt;$B68,$B84&lt;&gt;$B69,$B85&lt;&gt;$B70,$B86&lt;&gt;$B71,$B87&lt;&gt;$B72,$B88&lt;&gt;$B73),IF($B80&lt;&gt;$B65,AA65/INDEX($C63:$AJ73,3,MATCH(IF('Data-solution'!$A$3="Maximize",MAX($C74:$AI74),MIN($C74:$AI74)),$C74:$AI74,0)),AA65-INDEX($C63:$AJ73,3,MATCH(IF('Data-solution'!$A$3="Maximize",MAX($C74:$AI74),MIN($C74:$AI74)),$C74:$AI74,0))*INDEX(AA63:$AJ73,MATCH(MIN($AK63:$AK73),$AK63:$AK73,0),1)/INDEX($C63:$AJ73,MATCH(MIN($AK63:$AK73),$AK63:$AK73,0),MATCH(IF('Data-solution'!$A$3="Maximize",MAX($C74:$AI74),MIN($C74:$AI74)),$C74:$AI74,0))),AA65)</f>
        <v>0.24999999999999997</v>
      </c>
      <c r="AB80" s="1">
        <f>IF(OR($B78&lt;&gt;$B63,$B79&lt;&gt;$B64,$B80&lt;&gt;$B65,$B81&lt;&gt;$B66,$B82&lt;&gt;$B67,$B83&lt;&gt;$B68,$B84&lt;&gt;$B69,$B85&lt;&gt;$B70,$B86&lt;&gt;$B71,$B87&lt;&gt;$B72,$B88&lt;&gt;$B73),IF($B80&lt;&gt;$B65,AB65/INDEX($C63:$AJ73,3,MATCH(IF('Data-solution'!$A$3="Maximize",MAX($C74:$AI74),MIN($C74:$AI74)),$C74:$AI74,0)),AB65-INDEX($C63:$AJ73,3,MATCH(IF('Data-solution'!$A$3="Maximize",MAX($C74:$AI74),MIN($C74:$AI74)),$C74:$AI74,0))*INDEX(AB63:$AJ73,MATCH(MIN($AK63:$AK73),$AK63:$AK73,0),1)/INDEX($C63:$AJ73,MATCH(MIN($AK63:$AK73),$AK63:$AK73,0),MATCH(IF('Data-solution'!$A$3="Maximize",MAX($C74:$AI74),MIN($C74:$AI74)),$C74:$AI74,0))),AB65)</f>
        <v>-0.49999999999999989</v>
      </c>
      <c r="AC80" s="1">
        <f>IF(OR($B78&lt;&gt;$B63,$B79&lt;&gt;$B64,$B80&lt;&gt;$B65,$B81&lt;&gt;$B66,$B82&lt;&gt;$B67,$B83&lt;&gt;$B68,$B84&lt;&gt;$B69,$B85&lt;&gt;$B70,$B86&lt;&gt;$B71,$B87&lt;&gt;$B72,$B88&lt;&gt;$B73),IF($B80&lt;&gt;$B65,AC65/INDEX($C63:$AJ73,3,MATCH(IF('Data-solution'!$A$3="Maximize",MAX($C74:$AI74),MIN($C74:$AI74)),$C74:$AI74,0)),AC65-INDEX($C63:$AJ73,3,MATCH(IF('Data-solution'!$A$3="Maximize",MAX($C74:$AI74),MIN($C74:$AI74)),$C74:$AI74,0))*INDEX(AC63:$AJ73,MATCH(MIN($AK63:$AK73),$AK63:$AK73,0),1)/INDEX($C63:$AJ73,MATCH(MIN($AK63:$AK73),$AK63:$AK73,0),MATCH(IF('Data-solution'!$A$3="Maximize",MAX($C74:$AI74),MIN($C74:$AI74)),$C74:$AI74,0))),AC65)</f>
        <v>0</v>
      </c>
      <c r="AD80" s="1">
        <f>IF(OR($B78&lt;&gt;$B63,$B79&lt;&gt;$B64,$B80&lt;&gt;$B65,$B81&lt;&gt;$B66,$B82&lt;&gt;$B67,$B83&lt;&gt;$B68,$B84&lt;&gt;$B69,$B85&lt;&gt;$B70,$B86&lt;&gt;$B71,$B87&lt;&gt;$B72,$B88&lt;&gt;$B73),IF($B80&lt;&gt;$B65,AD65/INDEX($C63:$AJ73,3,MATCH(IF('Data-solution'!$A$3="Maximize",MAX($C74:$AI74),MIN($C74:$AI74)),$C74:$AI74,0)),AD65-INDEX($C63:$AJ73,3,MATCH(IF('Data-solution'!$A$3="Maximize",MAX($C74:$AI74),MIN($C74:$AI74)),$C74:$AI74,0))*INDEX(AD63:$AJ73,MATCH(MIN($AK63:$AK73),$AK63:$AK73,0),1)/INDEX($C63:$AJ73,MATCH(MIN($AK63:$AK73),$AK63:$AK73,0),MATCH(IF('Data-solution'!$A$3="Maximize",MAX($C74:$AI74),MIN($C74:$AI74)),$C74:$AI74,0))),AD65)</f>
        <v>0</v>
      </c>
      <c r="AE80" s="1">
        <f>IF(OR($B78&lt;&gt;$B63,$B79&lt;&gt;$B64,$B80&lt;&gt;$B65,$B81&lt;&gt;$B66,$B82&lt;&gt;$B67,$B83&lt;&gt;$B68,$B84&lt;&gt;$B69,$B85&lt;&gt;$B70,$B86&lt;&gt;$B71,$B87&lt;&gt;$B72,$B88&lt;&gt;$B73),IF($B80&lt;&gt;$B65,AE65/INDEX($C63:$AJ73,3,MATCH(IF('Data-solution'!$A$3="Maximize",MAX($C74:$AI74),MIN($C74:$AI74)),$C74:$AI74,0)),AE65-INDEX($C63:$AJ73,3,MATCH(IF('Data-solution'!$A$3="Maximize",MAX($C74:$AI74),MIN($C74:$AI74)),$C74:$AI74,0))*INDEX(AE63:$AJ73,MATCH(MIN($AK63:$AK73),$AK63:$AK73,0),1)/INDEX($C63:$AJ73,MATCH(MIN($AK63:$AK73),$AK63:$AK73,0),MATCH(IF('Data-solution'!$A$3="Maximize",MAX($C74:$AI74),MIN($C74:$AI74)),$C74:$AI74,0))),AE65)</f>
        <v>0</v>
      </c>
      <c r="AF80" s="1">
        <f>IF(OR($B78&lt;&gt;$B63,$B79&lt;&gt;$B64,$B80&lt;&gt;$B65,$B81&lt;&gt;$B66,$B82&lt;&gt;$B67,$B83&lt;&gt;$B68,$B84&lt;&gt;$B69,$B85&lt;&gt;$B70,$B86&lt;&gt;$B71,$B87&lt;&gt;$B72,$B88&lt;&gt;$B73),IF($B80&lt;&gt;$B65,AF65/INDEX($C63:$AJ73,3,MATCH(IF('Data-solution'!$A$3="Maximize",MAX($C74:$AI74),MIN($C74:$AI74)),$C74:$AI74,0)),AF65-INDEX($C63:$AJ73,3,MATCH(IF('Data-solution'!$A$3="Maximize",MAX($C74:$AI74),MIN($C74:$AI74)),$C74:$AI74,0))*INDEX(AF63:$AJ73,MATCH(MIN($AK63:$AK73),$AK63:$AK73,0),1)/INDEX($C63:$AJ73,MATCH(MIN($AK63:$AK73),$AK63:$AK73,0),MATCH(IF('Data-solution'!$A$3="Maximize",MAX($C74:$AI74),MIN($C74:$AI74)),$C74:$AI74,0))),AF65)</f>
        <v>0</v>
      </c>
      <c r="AG80" s="1">
        <f>IF(OR($B78&lt;&gt;$B63,$B79&lt;&gt;$B64,$B80&lt;&gt;$B65,$B81&lt;&gt;$B66,$B82&lt;&gt;$B67,$B83&lt;&gt;$B68,$B84&lt;&gt;$B69,$B85&lt;&gt;$B70,$B86&lt;&gt;$B71,$B87&lt;&gt;$B72,$B88&lt;&gt;$B73),IF($B80&lt;&gt;$B65,AG65/INDEX($C63:$AJ73,3,MATCH(IF('Data-solution'!$A$3="Maximize",MAX($C74:$AI74),MIN($C74:$AI74)),$C74:$AI74,0)),AG65-INDEX($C63:$AJ73,3,MATCH(IF('Data-solution'!$A$3="Maximize",MAX($C74:$AI74),MIN($C74:$AI74)),$C74:$AI74,0))*INDEX(AG63:$AJ73,MATCH(MIN($AK63:$AK73),$AK63:$AK73,0),1)/INDEX($C63:$AJ73,MATCH(MIN($AK63:$AK73),$AK63:$AK73,0),MATCH(IF('Data-solution'!$A$3="Maximize",MAX($C74:$AI74),MIN($C74:$AI74)),$C74:$AI74,0))),AG65)</f>
        <v>0</v>
      </c>
      <c r="AH80" s="1">
        <f>IF(OR($B78&lt;&gt;$B63,$B79&lt;&gt;$B64,$B80&lt;&gt;$B65,$B81&lt;&gt;$B66,$B82&lt;&gt;$B67,$B83&lt;&gt;$B68,$B84&lt;&gt;$B69,$B85&lt;&gt;$B70,$B86&lt;&gt;$B71,$B87&lt;&gt;$B72,$B88&lt;&gt;$B73),IF($B80&lt;&gt;$B65,AH65/INDEX($C63:$AJ73,3,MATCH(IF('Data-solution'!$A$3="Maximize",MAX($C74:$AI74),MIN($C74:$AI74)),$C74:$AI74,0)),AH65-INDEX($C63:$AJ73,3,MATCH(IF('Data-solution'!$A$3="Maximize",MAX($C74:$AI74),MIN($C74:$AI74)),$C74:$AI74,0))*INDEX(AH63:$AJ73,MATCH(MIN($AK63:$AK73),$AK63:$AK73,0),1)/INDEX($C63:$AJ73,MATCH(MIN($AK63:$AK73),$AK63:$AK73,0),MATCH(IF('Data-solution'!$A$3="Maximize",MAX($C74:$AI74),MIN($C74:$AI74)),$C74:$AI74,0))),AH65)</f>
        <v>0</v>
      </c>
      <c r="AI80" s="1">
        <f>IF(OR($B78&lt;&gt;$B63,$B79&lt;&gt;$B64,$B80&lt;&gt;$B65,$B81&lt;&gt;$B66,$B82&lt;&gt;$B67,$B83&lt;&gt;$B68,$B84&lt;&gt;$B69,$B85&lt;&gt;$B70,$B86&lt;&gt;$B71,$B87&lt;&gt;$B72,$B88&lt;&gt;$B73),IF($B80&lt;&gt;$B65,AI65/INDEX($C63:$AJ73,3,MATCH(IF('Data-solution'!$A$3="Maximize",MAX($C74:$AI74),MIN($C74:$AI74)),$C74:$AI74,0)),AI65-INDEX($C63:$AJ73,3,MATCH(IF('Data-solution'!$A$3="Maximize",MAX($C74:$AI74),MIN($C74:$AI74)),$C74:$AI74,0))*INDEX(AI63:$AJ73,MATCH(MIN($AK63:$AK73),$AK63:$AK73,0),1)/INDEX($C63:$AJ73,MATCH(MIN($AK63:$AK73),$AK63:$AK73,0),MATCH(IF('Data-solution'!$A$3="Maximize",MAX($C74:$AI74),MIN($C74:$AI74)),$C74:$AI74,0))),AI65)</f>
        <v>0</v>
      </c>
      <c r="AJ80" s="1">
        <f>IF(OR($B78&lt;&gt;$B63,$B79&lt;&gt;$B64,$B80&lt;&gt;$B65,$B81&lt;&gt;$B66,$B82&lt;&gt;$B67,$B83&lt;&gt;$B68,$B84&lt;&gt;$B69,$B85&lt;&gt;$B70,$B86&lt;&gt;$B71,$B87&lt;&gt;$B72,$B88&lt;&gt;$B73),IF($B80&lt;&gt;$B65,AJ65/INDEX($C63:$AJ73,3,MATCH(IF('Data-solution'!$A$3="Maximize",MAX($C74:$AI74),MIN($C74:$AI74)),$C74:$AI74,0)),AJ65-INDEX($C63:$AJ73,3,MATCH(IF('Data-solution'!$A$3="Maximize",MAX($C74:$AI74),MIN($C74:$AI74)),$C74:$AI74,0))*INDEX(AJ63:$AJ73,MATCH(MIN($AK63:$AK73),$AK63:$AK73,0),1)/INDEX($C63:$AJ73,MATCH(MIN($AK63:$AK73),$AK63:$AK73,0),MATCH(IF('Data-solution'!$A$3="Maximize",MAX($C74:$AI74),MIN($C74:$AI74)),$C74:$AI74,0))),AJ65)</f>
        <v>300</v>
      </c>
      <c r="AK80" s="1" t="str">
        <f>IF(INDEX(C80:X80,1,MATCH(IF('Data-solution'!A$3="Maximize",MAX(C89:X89),MIN(C89:X89)),C89:X89,0))&gt;0,AJ80/INDEX(C80:X80,1,MATCH(IF('Data-solution'!A$3="Maximize",MAX(C89:X89),MIN(C89:X89)),C89:X89,0))," ")</f>
        <v xml:space="preserve"> </v>
      </c>
    </row>
    <row r="81" spans="1:37" ht="18" customHeight="1" x14ac:dyDescent="0.2">
      <c r="A81" s="1">
        <f t="shared" ref="A81" si="53">INDEX(C76:AI76,1,MATCH(B81,C77:AI77,0))</f>
        <v>150</v>
      </c>
      <c r="B81" s="2" t="str">
        <f>IF(AND('Data-solution'!A$3="Maximize",COUNTIF(C74:X74,"&gt;"&amp;0)&gt;0,AK66=MIN(AK63:AK73),COUNTIF(B78:B80,INDEX(C62:X62,1,MATCH(MAX(C74:X74),C74:X74,0)))=0),INDEX(C62:X62,1,MATCH(MAX(C74:X74),C74:X74,0)),IF(AND('Data-solution'!A$3="Minimize",COUNTIF(C74:X74,"&lt;"&amp;0)&gt;0,AK66=MIN(AK63:AK73),COUNTIF(B78:B80,INDEX(C62:X62,1,MATCH(MIN(C74:X74),C74:X74,0)))=0),INDEX(C62:X62,1,MATCH(MIN(C74:X74),C74:X74,0)),B66))</f>
        <v>X1</v>
      </c>
      <c r="C81" s="1">
        <f>IF(OR($B78&lt;&gt;$B63,$B79&lt;&gt;$B64,$B80&lt;&gt;$B65,$B81&lt;&gt;$B66,$B82&lt;&gt;$B67,$B83&lt;&gt;$B68,$B84&lt;&gt;$B69,$B85&lt;&gt;$B70,$B86&lt;&gt;$B71,$B87&lt;&gt;$B72,$B88&lt;&gt;$B73),IF($B81&lt;&gt;$B66,C66/INDEX($C63:$AJ73,4,MATCH(IF('Data-solution'!$A$3="Maximize",MAX($C74:$AI74),MIN($C74:$AI74)),$C74:$AI74,0)),C66-INDEX($C63:$AJ73,4,MATCH(IF('Data-solution'!$A$3="Maximize",MAX($C74:$AI74),MIN($C74:$AI74)),$C74:$AI74,0))*INDEX(C63:$AJ73,MATCH(MIN($AK63:$AK73),$AK63:$AK73,0),1)/INDEX($C63:$AJ73,MATCH(MIN($AK63:$AK73),$AK63:$AK73,0),MATCH(IF('Data-solution'!$A$3="Maximize",MAX($C74:$AI74),MIN($C74:$AI74)),$C74:$AI74,0))),C66)</f>
        <v>1</v>
      </c>
      <c r="D81" s="1">
        <f>IF(OR($B78&lt;&gt;$B63,$B79&lt;&gt;$B64,$B80&lt;&gt;$B65,$B81&lt;&gt;$B66,$B82&lt;&gt;$B67,$B83&lt;&gt;$B68,$B84&lt;&gt;$B69,$B85&lt;&gt;$B70,$B86&lt;&gt;$B71,$B87&lt;&gt;$B72,$B88&lt;&gt;$B73),IF($B81&lt;&gt;$B66,D66/INDEX($C63:$AJ73,4,MATCH(IF('Data-solution'!$A$3="Maximize",MAX($C74:$AI74),MIN($C74:$AI74)),$C74:$AI74,0)),D66-INDEX($C63:$AJ73,4,MATCH(IF('Data-solution'!$A$3="Maximize",MAX($C74:$AI74),MIN($C74:$AI74)),$C74:$AI74,0))*INDEX(D63:$AJ73,MATCH(MIN($AK63:$AK73),$AK63:$AK73,0),1)/INDEX($C63:$AJ73,MATCH(MIN($AK63:$AK73),$AK63:$AK73,0),MATCH(IF('Data-solution'!$A$3="Maximize",MAX($C74:$AI74),MIN($C74:$AI74)),$C74:$AI74,0))),D66)</f>
        <v>-1.25</v>
      </c>
      <c r="E81" s="1">
        <f>IF(OR($B78&lt;&gt;$B63,$B79&lt;&gt;$B64,$B80&lt;&gt;$B65,$B81&lt;&gt;$B66,$B82&lt;&gt;$B67,$B83&lt;&gt;$B68,$B84&lt;&gt;$B69,$B85&lt;&gt;$B70,$B86&lt;&gt;$B71,$B87&lt;&gt;$B72,$B88&lt;&gt;$B73),IF($B81&lt;&gt;$B66,E66/INDEX($C63:$AJ73,4,MATCH(IF('Data-solution'!$A$3="Maximize",MAX($C74:$AI74),MIN($C74:$AI74)),$C74:$AI74,0)),E66-INDEX($C63:$AJ73,4,MATCH(IF('Data-solution'!$A$3="Maximize",MAX($C74:$AI74),MIN($C74:$AI74)),$C74:$AI74,0))*INDEX(E63:$AJ73,MATCH(MIN($AK63:$AK73),$AK63:$AK73,0),1)/INDEX($C63:$AJ73,MATCH(MIN($AK63:$AK73),$AK63:$AK73,0),MATCH(IF('Data-solution'!$A$3="Maximize",MAX($C74:$AI74),MIN($C74:$AI74)),$C74:$AI74,0))),E66)</f>
        <v>0</v>
      </c>
      <c r="F81" s="1">
        <f>IF(OR($B78&lt;&gt;$B63,$B79&lt;&gt;$B64,$B80&lt;&gt;$B65,$B81&lt;&gt;$B66,$B82&lt;&gt;$B67,$B83&lt;&gt;$B68,$B84&lt;&gt;$B69,$B85&lt;&gt;$B70,$B86&lt;&gt;$B71,$B87&lt;&gt;$B72,$B88&lt;&gt;$B73),IF($B81&lt;&gt;$B66,F66/INDEX($C63:$AJ73,4,MATCH(IF('Data-solution'!$A$3="Maximize",MAX($C74:$AI74),MIN($C74:$AI74)),$C74:$AI74,0)),F66-INDEX($C63:$AJ73,4,MATCH(IF('Data-solution'!$A$3="Maximize",MAX($C74:$AI74),MIN($C74:$AI74)),$C74:$AI74,0))*INDEX(F63:$AJ73,MATCH(MIN($AK63:$AK73),$AK63:$AK73,0),1)/INDEX($C63:$AJ73,MATCH(MIN($AK63:$AK73),$AK63:$AK73,0),MATCH(IF('Data-solution'!$A$3="Maximize",MAX($C74:$AI74),MIN($C74:$AI74)),$C74:$AI74,0))),F66)</f>
        <v>0</v>
      </c>
      <c r="G81" s="1">
        <f>IF(OR($B78&lt;&gt;$B63,$B79&lt;&gt;$B64,$B80&lt;&gt;$B65,$B81&lt;&gt;$B66,$B82&lt;&gt;$B67,$B83&lt;&gt;$B68,$B84&lt;&gt;$B69,$B85&lt;&gt;$B70,$B86&lt;&gt;$B71,$B87&lt;&gt;$B72,$B88&lt;&gt;$B73),IF($B81&lt;&gt;$B66,G66/INDEX($C63:$AJ73,4,MATCH(IF('Data-solution'!$A$3="Maximize",MAX($C74:$AI74),MIN($C74:$AI74)),$C74:$AI74,0)),G66-INDEX($C63:$AJ73,4,MATCH(IF('Data-solution'!$A$3="Maximize",MAX($C74:$AI74),MIN($C74:$AI74)),$C74:$AI74,0))*INDEX(G63:$AJ73,MATCH(MIN($AK63:$AK73),$AK63:$AK73,0),1)/INDEX($C63:$AJ73,MATCH(MIN($AK63:$AK73),$AK63:$AK73,0),MATCH(IF('Data-solution'!$A$3="Maximize",MAX($C74:$AI74),MIN($C74:$AI74)),$C74:$AI74,0))),G66)</f>
        <v>0</v>
      </c>
      <c r="H81" s="1">
        <f>IF(OR($B78&lt;&gt;$B63,$B79&lt;&gt;$B64,$B80&lt;&gt;$B65,$B81&lt;&gt;$B66,$B82&lt;&gt;$B67,$B83&lt;&gt;$B68,$B84&lt;&gt;$B69,$B85&lt;&gt;$B70,$B86&lt;&gt;$B71,$B87&lt;&gt;$B72,$B88&lt;&gt;$B73),IF($B81&lt;&gt;$B66,H66/INDEX($C63:$AJ73,4,MATCH(IF('Data-solution'!$A$3="Maximize",MAX($C74:$AI74),MIN($C74:$AI74)),$C74:$AI74,0)),H66-INDEX($C63:$AJ73,4,MATCH(IF('Data-solution'!$A$3="Maximize",MAX($C74:$AI74),MIN($C74:$AI74)),$C74:$AI74,0))*INDEX(H63:$AJ73,MATCH(MIN($AK63:$AK73),$AK63:$AK73,0),1)/INDEX($C63:$AJ73,MATCH(MIN($AK63:$AK73),$AK63:$AK73,0),MATCH(IF('Data-solution'!$A$3="Maximize",MAX($C74:$AI74),MIN($C74:$AI74)),$C74:$AI74,0))),H66)</f>
        <v>0</v>
      </c>
      <c r="I81" s="1">
        <f>IF(OR($B78&lt;&gt;$B63,$B79&lt;&gt;$B64,$B80&lt;&gt;$B65,$B81&lt;&gt;$B66,$B82&lt;&gt;$B67,$B83&lt;&gt;$B68,$B84&lt;&gt;$B69,$B85&lt;&gt;$B70,$B86&lt;&gt;$B71,$B87&lt;&gt;$B72,$B88&lt;&gt;$B73),IF($B81&lt;&gt;$B66,I66/INDEX($C63:$AJ73,4,MATCH(IF('Data-solution'!$A$3="Maximize",MAX($C74:$AI74),MIN($C74:$AI74)),$C74:$AI74,0)),I66-INDEX($C63:$AJ73,4,MATCH(IF('Data-solution'!$A$3="Maximize",MAX($C74:$AI74),MIN($C74:$AI74)),$C74:$AI74,0))*INDEX(I63:$AJ73,MATCH(MIN($AK63:$AK73),$AK63:$AK73,0),1)/INDEX($C63:$AJ73,MATCH(MIN($AK63:$AK73),$AK63:$AK73,0),MATCH(IF('Data-solution'!$A$3="Maximize",MAX($C74:$AI74),MIN($C74:$AI74)),$C74:$AI74,0))),I66)</f>
        <v>0</v>
      </c>
      <c r="J81" s="1">
        <f>IF(OR($B78&lt;&gt;$B63,$B79&lt;&gt;$B64,$B80&lt;&gt;$B65,$B81&lt;&gt;$B66,$B82&lt;&gt;$B67,$B83&lt;&gt;$B68,$B84&lt;&gt;$B69,$B85&lt;&gt;$B70,$B86&lt;&gt;$B71,$B87&lt;&gt;$B72,$B88&lt;&gt;$B73),IF($B81&lt;&gt;$B66,J66/INDEX($C63:$AJ73,4,MATCH(IF('Data-solution'!$A$3="Maximize",MAX($C74:$AI74),MIN($C74:$AI74)),$C74:$AI74,0)),J66-INDEX($C63:$AJ73,4,MATCH(IF('Data-solution'!$A$3="Maximize",MAX($C74:$AI74),MIN($C74:$AI74)),$C74:$AI74,0))*INDEX(J63:$AJ73,MATCH(MIN($AK63:$AK73),$AK63:$AK73,0),1)/INDEX($C63:$AJ73,MATCH(MIN($AK63:$AK73),$AK63:$AK73,0),MATCH(IF('Data-solution'!$A$3="Maximize",MAX($C74:$AI74),MIN($C74:$AI74)),$C74:$AI74,0))),J66)</f>
        <v>0</v>
      </c>
      <c r="K81" s="1">
        <f>IF(OR($B78&lt;&gt;$B63,$B79&lt;&gt;$B64,$B80&lt;&gt;$B65,$B81&lt;&gt;$B66,$B82&lt;&gt;$B67,$B83&lt;&gt;$B68,$B84&lt;&gt;$B69,$B85&lt;&gt;$B70,$B86&lt;&gt;$B71,$B87&lt;&gt;$B72,$B88&lt;&gt;$B73),IF($B81&lt;&gt;$B66,K66/INDEX($C63:$AJ73,4,MATCH(IF('Data-solution'!$A$3="Maximize",MAX($C74:$AI74),MIN($C74:$AI74)),$C74:$AI74,0)),K66-INDEX($C63:$AJ73,4,MATCH(IF('Data-solution'!$A$3="Maximize",MAX($C74:$AI74),MIN($C74:$AI74)),$C74:$AI74,0))*INDEX(K63:$AJ73,MATCH(MIN($AK63:$AK73),$AK63:$AK73,0),1)/INDEX($C63:$AJ73,MATCH(MIN($AK63:$AK73),$AK63:$AK73,0),MATCH(IF('Data-solution'!$A$3="Maximize",MAX($C74:$AI74),MIN($C74:$AI74)),$C74:$AI74,0))),K66)</f>
        <v>0</v>
      </c>
      <c r="L81" s="1">
        <f>IF(OR($B78&lt;&gt;$B63,$B79&lt;&gt;$B64,$B80&lt;&gt;$B65,$B81&lt;&gt;$B66,$B82&lt;&gt;$B67,$B83&lt;&gt;$B68,$B84&lt;&gt;$B69,$B85&lt;&gt;$B70,$B86&lt;&gt;$B71,$B87&lt;&gt;$B72,$B88&lt;&gt;$B73),IF($B81&lt;&gt;$B66,L66/INDEX($C63:$AJ73,4,MATCH(IF('Data-solution'!$A$3="Maximize",MAX($C74:$AI74),MIN($C74:$AI74)),$C74:$AI74,0)),L66-INDEX($C63:$AJ73,4,MATCH(IF('Data-solution'!$A$3="Maximize",MAX($C74:$AI74),MIN($C74:$AI74)),$C74:$AI74,0))*INDEX(L63:$AJ73,MATCH(MIN($AK63:$AK73),$AK63:$AK73,0),1)/INDEX($C63:$AJ73,MATCH(MIN($AK63:$AK73),$AK63:$AK73,0),MATCH(IF('Data-solution'!$A$3="Maximize",MAX($C74:$AI74),MIN($C74:$AI74)),$C74:$AI74,0))),L66)</f>
        <v>0</v>
      </c>
      <c r="M81" s="1">
        <f>IF(OR($B78&lt;&gt;$B63,$B79&lt;&gt;$B64,$B80&lt;&gt;$B65,$B81&lt;&gt;$B66,$B82&lt;&gt;$B67,$B83&lt;&gt;$B68,$B84&lt;&gt;$B69,$B85&lt;&gt;$B70,$B86&lt;&gt;$B71,$B87&lt;&gt;$B72,$B88&lt;&gt;$B73),IF($B81&lt;&gt;$B66,M66/INDEX($C63:$AJ73,4,MATCH(IF('Data-solution'!$A$3="Maximize",MAX($C74:$AI74),MIN($C74:$AI74)),$C74:$AI74,0)),M66-INDEX($C63:$AJ73,4,MATCH(IF('Data-solution'!$A$3="Maximize",MAX($C74:$AI74),MIN($C74:$AI74)),$C74:$AI74,0))*INDEX(M63:$AJ73,MATCH(MIN($AK63:$AK73),$AK63:$AK73,0),1)/INDEX($C63:$AJ73,MATCH(MIN($AK63:$AK73),$AK63:$AK73,0),MATCH(IF('Data-solution'!$A$3="Maximize",MAX($C74:$AI74),MIN($C74:$AI74)),$C74:$AI74,0))),M66)</f>
        <v>0</v>
      </c>
      <c r="N81" s="1">
        <f>IF(OR($B78&lt;&gt;$B63,$B79&lt;&gt;$B64,$B80&lt;&gt;$B65,$B81&lt;&gt;$B66,$B82&lt;&gt;$B67,$B83&lt;&gt;$B68,$B84&lt;&gt;$B69,$B85&lt;&gt;$B70,$B86&lt;&gt;$B71,$B87&lt;&gt;$B72,$B88&lt;&gt;$B73),IF($B81&lt;&gt;$B66,N66/INDEX($C63:$AJ73,4,MATCH(IF('Data-solution'!$A$3="Maximize",MAX($C74:$AI74),MIN($C74:$AI74)),$C74:$AI74,0)),N66-INDEX($C63:$AJ73,4,MATCH(IF('Data-solution'!$A$3="Maximize",MAX($C74:$AI74),MIN($C74:$AI74)),$C74:$AI74,0))*INDEX(N63:$AJ73,MATCH(MIN($AK63:$AK73),$AK63:$AK73,0),1)/INDEX($C63:$AJ73,MATCH(MIN($AK63:$AK73),$AK63:$AK73,0),MATCH(IF('Data-solution'!$A$3="Maximize",MAX($C74:$AI74),MIN($C74:$AI74)),$C74:$AI74,0))),N66)</f>
        <v>0</v>
      </c>
      <c r="O81" s="1">
        <f>IF(OR($B78&lt;&gt;$B63,$B79&lt;&gt;$B64,$B80&lt;&gt;$B65,$B81&lt;&gt;$B66,$B82&lt;&gt;$B67,$B83&lt;&gt;$B68,$B84&lt;&gt;$B69,$B85&lt;&gt;$B70,$B86&lt;&gt;$B71,$B87&lt;&gt;$B72,$B88&lt;&gt;$B73),IF($B81&lt;&gt;$B66,O66/INDEX($C63:$AJ73,4,MATCH(IF('Data-solution'!$A$3="Maximize",MAX($C74:$AI74),MIN($C74:$AI74)),$C74:$AI74,0)),O66-INDEX($C63:$AJ73,4,MATCH(IF('Data-solution'!$A$3="Maximize",MAX($C74:$AI74),MIN($C74:$AI74)),$C74:$AI74,0))*INDEX(O63:$AJ73,MATCH(MIN($AK63:$AK73),$AK63:$AK73,0),1)/INDEX($C63:$AJ73,MATCH(MIN($AK63:$AK73),$AK63:$AK73,0),MATCH(IF('Data-solution'!$A$3="Maximize",MAX($C74:$AI74),MIN($C74:$AI74)),$C74:$AI74,0))),O66)</f>
        <v>0</v>
      </c>
      <c r="P81" s="1">
        <f>IF(OR($B78&lt;&gt;$B63,$B79&lt;&gt;$B64,$B80&lt;&gt;$B65,$B81&lt;&gt;$B66,$B82&lt;&gt;$B67,$B83&lt;&gt;$B68,$B84&lt;&gt;$B69,$B85&lt;&gt;$B70,$B86&lt;&gt;$B71,$B87&lt;&gt;$B72,$B88&lt;&gt;$B73),IF($B81&lt;&gt;$B66,P66/INDEX($C63:$AJ73,4,MATCH(IF('Data-solution'!$A$3="Maximize",MAX($C74:$AI74),MIN($C74:$AI74)),$C74:$AI74,0)),P66-INDEX($C63:$AJ73,4,MATCH(IF('Data-solution'!$A$3="Maximize",MAX($C74:$AI74),MIN($C74:$AI74)),$C74:$AI74,0))*INDEX(P63:$AJ73,MATCH(MIN($AK63:$AK73),$AK63:$AK73,0),1)/INDEX($C63:$AJ73,MATCH(MIN($AK63:$AK73),$AK63:$AK73,0),MATCH(IF('Data-solution'!$A$3="Maximize",MAX($C74:$AI74),MIN($C74:$AI74)),$C74:$AI74,0))),P66)</f>
        <v>-0.24999999999999994</v>
      </c>
      <c r="Q81" s="1">
        <f>IF(OR($B78&lt;&gt;$B63,$B79&lt;&gt;$B64,$B80&lt;&gt;$B65,$B81&lt;&gt;$B66,$B82&lt;&gt;$B67,$B83&lt;&gt;$B68,$B84&lt;&gt;$B69,$B85&lt;&gt;$B70,$B86&lt;&gt;$B71,$B87&lt;&gt;$B72,$B88&lt;&gt;$B73),IF($B81&lt;&gt;$B66,Q66/INDEX($C63:$AJ73,4,MATCH(IF('Data-solution'!$A$3="Maximize",MAX($C74:$AI74),MIN($C74:$AI74)),$C74:$AI74,0)),Q66-INDEX($C63:$AJ73,4,MATCH(IF('Data-solution'!$A$3="Maximize",MAX($C74:$AI74),MIN($C74:$AI74)),$C74:$AI74,0))*INDEX(Q63:$AJ73,MATCH(MIN($AK63:$AK73),$AK63:$AK73,0),1)/INDEX($C63:$AJ73,MATCH(MIN($AK63:$AK73),$AK63:$AK73,0),MATCH(IF('Data-solution'!$A$3="Maximize",MAX($C74:$AI74),MIN($C74:$AI74)),$C74:$AI74,0))),Q66)</f>
        <v>1.4999999999999998</v>
      </c>
      <c r="R81" s="1">
        <f>IF(OR($B78&lt;&gt;$B63,$B79&lt;&gt;$B64,$B80&lt;&gt;$B65,$B81&lt;&gt;$B66,$B82&lt;&gt;$B67,$B83&lt;&gt;$B68,$B84&lt;&gt;$B69,$B85&lt;&gt;$B70,$B86&lt;&gt;$B71,$B87&lt;&gt;$B72,$B88&lt;&gt;$B73),IF($B81&lt;&gt;$B66,R66/INDEX($C63:$AJ73,4,MATCH(IF('Data-solution'!$A$3="Maximize",MAX($C74:$AI74),MIN($C74:$AI74)),$C74:$AI74,0)),R66-INDEX($C63:$AJ73,4,MATCH(IF('Data-solution'!$A$3="Maximize",MAX($C74:$AI74),MIN($C74:$AI74)),$C74:$AI74,0))*INDEX(R63:$AJ73,MATCH(MIN($AK63:$AK73),$AK63:$AK73,0),1)/INDEX($C63:$AJ73,MATCH(MIN($AK63:$AK73),$AK63:$AK73,0),MATCH(IF('Data-solution'!$A$3="Maximize",MAX($C74:$AI74),MIN($C74:$AI74)),$C74:$AI74,0))),R66)</f>
        <v>0</v>
      </c>
      <c r="S81" s="1">
        <f>IF(OR($B78&lt;&gt;$B63,$B79&lt;&gt;$B64,$B80&lt;&gt;$B65,$B81&lt;&gt;$B66,$B82&lt;&gt;$B67,$B83&lt;&gt;$B68,$B84&lt;&gt;$B69,$B85&lt;&gt;$B70,$B86&lt;&gt;$B71,$B87&lt;&gt;$B72,$B88&lt;&gt;$B73),IF($B81&lt;&gt;$B66,S66/INDEX($C63:$AJ73,4,MATCH(IF('Data-solution'!$A$3="Maximize",MAX($C74:$AI74),MIN($C74:$AI74)),$C74:$AI74,0)),S66-INDEX($C63:$AJ73,4,MATCH(IF('Data-solution'!$A$3="Maximize",MAX($C74:$AI74),MIN($C74:$AI74)),$C74:$AI74,0))*INDEX(S63:$AJ73,MATCH(MIN($AK63:$AK73),$AK63:$AK73,0),1)/INDEX($C63:$AJ73,MATCH(MIN($AK63:$AK73),$AK63:$AK73,0),MATCH(IF('Data-solution'!$A$3="Maximize",MAX($C74:$AI74),MIN($C74:$AI74)),$C74:$AI74,0))),S66)</f>
        <v>0</v>
      </c>
      <c r="T81" s="1">
        <f>IF(OR($B78&lt;&gt;$B63,$B79&lt;&gt;$B64,$B80&lt;&gt;$B65,$B81&lt;&gt;$B66,$B82&lt;&gt;$B67,$B83&lt;&gt;$B68,$B84&lt;&gt;$B69,$B85&lt;&gt;$B70,$B86&lt;&gt;$B71,$B87&lt;&gt;$B72,$B88&lt;&gt;$B73),IF($B81&lt;&gt;$B66,T66/INDEX($C63:$AJ73,4,MATCH(IF('Data-solution'!$A$3="Maximize",MAX($C74:$AI74),MIN($C74:$AI74)),$C74:$AI74,0)),T66-INDEX($C63:$AJ73,4,MATCH(IF('Data-solution'!$A$3="Maximize",MAX($C74:$AI74),MIN($C74:$AI74)),$C74:$AI74,0))*INDEX(T63:$AJ73,MATCH(MIN($AK63:$AK73),$AK63:$AK73,0),1)/INDEX($C63:$AJ73,MATCH(MIN($AK63:$AK73),$AK63:$AK73,0),MATCH(IF('Data-solution'!$A$3="Maximize",MAX($C74:$AI74),MIN($C74:$AI74)),$C74:$AI74,0))),T66)</f>
        <v>0</v>
      </c>
      <c r="U81" s="1">
        <f>IF(OR($B78&lt;&gt;$B63,$B79&lt;&gt;$B64,$B80&lt;&gt;$B65,$B81&lt;&gt;$B66,$B82&lt;&gt;$B67,$B83&lt;&gt;$B68,$B84&lt;&gt;$B69,$B85&lt;&gt;$B70,$B86&lt;&gt;$B71,$B87&lt;&gt;$B72,$B88&lt;&gt;$B73),IF($B81&lt;&gt;$B66,U66/INDEX($C63:$AJ73,4,MATCH(IF('Data-solution'!$A$3="Maximize",MAX($C74:$AI74),MIN($C74:$AI74)),$C74:$AI74,0)),U66-INDEX($C63:$AJ73,4,MATCH(IF('Data-solution'!$A$3="Maximize",MAX($C74:$AI74),MIN($C74:$AI74)),$C74:$AI74,0))*INDEX(U63:$AJ73,MATCH(MIN($AK63:$AK73),$AK63:$AK73,0),1)/INDEX($C63:$AJ73,MATCH(MIN($AK63:$AK73),$AK63:$AK73,0),MATCH(IF('Data-solution'!$A$3="Maximize",MAX($C74:$AI74),MIN($C74:$AI74)),$C74:$AI74,0))),U66)</f>
        <v>0</v>
      </c>
      <c r="V81" s="1">
        <f>IF(OR($B78&lt;&gt;$B63,$B79&lt;&gt;$B64,$B80&lt;&gt;$B65,$B81&lt;&gt;$B66,$B82&lt;&gt;$B67,$B83&lt;&gt;$B68,$B84&lt;&gt;$B69,$B85&lt;&gt;$B70,$B86&lt;&gt;$B71,$B87&lt;&gt;$B72,$B88&lt;&gt;$B73),IF($B81&lt;&gt;$B66,V66/INDEX($C63:$AJ73,4,MATCH(IF('Data-solution'!$A$3="Maximize",MAX($C74:$AI74),MIN($C74:$AI74)),$C74:$AI74,0)),V66-INDEX($C63:$AJ73,4,MATCH(IF('Data-solution'!$A$3="Maximize",MAX($C74:$AI74),MIN($C74:$AI74)),$C74:$AI74,0))*INDEX(V63:$AJ73,MATCH(MIN($AK63:$AK73),$AK63:$AK73,0),1)/INDEX($C63:$AJ73,MATCH(MIN($AK63:$AK73),$AK63:$AK73,0),MATCH(IF('Data-solution'!$A$3="Maximize",MAX($C74:$AI74),MIN($C74:$AI74)),$C74:$AI74,0))),V66)</f>
        <v>0</v>
      </c>
      <c r="W81" s="1">
        <f>IF(OR($B78&lt;&gt;$B63,$B79&lt;&gt;$B64,$B80&lt;&gt;$B65,$B81&lt;&gt;$B66,$B82&lt;&gt;$B67,$B83&lt;&gt;$B68,$B84&lt;&gt;$B69,$B85&lt;&gt;$B70,$B86&lt;&gt;$B71,$B87&lt;&gt;$B72,$B88&lt;&gt;$B73),IF($B81&lt;&gt;$B66,W66/INDEX($C63:$AJ73,4,MATCH(IF('Data-solution'!$A$3="Maximize",MAX($C74:$AI74),MIN($C74:$AI74)),$C74:$AI74,0)),W66-INDEX($C63:$AJ73,4,MATCH(IF('Data-solution'!$A$3="Maximize",MAX($C74:$AI74),MIN($C74:$AI74)),$C74:$AI74,0))*INDEX(W63:$AJ73,MATCH(MIN($AK63:$AK73),$AK63:$AK73,0),1)/INDEX($C63:$AJ73,MATCH(MIN($AK63:$AK73),$AK63:$AK73,0),MATCH(IF('Data-solution'!$A$3="Maximize",MAX($C74:$AI74),MIN($C74:$AI74)),$C74:$AI74,0))),W66)</f>
        <v>0</v>
      </c>
      <c r="X81" s="1">
        <f>IF(OR($B78&lt;&gt;$B63,$B79&lt;&gt;$B64,$B80&lt;&gt;$B65,$B81&lt;&gt;$B66,$B82&lt;&gt;$B67,$B83&lt;&gt;$B68,$B84&lt;&gt;$B69,$B85&lt;&gt;$B70,$B86&lt;&gt;$B71,$B87&lt;&gt;$B72,$B88&lt;&gt;$B73),IF($B81&lt;&gt;$B66,X66/INDEX($C63:$AJ73,4,MATCH(IF('Data-solution'!$A$3="Maximize",MAX($C74:$AI74),MIN($C74:$AI74)),$C74:$AI74,0)),X66-INDEX($C63:$AJ73,4,MATCH(IF('Data-solution'!$A$3="Maximize",MAX($C74:$AI74),MIN($C74:$AI74)),$C74:$AI74,0))*INDEX(X63:$AJ73,MATCH(MIN($AK63:$AK73),$AK63:$AK73,0),1)/INDEX($C63:$AJ73,MATCH(MIN($AK63:$AK73),$AK63:$AK73,0),MATCH(IF('Data-solution'!$A$3="Maximize",MAX($C74:$AI74),MIN($C74:$AI74)),$C74:$AI74,0))),X66)</f>
        <v>0</v>
      </c>
      <c r="Y81" s="1">
        <f>IF(OR($B78&lt;&gt;$B63,$B79&lt;&gt;$B64,$B80&lt;&gt;$B65,$B81&lt;&gt;$B66,$B82&lt;&gt;$B67,$B83&lt;&gt;$B68,$B84&lt;&gt;$B69,$B85&lt;&gt;$B70,$B86&lt;&gt;$B71,$B87&lt;&gt;$B72,$B88&lt;&gt;$B73),IF($B81&lt;&gt;$B66,Y66/INDEX($C63:$AJ73,4,MATCH(IF('Data-solution'!$A$3="Maximize",MAX($C74:$AI74),MIN($C74:$AI74)),$C74:$AI74,0)),Y66-INDEX($C63:$AJ73,4,MATCH(IF('Data-solution'!$A$3="Maximize",MAX($C74:$AI74),MIN($C74:$AI74)),$C74:$AI74,0))*INDEX(Y63:$AJ73,MATCH(MIN($AK63:$AK73),$AK63:$AK73,0),1)/INDEX($C63:$AJ73,MATCH(MIN($AK63:$AK73),$AK63:$AK73,0),MATCH(IF('Data-solution'!$A$3="Maximize",MAX($C74:$AI74),MIN($C74:$AI74)),$C74:$AI74,0))),Y66)</f>
        <v>0</v>
      </c>
      <c r="Z81" s="1">
        <f>IF(OR($B78&lt;&gt;$B63,$B79&lt;&gt;$B64,$B80&lt;&gt;$B65,$B81&lt;&gt;$B66,$B82&lt;&gt;$B67,$B83&lt;&gt;$B68,$B84&lt;&gt;$B69,$B85&lt;&gt;$B70,$B86&lt;&gt;$B71,$B87&lt;&gt;$B72,$B88&lt;&gt;$B73),IF($B81&lt;&gt;$B66,Z66/INDEX($C63:$AJ73,4,MATCH(IF('Data-solution'!$A$3="Maximize",MAX($C74:$AI74),MIN($C74:$AI74)),$C74:$AI74,0)),Z66-INDEX($C63:$AJ73,4,MATCH(IF('Data-solution'!$A$3="Maximize",MAX($C74:$AI74),MIN($C74:$AI74)),$C74:$AI74,0))*INDEX(Z63:$AJ73,MATCH(MIN($AK63:$AK73),$AK63:$AK73,0),1)/INDEX($C63:$AJ73,MATCH(MIN($AK63:$AK73),$AK63:$AK73,0),MATCH(IF('Data-solution'!$A$3="Maximize",MAX($C74:$AI74),MIN($C74:$AI74)),$C74:$AI74,0))),Z66)</f>
        <v>0</v>
      </c>
      <c r="AA81" s="1">
        <f>IF(OR($B78&lt;&gt;$B63,$B79&lt;&gt;$B64,$B80&lt;&gt;$B65,$B81&lt;&gt;$B66,$B82&lt;&gt;$B67,$B83&lt;&gt;$B68,$B84&lt;&gt;$B69,$B85&lt;&gt;$B70,$B86&lt;&gt;$B71,$B87&lt;&gt;$B72,$B88&lt;&gt;$B73),IF($B81&lt;&gt;$B66,AA66/INDEX($C63:$AJ73,4,MATCH(IF('Data-solution'!$A$3="Maximize",MAX($C74:$AI74),MIN($C74:$AI74)),$C74:$AI74,0)),AA66-INDEX($C63:$AJ73,4,MATCH(IF('Data-solution'!$A$3="Maximize",MAX($C74:$AI74),MIN($C74:$AI74)),$C74:$AI74,0))*INDEX(AA63:$AJ73,MATCH(MIN($AK63:$AK73),$AK63:$AK73,0),1)/INDEX($C63:$AJ73,MATCH(MIN($AK63:$AK73),$AK63:$AK73,0),MATCH(IF('Data-solution'!$A$3="Maximize",MAX($C74:$AI74),MIN($C74:$AI74)),$C74:$AI74,0))),AA66)</f>
        <v>-0.24999999999999994</v>
      </c>
      <c r="AB81" s="1">
        <f>IF(OR($B78&lt;&gt;$B63,$B79&lt;&gt;$B64,$B80&lt;&gt;$B65,$B81&lt;&gt;$B66,$B82&lt;&gt;$B67,$B83&lt;&gt;$B68,$B84&lt;&gt;$B69,$B85&lt;&gt;$B70,$B86&lt;&gt;$B71,$B87&lt;&gt;$B72,$B88&lt;&gt;$B73),IF($B81&lt;&gt;$B66,AB66/INDEX($C63:$AJ73,4,MATCH(IF('Data-solution'!$A$3="Maximize",MAX($C74:$AI74),MIN($C74:$AI74)),$C74:$AI74,0)),AB66-INDEX($C63:$AJ73,4,MATCH(IF('Data-solution'!$A$3="Maximize",MAX($C74:$AI74),MIN($C74:$AI74)),$C74:$AI74,0))*INDEX(AB63:$AJ73,MATCH(MIN($AK63:$AK73),$AK63:$AK73,0),1)/INDEX($C63:$AJ73,MATCH(MIN($AK63:$AK73),$AK63:$AK73,0),MATCH(IF('Data-solution'!$A$3="Maximize",MAX($C74:$AI74),MIN($C74:$AI74)),$C74:$AI74,0))),AB66)</f>
        <v>1.4999999999999998</v>
      </c>
      <c r="AC81" s="1">
        <f>IF(OR($B78&lt;&gt;$B63,$B79&lt;&gt;$B64,$B80&lt;&gt;$B65,$B81&lt;&gt;$B66,$B82&lt;&gt;$B67,$B83&lt;&gt;$B68,$B84&lt;&gt;$B69,$B85&lt;&gt;$B70,$B86&lt;&gt;$B71,$B87&lt;&gt;$B72,$B88&lt;&gt;$B73),IF($B81&lt;&gt;$B66,AC66/INDEX($C63:$AJ73,4,MATCH(IF('Data-solution'!$A$3="Maximize",MAX($C74:$AI74),MIN($C74:$AI74)),$C74:$AI74,0)),AC66-INDEX($C63:$AJ73,4,MATCH(IF('Data-solution'!$A$3="Maximize",MAX($C74:$AI74),MIN($C74:$AI74)),$C74:$AI74,0))*INDEX(AC63:$AJ73,MATCH(MIN($AK63:$AK73),$AK63:$AK73,0),1)/INDEX($C63:$AJ73,MATCH(MIN($AK63:$AK73),$AK63:$AK73,0),MATCH(IF('Data-solution'!$A$3="Maximize",MAX($C74:$AI74),MIN($C74:$AI74)),$C74:$AI74,0))),AC66)</f>
        <v>0</v>
      </c>
      <c r="AD81" s="1">
        <f>IF(OR($B78&lt;&gt;$B63,$B79&lt;&gt;$B64,$B80&lt;&gt;$B65,$B81&lt;&gt;$B66,$B82&lt;&gt;$B67,$B83&lt;&gt;$B68,$B84&lt;&gt;$B69,$B85&lt;&gt;$B70,$B86&lt;&gt;$B71,$B87&lt;&gt;$B72,$B88&lt;&gt;$B73),IF($B81&lt;&gt;$B66,AD66/INDEX($C63:$AJ73,4,MATCH(IF('Data-solution'!$A$3="Maximize",MAX($C74:$AI74),MIN($C74:$AI74)),$C74:$AI74,0)),AD66-INDEX($C63:$AJ73,4,MATCH(IF('Data-solution'!$A$3="Maximize",MAX($C74:$AI74),MIN($C74:$AI74)),$C74:$AI74,0))*INDEX(AD63:$AJ73,MATCH(MIN($AK63:$AK73),$AK63:$AK73,0),1)/INDEX($C63:$AJ73,MATCH(MIN($AK63:$AK73),$AK63:$AK73,0),MATCH(IF('Data-solution'!$A$3="Maximize",MAX($C74:$AI74),MIN($C74:$AI74)),$C74:$AI74,0))),AD66)</f>
        <v>0</v>
      </c>
      <c r="AE81" s="1">
        <f>IF(OR($B78&lt;&gt;$B63,$B79&lt;&gt;$B64,$B80&lt;&gt;$B65,$B81&lt;&gt;$B66,$B82&lt;&gt;$B67,$B83&lt;&gt;$B68,$B84&lt;&gt;$B69,$B85&lt;&gt;$B70,$B86&lt;&gt;$B71,$B87&lt;&gt;$B72,$B88&lt;&gt;$B73),IF($B81&lt;&gt;$B66,AE66/INDEX($C63:$AJ73,4,MATCH(IF('Data-solution'!$A$3="Maximize",MAX($C74:$AI74),MIN($C74:$AI74)),$C74:$AI74,0)),AE66-INDEX($C63:$AJ73,4,MATCH(IF('Data-solution'!$A$3="Maximize",MAX($C74:$AI74),MIN($C74:$AI74)),$C74:$AI74,0))*INDEX(AE63:$AJ73,MATCH(MIN($AK63:$AK73),$AK63:$AK73,0),1)/INDEX($C63:$AJ73,MATCH(MIN($AK63:$AK73),$AK63:$AK73,0),MATCH(IF('Data-solution'!$A$3="Maximize",MAX($C74:$AI74),MIN($C74:$AI74)),$C74:$AI74,0))),AE66)</f>
        <v>0</v>
      </c>
      <c r="AF81" s="1">
        <f>IF(OR($B78&lt;&gt;$B63,$B79&lt;&gt;$B64,$B80&lt;&gt;$B65,$B81&lt;&gt;$B66,$B82&lt;&gt;$B67,$B83&lt;&gt;$B68,$B84&lt;&gt;$B69,$B85&lt;&gt;$B70,$B86&lt;&gt;$B71,$B87&lt;&gt;$B72,$B88&lt;&gt;$B73),IF($B81&lt;&gt;$B66,AF66/INDEX($C63:$AJ73,4,MATCH(IF('Data-solution'!$A$3="Maximize",MAX($C74:$AI74),MIN($C74:$AI74)),$C74:$AI74,0)),AF66-INDEX($C63:$AJ73,4,MATCH(IF('Data-solution'!$A$3="Maximize",MAX($C74:$AI74),MIN($C74:$AI74)),$C74:$AI74,0))*INDEX(AF63:$AJ73,MATCH(MIN($AK63:$AK73),$AK63:$AK73,0),1)/INDEX($C63:$AJ73,MATCH(MIN($AK63:$AK73),$AK63:$AK73,0),MATCH(IF('Data-solution'!$A$3="Maximize",MAX($C74:$AI74),MIN($C74:$AI74)),$C74:$AI74,0))),AF66)</f>
        <v>0</v>
      </c>
      <c r="AG81" s="1">
        <f>IF(OR($B78&lt;&gt;$B63,$B79&lt;&gt;$B64,$B80&lt;&gt;$B65,$B81&lt;&gt;$B66,$B82&lt;&gt;$B67,$B83&lt;&gt;$B68,$B84&lt;&gt;$B69,$B85&lt;&gt;$B70,$B86&lt;&gt;$B71,$B87&lt;&gt;$B72,$B88&lt;&gt;$B73),IF($B81&lt;&gt;$B66,AG66/INDEX($C63:$AJ73,4,MATCH(IF('Data-solution'!$A$3="Maximize",MAX($C74:$AI74),MIN($C74:$AI74)),$C74:$AI74,0)),AG66-INDEX($C63:$AJ73,4,MATCH(IF('Data-solution'!$A$3="Maximize",MAX($C74:$AI74),MIN($C74:$AI74)),$C74:$AI74,0))*INDEX(AG63:$AJ73,MATCH(MIN($AK63:$AK73),$AK63:$AK73,0),1)/INDEX($C63:$AJ73,MATCH(MIN($AK63:$AK73),$AK63:$AK73,0),MATCH(IF('Data-solution'!$A$3="Maximize",MAX($C74:$AI74),MIN($C74:$AI74)),$C74:$AI74,0))),AG66)</f>
        <v>0</v>
      </c>
      <c r="AH81" s="1">
        <f>IF(OR($B78&lt;&gt;$B63,$B79&lt;&gt;$B64,$B80&lt;&gt;$B65,$B81&lt;&gt;$B66,$B82&lt;&gt;$B67,$B83&lt;&gt;$B68,$B84&lt;&gt;$B69,$B85&lt;&gt;$B70,$B86&lt;&gt;$B71,$B87&lt;&gt;$B72,$B88&lt;&gt;$B73),IF($B81&lt;&gt;$B66,AH66/INDEX($C63:$AJ73,4,MATCH(IF('Data-solution'!$A$3="Maximize",MAX($C74:$AI74),MIN($C74:$AI74)),$C74:$AI74,0)),AH66-INDEX($C63:$AJ73,4,MATCH(IF('Data-solution'!$A$3="Maximize",MAX($C74:$AI74),MIN($C74:$AI74)),$C74:$AI74,0))*INDEX(AH63:$AJ73,MATCH(MIN($AK63:$AK73),$AK63:$AK73,0),1)/INDEX($C63:$AJ73,MATCH(MIN($AK63:$AK73),$AK63:$AK73,0),MATCH(IF('Data-solution'!$A$3="Maximize",MAX($C74:$AI74),MIN($C74:$AI74)),$C74:$AI74,0))),AH66)</f>
        <v>0</v>
      </c>
      <c r="AI81" s="1">
        <f>IF(OR($B78&lt;&gt;$B63,$B79&lt;&gt;$B64,$B80&lt;&gt;$B65,$B81&lt;&gt;$B66,$B82&lt;&gt;$B67,$B83&lt;&gt;$B68,$B84&lt;&gt;$B69,$B85&lt;&gt;$B70,$B86&lt;&gt;$B71,$B87&lt;&gt;$B72,$B88&lt;&gt;$B73),IF($B81&lt;&gt;$B66,AI66/INDEX($C63:$AJ73,4,MATCH(IF('Data-solution'!$A$3="Maximize",MAX($C74:$AI74),MIN($C74:$AI74)),$C74:$AI74,0)),AI66-INDEX($C63:$AJ73,4,MATCH(IF('Data-solution'!$A$3="Maximize",MAX($C74:$AI74),MIN($C74:$AI74)),$C74:$AI74,0))*INDEX(AI63:$AJ73,MATCH(MIN($AK63:$AK73),$AK63:$AK73,0),1)/INDEX($C63:$AJ73,MATCH(MIN($AK63:$AK73),$AK63:$AK73,0),MATCH(IF('Data-solution'!$A$3="Maximize",MAX($C74:$AI74),MIN($C74:$AI74)),$C74:$AI74,0))),AI66)</f>
        <v>0</v>
      </c>
      <c r="AJ81" s="1">
        <f>IF(OR($B78&lt;&gt;$B63,$B79&lt;&gt;$B64,$B80&lt;&gt;$B65,$B81&lt;&gt;$B66,$B82&lt;&gt;$B67,$B83&lt;&gt;$B68,$B84&lt;&gt;$B69,$B85&lt;&gt;$B70,$B86&lt;&gt;$B71,$B87&lt;&gt;$B72,$B88&lt;&gt;$B73),IF($B81&lt;&gt;$B66,AJ66/INDEX($C63:$AJ73,4,MATCH(IF('Data-solution'!$A$3="Maximize",MAX($C74:$AI74),MIN($C74:$AI74)),$C74:$AI74,0)),AJ66-INDEX($C63:$AJ73,4,MATCH(IF('Data-solution'!$A$3="Maximize",MAX($C74:$AI74),MIN($C74:$AI74)),$C74:$AI74,0))*INDEX(AJ63:$AJ73,MATCH(MIN($AK63:$AK73),$AK63:$AK73,0),1)/INDEX($C63:$AJ73,MATCH(MIN($AK63:$AK73),$AK63:$AK73,0),MATCH(IF('Data-solution'!$A$3="Maximize",MAX($C74:$AI74),MIN($C74:$AI74)),$C74:$AI74,0))),AJ66)</f>
        <v>100.00000000000001</v>
      </c>
      <c r="AK81" s="1">
        <f>IF(INDEX(C81:X81,1,MATCH(IF('Data-solution'!A$3="Maximize",MAX(C89:X89),MIN(C89:X89)),C89:X89,0))&gt;0,AJ81/INDEX(C81:X81,1,MATCH(IF('Data-solution'!A$3="Maximize",MAX(C89:X89),MIN(C89:X89)),C89:X89,0))," ")</f>
        <v>100.00000000000001</v>
      </c>
    </row>
    <row r="82" spans="1:37" ht="18" customHeight="1" x14ac:dyDescent="0.2">
      <c r="A82" s="1">
        <f t="shared" ref="A82" si="54">INDEX(C76:AI76,1,MATCH(B82,C77:AI77,0))</f>
        <v>0</v>
      </c>
      <c r="B82" s="2" t="str">
        <f>IF(AND('Data-solution'!A$3="Maximize",COUNTIF(C74:X74,"&gt;"&amp;0)&gt;0,AK67=MIN(AK63:AK73),COUNTIF(B78:B81,INDEX(C62:X62,1,MATCH(MAX(C74:X74),C74:X74,0)))=0),INDEX(C62:X62,1,MATCH(MAX(C74:X74),C74:X74,0)),IF(AND('Data-solution'!A$3="Minimize",COUNTIF(C74:X74,"&lt;"&amp;0)&gt;0,AK67=MIN(AK63:AK73),COUNTIF(B78:B81,INDEX(C62:X62,1,MATCH(MIN(C74:X74),C74:X74,0)))=0),INDEX(C62:X62,1,MATCH(MIN(C74:X74),C74:X74,0)),B67))</f>
        <v>S5</v>
      </c>
      <c r="C82" s="1">
        <f>IF(OR($B78&lt;&gt;$B63,$B79&lt;&gt;$B64,$B80&lt;&gt;$B65,$B81&lt;&gt;$B66,$B82&lt;&gt;$B67,$B83&lt;&gt;$B68,$B84&lt;&gt;$B69,$B85&lt;&gt;$B70,$B86&lt;&gt;$B71,$B87&lt;&gt;$B72,$B88&lt;&gt;$B73),IF($B82&lt;&gt;$B67,C67/INDEX($C63:$AJ73,5,MATCH(IF('Data-solution'!$A$3="Maximize",MAX($C74:$AI74),MIN($C74:$AI74)),$C74:$AI74,0)),C67-INDEX($C63:$AJ73,5,MATCH(IF('Data-solution'!$A$3="Maximize",MAX($C74:$AI74),MIN($C74:$AI74)),$C74:$AI74,0))*INDEX(C63:$AJ73,MATCH(MIN($AK63:$AK73),$AK63:$AK73,0),1)/INDEX($C63:$AJ73,MATCH(MIN($AK63:$AK73),$AK63:$AK73,0),MATCH(IF('Data-solution'!$A$3="Maximize",MAX($C74:$AI74),MIN($C74:$AI74)),$C74:$AI74,0))),C67)</f>
        <v>0</v>
      </c>
      <c r="D82" s="1">
        <f>IF(OR($B78&lt;&gt;$B63,$B79&lt;&gt;$B64,$B80&lt;&gt;$B65,$B81&lt;&gt;$B66,$B82&lt;&gt;$B67,$B83&lt;&gt;$B68,$B84&lt;&gt;$B69,$B85&lt;&gt;$B70,$B86&lt;&gt;$B71,$B87&lt;&gt;$B72,$B88&lt;&gt;$B73),IF($B82&lt;&gt;$B67,D67/INDEX($C63:$AJ73,5,MATCH(IF('Data-solution'!$A$3="Maximize",MAX($C74:$AI74),MIN($C74:$AI74)),$C74:$AI74,0)),D67-INDEX($C63:$AJ73,5,MATCH(IF('Data-solution'!$A$3="Maximize",MAX($C74:$AI74),MIN($C74:$AI74)),$C74:$AI74,0))*INDEX(D63:$AJ73,MATCH(MIN($AK63:$AK73),$AK63:$AK73,0),1)/INDEX($C63:$AJ73,MATCH(MIN($AK63:$AK73),$AK63:$AK73,0),MATCH(IF('Data-solution'!$A$3="Maximize",MAX($C74:$AI74),MIN($C74:$AI74)),$C74:$AI74,0))),D67)</f>
        <v>0</v>
      </c>
      <c r="E82" s="1">
        <f>IF(OR($B78&lt;&gt;$B63,$B79&lt;&gt;$B64,$B80&lt;&gt;$B65,$B81&lt;&gt;$B66,$B82&lt;&gt;$B67,$B83&lt;&gt;$B68,$B84&lt;&gt;$B69,$B85&lt;&gt;$B70,$B86&lt;&gt;$B71,$B87&lt;&gt;$B72,$B88&lt;&gt;$B73),IF($B82&lt;&gt;$B67,E67/INDEX($C63:$AJ73,5,MATCH(IF('Data-solution'!$A$3="Maximize",MAX($C74:$AI74),MIN($C74:$AI74)),$C74:$AI74,0)),E67-INDEX($C63:$AJ73,5,MATCH(IF('Data-solution'!$A$3="Maximize",MAX($C74:$AI74),MIN($C74:$AI74)),$C74:$AI74,0))*INDEX(E63:$AJ73,MATCH(MIN($AK63:$AK73),$AK63:$AK73,0),1)/INDEX($C63:$AJ73,MATCH(MIN($AK63:$AK73),$AK63:$AK73,0),MATCH(IF('Data-solution'!$A$3="Maximize",MAX($C74:$AI74),MIN($C74:$AI74)),$C74:$AI74,0))),E67)</f>
        <v>0</v>
      </c>
      <c r="F82" s="1">
        <f>IF(OR($B78&lt;&gt;$B63,$B79&lt;&gt;$B64,$B80&lt;&gt;$B65,$B81&lt;&gt;$B66,$B82&lt;&gt;$B67,$B83&lt;&gt;$B68,$B84&lt;&gt;$B69,$B85&lt;&gt;$B70,$B86&lt;&gt;$B71,$B87&lt;&gt;$B72,$B88&lt;&gt;$B73),IF($B82&lt;&gt;$B67,F67/INDEX($C63:$AJ73,5,MATCH(IF('Data-solution'!$A$3="Maximize",MAX($C74:$AI74),MIN($C74:$AI74)),$C74:$AI74,0)),F67-INDEX($C63:$AJ73,5,MATCH(IF('Data-solution'!$A$3="Maximize",MAX($C74:$AI74),MIN($C74:$AI74)),$C74:$AI74,0))*INDEX(F63:$AJ73,MATCH(MIN($AK63:$AK73),$AK63:$AK73,0),1)/INDEX($C63:$AJ73,MATCH(MIN($AK63:$AK73),$AK63:$AK73,0),MATCH(IF('Data-solution'!$A$3="Maximize",MAX($C74:$AI74),MIN($C74:$AI74)),$C74:$AI74,0))),F67)</f>
        <v>0</v>
      </c>
      <c r="G82" s="1">
        <f>IF(OR($B78&lt;&gt;$B63,$B79&lt;&gt;$B64,$B80&lt;&gt;$B65,$B81&lt;&gt;$B66,$B82&lt;&gt;$B67,$B83&lt;&gt;$B68,$B84&lt;&gt;$B69,$B85&lt;&gt;$B70,$B86&lt;&gt;$B71,$B87&lt;&gt;$B72,$B88&lt;&gt;$B73),IF($B82&lt;&gt;$B67,G67/INDEX($C63:$AJ73,5,MATCH(IF('Data-solution'!$A$3="Maximize",MAX($C74:$AI74),MIN($C74:$AI74)),$C74:$AI74,0)),G67-INDEX($C63:$AJ73,5,MATCH(IF('Data-solution'!$A$3="Maximize",MAX($C74:$AI74),MIN($C74:$AI74)),$C74:$AI74,0))*INDEX(G63:$AJ73,MATCH(MIN($AK63:$AK73),$AK63:$AK73,0),1)/INDEX($C63:$AJ73,MATCH(MIN($AK63:$AK73),$AK63:$AK73,0),MATCH(IF('Data-solution'!$A$3="Maximize",MAX($C74:$AI74),MIN($C74:$AI74)),$C74:$AI74,0))),G67)</f>
        <v>0</v>
      </c>
      <c r="H82" s="1">
        <f>IF(OR($B78&lt;&gt;$B63,$B79&lt;&gt;$B64,$B80&lt;&gt;$B65,$B81&lt;&gt;$B66,$B82&lt;&gt;$B67,$B83&lt;&gt;$B68,$B84&lt;&gt;$B69,$B85&lt;&gt;$B70,$B86&lt;&gt;$B71,$B87&lt;&gt;$B72,$B88&lt;&gt;$B73),IF($B82&lt;&gt;$B67,H67/INDEX($C63:$AJ73,5,MATCH(IF('Data-solution'!$A$3="Maximize",MAX($C74:$AI74),MIN($C74:$AI74)),$C74:$AI74,0)),H67-INDEX($C63:$AJ73,5,MATCH(IF('Data-solution'!$A$3="Maximize",MAX($C74:$AI74),MIN($C74:$AI74)),$C74:$AI74,0))*INDEX(H63:$AJ73,MATCH(MIN($AK63:$AK73),$AK63:$AK73,0),1)/INDEX($C63:$AJ73,MATCH(MIN($AK63:$AK73),$AK63:$AK73,0),MATCH(IF('Data-solution'!$A$3="Maximize",MAX($C74:$AI74),MIN($C74:$AI74)),$C74:$AI74,0))),H67)</f>
        <v>0</v>
      </c>
      <c r="I82" s="1">
        <f>IF(OR($B78&lt;&gt;$B63,$B79&lt;&gt;$B64,$B80&lt;&gt;$B65,$B81&lt;&gt;$B66,$B82&lt;&gt;$B67,$B83&lt;&gt;$B68,$B84&lt;&gt;$B69,$B85&lt;&gt;$B70,$B86&lt;&gt;$B71,$B87&lt;&gt;$B72,$B88&lt;&gt;$B73),IF($B82&lt;&gt;$B67,I67/INDEX($C63:$AJ73,5,MATCH(IF('Data-solution'!$A$3="Maximize",MAX($C74:$AI74),MIN($C74:$AI74)),$C74:$AI74,0)),I67-INDEX($C63:$AJ73,5,MATCH(IF('Data-solution'!$A$3="Maximize",MAX($C74:$AI74),MIN($C74:$AI74)),$C74:$AI74,0))*INDEX(I63:$AJ73,MATCH(MIN($AK63:$AK73),$AK63:$AK73,0),1)/INDEX($C63:$AJ73,MATCH(MIN($AK63:$AK73),$AK63:$AK73,0),MATCH(IF('Data-solution'!$A$3="Maximize",MAX($C74:$AI74),MIN($C74:$AI74)),$C74:$AI74,0))),I67)</f>
        <v>0</v>
      </c>
      <c r="J82" s="1">
        <f>IF(OR($B78&lt;&gt;$B63,$B79&lt;&gt;$B64,$B80&lt;&gt;$B65,$B81&lt;&gt;$B66,$B82&lt;&gt;$B67,$B83&lt;&gt;$B68,$B84&lt;&gt;$B69,$B85&lt;&gt;$B70,$B86&lt;&gt;$B71,$B87&lt;&gt;$B72,$B88&lt;&gt;$B73),IF($B82&lt;&gt;$B67,J67/INDEX($C63:$AJ73,5,MATCH(IF('Data-solution'!$A$3="Maximize",MAX($C74:$AI74),MIN($C74:$AI74)),$C74:$AI74,0)),J67-INDEX($C63:$AJ73,5,MATCH(IF('Data-solution'!$A$3="Maximize",MAX($C74:$AI74),MIN($C74:$AI74)),$C74:$AI74,0))*INDEX(J63:$AJ73,MATCH(MIN($AK63:$AK73),$AK63:$AK73,0),1)/INDEX($C63:$AJ73,MATCH(MIN($AK63:$AK73),$AK63:$AK73,0),MATCH(IF('Data-solution'!$A$3="Maximize",MAX($C74:$AI74),MIN($C74:$AI74)),$C74:$AI74,0))),J67)</f>
        <v>0</v>
      </c>
      <c r="K82" s="1">
        <f>IF(OR($B78&lt;&gt;$B63,$B79&lt;&gt;$B64,$B80&lt;&gt;$B65,$B81&lt;&gt;$B66,$B82&lt;&gt;$B67,$B83&lt;&gt;$B68,$B84&lt;&gt;$B69,$B85&lt;&gt;$B70,$B86&lt;&gt;$B71,$B87&lt;&gt;$B72,$B88&lt;&gt;$B73),IF($B82&lt;&gt;$B67,K67/INDEX($C63:$AJ73,5,MATCH(IF('Data-solution'!$A$3="Maximize",MAX($C74:$AI74),MIN($C74:$AI74)),$C74:$AI74,0)),K67-INDEX($C63:$AJ73,5,MATCH(IF('Data-solution'!$A$3="Maximize",MAX($C74:$AI74),MIN($C74:$AI74)),$C74:$AI74,0))*INDEX(K63:$AJ73,MATCH(MIN($AK63:$AK73),$AK63:$AK73,0),1)/INDEX($C63:$AJ73,MATCH(MIN($AK63:$AK73),$AK63:$AK73,0),MATCH(IF('Data-solution'!$A$3="Maximize",MAX($C74:$AI74),MIN($C74:$AI74)),$C74:$AI74,0))),K67)</f>
        <v>0</v>
      </c>
      <c r="L82" s="1">
        <f>IF(OR($B78&lt;&gt;$B63,$B79&lt;&gt;$B64,$B80&lt;&gt;$B65,$B81&lt;&gt;$B66,$B82&lt;&gt;$B67,$B83&lt;&gt;$B68,$B84&lt;&gt;$B69,$B85&lt;&gt;$B70,$B86&lt;&gt;$B71,$B87&lt;&gt;$B72,$B88&lt;&gt;$B73),IF($B82&lt;&gt;$B67,L67/INDEX($C63:$AJ73,5,MATCH(IF('Data-solution'!$A$3="Maximize",MAX($C74:$AI74),MIN($C74:$AI74)),$C74:$AI74,0)),L67-INDEX($C63:$AJ73,5,MATCH(IF('Data-solution'!$A$3="Maximize",MAX($C74:$AI74),MIN($C74:$AI74)),$C74:$AI74,0))*INDEX(L63:$AJ73,MATCH(MIN($AK63:$AK73),$AK63:$AK73,0),1)/INDEX($C63:$AJ73,MATCH(MIN($AK63:$AK73),$AK63:$AK73,0),MATCH(IF('Data-solution'!$A$3="Maximize",MAX($C74:$AI74),MIN($C74:$AI74)),$C74:$AI74,0))),L67)</f>
        <v>0</v>
      </c>
      <c r="M82" s="1">
        <f>IF(OR($B78&lt;&gt;$B63,$B79&lt;&gt;$B64,$B80&lt;&gt;$B65,$B81&lt;&gt;$B66,$B82&lt;&gt;$B67,$B83&lt;&gt;$B68,$B84&lt;&gt;$B69,$B85&lt;&gt;$B70,$B86&lt;&gt;$B71,$B87&lt;&gt;$B72,$B88&lt;&gt;$B73),IF($B82&lt;&gt;$B67,M67/INDEX($C63:$AJ73,5,MATCH(IF('Data-solution'!$A$3="Maximize",MAX($C74:$AI74),MIN($C74:$AI74)),$C74:$AI74,0)),M67-INDEX($C63:$AJ73,5,MATCH(IF('Data-solution'!$A$3="Maximize",MAX($C74:$AI74),MIN($C74:$AI74)),$C74:$AI74,0))*INDEX(M63:$AJ73,MATCH(MIN($AK63:$AK73),$AK63:$AK73,0),1)/INDEX($C63:$AJ73,MATCH(MIN($AK63:$AK73),$AK63:$AK73,0),MATCH(IF('Data-solution'!$A$3="Maximize",MAX($C74:$AI74),MIN($C74:$AI74)),$C74:$AI74,0))),M67)</f>
        <v>0</v>
      </c>
      <c r="N82" s="1">
        <f>IF(OR($B78&lt;&gt;$B63,$B79&lt;&gt;$B64,$B80&lt;&gt;$B65,$B81&lt;&gt;$B66,$B82&lt;&gt;$B67,$B83&lt;&gt;$B68,$B84&lt;&gt;$B69,$B85&lt;&gt;$B70,$B86&lt;&gt;$B71,$B87&lt;&gt;$B72,$B88&lt;&gt;$B73),IF($B82&lt;&gt;$B67,N67/INDEX($C63:$AJ73,5,MATCH(IF('Data-solution'!$A$3="Maximize",MAX($C74:$AI74),MIN($C74:$AI74)),$C74:$AI74,0)),N67-INDEX($C63:$AJ73,5,MATCH(IF('Data-solution'!$A$3="Maximize",MAX($C74:$AI74),MIN($C74:$AI74)),$C74:$AI74,0))*INDEX(N63:$AJ73,MATCH(MIN($AK63:$AK73),$AK63:$AK73,0),1)/INDEX($C63:$AJ73,MATCH(MIN($AK63:$AK73),$AK63:$AK73,0),MATCH(IF('Data-solution'!$A$3="Maximize",MAX($C74:$AI74),MIN($C74:$AI74)),$C74:$AI74,0))),N67)</f>
        <v>0</v>
      </c>
      <c r="O82" s="1">
        <f>IF(OR($B78&lt;&gt;$B63,$B79&lt;&gt;$B64,$B80&lt;&gt;$B65,$B81&lt;&gt;$B66,$B82&lt;&gt;$B67,$B83&lt;&gt;$B68,$B84&lt;&gt;$B69,$B85&lt;&gt;$B70,$B86&lt;&gt;$B71,$B87&lt;&gt;$B72,$B88&lt;&gt;$B73),IF($B82&lt;&gt;$B67,O67/INDEX($C63:$AJ73,5,MATCH(IF('Data-solution'!$A$3="Maximize",MAX($C74:$AI74),MIN($C74:$AI74)),$C74:$AI74,0)),O67-INDEX($C63:$AJ73,5,MATCH(IF('Data-solution'!$A$3="Maximize",MAX($C74:$AI74),MIN($C74:$AI74)),$C74:$AI74,0))*INDEX(O63:$AJ73,MATCH(MIN($AK63:$AK73),$AK63:$AK73,0),1)/INDEX($C63:$AJ73,MATCH(MIN($AK63:$AK73),$AK63:$AK73,0),MATCH(IF('Data-solution'!$A$3="Maximize",MAX($C74:$AI74),MIN($C74:$AI74)),$C74:$AI74,0))),O67)</f>
        <v>0</v>
      </c>
      <c r="P82" s="1">
        <f>IF(OR($B78&lt;&gt;$B63,$B79&lt;&gt;$B64,$B80&lt;&gt;$B65,$B81&lt;&gt;$B66,$B82&lt;&gt;$B67,$B83&lt;&gt;$B68,$B84&lt;&gt;$B69,$B85&lt;&gt;$B70,$B86&lt;&gt;$B71,$B87&lt;&gt;$B72,$B88&lt;&gt;$B73),IF($B82&lt;&gt;$B67,P67/INDEX($C63:$AJ73,5,MATCH(IF('Data-solution'!$A$3="Maximize",MAX($C74:$AI74),MIN($C74:$AI74)),$C74:$AI74,0)),P67-INDEX($C63:$AJ73,5,MATCH(IF('Data-solution'!$A$3="Maximize",MAX($C74:$AI74),MIN($C74:$AI74)),$C74:$AI74,0))*INDEX(P63:$AJ73,MATCH(MIN($AK63:$AK73),$AK63:$AK73,0),1)/INDEX($C63:$AJ73,MATCH(MIN($AK63:$AK73),$AK63:$AK73,0),MATCH(IF('Data-solution'!$A$3="Maximize",MAX($C74:$AI74),MIN($C74:$AI74)),$C74:$AI74,0))),P67)</f>
        <v>0</v>
      </c>
      <c r="Q82" s="1">
        <f>IF(OR($B78&lt;&gt;$B63,$B79&lt;&gt;$B64,$B80&lt;&gt;$B65,$B81&lt;&gt;$B66,$B82&lt;&gt;$B67,$B83&lt;&gt;$B68,$B84&lt;&gt;$B69,$B85&lt;&gt;$B70,$B86&lt;&gt;$B71,$B87&lt;&gt;$B72,$B88&lt;&gt;$B73),IF($B82&lt;&gt;$B67,Q67/INDEX($C63:$AJ73,5,MATCH(IF('Data-solution'!$A$3="Maximize",MAX($C74:$AI74),MIN($C74:$AI74)),$C74:$AI74,0)),Q67-INDEX($C63:$AJ73,5,MATCH(IF('Data-solution'!$A$3="Maximize",MAX($C74:$AI74),MIN($C74:$AI74)),$C74:$AI74,0))*INDEX(Q63:$AJ73,MATCH(MIN($AK63:$AK73),$AK63:$AK73,0),1)/INDEX($C63:$AJ73,MATCH(MIN($AK63:$AK73),$AK63:$AK73,0),MATCH(IF('Data-solution'!$A$3="Maximize",MAX($C74:$AI74),MIN($C74:$AI74)),$C74:$AI74,0))),Q67)</f>
        <v>0</v>
      </c>
      <c r="R82" s="1">
        <f>IF(OR($B78&lt;&gt;$B63,$B79&lt;&gt;$B64,$B80&lt;&gt;$B65,$B81&lt;&gt;$B66,$B82&lt;&gt;$B67,$B83&lt;&gt;$B68,$B84&lt;&gt;$B69,$B85&lt;&gt;$B70,$B86&lt;&gt;$B71,$B87&lt;&gt;$B72,$B88&lt;&gt;$B73),IF($B82&lt;&gt;$B67,R67/INDEX($C63:$AJ73,5,MATCH(IF('Data-solution'!$A$3="Maximize",MAX($C74:$AI74),MIN($C74:$AI74)),$C74:$AI74,0)),R67-INDEX($C63:$AJ73,5,MATCH(IF('Data-solution'!$A$3="Maximize",MAX($C74:$AI74),MIN($C74:$AI74)),$C74:$AI74,0))*INDEX(R63:$AJ73,MATCH(MIN($AK63:$AK73),$AK63:$AK73,0),1)/INDEX($C63:$AJ73,MATCH(MIN($AK63:$AK73),$AK63:$AK73,0),MATCH(IF('Data-solution'!$A$3="Maximize",MAX($C74:$AI74),MIN($C74:$AI74)),$C74:$AI74,0))),R67)</f>
        <v>1</v>
      </c>
      <c r="S82" s="1">
        <f>IF(OR($B78&lt;&gt;$B63,$B79&lt;&gt;$B64,$B80&lt;&gt;$B65,$B81&lt;&gt;$B66,$B82&lt;&gt;$B67,$B83&lt;&gt;$B68,$B84&lt;&gt;$B69,$B85&lt;&gt;$B70,$B86&lt;&gt;$B71,$B87&lt;&gt;$B72,$B88&lt;&gt;$B73),IF($B82&lt;&gt;$B67,S67/INDEX($C63:$AJ73,5,MATCH(IF('Data-solution'!$A$3="Maximize",MAX($C74:$AI74),MIN($C74:$AI74)),$C74:$AI74,0)),S67-INDEX($C63:$AJ73,5,MATCH(IF('Data-solution'!$A$3="Maximize",MAX($C74:$AI74),MIN($C74:$AI74)),$C74:$AI74,0))*INDEX(S63:$AJ73,MATCH(MIN($AK63:$AK73),$AK63:$AK73,0),1)/INDEX($C63:$AJ73,MATCH(MIN($AK63:$AK73),$AK63:$AK73,0),MATCH(IF('Data-solution'!$A$3="Maximize",MAX($C74:$AI74),MIN($C74:$AI74)),$C74:$AI74,0))),S67)</f>
        <v>0</v>
      </c>
      <c r="T82" s="1">
        <f>IF(OR($B78&lt;&gt;$B63,$B79&lt;&gt;$B64,$B80&lt;&gt;$B65,$B81&lt;&gt;$B66,$B82&lt;&gt;$B67,$B83&lt;&gt;$B68,$B84&lt;&gt;$B69,$B85&lt;&gt;$B70,$B86&lt;&gt;$B71,$B87&lt;&gt;$B72,$B88&lt;&gt;$B73),IF($B82&lt;&gt;$B67,T67/INDEX($C63:$AJ73,5,MATCH(IF('Data-solution'!$A$3="Maximize",MAX($C74:$AI74),MIN($C74:$AI74)),$C74:$AI74,0)),T67-INDEX($C63:$AJ73,5,MATCH(IF('Data-solution'!$A$3="Maximize",MAX($C74:$AI74),MIN($C74:$AI74)),$C74:$AI74,0))*INDEX(T63:$AJ73,MATCH(MIN($AK63:$AK73),$AK63:$AK73,0),1)/INDEX($C63:$AJ73,MATCH(MIN($AK63:$AK73),$AK63:$AK73,0),MATCH(IF('Data-solution'!$A$3="Maximize",MAX($C74:$AI74),MIN($C74:$AI74)),$C74:$AI74,0))),T67)</f>
        <v>0</v>
      </c>
      <c r="U82" s="1">
        <f>IF(OR($B78&lt;&gt;$B63,$B79&lt;&gt;$B64,$B80&lt;&gt;$B65,$B81&lt;&gt;$B66,$B82&lt;&gt;$B67,$B83&lt;&gt;$B68,$B84&lt;&gt;$B69,$B85&lt;&gt;$B70,$B86&lt;&gt;$B71,$B87&lt;&gt;$B72,$B88&lt;&gt;$B73),IF($B82&lt;&gt;$B67,U67/INDEX($C63:$AJ73,5,MATCH(IF('Data-solution'!$A$3="Maximize",MAX($C74:$AI74),MIN($C74:$AI74)),$C74:$AI74,0)),U67-INDEX($C63:$AJ73,5,MATCH(IF('Data-solution'!$A$3="Maximize",MAX($C74:$AI74),MIN($C74:$AI74)),$C74:$AI74,0))*INDEX(U63:$AJ73,MATCH(MIN($AK63:$AK73),$AK63:$AK73,0),1)/INDEX($C63:$AJ73,MATCH(MIN($AK63:$AK73),$AK63:$AK73,0),MATCH(IF('Data-solution'!$A$3="Maximize",MAX($C74:$AI74),MIN($C74:$AI74)),$C74:$AI74,0))),U67)</f>
        <v>0</v>
      </c>
      <c r="V82" s="1">
        <f>IF(OR($B78&lt;&gt;$B63,$B79&lt;&gt;$B64,$B80&lt;&gt;$B65,$B81&lt;&gt;$B66,$B82&lt;&gt;$B67,$B83&lt;&gt;$B68,$B84&lt;&gt;$B69,$B85&lt;&gt;$B70,$B86&lt;&gt;$B71,$B87&lt;&gt;$B72,$B88&lt;&gt;$B73),IF($B82&lt;&gt;$B67,V67/INDEX($C63:$AJ73,5,MATCH(IF('Data-solution'!$A$3="Maximize",MAX($C74:$AI74),MIN($C74:$AI74)),$C74:$AI74,0)),V67-INDEX($C63:$AJ73,5,MATCH(IF('Data-solution'!$A$3="Maximize",MAX($C74:$AI74),MIN($C74:$AI74)),$C74:$AI74,0))*INDEX(V63:$AJ73,MATCH(MIN($AK63:$AK73),$AK63:$AK73,0),1)/INDEX($C63:$AJ73,MATCH(MIN($AK63:$AK73),$AK63:$AK73,0),MATCH(IF('Data-solution'!$A$3="Maximize",MAX($C74:$AI74),MIN($C74:$AI74)),$C74:$AI74,0))),V67)</f>
        <v>0</v>
      </c>
      <c r="W82" s="1">
        <f>IF(OR($B78&lt;&gt;$B63,$B79&lt;&gt;$B64,$B80&lt;&gt;$B65,$B81&lt;&gt;$B66,$B82&lt;&gt;$B67,$B83&lt;&gt;$B68,$B84&lt;&gt;$B69,$B85&lt;&gt;$B70,$B86&lt;&gt;$B71,$B87&lt;&gt;$B72,$B88&lt;&gt;$B73),IF($B82&lt;&gt;$B67,W67/INDEX($C63:$AJ73,5,MATCH(IF('Data-solution'!$A$3="Maximize",MAX($C74:$AI74),MIN($C74:$AI74)),$C74:$AI74,0)),W67-INDEX($C63:$AJ73,5,MATCH(IF('Data-solution'!$A$3="Maximize",MAX($C74:$AI74),MIN($C74:$AI74)),$C74:$AI74,0))*INDEX(W63:$AJ73,MATCH(MIN($AK63:$AK73),$AK63:$AK73,0),1)/INDEX($C63:$AJ73,MATCH(MIN($AK63:$AK73),$AK63:$AK73,0),MATCH(IF('Data-solution'!$A$3="Maximize",MAX($C74:$AI74),MIN($C74:$AI74)),$C74:$AI74,0))),W67)</f>
        <v>0</v>
      </c>
      <c r="X82" s="1">
        <f>IF(OR($B78&lt;&gt;$B63,$B79&lt;&gt;$B64,$B80&lt;&gt;$B65,$B81&lt;&gt;$B66,$B82&lt;&gt;$B67,$B83&lt;&gt;$B68,$B84&lt;&gt;$B69,$B85&lt;&gt;$B70,$B86&lt;&gt;$B71,$B87&lt;&gt;$B72,$B88&lt;&gt;$B73),IF($B82&lt;&gt;$B67,X67/INDEX($C63:$AJ73,5,MATCH(IF('Data-solution'!$A$3="Maximize",MAX($C74:$AI74),MIN($C74:$AI74)),$C74:$AI74,0)),X67-INDEX($C63:$AJ73,5,MATCH(IF('Data-solution'!$A$3="Maximize",MAX($C74:$AI74),MIN($C74:$AI74)),$C74:$AI74,0))*INDEX(X63:$AJ73,MATCH(MIN($AK63:$AK73),$AK63:$AK73,0),1)/INDEX($C63:$AJ73,MATCH(MIN($AK63:$AK73),$AK63:$AK73,0),MATCH(IF('Data-solution'!$A$3="Maximize",MAX($C74:$AI74),MIN($C74:$AI74)),$C74:$AI74,0))),X67)</f>
        <v>0</v>
      </c>
      <c r="Y82" s="1">
        <f>IF(OR($B78&lt;&gt;$B63,$B79&lt;&gt;$B64,$B80&lt;&gt;$B65,$B81&lt;&gt;$B66,$B82&lt;&gt;$B67,$B83&lt;&gt;$B68,$B84&lt;&gt;$B69,$B85&lt;&gt;$B70,$B86&lt;&gt;$B71,$B87&lt;&gt;$B72,$B88&lt;&gt;$B73),IF($B82&lt;&gt;$B67,Y67/INDEX($C63:$AJ73,5,MATCH(IF('Data-solution'!$A$3="Maximize",MAX($C74:$AI74),MIN($C74:$AI74)),$C74:$AI74,0)),Y67-INDEX($C63:$AJ73,5,MATCH(IF('Data-solution'!$A$3="Maximize",MAX($C74:$AI74),MIN($C74:$AI74)),$C74:$AI74,0))*INDEX(Y63:$AJ73,MATCH(MIN($AK63:$AK73),$AK63:$AK73,0),1)/INDEX($C63:$AJ73,MATCH(MIN($AK63:$AK73),$AK63:$AK73,0),MATCH(IF('Data-solution'!$A$3="Maximize",MAX($C74:$AI74),MIN($C74:$AI74)),$C74:$AI74,0))),Y67)</f>
        <v>0</v>
      </c>
      <c r="Z82" s="1">
        <f>IF(OR($B78&lt;&gt;$B63,$B79&lt;&gt;$B64,$B80&lt;&gt;$B65,$B81&lt;&gt;$B66,$B82&lt;&gt;$B67,$B83&lt;&gt;$B68,$B84&lt;&gt;$B69,$B85&lt;&gt;$B70,$B86&lt;&gt;$B71,$B87&lt;&gt;$B72,$B88&lt;&gt;$B73),IF($B82&lt;&gt;$B67,Z67/INDEX($C63:$AJ73,5,MATCH(IF('Data-solution'!$A$3="Maximize",MAX($C74:$AI74),MIN($C74:$AI74)),$C74:$AI74,0)),Z67-INDEX($C63:$AJ73,5,MATCH(IF('Data-solution'!$A$3="Maximize",MAX($C74:$AI74),MIN($C74:$AI74)),$C74:$AI74,0))*INDEX(Z63:$AJ73,MATCH(MIN($AK63:$AK73),$AK63:$AK73,0),1)/INDEX($C63:$AJ73,MATCH(MIN($AK63:$AK73),$AK63:$AK73,0),MATCH(IF('Data-solution'!$A$3="Maximize",MAX($C74:$AI74),MIN($C74:$AI74)),$C74:$AI74,0))),Z67)</f>
        <v>0</v>
      </c>
      <c r="AA82" s="1">
        <f>IF(OR($B78&lt;&gt;$B63,$B79&lt;&gt;$B64,$B80&lt;&gt;$B65,$B81&lt;&gt;$B66,$B82&lt;&gt;$B67,$B83&lt;&gt;$B68,$B84&lt;&gt;$B69,$B85&lt;&gt;$B70,$B86&lt;&gt;$B71,$B87&lt;&gt;$B72,$B88&lt;&gt;$B73),IF($B82&lt;&gt;$B67,AA67/INDEX($C63:$AJ73,5,MATCH(IF('Data-solution'!$A$3="Maximize",MAX($C74:$AI74),MIN($C74:$AI74)),$C74:$AI74,0)),AA67-INDEX($C63:$AJ73,5,MATCH(IF('Data-solution'!$A$3="Maximize",MAX($C74:$AI74),MIN($C74:$AI74)),$C74:$AI74,0))*INDEX(AA63:$AJ73,MATCH(MIN($AK63:$AK73),$AK63:$AK73,0),1)/INDEX($C63:$AJ73,MATCH(MIN($AK63:$AK73),$AK63:$AK73,0),MATCH(IF('Data-solution'!$A$3="Maximize",MAX($C74:$AI74),MIN($C74:$AI74)),$C74:$AI74,0))),AA67)</f>
        <v>0</v>
      </c>
      <c r="AB82" s="1">
        <f>IF(OR($B78&lt;&gt;$B63,$B79&lt;&gt;$B64,$B80&lt;&gt;$B65,$B81&lt;&gt;$B66,$B82&lt;&gt;$B67,$B83&lt;&gt;$B68,$B84&lt;&gt;$B69,$B85&lt;&gt;$B70,$B86&lt;&gt;$B71,$B87&lt;&gt;$B72,$B88&lt;&gt;$B73),IF($B82&lt;&gt;$B67,AB67/INDEX($C63:$AJ73,5,MATCH(IF('Data-solution'!$A$3="Maximize",MAX($C74:$AI74),MIN($C74:$AI74)),$C74:$AI74,0)),AB67-INDEX($C63:$AJ73,5,MATCH(IF('Data-solution'!$A$3="Maximize",MAX($C74:$AI74),MIN($C74:$AI74)),$C74:$AI74,0))*INDEX(AB63:$AJ73,MATCH(MIN($AK63:$AK73),$AK63:$AK73,0),1)/INDEX($C63:$AJ73,MATCH(MIN($AK63:$AK73),$AK63:$AK73,0),MATCH(IF('Data-solution'!$A$3="Maximize",MAX($C74:$AI74),MIN($C74:$AI74)),$C74:$AI74,0))),AB67)</f>
        <v>0</v>
      </c>
      <c r="AC82" s="1">
        <f>IF(OR($B78&lt;&gt;$B63,$B79&lt;&gt;$B64,$B80&lt;&gt;$B65,$B81&lt;&gt;$B66,$B82&lt;&gt;$B67,$B83&lt;&gt;$B68,$B84&lt;&gt;$B69,$B85&lt;&gt;$B70,$B86&lt;&gt;$B71,$B87&lt;&gt;$B72,$B88&lt;&gt;$B73),IF($B82&lt;&gt;$B67,AC67/INDEX($C63:$AJ73,5,MATCH(IF('Data-solution'!$A$3="Maximize",MAX($C74:$AI74),MIN($C74:$AI74)),$C74:$AI74,0)),AC67-INDEX($C63:$AJ73,5,MATCH(IF('Data-solution'!$A$3="Maximize",MAX($C74:$AI74),MIN($C74:$AI74)),$C74:$AI74,0))*INDEX(AC63:$AJ73,MATCH(MIN($AK63:$AK73),$AK63:$AK73,0),1)/INDEX($C63:$AJ73,MATCH(MIN($AK63:$AK73),$AK63:$AK73,0),MATCH(IF('Data-solution'!$A$3="Maximize",MAX($C74:$AI74),MIN($C74:$AI74)),$C74:$AI74,0))),AC67)</f>
        <v>1</v>
      </c>
      <c r="AD82" s="1">
        <f>IF(OR($B78&lt;&gt;$B63,$B79&lt;&gt;$B64,$B80&lt;&gt;$B65,$B81&lt;&gt;$B66,$B82&lt;&gt;$B67,$B83&lt;&gt;$B68,$B84&lt;&gt;$B69,$B85&lt;&gt;$B70,$B86&lt;&gt;$B71,$B87&lt;&gt;$B72,$B88&lt;&gt;$B73),IF($B82&lt;&gt;$B67,AD67/INDEX($C63:$AJ73,5,MATCH(IF('Data-solution'!$A$3="Maximize",MAX($C74:$AI74),MIN($C74:$AI74)),$C74:$AI74,0)),AD67-INDEX($C63:$AJ73,5,MATCH(IF('Data-solution'!$A$3="Maximize",MAX($C74:$AI74),MIN($C74:$AI74)),$C74:$AI74,0))*INDEX(AD63:$AJ73,MATCH(MIN($AK63:$AK73),$AK63:$AK73,0),1)/INDEX($C63:$AJ73,MATCH(MIN($AK63:$AK73),$AK63:$AK73,0),MATCH(IF('Data-solution'!$A$3="Maximize",MAX($C74:$AI74),MIN($C74:$AI74)),$C74:$AI74,0))),AD67)</f>
        <v>0</v>
      </c>
      <c r="AE82" s="1">
        <f>IF(OR($B78&lt;&gt;$B63,$B79&lt;&gt;$B64,$B80&lt;&gt;$B65,$B81&lt;&gt;$B66,$B82&lt;&gt;$B67,$B83&lt;&gt;$B68,$B84&lt;&gt;$B69,$B85&lt;&gt;$B70,$B86&lt;&gt;$B71,$B87&lt;&gt;$B72,$B88&lt;&gt;$B73),IF($B82&lt;&gt;$B67,AE67/INDEX($C63:$AJ73,5,MATCH(IF('Data-solution'!$A$3="Maximize",MAX($C74:$AI74),MIN($C74:$AI74)),$C74:$AI74,0)),AE67-INDEX($C63:$AJ73,5,MATCH(IF('Data-solution'!$A$3="Maximize",MAX($C74:$AI74),MIN($C74:$AI74)),$C74:$AI74,0))*INDEX(AE63:$AJ73,MATCH(MIN($AK63:$AK73),$AK63:$AK73,0),1)/INDEX($C63:$AJ73,MATCH(MIN($AK63:$AK73),$AK63:$AK73,0),MATCH(IF('Data-solution'!$A$3="Maximize",MAX($C74:$AI74),MIN($C74:$AI74)),$C74:$AI74,0))),AE67)</f>
        <v>0</v>
      </c>
      <c r="AF82" s="1">
        <f>IF(OR($B78&lt;&gt;$B63,$B79&lt;&gt;$B64,$B80&lt;&gt;$B65,$B81&lt;&gt;$B66,$B82&lt;&gt;$B67,$B83&lt;&gt;$B68,$B84&lt;&gt;$B69,$B85&lt;&gt;$B70,$B86&lt;&gt;$B71,$B87&lt;&gt;$B72,$B88&lt;&gt;$B73),IF($B82&lt;&gt;$B67,AF67/INDEX($C63:$AJ73,5,MATCH(IF('Data-solution'!$A$3="Maximize",MAX($C74:$AI74),MIN($C74:$AI74)),$C74:$AI74,0)),AF67-INDEX($C63:$AJ73,5,MATCH(IF('Data-solution'!$A$3="Maximize",MAX($C74:$AI74),MIN($C74:$AI74)),$C74:$AI74,0))*INDEX(AF63:$AJ73,MATCH(MIN($AK63:$AK73),$AK63:$AK73,0),1)/INDEX($C63:$AJ73,MATCH(MIN($AK63:$AK73),$AK63:$AK73,0),MATCH(IF('Data-solution'!$A$3="Maximize",MAX($C74:$AI74),MIN($C74:$AI74)),$C74:$AI74,0))),AF67)</f>
        <v>0</v>
      </c>
      <c r="AG82" s="1">
        <f>IF(OR($B78&lt;&gt;$B63,$B79&lt;&gt;$B64,$B80&lt;&gt;$B65,$B81&lt;&gt;$B66,$B82&lt;&gt;$B67,$B83&lt;&gt;$B68,$B84&lt;&gt;$B69,$B85&lt;&gt;$B70,$B86&lt;&gt;$B71,$B87&lt;&gt;$B72,$B88&lt;&gt;$B73),IF($B82&lt;&gt;$B67,AG67/INDEX($C63:$AJ73,5,MATCH(IF('Data-solution'!$A$3="Maximize",MAX($C74:$AI74),MIN($C74:$AI74)),$C74:$AI74,0)),AG67-INDEX($C63:$AJ73,5,MATCH(IF('Data-solution'!$A$3="Maximize",MAX($C74:$AI74),MIN($C74:$AI74)),$C74:$AI74,0))*INDEX(AG63:$AJ73,MATCH(MIN($AK63:$AK73),$AK63:$AK73,0),1)/INDEX($C63:$AJ73,MATCH(MIN($AK63:$AK73),$AK63:$AK73,0),MATCH(IF('Data-solution'!$A$3="Maximize",MAX($C74:$AI74),MIN($C74:$AI74)),$C74:$AI74,0))),AG67)</f>
        <v>0</v>
      </c>
      <c r="AH82" s="1">
        <f>IF(OR($B78&lt;&gt;$B63,$B79&lt;&gt;$B64,$B80&lt;&gt;$B65,$B81&lt;&gt;$B66,$B82&lt;&gt;$B67,$B83&lt;&gt;$B68,$B84&lt;&gt;$B69,$B85&lt;&gt;$B70,$B86&lt;&gt;$B71,$B87&lt;&gt;$B72,$B88&lt;&gt;$B73),IF($B82&lt;&gt;$B67,AH67/INDEX($C63:$AJ73,5,MATCH(IF('Data-solution'!$A$3="Maximize",MAX($C74:$AI74),MIN($C74:$AI74)),$C74:$AI74,0)),AH67-INDEX($C63:$AJ73,5,MATCH(IF('Data-solution'!$A$3="Maximize",MAX($C74:$AI74),MIN($C74:$AI74)),$C74:$AI74,0))*INDEX(AH63:$AJ73,MATCH(MIN($AK63:$AK73),$AK63:$AK73,0),1)/INDEX($C63:$AJ73,MATCH(MIN($AK63:$AK73),$AK63:$AK73,0),MATCH(IF('Data-solution'!$A$3="Maximize",MAX($C74:$AI74),MIN($C74:$AI74)),$C74:$AI74,0))),AH67)</f>
        <v>0</v>
      </c>
      <c r="AI82" s="1">
        <f>IF(OR($B78&lt;&gt;$B63,$B79&lt;&gt;$B64,$B80&lt;&gt;$B65,$B81&lt;&gt;$B66,$B82&lt;&gt;$B67,$B83&lt;&gt;$B68,$B84&lt;&gt;$B69,$B85&lt;&gt;$B70,$B86&lt;&gt;$B71,$B87&lt;&gt;$B72,$B88&lt;&gt;$B73),IF($B82&lt;&gt;$B67,AI67/INDEX($C63:$AJ73,5,MATCH(IF('Data-solution'!$A$3="Maximize",MAX($C74:$AI74),MIN($C74:$AI74)),$C74:$AI74,0)),AI67-INDEX($C63:$AJ73,5,MATCH(IF('Data-solution'!$A$3="Maximize",MAX($C74:$AI74),MIN($C74:$AI74)),$C74:$AI74,0))*INDEX(AI63:$AJ73,MATCH(MIN($AK63:$AK73),$AK63:$AK73,0),1)/INDEX($C63:$AJ73,MATCH(MIN($AK63:$AK73),$AK63:$AK73,0),MATCH(IF('Data-solution'!$A$3="Maximize",MAX($C74:$AI74),MIN($C74:$AI74)),$C74:$AI74,0))),AI67)</f>
        <v>0</v>
      </c>
      <c r="AJ82" s="1">
        <f>IF(OR($B78&lt;&gt;$B63,$B79&lt;&gt;$B64,$B80&lt;&gt;$B65,$B81&lt;&gt;$B66,$B82&lt;&gt;$B67,$B83&lt;&gt;$B68,$B84&lt;&gt;$B69,$B85&lt;&gt;$B70,$B86&lt;&gt;$B71,$B87&lt;&gt;$B72,$B88&lt;&gt;$B73),IF($B82&lt;&gt;$B67,AJ67/INDEX($C63:$AJ73,5,MATCH(IF('Data-solution'!$A$3="Maximize",MAX($C74:$AI74),MIN($C74:$AI74)),$C74:$AI74,0)),AJ67-INDEX($C63:$AJ73,5,MATCH(IF('Data-solution'!$A$3="Maximize",MAX($C74:$AI74),MIN($C74:$AI74)),$C74:$AI74,0))*INDEX(AJ63:$AJ73,MATCH(MIN($AK63:$AK73),$AK63:$AK73,0),1)/INDEX($C63:$AJ73,MATCH(MIN($AK63:$AK73),$AK63:$AK73,0),MATCH(IF('Data-solution'!$A$3="Maximize",MAX($C74:$AI74),MIN($C74:$AI74)),$C74:$AI74,0))),AJ67)</f>
        <v>0</v>
      </c>
      <c r="AK82" s="1" t="str">
        <f>IF(INDEX(C82:X82,1,MATCH(IF('Data-solution'!A$3="Maximize",MAX(C89:X89),MIN(C89:X89)),C89:X89,0))&gt;0,AJ82/INDEX(C82:X82,1,MATCH(IF('Data-solution'!A$3="Maximize",MAX(C89:X89),MIN(C89:X89)),C89:X89,0))," ")</f>
        <v xml:space="preserve"> </v>
      </c>
    </row>
    <row r="83" spans="1:37" ht="18" customHeight="1" x14ac:dyDescent="0.2">
      <c r="A83" s="1">
        <f t="shared" ref="A83" si="55">INDEX(C76:AI76,1,MATCH(B83,C77:AI77,0))</f>
        <v>0</v>
      </c>
      <c r="B83" s="2" t="str">
        <f>IF(AND('Data-solution'!A$3="Maximize",COUNTIF(C74:X74,"&gt;"&amp;0)&gt;0,AK68=MIN(AK63:AK73),COUNTIF(B78:B82,INDEX(C62:X62,1,MATCH(MAX(C74:X74),C74:X74,0)))=0),INDEX(C62:X62,1,MATCH(MAX(C74:X74),C74:X74,0)),IF(AND('Data-solution'!A$3="Minimize",COUNTIF(C74:X74,"&lt;"&amp;0)&gt;0,AK68=MIN(AK63:AK73),COUNTIF(B78:B82,INDEX(C62:X62,1,MATCH(MIN(C74:X74),C74:X74,0)))=0),INDEX(C62:X62,1,MATCH(MIN(C74:X74),C74:X74,0)),B68))</f>
        <v>S6</v>
      </c>
      <c r="C83" s="1">
        <f>IF(OR($B78&lt;&gt;$B63,$B79&lt;&gt;$B64,$B80&lt;&gt;$B65,$B81&lt;&gt;$B66,$B82&lt;&gt;$B67,$B83&lt;&gt;$B68,$B84&lt;&gt;$B69,$B85&lt;&gt;$B70,$B86&lt;&gt;$B71,$B87&lt;&gt;$B72,$B88&lt;&gt;$B73),IF($B83&lt;&gt;$B68,C68/INDEX($C63:$AJ73,6,MATCH(IF('Data-solution'!$A$3="Maximize",MAX($C74:$AI74),MIN($C74:$AI74)),$C74:$AI74,0)),C68-INDEX($C63:$AJ73,6,MATCH(IF('Data-solution'!$A$3="Maximize",MAX($C74:$AI74),MIN($C74:$AI74)),$C74:$AI74,0))*INDEX(C63:$AJ73,MATCH(MIN($AK63:$AK73),$AK63:$AK73,0),1)/INDEX($C63:$AJ73,MATCH(MIN($AK63:$AK73),$AK63:$AK73,0),MATCH(IF('Data-solution'!$A$3="Maximize",MAX($C74:$AI74),MIN($C74:$AI74)),$C74:$AI74,0))),C68)</f>
        <v>0</v>
      </c>
      <c r="D83" s="1">
        <f>IF(OR($B78&lt;&gt;$B63,$B79&lt;&gt;$B64,$B80&lt;&gt;$B65,$B81&lt;&gt;$B66,$B82&lt;&gt;$B67,$B83&lt;&gt;$B68,$B84&lt;&gt;$B69,$B85&lt;&gt;$B70,$B86&lt;&gt;$B71,$B87&lt;&gt;$B72,$B88&lt;&gt;$B73),IF($B83&lt;&gt;$B68,D68/INDEX($C63:$AJ73,6,MATCH(IF('Data-solution'!$A$3="Maximize",MAX($C74:$AI74),MIN($C74:$AI74)),$C74:$AI74,0)),D68-INDEX($C63:$AJ73,6,MATCH(IF('Data-solution'!$A$3="Maximize",MAX($C74:$AI74),MIN($C74:$AI74)),$C74:$AI74,0))*INDEX(D63:$AJ73,MATCH(MIN($AK63:$AK73),$AK63:$AK73,0),1)/INDEX($C63:$AJ73,MATCH(MIN($AK63:$AK73),$AK63:$AK73,0),MATCH(IF('Data-solution'!$A$3="Maximize",MAX($C74:$AI74),MIN($C74:$AI74)),$C74:$AI74,0))),D68)</f>
        <v>0</v>
      </c>
      <c r="E83" s="1">
        <f>IF(OR($B78&lt;&gt;$B63,$B79&lt;&gt;$B64,$B80&lt;&gt;$B65,$B81&lt;&gt;$B66,$B82&lt;&gt;$B67,$B83&lt;&gt;$B68,$B84&lt;&gt;$B69,$B85&lt;&gt;$B70,$B86&lt;&gt;$B71,$B87&lt;&gt;$B72,$B88&lt;&gt;$B73),IF($B83&lt;&gt;$B68,E68/INDEX($C63:$AJ73,6,MATCH(IF('Data-solution'!$A$3="Maximize",MAX($C74:$AI74),MIN($C74:$AI74)),$C74:$AI74,0)),E68-INDEX($C63:$AJ73,6,MATCH(IF('Data-solution'!$A$3="Maximize",MAX($C74:$AI74),MIN($C74:$AI74)),$C74:$AI74,0))*INDEX(E63:$AJ73,MATCH(MIN($AK63:$AK73),$AK63:$AK73,0),1)/INDEX($C63:$AJ73,MATCH(MIN($AK63:$AK73),$AK63:$AK73,0),MATCH(IF('Data-solution'!$A$3="Maximize",MAX($C74:$AI74),MIN($C74:$AI74)),$C74:$AI74,0))),E68)</f>
        <v>0</v>
      </c>
      <c r="F83" s="1">
        <f>IF(OR($B78&lt;&gt;$B63,$B79&lt;&gt;$B64,$B80&lt;&gt;$B65,$B81&lt;&gt;$B66,$B82&lt;&gt;$B67,$B83&lt;&gt;$B68,$B84&lt;&gt;$B69,$B85&lt;&gt;$B70,$B86&lt;&gt;$B71,$B87&lt;&gt;$B72,$B88&lt;&gt;$B73),IF($B83&lt;&gt;$B68,F68/INDEX($C63:$AJ73,6,MATCH(IF('Data-solution'!$A$3="Maximize",MAX($C74:$AI74),MIN($C74:$AI74)),$C74:$AI74,0)),F68-INDEX($C63:$AJ73,6,MATCH(IF('Data-solution'!$A$3="Maximize",MAX($C74:$AI74),MIN($C74:$AI74)),$C74:$AI74,0))*INDEX(F63:$AJ73,MATCH(MIN($AK63:$AK73),$AK63:$AK73,0),1)/INDEX($C63:$AJ73,MATCH(MIN($AK63:$AK73),$AK63:$AK73,0),MATCH(IF('Data-solution'!$A$3="Maximize",MAX($C74:$AI74),MIN($C74:$AI74)),$C74:$AI74,0))),F68)</f>
        <v>0</v>
      </c>
      <c r="G83" s="1">
        <f>IF(OR($B78&lt;&gt;$B63,$B79&lt;&gt;$B64,$B80&lt;&gt;$B65,$B81&lt;&gt;$B66,$B82&lt;&gt;$B67,$B83&lt;&gt;$B68,$B84&lt;&gt;$B69,$B85&lt;&gt;$B70,$B86&lt;&gt;$B71,$B87&lt;&gt;$B72,$B88&lt;&gt;$B73),IF($B83&lt;&gt;$B68,G68/INDEX($C63:$AJ73,6,MATCH(IF('Data-solution'!$A$3="Maximize",MAX($C74:$AI74),MIN($C74:$AI74)),$C74:$AI74,0)),G68-INDEX($C63:$AJ73,6,MATCH(IF('Data-solution'!$A$3="Maximize",MAX($C74:$AI74),MIN($C74:$AI74)),$C74:$AI74,0))*INDEX(G63:$AJ73,MATCH(MIN($AK63:$AK73),$AK63:$AK73,0),1)/INDEX($C63:$AJ73,MATCH(MIN($AK63:$AK73),$AK63:$AK73,0),MATCH(IF('Data-solution'!$A$3="Maximize",MAX($C74:$AI74),MIN($C74:$AI74)),$C74:$AI74,0))),G68)</f>
        <v>0</v>
      </c>
      <c r="H83" s="1">
        <f>IF(OR($B78&lt;&gt;$B63,$B79&lt;&gt;$B64,$B80&lt;&gt;$B65,$B81&lt;&gt;$B66,$B82&lt;&gt;$B67,$B83&lt;&gt;$B68,$B84&lt;&gt;$B69,$B85&lt;&gt;$B70,$B86&lt;&gt;$B71,$B87&lt;&gt;$B72,$B88&lt;&gt;$B73),IF($B83&lt;&gt;$B68,H68/INDEX($C63:$AJ73,6,MATCH(IF('Data-solution'!$A$3="Maximize",MAX($C74:$AI74),MIN($C74:$AI74)),$C74:$AI74,0)),H68-INDEX($C63:$AJ73,6,MATCH(IF('Data-solution'!$A$3="Maximize",MAX($C74:$AI74),MIN($C74:$AI74)),$C74:$AI74,0))*INDEX(H63:$AJ73,MATCH(MIN($AK63:$AK73),$AK63:$AK73,0),1)/INDEX($C63:$AJ73,MATCH(MIN($AK63:$AK73),$AK63:$AK73,0),MATCH(IF('Data-solution'!$A$3="Maximize",MAX($C74:$AI74),MIN($C74:$AI74)),$C74:$AI74,0))),H68)</f>
        <v>0</v>
      </c>
      <c r="I83" s="1">
        <f>IF(OR($B78&lt;&gt;$B63,$B79&lt;&gt;$B64,$B80&lt;&gt;$B65,$B81&lt;&gt;$B66,$B82&lt;&gt;$B67,$B83&lt;&gt;$B68,$B84&lt;&gt;$B69,$B85&lt;&gt;$B70,$B86&lt;&gt;$B71,$B87&lt;&gt;$B72,$B88&lt;&gt;$B73),IF($B83&lt;&gt;$B68,I68/INDEX($C63:$AJ73,6,MATCH(IF('Data-solution'!$A$3="Maximize",MAX($C74:$AI74),MIN($C74:$AI74)),$C74:$AI74,0)),I68-INDEX($C63:$AJ73,6,MATCH(IF('Data-solution'!$A$3="Maximize",MAX($C74:$AI74),MIN($C74:$AI74)),$C74:$AI74,0))*INDEX(I63:$AJ73,MATCH(MIN($AK63:$AK73),$AK63:$AK73,0),1)/INDEX($C63:$AJ73,MATCH(MIN($AK63:$AK73),$AK63:$AK73,0),MATCH(IF('Data-solution'!$A$3="Maximize",MAX($C74:$AI74),MIN($C74:$AI74)),$C74:$AI74,0))),I68)</f>
        <v>0</v>
      </c>
      <c r="J83" s="1">
        <f>IF(OR($B78&lt;&gt;$B63,$B79&lt;&gt;$B64,$B80&lt;&gt;$B65,$B81&lt;&gt;$B66,$B82&lt;&gt;$B67,$B83&lt;&gt;$B68,$B84&lt;&gt;$B69,$B85&lt;&gt;$B70,$B86&lt;&gt;$B71,$B87&lt;&gt;$B72,$B88&lt;&gt;$B73),IF($B83&lt;&gt;$B68,J68/INDEX($C63:$AJ73,6,MATCH(IF('Data-solution'!$A$3="Maximize",MAX($C74:$AI74),MIN($C74:$AI74)),$C74:$AI74,0)),J68-INDEX($C63:$AJ73,6,MATCH(IF('Data-solution'!$A$3="Maximize",MAX($C74:$AI74),MIN($C74:$AI74)),$C74:$AI74,0))*INDEX(J63:$AJ73,MATCH(MIN($AK63:$AK73),$AK63:$AK73,0),1)/INDEX($C63:$AJ73,MATCH(MIN($AK63:$AK73),$AK63:$AK73,0),MATCH(IF('Data-solution'!$A$3="Maximize",MAX($C74:$AI74),MIN($C74:$AI74)),$C74:$AI74,0))),J68)</f>
        <v>0</v>
      </c>
      <c r="K83" s="1">
        <f>IF(OR($B78&lt;&gt;$B63,$B79&lt;&gt;$B64,$B80&lt;&gt;$B65,$B81&lt;&gt;$B66,$B82&lt;&gt;$B67,$B83&lt;&gt;$B68,$B84&lt;&gt;$B69,$B85&lt;&gt;$B70,$B86&lt;&gt;$B71,$B87&lt;&gt;$B72,$B88&lt;&gt;$B73),IF($B83&lt;&gt;$B68,K68/INDEX($C63:$AJ73,6,MATCH(IF('Data-solution'!$A$3="Maximize",MAX($C74:$AI74),MIN($C74:$AI74)),$C74:$AI74,0)),K68-INDEX($C63:$AJ73,6,MATCH(IF('Data-solution'!$A$3="Maximize",MAX($C74:$AI74),MIN($C74:$AI74)),$C74:$AI74,0))*INDEX(K63:$AJ73,MATCH(MIN($AK63:$AK73),$AK63:$AK73,0),1)/INDEX($C63:$AJ73,MATCH(MIN($AK63:$AK73),$AK63:$AK73,0),MATCH(IF('Data-solution'!$A$3="Maximize",MAX($C74:$AI74),MIN($C74:$AI74)),$C74:$AI74,0))),K68)</f>
        <v>0</v>
      </c>
      <c r="L83" s="1">
        <f>IF(OR($B78&lt;&gt;$B63,$B79&lt;&gt;$B64,$B80&lt;&gt;$B65,$B81&lt;&gt;$B66,$B82&lt;&gt;$B67,$B83&lt;&gt;$B68,$B84&lt;&gt;$B69,$B85&lt;&gt;$B70,$B86&lt;&gt;$B71,$B87&lt;&gt;$B72,$B88&lt;&gt;$B73),IF($B83&lt;&gt;$B68,L68/INDEX($C63:$AJ73,6,MATCH(IF('Data-solution'!$A$3="Maximize",MAX($C74:$AI74),MIN($C74:$AI74)),$C74:$AI74,0)),L68-INDEX($C63:$AJ73,6,MATCH(IF('Data-solution'!$A$3="Maximize",MAX($C74:$AI74),MIN($C74:$AI74)),$C74:$AI74,0))*INDEX(L63:$AJ73,MATCH(MIN($AK63:$AK73),$AK63:$AK73,0),1)/INDEX($C63:$AJ73,MATCH(MIN($AK63:$AK73),$AK63:$AK73,0),MATCH(IF('Data-solution'!$A$3="Maximize",MAX($C74:$AI74),MIN($C74:$AI74)),$C74:$AI74,0))),L68)</f>
        <v>0</v>
      </c>
      <c r="M83" s="1">
        <f>IF(OR($B78&lt;&gt;$B63,$B79&lt;&gt;$B64,$B80&lt;&gt;$B65,$B81&lt;&gt;$B66,$B82&lt;&gt;$B67,$B83&lt;&gt;$B68,$B84&lt;&gt;$B69,$B85&lt;&gt;$B70,$B86&lt;&gt;$B71,$B87&lt;&gt;$B72,$B88&lt;&gt;$B73),IF($B83&lt;&gt;$B68,M68/INDEX($C63:$AJ73,6,MATCH(IF('Data-solution'!$A$3="Maximize",MAX($C74:$AI74),MIN($C74:$AI74)),$C74:$AI74,0)),M68-INDEX($C63:$AJ73,6,MATCH(IF('Data-solution'!$A$3="Maximize",MAX($C74:$AI74),MIN($C74:$AI74)),$C74:$AI74,0))*INDEX(M63:$AJ73,MATCH(MIN($AK63:$AK73),$AK63:$AK73,0),1)/INDEX($C63:$AJ73,MATCH(MIN($AK63:$AK73),$AK63:$AK73,0),MATCH(IF('Data-solution'!$A$3="Maximize",MAX($C74:$AI74),MIN($C74:$AI74)),$C74:$AI74,0))),M68)</f>
        <v>0</v>
      </c>
      <c r="N83" s="1">
        <f>IF(OR($B78&lt;&gt;$B63,$B79&lt;&gt;$B64,$B80&lt;&gt;$B65,$B81&lt;&gt;$B66,$B82&lt;&gt;$B67,$B83&lt;&gt;$B68,$B84&lt;&gt;$B69,$B85&lt;&gt;$B70,$B86&lt;&gt;$B71,$B87&lt;&gt;$B72,$B88&lt;&gt;$B73),IF($B83&lt;&gt;$B68,N68/INDEX($C63:$AJ73,6,MATCH(IF('Data-solution'!$A$3="Maximize",MAX($C74:$AI74),MIN($C74:$AI74)),$C74:$AI74,0)),N68-INDEX($C63:$AJ73,6,MATCH(IF('Data-solution'!$A$3="Maximize",MAX($C74:$AI74),MIN($C74:$AI74)),$C74:$AI74,0))*INDEX(N63:$AJ73,MATCH(MIN($AK63:$AK73),$AK63:$AK73,0),1)/INDEX($C63:$AJ73,MATCH(MIN($AK63:$AK73),$AK63:$AK73,0),MATCH(IF('Data-solution'!$A$3="Maximize",MAX($C74:$AI74),MIN($C74:$AI74)),$C74:$AI74,0))),N68)</f>
        <v>0</v>
      </c>
      <c r="O83" s="1">
        <f>IF(OR($B78&lt;&gt;$B63,$B79&lt;&gt;$B64,$B80&lt;&gt;$B65,$B81&lt;&gt;$B66,$B82&lt;&gt;$B67,$B83&lt;&gt;$B68,$B84&lt;&gt;$B69,$B85&lt;&gt;$B70,$B86&lt;&gt;$B71,$B87&lt;&gt;$B72,$B88&lt;&gt;$B73),IF($B83&lt;&gt;$B68,O68/INDEX($C63:$AJ73,6,MATCH(IF('Data-solution'!$A$3="Maximize",MAX($C74:$AI74),MIN($C74:$AI74)),$C74:$AI74,0)),O68-INDEX($C63:$AJ73,6,MATCH(IF('Data-solution'!$A$3="Maximize",MAX($C74:$AI74),MIN($C74:$AI74)),$C74:$AI74,0))*INDEX(O63:$AJ73,MATCH(MIN($AK63:$AK73),$AK63:$AK73,0),1)/INDEX($C63:$AJ73,MATCH(MIN($AK63:$AK73),$AK63:$AK73,0),MATCH(IF('Data-solution'!$A$3="Maximize",MAX($C74:$AI74),MIN($C74:$AI74)),$C74:$AI74,0))),O68)</f>
        <v>0</v>
      </c>
      <c r="P83" s="1">
        <f>IF(OR($B78&lt;&gt;$B63,$B79&lt;&gt;$B64,$B80&lt;&gt;$B65,$B81&lt;&gt;$B66,$B82&lt;&gt;$B67,$B83&lt;&gt;$B68,$B84&lt;&gt;$B69,$B85&lt;&gt;$B70,$B86&lt;&gt;$B71,$B87&lt;&gt;$B72,$B88&lt;&gt;$B73),IF($B83&lt;&gt;$B68,P68/INDEX($C63:$AJ73,6,MATCH(IF('Data-solution'!$A$3="Maximize",MAX($C74:$AI74),MIN($C74:$AI74)),$C74:$AI74,0)),P68-INDEX($C63:$AJ73,6,MATCH(IF('Data-solution'!$A$3="Maximize",MAX($C74:$AI74),MIN($C74:$AI74)),$C74:$AI74,0))*INDEX(P63:$AJ73,MATCH(MIN($AK63:$AK73),$AK63:$AK73,0),1)/INDEX($C63:$AJ73,MATCH(MIN($AK63:$AK73),$AK63:$AK73,0),MATCH(IF('Data-solution'!$A$3="Maximize",MAX($C74:$AI74),MIN($C74:$AI74)),$C74:$AI74,0))),P68)</f>
        <v>0</v>
      </c>
      <c r="Q83" s="1">
        <f>IF(OR($B78&lt;&gt;$B63,$B79&lt;&gt;$B64,$B80&lt;&gt;$B65,$B81&lt;&gt;$B66,$B82&lt;&gt;$B67,$B83&lt;&gt;$B68,$B84&lt;&gt;$B69,$B85&lt;&gt;$B70,$B86&lt;&gt;$B71,$B87&lt;&gt;$B72,$B88&lt;&gt;$B73),IF($B83&lt;&gt;$B68,Q68/INDEX($C63:$AJ73,6,MATCH(IF('Data-solution'!$A$3="Maximize",MAX($C74:$AI74),MIN($C74:$AI74)),$C74:$AI74,0)),Q68-INDEX($C63:$AJ73,6,MATCH(IF('Data-solution'!$A$3="Maximize",MAX($C74:$AI74),MIN($C74:$AI74)),$C74:$AI74,0))*INDEX(Q63:$AJ73,MATCH(MIN($AK63:$AK73),$AK63:$AK73,0),1)/INDEX($C63:$AJ73,MATCH(MIN($AK63:$AK73),$AK63:$AK73,0),MATCH(IF('Data-solution'!$A$3="Maximize",MAX($C74:$AI74),MIN($C74:$AI74)),$C74:$AI74,0))),Q68)</f>
        <v>0</v>
      </c>
      <c r="R83" s="1">
        <f>IF(OR($B78&lt;&gt;$B63,$B79&lt;&gt;$B64,$B80&lt;&gt;$B65,$B81&lt;&gt;$B66,$B82&lt;&gt;$B67,$B83&lt;&gt;$B68,$B84&lt;&gt;$B69,$B85&lt;&gt;$B70,$B86&lt;&gt;$B71,$B87&lt;&gt;$B72,$B88&lt;&gt;$B73),IF($B83&lt;&gt;$B68,R68/INDEX($C63:$AJ73,6,MATCH(IF('Data-solution'!$A$3="Maximize",MAX($C74:$AI74),MIN($C74:$AI74)),$C74:$AI74,0)),R68-INDEX($C63:$AJ73,6,MATCH(IF('Data-solution'!$A$3="Maximize",MAX($C74:$AI74),MIN($C74:$AI74)),$C74:$AI74,0))*INDEX(R63:$AJ73,MATCH(MIN($AK63:$AK73),$AK63:$AK73,0),1)/INDEX($C63:$AJ73,MATCH(MIN($AK63:$AK73),$AK63:$AK73,0),MATCH(IF('Data-solution'!$A$3="Maximize",MAX($C74:$AI74),MIN($C74:$AI74)),$C74:$AI74,0))),R68)</f>
        <v>0</v>
      </c>
      <c r="S83" s="1">
        <f>IF(OR($B78&lt;&gt;$B63,$B79&lt;&gt;$B64,$B80&lt;&gt;$B65,$B81&lt;&gt;$B66,$B82&lt;&gt;$B67,$B83&lt;&gt;$B68,$B84&lt;&gt;$B69,$B85&lt;&gt;$B70,$B86&lt;&gt;$B71,$B87&lt;&gt;$B72,$B88&lt;&gt;$B73),IF($B83&lt;&gt;$B68,S68/INDEX($C63:$AJ73,6,MATCH(IF('Data-solution'!$A$3="Maximize",MAX($C74:$AI74),MIN($C74:$AI74)),$C74:$AI74,0)),S68-INDEX($C63:$AJ73,6,MATCH(IF('Data-solution'!$A$3="Maximize",MAX($C74:$AI74),MIN($C74:$AI74)),$C74:$AI74,0))*INDEX(S63:$AJ73,MATCH(MIN($AK63:$AK73),$AK63:$AK73,0),1)/INDEX($C63:$AJ73,MATCH(MIN($AK63:$AK73),$AK63:$AK73,0),MATCH(IF('Data-solution'!$A$3="Maximize",MAX($C74:$AI74),MIN($C74:$AI74)),$C74:$AI74,0))),S68)</f>
        <v>1</v>
      </c>
      <c r="T83" s="1">
        <f>IF(OR($B78&lt;&gt;$B63,$B79&lt;&gt;$B64,$B80&lt;&gt;$B65,$B81&lt;&gt;$B66,$B82&lt;&gt;$B67,$B83&lt;&gt;$B68,$B84&lt;&gt;$B69,$B85&lt;&gt;$B70,$B86&lt;&gt;$B71,$B87&lt;&gt;$B72,$B88&lt;&gt;$B73),IF($B83&lt;&gt;$B68,T68/INDEX($C63:$AJ73,6,MATCH(IF('Data-solution'!$A$3="Maximize",MAX($C74:$AI74),MIN($C74:$AI74)),$C74:$AI74,0)),T68-INDEX($C63:$AJ73,6,MATCH(IF('Data-solution'!$A$3="Maximize",MAX($C74:$AI74),MIN($C74:$AI74)),$C74:$AI74,0))*INDEX(T63:$AJ73,MATCH(MIN($AK63:$AK73),$AK63:$AK73,0),1)/INDEX($C63:$AJ73,MATCH(MIN($AK63:$AK73),$AK63:$AK73,0),MATCH(IF('Data-solution'!$A$3="Maximize",MAX($C74:$AI74),MIN($C74:$AI74)),$C74:$AI74,0))),T68)</f>
        <v>0</v>
      </c>
      <c r="U83" s="1">
        <f>IF(OR($B78&lt;&gt;$B63,$B79&lt;&gt;$B64,$B80&lt;&gt;$B65,$B81&lt;&gt;$B66,$B82&lt;&gt;$B67,$B83&lt;&gt;$B68,$B84&lt;&gt;$B69,$B85&lt;&gt;$B70,$B86&lt;&gt;$B71,$B87&lt;&gt;$B72,$B88&lt;&gt;$B73),IF($B83&lt;&gt;$B68,U68/INDEX($C63:$AJ73,6,MATCH(IF('Data-solution'!$A$3="Maximize",MAX($C74:$AI74),MIN($C74:$AI74)),$C74:$AI74,0)),U68-INDEX($C63:$AJ73,6,MATCH(IF('Data-solution'!$A$3="Maximize",MAX($C74:$AI74),MIN($C74:$AI74)),$C74:$AI74,0))*INDEX(U63:$AJ73,MATCH(MIN($AK63:$AK73),$AK63:$AK73,0),1)/INDEX($C63:$AJ73,MATCH(MIN($AK63:$AK73),$AK63:$AK73,0),MATCH(IF('Data-solution'!$A$3="Maximize",MAX($C74:$AI74),MIN($C74:$AI74)),$C74:$AI74,0))),U68)</f>
        <v>0</v>
      </c>
      <c r="V83" s="1">
        <f>IF(OR($B78&lt;&gt;$B63,$B79&lt;&gt;$B64,$B80&lt;&gt;$B65,$B81&lt;&gt;$B66,$B82&lt;&gt;$B67,$B83&lt;&gt;$B68,$B84&lt;&gt;$B69,$B85&lt;&gt;$B70,$B86&lt;&gt;$B71,$B87&lt;&gt;$B72,$B88&lt;&gt;$B73),IF($B83&lt;&gt;$B68,V68/INDEX($C63:$AJ73,6,MATCH(IF('Data-solution'!$A$3="Maximize",MAX($C74:$AI74),MIN($C74:$AI74)),$C74:$AI74,0)),V68-INDEX($C63:$AJ73,6,MATCH(IF('Data-solution'!$A$3="Maximize",MAX($C74:$AI74),MIN($C74:$AI74)),$C74:$AI74,0))*INDEX(V63:$AJ73,MATCH(MIN($AK63:$AK73),$AK63:$AK73,0),1)/INDEX($C63:$AJ73,MATCH(MIN($AK63:$AK73),$AK63:$AK73,0),MATCH(IF('Data-solution'!$A$3="Maximize",MAX($C74:$AI74),MIN($C74:$AI74)),$C74:$AI74,0))),V68)</f>
        <v>0</v>
      </c>
      <c r="W83" s="1">
        <f>IF(OR($B78&lt;&gt;$B63,$B79&lt;&gt;$B64,$B80&lt;&gt;$B65,$B81&lt;&gt;$B66,$B82&lt;&gt;$B67,$B83&lt;&gt;$B68,$B84&lt;&gt;$B69,$B85&lt;&gt;$B70,$B86&lt;&gt;$B71,$B87&lt;&gt;$B72,$B88&lt;&gt;$B73),IF($B83&lt;&gt;$B68,W68/INDEX($C63:$AJ73,6,MATCH(IF('Data-solution'!$A$3="Maximize",MAX($C74:$AI74),MIN($C74:$AI74)),$C74:$AI74,0)),W68-INDEX($C63:$AJ73,6,MATCH(IF('Data-solution'!$A$3="Maximize",MAX($C74:$AI74),MIN($C74:$AI74)),$C74:$AI74,0))*INDEX(W63:$AJ73,MATCH(MIN($AK63:$AK73),$AK63:$AK73,0),1)/INDEX($C63:$AJ73,MATCH(MIN($AK63:$AK73),$AK63:$AK73,0),MATCH(IF('Data-solution'!$A$3="Maximize",MAX($C74:$AI74),MIN($C74:$AI74)),$C74:$AI74,0))),W68)</f>
        <v>0</v>
      </c>
      <c r="X83" s="1">
        <f>IF(OR($B78&lt;&gt;$B63,$B79&lt;&gt;$B64,$B80&lt;&gt;$B65,$B81&lt;&gt;$B66,$B82&lt;&gt;$B67,$B83&lt;&gt;$B68,$B84&lt;&gt;$B69,$B85&lt;&gt;$B70,$B86&lt;&gt;$B71,$B87&lt;&gt;$B72,$B88&lt;&gt;$B73),IF($B83&lt;&gt;$B68,X68/INDEX($C63:$AJ73,6,MATCH(IF('Data-solution'!$A$3="Maximize",MAX($C74:$AI74),MIN($C74:$AI74)),$C74:$AI74,0)),X68-INDEX($C63:$AJ73,6,MATCH(IF('Data-solution'!$A$3="Maximize",MAX($C74:$AI74),MIN($C74:$AI74)),$C74:$AI74,0))*INDEX(X63:$AJ73,MATCH(MIN($AK63:$AK73),$AK63:$AK73,0),1)/INDEX($C63:$AJ73,MATCH(MIN($AK63:$AK73),$AK63:$AK73,0),MATCH(IF('Data-solution'!$A$3="Maximize",MAX($C74:$AI74),MIN($C74:$AI74)),$C74:$AI74,0))),X68)</f>
        <v>0</v>
      </c>
      <c r="Y83" s="1">
        <f>IF(OR($B78&lt;&gt;$B63,$B79&lt;&gt;$B64,$B80&lt;&gt;$B65,$B81&lt;&gt;$B66,$B82&lt;&gt;$B67,$B83&lt;&gt;$B68,$B84&lt;&gt;$B69,$B85&lt;&gt;$B70,$B86&lt;&gt;$B71,$B87&lt;&gt;$B72,$B88&lt;&gt;$B73),IF($B83&lt;&gt;$B68,Y68/INDEX($C63:$AJ73,6,MATCH(IF('Data-solution'!$A$3="Maximize",MAX($C74:$AI74),MIN($C74:$AI74)),$C74:$AI74,0)),Y68-INDEX($C63:$AJ73,6,MATCH(IF('Data-solution'!$A$3="Maximize",MAX($C74:$AI74),MIN($C74:$AI74)),$C74:$AI74,0))*INDEX(Y63:$AJ73,MATCH(MIN($AK63:$AK73),$AK63:$AK73,0),1)/INDEX($C63:$AJ73,MATCH(MIN($AK63:$AK73),$AK63:$AK73,0),MATCH(IF('Data-solution'!$A$3="Maximize",MAX($C74:$AI74),MIN($C74:$AI74)),$C74:$AI74,0))),Y68)</f>
        <v>0</v>
      </c>
      <c r="Z83" s="1">
        <f>IF(OR($B78&lt;&gt;$B63,$B79&lt;&gt;$B64,$B80&lt;&gt;$B65,$B81&lt;&gt;$B66,$B82&lt;&gt;$B67,$B83&lt;&gt;$B68,$B84&lt;&gt;$B69,$B85&lt;&gt;$B70,$B86&lt;&gt;$B71,$B87&lt;&gt;$B72,$B88&lt;&gt;$B73),IF($B83&lt;&gt;$B68,Z68/INDEX($C63:$AJ73,6,MATCH(IF('Data-solution'!$A$3="Maximize",MAX($C74:$AI74),MIN($C74:$AI74)),$C74:$AI74,0)),Z68-INDEX($C63:$AJ73,6,MATCH(IF('Data-solution'!$A$3="Maximize",MAX($C74:$AI74),MIN($C74:$AI74)),$C74:$AI74,0))*INDEX(Z63:$AJ73,MATCH(MIN($AK63:$AK73),$AK63:$AK73,0),1)/INDEX($C63:$AJ73,MATCH(MIN($AK63:$AK73),$AK63:$AK73,0),MATCH(IF('Data-solution'!$A$3="Maximize",MAX($C74:$AI74),MIN($C74:$AI74)),$C74:$AI74,0))),Z68)</f>
        <v>0</v>
      </c>
      <c r="AA83" s="1">
        <f>IF(OR($B78&lt;&gt;$B63,$B79&lt;&gt;$B64,$B80&lt;&gt;$B65,$B81&lt;&gt;$B66,$B82&lt;&gt;$B67,$B83&lt;&gt;$B68,$B84&lt;&gt;$B69,$B85&lt;&gt;$B70,$B86&lt;&gt;$B71,$B87&lt;&gt;$B72,$B88&lt;&gt;$B73),IF($B83&lt;&gt;$B68,AA68/INDEX($C63:$AJ73,6,MATCH(IF('Data-solution'!$A$3="Maximize",MAX($C74:$AI74),MIN($C74:$AI74)),$C74:$AI74,0)),AA68-INDEX($C63:$AJ73,6,MATCH(IF('Data-solution'!$A$3="Maximize",MAX($C74:$AI74),MIN($C74:$AI74)),$C74:$AI74,0))*INDEX(AA63:$AJ73,MATCH(MIN($AK63:$AK73),$AK63:$AK73,0),1)/INDEX($C63:$AJ73,MATCH(MIN($AK63:$AK73),$AK63:$AK73,0),MATCH(IF('Data-solution'!$A$3="Maximize",MAX($C74:$AI74),MIN($C74:$AI74)),$C74:$AI74,0))),AA68)</f>
        <v>0</v>
      </c>
      <c r="AB83" s="1">
        <f>IF(OR($B78&lt;&gt;$B63,$B79&lt;&gt;$B64,$B80&lt;&gt;$B65,$B81&lt;&gt;$B66,$B82&lt;&gt;$B67,$B83&lt;&gt;$B68,$B84&lt;&gt;$B69,$B85&lt;&gt;$B70,$B86&lt;&gt;$B71,$B87&lt;&gt;$B72,$B88&lt;&gt;$B73),IF($B83&lt;&gt;$B68,AB68/INDEX($C63:$AJ73,6,MATCH(IF('Data-solution'!$A$3="Maximize",MAX($C74:$AI74),MIN($C74:$AI74)),$C74:$AI74,0)),AB68-INDEX($C63:$AJ73,6,MATCH(IF('Data-solution'!$A$3="Maximize",MAX($C74:$AI74),MIN($C74:$AI74)),$C74:$AI74,0))*INDEX(AB63:$AJ73,MATCH(MIN($AK63:$AK73),$AK63:$AK73,0),1)/INDEX($C63:$AJ73,MATCH(MIN($AK63:$AK73),$AK63:$AK73,0),MATCH(IF('Data-solution'!$A$3="Maximize",MAX($C74:$AI74),MIN($C74:$AI74)),$C74:$AI74,0))),AB68)</f>
        <v>0</v>
      </c>
      <c r="AC83" s="1">
        <f>IF(OR($B78&lt;&gt;$B63,$B79&lt;&gt;$B64,$B80&lt;&gt;$B65,$B81&lt;&gt;$B66,$B82&lt;&gt;$B67,$B83&lt;&gt;$B68,$B84&lt;&gt;$B69,$B85&lt;&gt;$B70,$B86&lt;&gt;$B71,$B87&lt;&gt;$B72,$B88&lt;&gt;$B73),IF($B83&lt;&gt;$B68,AC68/INDEX($C63:$AJ73,6,MATCH(IF('Data-solution'!$A$3="Maximize",MAX($C74:$AI74),MIN($C74:$AI74)),$C74:$AI74,0)),AC68-INDEX($C63:$AJ73,6,MATCH(IF('Data-solution'!$A$3="Maximize",MAX($C74:$AI74),MIN($C74:$AI74)),$C74:$AI74,0))*INDEX(AC63:$AJ73,MATCH(MIN($AK63:$AK73),$AK63:$AK73,0),1)/INDEX($C63:$AJ73,MATCH(MIN($AK63:$AK73),$AK63:$AK73,0),MATCH(IF('Data-solution'!$A$3="Maximize",MAX($C74:$AI74),MIN($C74:$AI74)),$C74:$AI74,0))),AC68)</f>
        <v>0</v>
      </c>
      <c r="AD83" s="1">
        <f>IF(OR($B78&lt;&gt;$B63,$B79&lt;&gt;$B64,$B80&lt;&gt;$B65,$B81&lt;&gt;$B66,$B82&lt;&gt;$B67,$B83&lt;&gt;$B68,$B84&lt;&gt;$B69,$B85&lt;&gt;$B70,$B86&lt;&gt;$B71,$B87&lt;&gt;$B72,$B88&lt;&gt;$B73),IF($B83&lt;&gt;$B68,AD68/INDEX($C63:$AJ73,6,MATCH(IF('Data-solution'!$A$3="Maximize",MAX($C74:$AI74),MIN($C74:$AI74)),$C74:$AI74,0)),AD68-INDEX($C63:$AJ73,6,MATCH(IF('Data-solution'!$A$3="Maximize",MAX($C74:$AI74),MIN($C74:$AI74)),$C74:$AI74,0))*INDEX(AD63:$AJ73,MATCH(MIN($AK63:$AK73),$AK63:$AK73,0),1)/INDEX($C63:$AJ73,MATCH(MIN($AK63:$AK73),$AK63:$AK73,0),MATCH(IF('Data-solution'!$A$3="Maximize",MAX($C74:$AI74),MIN($C74:$AI74)),$C74:$AI74,0))),AD68)</f>
        <v>1</v>
      </c>
      <c r="AE83" s="1">
        <f>IF(OR($B78&lt;&gt;$B63,$B79&lt;&gt;$B64,$B80&lt;&gt;$B65,$B81&lt;&gt;$B66,$B82&lt;&gt;$B67,$B83&lt;&gt;$B68,$B84&lt;&gt;$B69,$B85&lt;&gt;$B70,$B86&lt;&gt;$B71,$B87&lt;&gt;$B72,$B88&lt;&gt;$B73),IF($B83&lt;&gt;$B68,AE68/INDEX($C63:$AJ73,6,MATCH(IF('Data-solution'!$A$3="Maximize",MAX($C74:$AI74),MIN($C74:$AI74)),$C74:$AI74,0)),AE68-INDEX($C63:$AJ73,6,MATCH(IF('Data-solution'!$A$3="Maximize",MAX($C74:$AI74),MIN($C74:$AI74)),$C74:$AI74,0))*INDEX(AE63:$AJ73,MATCH(MIN($AK63:$AK73),$AK63:$AK73,0),1)/INDEX($C63:$AJ73,MATCH(MIN($AK63:$AK73),$AK63:$AK73,0),MATCH(IF('Data-solution'!$A$3="Maximize",MAX($C74:$AI74),MIN($C74:$AI74)),$C74:$AI74,0))),AE68)</f>
        <v>0</v>
      </c>
      <c r="AF83" s="1">
        <f>IF(OR($B78&lt;&gt;$B63,$B79&lt;&gt;$B64,$B80&lt;&gt;$B65,$B81&lt;&gt;$B66,$B82&lt;&gt;$B67,$B83&lt;&gt;$B68,$B84&lt;&gt;$B69,$B85&lt;&gt;$B70,$B86&lt;&gt;$B71,$B87&lt;&gt;$B72,$B88&lt;&gt;$B73),IF($B83&lt;&gt;$B68,AF68/INDEX($C63:$AJ73,6,MATCH(IF('Data-solution'!$A$3="Maximize",MAX($C74:$AI74),MIN($C74:$AI74)),$C74:$AI74,0)),AF68-INDEX($C63:$AJ73,6,MATCH(IF('Data-solution'!$A$3="Maximize",MAX($C74:$AI74),MIN($C74:$AI74)),$C74:$AI74,0))*INDEX(AF63:$AJ73,MATCH(MIN($AK63:$AK73),$AK63:$AK73,0),1)/INDEX($C63:$AJ73,MATCH(MIN($AK63:$AK73),$AK63:$AK73,0),MATCH(IF('Data-solution'!$A$3="Maximize",MAX($C74:$AI74),MIN($C74:$AI74)),$C74:$AI74,0))),AF68)</f>
        <v>0</v>
      </c>
      <c r="AG83" s="1">
        <f>IF(OR($B78&lt;&gt;$B63,$B79&lt;&gt;$B64,$B80&lt;&gt;$B65,$B81&lt;&gt;$B66,$B82&lt;&gt;$B67,$B83&lt;&gt;$B68,$B84&lt;&gt;$B69,$B85&lt;&gt;$B70,$B86&lt;&gt;$B71,$B87&lt;&gt;$B72,$B88&lt;&gt;$B73),IF($B83&lt;&gt;$B68,AG68/INDEX($C63:$AJ73,6,MATCH(IF('Data-solution'!$A$3="Maximize",MAX($C74:$AI74),MIN($C74:$AI74)),$C74:$AI74,0)),AG68-INDEX($C63:$AJ73,6,MATCH(IF('Data-solution'!$A$3="Maximize",MAX($C74:$AI74),MIN($C74:$AI74)),$C74:$AI74,0))*INDEX(AG63:$AJ73,MATCH(MIN($AK63:$AK73),$AK63:$AK73,0),1)/INDEX($C63:$AJ73,MATCH(MIN($AK63:$AK73),$AK63:$AK73,0),MATCH(IF('Data-solution'!$A$3="Maximize",MAX($C74:$AI74),MIN($C74:$AI74)),$C74:$AI74,0))),AG68)</f>
        <v>0</v>
      </c>
      <c r="AH83" s="1">
        <f>IF(OR($B78&lt;&gt;$B63,$B79&lt;&gt;$B64,$B80&lt;&gt;$B65,$B81&lt;&gt;$B66,$B82&lt;&gt;$B67,$B83&lt;&gt;$B68,$B84&lt;&gt;$B69,$B85&lt;&gt;$B70,$B86&lt;&gt;$B71,$B87&lt;&gt;$B72,$B88&lt;&gt;$B73),IF($B83&lt;&gt;$B68,AH68/INDEX($C63:$AJ73,6,MATCH(IF('Data-solution'!$A$3="Maximize",MAX($C74:$AI74),MIN($C74:$AI74)),$C74:$AI74,0)),AH68-INDEX($C63:$AJ73,6,MATCH(IF('Data-solution'!$A$3="Maximize",MAX($C74:$AI74),MIN($C74:$AI74)),$C74:$AI74,0))*INDEX(AH63:$AJ73,MATCH(MIN($AK63:$AK73),$AK63:$AK73,0),1)/INDEX($C63:$AJ73,MATCH(MIN($AK63:$AK73),$AK63:$AK73,0),MATCH(IF('Data-solution'!$A$3="Maximize",MAX($C74:$AI74),MIN($C74:$AI74)),$C74:$AI74,0))),AH68)</f>
        <v>0</v>
      </c>
      <c r="AI83" s="1">
        <f>IF(OR($B78&lt;&gt;$B63,$B79&lt;&gt;$B64,$B80&lt;&gt;$B65,$B81&lt;&gt;$B66,$B82&lt;&gt;$B67,$B83&lt;&gt;$B68,$B84&lt;&gt;$B69,$B85&lt;&gt;$B70,$B86&lt;&gt;$B71,$B87&lt;&gt;$B72,$B88&lt;&gt;$B73),IF($B83&lt;&gt;$B68,AI68/INDEX($C63:$AJ73,6,MATCH(IF('Data-solution'!$A$3="Maximize",MAX($C74:$AI74),MIN($C74:$AI74)),$C74:$AI74,0)),AI68-INDEX($C63:$AJ73,6,MATCH(IF('Data-solution'!$A$3="Maximize",MAX($C74:$AI74),MIN($C74:$AI74)),$C74:$AI74,0))*INDEX(AI63:$AJ73,MATCH(MIN($AK63:$AK73),$AK63:$AK73,0),1)/INDEX($C63:$AJ73,MATCH(MIN($AK63:$AK73),$AK63:$AK73,0),MATCH(IF('Data-solution'!$A$3="Maximize",MAX($C74:$AI74),MIN($C74:$AI74)),$C74:$AI74,0))),AI68)</f>
        <v>0</v>
      </c>
      <c r="AJ83" s="1">
        <f>IF(OR($B78&lt;&gt;$B63,$B79&lt;&gt;$B64,$B80&lt;&gt;$B65,$B81&lt;&gt;$B66,$B82&lt;&gt;$B67,$B83&lt;&gt;$B68,$B84&lt;&gt;$B69,$B85&lt;&gt;$B70,$B86&lt;&gt;$B71,$B87&lt;&gt;$B72,$B88&lt;&gt;$B73),IF($B83&lt;&gt;$B68,AJ68/INDEX($C63:$AJ73,6,MATCH(IF('Data-solution'!$A$3="Maximize",MAX($C74:$AI74),MIN($C74:$AI74)),$C74:$AI74,0)),AJ68-INDEX($C63:$AJ73,6,MATCH(IF('Data-solution'!$A$3="Maximize",MAX($C74:$AI74),MIN($C74:$AI74)),$C74:$AI74,0))*INDEX(AJ63:$AJ73,MATCH(MIN($AK63:$AK73),$AK63:$AK73,0),1)/INDEX($C63:$AJ73,MATCH(MIN($AK63:$AK73),$AK63:$AK73,0),MATCH(IF('Data-solution'!$A$3="Maximize",MAX($C74:$AI74),MIN($C74:$AI74)),$C74:$AI74,0))),AJ68)</f>
        <v>0</v>
      </c>
      <c r="AK83" s="1" t="str">
        <f>IF(INDEX(C83:X83,1,MATCH(IF('Data-solution'!A$3="Maximize",MAX(C89:X89),MIN(C89:X89)),C89:X89,0))&gt;0,AJ83/INDEX(C83:X83,1,MATCH(IF('Data-solution'!A$3="Maximize",MAX(C89:X89),MIN(C89:X89)),C89:X89,0))," ")</f>
        <v xml:space="preserve"> </v>
      </c>
    </row>
    <row r="84" spans="1:37" ht="18" customHeight="1" x14ac:dyDescent="0.2">
      <c r="A84" s="1">
        <f t="shared" ref="A84" si="56">INDEX(C76:AI76,1,MATCH(B84,C77:AI77,0))</f>
        <v>0</v>
      </c>
      <c r="B84" s="2" t="str">
        <f>IF(AND('Data-solution'!A$3="Maximize",COUNTIF(C74:X74,"&gt;"&amp;0)&gt;0,AK69=MIN(AK63:AK73),COUNTIF(B78:B83,INDEX(C62:X62,1,MATCH(MAX(C74:X74),C74:X74,0)))=0),INDEX(C62:X62,1,MATCH(MAX(C74:X74),C74:X74,0)),IF(AND('Data-solution'!A$3="Minimize",COUNTIF(C74:X74,"&lt;"&amp;0)&gt;0,AK69=MIN(AK63:AK73),COUNTIF(B78:B83,INDEX(C62:X62,1,MATCH(MIN(C74:X74),C74:X74,0)))=0),INDEX(C62:X62,1,MATCH(MIN(C74:X74),C74:X74,0)),B69))</f>
        <v>S7</v>
      </c>
      <c r="C84" s="1">
        <f>IF(OR($B78&lt;&gt;$B63,$B79&lt;&gt;$B64,$B80&lt;&gt;$B65,$B81&lt;&gt;$B66,$B82&lt;&gt;$B67,$B83&lt;&gt;$B68,$B84&lt;&gt;$B69,$B85&lt;&gt;$B70,$B86&lt;&gt;$B71,$B87&lt;&gt;$B72,$B88&lt;&gt;$B73),IF($B84&lt;&gt;$B69,C69/INDEX($C63:$AJ73,7,MATCH(IF('Data-solution'!$A$3="Maximize",MAX($C74:$AI74),MIN($C74:$AI74)),$C74:$AI74,0)),C69-INDEX($C63:$AJ73,7,MATCH(IF('Data-solution'!$A$3="Maximize",MAX($C74:$AI74),MIN($C74:$AI74)),$C74:$AI74,0))*INDEX(C63:$AJ73,MATCH(MIN($AK63:$AK73),$AK63:$AK73,0),1)/INDEX($C63:$AJ73,MATCH(MIN($AK63:$AK73),$AK63:$AK73,0),MATCH(IF('Data-solution'!$A$3="Maximize",MAX($C74:$AI74),MIN($C74:$AI74)),$C74:$AI74,0))),C69)</f>
        <v>0</v>
      </c>
      <c r="D84" s="1">
        <f>IF(OR($B78&lt;&gt;$B63,$B79&lt;&gt;$B64,$B80&lt;&gt;$B65,$B81&lt;&gt;$B66,$B82&lt;&gt;$B67,$B83&lt;&gt;$B68,$B84&lt;&gt;$B69,$B85&lt;&gt;$B70,$B86&lt;&gt;$B71,$B87&lt;&gt;$B72,$B88&lt;&gt;$B73),IF($B84&lt;&gt;$B69,D69/INDEX($C63:$AJ73,7,MATCH(IF('Data-solution'!$A$3="Maximize",MAX($C74:$AI74),MIN($C74:$AI74)),$C74:$AI74,0)),D69-INDEX($C63:$AJ73,7,MATCH(IF('Data-solution'!$A$3="Maximize",MAX($C74:$AI74),MIN($C74:$AI74)),$C74:$AI74,0))*INDEX(D63:$AJ73,MATCH(MIN($AK63:$AK73),$AK63:$AK73,0),1)/INDEX($C63:$AJ73,MATCH(MIN($AK63:$AK73),$AK63:$AK73,0),MATCH(IF('Data-solution'!$A$3="Maximize",MAX($C74:$AI74),MIN($C74:$AI74)),$C74:$AI74,0))),D69)</f>
        <v>0</v>
      </c>
      <c r="E84" s="1">
        <f>IF(OR($B78&lt;&gt;$B63,$B79&lt;&gt;$B64,$B80&lt;&gt;$B65,$B81&lt;&gt;$B66,$B82&lt;&gt;$B67,$B83&lt;&gt;$B68,$B84&lt;&gt;$B69,$B85&lt;&gt;$B70,$B86&lt;&gt;$B71,$B87&lt;&gt;$B72,$B88&lt;&gt;$B73),IF($B84&lt;&gt;$B69,E69/INDEX($C63:$AJ73,7,MATCH(IF('Data-solution'!$A$3="Maximize",MAX($C74:$AI74),MIN($C74:$AI74)),$C74:$AI74,0)),E69-INDEX($C63:$AJ73,7,MATCH(IF('Data-solution'!$A$3="Maximize",MAX($C74:$AI74),MIN($C74:$AI74)),$C74:$AI74,0))*INDEX(E63:$AJ73,MATCH(MIN($AK63:$AK73),$AK63:$AK73,0),1)/INDEX($C63:$AJ73,MATCH(MIN($AK63:$AK73),$AK63:$AK73,0),MATCH(IF('Data-solution'!$A$3="Maximize",MAX($C74:$AI74),MIN($C74:$AI74)),$C74:$AI74,0))),E69)</f>
        <v>0</v>
      </c>
      <c r="F84" s="1">
        <f>IF(OR($B78&lt;&gt;$B63,$B79&lt;&gt;$B64,$B80&lt;&gt;$B65,$B81&lt;&gt;$B66,$B82&lt;&gt;$B67,$B83&lt;&gt;$B68,$B84&lt;&gt;$B69,$B85&lt;&gt;$B70,$B86&lt;&gt;$B71,$B87&lt;&gt;$B72,$B88&lt;&gt;$B73),IF($B84&lt;&gt;$B69,F69/INDEX($C63:$AJ73,7,MATCH(IF('Data-solution'!$A$3="Maximize",MAX($C74:$AI74),MIN($C74:$AI74)),$C74:$AI74,0)),F69-INDEX($C63:$AJ73,7,MATCH(IF('Data-solution'!$A$3="Maximize",MAX($C74:$AI74),MIN($C74:$AI74)),$C74:$AI74,0))*INDEX(F63:$AJ73,MATCH(MIN($AK63:$AK73),$AK63:$AK73,0),1)/INDEX($C63:$AJ73,MATCH(MIN($AK63:$AK73),$AK63:$AK73,0),MATCH(IF('Data-solution'!$A$3="Maximize",MAX($C74:$AI74),MIN($C74:$AI74)),$C74:$AI74,0))),F69)</f>
        <v>0</v>
      </c>
      <c r="G84" s="1">
        <f>IF(OR($B78&lt;&gt;$B63,$B79&lt;&gt;$B64,$B80&lt;&gt;$B65,$B81&lt;&gt;$B66,$B82&lt;&gt;$B67,$B83&lt;&gt;$B68,$B84&lt;&gt;$B69,$B85&lt;&gt;$B70,$B86&lt;&gt;$B71,$B87&lt;&gt;$B72,$B88&lt;&gt;$B73),IF($B84&lt;&gt;$B69,G69/INDEX($C63:$AJ73,7,MATCH(IF('Data-solution'!$A$3="Maximize",MAX($C74:$AI74),MIN($C74:$AI74)),$C74:$AI74,0)),G69-INDEX($C63:$AJ73,7,MATCH(IF('Data-solution'!$A$3="Maximize",MAX($C74:$AI74),MIN($C74:$AI74)),$C74:$AI74,0))*INDEX(G63:$AJ73,MATCH(MIN($AK63:$AK73),$AK63:$AK73,0),1)/INDEX($C63:$AJ73,MATCH(MIN($AK63:$AK73),$AK63:$AK73,0),MATCH(IF('Data-solution'!$A$3="Maximize",MAX($C74:$AI74),MIN($C74:$AI74)),$C74:$AI74,0))),G69)</f>
        <v>0</v>
      </c>
      <c r="H84" s="1">
        <f>IF(OR($B78&lt;&gt;$B63,$B79&lt;&gt;$B64,$B80&lt;&gt;$B65,$B81&lt;&gt;$B66,$B82&lt;&gt;$B67,$B83&lt;&gt;$B68,$B84&lt;&gt;$B69,$B85&lt;&gt;$B70,$B86&lt;&gt;$B71,$B87&lt;&gt;$B72,$B88&lt;&gt;$B73),IF($B84&lt;&gt;$B69,H69/INDEX($C63:$AJ73,7,MATCH(IF('Data-solution'!$A$3="Maximize",MAX($C74:$AI74),MIN($C74:$AI74)),$C74:$AI74,0)),H69-INDEX($C63:$AJ73,7,MATCH(IF('Data-solution'!$A$3="Maximize",MAX($C74:$AI74),MIN($C74:$AI74)),$C74:$AI74,0))*INDEX(H63:$AJ73,MATCH(MIN($AK63:$AK73),$AK63:$AK73,0),1)/INDEX($C63:$AJ73,MATCH(MIN($AK63:$AK73),$AK63:$AK73,0),MATCH(IF('Data-solution'!$A$3="Maximize",MAX($C74:$AI74),MIN($C74:$AI74)),$C74:$AI74,0))),H69)</f>
        <v>0</v>
      </c>
      <c r="I84" s="1">
        <f>IF(OR($B78&lt;&gt;$B63,$B79&lt;&gt;$B64,$B80&lt;&gt;$B65,$B81&lt;&gt;$B66,$B82&lt;&gt;$B67,$B83&lt;&gt;$B68,$B84&lt;&gt;$B69,$B85&lt;&gt;$B70,$B86&lt;&gt;$B71,$B87&lt;&gt;$B72,$B88&lt;&gt;$B73),IF($B84&lt;&gt;$B69,I69/INDEX($C63:$AJ73,7,MATCH(IF('Data-solution'!$A$3="Maximize",MAX($C74:$AI74),MIN($C74:$AI74)),$C74:$AI74,0)),I69-INDEX($C63:$AJ73,7,MATCH(IF('Data-solution'!$A$3="Maximize",MAX($C74:$AI74),MIN($C74:$AI74)),$C74:$AI74,0))*INDEX(I63:$AJ73,MATCH(MIN($AK63:$AK73),$AK63:$AK73,0),1)/INDEX($C63:$AJ73,MATCH(MIN($AK63:$AK73),$AK63:$AK73,0),MATCH(IF('Data-solution'!$A$3="Maximize",MAX($C74:$AI74),MIN($C74:$AI74)),$C74:$AI74,0))),I69)</f>
        <v>0</v>
      </c>
      <c r="J84" s="1">
        <f>IF(OR($B78&lt;&gt;$B63,$B79&lt;&gt;$B64,$B80&lt;&gt;$B65,$B81&lt;&gt;$B66,$B82&lt;&gt;$B67,$B83&lt;&gt;$B68,$B84&lt;&gt;$B69,$B85&lt;&gt;$B70,$B86&lt;&gt;$B71,$B87&lt;&gt;$B72,$B88&lt;&gt;$B73),IF($B84&lt;&gt;$B69,J69/INDEX($C63:$AJ73,7,MATCH(IF('Data-solution'!$A$3="Maximize",MAX($C74:$AI74),MIN($C74:$AI74)),$C74:$AI74,0)),J69-INDEX($C63:$AJ73,7,MATCH(IF('Data-solution'!$A$3="Maximize",MAX($C74:$AI74),MIN($C74:$AI74)),$C74:$AI74,0))*INDEX(J63:$AJ73,MATCH(MIN($AK63:$AK73),$AK63:$AK73,0),1)/INDEX($C63:$AJ73,MATCH(MIN($AK63:$AK73),$AK63:$AK73,0),MATCH(IF('Data-solution'!$A$3="Maximize",MAX($C74:$AI74),MIN($C74:$AI74)),$C74:$AI74,0))),J69)</f>
        <v>0</v>
      </c>
      <c r="K84" s="1">
        <f>IF(OR($B78&lt;&gt;$B63,$B79&lt;&gt;$B64,$B80&lt;&gt;$B65,$B81&lt;&gt;$B66,$B82&lt;&gt;$B67,$B83&lt;&gt;$B68,$B84&lt;&gt;$B69,$B85&lt;&gt;$B70,$B86&lt;&gt;$B71,$B87&lt;&gt;$B72,$B88&lt;&gt;$B73),IF($B84&lt;&gt;$B69,K69/INDEX($C63:$AJ73,7,MATCH(IF('Data-solution'!$A$3="Maximize",MAX($C74:$AI74),MIN($C74:$AI74)),$C74:$AI74,0)),K69-INDEX($C63:$AJ73,7,MATCH(IF('Data-solution'!$A$3="Maximize",MAX($C74:$AI74),MIN($C74:$AI74)),$C74:$AI74,0))*INDEX(K63:$AJ73,MATCH(MIN($AK63:$AK73),$AK63:$AK73,0),1)/INDEX($C63:$AJ73,MATCH(MIN($AK63:$AK73),$AK63:$AK73,0),MATCH(IF('Data-solution'!$A$3="Maximize",MAX($C74:$AI74),MIN($C74:$AI74)),$C74:$AI74,0))),K69)</f>
        <v>0</v>
      </c>
      <c r="L84" s="1">
        <f>IF(OR($B78&lt;&gt;$B63,$B79&lt;&gt;$B64,$B80&lt;&gt;$B65,$B81&lt;&gt;$B66,$B82&lt;&gt;$B67,$B83&lt;&gt;$B68,$B84&lt;&gt;$B69,$B85&lt;&gt;$B70,$B86&lt;&gt;$B71,$B87&lt;&gt;$B72,$B88&lt;&gt;$B73),IF($B84&lt;&gt;$B69,L69/INDEX($C63:$AJ73,7,MATCH(IF('Data-solution'!$A$3="Maximize",MAX($C74:$AI74),MIN($C74:$AI74)),$C74:$AI74,0)),L69-INDEX($C63:$AJ73,7,MATCH(IF('Data-solution'!$A$3="Maximize",MAX($C74:$AI74),MIN($C74:$AI74)),$C74:$AI74,0))*INDEX(L63:$AJ73,MATCH(MIN($AK63:$AK73),$AK63:$AK73,0),1)/INDEX($C63:$AJ73,MATCH(MIN($AK63:$AK73),$AK63:$AK73,0),MATCH(IF('Data-solution'!$A$3="Maximize",MAX($C74:$AI74),MIN($C74:$AI74)),$C74:$AI74,0))),L69)</f>
        <v>0</v>
      </c>
      <c r="M84" s="1">
        <f>IF(OR($B78&lt;&gt;$B63,$B79&lt;&gt;$B64,$B80&lt;&gt;$B65,$B81&lt;&gt;$B66,$B82&lt;&gt;$B67,$B83&lt;&gt;$B68,$B84&lt;&gt;$B69,$B85&lt;&gt;$B70,$B86&lt;&gt;$B71,$B87&lt;&gt;$B72,$B88&lt;&gt;$B73),IF($B84&lt;&gt;$B69,M69/INDEX($C63:$AJ73,7,MATCH(IF('Data-solution'!$A$3="Maximize",MAX($C74:$AI74),MIN($C74:$AI74)),$C74:$AI74,0)),M69-INDEX($C63:$AJ73,7,MATCH(IF('Data-solution'!$A$3="Maximize",MAX($C74:$AI74),MIN($C74:$AI74)),$C74:$AI74,0))*INDEX(M63:$AJ73,MATCH(MIN($AK63:$AK73),$AK63:$AK73,0),1)/INDEX($C63:$AJ73,MATCH(MIN($AK63:$AK73),$AK63:$AK73,0),MATCH(IF('Data-solution'!$A$3="Maximize",MAX($C74:$AI74),MIN($C74:$AI74)),$C74:$AI74,0))),M69)</f>
        <v>0</v>
      </c>
      <c r="N84" s="1">
        <f>IF(OR($B78&lt;&gt;$B63,$B79&lt;&gt;$B64,$B80&lt;&gt;$B65,$B81&lt;&gt;$B66,$B82&lt;&gt;$B67,$B83&lt;&gt;$B68,$B84&lt;&gt;$B69,$B85&lt;&gt;$B70,$B86&lt;&gt;$B71,$B87&lt;&gt;$B72,$B88&lt;&gt;$B73),IF($B84&lt;&gt;$B69,N69/INDEX($C63:$AJ73,7,MATCH(IF('Data-solution'!$A$3="Maximize",MAX($C74:$AI74),MIN($C74:$AI74)),$C74:$AI74,0)),N69-INDEX($C63:$AJ73,7,MATCH(IF('Data-solution'!$A$3="Maximize",MAX($C74:$AI74),MIN($C74:$AI74)),$C74:$AI74,0))*INDEX(N63:$AJ73,MATCH(MIN($AK63:$AK73),$AK63:$AK73,0),1)/INDEX($C63:$AJ73,MATCH(MIN($AK63:$AK73),$AK63:$AK73,0),MATCH(IF('Data-solution'!$A$3="Maximize",MAX($C74:$AI74),MIN($C74:$AI74)),$C74:$AI74,0))),N69)</f>
        <v>0</v>
      </c>
      <c r="O84" s="1">
        <f>IF(OR($B78&lt;&gt;$B63,$B79&lt;&gt;$B64,$B80&lt;&gt;$B65,$B81&lt;&gt;$B66,$B82&lt;&gt;$B67,$B83&lt;&gt;$B68,$B84&lt;&gt;$B69,$B85&lt;&gt;$B70,$B86&lt;&gt;$B71,$B87&lt;&gt;$B72,$B88&lt;&gt;$B73),IF($B84&lt;&gt;$B69,O69/INDEX($C63:$AJ73,7,MATCH(IF('Data-solution'!$A$3="Maximize",MAX($C74:$AI74),MIN($C74:$AI74)),$C74:$AI74,0)),O69-INDEX($C63:$AJ73,7,MATCH(IF('Data-solution'!$A$3="Maximize",MAX($C74:$AI74),MIN($C74:$AI74)),$C74:$AI74,0))*INDEX(O63:$AJ73,MATCH(MIN($AK63:$AK73),$AK63:$AK73,0),1)/INDEX($C63:$AJ73,MATCH(MIN($AK63:$AK73),$AK63:$AK73,0),MATCH(IF('Data-solution'!$A$3="Maximize",MAX($C74:$AI74),MIN($C74:$AI74)),$C74:$AI74,0))),O69)</f>
        <v>0</v>
      </c>
      <c r="P84" s="1">
        <f>IF(OR($B78&lt;&gt;$B63,$B79&lt;&gt;$B64,$B80&lt;&gt;$B65,$B81&lt;&gt;$B66,$B82&lt;&gt;$B67,$B83&lt;&gt;$B68,$B84&lt;&gt;$B69,$B85&lt;&gt;$B70,$B86&lt;&gt;$B71,$B87&lt;&gt;$B72,$B88&lt;&gt;$B73),IF($B84&lt;&gt;$B69,P69/INDEX($C63:$AJ73,7,MATCH(IF('Data-solution'!$A$3="Maximize",MAX($C74:$AI74),MIN($C74:$AI74)),$C74:$AI74,0)),P69-INDEX($C63:$AJ73,7,MATCH(IF('Data-solution'!$A$3="Maximize",MAX($C74:$AI74),MIN($C74:$AI74)),$C74:$AI74,0))*INDEX(P63:$AJ73,MATCH(MIN($AK63:$AK73),$AK63:$AK73,0),1)/INDEX($C63:$AJ73,MATCH(MIN($AK63:$AK73),$AK63:$AK73,0),MATCH(IF('Data-solution'!$A$3="Maximize",MAX($C74:$AI74),MIN($C74:$AI74)),$C74:$AI74,0))),P69)</f>
        <v>0</v>
      </c>
      <c r="Q84" s="1">
        <f>IF(OR($B78&lt;&gt;$B63,$B79&lt;&gt;$B64,$B80&lt;&gt;$B65,$B81&lt;&gt;$B66,$B82&lt;&gt;$B67,$B83&lt;&gt;$B68,$B84&lt;&gt;$B69,$B85&lt;&gt;$B70,$B86&lt;&gt;$B71,$B87&lt;&gt;$B72,$B88&lt;&gt;$B73),IF($B84&lt;&gt;$B69,Q69/INDEX($C63:$AJ73,7,MATCH(IF('Data-solution'!$A$3="Maximize",MAX($C74:$AI74),MIN($C74:$AI74)),$C74:$AI74,0)),Q69-INDEX($C63:$AJ73,7,MATCH(IF('Data-solution'!$A$3="Maximize",MAX($C74:$AI74),MIN($C74:$AI74)),$C74:$AI74,0))*INDEX(Q63:$AJ73,MATCH(MIN($AK63:$AK73),$AK63:$AK73,0),1)/INDEX($C63:$AJ73,MATCH(MIN($AK63:$AK73),$AK63:$AK73,0),MATCH(IF('Data-solution'!$A$3="Maximize",MAX($C74:$AI74),MIN($C74:$AI74)),$C74:$AI74,0))),Q69)</f>
        <v>0</v>
      </c>
      <c r="R84" s="1">
        <f>IF(OR($B78&lt;&gt;$B63,$B79&lt;&gt;$B64,$B80&lt;&gt;$B65,$B81&lt;&gt;$B66,$B82&lt;&gt;$B67,$B83&lt;&gt;$B68,$B84&lt;&gt;$B69,$B85&lt;&gt;$B70,$B86&lt;&gt;$B71,$B87&lt;&gt;$B72,$B88&lt;&gt;$B73),IF($B84&lt;&gt;$B69,R69/INDEX($C63:$AJ73,7,MATCH(IF('Data-solution'!$A$3="Maximize",MAX($C74:$AI74),MIN($C74:$AI74)),$C74:$AI74,0)),R69-INDEX($C63:$AJ73,7,MATCH(IF('Data-solution'!$A$3="Maximize",MAX($C74:$AI74),MIN($C74:$AI74)),$C74:$AI74,0))*INDEX(R63:$AJ73,MATCH(MIN($AK63:$AK73),$AK63:$AK73,0),1)/INDEX($C63:$AJ73,MATCH(MIN($AK63:$AK73),$AK63:$AK73,0),MATCH(IF('Data-solution'!$A$3="Maximize",MAX($C74:$AI74),MIN($C74:$AI74)),$C74:$AI74,0))),R69)</f>
        <v>0</v>
      </c>
      <c r="S84" s="1">
        <f>IF(OR($B78&lt;&gt;$B63,$B79&lt;&gt;$B64,$B80&lt;&gt;$B65,$B81&lt;&gt;$B66,$B82&lt;&gt;$B67,$B83&lt;&gt;$B68,$B84&lt;&gt;$B69,$B85&lt;&gt;$B70,$B86&lt;&gt;$B71,$B87&lt;&gt;$B72,$B88&lt;&gt;$B73),IF($B84&lt;&gt;$B69,S69/INDEX($C63:$AJ73,7,MATCH(IF('Data-solution'!$A$3="Maximize",MAX($C74:$AI74),MIN($C74:$AI74)),$C74:$AI74,0)),S69-INDEX($C63:$AJ73,7,MATCH(IF('Data-solution'!$A$3="Maximize",MAX($C74:$AI74),MIN($C74:$AI74)),$C74:$AI74,0))*INDEX(S63:$AJ73,MATCH(MIN($AK63:$AK73),$AK63:$AK73,0),1)/INDEX($C63:$AJ73,MATCH(MIN($AK63:$AK73),$AK63:$AK73,0),MATCH(IF('Data-solution'!$A$3="Maximize",MAX($C74:$AI74),MIN($C74:$AI74)),$C74:$AI74,0))),S69)</f>
        <v>0</v>
      </c>
      <c r="T84" s="1">
        <f>IF(OR($B78&lt;&gt;$B63,$B79&lt;&gt;$B64,$B80&lt;&gt;$B65,$B81&lt;&gt;$B66,$B82&lt;&gt;$B67,$B83&lt;&gt;$B68,$B84&lt;&gt;$B69,$B85&lt;&gt;$B70,$B86&lt;&gt;$B71,$B87&lt;&gt;$B72,$B88&lt;&gt;$B73),IF($B84&lt;&gt;$B69,T69/INDEX($C63:$AJ73,7,MATCH(IF('Data-solution'!$A$3="Maximize",MAX($C74:$AI74),MIN($C74:$AI74)),$C74:$AI74,0)),T69-INDEX($C63:$AJ73,7,MATCH(IF('Data-solution'!$A$3="Maximize",MAX($C74:$AI74),MIN($C74:$AI74)),$C74:$AI74,0))*INDEX(T63:$AJ73,MATCH(MIN($AK63:$AK73),$AK63:$AK73,0),1)/INDEX($C63:$AJ73,MATCH(MIN($AK63:$AK73),$AK63:$AK73,0),MATCH(IF('Data-solution'!$A$3="Maximize",MAX($C74:$AI74),MIN($C74:$AI74)),$C74:$AI74,0))),T69)</f>
        <v>1</v>
      </c>
      <c r="U84" s="1">
        <f>IF(OR($B78&lt;&gt;$B63,$B79&lt;&gt;$B64,$B80&lt;&gt;$B65,$B81&lt;&gt;$B66,$B82&lt;&gt;$B67,$B83&lt;&gt;$B68,$B84&lt;&gt;$B69,$B85&lt;&gt;$B70,$B86&lt;&gt;$B71,$B87&lt;&gt;$B72,$B88&lt;&gt;$B73),IF($B84&lt;&gt;$B69,U69/INDEX($C63:$AJ73,7,MATCH(IF('Data-solution'!$A$3="Maximize",MAX($C74:$AI74),MIN($C74:$AI74)),$C74:$AI74,0)),U69-INDEX($C63:$AJ73,7,MATCH(IF('Data-solution'!$A$3="Maximize",MAX($C74:$AI74),MIN($C74:$AI74)),$C74:$AI74,0))*INDEX(U63:$AJ73,MATCH(MIN($AK63:$AK73),$AK63:$AK73,0),1)/INDEX($C63:$AJ73,MATCH(MIN($AK63:$AK73),$AK63:$AK73,0),MATCH(IF('Data-solution'!$A$3="Maximize",MAX($C74:$AI74),MIN($C74:$AI74)),$C74:$AI74,0))),U69)</f>
        <v>0</v>
      </c>
      <c r="V84" s="1">
        <f>IF(OR($B78&lt;&gt;$B63,$B79&lt;&gt;$B64,$B80&lt;&gt;$B65,$B81&lt;&gt;$B66,$B82&lt;&gt;$B67,$B83&lt;&gt;$B68,$B84&lt;&gt;$B69,$B85&lt;&gt;$B70,$B86&lt;&gt;$B71,$B87&lt;&gt;$B72,$B88&lt;&gt;$B73),IF($B84&lt;&gt;$B69,V69/INDEX($C63:$AJ73,7,MATCH(IF('Data-solution'!$A$3="Maximize",MAX($C74:$AI74),MIN($C74:$AI74)),$C74:$AI74,0)),V69-INDEX($C63:$AJ73,7,MATCH(IF('Data-solution'!$A$3="Maximize",MAX($C74:$AI74),MIN($C74:$AI74)),$C74:$AI74,0))*INDEX(V63:$AJ73,MATCH(MIN($AK63:$AK73),$AK63:$AK73,0),1)/INDEX($C63:$AJ73,MATCH(MIN($AK63:$AK73),$AK63:$AK73,0),MATCH(IF('Data-solution'!$A$3="Maximize",MAX($C74:$AI74),MIN($C74:$AI74)),$C74:$AI74,0))),V69)</f>
        <v>0</v>
      </c>
      <c r="W84" s="1">
        <f>IF(OR($B78&lt;&gt;$B63,$B79&lt;&gt;$B64,$B80&lt;&gt;$B65,$B81&lt;&gt;$B66,$B82&lt;&gt;$B67,$B83&lt;&gt;$B68,$B84&lt;&gt;$B69,$B85&lt;&gt;$B70,$B86&lt;&gt;$B71,$B87&lt;&gt;$B72,$B88&lt;&gt;$B73),IF($B84&lt;&gt;$B69,W69/INDEX($C63:$AJ73,7,MATCH(IF('Data-solution'!$A$3="Maximize",MAX($C74:$AI74),MIN($C74:$AI74)),$C74:$AI74,0)),W69-INDEX($C63:$AJ73,7,MATCH(IF('Data-solution'!$A$3="Maximize",MAX($C74:$AI74),MIN($C74:$AI74)),$C74:$AI74,0))*INDEX(W63:$AJ73,MATCH(MIN($AK63:$AK73),$AK63:$AK73,0),1)/INDEX($C63:$AJ73,MATCH(MIN($AK63:$AK73),$AK63:$AK73,0),MATCH(IF('Data-solution'!$A$3="Maximize",MAX($C74:$AI74),MIN($C74:$AI74)),$C74:$AI74,0))),W69)</f>
        <v>0</v>
      </c>
      <c r="X84" s="1">
        <f>IF(OR($B78&lt;&gt;$B63,$B79&lt;&gt;$B64,$B80&lt;&gt;$B65,$B81&lt;&gt;$B66,$B82&lt;&gt;$B67,$B83&lt;&gt;$B68,$B84&lt;&gt;$B69,$B85&lt;&gt;$B70,$B86&lt;&gt;$B71,$B87&lt;&gt;$B72,$B88&lt;&gt;$B73),IF($B84&lt;&gt;$B69,X69/INDEX($C63:$AJ73,7,MATCH(IF('Data-solution'!$A$3="Maximize",MAX($C74:$AI74),MIN($C74:$AI74)),$C74:$AI74,0)),X69-INDEX($C63:$AJ73,7,MATCH(IF('Data-solution'!$A$3="Maximize",MAX($C74:$AI74),MIN($C74:$AI74)),$C74:$AI74,0))*INDEX(X63:$AJ73,MATCH(MIN($AK63:$AK73),$AK63:$AK73,0),1)/INDEX($C63:$AJ73,MATCH(MIN($AK63:$AK73),$AK63:$AK73,0),MATCH(IF('Data-solution'!$A$3="Maximize",MAX($C74:$AI74),MIN($C74:$AI74)),$C74:$AI74,0))),X69)</f>
        <v>0</v>
      </c>
      <c r="Y84" s="1">
        <f>IF(OR($B78&lt;&gt;$B63,$B79&lt;&gt;$B64,$B80&lt;&gt;$B65,$B81&lt;&gt;$B66,$B82&lt;&gt;$B67,$B83&lt;&gt;$B68,$B84&lt;&gt;$B69,$B85&lt;&gt;$B70,$B86&lt;&gt;$B71,$B87&lt;&gt;$B72,$B88&lt;&gt;$B73),IF($B84&lt;&gt;$B69,Y69/INDEX($C63:$AJ73,7,MATCH(IF('Data-solution'!$A$3="Maximize",MAX($C74:$AI74),MIN($C74:$AI74)),$C74:$AI74,0)),Y69-INDEX($C63:$AJ73,7,MATCH(IF('Data-solution'!$A$3="Maximize",MAX($C74:$AI74),MIN($C74:$AI74)),$C74:$AI74,0))*INDEX(Y63:$AJ73,MATCH(MIN($AK63:$AK73),$AK63:$AK73,0),1)/INDEX($C63:$AJ73,MATCH(MIN($AK63:$AK73),$AK63:$AK73,0),MATCH(IF('Data-solution'!$A$3="Maximize",MAX($C74:$AI74),MIN($C74:$AI74)),$C74:$AI74,0))),Y69)</f>
        <v>0</v>
      </c>
      <c r="Z84" s="1">
        <f>IF(OR($B78&lt;&gt;$B63,$B79&lt;&gt;$B64,$B80&lt;&gt;$B65,$B81&lt;&gt;$B66,$B82&lt;&gt;$B67,$B83&lt;&gt;$B68,$B84&lt;&gt;$B69,$B85&lt;&gt;$B70,$B86&lt;&gt;$B71,$B87&lt;&gt;$B72,$B88&lt;&gt;$B73),IF($B84&lt;&gt;$B69,Z69/INDEX($C63:$AJ73,7,MATCH(IF('Data-solution'!$A$3="Maximize",MAX($C74:$AI74),MIN($C74:$AI74)),$C74:$AI74,0)),Z69-INDEX($C63:$AJ73,7,MATCH(IF('Data-solution'!$A$3="Maximize",MAX($C74:$AI74),MIN($C74:$AI74)),$C74:$AI74,0))*INDEX(Z63:$AJ73,MATCH(MIN($AK63:$AK73),$AK63:$AK73,0),1)/INDEX($C63:$AJ73,MATCH(MIN($AK63:$AK73),$AK63:$AK73,0),MATCH(IF('Data-solution'!$A$3="Maximize",MAX($C74:$AI74),MIN($C74:$AI74)),$C74:$AI74,0))),Z69)</f>
        <v>0</v>
      </c>
      <c r="AA84" s="1">
        <f>IF(OR($B78&lt;&gt;$B63,$B79&lt;&gt;$B64,$B80&lt;&gt;$B65,$B81&lt;&gt;$B66,$B82&lt;&gt;$B67,$B83&lt;&gt;$B68,$B84&lt;&gt;$B69,$B85&lt;&gt;$B70,$B86&lt;&gt;$B71,$B87&lt;&gt;$B72,$B88&lt;&gt;$B73),IF($B84&lt;&gt;$B69,AA69/INDEX($C63:$AJ73,7,MATCH(IF('Data-solution'!$A$3="Maximize",MAX($C74:$AI74),MIN($C74:$AI74)),$C74:$AI74,0)),AA69-INDEX($C63:$AJ73,7,MATCH(IF('Data-solution'!$A$3="Maximize",MAX($C74:$AI74),MIN($C74:$AI74)),$C74:$AI74,0))*INDEX(AA63:$AJ73,MATCH(MIN($AK63:$AK73),$AK63:$AK73,0),1)/INDEX($C63:$AJ73,MATCH(MIN($AK63:$AK73),$AK63:$AK73,0),MATCH(IF('Data-solution'!$A$3="Maximize",MAX($C74:$AI74),MIN($C74:$AI74)),$C74:$AI74,0))),AA69)</f>
        <v>0</v>
      </c>
      <c r="AB84" s="1">
        <f>IF(OR($B78&lt;&gt;$B63,$B79&lt;&gt;$B64,$B80&lt;&gt;$B65,$B81&lt;&gt;$B66,$B82&lt;&gt;$B67,$B83&lt;&gt;$B68,$B84&lt;&gt;$B69,$B85&lt;&gt;$B70,$B86&lt;&gt;$B71,$B87&lt;&gt;$B72,$B88&lt;&gt;$B73),IF($B84&lt;&gt;$B69,AB69/INDEX($C63:$AJ73,7,MATCH(IF('Data-solution'!$A$3="Maximize",MAX($C74:$AI74),MIN($C74:$AI74)),$C74:$AI74,0)),AB69-INDEX($C63:$AJ73,7,MATCH(IF('Data-solution'!$A$3="Maximize",MAX($C74:$AI74),MIN($C74:$AI74)),$C74:$AI74,0))*INDEX(AB63:$AJ73,MATCH(MIN($AK63:$AK73),$AK63:$AK73,0),1)/INDEX($C63:$AJ73,MATCH(MIN($AK63:$AK73),$AK63:$AK73,0),MATCH(IF('Data-solution'!$A$3="Maximize",MAX($C74:$AI74),MIN($C74:$AI74)),$C74:$AI74,0))),AB69)</f>
        <v>0</v>
      </c>
      <c r="AC84" s="1">
        <f>IF(OR($B78&lt;&gt;$B63,$B79&lt;&gt;$B64,$B80&lt;&gt;$B65,$B81&lt;&gt;$B66,$B82&lt;&gt;$B67,$B83&lt;&gt;$B68,$B84&lt;&gt;$B69,$B85&lt;&gt;$B70,$B86&lt;&gt;$B71,$B87&lt;&gt;$B72,$B88&lt;&gt;$B73),IF($B84&lt;&gt;$B69,AC69/INDEX($C63:$AJ73,7,MATCH(IF('Data-solution'!$A$3="Maximize",MAX($C74:$AI74),MIN($C74:$AI74)),$C74:$AI74,0)),AC69-INDEX($C63:$AJ73,7,MATCH(IF('Data-solution'!$A$3="Maximize",MAX($C74:$AI74),MIN($C74:$AI74)),$C74:$AI74,0))*INDEX(AC63:$AJ73,MATCH(MIN($AK63:$AK73),$AK63:$AK73,0),1)/INDEX($C63:$AJ73,MATCH(MIN($AK63:$AK73),$AK63:$AK73,0),MATCH(IF('Data-solution'!$A$3="Maximize",MAX($C74:$AI74),MIN($C74:$AI74)),$C74:$AI74,0))),AC69)</f>
        <v>0</v>
      </c>
      <c r="AD84" s="1">
        <f>IF(OR($B78&lt;&gt;$B63,$B79&lt;&gt;$B64,$B80&lt;&gt;$B65,$B81&lt;&gt;$B66,$B82&lt;&gt;$B67,$B83&lt;&gt;$B68,$B84&lt;&gt;$B69,$B85&lt;&gt;$B70,$B86&lt;&gt;$B71,$B87&lt;&gt;$B72,$B88&lt;&gt;$B73),IF($B84&lt;&gt;$B69,AD69/INDEX($C63:$AJ73,7,MATCH(IF('Data-solution'!$A$3="Maximize",MAX($C74:$AI74),MIN($C74:$AI74)),$C74:$AI74,0)),AD69-INDEX($C63:$AJ73,7,MATCH(IF('Data-solution'!$A$3="Maximize",MAX($C74:$AI74),MIN($C74:$AI74)),$C74:$AI74,0))*INDEX(AD63:$AJ73,MATCH(MIN($AK63:$AK73),$AK63:$AK73,0),1)/INDEX($C63:$AJ73,MATCH(MIN($AK63:$AK73),$AK63:$AK73,0),MATCH(IF('Data-solution'!$A$3="Maximize",MAX($C74:$AI74),MIN($C74:$AI74)),$C74:$AI74,0))),AD69)</f>
        <v>0</v>
      </c>
      <c r="AE84" s="1">
        <f>IF(OR($B78&lt;&gt;$B63,$B79&lt;&gt;$B64,$B80&lt;&gt;$B65,$B81&lt;&gt;$B66,$B82&lt;&gt;$B67,$B83&lt;&gt;$B68,$B84&lt;&gt;$B69,$B85&lt;&gt;$B70,$B86&lt;&gt;$B71,$B87&lt;&gt;$B72,$B88&lt;&gt;$B73),IF($B84&lt;&gt;$B69,AE69/INDEX($C63:$AJ73,7,MATCH(IF('Data-solution'!$A$3="Maximize",MAX($C74:$AI74),MIN($C74:$AI74)),$C74:$AI74,0)),AE69-INDEX($C63:$AJ73,7,MATCH(IF('Data-solution'!$A$3="Maximize",MAX($C74:$AI74),MIN($C74:$AI74)),$C74:$AI74,0))*INDEX(AE63:$AJ73,MATCH(MIN($AK63:$AK73),$AK63:$AK73,0),1)/INDEX($C63:$AJ73,MATCH(MIN($AK63:$AK73),$AK63:$AK73,0),MATCH(IF('Data-solution'!$A$3="Maximize",MAX($C74:$AI74),MIN($C74:$AI74)),$C74:$AI74,0))),AE69)</f>
        <v>1</v>
      </c>
      <c r="AF84" s="1">
        <f>IF(OR($B78&lt;&gt;$B63,$B79&lt;&gt;$B64,$B80&lt;&gt;$B65,$B81&lt;&gt;$B66,$B82&lt;&gt;$B67,$B83&lt;&gt;$B68,$B84&lt;&gt;$B69,$B85&lt;&gt;$B70,$B86&lt;&gt;$B71,$B87&lt;&gt;$B72,$B88&lt;&gt;$B73),IF($B84&lt;&gt;$B69,AF69/INDEX($C63:$AJ73,7,MATCH(IF('Data-solution'!$A$3="Maximize",MAX($C74:$AI74),MIN($C74:$AI74)),$C74:$AI74,0)),AF69-INDEX($C63:$AJ73,7,MATCH(IF('Data-solution'!$A$3="Maximize",MAX($C74:$AI74),MIN($C74:$AI74)),$C74:$AI74,0))*INDEX(AF63:$AJ73,MATCH(MIN($AK63:$AK73),$AK63:$AK73,0),1)/INDEX($C63:$AJ73,MATCH(MIN($AK63:$AK73),$AK63:$AK73,0),MATCH(IF('Data-solution'!$A$3="Maximize",MAX($C74:$AI74),MIN($C74:$AI74)),$C74:$AI74,0))),AF69)</f>
        <v>0</v>
      </c>
      <c r="AG84" s="1">
        <f>IF(OR($B78&lt;&gt;$B63,$B79&lt;&gt;$B64,$B80&lt;&gt;$B65,$B81&lt;&gt;$B66,$B82&lt;&gt;$B67,$B83&lt;&gt;$B68,$B84&lt;&gt;$B69,$B85&lt;&gt;$B70,$B86&lt;&gt;$B71,$B87&lt;&gt;$B72,$B88&lt;&gt;$B73),IF($B84&lt;&gt;$B69,AG69/INDEX($C63:$AJ73,7,MATCH(IF('Data-solution'!$A$3="Maximize",MAX($C74:$AI74),MIN($C74:$AI74)),$C74:$AI74,0)),AG69-INDEX($C63:$AJ73,7,MATCH(IF('Data-solution'!$A$3="Maximize",MAX($C74:$AI74),MIN($C74:$AI74)),$C74:$AI74,0))*INDEX(AG63:$AJ73,MATCH(MIN($AK63:$AK73),$AK63:$AK73,0),1)/INDEX($C63:$AJ73,MATCH(MIN($AK63:$AK73),$AK63:$AK73,0),MATCH(IF('Data-solution'!$A$3="Maximize",MAX($C74:$AI74),MIN($C74:$AI74)),$C74:$AI74,0))),AG69)</f>
        <v>0</v>
      </c>
      <c r="AH84" s="1">
        <f>IF(OR($B78&lt;&gt;$B63,$B79&lt;&gt;$B64,$B80&lt;&gt;$B65,$B81&lt;&gt;$B66,$B82&lt;&gt;$B67,$B83&lt;&gt;$B68,$B84&lt;&gt;$B69,$B85&lt;&gt;$B70,$B86&lt;&gt;$B71,$B87&lt;&gt;$B72,$B88&lt;&gt;$B73),IF($B84&lt;&gt;$B69,AH69/INDEX($C63:$AJ73,7,MATCH(IF('Data-solution'!$A$3="Maximize",MAX($C74:$AI74),MIN($C74:$AI74)),$C74:$AI74,0)),AH69-INDEX($C63:$AJ73,7,MATCH(IF('Data-solution'!$A$3="Maximize",MAX($C74:$AI74),MIN($C74:$AI74)),$C74:$AI74,0))*INDEX(AH63:$AJ73,MATCH(MIN($AK63:$AK73),$AK63:$AK73,0),1)/INDEX($C63:$AJ73,MATCH(MIN($AK63:$AK73),$AK63:$AK73,0),MATCH(IF('Data-solution'!$A$3="Maximize",MAX($C74:$AI74),MIN($C74:$AI74)),$C74:$AI74,0))),AH69)</f>
        <v>0</v>
      </c>
      <c r="AI84" s="1">
        <f>IF(OR($B78&lt;&gt;$B63,$B79&lt;&gt;$B64,$B80&lt;&gt;$B65,$B81&lt;&gt;$B66,$B82&lt;&gt;$B67,$B83&lt;&gt;$B68,$B84&lt;&gt;$B69,$B85&lt;&gt;$B70,$B86&lt;&gt;$B71,$B87&lt;&gt;$B72,$B88&lt;&gt;$B73),IF($B84&lt;&gt;$B69,AI69/INDEX($C63:$AJ73,7,MATCH(IF('Data-solution'!$A$3="Maximize",MAX($C74:$AI74),MIN($C74:$AI74)),$C74:$AI74,0)),AI69-INDEX($C63:$AJ73,7,MATCH(IF('Data-solution'!$A$3="Maximize",MAX($C74:$AI74),MIN($C74:$AI74)),$C74:$AI74,0))*INDEX(AI63:$AJ73,MATCH(MIN($AK63:$AK73),$AK63:$AK73,0),1)/INDEX($C63:$AJ73,MATCH(MIN($AK63:$AK73),$AK63:$AK73,0),MATCH(IF('Data-solution'!$A$3="Maximize",MAX($C74:$AI74),MIN($C74:$AI74)),$C74:$AI74,0))),AI69)</f>
        <v>0</v>
      </c>
      <c r="AJ84" s="1">
        <f>IF(OR($B78&lt;&gt;$B63,$B79&lt;&gt;$B64,$B80&lt;&gt;$B65,$B81&lt;&gt;$B66,$B82&lt;&gt;$B67,$B83&lt;&gt;$B68,$B84&lt;&gt;$B69,$B85&lt;&gt;$B70,$B86&lt;&gt;$B71,$B87&lt;&gt;$B72,$B88&lt;&gt;$B73),IF($B84&lt;&gt;$B69,AJ69/INDEX($C63:$AJ73,7,MATCH(IF('Data-solution'!$A$3="Maximize",MAX($C74:$AI74),MIN($C74:$AI74)),$C74:$AI74,0)),AJ69-INDEX($C63:$AJ73,7,MATCH(IF('Data-solution'!$A$3="Maximize",MAX($C74:$AI74),MIN($C74:$AI74)),$C74:$AI74,0))*INDEX(AJ63:$AJ73,MATCH(MIN($AK63:$AK73),$AK63:$AK73,0),1)/INDEX($C63:$AJ73,MATCH(MIN($AK63:$AK73),$AK63:$AK73,0),MATCH(IF('Data-solution'!$A$3="Maximize",MAX($C74:$AI74),MIN($C74:$AI74)),$C74:$AI74,0))),AJ69)</f>
        <v>0</v>
      </c>
      <c r="AK84" s="1" t="str">
        <f>IF(INDEX(C84:X84,1,MATCH(IF('Data-solution'!A$3="Maximize",MAX(C89:X89),MIN(C89:X89)),C89:X89,0))&gt;0,AJ84/INDEX(C84:X84,1,MATCH(IF('Data-solution'!A$3="Maximize",MAX(C89:X89),MIN(C89:X89)),C89:X89,0))," ")</f>
        <v xml:space="preserve"> </v>
      </c>
    </row>
    <row r="85" spans="1:37" ht="18" customHeight="1" x14ac:dyDescent="0.2">
      <c r="A85" s="1">
        <f t="shared" ref="A85" si="57">INDEX(C76:AI76,1,MATCH(B85,C77:AI77,0))</f>
        <v>0</v>
      </c>
      <c r="B85" s="2" t="str">
        <f>IF(AND('Data-solution'!A$3="Maximize",COUNTIF(C74:X74,"&gt;"&amp;0)&gt;0,AK70=MIN(AK63:AK73),COUNTIF(B78:B84,INDEX(C62:X62,1,MATCH(MAX(C74:X74),C74:X74,0)))=0),INDEX(C62:X62,1,MATCH(MAX(C74:X74),C74:X74,0)),IF(AND('Data-solution'!A$3="Minimize",COUNTIF(C74:X74,"&lt;"&amp;0)&gt;0,AK70=MIN(AK63:AK73),COUNTIF(B78:B84,INDEX(C62:X62,1,MATCH(MIN(C74:X74),C74:X74,0)))=0),INDEX(C62:X62,1,MATCH(MIN(C74:X74),C74:X74,0)),B70))</f>
        <v>S8</v>
      </c>
      <c r="C85" s="1">
        <f>IF(OR($B78&lt;&gt;$B63,$B79&lt;&gt;$B64,$B80&lt;&gt;$B65,$B81&lt;&gt;$B66,$B82&lt;&gt;$B67,$B83&lt;&gt;$B68,$B84&lt;&gt;$B69,$B85&lt;&gt;$B70,$B86&lt;&gt;$B71,$B87&lt;&gt;$B72,$B88&lt;&gt;$B73),IF($B85&lt;&gt;$B70,C70/INDEX($C63:$AJ73,8,MATCH(IF('Data-solution'!$A$3="Maximize",MAX($C74:$AI74),MIN($C74:$AI74)),$C74:$AI74,0)),C70-INDEX($C63:$AJ73,8,MATCH(IF('Data-solution'!$A$3="Maximize",MAX($C74:$AI74),MIN($C74:$AI74)),$C74:$AI74,0))*INDEX(C63:$AJ73,MATCH(MIN($AK63:$AK73),$AK63:$AK73,0),1)/INDEX($C63:$AJ73,MATCH(MIN($AK63:$AK73),$AK63:$AK73,0),MATCH(IF('Data-solution'!$A$3="Maximize",MAX($C74:$AI74),MIN($C74:$AI74)),$C74:$AI74,0))),C70)</f>
        <v>0</v>
      </c>
      <c r="D85" s="1">
        <f>IF(OR($B78&lt;&gt;$B63,$B79&lt;&gt;$B64,$B80&lt;&gt;$B65,$B81&lt;&gt;$B66,$B82&lt;&gt;$B67,$B83&lt;&gt;$B68,$B84&lt;&gt;$B69,$B85&lt;&gt;$B70,$B86&lt;&gt;$B71,$B87&lt;&gt;$B72,$B88&lt;&gt;$B73),IF($B85&lt;&gt;$B70,D70/INDEX($C63:$AJ73,8,MATCH(IF('Data-solution'!$A$3="Maximize",MAX($C74:$AI74),MIN($C74:$AI74)),$C74:$AI74,0)),D70-INDEX($C63:$AJ73,8,MATCH(IF('Data-solution'!$A$3="Maximize",MAX($C74:$AI74),MIN($C74:$AI74)),$C74:$AI74,0))*INDEX(D63:$AJ73,MATCH(MIN($AK63:$AK73),$AK63:$AK73,0),1)/INDEX($C63:$AJ73,MATCH(MIN($AK63:$AK73),$AK63:$AK73,0),MATCH(IF('Data-solution'!$A$3="Maximize",MAX($C74:$AI74),MIN($C74:$AI74)),$C74:$AI74,0))),D70)</f>
        <v>0</v>
      </c>
      <c r="E85" s="1">
        <f>IF(OR($B78&lt;&gt;$B63,$B79&lt;&gt;$B64,$B80&lt;&gt;$B65,$B81&lt;&gt;$B66,$B82&lt;&gt;$B67,$B83&lt;&gt;$B68,$B84&lt;&gt;$B69,$B85&lt;&gt;$B70,$B86&lt;&gt;$B71,$B87&lt;&gt;$B72,$B88&lt;&gt;$B73),IF($B85&lt;&gt;$B70,E70/INDEX($C63:$AJ73,8,MATCH(IF('Data-solution'!$A$3="Maximize",MAX($C74:$AI74),MIN($C74:$AI74)),$C74:$AI74,0)),E70-INDEX($C63:$AJ73,8,MATCH(IF('Data-solution'!$A$3="Maximize",MAX($C74:$AI74),MIN($C74:$AI74)),$C74:$AI74,0))*INDEX(E63:$AJ73,MATCH(MIN($AK63:$AK73),$AK63:$AK73,0),1)/INDEX($C63:$AJ73,MATCH(MIN($AK63:$AK73),$AK63:$AK73,0),MATCH(IF('Data-solution'!$A$3="Maximize",MAX($C74:$AI74),MIN($C74:$AI74)),$C74:$AI74,0))),E70)</f>
        <v>0</v>
      </c>
      <c r="F85" s="1">
        <f>IF(OR($B78&lt;&gt;$B63,$B79&lt;&gt;$B64,$B80&lt;&gt;$B65,$B81&lt;&gt;$B66,$B82&lt;&gt;$B67,$B83&lt;&gt;$B68,$B84&lt;&gt;$B69,$B85&lt;&gt;$B70,$B86&lt;&gt;$B71,$B87&lt;&gt;$B72,$B88&lt;&gt;$B73),IF($B85&lt;&gt;$B70,F70/INDEX($C63:$AJ73,8,MATCH(IF('Data-solution'!$A$3="Maximize",MAX($C74:$AI74),MIN($C74:$AI74)),$C74:$AI74,0)),F70-INDEX($C63:$AJ73,8,MATCH(IF('Data-solution'!$A$3="Maximize",MAX($C74:$AI74),MIN($C74:$AI74)),$C74:$AI74,0))*INDEX(F63:$AJ73,MATCH(MIN($AK63:$AK73),$AK63:$AK73,0),1)/INDEX($C63:$AJ73,MATCH(MIN($AK63:$AK73),$AK63:$AK73,0),MATCH(IF('Data-solution'!$A$3="Maximize",MAX($C74:$AI74),MIN($C74:$AI74)),$C74:$AI74,0))),F70)</f>
        <v>0</v>
      </c>
      <c r="G85" s="1">
        <f>IF(OR($B78&lt;&gt;$B63,$B79&lt;&gt;$B64,$B80&lt;&gt;$B65,$B81&lt;&gt;$B66,$B82&lt;&gt;$B67,$B83&lt;&gt;$B68,$B84&lt;&gt;$B69,$B85&lt;&gt;$B70,$B86&lt;&gt;$B71,$B87&lt;&gt;$B72,$B88&lt;&gt;$B73),IF($B85&lt;&gt;$B70,G70/INDEX($C63:$AJ73,8,MATCH(IF('Data-solution'!$A$3="Maximize",MAX($C74:$AI74),MIN($C74:$AI74)),$C74:$AI74,0)),G70-INDEX($C63:$AJ73,8,MATCH(IF('Data-solution'!$A$3="Maximize",MAX($C74:$AI74),MIN($C74:$AI74)),$C74:$AI74,0))*INDEX(G63:$AJ73,MATCH(MIN($AK63:$AK73),$AK63:$AK73,0),1)/INDEX($C63:$AJ73,MATCH(MIN($AK63:$AK73),$AK63:$AK73,0),MATCH(IF('Data-solution'!$A$3="Maximize",MAX($C74:$AI74),MIN($C74:$AI74)),$C74:$AI74,0))),G70)</f>
        <v>0</v>
      </c>
      <c r="H85" s="1">
        <f>IF(OR($B78&lt;&gt;$B63,$B79&lt;&gt;$B64,$B80&lt;&gt;$B65,$B81&lt;&gt;$B66,$B82&lt;&gt;$B67,$B83&lt;&gt;$B68,$B84&lt;&gt;$B69,$B85&lt;&gt;$B70,$B86&lt;&gt;$B71,$B87&lt;&gt;$B72,$B88&lt;&gt;$B73),IF($B85&lt;&gt;$B70,H70/INDEX($C63:$AJ73,8,MATCH(IF('Data-solution'!$A$3="Maximize",MAX($C74:$AI74),MIN($C74:$AI74)),$C74:$AI74,0)),H70-INDEX($C63:$AJ73,8,MATCH(IF('Data-solution'!$A$3="Maximize",MAX($C74:$AI74),MIN($C74:$AI74)),$C74:$AI74,0))*INDEX(H63:$AJ73,MATCH(MIN($AK63:$AK73),$AK63:$AK73,0),1)/INDEX($C63:$AJ73,MATCH(MIN($AK63:$AK73),$AK63:$AK73,0),MATCH(IF('Data-solution'!$A$3="Maximize",MAX($C74:$AI74),MIN($C74:$AI74)),$C74:$AI74,0))),H70)</f>
        <v>0</v>
      </c>
      <c r="I85" s="1">
        <f>IF(OR($B78&lt;&gt;$B63,$B79&lt;&gt;$B64,$B80&lt;&gt;$B65,$B81&lt;&gt;$B66,$B82&lt;&gt;$B67,$B83&lt;&gt;$B68,$B84&lt;&gt;$B69,$B85&lt;&gt;$B70,$B86&lt;&gt;$B71,$B87&lt;&gt;$B72,$B88&lt;&gt;$B73),IF($B85&lt;&gt;$B70,I70/INDEX($C63:$AJ73,8,MATCH(IF('Data-solution'!$A$3="Maximize",MAX($C74:$AI74),MIN($C74:$AI74)),$C74:$AI74,0)),I70-INDEX($C63:$AJ73,8,MATCH(IF('Data-solution'!$A$3="Maximize",MAX($C74:$AI74),MIN($C74:$AI74)),$C74:$AI74,0))*INDEX(I63:$AJ73,MATCH(MIN($AK63:$AK73),$AK63:$AK73,0),1)/INDEX($C63:$AJ73,MATCH(MIN($AK63:$AK73),$AK63:$AK73,0),MATCH(IF('Data-solution'!$A$3="Maximize",MAX($C74:$AI74),MIN($C74:$AI74)),$C74:$AI74,0))),I70)</f>
        <v>0</v>
      </c>
      <c r="J85" s="1">
        <f>IF(OR($B78&lt;&gt;$B63,$B79&lt;&gt;$B64,$B80&lt;&gt;$B65,$B81&lt;&gt;$B66,$B82&lt;&gt;$B67,$B83&lt;&gt;$B68,$B84&lt;&gt;$B69,$B85&lt;&gt;$B70,$B86&lt;&gt;$B71,$B87&lt;&gt;$B72,$B88&lt;&gt;$B73),IF($B85&lt;&gt;$B70,J70/INDEX($C63:$AJ73,8,MATCH(IF('Data-solution'!$A$3="Maximize",MAX($C74:$AI74),MIN($C74:$AI74)),$C74:$AI74,0)),J70-INDEX($C63:$AJ73,8,MATCH(IF('Data-solution'!$A$3="Maximize",MAX($C74:$AI74),MIN($C74:$AI74)),$C74:$AI74,0))*INDEX(J63:$AJ73,MATCH(MIN($AK63:$AK73),$AK63:$AK73,0),1)/INDEX($C63:$AJ73,MATCH(MIN($AK63:$AK73),$AK63:$AK73,0),MATCH(IF('Data-solution'!$A$3="Maximize",MAX($C74:$AI74),MIN($C74:$AI74)),$C74:$AI74,0))),J70)</f>
        <v>0</v>
      </c>
      <c r="K85" s="1">
        <f>IF(OR($B78&lt;&gt;$B63,$B79&lt;&gt;$B64,$B80&lt;&gt;$B65,$B81&lt;&gt;$B66,$B82&lt;&gt;$B67,$B83&lt;&gt;$B68,$B84&lt;&gt;$B69,$B85&lt;&gt;$B70,$B86&lt;&gt;$B71,$B87&lt;&gt;$B72,$B88&lt;&gt;$B73),IF($B85&lt;&gt;$B70,K70/INDEX($C63:$AJ73,8,MATCH(IF('Data-solution'!$A$3="Maximize",MAX($C74:$AI74),MIN($C74:$AI74)),$C74:$AI74,0)),K70-INDEX($C63:$AJ73,8,MATCH(IF('Data-solution'!$A$3="Maximize",MAX($C74:$AI74),MIN($C74:$AI74)),$C74:$AI74,0))*INDEX(K63:$AJ73,MATCH(MIN($AK63:$AK73),$AK63:$AK73,0),1)/INDEX($C63:$AJ73,MATCH(MIN($AK63:$AK73),$AK63:$AK73,0),MATCH(IF('Data-solution'!$A$3="Maximize",MAX($C74:$AI74),MIN($C74:$AI74)),$C74:$AI74,0))),K70)</f>
        <v>0</v>
      </c>
      <c r="L85" s="1">
        <f>IF(OR($B78&lt;&gt;$B63,$B79&lt;&gt;$B64,$B80&lt;&gt;$B65,$B81&lt;&gt;$B66,$B82&lt;&gt;$B67,$B83&lt;&gt;$B68,$B84&lt;&gt;$B69,$B85&lt;&gt;$B70,$B86&lt;&gt;$B71,$B87&lt;&gt;$B72,$B88&lt;&gt;$B73),IF($B85&lt;&gt;$B70,L70/INDEX($C63:$AJ73,8,MATCH(IF('Data-solution'!$A$3="Maximize",MAX($C74:$AI74),MIN($C74:$AI74)),$C74:$AI74,0)),L70-INDEX($C63:$AJ73,8,MATCH(IF('Data-solution'!$A$3="Maximize",MAX($C74:$AI74),MIN($C74:$AI74)),$C74:$AI74,0))*INDEX(L63:$AJ73,MATCH(MIN($AK63:$AK73),$AK63:$AK73,0),1)/INDEX($C63:$AJ73,MATCH(MIN($AK63:$AK73),$AK63:$AK73,0),MATCH(IF('Data-solution'!$A$3="Maximize",MAX($C74:$AI74),MIN($C74:$AI74)),$C74:$AI74,0))),L70)</f>
        <v>0</v>
      </c>
      <c r="M85" s="1">
        <f>IF(OR($B78&lt;&gt;$B63,$B79&lt;&gt;$B64,$B80&lt;&gt;$B65,$B81&lt;&gt;$B66,$B82&lt;&gt;$B67,$B83&lt;&gt;$B68,$B84&lt;&gt;$B69,$B85&lt;&gt;$B70,$B86&lt;&gt;$B71,$B87&lt;&gt;$B72,$B88&lt;&gt;$B73),IF($B85&lt;&gt;$B70,M70/INDEX($C63:$AJ73,8,MATCH(IF('Data-solution'!$A$3="Maximize",MAX($C74:$AI74),MIN($C74:$AI74)),$C74:$AI74,0)),M70-INDEX($C63:$AJ73,8,MATCH(IF('Data-solution'!$A$3="Maximize",MAX($C74:$AI74),MIN($C74:$AI74)),$C74:$AI74,0))*INDEX(M63:$AJ73,MATCH(MIN($AK63:$AK73),$AK63:$AK73,0),1)/INDEX($C63:$AJ73,MATCH(MIN($AK63:$AK73),$AK63:$AK73,0),MATCH(IF('Data-solution'!$A$3="Maximize",MAX($C74:$AI74),MIN($C74:$AI74)),$C74:$AI74,0))),M70)</f>
        <v>0</v>
      </c>
      <c r="N85" s="1">
        <f>IF(OR($B78&lt;&gt;$B63,$B79&lt;&gt;$B64,$B80&lt;&gt;$B65,$B81&lt;&gt;$B66,$B82&lt;&gt;$B67,$B83&lt;&gt;$B68,$B84&lt;&gt;$B69,$B85&lt;&gt;$B70,$B86&lt;&gt;$B71,$B87&lt;&gt;$B72,$B88&lt;&gt;$B73),IF($B85&lt;&gt;$B70,N70/INDEX($C63:$AJ73,8,MATCH(IF('Data-solution'!$A$3="Maximize",MAX($C74:$AI74),MIN($C74:$AI74)),$C74:$AI74,0)),N70-INDEX($C63:$AJ73,8,MATCH(IF('Data-solution'!$A$3="Maximize",MAX($C74:$AI74),MIN($C74:$AI74)),$C74:$AI74,0))*INDEX(N63:$AJ73,MATCH(MIN($AK63:$AK73),$AK63:$AK73,0),1)/INDEX($C63:$AJ73,MATCH(MIN($AK63:$AK73),$AK63:$AK73,0),MATCH(IF('Data-solution'!$A$3="Maximize",MAX($C74:$AI74),MIN($C74:$AI74)),$C74:$AI74,0))),N70)</f>
        <v>0</v>
      </c>
      <c r="O85" s="1">
        <f>IF(OR($B78&lt;&gt;$B63,$B79&lt;&gt;$B64,$B80&lt;&gt;$B65,$B81&lt;&gt;$B66,$B82&lt;&gt;$B67,$B83&lt;&gt;$B68,$B84&lt;&gt;$B69,$B85&lt;&gt;$B70,$B86&lt;&gt;$B71,$B87&lt;&gt;$B72,$B88&lt;&gt;$B73),IF($B85&lt;&gt;$B70,O70/INDEX($C63:$AJ73,8,MATCH(IF('Data-solution'!$A$3="Maximize",MAX($C74:$AI74),MIN($C74:$AI74)),$C74:$AI74,0)),O70-INDEX($C63:$AJ73,8,MATCH(IF('Data-solution'!$A$3="Maximize",MAX($C74:$AI74),MIN($C74:$AI74)),$C74:$AI74,0))*INDEX(O63:$AJ73,MATCH(MIN($AK63:$AK73),$AK63:$AK73,0),1)/INDEX($C63:$AJ73,MATCH(MIN($AK63:$AK73),$AK63:$AK73,0),MATCH(IF('Data-solution'!$A$3="Maximize",MAX($C74:$AI74),MIN($C74:$AI74)),$C74:$AI74,0))),O70)</f>
        <v>0</v>
      </c>
      <c r="P85" s="1">
        <f>IF(OR($B78&lt;&gt;$B63,$B79&lt;&gt;$B64,$B80&lt;&gt;$B65,$B81&lt;&gt;$B66,$B82&lt;&gt;$B67,$B83&lt;&gt;$B68,$B84&lt;&gt;$B69,$B85&lt;&gt;$B70,$B86&lt;&gt;$B71,$B87&lt;&gt;$B72,$B88&lt;&gt;$B73),IF($B85&lt;&gt;$B70,P70/INDEX($C63:$AJ73,8,MATCH(IF('Data-solution'!$A$3="Maximize",MAX($C74:$AI74),MIN($C74:$AI74)),$C74:$AI74,0)),P70-INDEX($C63:$AJ73,8,MATCH(IF('Data-solution'!$A$3="Maximize",MAX($C74:$AI74),MIN($C74:$AI74)),$C74:$AI74,0))*INDEX(P63:$AJ73,MATCH(MIN($AK63:$AK73),$AK63:$AK73,0),1)/INDEX($C63:$AJ73,MATCH(MIN($AK63:$AK73),$AK63:$AK73,0),MATCH(IF('Data-solution'!$A$3="Maximize",MAX($C74:$AI74),MIN($C74:$AI74)),$C74:$AI74,0))),P70)</f>
        <v>0</v>
      </c>
      <c r="Q85" s="1">
        <f>IF(OR($B78&lt;&gt;$B63,$B79&lt;&gt;$B64,$B80&lt;&gt;$B65,$B81&lt;&gt;$B66,$B82&lt;&gt;$B67,$B83&lt;&gt;$B68,$B84&lt;&gt;$B69,$B85&lt;&gt;$B70,$B86&lt;&gt;$B71,$B87&lt;&gt;$B72,$B88&lt;&gt;$B73),IF($B85&lt;&gt;$B70,Q70/INDEX($C63:$AJ73,8,MATCH(IF('Data-solution'!$A$3="Maximize",MAX($C74:$AI74),MIN($C74:$AI74)),$C74:$AI74,0)),Q70-INDEX($C63:$AJ73,8,MATCH(IF('Data-solution'!$A$3="Maximize",MAX($C74:$AI74),MIN($C74:$AI74)),$C74:$AI74,0))*INDEX(Q63:$AJ73,MATCH(MIN($AK63:$AK73),$AK63:$AK73,0),1)/INDEX($C63:$AJ73,MATCH(MIN($AK63:$AK73),$AK63:$AK73,0),MATCH(IF('Data-solution'!$A$3="Maximize",MAX($C74:$AI74),MIN($C74:$AI74)),$C74:$AI74,0))),Q70)</f>
        <v>0</v>
      </c>
      <c r="R85" s="1">
        <f>IF(OR($B78&lt;&gt;$B63,$B79&lt;&gt;$B64,$B80&lt;&gt;$B65,$B81&lt;&gt;$B66,$B82&lt;&gt;$B67,$B83&lt;&gt;$B68,$B84&lt;&gt;$B69,$B85&lt;&gt;$B70,$B86&lt;&gt;$B71,$B87&lt;&gt;$B72,$B88&lt;&gt;$B73),IF($B85&lt;&gt;$B70,R70/INDEX($C63:$AJ73,8,MATCH(IF('Data-solution'!$A$3="Maximize",MAX($C74:$AI74),MIN($C74:$AI74)),$C74:$AI74,0)),R70-INDEX($C63:$AJ73,8,MATCH(IF('Data-solution'!$A$3="Maximize",MAX($C74:$AI74),MIN($C74:$AI74)),$C74:$AI74,0))*INDEX(R63:$AJ73,MATCH(MIN($AK63:$AK73),$AK63:$AK73,0),1)/INDEX($C63:$AJ73,MATCH(MIN($AK63:$AK73),$AK63:$AK73,0),MATCH(IF('Data-solution'!$A$3="Maximize",MAX($C74:$AI74),MIN($C74:$AI74)),$C74:$AI74,0))),R70)</f>
        <v>0</v>
      </c>
      <c r="S85" s="1">
        <f>IF(OR($B78&lt;&gt;$B63,$B79&lt;&gt;$B64,$B80&lt;&gt;$B65,$B81&lt;&gt;$B66,$B82&lt;&gt;$B67,$B83&lt;&gt;$B68,$B84&lt;&gt;$B69,$B85&lt;&gt;$B70,$B86&lt;&gt;$B71,$B87&lt;&gt;$B72,$B88&lt;&gt;$B73),IF($B85&lt;&gt;$B70,S70/INDEX($C63:$AJ73,8,MATCH(IF('Data-solution'!$A$3="Maximize",MAX($C74:$AI74),MIN($C74:$AI74)),$C74:$AI74,0)),S70-INDEX($C63:$AJ73,8,MATCH(IF('Data-solution'!$A$3="Maximize",MAX($C74:$AI74),MIN($C74:$AI74)),$C74:$AI74,0))*INDEX(S63:$AJ73,MATCH(MIN($AK63:$AK73),$AK63:$AK73,0),1)/INDEX($C63:$AJ73,MATCH(MIN($AK63:$AK73),$AK63:$AK73,0),MATCH(IF('Data-solution'!$A$3="Maximize",MAX($C74:$AI74),MIN($C74:$AI74)),$C74:$AI74,0))),S70)</f>
        <v>0</v>
      </c>
      <c r="T85" s="1">
        <f>IF(OR($B78&lt;&gt;$B63,$B79&lt;&gt;$B64,$B80&lt;&gt;$B65,$B81&lt;&gt;$B66,$B82&lt;&gt;$B67,$B83&lt;&gt;$B68,$B84&lt;&gt;$B69,$B85&lt;&gt;$B70,$B86&lt;&gt;$B71,$B87&lt;&gt;$B72,$B88&lt;&gt;$B73),IF($B85&lt;&gt;$B70,T70/INDEX($C63:$AJ73,8,MATCH(IF('Data-solution'!$A$3="Maximize",MAX($C74:$AI74),MIN($C74:$AI74)),$C74:$AI74,0)),T70-INDEX($C63:$AJ73,8,MATCH(IF('Data-solution'!$A$3="Maximize",MAX($C74:$AI74),MIN($C74:$AI74)),$C74:$AI74,0))*INDEX(T63:$AJ73,MATCH(MIN($AK63:$AK73),$AK63:$AK73,0),1)/INDEX($C63:$AJ73,MATCH(MIN($AK63:$AK73),$AK63:$AK73,0),MATCH(IF('Data-solution'!$A$3="Maximize",MAX($C74:$AI74),MIN($C74:$AI74)),$C74:$AI74,0))),T70)</f>
        <v>0</v>
      </c>
      <c r="U85" s="1">
        <f>IF(OR($B78&lt;&gt;$B63,$B79&lt;&gt;$B64,$B80&lt;&gt;$B65,$B81&lt;&gt;$B66,$B82&lt;&gt;$B67,$B83&lt;&gt;$B68,$B84&lt;&gt;$B69,$B85&lt;&gt;$B70,$B86&lt;&gt;$B71,$B87&lt;&gt;$B72,$B88&lt;&gt;$B73),IF($B85&lt;&gt;$B70,U70/INDEX($C63:$AJ73,8,MATCH(IF('Data-solution'!$A$3="Maximize",MAX($C74:$AI74),MIN($C74:$AI74)),$C74:$AI74,0)),U70-INDEX($C63:$AJ73,8,MATCH(IF('Data-solution'!$A$3="Maximize",MAX($C74:$AI74),MIN($C74:$AI74)),$C74:$AI74,0))*INDEX(U63:$AJ73,MATCH(MIN($AK63:$AK73),$AK63:$AK73,0),1)/INDEX($C63:$AJ73,MATCH(MIN($AK63:$AK73),$AK63:$AK73,0),MATCH(IF('Data-solution'!$A$3="Maximize",MAX($C74:$AI74),MIN($C74:$AI74)),$C74:$AI74,0))),U70)</f>
        <v>1</v>
      </c>
      <c r="V85" s="1">
        <f>IF(OR($B78&lt;&gt;$B63,$B79&lt;&gt;$B64,$B80&lt;&gt;$B65,$B81&lt;&gt;$B66,$B82&lt;&gt;$B67,$B83&lt;&gt;$B68,$B84&lt;&gt;$B69,$B85&lt;&gt;$B70,$B86&lt;&gt;$B71,$B87&lt;&gt;$B72,$B88&lt;&gt;$B73),IF($B85&lt;&gt;$B70,V70/INDEX($C63:$AJ73,8,MATCH(IF('Data-solution'!$A$3="Maximize",MAX($C74:$AI74),MIN($C74:$AI74)),$C74:$AI74,0)),V70-INDEX($C63:$AJ73,8,MATCH(IF('Data-solution'!$A$3="Maximize",MAX($C74:$AI74),MIN($C74:$AI74)),$C74:$AI74,0))*INDEX(V63:$AJ73,MATCH(MIN($AK63:$AK73),$AK63:$AK73,0),1)/INDEX($C63:$AJ73,MATCH(MIN($AK63:$AK73),$AK63:$AK73,0),MATCH(IF('Data-solution'!$A$3="Maximize",MAX($C74:$AI74),MIN($C74:$AI74)),$C74:$AI74,0))),V70)</f>
        <v>0</v>
      </c>
      <c r="W85" s="1">
        <f>IF(OR($B78&lt;&gt;$B63,$B79&lt;&gt;$B64,$B80&lt;&gt;$B65,$B81&lt;&gt;$B66,$B82&lt;&gt;$B67,$B83&lt;&gt;$B68,$B84&lt;&gt;$B69,$B85&lt;&gt;$B70,$B86&lt;&gt;$B71,$B87&lt;&gt;$B72,$B88&lt;&gt;$B73),IF($B85&lt;&gt;$B70,W70/INDEX($C63:$AJ73,8,MATCH(IF('Data-solution'!$A$3="Maximize",MAX($C74:$AI74),MIN($C74:$AI74)),$C74:$AI74,0)),W70-INDEX($C63:$AJ73,8,MATCH(IF('Data-solution'!$A$3="Maximize",MAX($C74:$AI74),MIN($C74:$AI74)),$C74:$AI74,0))*INDEX(W63:$AJ73,MATCH(MIN($AK63:$AK73),$AK63:$AK73,0),1)/INDEX($C63:$AJ73,MATCH(MIN($AK63:$AK73),$AK63:$AK73,0),MATCH(IF('Data-solution'!$A$3="Maximize",MAX($C74:$AI74),MIN($C74:$AI74)),$C74:$AI74,0))),W70)</f>
        <v>0</v>
      </c>
      <c r="X85" s="1">
        <f>IF(OR($B78&lt;&gt;$B63,$B79&lt;&gt;$B64,$B80&lt;&gt;$B65,$B81&lt;&gt;$B66,$B82&lt;&gt;$B67,$B83&lt;&gt;$B68,$B84&lt;&gt;$B69,$B85&lt;&gt;$B70,$B86&lt;&gt;$B71,$B87&lt;&gt;$B72,$B88&lt;&gt;$B73),IF($B85&lt;&gt;$B70,X70/INDEX($C63:$AJ73,8,MATCH(IF('Data-solution'!$A$3="Maximize",MAX($C74:$AI74),MIN($C74:$AI74)),$C74:$AI74,0)),X70-INDEX($C63:$AJ73,8,MATCH(IF('Data-solution'!$A$3="Maximize",MAX($C74:$AI74),MIN($C74:$AI74)),$C74:$AI74,0))*INDEX(X63:$AJ73,MATCH(MIN($AK63:$AK73),$AK63:$AK73,0),1)/INDEX($C63:$AJ73,MATCH(MIN($AK63:$AK73),$AK63:$AK73,0),MATCH(IF('Data-solution'!$A$3="Maximize",MAX($C74:$AI74),MIN($C74:$AI74)),$C74:$AI74,0))),X70)</f>
        <v>0</v>
      </c>
      <c r="Y85" s="1">
        <f>IF(OR($B78&lt;&gt;$B63,$B79&lt;&gt;$B64,$B80&lt;&gt;$B65,$B81&lt;&gt;$B66,$B82&lt;&gt;$B67,$B83&lt;&gt;$B68,$B84&lt;&gt;$B69,$B85&lt;&gt;$B70,$B86&lt;&gt;$B71,$B87&lt;&gt;$B72,$B88&lt;&gt;$B73),IF($B85&lt;&gt;$B70,Y70/INDEX($C63:$AJ73,8,MATCH(IF('Data-solution'!$A$3="Maximize",MAX($C74:$AI74),MIN($C74:$AI74)),$C74:$AI74,0)),Y70-INDEX($C63:$AJ73,8,MATCH(IF('Data-solution'!$A$3="Maximize",MAX($C74:$AI74),MIN($C74:$AI74)),$C74:$AI74,0))*INDEX(Y63:$AJ73,MATCH(MIN($AK63:$AK73),$AK63:$AK73,0),1)/INDEX($C63:$AJ73,MATCH(MIN($AK63:$AK73),$AK63:$AK73,0),MATCH(IF('Data-solution'!$A$3="Maximize",MAX($C74:$AI74),MIN($C74:$AI74)),$C74:$AI74,0))),Y70)</f>
        <v>0</v>
      </c>
      <c r="Z85" s="1">
        <f>IF(OR($B78&lt;&gt;$B63,$B79&lt;&gt;$B64,$B80&lt;&gt;$B65,$B81&lt;&gt;$B66,$B82&lt;&gt;$B67,$B83&lt;&gt;$B68,$B84&lt;&gt;$B69,$B85&lt;&gt;$B70,$B86&lt;&gt;$B71,$B87&lt;&gt;$B72,$B88&lt;&gt;$B73),IF($B85&lt;&gt;$B70,Z70/INDEX($C63:$AJ73,8,MATCH(IF('Data-solution'!$A$3="Maximize",MAX($C74:$AI74),MIN($C74:$AI74)),$C74:$AI74,0)),Z70-INDEX($C63:$AJ73,8,MATCH(IF('Data-solution'!$A$3="Maximize",MAX($C74:$AI74),MIN($C74:$AI74)),$C74:$AI74,0))*INDEX(Z63:$AJ73,MATCH(MIN($AK63:$AK73),$AK63:$AK73,0),1)/INDEX($C63:$AJ73,MATCH(MIN($AK63:$AK73),$AK63:$AK73,0),MATCH(IF('Data-solution'!$A$3="Maximize",MAX($C74:$AI74),MIN($C74:$AI74)),$C74:$AI74,0))),Z70)</f>
        <v>0</v>
      </c>
      <c r="AA85" s="1">
        <f>IF(OR($B78&lt;&gt;$B63,$B79&lt;&gt;$B64,$B80&lt;&gt;$B65,$B81&lt;&gt;$B66,$B82&lt;&gt;$B67,$B83&lt;&gt;$B68,$B84&lt;&gt;$B69,$B85&lt;&gt;$B70,$B86&lt;&gt;$B71,$B87&lt;&gt;$B72,$B88&lt;&gt;$B73),IF($B85&lt;&gt;$B70,AA70/INDEX($C63:$AJ73,8,MATCH(IF('Data-solution'!$A$3="Maximize",MAX($C74:$AI74),MIN($C74:$AI74)),$C74:$AI74,0)),AA70-INDEX($C63:$AJ73,8,MATCH(IF('Data-solution'!$A$3="Maximize",MAX($C74:$AI74),MIN($C74:$AI74)),$C74:$AI74,0))*INDEX(AA63:$AJ73,MATCH(MIN($AK63:$AK73),$AK63:$AK73,0),1)/INDEX($C63:$AJ73,MATCH(MIN($AK63:$AK73),$AK63:$AK73,0),MATCH(IF('Data-solution'!$A$3="Maximize",MAX($C74:$AI74),MIN($C74:$AI74)),$C74:$AI74,0))),AA70)</f>
        <v>0</v>
      </c>
      <c r="AB85" s="1">
        <f>IF(OR($B78&lt;&gt;$B63,$B79&lt;&gt;$B64,$B80&lt;&gt;$B65,$B81&lt;&gt;$B66,$B82&lt;&gt;$B67,$B83&lt;&gt;$B68,$B84&lt;&gt;$B69,$B85&lt;&gt;$B70,$B86&lt;&gt;$B71,$B87&lt;&gt;$B72,$B88&lt;&gt;$B73),IF($B85&lt;&gt;$B70,AB70/INDEX($C63:$AJ73,8,MATCH(IF('Data-solution'!$A$3="Maximize",MAX($C74:$AI74),MIN($C74:$AI74)),$C74:$AI74,0)),AB70-INDEX($C63:$AJ73,8,MATCH(IF('Data-solution'!$A$3="Maximize",MAX($C74:$AI74),MIN($C74:$AI74)),$C74:$AI74,0))*INDEX(AB63:$AJ73,MATCH(MIN($AK63:$AK73),$AK63:$AK73,0),1)/INDEX($C63:$AJ73,MATCH(MIN($AK63:$AK73),$AK63:$AK73,0),MATCH(IF('Data-solution'!$A$3="Maximize",MAX($C74:$AI74),MIN($C74:$AI74)),$C74:$AI74,0))),AB70)</f>
        <v>0</v>
      </c>
      <c r="AC85" s="1">
        <f>IF(OR($B78&lt;&gt;$B63,$B79&lt;&gt;$B64,$B80&lt;&gt;$B65,$B81&lt;&gt;$B66,$B82&lt;&gt;$B67,$B83&lt;&gt;$B68,$B84&lt;&gt;$B69,$B85&lt;&gt;$B70,$B86&lt;&gt;$B71,$B87&lt;&gt;$B72,$B88&lt;&gt;$B73),IF($B85&lt;&gt;$B70,AC70/INDEX($C63:$AJ73,8,MATCH(IF('Data-solution'!$A$3="Maximize",MAX($C74:$AI74),MIN($C74:$AI74)),$C74:$AI74,0)),AC70-INDEX($C63:$AJ73,8,MATCH(IF('Data-solution'!$A$3="Maximize",MAX($C74:$AI74),MIN($C74:$AI74)),$C74:$AI74,0))*INDEX(AC63:$AJ73,MATCH(MIN($AK63:$AK73),$AK63:$AK73,0),1)/INDEX($C63:$AJ73,MATCH(MIN($AK63:$AK73),$AK63:$AK73,0),MATCH(IF('Data-solution'!$A$3="Maximize",MAX($C74:$AI74),MIN($C74:$AI74)),$C74:$AI74,0))),AC70)</f>
        <v>0</v>
      </c>
      <c r="AD85" s="1">
        <f>IF(OR($B78&lt;&gt;$B63,$B79&lt;&gt;$B64,$B80&lt;&gt;$B65,$B81&lt;&gt;$B66,$B82&lt;&gt;$B67,$B83&lt;&gt;$B68,$B84&lt;&gt;$B69,$B85&lt;&gt;$B70,$B86&lt;&gt;$B71,$B87&lt;&gt;$B72,$B88&lt;&gt;$B73),IF($B85&lt;&gt;$B70,AD70/INDEX($C63:$AJ73,8,MATCH(IF('Data-solution'!$A$3="Maximize",MAX($C74:$AI74),MIN($C74:$AI74)),$C74:$AI74,0)),AD70-INDEX($C63:$AJ73,8,MATCH(IF('Data-solution'!$A$3="Maximize",MAX($C74:$AI74),MIN($C74:$AI74)),$C74:$AI74,0))*INDEX(AD63:$AJ73,MATCH(MIN($AK63:$AK73),$AK63:$AK73,0),1)/INDEX($C63:$AJ73,MATCH(MIN($AK63:$AK73),$AK63:$AK73,0),MATCH(IF('Data-solution'!$A$3="Maximize",MAX($C74:$AI74),MIN($C74:$AI74)),$C74:$AI74,0))),AD70)</f>
        <v>0</v>
      </c>
      <c r="AE85" s="1">
        <f>IF(OR($B78&lt;&gt;$B63,$B79&lt;&gt;$B64,$B80&lt;&gt;$B65,$B81&lt;&gt;$B66,$B82&lt;&gt;$B67,$B83&lt;&gt;$B68,$B84&lt;&gt;$B69,$B85&lt;&gt;$B70,$B86&lt;&gt;$B71,$B87&lt;&gt;$B72,$B88&lt;&gt;$B73),IF($B85&lt;&gt;$B70,AE70/INDEX($C63:$AJ73,8,MATCH(IF('Data-solution'!$A$3="Maximize",MAX($C74:$AI74),MIN($C74:$AI74)),$C74:$AI74,0)),AE70-INDEX($C63:$AJ73,8,MATCH(IF('Data-solution'!$A$3="Maximize",MAX($C74:$AI74),MIN($C74:$AI74)),$C74:$AI74,0))*INDEX(AE63:$AJ73,MATCH(MIN($AK63:$AK73),$AK63:$AK73,0),1)/INDEX($C63:$AJ73,MATCH(MIN($AK63:$AK73),$AK63:$AK73,0),MATCH(IF('Data-solution'!$A$3="Maximize",MAX($C74:$AI74),MIN($C74:$AI74)),$C74:$AI74,0))),AE70)</f>
        <v>0</v>
      </c>
      <c r="AF85" s="1">
        <f>IF(OR($B78&lt;&gt;$B63,$B79&lt;&gt;$B64,$B80&lt;&gt;$B65,$B81&lt;&gt;$B66,$B82&lt;&gt;$B67,$B83&lt;&gt;$B68,$B84&lt;&gt;$B69,$B85&lt;&gt;$B70,$B86&lt;&gt;$B71,$B87&lt;&gt;$B72,$B88&lt;&gt;$B73),IF($B85&lt;&gt;$B70,AF70/INDEX($C63:$AJ73,8,MATCH(IF('Data-solution'!$A$3="Maximize",MAX($C74:$AI74),MIN($C74:$AI74)),$C74:$AI74,0)),AF70-INDEX($C63:$AJ73,8,MATCH(IF('Data-solution'!$A$3="Maximize",MAX($C74:$AI74),MIN($C74:$AI74)),$C74:$AI74,0))*INDEX(AF63:$AJ73,MATCH(MIN($AK63:$AK73),$AK63:$AK73,0),1)/INDEX($C63:$AJ73,MATCH(MIN($AK63:$AK73),$AK63:$AK73,0),MATCH(IF('Data-solution'!$A$3="Maximize",MAX($C74:$AI74),MIN($C74:$AI74)),$C74:$AI74,0))),AF70)</f>
        <v>1</v>
      </c>
      <c r="AG85" s="1">
        <f>IF(OR($B78&lt;&gt;$B63,$B79&lt;&gt;$B64,$B80&lt;&gt;$B65,$B81&lt;&gt;$B66,$B82&lt;&gt;$B67,$B83&lt;&gt;$B68,$B84&lt;&gt;$B69,$B85&lt;&gt;$B70,$B86&lt;&gt;$B71,$B87&lt;&gt;$B72,$B88&lt;&gt;$B73),IF($B85&lt;&gt;$B70,AG70/INDEX($C63:$AJ73,8,MATCH(IF('Data-solution'!$A$3="Maximize",MAX($C74:$AI74),MIN($C74:$AI74)),$C74:$AI74,0)),AG70-INDEX($C63:$AJ73,8,MATCH(IF('Data-solution'!$A$3="Maximize",MAX($C74:$AI74),MIN($C74:$AI74)),$C74:$AI74,0))*INDEX(AG63:$AJ73,MATCH(MIN($AK63:$AK73),$AK63:$AK73,0),1)/INDEX($C63:$AJ73,MATCH(MIN($AK63:$AK73),$AK63:$AK73,0),MATCH(IF('Data-solution'!$A$3="Maximize",MAX($C74:$AI74),MIN($C74:$AI74)),$C74:$AI74,0))),AG70)</f>
        <v>0</v>
      </c>
      <c r="AH85" s="1">
        <f>IF(OR($B78&lt;&gt;$B63,$B79&lt;&gt;$B64,$B80&lt;&gt;$B65,$B81&lt;&gt;$B66,$B82&lt;&gt;$B67,$B83&lt;&gt;$B68,$B84&lt;&gt;$B69,$B85&lt;&gt;$B70,$B86&lt;&gt;$B71,$B87&lt;&gt;$B72,$B88&lt;&gt;$B73),IF($B85&lt;&gt;$B70,AH70/INDEX($C63:$AJ73,8,MATCH(IF('Data-solution'!$A$3="Maximize",MAX($C74:$AI74),MIN($C74:$AI74)),$C74:$AI74,0)),AH70-INDEX($C63:$AJ73,8,MATCH(IF('Data-solution'!$A$3="Maximize",MAX($C74:$AI74),MIN($C74:$AI74)),$C74:$AI74,0))*INDEX(AH63:$AJ73,MATCH(MIN($AK63:$AK73),$AK63:$AK73,0),1)/INDEX($C63:$AJ73,MATCH(MIN($AK63:$AK73),$AK63:$AK73,0),MATCH(IF('Data-solution'!$A$3="Maximize",MAX($C74:$AI74),MIN($C74:$AI74)),$C74:$AI74,0))),AH70)</f>
        <v>0</v>
      </c>
      <c r="AI85" s="1">
        <f>IF(OR($B78&lt;&gt;$B63,$B79&lt;&gt;$B64,$B80&lt;&gt;$B65,$B81&lt;&gt;$B66,$B82&lt;&gt;$B67,$B83&lt;&gt;$B68,$B84&lt;&gt;$B69,$B85&lt;&gt;$B70,$B86&lt;&gt;$B71,$B87&lt;&gt;$B72,$B88&lt;&gt;$B73),IF($B85&lt;&gt;$B70,AI70/INDEX($C63:$AJ73,8,MATCH(IF('Data-solution'!$A$3="Maximize",MAX($C74:$AI74),MIN($C74:$AI74)),$C74:$AI74,0)),AI70-INDEX($C63:$AJ73,8,MATCH(IF('Data-solution'!$A$3="Maximize",MAX($C74:$AI74),MIN($C74:$AI74)),$C74:$AI74,0))*INDEX(AI63:$AJ73,MATCH(MIN($AK63:$AK73),$AK63:$AK73,0),1)/INDEX($C63:$AJ73,MATCH(MIN($AK63:$AK73),$AK63:$AK73,0),MATCH(IF('Data-solution'!$A$3="Maximize",MAX($C74:$AI74),MIN($C74:$AI74)),$C74:$AI74,0))),AI70)</f>
        <v>0</v>
      </c>
      <c r="AJ85" s="1">
        <f>IF(OR($B78&lt;&gt;$B63,$B79&lt;&gt;$B64,$B80&lt;&gt;$B65,$B81&lt;&gt;$B66,$B82&lt;&gt;$B67,$B83&lt;&gt;$B68,$B84&lt;&gt;$B69,$B85&lt;&gt;$B70,$B86&lt;&gt;$B71,$B87&lt;&gt;$B72,$B88&lt;&gt;$B73),IF($B85&lt;&gt;$B70,AJ70/INDEX($C63:$AJ73,8,MATCH(IF('Data-solution'!$A$3="Maximize",MAX($C74:$AI74),MIN($C74:$AI74)),$C74:$AI74,0)),AJ70-INDEX($C63:$AJ73,8,MATCH(IF('Data-solution'!$A$3="Maximize",MAX($C74:$AI74),MIN($C74:$AI74)),$C74:$AI74,0))*INDEX(AJ63:$AJ73,MATCH(MIN($AK63:$AK73),$AK63:$AK73,0),1)/INDEX($C63:$AJ73,MATCH(MIN($AK63:$AK73),$AK63:$AK73,0),MATCH(IF('Data-solution'!$A$3="Maximize",MAX($C74:$AI74),MIN($C74:$AI74)),$C74:$AI74,0))),AJ70)</f>
        <v>0</v>
      </c>
      <c r="AK85" s="1" t="str">
        <f>IF(INDEX(C85:X85,1,MATCH(IF('Data-solution'!A$3="Maximize",MAX(C89:X89),MIN(C89:X89)),C89:X89,0))&gt;0,AJ85/INDEX(C85:X85,1,MATCH(IF('Data-solution'!A$3="Maximize",MAX(C89:X89),MIN(C89:X89)),C89:X89,0))," ")</f>
        <v xml:space="preserve"> </v>
      </c>
    </row>
    <row r="86" spans="1:37" ht="18" customHeight="1" x14ac:dyDescent="0.2">
      <c r="A86" s="1">
        <f t="shared" ref="A86" si="58">INDEX(C76:AI76,1,MATCH(B86,C77:AI77,0))</f>
        <v>0</v>
      </c>
      <c r="B86" s="2" t="str">
        <f>IF(AND('Data-solution'!A$3="Maximize",COUNTIF(C74:X74,"&gt;"&amp;0)&gt;0,AK71=MIN(AK63:AK73),COUNTIF(B78:B85,INDEX(C62:X62,1,MATCH(MAX(C74:X74),C74:X74,0)))=0),INDEX(C62:X62,1,MATCH(MAX(C74:X74),C74:X74,0)),IF(AND('Data-solution'!A$3="Minimize",COUNTIF(C74:X74,"&lt;"&amp;0)&gt;0,AK71=MIN(AK63:AK73),COUNTIF(B78:B85,INDEX(C62:X62,1,MATCH(MIN(C74:X74),C74:X74,0)))=0),INDEX(C62:X62,1,MATCH(MIN(C74:X74),C74:X74,0)),B71))</f>
        <v>S9</v>
      </c>
      <c r="C86" s="1">
        <f>IF(OR($B78&lt;&gt;$B63,$B79&lt;&gt;$B64,$B80&lt;&gt;$B65,$B81&lt;&gt;$B66,$B82&lt;&gt;$B67,$B83&lt;&gt;$B68,$B84&lt;&gt;$B69,$B85&lt;&gt;$B70,$B86&lt;&gt;$B71,$B87&lt;&gt;$B72,$B88&lt;&gt;$B73),IF($B86&lt;&gt;$B71,C71/INDEX($C63:$AJ73,9,MATCH(IF('Data-solution'!$A$3="Maximize",MAX($C74:$AI74),MIN($C74:$AI74)),$C74:$AI74,0)),C71-INDEX($C63:$AJ73,9,MATCH(IF('Data-solution'!$A$3="Maximize",MAX($C74:$AI74),MIN($C74:$AI74)),$C74:$AI74,0))*INDEX(C63:$AJ73,MATCH(MIN($AK63:$AK73),$AK63:$AK73,0),1)/INDEX($C63:$AJ73,MATCH(MIN($AK63:$AK73),$AK63:$AK73,0),MATCH(IF('Data-solution'!$A$3="Maximize",MAX($C74:$AI74),MIN($C74:$AI74)),$C74:$AI74,0))),C71)</f>
        <v>0</v>
      </c>
      <c r="D86" s="1">
        <f>IF(OR($B78&lt;&gt;$B63,$B79&lt;&gt;$B64,$B80&lt;&gt;$B65,$B81&lt;&gt;$B66,$B82&lt;&gt;$B67,$B83&lt;&gt;$B68,$B84&lt;&gt;$B69,$B85&lt;&gt;$B70,$B86&lt;&gt;$B71,$B87&lt;&gt;$B72,$B88&lt;&gt;$B73),IF($B86&lt;&gt;$B71,D71/INDEX($C63:$AJ73,9,MATCH(IF('Data-solution'!$A$3="Maximize",MAX($C74:$AI74),MIN($C74:$AI74)),$C74:$AI74,0)),D71-INDEX($C63:$AJ73,9,MATCH(IF('Data-solution'!$A$3="Maximize",MAX($C74:$AI74),MIN($C74:$AI74)),$C74:$AI74,0))*INDEX(D63:$AJ73,MATCH(MIN($AK63:$AK73),$AK63:$AK73,0),1)/INDEX($C63:$AJ73,MATCH(MIN($AK63:$AK73),$AK63:$AK73,0),MATCH(IF('Data-solution'!$A$3="Maximize",MAX($C74:$AI74),MIN($C74:$AI74)),$C74:$AI74,0))),D71)</f>
        <v>0</v>
      </c>
      <c r="E86" s="1">
        <f>IF(OR($B78&lt;&gt;$B63,$B79&lt;&gt;$B64,$B80&lt;&gt;$B65,$B81&lt;&gt;$B66,$B82&lt;&gt;$B67,$B83&lt;&gt;$B68,$B84&lt;&gt;$B69,$B85&lt;&gt;$B70,$B86&lt;&gt;$B71,$B87&lt;&gt;$B72,$B88&lt;&gt;$B73),IF($B86&lt;&gt;$B71,E71/INDEX($C63:$AJ73,9,MATCH(IF('Data-solution'!$A$3="Maximize",MAX($C74:$AI74),MIN($C74:$AI74)),$C74:$AI74,0)),E71-INDEX($C63:$AJ73,9,MATCH(IF('Data-solution'!$A$3="Maximize",MAX($C74:$AI74),MIN($C74:$AI74)),$C74:$AI74,0))*INDEX(E63:$AJ73,MATCH(MIN($AK63:$AK73),$AK63:$AK73,0),1)/INDEX($C63:$AJ73,MATCH(MIN($AK63:$AK73),$AK63:$AK73,0),MATCH(IF('Data-solution'!$A$3="Maximize",MAX($C74:$AI74),MIN($C74:$AI74)),$C74:$AI74,0))),E71)</f>
        <v>0</v>
      </c>
      <c r="F86" s="1">
        <f>IF(OR($B78&lt;&gt;$B63,$B79&lt;&gt;$B64,$B80&lt;&gt;$B65,$B81&lt;&gt;$B66,$B82&lt;&gt;$B67,$B83&lt;&gt;$B68,$B84&lt;&gt;$B69,$B85&lt;&gt;$B70,$B86&lt;&gt;$B71,$B87&lt;&gt;$B72,$B88&lt;&gt;$B73),IF($B86&lt;&gt;$B71,F71/INDEX($C63:$AJ73,9,MATCH(IF('Data-solution'!$A$3="Maximize",MAX($C74:$AI74),MIN($C74:$AI74)),$C74:$AI74,0)),F71-INDEX($C63:$AJ73,9,MATCH(IF('Data-solution'!$A$3="Maximize",MAX($C74:$AI74),MIN($C74:$AI74)),$C74:$AI74,0))*INDEX(F63:$AJ73,MATCH(MIN($AK63:$AK73),$AK63:$AK73,0),1)/INDEX($C63:$AJ73,MATCH(MIN($AK63:$AK73),$AK63:$AK73,0),MATCH(IF('Data-solution'!$A$3="Maximize",MAX($C74:$AI74),MIN($C74:$AI74)),$C74:$AI74,0))),F71)</f>
        <v>0</v>
      </c>
      <c r="G86" s="1">
        <f>IF(OR($B78&lt;&gt;$B63,$B79&lt;&gt;$B64,$B80&lt;&gt;$B65,$B81&lt;&gt;$B66,$B82&lt;&gt;$B67,$B83&lt;&gt;$B68,$B84&lt;&gt;$B69,$B85&lt;&gt;$B70,$B86&lt;&gt;$B71,$B87&lt;&gt;$B72,$B88&lt;&gt;$B73),IF($B86&lt;&gt;$B71,G71/INDEX($C63:$AJ73,9,MATCH(IF('Data-solution'!$A$3="Maximize",MAX($C74:$AI74),MIN($C74:$AI74)),$C74:$AI74,0)),G71-INDEX($C63:$AJ73,9,MATCH(IF('Data-solution'!$A$3="Maximize",MAX($C74:$AI74),MIN($C74:$AI74)),$C74:$AI74,0))*INDEX(G63:$AJ73,MATCH(MIN($AK63:$AK73),$AK63:$AK73,0),1)/INDEX($C63:$AJ73,MATCH(MIN($AK63:$AK73),$AK63:$AK73,0),MATCH(IF('Data-solution'!$A$3="Maximize",MAX($C74:$AI74),MIN($C74:$AI74)),$C74:$AI74,0))),G71)</f>
        <v>0</v>
      </c>
      <c r="H86" s="1">
        <f>IF(OR($B78&lt;&gt;$B63,$B79&lt;&gt;$B64,$B80&lt;&gt;$B65,$B81&lt;&gt;$B66,$B82&lt;&gt;$B67,$B83&lt;&gt;$B68,$B84&lt;&gt;$B69,$B85&lt;&gt;$B70,$B86&lt;&gt;$B71,$B87&lt;&gt;$B72,$B88&lt;&gt;$B73),IF($B86&lt;&gt;$B71,H71/INDEX($C63:$AJ73,9,MATCH(IF('Data-solution'!$A$3="Maximize",MAX($C74:$AI74),MIN($C74:$AI74)),$C74:$AI74,0)),H71-INDEX($C63:$AJ73,9,MATCH(IF('Data-solution'!$A$3="Maximize",MAX($C74:$AI74),MIN($C74:$AI74)),$C74:$AI74,0))*INDEX(H63:$AJ73,MATCH(MIN($AK63:$AK73),$AK63:$AK73,0),1)/INDEX($C63:$AJ73,MATCH(MIN($AK63:$AK73),$AK63:$AK73,0),MATCH(IF('Data-solution'!$A$3="Maximize",MAX($C74:$AI74),MIN($C74:$AI74)),$C74:$AI74,0))),H71)</f>
        <v>0</v>
      </c>
      <c r="I86" s="1">
        <f>IF(OR($B78&lt;&gt;$B63,$B79&lt;&gt;$B64,$B80&lt;&gt;$B65,$B81&lt;&gt;$B66,$B82&lt;&gt;$B67,$B83&lt;&gt;$B68,$B84&lt;&gt;$B69,$B85&lt;&gt;$B70,$B86&lt;&gt;$B71,$B87&lt;&gt;$B72,$B88&lt;&gt;$B73),IF($B86&lt;&gt;$B71,I71/INDEX($C63:$AJ73,9,MATCH(IF('Data-solution'!$A$3="Maximize",MAX($C74:$AI74),MIN($C74:$AI74)),$C74:$AI74,0)),I71-INDEX($C63:$AJ73,9,MATCH(IF('Data-solution'!$A$3="Maximize",MAX($C74:$AI74),MIN($C74:$AI74)),$C74:$AI74,0))*INDEX(I63:$AJ73,MATCH(MIN($AK63:$AK73),$AK63:$AK73,0),1)/INDEX($C63:$AJ73,MATCH(MIN($AK63:$AK73),$AK63:$AK73,0),MATCH(IF('Data-solution'!$A$3="Maximize",MAX($C74:$AI74),MIN($C74:$AI74)),$C74:$AI74,0))),I71)</f>
        <v>0</v>
      </c>
      <c r="J86" s="1">
        <f>IF(OR($B78&lt;&gt;$B63,$B79&lt;&gt;$B64,$B80&lt;&gt;$B65,$B81&lt;&gt;$B66,$B82&lt;&gt;$B67,$B83&lt;&gt;$B68,$B84&lt;&gt;$B69,$B85&lt;&gt;$B70,$B86&lt;&gt;$B71,$B87&lt;&gt;$B72,$B88&lt;&gt;$B73),IF($B86&lt;&gt;$B71,J71/INDEX($C63:$AJ73,9,MATCH(IF('Data-solution'!$A$3="Maximize",MAX($C74:$AI74),MIN($C74:$AI74)),$C74:$AI74,0)),J71-INDEX($C63:$AJ73,9,MATCH(IF('Data-solution'!$A$3="Maximize",MAX($C74:$AI74),MIN($C74:$AI74)),$C74:$AI74,0))*INDEX(J63:$AJ73,MATCH(MIN($AK63:$AK73),$AK63:$AK73,0),1)/INDEX($C63:$AJ73,MATCH(MIN($AK63:$AK73),$AK63:$AK73,0),MATCH(IF('Data-solution'!$A$3="Maximize",MAX($C74:$AI74),MIN($C74:$AI74)),$C74:$AI74,0))),J71)</f>
        <v>0</v>
      </c>
      <c r="K86" s="1">
        <f>IF(OR($B78&lt;&gt;$B63,$B79&lt;&gt;$B64,$B80&lt;&gt;$B65,$B81&lt;&gt;$B66,$B82&lt;&gt;$B67,$B83&lt;&gt;$B68,$B84&lt;&gt;$B69,$B85&lt;&gt;$B70,$B86&lt;&gt;$B71,$B87&lt;&gt;$B72,$B88&lt;&gt;$B73),IF($B86&lt;&gt;$B71,K71/INDEX($C63:$AJ73,9,MATCH(IF('Data-solution'!$A$3="Maximize",MAX($C74:$AI74),MIN($C74:$AI74)),$C74:$AI74,0)),K71-INDEX($C63:$AJ73,9,MATCH(IF('Data-solution'!$A$3="Maximize",MAX($C74:$AI74),MIN($C74:$AI74)),$C74:$AI74,0))*INDEX(K63:$AJ73,MATCH(MIN($AK63:$AK73),$AK63:$AK73,0),1)/INDEX($C63:$AJ73,MATCH(MIN($AK63:$AK73),$AK63:$AK73,0),MATCH(IF('Data-solution'!$A$3="Maximize",MAX($C74:$AI74),MIN($C74:$AI74)),$C74:$AI74,0))),K71)</f>
        <v>0</v>
      </c>
      <c r="L86" s="1">
        <f>IF(OR($B78&lt;&gt;$B63,$B79&lt;&gt;$B64,$B80&lt;&gt;$B65,$B81&lt;&gt;$B66,$B82&lt;&gt;$B67,$B83&lt;&gt;$B68,$B84&lt;&gt;$B69,$B85&lt;&gt;$B70,$B86&lt;&gt;$B71,$B87&lt;&gt;$B72,$B88&lt;&gt;$B73),IF($B86&lt;&gt;$B71,L71/INDEX($C63:$AJ73,9,MATCH(IF('Data-solution'!$A$3="Maximize",MAX($C74:$AI74),MIN($C74:$AI74)),$C74:$AI74,0)),L71-INDEX($C63:$AJ73,9,MATCH(IF('Data-solution'!$A$3="Maximize",MAX($C74:$AI74),MIN($C74:$AI74)),$C74:$AI74,0))*INDEX(L63:$AJ73,MATCH(MIN($AK63:$AK73),$AK63:$AK73,0),1)/INDEX($C63:$AJ73,MATCH(MIN($AK63:$AK73),$AK63:$AK73,0),MATCH(IF('Data-solution'!$A$3="Maximize",MAX($C74:$AI74),MIN($C74:$AI74)),$C74:$AI74,0))),L71)</f>
        <v>0</v>
      </c>
      <c r="M86" s="1">
        <f>IF(OR($B78&lt;&gt;$B63,$B79&lt;&gt;$B64,$B80&lt;&gt;$B65,$B81&lt;&gt;$B66,$B82&lt;&gt;$B67,$B83&lt;&gt;$B68,$B84&lt;&gt;$B69,$B85&lt;&gt;$B70,$B86&lt;&gt;$B71,$B87&lt;&gt;$B72,$B88&lt;&gt;$B73),IF($B86&lt;&gt;$B71,M71/INDEX($C63:$AJ73,9,MATCH(IF('Data-solution'!$A$3="Maximize",MAX($C74:$AI74),MIN($C74:$AI74)),$C74:$AI74,0)),M71-INDEX($C63:$AJ73,9,MATCH(IF('Data-solution'!$A$3="Maximize",MAX($C74:$AI74),MIN($C74:$AI74)),$C74:$AI74,0))*INDEX(M63:$AJ73,MATCH(MIN($AK63:$AK73),$AK63:$AK73,0),1)/INDEX($C63:$AJ73,MATCH(MIN($AK63:$AK73),$AK63:$AK73,0),MATCH(IF('Data-solution'!$A$3="Maximize",MAX($C74:$AI74),MIN($C74:$AI74)),$C74:$AI74,0))),M71)</f>
        <v>0</v>
      </c>
      <c r="N86" s="1">
        <f>IF(OR($B78&lt;&gt;$B63,$B79&lt;&gt;$B64,$B80&lt;&gt;$B65,$B81&lt;&gt;$B66,$B82&lt;&gt;$B67,$B83&lt;&gt;$B68,$B84&lt;&gt;$B69,$B85&lt;&gt;$B70,$B86&lt;&gt;$B71,$B87&lt;&gt;$B72,$B88&lt;&gt;$B73),IF($B86&lt;&gt;$B71,N71/INDEX($C63:$AJ73,9,MATCH(IF('Data-solution'!$A$3="Maximize",MAX($C74:$AI74),MIN($C74:$AI74)),$C74:$AI74,0)),N71-INDEX($C63:$AJ73,9,MATCH(IF('Data-solution'!$A$3="Maximize",MAX($C74:$AI74),MIN($C74:$AI74)),$C74:$AI74,0))*INDEX(N63:$AJ73,MATCH(MIN($AK63:$AK73),$AK63:$AK73,0),1)/INDEX($C63:$AJ73,MATCH(MIN($AK63:$AK73),$AK63:$AK73,0),MATCH(IF('Data-solution'!$A$3="Maximize",MAX($C74:$AI74),MIN($C74:$AI74)),$C74:$AI74,0))),N71)</f>
        <v>0</v>
      </c>
      <c r="O86" s="1">
        <f>IF(OR($B78&lt;&gt;$B63,$B79&lt;&gt;$B64,$B80&lt;&gt;$B65,$B81&lt;&gt;$B66,$B82&lt;&gt;$B67,$B83&lt;&gt;$B68,$B84&lt;&gt;$B69,$B85&lt;&gt;$B70,$B86&lt;&gt;$B71,$B87&lt;&gt;$B72,$B88&lt;&gt;$B73),IF($B86&lt;&gt;$B71,O71/INDEX($C63:$AJ73,9,MATCH(IF('Data-solution'!$A$3="Maximize",MAX($C74:$AI74),MIN($C74:$AI74)),$C74:$AI74,0)),O71-INDEX($C63:$AJ73,9,MATCH(IF('Data-solution'!$A$3="Maximize",MAX($C74:$AI74),MIN($C74:$AI74)),$C74:$AI74,0))*INDEX(O63:$AJ73,MATCH(MIN($AK63:$AK73),$AK63:$AK73,0),1)/INDEX($C63:$AJ73,MATCH(MIN($AK63:$AK73),$AK63:$AK73,0),MATCH(IF('Data-solution'!$A$3="Maximize",MAX($C74:$AI74),MIN($C74:$AI74)),$C74:$AI74,0))),O71)</f>
        <v>0</v>
      </c>
      <c r="P86" s="1">
        <f>IF(OR($B78&lt;&gt;$B63,$B79&lt;&gt;$B64,$B80&lt;&gt;$B65,$B81&lt;&gt;$B66,$B82&lt;&gt;$B67,$B83&lt;&gt;$B68,$B84&lt;&gt;$B69,$B85&lt;&gt;$B70,$B86&lt;&gt;$B71,$B87&lt;&gt;$B72,$B88&lt;&gt;$B73),IF($B86&lt;&gt;$B71,P71/INDEX($C63:$AJ73,9,MATCH(IF('Data-solution'!$A$3="Maximize",MAX($C74:$AI74),MIN($C74:$AI74)),$C74:$AI74,0)),P71-INDEX($C63:$AJ73,9,MATCH(IF('Data-solution'!$A$3="Maximize",MAX($C74:$AI74),MIN($C74:$AI74)),$C74:$AI74,0))*INDEX(P63:$AJ73,MATCH(MIN($AK63:$AK73),$AK63:$AK73,0),1)/INDEX($C63:$AJ73,MATCH(MIN($AK63:$AK73),$AK63:$AK73,0),MATCH(IF('Data-solution'!$A$3="Maximize",MAX($C74:$AI74),MIN($C74:$AI74)),$C74:$AI74,0))),P71)</f>
        <v>0</v>
      </c>
      <c r="Q86" s="1">
        <f>IF(OR($B78&lt;&gt;$B63,$B79&lt;&gt;$B64,$B80&lt;&gt;$B65,$B81&lt;&gt;$B66,$B82&lt;&gt;$B67,$B83&lt;&gt;$B68,$B84&lt;&gt;$B69,$B85&lt;&gt;$B70,$B86&lt;&gt;$B71,$B87&lt;&gt;$B72,$B88&lt;&gt;$B73),IF($B86&lt;&gt;$B71,Q71/INDEX($C63:$AJ73,9,MATCH(IF('Data-solution'!$A$3="Maximize",MAX($C74:$AI74),MIN($C74:$AI74)),$C74:$AI74,0)),Q71-INDEX($C63:$AJ73,9,MATCH(IF('Data-solution'!$A$3="Maximize",MAX($C74:$AI74),MIN($C74:$AI74)),$C74:$AI74,0))*INDEX(Q63:$AJ73,MATCH(MIN($AK63:$AK73),$AK63:$AK73,0),1)/INDEX($C63:$AJ73,MATCH(MIN($AK63:$AK73),$AK63:$AK73,0),MATCH(IF('Data-solution'!$A$3="Maximize",MAX($C74:$AI74),MIN($C74:$AI74)),$C74:$AI74,0))),Q71)</f>
        <v>0</v>
      </c>
      <c r="R86" s="1">
        <f>IF(OR($B78&lt;&gt;$B63,$B79&lt;&gt;$B64,$B80&lt;&gt;$B65,$B81&lt;&gt;$B66,$B82&lt;&gt;$B67,$B83&lt;&gt;$B68,$B84&lt;&gt;$B69,$B85&lt;&gt;$B70,$B86&lt;&gt;$B71,$B87&lt;&gt;$B72,$B88&lt;&gt;$B73),IF($B86&lt;&gt;$B71,R71/INDEX($C63:$AJ73,9,MATCH(IF('Data-solution'!$A$3="Maximize",MAX($C74:$AI74),MIN($C74:$AI74)),$C74:$AI74,0)),R71-INDEX($C63:$AJ73,9,MATCH(IF('Data-solution'!$A$3="Maximize",MAX($C74:$AI74),MIN($C74:$AI74)),$C74:$AI74,0))*INDEX(R63:$AJ73,MATCH(MIN($AK63:$AK73),$AK63:$AK73,0),1)/INDEX($C63:$AJ73,MATCH(MIN($AK63:$AK73),$AK63:$AK73,0),MATCH(IF('Data-solution'!$A$3="Maximize",MAX($C74:$AI74),MIN($C74:$AI74)),$C74:$AI74,0))),R71)</f>
        <v>0</v>
      </c>
      <c r="S86" s="1">
        <f>IF(OR($B78&lt;&gt;$B63,$B79&lt;&gt;$B64,$B80&lt;&gt;$B65,$B81&lt;&gt;$B66,$B82&lt;&gt;$B67,$B83&lt;&gt;$B68,$B84&lt;&gt;$B69,$B85&lt;&gt;$B70,$B86&lt;&gt;$B71,$B87&lt;&gt;$B72,$B88&lt;&gt;$B73),IF($B86&lt;&gt;$B71,S71/INDEX($C63:$AJ73,9,MATCH(IF('Data-solution'!$A$3="Maximize",MAX($C74:$AI74),MIN($C74:$AI74)),$C74:$AI74,0)),S71-INDEX($C63:$AJ73,9,MATCH(IF('Data-solution'!$A$3="Maximize",MAX($C74:$AI74),MIN($C74:$AI74)),$C74:$AI74,0))*INDEX(S63:$AJ73,MATCH(MIN($AK63:$AK73),$AK63:$AK73,0),1)/INDEX($C63:$AJ73,MATCH(MIN($AK63:$AK73),$AK63:$AK73,0),MATCH(IF('Data-solution'!$A$3="Maximize",MAX($C74:$AI74),MIN($C74:$AI74)),$C74:$AI74,0))),S71)</f>
        <v>0</v>
      </c>
      <c r="T86" s="1">
        <f>IF(OR($B78&lt;&gt;$B63,$B79&lt;&gt;$B64,$B80&lt;&gt;$B65,$B81&lt;&gt;$B66,$B82&lt;&gt;$B67,$B83&lt;&gt;$B68,$B84&lt;&gt;$B69,$B85&lt;&gt;$B70,$B86&lt;&gt;$B71,$B87&lt;&gt;$B72,$B88&lt;&gt;$B73),IF($B86&lt;&gt;$B71,T71/INDEX($C63:$AJ73,9,MATCH(IF('Data-solution'!$A$3="Maximize",MAX($C74:$AI74),MIN($C74:$AI74)),$C74:$AI74,0)),T71-INDEX($C63:$AJ73,9,MATCH(IF('Data-solution'!$A$3="Maximize",MAX($C74:$AI74),MIN($C74:$AI74)),$C74:$AI74,0))*INDEX(T63:$AJ73,MATCH(MIN($AK63:$AK73),$AK63:$AK73,0),1)/INDEX($C63:$AJ73,MATCH(MIN($AK63:$AK73),$AK63:$AK73,0),MATCH(IF('Data-solution'!$A$3="Maximize",MAX($C74:$AI74),MIN($C74:$AI74)),$C74:$AI74,0))),T71)</f>
        <v>0</v>
      </c>
      <c r="U86" s="1">
        <f>IF(OR($B78&lt;&gt;$B63,$B79&lt;&gt;$B64,$B80&lt;&gt;$B65,$B81&lt;&gt;$B66,$B82&lt;&gt;$B67,$B83&lt;&gt;$B68,$B84&lt;&gt;$B69,$B85&lt;&gt;$B70,$B86&lt;&gt;$B71,$B87&lt;&gt;$B72,$B88&lt;&gt;$B73),IF($B86&lt;&gt;$B71,U71/INDEX($C63:$AJ73,9,MATCH(IF('Data-solution'!$A$3="Maximize",MAX($C74:$AI74),MIN($C74:$AI74)),$C74:$AI74,0)),U71-INDEX($C63:$AJ73,9,MATCH(IF('Data-solution'!$A$3="Maximize",MAX($C74:$AI74),MIN($C74:$AI74)),$C74:$AI74,0))*INDEX(U63:$AJ73,MATCH(MIN($AK63:$AK73),$AK63:$AK73,0),1)/INDEX($C63:$AJ73,MATCH(MIN($AK63:$AK73),$AK63:$AK73,0),MATCH(IF('Data-solution'!$A$3="Maximize",MAX($C74:$AI74),MIN($C74:$AI74)),$C74:$AI74,0))),U71)</f>
        <v>0</v>
      </c>
      <c r="V86" s="1">
        <f>IF(OR($B78&lt;&gt;$B63,$B79&lt;&gt;$B64,$B80&lt;&gt;$B65,$B81&lt;&gt;$B66,$B82&lt;&gt;$B67,$B83&lt;&gt;$B68,$B84&lt;&gt;$B69,$B85&lt;&gt;$B70,$B86&lt;&gt;$B71,$B87&lt;&gt;$B72,$B88&lt;&gt;$B73),IF($B86&lt;&gt;$B71,V71/INDEX($C63:$AJ73,9,MATCH(IF('Data-solution'!$A$3="Maximize",MAX($C74:$AI74),MIN($C74:$AI74)),$C74:$AI74,0)),V71-INDEX($C63:$AJ73,9,MATCH(IF('Data-solution'!$A$3="Maximize",MAX($C74:$AI74),MIN($C74:$AI74)),$C74:$AI74,0))*INDEX(V63:$AJ73,MATCH(MIN($AK63:$AK73),$AK63:$AK73,0),1)/INDEX($C63:$AJ73,MATCH(MIN($AK63:$AK73),$AK63:$AK73,0),MATCH(IF('Data-solution'!$A$3="Maximize",MAX($C74:$AI74),MIN($C74:$AI74)),$C74:$AI74,0))),V71)</f>
        <v>1</v>
      </c>
      <c r="W86" s="1">
        <f>IF(OR($B78&lt;&gt;$B63,$B79&lt;&gt;$B64,$B80&lt;&gt;$B65,$B81&lt;&gt;$B66,$B82&lt;&gt;$B67,$B83&lt;&gt;$B68,$B84&lt;&gt;$B69,$B85&lt;&gt;$B70,$B86&lt;&gt;$B71,$B87&lt;&gt;$B72,$B88&lt;&gt;$B73),IF($B86&lt;&gt;$B71,W71/INDEX($C63:$AJ73,9,MATCH(IF('Data-solution'!$A$3="Maximize",MAX($C74:$AI74),MIN($C74:$AI74)),$C74:$AI74,0)),W71-INDEX($C63:$AJ73,9,MATCH(IF('Data-solution'!$A$3="Maximize",MAX($C74:$AI74),MIN($C74:$AI74)),$C74:$AI74,0))*INDEX(W63:$AJ73,MATCH(MIN($AK63:$AK73),$AK63:$AK73,0),1)/INDEX($C63:$AJ73,MATCH(MIN($AK63:$AK73),$AK63:$AK73,0),MATCH(IF('Data-solution'!$A$3="Maximize",MAX($C74:$AI74),MIN($C74:$AI74)),$C74:$AI74,0))),W71)</f>
        <v>0</v>
      </c>
      <c r="X86" s="1">
        <f>IF(OR($B78&lt;&gt;$B63,$B79&lt;&gt;$B64,$B80&lt;&gt;$B65,$B81&lt;&gt;$B66,$B82&lt;&gt;$B67,$B83&lt;&gt;$B68,$B84&lt;&gt;$B69,$B85&lt;&gt;$B70,$B86&lt;&gt;$B71,$B87&lt;&gt;$B72,$B88&lt;&gt;$B73),IF($B86&lt;&gt;$B71,X71/INDEX($C63:$AJ73,9,MATCH(IF('Data-solution'!$A$3="Maximize",MAX($C74:$AI74),MIN($C74:$AI74)),$C74:$AI74,0)),X71-INDEX($C63:$AJ73,9,MATCH(IF('Data-solution'!$A$3="Maximize",MAX($C74:$AI74),MIN($C74:$AI74)),$C74:$AI74,0))*INDEX(X63:$AJ73,MATCH(MIN($AK63:$AK73),$AK63:$AK73,0),1)/INDEX($C63:$AJ73,MATCH(MIN($AK63:$AK73),$AK63:$AK73,0),MATCH(IF('Data-solution'!$A$3="Maximize",MAX($C74:$AI74),MIN($C74:$AI74)),$C74:$AI74,0))),X71)</f>
        <v>0</v>
      </c>
      <c r="Y86" s="1">
        <f>IF(OR($B78&lt;&gt;$B63,$B79&lt;&gt;$B64,$B80&lt;&gt;$B65,$B81&lt;&gt;$B66,$B82&lt;&gt;$B67,$B83&lt;&gt;$B68,$B84&lt;&gt;$B69,$B85&lt;&gt;$B70,$B86&lt;&gt;$B71,$B87&lt;&gt;$B72,$B88&lt;&gt;$B73),IF($B86&lt;&gt;$B71,Y71/INDEX($C63:$AJ73,9,MATCH(IF('Data-solution'!$A$3="Maximize",MAX($C74:$AI74),MIN($C74:$AI74)),$C74:$AI74,0)),Y71-INDEX($C63:$AJ73,9,MATCH(IF('Data-solution'!$A$3="Maximize",MAX($C74:$AI74),MIN($C74:$AI74)),$C74:$AI74,0))*INDEX(Y63:$AJ73,MATCH(MIN($AK63:$AK73),$AK63:$AK73,0),1)/INDEX($C63:$AJ73,MATCH(MIN($AK63:$AK73),$AK63:$AK73,0),MATCH(IF('Data-solution'!$A$3="Maximize",MAX($C74:$AI74),MIN($C74:$AI74)),$C74:$AI74,0))),Y71)</f>
        <v>0</v>
      </c>
      <c r="Z86" s="1">
        <f>IF(OR($B78&lt;&gt;$B63,$B79&lt;&gt;$B64,$B80&lt;&gt;$B65,$B81&lt;&gt;$B66,$B82&lt;&gt;$B67,$B83&lt;&gt;$B68,$B84&lt;&gt;$B69,$B85&lt;&gt;$B70,$B86&lt;&gt;$B71,$B87&lt;&gt;$B72,$B88&lt;&gt;$B73),IF($B86&lt;&gt;$B71,Z71/INDEX($C63:$AJ73,9,MATCH(IF('Data-solution'!$A$3="Maximize",MAX($C74:$AI74),MIN($C74:$AI74)),$C74:$AI74,0)),Z71-INDEX($C63:$AJ73,9,MATCH(IF('Data-solution'!$A$3="Maximize",MAX($C74:$AI74),MIN($C74:$AI74)),$C74:$AI74,0))*INDEX(Z63:$AJ73,MATCH(MIN($AK63:$AK73),$AK63:$AK73,0),1)/INDEX($C63:$AJ73,MATCH(MIN($AK63:$AK73),$AK63:$AK73,0),MATCH(IF('Data-solution'!$A$3="Maximize",MAX($C74:$AI74),MIN($C74:$AI74)),$C74:$AI74,0))),Z71)</f>
        <v>0</v>
      </c>
      <c r="AA86" s="1">
        <f>IF(OR($B78&lt;&gt;$B63,$B79&lt;&gt;$B64,$B80&lt;&gt;$B65,$B81&lt;&gt;$B66,$B82&lt;&gt;$B67,$B83&lt;&gt;$B68,$B84&lt;&gt;$B69,$B85&lt;&gt;$B70,$B86&lt;&gt;$B71,$B87&lt;&gt;$B72,$B88&lt;&gt;$B73),IF($B86&lt;&gt;$B71,AA71/INDEX($C63:$AJ73,9,MATCH(IF('Data-solution'!$A$3="Maximize",MAX($C74:$AI74),MIN($C74:$AI74)),$C74:$AI74,0)),AA71-INDEX($C63:$AJ73,9,MATCH(IF('Data-solution'!$A$3="Maximize",MAX($C74:$AI74),MIN($C74:$AI74)),$C74:$AI74,0))*INDEX(AA63:$AJ73,MATCH(MIN($AK63:$AK73),$AK63:$AK73,0),1)/INDEX($C63:$AJ73,MATCH(MIN($AK63:$AK73),$AK63:$AK73,0),MATCH(IF('Data-solution'!$A$3="Maximize",MAX($C74:$AI74),MIN($C74:$AI74)),$C74:$AI74,0))),AA71)</f>
        <v>0</v>
      </c>
      <c r="AB86" s="1">
        <f>IF(OR($B78&lt;&gt;$B63,$B79&lt;&gt;$B64,$B80&lt;&gt;$B65,$B81&lt;&gt;$B66,$B82&lt;&gt;$B67,$B83&lt;&gt;$B68,$B84&lt;&gt;$B69,$B85&lt;&gt;$B70,$B86&lt;&gt;$B71,$B87&lt;&gt;$B72,$B88&lt;&gt;$B73),IF($B86&lt;&gt;$B71,AB71/INDEX($C63:$AJ73,9,MATCH(IF('Data-solution'!$A$3="Maximize",MAX($C74:$AI74),MIN($C74:$AI74)),$C74:$AI74,0)),AB71-INDEX($C63:$AJ73,9,MATCH(IF('Data-solution'!$A$3="Maximize",MAX($C74:$AI74),MIN($C74:$AI74)),$C74:$AI74,0))*INDEX(AB63:$AJ73,MATCH(MIN($AK63:$AK73),$AK63:$AK73,0),1)/INDEX($C63:$AJ73,MATCH(MIN($AK63:$AK73),$AK63:$AK73,0),MATCH(IF('Data-solution'!$A$3="Maximize",MAX($C74:$AI74),MIN($C74:$AI74)),$C74:$AI74,0))),AB71)</f>
        <v>0</v>
      </c>
      <c r="AC86" s="1">
        <f>IF(OR($B78&lt;&gt;$B63,$B79&lt;&gt;$B64,$B80&lt;&gt;$B65,$B81&lt;&gt;$B66,$B82&lt;&gt;$B67,$B83&lt;&gt;$B68,$B84&lt;&gt;$B69,$B85&lt;&gt;$B70,$B86&lt;&gt;$B71,$B87&lt;&gt;$B72,$B88&lt;&gt;$B73),IF($B86&lt;&gt;$B71,AC71/INDEX($C63:$AJ73,9,MATCH(IF('Data-solution'!$A$3="Maximize",MAX($C74:$AI74),MIN($C74:$AI74)),$C74:$AI74,0)),AC71-INDEX($C63:$AJ73,9,MATCH(IF('Data-solution'!$A$3="Maximize",MAX($C74:$AI74),MIN($C74:$AI74)),$C74:$AI74,0))*INDEX(AC63:$AJ73,MATCH(MIN($AK63:$AK73),$AK63:$AK73,0),1)/INDEX($C63:$AJ73,MATCH(MIN($AK63:$AK73),$AK63:$AK73,0),MATCH(IF('Data-solution'!$A$3="Maximize",MAX($C74:$AI74),MIN($C74:$AI74)),$C74:$AI74,0))),AC71)</f>
        <v>0</v>
      </c>
      <c r="AD86" s="1">
        <f>IF(OR($B78&lt;&gt;$B63,$B79&lt;&gt;$B64,$B80&lt;&gt;$B65,$B81&lt;&gt;$B66,$B82&lt;&gt;$B67,$B83&lt;&gt;$B68,$B84&lt;&gt;$B69,$B85&lt;&gt;$B70,$B86&lt;&gt;$B71,$B87&lt;&gt;$B72,$B88&lt;&gt;$B73),IF($B86&lt;&gt;$B71,AD71/INDEX($C63:$AJ73,9,MATCH(IF('Data-solution'!$A$3="Maximize",MAX($C74:$AI74),MIN($C74:$AI74)),$C74:$AI74,0)),AD71-INDEX($C63:$AJ73,9,MATCH(IF('Data-solution'!$A$3="Maximize",MAX($C74:$AI74),MIN($C74:$AI74)),$C74:$AI74,0))*INDEX(AD63:$AJ73,MATCH(MIN($AK63:$AK73),$AK63:$AK73,0),1)/INDEX($C63:$AJ73,MATCH(MIN($AK63:$AK73),$AK63:$AK73,0),MATCH(IF('Data-solution'!$A$3="Maximize",MAX($C74:$AI74),MIN($C74:$AI74)),$C74:$AI74,0))),AD71)</f>
        <v>0</v>
      </c>
      <c r="AE86" s="1">
        <f>IF(OR($B78&lt;&gt;$B63,$B79&lt;&gt;$B64,$B80&lt;&gt;$B65,$B81&lt;&gt;$B66,$B82&lt;&gt;$B67,$B83&lt;&gt;$B68,$B84&lt;&gt;$B69,$B85&lt;&gt;$B70,$B86&lt;&gt;$B71,$B87&lt;&gt;$B72,$B88&lt;&gt;$B73),IF($B86&lt;&gt;$B71,AE71/INDEX($C63:$AJ73,9,MATCH(IF('Data-solution'!$A$3="Maximize",MAX($C74:$AI74),MIN($C74:$AI74)),$C74:$AI74,0)),AE71-INDEX($C63:$AJ73,9,MATCH(IF('Data-solution'!$A$3="Maximize",MAX($C74:$AI74),MIN($C74:$AI74)),$C74:$AI74,0))*INDEX(AE63:$AJ73,MATCH(MIN($AK63:$AK73),$AK63:$AK73,0),1)/INDEX($C63:$AJ73,MATCH(MIN($AK63:$AK73),$AK63:$AK73,0),MATCH(IF('Data-solution'!$A$3="Maximize",MAX($C74:$AI74),MIN($C74:$AI74)),$C74:$AI74,0))),AE71)</f>
        <v>0</v>
      </c>
      <c r="AF86" s="1">
        <f>IF(OR($B78&lt;&gt;$B63,$B79&lt;&gt;$B64,$B80&lt;&gt;$B65,$B81&lt;&gt;$B66,$B82&lt;&gt;$B67,$B83&lt;&gt;$B68,$B84&lt;&gt;$B69,$B85&lt;&gt;$B70,$B86&lt;&gt;$B71,$B87&lt;&gt;$B72,$B88&lt;&gt;$B73),IF($B86&lt;&gt;$B71,AF71/INDEX($C63:$AJ73,9,MATCH(IF('Data-solution'!$A$3="Maximize",MAX($C74:$AI74),MIN($C74:$AI74)),$C74:$AI74,0)),AF71-INDEX($C63:$AJ73,9,MATCH(IF('Data-solution'!$A$3="Maximize",MAX($C74:$AI74),MIN($C74:$AI74)),$C74:$AI74,0))*INDEX(AF63:$AJ73,MATCH(MIN($AK63:$AK73),$AK63:$AK73,0),1)/INDEX($C63:$AJ73,MATCH(MIN($AK63:$AK73),$AK63:$AK73,0),MATCH(IF('Data-solution'!$A$3="Maximize",MAX($C74:$AI74),MIN($C74:$AI74)),$C74:$AI74,0))),AF71)</f>
        <v>0</v>
      </c>
      <c r="AG86" s="1">
        <f>IF(OR($B78&lt;&gt;$B63,$B79&lt;&gt;$B64,$B80&lt;&gt;$B65,$B81&lt;&gt;$B66,$B82&lt;&gt;$B67,$B83&lt;&gt;$B68,$B84&lt;&gt;$B69,$B85&lt;&gt;$B70,$B86&lt;&gt;$B71,$B87&lt;&gt;$B72,$B88&lt;&gt;$B73),IF($B86&lt;&gt;$B71,AG71/INDEX($C63:$AJ73,9,MATCH(IF('Data-solution'!$A$3="Maximize",MAX($C74:$AI74),MIN($C74:$AI74)),$C74:$AI74,0)),AG71-INDEX($C63:$AJ73,9,MATCH(IF('Data-solution'!$A$3="Maximize",MAX($C74:$AI74),MIN($C74:$AI74)),$C74:$AI74,0))*INDEX(AG63:$AJ73,MATCH(MIN($AK63:$AK73),$AK63:$AK73,0),1)/INDEX($C63:$AJ73,MATCH(MIN($AK63:$AK73),$AK63:$AK73,0),MATCH(IF('Data-solution'!$A$3="Maximize",MAX($C74:$AI74),MIN($C74:$AI74)),$C74:$AI74,0))),AG71)</f>
        <v>1</v>
      </c>
      <c r="AH86" s="1">
        <f>IF(OR($B78&lt;&gt;$B63,$B79&lt;&gt;$B64,$B80&lt;&gt;$B65,$B81&lt;&gt;$B66,$B82&lt;&gt;$B67,$B83&lt;&gt;$B68,$B84&lt;&gt;$B69,$B85&lt;&gt;$B70,$B86&lt;&gt;$B71,$B87&lt;&gt;$B72,$B88&lt;&gt;$B73),IF($B86&lt;&gt;$B71,AH71/INDEX($C63:$AJ73,9,MATCH(IF('Data-solution'!$A$3="Maximize",MAX($C74:$AI74),MIN($C74:$AI74)),$C74:$AI74,0)),AH71-INDEX($C63:$AJ73,9,MATCH(IF('Data-solution'!$A$3="Maximize",MAX($C74:$AI74),MIN($C74:$AI74)),$C74:$AI74,0))*INDEX(AH63:$AJ73,MATCH(MIN($AK63:$AK73),$AK63:$AK73,0),1)/INDEX($C63:$AJ73,MATCH(MIN($AK63:$AK73),$AK63:$AK73,0),MATCH(IF('Data-solution'!$A$3="Maximize",MAX($C74:$AI74),MIN($C74:$AI74)),$C74:$AI74,0))),AH71)</f>
        <v>0</v>
      </c>
      <c r="AI86" s="1">
        <f>IF(OR($B78&lt;&gt;$B63,$B79&lt;&gt;$B64,$B80&lt;&gt;$B65,$B81&lt;&gt;$B66,$B82&lt;&gt;$B67,$B83&lt;&gt;$B68,$B84&lt;&gt;$B69,$B85&lt;&gt;$B70,$B86&lt;&gt;$B71,$B87&lt;&gt;$B72,$B88&lt;&gt;$B73),IF($B86&lt;&gt;$B71,AI71/INDEX($C63:$AJ73,9,MATCH(IF('Data-solution'!$A$3="Maximize",MAX($C74:$AI74),MIN($C74:$AI74)),$C74:$AI74,0)),AI71-INDEX($C63:$AJ73,9,MATCH(IF('Data-solution'!$A$3="Maximize",MAX($C74:$AI74),MIN($C74:$AI74)),$C74:$AI74,0))*INDEX(AI63:$AJ73,MATCH(MIN($AK63:$AK73),$AK63:$AK73,0),1)/INDEX($C63:$AJ73,MATCH(MIN($AK63:$AK73),$AK63:$AK73,0),MATCH(IF('Data-solution'!$A$3="Maximize",MAX($C74:$AI74),MIN($C74:$AI74)),$C74:$AI74,0))),AI71)</f>
        <v>0</v>
      </c>
      <c r="AJ86" s="1">
        <f>IF(OR($B78&lt;&gt;$B63,$B79&lt;&gt;$B64,$B80&lt;&gt;$B65,$B81&lt;&gt;$B66,$B82&lt;&gt;$B67,$B83&lt;&gt;$B68,$B84&lt;&gt;$B69,$B85&lt;&gt;$B70,$B86&lt;&gt;$B71,$B87&lt;&gt;$B72,$B88&lt;&gt;$B73),IF($B86&lt;&gt;$B71,AJ71/INDEX($C63:$AJ73,9,MATCH(IF('Data-solution'!$A$3="Maximize",MAX($C74:$AI74),MIN($C74:$AI74)),$C74:$AI74,0)),AJ71-INDEX($C63:$AJ73,9,MATCH(IF('Data-solution'!$A$3="Maximize",MAX($C74:$AI74),MIN($C74:$AI74)),$C74:$AI74,0))*INDEX(AJ63:$AJ73,MATCH(MIN($AK63:$AK73),$AK63:$AK73,0),1)/INDEX($C63:$AJ73,MATCH(MIN($AK63:$AK73),$AK63:$AK73,0),MATCH(IF('Data-solution'!$A$3="Maximize",MAX($C74:$AI74),MIN($C74:$AI74)),$C74:$AI74,0))),AJ71)</f>
        <v>0</v>
      </c>
      <c r="AK86" s="1" t="str">
        <f>IF(INDEX(C86:X86,1,MATCH(IF('Data-solution'!A$3="Maximize",MAX(C89:X89),MIN(C89:X89)),C89:X89,0))&gt;0,AJ86/INDEX(C86:X86,1,MATCH(IF('Data-solution'!A$3="Maximize",MAX(C89:X89),MIN(C89:X89)),C89:X89,0))," ")</f>
        <v xml:space="preserve"> </v>
      </c>
    </row>
    <row r="87" spans="1:37" ht="18" customHeight="1" x14ac:dyDescent="0.2">
      <c r="A87" s="1">
        <f t="shared" ref="A87" si="59">INDEX(C76:AI76,1,MATCH(B87,C77:AI77,0))</f>
        <v>0</v>
      </c>
      <c r="B87" s="2" t="str">
        <f>IF(AND('Data-solution'!A$3="Maximize",COUNTIF(C74:X74,"&gt;"&amp;0)&gt;0,AK72=MIN(AK63:AK73),COUNTIF(B78:B86,INDEX(C62:X62,1,MATCH(MAX(C74:X74),C74:X74,0)))=0),INDEX(C62:X62,1,MATCH(MAX(C74:X74),C74:X74,0)),IF(AND('Data-solution'!A$3="Minimize",COUNTIF(C74:X74,"&lt;"&amp;0)&gt;0,AK72=MIN(AK63:AK73),COUNTIF(B78:B86,INDEX(C62:X62,1,MATCH(MIN(C74:X74),C74:X74,0)))=0),INDEX(C62:X62,1,MATCH(MIN(C74:X74),C74:X74,0)),B72))</f>
        <v>S10</v>
      </c>
      <c r="C87" s="1">
        <f>IF(OR($B78&lt;&gt;$B63,$B79&lt;&gt;$B64,$B80&lt;&gt;$B65,$B81&lt;&gt;$B66,$B82&lt;&gt;$B67,$B83&lt;&gt;$B68,$B84&lt;&gt;$B69,$B85&lt;&gt;$B70,$B86&lt;&gt;$B71,$B87&lt;&gt;$B72,$B88&lt;&gt;$B73),IF($B87&lt;&gt;$B72,C72/INDEX($C63:$AJ73,10,MATCH(IF('Data-solution'!$A$3="Maximize",MAX($C74:$AI74),MIN($C74:$AI74)),$C74:$AI74,0)),C72-INDEX($C63:$AJ73,10,MATCH(IF('Data-solution'!$A$3="Maximize",MAX($C74:$AI74),MIN($C74:$AI74)),$C74:$AI74,0))*INDEX(C63:$AJ73,MATCH(MIN($AK63:$AK73),$AK63:$AK73,0),1)/INDEX($C63:$AJ73,MATCH(MIN($AK63:$AK73),$AK63:$AK73,0),MATCH(IF('Data-solution'!$A$3="Maximize",MAX($C74:$AI74),MIN($C74:$AI74)),$C74:$AI74,0))),C72)</f>
        <v>0</v>
      </c>
      <c r="D87" s="1">
        <f>IF(OR($B78&lt;&gt;$B63,$B79&lt;&gt;$B64,$B80&lt;&gt;$B65,$B81&lt;&gt;$B66,$B82&lt;&gt;$B67,$B83&lt;&gt;$B68,$B84&lt;&gt;$B69,$B85&lt;&gt;$B70,$B86&lt;&gt;$B71,$B87&lt;&gt;$B72,$B88&lt;&gt;$B73),IF($B87&lt;&gt;$B72,D72/INDEX($C63:$AJ73,10,MATCH(IF('Data-solution'!$A$3="Maximize",MAX($C74:$AI74),MIN($C74:$AI74)),$C74:$AI74,0)),D72-INDEX($C63:$AJ73,10,MATCH(IF('Data-solution'!$A$3="Maximize",MAX($C74:$AI74),MIN($C74:$AI74)),$C74:$AI74,0))*INDEX(D63:$AJ73,MATCH(MIN($AK63:$AK73),$AK63:$AK73,0),1)/INDEX($C63:$AJ73,MATCH(MIN($AK63:$AK73),$AK63:$AK73,0),MATCH(IF('Data-solution'!$A$3="Maximize",MAX($C74:$AI74),MIN($C74:$AI74)),$C74:$AI74,0))),D72)</f>
        <v>0</v>
      </c>
      <c r="E87" s="1">
        <f>IF(OR($B78&lt;&gt;$B63,$B79&lt;&gt;$B64,$B80&lt;&gt;$B65,$B81&lt;&gt;$B66,$B82&lt;&gt;$B67,$B83&lt;&gt;$B68,$B84&lt;&gt;$B69,$B85&lt;&gt;$B70,$B86&lt;&gt;$B71,$B87&lt;&gt;$B72,$B88&lt;&gt;$B73),IF($B87&lt;&gt;$B72,E72/INDEX($C63:$AJ73,10,MATCH(IF('Data-solution'!$A$3="Maximize",MAX($C74:$AI74),MIN($C74:$AI74)),$C74:$AI74,0)),E72-INDEX($C63:$AJ73,10,MATCH(IF('Data-solution'!$A$3="Maximize",MAX($C74:$AI74),MIN($C74:$AI74)),$C74:$AI74,0))*INDEX(E63:$AJ73,MATCH(MIN($AK63:$AK73),$AK63:$AK73,0),1)/INDEX($C63:$AJ73,MATCH(MIN($AK63:$AK73),$AK63:$AK73,0),MATCH(IF('Data-solution'!$A$3="Maximize",MAX($C74:$AI74),MIN($C74:$AI74)),$C74:$AI74,0))),E72)</f>
        <v>0</v>
      </c>
      <c r="F87" s="1">
        <f>IF(OR($B78&lt;&gt;$B63,$B79&lt;&gt;$B64,$B80&lt;&gt;$B65,$B81&lt;&gt;$B66,$B82&lt;&gt;$B67,$B83&lt;&gt;$B68,$B84&lt;&gt;$B69,$B85&lt;&gt;$B70,$B86&lt;&gt;$B71,$B87&lt;&gt;$B72,$B88&lt;&gt;$B73),IF($B87&lt;&gt;$B72,F72/INDEX($C63:$AJ73,10,MATCH(IF('Data-solution'!$A$3="Maximize",MAX($C74:$AI74),MIN($C74:$AI74)),$C74:$AI74,0)),F72-INDEX($C63:$AJ73,10,MATCH(IF('Data-solution'!$A$3="Maximize",MAX($C74:$AI74),MIN($C74:$AI74)),$C74:$AI74,0))*INDEX(F63:$AJ73,MATCH(MIN($AK63:$AK73),$AK63:$AK73,0),1)/INDEX($C63:$AJ73,MATCH(MIN($AK63:$AK73),$AK63:$AK73,0),MATCH(IF('Data-solution'!$A$3="Maximize",MAX($C74:$AI74),MIN($C74:$AI74)),$C74:$AI74,0))),F72)</f>
        <v>0</v>
      </c>
      <c r="G87" s="1">
        <f>IF(OR($B78&lt;&gt;$B63,$B79&lt;&gt;$B64,$B80&lt;&gt;$B65,$B81&lt;&gt;$B66,$B82&lt;&gt;$B67,$B83&lt;&gt;$B68,$B84&lt;&gt;$B69,$B85&lt;&gt;$B70,$B86&lt;&gt;$B71,$B87&lt;&gt;$B72,$B88&lt;&gt;$B73),IF($B87&lt;&gt;$B72,G72/INDEX($C63:$AJ73,10,MATCH(IF('Data-solution'!$A$3="Maximize",MAX($C74:$AI74),MIN($C74:$AI74)),$C74:$AI74,0)),G72-INDEX($C63:$AJ73,10,MATCH(IF('Data-solution'!$A$3="Maximize",MAX($C74:$AI74),MIN($C74:$AI74)),$C74:$AI74,0))*INDEX(G63:$AJ73,MATCH(MIN($AK63:$AK73),$AK63:$AK73,0),1)/INDEX($C63:$AJ73,MATCH(MIN($AK63:$AK73),$AK63:$AK73,0),MATCH(IF('Data-solution'!$A$3="Maximize",MAX($C74:$AI74),MIN($C74:$AI74)),$C74:$AI74,0))),G72)</f>
        <v>0</v>
      </c>
      <c r="H87" s="1">
        <f>IF(OR($B78&lt;&gt;$B63,$B79&lt;&gt;$B64,$B80&lt;&gt;$B65,$B81&lt;&gt;$B66,$B82&lt;&gt;$B67,$B83&lt;&gt;$B68,$B84&lt;&gt;$B69,$B85&lt;&gt;$B70,$B86&lt;&gt;$B71,$B87&lt;&gt;$B72,$B88&lt;&gt;$B73),IF($B87&lt;&gt;$B72,H72/INDEX($C63:$AJ73,10,MATCH(IF('Data-solution'!$A$3="Maximize",MAX($C74:$AI74),MIN($C74:$AI74)),$C74:$AI74,0)),H72-INDEX($C63:$AJ73,10,MATCH(IF('Data-solution'!$A$3="Maximize",MAX($C74:$AI74),MIN($C74:$AI74)),$C74:$AI74,0))*INDEX(H63:$AJ73,MATCH(MIN($AK63:$AK73),$AK63:$AK73,0),1)/INDEX($C63:$AJ73,MATCH(MIN($AK63:$AK73),$AK63:$AK73,0),MATCH(IF('Data-solution'!$A$3="Maximize",MAX($C74:$AI74),MIN($C74:$AI74)),$C74:$AI74,0))),H72)</f>
        <v>0</v>
      </c>
      <c r="I87" s="1">
        <f>IF(OR($B78&lt;&gt;$B63,$B79&lt;&gt;$B64,$B80&lt;&gt;$B65,$B81&lt;&gt;$B66,$B82&lt;&gt;$B67,$B83&lt;&gt;$B68,$B84&lt;&gt;$B69,$B85&lt;&gt;$B70,$B86&lt;&gt;$B71,$B87&lt;&gt;$B72,$B88&lt;&gt;$B73),IF($B87&lt;&gt;$B72,I72/INDEX($C63:$AJ73,10,MATCH(IF('Data-solution'!$A$3="Maximize",MAX($C74:$AI74),MIN($C74:$AI74)),$C74:$AI74,0)),I72-INDEX($C63:$AJ73,10,MATCH(IF('Data-solution'!$A$3="Maximize",MAX($C74:$AI74),MIN($C74:$AI74)),$C74:$AI74,0))*INDEX(I63:$AJ73,MATCH(MIN($AK63:$AK73),$AK63:$AK73,0),1)/INDEX($C63:$AJ73,MATCH(MIN($AK63:$AK73),$AK63:$AK73,0),MATCH(IF('Data-solution'!$A$3="Maximize",MAX($C74:$AI74),MIN($C74:$AI74)),$C74:$AI74,0))),I72)</f>
        <v>0</v>
      </c>
      <c r="J87" s="1">
        <f>IF(OR($B78&lt;&gt;$B63,$B79&lt;&gt;$B64,$B80&lt;&gt;$B65,$B81&lt;&gt;$B66,$B82&lt;&gt;$B67,$B83&lt;&gt;$B68,$B84&lt;&gt;$B69,$B85&lt;&gt;$B70,$B86&lt;&gt;$B71,$B87&lt;&gt;$B72,$B88&lt;&gt;$B73),IF($B87&lt;&gt;$B72,J72/INDEX($C63:$AJ73,10,MATCH(IF('Data-solution'!$A$3="Maximize",MAX($C74:$AI74),MIN($C74:$AI74)),$C74:$AI74,0)),J72-INDEX($C63:$AJ73,10,MATCH(IF('Data-solution'!$A$3="Maximize",MAX($C74:$AI74),MIN($C74:$AI74)),$C74:$AI74,0))*INDEX(J63:$AJ73,MATCH(MIN($AK63:$AK73),$AK63:$AK73,0),1)/INDEX($C63:$AJ73,MATCH(MIN($AK63:$AK73),$AK63:$AK73,0),MATCH(IF('Data-solution'!$A$3="Maximize",MAX($C74:$AI74),MIN($C74:$AI74)),$C74:$AI74,0))),J72)</f>
        <v>0</v>
      </c>
      <c r="K87" s="1">
        <f>IF(OR($B78&lt;&gt;$B63,$B79&lt;&gt;$B64,$B80&lt;&gt;$B65,$B81&lt;&gt;$B66,$B82&lt;&gt;$B67,$B83&lt;&gt;$B68,$B84&lt;&gt;$B69,$B85&lt;&gt;$B70,$B86&lt;&gt;$B71,$B87&lt;&gt;$B72,$B88&lt;&gt;$B73),IF($B87&lt;&gt;$B72,K72/INDEX($C63:$AJ73,10,MATCH(IF('Data-solution'!$A$3="Maximize",MAX($C74:$AI74),MIN($C74:$AI74)),$C74:$AI74,0)),K72-INDEX($C63:$AJ73,10,MATCH(IF('Data-solution'!$A$3="Maximize",MAX($C74:$AI74),MIN($C74:$AI74)),$C74:$AI74,0))*INDEX(K63:$AJ73,MATCH(MIN($AK63:$AK73),$AK63:$AK73,0),1)/INDEX($C63:$AJ73,MATCH(MIN($AK63:$AK73),$AK63:$AK73,0),MATCH(IF('Data-solution'!$A$3="Maximize",MAX($C74:$AI74),MIN($C74:$AI74)),$C74:$AI74,0))),K72)</f>
        <v>0</v>
      </c>
      <c r="L87" s="1">
        <f>IF(OR($B78&lt;&gt;$B63,$B79&lt;&gt;$B64,$B80&lt;&gt;$B65,$B81&lt;&gt;$B66,$B82&lt;&gt;$B67,$B83&lt;&gt;$B68,$B84&lt;&gt;$B69,$B85&lt;&gt;$B70,$B86&lt;&gt;$B71,$B87&lt;&gt;$B72,$B88&lt;&gt;$B73),IF($B87&lt;&gt;$B72,L72/INDEX($C63:$AJ73,10,MATCH(IF('Data-solution'!$A$3="Maximize",MAX($C74:$AI74),MIN($C74:$AI74)),$C74:$AI74,0)),L72-INDEX($C63:$AJ73,10,MATCH(IF('Data-solution'!$A$3="Maximize",MAX($C74:$AI74),MIN($C74:$AI74)),$C74:$AI74,0))*INDEX(L63:$AJ73,MATCH(MIN($AK63:$AK73),$AK63:$AK73,0),1)/INDEX($C63:$AJ73,MATCH(MIN($AK63:$AK73),$AK63:$AK73,0),MATCH(IF('Data-solution'!$A$3="Maximize",MAX($C74:$AI74),MIN($C74:$AI74)),$C74:$AI74,0))),L72)</f>
        <v>0</v>
      </c>
      <c r="M87" s="1">
        <f>IF(OR($B78&lt;&gt;$B63,$B79&lt;&gt;$B64,$B80&lt;&gt;$B65,$B81&lt;&gt;$B66,$B82&lt;&gt;$B67,$B83&lt;&gt;$B68,$B84&lt;&gt;$B69,$B85&lt;&gt;$B70,$B86&lt;&gt;$B71,$B87&lt;&gt;$B72,$B88&lt;&gt;$B73),IF($B87&lt;&gt;$B72,M72/INDEX($C63:$AJ73,10,MATCH(IF('Data-solution'!$A$3="Maximize",MAX($C74:$AI74),MIN($C74:$AI74)),$C74:$AI74,0)),M72-INDEX($C63:$AJ73,10,MATCH(IF('Data-solution'!$A$3="Maximize",MAX($C74:$AI74),MIN($C74:$AI74)),$C74:$AI74,0))*INDEX(M63:$AJ73,MATCH(MIN($AK63:$AK73),$AK63:$AK73,0),1)/INDEX($C63:$AJ73,MATCH(MIN($AK63:$AK73),$AK63:$AK73,0),MATCH(IF('Data-solution'!$A$3="Maximize",MAX($C74:$AI74),MIN($C74:$AI74)),$C74:$AI74,0))),M72)</f>
        <v>0</v>
      </c>
      <c r="N87" s="1">
        <f>IF(OR($B78&lt;&gt;$B63,$B79&lt;&gt;$B64,$B80&lt;&gt;$B65,$B81&lt;&gt;$B66,$B82&lt;&gt;$B67,$B83&lt;&gt;$B68,$B84&lt;&gt;$B69,$B85&lt;&gt;$B70,$B86&lt;&gt;$B71,$B87&lt;&gt;$B72,$B88&lt;&gt;$B73),IF($B87&lt;&gt;$B72,N72/INDEX($C63:$AJ73,10,MATCH(IF('Data-solution'!$A$3="Maximize",MAX($C74:$AI74),MIN($C74:$AI74)),$C74:$AI74,0)),N72-INDEX($C63:$AJ73,10,MATCH(IF('Data-solution'!$A$3="Maximize",MAX($C74:$AI74),MIN($C74:$AI74)),$C74:$AI74,0))*INDEX(N63:$AJ73,MATCH(MIN($AK63:$AK73),$AK63:$AK73,0),1)/INDEX($C63:$AJ73,MATCH(MIN($AK63:$AK73),$AK63:$AK73,0),MATCH(IF('Data-solution'!$A$3="Maximize",MAX($C74:$AI74),MIN($C74:$AI74)),$C74:$AI74,0))),N72)</f>
        <v>0</v>
      </c>
      <c r="O87" s="1">
        <f>IF(OR($B78&lt;&gt;$B63,$B79&lt;&gt;$B64,$B80&lt;&gt;$B65,$B81&lt;&gt;$B66,$B82&lt;&gt;$B67,$B83&lt;&gt;$B68,$B84&lt;&gt;$B69,$B85&lt;&gt;$B70,$B86&lt;&gt;$B71,$B87&lt;&gt;$B72,$B88&lt;&gt;$B73),IF($B87&lt;&gt;$B72,O72/INDEX($C63:$AJ73,10,MATCH(IF('Data-solution'!$A$3="Maximize",MAX($C74:$AI74),MIN($C74:$AI74)),$C74:$AI74,0)),O72-INDEX($C63:$AJ73,10,MATCH(IF('Data-solution'!$A$3="Maximize",MAX($C74:$AI74),MIN($C74:$AI74)),$C74:$AI74,0))*INDEX(O63:$AJ73,MATCH(MIN($AK63:$AK73),$AK63:$AK73,0),1)/INDEX($C63:$AJ73,MATCH(MIN($AK63:$AK73),$AK63:$AK73,0),MATCH(IF('Data-solution'!$A$3="Maximize",MAX($C74:$AI74),MIN($C74:$AI74)),$C74:$AI74,0))),O72)</f>
        <v>0</v>
      </c>
      <c r="P87" s="1">
        <f>IF(OR($B78&lt;&gt;$B63,$B79&lt;&gt;$B64,$B80&lt;&gt;$B65,$B81&lt;&gt;$B66,$B82&lt;&gt;$B67,$B83&lt;&gt;$B68,$B84&lt;&gt;$B69,$B85&lt;&gt;$B70,$B86&lt;&gt;$B71,$B87&lt;&gt;$B72,$B88&lt;&gt;$B73),IF($B87&lt;&gt;$B72,P72/INDEX($C63:$AJ73,10,MATCH(IF('Data-solution'!$A$3="Maximize",MAX($C74:$AI74),MIN($C74:$AI74)),$C74:$AI74,0)),P72-INDEX($C63:$AJ73,10,MATCH(IF('Data-solution'!$A$3="Maximize",MAX($C74:$AI74),MIN($C74:$AI74)),$C74:$AI74,0))*INDEX(P63:$AJ73,MATCH(MIN($AK63:$AK73),$AK63:$AK73,0),1)/INDEX($C63:$AJ73,MATCH(MIN($AK63:$AK73),$AK63:$AK73,0),MATCH(IF('Data-solution'!$A$3="Maximize",MAX($C74:$AI74),MIN($C74:$AI74)),$C74:$AI74,0))),P72)</f>
        <v>0</v>
      </c>
      <c r="Q87" s="1">
        <f>IF(OR($B78&lt;&gt;$B63,$B79&lt;&gt;$B64,$B80&lt;&gt;$B65,$B81&lt;&gt;$B66,$B82&lt;&gt;$B67,$B83&lt;&gt;$B68,$B84&lt;&gt;$B69,$B85&lt;&gt;$B70,$B86&lt;&gt;$B71,$B87&lt;&gt;$B72,$B88&lt;&gt;$B73),IF($B87&lt;&gt;$B72,Q72/INDEX($C63:$AJ73,10,MATCH(IF('Data-solution'!$A$3="Maximize",MAX($C74:$AI74),MIN($C74:$AI74)),$C74:$AI74,0)),Q72-INDEX($C63:$AJ73,10,MATCH(IF('Data-solution'!$A$3="Maximize",MAX($C74:$AI74),MIN($C74:$AI74)),$C74:$AI74,0))*INDEX(Q63:$AJ73,MATCH(MIN($AK63:$AK73),$AK63:$AK73,0),1)/INDEX($C63:$AJ73,MATCH(MIN($AK63:$AK73),$AK63:$AK73,0),MATCH(IF('Data-solution'!$A$3="Maximize",MAX($C74:$AI74),MIN($C74:$AI74)),$C74:$AI74,0))),Q72)</f>
        <v>0</v>
      </c>
      <c r="R87" s="1">
        <f>IF(OR($B78&lt;&gt;$B63,$B79&lt;&gt;$B64,$B80&lt;&gt;$B65,$B81&lt;&gt;$B66,$B82&lt;&gt;$B67,$B83&lt;&gt;$B68,$B84&lt;&gt;$B69,$B85&lt;&gt;$B70,$B86&lt;&gt;$B71,$B87&lt;&gt;$B72,$B88&lt;&gt;$B73),IF($B87&lt;&gt;$B72,R72/INDEX($C63:$AJ73,10,MATCH(IF('Data-solution'!$A$3="Maximize",MAX($C74:$AI74),MIN($C74:$AI74)),$C74:$AI74,0)),R72-INDEX($C63:$AJ73,10,MATCH(IF('Data-solution'!$A$3="Maximize",MAX($C74:$AI74),MIN($C74:$AI74)),$C74:$AI74,0))*INDEX(R63:$AJ73,MATCH(MIN($AK63:$AK73),$AK63:$AK73,0),1)/INDEX($C63:$AJ73,MATCH(MIN($AK63:$AK73),$AK63:$AK73,0),MATCH(IF('Data-solution'!$A$3="Maximize",MAX($C74:$AI74),MIN($C74:$AI74)),$C74:$AI74,0))),R72)</f>
        <v>0</v>
      </c>
      <c r="S87" s="1">
        <f>IF(OR($B78&lt;&gt;$B63,$B79&lt;&gt;$B64,$B80&lt;&gt;$B65,$B81&lt;&gt;$B66,$B82&lt;&gt;$B67,$B83&lt;&gt;$B68,$B84&lt;&gt;$B69,$B85&lt;&gt;$B70,$B86&lt;&gt;$B71,$B87&lt;&gt;$B72,$B88&lt;&gt;$B73),IF($B87&lt;&gt;$B72,S72/INDEX($C63:$AJ73,10,MATCH(IF('Data-solution'!$A$3="Maximize",MAX($C74:$AI74),MIN($C74:$AI74)),$C74:$AI74,0)),S72-INDEX($C63:$AJ73,10,MATCH(IF('Data-solution'!$A$3="Maximize",MAX($C74:$AI74),MIN($C74:$AI74)),$C74:$AI74,0))*INDEX(S63:$AJ73,MATCH(MIN($AK63:$AK73),$AK63:$AK73,0),1)/INDEX($C63:$AJ73,MATCH(MIN($AK63:$AK73),$AK63:$AK73,0),MATCH(IF('Data-solution'!$A$3="Maximize",MAX($C74:$AI74),MIN($C74:$AI74)),$C74:$AI74,0))),S72)</f>
        <v>0</v>
      </c>
      <c r="T87" s="1">
        <f>IF(OR($B78&lt;&gt;$B63,$B79&lt;&gt;$B64,$B80&lt;&gt;$B65,$B81&lt;&gt;$B66,$B82&lt;&gt;$B67,$B83&lt;&gt;$B68,$B84&lt;&gt;$B69,$B85&lt;&gt;$B70,$B86&lt;&gt;$B71,$B87&lt;&gt;$B72,$B88&lt;&gt;$B73),IF($B87&lt;&gt;$B72,T72/INDEX($C63:$AJ73,10,MATCH(IF('Data-solution'!$A$3="Maximize",MAX($C74:$AI74),MIN($C74:$AI74)),$C74:$AI74,0)),T72-INDEX($C63:$AJ73,10,MATCH(IF('Data-solution'!$A$3="Maximize",MAX($C74:$AI74),MIN($C74:$AI74)),$C74:$AI74,0))*INDEX(T63:$AJ73,MATCH(MIN($AK63:$AK73),$AK63:$AK73,0),1)/INDEX($C63:$AJ73,MATCH(MIN($AK63:$AK73),$AK63:$AK73,0),MATCH(IF('Data-solution'!$A$3="Maximize",MAX($C74:$AI74),MIN($C74:$AI74)),$C74:$AI74,0))),T72)</f>
        <v>0</v>
      </c>
      <c r="U87" s="1">
        <f>IF(OR($B78&lt;&gt;$B63,$B79&lt;&gt;$B64,$B80&lt;&gt;$B65,$B81&lt;&gt;$B66,$B82&lt;&gt;$B67,$B83&lt;&gt;$B68,$B84&lt;&gt;$B69,$B85&lt;&gt;$B70,$B86&lt;&gt;$B71,$B87&lt;&gt;$B72,$B88&lt;&gt;$B73),IF($B87&lt;&gt;$B72,U72/INDEX($C63:$AJ73,10,MATCH(IF('Data-solution'!$A$3="Maximize",MAX($C74:$AI74),MIN($C74:$AI74)),$C74:$AI74,0)),U72-INDEX($C63:$AJ73,10,MATCH(IF('Data-solution'!$A$3="Maximize",MAX($C74:$AI74),MIN($C74:$AI74)),$C74:$AI74,0))*INDEX(U63:$AJ73,MATCH(MIN($AK63:$AK73),$AK63:$AK73,0),1)/INDEX($C63:$AJ73,MATCH(MIN($AK63:$AK73),$AK63:$AK73,0),MATCH(IF('Data-solution'!$A$3="Maximize",MAX($C74:$AI74),MIN($C74:$AI74)),$C74:$AI74,0))),U72)</f>
        <v>0</v>
      </c>
      <c r="V87" s="1">
        <f>IF(OR($B78&lt;&gt;$B63,$B79&lt;&gt;$B64,$B80&lt;&gt;$B65,$B81&lt;&gt;$B66,$B82&lt;&gt;$B67,$B83&lt;&gt;$B68,$B84&lt;&gt;$B69,$B85&lt;&gt;$B70,$B86&lt;&gt;$B71,$B87&lt;&gt;$B72,$B88&lt;&gt;$B73),IF($B87&lt;&gt;$B72,V72/INDEX($C63:$AJ73,10,MATCH(IF('Data-solution'!$A$3="Maximize",MAX($C74:$AI74),MIN($C74:$AI74)),$C74:$AI74,0)),V72-INDEX($C63:$AJ73,10,MATCH(IF('Data-solution'!$A$3="Maximize",MAX($C74:$AI74),MIN($C74:$AI74)),$C74:$AI74,0))*INDEX(V63:$AJ73,MATCH(MIN($AK63:$AK73),$AK63:$AK73,0),1)/INDEX($C63:$AJ73,MATCH(MIN($AK63:$AK73),$AK63:$AK73,0),MATCH(IF('Data-solution'!$A$3="Maximize",MAX($C74:$AI74),MIN($C74:$AI74)),$C74:$AI74,0))),V72)</f>
        <v>0</v>
      </c>
      <c r="W87" s="1">
        <f>IF(OR($B78&lt;&gt;$B63,$B79&lt;&gt;$B64,$B80&lt;&gt;$B65,$B81&lt;&gt;$B66,$B82&lt;&gt;$B67,$B83&lt;&gt;$B68,$B84&lt;&gt;$B69,$B85&lt;&gt;$B70,$B86&lt;&gt;$B71,$B87&lt;&gt;$B72,$B88&lt;&gt;$B73),IF($B87&lt;&gt;$B72,W72/INDEX($C63:$AJ73,10,MATCH(IF('Data-solution'!$A$3="Maximize",MAX($C74:$AI74),MIN($C74:$AI74)),$C74:$AI74,0)),W72-INDEX($C63:$AJ73,10,MATCH(IF('Data-solution'!$A$3="Maximize",MAX($C74:$AI74),MIN($C74:$AI74)),$C74:$AI74,0))*INDEX(W63:$AJ73,MATCH(MIN($AK63:$AK73),$AK63:$AK73,0),1)/INDEX($C63:$AJ73,MATCH(MIN($AK63:$AK73),$AK63:$AK73,0),MATCH(IF('Data-solution'!$A$3="Maximize",MAX($C74:$AI74),MIN($C74:$AI74)),$C74:$AI74,0))),W72)</f>
        <v>1</v>
      </c>
      <c r="X87" s="1">
        <f>IF(OR($B78&lt;&gt;$B63,$B79&lt;&gt;$B64,$B80&lt;&gt;$B65,$B81&lt;&gt;$B66,$B82&lt;&gt;$B67,$B83&lt;&gt;$B68,$B84&lt;&gt;$B69,$B85&lt;&gt;$B70,$B86&lt;&gt;$B71,$B87&lt;&gt;$B72,$B88&lt;&gt;$B73),IF($B87&lt;&gt;$B72,X72/INDEX($C63:$AJ73,10,MATCH(IF('Data-solution'!$A$3="Maximize",MAX($C74:$AI74),MIN($C74:$AI74)),$C74:$AI74,0)),X72-INDEX($C63:$AJ73,10,MATCH(IF('Data-solution'!$A$3="Maximize",MAX($C74:$AI74),MIN($C74:$AI74)),$C74:$AI74,0))*INDEX(X63:$AJ73,MATCH(MIN($AK63:$AK73),$AK63:$AK73,0),1)/INDEX($C63:$AJ73,MATCH(MIN($AK63:$AK73),$AK63:$AK73,0),MATCH(IF('Data-solution'!$A$3="Maximize",MAX($C74:$AI74),MIN($C74:$AI74)),$C74:$AI74,0))),X72)</f>
        <v>0</v>
      </c>
      <c r="Y87" s="1">
        <f>IF(OR($B78&lt;&gt;$B63,$B79&lt;&gt;$B64,$B80&lt;&gt;$B65,$B81&lt;&gt;$B66,$B82&lt;&gt;$B67,$B83&lt;&gt;$B68,$B84&lt;&gt;$B69,$B85&lt;&gt;$B70,$B86&lt;&gt;$B71,$B87&lt;&gt;$B72,$B88&lt;&gt;$B73),IF($B87&lt;&gt;$B72,Y72/INDEX($C63:$AJ73,10,MATCH(IF('Data-solution'!$A$3="Maximize",MAX($C74:$AI74),MIN($C74:$AI74)),$C74:$AI74,0)),Y72-INDEX($C63:$AJ73,10,MATCH(IF('Data-solution'!$A$3="Maximize",MAX($C74:$AI74),MIN($C74:$AI74)),$C74:$AI74,0))*INDEX(Y63:$AJ73,MATCH(MIN($AK63:$AK73),$AK63:$AK73,0),1)/INDEX($C63:$AJ73,MATCH(MIN($AK63:$AK73),$AK63:$AK73,0),MATCH(IF('Data-solution'!$A$3="Maximize",MAX($C74:$AI74),MIN($C74:$AI74)),$C74:$AI74,0))),Y72)</f>
        <v>0</v>
      </c>
      <c r="Z87" s="1">
        <f>IF(OR($B78&lt;&gt;$B63,$B79&lt;&gt;$B64,$B80&lt;&gt;$B65,$B81&lt;&gt;$B66,$B82&lt;&gt;$B67,$B83&lt;&gt;$B68,$B84&lt;&gt;$B69,$B85&lt;&gt;$B70,$B86&lt;&gt;$B71,$B87&lt;&gt;$B72,$B88&lt;&gt;$B73),IF($B87&lt;&gt;$B72,Z72/INDEX($C63:$AJ73,10,MATCH(IF('Data-solution'!$A$3="Maximize",MAX($C74:$AI74),MIN($C74:$AI74)),$C74:$AI74,0)),Z72-INDEX($C63:$AJ73,10,MATCH(IF('Data-solution'!$A$3="Maximize",MAX($C74:$AI74),MIN($C74:$AI74)),$C74:$AI74,0))*INDEX(Z63:$AJ73,MATCH(MIN($AK63:$AK73),$AK63:$AK73,0),1)/INDEX($C63:$AJ73,MATCH(MIN($AK63:$AK73),$AK63:$AK73,0),MATCH(IF('Data-solution'!$A$3="Maximize",MAX($C74:$AI74),MIN($C74:$AI74)),$C74:$AI74,0))),Z72)</f>
        <v>0</v>
      </c>
      <c r="AA87" s="1">
        <f>IF(OR($B78&lt;&gt;$B63,$B79&lt;&gt;$B64,$B80&lt;&gt;$B65,$B81&lt;&gt;$B66,$B82&lt;&gt;$B67,$B83&lt;&gt;$B68,$B84&lt;&gt;$B69,$B85&lt;&gt;$B70,$B86&lt;&gt;$B71,$B87&lt;&gt;$B72,$B88&lt;&gt;$B73),IF($B87&lt;&gt;$B72,AA72/INDEX($C63:$AJ73,10,MATCH(IF('Data-solution'!$A$3="Maximize",MAX($C74:$AI74),MIN($C74:$AI74)),$C74:$AI74,0)),AA72-INDEX($C63:$AJ73,10,MATCH(IF('Data-solution'!$A$3="Maximize",MAX($C74:$AI74),MIN($C74:$AI74)),$C74:$AI74,0))*INDEX(AA63:$AJ73,MATCH(MIN($AK63:$AK73),$AK63:$AK73,0),1)/INDEX($C63:$AJ73,MATCH(MIN($AK63:$AK73),$AK63:$AK73,0),MATCH(IF('Data-solution'!$A$3="Maximize",MAX($C74:$AI74),MIN($C74:$AI74)),$C74:$AI74,0))),AA72)</f>
        <v>0</v>
      </c>
      <c r="AB87" s="1">
        <f>IF(OR($B78&lt;&gt;$B63,$B79&lt;&gt;$B64,$B80&lt;&gt;$B65,$B81&lt;&gt;$B66,$B82&lt;&gt;$B67,$B83&lt;&gt;$B68,$B84&lt;&gt;$B69,$B85&lt;&gt;$B70,$B86&lt;&gt;$B71,$B87&lt;&gt;$B72,$B88&lt;&gt;$B73),IF($B87&lt;&gt;$B72,AB72/INDEX($C63:$AJ73,10,MATCH(IF('Data-solution'!$A$3="Maximize",MAX($C74:$AI74),MIN($C74:$AI74)),$C74:$AI74,0)),AB72-INDEX($C63:$AJ73,10,MATCH(IF('Data-solution'!$A$3="Maximize",MAX($C74:$AI74),MIN($C74:$AI74)),$C74:$AI74,0))*INDEX(AB63:$AJ73,MATCH(MIN($AK63:$AK73),$AK63:$AK73,0),1)/INDEX($C63:$AJ73,MATCH(MIN($AK63:$AK73),$AK63:$AK73,0),MATCH(IF('Data-solution'!$A$3="Maximize",MAX($C74:$AI74),MIN($C74:$AI74)),$C74:$AI74,0))),AB72)</f>
        <v>0</v>
      </c>
      <c r="AC87" s="1">
        <f>IF(OR($B78&lt;&gt;$B63,$B79&lt;&gt;$B64,$B80&lt;&gt;$B65,$B81&lt;&gt;$B66,$B82&lt;&gt;$B67,$B83&lt;&gt;$B68,$B84&lt;&gt;$B69,$B85&lt;&gt;$B70,$B86&lt;&gt;$B71,$B87&lt;&gt;$B72,$B88&lt;&gt;$B73),IF($B87&lt;&gt;$B72,AC72/INDEX($C63:$AJ73,10,MATCH(IF('Data-solution'!$A$3="Maximize",MAX($C74:$AI74),MIN($C74:$AI74)),$C74:$AI74,0)),AC72-INDEX($C63:$AJ73,10,MATCH(IF('Data-solution'!$A$3="Maximize",MAX($C74:$AI74),MIN($C74:$AI74)),$C74:$AI74,0))*INDEX(AC63:$AJ73,MATCH(MIN($AK63:$AK73),$AK63:$AK73,0),1)/INDEX($C63:$AJ73,MATCH(MIN($AK63:$AK73),$AK63:$AK73,0),MATCH(IF('Data-solution'!$A$3="Maximize",MAX($C74:$AI74),MIN($C74:$AI74)),$C74:$AI74,0))),AC72)</f>
        <v>0</v>
      </c>
      <c r="AD87" s="1">
        <f>IF(OR($B78&lt;&gt;$B63,$B79&lt;&gt;$B64,$B80&lt;&gt;$B65,$B81&lt;&gt;$B66,$B82&lt;&gt;$B67,$B83&lt;&gt;$B68,$B84&lt;&gt;$B69,$B85&lt;&gt;$B70,$B86&lt;&gt;$B71,$B87&lt;&gt;$B72,$B88&lt;&gt;$B73),IF($B87&lt;&gt;$B72,AD72/INDEX($C63:$AJ73,10,MATCH(IF('Data-solution'!$A$3="Maximize",MAX($C74:$AI74),MIN($C74:$AI74)),$C74:$AI74,0)),AD72-INDEX($C63:$AJ73,10,MATCH(IF('Data-solution'!$A$3="Maximize",MAX($C74:$AI74),MIN($C74:$AI74)),$C74:$AI74,0))*INDEX(AD63:$AJ73,MATCH(MIN($AK63:$AK73),$AK63:$AK73,0),1)/INDEX($C63:$AJ73,MATCH(MIN($AK63:$AK73),$AK63:$AK73,0),MATCH(IF('Data-solution'!$A$3="Maximize",MAX($C74:$AI74),MIN($C74:$AI74)),$C74:$AI74,0))),AD72)</f>
        <v>0</v>
      </c>
      <c r="AE87" s="1">
        <f>IF(OR($B78&lt;&gt;$B63,$B79&lt;&gt;$B64,$B80&lt;&gt;$B65,$B81&lt;&gt;$B66,$B82&lt;&gt;$B67,$B83&lt;&gt;$B68,$B84&lt;&gt;$B69,$B85&lt;&gt;$B70,$B86&lt;&gt;$B71,$B87&lt;&gt;$B72,$B88&lt;&gt;$B73),IF($B87&lt;&gt;$B72,AE72/INDEX($C63:$AJ73,10,MATCH(IF('Data-solution'!$A$3="Maximize",MAX($C74:$AI74),MIN($C74:$AI74)),$C74:$AI74,0)),AE72-INDEX($C63:$AJ73,10,MATCH(IF('Data-solution'!$A$3="Maximize",MAX($C74:$AI74),MIN($C74:$AI74)),$C74:$AI74,0))*INDEX(AE63:$AJ73,MATCH(MIN($AK63:$AK73),$AK63:$AK73,0),1)/INDEX($C63:$AJ73,MATCH(MIN($AK63:$AK73),$AK63:$AK73,0),MATCH(IF('Data-solution'!$A$3="Maximize",MAX($C74:$AI74),MIN($C74:$AI74)),$C74:$AI74,0))),AE72)</f>
        <v>0</v>
      </c>
      <c r="AF87" s="1">
        <f>IF(OR($B78&lt;&gt;$B63,$B79&lt;&gt;$B64,$B80&lt;&gt;$B65,$B81&lt;&gt;$B66,$B82&lt;&gt;$B67,$B83&lt;&gt;$B68,$B84&lt;&gt;$B69,$B85&lt;&gt;$B70,$B86&lt;&gt;$B71,$B87&lt;&gt;$B72,$B88&lt;&gt;$B73),IF($B87&lt;&gt;$B72,AF72/INDEX($C63:$AJ73,10,MATCH(IF('Data-solution'!$A$3="Maximize",MAX($C74:$AI74),MIN($C74:$AI74)),$C74:$AI74,0)),AF72-INDEX($C63:$AJ73,10,MATCH(IF('Data-solution'!$A$3="Maximize",MAX($C74:$AI74),MIN($C74:$AI74)),$C74:$AI74,0))*INDEX(AF63:$AJ73,MATCH(MIN($AK63:$AK73),$AK63:$AK73,0),1)/INDEX($C63:$AJ73,MATCH(MIN($AK63:$AK73),$AK63:$AK73,0),MATCH(IF('Data-solution'!$A$3="Maximize",MAX($C74:$AI74),MIN($C74:$AI74)),$C74:$AI74,0))),AF72)</f>
        <v>0</v>
      </c>
      <c r="AG87" s="1">
        <f>IF(OR($B78&lt;&gt;$B63,$B79&lt;&gt;$B64,$B80&lt;&gt;$B65,$B81&lt;&gt;$B66,$B82&lt;&gt;$B67,$B83&lt;&gt;$B68,$B84&lt;&gt;$B69,$B85&lt;&gt;$B70,$B86&lt;&gt;$B71,$B87&lt;&gt;$B72,$B88&lt;&gt;$B73),IF($B87&lt;&gt;$B72,AG72/INDEX($C63:$AJ73,10,MATCH(IF('Data-solution'!$A$3="Maximize",MAX($C74:$AI74),MIN($C74:$AI74)),$C74:$AI74,0)),AG72-INDEX($C63:$AJ73,10,MATCH(IF('Data-solution'!$A$3="Maximize",MAX($C74:$AI74),MIN($C74:$AI74)),$C74:$AI74,0))*INDEX(AG63:$AJ73,MATCH(MIN($AK63:$AK73),$AK63:$AK73,0),1)/INDEX($C63:$AJ73,MATCH(MIN($AK63:$AK73),$AK63:$AK73,0),MATCH(IF('Data-solution'!$A$3="Maximize",MAX($C74:$AI74),MIN($C74:$AI74)),$C74:$AI74,0))),AG72)</f>
        <v>0</v>
      </c>
      <c r="AH87" s="1">
        <f>IF(OR($B78&lt;&gt;$B63,$B79&lt;&gt;$B64,$B80&lt;&gt;$B65,$B81&lt;&gt;$B66,$B82&lt;&gt;$B67,$B83&lt;&gt;$B68,$B84&lt;&gt;$B69,$B85&lt;&gt;$B70,$B86&lt;&gt;$B71,$B87&lt;&gt;$B72,$B88&lt;&gt;$B73),IF($B87&lt;&gt;$B72,AH72/INDEX($C63:$AJ73,10,MATCH(IF('Data-solution'!$A$3="Maximize",MAX($C74:$AI74),MIN($C74:$AI74)),$C74:$AI74,0)),AH72-INDEX($C63:$AJ73,10,MATCH(IF('Data-solution'!$A$3="Maximize",MAX($C74:$AI74),MIN($C74:$AI74)),$C74:$AI74,0))*INDEX(AH63:$AJ73,MATCH(MIN($AK63:$AK73),$AK63:$AK73,0),1)/INDEX($C63:$AJ73,MATCH(MIN($AK63:$AK73),$AK63:$AK73,0),MATCH(IF('Data-solution'!$A$3="Maximize",MAX($C74:$AI74),MIN($C74:$AI74)),$C74:$AI74,0))),AH72)</f>
        <v>1</v>
      </c>
      <c r="AI87" s="1">
        <f>IF(OR($B78&lt;&gt;$B63,$B79&lt;&gt;$B64,$B80&lt;&gt;$B65,$B81&lt;&gt;$B66,$B82&lt;&gt;$B67,$B83&lt;&gt;$B68,$B84&lt;&gt;$B69,$B85&lt;&gt;$B70,$B86&lt;&gt;$B71,$B87&lt;&gt;$B72,$B88&lt;&gt;$B73),IF($B87&lt;&gt;$B72,AI72/INDEX($C63:$AJ73,10,MATCH(IF('Data-solution'!$A$3="Maximize",MAX($C74:$AI74),MIN($C74:$AI74)),$C74:$AI74,0)),AI72-INDEX($C63:$AJ73,10,MATCH(IF('Data-solution'!$A$3="Maximize",MAX($C74:$AI74),MIN($C74:$AI74)),$C74:$AI74,0))*INDEX(AI63:$AJ73,MATCH(MIN($AK63:$AK73),$AK63:$AK73,0),1)/INDEX($C63:$AJ73,MATCH(MIN($AK63:$AK73),$AK63:$AK73,0),MATCH(IF('Data-solution'!$A$3="Maximize",MAX($C74:$AI74),MIN($C74:$AI74)),$C74:$AI74,0))),AI72)</f>
        <v>0</v>
      </c>
      <c r="AJ87" s="1">
        <f>IF(OR($B78&lt;&gt;$B63,$B79&lt;&gt;$B64,$B80&lt;&gt;$B65,$B81&lt;&gt;$B66,$B82&lt;&gt;$B67,$B83&lt;&gt;$B68,$B84&lt;&gt;$B69,$B85&lt;&gt;$B70,$B86&lt;&gt;$B71,$B87&lt;&gt;$B72,$B88&lt;&gt;$B73),IF($B87&lt;&gt;$B72,AJ72/INDEX($C63:$AJ73,10,MATCH(IF('Data-solution'!$A$3="Maximize",MAX($C74:$AI74),MIN($C74:$AI74)),$C74:$AI74,0)),AJ72-INDEX($C63:$AJ73,10,MATCH(IF('Data-solution'!$A$3="Maximize",MAX($C74:$AI74),MIN($C74:$AI74)),$C74:$AI74,0))*INDEX(AJ63:$AJ73,MATCH(MIN($AK63:$AK73),$AK63:$AK73,0),1)/INDEX($C63:$AJ73,MATCH(MIN($AK63:$AK73),$AK63:$AK73,0),MATCH(IF('Data-solution'!$A$3="Maximize",MAX($C74:$AI74),MIN($C74:$AI74)),$C74:$AI74,0))),AJ72)</f>
        <v>0</v>
      </c>
      <c r="AK87" s="1" t="str">
        <f>IF(INDEX(C87:X87,1,MATCH(IF('Data-solution'!A$3="Maximize",MAX(C89:X89),MIN(C89:X89)),C89:X89,0))&gt;0,AJ87/INDEX(C87:X87,1,MATCH(IF('Data-solution'!A$3="Maximize",MAX(C89:X89),MIN(C89:X89)),C89:X89,0))," ")</f>
        <v xml:space="preserve"> </v>
      </c>
    </row>
    <row r="88" spans="1:37" ht="18" customHeight="1" x14ac:dyDescent="0.2">
      <c r="A88" s="1">
        <f t="shared" ref="A88" si="60">INDEX(C76:AI76,1,MATCH(B88,C77:AI77,0))</f>
        <v>0</v>
      </c>
      <c r="B88" s="2" t="str">
        <f>IF(AND('Data-solution'!A$3="Maximize",COUNTIF(C74:X74,"&gt;"&amp;0)&gt;0,AK73=MIN(AK63:AK73),COUNTIF(B78:B87,INDEX(C62:X62,1,MATCH(MAX(C74:X74),C74:X74,0)))=0),INDEX(C62:X62,1,MATCH(MAX(C74:X74),C74:X74,0)),IF(AND('Data-solution'!A$3="Minimize",COUNTIF(C74:X74,"&lt;"&amp;0)&gt;0,AK73=MIN(AK63:AK73),COUNTIF(B78:B87,INDEX(C62:X62,1,MATCH(MIN(C74:X74),C74:X74,0)))=0),INDEX(C62:X62,1,MATCH(MIN(C74:X74),C74:X74,0)),B73))</f>
        <v>S11</v>
      </c>
      <c r="C88" s="1">
        <f>IF(OR($B78&lt;&gt;$B63,$B79&lt;&gt;$B64,$B80&lt;&gt;$B65,$B81&lt;&gt;$B66,$B82&lt;&gt;$B67,$B83&lt;&gt;$B68,$B84&lt;&gt;$B69,$B85&lt;&gt;$B70,$B86&lt;&gt;$B71,$B87&lt;&gt;$B72,$B88&lt;&gt;$B73),IF($B88&lt;&gt;$B73,C73/INDEX($C63:$AJ73,11,MATCH(IF('Data-solution'!$A$3="Maximize",MAX($C74:$AI74),MIN($C74:$AI74)),$C74:$AI74,0)),C73-INDEX($C63:$AJ73,11,MATCH(IF('Data-solution'!$A$3="Maximize",MAX($C74:$AI74),MIN($C74:$AI74)),$C74:$AI74,0))*INDEX(C63:$AJ73,MATCH(MIN($AK63:$AK73),$AK63:$AK73,0),1)/INDEX($C63:$AJ73,MATCH(MIN($AK63:$AK73),$AK63:$AK73,0),MATCH(IF('Data-solution'!$A$3="Maximize",MAX($C74:$AI74),MIN($C74:$AI74)),$C74:$AI74,0))),C73)</f>
        <v>0</v>
      </c>
      <c r="D88" s="1">
        <f>IF(OR($B78&lt;&gt;$B63,$B79&lt;&gt;$B64,$B80&lt;&gt;$B65,$B81&lt;&gt;$B66,$B82&lt;&gt;$B67,$B83&lt;&gt;$B68,$B84&lt;&gt;$B69,$B85&lt;&gt;$B70,$B86&lt;&gt;$B71,$B87&lt;&gt;$B72,$B88&lt;&gt;$B73),IF($B88&lt;&gt;$B73,D73/INDEX($C63:$AJ73,11,MATCH(IF('Data-solution'!$A$3="Maximize",MAX($C74:$AI74),MIN($C74:$AI74)),$C74:$AI74,0)),D73-INDEX($C63:$AJ73,11,MATCH(IF('Data-solution'!$A$3="Maximize",MAX($C74:$AI74),MIN($C74:$AI74)),$C74:$AI74,0))*INDEX(D63:$AJ73,MATCH(MIN($AK63:$AK73),$AK63:$AK73,0),1)/INDEX($C63:$AJ73,MATCH(MIN($AK63:$AK73),$AK63:$AK73,0),MATCH(IF('Data-solution'!$A$3="Maximize",MAX($C74:$AI74),MIN($C74:$AI74)),$C74:$AI74,0))),D73)</f>
        <v>0</v>
      </c>
      <c r="E88" s="1">
        <f>IF(OR($B78&lt;&gt;$B63,$B79&lt;&gt;$B64,$B80&lt;&gt;$B65,$B81&lt;&gt;$B66,$B82&lt;&gt;$B67,$B83&lt;&gt;$B68,$B84&lt;&gt;$B69,$B85&lt;&gt;$B70,$B86&lt;&gt;$B71,$B87&lt;&gt;$B72,$B88&lt;&gt;$B73),IF($B88&lt;&gt;$B73,E73/INDEX($C63:$AJ73,11,MATCH(IF('Data-solution'!$A$3="Maximize",MAX($C74:$AI74),MIN($C74:$AI74)),$C74:$AI74,0)),E73-INDEX($C63:$AJ73,11,MATCH(IF('Data-solution'!$A$3="Maximize",MAX($C74:$AI74),MIN($C74:$AI74)),$C74:$AI74,0))*INDEX(E63:$AJ73,MATCH(MIN($AK63:$AK73),$AK63:$AK73,0),1)/INDEX($C63:$AJ73,MATCH(MIN($AK63:$AK73),$AK63:$AK73,0),MATCH(IF('Data-solution'!$A$3="Maximize",MAX($C74:$AI74),MIN($C74:$AI74)),$C74:$AI74,0))),E73)</f>
        <v>0</v>
      </c>
      <c r="F88" s="1">
        <f>IF(OR($B78&lt;&gt;$B63,$B79&lt;&gt;$B64,$B80&lt;&gt;$B65,$B81&lt;&gt;$B66,$B82&lt;&gt;$B67,$B83&lt;&gt;$B68,$B84&lt;&gt;$B69,$B85&lt;&gt;$B70,$B86&lt;&gt;$B71,$B87&lt;&gt;$B72,$B88&lt;&gt;$B73),IF($B88&lt;&gt;$B73,F73/INDEX($C63:$AJ73,11,MATCH(IF('Data-solution'!$A$3="Maximize",MAX($C74:$AI74),MIN($C74:$AI74)),$C74:$AI74,0)),F73-INDEX($C63:$AJ73,11,MATCH(IF('Data-solution'!$A$3="Maximize",MAX($C74:$AI74),MIN($C74:$AI74)),$C74:$AI74,0))*INDEX(F63:$AJ73,MATCH(MIN($AK63:$AK73),$AK63:$AK73,0),1)/INDEX($C63:$AJ73,MATCH(MIN($AK63:$AK73),$AK63:$AK73,0),MATCH(IF('Data-solution'!$A$3="Maximize",MAX($C74:$AI74),MIN($C74:$AI74)),$C74:$AI74,0))),F73)</f>
        <v>0</v>
      </c>
      <c r="G88" s="1">
        <f>IF(OR($B78&lt;&gt;$B63,$B79&lt;&gt;$B64,$B80&lt;&gt;$B65,$B81&lt;&gt;$B66,$B82&lt;&gt;$B67,$B83&lt;&gt;$B68,$B84&lt;&gt;$B69,$B85&lt;&gt;$B70,$B86&lt;&gt;$B71,$B87&lt;&gt;$B72,$B88&lt;&gt;$B73),IF($B88&lt;&gt;$B73,G73/INDEX($C63:$AJ73,11,MATCH(IF('Data-solution'!$A$3="Maximize",MAX($C74:$AI74),MIN($C74:$AI74)),$C74:$AI74,0)),G73-INDEX($C63:$AJ73,11,MATCH(IF('Data-solution'!$A$3="Maximize",MAX($C74:$AI74),MIN($C74:$AI74)),$C74:$AI74,0))*INDEX(G63:$AJ73,MATCH(MIN($AK63:$AK73),$AK63:$AK73,0),1)/INDEX($C63:$AJ73,MATCH(MIN($AK63:$AK73),$AK63:$AK73,0),MATCH(IF('Data-solution'!$A$3="Maximize",MAX($C74:$AI74),MIN($C74:$AI74)),$C74:$AI74,0))),G73)</f>
        <v>0</v>
      </c>
      <c r="H88" s="1">
        <f>IF(OR($B78&lt;&gt;$B63,$B79&lt;&gt;$B64,$B80&lt;&gt;$B65,$B81&lt;&gt;$B66,$B82&lt;&gt;$B67,$B83&lt;&gt;$B68,$B84&lt;&gt;$B69,$B85&lt;&gt;$B70,$B86&lt;&gt;$B71,$B87&lt;&gt;$B72,$B88&lt;&gt;$B73),IF($B88&lt;&gt;$B73,H73/INDEX($C63:$AJ73,11,MATCH(IF('Data-solution'!$A$3="Maximize",MAX($C74:$AI74),MIN($C74:$AI74)),$C74:$AI74,0)),H73-INDEX($C63:$AJ73,11,MATCH(IF('Data-solution'!$A$3="Maximize",MAX($C74:$AI74),MIN($C74:$AI74)),$C74:$AI74,0))*INDEX(H63:$AJ73,MATCH(MIN($AK63:$AK73),$AK63:$AK73,0),1)/INDEX($C63:$AJ73,MATCH(MIN($AK63:$AK73),$AK63:$AK73,0),MATCH(IF('Data-solution'!$A$3="Maximize",MAX($C74:$AI74),MIN($C74:$AI74)),$C74:$AI74,0))),H73)</f>
        <v>0</v>
      </c>
      <c r="I88" s="1">
        <f>IF(OR($B78&lt;&gt;$B63,$B79&lt;&gt;$B64,$B80&lt;&gt;$B65,$B81&lt;&gt;$B66,$B82&lt;&gt;$B67,$B83&lt;&gt;$B68,$B84&lt;&gt;$B69,$B85&lt;&gt;$B70,$B86&lt;&gt;$B71,$B87&lt;&gt;$B72,$B88&lt;&gt;$B73),IF($B88&lt;&gt;$B73,I73/INDEX($C63:$AJ73,11,MATCH(IF('Data-solution'!$A$3="Maximize",MAX($C74:$AI74),MIN($C74:$AI74)),$C74:$AI74,0)),I73-INDEX($C63:$AJ73,11,MATCH(IF('Data-solution'!$A$3="Maximize",MAX($C74:$AI74),MIN($C74:$AI74)),$C74:$AI74,0))*INDEX(I63:$AJ73,MATCH(MIN($AK63:$AK73),$AK63:$AK73,0),1)/INDEX($C63:$AJ73,MATCH(MIN($AK63:$AK73),$AK63:$AK73,0),MATCH(IF('Data-solution'!$A$3="Maximize",MAX($C74:$AI74),MIN($C74:$AI74)),$C74:$AI74,0))),I73)</f>
        <v>0</v>
      </c>
      <c r="J88" s="1">
        <f>IF(OR($B78&lt;&gt;$B63,$B79&lt;&gt;$B64,$B80&lt;&gt;$B65,$B81&lt;&gt;$B66,$B82&lt;&gt;$B67,$B83&lt;&gt;$B68,$B84&lt;&gt;$B69,$B85&lt;&gt;$B70,$B86&lt;&gt;$B71,$B87&lt;&gt;$B72,$B88&lt;&gt;$B73),IF($B88&lt;&gt;$B73,J73/INDEX($C63:$AJ73,11,MATCH(IF('Data-solution'!$A$3="Maximize",MAX($C74:$AI74),MIN($C74:$AI74)),$C74:$AI74,0)),J73-INDEX($C63:$AJ73,11,MATCH(IF('Data-solution'!$A$3="Maximize",MAX($C74:$AI74),MIN($C74:$AI74)),$C74:$AI74,0))*INDEX(J63:$AJ73,MATCH(MIN($AK63:$AK73),$AK63:$AK73,0),1)/INDEX($C63:$AJ73,MATCH(MIN($AK63:$AK73),$AK63:$AK73,0),MATCH(IF('Data-solution'!$A$3="Maximize",MAX($C74:$AI74),MIN($C74:$AI74)),$C74:$AI74,0))),J73)</f>
        <v>0</v>
      </c>
      <c r="K88" s="1">
        <f>IF(OR($B78&lt;&gt;$B63,$B79&lt;&gt;$B64,$B80&lt;&gt;$B65,$B81&lt;&gt;$B66,$B82&lt;&gt;$B67,$B83&lt;&gt;$B68,$B84&lt;&gt;$B69,$B85&lt;&gt;$B70,$B86&lt;&gt;$B71,$B87&lt;&gt;$B72,$B88&lt;&gt;$B73),IF($B88&lt;&gt;$B73,K73/INDEX($C63:$AJ73,11,MATCH(IF('Data-solution'!$A$3="Maximize",MAX($C74:$AI74),MIN($C74:$AI74)),$C74:$AI74,0)),K73-INDEX($C63:$AJ73,11,MATCH(IF('Data-solution'!$A$3="Maximize",MAX($C74:$AI74),MIN($C74:$AI74)),$C74:$AI74,0))*INDEX(K63:$AJ73,MATCH(MIN($AK63:$AK73),$AK63:$AK73,0),1)/INDEX($C63:$AJ73,MATCH(MIN($AK63:$AK73),$AK63:$AK73,0),MATCH(IF('Data-solution'!$A$3="Maximize",MAX($C74:$AI74),MIN($C74:$AI74)),$C74:$AI74,0))),K73)</f>
        <v>0</v>
      </c>
      <c r="L88" s="1">
        <f>IF(OR($B78&lt;&gt;$B63,$B79&lt;&gt;$B64,$B80&lt;&gt;$B65,$B81&lt;&gt;$B66,$B82&lt;&gt;$B67,$B83&lt;&gt;$B68,$B84&lt;&gt;$B69,$B85&lt;&gt;$B70,$B86&lt;&gt;$B71,$B87&lt;&gt;$B72,$B88&lt;&gt;$B73),IF($B88&lt;&gt;$B73,L73/INDEX($C63:$AJ73,11,MATCH(IF('Data-solution'!$A$3="Maximize",MAX($C74:$AI74),MIN($C74:$AI74)),$C74:$AI74,0)),L73-INDEX($C63:$AJ73,11,MATCH(IF('Data-solution'!$A$3="Maximize",MAX($C74:$AI74),MIN($C74:$AI74)),$C74:$AI74,0))*INDEX(L63:$AJ73,MATCH(MIN($AK63:$AK73),$AK63:$AK73,0),1)/INDEX($C63:$AJ73,MATCH(MIN($AK63:$AK73),$AK63:$AK73,0),MATCH(IF('Data-solution'!$A$3="Maximize",MAX($C74:$AI74),MIN($C74:$AI74)),$C74:$AI74,0))),L73)</f>
        <v>0</v>
      </c>
      <c r="M88" s="1">
        <f>IF(OR($B78&lt;&gt;$B63,$B79&lt;&gt;$B64,$B80&lt;&gt;$B65,$B81&lt;&gt;$B66,$B82&lt;&gt;$B67,$B83&lt;&gt;$B68,$B84&lt;&gt;$B69,$B85&lt;&gt;$B70,$B86&lt;&gt;$B71,$B87&lt;&gt;$B72,$B88&lt;&gt;$B73),IF($B88&lt;&gt;$B73,M73/INDEX($C63:$AJ73,11,MATCH(IF('Data-solution'!$A$3="Maximize",MAX($C74:$AI74),MIN($C74:$AI74)),$C74:$AI74,0)),M73-INDEX($C63:$AJ73,11,MATCH(IF('Data-solution'!$A$3="Maximize",MAX($C74:$AI74),MIN($C74:$AI74)),$C74:$AI74,0))*INDEX(M63:$AJ73,MATCH(MIN($AK63:$AK73),$AK63:$AK73,0),1)/INDEX($C63:$AJ73,MATCH(MIN($AK63:$AK73),$AK63:$AK73,0),MATCH(IF('Data-solution'!$A$3="Maximize",MAX($C74:$AI74),MIN($C74:$AI74)),$C74:$AI74,0))),M73)</f>
        <v>0</v>
      </c>
      <c r="N88" s="1">
        <f>IF(OR($B78&lt;&gt;$B63,$B79&lt;&gt;$B64,$B80&lt;&gt;$B65,$B81&lt;&gt;$B66,$B82&lt;&gt;$B67,$B83&lt;&gt;$B68,$B84&lt;&gt;$B69,$B85&lt;&gt;$B70,$B86&lt;&gt;$B71,$B87&lt;&gt;$B72,$B88&lt;&gt;$B73),IF($B88&lt;&gt;$B73,N73/INDEX($C63:$AJ73,11,MATCH(IF('Data-solution'!$A$3="Maximize",MAX($C74:$AI74),MIN($C74:$AI74)),$C74:$AI74,0)),N73-INDEX($C63:$AJ73,11,MATCH(IF('Data-solution'!$A$3="Maximize",MAX($C74:$AI74),MIN($C74:$AI74)),$C74:$AI74,0))*INDEX(N63:$AJ73,MATCH(MIN($AK63:$AK73),$AK63:$AK73,0),1)/INDEX($C63:$AJ73,MATCH(MIN($AK63:$AK73),$AK63:$AK73,0),MATCH(IF('Data-solution'!$A$3="Maximize",MAX($C74:$AI74),MIN($C74:$AI74)),$C74:$AI74,0))),N73)</f>
        <v>0</v>
      </c>
      <c r="O88" s="1">
        <f>IF(OR($B78&lt;&gt;$B63,$B79&lt;&gt;$B64,$B80&lt;&gt;$B65,$B81&lt;&gt;$B66,$B82&lt;&gt;$B67,$B83&lt;&gt;$B68,$B84&lt;&gt;$B69,$B85&lt;&gt;$B70,$B86&lt;&gt;$B71,$B87&lt;&gt;$B72,$B88&lt;&gt;$B73),IF($B88&lt;&gt;$B73,O73/INDEX($C63:$AJ73,11,MATCH(IF('Data-solution'!$A$3="Maximize",MAX($C74:$AI74),MIN($C74:$AI74)),$C74:$AI74,0)),O73-INDEX($C63:$AJ73,11,MATCH(IF('Data-solution'!$A$3="Maximize",MAX($C74:$AI74),MIN($C74:$AI74)),$C74:$AI74,0))*INDEX(O63:$AJ73,MATCH(MIN($AK63:$AK73),$AK63:$AK73,0),1)/INDEX($C63:$AJ73,MATCH(MIN($AK63:$AK73),$AK63:$AK73,0),MATCH(IF('Data-solution'!$A$3="Maximize",MAX($C74:$AI74),MIN($C74:$AI74)),$C74:$AI74,0))),O73)</f>
        <v>0</v>
      </c>
      <c r="P88" s="1">
        <f>IF(OR($B78&lt;&gt;$B63,$B79&lt;&gt;$B64,$B80&lt;&gt;$B65,$B81&lt;&gt;$B66,$B82&lt;&gt;$B67,$B83&lt;&gt;$B68,$B84&lt;&gt;$B69,$B85&lt;&gt;$B70,$B86&lt;&gt;$B71,$B87&lt;&gt;$B72,$B88&lt;&gt;$B73),IF($B88&lt;&gt;$B73,P73/INDEX($C63:$AJ73,11,MATCH(IF('Data-solution'!$A$3="Maximize",MAX($C74:$AI74),MIN($C74:$AI74)),$C74:$AI74,0)),P73-INDEX($C63:$AJ73,11,MATCH(IF('Data-solution'!$A$3="Maximize",MAX($C74:$AI74),MIN($C74:$AI74)),$C74:$AI74,0))*INDEX(P63:$AJ73,MATCH(MIN($AK63:$AK73),$AK63:$AK73,0),1)/INDEX($C63:$AJ73,MATCH(MIN($AK63:$AK73),$AK63:$AK73,0),MATCH(IF('Data-solution'!$A$3="Maximize",MAX($C74:$AI74),MIN($C74:$AI74)),$C74:$AI74,0))),P73)</f>
        <v>0</v>
      </c>
      <c r="Q88" s="1">
        <f>IF(OR($B78&lt;&gt;$B63,$B79&lt;&gt;$B64,$B80&lt;&gt;$B65,$B81&lt;&gt;$B66,$B82&lt;&gt;$B67,$B83&lt;&gt;$B68,$B84&lt;&gt;$B69,$B85&lt;&gt;$B70,$B86&lt;&gt;$B71,$B87&lt;&gt;$B72,$B88&lt;&gt;$B73),IF($B88&lt;&gt;$B73,Q73/INDEX($C63:$AJ73,11,MATCH(IF('Data-solution'!$A$3="Maximize",MAX($C74:$AI74),MIN($C74:$AI74)),$C74:$AI74,0)),Q73-INDEX($C63:$AJ73,11,MATCH(IF('Data-solution'!$A$3="Maximize",MAX($C74:$AI74),MIN($C74:$AI74)),$C74:$AI74,0))*INDEX(Q63:$AJ73,MATCH(MIN($AK63:$AK73),$AK63:$AK73,0),1)/INDEX($C63:$AJ73,MATCH(MIN($AK63:$AK73),$AK63:$AK73,0),MATCH(IF('Data-solution'!$A$3="Maximize",MAX($C74:$AI74),MIN($C74:$AI74)),$C74:$AI74,0))),Q73)</f>
        <v>0</v>
      </c>
      <c r="R88" s="1">
        <f>IF(OR($B78&lt;&gt;$B63,$B79&lt;&gt;$B64,$B80&lt;&gt;$B65,$B81&lt;&gt;$B66,$B82&lt;&gt;$B67,$B83&lt;&gt;$B68,$B84&lt;&gt;$B69,$B85&lt;&gt;$B70,$B86&lt;&gt;$B71,$B87&lt;&gt;$B72,$B88&lt;&gt;$B73),IF($B88&lt;&gt;$B73,R73/INDEX($C63:$AJ73,11,MATCH(IF('Data-solution'!$A$3="Maximize",MAX($C74:$AI74),MIN($C74:$AI74)),$C74:$AI74,0)),R73-INDEX($C63:$AJ73,11,MATCH(IF('Data-solution'!$A$3="Maximize",MAX($C74:$AI74),MIN($C74:$AI74)),$C74:$AI74,0))*INDEX(R63:$AJ73,MATCH(MIN($AK63:$AK73),$AK63:$AK73,0),1)/INDEX($C63:$AJ73,MATCH(MIN($AK63:$AK73),$AK63:$AK73,0),MATCH(IF('Data-solution'!$A$3="Maximize",MAX($C74:$AI74),MIN($C74:$AI74)),$C74:$AI74,0))),R73)</f>
        <v>0</v>
      </c>
      <c r="S88" s="1">
        <f>IF(OR($B78&lt;&gt;$B63,$B79&lt;&gt;$B64,$B80&lt;&gt;$B65,$B81&lt;&gt;$B66,$B82&lt;&gt;$B67,$B83&lt;&gt;$B68,$B84&lt;&gt;$B69,$B85&lt;&gt;$B70,$B86&lt;&gt;$B71,$B87&lt;&gt;$B72,$B88&lt;&gt;$B73),IF($B88&lt;&gt;$B73,S73/INDEX($C63:$AJ73,11,MATCH(IF('Data-solution'!$A$3="Maximize",MAX($C74:$AI74),MIN($C74:$AI74)),$C74:$AI74,0)),S73-INDEX($C63:$AJ73,11,MATCH(IF('Data-solution'!$A$3="Maximize",MAX($C74:$AI74),MIN($C74:$AI74)),$C74:$AI74,0))*INDEX(S63:$AJ73,MATCH(MIN($AK63:$AK73),$AK63:$AK73,0),1)/INDEX($C63:$AJ73,MATCH(MIN($AK63:$AK73),$AK63:$AK73,0),MATCH(IF('Data-solution'!$A$3="Maximize",MAX($C74:$AI74),MIN($C74:$AI74)),$C74:$AI74,0))),S73)</f>
        <v>0</v>
      </c>
      <c r="T88" s="1">
        <f>IF(OR($B78&lt;&gt;$B63,$B79&lt;&gt;$B64,$B80&lt;&gt;$B65,$B81&lt;&gt;$B66,$B82&lt;&gt;$B67,$B83&lt;&gt;$B68,$B84&lt;&gt;$B69,$B85&lt;&gt;$B70,$B86&lt;&gt;$B71,$B87&lt;&gt;$B72,$B88&lt;&gt;$B73),IF($B88&lt;&gt;$B73,T73/INDEX($C63:$AJ73,11,MATCH(IF('Data-solution'!$A$3="Maximize",MAX($C74:$AI74),MIN($C74:$AI74)),$C74:$AI74,0)),T73-INDEX($C63:$AJ73,11,MATCH(IF('Data-solution'!$A$3="Maximize",MAX($C74:$AI74),MIN($C74:$AI74)),$C74:$AI74,0))*INDEX(T63:$AJ73,MATCH(MIN($AK63:$AK73),$AK63:$AK73,0),1)/INDEX($C63:$AJ73,MATCH(MIN($AK63:$AK73),$AK63:$AK73,0),MATCH(IF('Data-solution'!$A$3="Maximize",MAX($C74:$AI74),MIN($C74:$AI74)),$C74:$AI74,0))),T73)</f>
        <v>0</v>
      </c>
      <c r="U88" s="1">
        <f>IF(OR($B78&lt;&gt;$B63,$B79&lt;&gt;$B64,$B80&lt;&gt;$B65,$B81&lt;&gt;$B66,$B82&lt;&gt;$B67,$B83&lt;&gt;$B68,$B84&lt;&gt;$B69,$B85&lt;&gt;$B70,$B86&lt;&gt;$B71,$B87&lt;&gt;$B72,$B88&lt;&gt;$B73),IF($B88&lt;&gt;$B73,U73/INDEX($C63:$AJ73,11,MATCH(IF('Data-solution'!$A$3="Maximize",MAX($C74:$AI74),MIN($C74:$AI74)),$C74:$AI74,0)),U73-INDEX($C63:$AJ73,11,MATCH(IF('Data-solution'!$A$3="Maximize",MAX($C74:$AI74),MIN($C74:$AI74)),$C74:$AI74,0))*INDEX(U63:$AJ73,MATCH(MIN($AK63:$AK73),$AK63:$AK73,0),1)/INDEX($C63:$AJ73,MATCH(MIN($AK63:$AK73),$AK63:$AK73,0),MATCH(IF('Data-solution'!$A$3="Maximize",MAX($C74:$AI74),MIN($C74:$AI74)),$C74:$AI74,0))),U73)</f>
        <v>0</v>
      </c>
      <c r="V88" s="1">
        <f>IF(OR($B78&lt;&gt;$B63,$B79&lt;&gt;$B64,$B80&lt;&gt;$B65,$B81&lt;&gt;$B66,$B82&lt;&gt;$B67,$B83&lt;&gt;$B68,$B84&lt;&gt;$B69,$B85&lt;&gt;$B70,$B86&lt;&gt;$B71,$B87&lt;&gt;$B72,$B88&lt;&gt;$B73),IF($B88&lt;&gt;$B73,V73/INDEX($C63:$AJ73,11,MATCH(IF('Data-solution'!$A$3="Maximize",MAX($C74:$AI74),MIN($C74:$AI74)),$C74:$AI74,0)),V73-INDEX($C63:$AJ73,11,MATCH(IF('Data-solution'!$A$3="Maximize",MAX($C74:$AI74),MIN($C74:$AI74)),$C74:$AI74,0))*INDEX(V63:$AJ73,MATCH(MIN($AK63:$AK73),$AK63:$AK73,0),1)/INDEX($C63:$AJ73,MATCH(MIN($AK63:$AK73),$AK63:$AK73,0),MATCH(IF('Data-solution'!$A$3="Maximize",MAX($C74:$AI74),MIN($C74:$AI74)),$C74:$AI74,0))),V73)</f>
        <v>0</v>
      </c>
      <c r="W88" s="1">
        <f>IF(OR($B78&lt;&gt;$B63,$B79&lt;&gt;$B64,$B80&lt;&gt;$B65,$B81&lt;&gt;$B66,$B82&lt;&gt;$B67,$B83&lt;&gt;$B68,$B84&lt;&gt;$B69,$B85&lt;&gt;$B70,$B86&lt;&gt;$B71,$B87&lt;&gt;$B72,$B88&lt;&gt;$B73),IF($B88&lt;&gt;$B73,W73/INDEX($C63:$AJ73,11,MATCH(IF('Data-solution'!$A$3="Maximize",MAX($C74:$AI74),MIN($C74:$AI74)),$C74:$AI74,0)),W73-INDEX($C63:$AJ73,11,MATCH(IF('Data-solution'!$A$3="Maximize",MAX($C74:$AI74),MIN($C74:$AI74)),$C74:$AI74,0))*INDEX(W63:$AJ73,MATCH(MIN($AK63:$AK73),$AK63:$AK73,0),1)/INDEX($C63:$AJ73,MATCH(MIN($AK63:$AK73),$AK63:$AK73,0),MATCH(IF('Data-solution'!$A$3="Maximize",MAX($C74:$AI74),MIN($C74:$AI74)),$C74:$AI74,0))),W73)</f>
        <v>0</v>
      </c>
      <c r="X88" s="1">
        <f>IF(OR($B78&lt;&gt;$B63,$B79&lt;&gt;$B64,$B80&lt;&gt;$B65,$B81&lt;&gt;$B66,$B82&lt;&gt;$B67,$B83&lt;&gt;$B68,$B84&lt;&gt;$B69,$B85&lt;&gt;$B70,$B86&lt;&gt;$B71,$B87&lt;&gt;$B72,$B88&lt;&gt;$B73),IF($B88&lt;&gt;$B73,X73/INDEX($C63:$AJ73,11,MATCH(IF('Data-solution'!$A$3="Maximize",MAX($C74:$AI74),MIN($C74:$AI74)),$C74:$AI74,0)),X73-INDEX($C63:$AJ73,11,MATCH(IF('Data-solution'!$A$3="Maximize",MAX($C74:$AI74),MIN($C74:$AI74)),$C74:$AI74,0))*INDEX(X63:$AJ73,MATCH(MIN($AK63:$AK73),$AK63:$AK73,0),1)/INDEX($C63:$AJ73,MATCH(MIN($AK63:$AK73),$AK63:$AK73,0),MATCH(IF('Data-solution'!$A$3="Maximize",MAX($C74:$AI74),MIN($C74:$AI74)),$C74:$AI74,0))),X73)</f>
        <v>1</v>
      </c>
      <c r="Y88" s="1">
        <f>IF(OR($B78&lt;&gt;$B63,$B79&lt;&gt;$B64,$B80&lt;&gt;$B65,$B81&lt;&gt;$B66,$B82&lt;&gt;$B67,$B83&lt;&gt;$B68,$B84&lt;&gt;$B69,$B85&lt;&gt;$B70,$B86&lt;&gt;$B71,$B87&lt;&gt;$B72,$B88&lt;&gt;$B73),IF($B88&lt;&gt;$B73,Y73/INDEX($C63:$AJ73,11,MATCH(IF('Data-solution'!$A$3="Maximize",MAX($C74:$AI74),MIN($C74:$AI74)),$C74:$AI74,0)),Y73-INDEX($C63:$AJ73,11,MATCH(IF('Data-solution'!$A$3="Maximize",MAX($C74:$AI74),MIN($C74:$AI74)),$C74:$AI74,0))*INDEX(Y63:$AJ73,MATCH(MIN($AK63:$AK73),$AK63:$AK73,0),1)/INDEX($C63:$AJ73,MATCH(MIN($AK63:$AK73),$AK63:$AK73,0),MATCH(IF('Data-solution'!$A$3="Maximize",MAX($C74:$AI74),MIN($C74:$AI74)),$C74:$AI74,0))),Y73)</f>
        <v>0</v>
      </c>
      <c r="Z88" s="1">
        <f>IF(OR($B78&lt;&gt;$B63,$B79&lt;&gt;$B64,$B80&lt;&gt;$B65,$B81&lt;&gt;$B66,$B82&lt;&gt;$B67,$B83&lt;&gt;$B68,$B84&lt;&gt;$B69,$B85&lt;&gt;$B70,$B86&lt;&gt;$B71,$B87&lt;&gt;$B72,$B88&lt;&gt;$B73),IF($B88&lt;&gt;$B73,Z73/INDEX($C63:$AJ73,11,MATCH(IF('Data-solution'!$A$3="Maximize",MAX($C74:$AI74),MIN($C74:$AI74)),$C74:$AI74,0)),Z73-INDEX($C63:$AJ73,11,MATCH(IF('Data-solution'!$A$3="Maximize",MAX($C74:$AI74),MIN($C74:$AI74)),$C74:$AI74,0))*INDEX(Z63:$AJ73,MATCH(MIN($AK63:$AK73),$AK63:$AK73,0),1)/INDEX($C63:$AJ73,MATCH(MIN($AK63:$AK73),$AK63:$AK73,0),MATCH(IF('Data-solution'!$A$3="Maximize",MAX($C74:$AI74),MIN($C74:$AI74)),$C74:$AI74,0))),Z73)</f>
        <v>0</v>
      </c>
      <c r="AA88" s="1">
        <f>IF(OR($B78&lt;&gt;$B63,$B79&lt;&gt;$B64,$B80&lt;&gt;$B65,$B81&lt;&gt;$B66,$B82&lt;&gt;$B67,$B83&lt;&gt;$B68,$B84&lt;&gt;$B69,$B85&lt;&gt;$B70,$B86&lt;&gt;$B71,$B87&lt;&gt;$B72,$B88&lt;&gt;$B73),IF($B88&lt;&gt;$B73,AA73/INDEX($C63:$AJ73,11,MATCH(IF('Data-solution'!$A$3="Maximize",MAX($C74:$AI74),MIN($C74:$AI74)),$C74:$AI74,0)),AA73-INDEX($C63:$AJ73,11,MATCH(IF('Data-solution'!$A$3="Maximize",MAX($C74:$AI74),MIN($C74:$AI74)),$C74:$AI74,0))*INDEX(AA63:$AJ73,MATCH(MIN($AK63:$AK73),$AK63:$AK73,0),1)/INDEX($C63:$AJ73,MATCH(MIN($AK63:$AK73),$AK63:$AK73,0),MATCH(IF('Data-solution'!$A$3="Maximize",MAX($C74:$AI74),MIN($C74:$AI74)),$C74:$AI74,0))),AA73)</f>
        <v>0</v>
      </c>
      <c r="AB88" s="1">
        <f>IF(OR($B78&lt;&gt;$B63,$B79&lt;&gt;$B64,$B80&lt;&gt;$B65,$B81&lt;&gt;$B66,$B82&lt;&gt;$B67,$B83&lt;&gt;$B68,$B84&lt;&gt;$B69,$B85&lt;&gt;$B70,$B86&lt;&gt;$B71,$B87&lt;&gt;$B72,$B88&lt;&gt;$B73),IF($B88&lt;&gt;$B73,AB73/INDEX($C63:$AJ73,11,MATCH(IF('Data-solution'!$A$3="Maximize",MAX($C74:$AI74),MIN($C74:$AI74)),$C74:$AI74,0)),AB73-INDEX($C63:$AJ73,11,MATCH(IF('Data-solution'!$A$3="Maximize",MAX($C74:$AI74),MIN($C74:$AI74)),$C74:$AI74,0))*INDEX(AB63:$AJ73,MATCH(MIN($AK63:$AK73),$AK63:$AK73,0),1)/INDEX($C63:$AJ73,MATCH(MIN($AK63:$AK73),$AK63:$AK73,0),MATCH(IF('Data-solution'!$A$3="Maximize",MAX($C74:$AI74),MIN($C74:$AI74)),$C74:$AI74,0))),AB73)</f>
        <v>0</v>
      </c>
      <c r="AC88" s="1">
        <f>IF(OR($B78&lt;&gt;$B63,$B79&lt;&gt;$B64,$B80&lt;&gt;$B65,$B81&lt;&gt;$B66,$B82&lt;&gt;$B67,$B83&lt;&gt;$B68,$B84&lt;&gt;$B69,$B85&lt;&gt;$B70,$B86&lt;&gt;$B71,$B87&lt;&gt;$B72,$B88&lt;&gt;$B73),IF($B88&lt;&gt;$B73,AC73/INDEX($C63:$AJ73,11,MATCH(IF('Data-solution'!$A$3="Maximize",MAX($C74:$AI74),MIN($C74:$AI74)),$C74:$AI74,0)),AC73-INDEX($C63:$AJ73,11,MATCH(IF('Data-solution'!$A$3="Maximize",MAX($C74:$AI74),MIN($C74:$AI74)),$C74:$AI74,0))*INDEX(AC63:$AJ73,MATCH(MIN($AK63:$AK73),$AK63:$AK73,0),1)/INDEX($C63:$AJ73,MATCH(MIN($AK63:$AK73),$AK63:$AK73,0),MATCH(IF('Data-solution'!$A$3="Maximize",MAX($C74:$AI74),MIN($C74:$AI74)),$C74:$AI74,0))),AC73)</f>
        <v>0</v>
      </c>
      <c r="AD88" s="1">
        <f>IF(OR($B78&lt;&gt;$B63,$B79&lt;&gt;$B64,$B80&lt;&gt;$B65,$B81&lt;&gt;$B66,$B82&lt;&gt;$B67,$B83&lt;&gt;$B68,$B84&lt;&gt;$B69,$B85&lt;&gt;$B70,$B86&lt;&gt;$B71,$B87&lt;&gt;$B72,$B88&lt;&gt;$B73),IF($B88&lt;&gt;$B73,AD73/INDEX($C63:$AJ73,11,MATCH(IF('Data-solution'!$A$3="Maximize",MAX($C74:$AI74),MIN($C74:$AI74)),$C74:$AI74,0)),AD73-INDEX($C63:$AJ73,11,MATCH(IF('Data-solution'!$A$3="Maximize",MAX($C74:$AI74),MIN($C74:$AI74)),$C74:$AI74,0))*INDEX(AD63:$AJ73,MATCH(MIN($AK63:$AK73),$AK63:$AK73,0),1)/INDEX($C63:$AJ73,MATCH(MIN($AK63:$AK73),$AK63:$AK73,0),MATCH(IF('Data-solution'!$A$3="Maximize",MAX($C74:$AI74),MIN($C74:$AI74)),$C74:$AI74,0))),AD73)</f>
        <v>0</v>
      </c>
      <c r="AE88" s="1">
        <f>IF(OR($B78&lt;&gt;$B63,$B79&lt;&gt;$B64,$B80&lt;&gt;$B65,$B81&lt;&gt;$B66,$B82&lt;&gt;$B67,$B83&lt;&gt;$B68,$B84&lt;&gt;$B69,$B85&lt;&gt;$B70,$B86&lt;&gt;$B71,$B87&lt;&gt;$B72,$B88&lt;&gt;$B73),IF($B88&lt;&gt;$B73,AE73/INDEX($C63:$AJ73,11,MATCH(IF('Data-solution'!$A$3="Maximize",MAX($C74:$AI74),MIN($C74:$AI74)),$C74:$AI74,0)),AE73-INDEX($C63:$AJ73,11,MATCH(IF('Data-solution'!$A$3="Maximize",MAX($C74:$AI74),MIN($C74:$AI74)),$C74:$AI74,0))*INDEX(AE63:$AJ73,MATCH(MIN($AK63:$AK73),$AK63:$AK73,0),1)/INDEX($C63:$AJ73,MATCH(MIN($AK63:$AK73),$AK63:$AK73,0),MATCH(IF('Data-solution'!$A$3="Maximize",MAX($C74:$AI74),MIN($C74:$AI74)),$C74:$AI74,0))),AE73)</f>
        <v>0</v>
      </c>
      <c r="AF88" s="1">
        <f>IF(OR($B78&lt;&gt;$B63,$B79&lt;&gt;$B64,$B80&lt;&gt;$B65,$B81&lt;&gt;$B66,$B82&lt;&gt;$B67,$B83&lt;&gt;$B68,$B84&lt;&gt;$B69,$B85&lt;&gt;$B70,$B86&lt;&gt;$B71,$B87&lt;&gt;$B72,$B88&lt;&gt;$B73),IF($B88&lt;&gt;$B73,AF73/INDEX($C63:$AJ73,11,MATCH(IF('Data-solution'!$A$3="Maximize",MAX($C74:$AI74),MIN($C74:$AI74)),$C74:$AI74,0)),AF73-INDEX($C63:$AJ73,11,MATCH(IF('Data-solution'!$A$3="Maximize",MAX($C74:$AI74),MIN($C74:$AI74)),$C74:$AI74,0))*INDEX(AF63:$AJ73,MATCH(MIN($AK63:$AK73),$AK63:$AK73,0),1)/INDEX($C63:$AJ73,MATCH(MIN($AK63:$AK73),$AK63:$AK73,0),MATCH(IF('Data-solution'!$A$3="Maximize",MAX($C74:$AI74),MIN($C74:$AI74)),$C74:$AI74,0))),AF73)</f>
        <v>0</v>
      </c>
      <c r="AG88" s="1">
        <f>IF(OR($B78&lt;&gt;$B63,$B79&lt;&gt;$B64,$B80&lt;&gt;$B65,$B81&lt;&gt;$B66,$B82&lt;&gt;$B67,$B83&lt;&gt;$B68,$B84&lt;&gt;$B69,$B85&lt;&gt;$B70,$B86&lt;&gt;$B71,$B87&lt;&gt;$B72,$B88&lt;&gt;$B73),IF($B88&lt;&gt;$B73,AG73/INDEX($C63:$AJ73,11,MATCH(IF('Data-solution'!$A$3="Maximize",MAX($C74:$AI74),MIN($C74:$AI74)),$C74:$AI74,0)),AG73-INDEX($C63:$AJ73,11,MATCH(IF('Data-solution'!$A$3="Maximize",MAX($C74:$AI74),MIN($C74:$AI74)),$C74:$AI74,0))*INDEX(AG63:$AJ73,MATCH(MIN($AK63:$AK73),$AK63:$AK73,0),1)/INDEX($C63:$AJ73,MATCH(MIN($AK63:$AK73),$AK63:$AK73,0),MATCH(IF('Data-solution'!$A$3="Maximize",MAX($C74:$AI74),MIN($C74:$AI74)),$C74:$AI74,0))),AG73)</f>
        <v>0</v>
      </c>
      <c r="AH88" s="1">
        <f>IF(OR($B78&lt;&gt;$B63,$B79&lt;&gt;$B64,$B80&lt;&gt;$B65,$B81&lt;&gt;$B66,$B82&lt;&gt;$B67,$B83&lt;&gt;$B68,$B84&lt;&gt;$B69,$B85&lt;&gt;$B70,$B86&lt;&gt;$B71,$B87&lt;&gt;$B72,$B88&lt;&gt;$B73),IF($B88&lt;&gt;$B73,AH73/INDEX($C63:$AJ73,11,MATCH(IF('Data-solution'!$A$3="Maximize",MAX($C74:$AI74),MIN($C74:$AI74)),$C74:$AI74,0)),AH73-INDEX($C63:$AJ73,11,MATCH(IF('Data-solution'!$A$3="Maximize",MAX($C74:$AI74),MIN($C74:$AI74)),$C74:$AI74,0))*INDEX(AH63:$AJ73,MATCH(MIN($AK63:$AK73),$AK63:$AK73,0),1)/INDEX($C63:$AJ73,MATCH(MIN($AK63:$AK73),$AK63:$AK73,0),MATCH(IF('Data-solution'!$A$3="Maximize",MAX($C74:$AI74),MIN($C74:$AI74)),$C74:$AI74,0))),AH73)</f>
        <v>0</v>
      </c>
      <c r="AI88" s="1">
        <f>IF(OR($B78&lt;&gt;$B63,$B79&lt;&gt;$B64,$B80&lt;&gt;$B65,$B81&lt;&gt;$B66,$B82&lt;&gt;$B67,$B83&lt;&gt;$B68,$B84&lt;&gt;$B69,$B85&lt;&gt;$B70,$B86&lt;&gt;$B71,$B87&lt;&gt;$B72,$B88&lt;&gt;$B73),IF($B88&lt;&gt;$B73,AI73/INDEX($C63:$AJ73,11,MATCH(IF('Data-solution'!$A$3="Maximize",MAX($C74:$AI74),MIN($C74:$AI74)),$C74:$AI74,0)),AI73-INDEX($C63:$AJ73,11,MATCH(IF('Data-solution'!$A$3="Maximize",MAX($C74:$AI74),MIN($C74:$AI74)),$C74:$AI74,0))*INDEX(AI63:$AJ73,MATCH(MIN($AK63:$AK73),$AK63:$AK73,0),1)/INDEX($C63:$AJ73,MATCH(MIN($AK63:$AK73),$AK63:$AK73,0),MATCH(IF('Data-solution'!$A$3="Maximize",MAX($C74:$AI74),MIN($C74:$AI74)),$C74:$AI74,0))),AI73)</f>
        <v>1</v>
      </c>
      <c r="AJ88" s="1">
        <f>IF(OR($B78&lt;&gt;$B63,$B79&lt;&gt;$B64,$B80&lt;&gt;$B65,$B81&lt;&gt;$B66,$B82&lt;&gt;$B67,$B83&lt;&gt;$B68,$B84&lt;&gt;$B69,$B85&lt;&gt;$B70,$B86&lt;&gt;$B71,$B87&lt;&gt;$B72,$B88&lt;&gt;$B73),IF($B88&lt;&gt;$B73,AJ73/INDEX($C63:$AJ73,11,MATCH(IF('Data-solution'!$A$3="Maximize",MAX($C74:$AI74),MIN($C74:$AI74)),$C74:$AI74,0)),AJ73-INDEX($C63:$AJ73,11,MATCH(IF('Data-solution'!$A$3="Maximize",MAX($C74:$AI74),MIN($C74:$AI74)),$C74:$AI74,0))*INDEX(AJ63:$AJ73,MATCH(MIN($AK63:$AK73),$AK63:$AK73,0),1)/INDEX($C63:$AJ73,MATCH(MIN($AK63:$AK73),$AK63:$AK73,0),MATCH(IF('Data-solution'!$A$3="Maximize",MAX($C74:$AI74),MIN($C74:$AI74)),$C74:$AI74,0))),AJ73)</f>
        <v>0</v>
      </c>
      <c r="AK88" s="1" t="str">
        <f>IF(INDEX(C88:X88,1,MATCH(IF('Data-solution'!A$3="Maximize",MAX(C89:X89),MIN(C89:X89)),C89:X89,0))&gt;0,AJ88/INDEX(C88:X88,1,MATCH(IF('Data-solution'!A$3="Maximize",MAX(C89:X89),MIN(C89:X89)),C89:X89,0))," ")</f>
        <v xml:space="preserve"> </v>
      </c>
    </row>
    <row r="89" spans="1:37" ht="18" customHeight="1" x14ac:dyDescent="0.2">
      <c r="B89" s="2" t="s">
        <v>5</v>
      </c>
      <c r="C89" s="1">
        <f>IF(SUM(COUNTIF($B78:$B88,$Y77),COUNTIF($B78:$B88,$Z77),COUNTIF($B78:$B88,$AA77),COUNTIF($B78:$B88,$AB77),COUNTIF($B78:$B88,$AC77),COUNTIF($B78:$B88,$AD77),COUNTIF($B78:$B88,$AE77),COUNTIF($B78:$B88,$AF77),COUNTIF($B78:$B88,$AG77),COUNTIF($B78:$B88,$AH77),COUNTIF($B78:$B88,$AI77))=0,C76-SUMPRODUCT($A78:$A88,C78:C88),IF('Data-solution'!$A$3="Maximize",1,-1)*SUM(SUMIF($B78:$B88,$Y77,C78:C88),SUMIF($B78:$B88,$Z77,C78:C88),SUMIF($B78:$B88,$AA77,C78:C88),SUMIF($B78:$B88,$AB77,C78:C88),SUMIF($B78:$B88,$AC77,C78:C88),SUMIF($B78:$B88,$AD77,C78:C88),SUMIF($B78:$B88,$AE77,C78:C88),SUMIF($B78:$B88,$AF77,C78:C88),SUMIF($B78:$B88,$AG77,C78:C88),SUMIF($B78:$B88,$AH77,C78:C88),SUMIF($B78:$B88,$AI77,C78:C88)))</f>
        <v>0</v>
      </c>
      <c r="D89" s="1">
        <f>IF(SUM(COUNTIF($B78:$B88,$Y77),COUNTIF($B78:$B88,$Z77),COUNTIF($B78:$B88,$AA77),COUNTIF($B78:$B88,$AB77),COUNTIF($B78:$B88,$AC77),COUNTIF($B78:$B88,$AD77),COUNTIF($B78:$B88,$AE77),COUNTIF($B78:$B88,$AF77),COUNTIF($B78:$B88,$AG77),COUNTIF($B78:$B88,$AH77),COUNTIF($B78:$B88,$AI77))=0,D76-SUMPRODUCT($A78:$A88,D78:D88),IF('Data-solution'!$A$3="Maximize",1,-1)*SUM(SUMIF($B78:$B88,$Y77,D78:D88),SUMIF($B78:$B88,$Z77,D78:D88),SUMIF($B78:$B88,$AA77,D78:D88),SUMIF($B78:$B88,$AB77,D78:D88),SUMIF($B78:$B88,$AC77,D78:D88),SUMIF($B78:$B88,$AD77,D78:D88),SUMIF($B78:$B88,$AE77,D78:D88),SUMIF($B78:$B88,$AF77,D78:D88),SUMIF($B78:$B88,$AG77,D78:D88),SUMIF($B78:$B88,$AH77,D78:D88),SUMIF($B78:$B88,$AI77,D78:D88)))</f>
        <v>-50</v>
      </c>
      <c r="E89" s="1">
        <f>IF(SUM(COUNTIF($B78:$B88,$Y77),COUNTIF($B78:$B88,$Z77),COUNTIF($B78:$B88,$AA77),COUNTIF($B78:$B88,$AB77),COUNTIF($B78:$B88,$AC77),COUNTIF($B78:$B88,$AD77),COUNTIF($B78:$B88,$AE77),COUNTIF($B78:$B88,$AF77),COUNTIF($B78:$B88,$AG77),COUNTIF($B78:$B88,$AH77),COUNTIF($B78:$B88,$AI77))=0,E76-SUMPRODUCT($A78:$A88,E78:E88),IF('Data-solution'!$A$3="Maximize",1,-1)*SUM(SUMIF($B78:$B88,$Y77,E78:E88),SUMIF($B78:$B88,$Z77,E78:E88),SUMIF($B78:$B88,$AA77,E78:E88),SUMIF($B78:$B88,$AB77,E78:E88),SUMIF($B78:$B88,$AC77,E78:E88),SUMIF($B78:$B88,$AD77,E78:E88),SUMIF($B78:$B88,$AE77,E78:E88),SUMIF($B78:$B88,$AF77,E78:E88),SUMIF($B78:$B88,$AG77,E78:E88),SUMIF($B78:$B88,$AH77,E78:E88),SUMIF($B78:$B88,$AI77,E78:E88)))</f>
        <v>0</v>
      </c>
      <c r="F89" s="1">
        <f>IF(SUM(COUNTIF($B78:$B88,$Y77),COUNTIF($B78:$B88,$Z77),COUNTIF($B78:$B88,$AA77),COUNTIF($B78:$B88,$AB77),COUNTIF($B78:$B88,$AC77),COUNTIF($B78:$B88,$AD77),COUNTIF($B78:$B88,$AE77),COUNTIF($B78:$B88,$AF77),COUNTIF($B78:$B88,$AG77),COUNTIF($B78:$B88,$AH77),COUNTIF($B78:$B88,$AI77))=0,F76-SUMPRODUCT($A78:$A88,F78:F88),IF('Data-solution'!$A$3="Maximize",1,-1)*SUM(SUMIF($B78:$B88,$Y77,F78:F88),SUMIF($B78:$B88,$Z77,F78:F88),SUMIF($B78:$B88,$AA77,F78:F88),SUMIF($B78:$B88,$AB77,F78:F88),SUMIF($B78:$B88,$AC77,F78:F88),SUMIF($B78:$B88,$AD77,F78:F88),SUMIF($B78:$B88,$AE77,F78:F88),SUMIF($B78:$B88,$AF77,F78:F88),SUMIF($B78:$B88,$AG77,F78:F88),SUMIF($B78:$B88,$AH77,F78:F88),SUMIF($B78:$B88,$AI77,F78:F88)))</f>
        <v>0</v>
      </c>
      <c r="G89" s="1">
        <f>IF(SUM(COUNTIF($B78:$B88,$Y77),COUNTIF($B78:$B88,$Z77),COUNTIF($B78:$B88,$AA77),COUNTIF($B78:$B88,$AB77),COUNTIF($B78:$B88,$AC77),COUNTIF($B78:$B88,$AD77),COUNTIF($B78:$B88,$AE77),COUNTIF($B78:$B88,$AF77),COUNTIF($B78:$B88,$AG77),COUNTIF($B78:$B88,$AH77),COUNTIF($B78:$B88,$AI77))=0,G76-SUMPRODUCT($A78:$A88,G78:G88),IF('Data-solution'!$A$3="Maximize",1,-1)*SUM(SUMIF($B78:$B88,$Y77,G78:G88),SUMIF($B78:$B88,$Z77,G78:G88),SUMIF($B78:$B88,$AA77,G78:G88),SUMIF($B78:$B88,$AB77,G78:G88),SUMIF($B78:$B88,$AC77,G78:G88),SUMIF($B78:$B88,$AD77,G78:G88),SUMIF($B78:$B88,$AE77,G78:G88),SUMIF($B78:$B88,$AF77,G78:G88),SUMIF($B78:$B88,$AG77,G78:G88),SUMIF($B78:$B88,$AH77,G78:G88),SUMIF($B78:$B88,$AI77,G78:G88)))</f>
        <v>0</v>
      </c>
      <c r="H89" s="1">
        <f>IF(SUM(COUNTIF($B78:$B88,$Y77),COUNTIF($B78:$B88,$Z77),COUNTIF($B78:$B88,$AA77),COUNTIF($B78:$B88,$AB77),COUNTIF($B78:$B88,$AC77),COUNTIF($B78:$B88,$AD77),COUNTIF($B78:$B88,$AE77),COUNTIF($B78:$B88,$AF77),COUNTIF($B78:$B88,$AG77),COUNTIF($B78:$B88,$AH77),COUNTIF($B78:$B88,$AI77))=0,H76-SUMPRODUCT($A78:$A88,H78:H88),IF('Data-solution'!$A$3="Maximize",1,-1)*SUM(SUMIF($B78:$B88,$Y77,H78:H88),SUMIF($B78:$B88,$Z77,H78:H88),SUMIF($B78:$B88,$AA77,H78:H88),SUMIF($B78:$B88,$AB77,H78:H88),SUMIF($B78:$B88,$AC77,H78:H88),SUMIF($B78:$B88,$AD77,H78:H88),SUMIF($B78:$B88,$AE77,H78:H88),SUMIF($B78:$B88,$AF77,H78:H88),SUMIF($B78:$B88,$AG77,H78:H88),SUMIF($B78:$B88,$AH77,H78:H88),SUMIF($B78:$B88,$AI77,H78:H88)))</f>
        <v>0</v>
      </c>
      <c r="I89" s="1">
        <f>IF(SUM(COUNTIF($B78:$B88,$Y77),COUNTIF($B78:$B88,$Z77),COUNTIF($B78:$B88,$AA77),COUNTIF($B78:$B88,$AB77),COUNTIF($B78:$B88,$AC77),COUNTIF($B78:$B88,$AD77),COUNTIF($B78:$B88,$AE77),COUNTIF($B78:$B88,$AF77),COUNTIF($B78:$B88,$AG77),COUNTIF($B78:$B88,$AH77),COUNTIF($B78:$B88,$AI77))=0,I76-SUMPRODUCT($A78:$A88,I78:I88),IF('Data-solution'!$A$3="Maximize",1,-1)*SUM(SUMIF($B78:$B88,$Y77,I78:I88),SUMIF($B78:$B88,$Z77,I78:I88),SUMIF($B78:$B88,$AA77,I78:I88),SUMIF($B78:$B88,$AB77,I78:I88),SUMIF($B78:$B88,$AC77,I78:I88),SUMIF($B78:$B88,$AD77,I78:I88),SUMIF($B78:$B88,$AE77,I78:I88),SUMIF($B78:$B88,$AF77,I78:I88),SUMIF($B78:$B88,$AG77,I78:I88),SUMIF($B78:$B88,$AH77,I78:I88),SUMIF($B78:$B88,$AI77,I78:I88)))</f>
        <v>0</v>
      </c>
      <c r="J89" s="1">
        <f>IF(SUM(COUNTIF($B78:$B88,$Y77),COUNTIF($B78:$B88,$Z77),COUNTIF($B78:$B88,$AA77),COUNTIF($B78:$B88,$AB77),COUNTIF($B78:$B88,$AC77),COUNTIF($B78:$B88,$AD77),COUNTIF($B78:$B88,$AE77),COUNTIF($B78:$B88,$AF77),COUNTIF($B78:$B88,$AG77),COUNTIF($B78:$B88,$AH77),COUNTIF($B78:$B88,$AI77))=0,J76-SUMPRODUCT($A78:$A88,J78:J88),IF('Data-solution'!$A$3="Maximize",1,-1)*SUM(SUMIF($B78:$B88,$Y77,J78:J88),SUMIF($B78:$B88,$Z77,J78:J88),SUMIF($B78:$B88,$AA77,J78:J88),SUMIF($B78:$B88,$AB77,J78:J88),SUMIF($B78:$B88,$AC77,J78:J88),SUMIF($B78:$B88,$AD77,J78:J88),SUMIF($B78:$B88,$AE77,J78:J88),SUMIF($B78:$B88,$AF77,J78:J88),SUMIF($B78:$B88,$AG77,J78:J88),SUMIF($B78:$B88,$AH77,J78:J88),SUMIF($B78:$B88,$AI77,J78:J88)))</f>
        <v>0</v>
      </c>
      <c r="K89" s="1">
        <f>IF(SUM(COUNTIF($B78:$B88,$Y77),COUNTIF($B78:$B88,$Z77),COUNTIF($B78:$B88,$AA77),COUNTIF($B78:$B88,$AB77),COUNTIF($B78:$B88,$AC77),COUNTIF($B78:$B88,$AD77),COUNTIF($B78:$B88,$AE77),COUNTIF($B78:$B88,$AF77),COUNTIF($B78:$B88,$AG77),COUNTIF($B78:$B88,$AH77),COUNTIF($B78:$B88,$AI77))=0,K76-SUMPRODUCT($A78:$A88,K78:K88),IF('Data-solution'!$A$3="Maximize",1,-1)*SUM(SUMIF($B78:$B88,$Y77,K78:K88),SUMIF($B78:$B88,$Z77,K78:K88),SUMIF($B78:$B88,$AA77,K78:K88),SUMIF($B78:$B88,$AB77,K78:K88),SUMIF($B78:$B88,$AC77,K78:K88),SUMIF($B78:$B88,$AD77,K78:K88),SUMIF($B78:$B88,$AE77,K78:K88),SUMIF($B78:$B88,$AF77,K78:K88),SUMIF($B78:$B88,$AG77,K78:K88),SUMIF($B78:$B88,$AH77,K78:K88),SUMIF($B78:$B88,$AI77,K78:K88)))</f>
        <v>0</v>
      </c>
      <c r="L89" s="1">
        <f>IF(SUM(COUNTIF($B78:$B88,$Y77),COUNTIF($B78:$B88,$Z77),COUNTIF($B78:$B88,$AA77),COUNTIF($B78:$B88,$AB77),COUNTIF($B78:$B88,$AC77),COUNTIF($B78:$B88,$AD77),COUNTIF($B78:$B88,$AE77),COUNTIF($B78:$B88,$AF77),COUNTIF($B78:$B88,$AG77),COUNTIF($B78:$B88,$AH77),COUNTIF($B78:$B88,$AI77))=0,L76-SUMPRODUCT($A78:$A88,L78:L88),IF('Data-solution'!$A$3="Maximize",1,-1)*SUM(SUMIF($B78:$B88,$Y77,L78:L88),SUMIF($B78:$B88,$Z77,L78:L88),SUMIF($B78:$B88,$AA77,L78:L88),SUMIF($B78:$B88,$AB77,L78:L88),SUMIF($B78:$B88,$AC77,L78:L88),SUMIF($B78:$B88,$AD77,L78:L88),SUMIF($B78:$B88,$AE77,L78:L88),SUMIF($B78:$B88,$AF77,L78:L88),SUMIF($B78:$B88,$AG77,L78:L88),SUMIF($B78:$B88,$AH77,L78:L88),SUMIF($B78:$B88,$AI77,L78:L88)))</f>
        <v>0</v>
      </c>
      <c r="M89" s="1">
        <f>IF(SUM(COUNTIF($B78:$B88,$Y77),COUNTIF($B78:$B88,$Z77),COUNTIF($B78:$B88,$AA77),COUNTIF($B78:$B88,$AB77),COUNTIF($B78:$B88,$AC77),COUNTIF($B78:$B88,$AD77),COUNTIF($B78:$B88,$AE77),COUNTIF($B78:$B88,$AF77),COUNTIF($B78:$B88,$AG77),COUNTIF($B78:$B88,$AH77),COUNTIF($B78:$B88,$AI77))=0,M76-SUMPRODUCT($A78:$A88,M78:M88),IF('Data-solution'!$A$3="Maximize",1,-1)*SUM(SUMIF($B78:$B88,$Y77,M78:M88),SUMIF($B78:$B88,$Z77,M78:M88),SUMIF($B78:$B88,$AA77,M78:M88),SUMIF($B78:$B88,$AB77,M78:M88),SUMIF($B78:$B88,$AC77,M78:M88),SUMIF($B78:$B88,$AD77,M78:M88),SUMIF($B78:$B88,$AE77,M78:M88),SUMIF($B78:$B88,$AF77,M78:M88),SUMIF($B78:$B88,$AG77,M78:M88),SUMIF($B78:$B88,$AH77,M78:M88),SUMIF($B78:$B88,$AI77,M78:M88)))</f>
        <v>0</v>
      </c>
      <c r="N89" s="1">
        <f>IF(SUM(COUNTIF($B78:$B88,$Y77),COUNTIF($B78:$B88,$Z77),COUNTIF($B78:$B88,$AA77),COUNTIF($B78:$B88,$AB77),COUNTIF($B78:$B88,$AC77),COUNTIF($B78:$B88,$AD77),COUNTIF($B78:$B88,$AE77),COUNTIF($B78:$B88,$AF77),COUNTIF($B78:$B88,$AG77),COUNTIF($B78:$B88,$AH77),COUNTIF($B78:$B88,$AI77))=0,N76-SUMPRODUCT($A78:$A88,N78:N88),IF('Data-solution'!$A$3="Maximize",1,-1)*SUM(SUMIF($B78:$B88,$Y77,N78:N88),SUMIF($B78:$B88,$Z77,N78:N88),SUMIF($B78:$B88,$AA77,N78:N88),SUMIF($B78:$B88,$AB77,N78:N88),SUMIF($B78:$B88,$AC77,N78:N88),SUMIF($B78:$B88,$AD77,N78:N88),SUMIF($B78:$B88,$AE77,N78:N88),SUMIF($B78:$B88,$AF77,N78:N88),SUMIF($B78:$B88,$AG77,N78:N88),SUMIF($B78:$B88,$AH77,N78:N88),SUMIF($B78:$B88,$AI77,N78:N88)))</f>
        <v>0</v>
      </c>
      <c r="O89" s="1">
        <f>IF(SUM(COUNTIF($B78:$B88,$Y77),COUNTIF($B78:$B88,$Z77),COUNTIF($B78:$B88,$AA77),COUNTIF($B78:$B88,$AB77),COUNTIF($B78:$B88,$AC77),COUNTIF($B78:$B88,$AD77),COUNTIF($B78:$B88,$AE77),COUNTIF($B78:$B88,$AF77),COUNTIF($B78:$B88,$AG77),COUNTIF($B78:$B88,$AH77),COUNTIF($B78:$B88,$AI77))=0,O76-SUMPRODUCT($A78:$A88,O78:O88),IF('Data-solution'!$A$3="Maximize",1,-1)*SUM(SUMIF($B78:$B88,$Y77,O78:O88),SUMIF($B78:$B88,$Z77,O78:O88),SUMIF($B78:$B88,$AA77,O78:O88),SUMIF($B78:$B88,$AB77,O78:O88),SUMIF($B78:$B88,$AC77,O78:O88),SUMIF($B78:$B88,$AD77,O78:O88),SUMIF($B78:$B88,$AE77,O78:O88),SUMIF($B78:$B88,$AF77,O78:O88),SUMIF($B78:$B88,$AG77,O78:O88),SUMIF($B78:$B88,$AH77,O78:O88),SUMIF($B78:$B88,$AI77,O78:O88)))</f>
        <v>0</v>
      </c>
      <c r="P89" s="1">
        <f>IF(SUM(COUNTIF($B78:$B88,$Y77),COUNTIF($B78:$B88,$Z77),COUNTIF($B78:$B88,$AA77),COUNTIF($B78:$B88,$AB77),COUNTIF($B78:$B88,$AC77),COUNTIF($B78:$B88,$AD77),COUNTIF($B78:$B88,$AE77),COUNTIF($B78:$B88,$AF77),COUNTIF($B78:$B88,$AG77),COUNTIF($B78:$B88,$AH77),COUNTIF($B78:$B88,$AI77))=0,P76-SUMPRODUCT($A78:$A88,P78:P88),IF('Data-solution'!$A$3="Maximize",1,-1)*SUM(SUMIF($B78:$B88,$Y77,P78:P88),SUMIF($B78:$B88,$Z77,P78:P88),SUMIF($B78:$B88,$AA77,P78:P88),SUMIF($B78:$B88,$AB77,P78:P88),SUMIF($B78:$B88,$AC77,P78:P88),SUMIF($B78:$B88,$AD77,P78:P88),SUMIF($B78:$B88,$AE77,P78:P88),SUMIF($B78:$B88,$AF77,P78:P88),SUMIF($B78:$B88,$AG77,P78:P88),SUMIF($B78:$B88,$AH77,P78:P88),SUMIF($B78:$B88,$AI77,P78:P88)))</f>
        <v>-49.999999999999993</v>
      </c>
      <c r="Q89" s="1">
        <f>IF(SUM(COUNTIF($B78:$B88,$Y77),COUNTIF($B78:$B88,$Z77),COUNTIF($B78:$B88,$AA77),COUNTIF($B78:$B88,$AB77),COUNTIF($B78:$B88,$AC77),COUNTIF($B78:$B88,$AD77),COUNTIF($B78:$B88,$AE77),COUNTIF($B78:$B88,$AF77),COUNTIF($B78:$B88,$AG77),COUNTIF($B78:$B88,$AH77),COUNTIF($B78:$B88,$AI77))=0,Q76-SUMPRODUCT($A78:$A88,Q78:Q88),IF('Data-solution'!$A$3="Maximize",1,-1)*SUM(SUMIF($B78:$B88,$Y77,Q78:Q88),SUMIF($B78:$B88,$Z77,Q78:Q88),SUMIF($B78:$B88,$AA77,Q78:Q88),SUMIF($B78:$B88,$AB77,Q78:Q88),SUMIF($B78:$B88,$AC77,Q78:Q88),SUMIF($B78:$B88,$AD77,Q78:Q88),SUMIF($B78:$B88,$AE77,Q78:Q88),SUMIF($B78:$B88,$AF77,Q78:Q88),SUMIF($B78:$B88,$AG77,Q78:Q88),SUMIF($B78:$B88,$AH77,Q78:Q88),SUMIF($B78:$B88,$AI77,Q78:Q88)))</f>
        <v>-50</v>
      </c>
      <c r="R89" s="1">
        <f>IF(SUM(COUNTIF($B78:$B88,$Y77),COUNTIF($B78:$B88,$Z77),COUNTIF($B78:$B88,$AA77),COUNTIF($B78:$B88,$AB77),COUNTIF($B78:$B88,$AC77),COUNTIF($B78:$B88,$AD77),COUNTIF($B78:$B88,$AE77),COUNTIF($B78:$B88,$AF77),COUNTIF($B78:$B88,$AG77),COUNTIF($B78:$B88,$AH77),COUNTIF($B78:$B88,$AI77))=0,R76-SUMPRODUCT($A78:$A88,R78:R88),IF('Data-solution'!$A$3="Maximize",1,-1)*SUM(SUMIF($B78:$B88,$Y77,R78:R88),SUMIF($B78:$B88,$Z77,R78:R88),SUMIF($B78:$B88,$AA77,R78:R88),SUMIF($B78:$B88,$AB77,R78:R88),SUMIF($B78:$B88,$AC77,R78:R88),SUMIF($B78:$B88,$AD77,R78:R88),SUMIF($B78:$B88,$AE77,R78:R88),SUMIF($B78:$B88,$AF77,R78:R88),SUMIF($B78:$B88,$AG77,R78:R88),SUMIF($B78:$B88,$AH77,R78:R88),SUMIF($B78:$B88,$AI77,R78:R88)))</f>
        <v>0</v>
      </c>
      <c r="S89" s="1">
        <f>IF(SUM(COUNTIF($B78:$B88,$Y77),COUNTIF($B78:$B88,$Z77),COUNTIF($B78:$B88,$AA77),COUNTIF($B78:$B88,$AB77),COUNTIF($B78:$B88,$AC77),COUNTIF($B78:$B88,$AD77),COUNTIF($B78:$B88,$AE77),COUNTIF($B78:$B88,$AF77),COUNTIF($B78:$B88,$AG77),COUNTIF($B78:$B88,$AH77),COUNTIF($B78:$B88,$AI77))=0,S76-SUMPRODUCT($A78:$A88,S78:S88),IF('Data-solution'!$A$3="Maximize",1,-1)*SUM(SUMIF($B78:$B88,$Y77,S78:S88),SUMIF($B78:$B88,$Z77,S78:S88),SUMIF($B78:$B88,$AA77,S78:S88),SUMIF($B78:$B88,$AB77,S78:S88),SUMIF($B78:$B88,$AC77,S78:S88),SUMIF($B78:$B88,$AD77,S78:S88),SUMIF($B78:$B88,$AE77,S78:S88),SUMIF($B78:$B88,$AF77,S78:S88),SUMIF($B78:$B88,$AG77,S78:S88),SUMIF($B78:$B88,$AH77,S78:S88),SUMIF($B78:$B88,$AI77,S78:S88)))</f>
        <v>0</v>
      </c>
      <c r="T89" s="1">
        <f>IF(SUM(COUNTIF($B78:$B88,$Y77),COUNTIF($B78:$B88,$Z77),COUNTIF($B78:$B88,$AA77),COUNTIF($B78:$B88,$AB77),COUNTIF($B78:$B88,$AC77),COUNTIF($B78:$B88,$AD77),COUNTIF($B78:$B88,$AE77),COUNTIF($B78:$B88,$AF77),COUNTIF($B78:$B88,$AG77),COUNTIF($B78:$B88,$AH77),COUNTIF($B78:$B88,$AI77))=0,T76-SUMPRODUCT($A78:$A88,T78:T88),IF('Data-solution'!$A$3="Maximize",1,-1)*SUM(SUMIF($B78:$B88,$Y77,T78:T88),SUMIF($B78:$B88,$Z77,T78:T88),SUMIF($B78:$B88,$AA77,T78:T88),SUMIF($B78:$B88,$AB77,T78:T88),SUMIF($B78:$B88,$AC77,T78:T88),SUMIF($B78:$B88,$AD77,T78:T88),SUMIF($B78:$B88,$AE77,T78:T88),SUMIF($B78:$B88,$AF77,T78:T88),SUMIF($B78:$B88,$AG77,T78:T88),SUMIF($B78:$B88,$AH77,T78:T88),SUMIF($B78:$B88,$AI77,T78:T88)))</f>
        <v>0</v>
      </c>
      <c r="U89" s="1">
        <f>IF(SUM(COUNTIF($B78:$B88,$Y77),COUNTIF($B78:$B88,$Z77),COUNTIF($B78:$B88,$AA77),COUNTIF($B78:$B88,$AB77),COUNTIF($B78:$B88,$AC77),COUNTIF($B78:$B88,$AD77),COUNTIF($B78:$B88,$AE77),COUNTIF($B78:$B88,$AF77),COUNTIF($B78:$B88,$AG77),COUNTIF($B78:$B88,$AH77),COUNTIF($B78:$B88,$AI77))=0,U76-SUMPRODUCT($A78:$A88,U78:U88),IF('Data-solution'!$A$3="Maximize",1,-1)*SUM(SUMIF($B78:$B88,$Y77,U78:U88),SUMIF($B78:$B88,$Z77,U78:U88),SUMIF($B78:$B88,$AA77,U78:U88),SUMIF($B78:$B88,$AB77,U78:U88),SUMIF($B78:$B88,$AC77,U78:U88),SUMIF($B78:$B88,$AD77,U78:U88),SUMIF($B78:$B88,$AE77,U78:U88),SUMIF($B78:$B88,$AF77,U78:U88),SUMIF($B78:$B88,$AG77,U78:U88),SUMIF($B78:$B88,$AH77,U78:U88),SUMIF($B78:$B88,$AI77,U78:U88)))</f>
        <v>0</v>
      </c>
      <c r="V89" s="1">
        <f>IF(SUM(COUNTIF($B78:$B88,$Y77),COUNTIF($B78:$B88,$Z77),COUNTIF($B78:$B88,$AA77),COUNTIF($B78:$B88,$AB77),COUNTIF($B78:$B88,$AC77),COUNTIF($B78:$B88,$AD77),COUNTIF($B78:$B88,$AE77),COUNTIF($B78:$B88,$AF77),COUNTIF($B78:$B88,$AG77),COUNTIF($B78:$B88,$AH77),COUNTIF($B78:$B88,$AI77))=0,V76-SUMPRODUCT($A78:$A88,V78:V88),IF('Data-solution'!$A$3="Maximize",1,-1)*SUM(SUMIF($B78:$B88,$Y77,V78:V88),SUMIF($B78:$B88,$Z77,V78:V88),SUMIF($B78:$B88,$AA77,V78:V88),SUMIF($B78:$B88,$AB77,V78:V88),SUMIF($B78:$B88,$AC77,V78:V88),SUMIF($B78:$B88,$AD77,V78:V88),SUMIF($B78:$B88,$AE77,V78:V88),SUMIF($B78:$B88,$AF77,V78:V88),SUMIF($B78:$B88,$AG77,V78:V88),SUMIF($B78:$B88,$AH77,V78:V88),SUMIF($B78:$B88,$AI77,V78:V88)))</f>
        <v>0</v>
      </c>
      <c r="W89" s="1">
        <f>IF(SUM(COUNTIF($B78:$B88,$Y77),COUNTIF($B78:$B88,$Z77),COUNTIF($B78:$B88,$AA77),COUNTIF($B78:$B88,$AB77),COUNTIF($B78:$B88,$AC77),COUNTIF($B78:$B88,$AD77),COUNTIF($B78:$B88,$AE77),COUNTIF($B78:$B88,$AF77),COUNTIF($B78:$B88,$AG77),COUNTIF($B78:$B88,$AH77),COUNTIF($B78:$B88,$AI77))=0,W76-SUMPRODUCT($A78:$A88,W78:W88),IF('Data-solution'!$A$3="Maximize",1,-1)*SUM(SUMIF($B78:$B88,$Y77,W78:W88),SUMIF($B78:$B88,$Z77,W78:W88),SUMIF($B78:$B88,$AA77,W78:W88),SUMIF($B78:$B88,$AB77,W78:W88),SUMIF($B78:$B88,$AC77,W78:W88),SUMIF($B78:$B88,$AD77,W78:W88),SUMIF($B78:$B88,$AE77,W78:W88),SUMIF($B78:$B88,$AF77,W78:W88),SUMIF($B78:$B88,$AG77,W78:W88),SUMIF($B78:$B88,$AH77,W78:W88),SUMIF($B78:$B88,$AI77,W78:W88)))</f>
        <v>0</v>
      </c>
      <c r="X89" s="1">
        <f>IF(SUM(COUNTIF($B78:$B88,$Y77),COUNTIF($B78:$B88,$Z77),COUNTIF($B78:$B88,$AA77),COUNTIF($B78:$B88,$AB77),COUNTIF($B78:$B88,$AC77),COUNTIF($B78:$B88,$AD77),COUNTIF($B78:$B88,$AE77),COUNTIF($B78:$B88,$AF77),COUNTIF($B78:$B88,$AG77),COUNTIF($B78:$B88,$AH77),COUNTIF($B78:$B88,$AI77))=0,X76-SUMPRODUCT($A78:$A88,X78:X88),IF('Data-solution'!$A$3="Maximize",1,-1)*SUM(SUMIF($B78:$B88,$Y77,X78:X88),SUMIF($B78:$B88,$Z77,X78:X88),SUMIF($B78:$B88,$AA77,X78:X88),SUMIF($B78:$B88,$AB77,X78:X88),SUMIF($B78:$B88,$AC77,X78:X88),SUMIF($B78:$B88,$AD77,X78:X88),SUMIF($B78:$B88,$AE77,X78:X88),SUMIF($B78:$B88,$AF77,X78:X88),SUMIF($B78:$B88,$AG77,X78:X88),SUMIF($B78:$B88,$AH77,X78:X88),SUMIF($B78:$B88,$AI77,X78:X88)))</f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2">
        <f t="shared" ref="AJ89" si="61">IF(SUMPRODUCT(A78:A88,AJ78:AJ88)&gt;=0,SUMPRODUCT(A78:A88,AJ78:AJ88),0)</f>
        <v>120000</v>
      </c>
    </row>
    <row r="91" spans="1:37" ht="18" customHeight="1" x14ac:dyDescent="0.2">
      <c r="A91" s="1" t="s">
        <v>65</v>
      </c>
      <c r="B91" s="2" t="s">
        <v>4</v>
      </c>
      <c r="C91" s="1">
        <f t="shared" ref="C91" si="62">C$1</f>
        <v>150</v>
      </c>
      <c r="D91" s="1">
        <f t="shared" si="4"/>
        <v>200</v>
      </c>
      <c r="E91" s="1">
        <f t="shared" si="4"/>
        <v>350</v>
      </c>
      <c r="F91" s="1">
        <f t="shared" si="4"/>
        <v>0</v>
      </c>
      <c r="G91" s="1">
        <f t="shared" si="4"/>
        <v>0</v>
      </c>
      <c r="H91" s="1">
        <f t="shared" si="4"/>
        <v>0</v>
      </c>
      <c r="I91" s="1">
        <f t="shared" si="4"/>
        <v>0</v>
      </c>
      <c r="J91" s="1">
        <f t="shared" si="4"/>
        <v>0</v>
      </c>
      <c r="K91" s="1">
        <f t="shared" si="4"/>
        <v>0</v>
      </c>
      <c r="L91" s="1">
        <f t="shared" si="4"/>
        <v>0</v>
      </c>
      <c r="M91" s="1">
        <f t="shared" si="4"/>
        <v>0</v>
      </c>
      <c r="N91" s="1">
        <f t="shared" si="4"/>
        <v>0</v>
      </c>
      <c r="O91" s="1">
        <f t="shared" si="4"/>
        <v>0</v>
      </c>
      <c r="P91" s="1">
        <f t="shared" si="4"/>
        <v>0</v>
      </c>
      <c r="Q91" s="1">
        <f t="shared" si="4"/>
        <v>0</v>
      </c>
      <c r="R91" s="1">
        <f t="shared" si="4"/>
        <v>0</v>
      </c>
      <c r="S91" s="1">
        <f t="shared" si="4"/>
        <v>0</v>
      </c>
      <c r="T91" s="1">
        <f t="shared" si="4"/>
        <v>0</v>
      </c>
      <c r="U91" s="1">
        <f t="shared" si="4"/>
        <v>0</v>
      </c>
      <c r="V91" s="1">
        <f t="shared" si="4"/>
        <v>0</v>
      </c>
      <c r="W91" s="1">
        <f t="shared" si="4"/>
        <v>0</v>
      </c>
      <c r="X91" s="1">
        <f t="shared" si="4"/>
        <v>0</v>
      </c>
      <c r="Y91" s="1">
        <f t="shared" si="4"/>
        <v>-999999</v>
      </c>
      <c r="Z91" s="1">
        <f t="shared" si="4"/>
        <v>-999999</v>
      </c>
      <c r="AA91" s="1">
        <f t="shared" si="4"/>
        <v>-999999</v>
      </c>
      <c r="AB91" s="1">
        <f t="shared" si="4"/>
        <v>-999999</v>
      </c>
      <c r="AC91" s="1">
        <f t="shared" si="4"/>
        <v>-999999</v>
      </c>
      <c r="AD91" s="1">
        <f t="shared" si="4"/>
        <v>-999999</v>
      </c>
      <c r="AE91" s="1">
        <f t="shared" si="4"/>
        <v>-999999</v>
      </c>
      <c r="AF91" s="1">
        <f t="shared" si="4"/>
        <v>-999999</v>
      </c>
      <c r="AG91" s="1">
        <f t="shared" si="4"/>
        <v>-999999</v>
      </c>
      <c r="AH91" s="1">
        <f t="shared" si="4"/>
        <v>-999999</v>
      </c>
      <c r="AI91" s="1">
        <f t="shared" si="4"/>
        <v>-999999</v>
      </c>
    </row>
    <row r="92" spans="1:37" ht="18" customHeight="1" x14ac:dyDescent="0.2">
      <c r="A92" s="2" t="s">
        <v>3</v>
      </c>
      <c r="B92" s="2" t="s">
        <v>1</v>
      </c>
      <c r="C92" s="2" t="str">
        <f t="shared" ref="C92" si="63">C$2</f>
        <v>X1</v>
      </c>
      <c r="D92" s="2" t="str">
        <f t="shared" si="7"/>
        <v>X2</v>
      </c>
      <c r="E92" s="2" t="str">
        <f t="shared" si="7"/>
        <v>X3</v>
      </c>
      <c r="F92" s="2" t="str">
        <f t="shared" si="7"/>
        <v>X4</v>
      </c>
      <c r="G92" s="2" t="str">
        <f t="shared" si="7"/>
        <v>X5</v>
      </c>
      <c r="H92" s="2" t="str">
        <f t="shared" si="7"/>
        <v>X6</v>
      </c>
      <c r="I92" s="2" t="str">
        <f t="shared" si="7"/>
        <v>X7</v>
      </c>
      <c r="J92" s="2" t="str">
        <f t="shared" si="7"/>
        <v>X8</v>
      </c>
      <c r="K92" s="2" t="str">
        <f t="shared" si="7"/>
        <v>X9</v>
      </c>
      <c r="L92" s="2" t="str">
        <f t="shared" si="7"/>
        <v>X10</v>
      </c>
      <c r="M92" s="2" t="str">
        <f t="shared" si="7"/>
        <v>X11</v>
      </c>
      <c r="N92" s="2" t="str">
        <f t="shared" si="7"/>
        <v>S1</v>
      </c>
      <c r="O92" s="2" t="str">
        <f t="shared" si="7"/>
        <v>S2</v>
      </c>
      <c r="P92" s="2" t="str">
        <f t="shared" si="7"/>
        <v>S3</v>
      </c>
      <c r="Q92" s="2" t="str">
        <f t="shared" si="7"/>
        <v>S4</v>
      </c>
      <c r="R92" s="2" t="str">
        <f t="shared" si="7"/>
        <v>S5</v>
      </c>
      <c r="S92" s="2" t="str">
        <f t="shared" si="7"/>
        <v>S6</v>
      </c>
      <c r="T92" s="2" t="str">
        <f t="shared" si="7"/>
        <v>S7</v>
      </c>
      <c r="U92" s="2" t="str">
        <f t="shared" si="7"/>
        <v>S8</v>
      </c>
      <c r="V92" s="2" t="str">
        <f t="shared" si="7"/>
        <v>S9</v>
      </c>
      <c r="W92" s="2" t="str">
        <f t="shared" si="7"/>
        <v>S10</v>
      </c>
      <c r="X92" s="2" t="str">
        <f t="shared" si="7"/>
        <v>S11</v>
      </c>
      <c r="Y92" s="2" t="str">
        <f t="shared" si="7"/>
        <v xml:space="preserve"> </v>
      </c>
      <c r="Z92" s="2" t="str">
        <f t="shared" si="7"/>
        <v xml:space="preserve"> </v>
      </c>
      <c r="AA92" s="2" t="str">
        <f t="shared" si="7"/>
        <v xml:space="preserve"> </v>
      </c>
      <c r="AB92" s="2" t="str">
        <f t="shared" si="7"/>
        <v xml:space="preserve"> </v>
      </c>
      <c r="AC92" s="2" t="str">
        <f t="shared" si="7"/>
        <v xml:space="preserve"> </v>
      </c>
      <c r="AD92" s="2" t="str">
        <f t="shared" si="7"/>
        <v xml:space="preserve"> </v>
      </c>
      <c r="AE92" s="2" t="str">
        <f t="shared" si="7"/>
        <v xml:space="preserve"> </v>
      </c>
      <c r="AF92" s="2" t="str">
        <f t="shared" si="7"/>
        <v xml:space="preserve"> </v>
      </c>
      <c r="AG92" s="2" t="str">
        <f t="shared" si="7"/>
        <v xml:space="preserve"> </v>
      </c>
      <c r="AH92" s="2" t="str">
        <f t="shared" si="7"/>
        <v xml:space="preserve"> </v>
      </c>
      <c r="AI92" s="2" t="str">
        <f t="shared" si="7"/>
        <v xml:space="preserve"> </v>
      </c>
      <c r="AJ92" s="2" t="s">
        <v>9</v>
      </c>
      <c r="AK92" s="2" t="s">
        <v>10</v>
      </c>
    </row>
    <row r="93" spans="1:37" ht="18" customHeight="1" x14ac:dyDescent="0.2">
      <c r="A93" s="1">
        <f t="shared" ref="A93" si="64">INDEX(C91:AI91,1,MATCH(B93,C92:AI92,0))</f>
        <v>0</v>
      </c>
      <c r="B93" s="2" t="str">
        <f>IF(AND('Data-solution'!A$3="Maximize",COUNTIF(C89:X89,"&gt;"&amp;0)&gt;0,AK78=MIN(AK78:AK88)),INDEX(C77:X77,1,MATCH(MAX(C89:X89),C89:X89,0)),IF(AND('Data-solution'!A$3="Minimize",COUNTIF(C89:X89,"&lt;"&amp;0)&gt;0,AK78=MIN(AK78:AK88)),INDEX(C77:X77,1,MATCH(MIN(C89:X89),C89:X89,0)),B78))</f>
        <v>S1</v>
      </c>
      <c r="C93" s="1">
        <f>IF(OR($B93&lt;&gt;$B78,$B94&lt;&gt;$B79,$B95&lt;&gt;$B80,$B96&lt;&gt;$B81,$B97&lt;&gt;$B82,$B98&lt;&gt;$B83,$B99&lt;&gt;$B84,$B100&lt;&gt;$B85,$B101&lt;&gt;$B86,$B102&lt;&gt;$B87,$B103&lt;&gt;$B88),IF($B93&lt;&gt;$B78,C78/INDEX($C78:$AJ88,1,MATCH(IF('Data-solution'!$A$3="Maximize",MAX($C89:$AI89),MIN($C89:$AI89)),$C89:$AI89,0)),C78-INDEX($C78:$AJ88,1,MATCH(IF('Data-solution'!$A$3="Maximize",MAX($C89:$AI89),MIN($C89:$AI89)),$C89:$AI89,0))*INDEX(C78:$AJ88,MATCH(MIN($AK78:$AK88),$AK78:$AK88,0),1)/INDEX($C78:$AJ88,MATCH(MIN($AK78:$AK88),$AK78:$AK88,0),MATCH(IF('Data-solution'!$A$3="Maximize",MAX($C89:$AI89),MIN($C89:$AI89)),$C89:$AI89,0))),C78)</f>
        <v>0</v>
      </c>
      <c r="D93" s="1">
        <f>IF(OR($B93&lt;&gt;$B78,$B94&lt;&gt;$B79,$B95&lt;&gt;$B80,$B96&lt;&gt;$B81,$B97&lt;&gt;$B82,$B98&lt;&gt;$B83,$B99&lt;&gt;$B84,$B100&lt;&gt;$B85,$B101&lt;&gt;$B86,$B102&lt;&gt;$B87,$B103&lt;&gt;$B88),IF($B93&lt;&gt;$B78,D78/INDEX($C78:$AJ88,1,MATCH(IF('Data-solution'!$A$3="Maximize",MAX($C89:$AI89),MIN($C89:$AI89)),$C89:$AI89,0)),D78-INDEX($C78:$AJ88,1,MATCH(IF('Data-solution'!$A$3="Maximize",MAX($C89:$AI89),MIN($C89:$AI89)),$C89:$AI89,0))*INDEX(D78:$AJ88,MATCH(MIN($AK78:$AK88),$AK78:$AK88,0),1)/INDEX($C78:$AJ88,MATCH(MIN($AK78:$AK88),$AK78:$AK88,0),MATCH(IF('Data-solution'!$A$3="Maximize",MAX($C89:$AI89),MIN($C89:$AI89)),$C89:$AI89,0))),D78)</f>
        <v>1</v>
      </c>
      <c r="E93" s="1">
        <f>IF(OR($B93&lt;&gt;$B78,$B94&lt;&gt;$B79,$B95&lt;&gt;$B80,$B96&lt;&gt;$B81,$B97&lt;&gt;$B82,$B98&lt;&gt;$B83,$B99&lt;&gt;$B84,$B100&lt;&gt;$B85,$B101&lt;&gt;$B86,$B102&lt;&gt;$B87,$B103&lt;&gt;$B88),IF($B93&lt;&gt;$B78,E78/INDEX($C78:$AJ88,1,MATCH(IF('Data-solution'!$A$3="Maximize",MAX($C89:$AI89),MIN($C89:$AI89)),$C89:$AI89,0)),E78-INDEX($C78:$AJ88,1,MATCH(IF('Data-solution'!$A$3="Maximize",MAX($C89:$AI89),MIN($C89:$AI89)),$C89:$AI89,0))*INDEX(E78:$AJ88,MATCH(MIN($AK78:$AK88),$AK78:$AK88,0),1)/INDEX($C78:$AJ88,MATCH(MIN($AK78:$AK88),$AK78:$AK88,0),MATCH(IF('Data-solution'!$A$3="Maximize",MAX($C89:$AI89),MIN($C89:$AI89)),$C89:$AI89,0))),E78)</f>
        <v>0</v>
      </c>
      <c r="F93" s="1">
        <f>IF(OR($B93&lt;&gt;$B78,$B94&lt;&gt;$B79,$B95&lt;&gt;$B80,$B96&lt;&gt;$B81,$B97&lt;&gt;$B82,$B98&lt;&gt;$B83,$B99&lt;&gt;$B84,$B100&lt;&gt;$B85,$B101&lt;&gt;$B86,$B102&lt;&gt;$B87,$B103&lt;&gt;$B88),IF($B93&lt;&gt;$B78,F78/INDEX($C78:$AJ88,1,MATCH(IF('Data-solution'!$A$3="Maximize",MAX($C89:$AI89),MIN($C89:$AI89)),$C89:$AI89,0)),F78-INDEX($C78:$AJ88,1,MATCH(IF('Data-solution'!$A$3="Maximize",MAX($C89:$AI89),MIN($C89:$AI89)),$C89:$AI89,0))*INDEX(F78:$AJ88,MATCH(MIN($AK78:$AK88),$AK78:$AK88,0),1)/INDEX($C78:$AJ88,MATCH(MIN($AK78:$AK88),$AK78:$AK88,0),MATCH(IF('Data-solution'!$A$3="Maximize",MAX($C89:$AI89),MIN($C89:$AI89)),$C89:$AI89,0))),F78)</f>
        <v>0</v>
      </c>
      <c r="G93" s="1">
        <f>IF(OR($B93&lt;&gt;$B78,$B94&lt;&gt;$B79,$B95&lt;&gt;$B80,$B96&lt;&gt;$B81,$B97&lt;&gt;$B82,$B98&lt;&gt;$B83,$B99&lt;&gt;$B84,$B100&lt;&gt;$B85,$B101&lt;&gt;$B86,$B102&lt;&gt;$B87,$B103&lt;&gt;$B88),IF($B93&lt;&gt;$B78,G78/INDEX($C78:$AJ88,1,MATCH(IF('Data-solution'!$A$3="Maximize",MAX($C89:$AI89),MIN($C89:$AI89)),$C89:$AI89,0)),G78-INDEX($C78:$AJ88,1,MATCH(IF('Data-solution'!$A$3="Maximize",MAX($C89:$AI89),MIN($C89:$AI89)),$C89:$AI89,0))*INDEX(G78:$AJ88,MATCH(MIN($AK78:$AK88),$AK78:$AK88,0),1)/INDEX($C78:$AJ88,MATCH(MIN($AK78:$AK88),$AK78:$AK88,0),MATCH(IF('Data-solution'!$A$3="Maximize",MAX($C89:$AI89),MIN($C89:$AI89)),$C89:$AI89,0))),G78)</f>
        <v>0</v>
      </c>
      <c r="H93" s="1">
        <f>IF(OR($B93&lt;&gt;$B78,$B94&lt;&gt;$B79,$B95&lt;&gt;$B80,$B96&lt;&gt;$B81,$B97&lt;&gt;$B82,$B98&lt;&gt;$B83,$B99&lt;&gt;$B84,$B100&lt;&gt;$B85,$B101&lt;&gt;$B86,$B102&lt;&gt;$B87,$B103&lt;&gt;$B88),IF($B93&lt;&gt;$B78,H78/INDEX($C78:$AJ88,1,MATCH(IF('Data-solution'!$A$3="Maximize",MAX($C89:$AI89),MIN($C89:$AI89)),$C89:$AI89,0)),H78-INDEX($C78:$AJ88,1,MATCH(IF('Data-solution'!$A$3="Maximize",MAX($C89:$AI89),MIN($C89:$AI89)),$C89:$AI89,0))*INDEX(H78:$AJ88,MATCH(MIN($AK78:$AK88),$AK78:$AK88,0),1)/INDEX($C78:$AJ88,MATCH(MIN($AK78:$AK88),$AK78:$AK88,0),MATCH(IF('Data-solution'!$A$3="Maximize",MAX($C89:$AI89),MIN($C89:$AI89)),$C89:$AI89,0))),H78)</f>
        <v>0</v>
      </c>
      <c r="I93" s="1">
        <f>IF(OR($B93&lt;&gt;$B78,$B94&lt;&gt;$B79,$B95&lt;&gt;$B80,$B96&lt;&gt;$B81,$B97&lt;&gt;$B82,$B98&lt;&gt;$B83,$B99&lt;&gt;$B84,$B100&lt;&gt;$B85,$B101&lt;&gt;$B86,$B102&lt;&gt;$B87,$B103&lt;&gt;$B88),IF($B93&lt;&gt;$B78,I78/INDEX($C78:$AJ88,1,MATCH(IF('Data-solution'!$A$3="Maximize",MAX($C89:$AI89),MIN($C89:$AI89)),$C89:$AI89,0)),I78-INDEX($C78:$AJ88,1,MATCH(IF('Data-solution'!$A$3="Maximize",MAX($C89:$AI89),MIN($C89:$AI89)),$C89:$AI89,0))*INDEX(I78:$AJ88,MATCH(MIN($AK78:$AK88),$AK78:$AK88,0),1)/INDEX($C78:$AJ88,MATCH(MIN($AK78:$AK88),$AK78:$AK88,0),MATCH(IF('Data-solution'!$A$3="Maximize",MAX($C89:$AI89),MIN($C89:$AI89)),$C89:$AI89,0))),I78)</f>
        <v>0</v>
      </c>
      <c r="J93" s="1">
        <f>IF(OR($B93&lt;&gt;$B78,$B94&lt;&gt;$B79,$B95&lt;&gt;$B80,$B96&lt;&gt;$B81,$B97&lt;&gt;$B82,$B98&lt;&gt;$B83,$B99&lt;&gt;$B84,$B100&lt;&gt;$B85,$B101&lt;&gt;$B86,$B102&lt;&gt;$B87,$B103&lt;&gt;$B88),IF($B93&lt;&gt;$B78,J78/INDEX($C78:$AJ88,1,MATCH(IF('Data-solution'!$A$3="Maximize",MAX($C89:$AI89),MIN($C89:$AI89)),$C89:$AI89,0)),J78-INDEX($C78:$AJ88,1,MATCH(IF('Data-solution'!$A$3="Maximize",MAX($C89:$AI89),MIN($C89:$AI89)),$C89:$AI89,0))*INDEX(J78:$AJ88,MATCH(MIN($AK78:$AK88),$AK78:$AK88,0),1)/INDEX($C78:$AJ88,MATCH(MIN($AK78:$AK88),$AK78:$AK88,0),MATCH(IF('Data-solution'!$A$3="Maximize",MAX($C89:$AI89),MIN($C89:$AI89)),$C89:$AI89,0))),J78)</f>
        <v>0</v>
      </c>
      <c r="K93" s="1">
        <f>IF(OR($B93&lt;&gt;$B78,$B94&lt;&gt;$B79,$B95&lt;&gt;$B80,$B96&lt;&gt;$B81,$B97&lt;&gt;$B82,$B98&lt;&gt;$B83,$B99&lt;&gt;$B84,$B100&lt;&gt;$B85,$B101&lt;&gt;$B86,$B102&lt;&gt;$B87,$B103&lt;&gt;$B88),IF($B93&lt;&gt;$B78,K78/INDEX($C78:$AJ88,1,MATCH(IF('Data-solution'!$A$3="Maximize",MAX($C89:$AI89),MIN($C89:$AI89)),$C89:$AI89,0)),K78-INDEX($C78:$AJ88,1,MATCH(IF('Data-solution'!$A$3="Maximize",MAX($C89:$AI89),MIN($C89:$AI89)),$C89:$AI89,0))*INDEX(K78:$AJ88,MATCH(MIN($AK78:$AK88),$AK78:$AK88,0),1)/INDEX($C78:$AJ88,MATCH(MIN($AK78:$AK88),$AK78:$AK88,0),MATCH(IF('Data-solution'!$A$3="Maximize",MAX($C89:$AI89),MIN($C89:$AI89)),$C89:$AI89,0))),K78)</f>
        <v>0</v>
      </c>
      <c r="L93" s="1">
        <f>IF(OR($B93&lt;&gt;$B78,$B94&lt;&gt;$B79,$B95&lt;&gt;$B80,$B96&lt;&gt;$B81,$B97&lt;&gt;$B82,$B98&lt;&gt;$B83,$B99&lt;&gt;$B84,$B100&lt;&gt;$B85,$B101&lt;&gt;$B86,$B102&lt;&gt;$B87,$B103&lt;&gt;$B88),IF($B93&lt;&gt;$B78,L78/INDEX($C78:$AJ88,1,MATCH(IF('Data-solution'!$A$3="Maximize",MAX($C89:$AI89),MIN($C89:$AI89)),$C89:$AI89,0)),L78-INDEX($C78:$AJ88,1,MATCH(IF('Data-solution'!$A$3="Maximize",MAX($C89:$AI89),MIN($C89:$AI89)),$C89:$AI89,0))*INDEX(L78:$AJ88,MATCH(MIN($AK78:$AK88),$AK78:$AK88,0),1)/INDEX($C78:$AJ88,MATCH(MIN($AK78:$AK88),$AK78:$AK88,0),MATCH(IF('Data-solution'!$A$3="Maximize",MAX($C89:$AI89),MIN($C89:$AI89)),$C89:$AI89,0))),L78)</f>
        <v>0</v>
      </c>
      <c r="M93" s="1">
        <f>IF(OR($B93&lt;&gt;$B78,$B94&lt;&gt;$B79,$B95&lt;&gt;$B80,$B96&lt;&gt;$B81,$B97&lt;&gt;$B82,$B98&lt;&gt;$B83,$B99&lt;&gt;$B84,$B100&lt;&gt;$B85,$B101&lt;&gt;$B86,$B102&lt;&gt;$B87,$B103&lt;&gt;$B88),IF($B93&lt;&gt;$B78,M78/INDEX($C78:$AJ88,1,MATCH(IF('Data-solution'!$A$3="Maximize",MAX($C89:$AI89),MIN($C89:$AI89)),$C89:$AI89,0)),M78-INDEX($C78:$AJ88,1,MATCH(IF('Data-solution'!$A$3="Maximize",MAX($C89:$AI89),MIN($C89:$AI89)),$C89:$AI89,0))*INDEX(M78:$AJ88,MATCH(MIN($AK78:$AK88),$AK78:$AK88,0),1)/INDEX($C78:$AJ88,MATCH(MIN($AK78:$AK88),$AK78:$AK88,0),MATCH(IF('Data-solution'!$A$3="Maximize",MAX($C89:$AI89),MIN($C89:$AI89)),$C89:$AI89,0))),M78)</f>
        <v>0</v>
      </c>
      <c r="N93" s="1">
        <f>IF(OR($B93&lt;&gt;$B78,$B94&lt;&gt;$B79,$B95&lt;&gt;$B80,$B96&lt;&gt;$B81,$B97&lt;&gt;$B82,$B98&lt;&gt;$B83,$B99&lt;&gt;$B84,$B100&lt;&gt;$B85,$B101&lt;&gt;$B86,$B102&lt;&gt;$B87,$B103&lt;&gt;$B88),IF($B93&lt;&gt;$B78,N78/INDEX($C78:$AJ88,1,MATCH(IF('Data-solution'!$A$3="Maximize",MAX($C89:$AI89),MIN($C89:$AI89)),$C89:$AI89,0)),N78-INDEX($C78:$AJ88,1,MATCH(IF('Data-solution'!$A$3="Maximize",MAX($C89:$AI89),MIN($C89:$AI89)),$C89:$AI89,0))*INDEX(N78:$AJ88,MATCH(MIN($AK78:$AK88),$AK78:$AK88,0),1)/INDEX($C78:$AJ88,MATCH(MIN($AK78:$AK88),$AK78:$AK88,0),MATCH(IF('Data-solution'!$A$3="Maximize",MAX($C89:$AI89),MIN($C89:$AI89)),$C89:$AI89,0))),N78)</f>
        <v>1</v>
      </c>
      <c r="O93" s="1">
        <f>IF(OR($B93&lt;&gt;$B78,$B94&lt;&gt;$B79,$B95&lt;&gt;$B80,$B96&lt;&gt;$B81,$B97&lt;&gt;$B82,$B98&lt;&gt;$B83,$B99&lt;&gt;$B84,$B100&lt;&gt;$B85,$B101&lt;&gt;$B86,$B102&lt;&gt;$B87,$B103&lt;&gt;$B88),IF($B93&lt;&gt;$B78,O78/INDEX($C78:$AJ88,1,MATCH(IF('Data-solution'!$A$3="Maximize",MAX($C89:$AI89),MIN($C89:$AI89)),$C89:$AI89,0)),O78-INDEX($C78:$AJ88,1,MATCH(IF('Data-solution'!$A$3="Maximize",MAX($C89:$AI89),MIN($C89:$AI89)),$C89:$AI89,0))*INDEX(O78:$AJ88,MATCH(MIN($AK78:$AK88),$AK78:$AK88,0),1)/INDEX($C78:$AJ88,MATCH(MIN($AK78:$AK88),$AK78:$AK88,0),MATCH(IF('Data-solution'!$A$3="Maximize",MAX($C89:$AI89),MIN($C89:$AI89)),$C89:$AI89,0))),O78)</f>
        <v>0</v>
      </c>
      <c r="P93" s="1">
        <f>IF(OR($B93&lt;&gt;$B78,$B94&lt;&gt;$B79,$B95&lt;&gt;$B80,$B96&lt;&gt;$B81,$B97&lt;&gt;$B82,$B98&lt;&gt;$B83,$B99&lt;&gt;$B84,$B100&lt;&gt;$B85,$B101&lt;&gt;$B86,$B102&lt;&gt;$B87,$B103&lt;&gt;$B88),IF($B93&lt;&gt;$B78,P78/INDEX($C78:$AJ88,1,MATCH(IF('Data-solution'!$A$3="Maximize",MAX($C89:$AI89),MIN($C89:$AI89)),$C89:$AI89,0)),P78-INDEX($C78:$AJ88,1,MATCH(IF('Data-solution'!$A$3="Maximize",MAX($C89:$AI89),MIN($C89:$AI89)),$C89:$AI89,0))*INDEX(P78:$AJ88,MATCH(MIN($AK78:$AK88),$AK78:$AK88,0),1)/INDEX($C78:$AJ88,MATCH(MIN($AK78:$AK88),$AK78:$AK88,0),MATCH(IF('Data-solution'!$A$3="Maximize",MAX($C89:$AI89),MIN($C89:$AI89)),$C89:$AI89,0))),P78)</f>
        <v>0</v>
      </c>
      <c r="Q93" s="1">
        <f>IF(OR($B93&lt;&gt;$B78,$B94&lt;&gt;$B79,$B95&lt;&gt;$B80,$B96&lt;&gt;$B81,$B97&lt;&gt;$B82,$B98&lt;&gt;$B83,$B99&lt;&gt;$B84,$B100&lt;&gt;$B85,$B101&lt;&gt;$B86,$B102&lt;&gt;$B87,$B103&lt;&gt;$B88),IF($B93&lt;&gt;$B78,Q78/INDEX($C78:$AJ88,1,MATCH(IF('Data-solution'!$A$3="Maximize",MAX($C89:$AI89),MIN($C89:$AI89)),$C89:$AI89,0)),Q78-INDEX($C78:$AJ88,1,MATCH(IF('Data-solution'!$A$3="Maximize",MAX($C89:$AI89),MIN($C89:$AI89)),$C89:$AI89,0))*INDEX(Q78:$AJ88,MATCH(MIN($AK78:$AK88),$AK78:$AK88,0),1)/INDEX($C78:$AJ88,MATCH(MIN($AK78:$AK88),$AK78:$AK88,0),MATCH(IF('Data-solution'!$A$3="Maximize",MAX($C89:$AI89),MIN($C89:$AI89)),$C89:$AI89,0))),Q78)</f>
        <v>-1</v>
      </c>
      <c r="R93" s="1">
        <f>IF(OR($B93&lt;&gt;$B78,$B94&lt;&gt;$B79,$B95&lt;&gt;$B80,$B96&lt;&gt;$B81,$B97&lt;&gt;$B82,$B98&lt;&gt;$B83,$B99&lt;&gt;$B84,$B100&lt;&gt;$B85,$B101&lt;&gt;$B86,$B102&lt;&gt;$B87,$B103&lt;&gt;$B88),IF($B93&lt;&gt;$B78,R78/INDEX($C78:$AJ88,1,MATCH(IF('Data-solution'!$A$3="Maximize",MAX($C89:$AI89),MIN($C89:$AI89)),$C89:$AI89,0)),R78-INDEX($C78:$AJ88,1,MATCH(IF('Data-solution'!$A$3="Maximize",MAX($C89:$AI89),MIN($C89:$AI89)),$C89:$AI89,0))*INDEX(R78:$AJ88,MATCH(MIN($AK78:$AK88),$AK78:$AK88,0),1)/INDEX($C78:$AJ88,MATCH(MIN($AK78:$AK88),$AK78:$AK88,0),MATCH(IF('Data-solution'!$A$3="Maximize",MAX($C89:$AI89),MIN($C89:$AI89)),$C89:$AI89,0))),R78)</f>
        <v>0</v>
      </c>
      <c r="S93" s="1">
        <f>IF(OR($B93&lt;&gt;$B78,$B94&lt;&gt;$B79,$B95&lt;&gt;$B80,$B96&lt;&gt;$B81,$B97&lt;&gt;$B82,$B98&lt;&gt;$B83,$B99&lt;&gt;$B84,$B100&lt;&gt;$B85,$B101&lt;&gt;$B86,$B102&lt;&gt;$B87,$B103&lt;&gt;$B88),IF($B93&lt;&gt;$B78,S78/INDEX($C78:$AJ88,1,MATCH(IF('Data-solution'!$A$3="Maximize",MAX($C89:$AI89),MIN($C89:$AI89)),$C89:$AI89,0)),S78-INDEX($C78:$AJ88,1,MATCH(IF('Data-solution'!$A$3="Maximize",MAX($C89:$AI89),MIN($C89:$AI89)),$C89:$AI89,0))*INDEX(S78:$AJ88,MATCH(MIN($AK78:$AK88),$AK78:$AK88,0),1)/INDEX($C78:$AJ88,MATCH(MIN($AK78:$AK88),$AK78:$AK88,0),MATCH(IF('Data-solution'!$A$3="Maximize",MAX($C89:$AI89),MIN($C89:$AI89)),$C89:$AI89,0))),S78)</f>
        <v>0</v>
      </c>
      <c r="T93" s="1">
        <f>IF(OR($B93&lt;&gt;$B78,$B94&lt;&gt;$B79,$B95&lt;&gt;$B80,$B96&lt;&gt;$B81,$B97&lt;&gt;$B82,$B98&lt;&gt;$B83,$B99&lt;&gt;$B84,$B100&lt;&gt;$B85,$B101&lt;&gt;$B86,$B102&lt;&gt;$B87,$B103&lt;&gt;$B88),IF($B93&lt;&gt;$B78,T78/INDEX($C78:$AJ88,1,MATCH(IF('Data-solution'!$A$3="Maximize",MAX($C89:$AI89),MIN($C89:$AI89)),$C89:$AI89,0)),T78-INDEX($C78:$AJ88,1,MATCH(IF('Data-solution'!$A$3="Maximize",MAX($C89:$AI89),MIN($C89:$AI89)),$C89:$AI89,0))*INDEX(T78:$AJ88,MATCH(MIN($AK78:$AK88),$AK78:$AK88,0),1)/INDEX($C78:$AJ88,MATCH(MIN($AK78:$AK88),$AK78:$AK88,0),MATCH(IF('Data-solution'!$A$3="Maximize",MAX($C89:$AI89),MIN($C89:$AI89)),$C89:$AI89,0))),T78)</f>
        <v>0</v>
      </c>
      <c r="U93" s="1">
        <f>IF(OR($B93&lt;&gt;$B78,$B94&lt;&gt;$B79,$B95&lt;&gt;$B80,$B96&lt;&gt;$B81,$B97&lt;&gt;$B82,$B98&lt;&gt;$B83,$B99&lt;&gt;$B84,$B100&lt;&gt;$B85,$B101&lt;&gt;$B86,$B102&lt;&gt;$B87,$B103&lt;&gt;$B88),IF($B93&lt;&gt;$B78,U78/INDEX($C78:$AJ88,1,MATCH(IF('Data-solution'!$A$3="Maximize",MAX($C89:$AI89),MIN($C89:$AI89)),$C89:$AI89,0)),U78-INDEX($C78:$AJ88,1,MATCH(IF('Data-solution'!$A$3="Maximize",MAX($C89:$AI89),MIN($C89:$AI89)),$C89:$AI89,0))*INDEX(U78:$AJ88,MATCH(MIN($AK78:$AK88),$AK78:$AK88,0),1)/INDEX($C78:$AJ88,MATCH(MIN($AK78:$AK88),$AK78:$AK88,0),MATCH(IF('Data-solution'!$A$3="Maximize",MAX($C89:$AI89),MIN($C89:$AI89)),$C89:$AI89,0))),U78)</f>
        <v>0</v>
      </c>
      <c r="V93" s="1">
        <f>IF(OR($B93&lt;&gt;$B78,$B94&lt;&gt;$B79,$B95&lt;&gt;$B80,$B96&lt;&gt;$B81,$B97&lt;&gt;$B82,$B98&lt;&gt;$B83,$B99&lt;&gt;$B84,$B100&lt;&gt;$B85,$B101&lt;&gt;$B86,$B102&lt;&gt;$B87,$B103&lt;&gt;$B88),IF($B93&lt;&gt;$B78,V78/INDEX($C78:$AJ88,1,MATCH(IF('Data-solution'!$A$3="Maximize",MAX($C89:$AI89),MIN($C89:$AI89)),$C89:$AI89,0)),V78-INDEX($C78:$AJ88,1,MATCH(IF('Data-solution'!$A$3="Maximize",MAX($C89:$AI89),MIN($C89:$AI89)),$C89:$AI89,0))*INDEX(V78:$AJ88,MATCH(MIN($AK78:$AK88),$AK78:$AK88,0),1)/INDEX($C78:$AJ88,MATCH(MIN($AK78:$AK88),$AK78:$AK88,0),MATCH(IF('Data-solution'!$A$3="Maximize",MAX($C89:$AI89),MIN($C89:$AI89)),$C89:$AI89,0))),V78)</f>
        <v>0</v>
      </c>
      <c r="W93" s="1">
        <f>IF(OR($B93&lt;&gt;$B78,$B94&lt;&gt;$B79,$B95&lt;&gt;$B80,$B96&lt;&gt;$B81,$B97&lt;&gt;$B82,$B98&lt;&gt;$B83,$B99&lt;&gt;$B84,$B100&lt;&gt;$B85,$B101&lt;&gt;$B86,$B102&lt;&gt;$B87,$B103&lt;&gt;$B88),IF($B93&lt;&gt;$B78,W78/INDEX($C78:$AJ88,1,MATCH(IF('Data-solution'!$A$3="Maximize",MAX($C89:$AI89),MIN($C89:$AI89)),$C89:$AI89,0)),W78-INDEX($C78:$AJ88,1,MATCH(IF('Data-solution'!$A$3="Maximize",MAX($C89:$AI89),MIN($C89:$AI89)),$C89:$AI89,0))*INDEX(W78:$AJ88,MATCH(MIN($AK78:$AK88),$AK78:$AK88,0),1)/INDEX($C78:$AJ88,MATCH(MIN($AK78:$AK88),$AK78:$AK88,0),MATCH(IF('Data-solution'!$A$3="Maximize",MAX($C89:$AI89),MIN($C89:$AI89)),$C89:$AI89,0))),W78)</f>
        <v>0</v>
      </c>
      <c r="X93" s="1">
        <f>IF(OR($B93&lt;&gt;$B78,$B94&lt;&gt;$B79,$B95&lt;&gt;$B80,$B96&lt;&gt;$B81,$B97&lt;&gt;$B82,$B98&lt;&gt;$B83,$B99&lt;&gt;$B84,$B100&lt;&gt;$B85,$B101&lt;&gt;$B86,$B102&lt;&gt;$B87,$B103&lt;&gt;$B88),IF($B93&lt;&gt;$B78,X78/INDEX($C78:$AJ88,1,MATCH(IF('Data-solution'!$A$3="Maximize",MAX($C89:$AI89),MIN($C89:$AI89)),$C89:$AI89,0)),X78-INDEX($C78:$AJ88,1,MATCH(IF('Data-solution'!$A$3="Maximize",MAX($C89:$AI89),MIN($C89:$AI89)),$C89:$AI89,0))*INDEX(X78:$AJ88,MATCH(MIN($AK78:$AK88),$AK78:$AK88,0),1)/INDEX($C78:$AJ88,MATCH(MIN($AK78:$AK88),$AK78:$AK88,0),MATCH(IF('Data-solution'!$A$3="Maximize",MAX($C89:$AI89),MIN($C89:$AI89)),$C89:$AI89,0))),X78)</f>
        <v>0</v>
      </c>
      <c r="Y93" s="1">
        <f>IF(OR($B93&lt;&gt;$B78,$B94&lt;&gt;$B79,$B95&lt;&gt;$B80,$B96&lt;&gt;$B81,$B97&lt;&gt;$B82,$B98&lt;&gt;$B83,$B99&lt;&gt;$B84,$B100&lt;&gt;$B85,$B101&lt;&gt;$B86,$B102&lt;&gt;$B87,$B103&lt;&gt;$B88),IF($B93&lt;&gt;$B78,Y78/INDEX($C78:$AJ88,1,MATCH(IF('Data-solution'!$A$3="Maximize",MAX($C89:$AI89),MIN($C89:$AI89)),$C89:$AI89,0)),Y78-INDEX($C78:$AJ88,1,MATCH(IF('Data-solution'!$A$3="Maximize",MAX($C89:$AI89),MIN($C89:$AI89)),$C89:$AI89,0))*INDEX(Y78:$AJ88,MATCH(MIN($AK78:$AK88),$AK78:$AK88,0),1)/INDEX($C78:$AJ88,MATCH(MIN($AK78:$AK88),$AK78:$AK88,0),MATCH(IF('Data-solution'!$A$3="Maximize",MAX($C89:$AI89),MIN($C89:$AI89)),$C89:$AI89,0))),Y78)</f>
        <v>1</v>
      </c>
      <c r="Z93" s="1">
        <f>IF(OR($B93&lt;&gt;$B78,$B94&lt;&gt;$B79,$B95&lt;&gt;$B80,$B96&lt;&gt;$B81,$B97&lt;&gt;$B82,$B98&lt;&gt;$B83,$B99&lt;&gt;$B84,$B100&lt;&gt;$B85,$B101&lt;&gt;$B86,$B102&lt;&gt;$B87,$B103&lt;&gt;$B88),IF($B93&lt;&gt;$B78,Z78/INDEX($C78:$AJ88,1,MATCH(IF('Data-solution'!$A$3="Maximize",MAX($C89:$AI89),MIN($C89:$AI89)),$C89:$AI89,0)),Z78-INDEX($C78:$AJ88,1,MATCH(IF('Data-solution'!$A$3="Maximize",MAX($C89:$AI89),MIN($C89:$AI89)),$C89:$AI89,0))*INDEX(Z78:$AJ88,MATCH(MIN($AK78:$AK88),$AK78:$AK88,0),1)/INDEX($C78:$AJ88,MATCH(MIN($AK78:$AK88),$AK78:$AK88,0),MATCH(IF('Data-solution'!$A$3="Maximize",MAX($C89:$AI89),MIN($C89:$AI89)),$C89:$AI89,0))),Z78)</f>
        <v>0</v>
      </c>
      <c r="AA93" s="1">
        <f>IF(OR($B93&lt;&gt;$B78,$B94&lt;&gt;$B79,$B95&lt;&gt;$B80,$B96&lt;&gt;$B81,$B97&lt;&gt;$B82,$B98&lt;&gt;$B83,$B99&lt;&gt;$B84,$B100&lt;&gt;$B85,$B101&lt;&gt;$B86,$B102&lt;&gt;$B87,$B103&lt;&gt;$B88),IF($B93&lt;&gt;$B78,AA78/INDEX($C78:$AJ88,1,MATCH(IF('Data-solution'!$A$3="Maximize",MAX($C89:$AI89),MIN($C89:$AI89)),$C89:$AI89,0)),AA78-INDEX($C78:$AJ88,1,MATCH(IF('Data-solution'!$A$3="Maximize",MAX($C89:$AI89),MIN($C89:$AI89)),$C89:$AI89,0))*INDEX(AA78:$AJ88,MATCH(MIN($AK78:$AK88),$AK78:$AK88,0),1)/INDEX($C78:$AJ88,MATCH(MIN($AK78:$AK88),$AK78:$AK88,0),MATCH(IF('Data-solution'!$A$3="Maximize",MAX($C89:$AI89),MIN($C89:$AI89)),$C89:$AI89,0))),AA78)</f>
        <v>0</v>
      </c>
      <c r="AB93" s="1">
        <f>IF(OR($B93&lt;&gt;$B78,$B94&lt;&gt;$B79,$B95&lt;&gt;$B80,$B96&lt;&gt;$B81,$B97&lt;&gt;$B82,$B98&lt;&gt;$B83,$B99&lt;&gt;$B84,$B100&lt;&gt;$B85,$B101&lt;&gt;$B86,$B102&lt;&gt;$B87,$B103&lt;&gt;$B88),IF($B93&lt;&gt;$B78,AB78/INDEX($C78:$AJ88,1,MATCH(IF('Data-solution'!$A$3="Maximize",MAX($C89:$AI89),MIN($C89:$AI89)),$C89:$AI89,0)),AB78-INDEX($C78:$AJ88,1,MATCH(IF('Data-solution'!$A$3="Maximize",MAX($C89:$AI89),MIN($C89:$AI89)),$C89:$AI89,0))*INDEX(AB78:$AJ88,MATCH(MIN($AK78:$AK88),$AK78:$AK88,0),1)/INDEX($C78:$AJ88,MATCH(MIN($AK78:$AK88),$AK78:$AK88,0),MATCH(IF('Data-solution'!$A$3="Maximize",MAX($C89:$AI89),MIN($C89:$AI89)),$C89:$AI89,0))),AB78)</f>
        <v>-1</v>
      </c>
      <c r="AC93" s="1">
        <f>IF(OR($B93&lt;&gt;$B78,$B94&lt;&gt;$B79,$B95&lt;&gt;$B80,$B96&lt;&gt;$B81,$B97&lt;&gt;$B82,$B98&lt;&gt;$B83,$B99&lt;&gt;$B84,$B100&lt;&gt;$B85,$B101&lt;&gt;$B86,$B102&lt;&gt;$B87,$B103&lt;&gt;$B88),IF($B93&lt;&gt;$B78,AC78/INDEX($C78:$AJ88,1,MATCH(IF('Data-solution'!$A$3="Maximize",MAX($C89:$AI89),MIN($C89:$AI89)),$C89:$AI89,0)),AC78-INDEX($C78:$AJ88,1,MATCH(IF('Data-solution'!$A$3="Maximize",MAX($C89:$AI89),MIN($C89:$AI89)),$C89:$AI89,0))*INDEX(AC78:$AJ88,MATCH(MIN($AK78:$AK88),$AK78:$AK88,0),1)/INDEX($C78:$AJ88,MATCH(MIN($AK78:$AK88),$AK78:$AK88,0),MATCH(IF('Data-solution'!$A$3="Maximize",MAX($C89:$AI89),MIN($C89:$AI89)),$C89:$AI89,0))),AC78)</f>
        <v>0</v>
      </c>
      <c r="AD93" s="1">
        <f>IF(OR($B93&lt;&gt;$B78,$B94&lt;&gt;$B79,$B95&lt;&gt;$B80,$B96&lt;&gt;$B81,$B97&lt;&gt;$B82,$B98&lt;&gt;$B83,$B99&lt;&gt;$B84,$B100&lt;&gt;$B85,$B101&lt;&gt;$B86,$B102&lt;&gt;$B87,$B103&lt;&gt;$B88),IF($B93&lt;&gt;$B78,AD78/INDEX($C78:$AJ88,1,MATCH(IF('Data-solution'!$A$3="Maximize",MAX($C89:$AI89),MIN($C89:$AI89)),$C89:$AI89,0)),AD78-INDEX($C78:$AJ88,1,MATCH(IF('Data-solution'!$A$3="Maximize",MAX($C89:$AI89),MIN($C89:$AI89)),$C89:$AI89,0))*INDEX(AD78:$AJ88,MATCH(MIN($AK78:$AK88),$AK78:$AK88,0),1)/INDEX($C78:$AJ88,MATCH(MIN($AK78:$AK88),$AK78:$AK88,0),MATCH(IF('Data-solution'!$A$3="Maximize",MAX($C89:$AI89),MIN($C89:$AI89)),$C89:$AI89,0))),AD78)</f>
        <v>0</v>
      </c>
      <c r="AE93" s="1">
        <f>IF(OR($B93&lt;&gt;$B78,$B94&lt;&gt;$B79,$B95&lt;&gt;$B80,$B96&lt;&gt;$B81,$B97&lt;&gt;$B82,$B98&lt;&gt;$B83,$B99&lt;&gt;$B84,$B100&lt;&gt;$B85,$B101&lt;&gt;$B86,$B102&lt;&gt;$B87,$B103&lt;&gt;$B88),IF($B93&lt;&gt;$B78,AE78/INDEX($C78:$AJ88,1,MATCH(IF('Data-solution'!$A$3="Maximize",MAX($C89:$AI89),MIN($C89:$AI89)),$C89:$AI89,0)),AE78-INDEX($C78:$AJ88,1,MATCH(IF('Data-solution'!$A$3="Maximize",MAX($C89:$AI89),MIN($C89:$AI89)),$C89:$AI89,0))*INDEX(AE78:$AJ88,MATCH(MIN($AK78:$AK88),$AK78:$AK88,0),1)/INDEX($C78:$AJ88,MATCH(MIN($AK78:$AK88),$AK78:$AK88,0),MATCH(IF('Data-solution'!$A$3="Maximize",MAX($C89:$AI89),MIN($C89:$AI89)),$C89:$AI89,0))),AE78)</f>
        <v>0</v>
      </c>
      <c r="AF93" s="1">
        <f>IF(OR($B93&lt;&gt;$B78,$B94&lt;&gt;$B79,$B95&lt;&gt;$B80,$B96&lt;&gt;$B81,$B97&lt;&gt;$B82,$B98&lt;&gt;$B83,$B99&lt;&gt;$B84,$B100&lt;&gt;$B85,$B101&lt;&gt;$B86,$B102&lt;&gt;$B87,$B103&lt;&gt;$B88),IF($B93&lt;&gt;$B78,AF78/INDEX($C78:$AJ88,1,MATCH(IF('Data-solution'!$A$3="Maximize",MAX($C89:$AI89),MIN($C89:$AI89)),$C89:$AI89,0)),AF78-INDEX($C78:$AJ88,1,MATCH(IF('Data-solution'!$A$3="Maximize",MAX($C89:$AI89),MIN($C89:$AI89)),$C89:$AI89,0))*INDEX(AF78:$AJ88,MATCH(MIN($AK78:$AK88),$AK78:$AK88,0),1)/INDEX($C78:$AJ88,MATCH(MIN($AK78:$AK88),$AK78:$AK88,0),MATCH(IF('Data-solution'!$A$3="Maximize",MAX($C89:$AI89),MIN($C89:$AI89)),$C89:$AI89,0))),AF78)</f>
        <v>0</v>
      </c>
      <c r="AG93" s="1">
        <f>IF(OR($B93&lt;&gt;$B78,$B94&lt;&gt;$B79,$B95&lt;&gt;$B80,$B96&lt;&gt;$B81,$B97&lt;&gt;$B82,$B98&lt;&gt;$B83,$B99&lt;&gt;$B84,$B100&lt;&gt;$B85,$B101&lt;&gt;$B86,$B102&lt;&gt;$B87,$B103&lt;&gt;$B88),IF($B93&lt;&gt;$B78,AG78/INDEX($C78:$AJ88,1,MATCH(IF('Data-solution'!$A$3="Maximize",MAX($C89:$AI89),MIN($C89:$AI89)),$C89:$AI89,0)),AG78-INDEX($C78:$AJ88,1,MATCH(IF('Data-solution'!$A$3="Maximize",MAX($C89:$AI89),MIN($C89:$AI89)),$C89:$AI89,0))*INDEX(AG78:$AJ88,MATCH(MIN($AK78:$AK88),$AK78:$AK88,0),1)/INDEX($C78:$AJ88,MATCH(MIN($AK78:$AK88),$AK78:$AK88,0),MATCH(IF('Data-solution'!$A$3="Maximize",MAX($C89:$AI89),MIN($C89:$AI89)),$C89:$AI89,0))),AG78)</f>
        <v>0</v>
      </c>
      <c r="AH93" s="1">
        <f>IF(OR($B93&lt;&gt;$B78,$B94&lt;&gt;$B79,$B95&lt;&gt;$B80,$B96&lt;&gt;$B81,$B97&lt;&gt;$B82,$B98&lt;&gt;$B83,$B99&lt;&gt;$B84,$B100&lt;&gt;$B85,$B101&lt;&gt;$B86,$B102&lt;&gt;$B87,$B103&lt;&gt;$B88),IF($B93&lt;&gt;$B78,AH78/INDEX($C78:$AJ88,1,MATCH(IF('Data-solution'!$A$3="Maximize",MAX($C89:$AI89),MIN($C89:$AI89)),$C89:$AI89,0)),AH78-INDEX($C78:$AJ88,1,MATCH(IF('Data-solution'!$A$3="Maximize",MAX($C89:$AI89),MIN($C89:$AI89)),$C89:$AI89,0))*INDEX(AH78:$AJ88,MATCH(MIN($AK78:$AK88),$AK78:$AK88,0),1)/INDEX($C78:$AJ88,MATCH(MIN($AK78:$AK88),$AK78:$AK88,0),MATCH(IF('Data-solution'!$A$3="Maximize",MAX($C89:$AI89),MIN($C89:$AI89)),$C89:$AI89,0))),AH78)</f>
        <v>0</v>
      </c>
      <c r="AI93" s="1">
        <f>IF(OR($B93&lt;&gt;$B78,$B94&lt;&gt;$B79,$B95&lt;&gt;$B80,$B96&lt;&gt;$B81,$B97&lt;&gt;$B82,$B98&lt;&gt;$B83,$B99&lt;&gt;$B84,$B100&lt;&gt;$B85,$B101&lt;&gt;$B86,$B102&lt;&gt;$B87,$B103&lt;&gt;$B88),IF($B93&lt;&gt;$B78,AI78/INDEX($C78:$AJ88,1,MATCH(IF('Data-solution'!$A$3="Maximize",MAX($C89:$AI89),MIN($C89:$AI89)),$C89:$AI89,0)),AI78-INDEX($C78:$AJ88,1,MATCH(IF('Data-solution'!$A$3="Maximize",MAX($C89:$AI89),MIN($C89:$AI89)),$C89:$AI89,0))*INDEX(AI78:$AJ88,MATCH(MIN($AK78:$AK88),$AK78:$AK88,0),1)/INDEX($C78:$AJ88,MATCH(MIN($AK78:$AK88),$AK78:$AK88,0),MATCH(IF('Data-solution'!$A$3="Maximize",MAX($C89:$AI89),MIN($C89:$AI89)),$C89:$AI89,0))),AI78)</f>
        <v>0</v>
      </c>
      <c r="AJ93" s="1">
        <f>IF(OR($B93&lt;&gt;$B78,$B94&lt;&gt;$B79,$B95&lt;&gt;$B80,$B96&lt;&gt;$B81,$B97&lt;&gt;$B82,$B98&lt;&gt;$B83,$B99&lt;&gt;$B84,$B100&lt;&gt;$B85,$B101&lt;&gt;$B86,$B102&lt;&gt;$B87,$B103&lt;&gt;$B88),IF($B93&lt;&gt;$B78,AJ78/INDEX($C78:$AJ88,1,MATCH(IF('Data-solution'!$A$3="Maximize",MAX($C89:$AI89),MIN($C89:$AI89)),$C89:$AI89,0)),AJ78-INDEX($C78:$AJ88,1,MATCH(IF('Data-solution'!$A$3="Maximize",MAX($C89:$AI89),MIN($C89:$AI89)),$C89:$AI89,0))*INDEX(AJ78:$AJ88,MATCH(MIN($AK78:$AK88),$AK78:$AK88,0),1)/INDEX($C78:$AJ88,MATCH(MIN($AK78:$AK88),$AK78:$AK88,0),MATCH(IF('Data-solution'!$A$3="Maximize",MAX($C89:$AI89),MIN($C89:$AI89)),$C89:$AI89,0))),AJ78)</f>
        <v>150</v>
      </c>
      <c r="AK93" s="1" t="str">
        <f>IF(INDEX(C93:X93,1,MATCH(IF('Data-solution'!A$3="Maximize",MAX(C104:X104),MIN(C104:X104)),C104:X104,0))&gt;0,AJ93/INDEX(C93:X93,1,MATCH(IF('Data-solution'!A$3="Maximize",MAX(C104:X104),MIN(C104:X104)),C104:X104,0))," ")</f>
        <v xml:space="preserve"> </v>
      </c>
    </row>
    <row r="94" spans="1:37" ht="18" customHeight="1" x14ac:dyDescent="0.2">
      <c r="A94" s="1">
        <f t="shared" ref="A94" si="65">INDEX(C91:AI91,1,MATCH(B94,C92:AI92,0))</f>
        <v>0</v>
      </c>
      <c r="B94" s="2" t="str">
        <f>IF(AND('Data-solution'!A$3="Maximize",COUNTIF(C89:X89,"&gt;"&amp;0)&gt;0,AK79=MIN(AK78:AK88),COUNTIF(B93,INDEX(C77:X77,1,MATCH(MAX(C89:X89),C89:X89,0)))=0),INDEX(C77:X77,1,MATCH(MAX(C89:X89),C89:X89,0)),IF(AND('Data-solution'!A$3="Minimize",COUNTIF(C89:X89,"&lt;"&amp;0)&gt;0,AK79=MIN(AK78:AK88),COUNTIF(B93,INDEX(C77:X77,1,MATCH(MIN(C89:X89),C89:X89,0)))=0),INDEX(C77:X77,1,MATCH(MIN(C89:X89),C89:X89,0)),B79))</f>
        <v>S2</v>
      </c>
      <c r="C94" s="1">
        <f>IF(OR($B93&lt;&gt;$B78,$B94&lt;&gt;$B79,$B95&lt;&gt;$B80,$B96&lt;&gt;$B81,$B97&lt;&gt;$B82,$B98&lt;&gt;$B83,$B99&lt;&gt;$B84,$B100&lt;&gt;$B85,$B101&lt;&gt;$B86,$B102&lt;&gt;$B87,$B103&lt;&gt;$B88),IF($B94&lt;&gt;$B79,C79/INDEX($C78:$AJ88,2,MATCH(IF('Data-solution'!$A$3="Maximize",MAX($C89:$AI89),MIN($C89:$AI89)),$C89:$AI89,0)),C79-INDEX($C78:$AJ88,2,MATCH(IF('Data-solution'!$A$3="Maximize",MAX($C89:$AI89),MIN($C89:$AI89)),$C89:$AI89,0))*INDEX(C78:$AJ88,MATCH(MIN($AK78:$AK88),$AK78:$AK88,0),1)/INDEX($C78:$AJ88,MATCH(MIN($AK78:$AK88),$AK78:$AK88,0),MATCH(IF('Data-solution'!$A$3="Maximize",MAX($C89:$AI89),MIN($C89:$AI89)),$C89:$AI89,0))),C79)</f>
        <v>0</v>
      </c>
      <c r="D94" s="1">
        <f>IF(OR($B93&lt;&gt;$B78,$B94&lt;&gt;$B79,$B95&lt;&gt;$B80,$B96&lt;&gt;$B81,$B97&lt;&gt;$B82,$B98&lt;&gt;$B83,$B99&lt;&gt;$B84,$B100&lt;&gt;$B85,$B101&lt;&gt;$B86,$B102&lt;&gt;$B87,$B103&lt;&gt;$B88),IF($B94&lt;&gt;$B79,D79/INDEX($C78:$AJ88,2,MATCH(IF('Data-solution'!$A$3="Maximize",MAX($C89:$AI89),MIN($C89:$AI89)),$C89:$AI89,0)),D79-INDEX($C78:$AJ88,2,MATCH(IF('Data-solution'!$A$3="Maximize",MAX($C89:$AI89),MIN($C89:$AI89)),$C89:$AI89,0))*INDEX(D78:$AJ88,MATCH(MIN($AK78:$AK88),$AK78:$AK88,0),1)/INDEX($C78:$AJ88,MATCH(MIN($AK78:$AK88),$AK78:$AK88,0),MATCH(IF('Data-solution'!$A$3="Maximize",MAX($C89:$AI89),MIN($C89:$AI89)),$C89:$AI89,0))),D79)</f>
        <v>1.75</v>
      </c>
      <c r="E94" s="1">
        <f>IF(OR($B93&lt;&gt;$B78,$B94&lt;&gt;$B79,$B95&lt;&gt;$B80,$B96&lt;&gt;$B81,$B97&lt;&gt;$B82,$B98&lt;&gt;$B83,$B99&lt;&gt;$B84,$B100&lt;&gt;$B85,$B101&lt;&gt;$B86,$B102&lt;&gt;$B87,$B103&lt;&gt;$B88),IF($B94&lt;&gt;$B79,E79/INDEX($C78:$AJ88,2,MATCH(IF('Data-solution'!$A$3="Maximize",MAX($C89:$AI89),MIN($C89:$AI89)),$C89:$AI89,0)),E79-INDEX($C78:$AJ88,2,MATCH(IF('Data-solution'!$A$3="Maximize",MAX($C89:$AI89),MIN($C89:$AI89)),$C89:$AI89,0))*INDEX(E78:$AJ88,MATCH(MIN($AK78:$AK88),$AK78:$AK88,0),1)/INDEX($C78:$AJ88,MATCH(MIN($AK78:$AK88),$AK78:$AK88,0),MATCH(IF('Data-solution'!$A$3="Maximize",MAX($C89:$AI89),MIN($C89:$AI89)),$C89:$AI89,0))),E79)</f>
        <v>0</v>
      </c>
      <c r="F94" s="1">
        <f>IF(OR($B93&lt;&gt;$B78,$B94&lt;&gt;$B79,$B95&lt;&gt;$B80,$B96&lt;&gt;$B81,$B97&lt;&gt;$B82,$B98&lt;&gt;$B83,$B99&lt;&gt;$B84,$B100&lt;&gt;$B85,$B101&lt;&gt;$B86,$B102&lt;&gt;$B87,$B103&lt;&gt;$B88),IF($B94&lt;&gt;$B79,F79/INDEX($C78:$AJ88,2,MATCH(IF('Data-solution'!$A$3="Maximize",MAX($C89:$AI89),MIN($C89:$AI89)),$C89:$AI89,0)),F79-INDEX($C78:$AJ88,2,MATCH(IF('Data-solution'!$A$3="Maximize",MAX($C89:$AI89),MIN($C89:$AI89)),$C89:$AI89,0))*INDEX(F78:$AJ88,MATCH(MIN($AK78:$AK88),$AK78:$AK88,0),1)/INDEX($C78:$AJ88,MATCH(MIN($AK78:$AK88),$AK78:$AK88,0),MATCH(IF('Data-solution'!$A$3="Maximize",MAX($C89:$AI89),MIN($C89:$AI89)),$C89:$AI89,0))),F79)</f>
        <v>0</v>
      </c>
      <c r="G94" s="1">
        <f>IF(OR($B93&lt;&gt;$B78,$B94&lt;&gt;$B79,$B95&lt;&gt;$B80,$B96&lt;&gt;$B81,$B97&lt;&gt;$B82,$B98&lt;&gt;$B83,$B99&lt;&gt;$B84,$B100&lt;&gt;$B85,$B101&lt;&gt;$B86,$B102&lt;&gt;$B87,$B103&lt;&gt;$B88),IF($B94&lt;&gt;$B79,G79/INDEX($C78:$AJ88,2,MATCH(IF('Data-solution'!$A$3="Maximize",MAX($C89:$AI89),MIN($C89:$AI89)),$C89:$AI89,0)),G79-INDEX($C78:$AJ88,2,MATCH(IF('Data-solution'!$A$3="Maximize",MAX($C89:$AI89),MIN($C89:$AI89)),$C89:$AI89,0))*INDEX(G78:$AJ88,MATCH(MIN($AK78:$AK88),$AK78:$AK88,0),1)/INDEX($C78:$AJ88,MATCH(MIN($AK78:$AK88),$AK78:$AK88,0),MATCH(IF('Data-solution'!$A$3="Maximize",MAX($C89:$AI89),MIN($C89:$AI89)),$C89:$AI89,0))),G79)</f>
        <v>0</v>
      </c>
      <c r="H94" s="1">
        <f>IF(OR($B93&lt;&gt;$B78,$B94&lt;&gt;$B79,$B95&lt;&gt;$B80,$B96&lt;&gt;$B81,$B97&lt;&gt;$B82,$B98&lt;&gt;$B83,$B99&lt;&gt;$B84,$B100&lt;&gt;$B85,$B101&lt;&gt;$B86,$B102&lt;&gt;$B87,$B103&lt;&gt;$B88),IF($B94&lt;&gt;$B79,H79/INDEX($C78:$AJ88,2,MATCH(IF('Data-solution'!$A$3="Maximize",MAX($C89:$AI89),MIN($C89:$AI89)),$C89:$AI89,0)),H79-INDEX($C78:$AJ88,2,MATCH(IF('Data-solution'!$A$3="Maximize",MAX($C89:$AI89),MIN($C89:$AI89)),$C89:$AI89,0))*INDEX(H78:$AJ88,MATCH(MIN($AK78:$AK88),$AK78:$AK88,0),1)/INDEX($C78:$AJ88,MATCH(MIN($AK78:$AK88),$AK78:$AK88,0),MATCH(IF('Data-solution'!$A$3="Maximize",MAX($C89:$AI89),MIN($C89:$AI89)),$C89:$AI89,0))),H79)</f>
        <v>0</v>
      </c>
      <c r="I94" s="1">
        <f>IF(OR($B93&lt;&gt;$B78,$B94&lt;&gt;$B79,$B95&lt;&gt;$B80,$B96&lt;&gt;$B81,$B97&lt;&gt;$B82,$B98&lt;&gt;$B83,$B99&lt;&gt;$B84,$B100&lt;&gt;$B85,$B101&lt;&gt;$B86,$B102&lt;&gt;$B87,$B103&lt;&gt;$B88),IF($B94&lt;&gt;$B79,I79/INDEX($C78:$AJ88,2,MATCH(IF('Data-solution'!$A$3="Maximize",MAX($C89:$AI89),MIN($C89:$AI89)),$C89:$AI89,0)),I79-INDEX($C78:$AJ88,2,MATCH(IF('Data-solution'!$A$3="Maximize",MAX($C89:$AI89),MIN($C89:$AI89)),$C89:$AI89,0))*INDEX(I78:$AJ88,MATCH(MIN($AK78:$AK88),$AK78:$AK88,0),1)/INDEX($C78:$AJ88,MATCH(MIN($AK78:$AK88),$AK78:$AK88,0),MATCH(IF('Data-solution'!$A$3="Maximize",MAX($C89:$AI89),MIN($C89:$AI89)),$C89:$AI89,0))),I79)</f>
        <v>0</v>
      </c>
      <c r="J94" s="1">
        <f>IF(OR($B93&lt;&gt;$B78,$B94&lt;&gt;$B79,$B95&lt;&gt;$B80,$B96&lt;&gt;$B81,$B97&lt;&gt;$B82,$B98&lt;&gt;$B83,$B99&lt;&gt;$B84,$B100&lt;&gt;$B85,$B101&lt;&gt;$B86,$B102&lt;&gt;$B87,$B103&lt;&gt;$B88),IF($B94&lt;&gt;$B79,J79/INDEX($C78:$AJ88,2,MATCH(IF('Data-solution'!$A$3="Maximize",MAX($C89:$AI89),MIN($C89:$AI89)),$C89:$AI89,0)),J79-INDEX($C78:$AJ88,2,MATCH(IF('Data-solution'!$A$3="Maximize",MAX($C89:$AI89),MIN($C89:$AI89)),$C89:$AI89,0))*INDEX(J78:$AJ88,MATCH(MIN($AK78:$AK88),$AK78:$AK88,0),1)/INDEX($C78:$AJ88,MATCH(MIN($AK78:$AK88),$AK78:$AK88,0),MATCH(IF('Data-solution'!$A$3="Maximize",MAX($C89:$AI89),MIN($C89:$AI89)),$C89:$AI89,0))),J79)</f>
        <v>0</v>
      </c>
      <c r="K94" s="1">
        <f>IF(OR($B93&lt;&gt;$B78,$B94&lt;&gt;$B79,$B95&lt;&gt;$B80,$B96&lt;&gt;$B81,$B97&lt;&gt;$B82,$B98&lt;&gt;$B83,$B99&lt;&gt;$B84,$B100&lt;&gt;$B85,$B101&lt;&gt;$B86,$B102&lt;&gt;$B87,$B103&lt;&gt;$B88),IF($B94&lt;&gt;$B79,K79/INDEX($C78:$AJ88,2,MATCH(IF('Data-solution'!$A$3="Maximize",MAX($C89:$AI89),MIN($C89:$AI89)),$C89:$AI89,0)),K79-INDEX($C78:$AJ88,2,MATCH(IF('Data-solution'!$A$3="Maximize",MAX($C89:$AI89),MIN($C89:$AI89)),$C89:$AI89,0))*INDEX(K78:$AJ88,MATCH(MIN($AK78:$AK88),$AK78:$AK88,0),1)/INDEX($C78:$AJ88,MATCH(MIN($AK78:$AK88),$AK78:$AK88,0),MATCH(IF('Data-solution'!$A$3="Maximize",MAX($C89:$AI89),MIN($C89:$AI89)),$C89:$AI89,0))),K79)</f>
        <v>0</v>
      </c>
      <c r="L94" s="1">
        <f>IF(OR($B93&lt;&gt;$B78,$B94&lt;&gt;$B79,$B95&lt;&gt;$B80,$B96&lt;&gt;$B81,$B97&lt;&gt;$B82,$B98&lt;&gt;$B83,$B99&lt;&gt;$B84,$B100&lt;&gt;$B85,$B101&lt;&gt;$B86,$B102&lt;&gt;$B87,$B103&lt;&gt;$B88),IF($B94&lt;&gt;$B79,L79/INDEX($C78:$AJ88,2,MATCH(IF('Data-solution'!$A$3="Maximize",MAX($C89:$AI89),MIN($C89:$AI89)),$C89:$AI89,0)),L79-INDEX($C78:$AJ88,2,MATCH(IF('Data-solution'!$A$3="Maximize",MAX($C89:$AI89),MIN($C89:$AI89)),$C89:$AI89,0))*INDEX(L78:$AJ88,MATCH(MIN($AK78:$AK88),$AK78:$AK88,0),1)/INDEX($C78:$AJ88,MATCH(MIN($AK78:$AK88),$AK78:$AK88,0),MATCH(IF('Data-solution'!$A$3="Maximize",MAX($C89:$AI89),MIN($C89:$AI89)),$C89:$AI89,0))),L79)</f>
        <v>0</v>
      </c>
      <c r="M94" s="1">
        <f>IF(OR($B93&lt;&gt;$B78,$B94&lt;&gt;$B79,$B95&lt;&gt;$B80,$B96&lt;&gt;$B81,$B97&lt;&gt;$B82,$B98&lt;&gt;$B83,$B99&lt;&gt;$B84,$B100&lt;&gt;$B85,$B101&lt;&gt;$B86,$B102&lt;&gt;$B87,$B103&lt;&gt;$B88),IF($B94&lt;&gt;$B79,M79/INDEX($C78:$AJ88,2,MATCH(IF('Data-solution'!$A$3="Maximize",MAX($C89:$AI89),MIN($C89:$AI89)),$C89:$AI89,0)),M79-INDEX($C78:$AJ88,2,MATCH(IF('Data-solution'!$A$3="Maximize",MAX($C89:$AI89),MIN($C89:$AI89)),$C89:$AI89,0))*INDEX(M78:$AJ88,MATCH(MIN($AK78:$AK88),$AK78:$AK88,0),1)/INDEX($C78:$AJ88,MATCH(MIN($AK78:$AK88),$AK78:$AK88,0),MATCH(IF('Data-solution'!$A$3="Maximize",MAX($C89:$AI89),MIN($C89:$AI89)),$C89:$AI89,0))),M79)</f>
        <v>0</v>
      </c>
      <c r="N94" s="1">
        <f>IF(OR($B93&lt;&gt;$B78,$B94&lt;&gt;$B79,$B95&lt;&gt;$B80,$B96&lt;&gt;$B81,$B97&lt;&gt;$B82,$B98&lt;&gt;$B83,$B99&lt;&gt;$B84,$B100&lt;&gt;$B85,$B101&lt;&gt;$B86,$B102&lt;&gt;$B87,$B103&lt;&gt;$B88),IF($B94&lt;&gt;$B79,N79/INDEX($C78:$AJ88,2,MATCH(IF('Data-solution'!$A$3="Maximize",MAX($C89:$AI89),MIN($C89:$AI89)),$C89:$AI89,0)),N79-INDEX($C78:$AJ88,2,MATCH(IF('Data-solution'!$A$3="Maximize",MAX($C89:$AI89),MIN($C89:$AI89)),$C89:$AI89,0))*INDEX(N78:$AJ88,MATCH(MIN($AK78:$AK88),$AK78:$AK88,0),1)/INDEX($C78:$AJ88,MATCH(MIN($AK78:$AK88),$AK78:$AK88,0),MATCH(IF('Data-solution'!$A$3="Maximize",MAX($C89:$AI89),MIN($C89:$AI89)),$C89:$AI89,0))),N79)</f>
        <v>0</v>
      </c>
      <c r="O94" s="1">
        <f>IF(OR($B93&lt;&gt;$B78,$B94&lt;&gt;$B79,$B95&lt;&gt;$B80,$B96&lt;&gt;$B81,$B97&lt;&gt;$B82,$B98&lt;&gt;$B83,$B99&lt;&gt;$B84,$B100&lt;&gt;$B85,$B101&lt;&gt;$B86,$B102&lt;&gt;$B87,$B103&lt;&gt;$B88),IF($B94&lt;&gt;$B79,O79/INDEX($C78:$AJ88,2,MATCH(IF('Data-solution'!$A$3="Maximize",MAX($C89:$AI89),MIN($C89:$AI89)),$C89:$AI89,0)),O79-INDEX($C78:$AJ88,2,MATCH(IF('Data-solution'!$A$3="Maximize",MAX($C89:$AI89),MIN($C89:$AI89)),$C89:$AI89,0))*INDEX(O78:$AJ88,MATCH(MIN($AK78:$AK88),$AK78:$AK88,0),1)/INDEX($C78:$AJ88,MATCH(MIN($AK78:$AK88),$AK78:$AK88,0),MATCH(IF('Data-solution'!$A$3="Maximize",MAX($C89:$AI89),MIN($C89:$AI89)),$C89:$AI89,0))),O79)</f>
        <v>1</v>
      </c>
      <c r="P94" s="1">
        <f>IF(OR($B93&lt;&gt;$B78,$B94&lt;&gt;$B79,$B95&lt;&gt;$B80,$B96&lt;&gt;$B81,$B97&lt;&gt;$B82,$B98&lt;&gt;$B83,$B99&lt;&gt;$B84,$B100&lt;&gt;$B85,$B101&lt;&gt;$B86,$B102&lt;&gt;$B87,$B103&lt;&gt;$B88),IF($B94&lt;&gt;$B79,P79/INDEX($C78:$AJ88,2,MATCH(IF('Data-solution'!$A$3="Maximize",MAX($C89:$AI89),MIN($C89:$AI89)),$C89:$AI89,0)),P79-INDEX($C78:$AJ88,2,MATCH(IF('Data-solution'!$A$3="Maximize",MAX($C89:$AI89),MIN($C89:$AI89)),$C89:$AI89,0))*INDEX(P78:$AJ88,MATCH(MIN($AK78:$AK88),$AK78:$AK88,0),1)/INDEX($C78:$AJ88,MATCH(MIN($AK78:$AK88),$AK78:$AK88,0),MATCH(IF('Data-solution'!$A$3="Maximize",MAX($C89:$AI89),MIN($C89:$AI89)),$C89:$AI89,0))),P79)</f>
        <v>-0.25</v>
      </c>
      <c r="Q94" s="1">
        <f>IF(OR($B93&lt;&gt;$B78,$B94&lt;&gt;$B79,$B95&lt;&gt;$B80,$B96&lt;&gt;$B81,$B97&lt;&gt;$B82,$B98&lt;&gt;$B83,$B99&lt;&gt;$B84,$B100&lt;&gt;$B85,$B101&lt;&gt;$B86,$B102&lt;&gt;$B87,$B103&lt;&gt;$B88),IF($B94&lt;&gt;$B79,Q79/INDEX($C78:$AJ88,2,MATCH(IF('Data-solution'!$A$3="Maximize",MAX($C89:$AI89),MIN($C89:$AI89)),$C89:$AI89,0)),Q79-INDEX($C78:$AJ88,2,MATCH(IF('Data-solution'!$A$3="Maximize",MAX($C89:$AI89),MIN($C89:$AI89)),$C89:$AI89,0))*INDEX(Q78:$AJ88,MATCH(MIN($AK78:$AK88),$AK78:$AK88,0),1)/INDEX($C78:$AJ88,MATCH(MIN($AK78:$AK88),$AK78:$AK88,0),MATCH(IF('Data-solution'!$A$3="Maximize",MAX($C89:$AI89),MIN($C89:$AI89)),$C89:$AI89,0))),Q79)</f>
        <v>-0.5</v>
      </c>
      <c r="R94" s="1">
        <f>IF(OR($B93&lt;&gt;$B78,$B94&lt;&gt;$B79,$B95&lt;&gt;$B80,$B96&lt;&gt;$B81,$B97&lt;&gt;$B82,$B98&lt;&gt;$B83,$B99&lt;&gt;$B84,$B100&lt;&gt;$B85,$B101&lt;&gt;$B86,$B102&lt;&gt;$B87,$B103&lt;&gt;$B88),IF($B94&lt;&gt;$B79,R79/INDEX($C78:$AJ88,2,MATCH(IF('Data-solution'!$A$3="Maximize",MAX($C89:$AI89),MIN($C89:$AI89)),$C89:$AI89,0)),R79-INDEX($C78:$AJ88,2,MATCH(IF('Data-solution'!$A$3="Maximize",MAX($C89:$AI89),MIN($C89:$AI89)),$C89:$AI89,0))*INDEX(R78:$AJ88,MATCH(MIN($AK78:$AK88),$AK78:$AK88,0),1)/INDEX($C78:$AJ88,MATCH(MIN($AK78:$AK88),$AK78:$AK88,0),MATCH(IF('Data-solution'!$A$3="Maximize",MAX($C89:$AI89),MIN($C89:$AI89)),$C89:$AI89,0))),R79)</f>
        <v>0</v>
      </c>
      <c r="S94" s="1">
        <f>IF(OR($B93&lt;&gt;$B78,$B94&lt;&gt;$B79,$B95&lt;&gt;$B80,$B96&lt;&gt;$B81,$B97&lt;&gt;$B82,$B98&lt;&gt;$B83,$B99&lt;&gt;$B84,$B100&lt;&gt;$B85,$B101&lt;&gt;$B86,$B102&lt;&gt;$B87,$B103&lt;&gt;$B88),IF($B94&lt;&gt;$B79,S79/INDEX($C78:$AJ88,2,MATCH(IF('Data-solution'!$A$3="Maximize",MAX($C89:$AI89),MIN($C89:$AI89)),$C89:$AI89,0)),S79-INDEX($C78:$AJ88,2,MATCH(IF('Data-solution'!$A$3="Maximize",MAX($C89:$AI89),MIN($C89:$AI89)),$C89:$AI89,0))*INDEX(S78:$AJ88,MATCH(MIN($AK78:$AK88),$AK78:$AK88,0),1)/INDEX($C78:$AJ88,MATCH(MIN($AK78:$AK88),$AK78:$AK88,0),MATCH(IF('Data-solution'!$A$3="Maximize",MAX($C89:$AI89),MIN($C89:$AI89)),$C89:$AI89,0))),S79)</f>
        <v>0</v>
      </c>
      <c r="T94" s="1">
        <f>IF(OR($B93&lt;&gt;$B78,$B94&lt;&gt;$B79,$B95&lt;&gt;$B80,$B96&lt;&gt;$B81,$B97&lt;&gt;$B82,$B98&lt;&gt;$B83,$B99&lt;&gt;$B84,$B100&lt;&gt;$B85,$B101&lt;&gt;$B86,$B102&lt;&gt;$B87,$B103&lt;&gt;$B88),IF($B94&lt;&gt;$B79,T79/INDEX($C78:$AJ88,2,MATCH(IF('Data-solution'!$A$3="Maximize",MAX($C89:$AI89),MIN($C89:$AI89)),$C89:$AI89,0)),T79-INDEX($C78:$AJ88,2,MATCH(IF('Data-solution'!$A$3="Maximize",MAX($C89:$AI89),MIN($C89:$AI89)),$C89:$AI89,0))*INDEX(T78:$AJ88,MATCH(MIN($AK78:$AK88),$AK78:$AK88,0),1)/INDEX($C78:$AJ88,MATCH(MIN($AK78:$AK88),$AK78:$AK88,0),MATCH(IF('Data-solution'!$A$3="Maximize",MAX($C89:$AI89),MIN($C89:$AI89)),$C89:$AI89,0))),T79)</f>
        <v>0</v>
      </c>
      <c r="U94" s="1">
        <f>IF(OR($B93&lt;&gt;$B78,$B94&lt;&gt;$B79,$B95&lt;&gt;$B80,$B96&lt;&gt;$B81,$B97&lt;&gt;$B82,$B98&lt;&gt;$B83,$B99&lt;&gt;$B84,$B100&lt;&gt;$B85,$B101&lt;&gt;$B86,$B102&lt;&gt;$B87,$B103&lt;&gt;$B88),IF($B94&lt;&gt;$B79,U79/INDEX($C78:$AJ88,2,MATCH(IF('Data-solution'!$A$3="Maximize",MAX($C89:$AI89),MIN($C89:$AI89)),$C89:$AI89,0)),U79-INDEX($C78:$AJ88,2,MATCH(IF('Data-solution'!$A$3="Maximize",MAX($C89:$AI89),MIN($C89:$AI89)),$C89:$AI89,0))*INDEX(U78:$AJ88,MATCH(MIN($AK78:$AK88),$AK78:$AK88,0),1)/INDEX($C78:$AJ88,MATCH(MIN($AK78:$AK88),$AK78:$AK88,0),MATCH(IF('Data-solution'!$A$3="Maximize",MAX($C89:$AI89),MIN($C89:$AI89)),$C89:$AI89,0))),U79)</f>
        <v>0</v>
      </c>
      <c r="V94" s="1">
        <f>IF(OR($B93&lt;&gt;$B78,$B94&lt;&gt;$B79,$B95&lt;&gt;$B80,$B96&lt;&gt;$B81,$B97&lt;&gt;$B82,$B98&lt;&gt;$B83,$B99&lt;&gt;$B84,$B100&lt;&gt;$B85,$B101&lt;&gt;$B86,$B102&lt;&gt;$B87,$B103&lt;&gt;$B88),IF($B94&lt;&gt;$B79,V79/INDEX($C78:$AJ88,2,MATCH(IF('Data-solution'!$A$3="Maximize",MAX($C89:$AI89),MIN($C89:$AI89)),$C89:$AI89,0)),V79-INDEX($C78:$AJ88,2,MATCH(IF('Data-solution'!$A$3="Maximize",MAX($C89:$AI89),MIN($C89:$AI89)),$C89:$AI89,0))*INDEX(V78:$AJ88,MATCH(MIN($AK78:$AK88),$AK78:$AK88,0),1)/INDEX($C78:$AJ88,MATCH(MIN($AK78:$AK88),$AK78:$AK88,0),MATCH(IF('Data-solution'!$A$3="Maximize",MAX($C89:$AI89),MIN($C89:$AI89)),$C89:$AI89,0))),V79)</f>
        <v>0</v>
      </c>
      <c r="W94" s="1">
        <f>IF(OR($B93&lt;&gt;$B78,$B94&lt;&gt;$B79,$B95&lt;&gt;$B80,$B96&lt;&gt;$B81,$B97&lt;&gt;$B82,$B98&lt;&gt;$B83,$B99&lt;&gt;$B84,$B100&lt;&gt;$B85,$B101&lt;&gt;$B86,$B102&lt;&gt;$B87,$B103&lt;&gt;$B88),IF($B94&lt;&gt;$B79,W79/INDEX($C78:$AJ88,2,MATCH(IF('Data-solution'!$A$3="Maximize",MAX($C89:$AI89),MIN($C89:$AI89)),$C89:$AI89,0)),W79-INDEX($C78:$AJ88,2,MATCH(IF('Data-solution'!$A$3="Maximize",MAX($C89:$AI89),MIN($C89:$AI89)),$C89:$AI89,0))*INDEX(W78:$AJ88,MATCH(MIN($AK78:$AK88),$AK78:$AK88,0),1)/INDEX($C78:$AJ88,MATCH(MIN($AK78:$AK88),$AK78:$AK88,0),MATCH(IF('Data-solution'!$A$3="Maximize",MAX($C89:$AI89),MIN($C89:$AI89)),$C89:$AI89,0))),W79)</f>
        <v>0</v>
      </c>
      <c r="X94" s="1">
        <f>IF(OR($B93&lt;&gt;$B78,$B94&lt;&gt;$B79,$B95&lt;&gt;$B80,$B96&lt;&gt;$B81,$B97&lt;&gt;$B82,$B98&lt;&gt;$B83,$B99&lt;&gt;$B84,$B100&lt;&gt;$B85,$B101&lt;&gt;$B86,$B102&lt;&gt;$B87,$B103&lt;&gt;$B88),IF($B94&lt;&gt;$B79,X79/INDEX($C78:$AJ88,2,MATCH(IF('Data-solution'!$A$3="Maximize",MAX($C89:$AI89),MIN($C89:$AI89)),$C89:$AI89,0)),X79-INDEX($C78:$AJ88,2,MATCH(IF('Data-solution'!$A$3="Maximize",MAX($C89:$AI89),MIN($C89:$AI89)),$C89:$AI89,0))*INDEX(X78:$AJ88,MATCH(MIN($AK78:$AK88),$AK78:$AK88,0),1)/INDEX($C78:$AJ88,MATCH(MIN($AK78:$AK88),$AK78:$AK88,0),MATCH(IF('Data-solution'!$A$3="Maximize",MAX($C89:$AI89),MIN($C89:$AI89)),$C89:$AI89,0))),X79)</f>
        <v>0</v>
      </c>
      <c r="Y94" s="1">
        <f>IF(OR($B93&lt;&gt;$B78,$B94&lt;&gt;$B79,$B95&lt;&gt;$B80,$B96&lt;&gt;$B81,$B97&lt;&gt;$B82,$B98&lt;&gt;$B83,$B99&lt;&gt;$B84,$B100&lt;&gt;$B85,$B101&lt;&gt;$B86,$B102&lt;&gt;$B87,$B103&lt;&gt;$B88),IF($B94&lt;&gt;$B79,Y79/INDEX($C78:$AJ88,2,MATCH(IF('Data-solution'!$A$3="Maximize",MAX($C89:$AI89),MIN($C89:$AI89)),$C89:$AI89,0)),Y79-INDEX($C78:$AJ88,2,MATCH(IF('Data-solution'!$A$3="Maximize",MAX($C89:$AI89),MIN($C89:$AI89)),$C89:$AI89,0))*INDEX(Y78:$AJ88,MATCH(MIN($AK78:$AK88),$AK78:$AK88,0),1)/INDEX($C78:$AJ88,MATCH(MIN($AK78:$AK88),$AK78:$AK88,0),MATCH(IF('Data-solution'!$A$3="Maximize",MAX($C89:$AI89),MIN($C89:$AI89)),$C89:$AI89,0))),Y79)</f>
        <v>0</v>
      </c>
      <c r="Z94" s="1">
        <f>IF(OR($B93&lt;&gt;$B78,$B94&lt;&gt;$B79,$B95&lt;&gt;$B80,$B96&lt;&gt;$B81,$B97&lt;&gt;$B82,$B98&lt;&gt;$B83,$B99&lt;&gt;$B84,$B100&lt;&gt;$B85,$B101&lt;&gt;$B86,$B102&lt;&gt;$B87,$B103&lt;&gt;$B88),IF($B94&lt;&gt;$B79,Z79/INDEX($C78:$AJ88,2,MATCH(IF('Data-solution'!$A$3="Maximize",MAX($C89:$AI89),MIN($C89:$AI89)),$C89:$AI89,0)),Z79-INDEX($C78:$AJ88,2,MATCH(IF('Data-solution'!$A$3="Maximize",MAX($C89:$AI89),MIN($C89:$AI89)),$C89:$AI89,0))*INDEX(Z78:$AJ88,MATCH(MIN($AK78:$AK88),$AK78:$AK88,0),1)/INDEX($C78:$AJ88,MATCH(MIN($AK78:$AK88),$AK78:$AK88,0),MATCH(IF('Data-solution'!$A$3="Maximize",MAX($C89:$AI89),MIN($C89:$AI89)),$C89:$AI89,0))),Z79)</f>
        <v>1</v>
      </c>
      <c r="AA94" s="1">
        <f>IF(OR($B93&lt;&gt;$B78,$B94&lt;&gt;$B79,$B95&lt;&gt;$B80,$B96&lt;&gt;$B81,$B97&lt;&gt;$B82,$B98&lt;&gt;$B83,$B99&lt;&gt;$B84,$B100&lt;&gt;$B85,$B101&lt;&gt;$B86,$B102&lt;&gt;$B87,$B103&lt;&gt;$B88),IF($B94&lt;&gt;$B79,AA79/INDEX($C78:$AJ88,2,MATCH(IF('Data-solution'!$A$3="Maximize",MAX($C89:$AI89),MIN($C89:$AI89)),$C89:$AI89,0)),AA79-INDEX($C78:$AJ88,2,MATCH(IF('Data-solution'!$A$3="Maximize",MAX($C89:$AI89),MIN($C89:$AI89)),$C89:$AI89,0))*INDEX(AA78:$AJ88,MATCH(MIN($AK78:$AK88),$AK78:$AK88,0),1)/INDEX($C78:$AJ88,MATCH(MIN($AK78:$AK88),$AK78:$AK88,0),MATCH(IF('Data-solution'!$A$3="Maximize",MAX($C89:$AI89),MIN($C89:$AI89)),$C89:$AI89,0))),AA79)</f>
        <v>-0.25</v>
      </c>
      <c r="AB94" s="1">
        <f>IF(OR($B93&lt;&gt;$B78,$B94&lt;&gt;$B79,$B95&lt;&gt;$B80,$B96&lt;&gt;$B81,$B97&lt;&gt;$B82,$B98&lt;&gt;$B83,$B99&lt;&gt;$B84,$B100&lt;&gt;$B85,$B101&lt;&gt;$B86,$B102&lt;&gt;$B87,$B103&lt;&gt;$B88),IF($B94&lt;&gt;$B79,AB79/INDEX($C78:$AJ88,2,MATCH(IF('Data-solution'!$A$3="Maximize",MAX($C89:$AI89),MIN($C89:$AI89)),$C89:$AI89,0)),AB79-INDEX($C78:$AJ88,2,MATCH(IF('Data-solution'!$A$3="Maximize",MAX($C89:$AI89),MIN($C89:$AI89)),$C89:$AI89,0))*INDEX(AB78:$AJ88,MATCH(MIN($AK78:$AK88),$AK78:$AK88,0),1)/INDEX($C78:$AJ88,MATCH(MIN($AK78:$AK88),$AK78:$AK88,0),MATCH(IF('Data-solution'!$A$3="Maximize",MAX($C89:$AI89),MIN($C89:$AI89)),$C89:$AI89,0))),AB79)</f>
        <v>-0.5</v>
      </c>
      <c r="AC94" s="1">
        <f>IF(OR($B93&lt;&gt;$B78,$B94&lt;&gt;$B79,$B95&lt;&gt;$B80,$B96&lt;&gt;$B81,$B97&lt;&gt;$B82,$B98&lt;&gt;$B83,$B99&lt;&gt;$B84,$B100&lt;&gt;$B85,$B101&lt;&gt;$B86,$B102&lt;&gt;$B87,$B103&lt;&gt;$B88),IF($B94&lt;&gt;$B79,AC79/INDEX($C78:$AJ88,2,MATCH(IF('Data-solution'!$A$3="Maximize",MAX($C89:$AI89),MIN($C89:$AI89)),$C89:$AI89,0)),AC79-INDEX($C78:$AJ88,2,MATCH(IF('Data-solution'!$A$3="Maximize",MAX($C89:$AI89),MIN($C89:$AI89)),$C89:$AI89,0))*INDEX(AC78:$AJ88,MATCH(MIN($AK78:$AK88),$AK78:$AK88,0),1)/INDEX($C78:$AJ88,MATCH(MIN($AK78:$AK88),$AK78:$AK88,0),MATCH(IF('Data-solution'!$A$3="Maximize",MAX($C89:$AI89),MIN($C89:$AI89)),$C89:$AI89,0))),AC79)</f>
        <v>0</v>
      </c>
      <c r="AD94" s="1">
        <f>IF(OR($B93&lt;&gt;$B78,$B94&lt;&gt;$B79,$B95&lt;&gt;$B80,$B96&lt;&gt;$B81,$B97&lt;&gt;$B82,$B98&lt;&gt;$B83,$B99&lt;&gt;$B84,$B100&lt;&gt;$B85,$B101&lt;&gt;$B86,$B102&lt;&gt;$B87,$B103&lt;&gt;$B88),IF($B94&lt;&gt;$B79,AD79/INDEX($C78:$AJ88,2,MATCH(IF('Data-solution'!$A$3="Maximize",MAX($C89:$AI89),MIN($C89:$AI89)),$C89:$AI89,0)),AD79-INDEX($C78:$AJ88,2,MATCH(IF('Data-solution'!$A$3="Maximize",MAX($C89:$AI89),MIN($C89:$AI89)),$C89:$AI89,0))*INDEX(AD78:$AJ88,MATCH(MIN($AK78:$AK88),$AK78:$AK88,0),1)/INDEX($C78:$AJ88,MATCH(MIN($AK78:$AK88),$AK78:$AK88,0),MATCH(IF('Data-solution'!$A$3="Maximize",MAX($C89:$AI89),MIN($C89:$AI89)),$C89:$AI89,0))),AD79)</f>
        <v>0</v>
      </c>
      <c r="AE94" s="1">
        <f>IF(OR($B93&lt;&gt;$B78,$B94&lt;&gt;$B79,$B95&lt;&gt;$B80,$B96&lt;&gt;$B81,$B97&lt;&gt;$B82,$B98&lt;&gt;$B83,$B99&lt;&gt;$B84,$B100&lt;&gt;$B85,$B101&lt;&gt;$B86,$B102&lt;&gt;$B87,$B103&lt;&gt;$B88),IF($B94&lt;&gt;$B79,AE79/INDEX($C78:$AJ88,2,MATCH(IF('Data-solution'!$A$3="Maximize",MAX($C89:$AI89),MIN($C89:$AI89)),$C89:$AI89,0)),AE79-INDEX($C78:$AJ88,2,MATCH(IF('Data-solution'!$A$3="Maximize",MAX($C89:$AI89),MIN($C89:$AI89)),$C89:$AI89,0))*INDEX(AE78:$AJ88,MATCH(MIN($AK78:$AK88),$AK78:$AK88,0),1)/INDEX($C78:$AJ88,MATCH(MIN($AK78:$AK88),$AK78:$AK88,0),MATCH(IF('Data-solution'!$A$3="Maximize",MAX($C89:$AI89),MIN($C89:$AI89)),$C89:$AI89,0))),AE79)</f>
        <v>0</v>
      </c>
      <c r="AF94" s="1">
        <f>IF(OR($B93&lt;&gt;$B78,$B94&lt;&gt;$B79,$B95&lt;&gt;$B80,$B96&lt;&gt;$B81,$B97&lt;&gt;$B82,$B98&lt;&gt;$B83,$B99&lt;&gt;$B84,$B100&lt;&gt;$B85,$B101&lt;&gt;$B86,$B102&lt;&gt;$B87,$B103&lt;&gt;$B88),IF($B94&lt;&gt;$B79,AF79/INDEX($C78:$AJ88,2,MATCH(IF('Data-solution'!$A$3="Maximize",MAX($C89:$AI89),MIN($C89:$AI89)),$C89:$AI89,0)),AF79-INDEX($C78:$AJ88,2,MATCH(IF('Data-solution'!$A$3="Maximize",MAX($C89:$AI89),MIN($C89:$AI89)),$C89:$AI89,0))*INDEX(AF78:$AJ88,MATCH(MIN($AK78:$AK88),$AK78:$AK88,0),1)/INDEX($C78:$AJ88,MATCH(MIN($AK78:$AK88),$AK78:$AK88,0),MATCH(IF('Data-solution'!$A$3="Maximize",MAX($C89:$AI89),MIN($C89:$AI89)),$C89:$AI89,0))),AF79)</f>
        <v>0</v>
      </c>
      <c r="AG94" s="1">
        <f>IF(OR($B93&lt;&gt;$B78,$B94&lt;&gt;$B79,$B95&lt;&gt;$B80,$B96&lt;&gt;$B81,$B97&lt;&gt;$B82,$B98&lt;&gt;$B83,$B99&lt;&gt;$B84,$B100&lt;&gt;$B85,$B101&lt;&gt;$B86,$B102&lt;&gt;$B87,$B103&lt;&gt;$B88),IF($B94&lt;&gt;$B79,AG79/INDEX($C78:$AJ88,2,MATCH(IF('Data-solution'!$A$3="Maximize",MAX($C89:$AI89),MIN($C89:$AI89)),$C89:$AI89,0)),AG79-INDEX($C78:$AJ88,2,MATCH(IF('Data-solution'!$A$3="Maximize",MAX($C89:$AI89),MIN($C89:$AI89)),$C89:$AI89,0))*INDEX(AG78:$AJ88,MATCH(MIN($AK78:$AK88),$AK78:$AK88,0),1)/INDEX($C78:$AJ88,MATCH(MIN($AK78:$AK88),$AK78:$AK88,0),MATCH(IF('Data-solution'!$A$3="Maximize",MAX($C89:$AI89),MIN($C89:$AI89)),$C89:$AI89,0))),AG79)</f>
        <v>0</v>
      </c>
      <c r="AH94" s="1">
        <f>IF(OR($B93&lt;&gt;$B78,$B94&lt;&gt;$B79,$B95&lt;&gt;$B80,$B96&lt;&gt;$B81,$B97&lt;&gt;$B82,$B98&lt;&gt;$B83,$B99&lt;&gt;$B84,$B100&lt;&gt;$B85,$B101&lt;&gt;$B86,$B102&lt;&gt;$B87,$B103&lt;&gt;$B88),IF($B94&lt;&gt;$B79,AH79/INDEX($C78:$AJ88,2,MATCH(IF('Data-solution'!$A$3="Maximize",MAX($C89:$AI89),MIN($C89:$AI89)),$C89:$AI89,0)),AH79-INDEX($C78:$AJ88,2,MATCH(IF('Data-solution'!$A$3="Maximize",MAX($C89:$AI89),MIN($C89:$AI89)),$C89:$AI89,0))*INDEX(AH78:$AJ88,MATCH(MIN($AK78:$AK88),$AK78:$AK88,0),1)/INDEX($C78:$AJ88,MATCH(MIN($AK78:$AK88),$AK78:$AK88,0),MATCH(IF('Data-solution'!$A$3="Maximize",MAX($C89:$AI89),MIN($C89:$AI89)),$C89:$AI89,0))),AH79)</f>
        <v>0</v>
      </c>
      <c r="AI94" s="1">
        <f>IF(OR($B93&lt;&gt;$B78,$B94&lt;&gt;$B79,$B95&lt;&gt;$B80,$B96&lt;&gt;$B81,$B97&lt;&gt;$B82,$B98&lt;&gt;$B83,$B99&lt;&gt;$B84,$B100&lt;&gt;$B85,$B101&lt;&gt;$B86,$B102&lt;&gt;$B87,$B103&lt;&gt;$B88),IF($B94&lt;&gt;$B79,AI79/INDEX($C78:$AJ88,2,MATCH(IF('Data-solution'!$A$3="Maximize",MAX($C89:$AI89),MIN($C89:$AI89)),$C89:$AI89,0)),AI79-INDEX($C78:$AJ88,2,MATCH(IF('Data-solution'!$A$3="Maximize",MAX($C89:$AI89),MIN($C89:$AI89)),$C89:$AI89,0))*INDEX(AI78:$AJ88,MATCH(MIN($AK78:$AK88),$AK78:$AK88,0),1)/INDEX($C78:$AJ88,MATCH(MIN($AK78:$AK88),$AK78:$AK88,0),MATCH(IF('Data-solution'!$A$3="Maximize",MAX($C89:$AI89),MIN($C89:$AI89)),$C89:$AI89,0))),AI79)</f>
        <v>0</v>
      </c>
      <c r="AJ94" s="1">
        <f>IF(OR($B93&lt;&gt;$B78,$B94&lt;&gt;$B79,$B95&lt;&gt;$B80,$B96&lt;&gt;$B81,$B97&lt;&gt;$B82,$B98&lt;&gt;$B83,$B99&lt;&gt;$B84,$B100&lt;&gt;$B85,$B101&lt;&gt;$B86,$B102&lt;&gt;$B87,$B103&lt;&gt;$B88),IF($B94&lt;&gt;$B79,AJ79/INDEX($C78:$AJ88,2,MATCH(IF('Data-solution'!$A$3="Maximize",MAX($C89:$AI89),MIN($C89:$AI89)),$C89:$AI89,0)),AJ79-INDEX($C78:$AJ88,2,MATCH(IF('Data-solution'!$A$3="Maximize",MAX($C89:$AI89),MIN($C89:$AI89)),$C89:$AI89,0))*INDEX(AJ78:$AJ88,MATCH(MIN($AK78:$AK88),$AK78:$AK88,0),1)/INDEX($C78:$AJ88,MATCH(MIN($AK78:$AK88),$AK78:$AK88,0),MATCH(IF('Data-solution'!$A$3="Maximize",MAX($C89:$AI89),MIN($C89:$AI89)),$C89:$AI89,0))),AJ79)</f>
        <v>300</v>
      </c>
      <c r="AK94" s="1" t="str">
        <f>IF(INDEX(C94:X94,1,MATCH(IF('Data-solution'!A$3="Maximize",MAX(C104:X104),MIN(C104:X104)),C104:X104,0))&gt;0,AJ94/INDEX(C94:X94,1,MATCH(IF('Data-solution'!A$3="Maximize",MAX(C104:X104),MIN(C104:X104)),C104:X104,0))," ")</f>
        <v xml:space="preserve"> </v>
      </c>
    </row>
    <row r="95" spans="1:37" ht="18" customHeight="1" x14ac:dyDescent="0.2">
      <c r="A95" s="1">
        <f t="shared" ref="A95" si="66">INDEX(C91:AI91,1,MATCH(B95,C92:AI92,0))</f>
        <v>350</v>
      </c>
      <c r="B95" s="2" t="str">
        <f>IF(AND('Data-solution'!A$3="Maximize",COUNTIF(C89:X89,"&gt;"&amp;0)&gt;0,AK80=MIN(AK78:AK88),COUNTIF(B93:B94,INDEX(C77:X77,1,MATCH(MAX(C89:X89),C89:X89,0)))=0),INDEX(C77:X77,1,MATCH(MAX(C89:X89),C89:X89,0)),IF(AND('Data-solution'!A$3="Minimize",COUNTIF(C89:X89,"&lt;"&amp;0)&gt;0,AK80=MIN(AK78:AK88),COUNTIF(B93:B94,INDEX(C77:X77,1,MATCH(MIN(C89:X89),C89:X89,0)))=0),INDEX(C77:X77,1,MATCH(MIN(C89:X89),C89:X89,0)),B80))</f>
        <v>X3</v>
      </c>
      <c r="C95" s="1">
        <f>IF(OR($B93&lt;&gt;$B78,$B94&lt;&gt;$B79,$B95&lt;&gt;$B80,$B96&lt;&gt;$B81,$B97&lt;&gt;$B82,$B98&lt;&gt;$B83,$B99&lt;&gt;$B84,$B100&lt;&gt;$B85,$B101&lt;&gt;$B86,$B102&lt;&gt;$B87,$B103&lt;&gt;$B88),IF($B95&lt;&gt;$B80,C80/INDEX($C78:$AJ88,3,MATCH(IF('Data-solution'!$A$3="Maximize",MAX($C89:$AI89),MIN($C89:$AI89)),$C89:$AI89,0)),C80-INDEX($C78:$AJ88,3,MATCH(IF('Data-solution'!$A$3="Maximize",MAX($C89:$AI89),MIN($C89:$AI89)),$C89:$AI89,0))*INDEX(C78:$AJ88,MATCH(MIN($AK78:$AK88),$AK78:$AK88,0),1)/INDEX($C78:$AJ88,MATCH(MIN($AK78:$AK88),$AK78:$AK88,0),MATCH(IF('Data-solution'!$A$3="Maximize",MAX($C89:$AI89),MIN($C89:$AI89)),$C89:$AI89,0))),C80)</f>
        <v>0</v>
      </c>
      <c r="D95" s="1">
        <f>IF(OR($B93&lt;&gt;$B78,$B94&lt;&gt;$B79,$B95&lt;&gt;$B80,$B96&lt;&gt;$B81,$B97&lt;&gt;$B82,$B98&lt;&gt;$B83,$B99&lt;&gt;$B84,$B100&lt;&gt;$B85,$B101&lt;&gt;$B86,$B102&lt;&gt;$B87,$B103&lt;&gt;$B88),IF($B95&lt;&gt;$B80,D80/INDEX($C78:$AJ88,3,MATCH(IF('Data-solution'!$A$3="Maximize",MAX($C89:$AI89),MIN($C89:$AI89)),$C89:$AI89,0)),D80-INDEX($C78:$AJ88,3,MATCH(IF('Data-solution'!$A$3="Maximize",MAX($C89:$AI89),MIN($C89:$AI89)),$C89:$AI89,0))*INDEX(D78:$AJ88,MATCH(MIN($AK78:$AK88),$AK78:$AK88,0),1)/INDEX($C78:$AJ88,MATCH(MIN($AK78:$AK88),$AK78:$AK88,0),MATCH(IF('Data-solution'!$A$3="Maximize",MAX($C89:$AI89),MIN($C89:$AI89)),$C89:$AI89,0))),D80)</f>
        <v>1.25</v>
      </c>
      <c r="E95" s="1">
        <f>IF(OR($B93&lt;&gt;$B78,$B94&lt;&gt;$B79,$B95&lt;&gt;$B80,$B96&lt;&gt;$B81,$B97&lt;&gt;$B82,$B98&lt;&gt;$B83,$B99&lt;&gt;$B84,$B100&lt;&gt;$B85,$B101&lt;&gt;$B86,$B102&lt;&gt;$B87,$B103&lt;&gt;$B88),IF($B95&lt;&gt;$B80,E80/INDEX($C78:$AJ88,3,MATCH(IF('Data-solution'!$A$3="Maximize",MAX($C89:$AI89),MIN($C89:$AI89)),$C89:$AI89,0)),E80-INDEX($C78:$AJ88,3,MATCH(IF('Data-solution'!$A$3="Maximize",MAX($C89:$AI89),MIN($C89:$AI89)),$C89:$AI89,0))*INDEX(E78:$AJ88,MATCH(MIN($AK78:$AK88),$AK78:$AK88,0),1)/INDEX($C78:$AJ88,MATCH(MIN($AK78:$AK88),$AK78:$AK88,0),MATCH(IF('Data-solution'!$A$3="Maximize",MAX($C89:$AI89),MIN($C89:$AI89)),$C89:$AI89,0))),E80)</f>
        <v>1</v>
      </c>
      <c r="F95" s="1">
        <f>IF(OR($B93&lt;&gt;$B78,$B94&lt;&gt;$B79,$B95&lt;&gt;$B80,$B96&lt;&gt;$B81,$B97&lt;&gt;$B82,$B98&lt;&gt;$B83,$B99&lt;&gt;$B84,$B100&lt;&gt;$B85,$B101&lt;&gt;$B86,$B102&lt;&gt;$B87,$B103&lt;&gt;$B88),IF($B95&lt;&gt;$B80,F80/INDEX($C78:$AJ88,3,MATCH(IF('Data-solution'!$A$3="Maximize",MAX($C89:$AI89),MIN($C89:$AI89)),$C89:$AI89,0)),F80-INDEX($C78:$AJ88,3,MATCH(IF('Data-solution'!$A$3="Maximize",MAX($C89:$AI89),MIN($C89:$AI89)),$C89:$AI89,0))*INDEX(F78:$AJ88,MATCH(MIN($AK78:$AK88),$AK78:$AK88,0),1)/INDEX($C78:$AJ88,MATCH(MIN($AK78:$AK88),$AK78:$AK88,0),MATCH(IF('Data-solution'!$A$3="Maximize",MAX($C89:$AI89),MIN($C89:$AI89)),$C89:$AI89,0))),F80)</f>
        <v>0</v>
      </c>
      <c r="G95" s="1">
        <f>IF(OR($B93&lt;&gt;$B78,$B94&lt;&gt;$B79,$B95&lt;&gt;$B80,$B96&lt;&gt;$B81,$B97&lt;&gt;$B82,$B98&lt;&gt;$B83,$B99&lt;&gt;$B84,$B100&lt;&gt;$B85,$B101&lt;&gt;$B86,$B102&lt;&gt;$B87,$B103&lt;&gt;$B88),IF($B95&lt;&gt;$B80,G80/INDEX($C78:$AJ88,3,MATCH(IF('Data-solution'!$A$3="Maximize",MAX($C89:$AI89),MIN($C89:$AI89)),$C89:$AI89,0)),G80-INDEX($C78:$AJ88,3,MATCH(IF('Data-solution'!$A$3="Maximize",MAX($C89:$AI89),MIN($C89:$AI89)),$C89:$AI89,0))*INDEX(G78:$AJ88,MATCH(MIN($AK78:$AK88),$AK78:$AK88,0),1)/INDEX($C78:$AJ88,MATCH(MIN($AK78:$AK88),$AK78:$AK88,0),MATCH(IF('Data-solution'!$A$3="Maximize",MAX($C89:$AI89),MIN($C89:$AI89)),$C89:$AI89,0))),G80)</f>
        <v>0</v>
      </c>
      <c r="H95" s="1">
        <f>IF(OR($B93&lt;&gt;$B78,$B94&lt;&gt;$B79,$B95&lt;&gt;$B80,$B96&lt;&gt;$B81,$B97&lt;&gt;$B82,$B98&lt;&gt;$B83,$B99&lt;&gt;$B84,$B100&lt;&gt;$B85,$B101&lt;&gt;$B86,$B102&lt;&gt;$B87,$B103&lt;&gt;$B88),IF($B95&lt;&gt;$B80,H80/INDEX($C78:$AJ88,3,MATCH(IF('Data-solution'!$A$3="Maximize",MAX($C89:$AI89),MIN($C89:$AI89)),$C89:$AI89,0)),H80-INDEX($C78:$AJ88,3,MATCH(IF('Data-solution'!$A$3="Maximize",MAX($C89:$AI89),MIN($C89:$AI89)),$C89:$AI89,0))*INDEX(H78:$AJ88,MATCH(MIN($AK78:$AK88),$AK78:$AK88,0),1)/INDEX($C78:$AJ88,MATCH(MIN($AK78:$AK88),$AK78:$AK88,0),MATCH(IF('Data-solution'!$A$3="Maximize",MAX($C89:$AI89),MIN($C89:$AI89)),$C89:$AI89,0))),H80)</f>
        <v>0</v>
      </c>
      <c r="I95" s="1">
        <f>IF(OR($B93&lt;&gt;$B78,$B94&lt;&gt;$B79,$B95&lt;&gt;$B80,$B96&lt;&gt;$B81,$B97&lt;&gt;$B82,$B98&lt;&gt;$B83,$B99&lt;&gt;$B84,$B100&lt;&gt;$B85,$B101&lt;&gt;$B86,$B102&lt;&gt;$B87,$B103&lt;&gt;$B88),IF($B95&lt;&gt;$B80,I80/INDEX($C78:$AJ88,3,MATCH(IF('Data-solution'!$A$3="Maximize",MAX($C89:$AI89),MIN($C89:$AI89)),$C89:$AI89,0)),I80-INDEX($C78:$AJ88,3,MATCH(IF('Data-solution'!$A$3="Maximize",MAX($C89:$AI89),MIN($C89:$AI89)),$C89:$AI89,0))*INDEX(I78:$AJ88,MATCH(MIN($AK78:$AK88),$AK78:$AK88,0),1)/INDEX($C78:$AJ88,MATCH(MIN($AK78:$AK88),$AK78:$AK88,0),MATCH(IF('Data-solution'!$A$3="Maximize",MAX($C89:$AI89),MIN($C89:$AI89)),$C89:$AI89,0))),I80)</f>
        <v>0</v>
      </c>
      <c r="J95" s="1">
        <f>IF(OR($B93&lt;&gt;$B78,$B94&lt;&gt;$B79,$B95&lt;&gt;$B80,$B96&lt;&gt;$B81,$B97&lt;&gt;$B82,$B98&lt;&gt;$B83,$B99&lt;&gt;$B84,$B100&lt;&gt;$B85,$B101&lt;&gt;$B86,$B102&lt;&gt;$B87,$B103&lt;&gt;$B88),IF($B95&lt;&gt;$B80,J80/INDEX($C78:$AJ88,3,MATCH(IF('Data-solution'!$A$3="Maximize",MAX($C89:$AI89),MIN($C89:$AI89)),$C89:$AI89,0)),J80-INDEX($C78:$AJ88,3,MATCH(IF('Data-solution'!$A$3="Maximize",MAX($C89:$AI89),MIN($C89:$AI89)),$C89:$AI89,0))*INDEX(J78:$AJ88,MATCH(MIN($AK78:$AK88),$AK78:$AK88,0),1)/INDEX($C78:$AJ88,MATCH(MIN($AK78:$AK88),$AK78:$AK88,0),MATCH(IF('Data-solution'!$A$3="Maximize",MAX($C89:$AI89),MIN($C89:$AI89)),$C89:$AI89,0))),J80)</f>
        <v>0</v>
      </c>
      <c r="K95" s="1">
        <f>IF(OR($B93&lt;&gt;$B78,$B94&lt;&gt;$B79,$B95&lt;&gt;$B80,$B96&lt;&gt;$B81,$B97&lt;&gt;$B82,$B98&lt;&gt;$B83,$B99&lt;&gt;$B84,$B100&lt;&gt;$B85,$B101&lt;&gt;$B86,$B102&lt;&gt;$B87,$B103&lt;&gt;$B88),IF($B95&lt;&gt;$B80,K80/INDEX($C78:$AJ88,3,MATCH(IF('Data-solution'!$A$3="Maximize",MAX($C89:$AI89),MIN($C89:$AI89)),$C89:$AI89,0)),K80-INDEX($C78:$AJ88,3,MATCH(IF('Data-solution'!$A$3="Maximize",MAX($C89:$AI89),MIN($C89:$AI89)),$C89:$AI89,0))*INDEX(K78:$AJ88,MATCH(MIN($AK78:$AK88),$AK78:$AK88,0),1)/INDEX($C78:$AJ88,MATCH(MIN($AK78:$AK88),$AK78:$AK88,0),MATCH(IF('Data-solution'!$A$3="Maximize",MAX($C89:$AI89),MIN($C89:$AI89)),$C89:$AI89,0))),K80)</f>
        <v>0</v>
      </c>
      <c r="L95" s="1">
        <f>IF(OR($B93&lt;&gt;$B78,$B94&lt;&gt;$B79,$B95&lt;&gt;$B80,$B96&lt;&gt;$B81,$B97&lt;&gt;$B82,$B98&lt;&gt;$B83,$B99&lt;&gt;$B84,$B100&lt;&gt;$B85,$B101&lt;&gt;$B86,$B102&lt;&gt;$B87,$B103&lt;&gt;$B88),IF($B95&lt;&gt;$B80,L80/INDEX($C78:$AJ88,3,MATCH(IF('Data-solution'!$A$3="Maximize",MAX($C89:$AI89),MIN($C89:$AI89)),$C89:$AI89,0)),L80-INDEX($C78:$AJ88,3,MATCH(IF('Data-solution'!$A$3="Maximize",MAX($C89:$AI89),MIN($C89:$AI89)),$C89:$AI89,0))*INDEX(L78:$AJ88,MATCH(MIN($AK78:$AK88),$AK78:$AK88,0),1)/INDEX($C78:$AJ88,MATCH(MIN($AK78:$AK88),$AK78:$AK88,0),MATCH(IF('Data-solution'!$A$3="Maximize",MAX($C89:$AI89),MIN($C89:$AI89)),$C89:$AI89,0))),L80)</f>
        <v>0</v>
      </c>
      <c r="M95" s="1">
        <f>IF(OR($B93&lt;&gt;$B78,$B94&lt;&gt;$B79,$B95&lt;&gt;$B80,$B96&lt;&gt;$B81,$B97&lt;&gt;$B82,$B98&lt;&gt;$B83,$B99&lt;&gt;$B84,$B100&lt;&gt;$B85,$B101&lt;&gt;$B86,$B102&lt;&gt;$B87,$B103&lt;&gt;$B88),IF($B95&lt;&gt;$B80,M80/INDEX($C78:$AJ88,3,MATCH(IF('Data-solution'!$A$3="Maximize",MAX($C89:$AI89),MIN($C89:$AI89)),$C89:$AI89,0)),M80-INDEX($C78:$AJ88,3,MATCH(IF('Data-solution'!$A$3="Maximize",MAX($C89:$AI89),MIN($C89:$AI89)),$C89:$AI89,0))*INDEX(M78:$AJ88,MATCH(MIN($AK78:$AK88),$AK78:$AK88,0),1)/INDEX($C78:$AJ88,MATCH(MIN($AK78:$AK88),$AK78:$AK88,0),MATCH(IF('Data-solution'!$A$3="Maximize",MAX($C89:$AI89),MIN($C89:$AI89)),$C89:$AI89,0))),M80)</f>
        <v>0</v>
      </c>
      <c r="N95" s="1">
        <f>IF(OR($B93&lt;&gt;$B78,$B94&lt;&gt;$B79,$B95&lt;&gt;$B80,$B96&lt;&gt;$B81,$B97&lt;&gt;$B82,$B98&lt;&gt;$B83,$B99&lt;&gt;$B84,$B100&lt;&gt;$B85,$B101&lt;&gt;$B86,$B102&lt;&gt;$B87,$B103&lt;&gt;$B88),IF($B95&lt;&gt;$B80,N80/INDEX($C78:$AJ88,3,MATCH(IF('Data-solution'!$A$3="Maximize",MAX($C89:$AI89),MIN($C89:$AI89)),$C89:$AI89,0)),N80-INDEX($C78:$AJ88,3,MATCH(IF('Data-solution'!$A$3="Maximize",MAX($C89:$AI89),MIN($C89:$AI89)),$C89:$AI89,0))*INDEX(N78:$AJ88,MATCH(MIN($AK78:$AK88),$AK78:$AK88,0),1)/INDEX($C78:$AJ88,MATCH(MIN($AK78:$AK88),$AK78:$AK88,0),MATCH(IF('Data-solution'!$A$3="Maximize",MAX($C89:$AI89),MIN($C89:$AI89)),$C89:$AI89,0))),N80)</f>
        <v>0</v>
      </c>
      <c r="O95" s="1">
        <f>IF(OR($B93&lt;&gt;$B78,$B94&lt;&gt;$B79,$B95&lt;&gt;$B80,$B96&lt;&gt;$B81,$B97&lt;&gt;$B82,$B98&lt;&gt;$B83,$B99&lt;&gt;$B84,$B100&lt;&gt;$B85,$B101&lt;&gt;$B86,$B102&lt;&gt;$B87,$B103&lt;&gt;$B88),IF($B95&lt;&gt;$B80,O80/INDEX($C78:$AJ88,3,MATCH(IF('Data-solution'!$A$3="Maximize",MAX($C89:$AI89),MIN($C89:$AI89)),$C89:$AI89,0)),O80-INDEX($C78:$AJ88,3,MATCH(IF('Data-solution'!$A$3="Maximize",MAX($C89:$AI89),MIN($C89:$AI89)),$C89:$AI89,0))*INDEX(O78:$AJ88,MATCH(MIN($AK78:$AK88),$AK78:$AK88,0),1)/INDEX($C78:$AJ88,MATCH(MIN($AK78:$AK88),$AK78:$AK88,0),MATCH(IF('Data-solution'!$A$3="Maximize",MAX($C89:$AI89),MIN($C89:$AI89)),$C89:$AI89,0))),O80)</f>
        <v>0</v>
      </c>
      <c r="P95" s="1">
        <f>IF(OR($B93&lt;&gt;$B78,$B94&lt;&gt;$B79,$B95&lt;&gt;$B80,$B96&lt;&gt;$B81,$B97&lt;&gt;$B82,$B98&lt;&gt;$B83,$B99&lt;&gt;$B84,$B100&lt;&gt;$B85,$B101&lt;&gt;$B86,$B102&lt;&gt;$B87,$B103&lt;&gt;$B88),IF($B95&lt;&gt;$B80,P80/INDEX($C78:$AJ88,3,MATCH(IF('Data-solution'!$A$3="Maximize",MAX($C89:$AI89),MIN($C89:$AI89)),$C89:$AI89,0)),P80-INDEX($C78:$AJ88,3,MATCH(IF('Data-solution'!$A$3="Maximize",MAX($C89:$AI89),MIN($C89:$AI89)),$C89:$AI89,0))*INDEX(P78:$AJ88,MATCH(MIN($AK78:$AK88),$AK78:$AK88,0),1)/INDEX($C78:$AJ88,MATCH(MIN($AK78:$AK88),$AK78:$AK88,0),MATCH(IF('Data-solution'!$A$3="Maximize",MAX($C89:$AI89),MIN($C89:$AI89)),$C89:$AI89,0))),P80)</f>
        <v>0.24999999999999997</v>
      </c>
      <c r="Q95" s="1">
        <f>IF(OR($B93&lt;&gt;$B78,$B94&lt;&gt;$B79,$B95&lt;&gt;$B80,$B96&lt;&gt;$B81,$B97&lt;&gt;$B82,$B98&lt;&gt;$B83,$B99&lt;&gt;$B84,$B100&lt;&gt;$B85,$B101&lt;&gt;$B86,$B102&lt;&gt;$B87,$B103&lt;&gt;$B88),IF($B95&lt;&gt;$B80,Q80/INDEX($C78:$AJ88,3,MATCH(IF('Data-solution'!$A$3="Maximize",MAX($C89:$AI89),MIN($C89:$AI89)),$C89:$AI89,0)),Q80-INDEX($C78:$AJ88,3,MATCH(IF('Data-solution'!$A$3="Maximize",MAX($C89:$AI89),MIN($C89:$AI89)),$C89:$AI89,0))*INDEX(Q78:$AJ88,MATCH(MIN($AK78:$AK88),$AK78:$AK88,0),1)/INDEX($C78:$AJ88,MATCH(MIN($AK78:$AK88),$AK78:$AK88,0),MATCH(IF('Data-solution'!$A$3="Maximize",MAX($C89:$AI89),MIN($C89:$AI89)),$C89:$AI89,0))),Q80)</f>
        <v>-0.49999999999999989</v>
      </c>
      <c r="R95" s="1">
        <f>IF(OR($B93&lt;&gt;$B78,$B94&lt;&gt;$B79,$B95&lt;&gt;$B80,$B96&lt;&gt;$B81,$B97&lt;&gt;$B82,$B98&lt;&gt;$B83,$B99&lt;&gt;$B84,$B100&lt;&gt;$B85,$B101&lt;&gt;$B86,$B102&lt;&gt;$B87,$B103&lt;&gt;$B88),IF($B95&lt;&gt;$B80,R80/INDEX($C78:$AJ88,3,MATCH(IF('Data-solution'!$A$3="Maximize",MAX($C89:$AI89),MIN($C89:$AI89)),$C89:$AI89,0)),R80-INDEX($C78:$AJ88,3,MATCH(IF('Data-solution'!$A$3="Maximize",MAX($C89:$AI89),MIN($C89:$AI89)),$C89:$AI89,0))*INDEX(R78:$AJ88,MATCH(MIN($AK78:$AK88),$AK78:$AK88,0),1)/INDEX($C78:$AJ88,MATCH(MIN($AK78:$AK88),$AK78:$AK88,0),MATCH(IF('Data-solution'!$A$3="Maximize",MAX($C89:$AI89),MIN($C89:$AI89)),$C89:$AI89,0))),R80)</f>
        <v>0</v>
      </c>
      <c r="S95" s="1">
        <f>IF(OR($B93&lt;&gt;$B78,$B94&lt;&gt;$B79,$B95&lt;&gt;$B80,$B96&lt;&gt;$B81,$B97&lt;&gt;$B82,$B98&lt;&gt;$B83,$B99&lt;&gt;$B84,$B100&lt;&gt;$B85,$B101&lt;&gt;$B86,$B102&lt;&gt;$B87,$B103&lt;&gt;$B88),IF($B95&lt;&gt;$B80,S80/INDEX($C78:$AJ88,3,MATCH(IF('Data-solution'!$A$3="Maximize",MAX($C89:$AI89),MIN($C89:$AI89)),$C89:$AI89,0)),S80-INDEX($C78:$AJ88,3,MATCH(IF('Data-solution'!$A$3="Maximize",MAX($C89:$AI89),MIN($C89:$AI89)),$C89:$AI89,0))*INDEX(S78:$AJ88,MATCH(MIN($AK78:$AK88),$AK78:$AK88,0),1)/INDEX($C78:$AJ88,MATCH(MIN($AK78:$AK88),$AK78:$AK88,0),MATCH(IF('Data-solution'!$A$3="Maximize",MAX($C89:$AI89),MIN($C89:$AI89)),$C89:$AI89,0))),S80)</f>
        <v>0</v>
      </c>
      <c r="T95" s="1">
        <f>IF(OR($B93&lt;&gt;$B78,$B94&lt;&gt;$B79,$B95&lt;&gt;$B80,$B96&lt;&gt;$B81,$B97&lt;&gt;$B82,$B98&lt;&gt;$B83,$B99&lt;&gt;$B84,$B100&lt;&gt;$B85,$B101&lt;&gt;$B86,$B102&lt;&gt;$B87,$B103&lt;&gt;$B88),IF($B95&lt;&gt;$B80,T80/INDEX($C78:$AJ88,3,MATCH(IF('Data-solution'!$A$3="Maximize",MAX($C89:$AI89),MIN($C89:$AI89)),$C89:$AI89,0)),T80-INDEX($C78:$AJ88,3,MATCH(IF('Data-solution'!$A$3="Maximize",MAX($C89:$AI89),MIN($C89:$AI89)),$C89:$AI89,0))*INDEX(T78:$AJ88,MATCH(MIN($AK78:$AK88),$AK78:$AK88,0),1)/INDEX($C78:$AJ88,MATCH(MIN($AK78:$AK88),$AK78:$AK88,0),MATCH(IF('Data-solution'!$A$3="Maximize",MAX($C89:$AI89),MIN($C89:$AI89)),$C89:$AI89,0))),T80)</f>
        <v>0</v>
      </c>
      <c r="U95" s="1">
        <f>IF(OR($B93&lt;&gt;$B78,$B94&lt;&gt;$B79,$B95&lt;&gt;$B80,$B96&lt;&gt;$B81,$B97&lt;&gt;$B82,$B98&lt;&gt;$B83,$B99&lt;&gt;$B84,$B100&lt;&gt;$B85,$B101&lt;&gt;$B86,$B102&lt;&gt;$B87,$B103&lt;&gt;$B88),IF($B95&lt;&gt;$B80,U80/INDEX($C78:$AJ88,3,MATCH(IF('Data-solution'!$A$3="Maximize",MAX($C89:$AI89),MIN($C89:$AI89)),$C89:$AI89,0)),U80-INDEX($C78:$AJ88,3,MATCH(IF('Data-solution'!$A$3="Maximize",MAX($C89:$AI89),MIN($C89:$AI89)),$C89:$AI89,0))*INDEX(U78:$AJ88,MATCH(MIN($AK78:$AK88),$AK78:$AK88,0),1)/INDEX($C78:$AJ88,MATCH(MIN($AK78:$AK88),$AK78:$AK88,0),MATCH(IF('Data-solution'!$A$3="Maximize",MAX($C89:$AI89),MIN($C89:$AI89)),$C89:$AI89,0))),U80)</f>
        <v>0</v>
      </c>
      <c r="V95" s="1">
        <f>IF(OR($B93&lt;&gt;$B78,$B94&lt;&gt;$B79,$B95&lt;&gt;$B80,$B96&lt;&gt;$B81,$B97&lt;&gt;$B82,$B98&lt;&gt;$B83,$B99&lt;&gt;$B84,$B100&lt;&gt;$B85,$B101&lt;&gt;$B86,$B102&lt;&gt;$B87,$B103&lt;&gt;$B88),IF($B95&lt;&gt;$B80,V80/INDEX($C78:$AJ88,3,MATCH(IF('Data-solution'!$A$3="Maximize",MAX($C89:$AI89),MIN($C89:$AI89)),$C89:$AI89,0)),V80-INDEX($C78:$AJ88,3,MATCH(IF('Data-solution'!$A$3="Maximize",MAX($C89:$AI89),MIN($C89:$AI89)),$C89:$AI89,0))*INDEX(V78:$AJ88,MATCH(MIN($AK78:$AK88),$AK78:$AK88,0),1)/INDEX($C78:$AJ88,MATCH(MIN($AK78:$AK88),$AK78:$AK88,0),MATCH(IF('Data-solution'!$A$3="Maximize",MAX($C89:$AI89),MIN($C89:$AI89)),$C89:$AI89,0))),V80)</f>
        <v>0</v>
      </c>
      <c r="W95" s="1">
        <f>IF(OR($B93&lt;&gt;$B78,$B94&lt;&gt;$B79,$B95&lt;&gt;$B80,$B96&lt;&gt;$B81,$B97&lt;&gt;$B82,$B98&lt;&gt;$B83,$B99&lt;&gt;$B84,$B100&lt;&gt;$B85,$B101&lt;&gt;$B86,$B102&lt;&gt;$B87,$B103&lt;&gt;$B88),IF($B95&lt;&gt;$B80,W80/INDEX($C78:$AJ88,3,MATCH(IF('Data-solution'!$A$3="Maximize",MAX($C89:$AI89),MIN($C89:$AI89)),$C89:$AI89,0)),W80-INDEX($C78:$AJ88,3,MATCH(IF('Data-solution'!$A$3="Maximize",MAX($C89:$AI89),MIN($C89:$AI89)),$C89:$AI89,0))*INDEX(W78:$AJ88,MATCH(MIN($AK78:$AK88),$AK78:$AK88,0),1)/INDEX($C78:$AJ88,MATCH(MIN($AK78:$AK88),$AK78:$AK88,0),MATCH(IF('Data-solution'!$A$3="Maximize",MAX($C89:$AI89),MIN($C89:$AI89)),$C89:$AI89,0))),W80)</f>
        <v>0</v>
      </c>
      <c r="X95" s="1">
        <f>IF(OR($B93&lt;&gt;$B78,$B94&lt;&gt;$B79,$B95&lt;&gt;$B80,$B96&lt;&gt;$B81,$B97&lt;&gt;$B82,$B98&lt;&gt;$B83,$B99&lt;&gt;$B84,$B100&lt;&gt;$B85,$B101&lt;&gt;$B86,$B102&lt;&gt;$B87,$B103&lt;&gt;$B88),IF($B95&lt;&gt;$B80,X80/INDEX($C78:$AJ88,3,MATCH(IF('Data-solution'!$A$3="Maximize",MAX($C89:$AI89),MIN($C89:$AI89)),$C89:$AI89,0)),X80-INDEX($C78:$AJ88,3,MATCH(IF('Data-solution'!$A$3="Maximize",MAX($C89:$AI89),MIN($C89:$AI89)),$C89:$AI89,0))*INDEX(X78:$AJ88,MATCH(MIN($AK78:$AK88),$AK78:$AK88,0),1)/INDEX($C78:$AJ88,MATCH(MIN($AK78:$AK88),$AK78:$AK88,0),MATCH(IF('Data-solution'!$A$3="Maximize",MAX($C89:$AI89),MIN($C89:$AI89)),$C89:$AI89,0))),X80)</f>
        <v>0</v>
      </c>
      <c r="Y95" s="1">
        <f>IF(OR($B93&lt;&gt;$B78,$B94&lt;&gt;$B79,$B95&lt;&gt;$B80,$B96&lt;&gt;$B81,$B97&lt;&gt;$B82,$B98&lt;&gt;$B83,$B99&lt;&gt;$B84,$B100&lt;&gt;$B85,$B101&lt;&gt;$B86,$B102&lt;&gt;$B87,$B103&lt;&gt;$B88),IF($B95&lt;&gt;$B80,Y80/INDEX($C78:$AJ88,3,MATCH(IF('Data-solution'!$A$3="Maximize",MAX($C89:$AI89),MIN($C89:$AI89)),$C89:$AI89,0)),Y80-INDEX($C78:$AJ88,3,MATCH(IF('Data-solution'!$A$3="Maximize",MAX($C89:$AI89),MIN($C89:$AI89)),$C89:$AI89,0))*INDEX(Y78:$AJ88,MATCH(MIN($AK78:$AK88),$AK78:$AK88,0),1)/INDEX($C78:$AJ88,MATCH(MIN($AK78:$AK88),$AK78:$AK88,0),MATCH(IF('Data-solution'!$A$3="Maximize",MAX($C89:$AI89),MIN($C89:$AI89)),$C89:$AI89,0))),Y80)</f>
        <v>0</v>
      </c>
      <c r="Z95" s="1">
        <f>IF(OR($B93&lt;&gt;$B78,$B94&lt;&gt;$B79,$B95&lt;&gt;$B80,$B96&lt;&gt;$B81,$B97&lt;&gt;$B82,$B98&lt;&gt;$B83,$B99&lt;&gt;$B84,$B100&lt;&gt;$B85,$B101&lt;&gt;$B86,$B102&lt;&gt;$B87,$B103&lt;&gt;$B88),IF($B95&lt;&gt;$B80,Z80/INDEX($C78:$AJ88,3,MATCH(IF('Data-solution'!$A$3="Maximize",MAX($C89:$AI89),MIN($C89:$AI89)),$C89:$AI89,0)),Z80-INDEX($C78:$AJ88,3,MATCH(IF('Data-solution'!$A$3="Maximize",MAX($C89:$AI89),MIN($C89:$AI89)),$C89:$AI89,0))*INDEX(Z78:$AJ88,MATCH(MIN($AK78:$AK88),$AK78:$AK88,0),1)/INDEX($C78:$AJ88,MATCH(MIN($AK78:$AK88),$AK78:$AK88,0),MATCH(IF('Data-solution'!$A$3="Maximize",MAX($C89:$AI89),MIN($C89:$AI89)),$C89:$AI89,0))),Z80)</f>
        <v>0</v>
      </c>
      <c r="AA95" s="1">
        <f>IF(OR($B93&lt;&gt;$B78,$B94&lt;&gt;$B79,$B95&lt;&gt;$B80,$B96&lt;&gt;$B81,$B97&lt;&gt;$B82,$B98&lt;&gt;$B83,$B99&lt;&gt;$B84,$B100&lt;&gt;$B85,$B101&lt;&gt;$B86,$B102&lt;&gt;$B87,$B103&lt;&gt;$B88),IF($B95&lt;&gt;$B80,AA80/INDEX($C78:$AJ88,3,MATCH(IF('Data-solution'!$A$3="Maximize",MAX($C89:$AI89),MIN($C89:$AI89)),$C89:$AI89,0)),AA80-INDEX($C78:$AJ88,3,MATCH(IF('Data-solution'!$A$3="Maximize",MAX($C89:$AI89),MIN($C89:$AI89)),$C89:$AI89,0))*INDEX(AA78:$AJ88,MATCH(MIN($AK78:$AK88),$AK78:$AK88,0),1)/INDEX($C78:$AJ88,MATCH(MIN($AK78:$AK88),$AK78:$AK88,0),MATCH(IF('Data-solution'!$A$3="Maximize",MAX($C89:$AI89),MIN($C89:$AI89)),$C89:$AI89,0))),AA80)</f>
        <v>0.24999999999999997</v>
      </c>
      <c r="AB95" s="1">
        <f>IF(OR($B93&lt;&gt;$B78,$B94&lt;&gt;$B79,$B95&lt;&gt;$B80,$B96&lt;&gt;$B81,$B97&lt;&gt;$B82,$B98&lt;&gt;$B83,$B99&lt;&gt;$B84,$B100&lt;&gt;$B85,$B101&lt;&gt;$B86,$B102&lt;&gt;$B87,$B103&lt;&gt;$B88),IF($B95&lt;&gt;$B80,AB80/INDEX($C78:$AJ88,3,MATCH(IF('Data-solution'!$A$3="Maximize",MAX($C89:$AI89),MIN($C89:$AI89)),$C89:$AI89,0)),AB80-INDEX($C78:$AJ88,3,MATCH(IF('Data-solution'!$A$3="Maximize",MAX($C89:$AI89),MIN($C89:$AI89)),$C89:$AI89,0))*INDEX(AB78:$AJ88,MATCH(MIN($AK78:$AK88),$AK78:$AK88,0),1)/INDEX($C78:$AJ88,MATCH(MIN($AK78:$AK88),$AK78:$AK88,0),MATCH(IF('Data-solution'!$A$3="Maximize",MAX($C89:$AI89),MIN($C89:$AI89)),$C89:$AI89,0))),AB80)</f>
        <v>-0.49999999999999989</v>
      </c>
      <c r="AC95" s="1">
        <f>IF(OR($B93&lt;&gt;$B78,$B94&lt;&gt;$B79,$B95&lt;&gt;$B80,$B96&lt;&gt;$B81,$B97&lt;&gt;$B82,$B98&lt;&gt;$B83,$B99&lt;&gt;$B84,$B100&lt;&gt;$B85,$B101&lt;&gt;$B86,$B102&lt;&gt;$B87,$B103&lt;&gt;$B88),IF($B95&lt;&gt;$B80,AC80/INDEX($C78:$AJ88,3,MATCH(IF('Data-solution'!$A$3="Maximize",MAX($C89:$AI89),MIN($C89:$AI89)),$C89:$AI89,0)),AC80-INDEX($C78:$AJ88,3,MATCH(IF('Data-solution'!$A$3="Maximize",MAX($C89:$AI89),MIN($C89:$AI89)),$C89:$AI89,0))*INDEX(AC78:$AJ88,MATCH(MIN($AK78:$AK88),$AK78:$AK88,0),1)/INDEX($C78:$AJ88,MATCH(MIN($AK78:$AK88),$AK78:$AK88,0),MATCH(IF('Data-solution'!$A$3="Maximize",MAX($C89:$AI89),MIN($C89:$AI89)),$C89:$AI89,0))),AC80)</f>
        <v>0</v>
      </c>
      <c r="AD95" s="1">
        <f>IF(OR($B93&lt;&gt;$B78,$B94&lt;&gt;$B79,$B95&lt;&gt;$B80,$B96&lt;&gt;$B81,$B97&lt;&gt;$B82,$B98&lt;&gt;$B83,$B99&lt;&gt;$B84,$B100&lt;&gt;$B85,$B101&lt;&gt;$B86,$B102&lt;&gt;$B87,$B103&lt;&gt;$B88),IF($B95&lt;&gt;$B80,AD80/INDEX($C78:$AJ88,3,MATCH(IF('Data-solution'!$A$3="Maximize",MAX($C89:$AI89),MIN($C89:$AI89)),$C89:$AI89,0)),AD80-INDEX($C78:$AJ88,3,MATCH(IF('Data-solution'!$A$3="Maximize",MAX($C89:$AI89),MIN($C89:$AI89)),$C89:$AI89,0))*INDEX(AD78:$AJ88,MATCH(MIN($AK78:$AK88),$AK78:$AK88,0),1)/INDEX($C78:$AJ88,MATCH(MIN($AK78:$AK88),$AK78:$AK88,0),MATCH(IF('Data-solution'!$A$3="Maximize",MAX($C89:$AI89),MIN($C89:$AI89)),$C89:$AI89,0))),AD80)</f>
        <v>0</v>
      </c>
      <c r="AE95" s="1">
        <f>IF(OR($B93&lt;&gt;$B78,$B94&lt;&gt;$B79,$B95&lt;&gt;$B80,$B96&lt;&gt;$B81,$B97&lt;&gt;$B82,$B98&lt;&gt;$B83,$B99&lt;&gt;$B84,$B100&lt;&gt;$B85,$B101&lt;&gt;$B86,$B102&lt;&gt;$B87,$B103&lt;&gt;$B88),IF($B95&lt;&gt;$B80,AE80/INDEX($C78:$AJ88,3,MATCH(IF('Data-solution'!$A$3="Maximize",MAX($C89:$AI89),MIN($C89:$AI89)),$C89:$AI89,0)),AE80-INDEX($C78:$AJ88,3,MATCH(IF('Data-solution'!$A$3="Maximize",MAX($C89:$AI89),MIN($C89:$AI89)),$C89:$AI89,0))*INDEX(AE78:$AJ88,MATCH(MIN($AK78:$AK88),$AK78:$AK88,0),1)/INDEX($C78:$AJ88,MATCH(MIN($AK78:$AK88),$AK78:$AK88,0),MATCH(IF('Data-solution'!$A$3="Maximize",MAX($C89:$AI89),MIN($C89:$AI89)),$C89:$AI89,0))),AE80)</f>
        <v>0</v>
      </c>
      <c r="AF95" s="1">
        <f>IF(OR($B93&lt;&gt;$B78,$B94&lt;&gt;$B79,$B95&lt;&gt;$B80,$B96&lt;&gt;$B81,$B97&lt;&gt;$B82,$B98&lt;&gt;$B83,$B99&lt;&gt;$B84,$B100&lt;&gt;$B85,$B101&lt;&gt;$B86,$B102&lt;&gt;$B87,$B103&lt;&gt;$B88),IF($B95&lt;&gt;$B80,AF80/INDEX($C78:$AJ88,3,MATCH(IF('Data-solution'!$A$3="Maximize",MAX($C89:$AI89),MIN($C89:$AI89)),$C89:$AI89,0)),AF80-INDEX($C78:$AJ88,3,MATCH(IF('Data-solution'!$A$3="Maximize",MAX($C89:$AI89),MIN($C89:$AI89)),$C89:$AI89,0))*INDEX(AF78:$AJ88,MATCH(MIN($AK78:$AK88),$AK78:$AK88,0),1)/INDEX($C78:$AJ88,MATCH(MIN($AK78:$AK88),$AK78:$AK88,0),MATCH(IF('Data-solution'!$A$3="Maximize",MAX($C89:$AI89),MIN($C89:$AI89)),$C89:$AI89,0))),AF80)</f>
        <v>0</v>
      </c>
      <c r="AG95" s="1">
        <f>IF(OR($B93&lt;&gt;$B78,$B94&lt;&gt;$B79,$B95&lt;&gt;$B80,$B96&lt;&gt;$B81,$B97&lt;&gt;$B82,$B98&lt;&gt;$B83,$B99&lt;&gt;$B84,$B100&lt;&gt;$B85,$B101&lt;&gt;$B86,$B102&lt;&gt;$B87,$B103&lt;&gt;$B88),IF($B95&lt;&gt;$B80,AG80/INDEX($C78:$AJ88,3,MATCH(IF('Data-solution'!$A$3="Maximize",MAX($C89:$AI89),MIN($C89:$AI89)),$C89:$AI89,0)),AG80-INDEX($C78:$AJ88,3,MATCH(IF('Data-solution'!$A$3="Maximize",MAX($C89:$AI89),MIN($C89:$AI89)),$C89:$AI89,0))*INDEX(AG78:$AJ88,MATCH(MIN($AK78:$AK88),$AK78:$AK88,0),1)/INDEX($C78:$AJ88,MATCH(MIN($AK78:$AK88),$AK78:$AK88,0),MATCH(IF('Data-solution'!$A$3="Maximize",MAX($C89:$AI89),MIN($C89:$AI89)),$C89:$AI89,0))),AG80)</f>
        <v>0</v>
      </c>
      <c r="AH95" s="1">
        <f>IF(OR($B93&lt;&gt;$B78,$B94&lt;&gt;$B79,$B95&lt;&gt;$B80,$B96&lt;&gt;$B81,$B97&lt;&gt;$B82,$B98&lt;&gt;$B83,$B99&lt;&gt;$B84,$B100&lt;&gt;$B85,$B101&lt;&gt;$B86,$B102&lt;&gt;$B87,$B103&lt;&gt;$B88),IF($B95&lt;&gt;$B80,AH80/INDEX($C78:$AJ88,3,MATCH(IF('Data-solution'!$A$3="Maximize",MAX($C89:$AI89),MIN($C89:$AI89)),$C89:$AI89,0)),AH80-INDEX($C78:$AJ88,3,MATCH(IF('Data-solution'!$A$3="Maximize",MAX($C89:$AI89),MIN($C89:$AI89)),$C89:$AI89,0))*INDEX(AH78:$AJ88,MATCH(MIN($AK78:$AK88),$AK78:$AK88,0),1)/INDEX($C78:$AJ88,MATCH(MIN($AK78:$AK88),$AK78:$AK88,0),MATCH(IF('Data-solution'!$A$3="Maximize",MAX($C89:$AI89),MIN($C89:$AI89)),$C89:$AI89,0))),AH80)</f>
        <v>0</v>
      </c>
      <c r="AI95" s="1">
        <f>IF(OR($B93&lt;&gt;$B78,$B94&lt;&gt;$B79,$B95&lt;&gt;$B80,$B96&lt;&gt;$B81,$B97&lt;&gt;$B82,$B98&lt;&gt;$B83,$B99&lt;&gt;$B84,$B100&lt;&gt;$B85,$B101&lt;&gt;$B86,$B102&lt;&gt;$B87,$B103&lt;&gt;$B88),IF($B95&lt;&gt;$B80,AI80/INDEX($C78:$AJ88,3,MATCH(IF('Data-solution'!$A$3="Maximize",MAX($C89:$AI89),MIN($C89:$AI89)),$C89:$AI89,0)),AI80-INDEX($C78:$AJ88,3,MATCH(IF('Data-solution'!$A$3="Maximize",MAX($C89:$AI89),MIN($C89:$AI89)),$C89:$AI89,0))*INDEX(AI78:$AJ88,MATCH(MIN($AK78:$AK88),$AK78:$AK88,0),1)/INDEX($C78:$AJ88,MATCH(MIN($AK78:$AK88),$AK78:$AK88,0),MATCH(IF('Data-solution'!$A$3="Maximize",MAX($C89:$AI89),MIN($C89:$AI89)),$C89:$AI89,0))),AI80)</f>
        <v>0</v>
      </c>
      <c r="AJ95" s="1">
        <f>IF(OR($B93&lt;&gt;$B78,$B94&lt;&gt;$B79,$B95&lt;&gt;$B80,$B96&lt;&gt;$B81,$B97&lt;&gt;$B82,$B98&lt;&gt;$B83,$B99&lt;&gt;$B84,$B100&lt;&gt;$B85,$B101&lt;&gt;$B86,$B102&lt;&gt;$B87,$B103&lt;&gt;$B88),IF($B95&lt;&gt;$B80,AJ80/INDEX($C78:$AJ88,3,MATCH(IF('Data-solution'!$A$3="Maximize",MAX($C89:$AI89),MIN($C89:$AI89)),$C89:$AI89,0)),AJ80-INDEX($C78:$AJ88,3,MATCH(IF('Data-solution'!$A$3="Maximize",MAX($C89:$AI89),MIN($C89:$AI89)),$C89:$AI89,0))*INDEX(AJ78:$AJ88,MATCH(MIN($AK78:$AK88),$AK78:$AK88,0),1)/INDEX($C78:$AJ88,MATCH(MIN($AK78:$AK88),$AK78:$AK88,0),MATCH(IF('Data-solution'!$A$3="Maximize",MAX($C89:$AI89),MIN($C89:$AI89)),$C89:$AI89,0))),AJ80)</f>
        <v>300</v>
      </c>
      <c r="AK95" s="1" t="str">
        <f>IF(INDEX(C95:X95,1,MATCH(IF('Data-solution'!A$3="Maximize",MAX(C104:X104),MIN(C104:X104)),C104:X104,0))&gt;0,AJ95/INDEX(C95:X95,1,MATCH(IF('Data-solution'!A$3="Maximize",MAX(C104:X104),MIN(C104:X104)),C104:X104,0))," ")</f>
        <v xml:space="preserve"> </v>
      </c>
    </row>
    <row r="96" spans="1:37" ht="18" customHeight="1" x14ac:dyDescent="0.2">
      <c r="A96" s="1">
        <f t="shared" ref="A96" si="67">INDEX(C91:AI91,1,MATCH(B96,C92:AI92,0))</f>
        <v>150</v>
      </c>
      <c r="B96" s="2" t="str">
        <f>IF(AND('Data-solution'!A$3="Maximize",COUNTIF(C89:X89,"&gt;"&amp;0)&gt;0,AK81=MIN(AK78:AK88),COUNTIF(B93:B95,INDEX(C77:X77,1,MATCH(MAX(C89:X89),C89:X89,0)))=0),INDEX(C77:X77,1,MATCH(MAX(C89:X89),C89:X89,0)),IF(AND('Data-solution'!A$3="Minimize",COUNTIF(C89:X89,"&lt;"&amp;0)&gt;0,AK81=MIN(AK78:AK88),COUNTIF(B93:B95,INDEX(C77:X77,1,MATCH(MIN(C89:X89),C89:X89,0)))=0),INDEX(C77:X77,1,MATCH(MIN(C89:X89),C89:X89,0)),B81))</f>
        <v>X1</v>
      </c>
      <c r="C96" s="1">
        <f>IF(OR($B93&lt;&gt;$B78,$B94&lt;&gt;$B79,$B95&lt;&gt;$B80,$B96&lt;&gt;$B81,$B97&lt;&gt;$B82,$B98&lt;&gt;$B83,$B99&lt;&gt;$B84,$B100&lt;&gt;$B85,$B101&lt;&gt;$B86,$B102&lt;&gt;$B87,$B103&lt;&gt;$B88),IF($B96&lt;&gt;$B81,C81/INDEX($C78:$AJ88,4,MATCH(IF('Data-solution'!$A$3="Maximize",MAX($C89:$AI89),MIN($C89:$AI89)),$C89:$AI89,0)),C81-INDEX($C78:$AJ88,4,MATCH(IF('Data-solution'!$A$3="Maximize",MAX($C89:$AI89),MIN($C89:$AI89)),$C89:$AI89,0))*INDEX(C78:$AJ88,MATCH(MIN($AK78:$AK88),$AK78:$AK88,0),1)/INDEX($C78:$AJ88,MATCH(MIN($AK78:$AK88),$AK78:$AK88,0),MATCH(IF('Data-solution'!$A$3="Maximize",MAX($C89:$AI89),MIN($C89:$AI89)),$C89:$AI89,0))),C81)</f>
        <v>1</v>
      </c>
      <c r="D96" s="1">
        <f>IF(OR($B93&lt;&gt;$B78,$B94&lt;&gt;$B79,$B95&lt;&gt;$B80,$B96&lt;&gt;$B81,$B97&lt;&gt;$B82,$B98&lt;&gt;$B83,$B99&lt;&gt;$B84,$B100&lt;&gt;$B85,$B101&lt;&gt;$B86,$B102&lt;&gt;$B87,$B103&lt;&gt;$B88),IF($B96&lt;&gt;$B81,D81/INDEX($C78:$AJ88,4,MATCH(IF('Data-solution'!$A$3="Maximize",MAX($C89:$AI89),MIN($C89:$AI89)),$C89:$AI89,0)),D81-INDEX($C78:$AJ88,4,MATCH(IF('Data-solution'!$A$3="Maximize",MAX($C89:$AI89),MIN($C89:$AI89)),$C89:$AI89,0))*INDEX(D78:$AJ88,MATCH(MIN($AK78:$AK88),$AK78:$AK88,0),1)/INDEX($C78:$AJ88,MATCH(MIN($AK78:$AK88),$AK78:$AK88,0),MATCH(IF('Data-solution'!$A$3="Maximize",MAX($C89:$AI89),MIN($C89:$AI89)),$C89:$AI89,0))),D81)</f>
        <v>-1.25</v>
      </c>
      <c r="E96" s="1">
        <f>IF(OR($B93&lt;&gt;$B78,$B94&lt;&gt;$B79,$B95&lt;&gt;$B80,$B96&lt;&gt;$B81,$B97&lt;&gt;$B82,$B98&lt;&gt;$B83,$B99&lt;&gt;$B84,$B100&lt;&gt;$B85,$B101&lt;&gt;$B86,$B102&lt;&gt;$B87,$B103&lt;&gt;$B88),IF($B96&lt;&gt;$B81,E81/INDEX($C78:$AJ88,4,MATCH(IF('Data-solution'!$A$3="Maximize",MAX($C89:$AI89),MIN($C89:$AI89)),$C89:$AI89,0)),E81-INDEX($C78:$AJ88,4,MATCH(IF('Data-solution'!$A$3="Maximize",MAX($C89:$AI89),MIN($C89:$AI89)),$C89:$AI89,0))*INDEX(E78:$AJ88,MATCH(MIN($AK78:$AK88),$AK78:$AK88,0),1)/INDEX($C78:$AJ88,MATCH(MIN($AK78:$AK88),$AK78:$AK88,0),MATCH(IF('Data-solution'!$A$3="Maximize",MAX($C89:$AI89),MIN($C89:$AI89)),$C89:$AI89,0))),E81)</f>
        <v>0</v>
      </c>
      <c r="F96" s="1">
        <f>IF(OR($B93&lt;&gt;$B78,$B94&lt;&gt;$B79,$B95&lt;&gt;$B80,$B96&lt;&gt;$B81,$B97&lt;&gt;$B82,$B98&lt;&gt;$B83,$B99&lt;&gt;$B84,$B100&lt;&gt;$B85,$B101&lt;&gt;$B86,$B102&lt;&gt;$B87,$B103&lt;&gt;$B88),IF($B96&lt;&gt;$B81,F81/INDEX($C78:$AJ88,4,MATCH(IF('Data-solution'!$A$3="Maximize",MAX($C89:$AI89),MIN($C89:$AI89)),$C89:$AI89,0)),F81-INDEX($C78:$AJ88,4,MATCH(IF('Data-solution'!$A$3="Maximize",MAX($C89:$AI89),MIN($C89:$AI89)),$C89:$AI89,0))*INDEX(F78:$AJ88,MATCH(MIN($AK78:$AK88),$AK78:$AK88,0),1)/INDEX($C78:$AJ88,MATCH(MIN($AK78:$AK88),$AK78:$AK88,0),MATCH(IF('Data-solution'!$A$3="Maximize",MAX($C89:$AI89),MIN($C89:$AI89)),$C89:$AI89,0))),F81)</f>
        <v>0</v>
      </c>
      <c r="G96" s="1">
        <f>IF(OR($B93&lt;&gt;$B78,$B94&lt;&gt;$B79,$B95&lt;&gt;$B80,$B96&lt;&gt;$B81,$B97&lt;&gt;$B82,$B98&lt;&gt;$B83,$B99&lt;&gt;$B84,$B100&lt;&gt;$B85,$B101&lt;&gt;$B86,$B102&lt;&gt;$B87,$B103&lt;&gt;$B88),IF($B96&lt;&gt;$B81,G81/INDEX($C78:$AJ88,4,MATCH(IF('Data-solution'!$A$3="Maximize",MAX($C89:$AI89),MIN($C89:$AI89)),$C89:$AI89,0)),G81-INDEX($C78:$AJ88,4,MATCH(IF('Data-solution'!$A$3="Maximize",MAX($C89:$AI89),MIN($C89:$AI89)),$C89:$AI89,0))*INDEX(G78:$AJ88,MATCH(MIN($AK78:$AK88),$AK78:$AK88,0),1)/INDEX($C78:$AJ88,MATCH(MIN($AK78:$AK88),$AK78:$AK88,0),MATCH(IF('Data-solution'!$A$3="Maximize",MAX($C89:$AI89),MIN($C89:$AI89)),$C89:$AI89,0))),G81)</f>
        <v>0</v>
      </c>
      <c r="H96" s="1">
        <f>IF(OR($B93&lt;&gt;$B78,$B94&lt;&gt;$B79,$B95&lt;&gt;$B80,$B96&lt;&gt;$B81,$B97&lt;&gt;$B82,$B98&lt;&gt;$B83,$B99&lt;&gt;$B84,$B100&lt;&gt;$B85,$B101&lt;&gt;$B86,$B102&lt;&gt;$B87,$B103&lt;&gt;$B88),IF($B96&lt;&gt;$B81,H81/INDEX($C78:$AJ88,4,MATCH(IF('Data-solution'!$A$3="Maximize",MAX($C89:$AI89),MIN($C89:$AI89)),$C89:$AI89,0)),H81-INDEX($C78:$AJ88,4,MATCH(IF('Data-solution'!$A$3="Maximize",MAX($C89:$AI89),MIN($C89:$AI89)),$C89:$AI89,0))*INDEX(H78:$AJ88,MATCH(MIN($AK78:$AK88),$AK78:$AK88,0),1)/INDEX($C78:$AJ88,MATCH(MIN($AK78:$AK88),$AK78:$AK88,0),MATCH(IF('Data-solution'!$A$3="Maximize",MAX($C89:$AI89),MIN($C89:$AI89)),$C89:$AI89,0))),H81)</f>
        <v>0</v>
      </c>
      <c r="I96" s="1">
        <f>IF(OR($B93&lt;&gt;$B78,$B94&lt;&gt;$B79,$B95&lt;&gt;$B80,$B96&lt;&gt;$B81,$B97&lt;&gt;$B82,$B98&lt;&gt;$B83,$B99&lt;&gt;$B84,$B100&lt;&gt;$B85,$B101&lt;&gt;$B86,$B102&lt;&gt;$B87,$B103&lt;&gt;$B88),IF($B96&lt;&gt;$B81,I81/INDEX($C78:$AJ88,4,MATCH(IF('Data-solution'!$A$3="Maximize",MAX($C89:$AI89),MIN($C89:$AI89)),$C89:$AI89,0)),I81-INDEX($C78:$AJ88,4,MATCH(IF('Data-solution'!$A$3="Maximize",MAX($C89:$AI89),MIN($C89:$AI89)),$C89:$AI89,0))*INDEX(I78:$AJ88,MATCH(MIN($AK78:$AK88),$AK78:$AK88,0),1)/INDEX($C78:$AJ88,MATCH(MIN($AK78:$AK88),$AK78:$AK88,0),MATCH(IF('Data-solution'!$A$3="Maximize",MAX($C89:$AI89),MIN($C89:$AI89)),$C89:$AI89,0))),I81)</f>
        <v>0</v>
      </c>
      <c r="J96" s="1">
        <f>IF(OR($B93&lt;&gt;$B78,$B94&lt;&gt;$B79,$B95&lt;&gt;$B80,$B96&lt;&gt;$B81,$B97&lt;&gt;$B82,$B98&lt;&gt;$B83,$B99&lt;&gt;$B84,$B100&lt;&gt;$B85,$B101&lt;&gt;$B86,$B102&lt;&gt;$B87,$B103&lt;&gt;$B88),IF($B96&lt;&gt;$B81,J81/INDEX($C78:$AJ88,4,MATCH(IF('Data-solution'!$A$3="Maximize",MAX($C89:$AI89),MIN($C89:$AI89)),$C89:$AI89,0)),J81-INDEX($C78:$AJ88,4,MATCH(IF('Data-solution'!$A$3="Maximize",MAX($C89:$AI89),MIN($C89:$AI89)),$C89:$AI89,0))*INDEX(J78:$AJ88,MATCH(MIN($AK78:$AK88),$AK78:$AK88,0),1)/INDEX($C78:$AJ88,MATCH(MIN($AK78:$AK88),$AK78:$AK88,0),MATCH(IF('Data-solution'!$A$3="Maximize",MAX($C89:$AI89),MIN($C89:$AI89)),$C89:$AI89,0))),J81)</f>
        <v>0</v>
      </c>
      <c r="K96" s="1">
        <f>IF(OR($B93&lt;&gt;$B78,$B94&lt;&gt;$B79,$B95&lt;&gt;$B80,$B96&lt;&gt;$B81,$B97&lt;&gt;$B82,$B98&lt;&gt;$B83,$B99&lt;&gt;$B84,$B100&lt;&gt;$B85,$B101&lt;&gt;$B86,$B102&lt;&gt;$B87,$B103&lt;&gt;$B88),IF($B96&lt;&gt;$B81,K81/INDEX($C78:$AJ88,4,MATCH(IF('Data-solution'!$A$3="Maximize",MAX($C89:$AI89),MIN($C89:$AI89)),$C89:$AI89,0)),K81-INDEX($C78:$AJ88,4,MATCH(IF('Data-solution'!$A$3="Maximize",MAX($C89:$AI89),MIN($C89:$AI89)),$C89:$AI89,0))*INDEX(K78:$AJ88,MATCH(MIN($AK78:$AK88),$AK78:$AK88,0),1)/INDEX($C78:$AJ88,MATCH(MIN($AK78:$AK88),$AK78:$AK88,0),MATCH(IF('Data-solution'!$A$3="Maximize",MAX($C89:$AI89),MIN($C89:$AI89)),$C89:$AI89,0))),K81)</f>
        <v>0</v>
      </c>
      <c r="L96" s="1">
        <f>IF(OR($B93&lt;&gt;$B78,$B94&lt;&gt;$B79,$B95&lt;&gt;$B80,$B96&lt;&gt;$B81,$B97&lt;&gt;$B82,$B98&lt;&gt;$B83,$B99&lt;&gt;$B84,$B100&lt;&gt;$B85,$B101&lt;&gt;$B86,$B102&lt;&gt;$B87,$B103&lt;&gt;$B88),IF($B96&lt;&gt;$B81,L81/INDEX($C78:$AJ88,4,MATCH(IF('Data-solution'!$A$3="Maximize",MAX($C89:$AI89),MIN($C89:$AI89)),$C89:$AI89,0)),L81-INDEX($C78:$AJ88,4,MATCH(IF('Data-solution'!$A$3="Maximize",MAX($C89:$AI89),MIN($C89:$AI89)),$C89:$AI89,0))*INDEX(L78:$AJ88,MATCH(MIN($AK78:$AK88),$AK78:$AK88,0),1)/INDEX($C78:$AJ88,MATCH(MIN($AK78:$AK88),$AK78:$AK88,0),MATCH(IF('Data-solution'!$A$3="Maximize",MAX($C89:$AI89),MIN($C89:$AI89)),$C89:$AI89,0))),L81)</f>
        <v>0</v>
      </c>
      <c r="M96" s="1">
        <f>IF(OR($B93&lt;&gt;$B78,$B94&lt;&gt;$B79,$B95&lt;&gt;$B80,$B96&lt;&gt;$B81,$B97&lt;&gt;$B82,$B98&lt;&gt;$B83,$B99&lt;&gt;$B84,$B100&lt;&gt;$B85,$B101&lt;&gt;$B86,$B102&lt;&gt;$B87,$B103&lt;&gt;$B88),IF($B96&lt;&gt;$B81,M81/INDEX($C78:$AJ88,4,MATCH(IF('Data-solution'!$A$3="Maximize",MAX($C89:$AI89),MIN($C89:$AI89)),$C89:$AI89,0)),M81-INDEX($C78:$AJ88,4,MATCH(IF('Data-solution'!$A$3="Maximize",MAX($C89:$AI89),MIN($C89:$AI89)),$C89:$AI89,0))*INDEX(M78:$AJ88,MATCH(MIN($AK78:$AK88),$AK78:$AK88,0),1)/INDEX($C78:$AJ88,MATCH(MIN($AK78:$AK88),$AK78:$AK88,0),MATCH(IF('Data-solution'!$A$3="Maximize",MAX($C89:$AI89),MIN($C89:$AI89)),$C89:$AI89,0))),M81)</f>
        <v>0</v>
      </c>
      <c r="N96" s="1">
        <f>IF(OR($B93&lt;&gt;$B78,$B94&lt;&gt;$B79,$B95&lt;&gt;$B80,$B96&lt;&gt;$B81,$B97&lt;&gt;$B82,$B98&lt;&gt;$B83,$B99&lt;&gt;$B84,$B100&lt;&gt;$B85,$B101&lt;&gt;$B86,$B102&lt;&gt;$B87,$B103&lt;&gt;$B88),IF($B96&lt;&gt;$B81,N81/INDEX($C78:$AJ88,4,MATCH(IF('Data-solution'!$A$3="Maximize",MAX($C89:$AI89),MIN($C89:$AI89)),$C89:$AI89,0)),N81-INDEX($C78:$AJ88,4,MATCH(IF('Data-solution'!$A$3="Maximize",MAX($C89:$AI89),MIN($C89:$AI89)),$C89:$AI89,0))*INDEX(N78:$AJ88,MATCH(MIN($AK78:$AK88),$AK78:$AK88,0),1)/INDEX($C78:$AJ88,MATCH(MIN($AK78:$AK88),$AK78:$AK88,0),MATCH(IF('Data-solution'!$A$3="Maximize",MAX($C89:$AI89),MIN($C89:$AI89)),$C89:$AI89,0))),N81)</f>
        <v>0</v>
      </c>
      <c r="O96" s="1">
        <f>IF(OR($B93&lt;&gt;$B78,$B94&lt;&gt;$B79,$B95&lt;&gt;$B80,$B96&lt;&gt;$B81,$B97&lt;&gt;$B82,$B98&lt;&gt;$B83,$B99&lt;&gt;$B84,$B100&lt;&gt;$B85,$B101&lt;&gt;$B86,$B102&lt;&gt;$B87,$B103&lt;&gt;$B88),IF($B96&lt;&gt;$B81,O81/INDEX($C78:$AJ88,4,MATCH(IF('Data-solution'!$A$3="Maximize",MAX($C89:$AI89),MIN($C89:$AI89)),$C89:$AI89,0)),O81-INDEX($C78:$AJ88,4,MATCH(IF('Data-solution'!$A$3="Maximize",MAX($C89:$AI89),MIN($C89:$AI89)),$C89:$AI89,0))*INDEX(O78:$AJ88,MATCH(MIN($AK78:$AK88),$AK78:$AK88,0),1)/INDEX($C78:$AJ88,MATCH(MIN($AK78:$AK88),$AK78:$AK88,0),MATCH(IF('Data-solution'!$A$3="Maximize",MAX($C89:$AI89),MIN($C89:$AI89)),$C89:$AI89,0))),O81)</f>
        <v>0</v>
      </c>
      <c r="P96" s="1">
        <f>IF(OR($B93&lt;&gt;$B78,$B94&lt;&gt;$B79,$B95&lt;&gt;$B80,$B96&lt;&gt;$B81,$B97&lt;&gt;$B82,$B98&lt;&gt;$B83,$B99&lt;&gt;$B84,$B100&lt;&gt;$B85,$B101&lt;&gt;$B86,$B102&lt;&gt;$B87,$B103&lt;&gt;$B88),IF($B96&lt;&gt;$B81,P81/INDEX($C78:$AJ88,4,MATCH(IF('Data-solution'!$A$3="Maximize",MAX($C89:$AI89),MIN($C89:$AI89)),$C89:$AI89,0)),P81-INDEX($C78:$AJ88,4,MATCH(IF('Data-solution'!$A$3="Maximize",MAX($C89:$AI89),MIN($C89:$AI89)),$C89:$AI89,0))*INDEX(P78:$AJ88,MATCH(MIN($AK78:$AK88),$AK78:$AK88,0),1)/INDEX($C78:$AJ88,MATCH(MIN($AK78:$AK88),$AK78:$AK88,0),MATCH(IF('Data-solution'!$A$3="Maximize",MAX($C89:$AI89),MIN($C89:$AI89)),$C89:$AI89,0))),P81)</f>
        <v>-0.24999999999999994</v>
      </c>
      <c r="Q96" s="1">
        <f>IF(OR($B93&lt;&gt;$B78,$B94&lt;&gt;$B79,$B95&lt;&gt;$B80,$B96&lt;&gt;$B81,$B97&lt;&gt;$B82,$B98&lt;&gt;$B83,$B99&lt;&gt;$B84,$B100&lt;&gt;$B85,$B101&lt;&gt;$B86,$B102&lt;&gt;$B87,$B103&lt;&gt;$B88),IF($B96&lt;&gt;$B81,Q81/INDEX($C78:$AJ88,4,MATCH(IF('Data-solution'!$A$3="Maximize",MAX($C89:$AI89),MIN($C89:$AI89)),$C89:$AI89,0)),Q81-INDEX($C78:$AJ88,4,MATCH(IF('Data-solution'!$A$3="Maximize",MAX($C89:$AI89),MIN($C89:$AI89)),$C89:$AI89,0))*INDEX(Q78:$AJ88,MATCH(MIN($AK78:$AK88),$AK78:$AK88,0),1)/INDEX($C78:$AJ88,MATCH(MIN($AK78:$AK88),$AK78:$AK88,0),MATCH(IF('Data-solution'!$A$3="Maximize",MAX($C89:$AI89),MIN($C89:$AI89)),$C89:$AI89,0))),Q81)</f>
        <v>1.4999999999999998</v>
      </c>
      <c r="R96" s="1">
        <f>IF(OR($B93&lt;&gt;$B78,$B94&lt;&gt;$B79,$B95&lt;&gt;$B80,$B96&lt;&gt;$B81,$B97&lt;&gt;$B82,$B98&lt;&gt;$B83,$B99&lt;&gt;$B84,$B100&lt;&gt;$B85,$B101&lt;&gt;$B86,$B102&lt;&gt;$B87,$B103&lt;&gt;$B88),IF($B96&lt;&gt;$B81,R81/INDEX($C78:$AJ88,4,MATCH(IF('Data-solution'!$A$3="Maximize",MAX($C89:$AI89),MIN($C89:$AI89)),$C89:$AI89,0)),R81-INDEX($C78:$AJ88,4,MATCH(IF('Data-solution'!$A$3="Maximize",MAX($C89:$AI89),MIN($C89:$AI89)),$C89:$AI89,0))*INDEX(R78:$AJ88,MATCH(MIN($AK78:$AK88),$AK78:$AK88,0),1)/INDEX($C78:$AJ88,MATCH(MIN($AK78:$AK88),$AK78:$AK88,0),MATCH(IF('Data-solution'!$A$3="Maximize",MAX($C89:$AI89),MIN($C89:$AI89)),$C89:$AI89,0))),R81)</f>
        <v>0</v>
      </c>
      <c r="S96" s="1">
        <f>IF(OR($B93&lt;&gt;$B78,$B94&lt;&gt;$B79,$B95&lt;&gt;$B80,$B96&lt;&gt;$B81,$B97&lt;&gt;$B82,$B98&lt;&gt;$B83,$B99&lt;&gt;$B84,$B100&lt;&gt;$B85,$B101&lt;&gt;$B86,$B102&lt;&gt;$B87,$B103&lt;&gt;$B88),IF($B96&lt;&gt;$B81,S81/INDEX($C78:$AJ88,4,MATCH(IF('Data-solution'!$A$3="Maximize",MAX($C89:$AI89),MIN($C89:$AI89)),$C89:$AI89,0)),S81-INDEX($C78:$AJ88,4,MATCH(IF('Data-solution'!$A$3="Maximize",MAX($C89:$AI89),MIN($C89:$AI89)),$C89:$AI89,0))*INDEX(S78:$AJ88,MATCH(MIN($AK78:$AK88),$AK78:$AK88,0),1)/INDEX($C78:$AJ88,MATCH(MIN($AK78:$AK88),$AK78:$AK88,0),MATCH(IF('Data-solution'!$A$3="Maximize",MAX($C89:$AI89),MIN($C89:$AI89)),$C89:$AI89,0))),S81)</f>
        <v>0</v>
      </c>
      <c r="T96" s="1">
        <f>IF(OR($B93&lt;&gt;$B78,$B94&lt;&gt;$B79,$B95&lt;&gt;$B80,$B96&lt;&gt;$B81,$B97&lt;&gt;$B82,$B98&lt;&gt;$B83,$B99&lt;&gt;$B84,$B100&lt;&gt;$B85,$B101&lt;&gt;$B86,$B102&lt;&gt;$B87,$B103&lt;&gt;$B88),IF($B96&lt;&gt;$B81,T81/INDEX($C78:$AJ88,4,MATCH(IF('Data-solution'!$A$3="Maximize",MAX($C89:$AI89),MIN($C89:$AI89)),$C89:$AI89,0)),T81-INDEX($C78:$AJ88,4,MATCH(IF('Data-solution'!$A$3="Maximize",MAX($C89:$AI89),MIN($C89:$AI89)),$C89:$AI89,0))*INDEX(T78:$AJ88,MATCH(MIN($AK78:$AK88),$AK78:$AK88,0),1)/INDEX($C78:$AJ88,MATCH(MIN($AK78:$AK88),$AK78:$AK88,0),MATCH(IF('Data-solution'!$A$3="Maximize",MAX($C89:$AI89),MIN($C89:$AI89)),$C89:$AI89,0))),T81)</f>
        <v>0</v>
      </c>
      <c r="U96" s="1">
        <f>IF(OR($B93&lt;&gt;$B78,$B94&lt;&gt;$B79,$B95&lt;&gt;$B80,$B96&lt;&gt;$B81,$B97&lt;&gt;$B82,$B98&lt;&gt;$B83,$B99&lt;&gt;$B84,$B100&lt;&gt;$B85,$B101&lt;&gt;$B86,$B102&lt;&gt;$B87,$B103&lt;&gt;$B88),IF($B96&lt;&gt;$B81,U81/INDEX($C78:$AJ88,4,MATCH(IF('Data-solution'!$A$3="Maximize",MAX($C89:$AI89),MIN($C89:$AI89)),$C89:$AI89,0)),U81-INDEX($C78:$AJ88,4,MATCH(IF('Data-solution'!$A$3="Maximize",MAX($C89:$AI89),MIN($C89:$AI89)),$C89:$AI89,0))*INDEX(U78:$AJ88,MATCH(MIN($AK78:$AK88),$AK78:$AK88,0),1)/INDEX($C78:$AJ88,MATCH(MIN($AK78:$AK88),$AK78:$AK88,0),MATCH(IF('Data-solution'!$A$3="Maximize",MAX($C89:$AI89),MIN($C89:$AI89)),$C89:$AI89,0))),U81)</f>
        <v>0</v>
      </c>
      <c r="V96" s="1">
        <f>IF(OR($B93&lt;&gt;$B78,$B94&lt;&gt;$B79,$B95&lt;&gt;$B80,$B96&lt;&gt;$B81,$B97&lt;&gt;$B82,$B98&lt;&gt;$B83,$B99&lt;&gt;$B84,$B100&lt;&gt;$B85,$B101&lt;&gt;$B86,$B102&lt;&gt;$B87,$B103&lt;&gt;$B88),IF($B96&lt;&gt;$B81,V81/INDEX($C78:$AJ88,4,MATCH(IF('Data-solution'!$A$3="Maximize",MAX($C89:$AI89),MIN($C89:$AI89)),$C89:$AI89,0)),V81-INDEX($C78:$AJ88,4,MATCH(IF('Data-solution'!$A$3="Maximize",MAX($C89:$AI89),MIN($C89:$AI89)),$C89:$AI89,0))*INDEX(V78:$AJ88,MATCH(MIN($AK78:$AK88),$AK78:$AK88,0),1)/INDEX($C78:$AJ88,MATCH(MIN($AK78:$AK88),$AK78:$AK88,0),MATCH(IF('Data-solution'!$A$3="Maximize",MAX($C89:$AI89),MIN($C89:$AI89)),$C89:$AI89,0))),V81)</f>
        <v>0</v>
      </c>
      <c r="W96" s="1">
        <f>IF(OR($B93&lt;&gt;$B78,$B94&lt;&gt;$B79,$B95&lt;&gt;$B80,$B96&lt;&gt;$B81,$B97&lt;&gt;$B82,$B98&lt;&gt;$B83,$B99&lt;&gt;$B84,$B100&lt;&gt;$B85,$B101&lt;&gt;$B86,$B102&lt;&gt;$B87,$B103&lt;&gt;$B88),IF($B96&lt;&gt;$B81,W81/INDEX($C78:$AJ88,4,MATCH(IF('Data-solution'!$A$3="Maximize",MAX($C89:$AI89),MIN($C89:$AI89)),$C89:$AI89,0)),W81-INDEX($C78:$AJ88,4,MATCH(IF('Data-solution'!$A$3="Maximize",MAX($C89:$AI89),MIN($C89:$AI89)),$C89:$AI89,0))*INDEX(W78:$AJ88,MATCH(MIN($AK78:$AK88),$AK78:$AK88,0),1)/INDEX($C78:$AJ88,MATCH(MIN($AK78:$AK88),$AK78:$AK88,0),MATCH(IF('Data-solution'!$A$3="Maximize",MAX($C89:$AI89),MIN($C89:$AI89)),$C89:$AI89,0))),W81)</f>
        <v>0</v>
      </c>
      <c r="X96" s="1">
        <f>IF(OR($B93&lt;&gt;$B78,$B94&lt;&gt;$B79,$B95&lt;&gt;$B80,$B96&lt;&gt;$B81,$B97&lt;&gt;$B82,$B98&lt;&gt;$B83,$B99&lt;&gt;$B84,$B100&lt;&gt;$B85,$B101&lt;&gt;$B86,$B102&lt;&gt;$B87,$B103&lt;&gt;$B88),IF($B96&lt;&gt;$B81,X81/INDEX($C78:$AJ88,4,MATCH(IF('Data-solution'!$A$3="Maximize",MAX($C89:$AI89),MIN($C89:$AI89)),$C89:$AI89,0)),X81-INDEX($C78:$AJ88,4,MATCH(IF('Data-solution'!$A$3="Maximize",MAX($C89:$AI89),MIN($C89:$AI89)),$C89:$AI89,0))*INDEX(X78:$AJ88,MATCH(MIN($AK78:$AK88),$AK78:$AK88,0),1)/INDEX($C78:$AJ88,MATCH(MIN($AK78:$AK88),$AK78:$AK88,0),MATCH(IF('Data-solution'!$A$3="Maximize",MAX($C89:$AI89),MIN($C89:$AI89)),$C89:$AI89,0))),X81)</f>
        <v>0</v>
      </c>
      <c r="Y96" s="1">
        <f>IF(OR($B93&lt;&gt;$B78,$B94&lt;&gt;$B79,$B95&lt;&gt;$B80,$B96&lt;&gt;$B81,$B97&lt;&gt;$B82,$B98&lt;&gt;$B83,$B99&lt;&gt;$B84,$B100&lt;&gt;$B85,$B101&lt;&gt;$B86,$B102&lt;&gt;$B87,$B103&lt;&gt;$B88),IF($B96&lt;&gt;$B81,Y81/INDEX($C78:$AJ88,4,MATCH(IF('Data-solution'!$A$3="Maximize",MAX($C89:$AI89),MIN($C89:$AI89)),$C89:$AI89,0)),Y81-INDEX($C78:$AJ88,4,MATCH(IF('Data-solution'!$A$3="Maximize",MAX($C89:$AI89),MIN($C89:$AI89)),$C89:$AI89,0))*INDEX(Y78:$AJ88,MATCH(MIN($AK78:$AK88),$AK78:$AK88,0),1)/INDEX($C78:$AJ88,MATCH(MIN($AK78:$AK88),$AK78:$AK88,0),MATCH(IF('Data-solution'!$A$3="Maximize",MAX($C89:$AI89),MIN($C89:$AI89)),$C89:$AI89,0))),Y81)</f>
        <v>0</v>
      </c>
      <c r="Z96" s="1">
        <f>IF(OR($B93&lt;&gt;$B78,$B94&lt;&gt;$B79,$B95&lt;&gt;$B80,$B96&lt;&gt;$B81,$B97&lt;&gt;$B82,$B98&lt;&gt;$B83,$B99&lt;&gt;$B84,$B100&lt;&gt;$B85,$B101&lt;&gt;$B86,$B102&lt;&gt;$B87,$B103&lt;&gt;$B88),IF($B96&lt;&gt;$B81,Z81/INDEX($C78:$AJ88,4,MATCH(IF('Data-solution'!$A$3="Maximize",MAX($C89:$AI89),MIN($C89:$AI89)),$C89:$AI89,0)),Z81-INDEX($C78:$AJ88,4,MATCH(IF('Data-solution'!$A$3="Maximize",MAX($C89:$AI89),MIN($C89:$AI89)),$C89:$AI89,0))*INDEX(Z78:$AJ88,MATCH(MIN($AK78:$AK88),$AK78:$AK88,0),1)/INDEX($C78:$AJ88,MATCH(MIN($AK78:$AK88),$AK78:$AK88,0),MATCH(IF('Data-solution'!$A$3="Maximize",MAX($C89:$AI89),MIN($C89:$AI89)),$C89:$AI89,0))),Z81)</f>
        <v>0</v>
      </c>
      <c r="AA96" s="1">
        <f>IF(OR($B93&lt;&gt;$B78,$B94&lt;&gt;$B79,$B95&lt;&gt;$B80,$B96&lt;&gt;$B81,$B97&lt;&gt;$B82,$B98&lt;&gt;$B83,$B99&lt;&gt;$B84,$B100&lt;&gt;$B85,$B101&lt;&gt;$B86,$B102&lt;&gt;$B87,$B103&lt;&gt;$B88),IF($B96&lt;&gt;$B81,AA81/INDEX($C78:$AJ88,4,MATCH(IF('Data-solution'!$A$3="Maximize",MAX($C89:$AI89),MIN($C89:$AI89)),$C89:$AI89,0)),AA81-INDEX($C78:$AJ88,4,MATCH(IF('Data-solution'!$A$3="Maximize",MAX($C89:$AI89),MIN($C89:$AI89)),$C89:$AI89,0))*INDEX(AA78:$AJ88,MATCH(MIN($AK78:$AK88),$AK78:$AK88,0),1)/INDEX($C78:$AJ88,MATCH(MIN($AK78:$AK88),$AK78:$AK88,0),MATCH(IF('Data-solution'!$A$3="Maximize",MAX($C89:$AI89),MIN($C89:$AI89)),$C89:$AI89,0))),AA81)</f>
        <v>-0.24999999999999994</v>
      </c>
      <c r="AB96" s="1">
        <f>IF(OR($B93&lt;&gt;$B78,$B94&lt;&gt;$B79,$B95&lt;&gt;$B80,$B96&lt;&gt;$B81,$B97&lt;&gt;$B82,$B98&lt;&gt;$B83,$B99&lt;&gt;$B84,$B100&lt;&gt;$B85,$B101&lt;&gt;$B86,$B102&lt;&gt;$B87,$B103&lt;&gt;$B88),IF($B96&lt;&gt;$B81,AB81/INDEX($C78:$AJ88,4,MATCH(IF('Data-solution'!$A$3="Maximize",MAX($C89:$AI89),MIN($C89:$AI89)),$C89:$AI89,0)),AB81-INDEX($C78:$AJ88,4,MATCH(IF('Data-solution'!$A$3="Maximize",MAX($C89:$AI89),MIN($C89:$AI89)),$C89:$AI89,0))*INDEX(AB78:$AJ88,MATCH(MIN($AK78:$AK88),$AK78:$AK88,0),1)/INDEX($C78:$AJ88,MATCH(MIN($AK78:$AK88),$AK78:$AK88,0),MATCH(IF('Data-solution'!$A$3="Maximize",MAX($C89:$AI89),MIN($C89:$AI89)),$C89:$AI89,0))),AB81)</f>
        <v>1.4999999999999998</v>
      </c>
      <c r="AC96" s="1">
        <f>IF(OR($B93&lt;&gt;$B78,$B94&lt;&gt;$B79,$B95&lt;&gt;$B80,$B96&lt;&gt;$B81,$B97&lt;&gt;$B82,$B98&lt;&gt;$B83,$B99&lt;&gt;$B84,$B100&lt;&gt;$B85,$B101&lt;&gt;$B86,$B102&lt;&gt;$B87,$B103&lt;&gt;$B88),IF($B96&lt;&gt;$B81,AC81/INDEX($C78:$AJ88,4,MATCH(IF('Data-solution'!$A$3="Maximize",MAX($C89:$AI89),MIN($C89:$AI89)),$C89:$AI89,0)),AC81-INDEX($C78:$AJ88,4,MATCH(IF('Data-solution'!$A$3="Maximize",MAX($C89:$AI89),MIN($C89:$AI89)),$C89:$AI89,0))*INDEX(AC78:$AJ88,MATCH(MIN($AK78:$AK88),$AK78:$AK88,0),1)/INDEX($C78:$AJ88,MATCH(MIN($AK78:$AK88),$AK78:$AK88,0),MATCH(IF('Data-solution'!$A$3="Maximize",MAX($C89:$AI89),MIN($C89:$AI89)),$C89:$AI89,0))),AC81)</f>
        <v>0</v>
      </c>
      <c r="AD96" s="1">
        <f>IF(OR($B93&lt;&gt;$B78,$B94&lt;&gt;$B79,$B95&lt;&gt;$B80,$B96&lt;&gt;$B81,$B97&lt;&gt;$B82,$B98&lt;&gt;$B83,$B99&lt;&gt;$B84,$B100&lt;&gt;$B85,$B101&lt;&gt;$B86,$B102&lt;&gt;$B87,$B103&lt;&gt;$B88),IF($B96&lt;&gt;$B81,AD81/INDEX($C78:$AJ88,4,MATCH(IF('Data-solution'!$A$3="Maximize",MAX($C89:$AI89),MIN($C89:$AI89)),$C89:$AI89,0)),AD81-INDEX($C78:$AJ88,4,MATCH(IF('Data-solution'!$A$3="Maximize",MAX($C89:$AI89),MIN($C89:$AI89)),$C89:$AI89,0))*INDEX(AD78:$AJ88,MATCH(MIN($AK78:$AK88),$AK78:$AK88,0),1)/INDEX($C78:$AJ88,MATCH(MIN($AK78:$AK88),$AK78:$AK88,0),MATCH(IF('Data-solution'!$A$3="Maximize",MAX($C89:$AI89),MIN($C89:$AI89)),$C89:$AI89,0))),AD81)</f>
        <v>0</v>
      </c>
      <c r="AE96" s="1">
        <f>IF(OR($B93&lt;&gt;$B78,$B94&lt;&gt;$B79,$B95&lt;&gt;$B80,$B96&lt;&gt;$B81,$B97&lt;&gt;$B82,$B98&lt;&gt;$B83,$B99&lt;&gt;$B84,$B100&lt;&gt;$B85,$B101&lt;&gt;$B86,$B102&lt;&gt;$B87,$B103&lt;&gt;$B88),IF($B96&lt;&gt;$B81,AE81/INDEX($C78:$AJ88,4,MATCH(IF('Data-solution'!$A$3="Maximize",MAX($C89:$AI89),MIN($C89:$AI89)),$C89:$AI89,0)),AE81-INDEX($C78:$AJ88,4,MATCH(IF('Data-solution'!$A$3="Maximize",MAX($C89:$AI89),MIN($C89:$AI89)),$C89:$AI89,0))*INDEX(AE78:$AJ88,MATCH(MIN($AK78:$AK88),$AK78:$AK88,0),1)/INDEX($C78:$AJ88,MATCH(MIN($AK78:$AK88),$AK78:$AK88,0),MATCH(IF('Data-solution'!$A$3="Maximize",MAX($C89:$AI89),MIN($C89:$AI89)),$C89:$AI89,0))),AE81)</f>
        <v>0</v>
      </c>
      <c r="AF96" s="1">
        <f>IF(OR($B93&lt;&gt;$B78,$B94&lt;&gt;$B79,$B95&lt;&gt;$B80,$B96&lt;&gt;$B81,$B97&lt;&gt;$B82,$B98&lt;&gt;$B83,$B99&lt;&gt;$B84,$B100&lt;&gt;$B85,$B101&lt;&gt;$B86,$B102&lt;&gt;$B87,$B103&lt;&gt;$B88),IF($B96&lt;&gt;$B81,AF81/INDEX($C78:$AJ88,4,MATCH(IF('Data-solution'!$A$3="Maximize",MAX($C89:$AI89),MIN($C89:$AI89)),$C89:$AI89,0)),AF81-INDEX($C78:$AJ88,4,MATCH(IF('Data-solution'!$A$3="Maximize",MAX($C89:$AI89),MIN($C89:$AI89)),$C89:$AI89,0))*INDEX(AF78:$AJ88,MATCH(MIN($AK78:$AK88),$AK78:$AK88,0),1)/INDEX($C78:$AJ88,MATCH(MIN($AK78:$AK88),$AK78:$AK88,0),MATCH(IF('Data-solution'!$A$3="Maximize",MAX($C89:$AI89),MIN($C89:$AI89)),$C89:$AI89,0))),AF81)</f>
        <v>0</v>
      </c>
      <c r="AG96" s="1">
        <f>IF(OR($B93&lt;&gt;$B78,$B94&lt;&gt;$B79,$B95&lt;&gt;$B80,$B96&lt;&gt;$B81,$B97&lt;&gt;$B82,$B98&lt;&gt;$B83,$B99&lt;&gt;$B84,$B100&lt;&gt;$B85,$B101&lt;&gt;$B86,$B102&lt;&gt;$B87,$B103&lt;&gt;$B88),IF($B96&lt;&gt;$B81,AG81/INDEX($C78:$AJ88,4,MATCH(IF('Data-solution'!$A$3="Maximize",MAX($C89:$AI89),MIN($C89:$AI89)),$C89:$AI89,0)),AG81-INDEX($C78:$AJ88,4,MATCH(IF('Data-solution'!$A$3="Maximize",MAX($C89:$AI89),MIN($C89:$AI89)),$C89:$AI89,0))*INDEX(AG78:$AJ88,MATCH(MIN($AK78:$AK88),$AK78:$AK88,0),1)/INDEX($C78:$AJ88,MATCH(MIN($AK78:$AK88),$AK78:$AK88,0),MATCH(IF('Data-solution'!$A$3="Maximize",MAX($C89:$AI89),MIN($C89:$AI89)),$C89:$AI89,0))),AG81)</f>
        <v>0</v>
      </c>
      <c r="AH96" s="1">
        <f>IF(OR($B93&lt;&gt;$B78,$B94&lt;&gt;$B79,$B95&lt;&gt;$B80,$B96&lt;&gt;$B81,$B97&lt;&gt;$B82,$B98&lt;&gt;$B83,$B99&lt;&gt;$B84,$B100&lt;&gt;$B85,$B101&lt;&gt;$B86,$B102&lt;&gt;$B87,$B103&lt;&gt;$B88),IF($B96&lt;&gt;$B81,AH81/INDEX($C78:$AJ88,4,MATCH(IF('Data-solution'!$A$3="Maximize",MAX($C89:$AI89),MIN($C89:$AI89)),$C89:$AI89,0)),AH81-INDEX($C78:$AJ88,4,MATCH(IF('Data-solution'!$A$3="Maximize",MAX($C89:$AI89),MIN($C89:$AI89)),$C89:$AI89,0))*INDEX(AH78:$AJ88,MATCH(MIN($AK78:$AK88),$AK78:$AK88,0),1)/INDEX($C78:$AJ88,MATCH(MIN($AK78:$AK88),$AK78:$AK88,0),MATCH(IF('Data-solution'!$A$3="Maximize",MAX($C89:$AI89),MIN($C89:$AI89)),$C89:$AI89,0))),AH81)</f>
        <v>0</v>
      </c>
      <c r="AI96" s="1">
        <f>IF(OR($B93&lt;&gt;$B78,$B94&lt;&gt;$B79,$B95&lt;&gt;$B80,$B96&lt;&gt;$B81,$B97&lt;&gt;$B82,$B98&lt;&gt;$B83,$B99&lt;&gt;$B84,$B100&lt;&gt;$B85,$B101&lt;&gt;$B86,$B102&lt;&gt;$B87,$B103&lt;&gt;$B88),IF($B96&lt;&gt;$B81,AI81/INDEX($C78:$AJ88,4,MATCH(IF('Data-solution'!$A$3="Maximize",MAX($C89:$AI89),MIN($C89:$AI89)),$C89:$AI89,0)),AI81-INDEX($C78:$AJ88,4,MATCH(IF('Data-solution'!$A$3="Maximize",MAX($C89:$AI89),MIN($C89:$AI89)),$C89:$AI89,0))*INDEX(AI78:$AJ88,MATCH(MIN($AK78:$AK88),$AK78:$AK88,0),1)/INDEX($C78:$AJ88,MATCH(MIN($AK78:$AK88),$AK78:$AK88,0),MATCH(IF('Data-solution'!$A$3="Maximize",MAX($C89:$AI89),MIN($C89:$AI89)),$C89:$AI89,0))),AI81)</f>
        <v>0</v>
      </c>
      <c r="AJ96" s="1">
        <f>IF(OR($B93&lt;&gt;$B78,$B94&lt;&gt;$B79,$B95&lt;&gt;$B80,$B96&lt;&gt;$B81,$B97&lt;&gt;$B82,$B98&lt;&gt;$B83,$B99&lt;&gt;$B84,$B100&lt;&gt;$B85,$B101&lt;&gt;$B86,$B102&lt;&gt;$B87,$B103&lt;&gt;$B88),IF($B96&lt;&gt;$B81,AJ81/INDEX($C78:$AJ88,4,MATCH(IF('Data-solution'!$A$3="Maximize",MAX($C89:$AI89),MIN($C89:$AI89)),$C89:$AI89,0)),AJ81-INDEX($C78:$AJ88,4,MATCH(IF('Data-solution'!$A$3="Maximize",MAX($C89:$AI89),MIN($C89:$AI89)),$C89:$AI89,0))*INDEX(AJ78:$AJ88,MATCH(MIN($AK78:$AK88),$AK78:$AK88,0),1)/INDEX($C78:$AJ88,MATCH(MIN($AK78:$AK88),$AK78:$AK88,0),MATCH(IF('Data-solution'!$A$3="Maximize",MAX($C89:$AI89),MIN($C89:$AI89)),$C89:$AI89,0))),AJ81)</f>
        <v>100.00000000000001</v>
      </c>
      <c r="AK96" s="1">
        <f>IF(INDEX(C96:X96,1,MATCH(IF('Data-solution'!A$3="Maximize",MAX(C104:X104),MIN(C104:X104)),C104:X104,0))&gt;0,AJ96/INDEX(C96:X96,1,MATCH(IF('Data-solution'!A$3="Maximize",MAX(C104:X104),MIN(C104:X104)),C104:X104,0))," ")</f>
        <v>100.00000000000001</v>
      </c>
    </row>
    <row r="97" spans="1:37" ht="18" customHeight="1" x14ac:dyDescent="0.2">
      <c r="A97" s="1">
        <f t="shared" ref="A97" si="68">INDEX(C91:AI91,1,MATCH(B97,C92:AI92,0))</f>
        <v>0</v>
      </c>
      <c r="B97" s="2" t="str">
        <f>IF(AND('Data-solution'!A$3="Maximize",COUNTIF(C89:X89,"&gt;"&amp;0)&gt;0,AK82=MIN(AK78:AK88),COUNTIF(B93:B96,INDEX(C77:X77,1,MATCH(MAX(C89:X89),C89:X89,0)))=0),INDEX(C77:X77,1,MATCH(MAX(C89:X89),C89:X89,0)),IF(AND('Data-solution'!A$3="Minimize",COUNTIF(C89:X89,"&lt;"&amp;0)&gt;0,AK82=MIN(AK78:AK88),COUNTIF(B93:B96,INDEX(C77:X77,1,MATCH(MIN(C89:X89),C89:X89,0)))=0),INDEX(C77:X77,1,MATCH(MIN(C89:X89),C89:X89,0)),B82))</f>
        <v>S5</v>
      </c>
      <c r="C97" s="1">
        <f>IF(OR($B93&lt;&gt;$B78,$B94&lt;&gt;$B79,$B95&lt;&gt;$B80,$B96&lt;&gt;$B81,$B97&lt;&gt;$B82,$B98&lt;&gt;$B83,$B99&lt;&gt;$B84,$B100&lt;&gt;$B85,$B101&lt;&gt;$B86,$B102&lt;&gt;$B87,$B103&lt;&gt;$B88),IF($B97&lt;&gt;$B82,C82/INDEX($C78:$AJ88,5,MATCH(IF('Data-solution'!$A$3="Maximize",MAX($C89:$AI89),MIN($C89:$AI89)),$C89:$AI89,0)),C82-INDEX($C78:$AJ88,5,MATCH(IF('Data-solution'!$A$3="Maximize",MAX($C89:$AI89),MIN($C89:$AI89)),$C89:$AI89,0))*INDEX(C78:$AJ88,MATCH(MIN($AK78:$AK88),$AK78:$AK88,0),1)/INDEX($C78:$AJ88,MATCH(MIN($AK78:$AK88),$AK78:$AK88,0),MATCH(IF('Data-solution'!$A$3="Maximize",MAX($C89:$AI89),MIN($C89:$AI89)),$C89:$AI89,0))),C82)</f>
        <v>0</v>
      </c>
      <c r="D97" s="1">
        <f>IF(OR($B93&lt;&gt;$B78,$B94&lt;&gt;$B79,$B95&lt;&gt;$B80,$B96&lt;&gt;$B81,$B97&lt;&gt;$B82,$B98&lt;&gt;$B83,$B99&lt;&gt;$B84,$B100&lt;&gt;$B85,$B101&lt;&gt;$B86,$B102&lt;&gt;$B87,$B103&lt;&gt;$B88),IF($B97&lt;&gt;$B82,D82/INDEX($C78:$AJ88,5,MATCH(IF('Data-solution'!$A$3="Maximize",MAX($C89:$AI89),MIN($C89:$AI89)),$C89:$AI89,0)),D82-INDEX($C78:$AJ88,5,MATCH(IF('Data-solution'!$A$3="Maximize",MAX($C89:$AI89),MIN($C89:$AI89)),$C89:$AI89,0))*INDEX(D78:$AJ88,MATCH(MIN($AK78:$AK88),$AK78:$AK88,0),1)/INDEX($C78:$AJ88,MATCH(MIN($AK78:$AK88),$AK78:$AK88,0),MATCH(IF('Data-solution'!$A$3="Maximize",MAX($C89:$AI89),MIN($C89:$AI89)),$C89:$AI89,0))),D82)</f>
        <v>0</v>
      </c>
      <c r="E97" s="1">
        <f>IF(OR($B93&lt;&gt;$B78,$B94&lt;&gt;$B79,$B95&lt;&gt;$B80,$B96&lt;&gt;$B81,$B97&lt;&gt;$B82,$B98&lt;&gt;$B83,$B99&lt;&gt;$B84,$B100&lt;&gt;$B85,$B101&lt;&gt;$B86,$B102&lt;&gt;$B87,$B103&lt;&gt;$B88),IF($B97&lt;&gt;$B82,E82/INDEX($C78:$AJ88,5,MATCH(IF('Data-solution'!$A$3="Maximize",MAX($C89:$AI89),MIN($C89:$AI89)),$C89:$AI89,0)),E82-INDEX($C78:$AJ88,5,MATCH(IF('Data-solution'!$A$3="Maximize",MAX($C89:$AI89),MIN($C89:$AI89)),$C89:$AI89,0))*INDEX(E78:$AJ88,MATCH(MIN($AK78:$AK88),$AK78:$AK88,0),1)/INDEX($C78:$AJ88,MATCH(MIN($AK78:$AK88),$AK78:$AK88,0),MATCH(IF('Data-solution'!$A$3="Maximize",MAX($C89:$AI89),MIN($C89:$AI89)),$C89:$AI89,0))),E82)</f>
        <v>0</v>
      </c>
      <c r="F97" s="1">
        <f>IF(OR($B93&lt;&gt;$B78,$B94&lt;&gt;$B79,$B95&lt;&gt;$B80,$B96&lt;&gt;$B81,$B97&lt;&gt;$B82,$B98&lt;&gt;$B83,$B99&lt;&gt;$B84,$B100&lt;&gt;$B85,$B101&lt;&gt;$B86,$B102&lt;&gt;$B87,$B103&lt;&gt;$B88),IF($B97&lt;&gt;$B82,F82/INDEX($C78:$AJ88,5,MATCH(IF('Data-solution'!$A$3="Maximize",MAX($C89:$AI89),MIN($C89:$AI89)),$C89:$AI89,0)),F82-INDEX($C78:$AJ88,5,MATCH(IF('Data-solution'!$A$3="Maximize",MAX($C89:$AI89),MIN($C89:$AI89)),$C89:$AI89,0))*INDEX(F78:$AJ88,MATCH(MIN($AK78:$AK88),$AK78:$AK88,0),1)/INDEX($C78:$AJ88,MATCH(MIN($AK78:$AK88),$AK78:$AK88,0),MATCH(IF('Data-solution'!$A$3="Maximize",MAX($C89:$AI89),MIN($C89:$AI89)),$C89:$AI89,0))),F82)</f>
        <v>0</v>
      </c>
      <c r="G97" s="1">
        <f>IF(OR($B93&lt;&gt;$B78,$B94&lt;&gt;$B79,$B95&lt;&gt;$B80,$B96&lt;&gt;$B81,$B97&lt;&gt;$B82,$B98&lt;&gt;$B83,$B99&lt;&gt;$B84,$B100&lt;&gt;$B85,$B101&lt;&gt;$B86,$B102&lt;&gt;$B87,$B103&lt;&gt;$B88),IF($B97&lt;&gt;$B82,G82/INDEX($C78:$AJ88,5,MATCH(IF('Data-solution'!$A$3="Maximize",MAX($C89:$AI89),MIN($C89:$AI89)),$C89:$AI89,0)),G82-INDEX($C78:$AJ88,5,MATCH(IF('Data-solution'!$A$3="Maximize",MAX($C89:$AI89),MIN($C89:$AI89)),$C89:$AI89,0))*INDEX(G78:$AJ88,MATCH(MIN($AK78:$AK88),$AK78:$AK88,0),1)/INDEX($C78:$AJ88,MATCH(MIN($AK78:$AK88),$AK78:$AK88,0),MATCH(IF('Data-solution'!$A$3="Maximize",MAX($C89:$AI89),MIN($C89:$AI89)),$C89:$AI89,0))),G82)</f>
        <v>0</v>
      </c>
      <c r="H97" s="1">
        <f>IF(OR($B93&lt;&gt;$B78,$B94&lt;&gt;$B79,$B95&lt;&gt;$B80,$B96&lt;&gt;$B81,$B97&lt;&gt;$B82,$B98&lt;&gt;$B83,$B99&lt;&gt;$B84,$B100&lt;&gt;$B85,$B101&lt;&gt;$B86,$B102&lt;&gt;$B87,$B103&lt;&gt;$B88),IF($B97&lt;&gt;$B82,H82/INDEX($C78:$AJ88,5,MATCH(IF('Data-solution'!$A$3="Maximize",MAX($C89:$AI89),MIN($C89:$AI89)),$C89:$AI89,0)),H82-INDEX($C78:$AJ88,5,MATCH(IF('Data-solution'!$A$3="Maximize",MAX($C89:$AI89),MIN($C89:$AI89)),$C89:$AI89,0))*INDEX(H78:$AJ88,MATCH(MIN($AK78:$AK88),$AK78:$AK88,0),1)/INDEX($C78:$AJ88,MATCH(MIN($AK78:$AK88),$AK78:$AK88,0),MATCH(IF('Data-solution'!$A$3="Maximize",MAX($C89:$AI89),MIN($C89:$AI89)),$C89:$AI89,0))),H82)</f>
        <v>0</v>
      </c>
      <c r="I97" s="1">
        <f>IF(OR($B93&lt;&gt;$B78,$B94&lt;&gt;$B79,$B95&lt;&gt;$B80,$B96&lt;&gt;$B81,$B97&lt;&gt;$B82,$B98&lt;&gt;$B83,$B99&lt;&gt;$B84,$B100&lt;&gt;$B85,$B101&lt;&gt;$B86,$B102&lt;&gt;$B87,$B103&lt;&gt;$B88),IF($B97&lt;&gt;$B82,I82/INDEX($C78:$AJ88,5,MATCH(IF('Data-solution'!$A$3="Maximize",MAX($C89:$AI89),MIN($C89:$AI89)),$C89:$AI89,0)),I82-INDEX($C78:$AJ88,5,MATCH(IF('Data-solution'!$A$3="Maximize",MAX($C89:$AI89),MIN($C89:$AI89)),$C89:$AI89,0))*INDEX(I78:$AJ88,MATCH(MIN($AK78:$AK88),$AK78:$AK88,0),1)/INDEX($C78:$AJ88,MATCH(MIN($AK78:$AK88),$AK78:$AK88,0),MATCH(IF('Data-solution'!$A$3="Maximize",MAX($C89:$AI89),MIN($C89:$AI89)),$C89:$AI89,0))),I82)</f>
        <v>0</v>
      </c>
      <c r="J97" s="1">
        <f>IF(OR($B93&lt;&gt;$B78,$B94&lt;&gt;$B79,$B95&lt;&gt;$B80,$B96&lt;&gt;$B81,$B97&lt;&gt;$B82,$B98&lt;&gt;$B83,$B99&lt;&gt;$B84,$B100&lt;&gt;$B85,$B101&lt;&gt;$B86,$B102&lt;&gt;$B87,$B103&lt;&gt;$B88),IF($B97&lt;&gt;$B82,J82/INDEX($C78:$AJ88,5,MATCH(IF('Data-solution'!$A$3="Maximize",MAX($C89:$AI89),MIN($C89:$AI89)),$C89:$AI89,0)),J82-INDEX($C78:$AJ88,5,MATCH(IF('Data-solution'!$A$3="Maximize",MAX($C89:$AI89),MIN($C89:$AI89)),$C89:$AI89,0))*INDEX(J78:$AJ88,MATCH(MIN($AK78:$AK88),$AK78:$AK88,0),1)/INDEX($C78:$AJ88,MATCH(MIN($AK78:$AK88),$AK78:$AK88,0),MATCH(IF('Data-solution'!$A$3="Maximize",MAX($C89:$AI89),MIN($C89:$AI89)),$C89:$AI89,0))),J82)</f>
        <v>0</v>
      </c>
      <c r="K97" s="1">
        <f>IF(OR($B93&lt;&gt;$B78,$B94&lt;&gt;$B79,$B95&lt;&gt;$B80,$B96&lt;&gt;$B81,$B97&lt;&gt;$B82,$B98&lt;&gt;$B83,$B99&lt;&gt;$B84,$B100&lt;&gt;$B85,$B101&lt;&gt;$B86,$B102&lt;&gt;$B87,$B103&lt;&gt;$B88),IF($B97&lt;&gt;$B82,K82/INDEX($C78:$AJ88,5,MATCH(IF('Data-solution'!$A$3="Maximize",MAX($C89:$AI89),MIN($C89:$AI89)),$C89:$AI89,0)),K82-INDEX($C78:$AJ88,5,MATCH(IF('Data-solution'!$A$3="Maximize",MAX($C89:$AI89),MIN($C89:$AI89)),$C89:$AI89,0))*INDEX(K78:$AJ88,MATCH(MIN($AK78:$AK88),$AK78:$AK88,0),1)/INDEX($C78:$AJ88,MATCH(MIN($AK78:$AK88),$AK78:$AK88,0),MATCH(IF('Data-solution'!$A$3="Maximize",MAX($C89:$AI89),MIN($C89:$AI89)),$C89:$AI89,0))),K82)</f>
        <v>0</v>
      </c>
      <c r="L97" s="1">
        <f>IF(OR($B93&lt;&gt;$B78,$B94&lt;&gt;$B79,$B95&lt;&gt;$B80,$B96&lt;&gt;$B81,$B97&lt;&gt;$B82,$B98&lt;&gt;$B83,$B99&lt;&gt;$B84,$B100&lt;&gt;$B85,$B101&lt;&gt;$B86,$B102&lt;&gt;$B87,$B103&lt;&gt;$B88),IF($B97&lt;&gt;$B82,L82/INDEX($C78:$AJ88,5,MATCH(IF('Data-solution'!$A$3="Maximize",MAX($C89:$AI89),MIN($C89:$AI89)),$C89:$AI89,0)),L82-INDEX($C78:$AJ88,5,MATCH(IF('Data-solution'!$A$3="Maximize",MAX($C89:$AI89),MIN($C89:$AI89)),$C89:$AI89,0))*INDEX(L78:$AJ88,MATCH(MIN($AK78:$AK88),$AK78:$AK88,0),1)/INDEX($C78:$AJ88,MATCH(MIN($AK78:$AK88),$AK78:$AK88,0),MATCH(IF('Data-solution'!$A$3="Maximize",MAX($C89:$AI89),MIN($C89:$AI89)),$C89:$AI89,0))),L82)</f>
        <v>0</v>
      </c>
      <c r="M97" s="1">
        <f>IF(OR($B93&lt;&gt;$B78,$B94&lt;&gt;$B79,$B95&lt;&gt;$B80,$B96&lt;&gt;$B81,$B97&lt;&gt;$B82,$B98&lt;&gt;$B83,$B99&lt;&gt;$B84,$B100&lt;&gt;$B85,$B101&lt;&gt;$B86,$B102&lt;&gt;$B87,$B103&lt;&gt;$B88),IF($B97&lt;&gt;$B82,M82/INDEX($C78:$AJ88,5,MATCH(IF('Data-solution'!$A$3="Maximize",MAX($C89:$AI89),MIN($C89:$AI89)),$C89:$AI89,0)),M82-INDEX($C78:$AJ88,5,MATCH(IF('Data-solution'!$A$3="Maximize",MAX($C89:$AI89),MIN($C89:$AI89)),$C89:$AI89,0))*INDEX(M78:$AJ88,MATCH(MIN($AK78:$AK88),$AK78:$AK88,0),1)/INDEX($C78:$AJ88,MATCH(MIN($AK78:$AK88),$AK78:$AK88,0),MATCH(IF('Data-solution'!$A$3="Maximize",MAX($C89:$AI89),MIN($C89:$AI89)),$C89:$AI89,0))),M82)</f>
        <v>0</v>
      </c>
      <c r="N97" s="1">
        <f>IF(OR($B93&lt;&gt;$B78,$B94&lt;&gt;$B79,$B95&lt;&gt;$B80,$B96&lt;&gt;$B81,$B97&lt;&gt;$B82,$B98&lt;&gt;$B83,$B99&lt;&gt;$B84,$B100&lt;&gt;$B85,$B101&lt;&gt;$B86,$B102&lt;&gt;$B87,$B103&lt;&gt;$B88),IF($B97&lt;&gt;$B82,N82/INDEX($C78:$AJ88,5,MATCH(IF('Data-solution'!$A$3="Maximize",MAX($C89:$AI89),MIN($C89:$AI89)),$C89:$AI89,0)),N82-INDEX($C78:$AJ88,5,MATCH(IF('Data-solution'!$A$3="Maximize",MAX($C89:$AI89),MIN($C89:$AI89)),$C89:$AI89,0))*INDEX(N78:$AJ88,MATCH(MIN($AK78:$AK88),$AK78:$AK88,0),1)/INDEX($C78:$AJ88,MATCH(MIN($AK78:$AK88),$AK78:$AK88,0),MATCH(IF('Data-solution'!$A$3="Maximize",MAX($C89:$AI89),MIN($C89:$AI89)),$C89:$AI89,0))),N82)</f>
        <v>0</v>
      </c>
      <c r="O97" s="1">
        <f>IF(OR($B93&lt;&gt;$B78,$B94&lt;&gt;$B79,$B95&lt;&gt;$B80,$B96&lt;&gt;$B81,$B97&lt;&gt;$B82,$B98&lt;&gt;$B83,$B99&lt;&gt;$B84,$B100&lt;&gt;$B85,$B101&lt;&gt;$B86,$B102&lt;&gt;$B87,$B103&lt;&gt;$B88),IF($B97&lt;&gt;$B82,O82/INDEX($C78:$AJ88,5,MATCH(IF('Data-solution'!$A$3="Maximize",MAX($C89:$AI89),MIN($C89:$AI89)),$C89:$AI89,0)),O82-INDEX($C78:$AJ88,5,MATCH(IF('Data-solution'!$A$3="Maximize",MAX($C89:$AI89),MIN($C89:$AI89)),$C89:$AI89,0))*INDEX(O78:$AJ88,MATCH(MIN($AK78:$AK88),$AK78:$AK88,0),1)/INDEX($C78:$AJ88,MATCH(MIN($AK78:$AK88),$AK78:$AK88,0),MATCH(IF('Data-solution'!$A$3="Maximize",MAX($C89:$AI89),MIN($C89:$AI89)),$C89:$AI89,0))),O82)</f>
        <v>0</v>
      </c>
      <c r="P97" s="1">
        <f>IF(OR($B93&lt;&gt;$B78,$B94&lt;&gt;$B79,$B95&lt;&gt;$B80,$B96&lt;&gt;$B81,$B97&lt;&gt;$B82,$B98&lt;&gt;$B83,$B99&lt;&gt;$B84,$B100&lt;&gt;$B85,$B101&lt;&gt;$B86,$B102&lt;&gt;$B87,$B103&lt;&gt;$B88),IF($B97&lt;&gt;$B82,P82/INDEX($C78:$AJ88,5,MATCH(IF('Data-solution'!$A$3="Maximize",MAX($C89:$AI89),MIN($C89:$AI89)),$C89:$AI89,0)),P82-INDEX($C78:$AJ88,5,MATCH(IF('Data-solution'!$A$3="Maximize",MAX($C89:$AI89),MIN($C89:$AI89)),$C89:$AI89,0))*INDEX(P78:$AJ88,MATCH(MIN($AK78:$AK88),$AK78:$AK88,0),1)/INDEX($C78:$AJ88,MATCH(MIN($AK78:$AK88),$AK78:$AK88,0),MATCH(IF('Data-solution'!$A$3="Maximize",MAX($C89:$AI89),MIN($C89:$AI89)),$C89:$AI89,0))),P82)</f>
        <v>0</v>
      </c>
      <c r="Q97" s="1">
        <f>IF(OR($B93&lt;&gt;$B78,$B94&lt;&gt;$B79,$B95&lt;&gt;$B80,$B96&lt;&gt;$B81,$B97&lt;&gt;$B82,$B98&lt;&gt;$B83,$B99&lt;&gt;$B84,$B100&lt;&gt;$B85,$B101&lt;&gt;$B86,$B102&lt;&gt;$B87,$B103&lt;&gt;$B88),IF($B97&lt;&gt;$B82,Q82/INDEX($C78:$AJ88,5,MATCH(IF('Data-solution'!$A$3="Maximize",MAX($C89:$AI89),MIN($C89:$AI89)),$C89:$AI89,0)),Q82-INDEX($C78:$AJ88,5,MATCH(IF('Data-solution'!$A$3="Maximize",MAX($C89:$AI89),MIN($C89:$AI89)),$C89:$AI89,0))*INDEX(Q78:$AJ88,MATCH(MIN($AK78:$AK88),$AK78:$AK88,0),1)/INDEX($C78:$AJ88,MATCH(MIN($AK78:$AK88),$AK78:$AK88,0),MATCH(IF('Data-solution'!$A$3="Maximize",MAX($C89:$AI89),MIN($C89:$AI89)),$C89:$AI89,0))),Q82)</f>
        <v>0</v>
      </c>
      <c r="R97" s="1">
        <f>IF(OR($B93&lt;&gt;$B78,$B94&lt;&gt;$B79,$B95&lt;&gt;$B80,$B96&lt;&gt;$B81,$B97&lt;&gt;$B82,$B98&lt;&gt;$B83,$B99&lt;&gt;$B84,$B100&lt;&gt;$B85,$B101&lt;&gt;$B86,$B102&lt;&gt;$B87,$B103&lt;&gt;$B88),IF($B97&lt;&gt;$B82,R82/INDEX($C78:$AJ88,5,MATCH(IF('Data-solution'!$A$3="Maximize",MAX($C89:$AI89),MIN($C89:$AI89)),$C89:$AI89,0)),R82-INDEX($C78:$AJ88,5,MATCH(IF('Data-solution'!$A$3="Maximize",MAX($C89:$AI89),MIN($C89:$AI89)),$C89:$AI89,0))*INDEX(R78:$AJ88,MATCH(MIN($AK78:$AK88),$AK78:$AK88,0),1)/INDEX($C78:$AJ88,MATCH(MIN($AK78:$AK88),$AK78:$AK88,0),MATCH(IF('Data-solution'!$A$3="Maximize",MAX($C89:$AI89),MIN($C89:$AI89)),$C89:$AI89,0))),R82)</f>
        <v>1</v>
      </c>
      <c r="S97" s="1">
        <f>IF(OR($B93&lt;&gt;$B78,$B94&lt;&gt;$B79,$B95&lt;&gt;$B80,$B96&lt;&gt;$B81,$B97&lt;&gt;$B82,$B98&lt;&gt;$B83,$B99&lt;&gt;$B84,$B100&lt;&gt;$B85,$B101&lt;&gt;$B86,$B102&lt;&gt;$B87,$B103&lt;&gt;$B88),IF($B97&lt;&gt;$B82,S82/INDEX($C78:$AJ88,5,MATCH(IF('Data-solution'!$A$3="Maximize",MAX($C89:$AI89),MIN($C89:$AI89)),$C89:$AI89,0)),S82-INDEX($C78:$AJ88,5,MATCH(IF('Data-solution'!$A$3="Maximize",MAX($C89:$AI89),MIN($C89:$AI89)),$C89:$AI89,0))*INDEX(S78:$AJ88,MATCH(MIN($AK78:$AK88),$AK78:$AK88,0),1)/INDEX($C78:$AJ88,MATCH(MIN($AK78:$AK88),$AK78:$AK88,0),MATCH(IF('Data-solution'!$A$3="Maximize",MAX($C89:$AI89),MIN($C89:$AI89)),$C89:$AI89,0))),S82)</f>
        <v>0</v>
      </c>
      <c r="T97" s="1">
        <f>IF(OR($B93&lt;&gt;$B78,$B94&lt;&gt;$B79,$B95&lt;&gt;$B80,$B96&lt;&gt;$B81,$B97&lt;&gt;$B82,$B98&lt;&gt;$B83,$B99&lt;&gt;$B84,$B100&lt;&gt;$B85,$B101&lt;&gt;$B86,$B102&lt;&gt;$B87,$B103&lt;&gt;$B88),IF($B97&lt;&gt;$B82,T82/INDEX($C78:$AJ88,5,MATCH(IF('Data-solution'!$A$3="Maximize",MAX($C89:$AI89),MIN($C89:$AI89)),$C89:$AI89,0)),T82-INDEX($C78:$AJ88,5,MATCH(IF('Data-solution'!$A$3="Maximize",MAX($C89:$AI89),MIN($C89:$AI89)),$C89:$AI89,0))*INDEX(T78:$AJ88,MATCH(MIN($AK78:$AK88),$AK78:$AK88,0),1)/INDEX($C78:$AJ88,MATCH(MIN($AK78:$AK88),$AK78:$AK88,0),MATCH(IF('Data-solution'!$A$3="Maximize",MAX($C89:$AI89),MIN($C89:$AI89)),$C89:$AI89,0))),T82)</f>
        <v>0</v>
      </c>
      <c r="U97" s="1">
        <f>IF(OR($B93&lt;&gt;$B78,$B94&lt;&gt;$B79,$B95&lt;&gt;$B80,$B96&lt;&gt;$B81,$B97&lt;&gt;$B82,$B98&lt;&gt;$B83,$B99&lt;&gt;$B84,$B100&lt;&gt;$B85,$B101&lt;&gt;$B86,$B102&lt;&gt;$B87,$B103&lt;&gt;$B88),IF($B97&lt;&gt;$B82,U82/INDEX($C78:$AJ88,5,MATCH(IF('Data-solution'!$A$3="Maximize",MAX($C89:$AI89),MIN($C89:$AI89)),$C89:$AI89,0)),U82-INDEX($C78:$AJ88,5,MATCH(IF('Data-solution'!$A$3="Maximize",MAX($C89:$AI89),MIN($C89:$AI89)),$C89:$AI89,0))*INDEX(U78:$AJ88,MATCH(MIN($AK78:$AK88),$AK78:$AK88,0),1)/INDEX($C78:$AJ88,MATCH(MIN($AK78:$AK88),$AK78:$AK88,0),MATCH(IF('Data-solution'!$A$3="Maximize",MAX($C89:$AI89),MIN($C89:$AI89)),$C89:$AI89,0))),U82)</f>
        <v>0</v>
      </c>
      <c r="V97" s="1">
        <f>IF(OR($B93&lt;&gt;$B78,$B94&lt;&gt;$B79,$B95&lt;&gt;$B80,$B96&lt;&gt;$B81,$B97&lt;&gt;$B82,$B98&lt;&gt;$B83,$B99&lt;&gt;$B84,$B100&lt;&gt;$B85,$B101&lt;&gt;$B86,$B102&lt;&gt;$B87,$B103&lt;&gt;$B88),IF($B97&lt;&gt;$B82,V82/INDEX($C78:$AJ88,5,MATCH(IF('Data-solution'!$A$3="Maximize",MAX($C89:$AI89),MIN($C89:$AI89)),$C89:$AI89,0)),V82-INDEX($C78:$AJ88,5,MATCH(IF('Data-solution'!$A$3="Maximize",MAX($C89:$AI89),MIN($C89:$AI89)),$C89:$AI89,0))*INDEX(V78:$AJ88,MATCH(MIN($AK78:$AK88),$AK78:$AK88,0),1)/INDEX($C78:$AJ88,MATCH(MIN($AK78:$AK88),$AK78:$AK88,0),MATCH(IF('Data-solution'!$A$3="Maximize",MAX($C89:$AI89),MIN($C89:$AI89)),$C89:$AI89,0))),V82)</f>
        <v>0</v>
      </c>
      <c r="W97" s="1">
        <f>IF(OR($B93&lt;&gt;$B78,$B94&lt;&gt;$B79,$B95&lt;&gt;$B80,$B96&lt;&gt;$B81,$B97&lt;&gt;$B82,$B98&lt;&gt;$B83,$B99&lt;&gt;$B84,$B100&lt;&gt;$B85,$B101&lt;&gt;$B86,$B102&lt;&gt;$B87,$B103&lt;&gt;$B88),IF($B97&lt;&gt;$B82,W82/INDEX($C78:$AJ88,5,MATCH(IF('Data-solution'!$A$3="Maximize",MAX($C89:$AI89),MIN($C89:$AI89)),$C89:$AI89,0)),W82-INDEX($C78:$AJ88,5,MATCH(IF('Data-solution'!$A$3="Maximize",MAX($C89:$AI89),MIN($C89:$AI89)),$C89:$AI89,0))*INDEX(W78:$AJ88,MATCH(MIN($AK78:$AK88),$AK78:$AK88,0),1)/INDEX($C78:$AJ88,MATCH(MIN($AK78:$AK88),$AK78:$AK88,0),MATCH(IF('Data-solution'!$A$3="Maximize",MAX($C89:$AI89),MIN($C89:$AI89)),$C89:$AI89,0))),W82)</f>
        <v>0</v>
      </c>
      <c r="X97" s="1">
        <f>IF(OR($B93&lt;&gt;$B78,$B94&lt;&gt;$B79,$B95&lt;&gt;$B80,$B96&lt;&gt;$B81,$B97&lt;&gt;$B82,$B98&lt;&gt;$B83,$B99&lt;&gt;$B84,$B100&lt;&gt;$B85,$B101&lt;&gt;$B86,$B102&lt;&gt;$B87,$B103&lt;&gt;$B88),IF($B97&lt;&gt;$B82,X82/INDEX($C78:$AJ88,5,MATCH(IF('Data-solution'!$A$3="Maximize",MAX($C89:$AI89),MIN($C89:$AI89)),$C89:$AI89,0)),X82-INDEX($C78:$AJ88,5,MATCH(IF('Data-solution'!$A$3="Maximize",MAX($C89:$AI89),MIN($C89:$AI89)),$C89:$AI89,0))*INDEX(X78:$AJ88,MATCH(MIN($AK78:$AK88),$AK78:$AK88,0),1)/INDEX($C78:$AJ88,MATCH(MIN($AK78:$AK88),$AK78:$AK88,0),MATCH(IF('Data-solution'!$A$3="Maximize",MAX($C89:$AI89),MIN($C89:$AI89)),$C89:$AI89,0))),X82)</f>
        <v>0</v>
      </c>
      <c r="Y97" s="1">
        <f>IF(OR($B93&lt;&gt;$B78,$B94&lt;&gt;$B79,$B95&lt;&gt;$B80,$B96&lt;&gt;$B81,$B97&lt;&gt;$B82,$B98&lt;&gt;$B83,$B99&lt;&gt;$B84,$B100&lt;&gt;$B85,$B101&lt;&gt;$B86,$B102&lt;&gt;$B87,$B103&lt;&gt;$B88),IF($B97&lt;&gt;$B82,Y82/INDEX($C78:$AJ88,5,MATCH(IF('Data-solution'!$A$3="Maximize",MAX($C89:$AI89),MIN($C89:$AI89)),$C89:$AI89,0)),Y82-INDEX($C78:$AJ88,5,MATCH(IF('Data-solution'!$A$3="Maximize",MAX($C89:$AI89),MIN($C89:$AI89)),$C89:$AI89,0))*INDEX(Y78:$AJ88,MATCH(MIN($AK78:$AK88),$AK78:$AK88,0),1)/INDEX($C78:$AJ88,MATCH(MIN($AK78:$AK88),$AK78:$AK88,0),MATCH(IF('Data-solution'!$A$3="Maximize",MAX($C89:$AI89),MIN($C89:$AI89)),$C89:$AI89,0))),Y82)</f>
        <v>0</v>
      </c>
      <c r="Z97" s="1">
        <f>IF(OR($B93&lt;&gt;$B78,$B94&lt;&gt;$B79,$B95&lt;&gt;$B80,$B96&lt;&gt;$B81,$B97&lt;&gt;$B82,$B98&lt;&gt;$B83,$B99&lt;&gt;$B84,$B100&lt;&gt;$B85,$B101&lt;&gt;$B86,$B102&lt;&gt;$B87,$B103&lt;&gt;$B88),IF($B97&lt;&gt;$B82,Z82/INDEX($C78:$AJ88,5,MATCH(IF('Data-solution'!$A$3="Maximize",MAX($C89:$AI89),MIN($C89:$AI89)),$C89:$AI89,0)),Z82-INDEX($C78:$AJ88,5,MATCH(IF('Data-solution'!$A$3="Maximize",MAX($C89:$AI89),MIN($C89:$AI89)),$C89:$AI89,0))*INDEX(Z78:$AJ88,MATCH(MIN($AK78:$AK88),$AK78:$AK88,0),1)/INDEX($C78:$AJ88,MATCH(MIN($AK78:$AK88),$AK78:$AK88,0),MATCH(IF('Data-solution'!$A$3="Maximize",MAX($C89:$AI89),MIN($C89:$AI89)),$C89:$AI89,0))),Z82)</f>
        <v>0</v>
      </c>
      <c r="AA97" s="1">
        <f>IF(OR($B93&lt;&gt;$B78,$B94&lt;&gt;$B79,$B95&lt;&gt;$B80,$B96&lt;&gt;$B81,$B97&lt;&gt;$B82,$B98&lt;&gt;$B83,$B99&lt;&gt;$B84,$B100&lt;&gt;$B85,$B101&lt;&gt;$B86,$B102&lt;&gt;$B87,$B103&lt;&gt;$B88),IF($B97&lt;&gt;$B82,AA82/INDEX($C78:$AJ88,5,MATCH(IF('Data-solution'!$A$3="Maximize",MAX($C89:$AI89),MIN($C89:$AI89)),$C89:$AI89,0)),AA82-INDEX($C78:$AJ88,5,MATCH(IF('Data-solution'!$A$3="Maximize",MAX($C89:$AI89),MIN($C89:$AI89)),$C89:$AI89,0))*INDEX(AA78:$AJ88,MATCH(MIN($AK78:$AK88),$AK78:$AK88,0),1)/INDEX($C78:$AJ88,MATCH(MIN($AK78:$AK88),$AK78:$AK88,0),MATCH(IF('Data-solution'!$A$3="Maximize",MAX($C89:$AI89),MIN($C89:$AI89)),$C89:$AI89,0))),AA82)</f>
        <v>0</v>
      </c>
      <c r="AB97" s="1">
        <f>IF(OR($B93&lt;&gt;$B78,$B94&lt;&gt;$B79,$B95&lt;&gt;$B80,$B96&lt;&gt;$B81,$B97&lt;&gt;$B82,$B98&lt;&gt;$B83,$B99&lt;&gt;$B84,$B100&lt;&gt;$B85,$B101&lt;&gt;$B86,$B102&lt;&gt;$B87,$B103&lt;&gt;$B88),IF($B97&lt;&gt;$B82,AB82/INDEX($C78:$AJ88,5,MATCH(IF('Data-solution'!$A$3="Maximize",MAX($C89:$AI89),MIN($C89:$AI89)),$C89:$AI89,0)),AB82-INDEX($C78:$AJ88,5,MATCH(IF('Data-solution'!$A$3="Maximize",MAX($C89:$AI89),MIN($C89:$AI89)),$C89:$AI89,0))*INDEX(AB78:$AJ88,MATCH(MIN($AK78:$AK88),$AK78:$AK88,0),1)/INDEX($C78:$AJ88,MATCH(MIN($AK78:$AK88),$AK78:$AK88,0),MATCH(IF('Data-solution'!$A$3="Maximize",MAX($C89:$AI89),MIN($C89:$AI89)),$C89:$AI89,0))),AB82)</f>
        <v>0</v>
      </c>
      <c r="AC97" s="1">
        <f>IF(OR($B93&lt;&gt;$B78,$B94&lt;&gt;$B79,$B95&lt;&gt;$B80,$B96&lt;&gt;$B81,$B97&lt;&gt;$B82,$B98&lt;&gt;$B83,$B99&lt;&gt;$B84,$B100&lt;&gt;$B85,$B101&lt;&gt;$B86,$B102&lt;&gt;$B87,$B103&lt;&gt;$B88),IF($B97&lt;&gt;$B82,AC82/INDEX($C78:$AJ88,5,MATCH(IF('Data-solution'!$A$3="Maximize",MAX($C89:$AI89),MIN($C89:$AI89)),$C89:$AI89,0)),AC82-INDEX($C78:$AJ88,5,MATCH(IF('Data-solution'!$A$3="Maximize",MAX($C89:$AI89),MIN($C89:$AI89)),$C89:$AI89,0))*INDEX(AC78:$AJ88,MATCH(MIN($AK78:$AK88),$AK78:$AK88,0),1)/INDEX($C78:$AJ88,MATCH(MIN($AK78:$AK88),$AK78:$AK88,0),MATCH(IF('Data-solution'!$A$3="Maximize",MAX($C89:$AI89),MIN($C89:$AI89)),$C89:$AI89,0))),AC82)</f>
        <v>1</v>
      </c>
      <c r="AD97" s="1">
        <f>IF(OR($B93&lt;&gt;$B78,$B94&lt;&gt;$B79,$B95&lt;&gt;$B80,$B96&lt;&gt;$B81,$B97&lt;&gt;$B82,$B98&lt;&gt;$B83,$B99&lt;&gt;$B84,$B100&lt;&gt;$B85,$B101&lt;&gt;$B86,$B102&lt;&gt;$B87,$B103&lt;&gt;$B88),IF($B97&lt;&gt;$B82,AD82/INDEX($C78:$AJ88,5,MATCH(IF('Data-solution'!$A$3="Maximize",MAX($C89:$AI89),MIN($C89:$AI89)),$C89:$AI89,0)),AD82-INDEX($C78:$AJ88,5,MATCH(IF('Data-solution'!$A$3="Maximize",MAX($C89:$AI89),MIN($C89:$AI89)),$C89:$AI89,0))*INDEX(AD78:$AJ88,MATCH(MIN($AK78:$AK88),$AK78:$AK88,0),1)/INDEX($C78:$AJ88,MATCH(MIN($AK78:$AK88),$AK78:$AK88,0),MATCH(IF('Data-solution'!$A$3="Maximize",MAX($C89:$AI89),MIN($C89:$AI89)),$C89:$AI89,0))),AD82)</f>
        <v>0</v>
      </c>
      <c r="AE97" s="1">
        <f>IF(OR($B93&lt;&gt;$B78,$B94&lt;&gt;$B79,$B95&lt;&gt;$B80,$B96&lt;&gt;$B81,$B97&lt;&gt;$B82,$B98&lt;&gt;$B83,$B99&lt;&gt;$B84,$B100&lt;&gt;$B85,$B101&lt;&gt;$B86,$B102&lt;&gt;$B87,$B103&lt;&gt;$B88),IF($B97&lt;&gt;$B82,AE82/INDEX($C78:$AJ88,5,MATCH(IF('Data-solution'!$A$3="Maximize",MAX($C89:$AI89),MIN($C89:$AI89)),$C89:$AI89,0)),AE82-INDEX($C78:$AJ88,5,MATCH(IF('Data-solution'!$A$3="Maximize",MAX($C89:$AI89),MIN($C89:$AI89)),$C89:$AI89,0))*INDEX(AE78:$AJ88,MATCH(MIN($AK78:$AK88),$AK78:$AK88,0),1)/INDEX($C78:$AJ88,MATCH(MIN($AK78:$AK88),$AK78:$AK88,0),MATCH(IF('Data-solution'!$A$3="Maximize",MAX($C89:$AI89),MIN($C89:$AI89)),$C89:$AI89,0))),AE82)</f>
        <v>0</v>
      </c>
      <c r="AF97" s="1">
        <f>IF(OR($B93&lt;&gt;$B78,$B94&lt;&gt;$B79,$B95&lt;&gt;$B80,$B96&lt;&gt;$B81,$B97&lt;&gt;$B82,$B98&lt;&gt;$B83,$B99&lt;&gt;$B84,$B100&lt;&gt;$B85,$B101&lt;&gt;$B86,$B102&lt;&gt;$B87,$B103&lt;&gt;$B88),IF($B97&lt;&gt;$B82,AF82/INDEX($C78:$AJ88,5,MATCH(IF('Data-solution'!$A$3="Maximize",MAX($C89:$AI89),MIN($C89:$AI89)),$C89:$AI89,0)),AF82-INDEX($C78:$AJ88,5,MATCH(IF('Data-solution'!$A$3="Maximize",MAX($C89:$AI89),MIN($C89:$AI89)),$C89:$AI89,0))*INDEX(AF78:$AJ88,MATCH(MIN($AK78:$AK88),$AK78:$AK88,0),1)/INDEX($C78:$AJ88,MATCH(MIN($AK78:$AK88),$AK78:$AK88,0),MATCH(IF('Data-solution'!$A$3="Maximize",MAX($C89:$AI89),MIN($C89:$AI89)),$C89:$AI89,0))),AF82)</f>
        <v>0</v>
      </c>
      <c r="AG97" s="1">
        <f>IF(OR($B93&lt;&gt;$B78,$B94&lt;&gt;$B79,$B95&lt;&gt;$B80,$B96&lt;&gt;$B81,$B97&lt;&gt;$B82,$B98&lt;&gt;$B83,$B99&lt;&gt;$B84,$B100&lt;&gt;$B85,$B101&lt;&gt;$B86,$B102&lt;&gt;$B87,$B103&lt;&gt;$B88),IF($B97&lt;&gt;$B82,AG82/INDEX($C78:$AJ88,5,MATCH(IF('Data-solution'!$A$3="Maximize",MAX($C89:$AI89),MIN($C89:$AI89)),$C89:$AI89,0)),AG82-INDEX($C78:$AJ88,5,MATCH(IF('Data-solution'!$A$3="Maximize",MAX($C89:$AI89),MIN($C89:$AI89)),$C89:$AI89,0))*INDEX(AG78:$AJ88,MATCH(MIN($AK78:$AK88),$AK78:$AK88,0),1)/INDEX($C78:$AJ88,MATCH(MIN($AK78:$AK88),$AK78:$AK88,0),MATCH(IF('Data-solution'!$A$3="Maximize",MAX($C89:$AI89),MIN($C89:$AI89)),$C89:$AI89,0))),AG82)</f>
        <v>0</v>
      </c>
      <c r="AH97" s="1">
        <f>IF(OR($B93&lt;&gt;$B78,$B94&lt;&gt;$B79,$B95&lt;&gt;$B80,$B96&lt;&gt;$B81,$B97&lt;&gt;$B82,$B98&lt;&gt;$B83,$B99&lt;&gt;$B84,$B100&lt;&gt;$B85,$B101&lt;&gt;$B86,$B102&lt;&gt;$B87,$B103&lt;&gt;$B88),IF($B97&lt;&gt;$B82,AH82/INDEX($C78:$AJ88,5,MATCH(IF('Data-solution'!$A$3="Maximize",MAX($C89:$AI89),MIN($C89:$AI89)),$C89:$AI89,0)),AH82-INDEX($C78:$AJ88,5,MATCH(IF('Data-solution'!$A$3="Maximize",MAX($C89:$AI89),MIN($C89:$AI89)),$C89:$AI89,0))*INDEX(AH78:$AJ88,MATCH(MIN($AK78:$AK88),$AK78:$AK88,0),1)/INDEX($C78:$AJ88,MATCH(MIN($AK78:$AK88),$AK78:$AK88,0),MATCH(IF('Data-solution'!$A$3="Maximize",MAX($C89:$AI89),MIN($C89:$AI89)),$C89:$AI89,0))),AH82)</f>
        <v>0</v>
      </c>
      <c r="AI97" s="1">
        <f>IF(OR($B93&lt;&gt;$B78,$B94&lt;&gt;$B79,$B95&lt;&gt;$B80,$B96&lt;&gt;$B81,$B97&lt;&gt;$B82,$B98&lt;&gt;$B83,$B99&lt;&gt;$B84,$B100&lt;&gt;$B85,$B101&lt;&gt;$B86,$B102&lt;&gt;$B87,$B103&lt;&gt;$B88),IF($B97&lt;&gt;$B82,AI82/INDEX($C78:$AJ88,5,MATCH(IF('Data-solution'!$A$3="Maximize",MAX($C89:$AI89),MIN($C89:$AI89)),$C89:$AI89,0)),AI82-INDEX($C78:$AJ88,5,MATCH(IF('Data-solution'!$A$3="Maximize",MAX($C89:$AI89),MIN($C89:$AI89)),$C89:$AI89,0))*INDEX(AI78:$AJ88,MATCH(MIN($AK78:$AK88),$AK78:$AK88,0),1)/INDEX($C78:$AJ88,MATCH(MIN($AK78:$AK88),$AK78:$AK88,0),MATCH(IF('Data-solution'!$A$3="Maximize",MAX($C89:$AI89),MIN($C89:$AI89)),$C89:$AI89,0))),AI82)</f>
        <v>0</v>
      </c>
      <c r="AJ97" s="1">
        <f>IF(OR($B93&lt;&gt;$B78,$B94&lt;&gt;$B79,$B95&lt;&gt;$B80,$B96&lt;&gt;$B81,$B97&lt;&gt;$B82,$B98&lt;&gt;$B83,$B99&lt;&gt;$B84,$B100&lt;&gt;$B85,$B101&lt;&gt;$B86,$B102&lt;&gt;$B87,$B103&lt;&gt;$B88),IF($B97&lt;&gt;$B82,AJ82/INDEX($C78:$AJ88,5,MATCH(IF('Data-solution'!$A$3="Maximize",MAX($C89:$AI89),MIN($C89:$AI89)),$C89:$AI89,0)),AJ82-INDEX($C78:$AJ88,5,MATCH(IF('Data-solution'!$A$3="Maximize",MAX($C89:$AI89),MIN($C89:$AI89)),$C89:$AI89,0))*INDEX(AJ78:$AJ88,MATCH(MIN($AK78:$AK88),$AK78:$AK88,0),1)/INDEX($C78:$AJ88,MATCH(MIN($AK78:$AK88),$AK78:$AK88,0),MATCH(IF('Data-solution'!$A$3="Maximize",MAX($C89:$AI89),MIN($C89:$AI89)),$C89:$AI89,0))),AJ82)</f>
        <v>0</v>
      </c>
      <c r="AK97" s="1" t="str">
        <f>IF(INDEX(C97:X97,1,MATCH(IF('Data-solution'!A$3="Maximize",MAX(C104:X104),MIN(C104:X104)),C104:X104,0))&gt;0,AJ97/INDEX(C97:X97,1,MATCH(IF('Data-solution'!A$3="Maximize",MAX(C104:X104),MIN(C104:X104)),C104:X104,0))," ")</f>
        <v xml:space="preserve"> </v>
      </c>
    </row>
    <row r="98" spans="1:37" ht="18" customHeight="1" x14ac:dyDescent="0.2">
      <c r="A98" s="1">
        <f t="shared" ref="A98" si="69">INDEX(C91:AI91,1,MATCH(B98,C92:AI92,0))</f>
        <v>0</v>
      </c>
      <c r="B98" s="2" t="str">
        <f>IF(AND('Data-solution'!A$3="Maximize",COUNTIF(C89:X89,"&gt;"&amp;0)&gt;0,AK83=MIN(AK78:AK88),COUNTIF(B93:B97,INDEX(C77:X77,1,MATCH(MAX(C89:X89),C89:X89,0)))=0),INDEX(C77:X77,1,MATCH(MAX(C89:X89),C89:X89,0)),IF(AND('Data-solution'!A$3="Minimize",COUNTIF(C89:X89,"&lt;"&amp;0)&gt;0,AK83=MIN(AK78:AK88),COUNTIF(B93:B97,INDEX(C77:X77,1,MATCH(MIN(C89:X89),C89:X89,0)))=0),INDEX(C77:X77,1,MATCH(MIN(C89:X89),C89:X89,0)),B83))</f>
        <v>S6</v>
      </c>
      <c r="C98" s="1">
        <f>IF(OR($B93&lt;&gt;$B78,$B94&lt;&gt;$B79,$B95&lt;&gt;$B80,$B96&lt;&gt;$B81,$B97&lt;&gt;$B82,$B98&lt;&gt;$B83,$B99&lt;&gt;$B84,$B100&lt;&gt;$B85,$B101&lt;&gt;$B86,$B102&lt;&gt;$B87,$B103&lt;&gt;$B88),IF($B98&lt;&gt;$B83,C83/INDEX($C78:$AJ88,6,MATCH(IF('Data-solution'!$A$3="Maximize",MAX($C89:$AI89),MIN($C89:$AI89)),$C89:$AI89,0)),C83-INDEX($C78:$AJ88,6,MATCH(IF('Data-solution'!$A$3="Maximize",MAX($C89:$AI89),MIN($C89:$AI89)),$C89:$AI89,0))*INDEX(C78:$AJ88,MATCH(MIN($AK78:$AK88),$AK78:$AK88,0),1)/INDEX($C78:$AJ88,MATCH(MIN($AK78:$AK88),$AK78:$AK88,0),MATCH(IF('Data-solution'!$A$3="Maximize",MAX($C89:$AI89),MIN($C89:$AI89)),$C89:$AI89,0))),C83)</f>
        <v>0</v>
      </c>
      <c r="D98" s="1">
        <f>IF(OR($B93&lt;&gt;$B78,$B94&lt;&gt;$B79,$B95&lt;&gt;$B80,$B96&lt;&gt;$B81,$B97&lt;&gt;$B82,$B98&lt;&gt;$B83,$B99&lt;&gt;$B84,$B100&lt;&gt;$B85,$B101&lt;&gt;$B86,$B102&lt;&gt;$B87,$B103&lt;&gt;$B88),IF($B98&lt;&gt;$B83,D83/INDEX($C78:$AJ88,6,MATCH(IF('Data-solution'!$A$3="Maximize",MAX($C89:$AI89),MIN($C89:$AI89)),$C89:$AI89,0)),D83-INDEX($C78:$AJ88,6,MATCH(IF('Data-solution'!$A$3="Maximize",MAX($C89:$AI89),MIN($C89:$AI89)),$C89:$AI89,0))*INDEX(D78:$AJ88,MATCH(MIN($AK78:$AK88),$AK78:$AK88,0),1)/INDEX($C78:$AJ88,MATCH(MIN($AK78:$AK88),$AK78:$AK88,0),MATCH(IF('Data-solution'!$A$3="Maximize",MAX($C89:$AI89),MIN($C89:$AI89)),$C89:$AI89,0))),D83)</f>
        <v>0</v>
      </c>
      <c r="E98" s="1">
        <f>IF(OR($B93&lt;&gt;$B78,$B94&lt;&gt;$B79,$B95&lt;&gt;$B80,$B96&lt;&gt;$B81,$B97&lt;&gt;$B82,$B98&lt;&gt;$B83,$B99&lt;&gt;$B84,$B100&lt;&gt;$B85,$B101&lt;&gt;$B86,$B102&lt;&gt;$B87,$B103&lt;&gt;$B88),IF($B98&lt;&gt;$B83,E83/INDEX($C78:$AJ88,6,MATCH(IF('Data-solution'!$A$3="Maximize",MAX($C89:$AI89),MIN($C89:$AI89)),$C89:$AI89,0)),E83-INDEX($C78:$AJ88,6,MATCH(IF('Data-solution'!$A$3="Maximize",MAX($C89:$AI89),MIN($C89:$AI89)),$C89:$AI89,0))*INDEX(E78:$AJ88,MATCH(MIN($AK78:$AK88),$AK78:$AK88,0),1)/INDEX($C78:$AJ88,MATCH(MIN($AK78:$AK88),$AK78:$AK88,0),MATCH(IF('Data-solution'!$A$3="Maximize",MAX($C89:$AI89),MIN($C89:$AI89)),$C89:$AI89,0))),E83)</f>
        <v>0</v>
      </c>
      <c r="F98" s="1">
        <f>IF(OR($B93&lt;&gt;$B78,$B94&lt;&gt;$B79,$B95&lt;&gt;$B80,$B96&lt;&gt;$B81,$B97&lt;&gt;$B82,$B98&lt;&gt;$B83,$B99&lt;&gt;$B84,$B100&lt;&gt;$B85,$B101&lt;&gt;$B86,$B102&lt;&gt;$B87,$B103&lt;&gt;$B88),IF($B98&lt;&gt;$B83,F83/INDEX($C78:$AJ88,6,MATCH(IF('Data-solution'!$A$3="Maximize",MAX($C89:$AI89),MIN($C89:$AI89)),$C89:$AI89,0)),F83-INDEX($C78:$AJ88,6,MATCH(IF('Data-solution'!$A$3="Maximize",MAX($C89:$AI89),MIN($C89:$AI89)),$C89:$AI89,0))*INDEX(F78:$AJ88,MATCH(MIN($AK78:$AK88),$AK78:$AK88,0),1)/INDEX($C78:$AJ88,MATCH(MIN($AK78:$AK88),$AK78:$AK88,0),MATCH(IF('Data-solution'!$A$3="Maximize",MAX($C89:$AI89),MIN($C89:$AI89)),$C89:$AI89,0))),F83)</f>
        <v>0</v>
      </c>
      <c r="G98" s="1">
        <f>IF(OR($B93&lt;&gt;$B78,$B94&lt;&gt;$B79,$B95&lt;&gt;$B80,$B96&lt;&gt;$B81,$B97&lt;&gt;$B82,$B98&lt;&gt;$B83,$B99&lt;&gt;$B84,$B100&lt;&gt;$B85,$B101&lt;&gt;$B86,$B102&lt;&gt;$B87,$B103&lt;&gt;$B88),IF($B98&lt;&gt;$B83,G83/INDEX($C78:$AJ88,6,MATCH(IF('Data-solution'!$A$3="Maximize",MAX($C89:$AI89),MIN($C89:$AI89)),$C89:$AI89,0)),G83-INDEX($C78:$AJ88,6,MATCH(IF('Data-solution'!$A$3="Maximize",MAX($C89:$AI89),MIN($C89:$AI89)),$C89:$AI89,0))*INDEX(G78:$AJ88,MATCH(MIN($AK78:$AK88),$AK78:$AK88,0),1)/INDEX($C78:$AJ88,MATCH(MIN($AK78:$AK88),$AK78:$AK88,0),MATCH(IF('Data-solution'!$A$3="Maximize",MAX($C89:$AI89),MIN($C89:$AI89)),$C89:$AI89,0))),G83)</f>
        <v>0</v>
      </c>
      <c r="H98" s="1">
        <f>IF(OR($B93&lt;&gt;$B78,$B94&lt;&gt;$B79,$B95&lt;&gt;$B80,$B96&lt;&gt;$B81,$B97&lt;&gt;$B82,$B98&lt;&gt;$B83,$B99&lt;&gt;$B84,$B100&lt;&gt;$B85,$B101&lt;&gt;$B86,$B102&lt;&gt;$B87,$B103&lt;&gt;$B88),IF($B98&lt;&gt;$B83,H83/INDEX($C78:$AJ88,6,MATCH(IF('Data-solution'!$A$3="Maximize",MAX($C89:$AI89),MIN($C89:$AI89)),$C89:$AI89,0)),H83-INDEX($C78:$AJ88,6,MATCH(IF('Data-solution'!$A$3="Maximize",MAX($C89:$AI89),MIN($C89:$AI89)),$C89:$AI89,0))*INDEX(H78:$AJ88,MATCH(MIN($AK78:$AK88),$AK78:$AK88,0),1)/INDEX($C78:$AJ88,MATCH(MIN($AK78:$AK88),$AK78:$AK88,0),MATCH(IF('Data-solution'!$A$3="Maximize",MAX($C89:$AI89),MIN($C89:$AI89)),$C89:$AI89,0))),H83)</f>
        <v>0</v>
      </c>
      <c r="I98" s="1">
        <f>IF(OR($B93&lt;&gt;$B78,$B94&lt;&gt;$B79,$B95&lt;&gt;$B80,$B96&lt;&gt;$B81,$B97&lt;&gt;$B82,$B98&lt;&gt;$B83,$B99&lt;&gt;$B84,$B100&lt;&gt;$B85,$B101&lt;&gt;$B86,$B102&lt;&gt;$B87,$B103&lt;&gt;$B88),IF($B98&lt;&gt;$B83,I83/INDEX($C78:$AJ88,6,MATCH(IF('Data-solution'!$A$3="Maximize",MAX($C89:$AI89),MIN($C89:$AI89)),$C89:$AI89,0)),I83-INDEX($C78:$AJ88,6,MATCH(IF('Data-solution'!$A$3="Maximize",MAX($C89:$AI89),MIN($C89:$AI89)),$C89:$AI89,0))*INDEX(I78:$AJ88,MATCH(MIN($AK78:$AK88),$AK78:$AK88,0),1)/INDEX($C78:$AJ88,MATCH(MIN($AK78:$AK88),$AK78:$AK88,0),MATCH(IF('Data-solution'!$A$3="Maximize",MAX($C89:$AI89),MIN($C89:$AI89)),$C89:$AI89,0))),I83)</f>
        <v>0</v>
      </c>
      <c r="J98" s="1">
        <f>IF(OR($B93&lt;&gt;$B78,$B94&lt;&gt;$B79,$B95&lt;&gt;$B80,$B96&lt;&gt;$B81,$B97&lt;&gt;$B82,$B98&lt;&gt;$B83,$B99&lt;&gt;$B84,$B100&lt;&gt;$B85,$B101&lt;&gt;$B86,$B102&lt;&gt;$B87,$B103&lt;&gt;$B88),IF($B98&lt;&gt;$B83,J83/INDEX($C78:$AJ88,6,MATCH(IF('Data-solution'!$A$3="Maximize",MAX($C89:$AI89),MIN($C89:$AI89)),$C89:$AI89,0)),J83-INDEX($C78:$AJ88,6,MATCH(IF('Data-solution'!$A$3="Maximize",MAX($C89:$AI89),MIN($C89:$AI89)),$C89:$AI89,0))*INDEX(J78:$AJ88,MATCH(MIN($AK78:$AK88),$AK78:$AK88,0),1)/INDEX($C78:$AJ88,MATCH(MIN($AK78:$AK88),$AK78:$AK88,0),MATCH(IF('Data-solution'!$A$3="Maximize",MAX($C89:$AI89),MIN($C89:$AI89)),$C89:$AI89,0))),J83)</f>
        <v>0</v>
      </c>
      <c r="K98" s="1">
        <f>IF(OR($B93&lt;&gt;$B78,$B94&lt;&gt;$B79,$B95&lt;&gt;$B80,$B96&lt;&gt;$B81,$B97&lt;&gt;$B82,$B98&lt;&gt;$B83,$B99&lt;&gt;$B84,$B100&lt;&gt;$B85,$B101&lt;&gt;$B86,$B102&lt;&gt;$B87,$B103&lt;&gt;$B88),IF($B98&lt;&gt;$B83,K83/INDEX($C78:$AJ88,6,MATCH(IF('Data-solution'!$A$3="Maximize",MAX($C89:$AI89),MIN($C89:$AI89)),$C89:$AI89,0)),K83-INDEX($C78:$AJ88,6,MATCH(IF('Data-solution'!$A$3="Maximize",MAX($C89:$AI89),MIN($C89:$AI89)),$C89:$AI89,0))*INDEX(K78:$AJ88,MATCH(MIN($AK78:$AK88),$AK78:$AK88,0),1)/INDEX($C78:$AJ88,MATCH(MIN($AK78:$AK88),$AK78:$AK88,0),MATCH(IF('Data-solution'!$A$3="Maximize",MAX($C89:$AI89),MIN($C89:$AI89)),$C89:$AI89,0))),K83)</f>
        <v>0</v>
      </c>
      <c r="L98" s="1">
        <f>IF(OR($B93&lt;&gt;$B78,$B94&lt;&gt;$B79,$B95&lt;&gt;$B80,$B96&lt;&gt;$B81,$B97&lt;&gt;$B82,$B98&lt;&gt;$B83,$B99&lt;&gt;$B84,$B100&lt;&gt;$B85,$B101&lt;&gt;$B86,$B102&lt;&gt;$B87,$B103&lt;&gt;$B88),IF($B98&lt;&gt;$B83,L83/INDEX($C78:$AJ88,6,MATCH(IF('Data-solution'!$A$3="Maximize",MAX($C89:$AI89),MIN($C89:$AI89)),$C89:$AI89,0)),L83-INDEX($C78:$AJ88,6,MATCH(IF('Data-solution'!$A$3="Maximize",MAX($C89:$AI89),MIN($C89:$AI89)),$C89:$AI89,0))*INDEX(L78:$AJ88,MATCH(MIN($AK78:$AK88),$AK78:$AK88,0),1)/INDEX($C78:$AJ88,MATCH(MIN($AK78:$AK88),$AK78:$AK88,0),MATCH(IF('Data-solution'!$A$3="Maximize",MAX($C89:$AI89),MIN($C89:$AI89)),$C89:$AI89,0))),L83)</f>
        <v>0</v>
      </c>
      <c r="M98" s="1">
        <f>IF(OR($B93&lt;&gt;$B78,$B94&lt;&gt;$B79,$B95&lt;&gt;$B80,$B96&lt;&gt;$B81,$B97&lt;&gt;$B82,$B98&lt;&gt;$B83,$B99&lt;&gt;$B84,$B100&lt;&gt;$B85,$B101&lt;&gt;$B86,$B102&lt;&gt;$B87,$B103&lt;&gt;$B88),IF($B98&lt;&gt;$B83,M83/INDEX($C78:$AJ88,6,MATCH(IF('Data-solution'!$A$3="Maximize",MAX($C89:$AI89),MIN($C89:$AI89)),$C89:$AI89,0)),M83-INDEX($C78:$AJ88,6,MATCH(IF('Data-solution'!$A$3="Maximize",MAX($C89:$AI89),MIN($C89:$AI89)),$C89:$AI89,0))*INDEX(M78:$AJ88,MATCH(MIN($AK78:$AK88),$AK78:$AK88,0),1)/INDEX($C78:$AJ88,MATCH(MIN($AK78:$AK88),$AK78:$AK88,0),MATCH(IF('Data-solution'!$A$3="Maximize",MAX($C89:$AI89),MIN($C89:$AI89)),$C89:$AI89,0))),M83)</f>
        <v>0</v>
      </c>
      <c r="N98" s="1">
        <f>IF(OR($B93&lt;&gt;$B78,$B94&lt;&gt;$B79,$B95&lt;&gt;$B80,$B96&lt;&gt;$B81,$B97&lt;&gt;$B82,$B98&lt;&gt;$B83,$B99&lt;&gt;$B84,$B100&lt;&gt;$B85,$B101&lt;&gt;$B86,$B102&lt;&gt;$B87,$B103&lt;&gt;$B88),IF($B98&lt;&gt;$B83,N83/INDEX($C78:$AJ88,6,MATCH(IF('Data-solution'!$A$3="Maximize",MAX($C89:$AI89),MIN($C89:$AI89)),$C89:$AI89,0)),N83-INDEX($C78:$AJ88,6,MATCH(IF('Data-solution'!$A$3="Maximize",MAX($C89:$AI89),MIN($C89:$AI89)),$C89:$AI89,0))*INDEX(N78:$AJ88,MATCH(MIN($AK78:$AK88),$AK78:$AK88,0),1)/INDEX($C78:$AJ88,MATCH(MIN($AK78:$AK88),$AK78:$AK88,0),MATCH(IF('Data-solution'!$A$3="Maximize",MAX($C89:$AI89),MIN($C89:$AI89)),$C89:$AI89,0))),N83)</f>
        <v>0</v>
      </c>
      <c r="O98" s="1">
        <f>IF(OR($B93&lt;&gt;$B78,$B94&lt;&gt;$B79,$B95&lt;&gt;$B80,$B96&lt;&gt;$B81,$B97&lt;&gt;$B82,$B98&lt;&gt;$B83,$B99&lt;&gt;$B84,$B100&lt;&gt;$B85,$B101&lt;&gt;$B86,$B102&lt;&gt;$B87,$B103&lt;&gt;$B88),IF($B98&lt;&gt;$B83,O83/INDEX($C78:$AJ88,6,MATCH(IF('Data-solution'!$A$3="Maximize",MAX($C89:$AI89),MIN($C89:$AI89)),$C89:$AI89,0)),O83-INDEX($C78:$AJ88,6,MATCH(IF('Data-solution'!$A$3="Maximize",MAX($C89:$AI89),MIN($C89:$AI89)),$C89:$AI89,0))*INDEX(O78:$AJ88,MATCH(MIN($AK78:$AK88),$AK78:$AK88,0),1)/INDEX($C78:$AJ88,MATCH(MIN($AK78:$AK88),$AK78:$AK88,0),MATCH(IF('Data-solution'!$A$3="Maximize",MAX($C89:$AI89),MIN($C89:$AI89)),$C89:$AI89,0))),O83)</f>
        <v>0</v>
      </c>
      <c r="P98" s="1">
        <f>IF(OR($B93&lt;&gt;$B78,$B94&lt;&gt;$B79,$B95&lt;&gt;$B80,$B96&lt;&gt;$B81,$B97&lt;&gt;$B82,$B98&lt;&gt;$B83,$B99&lt;&gt;$B84,$B100&lt;&gt;$B85,$B101&lt;&gt;$B86,$B102&lt;&gt;$B87,$B103&lt;&gt;$B88),IF($B98&lt;&gt;$B83,P83/INDEX($C78:$AJ88,6,MATCH(IF('Data-solution'!$A$3="Maximize",MAX($C89:$AI89),MIN($C89:$AI89)),$C89:$AI89,0)),P83-INDEX($C78:$AJ88,6,MATCH(IF('Data-solution'!$A$3="Maximize",MAX($C89:$AI89),MIN($C89:$AI89)),$C89:$AI89,0))*INDEX(P78:$AJ88,MATCH(MIN($AK78:$AK88),$AK78:$AK88,0),1)/INDEX($C78:$AJ88,MATCH(MIN($AK78:$AK88),$AK78:$AK88,0),MATCH(IF('Data-solution'!$A$3="Maximize",MAX($C89:$AI89),MIN($C89:$AI89)),$C89:$AI89,0))),P83)</f>
        <v>0</v>
      </c>
      <c r="Q98" s="1">
        <f>IF(OR($B93&lt;&gt;$B78,$B94&lt;&gt;$B79,$B95&lt;&gt;$B80,$B96&lt;&gt;$B81,$B97&lt;&gt;$B82,$B98&lt;&gt;$B83,$B99&lt;&gt;$B84,$B100&lt;&gt;$B85,$B101&lt;&gt;$B86,$B102&lt;&gt;$B87,$B103&lt;&gt;$B88),IF($B98&lt;&gt;$B83,Q83/INDEX($C78:$AJ88,6,MATCH(IF('Data-solution'!$A$3="Maximize",MAX($C89:$AI89),MIN($C89:$AI89)),$C89:$AI89,0)),Q83-INDEX($C78:$AJ88,6,MATCH(IF('Data-solution'!$A$3="Maximize",MAX($C89:$AI89),MIN($C89:$AI89)),$C89:$AI89,0))*INDEX(Q78:$AJ88,MATCH(MIN($AK78:$AK88),$AK78:$AK88,0),1)/INDEX($C78:$AJ88,MATCH(MIN($AK78:$AK88),$AK78:$AK88,0),MATCH(IF('Data-solution'!$A$3="Maximize",MAX($C89:$AI89),MIN($C89:$AI89)),$C89:$AI89,0))),Q83)</f>
        <v>0</v>
      </c>
      <c r="R98" s="1">
        <f>IF(OR($B93&lt;&gt;$B78,$B94&lt;&gt;$B79,$B95&lt;&gt;$B80,$B96&lt;&gt;$B81,$B97&lt;&gt;$B82,$B98&lt;&gt;$B83,$B99&lt;&gt;$B84,$B100&lt;&gt;$B85,$B101&lt;&gt;$B86,$B102&lt;&gt;$B87,$B103&lt;&gt;$B88),IF($B98&lt;&gt;$B83,R83/INDEX($C78:$AJ88,6,MATCH(IF('Data-solution'!$A$3="Maximize",MAX($C89:$AI89),MIN($C89:$AI89)),$C89:$AI89,0)),R83-INDEX($C78:$AJ88,6,MATCH(IF('Data-solution'!$A$3="Maximize",MAX($C89:$AI89),MIN($C89:$AI89)),$C89:$AI89,0))*INDEX(R78:$AJ88,MATCH(MIN($AK78:$AK88),$AK78:$AK88,0),1)/INDEX($C78:$AJ88,MATCH(MIN($AK78:$AK88),$AK78:$AK88,0),MATCH(IF('Data-solution'!$A$3="Maximize",MAX($C89:$AI89),MIN($C89:$AI89)),$C89:$AI89,0))),R83)</f>
        <v>0</v>
      </c>
      <c r="S98" s="1">
        <f>IF(OR($B93&lt;&gt;$B78,$B94&lt;&gt;$B79,$B95&lt;&gt;$B80,$B96&lt;&gt;$B81,$B97&lt;&gt;$B82,$B98&lt;&gt;$B83,$B99&lt;&gt;$B84,$B100&lt;&gt;$B85,$B101&lt;&gt;$B86,$B102&lt;&gt;$B87,$B103&lt;&gt;$B88),IF($B98&lt;&gt;$B83,S83/INDEX($C78:$AJ88,6,MATCH(IF('Data-solution'!$A$3="Maximize",MAX($C89:$AI89),MIN($C89:$AI89)),$C89:$AI89,0)),S83-INDEX($C78:$AJ88,6,MATCH(IF('Data-solution'!$A$3="Maximize",MAX($C89:$AI89),MIN($C89:$AI89)),$C89:$AI89,0))*INDEX(S78:$AJ88,MATCH(MIN($AK78:$AK88),$AK78:$AK88,0),1)/INDEX($C78:$AJ88,MATCH(MIN($AK78:$AK88),$AK78:$AK88,0),MATCH(IF('Data-solution'!$A$3="Maximize",MAX($C89:$AI89),MIN($C89:$AI89)),$C89:$AI89,0))),S83)</f>
        <v>1</v>
      </c>
      <c r="T98" s="1">
        <f>IF(OR($B93&lt;&gt;$B78,$B94&lt;&gt;$B79,$B95&lt;&gt;$B80,$B96&lt;&gt;$B81,$B97&lt;&gt;$B82,$B98&lt;&gt;$B83,$B99&lt;&gt;$B84,$B100&lt;&gt;$B85,$B101&lt;&gt;$B86,$B102&lt;&gt;$B87,$B103&lt;&gt;$B88),IF($B98&lt;&gt;$B83,T83/INDEX($C78:$AJ88,6,MATCH(IF('Data-solution'!$A$3="Maximize",MAX($C89:$AI89),MIN($C89:$AI89)),$C89:$AI89,0)),T83-INDEX($C78:$AJ88,6,MATCH(IF('Data-solution'!$A$3="Maximize",MAX($C89:$AI89),MIN($C89:$AI89)),$C89:$AI89,0))*INDEX(T78:$AJ88,MATCH(MIN($AK78:$AK88),$AK78:$AK88,0),1)/INDEX($C78:$AJ88,MATCH(MIN($AK78:$AK88),$AK78:$AK88,0),MATCH(IF('Data-solution'!$A$3="Maximize",MAX($C89:$AI89),MIN($C89:$AI89)),$C89:$AI89,0))),T83)</f>
        <v>0</v>
      </c>
      <c r="U98" s="1">
        <f>IF(OR($B93&lt;&gt;$B78,$B94&lt;&gt;$B79,$B95&lt;&gt;$B80,$B96&lt;&gt;$B81,$B97&lt;&gt;$B82,$B98&lt;&gt;$B83,$B99&lt;&gt;$B84,$B100&lt;&gt;$B85,$B101&lt;&gt;$B86,$B102&lt;&gt;$B87,$B103&lt;&gt;$B88),IF($B98&lt;&gt;$B83,U83/INDEX($C78:$AJ88,6,MATCH(IF('Data-solution'!$A$3="Maximize",MAX($C89:$AI89),MIN($C89:$AI89)),$C89:$AI89,0)),U83-INDEX($C78:$AJ88,6,MATCH(IF('Data-solution'!$A$3="Maximize",MAX($C89:$AI89),MIN($C89:$AI89)),$C89:$AI89,0))*INDEX(U78:$AJ88,MATCH(MIN($AK78:$AK88),$AK78:$AK88,0),1)/INDEX($C78:$AJ88,MATCH(MIN($AK78:$AK88),$AK78:$AK88,0),MATCH(IF('Data-solution'!$A$3="Maximize",MAX($C89:$AI89),MIN($C89:$AI89)),$C89:$AI89,0))),U83)</f>
        <v>0</v>
      </c>
      <c r="V98" s="1">
        <f>IF(OR($B93&lt;&gt;$B78,$B94&lt;&gt;$B79,$B95&lt;&gt;$B80,$B96&lt;&gt;$B81,$B97&lt;&gt;$B82,$B98&lt;&gt;$B83,$B99&lt;&gt;$B84,$B100&lt;&gt;$B85,$B101&lt;&gt;$B86,$B102&lt;&gt;$B87,$B103&lt;&gt;$B88),IF($B98&lt;&gt;$B83,V83/INDEX($C78:$AJ88,6,MATCH(IF('Data-solution'!$A$3="Maximize",MAX($C89:$AI89),MIN($C89:$AI89)),$C89:$AI89,0)),V83-INDEX($C78:$AJ88,6,MATCH(IF('Data-solution'!$A$3="Maximize",MAX($C89:$AI89),MIN($C89:$AI89)),$C89:$AI89,0))*INDEX(V78:$AJ88,MATCH(MIN($AK78:$AK88),$AK78:$AK88,0),1)/INDEX($C78:$AJ88,MATCH(MIN($AK78:$AK88),$AK78:$AK88,0),MATCH(IF('Data-solution'!$A$3="Maximize",MAX($C89:$AI89),MIN($C89:$AI89)),$C89:$AI89,0))),V83)</f>
        <v>0</v>
      </c>
      <c r="W98" s="1">
        <f>IF(OR($B93&lt;&gt;$B78,$B94&lt;&gt;$B79,$B95&lt;&gt;$B80,$B96&lt;&gt;$B81,$B97&lt;&gt;$B82,$B98&lt;&gt;$B83,$B99&lt;&gt;$B84,$B100&lt;&gt;$B85,$B101&lt;&gt;$B86,$B102&lt;&gt;$B87,$B103&lt;&gt;$B88),IF($B98&lt;&gt;$B83,W83/INDEX($C78:$AJ88,6,MATCH(IF('Data-solution'!$A$3="Maximize",MAX($C89:$AI89),MIN($C89:$AI89)),$C89:$AI89,0)),W83-INDEX($C78:$AJ88,6,MATCH(IF('Data-solution'!$A$3="Maximize",MAX($C89:$AI89),MIN($C89:$AI89)),$C89:$AI89,0))*INDEX(W78:$AJ88,MATCH(MIN($AK78:$AK88),$AK78:$AK88,0),1)/INDEX($C78:$AJ88,MATCH(MIN($AK78:$AK88),$AK78:$AK88,0),MATCH(IF('Data-solution'!$A$3="Maximize",MAX($C89:$AI89),MIN($C89:$AI89)),$C89:$AI89,0))),W83)</f>
        <v>0</v>
      </c>
      <c r="X98" s="1">
        <f>IF(OR($B93&lt;&gt;$B78,$B94&lt;&gt;$B79,$B95&lt;&gt;$B80,$B96&lt;&gt;$B81,$B97&lt;&gt;$B82,$B98&lt;&gt;$B83,$B99&lt;&gt;$B84,$B100&lt;&gt;$B85,$B101&lt;&gt;$B86,$B102&lt;&gt;$B87,$B103&lt;&gt;$B88),IF($B98&lt;&gt;$B83,X83/INDEX($C78:$AJ88,6,MATCH(IF('Data-solution'!$A$3="Maximize",MAX($C89:$AI89),MIN($C89:$AI89)),$C89:$AI89,0)),X83-INDEX($C78:$AJ88,6,MATCH(IF('Data-solution'!$A$3="Maximize",MAX($C89:$AI89),MIN($C89:$AI89)),$C89:$AI89,0))*INDEX(X78:$AJ88,MATCH(MIN($AK78:$AK88),$AK78:$AK88,0),1)/INDEX($C78:$AJ88,MATCH(MIN($AK78:$AK88),$AK78:$AK88,0),MATCH(IF('Data-solution'!$A$3="Maximize",MAX($C89:$AI89),MIN($C89:$AI89)),$C89:$AI89,0))),X83)</f>
        <v>0</v>
      </c>
      <c r="Y98" s="1">
        <f>IF(OR($B93&lt;&gt;$B78,$B94&lt;&gt;$B79,$B95&lt;&gt;$B80,$B96&lt;&gt;$B81,$B97&lt;&gt;$B82,$B98&lt;&gt;$B83,$B99&lt;&gt;$B84,$B100&lt;&gt;$B85,$B101&lt;&gt;$B86,$B102&lt;&gt;$B87,$B103&lt;&gt;$B88),IF($B98&lt;&gt;$B83,Y83/INDEX($C78:$AJ88,6,MATCH(IF('Data-solution'!$A$3="Maximize",MAX($C89:$AI89),MIN($C89:$AI89)),$C89:$AI89,0)),Y83-INDEX($C78:$AJ88,6,MATCH(IF('Data-solution'!$A$3="Maximize",MAX($C89:$AI89),MIN($C89:$AI89)),$C89:$AI89,0))*INDEX(Y78:$AJ88,MATCH(MIN($AK78:$AK88),$AK78:$AK88,0),1)/INDEX($C78:$AJ88,MATCH(MIN($AK78:$AK88),$AK78:$AK88,0),MATCH(IF('Data-solution'!$A$3="Maximize",MAX($C89:$AI89),MIN($C89:$AI89)),$C89:$AI89,0))),Y83)</f>
        <v>0</v>
      </c>
      <c r="Z98" s="1">
        <f>IF(OR($B93&lt;&gt;$B78,$B94&lt;&gt;$B79,$B95&lt;&gt;$B80,$B96&lt;&gt;$B81,$B97&lt;&gt;$B82,$B98&lt;&gt;$B83,$B99&lt;&gt;$B84,$B100&lt;&gt;$B85,$B101&lt;&gt;$B86,$B102&lt;&gt;$B87,$B103&lt;&gt;$B88),IF($B98&lt;&gt;$B83,Z83/INDEX($C78:$AJ88,6,MATCH(IF('Data-solution'!$A$3="Maximize",MAX($C89:$AI89),MIN($C89:$AI89)),$C89:$AI89,0)),Z83-INDEX($C78:$AJ88,6,MATCH(IF('Data-solution'!$A$3="Maximize",MAX($C89:$AI89),MIN($C89:$AI89)),$C89:$AI89,0))*INDEX(Z78:$AJ88,MATCH(MIN($AK78:$AK88),$AK78:$AK88,0),1)/INDEX($C78:$AJ88,MATCH(MIN($AK78:$AK88),$AK78:$AK88,0),MATCH(IF('Data-solution'!$A$3="Maximize",MAX($C89:$AI89),MIN($C89:$AI89)),$C89:$AI89,0))),Z83)</f>
        <v>0</v>
      </c>
      <c r="AA98" s="1">
        <f>IF(OR($B93&lt;&gt;$B78,$B94&lt;&gt;$B79,$B95&lt;&gt;$B80,$B96&lt;&gt;$B81,$B97&lt;&gt;$B82,$B98&lt;&gt;$B83,$B99&lt;&gt;$B84,$B100&lt;&gt;$B85,$B101&lt;&gt;$B86,$B102&lt;&gt;$B87,$B103&lt;&gt;$B88),IF($B98&lt;&gt;$B83,AA83/INDEX($C78:$AJ88,6,MATCH(IF('Data-solution'!$A$3="Maximize",MAX($C89:$AI89),MIN($C89:$AI89)),$C89:$AI89,0)),AA83-INDEX($C78:$AJ88,6,MATCH(IF('Data-solution'!$A$3="Maximize",MAX($C89:$AI89),MIN($C89:$AI89)),$C89:$AI89,0))*INDEX(AA78:$AJ88,MATCH(MIN($AK78:$AK88),$AK78:$AK88,0),1)/INDEX($C78:$AJ88,MATCH(MIN($AK78:$AK88),$AK78:$AK88,0),MATCH(IF('Data-solution'!$A$3="Maximize",MAX($C89:$AI89),MIN($C89:$AI89)),$C89:$AI89,0))),AA83)</f>
        <v>0</v>
      </c>
      <c r="AB98" s="1">
        <f>IF(OR($B93&lt;&gt;$B78,$B94&lt;&gt;$B79,$B95&lt;&gt;$B80,$B96&lt;&gt;$B81,$B97&lt;&gt;$B82,$B98&lt;&gt;$B83,$B99&lt;&gt;$B84,$B100&lt;&gt;$B85,$B101&lt;&gt;$B86,$B102&lt;&gt;$B87,$B103&lt;&gt;$B88),IF($B98&lt;&gt;$B83,AB83/INDEX($C78:$AJ88,6,MATCH(IF('Data-solution'!$A$3="Maximize",MAX($C89:$AI89),MIN($C89:$AI89)),$C89:$AI89,0)),AB83-INDEX($C78:$AJ88,6,MATCH(IF('Data-solution'!$A$3="Maximize",MAX($C89:$AI89),MIN($C89:$AI89)),$C89:$AI89,0))*INDEX(AB78:$AJ88,MATCH(MIN($AK78:$AK88),$AK78:$AK88,0),1)/INDEX($C78:$AJ88,MATCH(MIN($AK78:$AK88),$AK78:$AK88,0),MATCH(IF('Data-solution'!$A$3="Maximize",MAX($C89:$AI89),MIN($C89:$AI89)),$C89:$AI89,0))),AB83)</f>
        <v>0</v>
      </c>
      <c r="AC98" s="1">
        <f>IF(OR($B93&lt;&gt;$B78,$B94&lt;&gt;$B79,$B95&lt;&gt;$B80,$B96&lt;&gt;$B81,$B97&lt;&gt;$B82,$B98&lt;&gt;$B83,$B99&lt;&gt;$B84,$B100&lt;&gt;$B85,$B101&lt;&gt;$B86,$B102&lt;&gt;$B87,$B103&lt;&gt;$B88),IF($B98&lt;&gt;$B83,AC83/INDEX($C78:$AJ88,6,MATCH(IF('Data-solution'!$A$3="Maximize",MAX($C89:$AI89),MIN($C89:$AI89)),$C89:$AI89,0)),AC83-INDEX($C78:$AJ88,6,MATCH(IF('Data-solution'!$A$3="Maximize",MAX($C89:$AI89),MIN($C89:$AI89)),$C89:$AI89,0))*INDEX(AC78:$AJ88,MATCH(MIN($AK78:$AK88),$AK78:$AK88,0),1)/INDEX($C78:$AJ88,MATCH(MIN($AK78:$AK88),$AK78:$AK88,0),MATCH(IF('Data-solution'!$A$3="Maximize",MAX($C89:$AI89),MIN($C89:$AI89)),$C89:$AI89,0))),AC83)</f>
        <v>0</v>
      </c>
      <c r="AD98" s="1">
        <f>IF(OR($B93&lt;&gt;$B78,$B94&lt;&gt;$B79,$B95&lt;&gt;$B80,$B96&lt;&gt;$B81,$B97&lt;&gt;$B82,$B98&lt;&gt;$B83,$B99&lt;&gt;$B84,$B100&lt;&gt;$B85,$B101&lt;&gt;$B86,$B102&lt;&gt;$B87,$B103&lt;&gt;$B88),IF($B98&lt;&gt;$B83,AD83/INDEX($C78:$AJ88,6,MATCH(IF('Data-solution'!$A$3="Maximize",MAX($C89:$AI89),MIN($C89:$AI89)),$C89:$AI89,0)),AD83-INDEX($C78:$AJ88,6,MATCH(IF('Data-solution'!$A$3="Maximize",MAX($C89:$AI89),MIN($C89:$AI89)),$C89:$AI89,0))*INDEX(AD78:$AJ88,MATCH(MIN($AK78:$AK88),$AK78:$AK88,0),1)/INDEX($C78:$AJ88,MATCH(MIN($AK78:$AK88),$AK78:$AK88,0),MATCH(IF('Data-solution'!$A$3="Maximize",MAX($C89:$AI89),MIN($C89:$AI89)),$C89:$AI89,0))),AD83)</f>
        <v>1</v>
      </c>
      <c r="AE98" s="1">
        <f>IF(OR($B93&lt;&gt;$B78,$B94&lt;&gt;$B79,$B95&lt;&gt;$B80,$B96&lt;&gt;$B81,$B97&lt;&gt;$B82,$B98&lt;&gt;$B83,$B99&lt;&gt;$B84,$B100&lt;&gt;$B85,$B101&lt;&gt;$B86,$B102&lt;&gt;$B87,$B103&lt;&gt;$B88),IF($B98&lt;&gt;$B83,AE83/INDEX($C78:$AJ88,6,MATCH(IF('Data-solution'!$A$3="Maximize",MAX($C89:$AI89),MIN($C89:$AI89)),$C89:$AI89,0)),AE83-INDEX($C78:$AJ88,6,MATCH(IF('Data-solution'!$A$3="Maximize",MAX($C89:$AI89),MIN($C89:$AI89)),$C89:$AI89,0))*INDEX(AE78:$AJ88,MATCH(MIN($AK78:$AK88),$AK78:$AK88,0),1)/INDEX($C78:$AJ88,MATCH(MIN($AK78:$AK88),$AK78:$AK88,0),MATCH(IF('Data-solution'!$A$3="Maximize",MAX($C89:$AI89),MIN($C89:$AI89)),$C89:$AI89,0))),AE83)</f>
        <v>0</v>
      </c>
      <c r="AF98" s="1">
        <f>IF(OR($B93&lt;&gt;$B78,$B94&lt;&gt;$B79,$B95&lt;&gt;$B80,$B96&lt;&gt;$B81,$B97&lt;&gt;$B82,$B98&lt;&gt;$B83,$B99&lt;&gt;$B84,$B100&lt;&gt;$B85,$B101&lt;&gt;$B86,$B102&lt;&gt;$B87,$B103&lt;&gt;$B88),IF($B98&lt;&gt;$B83,AF83/INDEX($C78:$AJ88,6,MATCH(IF('Data-solution'!$A$3="Maximize",MAX($C89:$AI89),MIN($C89:$AI89)),$C89:$AI89,0)),AF83-INDEX($C78:$AJ88,6,MATCH(IF('Data-solution'!$A$3="Maximize",MAX($C89:$AI89),MIN($C89:$AI89)),$C89:$AI89,0))*INDEX(AF78:$AJ88,MATCH(MIN($AK78:$AK88),$AK78:$AK88,0),1)/INDEX($C78:$AJ88,MATCH(MIN($AK78:$AK88),$AK78:$AK88,0),MATCH(IF('Data-solution'!$A$3="Maximize",MAX($C89:$AI89),MIN($C89:$AI89)),$C89:$AI89,0))),AF83)</f>
        <v>0</v>
      </c>
      <c r="AG98" s="1">
        <f>IF(OR($B93&lt;&gt;$B78,$B94&lt;&gt;$B79,$B95&lt;&gt;$B80,$B96&lt;&gt;$B81,$B97&lt;&gt;$B82,$B98&lt;&gt;$B83,$B99&lt;&gt;$B84,$B100&lt;&gt;$B85,$B101&lt;&gt;$B86,$B102&lt;&gt;$B87,$B103&lt;&gt;$B88),IF($B98&lt;&gt;$B83,AG83/INDEX($C78:$AJ88,6,MATCH(IF('Data-solution'!$A$3="Maximize",MAX($C89:$AI89),MIN($C89:$AI89)),$C89:$AI89,0)),AG83-INDEX($C78:$AJ88,6,MATCH(IF('Data-solution'!$A$3="Maximize",MAX($C89:$AI89),MIN($C89:$AI89)),$C89:$AI89,0))*INDEX(AG78:$AJ88,MATCH(MIN($AK78:$AK88),$AK78:$AK88,0),1)/INDEX($C78:$AJ88,MATCH(MIN($AK78:$AK88),$AK78:$AK88,0),MATCH(IF('Data-solution'!$A$3="Maximize",MAX($C89:$AI89),MIN($C89:$AI89)),$C89:$AI89,0))),AG83)</f>
        <v>0</v>
      </c>
      <c r="AH98" s="1">
        <f>IF(OR($B93&lt;&gt;$B78,$B94&lt;&gt;$B79,$B95&lt;&gt;$B80,$B96&lt;&gt;$B81,$B97&lt;&gt;$B82,$B98&lt;&gt;$B83,$B99&lt;&gt;$B84,$B100&lt;&gt;$B85,$B101&lt;&gt;$B86,$B102&lt;&gt;$B87,$B103&lt;&gt;$B88),IF($B98&lt;&gt;$B83,AH83/INDEX($C78:$AJ88,6,MATCH(IF('Data-solution'!$A$3="Maximize",MAX($C89:$AI89),MIN($C89:$AI89)),$C89:$AI89,0)),AH83-INDEX($C78:$AJ88,6,MATCH(IF('Data-solution'!$A$3="Maximize",MAX($C89:$AI89),MIN($C89:$AI89)),$C89:$AI89,0))*INDEX(AH78:$AJ88,MATCH(MIN($AK78:$AK88),$AK78:$AK88,0),1)/INDEX($C78:$AJ88,MATCH(MIN($AK78:$AK88),$AK78:$AK88,0),MATCH(IF('Data-solution'!$A$3="Maximize",MAX($C89:$AI89),MIN($C89:$AI89)),$C89:$AI89,0))),AH83)</f>
        <v>0</v>
      </c>
      <c r="AI98" s="1">
        <f>IF(OR($B93&lt;&gt;$B78,$B94&lt;&gt;$B79,$B95&lt;&gt;$B80,$B96&lt;&gt;$B81,$B97&lt;&gt;$B82,$B98&lt;&gt;$B83,$B99&lt;&gt;$B84,$B100&lt;&gt;$B85,$B101&lt;&gt;$B86,$B102&lt;&gt;$B87,$B103&lt;&gt;$B88),IF($B98&lt;&gt;$B83,AI83/INDEX($C78:$AJ88,6,MATCH(IF('Data-solution'!$A$3="Maximize",MAX($C89:$AI89),MIN($C89:$AI89)),$C89:$AI89,0)),AI83-INDEX($C78:$AJ88,6,MATCH(IF('Data-solution'!$A$3="Maximize",MAX($C89:$AI89),MIN($C89:$AI89)),$C89:$AI89,0))*INDEX(AI78:$AJ88,MATCH(MIN($AK78:$AK88),$AK78:$AK88,0),1)/INDEX($C78:$AJ88,MATCH(MIN($AK78:$AK88),$AK78:$AK88,0),MATCH(IF('Data-solution'!$A$3="Maximize",MAX($C89:$AI89),MIN($C89:$AI89)),$C89:$AI89,0))),AI83)</f>
        <v>0</v>
      </c>
      <c r="AJ98" s="1">
        <f>IF(OR($B93&lt;&gt;$B78,$B94&lt;&gt;$B79,$B95&lt;&gt;$B80,$B96&lt;&gt;$B81,$B97&lt;&gt;$B82,$B98&lt;&gt;$B83,$B99&lt;&gt;$B84,$B100&lt;&gt;$B85,$B101&lt;&gt;$B86,$B102&lt;&gt;$B87,$B103&lt;&gt;$B88),IF($B98&lt;&gt;$B83,AJ83/INDEX($C78:$AJ88,6,MATCH(IF('Data-solution'!$A$3="Maximize",MAX($C89:$AI89),MIN($C89:$AI89)),$C89:$AI89,0)),AJ83-INDEX($C78:$AJ88,6,MATCH(IF('Data-solution'!$A$3="Maximize",MAX($C89:$AI89),MIN($C89:$AI89)),$C89:$AI89,0))*INDEX(AJ78:$AJ88,MATCH(MIN($AK78:$AK88),$AK78:$AK88,0),1)/INDEX($C78:$AJ88,MATCH(MIN($AK78:$AK88),$AK78:$AK88,0),MATCH(IF('Data-solution'!$A$3="Maximize",MAX($C89:$AI89),MIN($C89:$AI89)),$C89:$AI89,0))),AJ83)</f>
        <v>0</v>
      </c>
      <c r="AK98" s="1" t="str">
        <f>IF(INDEX(C98:X98,1,MATCH(IF('Data-solution'!A$3="Maximize",MAX(C104:X104),MIN(C104:X104)),C104:X104,0))&gt;0,AJ98/INDEX(C98:X98,1,MATCH(IF('Data-solution'!A$3="Maximize",MAX(C104:X104),MIN(C104:X104)),C104:X104,0))," ")</f>
        <v xml:space="preserve"> </v>
      </c>
    </row>
    <row r="99" spans="1:37" ht="18" customHeight="1" x14ac:dyDescent="0.2">
      <c r="A99" s="1">
        <f t="shared" ref="A99" si="70">INDEX(C91:AI91,1,MATCH(B99,C92:AI92,0))</f>
        <v>0</v>
      </c>
      <c r="B99" s="2" t="str">
        <f>IF(AND('Data-solution'!A$3="Maximize",COUNTIF(C89:X89,"&gt;"&amp;0)&gt;0,AK84=MIN(AK78:AK88),COUNTIF(B93:B98,INDEX(C77:X77,1,MATCH(MAX(C89:X89),C89:X89,0)))=0),INDEX(C77:X77,1,MATCH(MAX(C89:X89),C89:X89,0)),IF(AND('Data-solution'!A$3="Minimize",COUNTIF(C89:X89,"&lt;"&amp;0)&gt;0,AK84=MIN(AK78:AK88),COUNTIF(B93:B98,INDEX(C77:X77,1,MATCH(MIN(C89:X89),C89:X89,0)))=0),INDEX(C77:X77,1,MATCH(MIN(C89:X89),C89:X89,0)),B84))</f>
        <v>S7</v>
      </c>
      <c r="C99" s="1">
        <f>IF(OR($B93&lt;&gt;$B78,$B94&lt;&gt;$B79,$B95&lt;&gt;$B80,$B96&lt;&gt;$B81,$B97&lt;&gt;$B82,$B98&lt;&gt;$B83,$B99&lt;&gt;$B84,$B100&lt;&gt;$B85,$B101&lt;&gt;$B86,$B102&lt;&gt;$B87,$B103&lt;&gt;$B88),IF($B99&lt;&gt;$B84,C84/INDEX($C78:$AJ88,7,MATCH(IF('Data-solution'!$A$3="Maximize",MAX($C89:$AI89),MIN($C89:$AI89)),$C89:$AI89,0)),C84-INDEX($C78:$AJ88,7,MATCH(IF('Data-solution'!$A$3="Maximize",MAX($C89:$AI89),MIN($C89:$AI89)),$C89:$AI89,0))*INDEX(C78:$AJ88,MATCH(MIN($AK78:$AK88),$AK78:$AK88,0),1)/INDEX($C78:$AJ88,MATCH(MIN($AK78:$AK88),$AK78:$AK88,0),MATCH(IF('Data-solution'!$A$3="Maximize",MAX($C89:$AI89),MIN($C89:$AI89)),$C89:$AI89,0))),C84)</f>
        <v>0</v>
      </c>
      <c r="D99" s="1">
        <f>IF(OR($B93&lt;&gt;$B78,$B94&lt;&gt;$B79,$B95&lt;&gt;$B80,$B96&lt;&gt;$B81,$B97&lt;&gt;$B82,$B98&lt;&gt;$B83,$B99&lt;&gt;$B84,$B100&lt;&gt;$B85,$B101&lt;&gt;$B86,$B102&lt;&gt;$B87,$B103&lt;&gt;$B88),IF($B99&lt;&gt;$B84,D84/INDEX($C78:$AJ88,7,MATCH(IF('Data-solution'!$A$3="Maximize",MAX($C89:$AI89),MIN($C89:$AI89)),$C89:$AI89,0)),D84-INDEX($C78:$AJ88,7,MATCH(IF('Data-solution'!$A$3="Maximize",MAX($C89:$AI89),MIN($C89:$AI89)),$C89:$AI89,0))*INDEX(D78:$AJ88,MATCH(MIN($AK78:$AK88),$AK78:$AK88,0),1)/INDEX($C78:$AJ88,MATCH(MIN($AK78:$AK88),$AK78:$AK88,0),MATCH(IF('Data-solution'!$A$3="Maximize",MAX($C89:$AI89),MIN($C89:$AI89)),$C89:$AI89,0))),D84)</f>
        <v>0</v>
      </c>
      <c r="E99" s="1">
        <f>IF(OR($B93&lt;&gt;$B78,$B94&lt;&gt;$B79,$B95&lt;&gt;$B80,$B96&lt;&gt;$B81,$B97&lt;&gt;$B82,$B98&lt;&gt;$B83,$B99&lt;&gt;$B84,$B100&lt;&gt;$B85,$B101&lt;&gt;$B86,$B102&lt;&gt;$B87,$B103&lt;&gt;$B88),IF($B99&lt;&gt;$B84,E84/INDEX($C78:$AJ88,7,MATCH(IF('Data-solution'!$A$3="Maximize",MAX($C89:$AI89),MIN($C89:$AI89)),$C89:$AI89,0)),E84-INDEX($C78:$AJ88,7,MATCH(IF('Data-solution'!$A$3="Maximize",MAX($C89:$AI89),MIN($C89:$AI89)),$C89:$AI89,0))*INDEX(E78:$AJ88,MATCH(MIN($AK78:$AK88),$AK78:$AK88,0),1)/INDEX($C78:$AJ88,MATCH(MIN($AK78:$AK88),$AK78:$AK88,0),MATCH(IF('Data-solution'!$A$3="Maximize",MAX($C89:$AI89),MIN($C89:$AI89)),$C89:$AI89,0))),E84)</f>
        <v>0</v>
      </c>
      <c r="F99" s="1">
        <f>IF(OR($B93&lt;&gt;$B78,$B94&lt;&gt;$B79,$B95&lt;&gt;$B80,$B96&lt;&gt;$B81,$B97&lt;&gt;$B82,$B98&lt;&gt;$B83,$B99&lt;&gt;$B84,$B100&lt;&gt;$B85,$B101&lt;&gt;$B86,$B102&lt;&gt;$B87,$B103&lt;&gt;$B88),IF($B99&lt;&gt;$B84,F84/INDEX($C78:$AJ88,7,MATCH(IF('Data-solution'!$A$3="Maximize",MAX($C89:$AI89),MIN($C89:$AI89)),$C89:$AI89,0)),F84-INDEX($C78:$AJ88,7,MATCH(IF('Data-solution'!$A$3="Maximize",MAX($C89:$AI89),MIN($C89:$AI89)),$C89:$AI89,0))*INDEX(F78:$AJ88,MATCH(MIN($AK78:$AK88),$AK78:$AK88,0),1)/INDEX($C78:$AJ88,MATCH(MIN($AK78:$AK88),$AK78:$AK88,0),MATCH(IF('Data-solution'!$A$3="Maximize",MAX($C89:$AI89),MIN($C89:$AI89)),$C89:$AI89,0))),F84)</f>
        <v>0</v>
      </c>
      <c r="G99" s="1">
        <f>IF(OR($B93&lt;&gt;$B78,$B94&lt;&gt;$B79,$B95&lt;&gt;$B80,$B96&lt;&gt;$B81,$B97&lt;&gt;$B82,$B98&lt;&gt;$B83,$B99&lt;&gt;$B84,$B100&lt;&gt;$B85,$B101&lt;&gt;$B86,$B102&lt;&gt;$B87,$B103&lt;&gt;$B88),IF($B99&lt;&gt;$B84,G84/INDEX($C78:$AJ88,7,MATCH(IF('Data-solution'!$A$3="Maximize",MAX($C89:$AI89),MIN($C89:$AI89)),$C89:$AI89,0)),G84-INDEX($C78:$AJ88,7,MATCH(IF('Data-solution'!$A$3="Maximize",MAX($C89:$AI89),MIN($C89:$AI89)),$C89:$AI89,0))*INDEX(G78:$AJ88,MATCH(MIN($AK78:$AK88),$AK78:$AK88,0),1)/INDEX($C78:$AJ88,MATCH(MIN($AK78:$AK88),$AK78:$AK88,0),MATCH(IF('Data-solution'!$A$3="Maximize",MAX($C89:$AI89),MIN($C89:$AI89)),$C89:$AI89,0))),G84)</f>
        <v>0</v>
      </c>
      <c r="H99" s="1">
        <f>IF(OR($B93&lt;&gt;$B78,$B94&lt;&gt;$B79,$B95&lt;&gt;$B80,$B96&lt;&gt;$B81,$B97&lt;&gt;$B82,$B98&lt;&gt;$B83,$B99&lt;&gt;$B84,$B100&lt;&gt;$B85,$B101&lt;&gt;$B86,$B102&lt;&gt;$B87,$B103&lt;&gt;$B88),IF($B99&lt;&gt;$B84,H84/INDEX($C78:$AJ88,7,MATCH(IF('Data-solution'!$A$3="Maximize",MAX($C89:$AI89),MIN($C89:$AI89)),$C89:$AI89,0)),H84-INDEX($C78:$AJ88,7,MATCH(IF('Data-solution'!$A$3="Maximize",MAX($C89:$AI89),MIN($C89:$AI89)),$C89:$AI89,0))*INDEX(H78:$AJ88,MATCH(MIN($AK78:$AK88),$AK78:$AK88,0),1)/INDEX($C78:$AJ88,MATCH(MIN($AK78:$AK88),$AK78:$AK88,0),MATCH(IF('Data-solution'!$A$3="Maximize",MAX($C89:$AI89),MIN($C89:$AI89)),$C89:$AI89,0))),H84)</f>
        <v>0</v>
      </c>
      <c r="I99" s="1">
        <f>IF(OR($B93&lt;&gt;$B78,$B94&lt;&gt;$B79,$B95&lt;&gt;$B80,$B96&lt;&gt;$B81,$B97&lt;&gt;$B82,$B98&lt;&gt;$B83,$B99&lt;&gt;$B84,$B100&lt;&gt;$B85,$B101&lt;&gt;$B86,$B102&lt;&gt;$B87,$B103&lt;&gt;$B88),IF($B99&lt;&gt;$B84,I84/INDEX($C78:$AJ88,7,MATCH(IF('Data-solution'!$A$3="Maximize",MAX($C89:$AI89),MIN($C89:$AI89)),$C89:$AI89,0)),I84-INDEX($C78:$AJ88,7,MATCH(IF('Data-solution'!$A$3="Maximize",MAX($C89:$AI89),MIN($C89:$AI89)),$C89:$AI89,0))*INDEX(I78:$AJ88,MATCH(MIN($AK78:$AK88),$AK78:$AK88,0),1)/INDEX($C78:$AJ88,MATCH(MIN($AK78:$AK88),$AK78:$AK88,0),MATCH(IF('Data-solution'!$A$3="Maximize",MAX($C89:$AI89),MIN($C89:$AI89)),$C89:$AI89,0))),I84)</f>
        <v>0</v>
      </c>
      <c r="J99" s="1">
        <f>IF(OR($B93&lt;&gt;$B78,$B94&lt;&gt;$B79,$B95&lt;&gt;$B80,$B96&lt;&gt;$B81,$B97&lt;&gt;$B82,$B98&lt;&gt;$B83,$B99&lt;&gt;$B84,$B100&lt;&gt;$B85,$B101&lt;&gt;$B86,$B102&lt;&gt;$B87,$B103&lt;&gt;$B88),IF($B99&lt;&gt;$B84,J84/INDEX($C78:$AJ88,7,MATCH(IF('Data-solution'!$A$3="Maximize",MAX($C89:$AI89),MIN($C89:$AI89)),$C89:$AI89,0)),J84-INDEX($C78:$AJ88,7,MATCH(IF('Data-solution'!$A$3="Maximize",MAX($C89:$AI89),MIN($C89:$AI89)),$C89:$AI89,0))*INDEX(J78:$AJ88,MATCH(MIN($AK78:$AK88),$AK78:$AK88,0),1)/INDEX($C78:$AJ88,MATCH(MIN($AK78:$AK88),$AK78:$AK88,0),MATCH(IF('Data-solution'!$A$3="Maximize",MAX($C89:$AI89),MIN($C89:$AI89)),$C89:$AI89,0))),J84)</f>
        <v>0</v>
      </c>
      <c r="K99" s="1">
        <f>IF(OR($B93&lt;&gt;$B78,$B94&lt;&gt;$B79,$B95&lt;&gt;$B80,$B96&lt;&gt;$B81,$B97&lt;&gt;$B82,$B98&lt;&gt;$B83,$B99&lt;&gt;$B84,$B100&lt;&gt;$B85,$B101&lt;&gt;$B86,$B102&lt;&gt;$B87,$B103&lt;&gt;$B88),IF($B99&lt;&gt;$B84,K84/INDEX($C78:$AJ88,7,MATCH(IF('Data-solution'!$A$3="Maximize",MAX($C89:$AI89),MIN($C89:$AI89)),$C89:$AI89,0)),K84-INDEX($C78:$AJ88,7,MATCH(IF('Data-solution'!$A$3="Maximize",MAX($C89:$AI89),MIN($C89:$AI89)),$C89:$AI89,0))*INDEX(K78:$AJ88,MATCH(MIN($AK78:$AK88),$AK78:$AK88,0),1)/INDEX($C78:$AJ88,MATCH(MIN($AK78:$AK88),$AK78:$AK88,0),MATCH(IF('Data-solution'!$A$3="Maximize",MAX($C89:$AI89),MIN($C89:$AI89)),$C89:$AI89,0))),K84)</f>
        <v>0</v>
      </c>
      <c r="L99" s="1">
        <f>IF(OR($B93&lt;&gt;$B78,$B94&lt;&gt;$B79,$B95&lt;&gt;$B80,$B96&lt;&gt;$B81,$B97&lt;&gt;$B82,$B98&lt;&gt;$B83,$B99&lt;&gt;$B84,$B100&lt;&gt;$B85,$B101&lt;&gt;$B86,$B102&lt;&gt;$B87,$B103&lt;&gt;$B88),IF($B99&lt;&gt;$B84,L84/INDEX($C78:$AJ88,7,MATCH(IF('Data-solution'!$A$3="Maximize",MAX($C89:$AI89),MIN($C89:$AI89)),$C89:$AI89,0)),L84-INDEX($C78:$AJ88,7,MATCH(IF('Data-solution'!$A$3="Maximize",MAX($C89:$AI89),MIN($C89:$AI89)),$C89:$AI89,0))*INDEX(L78:$AJ88,MATCH(MIN($AK78:$AK88),$AK78:$AK88,0),1)/INDEX($C78:$AJ88,MATCH(MIN($AK78:$AK88),$AK78:$AK88,0),MATCH(IF('Data-solution'!$A$3="Maximize",MAX($C89:$AI89),MIN($C89:$AI89)),$C89:$AI89,0))),L84)</f>
        <v>0</v>
      </c>
      <c r="M99" s="1">
        <f>IF(OR($B93&lt;&gt;$B78,$B94&lt;&gt;$B79,$B95&lt;&gt;$B80,$B96&lt;&gt;$B81,$B97&lt;&gt;$B82,$B98&lt;&gt;$B83,$B99&lt;&gt;$B84,$B100&lt;&gt;$B85,$B101&lt;&gt;$B86,$B102&lt;&gt;$B87,$B103&lt;&gt;$B88),IF($B99&lt;&gt;$B84,M84/INDEX($C78:$AJ88,7,MATCH(IF('Data-solution'!$A$3="Maximize",MAX($C89:$AI89),MIN($C89:$AI89)),$C89:$AI89,0)),M84-INDEX($C78:$AJ88,7,MATCH(IF('Data-solution'!$A$3="Maximize",MAX($C89:$AI89),MIN($C89:$AI89)),$C89:$AI89,0))*INDEX(M78:$AJ88,MATCH(MIN($AK78:$AK88),$AK78:$AK88,0),1)/INDEX($C78:$AJ88,MATCH(MIN($AK78:$AK88),$AK78:$AK88,0),MATCH(IF('Data-solution'!$A$3="Maximize",MAX($C89:$AI89),MIN($C89:$AI89)),$C89:$AI89,0))),M84)</f>
        <v>0</v>
      </c>
      <c r="N99" s="1">
        <f>IF(OR($B93&lt;&gt;$B78,$B94&lt;&gt;$B79,$B95&lt;&gt;$B80,$B96&lt;&gt;$B81,$B97&lt;&gt;$B82,$B98&lt;&gt;$B83,$B99&lt;&gt;$B84,$B100&lt;&gt;$B85,$B101&lt;&gt;$B86,$B102&lt;&gt;$B87,$B103&lt;&gt;$B88),IF($B99&lt;&gt;$B84,N84/INDEX($C78:$AJ88,7,MATCH(IF('Data-solution'!$A$3="Maximize",MAX($C89:$AI89),MIN($C89:$AI89)),$C89:$AI89,0)),N84-INDEX($C78:$AJ88,7,MATCH(IF('Data-solution'!$A$3="Maximize",MAX($C89:$AI89),MIN($C89:$AI89)),$C89:$AI89,0))*INDEX(N78:$AJ88,MATCH(MIN($AK78:$AK88),$AK78:$AK88,0),1)/INDEX($C78:$AJ88,MATCH(MIN($AK78:$AK88),$AK78:$AK88,0),MATCH(IF('Data-solution'!$A$3="Maximize",MAX($C89:$AI89),MIN($C89:$AI89)),$C89:$AI89,0))),N84)</f>
        <v>0</v>
      </c>
      <c r="O99" s="1">
        <f>IF(OR($B93&lt;&gt;$B78,$B94&lt;&gt;$B79,$B95&lt;&gt;$B80,$B96&lt;&gt;$B81,$B97&lt;&gt;$B82,$B98&lt;&gt;$B83,$B99&lt;&gt;$B84,$B100&lt;&gt;$B85,$B101&lt;&gt;$B86,$B102&lt;&gt;$B87,$B103&lt;&gt;$B88),IF($B99&lt;&gt;$B84,O84/INDEX($C78:$AJ88,7,MATCH(IF('Data-solution'!$A$3="Maximize",MAX($C89:$AI89),MIN($C89:$AI89)),$C89:$AI89,0)),O84-INDEX($C78:$AJ88,7,MATCH(IF('Data-solution'!$A$3="Maximize",MAX($C89:$AI89),MIN($C89:$AI89)),$C89:$AI89,0))*INDEX(O78:$AJ88,MATCH(MIN($AK78:$AK88),$AK78:$AK88,0),1)/INDEX($C78:$AJ88,MATCH(MIN($AK78:$AK88),$AK78:$AK88,0),MATCH(IF('Data-solution'!$A$3="Maximize",MAX($C89:$AI89),MIN($C89:$AI89)),$C89:$AI89,0))),O84)</f>
        <v>0</v>
      </c>
      <c r="P99" s="1">
        <f>IF(OR($B93&lt;&gt;$B78,$B94&lt;&gt;$B79,$B95&lt;&gt;$B80,$B96&lt;&gt;$B81,$B97&lt;&gt;$B82,$B98&lt;&gt;$B83,$B99&lt;&gt;$B84,$B100&lt;&gt;$B85,$B101&lt;&gt;$B86,$B102&lt;&gt;$B87,$B103&lt;&gt;$B88),IF($B99&lt;&gt;$B84,P84/INDEX($C78:$AJ88,7,MATCH(IF('Data-solution'!$A$3="Maximize",MAX($C89:$AI89),MIN($C89:$AI89)),$C89:$AI89,0)),P84-INDEX($C78:$AJ88,7,MATCH(IF('Data-solution'!$A$3="Maximize",MAX($C89:$AI89),MIN($C89:$AI89)),$C89:$AI89,0))*INDEX(P78:$AJ88,MATCH(MIN($AK78:$AK88),$AK78:$AK88,0),1)/INDEX($C78:$AJ88,MATCH(MIN($AK78:$AK88),$AK78:$AK88,0),MATCH(IF('Data-solution'!$A$3="Maximize",MAX($C89:$AI89),MIN($C89:$AI89)),$C89:$AI89,0))),P84)</f>
        <v>0</v>
      </c>
      <c r="Q99" s="1">
        <f>IF(OR($B93&lt;&gt;$B78,$B94&lt;&gt;$B79,$B95&lt;&gt;$B80,$B96&lt;&gt;$B81,$B97&lt;&gt;$B82,$B98&lt;&gt;$B83,$B99&lt;&gt;$B84,$B100&lt;&gt;$B85,$B101&lt;&gt;$B86,$B102&lt;&gt;$B87,$B103&lt;&gt;$B88),IF($B99&lt;&gt;$B84,Q84/INDEX($C78:$AJ88,7,MATCH(IF('Data-solution'!$A$3="Maximize",MAX($C89:$AI89),MIN($C89:$AI89)),$C89:$AI89,0)),Q84-INDEX($C78:$AJ88,7,MATCH(IF('Data-solution'!$A$3="Maximize",MAX($C89:$AI89),MIN($C89:$AI89)),$C89:$AI89,0))*INDEX(Q78:$AJ88,MATCH(MIN($AK78:$AK88),$AK78:$AK88,0),1)/INDEX($C78:$AJ88,MATCH(MIN($AK78:$AK88),$AK78:$AK88,0),MATCH(IF('Data-solution'!$A$3="Maximize",MAX($C89:$AI89),MIN($C89:$AI89)),$C89:$AI89,0))),Q84)</f>
        <v>0</v>
      </c>
      <c r="R99" s="1">
        <f>IF(OR($B93&lt;&gt;$B78,$B94&lt;&gt;$B79,$B95&lt;&gt;$B80,$B96&lt;&gt;$B81,$B97&lt;&gt;$B82,$B98&lt;&gt;$B83,$B99&lt;&gt;$B84,$B100&lt;&gt;$B85,$B101&lt;&gt;$B86,$B102&lt;&gt;$B87,$B103&lt;&gt;$B88),IF($B99&lt;&gt;$B84,R84/INDEX($C78:$AJ88,7,MATCH(IF('Data-solution'!$A$3="Maximize",MAX($C89:$AI89),MIN($C89:$AI89)),$C89:$AI89,0)),R84-INDEX($C78:$AJ88,7,MATCH(IF('Data-solution'!$A$3="Maximize",MAX($C89:$AI89),MIN($C89:$AI89)),$C89:$AI89,0))*INDEX(R78:$AJ88,MATCH(MIN($AK78:$AK88),$AK78:$AK88,0),1)/INDEX($C78:$AJ88,MATCH(MIN($AK78:$AK88),$AK78:$AK88,0),MATCH(IF('Data-solution'!$A$3="Maximize",MAX($C89:$AI89),MIN($C89:$AI89)),$C89:$AI89,0))),R84)</f>
        <v>0</v>
      </c>
      <c r="S99" s="1">
        <f>IF(OR($B93&lt;&gt;$B78,$B94&lt;&gt;$B79,$B95&lt;&gt;$B80,$B96&lt;&gt;$B81,$B97&lt;&gt;$B82,$B98&lt;&gt;$B83,$B99&lt;&gt;$B84,$B100&lt;&gt;$B85,$B101&lt;&gt;$B86,$B102&lt;&gt;$B87,$B103&lt;&gt;$B88),IF($B99&lt;&gt;$B84,S84/INDEX($C78:$AJ88,7,MATCH(IF('Data-solution'!$A$3="Maximize",MAX($C89:$AI89),MIN($C89:$AI89)),$C89:$AI89,0)),S84-INDEX($C78:$AJ88,7,MATCH(IF('Data-solution'!$A$3="Maximize",MAX($C89:$AI89),MIN($C89:$AI89)),$C89:$AI89,0))*INDEX(S78:$AJ88,MATCH(MIN($AK78:$AK88),$AK78:$AK88,0),1)/INDEX($C78:$AJ88,MATCH(MIN($AK78:$AK88),$AK78:$AK88,0),MATCH(IF('Data-solution'!$A$3="Maximize",MAX($C89:$AI89),MIN($C89:$AI89)),$C89:$AI89,0))),S84)</f>
        <v>0</v>
      </c>
      <c r="T99" s="1">
        <f>IF(OR($B93&lt;&gt;$B78,$B94&lt;&gt;$B79,$B95&lt;&gt;$B80,$B96&lt;&gt;$B81,$B97&lt;&gt;$B82,$B98&lt;&gt;$B83,$B99&lt;&gt;$B84,$B100&lt;&gt;$B85,$B101&lt;&gt;$B86,$B102&lt;&gt;$B87,$B103&lt;&gt;$B88),IF($B99&lt;&gt;$B84,T84/INDEX($C78:$AJ88,7,MATCH(IF('Data-solution'!$A$3="Maximize",MAX($C89:$AI89),MIN($C89:$AI89)),$C89:$AI89,0)),T84-INDEX($C78:$AJ88,7,MATCH(IF('Data-solution'!$A$3="Maximize",MAX($C89:$AI89),MIN($C89:$AI89)),$C89:$AI89,0))*INDEX(T78:$AJ88,MATCH(MIN($AK78:$AK88),$AK78:$AK88,0),1)/INDEX($C78:$AJ88,MATCH(MIN($AK78:$AK88),$AK78:$AK88,0),MATCH(IF('Data-solution'!$A$3="Maximize",MAX($C89:$AI89),MIN($C89:$AI89)),$C89:$AI89,0))),T84)</f>
        <v>1</v>
      </c>
      <c r="U99" s="1">
        <f>IF(OR($B93&lt;&gt;$B78,$B94&lt;&gt;$B79,$B95&lt;&gt;$B80,$B96&lt;&gt;$B81,$B97&lt;&gt;$B82,$B98&lt;&gt;$B83,$B99&lt;&gt;$B84,$B100&lt;&gt;$B85,$B101&lt;&gt;$B86,$B102&lt;&gt;$B87,$B103&lt;&gt;$B88),IF($B99&lt;&gt;$B84,U84/INDEX($C78:$AJ88,7,MATCH(IF('Data-solution'!$A$3="Maximize",MAX($C89:$AI89),MIN($C89:$AI89)),$C89:$AI89,0)),U84-INDEX($C78:$AJ88,7,MATCH(IF('Data-solution'!$A$3="Maximize",MAX($C89:$AI89),MIN($C89:$AI89)),$C89:$AI89,0))*INDEX(U78:$AJ88,MATCH(MIN($AK78:$AK88),$AK78:$AK88,0),1)/INDEX($C78:$AJ88,MATCH(MIN($AK78:$AK88),$AK78:$AK88,0),MATCH(IF('Data-solution'!$A$3="Maximize",MAX($C89:$AI89),MIN($C89:$AI89)),$C89:$AI89,0))),U84)</f>
        <v>0</v>
      </c>
      <c r="V99" s="1">
        <f>IF(OR($B93&lt;&gt;$B78,$B94&lt;&gt;$B79,$B95&lt;&gt;$B80,$B96&lt;&gt;$B81,$B97&lt;&gt;$B82,$B98&lt;&gt;$B83,$B99&lt;&gt;$B84,$B100&lt;&gt;$B85,$B101&lt;&gt;$B86,$B102&lt;&gt;$B87,$B103&lt;&gt;$B88),IF($B99&lt;&gt;$B84,V84/INDEX($C78:$AJ88,7,MATCH(IF('Data-solution'!$A$3="Maximize",MAX($C89:$AI89),MIN($C89:$AI89)),$C89:$AI89,0)),V84-INDEX($C78:$AJ88,7,MATCH(IF('Data-solution'!$A$3="Maximize",MAX($C89:$AI89),MIN($C89:$AI89)),$C89:$AI89,0))*INDEX(V78:$AJ88,MATCH(MIN($AK78:$AK88),$AK78:$AK88,0),1)/INDEX($C78:$AJ88,MATCH(MIN($AK78:$AK88),$AK78:$AK88,0),MATCH(IF('Data-solution'!$A$3="Maximize",MAX($C89:$AI89),MIN($C89:$AI89)),$C89:$AI89,0))),V84)</f>
        <v>0</v>
      </c>
      <c r="W99" s="1">
        <f>IF(OR($B93&lt;&gt;$B78,$B94&lt;&gt;$B79,$B95&lt;&gt;$B80,$B96&lt;&gt;$B81,$B97&lt;&gt;$B82,$B98&lt;&gt;$B83,$B99&lt;&gt;$B84,$B100&lt;&gt;$B85,$B101&lt;&gt;$B86,$B102&lt;&gt;$B87,$B103&lt;&gt;$B88),IF($B99&lt;&gt;$B84,W84/INDEX($C78:$AJ88,7,MATCH(IF('Data-solution'!$A$3="Maximize",MAX($C89:$AI89),MIN($C89:$AI89)),$C89:$AI89,0)),W84-INDEX($C78:$AJ88,7,MATCH(IF('Data-solution'!$A$3="Maximize",MAX($C89:$AI89),MIN($C89:$AI89)),$C89:$AI89,0))*INDEX(W78:$AJ88,MATCH(MIN($AK78:$AK88),$AK78:$AK88,0),1)/INDEX($C78:$AJ88,MATCH(MIN($AK78:$AK88),$AK78:$AK88,0),MATCH(IF('Data-solution'!$A$3="Maximize",MAX($C89:$AI89),MIN($C89:$AI89)),$C89:$AI89,0))),W84)</f>
        <v>0</v>
      </c>
      <c r="X99" s="1">
        <f>IF(OR($B93&lt;&gt;$B78,$B94&lt;&gt;$B79,$B95&lt;&gt;$B80,$B96&lt;&gt;$B81,$B97&lt;&gt;$B82,$B98&lt;&gt;$B83,$B99&lt;&gt;$B84,$B100&lt;&gt;$B85,$B101&lt;&gt;$B86,$B102&lt;&gt;$B87,$B103&lt;&gt;$B88),IF($B99&lt;&gt;$B84,X84/INDEX($C78:$AJ88,7,MATCH(IF('Data-solution'!$A$3="Maximize",MAX($C89:$AI89),MIN($C89:$AI89)),$C89:$AI89,0)),X84-INDEX($C78:$AJ88,7,MATCH(IF('Data-solution'!$A$3="Maximize",MAX($C89:$AI89),MIN($C89:$AI89)),$C89:$AI89,0))*INDEX(X78:$AJ88,MATCH(MIN($AK78:$AK88),$AK78:$AK88,0),1)/INDEX($C78:$AJ88,MATCH(MIN($AK78:$AK88),$AK78:$AK88,0),MATCH(IF('Data-solution'!$A$3="Maximize",MAX($C89:$AI89),MIN($C89:$AI89)),$C89:$AI89,0))),X84)</f>
        <v>0</v>
      </c>
      <c r="Y99" s="1">
        <f>IF(OR($B93&lt;&gt;$B78,$B94&lt;&gt;$B79,$B95&lt;&gt;$B80,$B96&lt;&gt;$B81,$B97&lt;&gt;$B82,$B98&lt;&gt;$B83,$B99&lt;&gt;$B84,$B100&lt;&gt;$B85,$B101&lt;&gt;$B86,$B102&lt;&gt;$B87,$B103&lt;&gt;$B88),IF($B99&lt;&gt;$B84,Y84/INDEX($C78:$AJ88,7,MATCH(IF('Data-solution'!$A$3="Maximize",MAX($C89:$AI89),MIN($C89:$AI89)),$C89:$AI89,0)),Y84-INDEX($C78:$AJ88,7,MATCH(IF('Data-solution'!$A$3="Maximize",MAX($C89:$AI89),MIN($C89:$AI89)),$C89:$AI89,0))*INDEX(Y78:$AJ88,MATCH(MIN($AK78:$AK88),$AK78:$AK88,0),1)/INDEX($C78:$AJ88,MATCH(MIN($AK78:$AK88),$AK78:$AK88,0),MATCH(IF('Data-solution'!$A$3="Maximize",MAX($C89:$AI89),MIN($C89:$AI89)),$C89:$AI89,0))),Y84)</f>
        <v>0</v>
      </c>
      <c r="Z99" s="1">
        <f>IF(OR($B93&lt;&gt;$B78,$B94&lt;&gt;$B79,$B95&lt;&gt;$B80,$B96&lt;&gt;$B81,$B97&lt;&gt;$B82,$B98&lt;&gt;$B83,$B99&lt;&gt;$B84,$B100&lt;&gt;$B85,$B101&lt;&gt;$B86,$B102&lt;&gt;$B87,$B103&lt;&gt;$B88),IF($B99&lt;&gt;$B84,Z84/INDEX($C78:$AJ88,7,MATCH(IF('Data-solution'!$A$3="Maximize",MAX($C89:$AI89),MIN($C89:$AI89)),$C89:$AI89,0)),Z84-INDEX($C78:$AJ88,7,MATCH(IF('Data-solution'!$A$3="Maximize",MAX($C89:$AI89),MIN($C89:$AI89)),$C89:$AI89,0))*INDEX(Z78:$AJ88,MATCH(MIN($AK78:$AK88),$AK78:$AK88,0),1)/INDEX($C78:$AJ88,MATCH(MIN($AK78:$AK88),$AK78:$AK88,0),MATCH(IF('Data-solution'!$A$3="Maximize",MAX($C89:$AI89),MIN($C89:$AI89)),$C89:$AI89,0))),Z84)</f>
        <v>0</v>
      </c>
      <c r="AA99" s="1">
        <f>IF(OR($B93&lt;&gt;$B78,$B94&lt;&gt;$B79,$B95&lt;&gt;$B80,$B96&lt;&gt;$B81,$B97&lt;&gt;$B82,$B98&lt;&gt;$B83,$B99&lt;&gt;$B84,$B100&lt;&gt;$B85,$B101&lt;&gt;$B86,$B102&lt;&gt;$B87,$B103&lt;&gt;$B88),IF($B99&lt;&gt;$B84,AA84/INDEX($C78:$AJ88,7,MATCH(IF('Data-solution'!$A$3="Maximize",MAX($C89:$AI89),MIN($C89:$AI89)),$C89:$AI89,0)),AA84-INDEX($C78:$AJ88,7,MATCH(IF('Data-solution'!$A$3="Maximize",MAX($C89:$AI89),MIN($C89:$AI89)),$C89:$AI89,0))*INDEX(AA78:$AJ88,MATCH(MIN($AK78:$AK88),$AK78:$AK88,0),1)/INDEX($C78:$AJ88,MATCH(MIN($AK78:$AK88),$AK78:$AK88,0),MATCH(IF('Data-solution'!$A$3="Maximize",MAX($C89:$AI89),MIN($C89:$AI89)),$C89:$AI89,0))),AA84)</f>
        <v>0</v>
      </c>
      <c r="AB99" s="1">
        <f>IF(OR($B93&lt;&gt;$B78,$B94&lt;&gt;$B79,$B95&lt;&gt;$B80,$B96&lt;&gt;$B81,$B97&lt;&gt;$B82,$B98&lt;&gt;$B83,$B99&lt;&gt;$B84,$B100&lt;&gt;$B85,$B101&lt;&gt;$B86,$B102&lt;&gt;$B87,$B103&lt;&gt;$B88),IF($B99&lt;&gt;$B84,AB84/INDEX($C78:$AJ88,7,MATCH(IF('Data-solution'!$A$3="Maximize",MAX($C89:$AI89),MIN($C89:$AI89)),$C89:$AI89,0)),AB84-INDEX($C78:$AJ88,7,MATCH(IF('Data-solution'!$A$3="Maximize",MAX($C89:$AI89),MIN($C89:$AI89)),$C89:$AI89,0))*INDEX(AB78:$AJ88,MATCH(MIN($AK78:$AK88),$AK78:$AK88,0),1)/INDEX($C78:$AJ88,MATCH(MIN($AK78:$AK88),$AK78:$AK88,0),MATCH(IF('Data-solution'!$A$3="Maximize",MAX($C89:$AI89),MIN($C89:$AI89)),$C89:$AI89,0))),AB84)</f>
        <v>0</v>
      </c>
      <c r="AC99" s="1">
        <f>IF(OR($B93&lt;&gt;$B78,$B94&lt;&gt;$B79,$B95&lt;&gt;$B80,$B96&lt;&gt;$B81,$B97&lt;&gt;$B82,$B98&lt;&gt;$B83,$B99&lt;&gt;$B84,$B100&lt;&gt;$B85,$B101&lt;&gt;$B86,$B102&lt;&gt;$B87,$B103&lt;&gt;$B88),IF($B99&lt;&gt;$B84,AC84/INDEX($C78:$AJ88,7,MATCH(IF('Data-solution'!$A$3="Maximize",MAX($C89:$AI89),MIN($C89:$AI89)),$C89:$AI89,0)),AC84-INDEX($C78:$AJ88,7,MATCH(IF('Data-solution'!$A$3="Maximize",MAX($C89:$AI89),MIN($C89:$AI89)),$C89:$AI89,0))*INDEX(AC78:$AJ88,MATCH(MIN($AK78:$AK88),$AK78:$AK88,0),1)/INDEX($C78:$AJ88,MATCH(MIN($AK78:$AK88),$AK78:$AK88,0),MATCH(IF('Data-solution'!$A$3="Maximize",MAX($C89:$AI89),MIN($C89:$AI89)),$C89:$AI89,0))),AC84)</f>
        <v>0</v>
      </c>
      <c r="AD99" s="1">
        <f>IF(OR($B93&lt;&gt;$B78,$B94&lt;&gt;$B79,$B95&lt;&gt;$B80,$B96&lt;&gt;$B81,$B97&lt;&gt;$B82,$B98&lt;&gt;$B83,$B99&lt;&gt;$B84,$B100&lt;&gt;$B85,$B101&lt;&gt;$B86,$B102&lt;&gt;$B87,$B103&lt;&gt;$B88),IF($B99&lt;&gt;$B84,AD84/INDEX($C78:$AJ88,7,MATCH(IF('Data-solution'!$A$3="Maximize",MAX($C89:$AI89),MIN($C89:$AI89)),$C89:$AI89,0)),AD84-INDEX($C78:$AJ88,7,MATCH(IF('Data-solution'!$A$3="Maximize",MAX($C89:$AI89),MIN($C89:$AI89)),$C89:$AI89,0))*INDEX(AD78:$AJ88,MATCH(MIN($AK78:$AK88),$AK78:$AK88,0),1)/INDEX($C78:$AJ88,MATCH(MIN($AK78:$AK88),$AK78:$AK88,0),MATCH(IF('Data-solution'!$A$3="Maximize",MAX($C89:$AI89),MIN($C89:$AI89)),$C89:$AI89,0))),AD84)</f>
        <v>0</v>
      </c>
      <c r="AE99" s="1">
        <f>IF(OR($B93&lt;&gt;$B78,$B94&lt;&gt;$B79,$B95&lt;&gt;$B80,$B96&lt;&gt;$B81,$B97&lt;&gt;$B82,$B98&lt;&gt;$B83,$B99&lt;&gt;$B84,$B100&lt;&gt;$B85,$B101&lt;&gt;$B86,$B102&lt;&gt;$B87,$B103&lt;&gt;$B88),IF($B99&lt;&gt;$B84,AE84/INDEX($C78:$AJ88,7,MATCH(IF('Data-solution'!$A$3="Maximize",MAX($C89:$AI89),MIN($C89:$AI89)),$C89:$AI89,0)),AE84-INDEX($C78:$AJ88,7,MATCH(IF('Data-solution'!$A$3="Maximize",MAX($C89:$AI89),MIN($C89:$AI89)),$C89:$AI89,0))*INDEX(AE78:$AJ88,MATCH(MIN($AK78:$AK88),$AK78:$AK88,0),1)/INDEX($C78:$AJ88,MATCH(MIN($AK78:$AK88),$AK78:$AK88,0),MATCH(IF('Data-solution'!$A$3="Maximize",MAX($C89:$AI89),MIN($C89:$AI89)),$C89:$AI89,0))),AE84)</f>
        <v>1</v>
      </c>
      <c r="AF99" s="1">
        <f>IF(OR($B93&lt;&gt;$B78,$B94&lt;&gt;$B79,$B95&lt;&gt;$B80,$B96&lt;&gt;$B81,$B97&lt;&gt;$B82,$B98&lt;&gt;$B83,$B99&lt;&gt;$B84,$B100&lt;&gt;$B85,$B101&lt;&gt;$B86,$B102&lt;&gt;$B87,$B103&lt;&gt;$B88),IF($B99&lt;&gt;$B84,AF84/INDEX($C78:$AJ88,7,MATCH(IF('Data-solution'!$A$3="Maximize",MAX($C89:$AI89),MIN($C89:$AI89)),$C89:$AI89,0)),AF84-INDEX($C78:$AJ88,7,MATCH(IF('Data-solution'!$A$3="Maximize",MAX($C89:$AI89),MIN($C89:$AI89)),$C89:$AI89,0))*INDEX(AF78:$AJ88,MATCH(MIN($AK78:$AK88),$AK78:$AK88,0),1)/INDEX($C78:$AJ88,MATCH(MIN($AK78:$AK88),$AK78:$AK88,0),MATCH(IF('Data-solution'!$A$3="Maximize",MAX($C89:$AI89),MIN($C89:$AI89)),$C89:$AI89,0))),AF84)</f>
        <v>0</v>
      </c>
      <c r="AG99" s="1">
        <f>IF(OR($B93&lt;&gt;$B78,$B94&lt;&gt;$B79,$B95&lt;&gt;$B80,$B96&lt;&gt;$B81,$B97&lt;&gt;$B82,$B98&lt;&gt;$B83,$B99&lt;&gt;$B84,$B100&lt;&gt;$B85,$B101&lt;&gt;$B86,$B102&lt;&gt;$B87,$B103&lt;&gt;$B88),IF($B99&lt;&gt;$B84,AG84/INDEX($C78:$AJ88,7,MATCH(IF('Data-solution'!$A$3="Maximize",MAX($C89:$AI89),MIN($C89:$AI89)),$C89:$AI89,0)),AG84-INDEX($C78:$AJ88,7,MATCH(IF('Data-solution'!$A$3="Maximize",MAX($C89:$AI89),MIN($C89:$AI89)),$C89:$AI89,0))*INDEX(AG78:$AJ88,MATCH(MIN($AK78:$AK88),$AK78:$AK88,0),1)/INDEX($C78:$AJ88,MATCH(MIN($AK78:$AK88),$AK78:$AK88,0),MATCH(IF('Data-solution'!$A$3="Maximize",MAX($C89:$AI89),MIN($C89:$AI89)),$C89:$AI89,0))),AG84)</f>
        <v>0</v>
      </c>
      <c r="AH99" s="1">
        <f>IF(OR($B93&lt;&gt;$B78,$B94&lt;&gt;$B79,$B95&lt;&gt;$B80,$B96&lt;&gt;$B81,$B97&lt;&gt;$B82,$B98&lt;&gt;$B83,$B99&lt;&gt;$B84,$B100&lt;&gt;$B85,$B101&lt;&gt;$B86,$B102&lt;&gt;$B87,$B103&lt;&gt;$B88),IF($B99&lt;&gt;$B84,AH84/INDEX($C78:$AJ88,7,MATCH(IF('Data-solution'!$A$3="Maximize",MAX($C89:$AI89),MIN($C89:$AI89)),$C89:$AI89,0)),AH84-INDEX($C78:$AJ88,7,MATCH(IF('Data-solution'!$A$3="Maximize",MAX($C89:$AI89),MIN($C89:$AI89)),$C89:$AI89,0))*INDEX(AH78:$AJ88,MATCH(MIN($AK78:$AK88),$AK78:$AK88,0),1)/INDEX($C78:$AJ88,MATCH(MIN($AK78:$AK88),$AK78:$AK88,0),MATCH(IF('Data-solution'!$A$3="Maximize",MAX($C89:$AI89),MIN($C89:$AI89)),$C89:$AI89,0))),AH84)</f>
        <v>0</v>
      </c>
      <c r="AI99" s="1">
        <f>IF(OR($B93&lt;&gt;$B78,$B94&lt;&gt;$B79,$B95&lt;&gt;$B80,$B96&lt;&gt;$B81,$B97&lt;&gt;$B82,$B98&lt;&gt;$B83,$B99&lt;&gt;$B84,$B100&lt;&gt;$B85,$B101&lt;&gt;$B86,$B102&lt;&gt;$B87,$B103&lt;&gt;$B88),IF($B99&lt;&gt;$B84,AI84/INDEX($C78:$AJ88,7,MATCH(IF('Data-solution'!$A$3="Maximize",MAX($C89:$AI89),MIN($C89:$AI89)),$C89:$AI89,0)),AI84-INDEX($C78:$AJ88,7,MATCH(IF('Data-solution'!$A$3="Maximize",MAX($C89:$AI89),MIN($C89:$AI89)),$C89:$AI89,0))*INDEX(AI78:$AJ88,MATCH(MIN($AK78:$AK88),$AK78:$AK88,0),1)/INDEX($C78:$AJ88,MATCH(MIN($AK78:$AK88),$AK78:$AK88,0),MATCH(IF('Data-solution'!$A$3="Maximize",MAX($C89:$AI89),MIN($C89:$AI89)),$C89:$AI89,0))),AI84)</f>
        <v>0</v>
      </c>
      <c r="AJ99" s="1">
        <f>IF(OR($B93&lt;&gt;$B78,$B94&lt;&gt;$B79,$B95&lt;&gt;$B80,$B96&lt;&gt;$B81,$B97&lt;&gt;$B82,$B98&lt;&gt;$B83,$B99&lt;&gt;$B84,$B100&lt;&gt;$B85,$B101&lt;&gt;$B86,$B102&lt;&gt;$B87,$B103&lt;&gt;$B88),IF($B99&lt;&gt;$B84,AJ84/INDEX($C78:$AJ88,7,MATCH(IF('Data-solution'!$A$3="Maximize",MAX($C89:$AI89),MIN($C89:$AI89)),$C89:$AI89,0)),AJ84-INDEX($C78:$AJ88,7,MATCH(IF('Data-solution'!$A$3="Maximize",MAX($C89:$AI89),MIN($C89:$AI89)),$C89:$AI89,0))*INDEX(AJ78:$AJ88,MATCH(MIN($AK78:$AK88),$AK78:$AK88,0),1)/INDEX($C78:$AJ88,MATCH(MIN($AK78:$AK88),$AK78:$AK88,0),MATCH(IF('Data-solution'!$A$3="Maximize",MAX($C89:$AI89),MIN($C89:$AI89)),$C89:$AI89,0))),AJ84)</f>
        <v>0</v>
      </c>
      <c r="AK99" s="1" t="str">
        <f>IF(INDEX(C99:X99,1,MATCH(IF('Data-solution'!A$3="Maximize",MAX(C104:X104),MIN(C104:X104)),C104:X104,0))&gt;0,AJ99/INDEX(C99:X99,1,MATCH(IF('Data-solution'!A$3="Maximize",MAX(C104:X104),MIN(C104:X104)),C104:X104,0))," ")</f>
        <v xml:space="preserve"> </v>
      </c>
    </row>
    <row r="100" spans="1:37" ht="18" customHeight="1" x14ac:dyDescent="0.2">
      <c r="A100" s="1">
        <f t="shared" ref="A100" si="71">INDEX(C91:AI91,1,MATCH(B100,C92:AI92,0))</f>
        <v>0</v>
      </c>
      <c r="B100" s="2" t="str">
        <f>IF(AND('Data-solution'!A$3="Maximize",COUNTIF(C89:X89,"&gt;"&amp;0)&gt;0,AK85=MIN(AK78:AK88),COUNTIF(B93:B99,INDEX(C77:X77,1,MATCH(MAX(C89:X89),C89:X89,0)))=0),INDEX(C77:X77,1,MATCH(MAX(C89:X89),C89:X89,0)),IF(AND('Data-solution'!A$3="Minimize",COUNTIF(C89:X89,"&lt;"&amp;0)&gt;0,AK85=MIN(AK78:AK88),COUNTIF(B93:B99,INDEX(C77:X77,1,MATCH(MIN(C89:X89),C89:X89,0)))=0),INDEX(C77:X77,1,MATCH(MIN(C89:X89),C89:X89,0)),B85))</f>
        <v>S8</v>
      </c>
      <c r="C100" s="1">
        <f>IF(OR($B93&lt;&gt;$B78,$B94&lt;&gt;$B79,$B95&lt;&gt;$B80,$B96&lt;&gt;$B81,$B97&lt;&gt;$B82,$B98&lt;&gt;$B83,$B99&lt;&gt;$B84,$B100&lt;&gt;$B85,$B101&lt;&gt;$B86,$B102&lt;&gt;$B87,$B103&lt;&gt;$B88),IF($B100&lt;&gt;$B85,C85/INDEX($C78:$AJ88,8,MATCH(IF('Data-solution'!$A$3="Maximize",MAX($C89:$AI89),MIN($C89:$AI89)),$C89:$AI89,0)),C85-INDEX($C78:$AJ88,8,MATCH(IF('Data-solution'!$A$3="Maximize",MAX($C89:$AI89),MIN($C89:$AI89)),$C89:$AI89,0))*INDEX(C78:$AJ88,MATCH(MIN($AK78:$AK88),$AK78:$AK88,0),1)/INDEX($C78:$AJ88,MATCH(MIN($AK78:$AK88),$AK78:$AK88,0),MATCH(IF('Data-solution'!$A$3="Maximize",MAX($C89:$AI89),MIN($C89:$AI89)),$C89:$AI89,0))),C85)</f>
        <v>0</v>
      </c>
      <c r="D100" s="1">
        <f>IF(OR($B93&lt;&gt;$B78,$B94&lt;&gt;$B79,$B95&lt;&gt;$B80,$B96&lt;&gt;$B81,$B97&lt;&gt;$B82,$B98&lt;&gt;$B83,$B99&lt;&gt;$B84,$B100&lt;&gt;$B85,$B101&lt;&gt;$B86,$B102&lt;&gt;$B87,$B103&lt;&gt;$B88),IF($B100&lt;&gt;$B85,D85/INDEX($C78:$AJ88,8,MATCH(IF('Data-solution'!$A$3="Maximize",MAX($C89:$AI89),MIN($C89:$AI89)),$C89:$AI89,0)),D85-INDEX($C78:$AJ88,8,MATCH(IF('Data-solution'!$A$3="Maximize",MAX($C89:$AI89),MIN($C89:$AI89)),$C89:$AI89,0))*INDEX(D78:$AJ88,MATCH(MIN($AK78:$AK88),$AK78:$AK88,0),1)/INDEX($C78:$AJ88,MATCH(MIN($AK78:$AK88),$AK78:$AK88,0),MATCH(IF('Data-solution'!$A$3="Maximize",MAX($C89:$AI89),MIN($C89:$AI89)),$C89:$AI89,0))),D85)</f>
        <v>0</v>
      </c>
      <c r="E100" s="1">
        <f>IF(OR($B93&lt;&gt;$B78,$B94&lt;&gt;$B79,$B95&lt;&gt;$B80,$B96&lt;&gt;$B81,$B97&lt;&gt;$B82,$B98&lt;&gt;$B83,$B99&lt;&gt;$B84,$B100&lt;&gt;$B85,$B101&lt;&gt;$B86,$B102&lt;&gt;$B87,$B103&lt;&gt;$B88),IF($B100&lt;&gt;$B85,E85/INDEX($C78:$AJ88,8,MATCH(IF('Data-solution'!$A$3="Maximize",MAX($C89:$AI89),MIN($C89:$AI89)),$C89:$AI89,0)),E85-INDEX($C78:$AJ88,8,MATCH(IF('Data-solution'!$A$3="Maximize",MAX($C89:$AI89),MIN($C89:$AI89)),$C89:$AI89,0))*INDEX(E78:$AJ88,MATCH(MIN($AK78:$AK88),$AK78:$AK88,0),1)/INDEX($C78:$AJ88,MATCH(MIN($AK78:$AK88),$AK78:$AK88,0),MATCH(IF('Data-solution'!$A$3="Maximize",MAX($C89:$AI89),MIN($C89:$AI89)),$C89:$AI89,0))),E85)</f>
        <v>0</v>
      </c>
      <c r="F100" s="1">
        <f>IF(OR($B93&lt;&gt;$B78,$B94&lt;&gt;$B79,$B95&lt;&gt;$B80,$B96&lt;&gt;$B81,$B97&lt;&gt;$B82,$B98&lt;&gt;$B83,$B99&lt;&gt;$B84,$B100&lt;&gt;$B85,$B101&lt;&gt;$B86,$B102&lt;&gt;$B87,$B103&lt;&gt;$B88),IF($B100&lt;&gt;$B85,F85/INDEX($C78:$AJ88,8,MATCH(IF('Data-solution'!$A$3="Maximize",MAX($C89:$AI89),MIN($C89:$AI89)),$C89:$AI89,0)),F85-INDEX($C78:$AJ88,8,MATCH(IF('Data-solution'!$A$3="Maximize",MAX($C89:$AI89),MIN($C89:$AI89)),$C89:$AI89,0))*INDEX(F78:$AJ88,MATCH(MIN($AK78:$AK88),$AK78:$AK88,0),1)/INDEX($C78:$AJ88,MATCH(MIN($AK78:$AK88),$AK78:$AK88,0),MATCH(IF('Data-solution'!$A$3="Maximize",MAX($C89:$AI89),MIN($C89:$AI89)),$C89:$AI89,0))),F85)</f>
        <v>0</v>
      </c>
      <c r="G100" s="1">
        <f>IF(OR($B93&lt;&gt;$B78,$B94&lt;&gt;$B79,$B95&lt;&gt;$B80,$B96&lt;&gt;$B81,$B97&lt;&gt;$B82,$B98&lt;&gt;$B83,$B99&lt;&gt;$B84,$B100&lt;&gt;$B85,$B101&lt;&gt;$B86,$B102&lt;&gt;$B87,$B103&lt;&gt;$B88),IF($B100&lt;&gt;$B85,G85/INDEX($C78:$AJ88,8,MATCH(IF('Data-solution'!$A$3="Maximize",MAX($C89:$AI89),MIN($C89:$AI89)),$C89:$AI89,0)),G85-INDEX($C78:$AJ88,8,MATCH(IF('Data-solution'!$A$3="Maximize",MAX($C89:$AI89),MIN($C89:$AI89)),$C89:$AI89,0))*INDEX(G78:$AJ88,MATCH(MIN($AK78:$AK88),$AK78:$AK88,0),1)/INDEX($C78:$AJ88,MATCH(MIN($AK78:$AK88),$AK78:$AK88,0),MATCH(IF('Data-solution'!$A$3="Maximize",MAX($C89:$AI89),MIN($C89:$AI89)),$C89:$AI89,0))),G85)</f>
        <v>0</v>
      </c>
      <c r="H100" s="1">
        <f>IF(OR($B93&lt;&gt;$B78,$B94&lt;&gt;$B79,$B95&lt;&gt;$B80,$B96&lt;&gt;$B81,$B97&lt;&gt;$B82,$B98&lt;&gt;$B83,$B99&lt;&gt;$B84,$B100&lt;&gt;$B85,$B101&lt;&gt;$B86,$B102&lt;&gt;$B87,$B103&lt;&gt;$B88),IF($B100&lt;&gt;$B85,H85/INDEX($C78:$AJ88,8,MATCH(IF('Data-solution'!$A$3="Maximize",MAX($C89:$AI89),MIN($C89:$AI89)),$C89:$AI89,0)),H85-INDEX($C78:$AJ88,8,MATCH(IF('Data-solution'!$A$3="Maximize",MAX($C89:$AI89),MIN($C89:$AI89)),$C89:$AI89,0))*INDEX(H78:$AJ88,MATCH(MIN($AK78:$AK88),$AK78:$AK88,0),1)/INDEX($C78:$AJ88,MATCH(MIN($AK78:$AK88),$AK78:$AK88,0),MATCH(IF('Data-solution'!$A$3="Maximize",MAX($C89:$AI89),MIN($C89:$AI89)),$C89:$AI89,0))),H85)</f>
        <v>0</v>
      </c>
      <c r="I100" s="1">
        <f>IF(OR($B93&lt;&gt;$B78,$B94&lt;&gt;$B79,$B95&lt;&gt;$B80,$B96&lt;&gt;$B81,$B97&lt;&gt;$B82,$B98&lt;&gt;$B83,$B99&lt;&gt;$B84,$B100&lt;&gt;$B85,$B101&lt;&gt;$B86,$B102&lt;&gt;$B87,$B103&lt;&gt;$B88),IF($B100&lt;&gt;$B85,I85/INDEX($C78:$AJ88,8,MATCH(IF('Data-solution'!$A$3="Maximize",MAX($C89:$AI89),MIN($C89:$AI89)),$C89:$AI89,0)),I85-INDEX($C78:$AJ88,8,MATCH(IF('Data-solution'!$A$3="Maximize",MAX($C89:$AI89),MIN($C89:$AI89)),$C89:$AI89,0))*INDEX(I78:$AJ88,MATCH(MIN($AK78:$AK88),$AK78:$AK88,0),1)/INDEX($C78:$AJ88,MATCH(MIN($AK78:$AK88),$AK78:$AK88,0),MATCH(IF('Data-solution'!$A$3="Maximize",MAX($C89:$AI89),MIN($C89:$AI89)),$C89:$AI89,0))),I85)</f>
        <v>0</v>
      </c>
      <c r="J100" s="1">
        <f>IF(OR($B93&lt;&gt;$B78,$B94&lt;&gt;$B79,$B95&lt;&gt;$B80,$B96&lt;&gt;$B81,$B97&lt;&gt;$B82,$B98&lt;&gt;$B83,$B99&lt;&gt;$B84,$B100&lt;&gt;$B85,$B101&lt;&gt;$B86,$B102&lt;&gt;$B87,$B103&lt;&gt;$B88),IF($B100&lt;&gt;$B85,J85/INDEX($C78:$AJ88,8,MATCH(IF('Data-solution'!$A$3="Maximize",MAX($C89:$AI89),MIN($C89:$AI89)),$C89:$AI89,0)),J85-INDEX($C78:$AJ88,8,MATCH(IF('Data-solution'!$A$3="Maximize",MAX($C89:$AI89),MIN($C89:$AI89)),$C89:$AI89,0))*INDEX(J78:$AJ88,MATCH(MIN($AK78:$AK88),$AK78:$AK88,0),1)/INDEX($C78:$AJ88,MATCH(MIN($AK78:$AK88),$AK78:$AK88,0),MATCH(IF('Data-solution'!$A$3="Maximize",MAX($C89:$AI89),MIN($C89:$AI89)),$C89:$AI89,0))),J85)</f>
        <v>0</v>
      </c>
      <c r="K100" s="1">
        <f>IF(OR($B93&lt;&gt;$B78,$B94&lt;&gt;$B79,$B95&lt;&gt;$B80,$B96&lt;&gt;$B81,$B97&lt;&gt;$B82,$B98&lt;&gt;$B83,$B99&lt;&gt;$B84,$B100&lt;&gt;$B85,$B101&lt;&gt;$B86,$B102&lt;&gt;$B87,$B103&lt;&gt;$B88),IF($B100&lt;&gt;$B85,K85/INDEX($C78:$AJ88,8,MATCH(IF('Data-solution'!$A$3="Maximize",MAX($C89:$AI89),MIN($C89:$AI89)),$C89:$AI89,0)),K85-INDEX($C78:$AJ88,8,MATCH(IF('Data-solution'!$A$3="Maximize",MAX($C89:$AI89),MIN($C89:$AI89)),$C89:$AI89,0))*INDEX(K78:$AJ88,MATCH(MIN($AK78:$AK88),$AK78:$AK88,0),1)/INDEX($C78:$AJ88,MATCH(MIN($AK78:$AK88),$AK78:$AK88,0),MATCH(IF('Data-solution'!$A$3="Maximize",MAX($C89:$AI89),MIN($C89:$AI89)),$C89:$AI89,0))),K85)</f>
        <v>0</v>
      </c>
      <c r="L100" s="1">
        <f>IF(OR($B93&lt;&gt;$B78,$B94&lt;&gt;$B79,$B95&lt;&gt;$B80,$B96&lt;&gt;$B81,$B97&lt;&gt;$B82,$B98&lt;&gt;$B83,$B99&lt;&gt;$B84,$B100&lt;&gt;$B85,$B101&lt;&gt;$B86,$B102&lt;&gt;$B87,$B103&lt;&gt;$B88),IF($B100&lt;&gt;$B85,L85/INDEX($C78:$AJ88,8,MATCH(IF('Data-solution'!$A$3="Maximize",MAX($C89:$AI89),MIN($C89:$AI89)),$C89:$AI89,0)),L85-INDEX($C78:$AJ88,8,MATCH(IF('Data-solution'!$A$3="Maximize",MAX($C89:$AI89),MIN($C89:$AI89)),$C89:$AI89,0))*INDEX(L78:$AJ88,MATCH(MIN($AK78:$AK88),$AK78:$AK88,0),1)/INDEX($C78:$AJ88,MATCH(MIN($AK78:$AK88),$AK78:$AK88,0),MATCH(IF('Data-solution'!$A$3="Maximize",MAX($C89:$AI89),MIN($C89:$AI89)),$C89:$AI89,0))),L85)</f>
        <v>0</v>
      </c>
      <c r="M100" s="1">
        <f>IF(OR($B93&lt;&gt;$B78,$B94&lt;&gt;$B79,$B95&lt;&gt;$B80,$B96&lt;&gt;$B81,$B97&lt;&gt;$B82,$B98&lt;&gt;$B83,$B99&lt;&gt;$B84,$B100&lt;&gt;$B85,$B101&lt;&gt;$B86,$B102&lt;&gt;$B87,$B103&lt;&gt;$B88),IF($B100&lt;&gt;$B85,M85/INDEX($C78:$AJ88,8,MATCH(IF('Data-solution'!$A$3="Maximize",MAX($C89:$AI89),MIN($C89:$AI89)),$C89:$AI89,0)),M85-INDEX($C78:$AJ88,8,MATCH(IF('Data-solution'!$A$3="Maximize",MAX($C89:$AI89),MIN($C89:$AI89)),$C89:$AI89,0))*INDEX(M78:$AJ88,MATCH(MIN($AK78:$AK88),$AK78:$AK88,0),1)/INDEX($C78:$AJ88,MATCH(MIN($AK78:$AK88),$AK78:$AK88,0),MATCH(IF('Data-solution'!$A$3="Maximize",MAX($C89:$AI89),MIN($C89:$AI89)),$C89:$AI89,0))),M85)</f>
        <v>0</v>
      </c>
      <c r="N100" s="1">
        <f>IF(OR($B93&lt;&gt;$B78,$B94&lt;&gt;$B79,$B95&lt;&gt;$B80,$B96&lt;&gt;$B81,$B97&lt;&gt;$B82,$B98&lt;&gt;$B83,$B99&lt;&gt;$B84,$B100&lt;&gt;$B85,$B101&lt;&gt;$B86,$B102&lt;&gt;$B87,$B103&lt;&gt;$B88),IF($B100&lt;&gt;$B85,N85/INDEX($C78:$AJ88,8,MATCH(IF('Data-solution'!$A$3="Maximize",MAX($C89:$AI89),MIN($C89:$AI89)),$C89:$AI89,0)),N85-INDEX($C78:$AJ88,8,MATCH(IF('Data-solution'!$A$3="Maximize",MAX($C89:$AI89),MIN($C89:$AI89)),$C89:$AI89,0))*INDEX(N78:$AJ88,MATCH(MIN($AK78:$AK88),$AK78:$AK88,0),1)/INDEX($C78:$AJ88,MATCH(MIN($AK78:$AK88),$AK78:$AK88,0),MATCH(IF('Data-solution'!$A$3="Maximize",MAX($C89:$AI89),MIN($C89:$AI89)),$C89:$AI89,0))),N85)</f>
        <v>0</v>
      </c>
      <c r="O100" s="1">
        <f>IF(OR($B93&lt;&gt;$B78,$B94&lt;&gt;$B79,$B95&lt;&gt;$B80,$B96&lt;&gt;$B81,$B97&lt;&gt;$B82,$B98&lt;&gt;$B83,$B99&lt;&gt;$B84,$B100&lt;&gt;$B85,$B101&lt;&gt;$B86,$B102&lt;&gt;$B87,$B103&lt;&gt;$B88),IF($B100&lt;&gt;$B85,O85/INDEX($C78:$AJ88,8,MATCH(IF('Data-solution'!$A$3="Maximize",MAX($C89:$AI89),MIN($C89:$AI89)),$C89:$AI89,0)),O85-INDEX($C78:$AJ88,8,MATCH(IF('Data-solution'!$A$3="Maximize",MAX($C89:$AI89),MIN($C89:$AI89)),$C89:$AI89,0))*INDEX(O78:$AJ88,MATCH(MIN($AK78:$AK88),$AK78:$AK88,0),1)/INDEX($C78:$AJ88,MATCH(MIN($AK78:$AK88),$AK78:$AK88,0),MATCH(IF('Data-solution'!$A$3="Maximize",MAX($C89:$AI89),MIN($C89:$AI89)),$C89:$AI89,0))),O85)</f>
        <v>0</v>
      </c>
      <c r="P100" s="1">
        <f>IF(OR($B93&lt;&gt;$B78,$B94&lt;&gt;$B79,$B95&lt;&gt;$B80,$B96&lt;&gt;$B81,$B97&lt;&gt;$B82,$B98&lt;&gt;$B83,$B99&lt;&gt;$B84,$B100&lt;&gt;$B85,$B101&lt;&gt;$B86,$B102&lt;&gt;$B87,$B103&lt;&gt;$B88),IF($B100&lt;&gt;$B85,P85/INDEX($C78:$AJ88,8,MATCH(IF('Data-solution'!$A$3="Maximize",MAX($C89:$AI89),MIN($C89:$AI89)),$C89:$AI89,0)),P85-INDEX($C78:$AJ88,8,MATCH(IF('Data-solution'!$A$3="Maximize",MAX($C89:$AI89),MIN($C89:$AI89)),$C89:$AI89,0))*INDEX(P78:$AJ88,MATCH(MIN($AK78:$AK88),$AK78:$AK88,0),1)/INDEX($C78:$AJ88,MATCH(MIN($AK78:$AK88),$AK78:$AK88,0),MATCH(IF('Data-solution'!$A$3="Maximize",MAX($C89:$AI89),MIN($C89:$AI89)),$C89:$AI89,0))),P85)</f>
        <v>0</v>
      </c>
      <c r="Q100" s="1">
        <f>IF(OR($B93&lt;&gt;$B78,$B94&lt;&gt;$B79,$B95&lt;&gt;$B80,$B96&lt;&gt;$B81,$B97&lt;&gt;$B82,$B98&lt;&gt;$B83,$B99&lt;&gt;$B84,$B100&lt;&gt;$B85,$B101&lt;&gt;$B86,$B102&lt;&gt;$B87,$B103&lt;&gt;$B88),IF($B100&lt;&gt;$B85,Q85/INDEX($C78:$AJ88,8,MATCH(IF('Data-solution'!$A$3="Maximize",MAX($C89:$AI89),MIN($C89:$AI89)),$C89:$AI89,0)),Q85-INDEX($C78:$AJ88,8,MATCH(IF('Data-solution'!$A$3="Maximize",MAX($C89:$AI89),MIN($C89:$AI89)),$C89:$AI89,0))*INDEX(Q78:$AJ88,MATCH(MIN($AK78:$AK88),$AK78:$AK88,0),1)/INDEX($C78:$AJ88,MATCH(MIN($AK78:$AK88),$AK78:$AK88,0),MATCH(IF('Data-solution'!$A$3="Maximize",MAX($C89:$AI89),MIN($C89:$AI89)),$C89:$AI89,0))),Q85)</f>
        <v>0</v>
      </c>
      <c r="R100" s="1">
        <f>IF(OR($B93&lt;&gt;$B78,$B94&lt;&gt;$B79,$B95&lt;&gt;$B80,$B96&lt;&gt;$B81,$B97&lt;&gt;$B82,$B98&lt;&gt;$B83,$B99&lt;&gt;$B84,$B100&lt;&gt;$B85,$B101&lt;&gt;$B86,$B102&lt;&gt;$B87,$B103&lt;&gt;$B88),IF($B100&lt;&gt;$B85,R85/INDEX($C78:$AJ88,8,MATCH(IF('Data-solution'!$A$3="Maximize",MAX($C89:$AI89),MIN($C89:$AI89)),$C89:$AI89,0)),R85-INDEX($C78:$AJ88,8,MATCH(IF('Data-solution'!$A$3="Maximize",MAX($C89:$AI89),MIN($C89:$AI89)),$C89:$AI89,0))*INDEX(R78:$AJ88,MATCH(MIN($AK78:$AK88),$AK78:$AK88,0),1)/INDEX($C78:$AJ88,MATCH(MIN($AK78:$AK88),$AK78:$AK88,0),MATCH(IF('Data-solution'!$A$3="Maximize",MAX($C89:$AI89),MIN($C89:$AI89)),$C89:$AI89,0))),R85)</f>
        <v>0</v>
      </c>
      <c r="S100" s="1">
        <f>IF(OR($B93&lt;&gt;$B78,$B94&lt;&gt;$B79,$B95&lt;&gt;$B80,$B96&lt;&gt;$B81,$B97&lt;&gt;$B82,$B98&lt;&gt;$B83,$B99&lt;&gt;$B84,$B100&lt;&gt;$B85,$B101&lt;&gt;$B86,$B102&lt;&gt;$B87,$B103&lt;&gt;$B88),IF($B100&lt;&gt;$B85,S85/INDEX($C78:$AJ88,8,MATCH(IF('Data-solution'!$A$3="Maximize",MAX($C89:$AI89),MIN($C89:$AI89)),$C89:$AI89,0)),S85-INDEX($C78:$AJ88,8,MATCH(IF('Data-solution'!$A$3="Maximize",MAX($C89:$AI89),MIN($C89:$AI89)),$C89:$AI89,0))*INDEX(S78:$AJ88,MATCH(MIN($AK78:$AK88),$AK78:$AK88,0),1)/INDEX($C78:$AJ88,MATCH(MIN($AK78:$AK88),$AK78:$AK88,0),MATCH(IF('Data-solution'!$A$3="Maximize",MAX($C89:$AI89),MIN($C89:$AI89)),$C89:$AI89,0))),S85)</f>
        <v>0</v>
      </c>
      <c r="T100" s="1">
        <f>IF(OR($B93&lt;&gt;$B78,$B94&lt;&gt;$B79,$B95&lt;&gt;$B80,$B96&lt;&gt;$B81,$B97&lt;&gt;$B82,$B98&lt;&gt;$B83,$B99&lt;&gt;$B84,$B100&lt;&gt;$B85,$B101&lt;&gt;$B86,$B102&lt;&gt;$B87,$B103&lt;&gt;$B88),IF($B100&lt;&gt;$B85,T85/INDEX($C78:$AJ88,8,MATCH(IF('Data-solution'!$A$3="Maximize",MAX($C89:$AI89),MIN($C89:$AI89)),$C89:$AI89,0)),T85-INDEX($C78:$AJ88,8,MATCH(IF('Data-solution'!$A$3="Maximize",MAX($C89:$AI89),MIN($C89:$AI89)),$C89:$AI89,0))*INDEX(T78:$AJ88,MATCH(MIN($AK78:$AK88),$AK78:$AK88,0),1)/INDEX($C78:$AJ88,MATCH(MIN($AK78:$AK88),$AK78:$AK88,0),MATCH(IF('Data-solution'!$A$3="Maximize",MAX($C89:$AI89),MIN($C89:$AI89)),$C89:$AI89,0))),T85)</f>
        <v>0</v>
      </c>
      <c r="U100" s="1">
        <f>IF(OR($B93&lt;&gt;$B78,$B94&lt;&gt;$B79,$B95&lt;&gt;$B80,$B96&lt;&gt;$B81,$B97&lt;&gt;$B82,$B98&lt;&gt;$B83,$B99&lt;&gt;$B84,$B100&lt;&gt;$B85,$B101&lt;&gt;$B86,$B102&lt;&gt;$B87,$B103&lt;&gt;$B88),IF($B100&lt;&gt;$B85,U85/INDEX($C78:$AJ88,8,MATCH(IF('Data-solution'!$A$3="Maximize",MAX($C89:$AI89),MIN($C89:$AI89)),$C89:$AI89,0)),U85-INDEX($C78:$AJ88,8,MATCH(IF('Data-solution'!$A$3="Maximize",MAX($C89:$AI89),MIN($C89:$AI89)),$C89:$AI89,0))*INDEX(U78:$AJ88,MATCH(MIN($AK78:$AK88),$AK78:$AK88,0),1)/INDEX($C78:$AJ88,MATCH(MIN($AK78:$AK88),$AK78:$AK88,0),MATCH(IF('Data-solution'!$A$3="Maximize",MAX($C89:$AI89),MIN($C89:$AI89)),$C89:$AI89,0))),U85)</f>
        <v>1</v>
      </c>
      <c r="V100" s="1">
        <f>IF(OR($B93&lt;&gt;$B78,$B94&lt;&gt;$B79,$B95&lt;&gt;$B80,$B96&lt;&gt;$B81,$B97&lt;&gt;$B82,$B98&lt;&gt;$B83,$B99&lt;&gt;$B84,$B100&lt;&gt;$B85,$B101&lt;&gt;$B86,$B102&lt;&gt;$B87,$B103&lt;&gt;$B88),IF($B100&lt;&gt;$B85,V85/INDEX($C78:$AJ88,8,MATCH(IF('Data-solution'!$A$3="Maximize",MAX($C89:$AI89),MIN($C89:$AI89)),$C89:$AI89,0)),V85-INDEX($C78:$AJ88,8,MATCH(IF('Data-solution'!$A$3="Maximize",MAX($C89:$AI89),MIN($C89:$AI89)),$C89:$AI89,0))*INDEX(V78:$AJ88,MATCH(MIN($AK78:$AK88),$AK78:$AK88,0),1)/INDEX($C78:$AJ88,MATCH(MIN($AK78:$AK88),$AK78:$AK88,0),MATCH(IF('Data-solution'!$A$3="Maximize",MAX($C89:$AI89),MIN($C89:$AI89)),$C89:$AI89,0))),V85)</f>
        <v>0</v>
      </c>
      <c r="W100" s="1">
        <f>IF(OR($B93&lt;&gt;$B78,$B94&lt;&gt;$B79,$B95&lt;&gt;$B80,$B96&lt;&gt;$B81,$B97&lt;&gt;$B82,$B98&lt;&gt;$B83,$B99&lt;&gt;$B84,$B100&lt;&gt;$B85,$B101&lt;&gt;$B86,$B102&lt;&gt;$B87,$B103&lt;&gt;$B88),IF($B100&lt;&gt;$B85,W85/INDEX($C78:$AJ88,8,MATCH(IF('Data-solution'!$A$3="Maximize",MAX($C89:$AI89),MIN($C89:$AI89)),$C89:$AI89,0)),W85-INDEX($C78:$AJ88,8,MATCH(IF('Data-solution'!$A$3="Maximize",MAX($C89:$AI89),MIN($C89:$AI89)),$C89:$AI89,0))*INDEX(W78:$AJ88,MATCH(MIN($AK78:$AK88),$AK78:$AK88,0),1)/INDEX($C78:$AJ88,MATCH(MIN($AK78:$AK88),$AK78:$AK88,0),MATCH(IF('Data-solution'!$A$3="Maximize",MAX($C89:$AI89),MIN($C89:$AI89)),$C89:$AI89,0))),W85)</f>
        <v>0</v>
      </c>
      <c r="X100" s="1">
        <f>IF(OR($B93&lt;&gt;$B78,$B94&lt;&gt;$B79,$B95&lt;&gt;$B80,$B96&lt;&gt;$B81,$B97&lt;&gt;$B82,$B98&lt;&gt;$B83,$B99&lt;&gt;$B84,$B100&lt;&gt;$B85,$B101&lt;&gt;$B86,$B102&lt;&gt;$B87,$B103&lt;&gt;$B88),IF($B100&lt;&gt;$B85,X85/INDEX($C78:$AJ88,8,MATCH(IF('Data-solution'!$A$3="Maximize",MAX($C89:$AI89),MIN($C89:$AI89)),$C89:$AI89,0)),X85-INDEX($C78:$AJ88,8,MATCH(IF('Data-solution'!$A$3="Maximize",MAX($C89:$AI89),MIN($C89:$AI89)),$C89:$AI89,0))*INDEX(X78:$AJ88,MATCH(MIN($AK78:$AK88),$AK78:$AK88,0),1)/INDEX($C78:$AJ88,MATCH(MIN($AK78:$AK88),$AK78:$AK88,0),MATCH(IF('Data-solution'!$A$3="Maximize",MAX($C89:$AI89),MIN($C89:$AI89)),$C89:$AI89,0))),X85)</f>
        <v>0</v>
      </c>
      <c r="Y100" s="1">
        <f>IF(OR($B93&lt;&gt;$B78,$B94&lt;&gt;$B79,$B95&lt;&gt;$B80,$B96&lt;&gt;$B81,$B97&lt;&gt;$B82,$B98&lt;&gt;$B83,$B99&lt;&gt;$B84,$B100&lt;&gt;$B85,$B101&lt;&gt;$B86,$B102&lt;&gt;$B87,$B103&lt;&gt;$B88),IF($B100&lt;&gt;$B85,Y85/INDEX($C78:$AJ88,8,MATCH(IF('Data-solution'!$A$3="Maximize",MAX($C89:$AI89),MIN($C89:$AI89)),$C89:$AI89,0)),Y85-INDEX($C78:$AJ88,8,MATCH(IF('Data-solution'!$A$3="Maximize",MAX($C89:$AI89),MIN($C89:$AI89)),$C89:$AI89,0))*INDEX(Y78:$AJ88,MATCH(MIN($AK78:$AK88),$AK78:$AK88,0),1)/INDEX($C78:$AJ88,MATCH(MIN($AK78:$AK88),$AK78:$AK88,0),MATCH(IF('Data-solution'!$A$3="Maximize",MAX($C89:$AI89),MIN($C89:$AI89)),$C89:$AI89,0))),Y85)</f>
        <v>0</v>
      </c>
      <c r="Z100" s="1">
        <f>IF(OR($B93&lt;&gt;$B78,$B94&lt;&gt;$B79,$B95&lt;&gt;$B80,$B96&lt;&gt;$B81,$B97&lt;&gt;$B82,$B98&lt;&gt;$B83,$B99&lt;&gt;$B84,$B100&lt;&gt;$B85,$B101&lt;&gt;$B86,$B102&lt;&gt;$B87,$B103&lt;&gt;$B88),IF($B100&lt;&gt;$B85,Z85/INDEX($C78:$AJ88,8,MATCH(IF('Data-solution'!$A$3="Maximize",MAX($C89:$AI89),MIN($C89:$AI89)),$C89:$AI89,0)),Z85-INDEX($C78:$AJ88,8,MATCH(IF('Data-solution'!$A$3="Maximize",MAX($C89:$AI89),MIN($C89:$AI89)),$C89:$AI89,0))*INDEX(Z78:$AJ88,MATCH(MIN($AK78:$AK88),$AK78:$AK88,0),1)/INDEX($C78:$AJ88,MATCH(MIN($AK78:$AK88),$AK78:$AK88,0),MATCH(IF('Data-solution'!$A$3="Maximize",MAX($C89:$AI89),MIN($C89:$AI89)),$C89:$AI89,0))),Z85)</f>
        <v>0</v>
      </c>
      <c r="AA100" s="1">
        <f>IF(OR($B93&lt;&gt;$B78,$B94&lt;&gt;$B79,$B95&lt;&gt;$B80,$B96&lt;&gt;$B81,$B97&lt;&gt;$B82,$B98&lt;&gt;$B83,$B99&lt;&gt;$B84,$B100&lt;&gt;$B85,$B101&lt;&gt;$B86,$B102&lt;&gt;$B87,$B103&lt;&gt;$B88),IF($B100&lt;&gt;$B85,AA85/INDEX($C78:$AJ88,8,MATCH(IF('Data-solution'!$A$3="Maximize",MAX($C89:$AI89),MIN($C89:$AI89)),$C89:$AI89,0)),AA85-INDEX($C78:$AJ88,8,MATCH(IF('Data-solution'!$A$3="Maximize",MAX($C89:$AI89),MIN($C89:$AI89)),$C89:$AI89,0))*INDEX(AA78:$AJ88,MATCH(MIN($AK78:$AK88),$AK78:$AK88,0),1)/INDEX($C78:$AJ88,MATCH(MIN($AK78:$AK88),$AK78:$AK88,0),MATCH(IF('Data-solution'!$A$3="Maximize",MAX($C89:$AI89),MIN($C89:$AI89)),$C89:$AI89,0))),AA85)</f>
        <v>0</v>
      </c>
      <c r="AB100" s="1">
        <f>IF(OR($B93&lt;&gt;$B78,$B94&lt;&gt;$B79,$B95&lt;&gt;$B80,$B96&lt;&gt;$B81,$B97&lt;&gt;$B82,$B98&lt;&gt;$B83,$B99&lt;&gt;$B84,$B100&lt;&gt;$B85,$B101&lt;&gt;$B86,$B102&lt;&gt;$B87,$B103&lt;&gt;$B88),IF($B100&lt;&gt;$B85,AB85/INDEX($C78:$AJ88,8,MATCH(IF('Data-solution'!$A$3="Maximize",MAX($C89:$AI89),MIN($C89:$AI89)),$C89:$AI89,0)),AB85-INDEX($C78:$AJ88,8,MATCH(IF('Data-solution'!$A$3="Maximize",MAX($C89:$AI89),MIN($C89:$AI89)),$C89:$AI89,0))*INDEX(AB78:$AJ88,MATCH(MIN($AK78:$AK88),$AK78:$AK88,0),1)/INDEX($C78:$AJ88,MATCH(MIN($AK78:$AK88),$AK78:$AK88,0),MATCH(IF('Data-solution'!$A$3="Maximize",MAX($C89:$AI89),MIN($C89:$AI89)),$C89:$AI89,0))),AB85)</f>
        <v>0</v>
      </c>
      <c r="AC100" s="1">
        <f>IF(OR($B93&lt;&gt;$B78,$B94&lt;&gt;$B79,$B95&lt;&gt;$B80,$B96&lt;&gt;$B81,$B97&lt;&gt;$B82,$B98&lt;&gt;$B83,$B99&lt;&gt;$B84,$B100&lt;&gt;$B85,$B101&lt;&gt;$B86,$B102&lt;&gt;$B87,$B103&lt;&gt;$B88),IF($B100&lt;&gt;$B85,AC85/INDEX($C78:$AJ88,8,MATCH(IF('Data-solution'!$A$3="Maximize",MAX($C89:$AI89),MIN($C89:$AI89)),$C89:$AI89,0)),AC85-INDEX($C78:$AJ88,8,MATCH(IF('Data-solution'!$A$3="Maximize",MAX($C89:$AI89),MIN($C89:$AI89)),$C89:$AI89,0))*INDEX(AC78:$AJ88,MATCH(MIN($AK78:$AK88),$AK78:$AK88,0),1)/INDEX($C78:$AJ88,MATCH(MIN($AK78:$AK88),$AK78:$AK88,0),MATCH(IF('Data-solution'!$A$3="Maximize",MAX($C89:$AI89),MIN($C89:$AI89)),$C89:$AI89,0))),AC85)</f>
        <v>0</v>
      </c>
      <c r="AD100" s="1">
        <f>IF(OR($B93&lt;&gt;$B78,$B94&lt;&gt;$B79,$B95&lt;&gt;$B80,$B96&lt;&gt;$B81,$B97&lt;&gt;$B82,$B98&lt;&gt;$B83,$B99&lt;&gt;$B84,$B100&lt;&gt;$B85,$B101&lt;&gt;$B86,$B102&lt;&gt;$B87,$B103&lt;&gt;$B88),IF($B100&lt;&gt;$B85,AD85/INDEX($C78:$AJ88,8,MATCH(IF('Data-solution'!$A$3="Maximize",MAX($C89:$AI89),MIN($C89:$AI89)),$C89:$AI89,0)),AD85-INDEX($C78:$AJ88,8,MATCH(IF('Data-solution'!$A$3="Maximize",MAX($C89:$AI89),MIN($C89:$AI89)),$C89:$AI89,0))*INDEX(AD78:$AJ88,MATCH(MIN($AK78:$AK88),$AK78:$AK88,0),1)/INDEX($C78:$AJ88,MATCH(MIN($AK78:$AK88),$AK78:$AK88,0),MATCH(IF('Data-solution'!$A$3="Maximize",MAX($C89:$AI89),MIN($C89:$AI89)),$C89:$AI89,0))),AD85)</f>
        <v>0</v>
      </c>
      <c r="AE100" s="1">
        <f>IF(OR($B93&lt;&gt;$B78,$B94&lt;&gt;$B79,$B95&lt;&gt;$B80,$B96&lt;&gt;$B81,$B97&lt;&gt;$B82,$B98&lt;&gt;$B83,$B99&lt;&gt;$B84,$B100&lt;&gt;$B85,$B101&lt;&gt;$B86,$B102&lt;&gt;$B87,$B103&lt;&gt;$B88),IF($B100&lt;&gt;$B85,AE85/INDEX($C78:$AJ88,8,MATCH(IF('Data-solution'!$A$3="Maximize",MAX($C89:$AI89),MIN($C89:$AI89)),$C89:$AI89,0)),AE85-INDEX($C78:$AJ88,8,MATCH(IF('Data-solution'!$A$3="Maximize",MAX($C89:$AI89),MIN($C89:$AI89)),$C89:$AI89,0))*INDEX(AE78:$AJ88,MATCH(MIN($AK78:$AK88),$AK78:$AK88,0),1)/INDEX($C78:$AJ88,MATCH(MIN($AK78:$AK88),$AK78:$AK88,0),MATCH(IF('Data-solution'!$A$3="Maximize",MAX($C89:$AI89),MIN($C89:$AI89)),$C89:$AI89,0))),AE85)</f>
        <v>0</v>
      </c>
      <c r="AF100" s="1">
        <f>IF(OR($B93&lt;&gt;$B78,$B94&lt;&gt;$B79,$B95&lt;&gt;$B80,$B96&lt;&gt;$B81,$B97&lt;&gt;$B82,$B98&lt;&gt;$B83,$B99&lt;&gt;$B84,$B100&lt;&gt;$B85,$B101&lt;&gt;$B86,$B102&lt;&gt;$B87,$B103&lt;&gt;$B88),IF($B100&lt;&gt;$B85,AF85/INDEX($C78:$AJ88,8,MATCH(IF('Data-solution'!$A$3="Maximize",MAX($C89:$AI89),MIN($C89:$AI89)),$C89:$AI89,0)),AF85-INDEX($C78:$AJ88,8,MATCH(IF('Data-solution'!$A$3="Maximize",MAX($C89:$AI89),MIN($C89:$AI89)),$C89:$AI89,0))*INDEX(AF78:$AJ88,MATCH(MIN($AK78:$AK88),$AK78:$AK88,0),1)/INDEX($C78:$AJ88,MATCH(MIN($AK78:$AK88),$AK78:$AK88,0),MATCH(IF('Data-solution'!$A$3="Maximize",MAX($C89:$AI89),MIN($C89:$AI89)),$C89:$AI89,0))),AF85)</f>
        <v>1</v>
      </c>
      <c r="AG100" s="1">
        <f>IF(OR($B93&lt;&gt;$B78,$B94&lt;&gt;$B79,$B95&lt;&gt;$B80,$B96&lt;&gt;$B81,$B97&lt;&gt;$B82,$B98&lt;&gt;$B83,$B99&lt;&gt;$B84,$B100&lt;&gt;$B85,$B101&lt;&gt;$B86,$B102&lt;&gt;$B87,$B103&lt;&gt;$B88),IF($B100&lt;&gt;$B85,AG85/INDEX($C78:$AJ88,8,MATCH(IF('Data-solution'!$A$3="Maximize",MAX($C89:$AI89),MIN($C89:$AI89)),$C89:$AI89,0)),AG85-INDEX($C78:$AJ88,8,MATCH(IF('Data-solution'!$A$3="Maximize",MAX($C89:$AI89),MIN($C89:$AI89)),$C89:$AI89,0))*INDEX(AG78:$AJ88,MATCH(MIN($AK78:$AK88),$AK78:$AK88,0),1)/INDEX($C78:$AJ88,MATCH(MIN($AK78:$AK88),$AK78:$AK88,0),MATCH(IF('Data-solution'!$A$3="Maximize",MAX($C89:$AI89),MIN($C89:$AI89)),$C89:$AI89,0))),AG85)</f>
        <v>0</v>
      </c>
      <c r="AH100" s="1">
        <f>IF(OR($B93&lt;&gt;$B78,$B94&lt;&gt;$B79,$B95&lt;&gt;$B80,$B96&lt;&gt;$B81,$B97&lt;&gt;$B82,$B98&lt;&gt;$B83,$B99&lt;&gt;$B84,$B100&lt;&gt;$B85,$B101&lt;&gt;$B86,$B102&lt;&gt;$B87,$B103&lt;&gt;$B88),IF($B100&lt;&gt;$B85,AH85/INDEX($C78:$AJ88,8,MATCH(IF('Data-solution'!$A$3="Maximize",MAX($C89:$AI89),MIN($C89:$AI89)),$C89:$AI89,0)),AH85-INDEX($C78:$AJ88,8,MATCH(IF('Data-solution'!$A$3="Maximize",MAX($C89:$AI89),MIN($C89:$AI89)),$C89:$AI89,0))*INDEX(AH78:$AJ88,MATCH(MIN($AK78:$AK88),$AK78:$AK88,0),1)/INDEX($C78:$AJ88,MATCH(MIN($AK78:$AK88),$AK78:$AK88,0),MATCH(IF('Data-solution'!$A$3="Maximize",MAX($C89:$AI89),MIN($C89:$AI89)),$C89:$AI89,0))),AH85)</f>
        <v>0</v>
      </c>
      <c r="AI100" s="1">
        <f>IF(OR($B93&lt;&gt;$B78,$B94&lt;&gt;$B79,$B95&lt;&gt;$B80,$B96&lt;&gt;$B81,$B97&lt;&gt;$B82,$B98&lt;&gt;$B83,$B99&lt;&gt;$B84,$B100&lt;&gt;$B85,$B101&lt;&gt;$B86,$B102&lt;&gt;$B87,$B103&lt;&gt;$B88),IF($B100&lt;&gt;$B85,AI85/INDEX($C78:$AJ88,8,MATCH(IF('Data-solution'!$A$3="Maximize",MAX($C89:$AI89),MIN($C89:$AI89)),$C89:$AI89,0)),AI85-INDEX($C78:$AJ88,8,MATCH(IF('Data-solution'!$A$3="Maximize",MAX($C89:$AI89),MIN($C89:$AI89)),$C89:$AI89,0))*INDEX(AI78:$AJ88,MATCH(MIN($AK78:$AK88),$AK78:$AK88,0),1)/INDEX($C78:$AJ88,MATCH(MIN($AK78:$AK88),$AK78:$AK88,0),MATCH(IF('Data-solution'!$A$3="Maximize",MAX($C89:$AI89),MIN($C89:$AI89)),$C89:$AI89,0))),AI85)</f>
        <v>0</v>
      </c>
      <c r="AJ100" s="1">
        <f>IF(OR($B93&lt;&gt;$B78,$B94&lt;&gt;$B79,$B95&lt;&gt;$B80,$B96&lt;&gt;$B81,$B97&lt;&gt;$B82,$B98&lt;&gt;$B83,$B99&lt;&gt;$B84,$B100&lt;&gt;$B85,$B101&lt;&gt;$B86,$B102&lt;&gt;$B87,$B103&lt;&gt;$B88),IF($B100&lt;&gt;$B85,AJ85/INDEX($C78:$AJ88,8,MATCH(IF('Data-solution'!$A$3="Maximize",MAX($C89:$AI89),MIN($C89:$AI89)),$C89:$AI89,0)),AJ85-INDEX($C78:$AJ88,8,MATCH(IF('Data-solution'!$A$3="Maximize",MAX($C89:$AI89),MIN($C89:$AI89)),$C89:$AI89,0))*INDEX(AJ78:$AJ88,MATCH(MIN($AK78:$AK88),$AK78:$AK88,0),1)/INDEX($C78:$AJ88,MATCH(MIN($AK78:$AK88),$AK78:$AK88,0),MATCH(IF('Data-solution'!$A$3="Maximize",MAX($C89:$AI89),MIN($C89:$AI89)),$C89:$AI89,0))),AJ85)</f>
        <v>0</v>
      </c>
      <c r="AK100" s="1" t="str">
        <f>IF(INDEX(C100:X100,1,MATCH(IF('Data-solution'!A$3="Maximize",MAX(C104:X104),MIN(C104:X104)),C104:X104,0))&gt;0,AJ100/INDEX(C100:X100,1,MATCH(IF('Data-solution'!A$3="Maximize",MAX(C104:X104),MIN(C104:X104)),C104:X104,0))," ")</f>
        <v xml:space="preserve"> </v>
      </c>
    </row>
    <row r="101" spans="1:37" ht="18" customHeight="1" x14ac:dyDescent="0.2">
      <c r="A101" s="1">
        <f t="shared" ref="A101" si="72">INDEX(C91:AI91,1,MATCH(B101,C92:AI92,0))</f>
        <v>0</v>
      </c>
      <c r="B101" s="2" t="str">
        <f>IF(AND('Data-solution'!A$3="Maximize",COUNTIF(C89:X89,"&gt;"&amp;0)&gt;0,AK86=MIN(AK78:AK88),COUNTIF(B93:B100,INDEX(C77:X77,1,MATCH(MAX(C89:X89),C89:X89,0)))=0),INDEX(C77:X77,1,MATCH(MAX(C89:X89),C89:X89,0)),IF(AND('Data-solution'!A$3="Minimize",COUNTIF(C89:X89,"&lt;"&amp;0)&gt;0,AK86=MIN(AK78:AK88),COUNTIF(B93:B100,INDEX(C77:X77,1,MATCH(MIN(C89:X89),C89:X89,0)))=0),INDEX(C77:X77,1,MATCH(MIN(C89:X89),C89:X89,0)),B86))</f>
        <v>S9</v>
      </c>
      <c r="C101" s="1">
        <f>IF(OR($B93&lt;&gt;$B78,$B94&lt;&gt;$B79,$B95&lt;&gt;$B80,$B96&lt;&gt;$B81,$B97&lt;&gt;$B82,$B98&lt;&gt;$B83,$B99&lt;&gt;$B84,$B100&lt;&gt;$B85,$B101&lt;&gt;$B86,$B102&lt;&gt;$B87,$B103&lt;&gt;$B88),IF($B101&lt;&gt;$B86,C86/INDEX($C78:$AJ88,9,MATCH(IF('Data-solution'!$A$3="Maximize",MAX($C89:$AI89),MIN($C89:$AI89)),$C89:$AI89,0)),C86-INDEX($C78:$AJ88,9,MATCH(IF('Data-solution'!$A$3="Maximize",MAX($C89:$AI89),MIN($C89:$AI89)),$C89:$AI89,0))*INDEX(C78:$AJ88,MATCH(MIN($AK78:$AK88),$AK78:$AK88,0),1)/INDEX($C78:$AJ88,MATCH(MIN($AK78:$AK88),$AK78:$AK88,0),MATCH(IF('Data-solution'!$A$3="Maximize",MAX($C89:$AI89),MIN($C89:$AI89)),$C89:$AI89,0))),C86)</f>
        <v>0</v>
      </c>
      <c r="D101" s="1">
        <f>IF(OR($B93&lt;&gt;$B78,$B94&lt;&gt;$B79,$B95&lt;&gt;$B80,$B96&lt;&gt;$B81,$B97&lt;&gt;$B82,$B98&lt;&gt;$B83,$B99&lt;&gt;$B84,$B100&lt;&gt;$B85,$B101&lt;&gt;$B86,$B102&lt;&gt;$B87,$B103&lt;&gt;$B88),IF($B101&lt;&gt;$B86,D86/INDEX($C78:$AJ88,9,MATCH(IF('Data-solution'!$A$3="Maximize",MAX($C89:$AI89),MIN($C89:$AI89)),$C89:$AI89,0)),D86-INDEX($C78:$AJ88,9,MATCH(IF('Data-solution'!$A$3="Maximize",MAX($C89:$AI89),MIN($C89:$AI89)),$C89:$AI89,0))*INDEX(D78:$AJ88,MATCH(MIN($AK78:$AK88),$AK78:$AK88,0),1)/INDEX($C78:$AJ88,MATCH(MIN($AK78:$AK88),$AK78:$AK88,0),MATCH(IF('Data-solution'!$A$3="Maximize",MAX($C89:$AI89),MIN($C89:$AI89)),$C89:$AI89,0))),D86)</f>
        <v>0</v>
      </c>
      <c r="E101" s="1">
        <f>IF(OR($B93&lt;&gt;$B78,$B94&lt;&gt;$B79,$B95&lt;&gt;$B80,$B96&lt;&gt;$B81,$B97&lt;&gt;$B82,$B98&lt;&gt;$B83,$B99&lt;&gt;$B84,$B100&lt;&gt;$B85,$B101&lt;&gt;$B86,$B102&lt;&gt;$B87,$B103&lt;&gt;$B88),IF($B101&lt;&gt;$B86,E86/INDEX($C78:$AJ88,9,MATCH(IF('Data-solution'!$A$3="Maximize",MAX($C89:$AI89),MIN($C89:$AI89)),$C89:$AI89,0)),E86-INDEX($C78:$AJ88,9,MATCH(IF('Data-solution'!$A$3="Maximize",MAX($C89:$AI89),MIN($C89:$AI89)),$C89:$AI89,0))*INDEX(E78:$AJ88,MATCH(MIN($AK78:$AK88),$AK78:$AK88,0),1)/INDEX($C78:$AJ88,MATCH(MIN($AK78:$AK88),$AK78:$AK88,0),MATCH(IF('Data-solution'!$A$3="Maximize",MAX($C89:$AI89),MIN($C89:$AI89)),$C89:$AI89,0))),E86)</f>
        <v>0</v>
      </c>
      <c r="F101" s="1">
        <f>IF(OR($B93&lt;&gt;$B78,$B94&lt;&gt;$B79,$B95&lt;&gt;$B80,$B96&lt;&gt;$B81,$B97&lt;&gt;$B82,$B98&lt;&gt;$B83,$B99&lt;&gt;$B84,$B100&lt;&gt;$B85,$B101&lt;&gt;$B86,$B102&lt;&gt;$B87,$B103&lt;&gt;$B88),IF($B101&lt;&gt;$B86,F86/INDEX($C78:$AJ88,9,MATCH(IF('Data-solution'!$A$3="Maximize",MAX($C89:$AI89),MIN($C89:$AI89)),$C89:$AI89,0)),F86-INDEX($C78:$AJ88,9,MATCH(IF('Data-solution'!$A$3="Maximize",MAX($C89:$AI89),MIN($C89:$AI89)),$C89:$AI89,0))*INDEX(F78:$AJ88,MATCH(MIN($AK78:$AK88),$AK78:$AK88,0),1)/INDEX($C78:$AJ88,MATCH(MIN($AK78:$AK88),$AK78:$AK88,0),MATCH(IF('Data-solution'!$A$3="Maximize",MAX($C89:$AI89),MIN($C89:$AI89)),$C89:$AI89,0))),F86)</f>
        <v>0</v>
      </c>
      <c r="G101" s="1">
        <f>IF(OR($B93&lt;&gt;$B78,$B94&lt;&gt;$B79,$B95&lt;&gt;$B80,$B96&lt;&gt;$B81,$B97&lt;&gt;$B82,$B98&lt;&gt;$B83,$B99&lt;&gt;$B84,$B100&lt;&gt;$B85,$B101&lt;&gt;$B86,$B102&lt;&gt;$B87,$B103&lt;&gt;$B88),IF($B101&lt;&gt;$B86,G86/INDEX($C78:$AJ88,9,MATCH(IF('Data-solution'!$A$3="Maximize",MAX($C89:$AI89),MIN($C89:$AI89)),$C89:$AI89,0)),G86-INDEX($C78:$AJ88,9,MATCH(IF('Data-solution'!$A$3="Maximize",MAX($C89:$AI89),MIN($C89:$AI89)),$C89:$AI89,0))*INDEX(G78:$AJ88,MATCH(MIN($AK78:$AK88),$AK78:$AK88,0),1)/INDEX($C78:$AJ88,MATCH(MIN($AK78:$AK88),$AK78:$AK88,0),MATCH(IF('Data-solution'!$A$3="Maximize",MAX($C89:$AI89),MIN($C89:$AI89)),$C89:$AI89,0))),G86)</f>
        <v>0</v>
      </c>
      <c r="H101" s="1">
        <f>IF(OR($B93&lt;&gt;$B78,$B94&lt;&gt;$B79,$B95&lt;&gt;$B80,$B96&lt;&gt;$B81,$B97&lt;&gt;$B82,$B98&lt;&gt;$B83,$B99&lt;&gt;$B84,$B100&lt;&gt;$B85,$B101&lt;&gt;$B86,$B102&lt;&gt;$B87,$B103&lt;&gt;$B88),IF($B101&lt;&gt;$B86,H86/INDEX($C78:$AJ88,9,MATCH(IF('Data-solution'!$A$3="Maximize",MAX($C89:$AI89),MIN($C89:$AI89)),$C89:$AI89,0)),H86-INDEX($C78:$AJ88,9,MATCH(IF('Data-solution'!$A$3="Maximize",MAX($C89:$AI89),MIN($C89:$AI89)),$C89:$AI89,0))*INDEX(H78:$AJ88,MATCH(MIN($AK78:$AK88),$AK78:$AK88,0),1)/INDEX($C78:$AJ88,MATCH(MIN($AK78:$AK88),$AK78:$AK88,0),MATCH(IF('Data-solution'!$A$3="Maximize",MAX($C89:$AI89),MIN($C89:$AI89)),$C89:$AI89,0))),H86)</f>
        <v>0</v>
      </c>
      <c r="I101" s="1">
        <f>IF(OR($B93&lt;&gt;$B78,$B94&lt;&gt;$B79,$B95&lt;&gt;$B80,$B96&lt;&gt;$B81,$B97&lt;&gt;$B82,$B98&lt;&gt;$B83,$B99&lt;&gt;$B84,$B100&lt;&gt;$B85,$B101&lt;&gt;$B86,$B102&lt;&gt;$B87,$B103&lt;&gt;$B88),IF($B101&lt;&gt;$B86,I86/INDEX($C78:$AJ88,9,MATCH(IF('Data-solution'!$A$3="Maximize",MAX($C89:$AI89),MIN($C89:$AI89)),$C89:$AI89,0)),I86-INDEX($C78:$AJ88,9,MATCH(IF('Data-solution'!$A$3="Maximize",MAX($C89:$AI89),MIN($C89:$AI89)),$C89:$AI89,0))*INDEX(I78:$AJ88,MATCH(MIN($AK78:$AK88),$AK78:$AK88,0),1)/INDEX($C78:$AJ88,MATCH(MIN($AK78:$AK88),$AK78:$AK88,0),MATCH(IF('Data-solution'!$A$3="Maximize",MAX($C89:$AI89),MIN($C89:$AI89)),$C89:$AI89,0))),I86)</f>
        <v>0</v>
      </c>
      <c r="J101" s="1">
        <f>IF(OR($B93&lt;&gt;$B78,$B94&lt;&gt;$B79,$B95&lt;&gt;$B80,$B96&lt;&gt;$B81,$B97&lt;&gt;$B82,$B98&lt;&gt;$B83,$B99&lt;&gt;$B84,$B100&lt;&gt;$B85,$B101&lt;&gt;$B86,$B102&lt;&gt;$B87,$B103&lt;&gt;$B88),IF($B101&lt;&gt;$B86,J86/INDEX($C78:$AJ88,9,MATCH(IF('Data-solution'!$A$3="Maximize",MAX($C89:$AI89),MIN($C89:$AI89)),$C89:$AI89,0)),J86-INDEX($C78:$AJ88,9,MATCH(IF('Data-solution'!$A$3="Maximize",MAX($C89:$AI89),MIN($C89:$AI89)),$C89:$AI89,0))*INDEX(J78:$AJ88,MATCH(MIN($AK78:$AK88),$AK78:$AK88,0),1)/INDEX($C78:$AJ88,MATCH(MIN($AK78:$AK88),$AK78:$AK88,0),MATCH(IF('Data-solution'!$A$3="Maximize",MAX($C89:$AI89),MIN($C89:$AI89)),$C89:$AI89,0))),J86)</f>
        <v>0</v>
      </c>
      <c r="K101" s="1">
        <f>IF(OR($B93&lt;&gt;$B78,$B94&lt;&gt;$B79,$B95&lt;&gt;$B80,$B96&lt;&gt;$B81,$B97&lt;&gt;$B82,$B98&lt;&gt;$B83,$B99&lt;&gt;$B84,$B100&lt;&gt;$B85,$B101&lt;&gt;$B86,$B102&lt;&gt;$B87,$B103&lt;&gt;$B88),IF($B101&lt;&gt;$B86,K86/INDEX($C78:$AJ88,9,MATCH(IF('Data-solution'!$A$3="Maximize",MAX($C89:$AI89),MIN($C89:$AI89)),$C89:$AI89,0)),K86-INDEX($C78:$AJ88,9,MATCH(IF('Data-solution'!$A$3="Maximize",MAX($C89:$AI89),MIN($C89:$AI89)),$C89:$AI89,0))*INDEX(K78:$AJ88,MATCH(MIN($AK78:$AK88),$AK78:$AK88,0),1)/INDEX($C78:$AJ88,MATCH(MIN($AK78:$AK88),$AK78:$AK88,0),MATCH(IF('Data-solution'!$A$3="Maximize",MAX($C89:$AI89),MIN($C89:$AI89)),$C89:$AI89,0))),K86)</f>
        <v>0</v>
      </c>
      <c r="L101" s="1">
        <f>IF(OR($B93&lt;&gt;$B78,$B94&lt;&gt;$B79,$B95&lt;&gt;$B80,$B96&lt;&gt;$B81,$B97&lt;&gt;$B82,$B98&lt;&gt;$B83,$B99&lt;&gt;$B84,$B100&lt;&gt;$B85,$B101&lt;&gt;$B86,$B102&lt;&gt;$B87,$B103&lt;&gt;$B88),IF($B101&lt;&gt;$B86,L86/INDEX($C78:$AJ88,9,MATCH(IF('Data-solution'!$A$3="Maximize",MAX($C89:$AI89),MIN($C89:$AI89)),$C89:$AI89,0)),L86-INDEX($C78:$AJ88,9,MATCH(IF('Data-solution'!$A$3="Maximize",MAX($C89:$AI89),MIN($C89:$AI89)),$C89:$AI89,0))*INDEX(L78:$AJ88,MATCH(MIN($AK78:$AK88),$AK78:$AK88,0),1)/INDEX($C78:$AJ88,MATCH(MIN($AK78:$AK88),$AK78:$AK88,0),MATCH(IF('Data-solution'!$A$3="Maximize",MAX($C89:$AI89),MIN($C89:$AI89)),$C89:$AI89,0))),L86)</f>
        <v>0</v>
      </c>
      <c r="M101" s="1">
        <f>IF(OR($B93&lt;&gt;$B78,$B94&lt;&gt;$B79,$B95&lt;&gt;$B80,$B96&lt;&gt;$B81,$B97&lt;&gt;$B82,$B98&lt;&gt;$B83,$B99&lt;&gt;$B84,$B100&lt;&gt;$B85,$B101&lt;&gt;$B86,$B102&lt;&gt;$B87,$B103&lt;&gt;$B88),IF($B101&lt;&gt;$B86,M86/INDEX($C78:$AJ88,9,MATCH(IF('Data-solution'!$A$3="Maximize",MAX($C89:$AI89),MIN($C89:$AI89)),$C89:$AI89,0)),M86-INDEX($C78:$AJ88,9,MATCH(IF('Data-solution'!$A$3="Maximize",MAX($C89:$AI89),MIN($C89:$AI89)),$C89:$AI89,0))*INDEX(M78:$AJ88,MATCH(MIN($AK78:$AK88),$AK78:$AK88,0),1)/INDEX($C78:$AJ88,MATCH(MIN($AK78:$AK88),$AK78:$AK88,0),MATCH(IF('Data-solution'!$A$3="Maximize",MAX($C89:$AI89),MIN($C89:$AI89)),$C89:$AI89,0))),M86)</f>
        <v>0</v>
      </c>
      <c r="N101" s="1">
        <f>IF(OR($B93&lt;&gt;$B78,$B94&lt;&gt;$B79,$B95&lt;&gt;$B80,$B96&lt;&gt;$B81,$B97&lt;&gt;$B82,$B98&lt;&gt;$B83,$B99&lt;&gt;$B84,$B100&lt;&gt;$B85,$B101&lt;&gt;$B86,$B102&lt;&gt;$B87,$B103&lt;&gt;$B88),IF($B101&lt;&gt;$B86,N86/INDEX($C78:$AJ88,9,MATCH(IF('Data-solution'!$A$3="Maximize",MAX($C89:$AI89),MIN($C89:$AI89)),$C89:$AI89,0)),N86-INDEX($C78:$AJ88,9,MATCH(IF('Data-solution'!$A$3="Maximize",MAX($C89:$AI89),MIN($C89:$AI89)),$C89:$AI89,0))*INDEX(N78:$AJ88,MATCH(MIN($AK78:$AK88),$AK78:$AK88,0),1)/INDEX($C78:$AJ88,MATCH(MIN($AK78:$AK88),$AK78:$AK88,0),MATCH(IF('Data-solution'!$A$3="Maximize",MAX($C89:$AI89),MIN($C89:$AI89)),$C89:$AI89,0))),N86)</f>
        <v>0</v>
      </c>
      <c r="O101" s="1">
        <f>IF(OR($B93&lt;&gt;$B78,$B94&lt;&gt;$B79,$B95&lt;&gt;$B80,$B96&lt;&gt;$B81,$B97&lt;&gt;$B82,$B98&lt;&gt;$B83,$B99&lt;&gt;$B84,$B100&lt;&gt;$B85,$B101&lt;&gt;$B86,$B102&lt;&gt;$B87,$B103&lt;&gt;$B88),IF($B101&lt;&gt;$B86,O86/INDEX($C78:$AJ88,9,MATCH(IF('Data-solution'!$A$3="Maximize",MAX($C89:$AI89),MIN($C89:$AI89)),$C89:$AI89,0)),O86-INDEX($C78:$AJ88,9,MATCH(IF('Data-solution'!$A$3="Maximize",MAX($C89:$AI89),MIN($C89:$AI89)),$C89:$AI89,0))*INDEX(O78:$AJ88,MATCH(MIN($AK78:$AK88),$AK78:$AK88,0),1)/INDEX($C78:$AJ88,MATCH(MIN($AK78:$AK88),$AK78:$AK88,0),MATCH(IF('Data-solution'!$A$3="Maximize",MAX($C89:$AI89),MIN($C89:$AI89)),$C89:$AI89,0))),O86)</f>
        <v>0</v>
      </c>
      <c r="P101" s="1">
        <f>IF(OR($B93&lt;&gt;$B78,$B94&lt;&gt;$B79,$B95&lt;&gt;$B80,$B96&lt;&gt;$B81,$B97&lt;&gt;$B82,$B98&lt;&gt;$B83,$B99&lt;&gt;$B84,$B100&lt;&gt;$B85,$B101&lt;&gt;$B86,$B102&lt;&gt;$B87,$B103&lt;&gt;$B88),IF($B101&lt;&gt;$B86,P86/INDEX($C78:$AJ88,9,MATCH(IF('Data-solution'!$A$3="Maximize",MAX($C89:$AI89),MIN($C89:$AI89)),$C89:$AI89,0)),P86-INDEX($C78:$AJ88,9,MATCH(IF('Data-solution'!$A$3="Maximize",MAX($C89:$AI89),MIN($C89:$AI89)),$C89:$AI89,0))*INDEX(P78:$AJ88,MATCH(MIN($AK78:$AK88),$AK78:$AK88,0),1)/INDEX($C78:$AJ88,MATCH(MIN($AK78:$AK88),$AK78:$AK88,0),MATCH(IF('Data-solution'!$A$3="Maximize",MAX($C89:$AI89),MIN($C89:$AI89)),$C89:$AI89,0))),P86)</f>
        <v>0</v>
      </c>
      <c r="Q101" s="1">
        <f>IF(OR($B93&lt;&gt;$B78,$B94&lt;&gt;$B79,$B95&lt;&gt;$B80,$B96&lt;&gt;$B81,$B97&lt;&gt;$B82,$B98&lt;&gt;$B83,$B99&lt;&gt;$B84,$B100&lt;&gt;$B85,$B101&lt;&gt;$B86,$B102&lt;&gt;$B87,$B103&lt;&gt;$B88),IF($B101&lt;&gt;$B86,Q86/INDEX($C78:$AJ88,9,MATCH(IF('Data-solution'!$A$3="Maximize",MAX($C89:$AI89),MIN($C89:$AI89)),$C89:$AI89,0)),Q86-INDEX($C78:$AJ88,9,MATCH(IF('Data-solution'!$A$3="Maximize",MAX($C89:$AI89),MIN($C89:$AI89)),$C89:$AI89,0))*INDEX(Q78:$AJ88,MATCH(MIN($AK78:$AK88),$AK78:$AK88,0),1)/INDEX($C78:$AJ88,MATCH(MIN($AK78:$AK88),$AK78:$AK88,0),MATCH(IF('Data-solution'!$A$3="Maximize",MAX($C89:$AI89),MIN($C89:$AI89)),$C89:$AI89,0))),Q86)</f>
        <v>0</v>
      </c>
      <c r="R101" s="1">
        <f>IF(OR($B93&lt;&gt;$B78,$B94&lt;&gt;$B79,$B95&lt;&gt;$B80,$B96&lt;&gt;$B81,$B97&lt;&gt;$B82,$B98&lt;&gt;$B83,$B99&lt;&gt;$B84,$B100&lt;&gt;$B85,$B101&lt;&gt;$B86,$B102&lt;&gt;$B87,$B103&lt;&gt;$B88),IF($B101&lt;&gt;$B86,R86/INDEX($C78:$AJ88,9,MATCH(IF('Data-solution'!$A$3="Maximize",MAX($C89:$AI89),MIN($C89:$AI89)),$C89:$AI89,0)),R86-INDEX($C78:$AJ88,9,MATCH(IF('Data-solution'!$A$3="Maximize",MAX($C89:$AI89),MIN($C89:$AI89)),$C89:$AI89,0))*INDEX(R78:$AJ88,MATCH(MIN($AK78:$AK88),$AK78:$AK88,0),1)/INDEX($C78:$AJ88,MATCH(MIN($AK78:$AK88),$AK78:$AK88,0),MATCH(IF('Data-solution'!$A$3="Maximize",MAX($C89:$AI89),MIN($C89:$AI89)),$C89:$AI89,0))),R86)</f>
        <v>0</v>
      </c>
      <c r="S101" s="1">
        <f>IF(OR($B93&lt;&gt;$B78,$B94&lt;&gt;$B79,$B95&lt;&gt;$B80,$B96&lt;&gt;$B81,$B97&lt;&gt;$B82,$B98&lt;&gt;$B83,$B99&lt;&gt;$B84,$B100&lt;&gt;$B85,$B101&lt;&gt;$B86,$B102&lt;&gt;$B87,$B103&lt;&gt;$B88),IF($B101&lt;&gt;$B86,S86/INDEX($C78:$AJ88,9,MATCH(IF('Data-solution'!$A$3="Maximize",MAX($C89:$AI89),MIN($C89:$AI89)),$C89:$AI89,0)),S86-INDEX($C78:$AJ88,9,MATCH(IF('Data-solution'!$A$3="Maximize",MAX($C89:$AI89),MIN($C89:$AI89)),$C89:$AI89,0))*INDEX(S78:$AJ88,MATCH(MIN($AK78:$AK88),$AK78:$AK88,0),1)/INDEX($C78:$AJ88,MATCH(MIN($AK78:$AK88),$AK78:$AK88,0),MATCH(IF('Data-solution'!$A$3="Maximize",MAX($C89:$AI89),MIN($C89:$AI89)),$C89:$AI89,0))),S86)</f>
        <v>0</v>
      </c>
      <c r="T101" s="1">
        <f>IF(OR($B93&lt;&gt;$B78,$B94&lt;&gt;$B79,$B95&lt;&gt;$B80,$B96&lt;&gt;$B81,$B97&lt;&gt;$B82,$B98&lt;&gt;$B83,$B99&lt;&gt;$B84,$B100&lt;&gt;$B85,$B101&lt;&gt;$B86,$B102&lt;&gt;$B87,$B103&lt;&gt;$B88),IF($B101&lt;&gt;$B86,T86/INDEX($C78:$AJ88,9,MATCH(IF('Data-solution'!$A$3="Maximize",MAX($C89:$AI89),MIN($C89:$AI89)),$C89:$AI89,0)),T86-INDEX($C78:$AJ88,9,MATCH(IF('Data-solution'!$A$3="Maximize",MAX($C89:$AI89),MIN($C89:$AI89)),$C89:$AI89,0))*INDEX(T78:$AJ88,MATCH(MIN($AK78:$AK88),$AK78:$AK88,0),1)/INDEX($C78:$AJ88,MATCH(MIN($AK78:$AK88),$AK78:$AK88,0),MATCH(IF('Data-solution'!$A$3="Maximize",MAX($C89:$AI89),MIN($C89:$AI89)),$C89:$AI89,0))),T86)</f>
        <v>0</v>
      </c>
      <c r="U101" s="1">
        <f>IF(OR($B93&lt;&gt;$B78,$B94&lt;&gt;$B79,$B95&lt;&gt;$B80,$B96&lt;&gt;$B81,$B97&lt;&gt;$B82,$B98&lt;&gt;$B83,$B99&lt;&gt;$B84,$B100&lt;&gt;$B85,$B101&lt;&gt;$B86,$B102&lt;&gt;$B87,$B103&lt;&gt;$B88),IF($B101&lt;&gt;$B86,U86/INDEX($C78:$AJ88,9,MATCH(IF('Data-solution'!$A$3="Maximize",MAX($C89:$AI89),MIN($C89:$AI89)),$C89:$AI89,0)),U86-INDEX($C78:$AJ88,9,MATCH(IF('Data-solution'!$A$3="Maximize",MAX($C89:$AI89),MIN($C89:$AI89)),$C89:$AI89,0))*INDEX(U78:$AJ88,MATCH(MIN($AK78:$AK88),$AK78:$AK88,0),1)/INDEX($C78:$AJ88,MATCH(MIN($AK78:$AK88),$AK78:$AK88,0),MATCH(IF('Data-solution'!$A$3="Maximize",MAX($C89:$AI89),MIN($C89:$AI89)),$C89:$AI89,0))),U86)</f>
        <v>0</v>
      </c>
      <c r="V101" s="1">
        <f>IF(OR($B93&lt;&gt;$B78,$B94&lt;&gt;$B79,$B95&lt;&gt;$B80,$B96&lt;&gt;$B81,$B97&lt;&gt;$B82,$B98&lt;&gt;$B83,$B99&lt;&gt;$B84,$B100&lt;&gt;$B85,$B101&lt;&gt;$B86,$B102&lt;&gt;$B87,$B103&lt;&gt;$B88),IF($B101&lt;&gt;$B86,V86/INDEX($C78:$AJ88,9,MATCH(IF('Data-solution'!$A$3="Maximize",MAX($C89:$AI89),MIN($C89:$AI89)),$C89:$AI89,0)),V86-INDEX($C78:$AJ88,9,MATCH(IF('Data-solution'!$A$3="Maximize",MAX($C89:$AI89),MIN($C89:$AI89)),$C89:$AI89,0))*INDEX(V78:$AJ88,MATCH(MIN($AK78:$AK88),$AK78:$AK88,0),1)/INDEX($C78:$AJ88,MATCH(MIN($AK78:$AK88),$AK78:$AK88,0),MATCH(IF('Data-solution'!$A$3="Maximize",MAX($C89:$AI89),MIN($C89:$AI89)),$C89:$AI89,0))),V86)</f>
        <v>1</v>
      </c>
      <c r="W101" s="1">
        <f>IF(OR($B93&lt;&gt;$B78,$B94&lt;&gt;$B79,$B95&lt;&gt;$B80,$B96&lt;&gt;$B81,$B97&lt;&gt;$B82,$B98&lt;&gt;$B83,$B99&lt;&gt;$B84,$B100&lt;&gt;$B85,$B101&lt;&gt;$B86,$B102&lt;&gt;$B87,$B103&lt;&gt;$B88),IF($B101&lt;&gt;$B86,W86/INDEX($C78:$AJ88,9,MATCH(IF('Data-solution'!$A$3="Maximize",MAX($C89:$AI89),MIN($C89:$AI89)),$C89:$AI89,0)),W86-INDEX($C78:$AJ88,9,MATCH(IF('Data-solution'!$A$3="Maximize",MAX($C89:$AI89),MIN($C89:$AI89)),$C89:$AI89,0))*INDEX(W78:$AJ88,MATCH(MIN($AK78:$AK88),$AK78:$AK88,0),1)/INDEX($C78:$AJ88,MATCH(MIN($AK78:$AK88),$AK78:$AK88,0),MATCH(IF('Data-solution'!$A$3="Maximize",MAX($C89:$AI89),MIN($C89:$AI89)),$C89:$AI89,0))),W86)</f>
        <v>0</v>
      </c>
      <c r="X101" s="1">
        <f>IF(OR($B93&lt;&gt;$B78,$B94&lt;&gt;$B79,$B95&lt;&gt;$B80,$B96&lt;&gt;$B81,$B97&lt;&gt;$B82,$B98&lt;&gt;$B83,$B99&lt;&gt;$B84,$B100&lt;&gt;$B85,$B101&lt;&gt;$B86,$B102&lt;&gt;$B87,$B103&lt;&gt;$B88),IF($B101&lt;&gt;$B86,X86/INDEX($C78:$AJ88,9,MATCH(IF('Data-solution'!$A$3="Maximize",MAX($C89:$AI89),MIN($C89:$AI89)),$C89:$AI89,0)),X86-INDEX($C78:$AJ88,9,MATCH(IF('Data-solution'!$A$3="Maximize",MAX($C89:$AI89),MIN($C89:$AI89)),$C89:$AI89,0))*INDEX(X78:$AJ88,MATCH(MIN($AK78:$AK88),$AK78:$AK88,0),1)/INDEX($C78:$AJ88,MATCH(MIN($AK78:$AK88),$AK78:$AK88,0),MATCH(IF('Data-solution'!$A$3="Maximize",MAX($C89:$AI89),MIN($C89:$AI89)),$C89:$AI89,0))),X86)</f>
        <v>0</v>
      </c>
      <c r="Y101" s="1">
        <f>IF(OR($B93&lt;&gt;$B78,$B94&lt;&gt;$B79,$B95&lt;&gt;$B80,$B96&lt;&gt;$B81,$B97&lt;&gt;$B82,$B98&lt;&gt;$B83,$B99&lt;&gt;$B84,$B100&lt;&gt;$B85,$B101&lt;&gt;$B86,$B102&lt;&gt;$B87,$B103&lt;&gt;$B88),IF($B101&lt;&gt;$B86,Y86/INDEX($C78:$AJ88,9,MATCH(IF('Data-solution'!$A$3="Maximize",MAX($C89:$AI89),MIN($C89:$AI89)),$C89:$AI89,0)),Y86-INDEX($C78:$AJ88,9,MATCH(IF('Data-solution'!$A$3="Maximize",MAX($C89:$AI89),MIN($C89:$AI89)),$C89:$AI89,0))*INDEX(Y78:$AJ88,MATCH(MIN($AK78:$AK88),$AK78:$AK88,0),1)/INDEX($C78:$AJ88,MATCH(MIN($AK78:$AK88),$AK78:$AK88,0),MATCH(IF('Data-solution'!$A$3="Maximize",MAX($C89:$AI89),MIN($C89:$AI89)),$C89:$AI89,0))),Y86)</f>
        <v>0</v>
      </c>
      <c r="Z101" s="1">
        <f>IF(OR($B93&lt;&gt;$B78,$B94&lt;&gt;$B79,$B95&lt;&gt;$B80,$B96&lt;&gt;$B81,$B97&lt;&gt;$B82,$B98&lt;&gt;$B83,$B99&lt;&gt;$B84,$B100&lt;&gt;$B85,$B101&lt;&gt;$B86,$B102&lt;&gt;$B87,$B103&lt;&gt;$B88),IF($B101&lt;&gt;$B86,Z86/INDEX($C78:$AJ88,9,MATCH(IF('Data-solution'!$A$3="Maximize",MAX($C89:$AI89),MIN($C89:$AI89)),$C89:$AI89,0)),Z86-INDEX($C78:$AJ88,9,MATCH(IF('Data-solution'!$A$3="Maximize",MAX($C89:$AI89),MIN($C89:$AI89)),$C89:$AI89,0))*INDEX(Z78:$AJ88,MATCH(MIN($AK78:$AK88),$AK78:$AK88,0),1)/INDEX($C78:$AJ88,MATCH(MIN($AK78:$AK88),$AK78:$AK88,0),MATCH(IF('Data-solution'!$A$3="Maximize",MAX($C89:$AI89),MIN($C89:$AI89)),$C89:$AI89,0))),Z86)</f>
        <v>0</v>
      </c>
      <c r="AA101" s="1">
        <f>IF(OR($B93&lt;&gt;$B78,$B94&lt;&gt;$B79,$B95&lt;&gt;$B80,$B96&lt;&gt;$B81,$B97&lt;&gt;$B82,$B98&lt;&gt;$B83,$B99&lt;&gt;$B84,$B100&lt;&gt;$B85,$B101&lt;&gt;$B86,$B102&lt;&gt;$B87,$B103&lt;&gt;$B88),IF($B101&lt;&gt;$B86,AA86/INDEX($C78:$AJ88,9,MATCH(IF('Data-solution'!$A$3="Maximize",MAX($C89:$AI89),MIN($C89:$AI89)),$C89:$AI89,0)),AA86-INDEX($C78:$AJ88,9,MATCH(IF('Data-solution'!$A$3="Maximize",MAX($C89:$AI89),MIN($C89:$AI89)),$C89:$AI89,0))*INDEX(AA78:$AJ88,MATCH(MIN($AK78:$AK88),$AK78:$AK88,0),1)/INDEX($C78:$AJ88,MATCH(MIN($AK78:$AK88),$AK78:$AK88,0),MATCH(IF('Data-solution'!$A$3="Maximize",MAX($C89:$AI89),MIN($C89:$AI89)),$C89:$AI89,0))),AA86)</f>
        <v>0</v>
      </c>
      <c r="AB101" s="1">
        <f>IF(OR($B93&lt;&gt;$B78,$B94&lt;&gt;$B79,$B95&lt;&gt;$B80,$B96&lt;&gt;$B81,$B97&lt;&gt;$B82,$B98&lt;&gt;$B83,$B99&lt;&gt;$B84,$B100&lt;&gt;$B85,$B101&lt;&gt;$B86,$B102&lt;&gt;$B87,$B103&lt;&gt;$B88),IF($B101&lt;&gt;$B86,AB86/INDEX($C78:$AJ88,9,MATCH(IF('Data-solution'!$A$3="Maximize",MAX($C89:$AI89),MIN($C89:$AI89)),$C89:$AI89,0)),AB86-INDEX($C78:$AJ88,9,MATCH(IF('Data-solution'!$A$3="Maximize",MAX($C89:$AI89),MIN($C89:$AI89)),$C89:$AI89,0))*INDEX(AB78:$AJ88,MATCH(MIN($AK78:$AK88),$AK78:$AK88,0),1)/INDEX($C78:$AJ88,MATCH(MIN($AK78:$AK88),$AK78:$AK88,0),MATCH(IF('Data-solution'!$A$3="Maximize",MAX($C89:$AI89),MIN($C89:$AI89)),$C89:$AI89,0))),AB86)</f>
        <v>0</v>
      </c>
      <c r="AC101" s="1">
        <f>IF(OR($B93&lt;&gt;$B78,$B94&lt;&gt;$B79,$B95&lt;&gt;$B80,$B96&lt;&gt;$B81,$B97&lt;&gt;$B82,$B98&lt;&gt;$B83,$B99&lt;&gt;$B84,$B100&lt;&gt;$B85,$B101&lt;&gt;$B86,$B102&lt;&gt;$B87,$B103&lt;&gt;$B88),IF($B101&lt;&gt;$B86,AC86/INDEX($C78:$AJ88,9,MATCH(IF('Data-solution'!$A$3="Maximize",MAX($C89:$AI89),MIN($C89:$AI89)),$C89:$AI89,0)),AC86-INDEX($C78:$AJ88,9,MATCH(IF('Data-solution'!$A$3="Maximize",MAX($C89:$AI89),MIN($C89:$AI89)),$C89:$AI89,0))*INDEX(AC78:$AJ88,MATCH(MIN($AK78:$AK88),$AK78:$AK88,0),1)/INDEX($C78:$AJ88,MATCH(MIN($AK78:$AK88),$AK78:$AK88,0),MATCH(IF('Data-solution'!$A$3="Maximize",MAX($C89:$AI89),MIN($C89:$AI89)),$C89:$AI89,0))),AC86)</f>
        <v>0</v>
      </c>
      <c r="AD101" s="1">
        <f>IF(OR($B93&lt;&gt;$B78,$B94&lt;&gt;$B79,$B95&lt;&gt;$B80,$B96&lt;&gt;$B81,$B97&lt;&gt;$B82,$B98&lt;&gt;$B83,$B99&lt;&gt;$B84,$B100&lt;&gt;$B85,$B101&lt;&gt;$B86,$B102&lt;&gt;$B87,$B103&lt;&gt;$B88),IF($B101&lt;&gt;$B86,AD86/INDEX($C78:$AJ88,9,MATCH(IF('Data-solution'!$A$3="Maximize",MAX($C89:$AI89),MIN($C89:$AI89)),$C89:$AI89,0)),AD86-INDEX($C78:$AJ88,9,MATCH(IF('Data-solution'!$A$3="Maximize",MAX($C89:$AI89),MIN($C89:$AI89)),$C89:$AI89,0))*INDEX(AD78:$AJ88,MATCH(MIN($AK78:$AK88),$AK78:$AK88,0),1)/INDEX($C78:$AJ88,MATCH(MIN($AK78:$AK88),$AK78:$AK88,0),MATCH(IF('Data-solution'!$A$3="Maximize",MAX($C89:$AI89),MIN($C89:$AI89)),$C89:$AI89,0))),AD86)</f>
        <v>0</v>
      </c>
      <c r="AE101" s="1">
        <f>IF(OR($B93&lt;&gt;$B78,$B94&lt;&gt;$B79,$B95&lt;&gt;$B80,$B96&lt;&gt;$B81,$B97&lt;&gt;$B82,$B98&lt;&gt;$B83,$B99&lt;&gt;$B84,$B100&lt;&gt;$B85,$B101&lt;&gt;$B86,$B102&lt;&gt;$B87,$B103&lt;&gt;$B88),IF($B101&lt;&gt;$B86,AE86/INDEX($C78:$AJ88,9,MATCH(IF('Data-solution'!$A$3="Maximize",MAX($C89:$AI89),MIN($C89:$AI89)),$C89:$AI89,0)),AE86-INDEX($C78:$AJ88,9,MATCH(IF('Data-solution'!$A$3="Maximize",MAX($C89:$AI89),MIN($C89:$AI89)),$C89:$AI89,0))*INDEX(AE78:$AJ88,MATCH(MIN($AK78:$AK88),$AK78:$AK88,0),1)/INDEX($C78:$AJ88,MATCH(MIN($AK78:$AK88),$AK78:$AK88,0),MATCH(IF('Data-solution'!$A$3="Maximize",MAX($C89:$AI89),MIN($C89:$AI89)),$C89:$AI89,0))),AE86)</f>
        <v>0</v>
      </c>
      <c r="AF101" s="1">
        <f>IF(OR($B93&lt;&gt;$B78,$B94&lt;&gt;$B79,$B95&lt;&gt;$B80,$B96&lt;&gt;$B81,$B97&lt;&gt;$B82,$B98&lt;&gt;$B83,$B99&lt;&gt;$B84,$B100&lt;&gt;$B85,$B101&lt;&gt;$B86,$B102&lt;&gt;$B87,$B103&lt;&gt;$B88),IF($B101&lt;&gt;$B86,AF86/INDEX($C78:$AJ88,9,MATCH(IF('Data-solution'!$A$3="Maximize",MAX($C89:$AI89),MIN($C89:$AI89)),$C89:$AI89,0)),AF86-INDEX($C78:$AJ88,9,MATCH(IF('Data-solution'!$A$3="Maximize",MAX($C89:$AI89),MIN($C89:$AI89)),$C89:$AI89,0))*INDEX(AF78:$AJ88,MATCH(MIN($AK78:$AK88),$AK78:$AK88,0),1)/INDEX($C78:$AJ88,MATCH(MIN($AK78:$AK88),$AK78:$AK88,0),MATCH(IF('Data-solution'!$A$3="Maximize",MAX($C89:$AI89),MIN($C89:$AI89)),$C89:$AI89,0))),AF86)</f>
        <v>0</v>
      </c>
      <c r="AG101" s="1">
        <f>IF(OR($B93&lt;&gt;$B78,$B94&lt;&gt;$B79,$B95&lt;&gt;$B80,$B96&lt;&gt;$B81,$B97&lt;&gt;$B82,$B98&lt;&gt;$B83,$B99&lt;&gt;$B84,$B100&lt;&gt;$B85,$B101&lt;&gt;$B86,$B102&lt;&gt;$B87,$B103&lt;&gt;$B88),IF($B101&lt;&gt;$B86,AG86/INDEX($C78:$AJ88,9,MATCH(IF('Data-solution'!$A$3="Maximize",MAX($C89:$AI89),MIN($C89:$AI89)),$C89:$AI89,0)),AG86-INDEX($C78:$AJ88,9,MATCH(IF('Data-solution'!$A$3="Maximize",MAX($C89:$AI89),MIN($C89:$AI89)),$C89:$AI89,0))*INDEX(AG78:$AJ88,MATCH(MIN($AK78:$AK88),$AK78:$AK88,0),1)/INDEX($C78:$AJ88,MATCH(MIN($AK78:$AK88),$AK78:$AK88,0),MATCH(IF('Data-solution'!$A$3="Maximize",MAX($C89:$AI89),MIN($C89:$AI89)),$C89:$AI89,0))),AG86)</f>
        <v>1</v>
      </c>
      <c r="AH101" s="1">
        <f>IF(OR($B93&lt;&gt;$B78,$B94&lt;&gt;$B79,$B95&lt;&gt;$B80,$B96&lt;&gt;$B81,$B97&lt;&gt;$B82,$B98&lt;&gt;$B83,$B99&lt;&gt;$B84,$B100&lt;&gt;$B85,$B101&lt;&gt;$B86,$B102&lt;&gt;$B87,$B103&lt;&gt;$B88),IF($B101&lt;&gt;$B86,AH86/INDEX($C78:$AJ88,9,MATCH(IF('Data-solution'!$A$3="Maximize",MAX($C89:$AI89),MIN($C89:$AI89)),$C89:$AI89,0)),AH86-INDEX($C78:$AJ88,9,MATCH(IF('Data-solution'!$A$3="Maximize",MAX($C89:$AI89),MIN($C89:$AI89)),$C89:$AI89,0))*INDEX(AH78:$AJ88,MATCH(MIN($AK78:$AK88),$AK78:$AK88,0),1)/INDEX($C78:$AJ88,MATCH(MIN($AK78:$AK88),$AK78:$AK88,0),MATCH(IF('Data-solution'!$A$3="Maximize",MAX($C89:$AI89),MIN($C89:$AI89)),$C89:$AI89,0))),AH86)</f>
        <v>0</v>
      </c>
      <c r="AI101" s="1">
        <f>IF(OR($B93&lt;&gt;$B78,$B94&lt;&gt;$B79,$B95&lt;&gt;$B80,$B96&lt;&gt;$B81,$B97&lt;&gt;$B82,$B98&lt;&gt;$B83,$B99&lt;&gt;$B84,$B100&lt;&gt;$B85,$B101&lt;&gt;$B86,$B102&lt;&gt;$B87,$B103&lt;&gt;$B88),IF($B101&lt;&gt;$B86,AI86/INDEX($C78:$AJ88,9,MATCH(IF('Data-solution'!$A$3="Maximize",MAX($C89:$AI89),MIN($C89:$AI89)),$C89:$AI89,0)),AI86-INDEX($C78:$AJ88,9,MATCH(IF('Data-solution'!$A$3="Maximize",MAX($C89:$AI89),MIN($C89:$AI89)),$C89:$AI89,0))*INDEX(AI78:$AJ88,MATCH(MIN($AK78:$AK88),$AK78:$AK88,0),1)/INDEX($C78:$AJ88,MATCH(MIN($AK78:$AK88),$AK78:$AK88,0),MATCH(IF('Data-solution'!$A$3="Maximize",MAX($C89:$AI89),MIN($C89:$AI89)),$C89:$AI89,0))),AI86)</f>
        <v>0</v>
      </c>
      <c r="AJ101" s="1">
        <f>IF(OR($B93&lt;&gt;$B78,$B94&lt;&gt;$B79,$B95&lt;&gt;$B80,$B96&lt;&gt;$B81,$B97&lt;&gt;$B82,$B98&lt;&gt;$B83,$B99&lt;&gt;$B84,$B100&lt;&gt;$B85,$B101&lt;&gt;$B86,$B102&lt;&gt;$B87,$B103&lt;&gt;$B88),IF($B101&lt;&gt;$B86,AJ86/INDEX($C78:$AJ88,9,MATCH(IF('Data-solution'!$A$3="Maximize",MAX($C89:$AI89),MIN($C89:$AI89)),$C89:$AI89,0)),AJ86-INDEX($C78:$AJ88,9,MATCH(IF('Data-solution'!$A$3="Maximize",MAX($C89:$AI89),MIN($C89:$AI89)),$C89:$AI89,0))*INDEX(AJ78:$AJ88,MATCH(MIN($AK78:$AK88),$AK78:$AK88,0),1)/INDEX($C78:$AJ88,MATCH(MIN($AK78:$AK88),$AK78:$AK88,0),MATCH(IF('Data-solution'!$A$3="Maximize",MAX($C89:$AI89),MIN($C89:$AI89)),$C89:$AI89,0))),AJ86)</f>
        <v>0</v>
      </c>
      <c r="AK101" s="1" t="str">
        <f>IF(INDEX(C101:X101,1,MATCH(IF('Data-solution'!A$3="Maximize",MAX(C104:X104),MIN(C104:X104)),C104:X104,0))&gt;0,AJ101/INDEX(C101:X101,1,MATCH(IF('Data-solution'!A$3="Maximize",MAX(C104:X104),MIN(C104:X104)),C104:X104,0))," ")</f>
        <v xml:space="preserve"> </v>
      </c>
    </row>
    <row r="102" spans="1:37" ht="18" customHeight="1" x14ac:dyDescent="0.2">
      <c r="A102" s="1">
        <f t="shared" ref="A102" si="73">INDEX(C91:AI91,1,MATCH(B102,C92:AI92,0))</f>
        <v>0</v>
      </c>
      <c r="B102" s="2" t="str">
        <f>IF(AND('Data-solution'!A$3="Maximize",COUNTIF(C89:X89,"&gt;"&amp;0)&gt;0,AK87=MIN(AK78:AK88),COUNTIF(B93:B101,INDEX(C77:X77,1,MATCH(MAX(C89:X89),C89:X89,0)))=0),INDEX(C77:X77,1,MATCH(MAX(C89:X89),C89:X89,0)),IF(AND('Data-solution'!A$3="Minimize",COUNTIF(C89:X89,"&lt;"&amp;0)&gt;0,AK87=MIN(AK78:AK88),COUNTIF(B93:B101,INDEX(C77:X77,1,MATCH(MIN(C89:X89),C89:X89,0)))=0),INDEX(C77:X77,1,MATCH(MIN(C89:X89),C89:X89,0)),B87))</f>
        <v>S10</v>
      </c>
      <c r="C102" s="1">
        <f>IF(OR($B93&lt;&gt;$B78,$B94&lt;&gt;$B79,$B95&lt;&gt;$B80,$B96&lt;&gt;$B81,$B97&lt;&gt;$B82,$B98&lt;&gt;$B83,$B99&lt;&gt;$B84,$B100&lt;&gt;$B85,$B101&lt;&gt;$B86,$B102&lt;&gt;$B87,$B103&lt;&gt;$B88),IF($B102&lt;&gt;$B87,C87/INDEX($C78:$AJ88,10,MATCH(IF('Data-solution'!$A$3="Maximize",MAX($C89:$AI89),MIN($C89:$AI89)),$C89:$AI89,0)),C87-INDEX($C78:$AJ88,10,MATCH(IF('Data-solution'!$A$3="Maximize",MAX($C89:$AI89),MIN($C89:$AI89)),$C89:$AI89,0))*INDEX(C78:$AJ88,MATCH(MIN($AK78:$AK88),$AK78:$AK88,0),1)/INDEX($C78:$AJ88,MATCH(MIN($AK78:$AK88),$AK78:$AK88,0),MATCH(IF('Data-solution'!$A$3="Maximize",MAX($C89:$AI89),MIN($C89:$AI89)),$C89:$AI89,0))),C87)</f>
        <v>0</v>
      </c>
      <c r="D102" s="1">
        <f>IF(OR($B93&lt;&gt;$B78,$B94&lt;&gt;$B79,$B95&lt;&gt;$B80,$B96&lt;&gt;$B81,$B97&lt;&gt;$B82,$B98&lt;&gt;$B83,$B99&lt;&gt;$B84,$B100&lt;&gt;$B85,$B101&lt;&gt;$B86,$B102&lt;&gt;$B87,$B103&lt;&gt;$B88),IF($B102&lt;&gt;$B87,D87/INDEX($C78:$AJ88,10,MATCH(IF('Data-solution'!$A$3="Maximize",MAX($C89:$AI89),MIN($C89:$AI89)),$C89:$AI89,0)),D87-INDEX($C78:$AJ88,10,MATCH(IF('Data-solution'!$A$3="Maximize",MAX($C89:$AI89),MIN($C89:$AI89)),$C89:$AI89,0))*INDEX(D78:$AJ88,MATCH(MIN($AK78:$AK88),$AK78:$AK88,0),1)/INDEX($C78:$AJ88,MATCH(MIN($AK78:$AK88),$AK78:$AK88,0),MATCH(IF('Data-solution'!$A$3="Maximize",MAX($C89:$AI89),MIN($C89:$AI89)),$C89:$AI89,0))),D87)</f>
        <v>0</v>
      </c>
      <c r="E102" s="1">
        <f>IF(OR($B93&lt;&gt;$B78,$B94&lt;&gt;$B79,$B95&lt;&gt;$B80,$B96&lt;&gt;$B81,$B97&lt;&gt;$B82,$B98&lt;&gt;$B83,$B99&lt;&gt;$B84,$B100&lt;&gt;$B85,$B101&lt;&gt;$B86,$B102&lt;&gt;$B87,$B103&lt;&gt;$B88),IF($B102&lt;&gt;$B87,E87/INDEX($C78:$AJ88,10,MATCH(IF('Data-solution'!$A$3="Maximize",MAX($C89:$AI89),MIN($C89:$AI89)),$C89:$AI89,0)),E87-INDEX($C78:$AJ88,10,MATCH(IF('Data-solution'!$A$3="Maximize",MAX($C89:$AI89),MIN($C89:$AI89)),$C89:$AI89,0))*INDEX(E78:$AJ88,MATCH(MIN($AK78:$AK88),$AK78:$AK88,0),1)/INDEX($C78:$AJ88,MATCH(MIN($AK78:$AK88),$AK78:$AK88,0),MATCH(IF('Data-solution'!$A$3="Maximize",MAX($C89:$AI89),MIN($C89:$AI89)),$C89:$AI89,0))),E87)</f>
        <v>0</v>
      </c>
      <c r="F102" s="1">
        <f>IF(OR($B93&lt;&gt;$B78,$B94&lt;&gt;$B79,$B95&lt;&gt;$B80,$B96&lt;&gt;$B81,$B97&lt;&gt;$B82,$B98&lt;&gt;$B83,$B99&lt;&gt;$B84,$B100&lt;&gt;$B85,$B101&lt;&gt;$B86,$B102&lt;&gt;$B87,$B103&lt;&gt;$B88),IF($B102&lt;&gt;$B87,F87/INDEX($C78:$AJ88,10,MATCH(IF('Data-solution'!$A$3="Maximize",MAX($C89:$AI89),MIN($C89:$AI89)),$C89:$AI89,0)),F87-INDEX($C78:$AJ88,10,MATCH(IF('Data-solution'!$A$3="Maximize",MAX($C89:$AI89),MIN($C89:$AI89)),$C89:$AI89,0))*INDEX(F78:$AJ88,MATCH(MIN($AK78:$AK88),$AK78:$AK88,0),1)/INDEX($C78:$AJ88,MATCH(MIN($AK78:$AK88),$AK78:$AK88,0),MATCH(IF('Data-solution'!$A$3="Maximize",MAX($C89:$AI89),MIN($C89:$AI89)),$C89:$AI89,0))),F87)</f>
        <v>0</v>
      </c>
      <c r="G102" s="1">
        <f>IF(OR($B93&lt;&gt;$B78,$B94&lt;&gt;$B79,$B95&lt;&gt;$B80,$B96&lt;&gt;$B81,$B97&lt;&gt;$B82,$B98&lt;&gt;$B83,$B99&lt;&gt;$B84,$B100&lt;&gt;$B85,$B101&lt;&gt;$B86,$B102&lt;&gt;$B87,$B103&lt;&gt;$B88),IF($B102&lt;&gt;$B87,G87/INDEX($C78:$AJ88,10,MATCH(IF('Data-solution'!$A$3="Maximize",MAX($C89:$AI89),MIN($C89:$AI89)),$C89:$AI89,0)),G87-INDEX($C78:$AJ88,10,MATCH(IF('Data-solution'!$A$3="Maximize",MAX($C89:$AI89),MIN($C89:$AI89)),$C89:$AI89,0))*INDEX(G78:$AJ88,MATCH(MIN($AK78:$AK88),$AK78:$AK88,0),1)/INDEX($C78:$AJ88,MATCH(MIN($AK78:$AK88),$AK78:$AK88,0),MATCH(IF('Data-solution'!$A$3="Maximize",MAX($C89:$AI89),MIN($C89:$AI89)),$C89:$AI89,0))),G87)</f>
        <v>0</v>
      </c>
      <c r="H102" s="1">
        <f>IF(OR($B93&lt;&gt;$B78,$B94&lt;&gt;$B79,$B95&lt;&gt;$B80,$B96&lt;&gt;$B81,$B97&lt;&gt;$B82,$B98&lt;&gt;$B83,$B99&lt;&gt;$B84,$B100&lt;&gt;$B85,$B101&lt;&gt;$B86,$B102&lt;&gt;$B87,$B103&lt;&gt;$B88),IF($B102&lt;&gt;$B87,H87/INDEX($C78:$AJ88,10,MATCH(IF('Data-solution'!$A$3="Maximize",MAX($C89:$AI89),MIN($C89:$AI89)),$C89:$AI89,0)),H87-INDEX($C78:$AJ88,10,MATCH(IF('Data-solution'!$A$3="Maximize",MAX($C89:$AI89),MIN($C89:$AI89)),$C89:$AI89,0))*INDEX(H78:$AJ88,MATCH(MIN($AK78:$AK88),$AK78:$AK88,0),1)/INDEX($C78:$AJ88,MATCH(MIN($AK78:$AK88),$AK78:$AK88,0),MATCH(IF('Data-solution'!$A$3="Maximize",MAX($C89:$AI89),MIN($C89:$AI89)),$C89:$AI89,0))),H87)</f>
        <v>0</v>
      </c>
      <c r="I102" s="1">
        <f>IF(OR($B93&lt;&gt;$B78,$B94&lt;&gt;$B79,$B95&lt;&gt;$B80,$B96&lt;&gt;$B81,$B97&lt;&gt;$B82,$B98&lt;&gt;$B83,$B99&lt;&gt;$B84,$B100&lt;&gt;$B85,$B101&lt;&gt;$B86,$B102&lt;&gt;$B87,$B103&lt;&gt;$B88),IF($B102&lt;&gt;$B87,I87/INDEX($C78:$AJ88,10,MATCH(IF('Data-solution'!$A$3="Maximize",MAX($C89:$AI89),MIN($C89:$AI89)),$C89:$AI89,0)),I87-INDEX($C78:$AJ88,10,MATCH(IF('Data-solution'!$A$3="Maximize",MAX($C89:$AI89),MIN($C89:$AI89)),$C89:$AI89,0))*INDEX(I78:$AJ88,MATCH(MIN($AK78:$AK88),$AK78:$AK88,0),1)/INDEX($C78:$AJ88,MATCH(MIN($AK78:$AK88),$AK78:$AK88,0),MATCH(IF('Data-solution'!$A$3="Maximize",MAX($C89:$AI89),MIN($C89:$AI89)),$C89:$AI89,0))),I87)</f>
        <v>0</v>
      </c>
      <c r="J102" s="1">
        <f>IF(OR($B93&lt;&gt;$B78,$B94&lt;&gt;$B79,$B95&lt;&gt;$B80,$B96&lt;&gt;$B81,$B97&lt;&gt;$B82,$B98&lt;&gt;$B83,$B99&lt;&gt;$B84,$B100&lt;&gt;$B85,$B101&lt;&gt;$B86,$B102&lt;&gt;$B87,$B103&lt;&gt;$B88),IF($B102&lt;&gt;$B87,J87/INDEX($C78:$AJ88,10,MATCH(IF('Data-solution'!$A$3="Maximize",MAX($C89:$AI89),MIN($C89:$AI89)),$C89:$AI89,0)),J87-INDEX($C78:$AJ88,10,MATCH(IF('Data-solution'!$A$3="Maximize",MAX($C89:$AI89),MIN($C89:$AI89)),$C89:$AI89,0))*INDEX(J78:$AJ88,MATCH(MIN($AK78:$AK88),$AK78:$AK88,0),1)/INDEX($C78:$AJ88,MATCH(MIN($AK78:$AK88),$AK78:$AK88,0),MATCH(IF('Data-solution'!$A$3="Maximize",MAX($C89:$AI89),MIN($C89:$AI89)),$C89:$AI89,0))),J87)</f>
        <v>0</v>
      </c>
      <c r="K102" s="1">
        <f>IF(OR($B93&lt;&gt;$B78,$B94&lt;&gt;$B79,$B95&lt;&gt;$B80,$B96&lt;&gt;$B81,$B97&lt;&gt;$B82,$B98&lt;&gt;$B83,$B99&lt;&gt;$B84,$B100&lt;&gt;$B85,$B101&lt;&gt;$B86,$B102&lt;&gt;$B87,$B103&lt;&gt;$B88),IF($B102&lt;&gt;$B87,K87/INDEX($C78:$AJ88,10,MATCH(IF('Data-solution'!$A$3="Maximize",MAX($C89:$AI89),MIN($C89:$AI89)),$C89:$AI89,0)),K87-INDEX($C78:$AJ88,10,MATCH(IF('Data-solution'!$A$3="Maximize",MAX($C89:$AI89),MIN($C89:$AI89)),$C89:$AI89,0))*INDEX(K78:$AJ88,MATCH(MIN($AK78:$AK88),$AK78:$AK88,0),1)/INDEX($C78:$AJ88,MATCH(MIN($AK78:$AK88),$AK78:$AK88,0),MATCH(IF('Data-solution'!$A$3="Maximize",MAX($C89:$AI89),MIN($C89:$AI89)),$C89:$AI89,0))),K87)</f>
        <v>0</v>
      </c>
      <c r="L102" s="1">
        <f>IF(OR($B93&lt;&gt;$B78,$B94&lt;&gt;$B79,$B95&lt;&gt;$B80,$B96&lt;&gt;$B81,$B97&lt;&gt;$B82,$B98&lt;&gt;$B83,$B99&lt;&gt;$B84,$B100&lt;&gt;$B85,$B101&lt;&gt;$B86,$B102&lt;&gt;$B87,$B103&lt;&gt;$B88),IF($B102&lt;&gt;$B87,L87/INDEX($C78:$AJ88,10,MATCH(IF('Data-solution'!$A$3="Maximize",MAX($C89:$AI89),MIN($C89:$AI89)),$C89:$AI89,0)),L87-INDEX($C78:$AJ88,10,MATCH(IF('Data-solution'!$A$3="Maximize",MAX($C89:$AI89),MIN($C89:$AI89)),$C89:$AI89,0))*INDEX(L78:$AJ88,MATCH(MIN($AK78:$AK88),$AK78:$AK88,0),1)/INDEX($C78:$AJ88,MATCH(MIN($AK78:$AK88),$AK78:$AK88,0),MATCH(IF('Data-solution'!$A$3="Maximize",MAX($C89:$AI89),MIN($C89:$AI89)),$C89:$AI89,0))),L87)</f>
        <v>0</v>
      </c>
      <c r="M102" s="1">
        <f>IF(OR($B93&lt;&gt;$B78,$B94&lt;&gt;$B79,$B95&lt;&gt;$B80,$B96&lt;&gt;$B81,$B97&lt;&gt;$B82,$B98&lt;&gt;$B83,$B99&lt;&gt;$B84,$B100&lt;&gt;$B85,$B101&lt;&gt;$B86,$B102&lt;&gt;$B87,$B103&lt;&gt;$B88),IF($B102&lt;&gt;$B87,M87/INDEX($C78:$AJ88,10,MATCH(IF('Data-solution'!$A$3="Maximize",MAX($C89:$AI89),MIN($C89:$AI89)),$C89:$AI89,0)),M87-INDEX($C78:$AJ88,10,MATCH(IF('Data-solution'!$A$3="Maximize",MAX($C89:$AI89),MIN($C89:$AI89)),$C89:$AI89,0))*INDEX(M78:$AJ88,MATCH(MIN($AK78:$AK88),$AK78:$AK88,0),1)/INDEX($C78:$AJ88,MATCH(MIN($AK78:$AK88),$AK78:$AK88,0),MATCH(IF('Data-solution'!$A$3="Maximize",MAX($C89:$AI89),MIN($C89:$AI89)),$C89:$AI89,0))),M87)</f>
        <v>0</v>
      </c>
      <c r="N102" s="1">
        <f>IF(OR($B93&lt;&gt;$B78,$B94&lt;&gt;$B79,$B95&lt;&gt;$B80,$B96&lt;&gt;$B81,$B97&lt;&gt;$B82,$B98&lt;&gt;$B83,$B99&lt;&gt;$B84,$B100&lt;&gt;$B85,$B101&lt;&gt;$B86,$B102&lt;&gt;$B87,$B103&lt;&gt;$B88),IF($B102&lt;&gt;$B87,N87/INDEX($C78:$AJ88,10,MATCH(IF('Data-solution'!$A$3="Maximize",MAX($C89:$AI89),MIN($C89:$AI89)),$C89:$AI89,0)),N87-INDEX($C78:$AJ88,10,MATCH(IF('Data-solution'!$A$3="Maximize",MAX($C89:$AI89),MIN($C89:$AI89)),$C89:$AI89,0))*INDEX(N78:$AJ88,MATCH(MIN($AK78:$AK88),$AK78:$AK88,0),1)/INDEX($C78:$AJ88,MATCH(MIN($AK78:$AK88),$AK78:$AK88,0),MATCH(IF('Data-solution'!$A$3="Maximize",MAX($C89:$AI89),MIN($C89:$AI89)),$C89:$AI89,0))),N87)</f>
        <v>0</v>
      </c>
      <c r="O102" s="1">
        <f>IF(OR($B93&lt;&gt;$B78,$B94&lt;&gt;$B79,$B95&lt;&gt;$B80,$B96&lt;&gt;$B81,$B97&lt;&gt;$B82,$B98&lt;&gt;$B83,$B99&lt;&gt;$B84,$B100&lt;&gt;$B85,$B101&lt;&gt;$B86,$B102&lt;&gt;$B87,$B103&lt;&gt;$B88),IF($B102&lt;&gt;$B87,O87/INDEX($C78:$AJ88,10,MATCH(IF('Data-solution'!$A$3="Maximize",MAX($C89:$AI89),MIN($C89:$AI89)),$C89:$AI89,0)),O87-INDEX($C78:$AJ88,10,MATCH(IF('Data-solution'!$A$3="Maximize",MAX($C89:$AI89),MIN($C89:$AI89)),$C89:$AI89,0))*INDEX(O78:$AJ88,MATCH(MIN($AK78:$AK88),$AK78:$AK88,0),1)/INDEX($C78:$AJ88,MATCH(MIN($AK78:$AK88),$AK78:$AK88,0),MATCH(IF('Data-solution'!$A$3="Maximize",MAX($C89:$AI89),MIN($C89:$AI89)),$C89:$AI89,0))),O87)</f>
        <v>0</v>
      </c>
      <c r="P102" s="1">
        <f>IF(OR($B93&lt;&gt;$B78,$B94&lt;&gt;$B79,$B95&lt;&gt;$B80,$B96&lt;&gt;$B81,$B97&lt;&gt;$B82,$B98&lt;&gt;$B83,$B99&lt;&gt;$B84,$B100&lt;&gt;$B85,$B101&lt;&gt;$B86,$B102&lt;&gt;$B87,$B103&lt;&gt;$B88),IF($B102&lt;&gt;$B87,P87/INDEX($C78:$AJ88,10,MATCH(IF('Data-solution'!$A$3="Maximize",MAX($C89:$AI89),MIN($C89:$AI89)),$C89:$AI89,0)),P87-INDEX($C78:$AJ88,10,MATCH(IF('Data-solution'!$A$3="Maximize",MAX($C89:$AI89),MIN($C89:$AI89)),$C89:$AI89,0))*INDEX(P78:$AJ88,MATCH(MIN($AK78:$AK88),$AK78:$AK88,0),1)/INDEX($C78:$AJ88,MATCH(MIN($AK78:$AK88),$AK78:$AK88,0),MATCH(IF('Data-solution'!$A$3="Maximize",MAX($C89:$AI89),MIN($C89:$AI89)),$C89:$AI89,0))),P87)</f>
        <v>0</v>
      </c>
      <c r="Q102" s="1">
        <f>IF(OR($B93&lt;&gt;$B78,$B94&lt;&gt;$B79,$B95&lt;&gt;$B80,$B96&lt;&gt;$B81,$B97&lt;&gt;$B82,$B98&lt;&gt;$B83,$B99&lt;&gt;$B84,$B100&lt;&gt;$B85,$B101&lt;&gt;$B86,$B102&lt;&gt;$B87,$B103&lt;&gt;$B88),IF($B102&lt;&gt;$B87,Q87/INDEX($C78:$AJ88,10,MATCH(IF('Data-solution'!$A$3="Maximize",MAX($C89:$AI89),MIN($C89:$AI89)),$C89:$AI89,0)),Q87-INDEX($C78:$AJ88,10,MATCH(IF('Data-solution'!$A$3="Maximize",MAX($C89:$AI89),MIN($C89:$AI89)),$C89:$AI89,0))*INDEX(Q78:$AJ88,MATCH(MIN($AK78:$AK88),$AK78:$AK88,0),1)/INDEX($C78:$AJ88,MATCH(MIN($AK78:$AK88),$AK78:$AK88,0),MATCH(IF('Data-solution'!$A$3="Maximize",MAX($C89:$AI89),MIN($C89:$AI89)),$C89:$AI89,0))),Q87)</f>
        <v>0</v>
      </c>
      <c r="R102" s="1">
        <f>IF(OR($B93&lt;&gt;$B78,$B94&lt;&gt;$B79,$B95&lt;&gt;$B80,$B96&lt;&gt;$B81,$B97&lt;&gt;$B82,$B98&lt;&gt;$B83,$B99&lt;&gt;$B84,$B100&lt;&gt;$B85,$B101&lt;&gt;$B86,$B102&lt;&gt;$B87,$B103&lt;&gt;$B88),IF($B102&lt;&gt;$B87,R87/INDEX($C78:$AJ88,10,MATCH(IF('Data-solution'!$A$3="Maximize",MAX($C89:$AI89),MIN($C89:$AI89)),$C89:$AI89,0)),R87-INDEX($C78:$AJ88,10,MATCH(IF('Data-solution'!$A$3="Maximize",MAX($C89:$AI89),MIN($C89:$AI89)),$C89:$AI89,0))*INDEX(R78:$AJ88,MATCH(MIN($AK78:$AK88),$AK78:$AK88,0),1)/INDEX($C78:$AJ88,MATCH(MIN($AK78:$AK88),$AK78:$AK88,0),MATCH(IF('Data-solution'!$A$3="Maximize",MAX($C89:$AI89),MIN($C89:$AI89)),$C89:$AI89,0))),R87)</f>
        <v>0</v>
      </c>
      <c r="S102" s="1">
        <f>IF(OR($B93&lt;&gt;$B78,$B94&lt;&gt;$B79,$B95&lt;&gt;$B80,$B96&lt;&gt;$B81,$B97&lt;&gt;$B82,$B98&lt;&gt;$B83,$B99&lt;&gt;$B84,$B100&lt;&gt;$B85,$B101&lt;&gt;$B86,$B102&lt;&gt;$B87,$B103&lt;&gt;$B88),IF($B102&lt;&gt;$B87,S87/INDEX($C78:$AJ88,10,MATCH(IF('Data-solution'!$A$3="Maximize",MAX($C89:$AI89),MIN($C89:$AI89)),$C89:$AI89,0)),S87-INDEX($C78:$AJ88,10,MATCH(IF('Data-solution'!$A$3="Maximize",MAX($C89:$AI89),MIN($C89:$AI89)),$C89:$AI89,0))*INDEX(S78:$AJ88,MATCH(MIN($AK78:$AK88),$AK78:$AK88,0),1)/INDEX($C78:$AJ88,MATCH(MIN($AK78:$AK88),$AK78:$AK88,0),MATCH(IF('Data-solution'!$A$3="Maximize",MAX($C89:$AI89),MIN($C89:$AI89)),$C89:$AI89,0))),S87)</f>
        <v>0</v>
      </c>
      <c r="T102" s="1">
        <f>IF(OR($B93&lt;&gt;$B78,$B94&lt;&gt;$B79,$B95&lt;&gt;$B80,$B96&lt;&gt;$B81,$B97&lt;&gt;$B82,$B98&lt;&gt;$B83,$B99&lt;&gt;$B84,$B100&lt;&gt;$B85,$B101&lt;&gt;$B86,$B102&lt;&gt;$B87,$B103&lt;&gt;$B88),IF($B102&lt;&gt;$B87,T87/INDEX($C78:$AJ88,10,MATCH(IF('Data-solution'!$A$3="Maximize",MAX($C89:$AI89),MIN($C89:$AI89)),$C89:$AI89,0)),T87-INDEX($C78:$AJ88,10,MATCH(IF('Data-solution'!$A$3="Maximize",MAX($C89:$AI89),MIN($C89:$AI89)),$C89:$AI89,0))*INDEX(T78:$AJ88,MATCH(MIN($AK78:$AK88),$AK78:$AK88,0),1)/INDEX($C78:$AJ88,MATCH(MIN($AK78:$AK88),$AK78:$AK88,0),MATCH(IF('Data-solution'!$A$3="Maximize",MAX($C89:$AI89),MIN($C89:$AI89)),$C89:$AI89,0))),T87)</f>
        <v>0</v>
      </c>
      <c r="U102" s="1">
        <f>IF(OR($B93&lt;&gt;$B78,$B94&lt;&gt;$B79,$B95&lt;&gt;$B80,$B96&lt;&gt;$B81,$B97&lt;&gt;$B82,$B98&lt;&gt;$B83,$B99&lt;&gt;$B84,$B100&lt;&gt;$B85,$B101&lt;&gt;$B86,$B102&lt;&gt;$B87,$B103&lt;&gt;$B88),IF($B102&lt;&gt;$B87,U87/INDEX($C78:$AJ88,10,MATCH(IF('Data-solution'!$A$3="Maximize",MAX($C89:$AI89),MIN($C89:$AI89)),$C89:$AI89,0)),U87-INDEX($C78:$AJ88,10,MATCH(IF('Data-solution'!$A$3="Maximize",MAX($C89:$AI89),MIN($C89:$AI89)),$C89:$AI89,0))*INDEX(U78:$AJ88,MATCH(MIN($AK78:$AK88),$AK78:$AK88,0),1)/INDEX($C78:$AJ88,MATCH(MIN($AK78:$AK88),$AK78:$AK88,0),MATCH(IF('Data-solution'!$A$3="Maximize",MAX($C89:$AI89),MIN($C89:$AI89)),$C89:$AI89,0))),U87)</f>
        <v>0</v>
      </c>
      <c r="V102" s="1">
        <f>IF(OR($B93&lt;&gt;$B78,$B94&lt;&gt;$B79,$B95&lt;&gt;$B80,$B96&lt;&gt;$B81,$B97&lt;&gt;$B82,$B98&lt;&gt;$B83,$B99&lt;&gt;$B84,$B100&lt;&gt;$B85,$B101&lt;&gt;$B86,$B102&lt;&gt;$B87,$B103&lt;&gt;$B88),IF($B102&lt;&gt;$B87,V87/INDEX($C78:$AJ88,10,MATCH(IF('Data-solution'!$A$3="Maximize",MAX($C89:$AI89),MIN($C89:$AI89)),$C89:$AI89,0)),V87-INDEX($C78:$AJ88,10,MATCH(IF('Data-solution'!$A$3="Maximize",MAX($C89:$AI89),MIN($C89:$AI89)),$C89:$AI89,0))*INDEX(V78:$AJ88,MATCH(MIN($AK78:$AK88),$AK78:$AK88,0),1)/INDEX($C78:$AJ88,MATCH(MIN($AK78:$AK88),$AK78:$AK88,0),MATCH(IF('Data-solution'!$A$3="Maximize",MAX($C89:$AI89),MIN($C89:$AI89)),$C89:$AI89,0))),V87)</f>
        <v>0</v>
      </c>
      <c r="W102" s="1">
        <f>IF(OR($B93&lt;&gt;$B78,$B94&lt;&gt;$B79,$B95&lt;&gt;$B80,$B96&lt;&gt;$B81,$B97&lt;&gt;$B82,$B98&lt;&gt;$B83,$B99&lt;&gt;$B84,$B100&lt;&gt;$B85,$B101&lt;&gt;$B86,$B102&lt;&gt;$B87,$B103&lt;&gt;$B88),IF($B102&lt;&gt;$B87,W87/INDEX($C78:$AJ88,10,MATCH(IF('Data-solution'!$A$3="Maximize",MAX($C89:$AI89),MIN($C89:$AI89)),$C89:$AI89,0)),W87-INDEX($C78:$AJ88,10,MATCH(IF('Data-solution'!$A$3="Maximize",MAX($C89:$AI89),MIN($C89:$AI89)),$C89:$AI89,0))*INDEX(W78:$AJ88,MATCH(MIN($AK78:$AK88),$AK78:$AK88,0),1)/INDEX($C78:$AJ88,MATCH(MIN($AK78:$AK88),$AK78:$AK88,0),MATCH(IF('Data-solution'!$A$3="Maximize",MAX($C89:$AI89),MIN($C89:$AI89)),$C89:$AI89,0))),W87)</f>
        <v>1</v>
      </c>
      <c r="X102" s="1">
        <f>IF(OR($B93&lt;&gt;$B78,$B94&lt;&gt;$B79,$B95&lt;&gt;$B80,$B96&lt;&gt;$B81,$B97&lt;&gt;$B82,$B98&lt;&gt;$B83,$B99&lt;&gt;$B84,$B100&lt;&gt;$B85,$B101&lt;&gt;$B86,$B102&lt;&gt;$B87,$B103&lt;&gt;$B88),IF($B102&lt;&gt;$B87,X87/INDEX($C78:$AJ88,10,MATCH(IF('Data-solution'!$A$3="Maximize",MAX($C89:$AI89),MIN($C89:$AI89)),$C89:$AI89,0)),X87-INDEX($C78:$AJ88,10,MATCH(IF('Data-solution'!$A$3="Maximize",MAX($C89:$AI89),MIN($C89:$AI89)),$C89:$AI89,0))*INDEX(X78:$AJ88,MATCH(MIN($AK78:$AK88),$AK78:$AK88,0),1)/INDEX($C78:$AJ88,MATCH(MIN($AK78:$AK88),$AK78:$AK88,0),MATCH(IF('Data-solution'!$A$3="Maximize",MAX($C89:$AI89),MIN($C89:$AI89)),$C89:$AI89,0))),X87)</f>
        <v>0</v>
      </c>
      <c r="Y102" s="1">
        <f>IF(OR($B93&lt;&gt;$B78,$B94&lt;&gt;$B79,$B95&lt;&gt;$B80,$B96&lt;&gt;$B81,$B97&lt;&gt;$B82,$B98&lt;&gt;$B83,$B99&lt;&gt;$B84,$B100&lt;&gt;$B85,$B101&lt;&gt;$B86,$B102&lt;&gt;$B87,$B103&lt;&gt;$B88),IF($B102&lt;&gt;$B87,Y87/INDEX($C78:$AJ88,10,MATCH(IF('Data-solution'!$A$3="Maximize",MAX($C89:$AI89),MIN($C89:$AI89)),$C89:$AI89,0)),Y87-INDEX($C78:$AJ88,10,MATCH(IF('Data-solution'!$A$3="Maximize",MAX($C89:$AI89),MIN($C89:$AI89)),$C89:$AI89,0))*INDEX(Y78:$AJ88,MATCH(MIN($AK78:$AK88),$AK78:$AK88,0),1)/INDEX($C78:$AJ88,MATCH(MIN($AK78:$AK88),$AK78:$AK88,0),MATCH(IF('Data-solution'!$A$3="Maximize",MAX($C89:$AI89),MIN($C89:$AI89)),$C89:$AI89,0))),Y87)</f>
        <v>0</v>
      </c>
      <c r="Z102" s="1">
        <f>IF(OR($B93&lt;&gt;$B78,$B94&lt;&gt;$B79,$B95&lt;&gt;$B80,$B96&lt;&gt;$B81,$B97&lt;&gt;$B82,$B98&lt;&gt;$B83,$B99&lt;&gt;$B84,$B100&lt;&gt;$B85,$B101&lt;&gt;$B86,$B102&lt;&gt;$B87,$B103&lt;&gt;$B88),IF($B102&lt;&gt;$B87,Z87/INDEX($C78:$AJ88,10,MATCH(IF('Data-solution'!$A$3="Maximize",MAX($C89:$AI89),MIN($C89:$AI89)),$C89:$AI89,0)),Z87-INDEX($C78:$AJ88,10,MATCH(IF('Data-solution'!$A$3="Maximize",MAX($C89:$AI89),MIN($C89:$AI89)),$C89:$AI89,0))*INDEX(Z78:$AJ88,MATCH(MIN($AK78:$AK88),$AK78:$AK88,0),1)/INDEX($C78:$AJ88,MATCH(MIN($AK78:$AK88),$AK78:$AK88,0),MATCH(IF('Data-solution'!$A$3="Maximize",MAX($C89:$AI89),MIN($C89:$AI89)),$C89:$AI89,0))),Z87)</f>
        <v>0</v>
      </c>
      <c r="AA102" s="1">
        <f>IF(OR($B93&lt;&gt;$B78,$B94&lt;&gt;$B79,$B95&lt;&gt;$B80,$B96&lt;&gt;$B81,$B97&lt;&gt;$B82,$B98&lt;&gt;$B83,$B99&lt;&gt;$B84,$B100&lt;&gt;$B85,$B101&lt;&gt;$B86,$B102&lt;&gt;$B87,$B103&lt;&gt;$B88),IF($B102&lt;&gt;$B87,AA87/INDEX($C78:$AJ88,10,MATCH(IF('Data-solution'!$A$3="Maximize",MAX($C89:$AI89),MIN($C89:$AI89)),$C89:$AI89,0)),AA87-INDEX($C78:$AJ88,10,MATCH(IF('Data-solution'!$A$3="Maximize",MAX($C89:$AI89),MIN($C89:$AI89)),$C89:$AI89,0))*INDEX(AA78:$AJ88,MATCH(MIN($AK78:$AK88),$AK78:$AK88,0),1)/INDEX($C78:$AJ88,MATCH(MIN($AK78:$AK88),$AK78:$AK88,0),MATCH(IF('Data-solution'!$A$3="Maximize",MAX($C89:$AI89),MIN($C89:$AI89)),$C89:$AI89,0))),AA87)</f>
        <v>0</v>
      </c>
      <c r="AB102" s="1">
        <f>IF(OR($B93&lt;&gt;$B78,$B94&lt;&gt;$B79,$B95&lt;&gt;$B80,$B96&lt;&gt;$B81,$B97&lt;&gt;$B82,$B98&lt;&gt;$B83,$B99&lt;&gt;$B84,$B100&lt;&gt;$B85,$B101&lt;&gt;$B86,$B102&lt;&gt;$B87,$B103&lt;&gt;$B88),IF($B102&lt;&gt;$B87,AB87/INDEX($C78:$AJ88,10,MATCH(IF('Data-solution'!$A$3="Maximize",MAX($C89:$AI89),MIN($C89:$AI89)),$C89:$AI89,0)),AB87-INDEX($C78:$AJ88,10,MATCH(IF('Data-solution'!$A$3="Maximize",MAX($C89:$AI89),MIN($C89:$AI89)),$C89:$AI89,0))*INDEX(AB78:$AJ88,MATCH(MIN($AK78:$AK88),$AK78:$AK88,0),1)/INDEX($C78:$AJ88,MATCH(MIN($AK78:$AK88),$AK78:$AK88,0),MATCH(IF('Data-solution'!$A$3="Maximize",MAX($C89:$AI89),MIN($C89:$AI89)),$C89:$AI89,0))),AB87)</f>
        <v>0</v>
      </c>
      <c r="AC102" s="1">
        <f>IF(OR($B93&lt;&gt;$B78,$B94&lt;&gt;$B79,$B95&lt;&gt;$B80,$B96&lt;&gt;$B81,$B97&lt;&gt;$B82,$B98&lt;&gt;$B83,$B99&lt;&gt;$B84,$B100&lt;&gt;$B85,$B101&lt;&gt;$B86,$B102&lt;&gt;$B87,$B103&lt;&gt;$B88),IF($B102&lt;&gt;$B87,AC87/INDEX($C78:$AJ88,10,MATCH(IF('Data-solution'!$A$3="Maximize",MAX($C89:$AI89),MIN($C89:$AI89)),$C89:$AI89,0)),AC87-INDEX($C78:$AJ88,10,MATCH(IF('Data-solution'!$A$3="Maximize",MAX($C89:$AI89),MIN($C89:$AI89)),$C89:$AI89,0))*INDEX(AC78:$AJ88,MATCH(MIN($AK78:$AK88),$AK78:$AK88,0),1)/INDEX($C78:$AJ88,MATCH(MIN($AK78:$AK88),$AK78:$AK88,0),MATCH(IF('Data-solution'!$A$3="Maximize",MAX($C89:$AI89),MIN($C89:$AI89)),$C89:$AI89,0))),AC87)</f>
        <v>0</v>
      </c>
      <c r="AD102" s="1">
        <f>IF(OR($B93&lt;&gt;$B78,$B94&lt;&gt;$B79,$B95&lt;&gt;$B80,$B96&lt;&gt;$B81,$B97&lt;&gt;$B82,$B98&lt;&gt;$B83,$B99&lt;&gt;$B84,$B100&lt;&gt;$B85,$B101&lt;&gt;$B86,$B102&lt;&gt;$B87,$B103&lt;&gt;$B88),IF($B102&lt;&gt;$B87,AD87/INDEX($C78:$AJ88,10,MATCH(IF('Data-solution'!$A$3="Maximize",MAX($C89:$AI89),MIN($C89:$AI89)),$C89:$AI89,0)),AD87-INDEX($C78:$AJ88,10,MATCH(IF('Data-solution'!$A$3="Maximize",MAX($C89:$AI89),MIN($C89:$AI89)),$C89:$AI89,0))*INDEX(AD78:$AJ88,MATCH(MIN($AK78:$AK88),$AK78:$AK88,0),1)/INDEX($C78:$AJ88,MATCH(MIN($AK78:$AK88),$AK78:$AK88,0),MATCH(IF('Data-solution'!$A$3="Maximize",MAX($C89:$AI89),MIN($C89:$AI89)),$C89:$AI89,0))),AD87)</f>
        <v>0</v>
      </c>
      <c r="AE102" s="1">
        <f>IF(OR($B93&lt;&gt;$B78,$B94&lt;&gt;$B79,$B95&lt;&gt;$B80,$B96&lt;&gt;$B81,$B97&lt;&gt;$B82,$B98&lt;&gt;$B83,$B99&lt;&gt;$B84,$B100&lt;&gt;$B85,$B101&lt;&gt;$B86,$B102&lt;&gt;$B87,$B103&lt;&gt;$B88),IF($B102&lt;&gt;$B87,AE87/INDEX($C78:$AJ88,10,MATCH(IF('Data-solution'!$A$3="Maximize",MAX($C89:$AI89),MIN($C89:$AI89)),$C89:$AI89,0)),AE87-INDEX($C78:$AJ88,10,MATCH(IF('Data-solution'!$A$3="Maximize",MAX($C89:$AI89),MIN($C89:$AI89)),$C89:$AI89,0))*INDEX(AE78:$AJ88,MATCH(MIN($AK78:$AK88),$AK78:$AK88,0),1)/INDEX($C78:$AJ88,MATCH(MIN($AK78:$AK88),$AK78:$AK88,0),MATCH(IF('Data-solution'!$A$3="Maximize",MAX($C89:$AI89),MIN($C89:$AI89)),$C89:$AI89,0))),AE87)</f>
        <v>0</v>
      </c>
      <c r="AF102" s="1">
        <f>IF(OR($B93&lt;&gt;$B78,$B94&lt;&gt;$B79,$B95&lt;&gt;$B80,$B96&lt;&gt;$B81,$B97&lt;&gt;$B82,$B98&lt;&gt;$B83,$B99&lt;&gt;$B84,$B100&lt;&gt;$B85,$B101&lt;&gt;$B86,$B102&lt;&gt;$B87,$B103&lt;&gt;$B88),IF($B102&lt;&gt;$B87,AF87/INDEX($C78:$AJ88,10,MATCH(IF('Data-solution'!$A$3="Maximize",MAX($C89:$AI89),MIN($C89:$AI89)),$C89:$AI89,0)),AF87-INDEX($C78:$AJ88,10,MATCH(IF('Data-solution'!$A$3="Maximize",MAX($C89:$AI89),MIN($C89:$AI89)),$C89:$AI89,0))*INDEX(AF78:$AJ88,MATCH(MIN($AK78:$AK88),$AK78:$AK88,0),1)/INDEX($C78:$AJ88,MATCH(MIN($AK78:$AK88),$AK78:$AK88,0),MATCH(IF('Data-solution'!$A$3="Maximize",MAX($C89:$AI89),MIN($C89:$AI89)),$C89:$AI89,0))),AF87)</f>
        <v>0</v>
      </c>
      <c r="AG102" s="1">
        <f>IF(OR($B93&lt;&gt;$B78,$B94&lt;&gt;$B79,$B95&lt;&gt;$B80,$B96&lt;&gt;$B81,$B97&lt;&gt;$B82,$B98&lt;&gt;$B83,$B99&lt;&gt;$B84,$B100&lt;&gt;$B85,$B101&lt;&gt;$B86,$B102&lt;&gt;$B87,$B103&lt;&gt;$B88),IF($B102&lt;&gt;$B87,AG87/INDEX($C78:$AJ88,10,MATCH(IF('Data-solution'!$A$3="Maximize",MAX($C89:$AI89),MIN($C89:$AI89)),$C89:$AI89,0)),AG87-INDEX($C78:$AJ88,10,MATCH(IF('Data-solution'!$A$3="Maximize",MAX($C89:$AI89),MIN($C89:$AI89)),$C89:$AI89,0))*INDEX(AG78:$AJ88,MATCH(MIN($AK78:$AK88),$AK78:$AK88,0),1)/INDEX($C78:$AJ88,MATCH(MIN($AK78:$AK88),$AK78:$AK88,0),MATCH(IF('Data-solution'!$A$3="Maximize",MAX($C89:$AI89),MIN($C89:$AI89)),$C89:$AI89,0))),AG87)</f>
        <v>0</v>
      </c>
      <c r="AH102" s="1">
        <f>IF(OR($B93&lt;&gt;$B78,$B94&lt;&gt;$B79,$B95&lt;&gt;$B80,$B96&lt;&gt;$B81,$B97&lt;&gt;$B82,$B98&lt;&gt;$B83,$B99&lt;&gt;$B84,$B100&lt;&gt;$B85,$B101&lt;&gt;$B86,$B102&lt;&gt;$B87,$B103&lt;&gt;$B88),IF($B102&lt;&gt;$B87,AH87/INDEX($C78:$AJ88,10,MATCH(IF('Data-solution'!$A$3="Maximize",MAX($C89:$AI89),MIN($C89:$AI89)),$C89:$AI89,0)),AH87-INDEX($C78:$AJ88,10,MATCH(IF('Data-solution'!$A$3="Maximize",MAX($C89:$AI89),MIN($C89:$AI89)),$C89:$AI89,0))*INDEX(AH78:$AJ88,MATCH(MIN($AK78:$AK88),$AK78:$AK88,0),1)/INDEX($C78:$AJ88,MATCH(MIN($AK78:$AK88),$AK78:$AK88,0),MATCH(IF('Data-solution'!$A$3="Maximize",MAX($C89:$AI89),MIN($C89:$AI89)),$C89:$AI89,0))),AH87)</f>
        <v>1</v>
      </c>
      <c r="AI102" s="1">
        <f>IF(OR($B93&lt;&gt;$B78,$B94&lt;&gt;$B79,$B95&lt;&gt;$B80,$B96&lt;&gt;$B81,$B97&lt;&gt;$B82,$B98&lt;&gt;$B83,$B99&lt;&gt;$B84,$B100&lt;&gt;$B85,$B101&lt;&gt;$B86,$B102&lt;&gt;$B87,$B103&lt;&gt;$B88),IF($B102&lt;&gt;$B87,AI87/INDEX($C78:$AJ88,10,MATCH(IF('Data-solution'!$A$3="Maximize",MAX($C89:$AI89),MIN($C89:$AI89)),$C89:$AI89,0)),AI87-INDEX($C78:$AJ88,10,MATCH(IF('Data-solution'!$A$3="Maximize",MAX($C89:$AI89),MIN($C89:$AI89)),$C89:$AI89,0))*INDEX(AI78:$AJ88,MATCH(MIN($AK78:$AK88),$AK78:$AK88,0),1)/INDEX($C78:$AJ88,MATCH(MIN($AK78:$AK88),$AK78:$AK88,0),MATCH(IF('Data-solution'!$A$3="Maximize",MAX($C89:$AI89),MIN($C89:$AI89)),$C89:$AI89,0))),AI87)</f>
        <v>0</v>
      </c>
      <c r="AJ102" s="1">
        <f>IF(OR($B93&lt;&gt;$B78,$B94&lt;&gt;$B79,$B95&lt;&gt;$B80,$B96&lt;&gt;$B81,$B97&lt;&gt;$B82,$B98&lt;&gt;$B83,$B99&lt;&gt;$B84,$B100&lt;&gt;$B85,$B101&lt;&gt;$B86,$B102&lt;&gt;$B87,$B103&lt;&gt;$B88),IF($B102&lt;&gt;$B87,AJ87/INDEX($C78:$AJ88,10,MATCH(IF('Data-solution'!$A$3="Maximize",MAX($C89:$AI89),MIN($C89:$AI89)),$C89:$AI89,0)),AJ87-INDEX($C78:$AJ88,10,MATCH(IF('Data-solution'!$A$3="Maximize",MAX($C89:$AI89),MIN($C89:$AI89)),$C89:$AI89,0))*INDEX(AJ78:$AJ88,MATCH(MIN($AK78:$AK88),$AK78:$AK88,0),1)/INDEX($C78:$AJ88,MATCH(MIN($AK78:$AK88),$AK78:$AK88,0),MATCH(IF('Data-solution'!$A$3="Maximize",MAX($C89:$AI89),MIN($C89:$AI89)),$C89:$AI89,0))),AJ87)</f>
        <v>0</v>
      </c>
      <c r="AK102" s="1" t="str">
        <f>IF(INDEX(C102:X102,1,MATCH(IF('Data-solution'!A$3="Maximize",MAX(C104:X104),MIN(C104:X104)),C104:X104,0))&gt;0,AJ102/INDEX(C102:X102,1,MATCH(IF('Data-solution'!A$3="Maximize",MAX(C104:X104),MIN(C104:X104)),C104:X104,0))," ")</f>
        <v xml:space="preserve"> </v>
      </c>
    </row>
    <row r="103" spans="1:37" ht="18" customHeight="1" x14ac:dyDescent="0.2">
      <c r="A103" s="1">
        <f t="shared" ref="A103" si="74">INDEX(C91:AI91,1,MATCH(B103,C92:AI92,0))</f>
        <v>0</v>
      </c>
      <c r="B103" s="2" t="str">
        <f>IF(AND('Data-solution'!A$3="Maximize",COUNTIF(C89:X89,"&gt;"&amp;0)&gt;0,AK88=MIN(AK78:AK88),COUNTIF(B93:B102,INDEX(C77:X77,1,MATCH(MAX(C89:X89),C89:X89,0)))=0),INDEX(C77:X77,1,MATCH(MAX(C89:X89),C89:X89,0)),IF(AND('Data-solution'!A$3="Minimize",COUNTIF(C89:X89,"&lt;"&amp;0)&gt;0,AK88=MIN(AK78:AK88),COUNTIF(B93:B102,INDEX(C77:X77,1,MATCH(MIN(C89:X89),C89:X89,0)))=0),INDEX(C77:X77,1,MATCH(MIN(C89:X89),C89:X89,0)),B88))</f>
        <v>S11</v>
      </c>
      <c r="C103" s="1">
        <f>IF(OR($B93&lt;&gt;$B78,$B94&lt;&gt;$B79,$B95&lt;&gt;$B80,$B96&lt;&gt;$B81,$B97&lt;&gt;$B82,$B98&lt;&gt;$B83,$B99&lt;&gt;$B84,$B100&lt;&gt;$B85,$B101&lt;&gt;$B86,$B102&lt;&gt;$B87,$B103&lt;&gt;$B88),IF($B103&lt;&gt;$B88,C88/INDEX($C78:$AJ88,11,MATCH(IF('Data-solution'!$A$3="Maximize",MAX($C89:$AI89),MIN($C89:$AI89)),$C89:$AI89,0)),C88-INDEX($C78:$AJ88,11,MATCH(IF('Data-solution'!$A$3="Maximize",MAX($C89:$AI89),MIN($C89:$AI89)),$C89:$AI89,0))*INDEX(C78:$AJ88,MATCH(MIN($AK78:$AK88),$AK78:$AK88,0),1)/INDEX($C78:$AJ88,MATCH(MIN($AK78:$AK88),$AK78:$AK88,0),MATCH(IF('Data-solution'!$A$3="Maximize",MAX($C89:$AI89),MIN($C89:$AI89)),$C89:$AI89,0))),C88)</f>
        <v>0</v>
      </c>
      <c r="D103" s="1">
        <f>IF(OR($B93&lt;&gt;$B78,$B94&lt;&gt;$B79,$B95&lt;&gt;$B80,$B96&lt;&gt;$B81,$B97&lt;&gt;$B82,$B98&lt;&gt;$B83,$B99&lt;&gt;$B84,$B100&lt;&gt;$B85,$B101&lt;&gt;$B86,$B102&lt;&gt;$B87,$B103&lt;&gt;$B88),IF($B103&lt;&gt;$B88,D88/INDEX($C78:$AJ88,11,MATCH(IF('Data-solution'!$A$3="Maximize",MAX($C89:$AI89),MIN($C89:$AI89)),$C89:$AI89,0)),D88-INDEX($C78:$AJ88,11,MATCH(IF('Data-solution'!$A$3="Maximize",MAX($C89:$AI89),MIN($C89:$AI89)),$C89:$AI89,0))*INDEX(D78:$AJ88,MATCH(MIN($AK78:$AK88),$AK78:$AK88,0),1)/INDEX($C78:$AJ88,MATCH(MIN($AK78:$AK88),$AK78:$AK88,0),MATCH(IF('Data-solution'!$A$3="Maximize",MAX($C89:$AI89),MIN($C89:$AI89)),$C89:$AI89,0))),D88)</f>
        <v>0</v>
      </c>
      <c r="E103" s="1">
        <f>IF(OR($B93&lt;&gt;$B78,$B94&lt;&gt;$B79,$B95&lt;&gt;$B80,$B96&lt;&gt;$B81,$B97&lt;&gt;$B82,$B98&lt;&gt;$B83,$B99&lt;&gt;$B84,$B100&lt;&gt;$B85,$B101&lt;&gt;$B86,$B102&lt;&gt;$B87,$B103&lt;&gt;$B88),IF($B103&lt;&gt;$B88,E88/INDEX($C78:$AJ88,11,MATCH(IF('Data-solution'!$A$3="Maximize",MAX($C89:$AI89),MIN($C89:$AI89)),$C89:$AI89,0)),E88-INDEX($C78:$AJ88,11,MATCH(IF('Data-solution'!$A$3="Maximize",MAX($C89:$AI89),MIN($C89:$AI89)),$C89:$AI89,0))*INDEX(E78:$AJ88,MATCH(MIN($AK78:$AK88),$AK78:$AK88,0),1)/INDEX($C78:$AJ88,MATCH(MIN($AK78:$AK88),$AK78:$AK88,0),MATCH(IF('Data-solution'!$A$3="Maximize",MAX($C89:$AI89),MIN($C89:$AI89)),$C89:$AI89,0))),E88)</f>
        <v>0</v>
      </c>
      <c r="F103" s="1">
        <f>IF(OR($B93&lt;&gt;$B78,$B94&lt;&gt;$B79,$B95&lt;&gt;$B80,$B96&lt;&gt;$B81,$B97&lt;&gt;$B82,$B98&lt;&gt;$B83,$B99&lt;&gt;$B84,$B100&lt;&gt;$B85,$B101&lt;&gt;$B86,$B102&lt;&gt;$B87,$B103&lt;&gt;$B88),IF($B103&lt;&gt;$B88,F88/INDEX($C78:$AJ88,11,MATCH(IF('Data-solution'!$A$3="Maximize",MAX($C89:$AI89),MIN($C89:$AI89)),$C89:$AI89,0)),F88-INDEX($C78:$AJ88,11,MATCH(IF('Data-solution'!$A$3="Maximize",MAX($C89:$AI89),MIN($C89:$AI89)),$C89:$AI89,0))*INDEX(F78:$AJ88,MATCH(MIN($AK78:$AK88),$AK78:$AK88,0),1)/INDEX($C78:$AJ88,MATCH(MIN($AK78:$AK88),$AK78:$AK88,0),MATCH(IF('Data-solution'!$A$3="Maximize",MAX($C89:$AI89),MIN($C89:$AI89)),$C89:$AI89,0))),F88)</f>
        <v>0</v>
      </c>
      <c r="G103" s="1">
        <f>IF(OR($B93&lt;&gt;$B78,$B94&lt;&gt;$B79,$B95&lt;&gt;$B80,$B96&lt;&gt;$B81,$B97&lt;&gt;$B82,$B98&lt;&gt;$B83,$B99&lt;&gt;$B84,$B100&lt;&gt;$B85,$B101&lt;&gt;$B86,$B102&lt;&gt;$B87,$B103&lt;&gt;$B88),IF($B103&lt;&gt;$B88,G88/INDEX($C78:$AJ88,11,MATCH(IF('Data-solution'!$A$3="Maximize",MAX($C89:$AI89),MIN($C89:$AI89)),$C89:$AI89,0)),G88-INDEX($C78:$AJ88,11,MATCH(IF('Data-solution'!$A$3="Maximize",MAX($C89:$AI89),MIN($C89:$AI89)),$C89:$AI89,0))*INDEX(G78:$AJ88,MATCH(MIN($AK78:$AK88),$AK78:$AK88,0),1)/INDEX($C78:$AJ88,MATCH(MIN($AK78:$AK88),$AK78:$AK88,0),MATCH(IF('Data-solution'!$A$3="Maximize",MAX($C89:$AI89),MIN($C89:$AI89)),$C89:$AI89,0))),G88)</f>
        <v>0</v>
      </c>
      <c r="H103" s="1">
        <f>IF(OR($B93&lt;&gt;$B78,$B94&lt;&gt;$B79,$B95&lt;&gt;$B80,$B96&lt;&gt;$B81,$B97&lt;&gt;$B82,$B98&lt;&gt;$B83,$B99&lt;&gt;$B84,$B100&lt;&gt;$B85,$B101&lt;&gt;$B86,$B102&lt;&gt;$B87,$B103&lt;&gt;$B88),IF($B103&lt;&gt;$B88,H88/INDEX($C78:$AJ88,11,MATCH(IF('Data-solution'!$A$3="Maximize",MAX($C89:$AI89),MIN($C89:$AI89)),$C89:$AI89,0)),H88-INDEX($C78:$AJ88,11,MATCH(IF('Data-solution'!$A$3="Maximize",MAX($C89:$AI89),MIN($C89:$AI89)),$C89:$AI89,0))*INDEX(H78:$AJ88,MATCH(MIN($AK78:$AK88),$AK78:$AK88,0),1)/INDEX($C78:$AJ88,MATCH(MIN($AK78:$AK88),$AK78:$AK88,0),MATCH(IF('Data-solution'!$A$3="Maximize",MAX($C89:$AI89),MIN($C89:$AI89)),$C89:$AI89,0))),H88)</f>
        <v>0</v>
      </c>
      <c r="I103" s="1">
        <f>IF(OR($B93&lt;&gt;$B78,$B94&lt;&gt;$B79,$B95&lt;&gt;$B80,$B96&lt;&gt;$B81,$B97&lt;&gt;$B82,$B98&lt;&gt;$B83,$B99&lt;&gt;$B84,$B100&lt;&gt;$B85,$B101&lt;&gt;$B86,$B102&lt;&gt;$B87,$B103&lt;&gt;$B88),IF($B103&lt;&gt;$B88,I88/INDEX($C78:$AJ88,11,MATCH(IF('Data-solution'!$A$3="Maximize",MAX($C89:$AI89),MIN($C89:$AI89)),$C89:$AI89,0)),I88-INDEX($C78:$AJ88,11,MATCH(IF('Data-solution'!$A$3="Maximize",MAX($C89:$AI89),MIN($C89:$AI89)),$C89:$AI89,0))*INDEX(I78:$AJ88,MATCH(MIN($AK78:$AK88),$AK78:$AK88,0),1)/INDEX($C78:$AJ88,MATCH(MIN($AK78:$AK88),$AK78:$AK88,0),MATCH(IF('Data-solution'!$A$3="Maximize",MAX($C89:$AI89),MIN($C89:$AI89)),$C89:$AI89,0))),I88)</f>
        <v>0</v>
      </c>
      <c r="J103" s="1">
        <f>IF(OR($B93&lt;&gt;$B78,$B94&lt;&gt;$B79,$B95&lt;&gt;$B80,$B96&lt;&gt;$B81,$B97&lt;&gt;$B82,$B98&lt;&gt;$B83,$B99&lt;&gt;$B84,$B100&lt;&gt;$B85,$B101&lt;&gt;$B86,$B102&lt;&gt;$B87,$B103&lt;&gt;$B88),IF($B103&lt;&gt;$B88,J88/INDEX($C78:$AJ88,11,MATCH(IF('Data-solution'!$A$3="Maximize",MAX($C89:$AI89),MIN($C89:$AI89)),$C89:$AI89,0)),J88-INDEX($C78:$AJ88,11,MATCH(IF('Data-solution'!$A$3="Maximize",MAX($C89:$AI89),MIN($C89:$AI89)),$C89:$AI89,0))*INDEX(J78:$AJ88,MATCH(MIN($AK78:$AK88),$AK78:$AK88,0),1)/INDEX($C78:$AJ88,MATCH(MIN($AK78:$AK88),$AK78:$AK88,0),MATCH(IF('Data-solution'!$A$3="Maximize",MAX($C89:$AI89),MIN($C89:$AI89)),$C89:$AI89,0))),J88)</f>
        <v>0</v>
      </c>
      <c r="K103" s="1">
        <f>IF(OR($B93&lt;&gt;$B78,$B94&lt;&gt;$B79,$B95&lt;&gt;$B80,$B96&lt;&gt;$B81,$B97&lt;&gt;$B82,$B98&lt;&gt;$B83,$B99&lt;&gt;$B84,$B100&lt;&gt;$B85,$B101&lt;&gt;$B86,$B102&lt;&gt;$B87,$B103&lt;&gt;$B88),IF($B103&lt;&gt;$B88,K88/INDEX($C78:$AJ88,11,MATCH(IF('Data-solution'!$A$3="Maximize",MAX($C89:$AI89),MIN($C89:$AI89)),$C89:$AI89,0)),K88-INDEX($C78:$AJ88,11,MATCH(IF('Data-solution'!$A$3="Maximize",MAX($C89:$AI89),MIN($C89:$AI89)),$C89:$AI89,0))*INDEX(K78:$AJ88,MATCH(MIN($AK78:$AK88),$AK78:$AK88,0),1)/INDEX($C78:$AJ88,MATCH(MIN($AK78:$AK88),$AK78:$AK88,0),MATCH(IF('Data-solution'!$A$3="Maximize",MAX($C89:$AI89),MIN($C89:$AI89)),$C89:$AI89,0))),K88)</f>
        <v>0</v>
      </c>
      <c r="L103" s="1">
        <f>IF(OR($B93&lt;&gt;$B78,$B94&lt;&gt;$B79,$B95&lt;&gt;$B80,$B96&lt;&gt;$B81,$B97&lt;&gt;$B82,$B98&lt;&gt;$B83,$B99&lt;&gt;$B84,$B100&lt;&gt;$B85,$B101&lt;&gt;$B86,$B102&lt;&gt;$B87,$B103&lt;&gt;$B88),IF($B103&lt;&gt;$B88,L88/INDEX($C78:$AJ88,11,MATCH(IF('Data-solution'!$A$3="Maximize",MAX($C89:$AI89),MIN($C89:$AI89)),$C89:$AI89,0)),L88-INDEX($C78:$AJ88,11,MATCH(IF('Data-solution'!$A$3="Maximize",MAX($C89:$AI89),MIN($C89:$AI89)),$C89:$AI89,0))*INDEX(L78:$AJ88,MATCH(MIN($AK78:$AK88),$AK78:$AK88,0),1)/INDEX($C78:$AJ88,MATCH(MIN($AK78:$AK88),$AK78:$AK88,0),MATCH(IF('Data-solution'!$A$3="Maximize",MAX($C89:$AI89),MIN($C89:$AI89)),$C89:$AI89,0))),L88)</f>
        <v>0</v>
      </c>
      <c r="M103" s="1">
        <f>IF(OR($B93&lt;&gt;$B78,$B94&lt;&gt;$B79,$B95&lt;&gt;$B80,$B96&lt;&gt;$B81,$B97&lt;&gt;$B82,$B98&lt;&gt;$B83,$B99&lt;&gt;$B84,$B100&lt;&gt;$B85,$B101&lt;&gt;$B86,$B102&lt;&gt;$B87,$B103&lt;&gt;$B88),IF($B103&lt;&gt;$B88,M88/INDEX($C78:$AJ88,11,MATCH(IF('Data-solution'!$A$3="Maximize",MAX($C89:$AI89),MIN($C89:$AI89)),$C89:$AI89,0)),M88-INDEX($C78:$AJ88,11,MATCH(IF('Data-solution'!$A$3="Maximize",MAX($C89:$AI89),MIN($C89:$AI89)),$C89:$AI89,0))*INDEX(M78:$AJ88,MATCH(MIN($AK78:$AK88),$AK78:$AK88,0),1)/INDEX($C78:$AJ88,MATCH(MIN($AK78:$AK88),$AK78:$AK88,0),MATCH(IF('Data-solution'!$A$3="Maximize",MAX($C89:$AI89),MIN($C89:$AI89)),$C89:$AI89,0))),M88)</f>
        <v>0</v>
      </c>
      <c r="N103" s="1">
        <f>IF(OR($B93&lt;&gt;$B78,$B94&lt;&gt;$B79,$B95&lt;&gt;$B80,$B96&lt;&gt;$B81,$B97&lt;&gt;$B82,$B98&lt;&gt;$B83,$B99&lt;&gt;$B84,$B100&lt;&gt;$B85,$B101&lt;&gt;$B86,$B102&lt;&gt;$B87,$B103&lt;&gt;$B88),IF($B103&lt;&gt;$B88,N88/INDEX($C78:$AJ88,11,MATCH(IF('Data-solution'!$A$3="Maximize",MAX($C89:$AI89),MIN($C89:$AI89)),$C89:$AI89,0)),N88-INDEX($C78:$AJ88,11,MATCH(IF('Data-solution'!$A$3="Maximize",MAX($C89:$AI89),MIN($C89:$AI89)),$C89:$AI89,0))*INDEX(N78:$AJ88,MATCH(MIN($AK78:$AK88),$AK78:$AK88,0),1)/INDEX($C78:$AJ88,MATCH(MIN($AK78:$AK88),$AK78:$AK88,0),MATCH(IF('Data-solution'!$A$3="Maximize",MAX($C89:$AI89),MIN($C89:$AI89)),$C89:$AI89,0))),N88)</f>
        <v>0</v>
      </c>
      <c r="O103" s="1">
        <f>IF(OR($B93&lt;&gt;$B78,$B94&lt;&gt;$B79,$B95&lt;&gt;$B80,$B96&lt;&gt;$B81,$B97&lt;&gt;$B82,$B98&lt;&gt;$B83,$B99&lt;&gt;$B84,$B100&lt;&gt;$B85,$B101&lt;&gt;$B86,$B102&lt;&gt;$B87,$B103&lt;&gt;$B88),IF($B103&lt;&gt;$B88,O88/INDEX($C78:$AJ88,11,MATCH(IF('Data-solution'!$A$3="Maximize",MAX($C89:$AI89),MIN($C89:$AI89)),$C89:$AI89,0)),O88-INDEX($C78:$AJ88,11,MATCH(IF('Data-solution'!$A$3="Maximize",MAX($C89:$AI89),MIN($C89:$AI89)),$C89:$AI89,0))*INDEX(O78:$AJ88,MATCH(MIN($AK78:$AK88),$AK78:$AK88,0),1)/INDEX($C78:$AJ88,MATCH(MIN($AK78:$AK88),$AK78:$AK88,0),MATCH(IF('Data-solution'!$A$3="Maximize",MAX($C89:$AI89),MIN($C89:$AI89)),$C89:$AI89,0))),O88)</f>
        <v>0</v>
      </c>
      <c r="P103" s="1">
        <f>IF(OR($B93&lt;&gt;$B78,$B94&lt;&gt;$B79,$B95&lt;&gt;$B80,$B96&lt;&gt;$B81,$B97&lt;&gt;$B82,$B98&lt;&gt;$B83,$B99&lt;&gt;$B84,$B100&lt;&gt;$B85,$B101&lt;&gt;$B86,$B102&lt;&gt;$B87,$B103&lt;&gt;$B88),IF($B103&lt;&gt;$B88,P88/INDEX($C78:$AJ88,11,MATCH(IF('Data-solution'!$A$3="Maximize",MAX($C89:$AI89),MIN($C89:$AI89)),$C89:$AI89,0)),P88-INDEX($C78:$AJ88,11,MATCH(IF('Data-solution'!$A$3="Maximize",MAX($C89:$AI89),MIN($C89:$AI89)),$C89:$AI89,0))*INDEX(P78:$AJ88,MATCH(MIN($AK78:$AK88),$AK78:$AK88,0),1)/INDEX($C78:$AJ88,MATCH(MIN($AK78:$AK88),$AK78:$AK88,0),MATCH(IF('Data-solution'!$A$3="Maximize",MAX($C89:$AI89),MIN($C89:$AI89)),$C89:$AI89,0))),P88)</f>
        <v>0</v>
      </c>
      <c r="Q103" s="1">
        <f>IF(OR($B93&lt;&gt;$B78,$B94&lt;&gt;$B79,$B95&lt;&gt;$B80,$B96&lt;&gt;$B81,$B97&lt;&gt;$B82,$B98&lt;&gt;$B83,$B99&lt;&gt;$B84,$B100&lt;&gt;$B85,$B101&lt;&gt;$B86,$B102&lt;&gt;$B87,$B103&lt;&gt;$B88),IF($B103&lt;&gt;$B88,Q88/INDEX($C78:$AJ88,11,MATCH(IF('Data-solution'!$A$3="Maximize",MAX($C89:$AI89),MIN($C89:$AI89)),$C89:$AI89,0)),Q88-INDEX($C78:$AJ88,11,MATCH(IF('Data-solution'!$A$3="Maximize",MAX($C89:$AI89),MIN($C89:$AI89)),$C89:$AI89,0))*INDEX(Q78:$AJ88,MATCH(MIN($AK78:$AK88),$AK78:$AK88,0),1)/INDEX($C78:$AJ88,MATCH(MIN($AK78:$AK88),$AK78:$AK88,0),MATCH(IF('Data-solution'!$A$3="Maximize",MAX($C89:$AI89),MIN($C89:$AI89)),$C89:$AI89,0))),Q88)</f>
        <v>0</v>
      </c>
      <c r="R103" s="1">
        <f>IF(OR($B93&lt;&gt;$B78,$B94&lt;&gt;$B79,$B95&lt;&gt;$B80,$B96&lt;&gt;$B81,$B97&lt;&gt;$B82,$B98&lt;&gt;$B83,$B99&lt;&gt;$B84,$B100&lt;&gt;$B85,$B101&lt;&gt;$B86,$B102&lt;&gt;$B87,$B103&lt;&gt;$B88),IF($B103&lt;&gt;$B88,R88/INDEX($C78:$AJ88,11,MATCH(IF('Data-solution'!$A$3="Maximize",MAX($C89:$AI89),MIN($C89:$AI89)),$C89:$AI89,0)),R88-INDEX($C78:$AJ88,11,MATCH(IF('Data-solution'!$A$3="Maximize",MAX($C89:$AI89),MIN($C89:$AI89)),$C89:$AI89,0))*INDEX(R78:$AJ88,MATCH(MIN($AK78:$AK88),$AK78:$AK88,0),1)/INDEX($C78:$AJ88,MATCH(MIN($AK78:$AK88),$AK78:$AK88,0),MATCH(IF('Data-solution'!$A$3="Maximize",MAX($C89:$AI89),MIN($C89:$AI89)),$C89:$AI89,0))),R88)</f>
        <v>0</v>
      </c>
      <c r="S103" s="1">
        <f>IF(OR($B93&lt;&gt;$B78,$B94&lt;&gt;$B79,$B95&lt;&gt;$B80,$B96&lt;&gt;$B81,$B97&lt;&gt;$B82,$B98&lt;&gt;$B83,$B99&lt;&gt;$B84,$B100&lt;&gt;$B85,$B101&lt;&gt;$B86,$B102&lt;&gt;$B87,$B103&lt;&gt;$B88),IF($B103&lt;&gt;$B88,S88/INDEX($C78:$AJ88,11,MATCH(IF('Data-solution'!$A$3="Maximize",MAX($C89:$AI89),MIN($C89:$AI89)),$C89:$AI89,0)),S88-INDEX($C78:$AJ88,11,MATCH(IF('Data-solution'!$A$3="Maximize",MAX($C89:$AI89),MIN($C89:$AI89)),$C89:$AI89,0))*INDEX(S78:$AJ88,MATCH(MIN($AK78:$AK88),$AK78:$AK88,0),1)/INDEX($C78:$AJ88,MATCH(MIN($AK78:$AK88),$AK78:$AK88,0),MATCH(IF('Data-solution'!$A$3="Maximize",MAX($C89:$AI89),MIN($C89:$AI89)),$C89:$AI89,0))),S88)</f>
        <v>0</v>
      </c>
      <c r="T103" s="1">
        <f>IF(OR($B93&lt;&gt;$B78,$B94&lt;&gt;$B79,$B95&lt;&gt;$B80,$B96&lt;&gt;$B81,$B97&lt;&gt;$B82,$B98&lt;&gt;$B83,$B99&lt;&gt;$B84,$B100&lt;&gt;$B85,$B101&lt;&gt;$B86,$B102&lt;&gt;$B87,$B103&lt;&gt;$B88),IF($B103&lt;&gt;$B88,T88/INDEX($C78:$AJ88,11,MATCH(IF('Data-solution'!$A$3="Maximize",MAX($C89:$AI89),MIN($C89:$AI89)),$C89:$AI89,0)),T88-INDEX($C78:$AJ88,11,MATCH(IF('Data-solution'!$A$3="Maximize",MAX($C89:$AI89),MIN($C89:$AI89)),$C89:$AI89,0))*INDEX(T78:$AJ88,MATCH(MIN($AK78:$AK88),$AK78:$AK88,0),1)/INDEX($C78:$AJ88,MATCH(MIN($AK78:$AK88),$AK78:$AK88,0),MATCH(IF('Data-solution'!$A$3="Maximize",MAX($C89:$AI89),MIN($C89:$AI89)),$C89:$AI89,0))),T88)</f>
        <v>0</v>
      </c>
      <c r="U103" s="1">
        <f>IF(OR($B93&lt;&gt;$B78,$B94&lt;&gt;$B79,$B95&lt;&gt;$B80,$B96&lt;&gt;$B81,$B97&lt;&gt;$B82,$B98&lt;&gt;$B83,$B99&lt;&gt;$B84,$B100&lt;&gt;$B85,$B101&lt;&gt;$B86,$B102&lt;&gt;$B87,$B103&lt;&gt;$B88),IF($B103&lt;&gt;$B88,U88/INDEX($C78:$AJ88,11,MATCH(IF('Data-solution'!$A$3="Maximize",MAX($C89:$AI89),MIN($C89:$AI89)),$C89:$AI89,0)),U88-INDEX($C78:$AJ88,11,MATCH(IF('Data-solution'!$A$3="Maximize",MAX($C89:$AI89),MIN($C89:$AI89)),$C89:$AI89,0))*INDEX(U78:$AJ88,MATCH(MIN($AK78:$AK88),$AK78:$AK88,0),1)/INDEX($C78:$AJ88,MATCH(MIN($AK78:$AK88),$AK78:$AK88,0),MATCH(IF('Data-solution'!$A$3="Maximize",MAX($C89:$AI89),MIN($C89:$AI89)),$C89:$AI89,0))),U88)</f>
        <v>0</v>
      </c>
      <c r="V103" s="1">
        <f>IF(OR($B93&lt;&gt;$B78,$B94&lt;&gt;$B79,$B95&lt;&gt;$B80,$B96&lt;&gt;$B81,$B97&lt;&gt;$B82,$B98&lt;&gt;$B83,$B99&lt;&gt;$B84,$B100&lt;&gt;$B85,$B101&lt;&gt;$B86,$B102&lt;&gt;$B87,$B103&lt;&gt;$B88),IF($B103&lt;&gt;$B88,V88/INDEX($C78:$AJ88,11,MATCH(IF('Data-solution'!$A$3="Maximize",MAX($C89:$AI89),MIN($C89:$AI89)),$C89:$AI89,0)),V88-INDEX($C78:$AJ88,11,MATCH(IF('Data-solution'!$A$3="Maximize",MAX($C89:$AI89),MIN($C89:$AI89)),$C89:$AI89,0))*INDEX(V78:$AJ88,MATCH(MIN($AK78:$AK88),$AK78:$AK88,0),1)/INDEX($C78:$AJ88,MATCH(MIN($AK78:$AK88),$AK78:$AK88,0),MATCH(IF('Data-solution'!$A$3="Maximize",MAX($C89:$AI89),MIN($C89:$AI89)),$C89:$AI89,0))),V88)</f>
        <v>0</v>
      </c>
      <c r="W103" s="1">
        <f>IF(OR($B93&lt;&gt;$B78,$B94&lt;&gt;$B79,$B95&lt;&gt;$B80,$B96&lt;&gt;$B81,$B97&lt;&gt;$B82,$B98&lt;&gt;$B83,$B99&lt;&gt;$B84,$B100&lt;&gt;$B85,$B101&lt;&gt;$B86,$B102&lt;&gt;$B87,$B103&lt;&gt;$B88),IF($B103&lt;&gt;$B88,W88/INDEX($C78:$AJ88,11,MATCH(IF('Data-solution'!$A$3="Maximize",MAX($C89:$AI89),MIN($C89:$AI89)),$C89:$AI89,0)),W88-INDEX($C78:$AJ88,11,MATCH(IF('Data-solution'!$A$3="Maximize",MAX($C89:$AI89),MIN($C89:$AI89)),$C89:$AI89,0))*INDEX(W78:$AJ88,MATCH(MIN($AK78:$AK88),$AK78:$AK88,0),1)/INDEX($C78:$AJ88,MATCH(MIN($AK78:$AK88),$AK78:$AK88,0),MATCH(IF('Data-solution'!$A$3="Maximize",MAX($C89:$AI89),MIN($C89:$AI89)),$C89:$AI89,0))),W88)</f>
        <v>0</v>
      </c>
      <c r="X103" s="1">
        <f>IF(OR($B93&lt;&gt;$B78,$B94&lt;&gt;$B79,$B95&lt;&gt;$B80,$B96&lt;&gt;$B81,$B97&lt;&gt;$B82,$B98&lt;&gt;$B83,$B99&lt;&gt;$B84,$B100&lt;&gt;$B85,$B101&lt;&gt;$B86,$B102&lt;&gt;$B87,$B103&lt;&gt;$B88),IF($B103&lt;&gt;$B88,X88/INDEX($C78:$AJ88,11,MATCH(IF('Data-solution'!$A$3="Maximize",MAX($C89:$AI89),MIN($C89:$AI89)),$C89:$AI89,0)),X88-INDEX($C78:$AJ88,11,MATCH(IF('Data-solution'!$A$3="Maximize",MAX($C89:$AI89),MIN($C89:$AI89)),$C89:$AI89,0))*INDEX(X78:$AJ88,MATCH(MIN($AK78:$AK88),$AK78:$AK88,0),1)/INDEX($C78:$AJ88,MATCH(MIN($AK78:$AK88),$AK78:$AK88,0),MATCH(IF('Data-solution'!$A$3="Maximize",MAX($C89:$AI89),MIN($C89:$AI89)),$C89:$AI89,0))),X88)</f>
        <v>1</v>
      </c>
      <c r="Y103" s="1">
        <f>IF(OR($B93&lt;&gt;$B78,$B94&lt;&gt;$B79,$B95&lt;&gt;$B80,$B96&lt;&gt;$B81,$B97&lt;&gt;$B82,$B98&lt;&gt;$B83,$B99&lt;&gt;$B84,$B100&lt;&gt;$B85,$B101&lt;&gt;$B86,$B102&lt;&gt;$B87,$B103&lt;&gt;$B88),IF($B103&lt;&gt;$B88,Y88/INDEX($C78:$AJ88,11,MATCH(IF('Data-solution'!$A$3="Maximize",MAX($C89:$AI89),MIN($C89:$AI89)),$C89:$AI89,0)),Y88-INDEX($C78:$AJ88,11,MATCH(IF('Data-solution'!$A$3="Maximize",MAX($C89:$AI89),MIN($C89:$AI89)),$C89:$AI89,0))*INDEX(Y78:$AJ88,MATCH(MIN($AK78:$AK88),$AK78:$AK88,0),1)/INDEX($C78:$AJ88,MATCH(MIN($AK78:$AK88),$AK78:$AK88,0),MATCH(IF('Data-solution'!$A$3="Maximize",MAX($C89:$AI89),MIN($C89:$AI89)),$C89:$AI89,0))),Y88)</f>
        <v>0</v>
      </c>
      <c r="Z103" s="1">
        <f>IF(OR($B93&lt;&gt;$B78,$B94&lt;&gt;$B79,$B95&lt;&gt;$B80,$B96&lt;&gt;$B81,$B97&lt;&gt;$B82,$B98&lt;&gt;$B83,$B99&lt;&gt;$B84,$B100&lt;&gt;$B85,$B101&lt;&gt;$B86,$B102&lt;&gt;$B87,$B103&lt;&gt;$B88),IF($B103&lt;&gt;$B88,Z88/INDEX($C78:$AJ88,11,MATCH(IF('Data-solution'!$A$3="Maximize",MAX($C89:$AI89),MIN($C89:$AI89)),$C89:$AI89,0)),Z88-INDEX($C78:$AJ88,11,MATCH(IF('Data-solution'!$A$3="Maximize",MAX($C89:$AI89),MIN($C89:$AI89)),$C89:$AI89,0))*INDEX(Z78:$AJ88,MATCH(MIN($AK78:$AK88),$AK78:$AK88,0),1)/INDEX($C78:$AJ88,MATCH(MIN($AK78:$AK88),$AK78:$AK88,0),MATCH(IF('Data-solution'!$A$3="Maximize",MAX($C89:$AI89),MIN($C89:$AI89)),$C89:$AI89,0))),Z88)</f>
        <v>0</v>
      </c>
      <c r="AA103" s="1">
        <f>IF(OR($B93&lt;&gt;$B78,$B94&lt;&gt;$B79,$B95&lt;&gt;$B80,$B96&lt;&gt;$B81,$B97&lt;&gt;$B82,$B98&lt;&gt;$B83,$B99&lt;&gt;$B84,$B100&lt;&gt;$B85,$B101&lt;&gt;$B86,$B102&lt;&gt;$B87,$B103&lt;&gt;$B88),IF($B103&lt;&gt;$B88,AA88/INDEX($C78:$AJ88,11,MATCH(IF('Data-solution'!$A$3="Maximize",MAX($C89:$AI89),MIN($C89:$AI89)),$C89:$AI89,0)),AA88-INDEX($C78:$AJ88,11,MATCH(IF('Data-solution'!$A$3="Maximize",MAX($C89:$AI89),MIN($C89:$AI89)),$C89:$AI89,0))*INDEX(AA78:$AJ88,MATCH(MIN($AK78:$AK88),$AK78:$AK88,0),1)/INDEX($C78:$AJ88,MATCH(MIN($AK78:$AK88),$AK78:$AK88,0),MATCH(IF('Data-solution'!$A$3="Maximize",MAX($C89:$AI89),MIN($C89:$AI89)),$C89:$AI89,0))),AA88)</f>
        <v>0</v>
      </c>
      <c r="AB103" s="1">
        <f>IF(OR($B93&lt;&gt;$B78,$B94&lt;&gt;$B79,$B95&lt;&gt;$B80,$B96&lt;&gt;$B81,$B97&lt;&gt;$B82,$B98&lt;&gt;$B83,$B99&lt;&gt;$B84,$B100&lt;&gt;$B85,$B101&lt;&gt;$B86,$B102&lt;&gt;$B87,$B103&lt;&gt;$B88),IF($B103&lt;&gt;$B88,AB88/INDEX($C78:$AJ88,11,MATCH(IF('Data-solution'!$A$3="Maximize",MAX($C89:$AI89),MIN($C89:$AI89)),$C89:$AI89,0)),AB88-INDEX($C78:$AJ88,11,MATCH(IF('Data-solution'!$A$3="Maximize",MAX($C89:$AI89),MIN($C89:$AI89)),$C89:$AI89,0))*INDEX(AB78:$AJ88,MATCH(MIN($AK78:$AK88),$AK78:$AK88,0),1)/INDEX($C78:$AJ88,MATCH(MIN($AK78:$AK88),$AK78:$AK88,0),MATCH(IF('Data-solution'!$A$3="Maximize",MAX($C89:$AI89),MIN($C89:$AI89)),$C89:$AI89,0))),AB88)</f>
        <v>0</v>
      </c>
      <c r="AC103" s="1">
        <f>IF(OR($B93&lt;&gt;$B78,$B94&lt;&gt;$B79,$B95&lt;&gt;$B80,$B96&lt;&gt;$B81,$B97&lt;&gt;$B82,$B98&lt;&gt;$B83,$B99&lt;&gt;$B84,$B100&lt;&gt;$B85,$B101&lt;&gt;$B86,$B102&lt;&gt;$B87,$B103&lt;&gt;$B88),IF($B103&lt;&gt;$B88,AC88/INDEX($C78:$AJ88,11,MATCH(IF('Data-solution'!$A$3="Maximize",MAX($C89:$AI89),MIN($C89:$AI89)),$C89:$AI89,0)),AC88-INDEX($C78:$AJ88,11,MATCH(IF('Data-solution'!$A$3="Maximize",MAX($C89:$AI89),MIN($C89:$AI89)),$C89:$AI89,0))*INDEX(AC78:$AJ88,MATCH(MIN($AK78:$AK88),$AK78:$AK88,0),1)/INDEX($C78:$AJ88,MATCH(MIN($AK78:$AK88),$AK78:$AK88,0),MATCH(IF('Data-solution'!$A$3="Maximize",MAX($C89:$AI89),MIN($C89:$AI89)),$C89:$AI89,0))),AC88)</f>
        <v>0</v>
      </c>
      <c r="AD103" s="1">
        <f>IF(OR($B93&lt;&gt;$B78,$B94&lt;&gt;$B79,$B95&lt;&gt;$B80,$B96&lt;&gt;$B81,$B97&lt;&gt;$B82,$B98&lt;&gt;$B83,$B99&lt;&gt;$B84,$B100&lt;&gt;$B85,$B101&lt;&gt;$B86,$B102&lt;&gt;$B87,$B103&lt;&gt;$B88),IF($B103&lt;&gt;$B88,AD88/INDEX($C78:$AJ88,11,MATCH(IF('Data-solution'!$A$3="Maximize",MAX($C89:$AI89),MIN($C89:$AI89)),$C89:$AI89,0)),AD88-INDEX($C78:$AJ88,11,MATCH(IF('Data-solution'!$A$3="Maximize",MAX($C89:$AI89),MIN($C89:$AI89)),$C89:$AI89,0))*INDEX(AD78:$AJ88,MATCH(MIN($AK78:$AK88),$AK78:$AK88,0),1)/INDEX($C78:$AJ88,MATCH(MIN($AK78:$AK88),$AK78:$AK88,0),MATCH(IF('Data-solution'!$A$3="Maximize",MAX($C89:$AI89),MIN($C89:$AI89)),$C89:$AI89,0))),AD88)</f>
        <v>0</v>
      </c>
      <c r="AE103" s="1">
        <f>IF(OR($B93&lt;&gt;$B78,$B94&lt;&gt;$B79,$B95&lt;&gt;$B80,$B96&lt;&gt;$B81,$B97&lt;&gt;$B82,$B98&lt;&gt;$B83,$B99&lt;&gt;$B84,$B100&lt;&gt;$B85,$B101&lt;&gt;$B86,$B102&lt;&gt;$B87,$B103&lt;&gt;$B88),IF($B103&lt;&gt;$B88,AE88/INDEX($C78:$AJ88,11,MATCH(IF('Data-solution'!$A$3="Maximize",MAX($C89:$AI89),MIN($C89:$AI89)),$C89:$AI89,0)),AE88-INDEX($C78:$AJ88,11,MATCH(IF('Data-solution'!$A$3="Maximize",MAX($C89:$AI89),MIN($C89:$AI89)),$C89:$AI89,0))*INDEX(AE78:$AJ88,MATCH(MIN($AK78:$AK88),$AK78:$AK88,0),1)/INDEX($C78:$AJ88,MATCH(MIN($AK78:$AK88),$AK78:$AK88,0),MATCH(IF('Data-solution'!$A$3="Maximize",MAX($C89:$AI89),MIN($C89:$AI89)),$C89:$AI89,0))),AE88)</f>
        <v>0</v>
      </c>
      <c r="AF103" s="1">
        <f>IF(OR($B93&lt;&gt;$B78,$B94&lt;&gt;$B79,$B95&lt;&gt;$B80,$B96&lt;&gt;$B81,$B97&lt;&gt;$B82,$B98&lt;&gt;$B83,$B99&lt;&gt;$B84,$B100&lt;&gt;$B85,$B101&lt;&gt;$B86,$B102&lt;&gt;$B87,$B103&lt;&gt;$B88),IF($B103&lt;&gt;$B88,AF88/INDEX($C78:$AJ88,11,MATCH(IF('Data-solution'!$A$3="Maximize",MAX($C89:$AI89),MIN($C89:$AI89)),$C89:$AI89,0)),AF88-INDEX($C78:$AJ88,11,MATCH(IF('Data-solution'!$A$3="Maximize",MAX($C89:$AI89),MIN($C89:$AI89)),$C89:$AI89,0))*INDEX(AF78:$AJ88,MATCH(MIN($AK78:$AK88),$AK78:$AK88,0),1)/INDEX($C78:$AJ88,MATCH(MIN($AK78:$AK88),$AK78:$AK88,0),MATCH(IF('Data-solution'!$A$3="Maximize",MAX($C89:$AI89),MIN($C89:$AI89)),$C89:$AI89,0))),AF88)</f>
        <v>0</v>
      </c>
      <c r="AG103" s="1">
        <f>IF(OR($B93&lt;&gt;$B78,$B94&lt;&gt;$B79,$B95&lt;&gt;$B80,$B96&lt;&gt;$B81,$B97&lt;&gt;$B82,$B98&lt;&gt;$B83,$B99&lt;&gt;$B84,$B100&lt;&gt;$B85,$B101&lt;&gt;$B86,$B102&lt;&gt;$B87,$B103&lt;&gt;$B88),IF($B103&lt;&gt;$B88,AG88/INDEX($C78:$AJ88,11,MATCH(IF('Data-solution'!$A$3="Maximize",MAX($C89:$AI89),MIN($C89:$AI89)),$C89:$AI89,0)),AG88-INDEX($C78:$AJ88,11,MATCH(IF('Data-solution'!$A$3="Maximize",MAX($C89:$AI89),MIN($C89:$AI89)),$C89:$AI89,0))*INDEX(AG78:$AJ88,MATCH(MIN($AK78:$AK88),$AK78:$AK88,0),1)/INDEX($C78:$AJ88,MATCH(MIN($AK78:$AK88),$AK78:$AK88,0),MATCH(IF('Data-solution'!$A$3="Maximize",MAX($C89:$AI89),MIN($C89:$AI89)),$C89:$AI89,0))),AG88)</f>
        <v>0</v>
      </c>
      <c r="AH103" s="1">
        <f>IF(OR($B93&lt;&gt;$B78,$B94&lt;&gt;$B79,$B95&lt;&gt;$B80,$B96&lt;&gt;$B81,$B97&lt;&gt;$B82,$B98&lt;&gt;$B83,$B99&lt;&gt;$B84,$B100&lt;&gt;$B85,$B101&lt;&gt;$B86,$B102&lt;&gt;$B87,$B103&lt;&gt;$B88),IF($B103&lt;&gt;$B88,AH88/INDEX($C78:$AJ88,11,MATCH(IF('Data-solution'!$A$3="Maximize",MAX($C89:$AI89),MIN($C89:$AI89)),$C89:$AI89,0)),AH88-INDEX($C78:$AJ88,11,MATCH(IF('Data-solution'!$A$3="Maximize",MAX($C89:$AI89),MIN($C89:$AI89)),$C89:$AI89,0))*INDEX(AH78:$AJ88,MATCH(MIN($AK78:$AK88),$AK78:$AK88,0),1)/INDEX($C78:$AJ88,MATCH(MIN($AK78:$AK88),$AK78:$AK88,0),MATCH(IF('Data-solution'!$A$3="Maximize",MAX($C89:$AI89),MIN($C89:$AI89)),$C89:$AI89,0))),AH88)</f>
        <v>0</v>
      </c>
      <c r="AI103" s="1">
        <f>IF(OR($B93&lt;&gt;$B78,$B94&lt;&gt;$B79,$B95&lt;&gt;$B80,$B96&lt;&gt;$B81,$B97&lt;&gt;$B82,$B98&lt;&gt;$B83,$B99&lt;&gt;$B84,$B100&lt;&gt;$B85,$B101&lt;&gt;$B86,$B102&lt;&gt;$B87,$B103&lt;&gt;$B88),IF($B103&lt;&gt;$B88,AI88/INDEX($C78:$AJ88,11,MATCH(IF('Data-solution'!$A$3="Maximize",MAX($C89:$AI89),MIN($C89:$AI89)),$C89:$AI89,0)),AI88-INDEX($C78:$AJ88,11,MATCH(IF('Data-solution'!$A$3="Maximize",MAX($C89:$AI89),MIN($C89:$AI89)),$C89:$AI89,0))*INDEX(AI78:$AJ88,MATCH(MIN($AK78:$AK88),$AK78:$AK88,0),1)/INDEX($C78:$AJ88,MATCH(MIN($AK78:$AK88),$AK78:$AK88,0),MATCH(IF('Data-solution'!$A$3="Maximize",MAX($C89:$AI89),MIN($C89:$AI89)),$C89:$AI89,0))),AI88)</f>
        <v>1</v>
      </c>
      <c r="AJ103" s="1">
        <f>IF(OR($B93&lt;&gt;$B78,$B94&lt;&gt;$B79,$B95&lt;&gt;$B80,$B96&lt;&gt;$B81,$B97&lt;&gt;$B82,$B98&lt;&gt;$B83,$B99&lt;&gt;$B84,$B100&lt;&gt;$B85,$B101&lt;&gt;$B86,$B102&lt;&gt;$B87,$B103&lt;&gt;$B88),IF($B103&lt;&gt;$B88,AJ88/INDEX($C78:$AJ88,11,MATCH(IF('Data-solution'!$A$3="Maximize",MAX($C89:$AI89),MIN($C89:$AI89)),$C89:$AI89,0)),AJ88-INDEX($C78:$AJ88,11,MATCH(IF('Data-solution'!$A$3="Maximize",MAX($C89:$AI89),MIN($C89:$AI89)),$C89:$AI89,0))*INDEX(AJ78:$AJ88,MATCH(MIN($AK78:$AK88),$AK78:$AK88,0),1)/INDEX($C78:$AJ88,MATCH(MIN($AK78:$AK88),$AK78:$AK88,0),MATCH(IF('Data-solution'!$A$3="Maximize",MAX($C89:$AI89),MIN($C89:$AI89)),$C89:$AI89,0))),AJ88)</f>
        <v>0</v>
      </c>
      <c r="AK103" s="1" t="str">
        <f>IF(INDEX(C103:X103,1,MATCH(IF('Data-solution'!A$3="Maximize",MAX(C104:X104),MIN(C104:X104)),C104:X104,0))&gt;0,AJ103/INDEX(C103:X103,1,MATCH(IF('Data-solution'!A$3="Maximize",MAX(C104:X104),MIN(C104:X104)),C104:X104,0))," ")</f>
        <v xml:space="preserve"> </v>
      </c>
    </row>
    <row r="104" spans="1:37" ht="18" customHeight="1" x14ac:dyDescent="0.2">
      <c r="B104" s="2" t="s">
        <v>5</v>
      </c>
      <c r="C104" s="1">
        <f>IF(SUM(COUNTIF($B93:$B103,$Y92),COUNTIF($B93:$B103,$Z92),COUNTIF($B93:$B103,$AA92),COUNTIF($B93:$B103,$AB92),COUNTIF($B93:$B103,$AC92),COUNTIF($B93:$B103,$AD92),COUNTIF($B93:$B103,$AE92),COUNTIF($B93:$B103,$AF92),COUNTIF($B93:$B103,$AG92),COUNTIF($B93:$B103,$AH92),COUNTIF($B93:$B103,$AI92))=0,C91-SUMPRODUCT($A93:$A103,C93:C103),IF('Data-solution'!$A$3="Maximize",1,-1)*SUM(SUMIF($B93:$B103,$Y92,C93:C103),SUMIF($B93:$B103,$Z92,C93:C103),SUMIF($B93:$B103,$AA92,C93:C103),SUMIF($B93:$B103,$AB92,C93:C103),SUMIF($B93:$B103,$AC92,C93:C103),SUMIF($B93:$B103,$AD92,C93:C103),SUMIF($B93:$B103,$AE92,C93:C103),SUMIF($B93:$B103,$AF92,C93:C103),SUMIF($B93:$B103,$AG92,C93:C103),SUMIF($B93:$B103,$AH92,C93:C103),SUMIF($B93:$B103,$AI92,C93:C103)))</f>
        <v>0</v>
      </c>
      <c r="D104" s="1">
        <f>IF(SUM(COUNTIF($B93:$B103,$Y92),COUNTIF($B93:$B103,$Z92),COUNTIF($B93:$B103,$AA92),COUNTIF($B93:$B103,$AB92),COUNTIF($B93:$B103,$AC92),COUNTIF($B93:$B103,$AD92),COUNTIF($B93:$B103,$AE92),COUNTIF($B93:$B103,$AF92),COUNTIF($B93:$B103,$AG92),COUNTIF($B93:$B103,$AH92),COUNTIF($B93:$B103,$AI92))=0,D91-SUMPRODUCT($A93:$A103,D93:D103),IF('Data-solution'!$A$3="Maximize",1,-1)*SUM(SUMIF($B93:$B103,$Y92,D93:D103),SUMIF($B93:$B103,$Z92,D93:D103),SUMIF($B93:$B103,$AA92,D93:D103),SUMIF($B93:$B103,$AB92,D93:D103),SUMIF($B93:$B103,$AC92,D93:D103),SUMIF($B93:$B103,$AD92,D93:D103),SUMIF($B93:$B103,$AE92,D93:D103),SUMIF($B93:$B103,$AF92,D93:D103),SUMIF($B93:$B103,$AG92,D93:D103),SUMIF($B93:$B103,$AH92,D93:D103),SUMIF($B93:$B103,$AI92,D93:D103)))</f>
        <v>-50</v>
      </c>
      <c r="E104" s="1">
        <f>IF(SUM(COUNTIF($B93:$B103,$Y92),COUNTIF($B93:$B103,$Z92),COUNTIF($B93:$B103,$AA92),COUNTIF($B93:$B103,$AB92),COUNTIF($B93:$B103,$AC92),COUNTIF($B93:$B103,$AD92),COUNTIF($B93:$B103,$AE92),COUNTIF($B93:$B103,$AF92),COUNTIF($B93:$B103,$AG92),COUNTIF($B93:$B103,$AH92),COUNTIF($B93:$B103,$AI92))=0,E91-SUMPRODUCT($A93:$A103,E93:E103),IF('Data-solution'!$A$3="Maximize",1,-1)*SUM(SUMIF($B93:$B103,$Y92,E93:E103),SUMIF($B93:$B103,$Z92,E93:E103),SUMIF($B93:$B103,$AA92,E93:E103),SUMIF($B93:$B103,$AB92,E93:E103),SUMIF($B93:$B103,$AC92,E93:E103),SUMIF($B93:$B103,$AD92,E93:E103),SUMIF($B93:$B103,$AE92,E93:E103),SUMIF($B93:$B103,$AF92,E93:E103),SUMIF($B93:$B103,$AG92,E93:E103),SUMIF($B93:$B103,$AH92,E93:E103),SUMIF($B93:$B103,$AI92,E93:E103)))</f>
        <v>0</v>
      </c>
      <c r="F104" s="1">
        <f>IF(SUM(COUNTIF($B93:$B103,$Y92),COUNTIF($B93:$B103,$Z92),COUNTIF($B93:$B103,$AA92),COUNTIF($B93:$B103,$AB92),COUNTIF($B93:$B103,$AC92),COUNTIF($B93:$B103,$AD92),COUNTIF($B93:$B103,$AE92),COUNTIF($B93:$B103,$AF92),COUNTIF($B93:$B103,$AG92),COUNTIF($B93:$B103,$AH92),COUNTIF($B93:$B103,$AI92))=0,F91-SUMPRODUCT($A93:$A103,F93:F103),IF('Data-solution'!$A$3="Maximize",1,-1)*SUM(SUMIF($B93:$B103,$Y92,F93:F103),SUMIF($B93:$B103,$Z92,F93:F103),SUMIF($B93:$B103,$AA92,F93:F103),SUMIF($B93:$B103,$AB92,F93:F103),SUMIF($B93:$B103,$AC92,F93:F103),SUMIF($B93:$B103,$AD92,F93:F103),SUMIF($B93:$B103,$AE92,F93:F103),SUMIF($B93:$B103,$AF92,F93:F103),SUMIF($B93:$B103,$AG92,F93:F103),SUMIF($B93:$B103,$AH92,F93:F103),SUMIF($B93:$B103,$AI92,F93:F103)))</f>
        <v>0</v>
      </c>
      <c r="G104" s="1">
        <f>IF(SUM(COUNTIF($B93:$B103,$Y92),COUNTIF($B93:$B103,$Z92),COUNTIF($B93:$B103,$AA92),COUNTIF($B93:$B103,$AB92),COUNTIF($B93:$B103,$AC92),COUNTIF($B93:$B103,$AD92),COUNTIF($B93:$B103,$AE92),COUNTIF($B93:$B103,$AF92),COUNTIF($B93:$B103,$AG92),COUNTIF($B93:$B103,$AH92),COUNTIF($B93:$B103,$AI92))=0,G91-SUMPRODUCT($A93:$A103,G93:G103),IF('Data-solution'!$A$3="Maximize",1,-1)*SUM(SUMIF($B93:$B103,$Y92,G93:G103),SUMIF($B93:$B103,$Z92,G93:G103),SUMIF($B93:$B103,$AA92,G93:G103),SUMIF($B93:$B103,$AB92,G93:G103),SUMIF($B93:$B103,$AC92,G93:G103),SUMIF($B93:$B103,$AD92,G93:G103),SUMIF($B93:$B103,$AE92,G93:G103),SUMIF($B93:$B103,$AF92,G93:G103),SUMIF($B93:$B103,$AG92,G93:G103),SUMIF($B93:$B103,$AH92,G93:G103),SUMIF($B93:$B103,$AI92,G93:G103)))</f>
        <v>0</v>
      </c>
      <c r="H104" s="1">
        <f>IF(SUM(COUNTIF($B93:$B103,$Y92),COUNTIF($B93:$B103,$Z92),COUNTIF($B93:$B103,$AA92),COUNTIF($B93:$B103,$AB92),COUNTIF($B93:$B103,$AC92),COUNTIF($B93:$B103,$AD92),COUNTIF($B93:$B103,$AE92),COUNTIF($B93:$B103,$AF92),COUNTIF($B93:$B103,$AG92),COUNTIF($B93:$B103,$AH92),COUNTIF($B93:$B103,$AI92))=0,H91-SUMPRODUCT($A93:$A103,H93:H103),IF('Data-solution'!$A$3="Maximize",1,-1)*SUM(SUMIF($B93:$B103,$Y92,H93:H103),SUMIF($B93:$B103,$Z92,H93:H103),SUMIF($B93:$B103,$AA92,H93:H103),SUMIF($B93:$B103,$AB92,H93:H103),SUMIF($B93:$B103,$AC92,H93:H103),SUMIF($B93:$B103,$AD92,H93:H103),SUMIF($B93:$B103,$AE92,H93:H103),SUMIF($B93:$B103,$AF92,H93:H103),SUMIF($B93:$B103,$AG92,H93:H103),SUMIF($B93:$B103,$AH92,H93:H103),SUMIF($B93:$B103,$AI92,H93:H103)))</f>
        <v>0</v>
      </c>
      <c r="I104" s="1">
        <f>IF(SUM(COUNTIF($B93:$B103,$Y92),COUNTIF($B93:$B103,$Z92),COUNTIF($B93:$B103,$AA92),COUNTIF($B93:$B103,$AB92),COUNTIF($B93:$B103,$AC92),COUNTIF($B93:$B103,$AD92),COUNTIF($B93:$B103,$AE92),COUNTIF($B93:$B103,$AF92),COUNTIF($B93:$B103,$AG92),COUNTIF($B93:$B103,$AH92),COUNTIF($B93:$B103,$AI92))=0,I91-SUMPRODUCT($A93:$A103,I93:I103),IF('Data-solution'!$A$3="Maximize",1,-1)*SUM(SUMIF($B93:$B103,$Y92,I93:I103),SUMIF($B93:$B103,$Z92,I93:I103),SUMIF($B93:$B103,$AA92,I93:I103),SUMIF($B93:$B103,$AB92,I93:I103),SUMIF($B93:$B103,$AC92,I93:I103),SUMIF($B93:$B103,$AD92,I93:I103),SUMIF($B93:$B103,$AE92,I93:I103),SUMIF($B93:$B103,$AF92,I93:I103),SUMIF($B93:$B103,$AG92,I93:I103),SUMIF($B93:$B103,$AH92,I93:I103),SUMIF($B93:$B103,$AI92,I93:I103)))</f>
        <v>0</v>
      </c>
      <c r="J104" s="1">
        <f>IF(SUM(COUNTIF($B93:$B103,$Y92),COUNTIF($B93:$B103,$Z92),COUNTIF($B93:$B103,$AA92),COUNTIF($B93:$B103,$AB92),COUNTIF($B93:$B103,$AC92),COUNTIF($B93:$B103,$AD92),COUNTIF($B93:$B103,$AE92),COUNTIF($B93:$B103,$AF92),COUNTIF($B93:$B103,$AG92),COUNTIF($B93:$B103,$AH92),COUNTIF($B93:$B103,$AI92))=0,J91-SUMPRODUCT($A93:$A103,J93:J103),IF('Data-solution'!$A$3="Maximize",1,-1)*SUM(SUMIF($B93:$B103,$Y92,J93:J103),SUMIF($B93:$B103,$Z92,J93:J103),SUMIF($B93:$B103,$AA92,J93:J103),SUMIF($B93:$B103,$AB92,J93:J103),SUMIF($B93:$B103,$AC92,J93:J103),SUMIF($B93:$B103,$AD92,J93:J103),SUMIF($B93:$B103,$AE92,J93:J103),SUMIF($B93:$B103,$AF92,J93:J103),SUMIF($B93:$B103,$AG92,J93:J103),SUMIF($B93:$B103,$AH92,J93:J103),SUMIF($B93:$B103,$AI92,J93:J103)))</f>
        <v>0</v>
      </c>
      <c r="K104" s="1">
        <f>IF(SUM(COUNTIF($B93:$B103,$Y92),COUNTIF($B93:$B103,$Z92),COUNTIF($B93:$B103,$AA92),COUNTIF($B93:$B103,$AB92),COUNTIF($B93:$B103,$AC92),COUNTIF($B93:$B103,$AD92),COUNTIF($B93:$B103,$AE92),COUNTIF($B93:$B103,$AF92),COUNTIF($B93:$B103,$AG92),COUNTIF($B93:$B103,$AH92),COUNTIF($B93:$B103,$AI92))=0,K91-SUMPRODUCT($A93:$A103,K93:K103),IF('Data-solution'!$A$3="Maximize",1,-1)*SUM(SUMIF($B93:$B103,$Y92,K93:K103),SUMIF($B93:$B103,$Z92,K93:K103),SUMIF($B93:$B103,$AA92,K93:K103),SUMIF($B93:$B103,$AB92,K93:K103),SUMIF($B93:$B103,$AC92,K93:K103),SUMIF($B93:$B103,$AD92,K93:K103),SUMIF($B93:$B103,$AE92,K93:K103),SUMIF($B93:$B103,$AF92,K93:K103),SUMIF($B93:$B103,$AG92,K93:K103),SUMIF($B93:$B103,$AH92,K93:K103),SUMIF($B93:$B103,$AI92,K93:K103)))</f>
        <v>0</v>
      </c>
      <c r="L104" s="1">
        <f>IF(SUM(COUNTIF($B93:$B103,$Y92),COUNTIF($B93:$B103,$Z92),COUNTIF($B93:$B103,$AA92),COUNTIF($B93:$B103,$AB92),COUNTIF($B93:$B103,$AC92),COUNTIF($B93:$B103,$AD92),COUNTIF($B93:$B103,$AE92),COUNTIF($B93:$B103,$AF92),COUNTIF($B93:$B103,$AG92),COUNTIF($B93:$B103,$AH92),COUNTIF($B93:$B103,$AI92))=0,L91-SUMPRODUCT($A93:$A103,L93:L103),IF('Data-solution'!$A$3="Maximize",1,-1)*SUM(SUMIF($B93:$B103,$Y92,L93:L103),SUMIF($B93:$B103,$Z92,L93:L103),SUMIF($B93:$B103,$AA92,L93:L103),SUMIF($B93:$B103,$AB92,L93:L103),SUMIF($B93:$B103,$AC92,L93:L103),SUMIF($B93:$B103,$AD92,L93:L103),SUMIF($B93:$B103,$AE92,L93:L103),SUMIF($B93:$B103,$AF92,L93:L103),SUMIF($B93:$B103,$AG92,L93:L103),SUMIF($B93:$B103,$AH92,L93:L103),SUMIF($B93:$B103,$AI92,L93:L103)))</f>
        <v>0</v>
      </c>
      <c r="M104" s="1">
        <f>IF(SUM(COUNTIF($B93:$B103,$Y92),COUNTIF($B93:$B103,$Z92),COUNTIF($B93:$B103,$AA92),COUNTIF($B93:$B103,$AB92),COUNTIF($B93:$B103,$AC92),COUNTIF($B93:$B103,$AD92),COUNTIF($B93:$B103,$AE92),COUNTIF($B93:$B103,$AF92),COUNTIF($B93:$B103,$AG92),COUNTIF($B93:$B103,$AH92),COUNTIF($B93:$B103,$AI92))=0,M91-SUMPRODUCT($A93:$A103,M93:M103),IF('Data-solution'!$A$3="Maximize",1,-1)*SUM(SUMIF($B93:$B103,$Y92,M93:M103),SUMIF($B93:$B103,$Z92,M93:M103),SUMIF($B93:$B103,$AA92,M93:M103),SUMIF($B93:$B103,$AB92,M93:M103),SUMIF($B93:$B103,$AC92,M93:M103),SUMIF($B93:$B103,$AD92,M93:M103),SUMIF($B93:$B103,$AE92,M93:M103),SUMIF($B93:$B103,$AF92,M93:M103),SUMIF($B93:$B103,$AG92,M93:M103),SUMIF($B93:$B103,$AH92,M93:M103),SUMIF($B93:$B103,$AI92,M93:M103)))</f>
        <v>0</v>
      </c>
      <c r="N104" s="1">
        <f>IF(SUM(COUNTIF($B93:$B103,$Y92),COUNTIF($B93:$B103,$Z92),COUNTIF($B93:$B103,$AA92),COUNTIF($B93:$B103,$AB92),COUNTIF($B93:$B103,$AC92),COUNTIF($B93:$B103,$AD92),COUNTIF($B93:$B103,$AE92),COUNTIF($B93:$B103,$AF92),COUNTIF($B93:$B103,$AG92),COUNTIF($B93:$B103,$AH92),COUNTIF($B93:$B103,$AI92))=0,N91-SUMPRODUCT($A93:$A103,N93:N103),IF('Data-solution'!$A$3="Maximize",1,-1)*SUM(SUMIF($B93:$B103,$Y92,N93:N103),SUMIF($B93:$B103,$Z92,N93:N103),SUMIF($B93:$B103,$AA92,N93:N103),SUMIF($B93:$B103,$AB92,N93:N103),SUMIF($B93:$B103,$AC92,N93:N103),SUMIF($B93:$B103,$AD92,N93:N103),SUMIF($B93:$B103,$AE92,N93:N103),SUMIF($B93:$B103,$AF92,N93:N103),SUMIF($B93:$B103,$AG92,N93:N103),SUMIF($B93:$B103,$AH92,N93:N103),SUMIF($B93:$B103,$AI92,N93:N103)))</f>
        <v>0</v>
      </c>
      <c r="O104" s="1">
        <f>IF(SUM(COUNTIF($B93:$B103,$Y92),COUNTIF($B93:$B103,$Z92),COUNTIF($B93:$B103,$AA92),COUNTIF($B93:$B103,$AB92),COUNTIF($B93:$B103,$AC92),COUNTIF($B93:$B103,$AD92),COUNTIF($B93:$B103,$AE92),COUNTIF($B93:$B103,$AF92),COUNTIF($B93:$B103,$AG92),COUNTIF($B93:$B103,$AH92),COUNTIF($B93:$B103,$AI92))=0,O91-SUMPRODUCT($A93:$A103,O93:O103),IF('Data-solution'!$A$3="Maximize",1,-1)*SUM(SUMIF($B93:$B103,$Y92,O93:O103),SUMIF($B93:$B103,$Z92,O93:O103),SUMIF($B93:$B103,$AA92,O93:O103),SUMIF($B93:$B103,$AB92,O93:O103),SUMIF($B93:$B103,$AC92,O93:O103),SUMIF($B93:$B103,$AD92,O93:O103),SUMIF($B93:$B103,$AE92,O93:O103),SUMIF($B93:$B103,$AF92,O93:O103),SUMIF($B93:$B103,$AG92,O93:O103),SUMIF($B93:$B103,$AH92,O93:O103),SUMIF($B93:$B103,$AI92,O93:O103)))</f>
        <v>0</v>
      </c>
      <c r="P104" s="1">
        <f>IF(SUM(COUNTIF($B93:$B103,$Y92),COUNTIF($B93:$B103,$Z92),COUNTIF($B93:$B103,$AA92),COUNTIF($B93:$B103,$AB92),COUNTIF($B93:$B103,$AC92),COUNTIF($B93:$B103,$AD92),COUNTIF($B93:$B103,$AE92),COUNTIF($B93:$B103,$AF92),COUNTIF($B93:$B103,$AG92),COUNTIF($B93:$B103,$AH92),COUNTIF($B93:$B103,$AI92))=0,P91-SUMPRODUCT($A93:$A103,P93:P103),IF('Data-solution'!$A$3="Maximize",1,-1)*SUM(SUMIF($B93:$B103,$Y92,P93:P103),SUMIF($B93:$B103,$Z92,P93:P103),SUMIF($B93:$B103,$AA92,P93:P103),SUMIF($B93:$B103,$AB92,P93:P103),SUMIF($B93:$B103,$AC92,P93:P103),SUMIF($B93:$B103,$AD92,P93:P103),SUMIF($B93:$B103,$AE92,P93:P103),SUMIF($B93:$B103,$AF92,P93:P103),SUMIF($B93:$B103,$AG92,P93:P103),SUMIF($B93:$B103,$AH92,P93:P103),SUMIF($B93:$B103,$AI92,P93:P103)))</f>
        <v>-49.999999999999993</v>
      </c>
      <c r="Q104" s="1">
        <f>IF(SUM(COUNTIF($B93:$B103,$Y92),COUNTIF($B93:$B103,$Z92),COUNTIF($B93:$B103,$AA92),COUNTIF($B93:$B103,$AB92),COUNTIF($B93:$B103,$AC92),COUNTIF($B93:$B103,$AD92),COUNTIF($B93:$B103,$AE92),COUNTIF($B93:$B103,$AF92),COUNTIF($B93:$B103,$AG92),COUNTIF($B93:$B103,$AH92),COUNTIF($B93:$B103,$AI92))=0,Q91-SUMPRODUCT($A93:$A103,Q93:Q103),IF('Data-solution'!$A$3="Maximize",1,-1)*SUM(SUMIF($B93:$B103,$Y92,Q93:Q103),SUMIF($B93:$B103,$Z92,Q93:Q103),SUMIF($B93:$B103,$AA92,Q93:Q103),SUMIF($B93:$B103,$AB92,Q93:Q103),SUMIF($B93:$B103,$AC92,Q93:Q103),SUMIF($B93:$B103,$AD92,Q93:Q103),SUMIF($B93:$B103,$AE92,Q93:Q103),SUMIF($B93:$B103,$AF92,Q93:Q103),SUMIF($B93:$B103,$AG92,Q93:Q103),SUMIF($B93:$B103,$AH92,Q93:Q103),SUMIF($B93:$B103,$AI92,Q93:Q103)))</f>
        <v>-50</v>
      </c>
      <c r="R104" s="1">
        <f>IF(SUM(COUNTIF($B93:$B103,$Y92),COUNTIF($B93:$B103,$Z92),COUNTIF($B93:$B103,$AA92),COUNTIF($B93:$B103,$AB92),COUNTIF($B93:$B103,$AC92),COUNTIF($B93:$B103,$AD92),COUNTIF($B93:$B103,$AE92),COUNTIF($B93:$B103,$AF92),COUNTIF($B93:$B103,$AG92),COUNTIF($B93:$B103,$AH92),COUNTIF($B93:$B103,$AI92))=0,R91-SUMPRODUCT($A93:$A103,R93:R103),IF('Data-solution'!$A$3="Maximize",1,-1)*SUM(SUMIF($B93:$B103,$Y92,R93:R103),SUMIF($B93:$B103,$Z92,R93:R103),SUMIF($B93:$B103,$AA92,R93:R103),SUMIF($B93:$B103,$AB92,R93:R103),SUMIF($B93:$B103,$AC92,R93:R103),SUMIF($B93:$B103,$AD92,R93:R103),SUMIF($B93:$B103,$AE92,R93:R103),SUMIF($B93:$B103,$AF92,R93:R103),SUMIF($B93:$B103,$AG92,R93:R103),SUMIF($B93:$B103,$AH92,R93:R103),SUMIF($B93:$B103,$AI92,R93:R103)))</f>
        <v>0</v>
      </c>
      <c r="S104" s="1">
        <f>IF(SUM(COUNTIF($B93:$B103,$Y92),COUNTIF($B93:$B103,$Z92),COUNTIF($B93:$B103,$AA92),COUNTIF($B93:$B103,$AB92),COUNTIF($B93:$B103,$AC92),COUNTIF($B93:$B103,$AD92),COUNTIF($B93:$B103,$AE92),COUNTIF($B93:$B103,$AF92),COUNTIF($B93:$B103,$AG92),COUNTIF($B93:$B103,$AH92),COUNTIF($B93:$B103,$AI92))=0,S91-SUMPRODUCT($A93:$A103,S93:S103),IF('Data-solution'!$A$3="Maximize",1,-1)*SUM(SUMIF($B93:$B103,$Y92,S93:S103),SUMIF($B93:$B103,$Z92,S93:S103),SUMIF($B93:$B103,$AA92,S93:S103),SUMIF($B93:$B103,$AB92,S93:S103),SUMIF($B93:$B103,$AC92,S93:S103),SUMIF($B93:$B103,$AD92,S93:S103),SUMIF($B93:$B103,$AE92,S93:S103),SUMIF($B93:$B103,$AF92,S93:S103),SUMIF($B93:$B103,$AG92,S93:S103),SUMIF($B93:$B103,$AH92,S93:S103),SUMIF($B93:$B103,$AI92,S93:S103)))</f>
        <v>0</v>
      </c>
      <c r="T104" s="1">
        <f>IF(SUM(COUNTIF($B93:$B103,$Y92),COUNTIF($B93:$B103,$Z92),COUNTIF($B93:$B103,$AA92),COUNTIF($B93:$B103,$AB92),COUNTIF($B93:$B103,$AC92),COUNTIF($B93:$B103,$AD92),COUNTIF($B93:$B103,$AE92),COUNTIF($B93:$B103,$AF92),COUNTIF($B93:$B103,$AG92),COUNTIF($B93:$B103,$AH92),COUNTIF($B93:$B103,$AI92))=0,T91-SUMPRODUCT($A93:$A103,T93:T103),IF('Data-solution'!$A$3="Maximize",1,-1)*SUM(SUMIF($B93:$B103,$Y92,T93:T103),SUMIF($B93:$B103,$Z92,T93:T103),SUMIF($B93:$B103,$AA92,T93:T103),SUMIF($B93:$B103,$AB92,T93:T103),SUMIF($B93:$B103,$AC92,T93:T103),SUMIF($B93:$B103,$AD92,T93:T103),SUMIF($B93:$B103,$AE92,T93:T103),SUMIF($B93:$B103,$AF92,T93:T103),SUMIF($B93:$B103,$AG92,T93:T103),SUMIF($B93:$B103,$AH92,T93:T103),SUMIF($B93:$B103,$AI92,T93:T103)))</f>
        <v>0</v>
      </c>
      <c r="U104" s="1">
        <f>IF(SUM(COUNTIF($B93:$B103,$Y92),COUNTIF($B93:$B103,$Z92),COUNTIF($B93:$B103,$AA92),COUNTIF($B93:$B103,$AB92),COUNTIF($B93:$B103,$AC92),COUNTIF($B93:$B103,$AD92),COUNTIF($B93:$B103,$AE92),COUNTIF($B93:$B103,$AF92),COUNTIF($B93:$B103,$AG92),COUNTIF($B93:$B103,$AH92),COUNTIF($B93:$B103,$AI92))=0,U91-SUMPRODUCT($A93:$A103,U93:U103),IF('Data-solution'!$A$3="Maximize",1,-1)*SUM(SUMIF($B93:$B103,$Y92,U93:U103),SUMIF($B93:$B103,$Z92,U93:U103),SUMIF($B93:$B103,$AA92,U93:U103),SUMIF($B93:$B103,$AB92,U93:U103),SUMIF($B93:$B103,$AC92,U93:U103),SUMIF($B93:$B103,$AD92,U93:U103),SUMIF($B93:$B103,$AE92,U93:U103),SUMIF($B93:$B103,$AF92,U93:U103),SUMIF($B93:$B103,$AG92,U93:U103),SUMIF($B93:$B103,$AH92,U93:U103),SUMIF($B93:$B103,$AI92,U93:U103)))</f>
        <v>0</v>
      </c>
      <c r="V104" s="1">
        <f>IF(SUM(COUNTIF($B93:$B103,$Y92),COUNTIF($B93:$B103,$Z92),COUNTIF($B93:$B103,$AA92),COUNTIF($B93:$B103,$AB92),COUNTIF($B93:$B103,$AC92),COUNTIF($B93:$B103,$AD92),COUNTIF($B93:$B103,$AE92),COUNTIF($B93:$B103,$AF92),COUNTIF($B93:$B103,$AG92),COUNTIF($B93:$B103,$AH92),COUNTIF($B93:$B103,$AI92))=0,V91-SUMPRODUCT($A93:$A103,V93:V103),IF('Data-solution'!$A$3="Maximize",1,-1)*SUM(SUMIF($B93:$B103,$Y92,V93:V103),SUMIF($B93:$B103,$Z92,V93:V103),SUMIF($B93:$B103,$AA92,V93:V103),SUMIF($B93:$B103,$AB92,V93:V103),SUMIF($B93:$B103,$AC92,V93:V103),SUMIF($B93:$B103,$AD92,V93:V103),SUMIF($B93:$B103,$AE92,V93:V103),SUMIF($B93:$B103,$AF92,V93:V103),SUMIF($B93:$B103,$AG92,V93:V103),SUMIF($B93:$B103,$AH92,V93:V103),SUMIF($B93:$B103,$AI92,V93:V103)))</f>
        <v>0</v>
      </c>
      <c r="W104" s="1">
        <f>IF(SUM(COUNTIF($B93:$B103,$Y92),COUNTIF($B93:$B103,$Z92),COUNTIF($B93:$B103,$AA92),COUNTIF($B93:$B103,$AB92),COUNTIF($B93:$B103,$AC92),COUNTIF($B93:$B103,$AD92),COUNTIF($B93:$B103,$AE92),COUNTIF($B93:$B103,$AF92),COUNTIF($B93:$B103,$AG92),COUNTIF($B93:$B103,$AH92),COUNTIF($B93:$B103,$AI92))=0,W91-SUMPRODUCT($A93:$A103,W93:W103),IF('Data-solution'!$A$3="Maximize",1,-1)*SUM(SUMIF($B93:$B103,$Y92,W93:W103),SUMIF($B93:$B103,$Z92,W93:W103),SUMIF($B93:$B103,$AA92,W93:W103),SUMIF($B93:$B103,$AB92,W93:W103),SUMIF($B93:$B103,$AC92,W93:W103),SUMIF($B93:$B103,$AD92,W93:W103),SUMIF($B93:$B103,$AE92,W93:W103),SUMIF($B93:$B103,$AF92,W93:W103),SUMIF($B93:$B103,$AG92,W93:W103),SUMIF($B93:$B103,$AH92,W93:W103),SUMIF($B93:$B103,$AI92,W93:W103)))</f>
        <v>0</v>
      </c>
      <c r="X104" s="1">
        <f>IF(SUM(COUNTIF($B93:$B103,$Y92),COUNTIF($B93:$B103,$Z92),COUNTIF($B93:$B103,$AA92),COUNTIF($B93:$B103,$AB92),COUNTIF($B93:$B103,$AC92),COUNTIF($B93:$B103,$AD92),COUNTIF($B93:$B103,$AE92),COUNTIF($B93:$B103,$AF92),COUNTIF($B93:$B103,$AG92),COUNTIF($B93:$B103,$AH92),COUNTIF($B93:$B103,$AI92))=0,X91-SUMPRODUCT($A93:$A103,X93:X103),IF('Data-solution'!$A$3="Maximize",1,-1)*SUM(SUMIF($B93:$B103,$Y92,X93:X103),SUMIF($B93:$B103,$Z92,X93:X103),SUMIF($B93:$B103,$AA92,X93:X103),SUMIF($B93:$B103,$AB92,X93:X103),SUMIF($B93:$B103,$AC92,X93:X103),SUMIF($B93:$B103,$AD92,X93:X103),SUMIF($B93:$B103,$AE92,X93:X103),SUMIF($B93:$B103,$AF92,X93:X103),SUMIF($B93:$B103,$AG92,X93:X103),SUMIF($B93:$B103,$AH92,X93:X103),SUMIF($B93:$B103,$AI92,X93:X103)))</f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2">
        <f t="shared" ref="AJ104" si="75">IF(SUMPRODUCT(A93:A103,AJ93:AJ103)&gt;=0,SUMPRODUCT(A93:A103,AJ93:AJ103),0)</f>
        <v>120000</v>
      </c>
    </row>
    <row r="106" spans="1:37" ht="18" customHeight="1" x14ac:dyDescent="0.2">
      <c r="A106" s="1" t="s">
        <v>66</v>
      </c>
      <c r="B106" s="2" t="s">
        <v>4</v>
      </c>
      <c r="C106" s="1">
        <f t="shared" ref="C106:R106" si="76">C$1</f>
        <v>150</v>
      </c>
      <c r="D106" s="1">
        <f t="shared" si="76"/>
        <v>200</v>
      </c>
      <c r="E106" s="1">
        <f t="shared" si="76"/>
        <v>350</v>
      </c>
      <c r="F106" s="1">
        <f t="shared" si="76"/>
        <v>0</v>
      </c>
      <c r="G106" s="1">
        <f t="shared" si="76"/>
        <v>0</v>
      </c>
      <c r="H106" s="1">
        <f t="shared" si="76"/>
        <v>0</v>
      </c>
      <c r="I106" s="1">
        <f t="shared" si="76"/>
        <v>0</v>
      </c>
      <c r="J106" s="1">
        <f t="shared" si="76"/>
        <v>0</v>
      </c>
      <c r="K106" s="1">
        <f t="shared" si="76"/>
        <v>0</v>
      </c>
      <c r="L106" s="1">
        <f t="shared" si="76"/>
        <v>0</v>
      </c>
      <c r="M106" s="1">
        <f t="shared" si="76"/>
        <v>0</v>
      </c>
      <c r="N106" s="1">
        <f t="shared" si="76"/>
        <v>0</v>
      </c>
      <c r="O106" s="1">
        <f t="shared" si="76"/>
        <v>0</v>
      </c>
      <c r="P106" s="1">
        <f t="shared" si="76"/>
        <v>0</v>
      </c>
      <c r="Q106" s="1">
        <f t="shared" si="76"/>
        <v>0</v>
      </c>
      <c r="R106" s="1">
        <f t="shared" si="76"/>
        <v>0</v>
      </c>
      <c r="S106" s="1">
        <f t="shared" ref="S106:AH106" si="77">S$1</f>
        <v>0</v>
      </c>
      <c r="T106" s="1">
        <f t="shared" si="77"/>
        <v>0</v>
      </c>
      <c r="U106" s="1">
        <f t="shared" si="77"/>
        <v>0</v>
      </c>
      <c r="V106" s="1">
        <f t="shared" si="77"/>
        <v>0</v>
      </c>
      <c r="W106" s="1">
        <f t="shared" si="77"/>
        <v>0</v>
      </c>
      <c r="X106" s="1">
        <f t="shared" si="77"/>
        <v>0</v>
      </c>
      <c r="Y106" s="1">
        <f t="shared" si="77"/>
        <v>-999999</v>
      </c>
      <c r="Z106" s="1">
        <f t="shared" si="77"/>
        <v>-999999</v>
      </c>
      <c r="AA106" s="1">
        <f t="shared" si="77"/>
        <v>-999999</v>
      </c>
      <c r="AB106" s="1">
        <f t="shared" si="77"/>
        <v>-999999</v>
      </c>
      <c r="AC106" s="1">
        <f t="shared" si="77"/>
        <v>-999999</v>
      </c>
      <c r="AD106" s="1">
        <f t="shared" si="77"/>
        <v>-999999</v>
      </c>
      <c r="AE106" s="1">
        <f t="shared" si="77"/>
        <v>-999999</v>
      </c>
      <c r="AF106" s="1">
        <f t="shared" si="77"/>
        <v>-999999</v>
      </c>
      <c r="AG106" s="1">
        <f t="shared" si="77"/>
        <v>-999999</v>
      </c>
      <c r="AH106" s="1">
        <f t="shared" si="77"/>
        <v>-999999</v>
      </c>
      <c r="AI106" s="1">
        <f t="shared" ref="D106:AI166" si="78">AI$1</f>
        <v>-999999</v>
      </c>
    </row>
    <row r="107" spans="1:37" ht="18" customHeight="1" x14ac:dyDescent="0.2">
      <c r="A107" s="2" t="s">
        <v>3</v>
      </c>
      <c r="B107" s="2" t="s">
        <v>1</v>
      </c>
      <c r="C107" s="2" t="str">
        <f t="shared" ref="C107:R107" si="79">C$2</f>
        <v>X1</v>
      </c>
      <c r="D107" s="2" t="str">
        <f t="shared" si="79"/>
        <v>X2</v>
      </c>
      <c r="E107" s="2" t="str">
        <f t="shared" si="79"/>
        <v>X3</v>
      </c>
      <c r="F107" s="2" t="str">
        <f t="shared" si="79"/>
        <v>X4</v>
      </c>
      <c r="G107" s="2" t="str">
        <f t="shared" si="79"/>
        <v>X5</v>
      </c>
      <c r="H107" s="2" t="str">
        <f t="shared" si="79"/>
        <v>X6</v>
      </c>
      <c r="I107" s="2" t="str">
        <f t="shared" si="79"/>
        <v>X7</v>
      </c>
      <c r="J107" s="2" t="str">
        <f t="shared" si="79"/>
        <v>X8</v>
      </c>
      <c r="K107" s="2" t="str">
        <f t="shared" si="79"/>
        <v>X9</v>
      </c>
      <c r="L107" s="2" t="str">
        <f t="shared" si="79"/>
        <v>X10</v>
      </c>
      <c r="M107" s="2" t="str">
        <f t="shared" si="79"/>
        <v>X11</v>
      </c>
      <c r="N107" s="2" t="str">
        <f t="shared" si="79"/>
        <v>S1</v>
      </c>
      <c r="O107" s="2" t="str">
        <f t="shared" si="79"/>
        <v>S2</v>
      </c>
      <c r="P107" s="2" t="str">
        <f t="shared" si="79"/>
        <v>S3</v>
      </c>
      <c r="Q107" s="2" t="str">
        <f t="shared" si="79"/>
        <v>S4</v>
      </c>
      <c r="R107" s="2" t="str">
        <f t="shared" si="79"/>
        <v>S5</v>
      </c>
      <c r="S107" s="2" t="str">
        <f t="shared" ref="S107:AH107" si="80">S$2</f>
        <v>S6</v>
      </c>
      <c r="T107" s="2" t="str">
        <f t="shared" si="80"/>
        <v>S7</v>
      </c>
      <c r="U107" s="2" t="str">
        <f t="shared" si="80"/>
        <v>S8</v>
      </c>
      <c r="V107" s="2" t="str">
        <f t="shared" si="80"/>
        <v>S9</v>
      </c>
      <c r="W107" s="2" t="str">
        <f t="shared" si="80"/>
        <v>S10</v>
      </c>
      <c r="X107" s="2" t="str">
        <f t="shared" si="80"/>
        <v>S11</v>
      </c>
      <c r="Y107" s="2" t="str">
        <f t="shared" si="80"/>
        <v xml:space="preserve"> </v>
      </c>
      <c r="Z107" s="2" t="str">
        <f t="shared" si="80"/>
        <v xml:space="preserve"> </v>
      </c>
      <c r="AA107" s="2" t="str">
        <f t="shared" si="80"/>
        <v xml:space="preserve"> </v>
      </c>
      <c r="AB107" s="2" t="str">
        <f t="shared" si="80"/>
        <v xml:space="preserve"> </v>
      </c>
      <c r="AC107" s="2" t="str">
        <f t="shared" si="80"/>
        <v xml:space="preserve"> </v>
      </c>
      <c r="AD107" s="2" t="str">
        <f t="shared" si="80"/>
        <v xml:space="preserve"> </v>
      </c>
      <c r="AE107" s="2" t="str">
        <f t="shared" si="80"/>
        <v xml:space="preserve"> </v>
      </c>
      <c r="AF107" s="2" t="str">
        <f t="shared" si="80"/>
        <v xml:space="preserve"> </v>
      </c>
      <c r="AG107" s="2" t="str">
        <f t="shared" si="80"/>
        <v xml:space="preserve"> </v>
      </c>
      <c r="AH107" s="2" t="str">
        <f t="shared" si="80"/>
        <v xml:space="preserve"> </v>
      </c>
      <c r="AI107" s="2" t="str">
        <f t="shared" ref="D107:AI167" si="81">AI$2</f>
        <v xml:space="preserve"> </v>
      </c>
      <c r="AJ107" s="2" t="s">
        <v>9</v>
      </c>
      <c r="AK107" s="2" t="s">
        <v>10</v>
      </c>
    </row>
    <row r="108" spans="1:37" ht="18" customHeight="1" x14ac:dyDescent="0.2">
      <c r="A108" s="1">
        <f t="shared" ref="A108" si="82">INDEX(C106:AI106,1,MATCH(B108,C107:AI107,0))</f>
        <v>0</v>
      </c>
      <c r="B108" s="2" t="str">
        <f>IF(AND('Data-solution'!A$3="Maximize",COUNTIF(C104:X104,"&gt;"&amp;0)&gt;0,AK93=MIN(AK93:AK103)),INDEX(C92:X92,1,MATCH(MAX(C104:X104),C104:X104,0)),IF(AND('Data-solution'!A$3="Minimize",COUNTIF(C104:X104,"&lt;"&amp;0)&gt;0,AK93=MIN(AK93:AK103)),INDEX(C92:X92,1,MATCH(MIN(C104:X104),C104:X104,0)),B93))</f>
        <v>S1</v>
      </c>
      <c r="C108" s="1">
        <f>IF(OR($B108&lt;&gt;$B93,$B109&lt;&gt;$B94,$B110&lt;&gt;$B95,$B111&lt;&gt;$B96,$B112&lt;&gt;$B97,$B113&lt;&gt;$B98,$B114&lt;&gt;$B99,$B115&lt;&gt;$B100,$B116&lt;&gt;$B101,$B117&lt;&gt;$B102,$B118&lt;&gt;$B103),IF($B108&lt;&gt;$B93,C93/INDEX($C93:$AJ103,1,MATCH(IF('Data-solution'!$A$3="Maximize",MAX($C104:$AI104),MIN($C104:$AI104)),$C104:$AI104,0)),C93-INDEX($C93:$AJ103,1,MATCH(IF('Data-solution'!$A$3="Maximize",MAX($C104:$AI104),MIN($C104:$AI104)),$C104:$AI104,0))*INDEX(C93:$AJ103,MATCH(MIN($AK93:$AK103),$AK93:$AK103,0),1)/INDEX($C93:$AJ103,MATCH(MIN($AK93:$AK103),$AK93:$AK103,0),MATCH(IF('Data-solution'!$A$3="Maximize",MAX($C104:$AI104),MIN($C104:$AI104)),$C104:$AI104,0))),C93)</f>
        <v>0</v>
      </c>
      <c r="D108" s="1">
        <f>IF(OR($B108&lt;&gt;$B93,$B109&lt;&gt;$B94,$B110&lt;&gt;$B95,$B111&lt;&gt;$B96,$B112&lt;&gt;$B97,$B113&lt;&gt;$B98,$B114&lt;&gt;$B99,$B115&lt;&gt;$B100,$B116&lt;&gt;$B101,$B117&lt;&gt;$B102,$B118&lt;&gt;$B103),IF($B108&lt;&gt;$B93,D93/INDEX($C93:$AJ103,1,MATCH(IF('Data-solution'!$A$3="Maximize",MAX($C104:$AI104),MIN($C104:$AI104)),$C104:$AI104,0)),D93-INDEX($C93:$AJ103,1,MATCH(IF('Data-solution'!$A$3="Maximize",MAX($C104:$AI104),MIN($C104:$AI104)),$C104:$AI104,0))*INDEX(D93:$AJ103,MATCH(MIN($AK93:$AK103),$AK93:$AK103,0),1)/INDEX($C93:$AJ103,MATCH(MIN($AK93:$AK103),$AK93:$AK103,0),MATCH(IF('Data-solution'!$A$3="Maximize",MAX($C104:$AI104),MIN($C104:$AI104)),$C104:$AI104,0))),D93)</f>
        <v>1</v>
      </c>
      <c r="E108" s="1">
        <f>IF(OR($B108&lt;&gt;$B93,$B109&lt;&gt;$B94,$B110&lt;&gt;$B95,$B111&lt;&gt;$B96,$B112&lt;&gt;$B97,$B113&lt;&gt;$B98,$B114&lt;&gt;$B99,$B115&lt;&gt;$B100,$B116&lt;&gt;$B101,$B117&lt;&gt;$B102,$B118&lt;&gt;$B103),IF($B108&lt;&gt;$B93,E93/INDEX($C93:$AJ103,1,MATCH(IF('Data-solution'!$A$3="Maximize",MAX($C104:$AI104),MIN($C104:$AI104)),$C104:$AI104,0)),E93-INDEX($C93:$AJ103,1,MATCH(IF('Data-solution'!$A$3="Maximize",MAX($C104:$AI104),MIN($C104:$AI104)),$C104:$AI104,0))*INDEX(E93:$AJ103,MATCH(MIN($AK93:$AK103),$AK93:$AK103,0),1)/INDEX($C93:$AJ103,MATCH(MIN($AK93:$AK103),$AK93:$AK103,0),MATCH(IF('Data-solution'!$A$3="Maximize",MAX($C104:$AI104),MIN($C104:$AI104)),$C104:$AI104,0))),E93)</f>
        <v>0</v>
      </c>
      <c r="F108" s="1">
        <f>IF(OR($B108&lt;&gt;$B93,$B109&lt;&gt;$B94,$B110&lt;&gt;$B95,$B111&lt;&gt;$B96,$B112&lt;&gt;$B97,$B113&lt;&gt;$B98,$B114&lt;&gt;$B99,$B115&lt;&gt;$B100,$B116&lt;&gt;$B101,$B117&lt;&gt;$B102,$B118&lt;&gt;$B103),IF($B108&lt;&gt;$B93,F93/INDEX($C93:$AJ103,1,MATCH(IF('Data-solution'!$A$3="Maximize",MAX($C104:$AI104),MIN($C104:$AI104)),$C104:$AI104,0)),F93-INDEX($C93:$AJ103,1,MATCH(IF('Data-solution'!$A$3="Maximize",MAX($C104:$AI104),MIN($C104:$AI104)),$C104:$AI104,0))*INDEX(F93:$AJ103,MATCH(MIN($AK93:$AK103),$AK93:$AK103,0),1)/INDEX($C93:$AJ103,MATCH(MIN($AK93:$AK103),$AK93:$AK103,0),MATCH(IF('Data-solution'!$A$3="Maximize",MAX($C104:$AI104),MIN($C104:$AI104)),$C104:$AI104,0))),F93)</f>
        <v>0</v>
      </c>
      <c r="G108" s="1">
        <f>IF(OR($B108&lt;&gt;$B93,$B109&lt;&gt;$B94,$B110&lt;&gt;$B95,$B111&lt;&gt;$B96,$B112&lt;&gt;$B97,$B113&lt;&gt;$B98,$B114&lt;&gt;$B99,$B115&lt;&gt;$B100,$B116&lt;&gt;$B101,$B117&lt;&gt;$B102,$B118&lt;&gt;$B103),IF($B108&lt;&gt;$B93,G93/INDEX($C93:$AJ103,1,MATCH(IF('Data-solution'!$A$3="Maximize",MAX($C104:$AI104),MIN($C104:$AI104)),$C104:$AI104,0)),G93-INDEX($C93:$AJ103,1,MATCH(IF('Data-solution'!$A$3="Maximize",MAX($C104:$AI104),MIN($C104:$AI104)),$C104:$AI104,0))*INDEX(G93:$AJ103,MATCH(MIN($AK93:$AK103),$AK93:$AK103,0),1)/INDEX($C93:$AJ103,MATCH(MIN($AK93:$AK103),$AK93:$AK103,0),MATCH(IF('Data-solution'!$A$3="Maximize",MAX($C104:$AI104),MIN($C104:$AI104)),$C104:$AI104,0))),G93)</f>
        <v>0</v>
      </c>
      <c r="H108" s="1">
        <f>IF(OR($B108&lt;&gt;$B93,$B109&lt;&gt;$B94,$B110&lt;&gt;$B95,$B111&lt;&gt;$B96,$B112&lt;&gt;$B97,$B113&lt;&gt;$B98,$B114&lt;&gt;$B99,$B115&lt;&gt;$B100,$B116&lt;&gt;$B101,$B117&lt;&gt;$B102,$B118&lt;&gt;$B103),IF($B108&lt;&gt;$B93,H93/INDEX($C93:$AJ103,1,MATCH(IF('Data-solution'!$A$3="Maximize",MAX($C104:$AI104),MIN($C104:$AI104)),$C104:$AI104,0)),H93-INDEX($C93:$AJ103,1,MATCH(IF('Data-solution'!$A$3="Maximize",MAX($C104:$AI104),MIN($C104:$AI104)),$C104:$AI104,0))*INDEX(H93:$AJ103,MATCH(MIN($AK93:$AK103),$AK93:$AK103,0),1)/INDEX($C93:$AJ103,MATCH(MIN($AK93:$AK103),$AK93:$AK103,0),MATCH(IF('Data-solution'!$A$3="Maximize",MAX($C104:$AI104),MIN($C104:$AI104)),$C104:$AI104,0))),H93)</f>
        <v>0</v>
      </c>
      <c r="I108" s="1">
        <f>IF(OR($B108&lt;&gt;$B93,$B109&lt;&gt;$B94,$B110&lt;&gt;$B95,$B111&lt;&gt;$B96,$B112&lt;&gt;$B97,$B113&lt;&gt;$B98,$B114&lt;&gt;$B99,$B115&lt;&gt;$B100,$B116&lt;&gt;$B101,$B117&lt;&gt;$B102,$B118&lt;&gt;$B103),IF($B108&lt;&gt;$B93,I93/INDEX($C93:$AJ103,1,MATCH(IF('Data-solution'!$A$3="Maximize",MAX($C104:$AI104),MIN($C104:$AI104)),$C104:$AI104,0)),I93-INDEX($C93:$AJ103,1,MATCH(IF('Data-solution'!$A$3="Maximize",MAX($C104:$AI104),MIN($C104:$AI104)),$C104:$AI104,0))*INDEX(I93:$AJ103,MATCH(MIN($AK93:$AK103),$AK93:$AK103,0),1)/INDEX($C93:$AJ103,MATCH(MIN($AK93:$AK103),$AK93:$AK103,0),MATCH(IF('Data-solution'!$A$3="Maximize",MAX($C104:$AI104),MIN($C104:$AI104)),$C104:$AI104,0))),I93)</f>
        <v>0</v>
      </c>
      <c r="J108" s="1">
        <f>IF(OR($B108&lt;&gt;$B93,$B109&lt;&gt;$B94,$B110&lt;&gt;$B95,$B111&lt;&gt;$B96,$B112&lt;&gt;$B97,$B113&lt;&gt;$B98,$B114&lt;&gt;$B99,$B115&lt;&gt;$B100,$B116&lt;&gt;$B101,$B117&lt;&gt;$B102,$B118&lt;&gt;$B103),IF($B108&lt;&gt;$B93,J93/INDEX($C93:$AJ103,1,MATCH(IF('Data-solution'!$A$3="Maximize",MAX($C104:$AI104),MIN($C104:$AI104)),$C104:$AI104,0)),J93-INDEX($C93:$AJ103,1,MATCH(IF('Data-solution'!$A$3="Maximize",MAX($C104:$AI104),MIN($C104:$AI104)),$C104:$AI104,0))*INDEX(J93:$AJ103,MATCH(MIN($AK93:$AK103),$AK93:$AK103,0),1)/INDEX($C93:$AJ103,MATCH(MIN($AK93:$AK103),$AK93:$AK103,0),MATCH(IF('Data-solution'!$A$3="Maximize",MAX($C104:$AI104),MIN($C104:$AI104)),$C104:$AI104,0))),J93)</f>
        <v>0</v>
      </c>
      <c r="K108" s="1">
        <f>IF(OR($B108&lt;&gt;$B93,$B109&lt;&gt;$B94,$B110&lt;&gt;$B95,$B111&lt;&gt;$B96,$B112&lt;&gt;$B97,$B113&lt;&gt;$B98,$B114&lt;&gt;$B99,$B115&lt;&gt;$B100,$B116&lt;&gt;$B101,$B117&lt;&gt;$B102,$B118&lt;&gt;$B103),IF($B108&lt;&gt;$B93,K93/INDEX($C93:$AJ103,1,MATCH(IF('Data-solution'!$A$3="Maximize",MAX($C104:$AI104),MIN($C104:$AI104)),$C104:$AI104,0)),K93-INDEX($C93:$AJ103,1,MATCH(IF('Data-solution'!$A$3="Maximize",MAX($C104:$AI104),MIN($C104:$AI104)),$C104:$AI104,0))*INDEX(K93:$AJ103,MATCH(MIN($AK93:$AK103),$AK93:$AK103,0),1)/INDEX($C93:$AJ103,MATCH(MIN($AK93:$AK103),$AK93:$AK103,0),MATCH(IF('Data-solution'!$A$3="Maximize",MAX($C104:$AI104),MIN($C104:$AI104)),$C104:$AI104,0))),K93)</f>
        <v>0</v>
      </c>
      <c r="L108" s="1">
        <f>IF(OR($B108&lt;&gt;$B93,$B109&lt;&gt;$B94,$B110&lt;&gt;$B95,$B111&lt;&gt;$B96,$B112&lt;&gt;$B97,$B113&lt;&gt;$B98,$B114&lt;&gt;$B99,$B115&lt;&gt;$B100,$B116&lt;&gt;$B101,$B117&lt;&gt;$B102,$B118&lt;&gt;$B103),IF($B108&lt;&gt;$B93,L93/INDEX($C93:$AJ103,1,MATCH(IF('Data-solution'!$A$3="Maximize",MAX($C104:$AI104),MIN($C104:$AI104)),$C104:$AI104,0)),L93-INDEX($C93:$AJ103,1,MATCH(IF('Data-solution'!$A$3="Maximize",MAX($C104:$AI104),MIN($C104:$AI104)),$C104:$AI104,0))*INDEX(L93:$AJ103,MATCH(MIN($AK93:$AK103),$AK93:$AK103,0),1)/INDEX($C93:$AJ103,MATCH(MIN($AK93:$AK103),$AK93:$AK103,0),MATCH(IF('Data-solution'!$A$3="Maximize",MAX($C104:$AI104),MIN($C104:$AI104)),$C104:$AI104,0))),L93)</f>
        <v>0</v>
      </c>
      <c r="M108" s="1">
        <f>IF(OR($B108&lt;&gt;$B93,$B109&lt;&gt;$B94,$B110&lt;&gt;$B95,$B111&lt;&gt;$B96,$B112&lt;&gt;$B97,$B113&lt;&gt;$B98,$B114&lt;&gt;$B99,$B115&lt;&gt;$B100,$B116&lt;&gt;$B101,$B117&lt;&gt;$B102,$B118&lt;&gt;$B103),IF($B108&lt;&gt;$B93,M93/INDEX($C93:$AJ103,1,MATCH(IF('Data-solution'!$A$3="Maximize",MAX($C104:$AI104),MIN($C104:$AI104)),$C104:$AI104,0)),M93-INDEX($C93:$AJ103,1,MATCH(IF('Data-solution'!$A$3="Maximize",MAX($C104:$AI104),MIN($C104:$AI104)),$C104:$AI104,0))*INDEX(M93:$AJ103,MATCH(MIN($AK93:$AK103),$AK93:$AK103,0),1)/INDEX($C93:$AJ103,MATCH(MIN($AK93:$AK103),$AK93:$AK103,0),MATCH(IF('Data-solution'!$A$3="Maximize",MAX($C104:$AI104),MIN($C104:$AI104)),$C104:$AI104,0))),M93)</f>
        <v>0</v>
      </c>
      <c r="N108" s="1">
        <f>IF(OR($B108&lt;&gt;$B93,$B109&lt;&gt;$B94,$B110&lt;&gt;$B95,$B111&lt;&gt;$B96,$B112&lt;&gt;$B97,$B113&lt;&gt;$B98,$B114&lt;&gt;$B99,$B115&lt;&gt;$B100,$B116&lt;&gt;$B101,$B117&lt;&gt;$B102,$B118&lt;&gt;$B103),IF($B108&lt;&gt;$B93,N93/INDEX($C93:$AJ103,1,MATCH(IF('Data-solution'!$A$3="Maximize",MAX($C104:$AI104),MIN($C104:$AI104)),$C104:$AI104,0)),N93-INDEX($C93:$AJ103,1,MATCH(IF('Data-solution'!$A$3="Maximize",MAX($C104:$AI104),MIN($C104:$AI104)),$C104:$AI104,0))*INDEX(N93:$AJ103,MATCH(MIN($AK93:$AK103),$AK93:$AK103,0),1)/INDEX($C93:$AJ103,MATCH(MIN($AK93:$AK103),$AK93:$AK103,0),MATCH(IF('Data-solution'!$A$3="Maximize",MAX($C104:$AI104),MIN($C104:$AI104)),$C104:$AI104,0))),N93)</f>
        <v>1</v>
      </c>
      <c r="O108" s="1">
        <f>IF(OR($B108&lt;&gt;$B93,$B109&lt;&gt;$B94,$B110&lt;&gt;$B95,$B111&lt;&gt;$B96,$B112&lt;&gt;$B97,$B113&lt;&gt;$B98,$B114&lt;&gt;$B99,$B115&lt;&gt;$B100,$B116&lt;&gt;$B101,$B117&lt;&gt;$B102,$B118&lt;&gt;$B103),IF($B108&lt;&gt;$B93,O93/INDEX($C93:$AJ103,1,MATCH(IF('Data-solution'!$A$3="Maximize",MAX($C104:$AI104),MIN($C104:$AI104)),$C104:$AI104,0)),O93-INDEX($C93:$AJ103,1,MATCH(IF('Data-solution'!$A$3="Maximize",MAX($C104:$AI104),MIN($C104:$AI104)),$C104:$AI104,0))*INDEX(O93:$AJ103,MATCH(MIN($AK93:$AK103),$AK93:$AK103,0),1)/INDEX($C93:$AJ103,MATCH(MIN($AK93:$AK103),$AK93:$AK103,0),MATCH(IF('Data-solution'!$A$3="Maximize",MAX($C104:$AI104),MIN($C104:$AI104)),$C104:$AI104,0))),O93)</f>
        <v>0</v>
      </c>
      <c r="P108" s="1">
        <f>IF(OR($B108&lt;&gt;$B93,$B109&lt;&gt;$B94,$B110&lt;&gt;$B95,$B111&lt;&gt;$B96,$B112&lt;&gt;$B97,$B113&lt;&gt;$B98,$B114&lt;&gt;$B99,$B115&lt;&gt;$B100,$B116&lt;&gt;$B101,$B117&lt;&gt;$B102,$B118&lt;&gt;$B103),IF($B108&lt;&gt;$B93,P93/INDEX($C93:$AJ103,1,MATCH(IF('Data-solution'!$A$3="Maximize",MAX($C104:$AI104),MIN($C104:$AI104)),$C104:$AI104,0)),P93-INDEX($C93:$AJ103,1,MATCH(IF('Data-solution'!$A$3="Maximize",MAX($C104:$AI104),MIN($C104:$AI104)),$C104:$AI104,0))*INDEX(P93:$AJ103,MATCH(MIN($AK93:$AK103),$AK93:$AK103,0),1)/INDEX($C93:$AJ103,MATCH(MIN($AK93:$AK103),$AK93:$AK103,0),MATCH(IF('Data-solution'!$A$3="Maximize",MAX($C104:$AI104),MIN($C104:$AI104)),$C104:$AI104,0))),P93)</f>
        <v>0</v>
      </c>
      <c r="Q108" s="1">
        <f>IF(OR($B108&lt;&gt;$B93,$B109&lt;&gt;$B94,$B110&lt;&gt;$B95,$B111&lt;&gt;$B96,$B112&lt;&gt;$B97,$B113&lt;&gt;$B98,$B114&lt;&gt;$B99,$B115&lt;&gt;$B100,$B116&lt;&gt;$B101,$B117&lt;&gt;$B102,$B118&lt;&gt;$B103),IF($B108&lt;&gt;$B93,Q93/INDEX($C93:$AJ103,1,MATCH(IF('Data-solution'!$A$3="Maximize",MAX($C104:$AI104),MIN($C104:$AI104)),$C104:$AI104,0)),Q93-INDEX($C93:$AJ103,1,MATCH(IF('Data-solution'!$A$3="Maximize",MAX($C104:$AI104),MIN($C104:$AI104)),$C104:$AI104,0))*INDEX(Q93:$AJ103,MATCH(MIN($AK93:$AK103),$AK93:$AK103,0),1)/INDEX($C93:$AJ103,MATCH(MIN($AK93:$AK103),$AK93:$AK103,0),MATCH(IF('Data-solution'!$A$3="Maximize",MAX($C104:$AI104),MIN($C104:$AI104)),$C104:$AI104,0))),Q93)</f>
        <v>-1</v>
      </c>
      <c r="R108" s="1">
        <f>IF(OR($B108&lt;&gt;$B93,$B109&lt;&gt;$B94,$B110&lt;&gt;$B95,$B111&lt;&gt;$B96,$B112&lt;&gt;$B97,$B113&lt;&gt;$B98,$B114&lt;&gt;$B99,$B115&lt;&gt;$B100,$B116&lt;&gt;$B101,$B117&lt;&gt;$B102,$B118&lt;&gt;$B103),IF($B108&lt;&gt;$B93,R93/INDEX($C93:$AJ103,1,MATCH(IF('Data-solution'!$A$3="Maximize",MAX($C104:$AI104),MIN($C104:$AI104)),$C104:$AI104,0)),R93-INDEX($C93:$AJ103,1,MATCH(IF('Data-solution'!$A$3="Maximize",MAX($C104:$AI104),MIN($C104:$AI104)),$C104:$AI104,0))*INDEX(R93:$AJ103,MATCH(MIN($AK93:$AK103),$AK93:$AK103,0),1)/INDEX($C93:$AJ103,MATCH(MIN($AK93:$AK103),$AK93:$AK103,0),MATCH(IF('Data-solution'!$A$3="Maximize",MAX($C104:$AI104),MIN($C104:$AI104)),$C104:$AI104,0))),R93)</f>
        <v>0</v>
      </c>
      <c r="S108" s="1">
        <f>IF(OR($B108&lt;&gt;$B93,$B109&lt;&gt;$B94,$B110&lt;&gt;$B95,$B111&lt;&gt;$B96,$B112&lt;&gt;$B97,$B113&lt;&gt;$B98,$B114&lt;&gt;$B99,$B115&lt;&gt;$B100,$B116&lt;&gt;$B101,$B117&lt;&gt;$B102,$B118&lt;&gt;$B103),IF($B108&lt;&gt;$B93,S93/INDEX($C93:$AJ103,1,MATCH(IF('Data-solution'!$A$3="Maximize",MAX($C104:$AI104),MIN($C104:$AI104)),$C104:$AI104,0)),S93-INDEX($C93:$AJ103,1,MATCH(IF('Data-solution'!$A$3="Maximize",MAX($C104:$AI104),MIN($C104:$AI104)),$C104:$AI104,0))*INDEX(S93:$AJ103,MATCH(MIN($AK93:$AK103),$AK93:$AK103,0),1)/INDEX($C93:$AJ103,MATCH(MIN($AK93:$AK103),$AK93:$AK103,0),MATCH(IF('Data-solution'!$A$3="Maximize",MAX($C104:$AI104),MIN($C104:$AI104)),$C104:$AI104,0))),S93)</f>
        <v>0</v>
      </c>
      <c r="T108" s="1">
        <f>IF(OR($B108&lt;&gt;$B93,$B109&lt;&gt;$B94,$B110&lt;&gt;$B95,$B111&lt;&gt;$B96,$B112&lt;&gt;$B97,$B113&lt;&gt;$B98,$B114&lt;&gt;$B99,$B115&lt;&gt;$B100,$B116&lt;&gt;$B101,$B117&lt;&gt;$B102,$B118&lt;&gt;$B103),IF($B108&lt;&gt;$B93,T93/INDEX($C93:$AJ103,1,MATCH(IF('Data-solution'!$A$3="Maximize",MAX($C104:$AI104),MIN($C104:$AI104)),$C104:$AI104,0)),T93-INDEX($C93:$AJ103,1,MATCH(IF('Data-solution'!$A$3="Maximize",MAX($C104:$AI104),MIN($C104:$AI104)),$C104:$AI104,0))*INDEX(T93:$AJ103,MATCH(MIN($AK93:$AK103),$AK93:$AK103,0),1)/INDEX($C93:$AJ103,MATCH(MIN($AK93:$AK103),$AK93:$AK103,0),MATCH(IF('Data-solution'!$A$3="Maximize",MAX($C104:$AI104),MIN($C104:$AI104)),$C104:$AI104,0))),T93)</f>
        <v>0</v>
      </c>
      <c r="U108" s="1">
        <f>IF(OR($B108&lt;&gt;$B93,$B109&lt;&gt;$B94,$B110&lt;&gt;$B95,$B111&lt;&gt;$B96,$B112&lt;&gt;$B97,$B113&lt;&gt;$B98,$B114&lt;&gt;$B99,$B115&lt;&gt;$B100,$B116&lt;&gt;$B101,$B117&lt;&gt;$B102,$B118&lt;&gt;$B103),IF($B108&lt;&gt;$B93,U93/INDEX($C93:$AJ103,1,MATCH(IF('Data-solution'!$A$3="Maximize",MAX($C104:$AI104),MIN($C104:$AI104)),$C104:$AI104,0)),U93-INDEX($C93:$AJ103,1,MATCH(IF('Data-solution'!$A$3="Maximize",MAX($C104:$AI104),MIN($C104:$AI104)),$C104:$AI104,0))*INDEX(U93:$AJ103,MATCH(MIN($AK93:$AK103),$AK93:$AK103,0),1)/INDEX($C93:$AJ103,MATCH(MIN($AK93:$AK103),$AK93:$AK103,0),MATCH(IF('Data-solution'!$A$3="Maximize",MAX($C104:$AI104),MIN($C104:$AI104)),$C104:$AI104,0))),U93)</f>
        <v>0</v>
      </c>
      <c r="V108" s="1">
        <f>IF(OR($B108&lt;&gt;$B93,$B109&lt;&gt;$B94,$B110&lt;&gt;$B95,$B111&lt;&gt;$B96,$B112&lt;&gt;$B97,$B113&lt;&gt;$B98,$B114&lt;&gt;$B99,$B115&lt;&gt;$B100,$B116&lt;&gt;$B101,$B117&lt;&gt;$B102,$B118&lt;&gt;$B103),IF($B108&lt;&gt;$B93,V93/INDEX($C93:$AJ103,1,MATCH(IF('Data-solution'!$A$3="Maximize",MAX($C104:$AI104),MIN($C104:$AI104)),$C104:$AI104,0)),V93-INDEX($C93:$AJ103,1,MATCH(IF('Data-solution'!$A$3="Maximize",MAX($C104:$AI104),MIN($C104:$AI104)),$C104:$AI104,0))*INDEX(V93:$AJ103,MATCH(MIN($AK93:$AK103),$AK93:$AK103,0),1)/INDEX($C93:$AJ103,MATCH(MIN($AK93:$AK103),$AK93:$AK103,0),MATCH(IF('Data-solution'!$A$3="Maximize",MAX($C104:$AI104),MIN($C104:$AI104)),$C104:$AI104,0))),V93)</f>
        <v>0</v>
      </c>
      <c r="W108" s="1">
        <f>IF(OR($B108&lt;&gt;$B93,$B109&lt;&gt;$B94,$B110&lt;&gt;$B95,$B111&lt;&gt;$B96,$B112&lt;&gt;$B97,$B113&lt;&gt;$B98,$B114&lt;&gt;$B99,$B115&lt;&gt;$B100,$B116&lt;&gt;$B101,$B117&lt;&gt;$B102,$B118&lt;&gt;$B103),IF($B108&lt;&gt;$B93,W93/INDEX($C93:$AJ103,1,MATCH(IF('Data-solution'!$A$3="Maximize",MAX($C104:$AI104),MIN($C104:$AI104)),$C104:$AI104,0)),W93-INDEX($C93:$AJ103,1,MATCH(IF('Data-solution'!$A$3="Maximize",MAX($C104:$AI104),MIN($C104:$AI104)),$C104:$AI104,0))*INDEX(W93:$AJ103,MATCH(MIN($AK93:$AK103),$AK93:$AK103,0),1)/INDEX($C93:$AJ103,MATCH(MIN($AK93:$AK103),$AK93:$AK103,0),MATCH(IF('Data-solution'!$A$3="Maximize",MAX($C104:$AI104),MIN($C104:$AI104)),$C104:$AI104,0))),W93)</f>
        <v>0</v>
      </c>
      <c r="X108" s="1">
        <f>IF(OR($B108&lt;&gt;$B93,$B109&lt;&gt;$B94,$B110&lt;&gt;$B95,$B111&lt;&gt;$B96,$B112&lt;&gt;$B97,$B113&lt;&gt;$B98,$B114&lt;&gt;$B99,$B115&lt;&gt;$B100,$B116&lt;&gt;$B101,$B117&lt;&gt;$B102,$B118&lt;&gt;$B103),IF($B108&lt;&gt;$B93,X93/INDEX($C93:$AJ103,1,MATCH(IF('Data-solution'!$A$3="Maximize",MAX($C104:$AI104),MIN($C104:$AI104)),$C104:$AI104,0)),X93-INDEX($C93:$AJ103,1,MATCH(IF('Data-solution'!$A$3="Maximize",MAX($C104:$AI104),MIN($C104:$AI104)),$C104:$AI104,0))*INDEX(X93:$AJ103,MATCH(MIN($AK93:$AK103),$AK93:$AK103,0),1)/INDEX($C93:$AJ103,MATCH(MIN($AK93:$AK103),$AK93:$AK103,0),MATCH(IF('Data-solution'!$A$3="Maximize",MAX($C104:$AI104),MIN($C104:$AI104)),$C104:$AI104,0))),X93)</f>
        <v>0</v>
      </c>
      <c r="Y108" s="1">
        <f>IF(OR($B108&lt;&gt;$B93,$B109&lt;&gt;$B94,$B110&lt;&gt;$B95,$B111&lt;&gt;$B96,$B112&lt;&gt;$B97,$B113&lt;&gt;$B98,$B114&lt;&gt;$B99,$B115&lt;&gt;$B100,$B116&lt;&gt;$B101,$B117&lt;&gt;$B102,$B118&lt;&gt;$B103),IF($B108&lt;&gt;$B93,Y93/INDEX($C93:$AJ103,1,MATCH(IF('Data-solution'!$A$3="Maximize",MAX($C104:$AI104),MIN($C104:$AI104)),$C104:$AI104,0)),Y93-INDEX($C93:$AJ103,1,MATCH(IF('Data-solution'!$A$3="Maximize",MAX($C104:$AI104),MIN($C104:$AI104)),$C104:$AI104,0))*INDEX(Y93:$AJ103,MATCH(MIN($AK93:$AK103),$AK93:$AK103,0),1)/INDEX($C93:$AJ103,MATCH(MIN($AK93:$AK103),$AK93:$AK103,0),MATCH(IF('Data-solution'!$A$3="Maximize",MAX($C104:$AI104),MIN($C104:$AI104)),$C104:$AI104,0))),Y93)</f>
        <v>1</v>
      </c>
      <c r="Z108" s="1">
        <f>IF(OR($B108&lt;&gt;$B93,$B109&lt;&gt;$B94,$B110&lt;&gt;$B95,$B111&lt;&gt;$B96,$B112&lt;&gt;$B97,$B113&lt;&gt;$B98,$B114&lt;&gt;$B99,$B115&lt;&gt;$B100,$B116&lt;&gt;$B101,$B117&lt;&gt;$B102,$B118&lt;&gt;$B103),IF($B108&lt;&gt;$B93,Z93/INDEX($C93:$AJ103,1,MATCH(IF('Data-solution'!$A$3="Maximize",MAX($C104:$AI104),MIN($C104:$AI104)),$C104:$AI104,0)),Z93-INDEX($C93:$AJ103,1,MATCH(IF('Data-solution'!$A$3="Maximize",MAX($C104:$AI104),MIN($C104:$AI104)),$C104:$AI104,0))*INDEX(Z93:$AJ103,MATCH(MIN($AK93:$AK103),$AK93:$AK103,0),1)/INDEX($C93:$AJ103,MATCH(MIN($AK93:$AK103),$AK93:$AK103,0),MATCH(IF('Data-solution'!$A$3="Maximize",MAX($C104:$AI104),MIN($C104:$AI104)),$C104:$AI104,0))),Z93)</f>
        <v>0</v>
      </c>
      <c r="AA108" s="1">
        <f>IF(OR($B108&lt;&gt;$B93,$B109&lt;&gt;$B94,$B110&lt;&gt;$B95,$B111&lt;&gt;$B96,$B112&lt;&gt;$B97,$B113&lt;&gt;$B98,$B114&lt;&gt;$B99,$B115&lt;&gt;$B100,$B116&lt;&gt;$B101,$B117&lt;&gt;$B102,$B118&lt;&gt;$B103),IF($B108&lt;&gt;$B93,AA93/INDEX($C93:$AJ103,1,MATCH(IF('Data-solution'!$A$3="Maximize",MAX($C104:$AI104),MIN($C104:$AI104)),$C104:$AI104,0)),AA93-INDEX($C93:$AJ103,1,MATCH(IF('Data-solution'!$A$3="Maximize",MAX($C104:$AI104),MIN($C104:$AI104)),$C104:$AI104,0))*INDEX(AA93:$AJ103,MATCH(MIN($AK93:$AK103),$AK93:$AK103,0),1)/INDEX($C93:$AJ103,MATCH(MIN($AK93:$AK103),$AK93:$AK103,0),MATCH(IF('Data-solution'!$A$3="Maximize",MAX($C104:$AI104),MIN($C104:$AI104)),$C104:$AI104,0))),AA93)</f>
        <v>0</v>
      </c>
      <c r="AB108" s="1">
        <f>IF(OR($B108&lt;&gt;$B93,$B109&lt;&gt;$B94,$B110&lt;&gt;$B95,$B111&lt;&gt;$B96,$B112&lt;&gt;$B97,$B113&lt;&gt;$B98,$B114&lt;&gt;$B99,$B115&lt;&gt;$B100,$B116&lt;&gt;$B101,$B117&lt;&gt;$B102,$B118&lt;&gt;$B103),IF($B108&lt;&gt;$B93,AB93/INDEX($C93:$AJ103,1,MATCH(IF('Data-solution'!$A$3="Maximize",MAX($C104:$AI104),MIN($C104:$AI104)),$C104:$AI104,0)),AB93-INDEX($C93:$AJ103,1,MATCH(IF('Data-solution'!$A$3="Maximize",MAX($C104:$AI104),MIN($C104:$AI104)),$C104:$AI104,0))*INDEX(AB93:$AJ103,MATCH(MIN($AK93:$AK103),$AK93:$AK103,0),1)/INDEX($C93:$AJ103,MATCH(MIN($AK93:$AK103),$AK93:$AK103,0),MATCH(IF('Data-solution'!$A$3="Maximize",MAX($C104:$AI104),MIN($C104:$AI104)),$C104:$AI104,0))),AB93)</f>
        <v>-1</v>
      </c>
      <c r="AC108" s="1">
        <f>IF(OR($B108&lt;&gt;$B93,$B109&lt;&gt;$B94,$B110&lt;&gt;$B95,$B111&lt;&gt;$B96,$B112&lt;&gt;$B97,$B113&lt;&gt;$B98,$B114&lt;&gt;$B99,$B115&lt;&gt;$B100,$B116&lt;&gt;$B101,$B117&lt;&gt;$B102,$B118&lt;&gt;$B103),IF($B108&lt;&gt;$B93,AC93/INDEX($C93:$AJ103,1,MATCH(IF('Data-solution'!$A$3="Maximize",MAX($C104:$AI104),MIN($C104:$AI104)),$C104:$AI104,0)),AC93-INDEX($C93:$AJ103,1,MATCH(IF('Data-solution'!$A$3="Maximize",MAX($C104:$AI104),MIN($C104:$AI104)),$C104:$AI104,0))*INDEX(AC93:$AJ103,MATCH(MIN($AK93:$AK103),$AK93:$AK103,0),1)/INDEX($C93:$AJ103,MATCH(MIN($AK93:$AK103),$AK93:$AK103,0),MATCH(IF('Data-solution'!$A$3="Maximize",MAX($C104:$AI104),MIN($C104:$AI104)),$C104:$AI104,0))),AC93)</f>
        <v>0</v>
      </c>
      <c r="AD108" s="1">
        <f>IF(OR($B108&lt;&gt;$B93,$B109&lt;&gt;$B94,$B110&lt;&gt;$B95,$B111&lt;&gt;$B96,$B112&lt;&gt;$B97,$B113&lt;&gt;$B98,$B114&lt;&gt;$B99,$B115&lt;&gt;$B100,$B116&lt;&gt;$B101,$B117&lt;&gt;$B102,$B118&lt;&gt;$B103),IF($B108&lt;&gt;$B93,AD93/INDEX($C93:$AJ103,1,MATCH(IF('Data-solution'!$A$3="Maximize",MAX($C104:$AI104),MIN($C104:$AI104)),$C104:$AI104,0)),AD93-INDEX($C93:$AJ103,1,MATCH(IF('Data-solution'!$A$3="Maximize",MAX($C104:$AI104),MIN($C104:$AI104)),$C104:$AI104,0))*INDEX(AD93:$AJ103,MATCH(MIN($AK93:$AK103),$AK93:$AK103,0),1)/INDEX($C93:$AJ103,MATCH(MIN($AK93:$AK103),$AK93:$AK103,0),MATCH(IF('Data-solution'!$A$3="Maximize",MAX($C104:$AI104),MIN($C104:$AI104)),$C104:$AI104,0))),AD93)</f>
        <v>0</v>
      </c>
      <c r="AE108" s="1">
        <f>IF(OR($B108&lt;&gt;$B93,$B109&lt;&gt;$B94,$B110&lt;&gt;$B95,$B111&lt;&gt;$B96,$B112&lt;&gt;$B97,$B113&lt;&gt;$B98,$B114&lt;&gt;$B99,$B115&lt;&gt;$B100,$B116&lt;&gt;$B101,$B117&lt;&gt;$B102,$B118&lt;&gt;$B103),IF($B108&lt;&gt;$B93,AE93/INDEX($C93:$AJ103,1,MATCH(IF('Data-solution'!$A$3="Maximize",MAX($C104:$AI104),MIN($C104:$AI104)),$C104:$AI104,0)),AE93-INDEX($C93:$AJ103,1,MATCH(IF('Data-solution'!$A$3="Maximize",MAX($C104:$AI104),MIN($C104:$AI104)),$C104:$AI104,0))*INDEX(AE93:$AJ103,MATCH(MIN($AK93:$AK103),$AK93:$AK103,0),1)/INDEX($C93:$AJ103,MATCH(MIN($AK93:$AK103),$AK93:$AK103,0),MATCH(IF('Data-solution'!$A$3="Maximize",MAX($C104:$AI104),MIN($C104:$AI104)),$C104:$AI104,0))),AE93)</f>
        <v>0</v>
      </c>
      <c r="AF108" s="1">
        <f>IF(OR($B108&lt;&gt;$B93,$B109&lt;&gt;$B94,$B110&lt;&gt;$B95,$B111&lt;&gt;$B96,$B112&lt;&gt;$B97,$B113&lt;&gt;$B98,$B114&lt;&gt;$B99,$B115&lt;&gt;$B100,$B116&lt;&gt;$B101,$B117&lt;&gt;$B102,$B118&lt;&gt;$B103),IF($B108&lt;&gt;$B93,AF93/INDEX($C93:$AJ103,1,MATCH(IF('Data-solution'!$A$3="Maximize",MAX($C104:$AI104),MIN($C104:$AI104)),$C104:$AI104,0)),AF93-INDEX($C93:$AJ103,1,MATCH(IF('Data-solution'!$A$3="Maximize",MAX($C104:$AI104),MIN($C104:$AI104)),$C104:$AI104,0))*INDEX(AF93:$AJ103,MATCH(MIN($AK93:$AK103),$AK93:$AK103,0),1)/INDEX($C93:$AJ103,MATCH(MIN($AK93:$AK103),$AK93:$AK103,0),MATCH(IF('Data-solution'!$A$3="Maximize",MAX($C104:$AI104),MIN($C104:$AI104)),$C104:$AI104,0))),AF93)</f>
        <v>0</v>
      </c>
      <c r="AG108" s="1">
        <f>IF(OR($B108&lt;&gt;$B93,$B109&lt;&gt;$B94,$B110&lt;&gt;$B95,$B111&lt;&gt;$B96,$B112&lt;&gt;$B97,$B113&lt;&gt;$B98,$B114&lt;&gt;$B99,$B115&lt;&gt;$B100,$B116&lt;&gt;$B101,$B117&lt;&gt;$B102,$B118&lt;&gt;$B103),IF($B108&lt;&gt;$B93,AG93/INDEX($C93:$AJ103,1,MATCH(IF('Data-solution'!$A$3="Maximize",MAX($C104:$AI104),MIN($C104:$AI104)),$C104:$AI104,0)),AG93-INDEX($C93:$AJ103,1,MATCH(IF('Data-solution'!$A$3="Maximize",MAX($C104:$AI104),MIN($C104:$AI104)),$C104:$AI104,0))*INDEX(AG93:$AJ103,MATCH(MIN($AK93:$AK103),$AK93:$AK103,0),1)/INDEX($C93:$AJ103,MATCH(MIN($AK93:$AK103),$AK93:$AK103,0),MATCH(IF('Data-solution'!$A$3="Maximize",MAX($C104:$AI104),MIN($C104:$AI104)),$C104:$AI104,0))),AG93)</f>
        <v>0</v>
      </c>
      <c r="AH108" s="1">
        <f>IF(OR($B108&lt;&gt;$B93,$B109&lt;&gt;$B94,$B110&lt;&gt;$B95,$B111&lt;&gt;$B96,$B112&lt;&gt;$B97,$B113&lt;&gt;$B98,$B114&lt;&gt;$B99,$B115&lt;&gt;$B100,$B116&lt;&gt;$B101,$B117&lt;&gt;$B102,$B118&lt;&gt;$B103),IF($B108&lt;&gt;$B93,AH93/INDEX($C93:$AJ103,1,MATCH(IF('Data-solution'!$A$3="Maximize",MAX($C104:$AI104),MIN($C104:$AI104)),$C104:$AI104,0)),AH93-INDEX($C93:$AJ103,1,MATCH(IF('Data-solution'!$A$3="Maximize",MAX($C104:$AI104),MIN($C104:$AI104)),$C104:$AI104,0))*INDEX(AH93:$AJ103,MATCH(MIN($AK93:$AK103),$AK93:$AK103,0),1)/INDEX($C93:$AJ103,MATCH(MIN($AK93:$AK103),$AK93:$AK103,0),MATCH(IF('Data-solution'!$A$3="Maximize",MAX($C104:$AI104),MIN($C104:$AI104)),$C104:$AI104,0))),AH93)</f>
        <v>0</v>
      </c>
      <c r="AI108" s="1">
        <f>IF(OR($B108&lt;&gt;$B93,$B109&lt;&gt;$B94,$B110&lt;&gt;$B95,$B111&lt;&gt;$B96,$B112&lt;&gt;$B97,$B113&lt;&gt;$B98,$B114&lt;&gt;$B99,$B115&lt;&gt;$B100,$B116&lt;&gt;$B101,$B117&lt;&gt;$B102,$B118&lt;&gt;$B103),IF($B108&lt;&gt;$B93,AI93/INDEX($C93:$AJ103,1,MATCH(IF('Data-solution'!$A$3="Maximize",MAX($C104:$AI104),MIN($C104:$AI104)),$C104:$AI104,0)),AI93-INDEX($C93:$AJ103,1,MATCH(IF('Data-solution'!$A$3="Maximize",MAX($C104:$AI104),MIN($C104:$AI104)),$C104:$AI104,0))*INDEX(AI93:$AJ103,MATCH(MIN($AK93:$AK103),$AK93:$AK103,0),1)/INDEX($C93:$AJ103,MATCH(MIN($AK93:$AK103),$AK93:$AK103,0),MATCH(IF('Data-solution'!$A$3="Maximize",MAX($C104:$AI104),MIN($C104:$AI104)),$C104:$AI104,0))),AI93)</f>
        <v>0</v>
      </c>
      <c r="AJ108" s="1">
        <f>IF(OR($B108&lt;&gt;$B93,$B109&lt;&gt;$B94,$B110&lt;&gt;$B95,$B111&lt;&gt;$B96,$B112&lt;&gt;$B97,$B113&lt;&gt;$B98,$B114&lt;&gt;$B99,$B115&lt;&gt;$B100,$B116&lt;&gt;$B101,$B117&lt;&gt;$B102,$B118&lt;&gt;$B103),IF($B108&lt;&gt;$B93,AJ93/INDEX($C93:$AJ103,1,MATCH(IF('Data-solution'!$A$3="Maximize",MAX($C104:$AI104),MIN($C104:$AI104)),$C104:$AI104,0)),AJ93-INDEX($C93:$AJ103,1,MATCH(IF('Data-solution'!$A$3="Maximize",MAX($C104:$AI104),MIN($C104:$AI104)),$C104:$AI104,0))*INDEX(AJ93:$AJ103,MATCH(MIN($AK93:$AK103),$AK93:$AK103,0),1)/INDEX($C93:$AJ103,MATCH(MIN($AK93:$AK103),$AK93:$AK103,0),MATCH(IF('Data-solution'!$A$3="Maximize",MAX($C104:$AI104),MIN($C104:$AI104)),$C104:$AI104,0))),AJ93)</f>
        <v>150</v>
      </c>
      <c r="AK108" s="1" t="str">
        <f>IF(INDEX(C108:X108,1,MATCH(IF('Data-solution'!A$3="Maximize",MAX(C119:X119),MIN(C119:X119)),C119:X119,0))&gt;0,AJ108/INDEX(C108:X108,1,MATCH(IF('Data-solution'!A$3="Maximize",MAX(C119:X119),MIN(C119:X119)),C119:X119,0))," ")</f>
        <v xml:space="preserve"> </v>
      </c>
    </row>
    <row r="109" spans="1:37" ht="18" customHeight="1" x14ac:dyDescent="0.2">
      <c r="A109" s="1">
        <f t="shared" ref="A109" si="83">INDEX(C106:AI106,1,MATCH(B109,C107:AI107,0))</f>
        <v>0</v>
      </c>
      <c r="B109" s="2" t="str">
        <f>IF(AND('Data-solution'!A$3="Maximize",COUNTIF(C104:X104,"&gt;"&amp;0)&gt;0,AK94=MIN(AK93:AK103),COUNTIF(B108,INDEX(C92:X92,1,MATCH(MAX(C104:X104),C104:X104,0)))=0),INDEX(C92:X92,1,MATCH(MAX(C104:X104),C104:X104,0)),IF(AND('Data-solution'!A$3="Minimize",COUNTIF(C104:X104,"&lt;"&amp;0)&gt;0,AK94=MIN(AK93:AK103),COUNTIF(B108,INDEX(C92:X92,1,MATCH(MIN(C104:X104),C104:X104,0)))=0),INDEX(C92:X92,1,MATCH(MIN(C104:X104),C104:X104,0)),B94))</f>
        <v>S2</v>
      </c>
      <c r="C109" s="1">
        <f>IF(OR($B108&lt;&gt;$B93,$B109&lt;&gt;$B94,$B110&lt;&gt;$B95,$B111&lt;&gt;$B96,$B112&lt;&gt;$B97,$B113&lt;&gt;$B98,$B114&lt;&gt;$B99,$B115&lt;&gt;$B100,$B116&lt;&gt;$B101,$B117&lt;&gt;$B102,$B118&lt;&gt;$B103),IF($B109&lt;&gt;$B94,C94/INDEX($C93:$AJ103,2,MATCH(IF('Data-solution'!$A$3="Maximize",MAX($C104:$AI104),MIN($C104:$AI104)),$C104:$AI104,0)),C94-INDEX($C93:$AJ103,2,MATCH(IF('Data-solution'!$A$3="Maximize",MAX($C104:$AI104),MIN($C104:$AI104)),$C104:$AI104,0))*INDEX(C93:$AJ103,MATCH(MIN($AK93:$AK103),$AK93:$AK103,0),1)/INDEX($C93:$AJ103,MATCH(MIN($AK93:$AK103),$AK93:$AK103,0),MATCH(IF('Data-solution'!$A$3="Maximize",MAX($C104:$AI104),MIN($C104:$AI104)),$C104:$AI104,0))),C94)</f>
        <v>0</v>
      </c>
      <c r="D109" s="1">
        <f>IF(OR($B108&lt;&gt;$B93,$B109&lt;&gt;$B94,$B110&lt;&gt;$B95,$B111&lt;&gt;$B96,$B112&lt;&gt;$B97,$B113&lt;&gt;$B98,$B114&lt;&gt;$B99,$B115&lt;&gt;$B100,$B116&lt;&gt;$B101,$B117&lt;&gt;$B102,$B118&lt;&gt;$B103),IF($B109&lt;&gt;$B94,D94/INDEX($C93:$AJ103,2,MATCH(IF('Data-solution'!$A$3="Maximize",MAX($C104:$AI104),MIN($C104:$AI104)),$C104:$AI104,0)),D94-INDEX($C93:$AJ103,2,MATCH(IF('Data-solution'!$A$3="Maximize",MAX($C104:$AI104),MIN($C104:$AI104)),$C104:$AI104,0))*INDEX(D93:$AJ103,MATCH(MIN($AK93:$AK103),$AK93:$AK103,0),1)/INDEX($C93:$AJ103,MATCH(MIN($AK93:$AK103),$AK93:$AK103,0),MATCH(IF('Data-solution'!$A$3="Maximize",MAX($C104:$AI104),MIN($C104:$AI104)),$C104:$AI104,0))),D94)</f>
        <v>1.75</v>
      </c>
      <c r="E109" s="1">
        <f>IF(OR($B108&lt;&gt;$B93,$B109&lt;&gt;$B94,$B110&lt;&gt;$B95,$B111&lt;&gt;$B96,$B112&lt;&gt;$B97,$B113&lt;&gt;$B98,$B114&lt;&gt;$B99,$B115&lt;&gt;$B100,$B116&lt;&gt;$B101,$B117&lt;&gt;$B102,$B118&lt;&gt;$B103),IF($B109&lt;&gt;$B94,E94/INDEX($C93:$AJ103,2,MATCH(IF('Data-solution'!$A$3="Maximize",MAX($C104:$AI104),MIN($C104:$AI104)),$C104:$AI104,0)),E94-INDEX($C93:$AJ103,2,MATCH(IF('Data-solution'!$A$3="Maximize",MAX($C104:$AI104),MIN($C104:$AI104)),$C104:$AI104,0))*INDEX(E93:$AJ103,MATCH(MIN($AK93:$AK103),$AK93:$AK103,0),1)/INDEX($C93:$AJ103,MATCH(MIN($AK93:$AK103),$AK93:$AK103,0),MATCH(IF('Data-solution'!$A$3="Maximize",MAX($C104:$AI104),MIN($C104:$AI104)),$C104:$AI104,0))),E94)</f>
        <v>0</v>
      </c>
      <c r="F109" s="1">
        <f>IF(OR($B108&lt;&gt;$B93,$B109&lt;&gt;$B94,$B110&lt;&gt;$B95,$B111&lt;&gt;$B96,$B112&lt;&gt;$B97,$B113&lt;&gt;$B98,$B114&lt;&gt;$B99,$B115&lt;&gt;$B100,$B116&lt;&gt;$B101,$B117&lt;&gt;$B102,$B118&lt;&gt;$B103),IF($B109&lt;&gt;$B94,F94/INDEX($C93:$AJ103,2,MATCH(IF('Data-solution'!$A$3="Maximize",MAX($C104:$AI104),MIN($C104:$AI104)),$C104:$AI104,0)),F94-INDEX($C93:$AJ103,2,MATCH(IF('Data-solution'!$A$3="Maximize",MAX($C104:$AI104),MIN($C104:$AI104)),$C104:$AI104,0))*INDEX(F93:$AJ103,MATCH(MIN($AK93:$AK103),$AK93:$AK103,0),1)/INDEX($C93:$AJ103,MATCH(MIN($AK93:$AK103),$AK93:$AK103,0),MATCH(IF('Data-solution'!$A$3="Maximize",MAX($C104:$AI104),MIN($C104:$AI104)),$C104:$AI104,0))),F94)</f>
        <v>0</v>
      </c>
      <c r="G109" s="1">
        <f>IF(OR($B108&lt;&gt;$B93,$B109&lt;&gt;$B94,$B110&lt;&gt;$B95,$B111&lt;&gt;$B96,$B112&lt;&gt;$B97,$B113&lt;&gt;$B98,$B114&lt;&gt;$B99,$B115&lt;&gt;$B100,$B116&lt;&gt;$B101,$B117&lt;&gt;$B102,$B118&lt;&gt;$B103),IF($B109&lt;&gt;$B94,G94/INDEX($C93:$AJ103,2,MATCH(IF('Data-solution'!$A$3="Maximize",MAX($C104:$AI104),MIN($C104:$AI104)),$C104:$AI104,0)),G94-INDEX($C93:$AJ103,2,MATCH(IF('Data-solution'!$A$3="Maximize",MAX($C104:$AI104),MIN($C104:$AI104)),$C104:$AI104,0))*INDEX(G93:$AJ103,MATCH(MIN($AK93:$AK103),$AK93:$AK103,0),1)/INDEX($C93:$AJ103,MATCH(MIN($AK93:$AK103),$AK93:$AK103,0),MATCH(IF('Data-solution'!$A$3="Maximize",MAX($C104:$AI104),MIN($C104:$AI104)),$C104:$AI104,0))),G94)</f>
        <v>0</v>
      </c>
      <c r="H109" s="1">
        <f>IF(OR($B108&lt;&gt;$B93,$B109&lt;&gt;$B94,$B110&lt;&gt;$B95,$B111&lt;&gt;$B96,$B112&lt;&gt;$B97,$B113&lt;&gt;$B98,$B114&lt;&gt;$B99,$B115&lt;&gt;$B100,$B116&lt;&gt;$B101,$B117&lt;&gt;$B102,$B118&lt;&gt;$B103),IF($B109&lt;&gt;$B94,H94/INDEX($C93:$AJ103,2,MATCH(IF('Data-solution'!$A$3="Maximize",MAX($C104:$AI104),MIN($C104:$AI104)),$C104:$AI104,0)),H94-INDEX($C93:$AJ103,2,MATCH(IF('Data-solution'!$A$3="Maximize",MAX($C104:$AI104),MIN($C104:$AI104)),$C104:$AI104,0))*INDEX(H93:$AJ103,MATCH(MIN($AK93:$AK103),$AK93:$AK103,0),1)/INDEX($C93:$AJ103,MATCH(MIN($AK93:$AK103),$AK93:$AK103,0),MATCH(IF('Data-solution'!$A$3="Maximize",MAX($C104:$AI104),MIN($C104:$AI104)),$C104:$AI104,0))),H94)</f>
        <v>0</v>
      </c>
      <c r="I109" s="1">
        <f>IF(OR($B108&lt;&gt;$B93,$B109&lt;&gt;$B94,$B110&lt;&gt;$B95,$B111&lt;&gt;$B96,$B112&lt;&gt;$B97,$B113&lt;&gt;$B98,$B114&lt;&gt;$B99,$B115&lt;&gt;$B100,$B116&lt;&gt;$B101,$B117&lt;&gt;$B102,$B118&lt;&gt;$B103),IF($B109&lt;&gt;$B94,I94/INDEX($C93:$AJ103,2,MATCH(IF('Data-solution'!$A$3="Maximize",MAX($C104:$AI104),MIN($C104:$AI104)),$C104:$AI104,0)),I94-INDEX($C93:$AJ103,2,MATCH(IF('Data-solution'!$A$3="Maximize",MAX($C104:$AI104),MIN($C104:$AI104)),$C104:$AI104,0))*INDEX(I93:$AJ103,MATCH(MIN($AK93:$AK103),$AK93:$AK103,0),1)/INDEX($C93:$AJ103,MATCH(MIN($AK93:$AK103),$AK93:$AK103,0),MATCH(IF('Data-solution'!$A$3="Maximize",MAX($C104:$AI104),MIN($C104:$AI104)),$C104:$AI104,0))),I94)</f>
        <v>0</v>
      </c>
      <c r="J109" s="1">
        <f>IF(OR($B108&lt;&gt;$B93,$B109&lt;&gt;$B94,$B110&lt;&gt;$B95,$B111&lt;&gt;$B96,$B112&lt;&gt;$B97,$B113&lt;&gt;$B98,$B114&lt;&gt;$B99,$B115&lt;&gt;$B100,$B116&lt;&gt;$B101,$B117&lt;&gt;$B102,$B118&lt;&gt;$B103),IF($B109&lt;&gt;$B94,J94/INDEX($C93:$AJ103,2,MATCH(IF('Data-solution'!$A$3="Maximize",MAX($C104:$AI104),MIN($C104:$AI104)),$C104:$AI104,0)),J94-INDEX($C93:$AJ103,2,MATCH(IF('Data-solution'!$A$3="Maximize",MAX($C104:$AI104),MIN($C104:$AI104)),$C104:$AI104,0))*INDEX(J93:$AJ103,MATCH(MIN($AK93:$AK103),$AK93:$AK103,0),1)/INDEX($C93:$AJ103,MATCH(MIN($AK93:$AK103),$AK93:$AK103,0),MATCH(IF('Data-solution'!$A$3="Maximize",MAX($C104:$AI104),MIN($C104:$AI104)),$C104:$AI104,0))),J94)</f>
        <v>0</v>
      </c>
      <c r="K109" s="1">
        <f>IF(OR($B108&lt;&gt;$B93,$B109&lt;&gt;$B94,$B110&lt;&gt;$B95,$B111&lt;&gt;$B96,$B112&lt;&gt;$B97,$B113&lt;&gt;$B98,$B114&lt;&gt;$B99,$B115&lt;&gt;$B100,$B116&lt;&gt;$B101,$B117&lt;&gt;$B102,$B118&lt;&gt;$B103),IF($B109&lt;&gt;$B94,K94/INDEX($C93:$AJ103,2,MATCH(IF('Data-solution'!$A$3="Maximize",MAX($C104:$AI104),MIN($C104:$AI104)),$C104:$AI104,0)),K94-INDEX($C93:$AJ103,2,MATCH(IF('Data-solution'!$A$3="Maximize",MAX($C104:$AI104),MIN($C104:$AI104)),$C104:$AI104,0))*INDEX(K93:$AJ103,MATCH(MIN($AK93:$AK103),$AK93:$AK103,0),1)/INDEX($C93:$AJ103,MATCH(MIN($AK93:$AK103),$AK93:$AK103,0),MATCH(IF('Data-solution'!$A$3="Maximize",MAX($C104:$AI104),MIN($C104:$AI104)),$C104:$AI104,0))),K94)</f>
        <v>0</v>
      </c>
      <c r="L109" s="1">
        <f>IF(OR($B108&lt;&gt;$B93,$B109&lt;&gt;$B94,$B110&lt;&gt;$B95,$B111&lt;&gt;$B96,$B112&lt;&gt;$B97,$B113&lt;&gt;$B98,$B114&lt;&gt;$B99,$B115&lt;&gt;$B100,$B116&lt;&gt;$B101,$B117&lt;&gt;$B102,$B118&lt;&gt;$B103),IF($B109&lt;&gt;$B94,L94/INDEX($C93:$AJ103,2,MATCH(IF('Data-solution'!$A$3="Maximize",MAX($C104:$AI104),MIN($C104:$AI104)),$C104:$AI104,0)),L94-INDEX($C93:$AJ103,2,MATCH(IF('Data-solution'!$A$3="Maximize",MAX($C104:$AI104),MIN($C104:$AI104)),$C104:$AI104,0))*INDEX(L93:$AJ103,MATCH(MIN($AK93:$AK103),$AK93:$AK103,0),1)/INDEX($C93:$AJ103,MATCH(MIN($AK93:$AK103),$AK93:$AK103,0),MATCH(IF('Data-solution'!$A$3="Maximize",MAX($C104:$AI104),MIN($C104:$AI104)),$C104:$AI104,0))),L94)</f>
        <v>0</v>
      </c>
      <c r="M109" s="1">
        <f>IF(OR($B108&lt;&gt;$B93,$B109&lt;&gt;$B94,$B110&lt;&gt;$B95,$B111&lt;&gt;$B96,$B112&lt;&gt;$B97,$B113&lt;&gt;$B98,$B114&lt;&gt;$B99,$B115&lt;&gt;$B100,$B116&lt;&gt;$B101,$B117&lt;&gt;$B102,$B118&lt;&gt;$B103),IF($B109&lt;&gt;$B94,M94/INDEX($C93:$AJ103,2,MATCH(IF('Data-solution'!$A$3="Maximize",MAX($C104:$AI104),MIN($C104:$AI104)),$C104:$AI104,0)),M94-INDEX($C93:$AJ103,2,MATCH(IF('Data-solution'!$A$3="Maximize",MAX($C104:$AI104),MIN($C104:$AI104)),$C104:$AI104,0))*INDEX(M93:$AJ103,MATCH(MIN($AK93:$AK103),$AK93:$AK103,0),1)/INDEX($C93:$AJ103,MATCH(MIN($AK93:$AK103),$AK93:$AK103,0),MATCH(IF('Data-solution'!$A$3="Maximize",MAX($C104:$AI104),MIN($C104:$AI104)),$C104:$AI104,0))),M94)</f>
        <v>0</v>
      </c>
      <c r="N109" s="1">
        <f>IF(OR($B108&lt;&gt;$B93,$B109&lt;&gt;$B94,$B110&lt;&gt;$B95,$B111&lt;&gt;$B96,$B112&lt;&gt;$B97,$B113&lt;&gt;$B98,$B114&lt;&gt;$B99,$B115&lt;&gt;$B100,$B116&lt;&gt;$B101,$B117&lt;&gt;$B102,$B118&lt;&gt;$B103),IF($B109&lt;&gt;$B94,N94/INDEX($C93:$AJ103,2,MATCH(IF('Data-solution'!$A$3="Maximize",MAX($C104:$AI104),MIN($C104:$AI104)),$C104:$AI104,0)),N94-INDEX($C93:$AJ103,2,MATCH(IF('Data-solution'!$A$3="Maximize",MAX($C104:$AI104),MIN($C104:$AI104)),$C104:$AI104,0))*INDEX(N93:$AJ103,MATCH(MIN($AK93:$AK103),$AK93:$AK103,0),1)/INDEX($C93:$AJ103,MATCH(MIN($AK93:$AK103),$AK93:$AK103,0),MATCH(IF('Data-solution'!$A$3="Maximize",MAX($C104:$AI104),MIN($C104:$AI104)),$C104:$AI104,0))),N94)</f>
        <v>0</v>
      </c>
      <c r="O109" s="1">
        <f>IF(OR($B108&lt;&gt;$B93,$B109&lt;&gt;$B94,$B110&lt;&gt;$B95,$B111&lt;&gt;$B96,$B112&lt;&gt;$B97,$B113&lt;&gt;$B98,$B114&lt;&gt;$B99,$B115&lt;&gt;$B100,$B116&lt;&gt;$B101,$B117&lt;&gt;$B102,$B118&lt;&gt;$B103),IF($B109&lt;&gt;$B94,O94/INDEX($C93:$AJ103,2,MATCH(IF('Data-solution'!$A$3="Maximize",MAX($C104:$AI104),MIN($C104:$AI104)),$C104:$AI104,0)),O94-INDEX($C93:$AJ103,2,MATCH(IF('Data-solution'!$A$3="Maximize",MAX($C104:$AI104),MIN($C104:$AI104)),$C104:$AI104,0))*INDEX(O93:$AJ103,MATCH(MIN($AK93:$AK103),$AK93:$AK103,0),1)/INDEX($C93:$AJ103,MATCH(MIN($AK93:$AK103),$AK93:$AK103,0),MATCH(IF('Data-solution'!$A$3="Maximize",MAX($C104:$AI104),MIN($C104:$AI104)),$C104:$AI104,0))),O94)</f>
        <v>1</v>
      </c>
      <c r="P109" s="1">
        <f>IF(OR($B108&lt;&gt;$B93,$B109&lt;&gt;$B94,$B110&lt;&gt;$B95,$B111&lt;&gt;$B96,$B112&lt;&gt;$B97,$B113&lt;&gt;$B98,$B114&lt;&gt;$B99,$B115&lt;&gt;$B100,$B116&lt;&gt;$B101,$B117&lt;&gt;$B102,$B118&lt;&gt;$B103),IF($B109&lt;&gt;$B94,P94/INDEX($C93:$AJ103,2,MATCH(IF('Data-solution'!$A$3="Maximize",MAX($C104:$AI104),MIN($C104:$AI104)),$C104:$AI104,0)),P94-INDEX($C93:$AJ103,2,MATCH(IF('Data-solution'!$A$3="Maximize",MAX($C104:$AI104),MIN($C104:$AI104)),$C104:$AI104,0))*INDEX(P93:$AJ103,MATCH(MIN($AK93:$AK103),$AK93:$AK103,0),1)/INDEX($C93:$AJ103,MATCH(MIN($AK93:$AK103),$AK93:$AK103,0),MATCH(IF('Data-solution'!$A$3="Maximize",MAX($C104:$AI104),MIN($C104:$AI104)),$C104:$AI104,0))),P94)</f>
        <v>-0.25</v>
      </c>
      <c r="Q109" s="1">
        <f>IF(OR($B108&lt;&gt;$B93,$B109&lt;&gt;$B94,$B110&lt;&gt;$B95,$B111&lt;&gt;$B96,$B112&lt;&gt;$B97,$B113&lt;&gt;$B98,$B114&lt;&gt;$B99,$B115&lt;&gt;$B100,$B116&lt;&gt;$B101,$B117&lt;&gt;$B102,$B118&lt;&gt;$B103),IF($B109&lt;&gt;$B94,Q94/INDEX($C93:$AJ103,2,MATCH(IF('Data-solution'!$A$3="Maximize",MAX($C104:$AI104),MIN($C104:$AI104)),$C104:$AI104,0)),Q94-INDEX($C93:$AJ103,2,MATCH(IF('Data-solution'!$A$3="Maximize",MAX($C104:$AI104),MIN($C104:$AI104)),$C104:$AI104,0))*INDEX(Q93:$AJ103,MATCH(MIN($AK93:$AK103),$AK93:$AK103,0),1)/INDEX($C93:$AJ103,MATCH(MIN($AK93:$AK103),$AK93:$AK103,0),MATCH(IF('Data-solution'!$A$3="Maximize",MAX($C104:$AI104),MIN($C104:$AI104)),$C104:$AI104,0))),Q94)</f>
        <v>-0.5</v>
      </c>
      <c r="R109" s="1">
        <f>IF(OR($B108&lt;&gt;$B93,$B109&lt;&gt;$B94,$B110&lt;&gt;$B95,$B111&lt;&gt;$B96,$B112&lt;&gt;$B97,$B113&lt;&gt;$B98,$B114&lt;&gt;$B99,$B115&lt;&gt;$B100,$B116&lt;&gt;$B101,$B117&lt;&gt;$B102,$B118&lt;&gt;$B103),IF($B109&lt;&gt;$B94,R94/INDEX($C93:$AJ103,2,MATCH(IF('Data-solution'!$A$3="Maximize",MAX($C104:$AI104),MIN($C104:$AI104)),$C104:$AI104,0)),R94-INDEX($C93:$AJ103,2,MATCH(IF('Data-solution'!$A$3="Maximize",MAX($C104:$AI104),MIN($C104:$AI104)),$C104:$AI104,0))*INDEX(R93:$AJ103,MATCH(MIN($AK93:$AK103),$AK93:$AK103,0),1)/INDEX($C93:$AJ103,MATCH(MIN($AK93:$AK103),$AK93:$AK103,0),MATCH(IF('Data-solution'!$A$3="Maximize",MAX($C104:$AI104),MIN($C104:$AI104)),$C104:$AI104,0))),R94)</f>
        <v>0</v>
      </c>
      <c r="S109" s="1">
        <f>IF(OR($B108&lt;&gt;$B93,$B109&lt;&gt;$B94,$B110&lt;&gt;$B95,$B111&lt;&gt;$B96,$B112&lt;&gt;$B97,$B113&lt;&gt;$B98,$B114&lt;&gt;$B99,$B115&lt;&gt;$B100,$B116&lt;&gt;$B101,$B117&lt;&gt;$B102,$B118&lt;&gt;$B103),IF($B109&lt;&gt;$B94,S94/INDEX($C93:$AJ103,2,MATCH(IF('Data-solution'!$A$3="Maximize",MAX($C104:$AI104),MIN($C104:$AI104)),$C104:$AI104,0)),S94-INDEX($C93:$AJ103,2,MATCH(IF('Data-solution'!$A$3="Maximize",MAX($C104:$AI104),MIN($C104:$AI104)),$C104:$AI104,0))*INDEX(S93:$AJ103,MATCH(MIN($AK93:$AK103),$AK93:$AK103,0),1)/INDEX($C93:$AJ103,MATCH(MIN($AK93:$AK103),$AK93:$AK103,0),MATCH(IF('Data-solution'!$A$3="Maximize",MAX($C104:$AI104),MIN($C104:$AI104)),$C104:$AI104,0))),S94)</f>
        <v>0</v>
      </c>
      <c r="T109" s="1">
        <f>IF(OR($B108&lt;&gt;$B93,$B109&lt;&gt;$B94,$B110&lt;&gt;$B95,$B111&lt;&gt;$B96,$B112&lt;&gt;$B97,$B113&lt;&gt;$B98,$B114&lt;&gt;$B99,$B115&lt;&gt;$B100,$B116&lt;&gt;$B101,$B117&lt;&gt;$B102,$B118&lt;&gt;$B103),IF($B109&lt;&gt;$B94,T94/INDEX($C93:$AJ103,2,MATCH(IF('Data-solution'!$A$3="Maximize",MAX($C104:$AI104),MIN($C104:$AI104)),$C104:$AI104,0)),T94-INDEX($C93:$AJ103,2,MATCH(IF('Data-solution'!$A$3="Maximize",MAX($C104:$AI104),MIN($C104:$AI104)),$C104:$AI104,0))*INDEX(T93:$AJ103,MATCH(MIN($AK93:$AK103),$AK93:$AK103,0),1)/INDEX($C93:$AJ103,MATCH(MIN($AK93:$AK103),$AK93:$AK103,0),MATCH(IF('Data-solution'!$A$3="Maximize",MAX($C104:$AI104),MIN($C104:$AI104)),$C104:$AI104,0))),T94)</f>
        <v>0</v>
      </c>
      <c r="U109" s="1">
        <f>IF(OR($B108&lt;&gt;$B93,$B109&lt;&gt;$B94,$B110&lt;&gt;$B95,$B111&lt;&gt;$B96,$B112&lt;&gt;$B97,$B113&lt;&gt;$B98,$B114&lt;&gt;$B99,$B115&lt;&gt;$B100,$B116&lt;&gt;$B101,$B117&lt;&gt;$B102,$B118&lt;&gt;$B103),IF($B109&lt;&gt;$B94,U94/INDEX($C93:$AJ103,2,MATCH(IF('Data-solution'!$A$3="Maximize",MAX($C104:$AI104),MIN($C104:$AI104)),$C104:$AI104,0)),U94-INDEX($C93:$AJ103,2,MATCH(IF('Data-solution'!$A$3="Maximize",MAX($C104:$AI104),MIN($C104:$AI104)),$C104:$AI104,0))*INDEX(U93:$AJ103,MATCH(MIN($AK93:$AK103),$AK93:$AK103,0),1)/INDEX($C93:$AJ103,MATCH(MIN($AK93:$AK103),$AK93:$AK103,0),MATCH(IF('Data-solution'!$A$3="Maximize",MAX($C104:$AI104),MIN($C104:$AI104)),$C104:$AI104,0))),U94)</f>
        <v>0</v>
      </c>
      <c r="V109" s="1">
        <f>IF(OR($B108&lt;&gt;$B93,$B109&lt;&gt;$B94,$B110&lt;&gt;$B95,$B111&lt;&gt;$B96,$B112&lt;&gt;$B97,$B113&lt;&gt;$B98,$B114&lt;&gt;$B99,$B115&lt;&gt;$B100,$B116&lt;&gt;$B101,$B117&lt;&gt;$B102,$B118&lt;&gt;$B103),IF($B109&lt;&gt;$B94,V94/INDEX($C93:$AJ103,2,MATCH(IF('Data-solution'!$A$3="Maximize",MAX($C104:$AI104),MIN($C104:$AI104)),$C104:$AI104,0)),V94-INDEX($C93:$AJ103,2,MATCH(IF('Data-solution'!$A$3="Maximize",MAX($C104:$AI104),MIN($C104:$AI104)),$C104:$AI104,0))*INDEX(V93:$AJ103,MATCH(MIN($AK93:$AK103),$AK93:$AK103,0),1)/INDEX($C93:$AJ103,MATCH(MIN($AK93:$AK103),$AK93:$AK103,0),MATCH(IF('Data-solution'!$A$3="Maximize",MAX($C104:$AI104),MIN($C104:$AI104)),$C104:$AI104,0))),V94)</f>
        <v>0</v>
      </c>
      <c r="W109" s="1">
        <f>IF(OR($B108&lt;&gt;$B93,$B109&lt;&gt;$B94,$B110&lt;&gt;$B95,$B111&lt;&gt;$B96,$B112&lt;&gt;$B97,$B113&lt;&gt;$B98,$B114&lt;&gt;$B99,$B115&lt;&gt;$B100,$B116&lt;&gt;$B101,$B117&lt;&gt;$B102,$B118&lt;&gt;$B103),IF($B109&lt;&gt;$B94,W94/INDEX($C93:$AJ103,2,MATCH(IF('Data-solution'!$A$3="Maximize",MAX($C104:$AI104),MIN($C104:$AI104)),$C104:$AI104,0)),W94-INDEX($C93:$AJ103,2,MATCH(IF('Data-solution'!$A$3="Maximize",MAX($C104:$AI104),MIN($C104:$AI104)),$C104:$AI104,0))*INDEX(W93:$AJ103,MATCH(MIN($AK93:$AK103),$AK93:$AK103,0),1)/INDEX($C93:$AJ103,MATCH(MIN($AK93:$AK103),$AK93:$AK103,0),MATCH(IF('Data-solution'!$A$3="Maximize",MAX($C104:$AI104),MIN($C104:$AI104)),$C104:$AI104,0))),W94)</f>
        <v>0</v>
      </c>
      <c r="X109" s="1">
        <f>IF(OR($B108&lt;&gt;$B93,$B109&lt;&gt;$B94,$B110&lt;&gt;$B95,$B111&lt;&gt;$B96,$B112&lt;&gt;$B97,$B113&lt;&gt;$B98,$B114&lt;&gt;$B99,$B115&lt;&gt;$B100,$B116&lt;&gt;$B101,$B117&lt;&gt;$B102,$B118&lt;&gt;$B103),IF($B109&lt;&gt;$B94,X94/INDEX($C93:$AJ103,2,MATCH(IF('Data-solution'!$A$3="Maximize",MAX($C104:$AI104),MIN($C104:$AI104)),$C104:$AI104,0)),X94-INDEX($C93:$AJ103,2,MATCH(IF('Data-solution'!$A$3="Maximize",MAX($C104:$AI104),MIN($C104:$AI104)),$C104:$AI104,0))*INDEX(X93:$AJ103,MATCH(MIN($AK93:$AK103),$AK93:$AK103,0),1)/INDEX($C93:$AJ103,MATCH(MIN($AK93:$AK103),$AK93:$AK103,0),MATCH(IF('Data-solution'!$A$3="Maximize",MAX($C104:$AI104),MIN($C104:$AI104)),$C104:$AI104,0))),X94)</f>
        <v>0</v>
      </c>
      <c r="Y109" s="1">
        <f>IF(OR($B108&lt;&gt;$B93,$B109&lt;&gt;$B94,$B110&lt;&gt;$B95,$B111&lt;&gt;$B96,$B112&lt;&gt;$B97,$B113&lt;&gt;$B98,$B114&lt;&gt;$B99,$B115&lt;&gt;$B100,$B116&lt;&gt;$B101,$B117&lt;&gt;$B102,$B118&lt;&gt;$B103),IF($B109&lt;&gt;$B94,Y94/INDEX($C93:$AJ103,2,MATCH(IF('Data-solution'!$A$3="Maximize",MAX($C104:$AI104),MIN($C104:$AI104)),$C104:$AI104,0)),Y94-INDEX($C93:$AJ103,2,MATCH(IF('Data-solution'!$A$3="Maximize",MAX($C104:$AI104),MIN($C104:$AI104)),$C104:$AI104,0))*INDEX(Y93:$AJ103,MATCH(MIN($AK93:$AK103),$AK93:$AK103,0),1)/INDEX($C93:$AJ103,MATCH(MIN($AK93:$AK103),$AK93:$AK103,0),MATCH(IF('Data-solution'!$A$3="Maximize",MAX($C104:$AI104),MIN($C104:$AI104)),$C104:$AI104,0))),Y94)</f>
        <v>0</v>
      </c>
      <c r="Z109" s="1">
        <f>IF(OR($B108&lt;&gt;$B93,$B109&lt;&gt;$B94,$B110&lt;&gt;$B95,$B111&lt;&gt;$B96,$B112&lt;&gt;$B97,$B113&lt;&gt;$B98,$B114&lt;&gt;$B99,$B115&lt;&gt;$B100,$B116&lt;&gt;$B101,$B117&lt;&gt;$B102,$B118&lt;&gt;$B103),IF($B109&lt;&gt;$B94,Z94/INDEX($C93:$AJ103,2,MATCH(IF('Data-solution'!$A$3="Maximize",MAX($C104:$AI104),MIN($C104:$AI104)),$C104:$AI104,0)),Z94-INDEX($C93:$AJ103,2,MATCH(IF('Data-solution'!$A$3="Maximize",MAX($C104:$AI104),MIN($C104:$AI104)),$C104:$AI104,0))*INDEX(Z93:$AJ103,MATCH(MIN($AK93:$AK103),$AK93:$AK103,0),1)/INDEX($C93:$AJ103,MATCH(MIN($AK93:$AK103),$AK93:$AK103,0),MATCH(IF('Data-solution'!$A$3="Maximize",MAX($C104:$AI104),MIN($C104:$AI104)),$C104:$AI104,0))),Z94)</f>
        <v>1</v>
      </c>
      <c r="AA109" s="1">
        <f>IF(OR($B108&lt;&gt;$B93,$B109&lt;&gt;$B94,$B110&lt;&gt;$B95,$B111&lt;&gt;$B96,$B112&lt;&gt;$B97,$B113&lt;&gt;$B98,$B114&lt;&gt;$B99,$B115&lt;&gt;$B100,$B116&lt;&gt;$B101,$B117&lt;&gt;$B102,$B118&lt;&gt;$B103),IF($B109&lt;&gt;$B94,AA94/INDEX($C93:$AJ103,2,MATCH(IF('Data-solution'!$A$3="Maximize",MAX($C104:$AI104),MIN($C104:$AI104)),$C104:$AI104,0)),AA94-INDEX($C93:$AJ103,2,MATCH(IF('Data-solution'!$A$3="Maximize",MAX($C104:$AI104),MIN($C104:$AI104)),$C104:$AI104,0))*INDEX(AA93:$AJ103,MATCH(MIN($AK93:$AK103),$AK93:$AK103,0),1)/INDEX($C93:$AJ103,MATCH(MIN($AK93:$AK103),$AK93:$AK103,0),MATCH(IF('Data-solution'!$A$3="Maximize",MAX($C104:$AI104),MIN($C104:$AI104)),$C104:$AI104,0))),AA94)</f>
        <v>-0.25</v>
      </c>
      <c r="AB109" s="1">
        <f>IF(OR($B108&lt;&gt;$B93,$B109&lt;&gt;$B94,$B110&lt;&gt;$B95,$B111&lt;&gt;$B96,$B112&lt;&gt;$B97,$B113&lt;&gt;$B98,$B114&lt;&gt;$B99,$B115&lt;&gt;$B100,$B116&lt;&gt;$B101,$B117&lt;&gt;$B102,$B118&lt;&gt;$B103),IF($B109&lt;&gt;$B94,AB94/INDEX($C93:$AJ103,2,MATCH(IF('Data-solution'!$A$3="Maximize",MAX($C104:$AI104),MIN($C104:$AI104)),$C104:$AI104,0)),AB94-INDEX($C93:$AJ103,2,MATCH(IF('Data-solution'!$A$3="Maximize",MAX($C104:$AI104),MIN($C104:$AI104)),$C104:$AI104,0))*INDEX(AB93:$AJ103,MATCH(MIN($AK93:$AK103),$AK93:$AK103,0),1)/INDEX($C93:$AJ103,MATCH(MIN($AK93:$AK103),$AK93:$AK103,0),MATCH(IF('Data-solution'!$A$3="Maximize",MAX($C104:$AI104),MIN($C104:$AI104)),$C104:$AI104,0))),AB94)</f>
        <v>-0.5</v>
      </c>
      <c r="AC109" s="1">
        <f>IF(OR($B108&lt;&gt;$B93,$B109&lt;&gt;$B94,$B110&lt;&gt;$B95,$B111&lt;&gt;$B96,$B112&lt;&gt;$B97,$B113&lt;&gt;$B98,$B114&lt;&gt;$B99,$B115&lt;&gt;$B100,$B116&lt;&gt;$B101,$B117&lt;&gt;$B102,$B118&lt;&gt;$B103),IF($B109&lt;&gt;$B94,AC94/INDEX($C93:$AJ103,2,MATCH(IF('Data-solution'!$A$3="Maximize",MAX($C104:$AI104),MIN($C104:$AI104)),$C104:$AI104,0)),AC94-INDEX($C93:$AJ103,2,MATCH(IF('Data-solution'!$A$3="Maximize",MAX($C104:$AI104),MIN($C104:$AI104)),$C104:$AI104,0))*INDEX(AC93:$AJ103,MATCH(MIN($AK93:$AK103),$AK93:$AK103,0),1)/INDEX($C93:$AJ103,MATCH(MIN($AK93:$AK103),$AK93:$AK103,0),MATCH(IF('Data-solution'!$A$3="Maximize",MAX($C104:$AI104),MIN($C104:$AI104)),$C104:$AI104,0))),AC94)</f>
        <v>0</v>
      </c>
      <c r="AD109" s="1">
        <f>IF(OR($B108&lt;&gt;$B93,$B109&lt;&gt;$B94,$B110&lt;&gt;$B95,$B111&lt;&gt;$B96,$B112&lt;&gt;$B97,$B113&lt;&gt;$B98,$B114&lt;&gt;$B99,$B115&lt;&gt;$B100,$B116&lt;&gt;$B101,$B117&lt;&gt;$B102,$B118&lt;&gt;$B103),IF($B109&lt;&gt;$B94,AD94/INDEX($C93:$AJ103,2,MATCH(IF('Data-solution'!$A$3="Maximize",MAX($C104:$AI104),MIN($C104:$AI104)),$C104:$AI104,0)),AD94-INDEX($C93:$AJ103,2,MATCH(IF('Data-solution'!$A$3="Maximize",MAX($C104:$AI104),MIN($C104:$AI104)),$C104:$AI104,0))*INDEX(AD93:$AJ103,MATCH(MIN($AK93:$AK103),$AK93:$AK103,0),1)/INDEX($C93:$AJ103,MATCH(MIN($AK93:$AK103),$AK93:$AK103,0),MATCH(IF('Data-solution'!$A$3="Maximize",MAX($C104:$AI104),MIN($C104:$AI104)),$C104:$AI104,0))),AD94)</f>
        <v>0</v>
      </c>
      <c r="AE109" s="1">
        <f>IF(OR($B108&lt;&gt;$B93,$B109&lt;&gt;$B94,$B110&lt;&gt;$B95,$B111&lt;&gt;$B96,$B112&lt;&gt;$B97,$B113&lt;&gt;$B98,$B114&lt;&gt;$B99,$B115&lt;&gt;$B100,$B116&lt;&gt;$B101,$B117&lt;&gt;$B102,$B118&lt;&gt;$B103),IF($B109&lt;&gt;$B94,AE94/INDEX($C93:$AJ103,2,MATCH(IF('Data-solution'!$A$3="Maximize",MAX($C104:$AI104),MIN($C104:$AI104)),$C104:$AI104,0)),AE94-INDEX($C93:$AJ103,2,MATCH(IF('Data-solution'!$A$3="Maximize",MAX($C104:$AI104),MIN($C104:$AI104)),$C104:$AI104,0))*INDEX(AE93:$AJ103,MATCH(MIN($AK93:$AK103),$AK93:$AK103,0),1)/INDEX($C93:$AJ103,MATCH(MIN($AK93:$AK103),$AK93:$AK103,0),MATCH(IF('Data-solution'!$A$3="Maximize",MAX($C104:$AI104),MIN($C104:$AI104)),$C104:$AI104,0))),AE94)</f>
        <v>0</v>
      </c>
      <c r="AF109" s="1">
        <f>IF(OR($B108&lt;&gt;$B93,$B109&lt;&gt;$B94,$B110&lt;&gt;$B95,$B111&lt;&gt;$B96,$B112&lt;&gt;$B97,$B113&lt;&gt;$B98,$B114&lt;&gt;$B99,$B115&lt;&gt;$B100,$B116&lt;&gt;$B101,$B117&lt;&gt;$B102,$B118&lt;&gt;$B103),IF($B109&lt;&gt;$B94,AF94/INDEX($C93:$AJ103,2,MATCH(IF('Data-solution'!$A$3="Maximize",MAX($C104:$AI104),MIN($C104:$AI104)),$C104:$AI104,0)),AF94-INDEX($C93:$AJ103,2,MATCH(IF('Data-solution'!$A$3="Maximize",MAX($C104:$AI104),MIN($C104:$AI104)),$C104:$AI104,0))*INDEX(AF93:$AJ103,MATCH(MIN($AK93:$AK103),$AK93:$AK103,0),1)/INDEX($C93:$AJ103,MATCH(MIN($AK93:$AK103),$AK93:$AK103,0),MATCH(IF('Data-solution'!$A$3="Maximize",MAX($C104:$AI104),MIN($C104:$AI104)),$C104:$AI104,0))),AF94)</f>
        <v>0</v>
      </c>
      <c r="AG109" s="1">
        <f>IF(OR($B108&lt;&gt;$B93,$B109&lt;&gt;$B94,$B110&lt;&gt;$B95,$B111&lt;&gt;$B96,$B112&lt;&gt;$B97,$B113&lt;&gt;$B98,$B114&lt;&gt;$B99,$B115&lt;&gt;$B100,$B116&lt;&gt;$B101,$B117&lt;&gt;$B102,$B118&lt;&gt;$B103),IF($B109&lt;&gt;$B94,AG94/INDEX($C93:$AJ103,2,MATCH(IF('Data-solution'!$A$3="Maximize",MAX($C104:$AI104),MIN($C104:$AI104)),$C104:$AI104,0)),AG94-INDEX($C93:$AJ103,2,MATCH(IF('Data-solution'!$A$3="Maximize",MAX($C104:$AI104),MIN($C104:$AI104)),$C104:$AI104,0))*INDEX(AG93:$AJ103,MATCH(MIN($AK93:$AK103),$AK93:$AK103,0),1)/INDEX($C93:$AJ103,MATCH(MIN($AK93:$AK103),$AK93:$AK103,0),MATCH(IF('Data-solution'!$A$3="Maximize",MAX($C104:$AI104),MIN($C104:$AI104)),$C104:$AI104,0))),AG94)</f>
        <v>0</v>
      </c>
      <c r="AH109" s="1">
        <f>IF(OR($B108&lt;&gt;$B93,$B109&lt;&gt;$B94,$B110&lt;&gt;$B95,$B111&lt;&gt;$B96,$B112&lt;&gt;$B97,$B113&lt;&gt;$B98,$B114&lt;&gt;$B99,$B115&lt;&gt;$B100,$B116&lt;&gt;$B101,$B117&lt;&gt;$B102,$B118&lt;&gt;$B103),IF($B109&lt;&gt;$B94,AH94/INDEX($C93:$AJ103,2,MATCH(IF('Data-solution'!$A$3="Maximize",MAX($C104:$AI104),MIN($C104:$AI104)),$C104:$AI104,0)),AH94-INDEX($C93:$AJ103,2,MATCH(IF('Data-solution'!$A$3="Maximize",MAX($C104:$AI104),MIN($C104:$AI104)),$C104:$AI104,0))*INDEX(AH93:$AJ103,MATCH(MIN($AK93:$AK103),$AK93:$AK103,0),1)/INDEX($C93:$AJ103,MATCH(MIN($AK93:$AK103),$AK93:$AK103,0),MATCH(IF('Data-solution'!$A$3="Maximize",MAX($C104:$AI104),MIN($C104:$AI104)),$C104:$AI104,0))),AH94)</f>
        <v>0</v>
      </c>
      <c r="AI109" s="1">
        <f>IF(OR($B108&lt;&gt;$B93,$B109&lt;&gt;$B94,$B110&lt;&gt;$B95,$B111&lt;&gt;$B96,$B112&lt;&gt;$B97,$B113&lt;&gt;$B98,$B114&lt;&gt;$B99,$B115&lt;&gt;$B100,$B116&lt;&gt;$B101,$B117&lt;&gt;$B102,$B118&lt;&gt;$B103),IF($B109&lt;&gt;$B94,AI94/INDEX($C93:$AJ103,2,MATCH(IF('Data-solution'!$A$3="Maximize",MAX($C104:$AI104),MIN($C104:$AI104)),$C104:$AI104,0)),AI94-INDEX($C93:$AJ103,2,MATCH(IF('Data-solution'!$A$3="Maximize",MAX($C104:$AI104),MIN($C104:$AI104)),$C104:$AI104,0))*INDEX(AI93:$AJ103,MATCH(MIN($AK93:$AK103),$AK93:$AK103,0),1)/INDEX($C93:$AJ103,MATCH(MIN($AK93:$AK103),$AK93:$AK103,0),MATCH(IF('Data-solution'!$A$3="Maximize",MAX($C104:$AI104),MIN($C104:$AI104)),$C104:$AI104,0))),AI94)</f>
        <v>0</v>
      </c>
      <c r="AJ109" s="1">
        <f>IF(OR($B108&lt;&gt;$B93,$B109&lt;&gt;$B94,$B110&lt;&gt;$B95,$B111&lt;&gt;$B96,$B112&lt;&gt;$B97,$B113&lt;&gt;$B98,$B114&lt;&gt;$B99,$B115&lt;&gt;$B100,$B116&lt;&gt;$B101,$B117&lt;&gt;$B102,$B118&lt;&gt;$B103),IF($B109&lt;&gt;$B94,AJ94/INDEX($C93:$AJ103,2,MATCH(IF('Data-solution'!$A$3="Maximize",MAX($C104:$AI104),MIN($C104:$AI104)),$C104:$AI104,0)),AJ94-INDEX($C93:$AJ103,2,MATCH(IF('Data-solution'!$A$3="Maximize",MAX($C104:$AI104),MIN($C104:$AI104)),$C104:$AI104,0))*INDEX(AJ93:$AJ103,MATCH(MIN($AK93:$AK103),$AK93:$AK103,0),1)/INDEX($C93:$AJ103,MATCH(MIN($AK93:$AK103),$AK93:$AK103,0),MATCH(IF('Data-solution'!$A$3="Maximize",MAX($C104:$AI104),MIN($C104:$AI104)),$C104:$AI104,0))),AJ94)</f>
        <v>300</v>
      </c>
      <c r="AK109" s="1" t="str">
        <f>IF(INDEX(C109:X109,1,MATCH(IF('Data-solution'!A$3="Maximize",MAX(C119:X119),MIN(C119:X119)),C119:X119,0))&gt;0,AJ109/INDEX(C109:X109,1,MATCH(IF('Data-solution'!A$3="Maximize",MAX(C119:X119),MIN(C119:X119)),C119:X119,0))," ")</f>
        <v xml:space="preserve"> </v>
      </c>
    </row>
    <row r="110" spans="1:37" ht="18" customHeight="1" x14ac:dyDescent="0.2">
      <c r="A110" s="1">
        <f t="shared" ref="A110" si="84">INDEX(C106:AI106,1,MATCH(B110,C107:AI107,0))</f>
        <v>350</v>
      </c>
      <c r="B110" s="2" t="str">
        <f>IF(AND('Data-solution'!A$3="Maximize",COUNTIF(C104:X104,"&gt;"&amp;0)&gt;0,AK95=MIN(AK93:AK103),COUNTIF(B108:B109,INDEX(C92:X92,1,MATCH(MAX(C104:X104),C104:X104,0)))=0),INDEX(C92:X92,1,MATCH(MAX(C104:X104),C104:X104,0)),IF(AND('Data-solution'!A$3="Minimize",COUNTIF(C104:X104,"&lt;"&amp;0)&gt;0,AK95=MIN(AK93:AK103),COUNTIF(B108:B109,INDEX(C92:X92,1,MATCH(MIN(C104:X104),C104:X104,0)))=0),INDEX(C92:X92,1,MATCH(MIN(C104:X104),C104:X104,0)),B95))</f>
        <v>X3</v>
      </c>
      <c r="C110" s="1">
        <f>IF(OR($B108&lt;&gt;$B93,$B109&lt;&gt;$B94,$B110&lt;&gt;$B95,$B111&lt;&gt;$B96,$B112&lt;&gt;$B97,$B113&lt;&gt;$B98,$B114&lt;&gt;$B99,$B115&lt;&gt;$B100,$B116&lt;&gt;$B101,$B117&lt;&gt;$B102,$B118&lt;&gt;$B103),IF($B110&lt;&gt;$B95,C95/INDEX($C93:$AJ103,3,MATCH(IF('Data-solution'!$A$3="Maximize",MAX($C104:$AI104),MIN($C104:$AI104)),$C104:$AI104,0)),C95-INDEX($C93:$AJ103,3,MATCH(IF('Data-solution'!$A$3="Maximize",MAX($C104:$AI104),MIN($C104:$AI104)),$C104:$AI104,0))*INDEX(C93:$AJ103,MATCH(MIN($AK93:$AK103),$AK93:$AK103,0),1)/INDEX($C93:$AJ103,MATCH(MIN($AK93:$AK103),$AK93:$AK103,0),MATCH(IF('Data-solution'!$A$3="Maximize",MAX($C104:$AI104),MIN($C104:$AI104)),$C104:$AI104,0))),C95)</f>
        <v>0</v>
      </c>
      <c r="D110" s="1">
        <f>IF(OR($B108&lt;&gt;$B93,$B109&lt;&gt;$B94,$B110&lt;&gt;$B95,$B111&lt;&gt;$B96,$B112&lt;&gt;$B97,$B113&lt;&gt;$B98,$B114&lt;&gt;$B99,$B115&lt;&gt;$B100,$B116&lt;&gt;$B101,$B117&lt;&gt;$B102,$B118&lt;&gt;$B103),IF($B110&lt;&gt;$B95,D95/INDEX($C93:$AJ103,3,MATCH(IF('Data-solution'!$A$3="Maximize",MAX($C104:$AI104),MIN($C104:$AI104)),$C104:$AI104,0)),D95-INDEX($C93:$AJ103,3,MATCH(IF('Data-solution'!$A$3="Maximize",MAX($C104:$AI104),MIN($C104:$AI104)),$C104:$AI104,0))*INDEX(D93:$AJ103,MATCH(MIN($AK93:$AK103),$AK93:$AK103,0),1)/INDEX($C93:$AJ103,MATCH(MIN($AK93:$AK103),$AK93:$AK103,0),MATCH(IF('Data-solution'!$A$3="Maximize",MAX($C104:$AI104),MIN($C104:$AI104)),$C104:$AI104,0))),D95)</f>
        <v>1.25</v>
      </c>
      <c r="E110" s="1">
        <f>IF(OR($B108&lt;&gt;$B93,$B109&lt;&gt;$B94,$B110&lt;&gt;$B95,$B111&lt;&gt;$B96,$B112&lt;&gt;$B97,$B113&lt;&gt;$B98,$B114&lt;&gt;$B99,$B115&lt;&gt;$B100,$B116&lt;&gt;$B101,$B117&lt;&gt;$B102,$B118&lt;&gt;$B103),IF($B110&lt;&gt;$B95,E95/INDEX($C93:$AJ103,3,MATCH(IF('Data-solution'!$A$3="Maximize",MAX($C104:$AI104),MIN($C104:$AI104)),$C104:$AI104,0)),E95-INDEX($C93:$AJ103,3,MATCH(IF('Data-solution'!$A$3="Maximize",MAX($C104:$AI104),MIN($C104:$AI104)),$C104:$AI104,0))*INDEX(E93:$AJ103,MATCH(MIN($AK93:$AK103),$AK93:$AK103,0),1)/INDEX($C93:$AJ103,MATCH(MIN($AK93:$AK103),$AK93:$AK103,0),MATCH(IF('Data-solution'!$A$3="Maximize",MAX($C104:$AI104),MIN($C104:$AI104)),$C104:$AI104,0))),E95)</f>
        <v>1</v>
      </c>
      <c r="F110" s="1">
        <f>IF(OR($B108&lt;&gt;$B93,$B109&lt;&gt;$B94,$B110&lt;&gt;$B95,$B111&lt;&gt;$B96,$B112&lt;&gt;$B97,$B113&lt;&gt;$B98,$B114&lt;&gt;$B99,$B115&lt;&gt;$B100,$B116&lt;&gt;$B101,$B117&lt;&gt;$B102,$B118&lt;&gt;$B103),IF($B110&lt;&gt;$B95,F95/INDEX($C93:$AJ103,3,MATCH(IF('Data-solution'!$A$3="Maximize",MAX($C104:$AI104),MIN($C104:$AI104)),$C104:$AI104,0)),F95-INDEX($C93:$AJ103,3,MATCH(IF('Data-solution'!$A$3="Maximize",MAX($C104:$AI104),MIN($C104:$AI104)),$C104:$AI104,0))*INDEX(F93:$AJ103,MATCH(MIN($AK93:$AK103),$AK93:$AK103,0),1)/INDEX($C93:$AJ103,MATCH(MIN($AK93:$AK103),$AK93:$AK103,0),MATCH(IF('Data-solution'!$A$3="Maximize",MAX($C104:$AI104),MIN($C104:$AI104)),$C104:$AI104,0))),F95)</f>
        <v>0</v>
      </c>
      <c r="G110" s="1">
        <f>IF(OR($B108&lt;&gt;$B93,$B109&lt;&gt;$B94,$B110&lt;&gt;$B95,$B111&lt;&gt;$B96,$B112&lt;&gt;$B97,$B113&lt;&gt;$B98,$B114&lt;&gt;$B99,$B115&lt;&gt;$B100,$B116&lt;&gt;$B101,$B117&lt;&gt;$B102,$B118&lt;&gt;$B103),IF($B110&lt;&gt;$B95,G95/INDEX($C93:$AJ103,3,MATCH(IF('Data-solution'!$A$3="Maximize",MAX($C104:$AI104),MIN($C104:$AI104)),$C104:$AI104,0)),G95-INDEX($C93:$AJ103,3,MATCH(IF('Data-solution'!$A$3="Maximize",MAX($C104:$AI104),MIN($C104:$AI104)),$C104:$AI104,0))*INDEX(G93:$AJ103,MATCH(MIN($AK93:$AK103),$AK93:$AK103,0),1)/INDEX($C93:$AJ103,MATCH(MIN($AK93:$AK103),$AK93:$AK103,0),MATCH(IF('Data-solution'!$A$3="Maximize",MAX($C104:$AI104),MIN($C104:$AI104)),$C104:$AI104,0))),G95)</f>
        <v>0</v>
      </c>
      <c r="H110" s="1">
        <f>IF(OR($B108&lt;&gt;$B93,$B109&lt;&gt;$B94,$B110&lt;&gt;$B95,$B111&lt;&gt;$B96,$B112&lt;&gt;$B97,$B113&lt;&gt;$B98,$B114&lt;&gt;$B99,$B115&lt;&gt;$B100,$B116&lt;&gt;$B101,$B117&lt;&gt;$B102,$B118&lt;&gt;$B103),IF($B110&lt;&gt;$B95,H95/INDEX($C93:$AJ103,3,MATCH(IF('Data-solution'!$A$3="Maximize",MAX($C104:$AI104),MIN($C104:$AI104)),$C104:$AI104,0)),H95-INDEX($C93:$AJ103,3,MATCH(IF('Data-solution'!$A$3="Maximize",MAX($C104:$AI104),MIN($C104:$AI104)),$C104:$AI104,0))*INDEX(H93:$AJ103,MATCH(MIN($AK93:$AK103),$AK93:$AK103,0),1)/INDEX($C93:$AJ103,MATCH(MIN($AK93:$AK103),$AK93:$AK103,0),MATCH(IF('Data-solution'!$A$3="Maximize",MAX($C104:$AI104),MIN($C104:$AI104)),$C104:$AI104,0))),H95)</f>
        <v>0</v>
      </c>
      <c r="I110" s="1">
        <f>IF(OR($B108&lt;&gt;$B93,$B109&lt;&gt;$B94,$B110&lt;&gt;$B95,$B111&lt;&gt;$B96,$B112&lt;&gt;$B97,$B113&lt;&gt;$B98,$B114&lt;&gt;$B99,$B115&lt;&gt;$B100,$B116&lt;&gt;$B101,$B117&lt;&gt;$B102,$B118&lt;&gt;$B103),IF($B110&lt;&gt;$B95,I95/INDEX($C93:$AJ103,3,MATCH(IF('Data-solution'!$A$3="Maximize",MAX($C104:$AI104),MIN($C104:$AI104)),$C104:$AI104,0)),I95-INDEX($C93:$AJ103,3,MATCH(IF('Data-solution'!$A$3="Maximize",MAX($C104:$AI104),MIN($C104:$AI104)),$C104:$AI104,0))*INDEX(I93:$AJ103,MATCH(MIN($AK93:$AK103),$AK93:$AK103,0),1)/INDEX($C93:$AJ103,MATCH(MIN($AK93:$AK103),$AK93:$AK103,0),MATCH(IF('Data-solution'!$A$3="Maximize",MAX($C104:$AI104),MIN($C104:$AI104)),$C104:$AI104,0))),I95)</f>
        <v>0</v>
      </c>
      <c r="J110" s="1">
        <f>IF(OR($B108&lt;&gt;$B93,$B109&lt;&gt;$B94,$B110&lt;&gt;$B95,$B111&lt;&gt;$B96,$B112&lt;&gt;$B97,$B113&lt;&gt;$B98,$B114&lt;&gt;$B99,$B115&lt;&gt;$B100,$B116&lt;&gt;$B101,$B117&lt;&gt;$B102,$B118&lt;&gt;$B103),IF($B110&lt;&gt;$B95,J95/INDEX($C93:$AJ103,3,MATCH(IF('Data-solution'!$A$3="Maximize",MAX($C104:$AI104),MIN($C104:$AI104)),$C104:$AI104,0)),J95-INDEX($C93:$AJ103,3,MATCH(IF('Data-solution'!$A$3="Maximize",MAX($C104:$AI104),MIN($C104:$AI104)),$C104:$AI104,0))*INDEX(J93:$AJ103,MATCH(MIN($AK93:$AK103),$AK93:$AK103,0),1)/INDEX($C93:$AJ103,MATCH(MIN($AK93:$AK103),$AK93:$AK103,0),MATCH(IF('Data-solution'!$A$3="Maximize",MAX($C104:$AI104),MIN($C104:$AI104)),$C104:$AI104,0))),J95)</f>
        <v>0</v>
      </c>
      <c r="K110" s="1">
        <f>IF(OR($B108&lt;&gt;$B93,$B109&lt;&gt;$B94,$B110&lt;&gt;$B95,$B111&lt;&gt;$B96,$B112&lt;&gt;$B97,$B113&lt;&gt;$B98,$B114&lt;&gt;$B99,$B115&lt;&gt;$B100,$B116&lt;&gt;$B101,$B117&lt;&gt;$B102,$B118&lt;&gt;$B103),IF($B110&lt;&gt;$B95,K95/INDEX($C93:$AJ103,3,MATCH(IF('Data-solution'!$A$3="Maximize",MAX($C104:$AI104),MIN($C104:$AI104)),$C104:$AI104,0)),K95-INDEX($C93:$AJ103,3,MATCH(IF('Data-solution'!$A$3="Maximize",MAX($C104:$AI104),MIN($C104:$AI104)),$C104:$AI104,0))*INDEX(K93:$AJ103,MATCH(MIN($AK93:$AK103),$AK93:$AK103,0),1)/INDEX($C93:$AJ103,MATCH(MIN($AK93:$AK103),$AK93:$AK103,0),MATCH(IF('Data-solution'!$A$3="Maximize",MAX($C104:$AI104),MIN($C104:$AI104)),$C104:$AI104,0))),K95)</f>
        <v>0</v>
      </c>
      <c r="L110" s="1">
        <f>IF(OR($B108&lt;&gt;$B93,$B109&lt;&gt;$B94,$B110&lt;&gt;$B95,$B111&lt;&gt;$B96,$B112&lt;&gt;$B97,$B113&lt;&gt;$B98,$B114&lt;&gt;$B99,$B115&lt;&gt;$B100,$B116&lt;&gt;$B101,$B117&lt;&gt;$B102,$B118&lt;&gt;$B103),IF($B110&lt;&gt;$B95,L95/INDEX($C93:$AJ103,3,MATCH(IF('Data-solution'!$A$3="Maximize",MAX($C104:$AI104),MIN($C104:$AI104)),$C104:$AI104,0)),L95-INDEX($C93:$AJ103,3,MATCH(IF('Data-solution'!$A$3="Maximize",MAX($C104:$AI104),MIN($C104:$AI104)),$C104:$AI104,0))*INDEX(L93:$AJ103,MATCH(MIN($AK93:$AK103),$AK93:$AK103,0),1)/INDEX($C93:$AJ103,MATCH(MIN($AK93:$AK103),$AK93:$AK103,0),MATCH(IF('Data-solution'!$A$3="Maximize",MAX($C104:$AI104),MIN($C104:$AI104)),$C104:$AI104,0))),L95)</f>
        <v>0</v>
      </c>
      <c r="M110" s="1">
        <f>IF(OR($B108&lt;&gt;$B93,$B109&lt;&gt;$B94,$B110&lt;&gt;$B95,$B111&lt;&gt;$B96,$B112&lt;&gt;$B97,$B113&lt;&gt;$B98,$B114&lt;&gt;$B99,$B115&lt;&gt;$B100,$B116&lt;&gt;$B101,$B117&lt;&gt;$B102,$B118&lt;&gt;$B103),IF($B110&lt;&gt;$B95,M95/INDEX($C93:$AJ103,3,MATCH(IF('Data-solution'!$A$3="Maximize",MAX($C104:$AI104),MIN($C104:$AI104)),$C104:$AI104,0)),M95-INDEX($C93:$AJ103,3,MATCH(IF('Data-solution'!$A$3="Maximize",MAX($C104:$AI104),MIN($C104:$AI104)),$C104:$AI104,0))*INDEX(M93:$AJ103,MATCH(MIN($AK93:$AK103),$AK93:$AK103,0),1)/INDEX($C93:$AJ103,MATCH(MIN($AK93:$AK103),$AK93:$AK103,0),MATCH(IF('Data-solution'!$A$3="Maximize",MAX($C104:$AI104),MIN($C104:$AI104)),$C104:$AI104,0))),M95)</f>
        <v>0</v>
      </c>
      <c r="N110" s="1">
        <f>IF(OR($B108&lt;&gt;$B93,$B109&lt;&gt;$B94,$B110&lt;&gt;$B95,$B111&lt;&gt;$B96,$B112&lt;&gt;$B97,$B113&lt;&gt;$B98,$B114&lt;&gt;$B99,$B115&lt;&gt;$B100,$B116&lt;&gt;$B101,$B117&lt;&gt;$B102,$B118&lt;&gt;$B103),IF($B110&lt;&gt;$B95,N95/INDEX($C93:$AJ103,3,MATCH(IF('Data-solution'!$A$3="Maximize",MAX($C104:$AI104),MIN($C104:$AI104)),$C104:$AI104,0)),N95-INDEX($C93:$AJ103,3,MATCH(IF('Data-solution'!$A$3="Maximize",MAX($C104:$AI104),MIN($C104:$AI104)),$C104:$AI104,0))*INDEX(N93:$AJ103,MATCH(MIN($AK93:$AK103),$AK93:$AK103,0),1)/INDEX($C93:$AJ103,MATCH(MIN($AK93:$AK103),$AK93:$AK103,0),MATCH(IF('Data-solution'!$A$3="Maximize",MAX($C104:$AI104),MIN($C104:$AI104)),$C104:$AI104,0))),N95)</f>
        <v>0</v>
      </c>
      <c r="O110" s="1">
        <f>IF(OR($B108&lt;&gt;$B93,$B109&lt;&gt;$B94,$B110&lt;&gt;$B95,$B111&lt;&gt;$B96,$B112&lt;&gt;$B97,$B113&lt;&gt;$B98,$B114&lt;&gt;$B99,$B115&lt;&gt;$B100,$B116&lt;&gt;$B101,$B117&lt;&gt;$B102,$B118&lt;&gt;$B103),IF($B110&lt;&gt;$B95,O95/INDEX($C93:$AJ103,3,MATCH(IF('Data-solution'!$A$3="Maximize",MAX($C104:$AI104),MIN($C104:$AI104)),$C104:$AI104,0)),O95-INDEX($C93:$AJ103,3,MATCH(IF('Data-solution'!$A$3="Maximize",MAX($C104:$AI104),MIN($C104:$AI104)),$C104:$AI104,0))*INDEX(O93:$AJ103,MATCH(MIN($AK93:$AK103),$AK93:$AK103,0),1)/INDEX($C93:$AJ103,MATCH(MIN($AK93:$AK103),$AK93:$AK103,0),MATCH(IF('Data-solution'!$A$3="Maximize",MAX($C104:$AI104),MIN($C104:$AI104)),$C104:$AI104,0))),O95)</f>
        <v>0</v>
      </c>
      <c r="P110" s="1">
        <f>IF(OR($B108&lt;&gt;$B93,$B109&lt;&gt;$B94,$B110&lt;&gt;$B95,$B111&lt;&gt;$B96,$B112&lt;&gt;$B97,$B113&lt;&gt;$B98,$B114&lt;&gt;$B99,$B115&lt;&gt;$B100,$B116&lt;&gt;$B101,$B117&lt;&gt;$B102,$B118&lt;&gt;$B103),IF($B110&lt;&gt;$B95,P95/INDEX($C93:$AJ103,3,MATCH(IF('Data-solution'!$A$3="Maximize",MAX($C104:$AI104),MIN($C104:$AI104)),$C104:$AI104,0)),P95-INDEX($C93:$AJ103,3,MATCH(IF('Data-solution'!$A$3="Maximize",MAX($C104:$AI104),MIN($C104:$AI104)),$C104:$AI104,0))*INDEX(P93:$AJ103,MATCH(MIN($AK93:$AK103),$AK93:$AK103,0),1)/INDEX($C93:$AJ103,MATCH(MIN($AK93:$AK103),$AK93:$AK103,0),MATCH(IF('Data-solution'!$A$3="Maximize",MAX($C104:$AI104),MIN($C104:$AI104)),$C104:$AI104,0))),P95)</f>
        <v>0.24999999999999997</v>
      </c>
      <c r="Q110" s="1">
        <f>IF(OR($B108&lt;&gt;$B93,$B109&lt;&gt;$B94,$B110&lt;&gt;$B95,$B111&lt;&gt;$B96,$B112&lt;&gt;$B97,$B113&lt;&gt;$B98,$B114&lt;&gt;$B99,$B115&lt;&gt;$B100,$B116&lt;&gt;$B101,$B117&lt;&gt;$B102,$B118&lt;&gt;$B103),IF($B110&lt;&gt;$B95,Q95/INDEX($C93:$AJ103,3,MATCH(IF('Data-solution'!$A$3="Maximize",MAX($C104:$AI104),MIN($C104:$AI104)),$C104:$AI104,0)),Q95-INDEX($C93:$AJ103,3,MATCH(IF('Data-solution'!$A$3="Maximize",MAX($C104:$AI104),MIN($C104:$AI104)),$C104:$AI104,0))*INDEX(Q93:$AJ103,MATCH(MIN($AK93:$AK103),$AK93:$AK103,0),1)/INDEX($C93:$AJ103,MATCH(MIN($AK93:$AK103),$AK93:$AK103,0),MATCH(IF('Data-solution'!$A$3="Maximize",MAX($C104:$AI104),MIN($C104:$AI104)),$C104:$AI104,0))),Q95)</f>
        <v>-0.49999999999999989</v>
      </c>
      <c r="R110" s="1">
        <f>IF(OR($B108&lt;&gt;$B93,$B109&lt;&gt;$B94,$B110&lt;&gt;$B95,$B111&lt;&gt;$B96,$B112&lt;&gt;$B97,$B113&lt;&gt;$B98,$B114&lt;&gt;$B99,$B115&lt;&gt;$B100,$B116&lt;&gt;$B101,$B117&lt;&gt;$B102,$B118&lt;&gt;$B103),IF($B110&lt;&gt;$B95,R95/INDEX($C93:$AJ103,3,MATCH(IF('Data-solution'!$A$3="Maximize",MAX($C104:$AI104),MIN($C104:$AI104)),$C104:$AI104,0)),R95-INDEX($C93:$AJ103,3,MATCH(IF('Data-solution'!$A$3="Maximize",MAX($C104:$AI104),MIN($C104:$AI104)),$C104:$AI104,0))*INDEX(R93:$AJ103,MATCH(MIN($AK93:$AK103),$AK93:$AK103,0),1)/INDEX($C93:$AJ103,MATCH(MIN($AK93:$AK103),$AK93:$AK103,0),MATCH(IF('Data-solution'!$A$3="Maximize",MAX($C104:$AI104),MIN($C104:$AI104)),$C104:$AI104,0))),R95)</f>
        <v>0</v>
      </c>
      <c r="S110" s="1">
        <f>IF(OR($B108&lt;&gt;$B93,$B109&lt;&gt;$B94,$B110&lt;&gt;$B95,$B111&lt;&gt;$B96,$B112&lt;&gt;$B97,$B113&lt;&gt;$B98,$B114&lt;&gt;$B99,$B115&lt;&gt;$B100,$B116&lt;&gt;$B101,$B117&lt;&gt;$B102,$B118&lt;&gt;$B103),IF($B110&lt;&gt;$B95,S95/INDEX($C93:$AJ103,3,MATCH(IF('Data-solution'!$A$3="Maximize",MAX($C104:$AI104),MIN($C104:$AI104)),$C104:$AI104,0)),S95-INDEX($C93:$AJ103,3,MATCH(IF('Data-solution'!$A$3="Maximize",MAX($C104:$AI104),MIN($C104:$AI104)),$C104:$AI104,0))*INDEX(S93:$AJ103,MATCH(MIN($AK93:$AK103),$AK93:$AK103,0),1)/INDEX($C93:$AJ103,MATCH(MIN($AK93:$AK103),$AK93:$AK103,0),MATCH(IF('Data-solution'!$A$3="Maximize",MAX($C104:$AI104),MIN($C104:$AI104)),$C104:$AI104,0))),S95)</f>
        <v>0</v>
      </c>
      <c r="T110" s="1">
        <f>IF(OR($B108&lt;&gt;$B93,$B109&lt;&gt;$B94,$B110&lt;&gt;$B95,$B111&lt;&gt;$B96,$B112&lt;&gt;$B97,$B113&lt;&gt;$B98,$B114&lt;&gt;$B99,$B115&lt;&gt;$B100,$B116&lt;&gt;$B101,$B117&lt;&gt;$B102,$B118&lt;&gt;$B103),IF($B110&lt;&gt;$B95,T95/INDEX($C93:$AJ103,3,MATCH(IF('Data-solution'!$A$3="Maximize",MAX($C104:$AI104),MIN($C104:$AI104)),$C104:$AI104,0)),T95-INDEX($C93:$AJ103,3,MATCH(IF('Data-solution'!$A$3="Maximize",MAX($C104:$AI104),MIN($C104:$AI104)),$C104:$AI104,0))*INDEX(T93:$AJ103,MATCH(MIN($AK93:$AK103),$AK93:$AK103,0),1)/INDEX($C93:$AJ103,MATCH(MIN($AK93:$AK103),$AK93:$AK103,0),MATCH(IF('Data-solution'!$A$3="Maximize",MAX($C104:$AI104),MIN($C104:$AI104)),$C104:$AI104,0))),T95)</f>
        <v>0</v>
      </c>
      <c r="U110" s="1">
        <f>IF(OR($B108&lt;&gt;$B93,$B109&lt;&gt;$B94,$B110&lt;&gt;$B95,$B111&lt;&gt;$B96,$B112&lt;&gt;$B97,$B113&lt;&gt;$B98,$B114&lt;&gt;$B99,$B115&lt;&gt;$B100,$B116&lt;&gt;$B101,$B117&lt;&gt;$B102,$B118&lt;&gt;$B103),IF($B110&lt;&gt;$B95,U95/INDEX($C93:$AJ103,3,MATCH(IF('Data-solution'!$A$3="Maximize",MAX($C104:$AI104),MIN($C104:$AI104)),$C104:$AI104,0)),U95-INDEX($C93:$AJ103,3,MATCH(IF('Data-solution'!$A$3="Maximize",MAX($C104:$AI104),MIN($C104:$AI104)),$C104:$AI104,0))*INDEX(U93:$AJ103,MATCH(MIN($AK93:$AK103),$AK93:$AK103,0),1)/INDEX($C93:$AJ103,MATCH(MIN($AK93:$AK103),$AK93:$AK103,0),MATCH(IF('Data-solution'!$A$3="Maximize",MAX($C104:$AI104),MIN($C104:$AI104)),$C104:$AI104,0))),U95)</f>
        <v>0</v>
      </c>
      <c r="V110" s="1">
        <f>IF(OR($B108&lt;&gt;$B93,$B109&lt;&gt;$B94,$B110&lt;&gt;$B95,$B111&lt;&gt;$B96,$B112&lt;&gt;$B97,$B113&lt;&gt;$B98,$B114&lt;&gt;$B99,$B115&lt;&gt;$B100,$B116&lt;&gt;$B101,$B117&lt;&gt;$B102,$B118&lt;&gt;$B103),IF($B110&lt;&gt;$B95,V95/INDEX($C93:$AJ103,3,MATCH(IF('Data-solution'!$A$3="Maximize",MAX($C104:$AI104),MIN($C104:$AI104)),$C104:$AI104,0)),V95-INDEX($C93:$AJ103,3,MATCH(IF('Data-solution'!$A$3="Maximize",MAX($C104:$AI104),MIN($C104:$AI104)),$C104:$AI104,0))*INDEX(V93:$AJ103,MATCH(MIN($AK93:$AK103),$AK93:$AK103,0),1)/INDEX($C93:$AJ103,MATCH(MIN($AK93:$AK103),$AK93:$AK103,0),MATCH(IF('Data-solution'!$A$3="Maximize",MAX($C104:$AI104),MIN($C104:$AI104)),$C104:$AI104,0))),V95)</f>
        <v>0</v>
      </c>
      <c r="W110" s="1">
        <f>IF(OR($B108&lt;&gt;$B93,$B109&lt;&gt;$B94,$B110&lt;&gt;$B95,$B111&lt;&gt;$B96,$B112&lt;&gt;$B97,$B113&lt;&gt;$B98,$B114&lt;&gt;$B99,$B115&lt;&gt;$B100,$B116&lt;&gt;$B101,$B117&lt;&gt;$B102,$B118&lt;&gt;$B103),IF($B110&lt;&gt;$B95,W95/INDEX($C93:$AJ103,3,MATCH(IF('Data-solution'!$A$3="Maximize",MAX($C104:$AI104),MIN($C104:$AI104)),$C104:$AI104,0)),W95-INDEX($C93:$AJ103,3,MATCH(IF('Data-solution'!$A$3="Maximize",MAX($C104:$AI104),MIN($C104:$AI104)),$C104:$AI104,0))*INDEX(W93:$AJ103,MATCH(MIN($AK93:$AK103),$AK93:$AK103,0),1)/INDEX($C93:$AJ103,MATCH(MIN($AK93:$AK103),$AK93:$AK103,0),MATCH(IF('Data-solution'!$A$3="Maximize",MAX($C104:$AI104),MIN($C104:$AI104)),$C104:$AI104,0))),W95)</f>
        <v>0</v>
      </c>
      <c r="X110" s="1">
        <f>IF(OR($B108&lt;&gt;$B93,$B109&lt;&gt;$B94,$B110&lt;&gt;$B95,$B111&lt;&gt;$B96,$B112&lt;&gt;$B97,$B113&lt;&gt;$B98,$B114&lt;&gt;$B99,$B115&lt;&gt;$B100,$B116&lt;&gt;$B101,$B117&lt;&gt;$B102,$B118&lt;&gt;$B103),IF($B110&lt;&gt;$B95,X95/INDEX($C93:$AJ103,3,MATCH(IF('Data-solution'!$A$3="Maximize",MAX($C104:$AI104),MIN($C104:$AI104)),$C104:$AI104,0)),X95-INDEX($C93:$AJ103,3,MATCH(IF('Data-solution'!$A$3="Maximize",MAX($C104:$AI104),MIN($C104:$AI104)),$C104:$AI104,0))*INDEX(X93:$AJ103,MATCH(MIN($AK93:$AK103),$AK93:$AK103,0),1)/INDEX($C93:$AJ103,MATCH(MIN($AK93:$AK103),$AK93:$AK103,0),MATCH(IF('Data-solution'!$A$3="Maximize",MAX($C104:$AI104),MIN($C104:$AI104)),$C104:$AI104,0))),X95)</f>
        <v>0</v>
      </c>
      <c r="Y110" s="1">
        <f>IF(OR($B108&lt;&gt;$B93,$B109&lt;&gt;$B94,$B110&lt;&gt;$B95,$B111&lt;&gt;$B96,$B112&lt;&gt;$B97,$B113&lt;&gt;$B98,$B114&lt;&gt;$B99,$B115&lt;&gt;$B100,$B116&lt;&gt;$B101,$B117&lt;&gt;$B102,$B118&lt;&gt;$B103),IF($B110&lt;&gt;$B95,Y95/INDEX($C93:$AJ103,3,MATCH(IF('Data-solution'!$A$3="Maximize",MAX($C104:$AI104),MIN($C104:$AI104)),$C104:$AI104,0)),Y95-INDEX($C93:$AJ103,3,MATCH(IF('Data-solution'!$A$3="Maximize",MAX($C104:$AI104),MIN($C104:$AI104)),$C104:$AI104,0))*INDEX(Y93:$AJ103,MATCH(MIN($AK93:$AK103),$AK93:$AK103,0),1)/INDEX($C93:$AJ103,MATCH(MIN($AK93:$AK103),$AK93:$AK103,0),MATCH(IF('Data-solution'!$A$3="Maximize",MAX($C104:$AI104),MIN($C104:$AI104)),$C104:$AI104,0))),Y95)</f>
        <v>0</v>
      </c>
      <c r="Z110" s="1">
        <f>IF(OR($B108&lt;&gt;$B93,$B109&lt;&gt;$B94,$B110&lt;&gt;$B95,$B111&lt;&gt;$B96,$B112&lt;&gt;$B97,$B113&lt;&gt;$B98,$B114&lt;&gt;$B99,$B115&lt;&gt;$B100,$B116&lt;&gt;$B101,$B117&lt;&gt;$B102,$B118&lt;&gt;$B103),IF($B110&lt;&gt;$B95,Z95/INDEX($C93:$AJ103,3,MATCH(IF('Data-solution'!$A$3="Maximize",MAX($C104:$AI104),MIN($C104:$AI104)),$C104:$AI104,0)),Z95-INDEX($C93:$AJ103,3,MATCH(IF('Data-solution'!$A$3="Maximize",MAX($C104:$AI104),MIN($C104:$AI104)),$C104:$AI104,0))*INDEX(Z93:$AJ103,MATCH(MIN($AK93:$AK103),$AK93:$AK103,0),1)/INDEX($C93:$AJ103,MATCH(MIN($AK93:$AK103),$AK93:$AK103,0),MATCH(IF('Data-solution'!$A$3="Maximize",MAX($C104:$AI104),MIN($C104:$AI104)),$C104:$AI104,0))),Z95)</f>
        <v>0</v>
      </c>
      <c r="AA110" s="1">
        <f>IF(OR($B108&lt;&gt;$B93,$B109&lt;&gt;$B94,$B110&lt;&gt;$B95,$B111&lt;&gt;$B96,$B112&lt;&gt;$B97,$B113&lt;&gt;$B98,$B114&lt;&gt;$B99,$B115&lt;&gt;$B100,$B116&lt;&gt;$B101,$B117&lt;&gt;$B102,$B118&lt;&gt;$B103),IF($B110&lt;&gt;$B95,AA95/INDEX($C93:$AJ103,3,MATCH(IF('Data-solution'!$A$3="Maximize",MAX($C104:$AI104),MIN($C104:$AI104)),$C104:$AI104,0)),AA95-INDEX($C93:$AJ103,3,MATCH(IF('Data-solution'!$A$3="Maximize",MAX($C104:$AI104),MIN($C104:$AI104)),$C104:$AI104,0))*INDEX(AA93:$AJ103,MATCH(MIN($AK93:$AK103),$AK93:$AK103,0),1)/INDEX($C93:$AJ103,MATCH(MIN($AK93:$AK103),$AK93:$AK103,0),MATCH(IF('Data-solution'!$A$3="Maximize",MAX($C104:$AI104),MIN($C104:$AI104)),$C104:$AI104,0))),AA95)</f>
        <v>0.24999999999999997</v>
      </c>
      <c r="AB110" s="1">
        <f>IF(OR($B108&lt;&gt;$B93,$B109&lt;&gt;$B94,$B110&lt;&gt;$B95,$B111&lt;&gt;$B96,$B112&lt;&gt;$B97,$B113&lt;&gt;$B98,$B114&lt;&gt;$B99,$B115&lt;&gt;$B100,$B116&lt;&gt;$B101,$B117&lt;&gt;$B102,$B118&lt;&gt;$B103),IF($B110&lt;&gt;$B95,AB95/INDEX($C93:$AJ103,3,MATCH(IF('Data-solution'!$A$3="Maximize",MAX($C104:$AI104),MIN($C104:$AI104)),$C104:$AI104,0)),AB95-INDEX($C93:$AJ103,3,MATCH(IF('Data-solution'!$A$3="Maximize",MAX($C104:$AI104),MIN($C104:$AI104)),$C104:$AI104,0))*INDEX(AB93:$AJ103,MATCH(MIN($AK93:$AK103),$AK93:$AK103,0),1)/INDEX($C93:$AJ103,MATCH(MIN($AK93:$AK103),$AK93:$AK103,0),MATCH(IF('Data-solution'!$A$3="Maximize",MAX($C104:$AI104),MIN($C104:$AI104)),$C104:$AI104,0))),AB95)</f>
        <v>-0.49999999999999989</v>
      </c>
      <c r="AC110" s="1">
        <f>IF(OR($B108&lt;&gt;$B93,$B109&lt;&gt;$B94,$B110&lt;&gt;$B95,$B111&lt;&gt;$B96,$B112&lt;&gt;$B97,$B113&lt;&gt;$B98,$B114&lt;&gt;$B99,$B115&lt;&gt;$B100,$B116&lt;&gt;$B101,$B117&lt;&gt;$B102,$B118&lt;&gt;$B103),IF($B110&lt;&gt;$B95,AC95/INDEX($C93:$AJ103,3,MATCH(IF('Data-solution'!$A$3="Maximize",MAX($C104:$AI104),MIN($C104:$AI104)),$C104:$AI104,0)),AC95-INDEX($C93:$AJ103,3,MATCH(IF('Data-solution'!$A$3="Maximize",MAX($C104:$AI104),MIN($C104:$AI104)),$C104:$AI104,0))*INDEX(AC93:$AJ103,MATCH(MIN($AK93:$AK103),$AK93:$AK103,0),1)/INDEX($C93:$AJ103,MATCH(MIN($AK93:$AK103),$AK93:$AK103,0),MATCH(IF('Data-solution'!$A$3="Maximize",MAX($C104:$AI104),MIN($C104:$AI104)),$C104:$AI104,0))),AC95)</f>
        <v>0</v>
      </c>
      <c r="AD110" s="1">
        <f>IF(OR($B108&lt;&gt;$B93,$B109&lt;&gt;$B94,$B110&lt;&gt;$B95,$B111&lt;&gt;$B96,$B112&lt;&gt;$B97,$B113&lt;&gt;$B98,$B114&lt;&gt;$B99,$B115&lt;&gt;$B100,$B116&lt;&gt;$B101,$B117&lt;&gt;$B102,$B118&lt;&gt;$B103),IF($B110&lt;&gt;$B95,AD95/INDEX($C93:$AJ103,3,MATCH(IF('Data-solution'!$A$3="Maximize",MAX($C104:$AI104),MIN($C104:$AI104)),$C104:$AI104,0)),AD95-INDEX($C93:$AJ103,3,MATCH(IF('Data-solution'!$A$3="Maximize",MAX($C104:$AI104),MIN($C104:$AI104)),$C104:$AI104,0))*INDEX(AD93:$AJ103,MATCH(MIN($AK93:$AK103),$AK93:$AK103,0),1)/INDEX($C93:$AJ103,MATCH(MIN($AK93:$AK103),$AK93:$AK103,0),MATCH(IF('Data-solution'!$A$3="Maximize",MAX($C104:$AI104),MIN($C104:$AI104)),$C104:$AI104,0))),AD95)</f>
        <v>0</v>
      </c>
      <c r="AE110" s="1">
        <f>IF(OR($B108&lt;&gt;$B93,$B109&lt;&gt;$B94,$B110&lt;&gt;$B95,$B111&lt;&gt;$B96,$B112&lt;&gt;$B97,$B113&lt;&gt;$B98,$B114&lt;&gt;$B99,$B115&lt;&gt;$B100,$B116&lt;&gt;$B101,$B117&lt;&gt;$B102,$B118&lt;&gt;$B103),IF($B110&lt;&gt;$B95,AE95/INDEX($C93:$AJ103,3,MATCH(IF('Data-solution'!$A$3="Maximize",MAX($C104:$AI104),MIN($C104:$AI104)),$C104:$AI104,0)),AE95-INDEX($C93:$AJ103,3,MATCH(IF('Data-solution'!$A$3="Maximize",MAX($C104:$AI104),MIN($C104:$AI104)),$C104:$AI104,0))*INDEX(AE93:$AJ103,MATCH(MIN($AK93:$AK103),$AK93:$AK103,0),1)/INDEX($C93:$AJ103,MATCH(MIN($AK93:$AK103),$AK93:$AK103,0),MATCH(IF('Data-solution'!$A$3="Maximize",MAX($C104:$AI104),MIN($C104:$AI104)),$C104:$AI104,0))),AE95)</f>
        <v>0</v>
      </c>
      <c r="AF110" s="1">
        <f>IF(OR($B108&lt;&gt;$B93,$B109&lt;&gt;$B94,$B110&lt;&gt;$B95,$B111&lt;&gt;$B96,$B112&lt;&gt;$B97,$B113&lt;&gt;$B98,$B114&lt;&gt;$B99,$B115&lt;&gt;$B100,$B116&lt;&gt;$B101,$B117&lt;&gt;$B102,$B118&lt;&gt;$B103),IF($B110&lt;&gt;$B95,AF95/INDEX($C93:$AJ103,3,MATCH(IF('Data-solution'!$A$3="Maximize",MAX($C104:$AI104),MIN($C104:$AI104)),$C104:$AI104,0)),AF95-INDEX($C93:$AJ103,3,MATCH(IF('Data-solution'!$A$3="Maximize",MAX($C104:$AI104),MIN($C104:$AI104)),$C104:$AI104,0))*INDEX(AF93:$AJ103,MATCH(MIN($AK93:$AK103),$AK93:$AK103,0),1)/INDEX($C93:$AJ103,MATCH(MIN($AK93:$AK103),$AK93:$AK103,0),MATCH(IF('Data-solution'!$A$3="Maximize",MAX($C104:$AI104),MIN($C104:$AI104)),$C104:$AI104,0))),AF95)</f>
        <v>0</v>
      </c>
      <c r="AG110" s="1">
        <f>IF(OR($B108&lt;&gt;$B93,$B109&lt;&gt;$B94,$B110&lt;&gt;$B95,$B111&lt;&gt;$B96,$B112&lt;&gt;$B97,$B113&lt;&gt;$B98,$B114&lt;&gt;$B99,$B115&lt;&gt;$B100,$B116&lt;&gt;$B101,$B117&lt;&gt;$B102,$B118&lt;&gt;$B103),IF($B110&lt;&gt;$B95,AG95/INDEX($C93:$AJ103,3,MATCH(IF('Data-solution'!$A$3="Maximize",MAX($C104:$AI104),MIN($C104:$AI104)),$C104:$AI104,0)),AG95-INDEX($C93:$AJ103,3,MATCH(IF('Data-solution'!$A$3="Maximize",MAX($C104:$AI104),MIN($C104:$AI104)),$C104:$AI104,0))*INDEX(AG93:$AJ103,MATCH(MIN($AK93:$AK103),$AK93:$AK103,0),1)/INDEX($C93:$AJ103,MATCH(MIN($AK93:$AK103),$AK93:$AK103,0),MATCH(IF('Data-solution'!$A$3="Maximize",MAX($C104:$AI104),MIN($C104:$AI104)),$C104:$AI104,0))),AG95)</f>
        <v>0</v>
      </c>
      <c r="AH110" s="1">
        <f>IF(OR($B108&lt;&gt;$B93,$B109&lt;&gt;$B94,$B110&lt;&gt;$B95,$B111&lt;&gt;$B96,$B112&lt;&gt;$B97,$B113&lt;&gt;$B98,$B114&lt;&gt;$B99,$B115&lt;&gt;$B100,$B116&lt;&gt;$B101,$B117&lt;&gt;$B102,$B118&lt;&gt;$B103),IF($B110&lt;&gt;$B95,AH95/INDEX($C93:$AJ103,3,MATCH(IF('Data-solution'!$A$3="Maximize",MAX($C104:$AI104),MIN($C104:$AI104)),$C104:$AI104,0)),AH95-INDEX($C93:$AJ103,3,MATCH(IF('Data-solution'!$A$3="Maximize",MAX($C104:$AI104),MIN($C104:$AI104)),$C104:$AI104,0))*INDEX(AH93:$AJ103,MATCH(MIN($AK93:$AK103),$AK93:$AK103,0),1)/INDEX($C93:$AJ103,MATCH(MIN($AK93:$AK103),$AK93:$AK103,0),MATCH(IF('Data-solution'!$A$3="Maximize",MAX($C104:$AI104),MIN($C104:$AI104)),$C104:$AI104,0))),AH95)</f>
        <v>0</v>
      </c>
      <c r="AI110" s="1">
        <f>IF(OR($B108&lt;&gt;$B93,$B109&lt;&gt;$B94,$B110&lt;&gt;$B95,$B111&lt;&gt;$B96,$B112&lt;&gt;$B97,$B113&lt;&gt;$B98,$B114&lt;&gt;$B99,$B115&lt;&gt;$B100,$B116&lt;&gt;$B101,$B117&lt;&gt;$B102,$B118&lt;&gt;$B103),IF($B110&lt;&gt;$B95,AI95/INDEX($C93:$AJ103,3,MATCH(IF('Data-solution'!$A$3="Maximize",MAX($C104:$AI104),MIN($C104:$AI104)),$C104:$AI104,0)),AI95-INDEX($C93:$AJ103,3,MATCH(IF('Data-solution'!$A$3="Maximize",MAX($C104:$AI104),MIN($C104:$AI104)),$C104:$AI104,0))*INDEX(AI93:$AJ103,MATCH(MIN($AK93:$AK103),$AK93:$AK103,0),1)/INDEX($C93:$AJ103,MATCH(MIN($AK93:$AK103),$AK93:$AK103,0),MATCH(IF('Data-solution'!$A$3="Maximize",MAX($C104:$AI104),MIN($C104:$AI104)),$C104:$AI104,0))),AI95)</f>
        <v>0</v>
      </c>
      <c r="AJ110" s="1">
        <f>IF(OR($B108&lt;&gt;$B93,$B109&lt;&gt;$B94,$B110&lt;&gt;$B95,$B111&lt;&gt;$B96,$B112&lt;&gt;$B97,$B113&lt;&gt;$B98,$B114&lt;&gt;$B99,$B115&lt;&gt;$B100,$B116&lt;&gt;$B101,$B117&lt;&gt;$B102,$B118&lt;&gt;$B103),IF($B110&lt;&gt;$B95,AJ95/INDEX($C93:$AJ103,3,MATCH(IF('Data-solution'!$A$3="Maximize",MAX($C104:$AI104),MIN($C104:$AI104)),$C104:$AI104,0)),AJ95-INDEX($C93:$AJ103,3,MATCH(IF('Data-solution'!$A$3="Maximize",MAX($C104:$AI104),MIN($C104:$AI104)),$C104:$AI104,0))*INDEX(AJ93:$AJ103,MATCH(MIN($AK93:$AK103),$AK93:$AK103,0),1)/INDEX($C93:$AJ103,MATCH(MIN($AK93:$AK103),$AK93:$AK103,0),MATCH(IF('Data-solution'!$A$3="Maximize",MAX($C104:$AI104),MIN($C104:$AI104)),$C104:$AI104,0))),AJ95)</f>
        <v>300</v>
      </c>
      <c r="AK110" s="1" t="str">
        <f>IF(INDEX(C110:X110,1,MATCH(IF('Data-solution'!A$3="Maximize",MAX(C119:X119),MIN(C119:X119)),C119:X119,0))&gt;0,AJ110/INDEX(C110:X110,1,MATCH(IF('Data-solution'!A$3="Maximize",MAX(C119:X119),MIN(C119:X119)),C119:X119,0))," ")</f>
        <v xml:space="preserve"> </v>
      </c>
    </row>
    <row r="111" spans="1:37" ht="18" customHeight="1" x14ac:dyDescent="0.2">
      <c r="A111" s="1">
        <f t="shared" ref="A111" si="85">INDEX(C106:AI106,1,MATCH(B111,C107:AI107,0))</f>
        <v>150</v>
      </c>
      <c r="B111" s="2" t="str">
        <f>IF(AND('Data-solution'!A$3="Maximize",COUNTIF(C104:X104,"&gt;"&amp;0)&gt;0,AK96=MIN(AK93:AK103),COUNTIF(B108:B110,INDEX(C92:X92,1,MATCH(MAX(C104:X104),C104:X104,0)))=0),INDEX(C92:X92,1,MATCH(MAX(C104:X104),C104:X104,0)),IF(AND('Data-solution'!A$3="Minimize",COUNTIF(C104:X104,"&lt;"&amp;0)&gt;0,AK96=MIN(AK93:AK103),COUNTIF(B108:B110,INDEX(C92:X92,1,MATCH(MIN(C104:X104),C104:X104,0)))=0),INDEX(C92:X92,1,MATCH(MIN(C104:X104),C104:X104,0)),B96))</f>
        <v>X1</v>
      </c>
      <c r="C111" s="1">
        <f>IF(OR($B108&lt;&gt;$B93,$B109&lt;&gt;$B94,$B110&lt;&gt;$B95,$B111&lt;&gt;$B96,$B112&lt;&gt;$B97,$B113&lt;&gt;$B98,$B114&lt;&gt;$B99,$B115&lt;&gt;$B100,$B116&lt;&gt;$B101,$B117&lt;&gt;$B102,$B118&lt;&gt;$B103),IF($B111&lt;&gt;$B96,C96/INDEX($C93:$AJ103,4,MATCH(IF('Data-solution'!$A$3="Maximize",MAX($C104:$AI104),MIN($C104:$AI104)),$C104:$AI104,0)),C96-INDEX($C93:$AJ103,4,MATCH(IF('Data-solution'!$A$3="Maximize",MAX($C104:$AI104),MIN($C104:$AI104)),$C104:$AI104,0))*INDEX(C93:$AJ103,MATCH(MIN($AK93:$AK103),$AK93:$AK103,0),1)/INDEX($C93:$AJ103,MATCH(MIN($AK93:$AK103),$AK93:$AK103,0),MATCH(IF('Data-solution'!$A$3="Maximize",MAX($C104:$AI104),MIN($C104:$AI104)),$C104:$AI104,0))),C96)</f>
        <v>1</v>
      </c>
      <c r="D111" s="1">
        <f>IF(OR($B108&lt;&gt;$B93,$B109&lt;&gt;$B94,$B110&lt;&gt;$B95,$B111&lt;&gt;$B96,$B112&lt;&gt;$B97,$B113&lt;&gt;$B98,$B114&lt;&gt;$B99,$B115&lt;&gt;$B100,$B116&lt;&gt;$B101,$B117&lt;&gt;$B102,$B118&lt;&gt;$B103),IF($B111&lt;&gt;$B96,D96/INDEX($C93:$AJ103,4,MATCH(IF('Data-solution'!$A$3="Maximize",MAX($C104:$AI104),MIN($C104:$AI104)),$C104:$AI104,0)),D96-INDEX($C93:$AJ103,4,MATCH(IF('Data-solution'!$A$3="Maximize",MAX($C104:$AI104),MIN($C104:$AI104)),$C104:$AI104,0))*INDEX(D93:$AJ103,MATCH(MIN($AK93:$AK103),$AK93:$AK103,0),1)/INDEX($C93:$AJ103,MATCH(MIN($AK93:$AK103),$AK93:$AK103,0),MATCH(IF('Data-solution'!$A$3="Maximize",MAX($C104:$AI104),MIN($C104:$AI104)),$C104:$AI104,0))),D96)</f>
        <v>-1.25</v>
      </c>
      <c r="E111" s="1">
        <f>IF(OR($B108&lt;&gt;$B93,$B109&lt;&gt;$B94,$B110&lt;&gt;$B95,$B111&lt;&gt;$B96,$B112&lt;&gt;$B97,$B113&lt;&gt;$B98,$B114&lt;&gt;$B99,$B115&lt;&gt;$B100,$B116&lt;&gt;$B101,$B117&lt;&gt;$B102,$B118&lt;&gt;$B103),IF($B111&lt;&gt;$B96,E96/INDEX($C93:$AJ103,4,MATCH(IF('Data-solution'!$A$3="Maximize",MAX($C104:$AI104),MIN($C104:$AI104)),$C104:$AI104,0)),E96-INDEX($C93:$AJ103,4,MATCH(IF('Data-solution'!$A$3="Maximize",MAX($C104:$AI104),MIN($C104:$AI104)),$C104:$AI104,0))*INDEX(E93:$AJ103,MATCH(MIN($AK93:$AK103),$AK93:$AK103,0),1)/INDEX($C93:$AJ103,MATCH(MIN($AK93:$AK103),$AK93:$AK103,0),MATCH(IF('Data-solution'!$A$3="Maximize",MAX($C104:$AI104),MIN($C104:$AI104)),$C104:$AI104,0))),E96)</f>
        <v>0</v>
      </c>
      <c r="F111" s="1">
        <f>IF(OR($B108&lt;&gt;$B93,$B109&lt;&gt;$B94,$B110&lt;&gt;$B95,$B111&lt;&gt;$B96,$B112&lt;&gt;$B97,$B113&lt;&gt;$B98,$B114&lt;&gt;$B99,$B115&lt;&gt;$B100,$B116&lt;&gt;$B101,$B117&lt;&gt;$B102,$B118&lt;&gt;$B103),IF($B111&lt;&gt;$B96,F96/INDEX($C93:$AJ103,4,MATCH(IF('Data-solution'!$A$3="Maximize",MAX($C104:$AI104),MIN($C104:$AI104)),$C104:$AI104,0)),F96-INDEX($C93:$AJ103,4,MATCH(IF('Data-solution'!$A$3="Maximize",MAX($C104:$AI104),MIN($C104:$AI104)),$C104:$AI104,0))*INDEX(F93:$AJ103,MATCH(MIN($AK93:$AK103),$AK93:$AK103,0),1)/INDEX($C93:$AJ103,MATCH(MIN($AK93:$AK103),$AK93:$AK103,0),MATCH(IF('Data-solution'!$A$3="Maximize",MAX($C104:$AI104),MIN($C104:$AI104)),$C104:$AI104,0))),F96)</f>
        <v>0</v>
      </c>
      <c r="G111" s="1">
        <f>IF(OR($B108&lt;&gt;$B93,$B109&lt;&gt;$B94,$B110&lt;&gt;$B95,$B111&lt;&gt;$B96,$B112&lt;&gt;$B97,$B113&lt;&gt;$B98,$B114&lt;&gt;$B99,$B115&lt;&gt;$B100,$B116&lt;&gt;$B101,$B117&lt;&gt;$B102,$B118&lt;&gt;$B103),IF($B111&lt;&gt;$B96,G96/INDEX($C93:$AJ103,4,MATCH(IF('Data-solution'!$A$3="Maximize",MAX($C104:$AI104),MIN($C104:$AI104)),$C104:$AI104,0)),G96-INDEX($C93:$AJ103,4,MATCH(IF('Data-solution'!$A$3="Maximize",MAX($C104:$AI104),MIN($C104:$AI104)),$C104:$AI104,0))*INDEX(G93:$AJ103,MATCH(MIN($AK93:$AK103),$AK93:$AK103,0),1)/INDEX($C93:$AJ103,MATCH(MIN($AK93:$AK103),$AK93:$AK103,0),MATCH(IF('Data-solution'!$A$3="Maximize",MAX($C104:$AI104),MIN($C104:$AI104)),$C104:$AI104,0))),G96)</f>
        <v>0</v>
      </c>
      <c r="H111" s="1">
        <f>IF(OR($B108&lt;&gt;$B93,$B109&lt;&gt;$B94,$B110&lt;&gt;$B95,$B111&lt;&gt;$B96,$B112&lt;&gt;$B97,$B113&lt;&gt;$B98,$B114&lt;&gt;$B99,$B115&lt;&gt;$B100,$B116&lt;&gt;$B101,$B117&lt;&gt;$B102,$B118&lt;&gt;$B103),IF($B111&lt;&gt;$B96,H96/INDEX($C93:$AJ103,4,MATCH(IF('Data-solution'!$A$3="Maximize",MAX($C104:$AI104),MIN($C104:$AI104)),$C104:$AI104,0)),H96-INDEX($C93:$AJ103,4,MATCH(IF('Data-solution'!$A$3="Maximize",MAX($C104:$AI104),MIN($C104:$AI104)),$C104:$AI104,0))*INDEX(H93:$AJ103,MATCH(MIN($AK93:$AK103),$AK93:$AK103,0),1)/INDEX($C93:$AJ103,MATCH(MIN($AK93:$AK103),$AK93:$AK103,0),MATCH(IF('Data-solution'!$A$3="Maximize",MAX($C104:$AI104),MIN($C104:$AI104)),$C104:$AI104,0))),H96)</f>
        <v>0</v>
      </c>
      <c r="I111" s="1">
        <f>IF(OR($B108&lt;&gt;$B93,$B109&lt;&gt;$B94,$B110&lt;&gt;$B95,$B111&lt;&gt;$B96,$B112&lt;&gt;$B97,$B113&lt;&gt;$B98,$B114&lt;&gt;$B99,$B115&lt;&gt;$B100,$B116&lt;&gt;$B101,$B117&lt;&gt;$B102,$B118&lt;&gt;$B103),IF($B111&lt;&gt;$B96,I96/INDEX($C93:$AJ103,4,MATCH(IF('Data-solution'!$A$3="Maximize",MAX($C104:$AI104),MIN($C104:$AI104)),$C104:$AI104,0)),I96-INDEX($C93:$AJ103,4,MATCH(IF('Data-solution'!$A$3="Maximize",MAX($C104:$AI104),MIN($C104:$AI104)),$C104:$AI104,0))*INDEX(I93:$AJ103,MATCH(MIN($AK93:$AK103),$AK93:$AK103,0),1)/INDEX($C93:$AJ103,MATCH(MIN($AK93:$AK103),$AK93:$AK103,0),MATCH(IF('Data-solution'!$A$3="Maximize",MAX($C104:$AI104),MIN($C104:$AI104)),$C104:$AI104,0))),I96)</f>
        <v>0</v>
      </c>
      <c r="J111" s="1">
        <f>IF(OR($B108&lt;&gt;$B93,$B109&lt;&gt;$B94,$B110&lt;&gt;$B95,$B111&lt;&gt;$B96,$B112&lt;&gt;$B97,$B113&lt;&gt;$B98,$B114&lt;&gt;$B99,$B115&lt;&gt;$B100,$B116&lt;&gt;$B101,$B117&lt;&gt;$B102,$B118&lt;&gt;$B103),IF($B111&lt;&gt;$B96,J96/INDEX($C93:$AJ103,4,MATCH(IF('Data-solution'!$A$3="Maximize",MAX($C104:$AI104),MIN($C104:$AI104)),$C104:$AI104,0)),J96-INDEX($C93:$AJ103,4,MATCH(IF('Data-solution'!$A$3="Maximize",MAX($C104:$AI104),MIN($C104:$AI104)),$C104:$AI104,0))*INDEX(J93:$AJ103,MATCH(MIN($AK93:$AK103),$AK93:$AK103,0),1)/INDEX($C93:$AJ103,MATCH(MIN($AK93:$AK103),$AK93:$AK103,0),MATCH(IF('Data-solution'!$A$3="Maximize",MAX($C104:$AI104),MIN($C104:$AI104)),$C104:$AI104,0))),J96)</f>
        <v>0</v>
      </c>
      <c r="K111" s="1">
        <f>IF(OR($B108&lt;&gt;$B93,$B109&lt;&gt;$B94,$B110&lt;&gt;$B95,$B111&lt;&gt;$B96,$B112&lt;&gt;$B97,$B113&lt;&gt;$B98,$B114&lt;&gt;$B99,$B115&lt;&gt;$B100,$B116&lt;&gt;$B101,$B117&lt;&gt;$B102,$B118&lt;&gt;$B103),IF($B111&lt;&gt;$B96,K96/INDEX($C93:$AJ103,4,MATCH(IF('Data-solution'!$A$3="Maximize",MAX($C104:$AI104),MIN($C104:$AI104)),$C104:$AI104,0)),K96-INDEX($C93:$AJ103,4,MATCH(IF('Data-solution'!$A$3="Maximize",MAX($C104:$AI104),MIN($C104:$AI104)),$C104:$AI104,0))*INDEX(K93:$AJ103,MATCH(MIN($AK93:$AK103),$AK93:$AK103,0),1)/INDEX($C93:$AJ103,MATCH(MIN($AK93:$AK103),$AK93:$AK103,0),MATCH(IF('Data-solution'!$A$3="Maximize",MAX($C104:$AI104),MIN($C104:$AI104)),$C104:$AI104,0))),K96)</f>
        <v>0</v>
      </c>
      <c r="L111" s="1">
        <f>IF(OR($B108&lt;&gt;$B93,$B109&lt;&gt;$B94,$B110&lt;&gt;$B95,$B111&lt;&gt;$B96,$B112&lt;&gt;$B97,$B113&lt;&gt;$B98,$B114&lt;&gt;$B99,$B115&lt;&gt;$B100,$B116&lt;&gt;$B101,$B117&lt;&gt;$B102,$B118&lt;&gt;$B103),IF($B111&lt;&gt;$B96,L96/INDEX($C93:$AJ103,4,MATCH(IF('Data-solution'!$A$3="Maximize",MAX($C104:$AI104),MIN($C104:$AI104)),$C104:$AI104,0)),L96-INDEX($C93:$AJ103,4,MATCH(IF('Data-solution'!$A$3="Maximize",MAX($C104:$AI104),MIN($C104:$AI104)),$C104:$AI104,0))*INDEX(L93:$AJ103,MATCH(MIN($AK93:$AK103),$AK93:$AK103,0),1)/INDEX($C93:$AJ103,MATCH(MIN($AK93:$AK103),$AK93:$AK103,0),MATCH(IF('Data-solution'!$A$3="Maximize",MAX($C104:$AI104),MIN($C104:$AI104)),$C104:$AI104,0))),L96)</f>
        <v>0</v>
      </c>
      <c r="M111" s="1">
        <f>IF(OR($B108&lt;&gt;$B93,$B109&lt;&gt;$B94,$B110&lt;&gt;$B95,$B111&lt;&gt;$B96,$B112&lt;&gt;$B97,$B113&lt;&gt;$B98,$B114&lt;&gt;$B99,$B115&lt;&gt;$B100,$B116&lt;&gt;$B101,$B117&lt;&gt;$B102,$B118&lt;&gt;$B103),IF($B111&lt;&gt;$B96,M96/INDEX($C93:$AJ103,4,MATCH(IF('Data-solution'!$A$3="Maximize",MAX($C104:$AI104),MIN($C104:$AI104)),$C104:$AI104,0)),M96-INDEX($C93:$AJ103,4,MATCH(IF('Data-solution'!$A$3="Maximize",MAX($C104:$AI104),MIN($C104:$AI104)),$C104:$AI104,0))*INDEX(M93:$AJ103,MATCH(MIN($AK93:$AK103),$AK93:$AK103,0),1)/INDEX($C93:$AJ103,MATCH(MIN($AK93:$AK103),$AK93:$AK103,0),MATCH(IF('Data-solution'!$A$3="Maximize",MAX($C104:$AI104),MIN($C104:$AI104)),$C104:$AI104,0))),M96)</f>
        <v>0</v>
      </c>
      <c r="N111" s="1">
        <f>IF(OR($B108&lt;&gt;$B93,$B109&lt;&gt;$B94,$B110&lt;&gt;$B95,$B111&lt;&gt;$B96,$B112&lt;&gt;$B97,$B113&lt;&gt;$B98,$B114&lt;&gt;$B99,$B115&lt;&gt;$B100,$B116&lt;&gt;$B101,$B117&lt;&gt;$B102,$B118&lt;&gt;$B103),IF($B111&lt;&gt;$B96,N96/INDEX($C93:$AJ103,4,MATCH(IF('Data-solution'!$A$3="Maximize",MAX($C104:$AI104),MIN($C104:$AI104)),$C104:$AI104,0)),N96-INDEX($C93:$AJ103,4,MATCH(IF('Data-solution'!$A$3="Maximize",MAX($C104:$AI104),MIN($C104:$AI104)),$C104:$AI104,0))*INDEX(N93:$AJ103,MATCH(MIN($AK93:$AK103),$AK93:$AK103,0),1)/INDEX($C93:$AJ103,MATCH(MIN($AK93:$AK103),$AK93:$AK103,0),MATCH(IF('Data-solution'!$A$3="Maximize",MAX($C104:$AI104),MIN($C104:$AI104)),$C104:$AI104,0))),N96)</f>
        <v>0</v>
      </c>
      <c r="O111" s="1">
        <f>IF(OR($B108&lt;&gt;$B93,$B109&lt;&gt;$B94,$B110&lt;&gt;$B95,$B111&lt;&gt;$B96,$B112&lt;&gt;$B97,$B113&lt;&gt;$B98,$B114&lt;&gt;$B99,$B115&lt;&gt;$B100,$B116&lt;&gt;$B101,$B117&lt;&gt;$B102,$B118&lt;&gt;$B103),IF($B111&lt;&gt;$B96,O96/INDEX($C93:$AJ103,4,MATCH(IF('Data-solution'!$A$3="Maximize",MAX($C104:$AI104),MIN($C104:$AI104)),$C104:$AI104,0)),O96-INDEX($C93:$AJ103,4,MATCH(IF('Data-solution'!$A$3="Maximize",MAX($C104:$AI104),MIN($C104:$AI104)),$C104:$AI104,0))*INDEX(O93:$AJ103,MATCH(MIN($AK93:$AK103),$AK93:$AK103,0),1)/INDEX($C93:$AJ103,MATCH(MIN($AK93:$AK103),$AK93:$AK103,0),MATCH(IF('Data-solution'!$A$3="Maximize",MAX($C104:$AI104),MIN($C104:$AI104)),$C104:$AI104,0))),O96)</f>
        <v>0</v>
      </c>
      <c r="P111" s="1">
        <f>IF(OR($B108&lt;&gt;$B93,$B109&lt;&gt;$B94,$B110&lt;&gt;$B95,$B111&lt;&gt;$B96,$B112&lt;&gt;$B97,$B113&lt;&gt;$B98,$B114&lt;&gt;$B99,$B115&lt;&gt;$B100,$B116&lt;&gt;$B101,$B117&lt;&gt;$B102,$B118&lt;&gt;$B103),IF($B111&lt;&gt;$B96,P96/INDEX($C93:$AJ103,4,MATCH(IF('Data-solution'!$A$3="Maximize",MAX($C104:$AI104),MIN($C104:$AI104)),$C104:$AI104,0)),P96-INDEX($C93:$AJ103,4,MATCH(IF('Data-solution'!$A$3="Maximize",MAX($C104:$AI104),MIN($C104:$AI104)),$C104:$AI104,0))*INDEX(P93:$AJ103,MATCH(MIN($AK93:$AK103),$AK93:$AK103,0),1)/INDEX($C93:$AJ103,MATCH(MIN($AK93:$AK103),$AK93:$AK103,0),MATCH(IF('Data-solution'!$A$3="Maximize",MAX($C104:$AI104),MIN($C104:$AI104)),$C104:$AI104,0))),P96)</f>
        <v>-0.24999999999999994</v>
      </c>
      <c r="Q111" s="1">
        <f>IF(OR($B108&lt;&gt;$B93,$B109&lt;&gt;$B94,$B110&lt;&gt;$B95,$B111&lt;&gt;$B96,$B112&lt;&gt;$B97,$B113&lt;&gt;$B98,$B114&lt;&gt;$B99,$B115&lt;&gt;$B100,$B116&lt;&gt;$B101,$B117&lt;&gt;$B102,$B118&lt;&gt;$B103),IF($B111&lt;&gt;$B96,Q96/INDEX($C93:$AJ103,4,MATCH(IF('Data-solution'!$A$3="Maximize",MAX($C104:$AI104),MIN($C104:$AI104)),$C104:$AI104,0)),Q96-INDEX($C93:$AJ103,4,MATCH(IF('Data-solution'!$A$3="Maximize",MAX($C104:$AI104),MIN($C104:$AI104)),$C104:$AI104,0))*INDEX(Q93:$AJ103,MATCH(MIN($AK93:$AK103),$AK93:$AK103,0),1)/INDEX($C93:$AJ103,MATCH(MIN($AK93:$AK103),$AK93:$AK103,0),MATCH(IF('Data-solution'!$A$3="Maximize",MAX($C104:$AI104),MIN($C104:$AI104)),$C104:$AI104,0))),Q96)</f>
        <v>1.4999999999999998</v>
      </c>
      <c r="R111" s="1">
        <f>IF(OR($B108&lt;&gt;$B93,$B109&lt;&gt;$B94,$B110&lt;&gt;$B95,$B111&lt;&gt;$B96,$B112&lt;&gt;$B97,$B113&lt;&gt;$B98,$B114&lt;&gt;$B99,$B115&lt;&gt;$B100,$B116&lt;&gt;$B101,$B117&lt;&gt;$B102,$B118&lt;&gt;$B103),IF($B111&lt;&gt;$B96,R96/INDEX($C93:$AJ103,4,MATCH(IF('Data-solution'!$A$3="Maximize",MAX($C104:$AI104),MIN($C104:$AI104)),$C104:$AI104,0)),R96-INDEX($C93:$AJ103,4,MATCH(IF('Data-solution'!$A$3="Maximize",MAX($C104:$AI104),MIN($C104:$AI104)),$C104:$AI104,0))*INDEX(R93:$AJ103,MATCH(MIN($AK93:$AK103),$AK93:$AK103,0),1)/INDEX($C93:$AJ103,MATCH(MIN($AK93:$AK103),$AK93:$AK103,0),MATCH(IF('Data-solution'!$A$3="Maximize",MAX($C104:$AI104),MIN($C104:$AI104)),$C104:$AI104,0))),R96)</f>
        <v>0</v>
      </c>
      <c r="S111" s="1">
        <f>IF(OR($B108&lt;&gt;$B93,$B109&lt;&gt;$B94,$B110&lt;&gt;$B95,$B111&lt;&gt;$B96,$B112&lt;&gt;$B97,$B113&lt;&gt;$B98,$B114&lt;&gt;$B99,$B115&lt;&gt;$B100,$B116&lt;&gt;$B101,$B117&lt;&gt;$B102,$B118&lt;&gt;$B103),IF($B111&lt;&gt;$B96,S96/INDEX($C93:$AJ103,4,MATCH(IF('Data-solution'!$A$3="Maximize",MAX($C104:$AI104),MIN($C104:$AI104)),$C104:$AI104,0)),S96-INDEX($C93:$AJ103,4,MATCH(IF('Data-solution'!$A$3="Maximize",MAX($C104:$AI104),MIN($C104:$AI104)),$C104:$AI104,0))*INDEX(S93:$AJ103,MATCH(MIN($AK93:$AK103),$AK93:$AK103,0),1)/INDEX($C93:$AJ103,MATCH(MIN($AK93:$AK103),$AK93:$AK103,0),MATCH(IF('Data-solution'!$A$3="Maximize",MAX($C104:$AI104),MIN($C104:$AI104)),$C104:$AI104,0))),S96)</f>
        <v>0</v>
      </c>
      <c r="T111" s="1">
        <f>IF(OR($B108&lt;&gt;$B93,$B109&lt;&gt;$B94,$B110&lt;&gt;$B95,$B111&lt;&gt;$B96,$B112&lt;&gt;$B97,$B113&lt;&gt;$B98,$B114&lt;&gt;$B99,$B115&lt;&gt;$B100,$B116&lt;&gt;$B101,$B117&lt;&gt;$B102,$B118&lt;&gt;$B103),IF($B111&lt;&gt;$B96,T96/INDEX($C93:$AJ103,4,MATCH(IF('Data-solution'!$A$3="Maximize",MAX($C104:$AI104),MIN($C104:$AI104)),$C104:$AI104,0)),T96-INDEX($C93:$AJ103,4,MATCH(IF('Data-solution'!$A$3="Maximize",MAX($C104:$AI104),MIN($C104:$AI104)),$C104:$AI104,0))*INDEX(T93:$AJ103,MATCH(MIN($AK93:$AK103),$AK93:$AK103,0),1)/INDEX($C93:$AJ103,MATCH(MIN($AK93:$AK103),$AK93:$AK103,0),MATCH(IF('Data-solution'!$A$3="Maximize",MAX($C104:$AI104),MIN($C104:$AI104)),$C104:$AI104,0))),T96)</f>
        <v>0</v>
      </c>
      <c r="U111" s="1">
        <f>IF(OR($B108&lt;&gt;$B93,$B109&lt;&gt;$B94,$B110&lt;&gt;$B95,$B111&lt;&gt;$B96,$B112&lt;&gt;$B97,$B113&lt;&gt;$B98,$B114&lt;&gt;$B99,$B115&lt;&gt;$B100,$B116&lt;&gt;$B101,$B117&lt;&gt;$B102,$B118&lt;&gt;$B103),IF($B111&lt;&gt;$B96,U96/INDEX($C93:$AJ103,4,MATCH(IF('Data-solution'!$A$3="Maximize",MAX($C104:$AI104),MIN($C104:$AI104)),$C104:$AI104,0)),U96-INDEX($C93:$AJ103,4,MATCH(IF('Data-solution'!$A$3="Maximize",MAX($C104:$AI104),MIN($C104:$AI104)),$C104:$AI104,0))*INDEX(U93:$AJ103,MATCH(MIN($AK93:$AK103),$AK93:$AK103,0),1)/INDEX($C93:$AJ103,MATCH(MIN($AK93:$AK103),$AK93:$AK103,0),MATCH(IF('Data-solution'!$A$3="Maximize",MAX($C104:$AI104),MIN($C104:$AI104)),$C104:$AI104,0))),U96)</f>
        <v>0</v>
      </c>
      <c r="V111" s="1">
        <f>IF(OR($B108&lt;&gt;$B93,$B109&lt;&gt;$B94,$B110&lt;&gt;$B95,$B111&lt;&gt;$B96,$B112&lt;&gt;$B97,$B113&lt;&gt;$B98,$B114&lt;&gt;$B99,$B115&lt;&gt;$B100,$B116&lt;&gt;$B101,$B117&lt;&gt;$B102,$B118&lt;&gt;$B103),IF($B111&lt;&gt;$B96,V96/INDEX($C93:$AJ103,4,MATCH(IF('Data-solution'!$A$3="Maximize",MAX($C104:$AI104),MIN($C104:$AI104)),$C104:$AI104,0)),V96-INDEX($C93:$AJ103,4,MATCH(IF('Data-solution'!$A$3="Maximize",MAX($C104:$AI104),MIN($C104:$AI104)),$C104:$AI104,0))*INDEX(V93:$AJ103,MATCH(MIN($AK93:$AK103),$AK93:$AK103,0),1)/INDEX($C93:$AJ103,MATCH(MIN($AK93:$AK103),$AK93:$AK103,0),MATCH(IF('Data-solution'!$A$3="Maximize",MAX($C104:$AI104),MIN($C104:$AI104)),$C104:$AI104,0))),V96)</f>
        <v>0</v>
      </c>
      <c r="W111" s="1">
        <f>IF(OR($B108&lt;&gt;$B93,$B109&lt;&gt;$B94,$B110&lt;&gt;$B95,$B111&lt;&gt;$B96,$B112&lt;&gt;$B97,$B113&lt;&gt;$B98,$B114&lt;&gt;$B99,$B115&lt;&gt;$B100,$B116&lt;&gt;$B101,$B117&lt;&gt;$B102,$B118&lt;&gt;$B103),IF($B111&lt;&gt;$B96,W96/INDEX($C93:$AJ103,4,MATCH(IF('Data-solution'!$A$3="Maximize",MAX($C104:$AI104),MIN($C104:$AI104)),$C104:$AI104,0)),W96-INDEX($C93:$AJ103,4,MATCH(IF('Data-solution'!$A$3="Maximize",MAX($C104:$AI104),MIN($C104:$AI104)),$C104:$AI104,0))*INDEX(W93:$AJ103,MATCH(MIN($AK93:$AK103),$AK93:$AK103,0),1)/INDEX($C93:$AJ103,MATCH(MIN($AK93:$AK103),$AK93:$AK103,0),MATCH(IF('Data-solution'!$A$3="Maximize",MAX($C104:$AI104),MIN($C104:$AI104)),$C104:$AI104,0))),W96)</f>
        <v>0</v>
      </c>
      <c r="X111" s="1">
        <f>IF(OR($B108&lt;&gt;$B93,$B109&lt;&gt;$B94,$B110&lt;&gt;$B95,$B111&lt;&gt;$B96,$B112&lt;&gt;$B97,$B113&lt;&gt;$B98,$B114&lt;&gt;$B99,$B115&lt;&gt;$B100,$B116&lt;&gt;$B101,$B117&lt;&gt;$B102,$B118&lt;&gt;$B103),IF($B111&lt;&gt;$B96,X96/INDEX($C93:$AJ103,4,MATCH(IF('Data-solution'!$A$3="Maximize",MAX($C104:$AI104),MIN($C104:$AI104)),$C104:$AI104,0)),X96-INDEX($C93:$AJ103,4,MATCH(IF('Data-solution'!$A$3="Maximize",MAX($C104:$AI104),MIN($C104:$AI104)),$C104:$AI104,0))*INDEX(X93:$AJ103,MATCH(MIN($AK93:$AK103),$AK93:$AK103,0),1)/INDEX($C93:$AJ103,MATCH(MIN($AK93:$AK103),$AK93:$AK103,0),MATCH(IF('Data-solution'!$A$3="Maximize",MAX($C104:$AI104),MIN($C104:$AI104)),$C104:$AI104,0))),X96)</f>
        <v>0</v>
      </c>
      <c r="Y111" s="1">
        <f>IF(OR($B108&lt;&gt;$B93,$B109&lt;&gt;$B94,$B110&lt;&gt;$B95,$B111&lt;&gt;$B96,$B112&lt;&gt;$B97,$B113&lt;&gt;$B98,$B114&lt;&gt;$B99,$B115&lt;&gt;$B100,$B116&lt;&gt;$B101,$B117&lt;&gt;$B102,$B118&lt;&gt;$B103),IF($B111&lt;&gt;$B96,Y96/INDEX($C93:$AJ103,4,MATCH(IF('Data-solution'!$A$3="Maximize",MAX($C104:$AI104),MIN($C104:$AI104)),$C104:$AI104,0)),Y96-INDEX($C93:$AJ103,4,MATCH(IF('Data-solution'!$A$3="Maximize",MAX($C104:$AI104),MIN($C104:$AI104)),$C104:$AI104,0))*INDEX(Y93:$AJ103,MATCH(MIN($AK93:$AK103),$AK93:$AK103,0),1)/INDEX($C93:$AJ103,MATCH(MIN($AK93:$AK103),$AK93:$AK103,0),MATCH(IF('Data-solution'!$A$3="Maximize",MAX($C104:$AI104),MIN($C104:$AI104)),$C104:$AI104,0))),Y96)</f>
        <v>0</v>
      </c>
      <c r="Z111" s="1">
        <f>IF(OR($B108&lt;&gt;$B93,$B109&lt;&gt;$B94,$B110&lt;&gt;$B95,$B111&lt;&gt;$B96,$B112&lt;&gt;$B97,$B113&lt;&gt;$B98,$B114&lt;&gt;$B99,$B115&lt;&gt;$B100,$B116&lt;&gt;$B101,$B117&lt;&gt;$B102,$B118&lt;&gt;$B103),IF($B111&lt;&gt;$B96,Z96/INDEX($C93:$AJ103,4,MATCH(IF('Data-solution'!$A$3="Maximize",MAX($C104:$AI104),MIN($C104:$AI104)),$C104:$AI104,0)),Z96-INDEX($C93:$AJ103,4,MATCH(IF('Data-solution'!$A$3="Maximize",MAX($C104:$AI104),MIN($C104:$AI104)),$C104:$AI104,0))*INDEX(Z93:$AJ103,MATCH(MIN($AK93:$AK103),$AK93:$AK103,0),1)/INDEX($C93:$AJ103,MATCH(MIN($AK93:$AK103),$AK93:$AK103,0),MATCH(IF('Data-solution'!$A$3="Maximize",MAX($C104:$AI104),MIN($C104:$AI104)),$C104:$AI104,0))),Z96)</f>
        <v>0</v>
      </c>
      <c r="AA111" s="1">
        <f>IF(OR($B108&lt;&gt;$B93,$B109&lt;&gt;$B94,$B110&lt;&gt;$B95,$B111&lt;&gt;$B96,$B112&lt;&gt;$B97,$B113&lt;&gt;$B98,$B114&lt;&gt;$B99,$B115&lt;&gt;$B100,$B116&lt;&gt;$B101,$B117&lt;&gt;$B102,$B118&lt;&gt;$B103),IF($B111&lt;&gt;$B96,AA96/INDEX($C93:$AJ103,4,MATCH(IF('Data-solution'!$A$3="Maximize",MAX($C104:$AI104),MIN($C104:$AI104)),$C104:$AI104,0)),AA96-INDEX($C93:$AJ103,4,MATCH(IF('Data-solution'!$A$3="Maximize",MAX($C104:$AI104),MIN($C104:$AI104)),$C104:$AI104,0))*INDEX(AA93:$AJ103,MATCH(MIN($AK93:$AK103),$AK93:$AK103,0),1)/INDEX($C93:$AJ103,MATCH(MIN($AK93:$AK103),$AK93:$AK103,0),MATCH(IF('Data-solution'!$A$3="Maximize",MAX($C104:$AI104),MIN($C104:$AI104)),$C104:$AI104,0))),AA96)</f>
        <v>-0.24999999999999994</v>
      </c>
      <c r="AB111" s="1">
        <f>IF(OR($B108&lt;&gt;$B93,$B109&lt;&gt;$B94,$B110&lt;&gt;$B95,$B111&lt;&gt;$B96,$B112&lt;&gt;$B97,$B113&lt;&gt;$B98,$B114&lt;&gt;$B99,$B115&lt;&gt;$B100,$B116&lt;&gt;$B101,$B117&lt;&gt;$B102,$B118&lt;&gt;$B103),IF($B111&lt;&gt;$B96,AB96/INDEX($C93:$AJ103,4,MATCH(IF('Data-solution'!$A$3="Maximize",MAX($C104:$AI104),MIN($C104:$AI104)),$C104:$AI104,0)),AB96-INDEX($C93:$AJ103,4,MATCH(IF('Data-solution'!$A$3="Maximize",MAX($C104:$AI104),MIN($C104:$AI104)),$C104:$AI104,0))*INDEX(AB93:$AJ103,MATCH(MIN($AK93:$AK103),$AK93:$AK103,0),1)/INDEX($C93:$AJ103,MATCH(MIN($AK93:$AK103),$AK93:$AK103,0),MATCH(IF('Data-solution'!$A$3="Maximize",MAX($C104:$AI104),MIN($C104:$AI104)),$C104:$AI104,0))),AB96)</f>
        <v>1.4999999999999998</v>
      </c>
      <c r="AC111" s="1">
        <f>IF(OR($B108&lt;&gt;$B93,$B109&lt;&gt;$B94,$B110&lt;&gt;$B95,$B111&lt;&gt;$B96,$B112&lt;&gt;$B97,$B113&lt;&gt;$B98,$B114&lt;&gt;$B99,$B115&lt;&gt;$B100,$B116&lt;&gt;$B101,$B117&lt;&gt;$B102,$B118&lt;&gt;$B103),IF($B111&lt;&gt;$B96,AC96/INDEX($C93:$AJ103,4,MATCH(IF('Data-solution'!$A$3="Maximize",MAX($C104:$AI104),MIN($C104:$AI104)),$C104:$AI104,0)),AC96-INDEX($C93:$AJ103,4,MATCH(IF('Data-solution'!$A$3="Maximize",MAX($C104:$AI104),MIN($C104:$AI104)),$C104:$AI104,0))*INDEX(AC93:$AJ103,MATCH(MIN($AK93:$AK103),$AK93:$AK103,0),1)/INDEX($C93:$AJ103,MATCH(MIN($AK93:$AK103),$AK93:$AK103,0),MATCH(IF('Data-solution'!$A$3="Maximize",MAX($C104:$AI104),MIN($C104:$AI104)),$C104:$AI104,0))),AC96)</f>
        <v>0</v>
      </c>
      <c r="AD111" s="1">
        <f>IF(OR($B108&lt;&gt;$B93,$B109&lt;&gt;$B94,$B110&lt;&gt;$B95,$B111&lt;&gt;$B96,$B112&lt;&gt;$B97,$B113&lt;&gt;$B98,$B114&lt;&gt;$B99,$B115&lt;&gt;$B100,$B116&lt;&gt;$B101,$B117&lt;&gt;$B102,$B118&lt;&gt;$B103),IF($B111&lt;&gt;$B96,AD96/INDEX($C93:$AJ103,4,MATCH(IF('Data-solution'!$A$3="Maximize",MAX($C104:$AI104),MIN($C104:$AI104)),$C104:$AI104,0)),AD96-INDEX($C93:$AJ103,4,MATCH(IF('Data-solution'!$A$3="Maximize",MAX($C104:$AI104),MIN($C104:$AI104)),$C104:$AI104,0))*INDEX(AD93:$AJ103,MATCH(MIN($AK93:$AK103),$AK93:$AK103,0),1)/INDEX($C93:$AJ103,MATCH(MIN($AK93:$AK103),$AK93:$AK103,0),MATCH(IF('Data-solution'!$A$3="Maximize",MAX($C104:$AI104),MIN($C104:$AI104)),$C104:$AI104,0))),AD96)</f>
        <v>0</v>
      </c>
      <c r="AE111" s="1">
        <f>IF(OR($B108&lt;&gt;$B93,$B109&lt;&gt;$B94,$B110&lt;&gt;$B95,$B111&lt;&gt;$B96,$B112&lt;&gt;$B97,$B113&lt;&gt;$B98,$B114&lt;&gt;$B99,$B115&lt;&gt;$B100,$B116&lt;&gt;$B101,$B117&lt;&gt;$B102,$B118&lt;&gt;$B103),IF($B111&lt;&gt;$B96,AE96/INDEX($C93:$AJ103,4,MATCH(IF('Data-solution'!$A$3="Maximize",MAX($C104:$AI104),MIN($C104:$AI104)),$C104:$AI104,0)),AE96-INDEX($C93:$AJ103,4,MATCH(IF('Data-solution'!$A$3="Maximize",MAX($C104:$AI104),MIN($C104:$AI104)),$C104:$AI104,0))*INDEX(AE93:$AJ103,MATCH(MIN($AK93:$AK103),$AK93:$AK103,0),1)/INDEX($C93:$AJ103,MATCH(MIN($AK93:$AK103),$AK93:$AK103,0),MATCH(IF('Data-solution'!$A$3="Maximize",MAX($C104:$AI104),MIN($C104:$AI104)),$C104:$AI104,0))),AE96)</f>
        <v>0</v>
      </c>
      <c r="AF111" s="1">
        <f>IF(OR($B108&lt;&gt;$B93,$B109&lt;&gt;$B94,$B110&lt;&gt;$B95,$B111&lt;&gt;$B96,$B112&lt;&gt;$B97,$B113&lt;&gt;$B98,$B114&lt;&gt;$B99,$B115&lt;&gt;$B100,$B116&lt;&gt;$B101,$B117&lt;&gt;$B102,$B118&lt;&gt;$B103),IF($B111&lt;&gt;$B96,AF96/INDEX($C93:$AJ103,4,MATCH(IF('Data-solution'!$A$3="Maximize",MAX($C104:$AI104),MIN($C104:$AI104)),$C104:$AI104,0)),AF96-INDEX($C93:$AJ103,4,MATCH(IF('Data-solution'!$A$3="Maximize",MAX($C104:$AI104),MIN($C104:$AI104)),$C104:$AI104,0))*INDEX(AF93:$AJ103,MATCH(MIN($AK93:$AK103),$AK93:$AK103,0),1)/INDEX($C93:$AJ103,MATCH(MIN($AK93:$AK103),$AK93:$AK103,0),MATCH(IF('Data-solution'!$A$3="Maximize",MAX($C104:$AI104),MIN($C104:$AI104)),$C104:$AI104,0))),AF96)</f>
        <v>0</v>
      </c>
      <c r="AG111" s="1">
        <f>IF(OR($B108&lt;&gt;$B93,$B109&lt;&gt;$B94,$B110&lt;&gt;$B95,$B111&lt;&gt;$B96,$B112&lt;&gt;$B97,$B113&lt;&gt;$B98,$B114&lt;&gt;$B99,$B115&lt;&gt;$B100,$B116&lt;&gt;$B101,$B117&lt;&gt;$B102,$B118&lt;&gt;$B103),IF($B111&lt;&gt;$B96,AG96/INDEX($C93:$AJ103,4,MATCH(IF('Data-solution'!$A$3="Maximize",MAX($C104:$AI104),MIN($C104:$AI104)),$C104:$AI104,0)),AG96-INDEX($C93:$AJ103,4,MATCH(IF('Data-solution'!$A$3="Maximize",MAX($C104:$AI104),MIN($C104:$AI104)),$C104:$AI104,0))*INDEX(AG93:$AJ103,MATCH(MIN($AK93:$AK103),$AK93:$AK103,0),1)/INDEX($C93:$AJ103,MATCH(MIN($AK93:$AK103),$AK93:$AK103,0),MATCH(IF('Data-solution'!$A$3="Maximize",MAX($C104:$AI104),MIN($C104:$AI104)),$C104:$AI104,0))),AG96)</f>
        <v>0</v>
      </c>
      <c r="AH111" s="1">
        <f>IF(OR($B108&lt;&gt;$B93,$B109&lt;&gt;$B94,$B110&lt;&gt;$B95,$B111&lt;&gt;$B96,$B112&lt;&gt;$B97,$B113&lt;&gt;$B98,$B114&lt;&gt;$B99,$B115&lt;&gt;$B100,$B116&lt;&gt;$B101,$B117&lt;&gt;$B102,$B118&lt;&gt;$B103),IF($B111&lt;&gt;$B96,AH96/INDEX($C93:$AJ103,4,MATCH(IF('Data-solution'!$A$3="Maximize",MAX($C104:$AI104),MIN($C104:$AI104)),$C104:$AI104,0)),AH96-INDEX($C93:$AJ103,4,MATCH(IF('Data-solution'!$A$3="Maximize",MAX($C104:$AI104),MIN($C104:$AI104)),$C104:$AI104,0))*INDEX(AH93:$AJ103,MATCH(MIN($AK93:$AK103),$AK93:$AK103,0),1)/INDEX($C93:$AJ103,MATCH(MIN($AK93:$AK103),$AK93:$AK103,0),MATCH(IF('Data-solution'!$A$3="Maximize",MAX($C104:$AI104),MIN($C104:$AI104)),$C104:$AI104,0))),AH96)</f>
        <v>0</v>
      </c>
      <c r="AI111" s="1">
        <f>IF(OR($B108&lt;&gt;$B93,$B109&lt;&gt;$B94,$B110&lt;&gt;$B95,$B111&lt;&gt;$B96,$B112&lt;&gt;$B97,$B113&lt;&gt;$B98,$B114&lt;&gt;$B99,$B115&lt;&gt;$B100,$B116&lt;&gt;$B101,$B117&lt;&gt;$B102,$B118&lt;&gt;$B103),IF($B111&lt;&gt;$B96,AI96/INDEX($C93:$AJ103,4,MATCH(IF('Data-solution'!$A$3="Maximize",MAX($C104:$AI104),MIN($C104:$AI104)),$C104:$AI104,0)),AI96-INDEX($C93:$AJ103,4,MATCH(IF('Data-solution'!$A$3="Maximize",MAX($C104:$AI104),MIN($C104:$AI104)),$C104:$AI104,0))*INDEX(AI93:$AJ103,MATCH(MIN($AK93:$AK103),$AK93:$AK103,0),1)/INDEX($C93:$AJ103,MATCH(MIN($AK93:$AK103),$AK93:$AK103,0),MATCH(IF('Data-solution'!$A$3="Maximize",MAX($C104:$AI104),MIN($C104:$AI104)),$C104:$AI104,0))),AI96)</f>
        <v>0</v>
      </c>
      <c r="AJ111" s="1">
        <f>IF(OR($B108&lt;&gt;$B93,$B109&lt;&gt;$B94,$B110&lt;&gt;$B95,$B111&lt;&gt;$B96,$B112&lt;&gt;$B97,$B113&lt;&gt;$B98,$B114&lt;&gt;$B99,$B115&lt;&gt;$B100,$B116&lt;&gt;$B101,$B117&lt;&gt;$B102,$B118&lt;&gt;$B103),IF($B111&lt;&gt;$B96,AJ96/INDEX($C93:$AJ103,4,MATCH(IF('Data-solution'!$A$3="Maximize",MAX($C104:$AI104),MIN($C104:$AI104)),$C104:$AI104,0)),AJ96-INDEX($C93:$AJ103,4,MATCH(IF('Data-solution'!$A$3="Maximize",MAX($C104:$AI104),MIN($C104:$AI104)),$C104:$AI104,0))*INDEX(AJ93:$AJ103,MATCH(MIN($AK93:$AK103),$AK93:$AK103,0),1)/INDEX($C93:$AJ103,MATCH(MIN($AK93:$AK103),$AK93:$AK103,0),MATCH(IF('Data-solution'!$A$3="Maximize",MAX($C104:$AI104),MIN($C104:$AI104)),$C104:$AI104,0))),AJ96)</f>
        <v>100.00000000000001</v>
      </c>
      <c r="AK111" s="1">
        <f>IF(INDEX(C111:X111,1,MATCH(IF('Data-solution'!A$3="Maximize",MAX(C119:X119),MIN(C119:X119)),C119:X119,0))&gt;0,AJ111/INDEX(C111:X111,1,MATCH(IF('Data-solution'!A$3="Maximize",MAX(C119:X119),MIN(C119:X119)),C119:X119,0))," ")</f>
        <v>100.00000000000001</v>
      </c>
    </row>
    <row r="112" spans="1:37" ht="18" customHeight="1" x14ac:dyDescent="0.2">
      <c r="A112" s="1">
        <f t="shared" ref="A112" si="86">INDEX(C106:AI106,1,MATCH(B112,C107:AI107,0))</f>
        <v>0</v>
      </c>
      <c r="B112" s="2" t="str">
        <f>IF(AND('Data-solution'!A$3="Maximize",COUNTIF(C104:X104,"&gt;"&amp;0)&gt;0,AK97=MIN(AK93:AK103),COUNTIF(B108:B111,INDEX(C92:X92,1,MATCH(MAX(C104:X104),C104:X104,0)))=0),INDEX(C92:X92,1,MATCH(MAX(C104:X104),C104:X104,0)),IF(AND('Data-solution'!A$3="Minimize",COUNTIF(C104:X104,"&lt;"&amp;0)&gt;0,AK97=MIN(AK93:AK103),COUNTIF(B108:B111,INDEX(C92:X92,1,MATCH(MIN(C104:X104),C104:X104,0)))=0),INDEX(C92:X92,1,MATCH(MIN(C104:X104),C104:X104,0)),B97))</f>
        <v>S5</v>
      </c>
      <c r="C112" s="1">
        <f>IF(OR($B108&lt;&gt;$B93,$B109&lt;&gt;$B94,$B110&lt;&gt;$B95,$B111&lt;&gt;$B96,$B112&lt;&gt;$B97,$B113&lt;&gt;$B98,$B114&lt;&gt;$B99,$B115&lt;&gt;$B100,$B116&lt;&gt;$B101,$B117&lt;&gt;$B102,$B118&lt;&gt;$B103),IF($B112&lt;&gt;$B97,C97/INDEX($C93:$AJ103,5,MATCH(IF('Data-solution'!$A$3="Maximize",MAX($C104:$AI104),MIN($C104:$AI104)),$C104:$AI104,0)),C97-INDEX($C93:$AJ103,5,MATCH(IF('Data-solution'!$A$3="Maximize",MAX($C104:$AI104),MIN($C104:$AI104)),$C104:$AI104,0))*INDEX(C93:$AJ103,MATCH(MIN($AK93:$AK103),$AK93:$AK103,0),1)/INDEX($C93:$AJ103,MATCH(MIN($AK93:$AK103),$AK93:$AK103,0),MATCH(IF('Data-solution'!$A$3="Maximize",MAX($C104:$AI104),MIN($C104:$AI104)),$C104:$AI104,0))),C97)</f>
        <v>0</v>
      </c>
      <c r="D112" s="1">
        <f>IF(OR($B108&lt;&gt;$B93,$B109&lt;&gt;$B94,$B110&lt;&gt;$B95,$B111&lt;&gt;$B96,$B112&lt;&gt;$B97,$B113&lt;&gt;$B98,$B114&lt;&gt;$B99,$B115&lt;&gt;$B100,$B116&lt;&gt;$B101,$B117&lt;&gt;$B102,$B118&lt;&gt;$B103),IF($B112&lt;&gt;$B97,D97/INDEX($C93:$AJ103,5,MATCH(IF('Data-solution'!$A$3="Maximize",MAX($C104:$AI104),MIN($C104:$AI104)),$C104:$AI104,0)),D97-INDEX($C93:$AJ103,5,MATCH(IF('Data-solution'!$A$3="Maximize",MAX($C104:$AI104),MIN($C104:$AI104)),$C104:$AI104,0))*INDEX(D93:$AJ103,MATCH(MIN($AK93:$AK103),$AK93:$AK103,0),1)/INDEX($C93:$AJ103,MATCH(MIN($AK93:$AK103),$AK93:$AK103,0),MATCH(IF('Data-solution'!$A$3="Maximize",MAX($C104:$AI104),MIN($C104:$AI104)),$C104:$AI104,0))),D97)</f>
        <v>0</v>
      </c>
      <c r="E112" s="1">
        <f>IF(OR($B108&lt;&gt;$B93,$B109&lt;&gt;$B94,$B110&lt;&gt;$B95,$B111&lt;&gt;$B96,$B112&lt;&gt;$B97,$B113&lt;&gt;$B98,$B114&lt;&gt;$B99,$B115&lt;&gt;$B100,$B116&lt;&gt;$B101,$B117&lt;&gt;$B102,$B118&lt;&gt;$B103),IF($B112&lt;&gt;$B97,E97/INDEX($C93:$AJ103,5,MATCH(IF('Data-solution'!$A$3="Maximize",MAX($C104:$AI104),MIN($C104:$AI104)),$C104:$AI104,0)),E97-INDEX($C93:$AJ103,5,MATCH(IF('Data-solution'!$A$3="Maximize",MAX($C104:$AI104),MIN($C104:$AI104)),$C104:$AI104,0))*INDEX(E93:$AJ103,MATCH(MIN($AK93:$AK103),$AK93:$AK103,0),1)/INDEX($C93:$AJ103,MATCH(MIN($AK93:$AK103),$AK93:$AK103,0),MATCH(IF('Data-solution'!$A$3="Maximize",MAX($C104:$AI104),MIN($C104:$AI104)),$C104:$AI104,0))),E97)</f>
        <v>0</v>
      </c>
      <c r="F112" s="1">
        <f>IF(OR($B108&lt;&gt;$B93,$B109&lt;&gt;$B94,$B110&lt;&gt;$B95,$B111&lt;&gt;$B96,$B112&lt;&gt;$B97,$B113&lt;&gt;$B98,$B114&lt;&gt;$B99,$B115&lt;&gt;$B100,$B116&lt;&gt;$B101,$B117&lt;&gt;$B102,$B118&lt;&gt;$B103),IF($B112&lt;&gt;$B97,F97/INDEX($C93:$AJ103,5,MATCH(IF('Data-solution'!$A$3="Maximize",MAX($C104:$AI104),MIN($C104:$AI104)),$C104:$AI104,0)),F97-INDEX($C93:$AJ103,5,MATCH(IF('Data-solution'!$A$3="Maximize",MAX($C104:$AI104),MIN($C104:$AI104)),$C104:$AI104,0))*INDEX(F93:$AJ103,MATCH(MIN($AK93:$AK103),$AK93:$AK103,0),1)/INDEX($C93:$AJ103,MATCH(MIN($AK93:$AK103),$AK93:$AK103,0),MATCH(IF('Data-solution'!$A$3="Maximize",MAX($C104:$AI104),MIN($C104:$AI104)),$C104:$AI104,0))),F97)</f>
        <v>0</v>
      </c>
      <c r="G112" s="1">
        <f>IF(OR($B108&lt;&gt;$B93,$B109&lt;&gt;$B94,$B110&lt;&gt;$B95,$B111&lt;&gt;$B96,$B112&lt;&gt;$B97,$B113&lt;&gt;$B98,$B114&lt;&gt;$B99,$B115&lt;&gt;$B100,$B116&lt;&gt;$B101,$B117&lt;&gt;$B102,$B118&lt;&gt;$B103),IF($B112&lt;&gt;$B97,G97/INDEX($C93:$AJ103,5,MATCH(IF('Data-solution'!$A$3="Maximize",MAX($C104:$AI104),MIN($C104:$AI104)),$C104:$AI104,0)),G97-INDEX($C93:$AJ103,5,MATCH(IF('Data-solution'!$A$3="Maximize",MAX($C104:$AI104),MIN($C104:$AI104)),$C104:$AI104,0))*INDEX(G93:$AJ103,MATCH(MIN($AK93:$AK103),$AK93:$AK103,0),1)/INDEX($C93:$AJ103,MATCH(MIN($AK93:$AK103),$AK93:$AK103,0),MATCH(IF('Data-solution'!$A$3="Maximize",MAX($C104:$AI104),MIN($C104:$AI104)),$C104:$AI104,0))),G97)</f>
        <v>0</v>
      </c>
      <c r="H112" s="1">
        <f>IF(OR($B108&lt;&gt;$B93,$B109&lt;&gt;$B94,$B110&lt;&gt;$B95,$B111&lt;&gt;$B96,$B112&lt;&gt;$B97,$B113&lt;&gt;$B98,$B114&lt;&gt;$B99,$B115&lt;&gt;$B100,$B116&lt;&gt;$B101,$B117&lt;&gt;$B102,$B118&lt;&gt;$B103),IF($B112&lt;&gt;$B97,H97/INDEX($C93:$AJ103,5,MATCH(IF('Data-solution'!$A$3="Maximize",MAX($C104:$AI104),MIN($C104:$AI104)),$C104:$AI104,0)),H97-INDEX($C93:$AJ103,5,MATCH(IF('Data-solution'!$A$3="Maximize",MAX($C104:$AI104),MIN($C104:$AI104)),$C104:$AI104,0))*INDEX(H93:$AJ103,MATCH(MIN($AK93:$AK103),$AK93:$AK103,0),1)/INDEX($C93:$AJ103,MATCH(MIN($AK93:$AK103),$AK93:$AK103,0),MATCH(IF('Data-solution'!$A$3="Maximize",MAX($C104:$AI104),MIN($C104:$AI104)),$C104:$AI104,0))),H97)</f>
        <v>0</v>
      </c>
      <c r="I112" s="1">
        <f>IF(OR($B108&lt;&gt;$B93,$B109&lt;&gt;$B94,$B110&lt;&gt;$B95,$B111&lt;&gt;$B96,$B112&lt;&gt;$B97,$B113&lt;&gt;$B98,$B114&lt;&gt;$B99,$B115&lt;&gt;$B100,$B116&lt;&gt;$B101,$B117&lt;&gt;$B102,$B118&lt;&gt;$B103),IF($B112&lt;&gt;$B97,I97/INDEX($C93:$AJ103,5,MATCH(IF('Data-solution'!$A$3="Maximize",MAX($C104:$AI104),MIN($C104:$AI104)),$C104:$AI104,0)),I97-INDEX($C93:$AJ103,5,MATCH(IF('Data-solution'!$A$3="Maximize",MAX($C104:$AI104),MIN($C104:$AI104)),$C104:$AI104,0))*INDEX(I93:$AJ103,MATCH(MIN($AK93:$AK103),$AK93:$AK103,0),1)/INDEX($C93:$AJ103,MATCH(MIN($AK93:$AK103),$AK93:$AK103,0),MATCH(IF('Data-solution'!$A$3="Maximize",MAX($C104:$AI104),MIN($C104:$AI104)),$C104:$AI104,0))),I97)</f>
        <v>0</v>
      </c>
      <c r="J112" s="1">
        <f>IF(OR($B108&lt;&gt;$B93,$B109&lt;&gt;$B94,$B110&lt;&gt;$B95,$B111&lt;&gt;$B96,$B112&lt;&gt;$B97,$B113&lt;&gt;$B98,$B114&lt;&gt;$B99,$B115&lt;&gt;$B100,$B116&lt;&gt;$B101,$B117&lt;&gt;$B102,$B118&lt;&gt;$B103),IF($B112&lt;&gt;$B97,J97/INDEX($C93:$AJ103,5,MATCH(IF('Data-solution'!$A$3="Maximize",MAX($C104:$AI104),MIN($C104:$AI104)),$C104:$AI104,0)),J97-INDEX($C93:$AJ103,5,MATCH(IF('Data-solution'!$A$3="Maximize",MAX($C104:$AI104),MIN($C104:$AI104)),$C104:$AI104,0))*INDEX(J93:$AJ103,MATCH(MIN($AK93:$AK103),$AK93:$AK103,0),1)/INDEX($C93:$AJ103,MATCH(MIN($AK93:$AK103),$AK93:$AK103,0),MATCH(IF('Data-solution'!$A$3="Maximize",MAX($C104:$AI104),MIN($C104:$AI104)),$C104:$AI104,0))),J97)</f>
        <v>0</v>
      </c>
      <c r="K112" s="1">
        <f>IF(OR($B108&lt;&gt;$B93,$B109&lt;&gt;$B94,$B110&lt;&gt;$B95,$B111&lt;&gt;$B96,$B112&lt;&gt;$B97,$B113&lt;&gt;$B98,$B114&lt;&gt;$B99,$B115&lt;&gt;$B100,$B116&lt;&gt;$B101,$B117&lt;&gt;$B102,$B118&lt;&gt;$B103),IF($B112&lt;&gt;$B97,K97/INDEX($C93:$AJ103,5,MATCH(IF('Data-solution'!$A$3="Maximize",MAX($C104:$AI104),MIN($C104:$AI104)),$C104:$AI104,0)),K97-INDEX($C93:$AJ103,5,MATCH(IF('Data-solution'!$A$3="Maximize",MAX($C104:$AI104),MIN($C104:$AI104)),$C104:$AI104,0))*INDEX(K93:$AJ103,MATCH(MIN($AK93:$AK103),$AK93:$AK103,0),1)/INDEX($C93:$AJ103,MATCH(MIN($AK93:$AK103),$AK93:$AK103,0),MATCH(IF('Data-solution'!$A$3="Maximize",MAX($C104:$AI104),MIN($C104:$AI104)),$C104:$AI104,0))),K97)</f>
        <v>0</v>
      </c>
      <c r="L112" s="1">
        <f>IF(OR($B108&lt;&gt;$B93,$B109&lt;&gt;$B94,$B110&lt;&gt;$B95,$B111&lt;&gt;$B96,$B112&lt;&gt;$B97,$B113&lt;&gt;$B98,$B114&lt;&gt;$B99,$B115&lt;&gt;$B100,$B116&lt;&gt;$B101,$B117&lt;&gt;$B102,$B118&lt;&gt;$B103),IF($B112&lt;&gt;$B97,L97/INDEX($C93:$AJ103,5,MATCH(IF('Data-solution'!$A$3="Maximize",MAX($C104:$AI104),MIN($C104:$AI104)),$C104:$AI104,0)),L97-INDEX($C93:$AJ103,5,MATCH(IF('Data-solution'!$A$3="Maximize",MAX($C104:$AI104),MIN($C104:$AI104)),$C104:$AI104,0))*INDEX(L93:$AJ103,MATCH(MIN($AK93:$AK103),$AK93:$AK103,0),1)/INDEX($C93:$AJ103,MATCH(MIN($AK93:$AK103),$AK93:$AK103,0),MATCH(IF('Data-solution'!$A$3="Maximize",MAX($C104:$AI104),MIN($C104:$AI104)),$C104:$AI104,0))),L97)</f>
        <v>0</v>
      </c>
      <c r="M112" s="1">
        <f>IF(OR($B108&lt;&gt;$B93,$B109&lt;&gt;$B94,$B110&lt;&gt;$B95,$B111&lt;&gt;$B96,$B112&lt;&gt;$B97,$B113&lt;&gt;$B98,$B114&lt;&gt;$B99,$B115&lt;&gt;$B100,$B116&lt;&gt;$B101,$B117&lt;&gt;$B102,$B118&lt;&gt;$B103),IF($B112&lt;&gt;$B97,M97/INDEX($C93:$AJ103,5,MATCH(IF('Data-solution'!$A$3="Maximize",MAX($C104:$AI104),MIN($C104:$AI104)),$C104:$AI104,0)),M97-INDEX($C93:$AJ103,5,MATCH(IF('Data-solution'!$A$3="Maximize",MAX($C104:$AI104),MIN($C104:$AI104)),$C104:$AI104,0))*INDEX(M93:$AJ103,MATCH(MIN($AK93:$AK103),$AK93:$AK103,0),1)/INDEX($C93:$AJ103,MATCH(MIN($AK93:$AK103),$AK93:$AK103,0),MATCH(IF('Data-solution'!$A$3="Maximize",MAX($C104:$AI104),MIN($C104:$AI104)),$C104:$AI104,0))),M97)</f>
        <v>0</v>
      </c>
      <c r="N112" s="1">
        <f>IF(OR($B108&lt;&gt;$B93,$B109&lt;&gt;$B94,$B110&lt;&gt;$B95,$B111&lt;&gt;$B96,$B112&lt;&gt;$B97,$B113&lt;&gt;$B98,$B114&lt;&gt;$B99,$B115&lt;&gt;$B100,$B116&lt;&gt;$B101,$B117&lt;&gt;$B102,$B118&lt;&gt;$B103),IF($B112&lt;&gt;$B97,N97/INDEX($C93:$AJ103,5,MATCH(IF('Data-solution'!$A$3="Maximize",MAX($C104:$AI104),MIN($C104:$AI104)),$C104:$AI104,0)),N97-INDEX($C93:$AJ103,5,MATCH(IF('Data-solution'!$A$3="Maximize",MAX($C104:$AI104),MIN($C104:$AI104)),$C104:$AI104,0))*INDEX(N93:$AJ103,MATCH(MIN($AK93:$AK103),$AK93:$AK103,0),1)/INDEX($C93:$AJ103,MATCH(MIN($AK93:$AK103),$AK93:$AK103,0),MATCH(IF('Data-solution'!$A$3="Maximize",MAX($C104:$AI104),MIN($C104:$AI104)),$C104:$AI104,0))),N97)</f>
        <v>0</v>
      </c>
      <c r="O112" s="1">
        <f>IF(OR($B108&lt;&gt;$B93,$B109&lt;&gt;$B94,$B110&lt;&gt;$B95,$B111&lt;&gt;$B96,$B112&lt;&gt;$B97,$B113&lt;&gt;$B98,$B114&lt;&gt;$B99,$B115&lt;&gt;$B100,$B116&lt;&gt;$B101,$B117&lt;&gt;$B102,$B118&lt;&gt;$B103),IF($B112&lt;&gt;$B97,O97/INDEX($C93:$AJ103,5,MATCH(IF('Data-solution'!$A$3="Maximize",MAX($C104:$AI104),MIN($C104:$AI104)),$C104:$AI104,0)),O97-INDEX($C93:$AJ103,5,MATCH(IF('Data-solution'!$A$3="Maximize",MAX($C104:$AI104),MIN($C104:$AI104)),$C104:$AI104,0))*INDEX(O93:$AJ103,MATCH(MIN($AK93:$AK103),$AK93:$AK103,0),1)/INDEX($C93:$AJ103,MATCH(MIN($AK93:$AK103),$AK93:$AK103,0),MATCH(IF('Data-solution'!$A$3="Maximize",MAX($C104:$AI104),MIN($C104:$AI104)),$C104:$AI104,0))),O97)</f>
        <v>0</v>
      </c>
      <c r="P112" s="1">
        <f>IF(OR($B108&lt;&gt;$B93,$B109&lt;&gt;$B94,$B110&lt;&gt;$B95,$B111&lt;&gt;$B96,$B112&lt;&gt;$B97,$B113&lt;&gt;$B98,$B114&lt;&gt;$B99,$B115&lt;&gt;$B100,$B116&lt;&gt;$B101,$B117&lt;&gt;$B102,$B118&lt;&gt;$B103),IF($B112&lt;&gt;$B97,P97/INDEX($C93:$AJ103,5,MATCH(IF('Data-solution'!$A$3="Maximize",MAX($C104:$AI104),MIN($C104:$AI104)),$C104:$AI104,0)),P97-INDEX($C93:$AJ103,5,MATCH(IF('Data-solution'!$A$3="Maximize",MAX($C104:$AI104),MIN($C104:$AI104)),$C104:$AI104,0))*INDEX(P93:$AJ103,MATCH(MIN($AK93:$AK103),$AK93:$AK103,0),1)/INDEX($C93:$AJ103,MATCH(MIN($AK93:$AK103),$AK93:$AK103,0),MATCH(IF('Data-solution'!$A$3="Maximize",MAX($C104:$AI104),MIN($C104:$AI104)),$C104:$AI104,0))),P97)</f>
        <v>0</v>
      </c>
      <c r="Q112" s="1">
        <f>IF(OR($B108&lt;&gt;$B93,$B109&lt;&gt;$B94,$B110&lt;&gt;$B95,$B111&lt;&gt;$B96,$B112&lt;&gt;$B97,$B113&lt;&gt;$B98,$B114&lt;&gt;$B99,$B115&lt;&gt;$B100,$B116&lt;&gt;$B101,$B117&lt;&gt;$B102,$B118&lt;&gt;$B103),IF($B112&lt;&gt;$B97,Q97/INDEX($C93:$AJ103,5,MATCH(IF('Data-solution'!$A$3="Maximize",MAX($C104:$AI104),MIN($C104:$AI104)),$C104:$AI104,0)),Q97-INDEX($C93:$AJ103,5,MATCH(IF('Data-solution'!$A$3="Maximize",MAX($C104:$AI104),MIN($C104:$AI104)),$C104:$AI104,0))*INDEX(Q93:$AJ103,MATCH(MIN($AK93:$AK103),$AK93:$AK103,0),1)/INDEX($C93:$AJ103,MATCH(MIN($AK93:$AK103),$AK93:$AK103,0),MATCH(IF('Data-solution'!$A$3="Maximize",MAX($C104:$AI104),MIN($C104:$AI104)),$C104:$AI104,0))),Q97)</f>
        <v>0</v>
      </c>
      <c r="R112" s="1">
        <f>IF(OR($B108&lt;&gt;$B93,$B109&lt;&gt;$B94,$B110&lt;&gt;$B95,$B111&lt;&gt;$B96,$B112&lt;&gt;$B97,$B113&lt;&gt;$B98,$B114&lt;&gt;$B99,$B115&lt;&gt;$B100,$B116&lt;&gt;$B101,$B117&lt;&gt;$B102,$B118&lt;&gt;$B103),IF($B112&lt;&gt;$B97,R97/INDEX($C93:$AJ103,5,MATCH(IF('Data-solution'!$A$3="Maximize",MAX($C104:$AI104),MIN($C104:$AI104)),$C104:$AI104,0)),R97-INDEX($C93:$AJ103,5,MATCH(IF('Data-solution'!$A$3="Maximize",MAX($C104:$AI104),MIN($C104:$AI104)),$C104:$AI104,0))*INDEX(R93:$AJ103,MATCH(MIN($AK93:$AK103),$AK93:$AK103,0),1)/INDEX($C93:$AJ103,MATCH(MIN($AK93:$AK103),$AK93:$AK103,0),MATCH(IF('Data-solution'!$A$3="Maximize",MAX($C104:$AI104),MIN($C104:$AI104)),$C104:$AI104,0))),R97)</f>
        <v>1</v>
      </c>
      <c r="S112" s="1">
        <f>IF(OR($B108&lt;&gt;$B93,$B109&lt;&gt;$B94,$B110&lt;&gt;$B95,$B111&lt;&gt;$B96,$B112&lt;&gt;$B97,$B113&lt;&gt;$B98,$B114&lt;&gt;$B99,$B115&lt;&gt;$B100,$B116&lt;&gt;$B101,$B117&lt;&gt;$B102,$B118&lt;&gt;$B103),IF($B112&lt;&gt;$B97,S97/INDEX($C93:$AJ103,5,MATCH(IF('Data-solution'!$A$3="Maximize",MAX($C104:$AI104),MIN($C104:$AI104)),$C104:$AI104,0)),S97-INDEX($C93:$AJ103,5,MATCH(IF('Data-solution'!$A$3="Maximize",MAX($C104:$AI104),MIN($C104:$AI104)),$C104:$AI104,0))*INDEX(S93:$AJ103,MATCH(MIN($AK93:$AK103),$AK93:$AK103,0),1)/INDEX($C93:$AJ103,MATCH(MIN($AK93:$AK103),$AK93:$AK103,0),MATCH(IF('Data-solution'!$A$3="Maximize",MAX($C104:$AI104),MIN($C104:$AI104)),$C104:$AI104,0))),S97)</f>
        <v>0</v>
      </c>
      <c r="T112" s="1">
        <f>IF(OR($B108&lt;&gt;$B93,$B109&lt;&gt;$B94,$B110&lt;&gt;$B95,$B111&lt;&gt;$B96,$B112&lt;&gt;$B97,$B113&lt;&gt;$B98,$B114&lt;&gt;$B99,$B115&lt;&gt;$B100,$B116&lt;&gt;$B101,$B117&lt;&gt;$B102,$B118&lt;&gt;$B103),IF($B112&lt;&gt;$B97,T97/INDEX($C93:$AJ103,5,MATCH(IF('Data-solution'!$A$3="Maximize",MAX($C104:$AI104),MIN($C104:$AI104)),$C104:$AI104,0)),T97-INDEX($C93:$AJ103,5,MATCH(IF('Data-solution'!$A$3="Maximize",MAX($C104:$AI104),MIN($C104:$AI104)),$C104:$AI104,0))*INDEX(T93:$AJ103,MATCH(MIN($AK93:$AK103),$AK93:$AK103,0),1)/INDEX($C93:$AJ103,MATCH(MIN($AK93:$AK103),$AK93:$AK103,0),MATCH(IF('Data-solution'!$A$3="Maximize",MAX($C104:$AI104),MIN($C104:$AI104)),$C104:$AI104,0))),T97)</f>
        <v>0</v>
      </c>
      <c r="U112" s="1">
        <f>IF(OR($B108&lt;&gt;$B93,$B109&lt;&gt;$B94,$B110&lt;&gt;$B95,$B111&lt;&gt;$B96,$B112&lt;&gt;$B97,$B113&lt;&gt;$B98,$B114&lt;&gt;$B99,$B115&lt;&gt;$B100,$B116&lt;&gt;$B101,$B117&lt;&gt;$B102,$B118&lt;&gt;$B103),IF($B112&lt;&gt;$B97,U97/INDEX($C93:$AJ103,5,MATCH(IF('Data-solution'!$A$3="Maximize",MAX($C104:$AI104),MIN($C104:$AI104)),$C104:$AI104,0)),U97-INDEX($C93:$AJ103,5,MATCH(IF('Data-solution'!$A$3="Maximize",MAX($C104:$AI104),MIN($C104:$AI104)),$C104:$AI104,0))*INDEX(U93:$AJ103,MATCH(MIN($AK93:$AK103),$AK93:$AK103,0),1)/INDEX($C93:$AJ103,MATCH(MIN($AK93:$AK103),$AK93:$AK103,0),MATCH(IF('Data-solution'!$A$3="Maximize",MAX($C104:$AI104),MIN($C104:$AI104)),$C104:$AI104,0))),U97)</f>
        <v>0</v>
      </c>
      <c r="V112" s="1">
        <f>IF(OR($B108&lt;&gt;$B93,$B109&lt;&gt;$B94,$B110&lt;&gt;$B95,$B111&lt;&gt;$B96,$B112&lt;&gt;$B97,$B113&lt;&gt;$B98,$B114&lt;&gt;$B99,$B115&lt;&gt;$B100,$B116&lt;&gt;$B101,$B117&lt;&gt;$B102,$B118&lt;&gt;$B103),IF($B112&lt;&gt;$B97,V97/INDEX($C93:$AJ103,5,MATCH(IF('Data-solution'!$A$3="Maximize",MAX($C104:$AI104),MIN($C104:$AI104)),$C104:$AI104,0)),V97-INDEX($C93:$AJ103,5,MATCH(IF('Data-solution'!$A$3="Maximize",MAX($C104:$AI104),MIN($C104:$AI104)),$C104:$AI104,0))*INDEX(V93:$AJ103,MATCH(MIN($AK93:$AK103),$AK93:$AK103,0),1)/INDEX($C93:$AJ103,MATCH(MIN($AK93:$AK103),$AK93:$AK103,0),MATCH(IF('Data-solution'!$A$3="Maximize",MAX($C104:$AI104),MIN($C104:$AI104)),$C104:$AI104,0))),V97)</f>
        <v>0</v>
      </c>
      <c r="W112" s="1">
        <f>IF(OR($B108&lt;&gt;$B93,$B109&lt;&gt;$B94,$B110&lt;&gt;$B95,$B111&lt;&gt;$B96,$B112&lt;&gt;$B97,$B113&lt;&gt;$B98,$B114&lt;&gt;$B99,$B115&lt;&gt;$B100,$B116&lt;&gt;$B101,$B117&lt;&gt;$B102,$B118&lt;&gt;$B103),IF($B112&lt;&gt;$B97,W97/INDEX($C93:$AJ103,5,MATCH(IF('Data-solution'!$A$3="Maximize",MAX($C104:$AI104),MIN($C104:$AI104)),$C104:$AI104,0)),W97-INDEX($C93:$AJ103,5,MATCH(IF('Data-solution'!$A$3="Maximize",MAX($C104:$AI104),MIN($C104:$AI104)),$C104:$AI104,0))*INDEX(W93:$AJ103,MATCH(MIN($AK93:$AK103),$AK93:$AK103,0),1)/INDEX($C93:$AJ103,MATCH(MIN($AK93:$AK103),$AK93:$AK103,0),MATCH(IF('Data-solution'!$A$3="Maximize",MAX($C104:$AI104),MIN($C104:$AI104)),$C104:$AI104,0))),W97)</f>
        <v>0</v>
      </c>
      <c r="X112" s="1">
        <f>IF(OR($B108&lt;&gt;$B93,$B109&lt;&gt;$B94,$B110&lt;&gt;$B95,$B111&lt;&gt;$B96,$B112&lt;&gt;$B97,$B113&lt;&gt;$B98,$B114&lt;&gt;$B99,$B115&lt;&gt;$B100,$B116&lt;&gt;$B101,$B117&lt;&gt;$B102,$B118&lt;&gt;$B103),IF($B112&lt;&gt;$B97,X97/INDEX($C93:$AJ103,5,MATCH(IF('Data-solution'!$A$3="Maximize",MAX($C104:$AI104),MIN($C104:$AI104)),$C104:$AI104,0)),X97-INDEX($C93:$AJ103,5,MATCH(IF('Data-solution'!$A$3="Maximize",MAX($C104:$AI104),MIN($C104:$AI104)),$C104:$AI104,0))*INDEX(X93:$AJ103,MATCH(MIN($AK93:$AK103),$AK93:$AK103,0),1)/INDEX($C93:$AJ103,MATCH(MIN($AK93:$AK103),$AK93:$AK103,0),MATCH(IF('Data-solution'!$A$3="Maximize",MAX($C104:$AI104),MIN($C104:$AI104)),$C104:$AI104,0))),X97)</f>
        <v>0</v>
      </c>
      <c r="Y112" s="1">
        <f>IF(OR($B108&lt;&gt;$B93,$B109&lt;&gt;$B94,$B110&lt;&gt;$B95,$B111&lt;&gt;$B96,$B112&lt;&gt;$B97,$B113&lt;&gt;$B98,$B114&lt;&gt;$B99,$B115&lt;&gt;$B100,$B116&lt;&gt;$B101,$B117&lt;&gt;$B102,$B118&lt;&gt;$B103),IF($B112&lt;&gt;$B97,Y97/INDEX($C93:$AJ103,5,MATCH(IF('Data-solution'!$A$3="Maximize",MAX($C104:$AI104),MIN($C104:$AI104)),$C104:$AI104,0)),Y97-INDEX($C93:$AJ103,5,MATCH(IF('Data-solution'!$A$3="Maximize",MAX($C104:$AI104),MIN($C104:$AI104)),$C104:$AI104,0))*INDEX(Y93:$AJ103,MATCH(MIN($AK93:$AK103),$AK93:$AK103,0),1)/INDEX($C93:$AJ103,MATCH(MIN($AK93:$AK103),$AK93:$AK103,0),MATCH(IF('Data-solution'!$A$3="Maximize",MAX($C104:$AI104),MIN($C104:$AI104)),$C104:$AI104,0))),Y97)</f>
        <v>0</v>
      </c>
      <c r="Z112" s="1">
        <f>IF(OR($B108&lt;&gt;$B93,$B109&lt;&gt;$B94,$B110&lt;&gt;$B95,$B111&lt;&gt;$B96,$B112&lt;&gt;$B97,$B113&lt;&gt;$B98,$B114&lt;&gt;$B99,$B115&lt;&gt;$B100,$B116&lt;&gt;$B101,$B117&lt;&gt;$B102,$B118&lt;&gt;$B103),IF($B112&lt;&gt;$B97,Z97/INDEX($C93:$AJ103,5,MATCH(IF('Data-solution'!$A$3="Maximize",MAX($C104:$AI104),MIN($C104:$AI104)),$C104:$AI104,0)),Z97-INDEX($C93:$AJ103,5,MATCH(IF('Data-solution'!$A$3="Maximize",MAX($C104:$AI104),MIN($C104:$AI104)),$C104:$AI104,0))*INDEX(Z93:$AJ103,MATCH(MIN($AK93:$AK103),$AK93:$AK103,0),1)/INDEX($C93:$AJ103,MATCH(MIN($AK93:$AK103),$AK93:$AK103,0),MATCH(IF('Data-solution'!$A$3="Maximize",MAX($C104:$AI104),MIN($C104:$AI104)),$C104:$AI104,0))),Z97)</f>
        <v>0</v>
      </c>
      <c r="AA112" s="1">
        <f>IF(OR($B108&lt;&gt;$B93,$B109&lt;&gt;$B94,$B110&lt;&gt;$B95,$B111&lt;&gt;$B96,$B112&lt;&gt;$B97,$B113&lt;&gt;$B98,$B114&lt;&gt;$B99,$B115&lt;&gt;$B100,$B116&lt;&gt;$B101,$B117&lt;&gt;$B102,$B118&lt;&gt;$B103),IF($B112&lt;&gt;$B97,AA97/INDEX($C93:$AJ103,5,MATCH(IF('Data-solution'!$A$3="Maximize",MAX($C104:$AI104),MIN($C104:$AI104)),$C104:$AI104,0)),AA97-INDEX($C93:$AJ103,5,MATCH(IF('Data-solution'!$A$3="Maximize",MAX($C104:$AI104),MIN($C104:$AI104)),$C104:$AI104,0))*INDEX(AA93:$AJ103,MATCH(MIN($AK93:$AK103),$AK93:$AK103,0),1)/INDEX($C93:$AJ103,MATCH(MIN($AK93:$AK103),$AK93:$AK103,0),MATCH(IF('Data-solution'!$A$3="Maximize",MAX($C104:$AI104),MIN($C104:$AI104)),$C104:$AI104,0))),AA97)</f>
        <v>0</v>
      </c>
      <c r="AB112" s="1">
        <f>IF(OR($B108&lt;&gt;$B93,$B109&lt;&gt;$B94,$B110&lt;&gt;$B95,$B111&lt;&gt;$B96,$B112&lt;&gt;$B97,$B113&lt;&gt;$B98,$B114&lt;&gt;$B99,$B115&lt;&gt;$B100,$B116&lt;&gt;$B101,$B117&lt;&gt;$B102,$B118&lt;&gt;$B103),IF($B112&lt;&gt;$B97,AB97/INDEX($C93:$AJ103,5,MATCH(IF('Data-solution'!$A$3="Maximize",MAX($C104:$AI104),MIN($C104:$AI104)),$C104:$AI104,0)),AB97-INDEX($C93:$AJ103,5,MATCH(IF('Data-solution'!$A$3="Maximize",MAX($C104:$AI104),MIN($C104:$AI104)),$C104:$AI104,0))*INDEX(AB93:$AJ103,MATCH(MIN($AK93:$AK103),$AK93:$AK103,0),1)/INDEX($C93:$AJ103,MATCH(MIN($AK93:$AK103),$AK93:$AK103,0),MATCH(IF('Data-solution'!$A$3="Maximize",MAX($C104:$AI104),MIN($C104:$AI104)),$C104:$AI104,0))),AB97)</f>
        <v>0</v>
      </c>
      <c r="AC112" s="1">
        <f>IF(OR($B108&lt;&gt;$B93,$B109&lt;&gt;$B94,$B110&lt;&gt;$B95,$B111&lt;&gt;$B96,$B112&lt;&gt;$B97,$B113&lt;&gt;$B98,$B114&lt;&gt;$B99,$B115&lt;&gt;$B100,$B116&lt;&gt;$B101,$B117&lt;&gt;$B102,$B118&lt;&gt;$B103),IF($B112&lt;&gt;$B97,AC97/INDEX($C93:$AJ103,5,MATCH(IF('Data-solution'!$A$3="Maximize",MAX($C104:$AI104),MIN($C104:$AI104)),$C104:$AI104,0)),AC97-INDEX($C93:$AJ103,5,MATCH(IF('Data-solution'!$A$3="Maximize",MAX($C104:$AI104),MIN($C104:$AI104)),$C104:$AI104,0))*INDEX(AC93:$AJ103,MATCH(MIN($AK93:$AK103),$AK93:$AK103,0),1)/INDEX($C93:$AJ103,MATCH(MIN($AK93:$AK103),$AK93:$AK103,0),MATCH(IF('Data-solution'!$A$3="Maximize",MAX($C104:$AI104),MIN($C104:$AI104)),$C104:$AI104,0))),AC97)</f>
        <v>1</v>
      </c>
      <c r="AD112" s="1">
        <f>IF(OR($B108&lt;&gt;$B93,$B109&lt;&gt;$B94,$B110&lt;&gt;$B95,$B111&lt;&gt;$B96,$B112&lt;&gt;$B97,$B113&lt;&gt;$B98,$B114&lt;&gt;$B99,$B115&lt;&gt;$B100,$B116&lt;&gt;$B101,$B117&lt;&gt;$B102,$B118&lt;&gt;$B103),IF($B112&lt;&gt;$B97,AD97/INDEX($C93:$AJ103,5,MATCH(IF('Data-solution'!$A$3="Maximize",MAX($C104:$AI104),MIN($C104:$AI104)),$C104:$AI104,0)),AD97-INDEX($C93:$AJ103,5,MATCH(IF('Data-solution'!$A$3="Maximize",MAX($C104:$AI104),MIN($C104:$AI104)),$C104:$AI104,0))*INDEX(AD93:$AJ103,MATCH(MIN($AK93:$AK103),$AK93:$AK103,0),1)/INDEX($C93:$AJ103,MATCH(MIN($AK93:$AK103),$AK93:$AK103,0),MATCH(IF('Data-solution'!$A$3="Maximize",MAX($C104:$AI104),MIN($C104:$AI104)),$C104:$AI104,0))),AD97)</f>
        <v>0</v>
      </c>
      <c r="AE112" s="1">
        <f>IF(OR($B108&lt;&gt;$B93,$B109&lt;&gt;$B94,$B110&lt;&gt;$B95,$B111&lt;&gt;$B96,$B112&lt;&gt;$B97,$B113&lt;&gt;$B98,$B114&lt;&gt;$B99,$B115&lt;&gt;$B100,$B116&lt;&gt;$B101,$B117&lt;&gt;$B102,$B118&lt;&gt;$B103),IF($B112&lt;&gt;$B97,AE97/INDEX($C93:$AJ103,5,MATCH(IF('Data-solution'!$A$3="Maximize",MAX($C104:$AI104),MIN($C104:$AI104)),$C104:$AI104,0)),AE97-INDEX($C93:$AJ103,5,MATCH(IF('Data-solution'!$A$3="Maximize",MAX($C104:$AI104),MIN($C104:$AI104)),$C104:$AI104,0))*INDEX(AE93:$AJ103,MATCH(MIN($AK93:$AK103),$AK93:$AK103,0),1)/INDEX($C93:$AJ103,MATCH(MIN($AK93:$AK103),$AK93:$AK103,0),MATCH(IF('Data-solution'!$A$3="Maximize",MAX($C104:$AI104),MIN($C104:$AI104)),$C104:$AI104,0))),AE97)</f>
        <v>0</v>
      </c>
      <c r="AF112" s="1">
        <f>IF(OR($B108&lt;&gt;$B93,$B109&lt;&gt;$B94,$B110&lt;&gt;$B95,$B111&lt;&gt;$B96,$B112&lt;&gt;$B97,$B113&lt;&gt;$B98,$B114&lt;&gt;$B99,$B115&lt;&gt;$B100,$B116&lt;&gt;$B101,$B117&lt;&gt;$B102,$B118&lt;&gt;$B103),IF($B112&lt;&gt;$B97,AF97/INDEX($C93:$AJ103,5,MATCH(IF('Data-solution'!$A$3="Maximize",MAX($C104:$AI104),MIN($C104:$AI104)),$C104:$AI104,0)),AF97-INDEX($C93:$AJ103,5,MATCH(IF('Data-solution'!$A$3="Maximize",MAX($C104:$AI104),MIN($C104:$AI104)),$C104:$AI104,0))*INDEX(AF93:$AJ103,MATCH(MIN($AK93:$AK103),$AK93:$AK103,0),1)/INDEX($C93:$AJ103,MATCH(MIN($AK93:$AK103),$AK93:$AK103,0),MATCH(IF('Data-solution'!$A$3="Maximize",MAX($C104:$AI104),MIN($C104:$AI104)),$C104:$AI104,0))),AF97)</f>
        <v>0</v>
      </c>
      <c r="AG112" s="1">
        <f>IF(OR($B108&lt;&gt;$B93,$B109&lt;&gt;$B94,$B110&lt;&gt;$B95,$B111&lt;&gt;$B96,$B112&lt;&gt;$B97,$B113&lt;&gt;$B98,$B114&lt;&gt;$B99,$B115&lt;&gt;$B100,$B116&lt;&gt;$B101,$B117&lt;&gt;$B102,$B118&lt;&gt;$B103),IF($B112&lt;&gt;$B97,AG97/INDEX($C93:$AJ103,5,MATCH(IF('Data-solution'!$A$3="Maximize",MAX($C104:$AI104),MIN($C104:$AI104)),$C104:$AI104,0)),AG97-INDEX($C93:$AJ103,5,MATCH(IF('Data-solution'!$A$3="Maximize",MAX($C104:$AI104),MIN($C104:$AI104)),$C104:$AI104,0))*INDEX(AG93:$AJ103,MATCH(MIN($AK93:$AK103),$AK93:$AK103,0),1)/INDEX($C93:$AJ103,MATCH(MIN($AK93:$AK103),$AK93:$AK103,0),MATCH(IF('Data-solution'!$A$3="Maximize",MAX($C104:$AI104),MIN($C104:$AI104)),$C104:$AI104,0))),AG97)</f>
        <v>0</v>
      </c>
      <c r="AH112" s="1">
        <f>IF(OR($B108&lt;&gt;$B93,$B109&lt;&gt;$B94,$B110&lt;&gt;$B95,$B111&lt;&gt;$B96,$B112&lt;&gt;$B97,$B113&lt;&gt;$B98,$B114&lt;&gt;$B99,$B115&lt;&gt;$B100,$B116&lt;&gt;$B101,$B117&lt;&gt;$B102,$B118&lt;&gt;$B103),IF($B112&lt;&gt;$B97,AH97/INDEX($C93:$AJ103,5,MATCH(IF('Data-solution'!$A$3="Maximize",MAX($C104:$AI104),MIN($C104:$AI104)),$C104:$AI104,0)),AH97-INDEX($C93:$AJ103,5,MATCH(IF('Data-solution'!$A$3="Maximize",MAX($C104:$AI104),MIN($C104:$AI104)),$C104:$AI104,0))*INDEX(AH93:$AJ103,MATCH(MIN($AK93:$AK103),$AK93:$AK103,0),1)/INDEX($C93:$AJ103,MATCH(MIN($AK93:$AK103),$AK93:$AK103,0),MATCH(IF('Data-solution'!$A$3="Maximize",MAX($C104:$AI104),MIN($C104:$AI104)),$C104:$AI104,0))),AH97)</f>
        <v>0</v>
      </c>
      <c r="AI112" s="1">
        <f>IF(OR($B108&lt;&gt;$B93,$B109&lt;&gt;$B94,$B110&lt;&gt;$B95,$B111&lt;&gt;$B96,$B112&lt;&gt;$B97,$B113&lt;&gt;$B98,$B114&lt;&gt;$B99,$B115&lt;&gt;$B100,$B116&lt;&gt;$B101,$B117&lt;&gt;$B102,$B118&lt;&gt;$B103),IF($B112&lt;&gt;$B97,AI97/INDEX($C93:$AJ103,5,MATCH(IF('Data-solution'!$A$3="Maximize",MAX($C104:$AI104),MIN($C104:$AI104)),$C104:$AI104,0)),AI97-INDEX($C93:$AJ103,5,MATCH(IF('Data-solution'!$A$3="Maximize",MAX($C104:$AI104),MIN($C104:$AI104)),$C104:$AI104,0))*INDEX(AI93:$AJ103,MATCH(MIN($AK93:$AK103),$AK93:$AK103,0),1)/INDEX($C93:$AJ103,MATCH(MIN($AK93:$AK103),$AK93:$AK103,0),MATCH(IF('Data-solution'!$A$3="Maximize",MAX($C104:$AI104),MIN($C104:$AI104)),$C104:$AI104,0))),AI97)</f>
        <v>0</v>
      </c>
      <c r="AJ112" s="1">
        <f>IF(OR($B108&lt;&gt;$B93,$B109&lt;&gt;$B94,$B110&lt;&gt;$B95,$B111&lt;&gt;$B96,$B112&lt;&gt;$B97,$B113&lt;&gt;$B98,$B114&lt;&gt;$B99,$B115&lt;&gt;$B100,$B116&lt;&gt;$B101,$B117&lt;&gt;$B102,$B118&lt;&gt;$B103),IF($B112&lt;&gt;$B97,AJ97/INDEX($C93:$AJ103,5,MATCH(IF('Data-solution'!$A$3="Maximize",MAX($C104:$AI104),MIN($C104:$AI104)),$C104:$AI104,0)),AJ97-INDEX($C93:$AJ103,5,MATCH(IF('Data-solution'!$A$3="Maximize",MAX($C104:$AI104),MIN($C104:$AI104)),$C104:$AI104,0))*INDEX(AJ93:$AJ103,MATCH(MIN($AK93:$AK103),$AK93:$AK103,0),1)/INDEX($C93:$AJ103,MATCH(MIN($AK93:$AK103),$AK93:$AK103,0),MATCH(IF('Data-solution'!$A$3="Maximize",MAX($C104:$AI104),MIN($C104:$AI104)),$C104:$AI104,0))),AJ97)</f>
        <v>0</v>
      </c>
      <c r="AK112" s="1" t="str">
        <f>IF(INDEX(C112:X112,1,MATCH(IF('Data-solution'!A$3="Maximize",MAX(C119:X119),MIN(C119:X119)),C119:X119,0))&gt;0,AJ112/INDEX(C112:X112,1,MATCH(IF('Data-solution'!A$3="Maximize",MAX(C119:X119),MIN(C119:X119)),C119:X119,0))," ")</f>
        <v xml:space="preserve"> </v>
      </c>
    </row>
    <row r="113" spans="1:37" ht="18" customHeight="1" x14ac:dyDescent="0.2">
      <c r="A113" s="1">
        <f t="shared" ref="A113" si="87">INDEX(C106:AI106,1,MATCH(B113,C107:AI107,0))</f>
        <v>0</v>
      </c>
      <c r="B113" s="2" t="str">
        <f>IF(AND('Data-solution'!A$3="Maximize",COUNTIF(C104:X104,"&gt;"&amp;0)&gt;0,AK98=MIN(AK93:AK103),COUNTIF(B108:B112,INDEX(C92:X92,1,MATCH(MAX(C104:X104),C104:X104,0)))=0),INDEX(C92:X92,1,MATCH(MAX(C104:X104),C104:X104,0)),IF(AND('Data-solution'!A$3="Minimize",COUNTIF(C104:X104,"&lt;"&amp;0)&gt;0,AK98=MIN(AK93:AK103),COUNTIF(B108:B112,INDEX(C92:X92,1,MATCH(MIN(C104:X104),C104:X104,0)))=0),INDEX(C92:X92,1,MATCH(MIN(C104:X104),C104:X104,0)),B98))</f>
        <v>S6</v>
      </c>
      <c r="C113" s="1">
        <f>IF(OR($B108&lt;&gt;$B93,$B109&lt;&gt;$B94,$B110&lt;&gt;$B95,$B111&lt;&gt;$B96,$B112&lt;&gt;$B97,$B113&lt;&gt;$B98,$B114&lt;&gt;$B99,$B115&lt;&gt;$B100,$B116&lt;&gt;$B101,$B117&lt;&gt;$B102,$B118&lt;&gt;$B103),IF($B113&lt;&gt;$B98,C98/INDEX($C93:$AJ103,6,MATCH(IF('Data-solution'!$A$3="Maximize",MAX($C104:$AI104),MIN($C104:$AI104)),$C104:$AI104,0)),C98-INDEX($C93:$AJ103,6,MATCH(IF('Data-solution'!$A$3="Maximize",MAX($C104:$AI104),MIN($C104:$AI104)),$C104:$AI104,0))*INDEX(C93:$AJ103,MATCH(MIN($AK93:$AK103),$AK93:$AK103,0),1)/INDEX($C93:$AJ103,MATCH(MIN($AK93:$AK103),$AK93:$AK103,0),MATCH(IF('Data-solution'!$A$3="Maximize",MAX($C104:$AI104),MIN($C104:$AI104)),$C104:$AI104,0))),C98)</f>
        <v>0</v>
      </c>
      <c r="D113" s="1">
        <f>IF(OR($B108&lt;&gt;$B93,$B109&lt;&gt;$B94,$B110&lt;&gt;$B95,$B111&lt;&gt;$B96,$B112&lt;&gt;$B97,$B113&lt;&gt;$B98,$B114&lt;&gt;$B99,$B115&lt;&gt;$B100,$B116&lt;&gt;$B101,$B117&lt;&gt;$B102,$B118&lt;&gt;$B103),IF($B113&lt;&gt;$B98,D98/INDEX($C93:$AJ103,6,MATCH(IF('Data-solution'!$A$3="Maximize",MAX($C104:$AI104),MIN($C104:$AI104)),$C104:$AI104,0)),D98-INDEX($C93:$AJ103,6,MATCH(IF('Data-solution'!$A$3="Maximize",MAX($C104:$AI104),MIN($C104:$AI104)),$C104:$AI104,0))*INDEX(D93:$AJ103,MATCH(MIN($AK93:$AK103),$AK93:$AK103,0),1)/INDEX($C93:$AJ103,MATCH(MIN($AK93:$AK103),$AK93:$AK103,0),MATCH(IF('Data-solution'!$A$3="Maximize",MAX($C104:$AI104),MIN($C104:$AI104)),$C104:$AI104,0))),D98)</f>
        <v>0</v>
      </c>
      <c r="E113" s="1">
        <f>IF(OR($B108&lt;&gt;$B93,$B109&lt;&gt;$B94,$B110&lt;&gt;$B95,$B111&lt;&gt;$B96,$B112&lt;&gt;$B97,$B113&lt;&gt;$B98,$B114&lt;&gt;$B99,$B115&lt;&gt;$B100,$B116&lt;&gt;$B101,$B117&lt;&gt;$B102,$B118&lt;&gt;$B103),IF($B113&lt;&gt;$B98,E98/INDEX($C93:$AJ103,6,MATCH(IF('Data-solution'!$A$3="Maximize",MAX($C104:$AI104),MIN($C104:$AI104)),$C104:$AI104,0)),E98-INDEX($C93:$AJ103,6,MATCH(IF('Data-solution'!$A$3="Maximize",MAX($C104:$AI104),MIN($C104:$AI104)),$C104:$AI104,0))*INDEX(E93:$AJ103,MATCH(MIN($AK93:$AK103),$AK93:$AK103,0),1)/INDEX($C93:$AJ103,MATCH(MIN($AK93:$AK103),$AK93:$AK103,0),MATCH(IF('Data-solution'!$A$3="Maximize",MAX($C104:$AI104),MIN($C104:$AI104)),$C104:$AI104,0))),E98)</f>
        <v>0</v>
      </c>
      <c r="F113" s="1">
        <f>IF(OR($B108&lt;&gt;$B93,$B109&lt;&gt;$B94,$B110&lt;&gt;$B95,$B111&lt;&gt;$B96,$B112&lt;&gt;$B97,$B113&lt;&gt;$B98,$B114&lt;&gt;$B99,$B115&lt;&gt;$B100,$B116&lt;&gt;$B101,$B117&lt;&gt;$B102,$B118&lt;&gt;$B103),IF($B113&lt;&gt;$B98,F98/INDEX($C93:$AJ103,6,MATCH(IF('Data-solution'!$A$3="Maximize",MAX($C104:$AI104),MIN($C104:$AI104)),$C104:$AI104,0)),F98-INDEX($C93:$AJ103,6,MATCH(IF('Data-solution'!$A$3="Maximize",MAX($C104:$AI104),MIN($C104:$AI104)),$C104:$AI104,0))*INDEX(F93:$AJ103,MATCH(MIN($AK93:$AK103),$AK93:$AK103,0),1)/INDEX($C93:$AJ103,MATCH(MIN($AK93:$AK103),$AK93:$AK103,0),MATCH(IF('Data-solution'!$A$3="Maximize",MAX($C104:$AI104),MIN($C104:$AI104)),$C104:$AI104,0))),F98)</f>
        <v>0</v>
      </c>
      <c r="G113" s="1">
        <f>IF(OR($B108&lt;&gt;$B93,$B109&lt;&gt;$B94,$B110&lt;&gt;$B95,$B111&lt;&gt;$B96,$B112&lt;&gt;$B97,$B113&lt;&gt;$B98,$B114&lt;&gt;$B99,$B115&lt;&gt;$B100,$B116&lt;&gt;$B101,$B117&lt;&gt;$B102,$B118&lt;&gt;$B103),IF($B113&lt;&gt;$B98,G98/INDEX($C93:$AJ103,6,MATCH(IF('Data-solution'!$A$3="Maximize",MAX($C104:$AI104),MIN($C104:$AI104)),$C104:$AI104,0)),G98-INDEX($C93:$AJ103,6,MATCH(IF('Data-solution'!$A$3="Maximize",MAX($C104:$AI104),MIN($C104:$AI104)),$C104:$AI104,0))*INDEX(G93:$AJ103,MATCH(MIN($AK93:$AK103),$AK93:$AK103,0),1)/INDEX($C93:$AJ103,MATCH(MIN($AK93:$AK103),$AK93:$AK103,0),MATCH(IF('Data-solution'!$A$3="Maximize",MAX($C104:$AI104),MIN($C104:$AI104)),$C104:$AI104,0))),G98)</f>
        <v>0</v>
      </c>
      <c r="H113" s="1">
        <f>IF(OR($B108&lt;&gt;$B93,$B109&lt;&gt;$B94,$B110&lt;&gt;$B95,$B111&lt;&gt;$B96,$B112&lt;&gt;$B97,$B113&lt;&gt;$B98,$B114&lt;&gt;$B99,$B115&lt;&gt;$B100,$B116&lt;&gt;$B101,$B117&lt;&gt;$B102,$B118&lt;&gt;$B103),IF($B113&lt;&gt;$B98,H98/INDEX($C93:$AJ103,6,MATCH(IF('Data-solution'!$A$3="Maximize",MAX($C104:$AI104),MIN($C104:$AI104)),$C104:$AI104,0)),H98-INDEX($C93:$AJ103,6,MATCH(IF('Data-solution'!$A$3="Maximize",MAX($C104:$AI104),MIN($C104:$AI104)),$C104:$AI104,0))*INDEX(H93:$AJ103,MATCH(MIN($AK93:$AK103),$AK93:$AK103,0),1)/INDEX($C93:$AJ103,MATCH(MIN($AK93:$AK103),$AK93:$AK103,0),MATCH(IF('Data-solution'!$A$3="Maximize",MAX($C104:$AI104),MIN($C104:$AI104)),$C104:$AI104,0))),H98)</f>
        <v>0</v>
      </c>
      <c r="I113" s="1">
        <f>IF(OR($B108&lt;&gt;$B93,$B109&lt;&gt;$B94,$B110&lt;&gt;$B95,$B111&lt;&gt;$B96,$B112&lt;&gt;$B97,$B113&lt;&gt;$B98,$B114&lt;&gt;$B99,$B115&lt;&gt;$B100,$B116&lt;&gt;$B101,$B117&lt;&gt;$B102,$B118&lt;&gt;$B103),IF($B113&lt;&gt;$B98,I98/INDEX($C93:$AJ103,6,MATCH(IF('Data-solution'!$A$3="Maximize",MAX($C104:$AI104),MIN($C104:$AI104)),$C104:$AI104,0)),I98-INDEX($C93:$AJ103,6,MATCH(IF('Data-solution'!$A$3="Maximize",MAX($C104:$AI104),MIN($C104:$AI104)),$C104:$AI104,0))*INDEX(I93:$AJ103,MATCH(MIN($AK93:$AK103),$AK93:$AK103,0),1)/INDEX($C93:$AJ103,MATCH(MIN($AK93:$AK103),$AK93:$AK103,0),MATCH(IF('Data-solution'!$A$3="Maximize",MAX($C104:$AI104),MIN($C104:$AI104)),$C104:$AI104,0))),I98)</f>
        <v>0</v>
      </c>
      <c r="J113" s="1">
        <f>IF(OR($B108&lt;&gt;$B93,$B109&lt;&gt;$B94,$B110&lt;&gt;$B95,$B111&lt;&gt;$B96,$B112&lt;&gt;$B97,$B113&lt;&gt;$B98,$B114&lt;&gt;$B99,$B115&lt;&gt;$B100,$B116&lt;&gt;$B101,$B117&lt;&gt;$B102,$B118&lt;&gt;$B103),IF($B113&lt;&gt;$B98,J98/INDEX($C93:$AJ103,6,MATCH(IF('Data-solution'!$A$3="Maximize",MAX($C104:$AI104),MIN($C104:$AI104)),$C104:$AI104,0)),J98-INDEX($C93:$AJ103,6,MATCH(IF('Data-solution'!$A$3="Maximize",MAX($C104:$AI104),MIN($C104:$AI104)),$C104:$AI104,0))*INDEX(J93:$AJ103,MATCH(MIN($AK93:$AK103),$AK93:$AK103,0),1)/INDEX($C93:$AJ103,MATCH(MIN($AK93:$AK103),$AK93:$AK103,0),MATCH(IF('Data-solution'!$A$3="Maximize",MAX($C104:$AI104),MIN($C104:$AI104)),$C104:$AI104,0))),J98)</f>
        <v>0</v>
      </c>
      <c r="K113" s="1">
        <f>IF(OR($B108&lt;&gt;$B93,$B109&lt;&gt;$B94,$B110&lt;&gt;$B95,$B111&lt;&gt;$B96,$B112&lt;&gt;$B97,$B113&lt;&gt;$B98,$B114&lt;&gt;$B99,$B115&lt;&gt;$B100,$B116&lt;&gt;$B101,$B117&lt;&gt;$B102,$B118&lt;&gt;$B103),IF($B113&lt;&gt;$B98,K98/INDEX($C93:$AJ103,6,MATCH(IF('Data-solution'!$A$3="Maximize",MAX($C104:$AI104),MIN($C104:$AI104)),$C104:$AI104,0)),K98-INDEX($C93:$AJ103,6,MATCH(IF('Data-solution'!$A$3="Maximize",MAX($C104:$AI104),MIN($C104:$AI104)),$C104:$AI104,0))*INDEX(K93:$AJ103,MATCH(MIN($AK93:$AK103),$AK93:$AK103,0),1)/INDEX($C93:$AJ103,MATCH(MIN($AK93:$AK103),$AK93:$AK103,0),MATCH(IF('Data-solution'!$A$3="Maximize",MAX($C104:$AI104),MIN($C104:$AI104)),$C104:$AI104,0))),K98)</f>
        <v>0</v>
      </c>
      <c r="L113" s="1">
        <f>IF(OR($B108&lt;&gt;$B93,$B109&lt;&gt;$B94,$B110&lt;&gt;$B95,$B111&lt;&gt;$B96,$B112&lt;&gt;$B97,$B113&lt;&gt;$B98,$B114&lt;&gt;$B99,$B115&lt;&gt;$B100,$B116&lt;&gt;$B101,$B117&lt;&gt;$B102,$B118&lt;&gt;$B103),IF($B113&lt;&gt;$B98,L98/INDEX($C93:$AJ103,6,MATCH(IF('Data-solution'!$A$3="Maximize",MAX($C104:$AI104),MIN($C104:$AI104)),$C104:$AI104,0)),L98-INDEX($C93:$AJ103,6,MATCH(IF('Data-solution'!$A$3="Maximize",MAX($C104:$AI104),MIN($C104:$AI104)),$C104:$AI104,0))*INDEX(L93:$AJ103,MATCH(MIN($AK93:$AK103),$AK93:$AK103,0),1)/INDEX($C93:$AJ103,MATCH(MIN($AK93:$AK103),$AK93:$AK103,0),MATCH(IF('Data-solution'!$A$3="Maximize",MAX($C104:$AI104),MIN($C104:$AI104)),$C104:$AI104,0))),L98)</f>
        <v>0</v>
      </c>
      <c r="M113" s="1">
        <f>IF(OR($B108&lt;&gt;$B93,$B109&lt;&gt;$B94,$B110&lt;&gt;$B95,$B111&lt;&gt;$B96,$B112&lt;&gt;$B97,$B113&lt;&gt;$B98,$B114&lt;&gt;$B99,$B115&lt;&gt;$B100,$B116&lt;&gt;$B101,$B117&lt;&gt;$B102,$B118&lt;&gt;$B103),IF($B113&lt;&gt;$B98,M98/INDEX($C93:$AJ103,6,MATCH(IF('Data-solution'!$A$3="Maximize",MAX($C104:$AI104),MIN($C104:$AI104)),$C104:$AI104,0)),M98-INDEX($C93:$AJ103,6,MATCH(IF('Data-solution'!$A$3="Maximize",MAX($C104:$AI104),MIN($C104:$AI104)),$C104:$AI104,0))*INDEX(M93:$AJ103,MATCH(MIN($AK93:$AK103),$AK93:$AK103,0),1)/INDEX($C93:$AJ103,MATCH(MIN($AK93:$AK103),$AK93:$AK103,0),MATCH(IF('Data-solution'!$A$3="Maximize",MAX($C104:$AI104),MIN($C104:$AI104)),$C104:$AI104,0))),M98)</f>
        <v>0</v>
      </c>
      <c r="N113" s="1">
        <f>IF(OR($B108&lt;&gt;$B93,$B109&lt;&gt;$B94,$B110&lt;&gt;$B95,$B111&lt;&gt;$B96,$B112&lt;&gt;$B97,$B113&lt;&gt;$B98,$B114&lt;&gt;$B99,$B115&lt;&gt;$B100,$B116&lt;&gt;$B101,$B117&lt;&gt;$B102,$B118&lt;&gt;$B103),IF($B113&lt;&gt;$B98,N98/INDEX($C93:$AJ103,6,MATCH(IF('Data-solution'!$A$3="Maximize",MAX($C104:$AI104),MIN($C104:$AI104)),$C104:$AI104,0)),N98-INDEX($C93:$AJ103,6,MATCH(IF('Data-solution'!$A$3="Maximize",MAX($C104:$AI104),MIN($C104:$AI104)),$C104:$AI104,0))*INDEX(N93:$AJ103,MATCH(MIN($AK93:$AK103),$AK93:$AK103,0),1)/INDEX($C93:$AJ103,MATCH(MIN($AK93:$AK103),$AK93:$AK103,0),MATCH(IF('Data-solution'!$A$3="Maximize",MAX($C104:$AI104),MIN($C104:$AI104)),$C104:$AI104,0))),N98)</f>
        <v>0</v>
      </c>
      <c r="O113" s="1">
        <f>IF(OR($B108&lt;&gt;$B93,$B109&lt;&gt;$B94,$B110&lt;&gt;$B95,$B111&lt;&gt;$B96,$B112&lt;&gt;$B97,$B113&lt;&gt;$B98,$B114&lt;&gt;$B99,$B115&lt;&gt;$B100,$B116&lt;&gt;$B101,$B117&lt;&gt;$B102,$B118&lt;&gt;$B103),IF($B113&lt;&gt;$B98,O98/INDEX($C93:$AJ103,6,MATCH(IF('Data-solution'!$A$3="Maximize",MAX($C104:$AI104),MIN($C104:$AI104)),$C104:$AI104,0)),O98-INDEX($C93:$AJ103,6,MATCH(IF('Data-solution'!$A$3="Maximize",MAX($C104:$AI104),MIN($C104:$AI104)),$C104:$AI104,0))*INDEX(O93:$AJ103,MATCH(MIN($AK93:$AK103),$AK93:$AK103,0),1)/INDEX($C93:$AJ103,MATCH(MIN($AK93:$AK103),$AK93:$AK103,0),MATCH(IF('Data-solution'!$A$3="Maximize",MAX($C104:$AI104),MIN($C104:$AI104)),$C104:$AI104,0))),O98)</f>
        <v>0</v>
      </c>
      <c r="P113" s="1">
        <f>IF(OR($B108&lt;&gt;$B93,$B109&lt;&gt;$B94,$B110&lt;&gt;$B95,$B111&lt;&gt;$B96,$B112&lt;&gt;$B97,$B113&lt;&gt;$B98,$B114&lt;&gt;$B99,$B115&lt;&gt;$B100,$B116&lt;&gt;$B101,$B117&lt;&gt;$B102,$B118&lt;&gt;$B103),IF($B113&lt;&gt;$B98,P98/INDEX($C93:$AJ103,6,MATCH(IF('Data-solution'!$A$3="Maximize",MAX($C104:$AI104),MIN($C104:$AI104)),$C104:$AI104,0)),P98-INDEX($C93:$AJ103,6,MATCH(IF('Data-solution'!$A$3="Maximize",MAX($C104:$AI104),MIN($C104:$AI104)),$C104:$AI104,0))*INDEX(P93:$AJ103,MATCH(MIN($AK93:$AK103),$AK93:$AK103,0),1)/INDEX($C93:$AJ103,MATCH(MIN($AK93:$AK103),$AK93:$AK103,0),MATCH(IF('Data-solution'!$A$3="Maximize",MAX($C104:$AI104),MIN($C104:$AI104)),$C104:$AI104,0))),P98)</f>
        <v>0</v>
      </c>
      <c r="Q113" s="1">
        <f>IF(OR($B108&lt;&gt;$B93,$B109&lt;&gt;$B94,$B110&lt;&gt;$B95,$B111&lt;&gt;$B96,$B112&lt;&gt;$B97,$B113&lt;&gt;$B98,$B114&lt;&gt;$B99,$B115&lt;&gt;$B100,$B116&lt;&gt;$B101,$B117&lt;&gt;$B102,$B118&lt;&gt;$B103),IF($B113&lt;&gt;$B98,Q98/INDEX($C93:$AJ103,6,MATCH(IF('Data-solution'!$A$3="Maximize",MAX($C104:$AI104),MIN($C104:$AI104)),$C104:$AI104,0)),Q98-INDEX($C93:$AJ103,6,MATCH(IF('Data-solution'!$A$3="Maximize",MAX($C104:$AI104),MIN($C104:$AI104)),$C104:$AI104,0))*INDEX(Q93:$AJ103,MATCH(MIN($AK93:$AK103),$AK93:$AK103,0),1)/INDEX($C93:$AJ103,MATCH(MIN($AK93:$AK103),$AK93:$AK103,0),MATCH(IF('Data-solution'!$A$3="Maximize",MAX($C104:$AI104),MIN($C104:$AI104)),$C104:$AI104,0))),Q98)</f>
        <v>0</v>
      </c>
      <c r="R113" s="1">
        <f>IF(OR($B108&lt;&gt;$B93,$B109&lt;&gt;$B94,$B110&lt;&gt;$B95,$B111&lt;&gt;$B96,$B112&lt;&gt;$B97,$B113&lt;&gt;$B98,$B114&lt;&gt;$B99,$B115&lt;&gt;$B100,$B116&lt;&gt;$B101,$B117&lt;&gt;$B102,$B118&lt;&gt;$B103),IF($B113&lt;&gt;$B98,R98/INDEX($C93:$AJ103,6,MATCH(IF('Data-solution'!$A$3="Maximize",MAX($C104:$AI104),MIN($C104:$AI104)),$C104:$AI104,0)),R98-INDEX($C93:$AJ103,6,MATCH(IF('Data-solution'!$A$3="Maximize",MAX($C104:$AI104),MIN($C104:$AI104)),$C104:$AI104,0))*INDEX(R93:$AJ103,MATCH(MIN($AK93:$AK103),$AK93:$AK103,0),1)/INDEX($C93:$AJ103,MATCH(MIN($AK93:$AK103),$AK93:$AK103,0),MATCH(IF('Data-solution'!$A$3="Maximize",MAX($C104:$AI104),MIN($C104:$AI104)),$C104:$AI104,0))),R98)</f>
        <v>0</v>
      </c>
      <c r="S113" s="1">
        <f>IF(OR($B108&lt;&gt;$B93,$B109&lt;&gt;$B94,$B110&lt;&gt;$B95,$B111&lt;&gt;$B96,$B112&lt;&gt;$B97,$B113&lt;&gt;$B98,$B114&lt;&gt;$B99,$B115&lt;&gt;$B100,$B116&lt;&gt;$B101,$B117&lt;&gt;$B102,$B118&lt;&gt;$B103),IF($B113&lt;&gt;$B98,S98/INDEX($C93:$AJ103,6,MATCH(IF('Data-solution'!$A$3="Maximize",MAX($C104:$AI104),MIN($C104:$AI104)),$C104:$AI104,0)),S98-INDEX($C93:$AJ103,6,MATCH(IF('Data-solution'!$A$3="Maximize",MAX($C104:$AI104),MIN($C104:$AI104)),$C104:$AI104,0))*INDEX(S93:$AJ103,MATCH(MIN($AK93:$AK103),$AK93:$AK103,0),1)/INDEX($C93:$AJ103,MATCH(MIN($AK93:$AK103),$AK93:$AK103,0),MATCH(IF('Data-solution'!$A$3="Maximize",MAX($C104:$AI104),MIN($C104:$AI104)),$C104:$AI104,0))),S98)</f>
        <v>1</v>
      </c>
      <c r="T113" s="1">
        <f>IF(OR($B108&lt;&gt;$B93,$B109&lt;&gt;$B94,$B110&lt;&gt;$B95,$B111&lt;&gt;$B96,$B112&lt;&gt;$B97,$B113&lt;&gt;$B98,$B114&lt;&gt;$B99,$B115&lt;&gt;$B100,$B116&lt;&gt;$B101,$B117&lt;&gt;$B102,$B118&lt;&gt;$B103),IF($B113&lt;&gt;$B98,T98/INDEX($C93:$AJ103,6,MATCH(IF('Data-solution'!$A$3="Maximize",MAX($C104:$AI104),MIN($C104:$AI104)),$C104:$AI104,0)),T98-INDEX($C93:$AJ103,6,MATCH(IF('Data-solution'!$A$3="Maximize",MAX($C104:$AI104),MIN($C104:$AI104)),$C104:$AI104,0))*INDEX(T93:$AJ103,MATCH(MIN($AK93:$AK103),$AK93:$AK103,0),1)/INDEX($C93:$AJ103,MATCH(MIN($AK93:$AK103),$AK93:$AK103,0),MATCH(IF('Data-solution'!$A$3="Maximize",MAX($C104:$AI104),MIN($C104:$AI104)),$C104:$AI104,0))),T98)</f>
        <v>0</v>
      </c>
      <c r="U113" s="1">
        <f>IF(OR($B108&lt;&gt;$B93,$B109&lt;&gt;$B94,$B110&lt;&gt;$B95,$B111&lt;&gt;$B96,$B112&lt;&gt;$B97,$B113&lt;&gt;$B98,$B114&lt;&gt;$B99,$B115&lt;&gt;$B100,$B116&lt;&gt;$B101,$B117&lt;&gt;$B102,$B118&lt;&gt;$B103),IF($B113&lt;&gt;$B98,U98/INDEX($C93:$AJ103,6,MATCH(IF('Data-solution'!$A$3="Maximize",MAX($C104:$AI104),MIN($C104:$AI104)),$C104:$AI104,0)),U98-INDEX($C93:$AJ103,6,MATCH(IF('Data-solution'!$A$3="Maximize",MAX($C104:$AI104),MIN($C104:$AI104)),$C104:$AI104,0))*INDEX(U93:$AJ103,MATCH(MIN($AK93:$AK103),$AK93:$AK103,0),1)/INDEX($C93:$AJ103,MATCH(MIN($AK93:$AK103),$AK93:$AK103,0),MATCH(IF('Data-solution'!$A$3="Maximize",MAX($C104:$AI104),MIN($C104:$AI104)),$C104:$AI104,0))),U98)</f>
        <v>0</v>
      </c>
      <c r="V113" s="1">
        <f>IF(OR($B108&lt;&gt;$B93,$B109&lt;&gt;$B94,$B110&lt;&gt;$B95,$B111&lt;&gt;$B96,$B112&lt;&gt;$B97,$B113&lt;&gt;$B98,$B114&lt;&gt;$B99,$B115&lt;&gt;$B100,$B116&lt;&gt;$B101,$B117&lt;&gt;$B102,$B118&lt;&gt;$B103),IF($B113&lt;&gt;$B98,V98/INDEX($C93:$AJ103,6,MATCH(IF('Data-solution'!$A$3="Maximize",MAX($C104:$AI104),MIN($C104:$AI104)),$C104:$AI104,0)),V98-INDEX($C93:$AJ103,6,MATCH(IF('Data-solution'!$A$3="Maximize",MAX($C104:$AI104),MIN($C104:$AI104)),$C104:$AI104,0))*INDEX(V93:$AJ103,MATCH(MIN($AK93:$AK103),$AK93:$AK103,0),1)/INDEX($C93:$AJ103,MATCH(MIN($AK93:$AK103),$AK93:$AK103,0),MATCH(IF('Data-solution'!$A$3="Maximize",MAX($C104:$AI104),MIN($C104:$AI104)),$C104:$AI104,0))),V98)</f>
        <v>0</v>
      </c>
      <c r="W113" s="1">
        <f>IF(OR($B108&lt;&gt;$B93,$B109&lt;&gt;$B94,$B110&lt;&gt;$B95,$B111&lt;&gt;$B96,$B112&lt;&gt;$B97,$B113&lt;&gt;$B98,$B114&lt;&gt;$B99,$B115&lt;&gt;$B100,$B116&lt;&gt;$B101,$B117&lt;&gt;$B102,$B118&lt;&gt;$B103),IF($B113&lt;&gt;$B98,W98/INDEX($C93:$AJ103,6,MATCH(IF('Data-solution'!$A$3="Maximize",MAX($C104:$AI104),MIN($C104:$AI104)),$C104:$AI104,0)),W98-INDEX($C93:$AJ103,6,MATCH(IF('Data-solution'!$A$3="Maximize",MAX($C104:$AI104),MIN($C104:$AI104)),$C104:$AI104,0))*INDEX(W93:$AJ103,MATCH(MIN($AK93:$AK103),$AK93:$AK103,0),1)/INDEX($C93:$AJ103,MATCH(MIN($AK93:$AK103),$AK93:$AK103,0),MATCH(IF('Data-solution'!$A$3="Maximize",MAX($C104:$AI104),MIN($C104:$AI104)),$C104:$AI104,0))),W98)</f>
        <v>0</v>
      </c>
      <c r="X113" s="1">
        <f>IF(OR($B108&lt;&gt;$B93,$B109&lt;&gt;$B94,$B110&lt;&gt;$B95,$B111&lt;&gt;$B96,$B112&lt;&gt;$B97,$B113&lt;&gt;$B98,$B114&lt;&gt;$B99,$B115&lt;&gt;$B100,$B116&lt;&gt;$B101,$B117&lt;&gt;$B102,$B118&lt;&gt;$B103),IF($B113&lt;&gt;$B98,X98/INDEX($C93:$AJ103,6,MATCH(IF('Data-solution'!$A$3="Maximize",MAX($C104:$AI104),MIN($C104:$AI104)),$C104:$AI104,0)),X98-INDEX($C93:$AJ103,6,MATCH(IF('Data-solution'!$A$3="Maximize",MAX($C104:$AI104),MIN($C104:$AI104)),$C104:$AI104,0))*INDEX(X93:$AJ103,MATCH(MIN($AK93:$AK103),$AK93:$AK103,0),1)/INDEX($C93:$AJ103,MATCH(MIN($AK93:$AK103),$AK93:$AK103,0),MATCH(IF('Data-solution'!$A$3="Maximize",MAX($C104:$AI104),MIN($C104:$AI104)),$C104:$AI104,0))),X98)</f>
        <v>0</v>
      </c>
      <c r="Y113" s="1">
        <f>IF(OR($B108&lt;&gt;$B93,$B109&lt;&gt;$B94,$B110&lt;&gt;$B95,$B111&lt;&gt;$B96,$B112&lt;&gt;$B97,$B113&lt;&gt;$B98,$B114&lt;&gt;$B99,$B115&lt;&gt;$B100,$B116&lt;&gt;$B101,$B117&lt;&gt;$B102,$B118&lt;&gt;$B103),IF($B113&lt;&gt;$B98,Y98/INDEX($C93:$AJ103,6,MATCH(IF('Data-solution'!$A$3="Maximize",MAX($C104:$AI104),MIN($C104:$AI104)),$C104:$AI104,0)),Y98-INDEX($C93:$AJ103,6,MATCH(IF('Data-solution'!$A$3="Maximize",MAX($C104:$AI104),MIN($C104:$AI104)),$C104:$AI104,0))*INDEX(Y93:$AJ103,MATCH(MIN($AK93:$AK103),$AK93:$AK103,0),1)/INDEX($C93:$AJ103,MATCH(MIN($AK93:$AK103),$AK93:$AK103,0),MATCH(IF('Data-solution'!$A$3="Maximize",MAX($C104:$AI104),MIN($C104:$AI104)),$C104:$AI104,0))),Y98)</f>
        <v>0</v>
      </c>
      <c r="Z113" s="1">
        <f>IF(OR($B108&lt;&gt;$B93,$B109&lt;&gt;$B94,$B110&lt;&gt;$B95,$B111&lt;&gt;$B96,$B112&lt;&gt;$B97,$B113&lt;&gt;$B98,$B114&lt;&gt;$B99,$B115&lt;&gt;$B100,$B116&lt;&gt;$B101,$B117&lt;&gt;$B102,$B118&lt;&gt;$B103),IF($B113&lt;&gt;$B98,Z98/INDEX($C93:$AJ103,6,MATCH(IF('Data-solution'!$A$3="Maximize",MAX($C104:$AI104),MIN($C104:$AI104)),$C104:$AI104,0)),Z98-INDEX($C93:$AJ103,6,MATCH(IF('Data-solution'!$A$3="Maximize",MAX($C104:$AI104),MIN($C104:$AI104)),$C104:$AI104,0))*INDEX(Z93:$AJ103,MATCH(MIN($AK93:$AK103),$AK93:$AK103,0),1)/INDEX($C93:$AJ103,MATCH(MIN($AK93:$AK103),$AK93:$AK103,0),MATCH(IF('Data-solution'!$A$3="Maximize",MAX($C104:$AI104),MIN($C104:$AI104)),$C104:$AI104,0))),Z98)</f>
        <v>0</v>
      </c>
      <c r="AA113" s="1">
        <f>IF(OR($B108&lt;&gt;$B93,$B109&lt;&gt;$B94,$B110&lt;&gt;$B95,$B111&lt;&gt;$B96,$B112&lt;&gt;$B97,$B113&lt;&gt;$B98,$B114&lt;&gt;$B99,$B115&lt;&gt;$B100,$B116&lt;&gt;$B101,$B117&lt;&gt;$B102,$B118&lt;&gt;$B103),IF($B113&lt;&gt;$B98,AA98/INDEX($C93:$AJ103,6,MATCH(IF('Data-solution'!$A$3="Maximize",MAX($C104:$AI104),MIN($C104:$AI104)),$C104:$AI104,0)),AA98-INDEX($C93:$AJ103,6,MATCH(IF('Data-solution'!$A$3="Maximize",MAX($C104:$AI104),MIN($C104:$AI104)),$C104:$AI104,0))*INDEX(AA93:$AJ103,MATCH(MIN($AK93:$AK103),$AK93:$AK103,0),1)/INDEX($C93:$AJ103,MATCH(MIN($AK93:$AK103),$AK93:$AK103,0),MATCH(IF('Data-solution'!$A$3="Maximize",MAX($C104:$AI104),MIN($C104:$AI104)),$C104:$AI104,0))),AA98)</f>
        <v>0</v>
      </c>
      <c r="AB113" s="1">
        <f>IF(OR($B108&lt;&gt;$B93,$B109&lt;&gt;$B94,$B110&lt;&gt;$B95,$B111&lt;&gt;$B96,$B112&lt;&gt;$B97,$B113&lt;&gt;$B98,$B114&lt;&gt;$B99,$B115&lt;&gt;$B100,$B116&lt;&gt;$B101,$B117&lt;&gt;$B102,$B118&lt;&gt;$B103),IF($B113&lt;&gt;$B98,AB98/INDEX($C93:$AJ103,6,MATCH(IF('Data-solution'!$A$3="Maximize",MAX($C104:$AI104),MIN($C104:$AI104)),$C104:$AI104,0)),AB98-INDEX($C93:$AJ103,6,MATCH(IF('Data-solution'!$A$3="Maximize",MAX($C104:$AI104),MIN($C104:$AI104)),$C104:$AI104,0))*INDEX(AB93:$AJ103,MATCH(MIN($AK93:$AK103),$AK93:$AK103,0),1)/INDEX($C93:$AJ103,MATCH(MIN($AK93:$AK103),$AK93:$AK103,0),MATCH(IF('Data-solution'!$A$3="Maximize",MAX($C104:$AI104),MIN($C104:$AI104)),$C104:$AI104,0))),AB98)</f>
        <v>0</v>
      </c>
      <c r="AC113" s="1">
        <f>IF(OR($B108&lt;&gt;$B93,$B109&lt;&gt;$B94,$B110&lt;&gt;$B95,$B111&lt;&gt;$B96,$B112&lt;&gt;$B97,$B113&lt;&gt;$B98,$B114&lt;&gt;$B99,$B115&lt;&gt;$B100,$B116&lt;&gt;$B101,$B117&lt;&gt;$B102,$B118&lt;&gt;$B103),IF($B113&lt;&gt;$B98,AC98/INDEX($C93:$AJ103,6,MATCH(IF('Data-solution'!$A$3="Maximize",MAX($C104:$AI104),MIN($C104:$AI104)),$C104:$AI104,0)),AC98-INDEX($C93:$AJ103,6,MATCH(IF('Data-solution'!$A$3="Maximize",MAX($C104:$AI104),MIN($C104:$AI104)),$C104:$AI104,0))*INDEX(AC93:$AJ103,MATCH(MIN($AK93:$AK103),$AK93:$AK103,0),1)/INDEX($C93:$AJ103,MATCH(MIN($AK93:$AK103),$AK93:$AK103,0),MATCH(IF('Data-solution'!$A$3="Maximize",MAX($C104:$AI104),MIN($C104:$AI104)),$C104:$AI104,0))),AC98)</f>
        <v>0</v>
      </c>
      <c r="AD113" s="1">
        <f>IF(OR($B108&lt;&gt;$B93,$B109&lt;&gt;$B94,$B110&lt;&gt;$B95,$B111&lt;&gt;$B96,$B112&lt;&gt;$B97,$B113&lt;&gt;$B98,$B114&lt;&gt;$B99,$B115&lt;&gt;$B100,$B116&lt;&gt;$B101,$B117&lt;&gt;$B102,$B118&lt;&gt;$B103),IF($B113&lt;&gt;$B98,AD98/INDEX($C93:$AJ103,6,MATCH(IF('Data-solution'!$A$3="Maximize",MAX($C104:$AI104),MIN($C104:$AI104)),$C104:$AI104,0)),AD98-INDEX($C93:$AJ103,6,MATCH(IF('Data-solution'!$A$3="Maximize",MAX($C104:$AI104),MIN($C104:$AI104)),$C104:$AI104,0))*INDEX(AD93:$AJ103,MATCH(MIN($AK93:$AK103),$AK93:$AK103,0),1)/INDEX($C93:$AJ103,MATCH(MIN($AK93:$AK103),$AK93:$AK103,0),MATCH(IF('Data-solution'!$A$3="Maximize",MAX($C104:$AI104),MIN($C104:$AI104)),$C104:$AI104,0))),AD98)</f>
        <v>1</v>
      </c>
      <c r="AE113" s="1">
        <f>IF(OR($B108&lt;&gt;$B93,$B109&lt;&gt;$B94,$B110&lt;&gt;$B95,$B111&lt;&gt;$B96,$B112&lt;&gt;$B97,$B113&lt;&gt;$B98,$B114&lt;&gt;$B99,$B115&lt;&gt;$B100,$B116&lt;&gt;$B101,$B117&lt;&gt;$B102,$B118&lt;&gt;$B103),IF($B113&lt;&gt;$B98,AE98/INDEX($C93:$AJ103,6,MATCH(IF('Data-solution'!$A$3="Maximize",MAX($C104:$AI104),MIN($C104:$AI104)),$C104:$AI104,0)),AE98-INDEX($C93:$AJ103,6,MATCH(IF('Data-solution'!$A$3="Maximize",MAX($C104:$AI104),MIN($C104:$AI104)),$C104:$AI104,0))*INDEX(AE93:$AJ103,MATCH(MIN($AK93:$AK103),$AK93:$AK103,0),1)/INDEX($C93:$AJ103,MATCH(MIN($AK93:$AK103),$AK93:$AK103,0),MATCH(IF('Data-solution'!$A$3="Maximize",MAX($C104:$AI104),MIN($C104:$AI104)),$C104:$AI104,0))),AE98)</f>
        <v>0</v>
      </c>
      <c r="AF113" s="1">
        <f>IF(OR($B108&lt;&gt;$B93,$B109&lt;&gt;$B94,$B110&lt;&gt;$B95,$B111&lt;&gt;$B96,$B112&lt;&gt;$B97,$B113&lt;&gt;$B98,$B114&lt;&gt;$B99,$B115&lt;&gt;$B100,$B116&lt;&gt;$B101,$B117&lt;&gt;$B102,$B118&lt;&gt;$B103),IF($B113&lt;&gt;$B98,AF98/INDEX($C93:$AJ103,6,MATCH(IF('Data-solution'!$A$3="Maximize",MAX($C104:$AI104),MIN($C104:$AI104)),$C104:$AI104,0)),AF98-INDEX($C93:$AJ103,6,MATCH(IF('Data-solution'!$A$3="Maximize",MAX($C104:$AI104),MIN($C104:$AI104)),$C104:$AI104,0))*INDEX(AF93:$AJ103,MATCH(MIN($AK93:$AK103),$AK93:$AK103,0),1)/INDEX($C93:$AJ103,MATCH(MIN($AK93:$AK103),$AK93:$AK103,0),MATCH(IF('Data-solution'!$A$3="Maximize",MAX($C104:$AI104),MIN($C104:$AI104)),$C104:$AI104,0))),AF98)</f>
        <v>0</v>
      </c>
      <c r="AG113" s="1">
        <f>IF(OR($B108&lt;&gt;$B93,$B109&lt;&gt;$B94,$B110&lt;&gt;$B95,$B111&lt;&gt;$B96,$B112&lt;&gt;$B97,$B113&lt;&gt;$B98,$B114&lt;&gt;$B99,$B115&lt;&gt;$B100,$B116&lt;&gt;$B101,$B117&lt;&gt;$B102,$B118&lt;&gt;$B103),IF($B113&lt;&gt;$B98,AG98/INDEX($C93:$AJ103,6,MATCH(IF('Data-solution'!$A$3="Maximize",MAX($C104:$AI104),MIN($C104:$AI104)),$C104:$AI104,0)),AG98-INDEX($C93:$AJ103,6,MATCH(IF('Data-solution'!$A$3="Maximize",MAX($C104:$AI104),MIN($C104:$AI104)),$C104:$AI104,0))*INDEX(AG93:$AJ103,MATCH(MIN($AK93:$AK103),$AK93:$AK103,0),1)/INDEX($C93:$AJ103,MATCH(MIN($AK93:$AK103),$AK93:$AK103,0),MATCH(IF('Data-solution'!$A$3="Maximize",MAX($C104:$AI104),MIN($C104:$AI104)),$C104:$AI104,0))),AG98)</f>
        <v>0</v>
      </c>
      <c r="AH113" s="1">
        <f>IF(OR($B108&lt;&gt;$B93,$B109&lt;&gt;$B94,$B110&lt;&gt;$B95,$B111&lt;&gt;$B96,$B112&lt;&gt;$B97,$B113&lt;&gt;$B98,$B114&lt;&gt;$B99,$B115&lt;&gt;$B100,$B116&lt;&gt;$B101,$B117&lt;&gt;$B102,$B118&lt;&gt;$B103),IF($B113&lt;&gt;$B98,AH98/INDEX($C93:$AJ103,6,MATCH(IF('Data-solution'!$A$3="Maximize",MAX($C104:$AI104),MIN($C104:$AI104)),$C104:$AI104,0)),AH98-INDEX($C93:$AJ103,6,MATCH(IF('Data-solution'!$A$3="Maximize",MAX($C104:$AI104),MIN($C104:$AI104)),$C104:$AI104,0))*INDEX(AH93:$AJ103,MATCH(MIN($AK93:$AK103),$AK93:$AK103,0),1)/INDEX($C93:$AJ103,MATCH(MIN($AK93:$AK103),$AK93:$AK103,0),MATCH(IF('Data-solution'!$A$3="Maximize",MAX($C104:$AI104),MIN($C104:$AI104)),$C104:$AI104,0))),AH98)</f>
        <v>0</v>
      </c>
      <c r="AI113" s="1">
        <f>IF(OR($B108&lt;&gt;$B93,$B109&lt;&gt;$B94,$B110&lt;&gt;$B95,$B111&lt;&gt;$B96,$B112&lt;&gt;$B97,$B113&lt;&gt;$B98,$B114&lt;&gt;$B99,$B115&lt;&gt;$B100,$B116&lt;&gt;$B101,$B117&lt;&gt;$B102,$B118&lt;&gt;$B103),IF($B113&lt;&gt;$B98,AI98/INDEX($C93:$AJ103,6,MATCH(IF('Data-solution'!$A$3="Maximize",MAX($C104:$AI104),MIN($C104:$AI104)),$C104:$AI104,0)),AI98-INDEX($C93:$AJ103,6,MATCH(IF('Data-solution'!$A$3="Maximize",MAX($C104:$AI104),MIN($C104:$AI104)),$C104:$AI104,0))*INDEX(AI93:$AJ103,MATCH(MIN($AK93:$AK103),$AK93:$AK103,0),1)/INDEX($C93:$AJ103,MATCH(MIN($AK93:$AK103),$AK93:$AK103,0),MATCH(IF('Data-solution'!$A$3="Maximize",MAX($C104:$AI104),MIN($C104:$AI104)),$C104:$AI104,0))),AI98)</f>
        <v>0</v>
      </c>
      <c r="AJ113" s="1">
        <f>IF(OR($B108&lt;&gt;$B93,$B109&lt;&gt;$B94,$B110&lt;&gt;$B95,$B111&lt;&gt;$B96,$B112&lt;&gt;$B97,$B113&lt;&gt;$B98,$B114&lt;&gt;$B99,$B115&lt;&gt;$B100,$B116&lt;&gt;$B101,$B117&lt;&gt;$B102,$B118&lt;&gt;$B103),IF($B113&lt;&gt;$B98,AJ98/INDEX($C93:$AJ103,6,MATCH(IF('Data-solution'!$A$3="Maximize",MAX($C104:$AI104),MIN($C104:$AI104)),$C104:$AI104,0)),AJ98-INDEX($C93:$AJ103,6,MATCH(IF('Data-solution'!$A$3="Maximize",MAX($C104:$AI104),MIN($C104:$AI104)),$C104:$AI104,0))*INDEX(AJ93:$AJ103,MATCH(MIN($AK93:$AK103),$AK93:$AK103,0),1)/INDEX($C93:$AJ103,MATCH(MIN($AK93:$AK103),$AK93:$AK103,0),MATCH(IF('Data-solution'!$A$3="Maximize",MAX($C104:$AI104),MIN($C104:$AI104)),$C104:$AI104,0))),AJ98)</f>
        <v>0</v>
      </c>
      <c r="AK113" s="1" t="str">
        <f>IF(INDEX(C113:X113,1,MATCH(IF('Data-solution'!A$3="Maximize",MAX(C119:X119),MIN(C119:X119)),C119:X119,0))&gt;0,AJ113/INDEX(C113:X113,1,MATCH(IF('Data-solution'!A$3="Maximize",MAX(C119:X119),MIN(C119:X119)),C119:X119,0))," ")</f>
        <v xml:space="preserve"> </v>
      </c>
    </row>
    <row r="114" spans="1:37" ht="18" customHeight="1" x14ac:dyDescent="0.2">
      <c r="A114" s="1">
        <f t="shared" ref="A114" si="88">INDEX(C106:AI106,1,MATCH(B114,C107:AI107,0))</f>
        <v>0</v>
      </c>
      <c r="B114" s="2" t="str">
        <f>IF(AND('Data-solution'!A$3="Maximize",COUNTIF(C104:X104,"&gt;"&amp;0)&gt;0,AK99=MIN(AK93:AK103),COUNTIF(B108:B113,INDEX(C92:X92,1,MATCH(MAX(C104:X104),C104:X104,0)))=0),INDEX(C92:X92,1,MATCH(MAX(C104:X104),C104:X104,0)),IF(AND('Data-solution'!A$3="Minimize",COUNTIF(C104:X104,"&lt;"&amp;0)&gt;0,AK99=MIN(AK93:AK103),COUNTIF(B108:B113,INDEX(C92:X92,1,MATCH(MIN(C104:X104),C104:X104,0)))=0),INDEX(C92:X92,1,MATCH(MIN(C104:X104),C104:X104,0)),B99))</f>
        <v>S7</v>
      </c>
      <c r="C114" s="1">
        <f>IF(OR($B108&lt;&gt;$B93,$B109&lt;&gt;$B94,$B110&lt;&gt;$B95,$B111&lt;&gt;$B96,$B112&lt;&gt;$B97,$B113&lt;&gt;$B98,$B114&lt;&gt;$B99,$B115&lt;&gt;$B100,$B116&lt;&gt;$B101,$B117&lt;&gt;$B102,$B118&lt;&gt;$B103),IF($B114&lt;&gt;$B99,C99/INDEX($C93:$AJ103,7,MATCH(IF('Data-solution'!$A$3="Maximize",MAX($C104:$AI104),MIN($C104:$AI104)),$C104:$AI104,0)),C99-INDEX($C93:$AJ103,7,MATCH(IF('Data-solution'!$A$3="Maximize",MAX($C104:$AI104),MIN($C104:$AI104)),$C104:$AI104,0))*INDEX(C93:$AJ103,MATCH(MIN($AK93:$AK103),$AK93:$AK103,0),1)/INDEX($C93:$AJ103,MATCH(MIN($AK93:$AK103),$AK93:$AK103,0),MATCH(IF('Data-solution'!$A$3="Maximize",MAX($C104:$AI104),MIN($C104:$AI104)),$C104:$AI104,0))),C99)</f>
        <v>0</v>
      </c>
      <c r="D114" s="1">
        <f>IF(OR($B108&lt;&gt;$B93,$B109&lt;&gt;$B94,$B110&lt;&gt;$B95,$B111&lt;&gt;$B96,$B112&lt;&gt;$B97,$B113&lt;&gt;$B98,$B114&lt;&gt;$B99,$B115&lt;&gt;$B100,$B116&lt;&gt;$B101,$B117&lt;&gt;$B102,$B118&lt;&gt;$B103),IF($B114&lt;&gt;$B99,D99/INDEX($C93:$AJ103,7,MATCH(IF('Data-solution'!$A$3="Maximize",MAX($C104:$AI104),MIN($C104:$AI104)),$C104:$AI104,0)),D99-INDEX($C93:$AJ103,7,MATCH(IF('Data-solution'!$A$3="Maximize",MAX($C104:$AI104),MIN($C104:$AI104)),$C104:$AI104,0))*INDEX(D93:$AJ103,MATCH(MIN($AK93:$AK103),$AK93:$AK103,0),1)/INDEX($C93:$AJ103,MATCH(MIN($AK93:$AK103),$AK93:$AK103,0),MATCH(IF('Data-solution'!$A$3="Maximize",MAX($C104:$AI104),MIN($C104:$AI104)),$C104:$AI104,0))),D99)</f>
        <v>0</v>
      </c>
      <c r="E114" s="1">
        <f>IF(OR($B108&lt;&gt;$B93,$B109&lt;&gt;$B94,$B110&lt;&gt;$B95,$B111&lt;&gt;$B96,$B112&lt;&gt;$B97,$B113&lt;&gt;$B98,$B114&lt;&gt;$B99,$B115&lt;&gt;$B100,$B116&lt;&gt;$B101,$B117&lt;&gt;$B102,$B118&lt;&gt;$B103),IF($B114&lt;&gt;$B99,E99/INDEX($C93:$AJ103,7,MATCH(IF('Data-solution'!$A$3="Maximize",MAX($C104:$AI104),MIN($C104:$AI104)),$C104:$AI104,0)),E99-INDEX($C93:$AJ103,7,MATCH(IF('Data-solution'!$A$3="Maximize",MAX($C104:$AI104),MIN($C104:$AI104)),$C104:$AI104,0))*INDEX(E93:$AJ103,MATCH(MIN($AK93:$AK103),$AK93:$AK103,0),1)/INDEX($C93:$AJ103,MATCH(MIN($AK93:$AK103),$AK93:$AK103,0),MATCH(IF('Data-solution'!$A$3="Maximize",MAX($C104:$AI104),MIN($C104:$AI104)),$C104:$AI104,0))),E99)</f>
        <v>0</v>
      </c>
      <c r="F114" s="1">
        <f>IF(OR($B108&lt;&gt;$B93,$B109&lt;&gt;$B94,$B110&lt;&gt;$B95,$B111&lt;&gt;$B96,$B112&lt;&gt;$B97,$B113&lt;&gt;$B98,$B114&lt;&gt;$B99,$B115&lt;&gt;$B100,$B116&lt;&gt;$B101,$B117&lt;&gt;$B102,$B118&lt;&gt;$B103),IF($B114&lt;&gt;$B99,F99/INDEX($C93:$AJ103,7,MATCH(IF('Data-solution'!$A$3="Maximize",MAX($C104:$AI104),MIN($C104:$AI104)),$C104:$AI104,0)),F99-INDEX($C93:$AJ103,7,MATCH(IF('Data-solution'!$A$3="Maximize",MAX($C104:$AI104),MIN($C104:$AI104)),$C104:$AI104,0))*INDEX(F93:$AJ103,MATCH(MIN($AK93:$AK103),$AK93:$AK103,0),1)/INDEX($C93:$AJ103,MATCH(MIN($AK93:$AK103),$AK93:$AK103,0),MATCH(IF('Data-solution'!$A$3="Maximize",MAX($C104:$AI104),MIN($C104:$AI104)),$C104:$AI104,0))),F99)</f>
        <v>0</v>
      </c>
      <c r="G114" s="1">
        <f>IF(OR($B108&lt;&gt;$B93,$B109&lt;&gt;$B94,$B110&lt;&gt;$B95,$B111&lt;&gt;$B96,$B112&lt;&gt;$B97,$B113&lt;&gt;$B98,$B114&lt;&gt;$B99,$B115&lt;&gt;$B100,$B116&lt;&gt;$B101,$B117&lt;&gt;$B102,$B118&lt;&gt;$B103),IF($B114&lt;&gt;$B99,G99/INDEX($C93:$AJ103,7,MATCH(IF('Data-solution'!$A$3="Maximize",MAX($C104:$AI104),MIN($C104:$AI104)),$C104:$AI104,0)),G99-INDEX($C93:$AJ103,7,MATCH(IF('Data-solution'!$A$3="Maximize",MAX($C104:$AI104),MIN($C104:$AI104)),$C104:$AI104,0))*INDEX(G93:$AJ103,MATCH(MIN($AK93:$AK103),$AK93:$AK103,0),1)/INDEX($C93:$AJ103,MATCH(MIN($AK93:$AK103),$AK93:$AK103,0),MATCH(IF('Data-solution'!$A$3="Maximize",MAX($C104:$AI104),MIN($C104:$AI104)),$C104:$AI104,0))),G99)</f>
        <v>0</v>
      </c>
      <c r="H114" s="1">
        <f>IF(OR($B108&lt;&gt;$B93,$B109&lt;&gt;$B94,$B110&lt;&gt;$B95,$B111&lt;&gt;$B96,$B112&lt;&gt;$B97,$B113&lt;&gt;$B98,$B114&lt;&gt;$B99,$B115&lt;&gt;$B100,$B116&lt;&gt;$B101,$B117&lt;&gt;$B102,$B118&lt;&gt;$B103),IF($B114&lt;&gt;$B99,H99/INDEX($C93:$AJ103,7,MATCH(IF('Data-solution'!$A$3="Maximize",MAX($C104:$AI104),MIN($C104:$AI104)),$C104:$AI104,0)),H99-INDEX($C93:$AJ103,7,MATCH(IF('Data-solution'!$A$3="Maximize",MAX($C104:$AI104),MIN($C104:$AI104)),$C104:$AI104,0))*INDEX(H93:$AJ103,MATCH(MIN($AK93:$AK103),$AK93:$AK103,0),1)/INDEX($C93:$AJ103,MATCH(MIN($AK93:$AK103),$AK93:$AK103,0),MATCH(IF('Data-solution'!$A$3="Maximize",MAX($C104:$AI104),MIN($C104:$AI104)),$C104:$AI104,0))),H99)</f>
        <v>0</v>
      </c>
      <c r="I114" s="1">
        <f>IF(OR($B108&lt;&gt;$B93,$B109&lt;&gt;$B94,$B110&lt;&gt;$B95,$B111&lt;&gt;$B96,$B112&lt;&gt;$B97,$B113&lt;&gt;$B98,$B114&lt;&gt;$B99,$B115&lt;&gt;$B100,$B116&lt;&gt;$B101,$B117&lt;&gt;$B102,$B118&lt;&gt;$B103),IF($B114&lt;&gt;$B99,I99/INDEX($C93:$AJ103,7,MATCH(IF('Data-solution'!$A$3="Maximize",MAX($C104:$AI104),MIN($C104:$AI104)),$C104:$AI104,0)),I99-INDEX($C93:$AJ103,7,MATCH(IF('Data-solution'!$A$3="Maximize",MAX($C104:$AI104),MIN($C104:$AI104)),$C104:$AI104,0))*INDEX(I93:$AJ103,MATCH(MIN($AK93:$AK103),$AK93:$AK103,0),1)/INDEX($C93:$AJ103,MATCH(MIN($AK93:$AK103),$AK93:$AK103,0),MATCH(IF('Data-solution'!$A$3="Maximize",MAX($C104:$AI104),MIN($C104:$AI104)),$C104:$AI104,0))),I99)</f>
        <v>0</v>
      </c>
      <c r="J114" s="1">
        <f>IF(OR($B108&lt;&gt;$B93,$B109&lt;&gt;$B94,$B110&lt;&gt;$B95,$B111&lt;&gt;$B96,$B112&lt;&gt;$B97,$B113&lt;&gt;$B98,$B114&lt;&gt;$B99,$B115&lt;&gt;$B100,$B116&lt;&gt;$B101,$B117&lt;&gt;$B102,$B118&lt;&gt;$B103),IF($B114&lt;&gt;$B99,J99/INDEX($C93:$AJ103,7,MATCH(IF('Data-solution'!$A$3="Maximize",MAX($C104:$AI104),MIN($C104:$AI104)),$C104:$AI104,0)),J99-INDEX($C93:$AJ103,7,MATCH(IF('Data-solution'!$A$3="Maximize",MAX($C104:$AI104),MIN($C104:$AI104)),$C104:$AI104,0))*INDEX(J93:$AJ103,MATCH(MIN($AK93:$AK103),$AK93:$AK103,0),1)/INDEX($C93:$AJ103,MATCH(MIN($AK93:$AK103),$AK93:$AK103,0),MATCH(IF('Data-solution'!$A$3="Maximize",MAX($C104:$AI104),MIN($C104:$AI104)),$C104:$AI104,0))),J99)</f>
        <v>0</v>
      </c>
      <c r="K114" s="1">
        <f>IF(OR($B108&lt;&gt;$B93,$B109&lt;&gt;$B94,$B110&lt;&gt;$B95,$B111&lt;&gt;$B96,$B112&lt;&gt;$B97,$B113&lt;&gt;$B98,$B114&lt;&gt;$B99,$B115&lt;&gt;$B100,$B116&lt;&gt;$B101,$B117&lt;&gt;$B102,$B118&lt;&gt;$B103),IF($B114&lt;&gt;$B99,K99/INDEX($C93:$AJ103,7,MATCH(IF('Data-solution'!$A$3="Maximize",MAX($C104:$AI104),MIN($C104:$AI104)),$C104:$AI104,0)),K99-INDEX($C93:$AJ103,7,MATCH(IF('Data-solution'!$A$3="Maximize",MAX($C104:$AI104),MIN($C104:$AI104)),$C104:$AI104,0))*INDEX(K93:$AJ103,MATCH(MIN($AK93:$AK103),$AK93:$AK103,0),1)/INDEX($C93:$AJ103,MATCH(MIN($AK93:$AK103),$AK93:$AK103,0),MATCH(IF('Data-solution'!$A$3="Maximize",MAX($C104:$AI104),MIN($C104:$AI104)),$C104:$AI104,0))),K99)</f>
        <v>0</v>
      </c>
      <c r="L114" s="1">
        <f>IF(OR($B108&lt;&gt;$B93,$B109&lt;&gt;$B94,$B110&lt;&gt;$B95,$B111&lt;&gt;$B96,$B112&lt;&gt;$B97,$B113&lt;&gt;$B98,$B114&lt;&gt;$B99,$B115&lt;&gt;$B100,$B116&lt;&gt;$B101,$B117&lt;&gt;$B102,$B118&lt;&gt;$B103),IF($B114&lt;&gt;$B99,L99/INDEX($C93:$AJ103,7,MATCH(IF('Data-solution'!$A$3="Maximize",MAX($C104:$AI104),MIN($C104:$AI104)),$C104:$AI104,0)),L99-INDEX($C93:$AJ103,7,MATCH(IF('Data-solution'!$A$3="Maximize",MAX($C104:$AI104),MIN($C104:$AI104)),$C104:$AI104,0))*INDEX(L93:$AJ103,MATCH(MIN($AK93:$AK103),$AK93:$AK103,0),1)/INDEX($C93:$AJ103,MATCH(MIN($AK93:$AK103),$AK93:$AK103,0),MATCH(IF('Data-solution'!$A$3="Maximize",MAX($C104:$AI104),MIN($C104:$AI104)),$C104:$AI104,0))),L99)</f>
        <v>0</v>
      </c>
      <c r="M114" s="1">
        <f>IF(OR($B108&lt;&gt;$B93,$B109&lt;&gt;$B94,$B110&lt;&gt;$B95,$B111&lt;&gt;$B96,$B112&lt;&gt;$B97,$B113&lt;&gt;$B98,$B114&lt;&gt;$B99,$B115&lt;&gt;$B100,$B116&lt;&gt;$B101,$B117&lt;&gt;$B102,$B118&lt;&gt;$B103),IF($B114&lt;&gt;$B99,M99/INDEX($C93:$AJ103,7,MATCH(IF('Data-solution'!$A$3="Maximize",MAX($C104:$AI104),MIN($C104:$AI104)),$C104:$AI104,0)),M99-INDEX($C93:$AJ103,7,MATCH(IF('Data-solution'!$A$3="Maximize",MAX($C104:$AI104),MIN($C104:$AI104)),$C104:$AI104,0))*INDEX(M93:$AJ103,MATCH(MIN($AK93:$AK103),$AK93:$AK103,0),1)/INDEX($C93:$AJ103,MATCH(MIN($AK93:$AK103),$AK93:$AK103,0),MATCH(IF('Data-solution'!$A$3="Maximize",MAX($C104:$AI104),MIN($C104:$AI104)),$C104:$AI104,0))),M99)</f>
        <v>0</v>
      </c>
      <c r="N114" s="1">
        <f>IF(OR($B108&lt;&gt;$B93,$B109&lt;&gt;$B94,$B110&lt;&gt;$B95,$B111&lt;&gt;$B96,$B112&lt;&gt;$B97,$B113&lt;&gt;$B98,$B114&lt;&gt;$B99,$B115&lt;&gt;$B100,$B116&lt;&gt;$B101,$B117&lt;&gt;$B102,$B118&lt;&gt;$B103),IF($B114&lt;&gt;$B99,N99/INDEX($C93:$AJ103,7,MATCH(IF('Data-solution'!$A$3="Maximize",MAX($C104:$AI104),MIN($C104:$AI104)),$C104:$AI104,0)),N99-INDEX($C93:$AJ103,7,MATCH(IF('Data-solution'!$A$3="Maximize",MAX($C104:$AI104),MIN($C104:$AI104)),$C104:$AI104,0))*INDEX(N93:$AJ103,MATCH(MIN($AK93:$AK103),$AK93:$AK103,0),1)/INDEX($C93:$AJ103,MATCH(MIN($AK93:$AK103),$AK93:$AK103,0),MATCH(IF('Data-solution'!$A$3="Maximize",MAX($C104:$AI104),MIN($C104:$AI104)),$C104:$AI104,0))),N99)</f>
        <v>0</v>
      </c>
      <c r="O114" s="1">
        <f>IF(OR($B108&lt;&gt;$B93,$B109&lt;&gt;$B94,$B110&lt;&gt;$B95,$B111&lt;&gt;$B96,$B112&lt;&gt;$B97,$B113&lt;&gt;$B98,$B114&lt;&gt;$B99,$B115&lt;&gt;$B100,$B116&lt;&gt;$B101,$B117&lt;&gt;$B102,$B118&lt;&gt;$B103),IF($B114&lt;&gt;$B99,O99/INDEX($C93:$AJ103,7,MATCH(IF('Data-solution'!$A$3="Maximize",MAX($C104:$AI104),MIN($C104:$AI104)),$C104:$AI104,0)),O99-INDEX($C93:$AJ103,7,MATCH(IF('Data-solution'!$A$3="Maximize",MAX($C104:$AI104),MIN($C104:$AI104)),$C104:$AI104,0))*INDEX(O93:$AJ103,MATCH(MIN($AK93:$AK103),$AK93:$AK103,0),1)/INDEX($C93:$AJ103,MATCH(MIN($AK93:$AK103),$AK93:$AK103,0),MATCH(IF('Data-solution'!$A$3="Maximize",MAX($C104:$AI104),MIN($C104:$AI104)),$C104:$AI104,0))),O99)</f>
        <v>0</v>
      </c>
      <c r="P114" s="1">
        <f>IF(OR($B108&lt;&gt;$B93,$B109&lt;&gt;$B94,$B110&lt;&gt;$B95,$B111&lt;&gt;$B96,$B112&lt;&gt;$B97,$B113&lt;&gt;$B98,$B114&lt;&gt;$B99,$B115&lt;&gt;$B100,$B116&lt;&gt;$B101,$B117&lt;&gt;$B102,$B118&lt;&gt;$B103),IF($B114&lt;&gt;$B99,P99/INDEX($C93:$AJ103,7,MATCH(IF('Data-solution'!$A$3="Maximize",MAX($C104:$AI104),MIN($C104:$AI104)),$C104:$AI104,0)),P99-INDEX($C93:$AJ103,7,MATCH(IF('Data-solution'!$A$3="Maximize",MAX($C104:$AI104),MIN($C104:$AI104)),$C104:$AI104,0))*INDEX(P93:$AJ103,MATCH(MIN($AK93:$AK103),$AK93:$AK103,0),1)/INDEX($C93:$AJ103,MATCH(MIN($AK93:$AK103),$AK93:$AK103,0),MATCH(IF('Data-solution'!$A$3="Maximize",MAX($C104:$AI104),MIN($C104:$AI104)),$C104:$AI104,0))),P99)</f>
        <v>0</v>
      </c>
      <c r="Q114" s="1">
        <f>IF(OR($B108&lt;&gt;$B93,$B109&lt;&gt;$B94,$B110&lt;&gt;$B95,$B111&lt;&gt;$B96,$B112&lt;&gt;$B97,$B113&lt;&gt;$B98,$B114&lt;&gt;$B99,$B115&lt;&gt;$B100,$B116&lt;&gt;$B101,$B117&lt;&gt;$B102,$B118&lt;&gt;$B103),IF($B114&lt;&gt;$B99,Q99/INDEX($C93:$AJ103,7,MATCH(IF('Data-solution'!$A$3="Maximize",MAX($C104:$AI104),MIN($C104:$AI104)),$C104:$AI104,0)),Q99-INDEX($C93:$AJ103,7,MATCH(IF('Data-solution'!$A$3="Maximize",MAX($C104:$AI104),MIN($C104:$AI104)),$C104:$AI104,0))*INDEX(Q93:$AJ103,MATCH(MIN($AK93:$AK103),$AK93:$AK103,0),1)/INDEX($C93:$AJ103,MATCH(MIN($AK93:$AK103),$AK93:$AK103,0),MATCH(IF('Data-solution'!$A$3="Maximize",MAX($C104:$AI104),MIN($C104:$AI104)),$C104:$AI104,0))),Q99)</f>
        <v>0</v>
      </c>
      <c r="R114" s="1">
        <f>IF(OR($B108&lt;&gt;$B93,$B109&lt;&gt;$B94,$B110&lt;&gt;$B95,$B111&lt;&gt;$B96,$B112&lt;&gt;$B97,$B113&lt;&gt;$B98,$B114&lt;&gt;$B99,$B115&lt;&gt;$B100,$B116&lt;&gt;$B101,$B117&lt;&gt;$B102,$B118&lt;&gt;$B103),IF($B114&lt;&gt;$B99,R99/INDEX($C93:$AJ103,7,MATCH(IF('Data-solution'!$A$3="Maximize",MAX($C104:$AI104),MIN($C104:$AI104)),$C104:$AI104,0)),R99-INDEX($C93:$AJ103,7,MATCH(IF('Data-solution'!$A$3="Maximize",MAX($C104:$AI104),MIN($C104:$AI104)),$C104:$AI104,0))*INDEX(R93:$AJ103,MATCH(MIN($AK93:$AK103),$AK93:$AK103,0),1)/INDEX($C93:$AJ103,MATCH(MIN($AK93:$AK103),$AK93:$AK103,0),MATCH(IF('Data-solution'!$A$3="Maximize",MAX($C104:$AI104),MIN($C104:$AI104)),$C104:$AI104,0))),R99)</f>
        <v>0</v>
      </c>
      <c r="S114" s="1">
        <f>IF(OR($B108&lt;&gt;$B93,$B109&lt;&gt;$B94,$B110&lt;&gt;$B95,$B111&lt;&gt;$B96,$B112&lt;&gt;$B97,$B113&lt;&gt;$B98,$B114&lt;&gt;$B99,$B115&lt;&gt;$B100,$B116&lt;&gt;$B101,$B117&lt;&gt;$B102,$B118&lt;&gt;$B103),IF($B114&lt;&gt;$B99,S99/INDEX($C93:$AJ103,7,MATCH(IF('Data-solution'!$A$3="Maximize",MAX($C104:$AI104),MIN($C104:$AI104)),$C104:$AI104,0)),S99-INDEX($C93:$AJ103,7,MATCH(IF('Data-solution'!$A$3="Maximize",MAX($C104:$AI104),MIN($C104:$AI104)),$C104:$AI104,0))*INDEX(S93:$AJ103,MATCH(MIN($AK93:$AK103),$AK93:$AK103,0),1)/INDEX($C93:$AJ103,MATCH(MIN($AK93:$AK103),$AK93:$AK103,0),MATCH(IF('Data-solution'!$A$3="Maximize",MAX($C104:$AI104),MIN($C104:$AI104)),$C104:$AI104,0))),S99)</f>
        <v>0</v>
      </c>
      <c r="T114" s="1">
        <f>IF(OR($B108&lt;&gt;$B93,$B109&lt;&gt;$B94,$B110&lt;&gt;$B95,$B111&lt;&gt;$B96,$B112&lt;&gt;$B97,$B113&lt;&gt;$B98,$B114&lt;&gt;$B99,$B115&lt;&gt;$B100,$B116&lt;&gt;$B101,$B117&lt;&gt;$B102,$B118&lt;&gt;$B103),IF($B114&lt;&gt;$B99,T99/INDEX($C93:$AJ103,7,MATCH(IF('Data-solution'!$A$3="Maximize",MAX($C104:$AI104),MIN($C104:$AI104)),$C104:$AI104,0)),T99-INDEX($C93:$AJ103,7,MATCH(IF('Data-solution'!$A$3="Maximize",MAX($C104:$AI104),MIN($C104:$AI104)),$C104:$AI104,0))*INDEX(T93:$AJ103,MATCH(MIN($AK93:$AK103),$AK93:$AK103,0),1)/INDEX($C93:$AJ103,MATCH(MIN($AK93:$AK103),$AK93:$AK103,0),MATCH(IF('Data-solution'!$A$3="Maximize",MAX($C104:$AI104),MIN($C104:$AI104)),$C104:$AI104,0))),T99)</f>
        <v>1</v>
      </c>
      <c r="U114" s="1">
        <f>IF(OR($B108&lt;&gt;$B93,$B109&lt;&gt;$B94,$B110&lt;&gt;$B95,$B111&lt;&gt;$B96,$B112&lt;&gt;$B97,$B113&lt;&gt;$B98,$B114&lt;&gt;$B99,$B115&lt;&gt;$B100,$B116&lt;&gt;$B101,$B117&lt;&gt;$B102,$B118&lt;&gt;$B103),IF($B114&lt;&gt;$B99,U99/INDEX($C93:$AJ103,7,MATCH(IF('Data-solution'!$A$3="Maximize",MAX($C104:$AI104),MIN($C104:$AI104)),$C104:$AI104,0)),U99-INDEX($C93:$AJ103,7,MATCH(IF('Data-solution'!$A$3="Maximize",MAX($C104:$AI104),MIN($C104:$AI104)),$C104:$AI104,0))*INDEX(U93:$AJ103,MATCH(MIN($AK93:$AK103),$AK93:$AK103,0),1)/INDEX($C93:$AJ103,MATCH(MIN($AK93:$AK103),$AK93:$AK103,0),MATCH(IF('Data-solution'!$A$3="Maximize",MAX($C104:$AI104),MIN($C104:$AI104)),$C104:$AI104,0))),U99)</f>
        <v>0</v>
      </c>
      <c r="V114" s="1">
        <f>IF(OR($B108&lt;&gt;$B93,$B109&lt;&gt;$B94,$B110&lt;&gt;$B95,$B111&lt;&gt;$B96,$B112&lt;&gt;$B97,$B113&lt;&gt;$B98,$B114&lt;&gt;$B99,$B115&lt;&gt;$B100,$B116&lt;&gt;$B101,$B117&lt;&gt;$B102,$B118&lt;&gt;$B103),IF($B114&lt;&gt;$B99,V99/INDEX($C93:$AJ103,7,MATCH(IF('Data-solution'!$A$3="Maximize",MAX($C104:$AI104),MIN($C104:$AI104)),$C104:$AI104,0)),V99-INDEX($C93:$AJ103,7,MATCH(IF('Data-solution'!$A$3="Maximize",MAX($C104:$AI104),MIN($C104:$AI104)),$C104:$AI104,0))*INDEX(V93:$AJ103,MATCH(MIN($AK93:$AK103),$AK93:$AK103,0),1)/INDEX($C93:$AJ103,MATCH(MIN($AK93:$AK103),$AK93:$AK103,0),MATCH(IF('Data-solution'!$A$3="Maximize",MAX($C104:$AI104),MIN($C104:$AI104)),$C104:$AI104,0))),V99)</f>
        <v>0</v>
      </c>
      <c r="W114" s="1">
        <f>IF(OR($B108&lt;&gt;$B93,$B109&lt;&gt;$B94,$B110&lt;&gt;$B95,$B111&lt;&gt;$B96,$B112&lt;&gt;$B97,$B113&lt;&gt;$B98,$B114&lt;&gt;$B99,$B115&lt;&gt;$B100,$B116&lt;&gt;$B101,$B117&lt;&gt;$B102,$B118&lt;&gt;$B103),IF($B114&lt;&gt;$B99,W99/INDEX($C93:$AJ103,7,MATCH(IF('Data-solution'!$A$3="Maximize",MAX($C104:$AI104),MIN($C104:$AI104)),$C104:$AI104,0)),W99-INDEX($C93:$AJ103,7,MATCH(IF('Data-solution'!$A$3="Maximize",MAX($C104:$AI104),MIN($C104:$AI104)),$C104:$AI104,0))*INDEX(W93:$AJ103,MATCH(MIN($AK93:$AK103),$AK93:$AK103,0),1)/INDEX($C93:$AJ103,MATCH(MIN($AK93:$AK103),$AK93:$AK103,0),MATCH(IF('Data-solution'!$A$3="Maximize",MAX($C104:$AI104),MIN($C104:$AI104)),$C104:$AI104,0))),W99)</f>
        <v>0</v>
      </c>
      <c r="X114" s="1">
        <f>IF(OR($B108&lt;&gt;$B93,$B109&lt;&gt;$B94,$B110&lt;&gt;$B95,$B111&lt;&gt;$B96,$B112&lt;&gt;$B97,$B113&lt;&gt;$B98,$B114&lt;&gt;$B99,$B115&lt;&gt;$B100,$B116&lt;&gt;$B101,$B117&lt;&gt;$B102,$B118&lt;&gt;$B103),IF($B114&lt;&gt;$B99,X99/INDEX($C93:$AJ103,7,MATCH(IF('Data-solution'!$A$3="Maximize",MAX($C104:$AI104),MIN($C104:$AI104)),$C104:$AI104,0)),X99-INDEX($C93:$AJ103,7,MATCH(IF('Data-solution'!$A$3="Maximize",MAX($C104:$AI104),MIN($C104:$AI104)),$C104:$AI104,0))*INDEX(X93:$AJ103,MATCH(MIN($AK93:$AK103),$AK93:$AK103,0),1)/INDEX($C93:$AJ103,MATCH(MIN($AK93:$AK103),$AK93:$AK103,0),MATCH(IF('Data-solution'!$A$3="Maximize",MAX($C104:$AI104),MIN($C104:$AI104)),$C104:$AI104,0))),X99)</f>
        <v>0</v>
      </c>
      <c r="Y114" s="1">
        <f>IF(OR($B108&lt;&gt;$B93,$B109&lt;&gt;$B94,$B110&lt;&gt;$B95,$B111&lt;&gt;$B96,$B112&lt;&gt;$B97,$B113&lt;&gt;$B98,$B114&lt;&gt;$B99,$B115&lt;&gt;$B100,$B116&lt;&gt;$B101,$B117&lt;&gt;$B102,$B118&lt;&gt;$B103),IF($B114&lt;&gt;$B99,Y99/INDEX($C93:$AJ103,7,MATCH(IF('Data-solution'!$A$3="Maximize",MAX($C104:$AI104),MIN($C104:$AI104)),$C104:$AI104,0)),Y99-INDEX($C93:$AJ103,7,MATCH(IF('Data-solution'!$A$3="Maximize",MAX($C104:$AI104),MIN($C104:$AI104)),$C104:$AI104,0))*INDEX(Y93:$AJ103,MATCH(MIN($AK93:$AK103),$AK93:$AK103,0),1)/INDEX($C93:$AJ103,MATCH(MIN($AK93:$AK103),$AK93:$AK103,0),MATCH(IF('Data-solution'!$A$3="Maximize",MAX($C104:$AI104),MIN($C104:$AI104)),$C104:$AI104,0))),Y99)</f>
        <v>0</v>
      </c>
      <c r="Z114" s="1">
        <f>IF(OR($B108&lt;&gt;$B93,$B109&lt;&gt;$B94,$B110&lt;&gt;$B95,$B111&lt;&gt;$B96,$B112&lt;&gt;$B97,$B113&lt;&gt;$B98,$B114&lt;&gt;$B99,$B115&lt;&gt;$B100,$B116&lt;&gt;$B101,$B117&lt;&gt;$B102,$B118&lt;&gt;$B103),IF($B114&lt;&gt;$B99,Z99/INDEX($C93:$AJ103,7,MATCH(IF('Data-solution'!$A$3="Maximize",MAX($C104:$AI104),MIN($C104:$AI104)),$C104:$AI104,0)),Z99-INDEX($C93:$AJ103,7,MATCH(IF('Data-solution'!$A$3="Maximize",MAX($C104:$AI104),MIN($C104:$AI104)),$C104:$AI104,0))*INDEX(Z93:$AJ103,MATCH(MIN($AK93:$AK103),$AK93:$AK103,0),1)/INDEX($C93:$AJ103,MATCH(MIN($AK93:$AK103),$AK93:$AK103,0),MATCH(IF('Data-solution'!$A$3="Maximize",MAX($C104:$AI104),MIN($C104:$AI104)),$C104:$AI104,0))),Z99)</f>
        <v>0</v>
      </c>
      <c r="AA114" s="1">
        <f>IF(OR($B108&lt;&gt;$B93,$B109&lt;&gt;$B94,$B110&lt;&gt;$B95,$B111&lt;&gt;$B96,$B112&lt;&gt;$B97,$B113&lt;&gt;$B98,$B114&lt;&gt;$B99,$B115&lt;&gt;$B100,$B116&lt;&gt;$B101,$B117&lt;&gt;$B102,$B118&lt;&gt;$B103),IF($B114&lt;&gt;$B99,AA99/INDEX($C93:$AJ103,7,MATCH(IF('Data-solution'!$A$3="Maximize",MAX($C104:$AI104),MIN($C104:$AI104)),$C104:$AI104,0)),AA99-INDEX($C93:$AJ103,7,MATCH(IF('Data-solution'!$A$3="Maximize",MAX($C104:$AI104),MIN($C104:$AI104)),$C104:$AI104,0))*INDEX(AA93:$AJ103,MATCH(MIN($AK93:$AK103),$AK93:$AK103,0),1)/INDEX($C93:$AJ103,MATCH(MIN($AK93:$AK103),$AK93:$AK103,0),MATCH(IF('Data-solution'!$A$3="Maximize",MAX($C104:$AI104),MIN($C104:$AI104)),$C104:$AI104,0))),AA99)</f>
        <v>0</v>
      </c>
      <c r="AB114" s="1">
        <f>IF(OR($B108&lt;&gt;$B93,$B109&lt;&gt;$B94,$B110&lt;&gt;$B95,$B111&lt;&gt;$B96,$B112&lt;&gt;$B97,$B113&lt;&gt;$B98,$B114&lt;&gt;$B99,$B115&lt;&gt;$B100,$B116&lt;&gt;$B101,$B117&lt;&gt;$B102,$B118&lt;&gt;$B103),IF($B114&lt;&gt;$B99,AB99/INDEX($C93:$AJ103,7,MATCH(IF('Data-solution'!$A$3="Maximize",MAX($C104:$AI104),MIN($C104:$AI104)),$C104:$AI104,0)),AB99-INDEX($C93:$AJ103,7,MATCH(IF('Data-solution'!$A$3="Maximize",MAX($C104:$AI104),MIN($C104:$AI104)),$C104:$AI104,0))*INDEX(AB93:$AJ103,MATCH(MIN($AK93:$AK103),$AK93:$AK103,0),1)/INDEX($C93:$AJ103,MATCH(MIN($AK93:$AK103),$AK93:$AK103,0),MATCH(IF('Data-solution'!$A$3="Maximize",MAX($C104:$AI104),MIN($C104:$AI104)),$C104:$AI104,0))),AB99)</f>
        <v>0</v>
      </c>
      <c r="AC114" s="1">
        <f>IF(OR($B108&lt;&gt;$B93,$B109&lt;&gt;$B94,$B110&lt;&gt;$B95,$B111&lt;&gt;$B96,$B112&lt;&gt;$B97,$B113&lt;&gt;$B98,$B114&lt;&gt;$B99,$B115&lt;&gt;$B100,$B116&lt;&gt;$B101,$B117&lt;&gt;$B102,$B118&lt;&gt;$B103),IF($B114&lt;&gt;$B99,AC99/INDEX($C93:$AJ103,7,MATCH(IF('Data-solution'!$A$3="Maximize",MAX($C104:$AI104),MIN($C104:$AI104)),$C104:$AI104,0)),AC99-INDEX($C93:$AJ103,7,MATCH(IF('Data-solution'!$A$3="Maximize",MAX($C104:$AI104),MIN($C104:$AI104)),$C104:$AI104,0))*INDEX(AC93:$AJ103,MATCH(MIN($AK93:$AK103),$AK93:$AK103,0),1)/INDEX($C93:$AJ103,MATCH(MIN($AK93:$AK103),$AK93:$AK103,0),MATCH(IF('Data-solution'!$A$3="Maximize",MAX($C104:$AI104),MIN($C104:$AI104)),$C104:$AI104,0))),AC99)</f>
        <v>0</v>
      </c>
      <c r="AD114" s="1">
        <f>IF(OR($B108&lt;&gt;$B93,$B109&lt;&gt;$B94,$B110&lt;&gt;$B95,$B111&lt;&gt;$B96,$B112&lt;&gt;$B97,$B113&lt;&gt;$B98,$B114&lt;&gt;$B99,$B115&lt;&gt;$B100,$B116&lt;&gt;$B101,$B117&lt;&gt;$B102,$B118&lt;&gt;$B103),IF($B114&lt;&gt;$B99,AD99/INDEX($C93:$AJ103,7,MATCH(IF('Data-solution'!$A$3="Maximize",MAX($C104:$AI104),MIN($C104:$AI104)),$C104:$AI104,0)),AD99-INDEX($C93:$AJ103,7,MATCH(IF('Data-solution'!$A$3="Maximize",MAX($C104:$AI104),MIN($C104:$AI104)),$C104:$AI104,0))*INDEX(AD93:$AJ103,MATCH(MIN($AK93:$AK103),$AK93:$AK103,0),1)/INDEX($C93:$AJ103,MATCH(MIN($AK93:$AK103),$AK93:$AK103,0),MATCH(IF('Data-solution'!$A$3="Maximize",MAX($C104:$AI104),MIN($C104:$AI104)),$C104:$AI104,0))),AD99)</f>
        <v>0</v>
      </c>
      <c r="AE114" s="1">
        <f>IF(OR($B108&lt;&gt;$B93,$B109&lt;&gt;$B94,$B110&lt;&gt;$B95,$B111&lt;&gt;$B96,$B112&lt;&gt;$B97,$B113&lt;&gt;$B98,$B114&lt;&gt;$B99,$B115&lt;&gt;$B100,$B116&lt;&gt;$B101,$B117&lt;&gt;$B102,$B118&lt;&gt;$B103),IF($B114&lt;&gt;$B99,AE99/INDEX($C93:$AJ103,7,MATCH(IF('Data-solution'!$A$3="Maximize",MAX($C104:$AI104),MIN($C104:$AI104)),$C104:$AI104,0)),AE99-INDEX($C93:$AJ103,7,MATCH(IF('Data-solution'!$A$3="Maximize",MAX($C104:$AI104),MIN($C104:$AI104)),$C104:$AI104,0))*INDEX(AE93:$AJ103,MATCH(MIN($AK93:$AK103),$AK93:$AK103,0),1)/INDEX($C93:$AJ103,MATCH(MIN($AK93:$AK103),$AK93:$AK103,0),MATCH(IF('Data-solution'!$A$3="Maximize",MAX($C104:$AI104),MIN($C104:$AI104)),$C104:$AI104,0))),AE99)</f>
        <v>1</v>
      </c>
      <c r="AF114" s="1">
        <f>IF(OR($B108&lt;&gt;$B93,$B109&lt;&gt;$B94,$B110&lt;&gt;$B95,$B111&lt;&gt;$B96,$B112&lt;&gt;$B97,$B113&lt;&gt;$B98,$B114&lt;&gt;$B99,$B115&lt;&gt;$B100,$B116&lt;&gt;$B101,$B117&lt;&gt;$B102,$B118&lt;&gt;$B103),IF($B114&lt;&gt;$B99,AF99/INDEX($C93:$AJ103,7,MATCH(IF('Data-solution'!$A$3="Maximize",MAX($C104:$AI104),MIN($C104:$AI104)),$C104:$AI104,0)),AF99-INDEX($C93:$AJ103,7,MATCH(IF('Data-solution'!$A$3="Maximize",MAX($C104:$AI104),MIN($C104:$AI104)),$C104:$AI104,0))*INDEX(AF93:$AJ103,MATCH(MIN($AK93:$AK103),$AK93:$AK103,0),1)/INDEX($C93:$AJ103,MATCH(MIN($AK93:$AK103),$AK93:$AK103,0),MATCH(IF('Data-solution'!$A$3="Maximize",MAX($C104:$AI104),MIN($C104:$AI104)),$C104:$AI104,0))),AF99)</f>
        <v>0</v>
      </c>
      <c r="AG114" s="1">
        <f>IF(OR($B108&lt;&gt;$B93,$B109&lt;&gt;$B94,$B110&lt;&gt;$B95,$B111&lt;&gt;$B96,$B112&lt;&gt;$B97,$B113&lt;&gt;$B98,$B114&lt;&gt;$B99,$B115&lt;&gt;$B100,$B116&lt;&gt;$B101,$B117&lt;&gt;$B102,$B118&lt;&gt;$B103),IF($B114&lt;&gt;$B99,AG99/INDEX($C93:$AJ103,7,MATCH(IF('Data-solution'!$A$3="Maximize",MAX($C104:$AI104),MIN($C104:$AI104)),$C104:$AI104,0)),AG99-INDEX($C93:$AJ103,7,MATCH(IF('Data-solution'!$A$3="Maximize",MAX($C104:$AI104),MIN($C104:$AI104)),$C104:$AI104,0))*INDEX(AG93:$AJ103,MATCH(MIN($AK93:$AK103),$AK93:$AK103,0),1)/INDEX($C93:$AJ103,MATCH(MIN($AK93:$AK103),$AK93:$AK103,0),MATCH(IF('Data-solution'!$A$3="Maximize",MAX($C104:$AI104),MIN($C104:$AI104)),$C104:$AI104,0))),AG99)</f>
        <v>0</v>
      </c>
      <c r="AH114" s="1">
        <f>IF(OR($B108&lt;&gt;$B93,$B109&lt;&gt;$B94,$B110&lt;&gt;$B95,$B111&lt;&gt;$B96,$B112&lt;&gt;$B97,$B113&lt;&gt;$B98,$B114&lt;&gt;$B99,$B115&lt;&gt;$B100,$B116&lt;&gt;$B101,$B117&lt;&gt;$B102,$B118&lt;&gt;$B103),IF($B114&lt;&gt;$B99,AH99/INDEX($C93:$AJ103,7,MATCH(IF('Data-solution'!$A$3="Maximize",MAX($C104:$AI104),MIN($C104:$AI104)),$C104:$AI104,0)),AH99-INDEX($C93:$AJ103,7,MATCH(IF('Data-solution'!$A$3="Maximize",MAX($C104:$AI104),MIN($C104:$AI104)),$C104:$AI104,0))*INDEX(AH93:$AJ103,MATCH(MIN($AK93:$AK103),$AK93:$AK103,0),1)/INDEX($C93:$AJ103,MATCH(MIN($AK93:$AK103),$AK93:$AK103,0),MATCH(IF('Data-solution'!$A$3="Maximize",MAX($C104:$AI104),MIN($C104:$AI104)),$C104:$AI104,0))),AH99)</f>
        <v>0</v>
      </c>
      <c r="AI114" s="1">
        <f>IF(OR($B108&lt;&gt;$B93,$B109&lt;&gt;$B94,$B110&lt;&gt;$B95,$B111&lt;&gt;$B96,$B112&lt;&gt;$B97,$B113&lt;&gt;$B98,$B114&lt;&gt;$B99,$B115&lt;&gt;$B100,$B116&lt;&gt;$B101,$B117&lt;&gt;$B102,$B118&lt;&gt;$B103),IF($B114&lt;&gt;$B99,AI99/INDEX($C93:$AJ103,7,MATCH(IF('Data-solution'!$A$3="Maximize",MAX($C104:$AI104),MIN($C104:$AI104)),$C104:$AI104,0)),AI99-INDEX($C93:$AJ103,7,MATCH(IF('Data-solution'!$A$3="Maximize",MAX($C104:$AI104),MIN($C104:$AI104)),$C104:$AI104,0))*INDEX(AI93:$AJ103,MATCH(MIN($AK93:$AK103),$AK93:$AK103,0),1)/INDEX($C93:$AJ103,MATCH(MIN($AK93:$AK103),$AK93:$AK103,0),MATCH(IF('Data-solution'!$A$3="Maximize",MAX($C104:$AI104),MIN($C104:$AI104)),$C104:$AI104,0))),AI99)</f>
        <v>0</v>
      </c>
      <c r="AJ114" s="1">
        <f>IF(OR($B108&lt;&gt;$B93,$B109&lt;&gt;$B94,$B110&lt;&gt;$B95,$B111&lt;&gt;$B96,$B112&lt;&gt;$B97,$B113&lt;&gt;$B98,$B114&lt;&gt;$B99,$B115&lt;&gt;$B100,$B116&lt;&gt;$B101,$B117&lt;&gt;$B102,$B118&lt;&gt;$B103),IF($B114&lt;&gt;$B99,AJ99/INDEX($C93:$AJ103,7,MATCH(IF('Data-solution'!$A$3="Maximize",MAX($C104:$AI104),MIN($C104:$AI104)),$C104:$AI104,0)),AJ99-INDEX($C93:$AJ103,7,MATCH(IF('Data-solution'!$A$3="Maximize",MAX($C104:$AI104),MIN($C104:$AI104)),$C104:$AI104,0))*INDEX(AJ93:$AJ103,MATCH(MIN($AK93:$AK103),$AK93:$AK103,0),1)/INDEX($C93:$AJ103,MATCH(MIN($AK93:$AK103),$AK93:$AK103,0),MATCH(IF('Data-solution'!$A$3="Maximize",MAX($C104:$AI104),MIN($C104:$AI104)),$C104:$AI104,0))),AJ99)</f>
        <v>0</v>
      </c>
      <c r="AK114" s="1" t="str">
        <f>IF(INDEX(C114:X114,1,MATCH(IF('Data-solution'!A$3="Maximize",MAX(C119:X119),MIN(C119:X119)),C119:X119,0))&gt;0,AJ114/INDEX(C114:X114,1,MATCH(IF('Data-solution'!A$3="Maximize",MAX(C119:X119),MIN(C119:X119)),C119:X119,0))," ")</f>
        <v xml:space="preserve"> </v>
      </c>
    </row>
    <row r="115" spans="1:37" ht="18" customHeight="1" x14ac:dyDescent="0.2">
      <c r="A115" s="1">
        <f t="shared" ref="A115" si="89">INDEX(C106:AI106,1,MATCH(B115,C107:AI107,0))</f>
        <v>0</v>
      </c>
      <c r="B115" s="2" t="str">
        <f>IF(AND('Data-solution'!A$3="Maximize",COUNTIF(C104:X104,"&gt;"&amp;0)&gt;0,AK100=MIN(AK93:AK103),COUNTIF(B108:B114,INDEX(C92:X92,1,MATCH(MAX(C104:X104),C104:X104,0)))=0),INDEX(C92:X92,1,MATCH(MAX(C104:X104),C104:X104,0)),IF(AND('Data-solution'!A$3="Minimize",COUNTIF(C104:X104,"&lt;"&amp;0)&gt;0,AK100=MIN(AK93:AK103),COUNTIF(B108:B114,INDEX(C92:X92,1,MATCH(MIN(C104:X104),C104:X104,0)))=0),INDEX(C92:X92,1,MATCH(MIN(C104:X104),C104:X104,0)),B100))</f>
        <v>S8</v>
      </c>
      <c r="C115" s="1">
        <f>IF(OR($B108&lt;&gt;$B93,$B109&lt;&gt;$B94,$B110&lt;&gt;$B95,$B111&lt;&gt;$B96,$B112&lt;&gt;$B97,$B113&lt;&gt;$B98,$B114&lt;&gt;$B99,$B115&lt;&gt;$B100,$B116&lt;&gt;$B101,$B117&lt;&gt;$B102,$B118&lt;&gt;$B103),IF($B115&lt;&gt;$B100,C100/INDEX($C93:$AJ103,8,MATCH(IF('Data-solution'!$A$3="Maximize",MAX($C104:$AI104),MIN($C104:$AI104)),$C104:$AI104,0)),C100-INDEX($C93:$AJ103,8,MATCH(IF('Data-solution'!$A$3="Maximize",MAX($C104:$AI104),MIN($C104:$AI104)),$C104:$AI104,0))*INDEX(C93:$AJ103,MATCH(MIN($AK93:$AK103),$AK93:$AK103,0),1)/INDEX($C93:$AJ103,MATCH(MIN($AK93:$AK103),$AK93:$AK103,0),MATCH(IF('Data-solution'!$A$3="Maximize",MAX($C104:$AI104),MIN($C104:$AI104)),$C104:$AI104,0))),C100)</f>
        <v>0</v>
      </c>
      <c r="D115" s="1">
        <f>IF(OR($B108&lt;&gt;$B93,$B109&lt;&gt;$B94,$B110&lt;&gt;$B95,$B111&lt;&gt;$B96,$B112&lt;&gt;$B97,$B113&lt;&gt;$B98,$B114&lt;&gt;$B99,$B115&lt;&gt;$B100,$B116&lt;&gt;$B101,$B117&lt;&gt;$B102,$B118&lt;&gt;$B103),IF($B115&lt;&gt;$B100,D100/INDEX($C93:$AJ103,8,MATCH(IF('Data-solution'!$A$3="Maximize",MAX($C104:$AI104),MIN($C104:$AI104)),$C104:$AI104,0)),D100-INDEX($C93:$AJ103,8,MATCH(IF('Data-solution'!$A$3="Maximize",MAX($C104:$AI104),MIN($C104:$AI104)),$C104:$AI104,0))*INDEX(D93:$AJ103,MATCH(MIN($AK93:$AK103),$AK93:$AK103,0),1)/INDEX($C93:$AJ103,MATCH(MIN($AK93:$AK103),$AK93:$AK103,0),MATCH(IF('Data-solution'!$A$3="Maximize",MAX($C104:$AI104),MIN($C104:$AI104)),$C104:$AI104,0))),D100)</f>
        <v>0</v>
      </c>
      <c r="E115" s="1">
        <f>IF(OR($B108&lt;&gt;$B93,$B109&lt;&gt;$B94,$B110&lt;&gt;$B95,$B111&lt;&gt;$B96,$B112&lt;&gt;$B97,$B113&lt;&gt;$B98,$B114&lt;&gt;$B99,$B115&lt;&gt;$B100,$B116&lt;&gt;$B101,$B117&lt;&gt;$B102,$B118&lt;&gt;$B103),IF($B115&lt;&gt;$B100,E100/INDEX($C93:$AJ103,8,MATCH(IF('Data-solution'!$A$3="Maximize",MAX($C104:$AI104),MIN($C104:$AI104)),$C104:$AI104,0)),E100-INDEX($C93:$AJ103,8,MATCH(IF('Data-solution'!$A$3="Maximize",MAX($C104:$AI104),MIN($C104:$AI104)),$C104:$AI104,0))*INDEX(E93:$AJ103,MATCH(MIN($AK93:$AK103),$AK93:$AK103,0),1)/INDEX($C93:$AJ103,MATCH(MIN($AK93:$AK103),$AK93:$AK103,0),MATCH(IF('Data-solution'!$A$3="Maximize",MAX($C104:$AI104),MIN($C104:$AI104)),$C104:$AI104,0))),E100)</f>
        <v>0</v>
      </c>
      <c r="F115" s="1">
        <f>IF(OR($B108&lt;&gt;$B93,$B109&lt;&gt;$B94,$B110&lt;&gt;$B95,$B111&lt;&gt;$B96,$B112&lt;&gt;$B97,$B113&lt;&gt;$B98,$B114&lt;&gt;$B99,$B115&lt;&gt;$B100,$B116&lt;&gt;$B101,$B117&lt;&gt;$B102,$B118&lt;&gt;$B103),IF($B115&lt;&gt;$B100,F100/INDEX($C93:$AJ103,8,MATCH(IF('Data-solution'!$A$3="Maximize",MAX($C104:$AI104),MIN($C104:$AI104)),$C104:$AI104,0)),F100-INDEX($C93:$AJ103,8,MATCH(IF('Data-solution'!$A$3="Maximize",MAX($C104:$AI104),MIN($C104:$AI104)),$C104:$AI104,0))*INDEX(F93:$AJ103,MATCH(MIN($AK93:$AK103),$AK93:$AK103,0),1)/INDEX($C93:$AJ103,MATCH(MIN($AK93:$AK103),$AK93:$AK103,0),MATCH(IF('Data-solution'!$A$3="Maximize",MAX($C104:$AI104),MIN($C104:$AI104)),$C104:$AI104,0))),F100)</f>
        <v>0</v>
      </c>
      <c r="G115" s="1">
        <f>IF(OR($B108&lt;&gt;$B93,$B109&lt;&gt;$B94,$B110&lt;&gt;$B95,$B111&lt;&gt;$B96,$B112&lt;&gt;$B97,$B113&lt;&gt;$B98,$B114&lt;&gt;$B99,$B115&lt;&gt;$B100,$B116&lt;&gt;$B101,$B117&lt;&gt;$B102,$B118&lt;&gt;$B103),IF($B115&lt;&gt;$B100,G100/INDEX($C93:$AJ103,8,MATCH(IF('Data-solution'!$A$3="Maximize",MAX($C104:$AI104),MIN($C104:$AI104)),$C104:$AI104,0)),G100-INDEX($C93:$AJ103,8,MATCH(IF('Data-solution'!$A$3="Maximize",MAX($C104:$AI104),MIN($C104:$AI104)),$C104:$AI104,0))*INDEX(G93:$AJ103,MATCH(MIN($AK93:$AK103),$AK93:$AK103,0),1)/INDEX($C93:$AJ103,MATCH(MIN($AK93:$AK103),$AK93:$AK103,0),MATCH(IF('Data-solution'!$A$3="Maximize",MAX($C104:$AI104),MIN($C104:$AI104)),$C104:$AI104,0))),G100)</f>
        <v>0</v>
      </c>
      <c r="H115" s="1">
        <f>IF(OR($B108&lt;&gt;$B93,$B109&lt;&gt;$B94,$B110&lt;&gt;$B95,$B111&lt;&gt;$B96,$B112&lt;&gt;$B97,$B113&lt;&gt;$B98,$B114&lt;&gt;$B99,$B115&lt;&gt;$B100,$B116&lt;&gt;$B101,$B117&lt;&gt;$B102,$B118&lt;&gt;$B103),IF($B115&lt;&gt;$B100,H100/INDEX($C93:$AJ103,8,MATCH(IF('Data-solution'!$A$3="Maximize",MAX($C104:$AI104),MIN($C104:$AI104)),$C104:$AI104,0)),H100-INDEX($C93:$AJ103,8,MATCH(IF('Data-solution'!$A$3="Maximize",MAX($C104:$AI104),MIN($C104:$AI104)),$C104:$AI104,0))*INDEX(H93:$AJ103,MATCH(MIN($AK93:$AK103),$AK93:$AK103,0),1)/INDEX($C93:$AJ103,MATCH(MIN($AK93:$AK103),$AK93:$AK103,0),MATCH(IF('Data-solution'!$A$3="Maximize",MAX($C104:$AI104),MIN($C104:$AI104)),$C104:$AI104,0))),H100)</f>
        <v>0</v>
      </c>
      <c r="I115" s="1">
        <f>IF(OR($B108&lt;&gt;$B93,$B109&lt;&gt;$B94,$B110&lt;&gt;$B95,$B111&lt;&gt;$B96,$B112&lt;&gt;$B97,$B113&lt;&gt;$B98,$B114&lt;&gt;$B99,$B115&lt;&gt;$B100,$B116&lt;&gt;$B101,$B117&lt;&gt;$B102,$B118&lt;&gt;$B103),IF($B115&lt;&gt;$B100,I100/INDEX($C93:$AJ103,8,MATCH(IF('Data-solution'!$A$3="Maximize",MAX($C104:$AI104),MIN($C104:$AI104)),$C104:$AI104,0)),I100-INDEX($C93:$AJ103,8,MATCH(IF('Data-solution'!$A$3="Maximize",MAX($C104:$AI104),MIN($C104:$AI104)),$C104:$AI104,0))*INDEX(I93:$AJ103,MATCH(MIN($AK93:$AK103),$AK93:$AK103,0),1)/INDEX($C93:$AJ103,MATCH(MIN($AK93:$AK103),$AK93:$AK103,0),MATCH(IF('Data-solution'!$A$3="Maximize",MAX($C104:$AI104),MIN($C104:$AI104)),$C104:$AI104,0))),I100)</f>
        <v>0</v>
      </c>
      <c r="J115" s="1">
        <f>IF(OR($B108&lt;&gt;$B93,$B109&lt;&gt;$B94,$B110&lt;&gt;$B95,$B111&lt;&gt;$B96,$B112&lt;&gt;$B97,$B113&lt;&gt;$B98,$B114&lt;&gt;$B99,$B115&lt;&gt;$B100,$B116&lt;&gt;$B101,$B117&lt;&gt;$B102,$B118&lt;&gt;$B103),IF($B115&lt;&gt;$B100,J100/INDEX($C93:$AJ103,8,MATCH(IF('Data-solution'!$A$3="Maximize",MAX($C104:$AI104),MIN($C104:$AI104)),$C104:$AI104,0)),J100-INDEX($C93:$AJ103,8,MATCH(IF('Data-solution'!$A$3="Maximize",MAX($C104:$AI104),MIN($C104:$AI104)),$C104:$AI104,0))*INDEX(J93:$AJ103,MATCH(MIN($AK93:$AK103),$AK93:$AK103,0),1)/INDEX($C93:$AJ103,MATCH(MIN($AK93:$AK103),$AK93:$AK103,0),MATCH(IF('Data-solution'!$A$3="Maximize",MAX($C104:$AI104),MIN($C104:$AI104)),$C104:$AI104,0))),J100)</f>
        <v>0</v>
      </c>
      <c r="K115" s="1">
        <f>IF(OR($B108&lt;&gt;$B93,$B109&lt;&gt;$B94,$B110&lt;&gt;$B95,$B111&lt;&gt;$B96,$B112&lt;&gt;$B97,$B113&lt;&gt;$B98,$B114&lt;&gt;$B99,$B115&lt;&gt;$B100,$B116&lt;&gt;$B101,$B117&lt;&gt;$B102,$B118&lt;&gt;$B103),IF($B115&lt;&gt;$B100,K100/INDEX($C93:$AJ103,8,MATCH(IF('Data-solution'!$A$3="Maximize",MAX($C104:$AI104),MIN($C104:$AI104)),$C104:$AI104,0)),K100-INDEX($C93:$AJ103,8,MATCH(IF('Data-solution'!$A$3="Maximize",MAX($C104:$AI104),MIN($C104:$AI104)),$C104:$AI104,0))*INDEX(K93:$AJ103,MATCH(MIN($AK93:$AK103),$AK93:$AK103,0),1)/INDEX($C93:$AJ103,MATCH(MIN($AK93:$AK103),$AK93:$AK103,0),MATCH(IF('Data-solution'!$A$3="Maximize",MAX($C104:$AI104),MIN($C104:$AI104)),$C104:$AI104,0))),K100)</f>
        <v>0</v>
      </c>
      <c r="L115" s="1">
        <f>IF(OR($B108&lt;&gt;$B93,$B109&lt;&gt;$B94,$B110&lt;&gt;$B95,$B111&lt;&gt;$B96,$B112&lt;&gt;$B97,$B113&lt;&gt;$B98,$B114&lt;&gt;$B99,$B115&lt;&gt;$B100,$B116&lt;&gt;$B101,$B117&lt;&gt;$B102,$B118&lt;&gt;$B103),IF($B115&lt;&gt;$B100,L100/INDEX($C93:$AJ103,8,MATCH(IF('Data-solution'!$A$3="Maximize",MAX($C104:$AI104),MIN($C104:$AI104)),$C104:$AI104,0)),L100-INDEX($C93:$AJ103,8,MATCH(IF('Data-solution'!$A$3="Maximize",MAX($C104:$AI104),MIN($C104:$AI104)),$C104:$AI104,0))*INDEX(L93:$AJ103,MATCH(MIN($AK93:$AK103),$AK93:$AK103,0),1)/INDEX($C93:$AJ103,MATCH(MIN($AK93:$AK103),$AK93:$AK103,0),MATCH(IF('Data-solution'!$A$3="Maximize",MAX($C104:$AI104),MIN($C104:$AI104)),$C104:$AI104,0))),L100)</f>
        <v>0</v>
      </c>
      <c r="M115" s="1">
        <f>IF(OR($B108&lt;&gt;$B93,$B109&lt;&gt;$B94,$B110&lt;&gt;$B95,$B111&lt;&gt;$B96,$B112&lt;&gt;$B97,$B113&lt;&gt;$B98,$B114&lt;&gt;$B99,$B115&lt;&gt;$B100,$B116&lt;&gt;$B101,$B117&lt;&gt;$B102,$B118&lt;&gt;$B103),IF($B115&lt;&gt;$B100,M100/INDEX($C93:$AJ103,8,MATCH(IF('Data-solution'!$A$3="Maximize",MAX($C104:$AI104),MIN($C104:$AI104)),$C104:$AI104,0)),M100-INDEX($C93:$AJ103,8,MATCH(IF('Data-solution'!$A$3="Maximize",MAX($C104:$AI104),MIN($C104:$AI104)),$C104:$AI104,0))*INDEX(M93:$AJ103,MATCH(MIN($AK93:$AK103),$AK93:$AK103,0),1)/INDEX($C93:$AJ103,MATCH(MIN($AK93:$AK103),$AK93:$AK103,0),MATCH(IF('Data-solution'!$A$3="Maximize",MAX($C104:$AI104),MIN($C104:$AI104)),$C104:$AI104,0))),M100)</f>
        <v>0</v>
      </c>
      <c r="N115" s="1">
        <f>IF(OR($B108&lt;&gt;$B93,$B109&lt;&gt;$B94,$B110&lt;&gt;$B95,$B111&lt;&gt;$B96,$B112&lt;&gt;$B97,$B113&lt;&gt;$B98,$B114&lt;&gt;$B99,$B115&lt;&gt;$B100,$B116&lt;&gt;$B101,$B117&lt;&gt;$B102,$B118&lt;&gt;$B103),IF($B115&lt;&gt;$B100,N100/INDEX($C93:$AJ103,8,MATCH(IF('Data-solution'!$A$3="Maximize",MAX($C104:$AI104),MIN($C104:$AI104)),$C104:$AI104,0)),N100-INDEX($C93:$AJ103,8,MATCH(IF('Data-solution'!$A$3="Maximize",MAX($C104:$AI104),MIN($C104:$AI104)),$C104:$AI104,0))*INDEX(N93:$AJ103,MATCH(MIN($AK93:$AK103),$AK93:$AK103,0),1)/INDEX($C93:$AJ103,MATCH(MIN($AK93:$AK103),$AK93:$AK103,0),MATCH(IF('Data-solution'!$A$3="Maximize",MAX($C104:$AI104),MIN($C104:$AI104)),$C104:$AI104,0))),N100)</f>
        <v>0</v>
      </c>
      <c r="O115" s="1">
        <f>IF(OR($B108&lt;&gt;$B93,$B109&lt;&gt;$B94,$B110&lt;&gt;$B95,$B111&lt;&gt;$B96,$B112&lt;&gt;$B97,$B113&lt;&gt;$B98,$B114&lt;&gt;$B99,$B115&lt;&gt;$B100,$B116&lt;&gt;$B101,$B117&lt;&gt;$B102,$B118&lt;&gt;$B103),IF($B115&lt;&gt;$B100,O100/INDEX($C93:$AJ103,8,MATCH(IF('Data-solution'!$A$3="Maximize",MAX($C104:$AI104),MIN($C104:$AI104)),$C104:$AI104,0)),O100-INDEX($C93:$AJ103,8,MATCH(IF('Data-solution'!$A$3="Maximize",MAX($C104:$AI104),MIN($C104:$AI104)),$C104:$AI104,0))*INDEX(O93:$AJ103,MATCH(MIN($AK93:$AK103),$AK93:$AK103,0),1)/INDEX($C93:$AJ103,MATCH(MIN($AK93:$AK103),$AK93:$AK103,0),MATCH(IF('Data-solution'!$A$3="Maximize",MAX($C104:$AI104),MIN($C104:$AI104)),$C104:$AI104,0))),O100)</f>
        <v>0</v>
      </c>
      <c r="P115" s="1">
        <f>IF(OR($B108&lt;&gt;$B93,$B109&lt;&gt;$B94,$B110&lt;&gt;$B95,$B111&lt;&gt;$B96,$B112&lt;&gt;$B97,$B113&lt;&gt;$B98,$B114&lt;&gt;$B99,$B115&lt;&gt;$B100,$B116&lt;&gt;$B101,$B117&lt;&gt;$B102,$B118&lt;&gt;$B103),IF($B115&lt;&gt;$B100,P100/INDEX($C93:$AJ103,8,MATCH(IF('Data-solution'!$A$3="Maximize",MAX($C104:$AI104),MIN($C104:$AI104)),$C104:$AI104,0)),P100-INDEX($C93:$AJ103,8,MATCH(IF('Data-solution'!$A$3="Maximize",MAX($C104:$AI104),MIN($C104:$AI104)),$C104:$AI104,0))*INDEX(P93:$AJ103,MATCH(MIN($AK93:$AK103),$AK93:$AK103,0),1)/INDEX($C93:$AJ103,MATCH(MIN($AK93:$AK103),$AK93:$AK103,0),MATCH(IF('Data-solution'!$A$3="Maximize",MAX($C104:$AI104),MIN($C104:$AI104)),$C104:$AI104,0))),P100)</f>
        <v>0</v>
      </c>
      <c r="Q115" s="1">
        <f>IF(OR($B108&lt;&gt;$B93,$B109&lt;&gt;$B94,$B110&lt;&gt;$B95,$B111&lt;&gt;$B96,$B112&lt;&gt;$B97,$B113&lt;&gt;$B98,$B114&lt;&gt;$B99,$B115&lt;&gt;$B100,$B116&lt;&gt;$B101,$B117&lt;&gt;$B102,$B118&lt;&gt;$B103),IF($B115&lt;&gt;$B100,Q100/INDEX($C93:$AJ103,8,MATCH(IF('Data-solution'!$A$3="Maximize",MAX($C104:$AI104),MIN($C104:$AI104)),$C104:$AI104,0)),Q100-INDEX($C93:$AJ103,8,MATCH(IF('Data-solution'!$A$3="Maximize",MAX($C104:$AI104),MIN($C104:$AI104)),$C104:$AI104,0))*INDEX(Q93:$AJ103,MATCH(MIN($AK93:$AK103),$AK93:$AK103,0),1)/INDEX($C93:$AJ103,MATCH(MIN($AK93:$AK103),$AK93:$AK103,0),MATCH(IF('Data-solution'!$A$3="Maximize",MAX($C104:$AI104),MIN($C104:$AI104)),$C104:$AI104,0))),Q100)</f>
        <v>0</v>
      </c>
      <c r="R115" s="1">
        <f>IF(OR($B108&lt;&gt;$B93,$B109&lt;&gt;$B94,$B110&lt;&gt;$B95,$B111&lt;&gt;$B96,$B112&lt;&gt;$B97,$B113&lt;&gt;$B98,$B114&lt;&gt;$B99,$B115&lt;&gt;$B100,$B116&lt;&gt;$B101,$B117&lt;&gt;$B102,$B118&lt;&gt;$B103),IF($B115&lt;&gt;$B100,R100/INDEX($C93:$AJ103,8,MATCH(IF('Data-solution'!$A$3="Maximize",MAX($C104:$AI104),MIN($C104:$AI104)),$C104:$AI104,0)),R100-INDEX($C93:$AJ103,8,MATCH(IF('Data-solution'!$A$3="Maximize",MAX($C104:$AI104),MIN($C104:$AI104)),$C104:$AI104,0))*INDEX(R93:$AJ103,MATCH(MIN($AK93:$AK103),$AK93:$AK103,0),1)/INDEX($C93:$AJ103,MATCH(MIN($AK93:$AK103),$AK93:$AK103,0),MATCH(IF('Data-solution'!$A$3="Maximize",MAX($C104:$AI104),MIN($C104:$AI104)),$C104:$AI104,0))),R100)</f>
        <v>0</v>
      </c>
      <c r="S115" s="1">
        <f>IF(OR($B108&lt;&gt;$B93,$B109&lt;&gt;$B94,$B110&lt;&gt;$B95,$B111&lt;&gt;$B96,$B112&lt;&gt;$B97,$B113&lt;&gt;$B98,$B114&lt;&gt;$B99,$B115&lt;&gt;$B100,$B116&lt;&gt;$B101,$B117&lt;&gt;$B102,$B118&lt;&gt;$B103),IF($B115&lt;&gt;$B100,S100/INDEX($C93:$AJ103,8,MATCH(IF('Data-solution'!$A$3="Maximize",MAX($C104:$AI104),MIN($C104:$AI104)),$C104:$AI104,0)),S100-INDEX($C93:$AJ103,8,MATCH(IF('Data-solution'!$A$3="Maximize",MAX($C104:$AI104),MIN($C104:$AI104)),$C104:$AI104,0))*INDEX(S93:$AJ103,MATCH(MIN($AK93:$AK103),$AK93:$AK103,0),1)/INDEX($C93:$AJ103,MATCH(MIN($AK93:$AK103),$AK93:$AK103,0),MATCH(IF('Data-solution'!$A$3="Maximize",MAX($C104:$AI104),MIN($C104:$AI104)),$C104:$AI104,0))),S100)</f>
        <v>0</v>
      </c>
      <c r="T115" s="1">
        <f>IF(OR($B108&lt;&gt;$B93,$B109&lt;&gt;$B94,$B110&lt;&gt;$B95,$B111&lt;&gt;$B96,$B112&lt;&gt;$B97,$B113&lt;&gt;$B98,$B114&lt;&gt;$B99,$B115&lt;&gt;$B100,$B116&lt;&gt;$B101,$B117&lt;&gt;$B102,$B118&lt;&gt;$B103),IF($B115&lt;&gt;$B100,T100/INDEX($C93:$AJ103,8,MATCH(IF('Data-solution'!$A$3="Maximize",MAX($C104:$AI104),MIN($C104:$AI104)),$C104:$AI104,0)),T100-INDEX($C93:$AJ103,8,MATCH(IF('Data-solution'!$A$3="Maximize",MAX($C104:$AI104),MIN($C104:$AI104)),$C104:$AI104,0))*INDEX(T93:$AJ103,MATCH(MIN($AK93:$AK103),$AK93:$AK103,0),1)/INDEX($C93:$AJ103,MATCH(MIN($AK93:$AK103),$AK93:$AK103,0),MATCH(IF('Data-solution'!$A$3="Maximize",MAX($C104:$AI104),MIN($C104:$AI104)),$C104:$AI104,0))),T100)</f>
        <v>0</v>
      </c>
      <c r="U115" s="1">
        <f>IF(OR($B108&lt;&gt;$B93,$B109&lt;&gt;$B94,$B110&lt;&gt;$B95,$B111&lt;&gt;$B96,$B112&lt;&gt;$B97,$B113&lt;&gt;$B98,$B114&lt;&gt;$B99,$B115&lt;&gt;$B100,$B116&lt;&gt;$B101,$B117&lt;&gt;$B102,$B118&lt;&gt;$B103),IF($B115&lt;&gt;$B100,U100/INDEX($C93:$AJ103,8,MATCH(IF('Data-solution'!$A$3="Maximize",MAX($C104:$AI104),MIN($C104:$AI104)),$C104:$AI104,0)),U100-INDEX($C93:$AJ103,8,MATCH(IF('Data-solution'!$A$3="Maximize",MAX($C104:$AI104),MIN($C104:$AI104)),$C104:$AI104,0))*INDEX(U93:$AJ103,MATCH(MIN($AK93:$AK103),$AK93:$AK103,0),1)/INDEX($C93:$AJ103,MATCH(MIN($AK93:$AK103),$AK93:$AK103,0),MATCH(IF('Data-solution'!$A$3="Maximize",MAX($C104:$AI104),MIN($C104:$AI104)),$C104:$AI104,0))),U100)</f>
        <v>1</v>
      </c>
      <c r="V115" s="1">
        <f>IF(OR($B108&lt;&gt;$B93,$B109&lt;&gt;$B94,$B110&lt;&gt;$B95,$B111&lt;&gt;$B96,$B112&lt;&gt;$B97,$B113&lt;&gt;$B98,$B114&lt;&gt;$B99,$B115&lt;&gt;$B100,$B116&lt;&gt;$B101,$B117&lt;&gt;$B102,$B118&lt;&gt;$B103),IF($B115&lt;&gt;$B100,V100/INDEX($C93:$AJ103,8,MATCH(IF('Data-solution'!$A$3="Maximize",MAX($C104:$AI104),MIN($C104:$AI104)),$C104:$AI104,0)),V100-INDEX($C93:$AJ103,8,MATCH(IF('Data-solution'!$A$3="Maximize",MAX($C104:$AI104),MIN($C104:$AI104)),$C104:$AI104,0))*INDEX(V93:$AJ103,MATCH(MIN($AK93:$AK103),$AK93:$AK103,0),1)/INDEX($C93:$AJ103,MATCH(MIN($AK93:$AK103),$AK93:$AK103,0),MATCH(IF('Data-solution'!$A$3="Maximize",MAX($C104:$AI104),MIN($C104:$AI104)),$C104:$AI104,0))),V100)</f>
        <v>0</v>
      </c>
      <c r="W115" s="1">
        <f>IF(OR($B108&lt;&gt;$B93,$B109&lt;&gt;$B94,$B110&lt;&gt;$B95,$B111&lt;&gt;$B96,$B112&lt;&gt;$B97,$B113&lt;&gt;$B98,$B114&lt;&gt;$B99,$B115&lt;&gt;$B100,$B116&lt;&gt;$B101,$B117&lt;&gt;$B102,$B118&lt;&gt;$B103),IF($B115&lt;&gt;$B100,W100/INDEX($C93:$AJ103,8,MATCH(IF('Data-solution'!$A$3="Maximize",MAX($C104:$AI104),MIN($C104:$AI104)),$C104:$AI104,0)),W100-INDEX($C93:$AJ103,8,MATCH(IF('Data-solution'!$A$3="Maximize",MAX($C104:$AI104),MIN($C104:$AI104)),$C104:$AI104,0))*INDEX(W93:$AJ103,MATCH(MIN($AK93:$AK103),$AK93:$AK103,0),1)/INDEX($C93:$AJ103,MATCH(MIN($AK93:$AK103),$AK93:$AK103,0),MATCH(IF('Data-solution'!$A$3="Maximize",MAX($C104:$AI104),MIN($C104:$AI104)),$C104:$AI104,0))),W100)</f>
        <v>0</v>
      </c>
      <c r="X115" s="1">
        <f>IF(OR($B108&lt;&gt;$B93,$B109&lt;&gt;$B94,$B110&lt;&gt;$B95,$B111&lt;&gt;$B96,$B112&lt;&gt;$B97,$B113&lt;&gt;$B98,$B114&lt;&gt;$B99,$B115&lt;&gt;$B100,$B116&lt;&gt;$B101,$B117&lt;&gt;$B102,$B118&lt;&gt;$B103),IF($B115&lt;&gt;$B100,X100/INDEX($C93:$AJ103,8,MATCH(IF('Data-solution'!$A$3="Maximize",MAX($C104:$AI104),MIN($C104:$AI104)),$C104:$AI104,0)),X100-INDEX($C93:$AJ103,8,MATCH(IF('Data-solution'!$A$3="Maximize",MAX($C104:$AI104),MIN($C104:$AI104)),$C104:$AI104,0))*INDEX(X93:$AJ103,MATCH(MIN($AK93:$AK103),$AK93:$AK103,0),1)/INDEX($C93:$AJ103,MATCH(MIN($AK93:$AK103),$AK93:$AK103,0),MATCH(IF('Data-solution'!$A$3="Maximize",MAX($C104:$AI104),MIN($C104:$AI104)),$C104:$AI104,0))),X100)</f>
        <v>0</v>
      </c>
      <c r="Y115" s="1">
        <f>IF(OR($B108&lt;&gt;$B93,$B109&lt;&gt;$B94,$B110&lt;&gt;$B95,$B111&lt;&gt;$B96,$B112&lt;&gt;$B97,$B113&lt;&gt;$B98,$B114&lt;&gt;$B99,$B115&lt;&gt;$B100,$B116&lt;&gt;$B101,$B117&lt;&gt;$B102,$B118&lt;&gt;$B103),IF($B115&lt;&gt;$B100,Y100/INDEX($C93:$AJ103,8,MATCH(IF('Data-solution'!$A$3="Maximize",MAX($C104:$AI104),MIN($C104:$AI104)),$C104:$AI104,0)),Y100-INDEX($C93:$AJ103,8,MATCH(IF('Data-solution'!$A$3="Maximize",MAX($C104:$AI104),MIN($C104:$AI104)),$C104:$AI104,0))*INDEX(Y93:$AJ103,MATCH(MIN($AK93:$AK103),$AK93:$AK103,0),1)/INDEX($C93:$AJ103,MATCH(MIN($AK93:$AK103),$AK93:$AK103,0),MATCH(IF('Data-solution'!$A$3="Maximize",MAX($C104:$AI104),MIN($C104:$AI104)),$C104:$AI104,0))),Y100)</f>
        <v>0</v>
      </c>
      <c r="Z115" s="1">
        <f>IF(OR($B108&lt;&gt;$B93,$B109&lt;&gt;$B94,$B110&lt;&gt;$B95,$B111&lt;&gt;$B96,$B112&lt;&gt;$B97,$B113&lt;&gt;$B98,$B114&lt;&gt;$B99,$B115&lt;&gt;$B100,$B116&lt;&gt;$B101,$B117&lt;&gt;$B102,$B118&lt;&gt;$B103),IF($B115&lt;&gt;$B100,Z100/INDEX($C93:$AJ103,8,MATCH(IF('Data-solution'!$A$3="Maximize",MAX($C104:$AI104),MIN($C104:$AI104)),$C104:$AI104,0)),Z100-INDEX($C93:$AJ103,8,MATCH(IF('Data-solution'!$A$3="Maximize",MAX($C104:$AI104),MIN($C104:$AI104)),$C104:$AI104,0))*INDEX(Z93:$AJ103,MATCH(MIN($AK93:$AK103),$AK93:$AK103,0),1)/INDEX($C93:$AJ103,MATCH(MIN($AK93:$AK103),$AK93:$AK103,0),MATCH(IF('Data-solution'!$A$3="Maximize",MAX($C104:$AI104),MIN($C104:$AI104)),$C104:$AI104,0))),Z100)</f>
        <v>0</v>
      </c>
      <c r="AA115" s="1">
        <f>IF(OR($B108&lt;&gt;$B93,$B109&lt;&gt;$B94,$B110&lt;&gt;$B95,$B111&lt;&gt;$B96,$B112&lt;&gt;$B97,$B113&lt;&gt;$B98,$B114&lt;&gt;$B99,$B115&lt;&gt;$B100,$B116&lt;&gt;$B101,$B117&lt;&gt;$B102,$B118&lt;&gt;$B103),IF($B115&lt;&gt;$B100,AA100/INDEX($C93:$AJ103,8,MATCH(IF('Data-solution'!$A$3="Maximize",MAX($C104:$AI104),MIN($C104:$AI104)),$C104:$AI104,0)),AA100-INDEX($C93:$AJ103,8,MATCH(IF('Data-solution'!$A$3="Maximize",MAX($C104:$AI104),MIN($C104:$AI104)),$C104:$AI104,0))*INDEX(AA93:$AJ103,MATCH(MIN($AK93:$AK103),$AK93:$AK103,0),1)/INDEX($C93:$AJ103,MATCH(MIN($AK93:$AK103),$AK93:$AK103,0),MATCH(IF('Data-solution'!$A$3="Maximize",MAX($C104:$AI104),MIN($C104:$AI104)),$C104:$AI104,0))),AA100)</f>
        <v>0</v>
      </c>
      <c r="AB115" s="1">
        <f>IF(OR($B108&lt;&gt;$B93,$B109&lt;&gt;$B94,$B110&lt;&gt;$B95,$B111&lt;&gt;$B96,$B112&lt;&gt;$B97,$B113&lt;&gt;$B98,$B114&lt;&gt;$B99,$B115&lt;&gt;$B100,$B116&lt;&gt;$B101,$B117&lt;&gt;$B102,$B118&lt;&gt;$B103),IF($B115&lt;&gt;$B100,AB100/INDEX($C93:$AJ103,8,MATCH(IF('Data-solution'!$A$3="Maximize",MAX($C104:$AI104),MIN($C104:$AI104)),$C104:$AI104,0)),AB100-INDEX($C93:$AJ103,8,MATCH(IF('Data-solution'!$A$3="Maximize",MAX($C104:$AI104),MIN($C104:$AI104)),$C104:$AI104,0))*INDEX(AB93:$AJ103,MATCH(MIN($AK93:$AK103),$AK93:$AK103,0),1)/INDEX($C93:$AJ103,MATCH(MIN($AK93:$AK103),$AK93:$AK103,0),MATCH(IF('Data-solution'!$A$3="Maximize",MAX($C104:$AI104),MIN($C104:$AI104)),$C104:$AI104,0))),AB100)</f>
        <v>0</v>
      </c>
      <c r="AC115" s="1">
        <f>IF(OR($B108&lt;&gt;$B93,$B109&lt;&gt;$B94,$B110&lt;&gt;$B95,$B111&lt;&gt;$B96,$B112&lt;&gt;$B97,$B113&lt;&gt;$B98,$B114&lt;&gt;$B99,$B115&lt;&gt;$B100,$B116&lt;&gt;$B101,$B117&lt;&gt;$B102,$B118&lt;&gt;$B103),IF($B115&lt;&gt;$B100,AC100/INDEX($C93:$AJ103,8,MATCH(IF('Data-solution'!$A$3="Maximize",MAX($C104:$AI104),MIN($C104:$AI104)),$C104:$AI104,0)),AC100-INDEX($C93:$AJ103,8,MATCH(IF('Data-solution'!$A$3="Maximize",MAX($C104:$AI104),MIN($C104:$AI104)),$C104:$AI104,0))*INDEX(AC93:$AJ103,MATCH(MIN($AK93:$AK103),$AK93:$AK103,0),1)/INDEX($C93:$AJ103,MATCH(MIN($AK93:$AK103),$AK93:$AK103,0),MATCH(IF('Data-solution'!$A$3="Maximize",MAX($C104:$AI104),MIN($C104:$AI104)),$C104:$AI104,0))),AC100)</f>
        <v>0</v>
      </c>
      <c r="AD115" s="1">
        <f>IF(OR($B108&lt;&gt;$B93,$B109&lt;&gt;$B94,$B110&lt;&gt;$B95,$B111&lt;&gt;$B96,$B112&lt;&gt;$B97,$B113&lt;&gt;$B98,$B114&lt;&gt;$B99,$B115&lt;&gt;$B100,$B116&lt;&gt;$B101,$B117&lt;&gt;$B102,$B118&lt;&gt;$B103),IF($B115&lt;&gt;$B100,AD100/INDEX($C93:$AJ103,8,MATCH(IF('Data-solution'!$A$3="Maximize",MAX($C104:$AI104),MIN($C104:$AI104)),$C104:$AI104,0)),AD100-INDEX($C93:$AJ103,8,MATCH(IF('Data-solution'!$A$3="Maximize",MAX($C104:$AI104),MIN($C104:$AI104)),$C104:$AI104,0))*INDEX(AD93:$AJ103,MATCH(MIN($AK93:$AK103),$AK93:$AK103,0),1)/INDEX($C93:$AJ103,MATCH(MIN($AK93:$AK103),$AK93:$AK103,0),MATCH(IF('Data-solution'!$A$3="Maximize",MAX($C104:$AI104),MIN($C104:$AI104)),$C104:$AI104,0))),AD100)</f>
        <v>0</v>
      </c>
      <c r="AE115" s="1">
        <f>IF(OR($B108&lt;&gt;$B93,$B109&lt;&gt;$B94,$B110&lt;&gt;$B95,$B111&lt;&gt;$B96,$B112&lt;&gt;$B97,$B113&lt;&gt;$B98,$B114&lt;&gt;$B99,$B115&lt;&gt;$B100,$B116&lt;&gt;$B101,$B117&lt;&gt;$B102,$B118&lt;&gt;$B103),IF($B115&lt;&gt;$B100,AE100/INDEX($C93:$AJ103,8,MATCH(IF('Data-solution'!$A$3="Maximize",MAX($C104:$AI104),MIN($C104:$AI104)),$C104:$AI104,0)),AE100-INDEX($C93:$AJ103,8,MATCH(IF('Data-solution'!$A$3="Maximize",MAX($C104:$AI104),MIN($C104:$AI104)),$C104:$AI104,0))*INDEX(AE93:$AJ103,MATCH(MIN($AK93:$AK103),$AK93:$AK103,0),1)/INDEX($C93:$AJ103,MATCH(MIN($AK93:$AK103),$AK93:$AK103,0),MATCH(IF('Data-solution'!$A$3="Maximize",MAX($C104:$AI104),MIN($C104:$AI104)),$C104:$AI104,0))),AE100)</f>
        <v>0</v>
      </c>
      <c r="AF115" s="1">
        <f>IF(OR($B108&lt;&gt;$B93,$B109&lt;&gt;$B94,$B110&lt;&gt;$B95,$B111&lt;&gt;$B96,$B112&lt;&gt;$B97,$B113&lt;&gt;$B98,$B114&lt;&gt;$B99,$B115&lt;&gt;$B100,$B116&lt;&gt;$B101,$B117&lt;&gt;$B102,$B118&lt;&gt;$B103),IF($B115&lt;&gt;$B100,AF100/INDEX($C93:$AJ103,8,MATCH(IF('Data-solution'!$A$3="Maximize",MAX($C104:$AI104),MIN($C104:$AI104)),$C104:$AI104,0)),AF100-INDEX($C93:$AJ103,8,MATCH(IF('Data-solution'!$A$3="Maximize",MAX($C104:$AI104),MIN($C104:$AI104)),$C104:$AI104,0))*INDEX(AF93:$AJ103,MATCH(MIN($AK93:$AK103),$AK93:$AK103,0),1)/INDEX($C93:$AJ103,MATCH(MIN($AK93:$AK103),$AK93:$AK103,0),MATCH(IF('Data-solution'!$A$3="Maximize",MAX($C104:$AI104),MIN($C104:$AI104)),$C104:$AI104,0))),AF100)</f>
        <v>1</v>
      </c>
      <c r="AG115" s="1">
        <f>IF(OR($B108&lt;&gt;$B93,$B109&lt;&gt;$B94,$B110&lt;&gt;$B95,$B111&lt;&gt;$B96,$B112&lt;&gt;$B97,$B113&lt;&gt;$B98,$B114&lt;&gt;$B99,$B115&lt;&gt;$B100,$B116&lt;&gt;$B101,$B117&lt;&gt;$B102,$B118&lt;&gt;$B103),IF($B115&lt;&gt;$B100,AG100/INDEX($C93:$AJ103,8,MATCH(IF('Data-solution'!$A$3="Maximize",MAX($C104:$AI104),MIN($C104:$AI104)),$C104:$AI104,0)),AG100-INDEX($C93:$AJ103,8,MATCH(IF('Data-solution'!$A$3="Maximize",MAX($C104:$AI104),MIN($C104:$AI104)),$C104:$AI104,0))*INDEX(AG93:$AJ103,MATCH(MIN($AK93:$AK103),$AK93:$AK103,0),1)/INDEX($C93:$AJ103,MATCH(MIN($AK93:$AK103),$AK93:$AK103,0),MATCH(IF('Data-solution'!$A$3="Maximize",MAX($C104:$AI104),MIN($C104:$AI104)),$C104:$AI104,0))),AG100)</f>
        <v>0</v>
      </c>
      <c r="AH115" s="1">
        <f>IF(OR($B108&lt;&gt;$B93,$B109&lt;&gt;$B94,$B110&lt;&gt;$B95,$B111&lt;&gt;$B96,$B112&lt;&gt;$B97,$B113&lt;&gt;$B98,$B114&lt;&gt;$B99,$B115&lt;&gt;$B100,$B116&lt;&gt;$B101,$B117&lt;&gt;$B102,$B118&lt;&gt;$B103),IF($B115&lt;&gt;$B100,AH100/INDEX($C93:$AJ103,8,MATCH(IF('Data-solution'!$A$3="Maximize",MAX($C104:$AI104),MIN($C104:$AI104)),$C104:$AI104,0)),AH100-INDEX($C93:$AJ103,8,MATCH(IF('Data-solution'!$A$3="Maximize",MAX($C104:$AI104),MIN($C104:$AI104)),$C104:$AI104,0))*INDEX(AH93:$AJ103,MATCH(MIN($AK93:$AK103),$AK93:$AK103,0),1)/INDEX($C93:$AJ103,MATCH(MIN($AK93:$AK103),$AK93:$AK103,0),MATCH(IF('Data-solution'!$A$3="Maximize",MAX($C104:$AI104),MIN($C104:$AI104)),$C104:$AI104,0))),AH100)</f>
        <v>0</v>
      </c>
      <c r="AI115" s="1">
        <f>IF(OR($B108&lt;&gt;$B93,$B109&lt;&gt;$B94,$B110&lt;&gt;$B95,$B111&lt;&gt;$B96,$B112&lt;&gt;$B97,$B113&lt;&gt;$B98,$B114&lt;&gt;$B99,$B115&lt;&gt;$B100,$B116&lt;&gt;$B101,$B117&lt;&gt;$B102,$B118&lt;&gt;$B103),IF($B115&lt;&gt;$B100,AI100/INDEX($C93:$AJ103,8,MATCH(IF('Data-solution'!$A$3="Maximize",MAX($C104:$AI104),MIN($C104:$AI104)),$C104:$AI104,0)),AI100-INDEX($C93:$AJ103,8,MATCH(IF('Data-solution'!$A$3="Maximize",MAX($C104:$AI104),MIN($C104:$AI104)),$C104:$AI104,0))*INDEX(AI93:$AJ103,MATCH(MIN($AK93:$AK103),$AK93:$AK103,0),1)/INDEX($C93:$AJ103,MATCH(MIN($AK93:$AK103),$AK93:$AK103,0),MATCH(IF('Data-solution'!$A$3="Maximize",MAX($C104:$AI104),MIN($C104:$AI104)),$C104:$AI104,0))),AI100)</f>
        <v>0</v>
      </c>
      <c r="AJ115" s="1">
        <f>IF(OR($B108&lt;&gt;$B93,$B109&lt;&gt;$B94,$B110&lt;&gt;$B95,$B111&lt;&gt;$B96,$B112&lt;&gt;$B97,$B113&lt;&gt;$B98,$B114&lt;&gt;$B99,$B115&lt;&gt;$B100,$B116&lt;&gt;$B101,$B117&lt;&gt;$B102,$B118&lt;&gt;$B103),IF($B115&lt;&gt;$B100,AJ100/INDEX($C93:$AJ103,8,MATCH(IF('Data-solution'!$A$3="Maximize",MAX($C104:$AI104),MIN($C104:$AI104)),$C104:$AI104,0)),AJ100-INDEX($C93:$AJ103,8,MATCH(IF('Data-solution'!$A$3="Maximize",MAX($C104:$AI104),MIN($C104:$AI104)),$C104:$AI104,0))*INDEX(AJ93:$AJ103,MATCH(MIN($AK93:$AK103),$AK93:$AK103,0),1)/INDEX($C93:$AJ103,MATCH(MIN($AK93:$AK103),$AK93:$AK103,0),MATCH(IF('Data-solution'!$A$3="Maximize",MAX($C104:$AI104),MIN($C104:$AI104)),$C104:$AI104,0))),AJ100)</f>
        <v>0</v>
      </c>
      <c r="AK115" s="1" t="str">
        <f>IF(INDEX(C115:X115,1,MATCH(IF('Data-solution'!A$3="Maximize",MAX(C119:X119),MIN(C119:X119)),C119:X119,0))&gt;0,AJ115/INDEX(C115:X115,1,MATCH(IF('Data-solution'!A$3="Maximize",MAX(C119:X119),MIN(C119:X119)),C119:X119,0))," ")</f>
        <v xml:space="preserve"> </v>
      </c>
    </row>
    <row r="116" spans="1:37" ht="18" customHeight="1" x14ac:dyDescent="0.2">
      <c r="A116" s="1">
        <f t="shared" ref="A116" si="90">INDEX(C106:AI106,1,MATCH(B116,C107:AI107,0))</f>
        <v>0</v>
      </c>
      <c r="B116" s="2" t="str">
        <f>IF(AND('Data-solution'!A$3="Maximize",COUNTIF(C104:X104,"&gt;"&amp;0)&gt;0,AK101=MIN(AK93:AK103),COUNTIF(B108:B115,INDEX(C92:X92,1,MATCH(MAX(C104:X104),C104:X104,0)))=0),INDEX(C92:X92,1,MATCH(MAX(C104:X104),C104:X104,0)),IF(AND('Data-solution'!A$3="Minimize",COUNTIF(C104:X104,"&lt;"&amp;0)&gt;0,AK101=MIN(AK93:AK103),COUNTIF(B108:B115,INDEX(C92:X92,1,MATCH(MIN(C104:X104),C104:X104,0)))=0),INDEX(C92:X92,1,MATCH(MIN(C104:X104),C104:X104,0)),B101))</f>
        <v>S9</v>
      </c>
      <c r="C116" s="1">
        <f>IF(OR($B108&lt;&gt;$B93,$B109&lt;&gt;$B94,$B110&lt;&gt;$B95,$B111&lt;&gt;$B96,$B112&lt;&gt;$B97,$B113&lt;&gt;$B98,$B114&lt;&gt;$B99,$B115&lt;&gt;$B100,$B116&lt;&gt;$B101,$B117&lt;&gt;$B102,$B118&lt;&gt;$B103),IF($B116&lt;&gt;$B101,C101/INDEX($C93:$AJ103,9,MATCH(IF('Data-solution'!$A$3="Maximize",MAX($C104:$AI104),MIN($C104:$AI104)),$C104:$AI104,0)),C101-INDEX($C93:$AJ103,9,MATCH(IF('Data-solution'!$A$3="Maximize",MAX($C104:$AI104),MIN($C104:$AI104)),$C104:$AI104,0))*INDEX(C93:$AJ103,MATCH(MIN($AK93:$AK103),$AK93:$AK103,0),1)/INDEX($C93:$AJ103,MATCH(MIN($AK93:$AK103),$AK93:$AK103,0),MATCH(IF('Data-solution'!$A$3="Maximize",MAX($C104:$AI104),MIN($C104:$AI104)),$C104:$AI104,0))),C101)</f>
        <v>0</v>
      </c>
      <c r="D116" s="1">
        <f>IF(OR($B108&lt;&gt;$B93,$B109&lt;&gt;$B94,$B110&lt;&gt;$B95,$B111&lt;&gt;$B96,$B112&lt;&gt;$B97,$B113&lt;&gt;$B98,$B114&lt;&gt;$B99,$B115&lt;&gt;$B100,$B116&lt;&gt;$B101,$B117&lt;&gt;$B102,$B118&lt;&gt;$B103),IF($B116&lt;&gt;$B101,D101/INDEX($C93:$AJ103,9,MATCH(IF('Data-solution'!$A$3="Maximize",MAX($C104:$AI104),MIN($C104:$AI104)),$C104:$AI104,0)),D101-INDEX($C93:$AJ103,9,MATCH(IF('Data-solution'!$A$3="Maximize",MAX($C104:$AI104),MIN($C104:$AI104)),$C104:$AI104,0))*INDEX(D93:$AJ103,MATCH(MIN($AK93:$AK103),$AK93:$AK103,0),1)/INDEX($C93:$AJ103,MATCH(MIN($AK93:$AK103),$AK93:$AK103,0),MATCH(IF('Data-solution'!$A$3="Maximize",MAX($C104:$AI104),MIN($C104:$AI104)),$C104:$AI104,0))),D101)</f>
        <v>0</v>
      </c>
      <c r="E116" s="1">
        <f>IF(OR($B108&lt;&gt;$B93,$B109&lt;&gt;$B94,$B110&lt;&gt;$B95,$B111&lt;&gt;$B96,$B112&lt;&gt;$B97,$B113&lt;&gt;$B98,$B114&lt;&gt;$B99,$B115&lt;&gt;$B100,$B116&lt;&gt;$B101,$B117&lt;&gt;$B102,$B118&lt;&gt;$B103),IF($B116&lt;&gt;$B101,E101/INDEX($C93:$AJ103,9,MATCH(IF('Data-solution'!$A$3="Maximize",MAX($C104:$AI104),MIN($C104:$AI104)),$C104:$AI104,0)),E101-INDEX($C93:$AJ103,9,MATCH(IF('Data-solution'!$A$3="Maximize",MAX($C104:$AI104),MIN($C104:$AI104)),$C104:$AI104,0))*INDEX(E93:$AJ103,MATCH(MIN($AK93:$AK103),$AK93:$AK103,0),1)/INDEX($C93:$AJ103,MATCH(MIN($AK93:$AK103),$AK93:$AK103,0),MATCH(IF('Data-solution'!$A$3="Maximize",MAX($C104:$AI104),MIN($C104:$AI104)),$C104:$AI104,0))),E101)</f>
        <v>0</v>
      </c>
      <c r="F116" s="1">
        <f>IF(OR($B108&lt;&gt;$B93,$B109&lt;&gt;$B94,$B110&lt;&gt;$B95,$B111&lt;&gt;$B96,$B112&lt;&gt;$B97,$B113&lt;&gt;$B98,$B114&lt;&gt;$B99,$B115&lt;&gt;$B100,$B116&lt;&gt;$B101,$B117&lt;&gt;$B102,$B118&lt;&gt;$B103),IF($B116&lt;&gt;$B101,F101/INDEX($C93:$AJ103,9,MATCH(IF('Data-solution'!$A$3="Maximize",MAX($C104:$AI104),MIN($C104:$AI104)),$C104:$AI104,0)),F101-INDEX($C93:$AJ103,9,MATCH(IF('Data-solution'!$A$3="Maximize",MAX($C104:$AI104),MIN($C104:$AI104)),$C104:$AI104,0))*INDEX(F93:$AJ103,MATCH(MIN($AK93:$AK103),$AK93:$AK103,0),1)/INDEX($C93:$AJ103,MATCH(MIN($AK93:$AK103),$AK93:$AK103,0),MATCH(IF('Data-solution'!$A$3="Maximize",MAX($C104:$AI104),MIN($C104:$AI104)),$C104:$AI104,0))),F101)</f>
        <v>0</v>
      </c>
      <c r="G116" s="1">
        <f>IF(OR($B108&lt;&gt;$B93,$B109&lt;&gt;$B94,$B110&lt;&gt;$B95,$B111&lt;&gt;$B96,$B112&lt;&gt;$B97,$B113&lt;&gt;$B98,$B114&lt;&gt;$B99,$B115&lt;&gt;$B100,$B116&lt;&gt;$B101,$B117&lt;&gt;$B102,$B118&lt;&gt;$B103),IF($B116&lt;&gt;$B101,G101/INDEX($C93:$AJ103,9,MATCH(IF('Data-solution'!$A$3="Maximize",MAX($C104:$AI104),MIN($C104:$AI104)),$C104:$AI104,0)),G101-INDEX($C93:$AJ103,9,MATCH(IF('Data-solution'!$A$3="Maximize",MAX($C104:$AI104),MIN($C104:$AI104)),$C104:$AI104,0))*INDEX(G93:$AJ103,MATCH(MIN($AK93:$AK103),$AK93:$AK103,0),1)/INDEX($C93:$AJ103,MATCH(MIN($AK93:$AK103),$AK93:$AK103,0),MATCH(IF('Data-solution'!$A$3="Maximize",MAX($C104:$AI104),MIN($C104:$AI104)),$C104:$AI104,0))),G101)</f>
        <v>0</v>
      </c>
      <c r="H116" s="1">
        <f>IF(OR($B108&lt;&gt;$B93,$B109&lt;&gt;$B94,$B110&lt;&gt;$B95,$B111&lt;&gt;$B96,$B112&lt;&gt;$B97,$B113&lt;&gt;$B98,$B114&lt;&gt;$B99,$B115&lt;&gt;$B100,$B116&lt;&gt;$B101,$B117&lt;&gt;$B102,$B118&lt;&gt;$B103),IF($B116&lt;&gt;$B101,H101/INDEX($C93:$AJ103,9,MATCH(IF('Data-solution'!$A$3="Maximize",MAX($C104:$AI104),MIN($C104:$AI104)),$C104:$AI104,0)),H101-INDEX($C93:$AJ103,9,MATCH(IF('Data-solution'!$A$3="Maximize",MAX($C104:$AI104),MIN($C104:$AI104)),$C104:$AI104,0))*INDEX(H93:$AJ103,MATCH(MIN($AK93:$AK103),$AK93:$AK103,0),1)/INDEX($C93:$AJ103,MATCH(MIN($AK93:$AK103),$AK93:$AK103,0),MATCH(IF('Data-solution'!$A$3="Maximize",MAX($C104:$AI104),MIN($C104:$AI104)),$C104:$AI104,0))),H101)</f>
        <v>0</v>
      </c>
      <c r="I116" s="1">
        <f>IF(OR($B108&lt;&gt;$B93,$B109&lt;&gt;$B94,$B110&lt;&gt;$B95,$B111&lt;&gt;$B96,$B112&lt;&gt;$B97,$B113&lt;&gt;$B98,$B114&lt;&gt;$B99,$B115&lt;&gt;$B100,$B116&lt;&gt;$B101,$B117&lt;&gt;$B102,$B118&lt;&gt;$B103),IF($B116&lt;&gt;$B101,I101/INDEX($C93:$AJ103,9,MATCH(IF('Data-solution'!$A$3="Maximize",MAX($C104:$AI104),MIN($C104:$AI104)),$C104:$AI104,0)),I101-INDEX($C93:$AJ103,9,MATCH(IF('Data-solution'!$A$3="Maximize",MAX($C104:$AI104),MIN($C104:$AI104)),$C104:$AI104,0))*INDEX(I93:$AJ103,MATCH(MIN($AK93:$AK103),$AK93:$AK103,0),1)/INDEX($C93:$AJ103,MATCH(MIN($AK93:$AK103),$AK93:$AK103,0),MATCH(IF('Data-solution'!$A$3="Maximize",MAX($C104:$AI104),MIN($C104:$AI104)),$C104:$AI104,0))),I101)</f>
        <v>0</v>
      </c>
      <c r="J116" s="1">
        <f>IF(OR($B108&lt;&gt;$B93,$B109&lt;&gt;$B94,$B110&lt;&gt;$B95,$B111&lt;&gt;$B96,$B112&lt;&gt;$B97,$B113&lt;&gt;$B98,$B114&lt;&gt;$B99,$B115&lt;&gt;$B100,$B116&lt;&gt;$B101,$B117&lt;&gt;$B102,$B118&lt;&gt;$B103),IF($B116&lt;&gt;$B101,J101/INDEX($C93:$AJ103,9,MATCH(IF('Data-solution'!$A$3="Maximize",MAX($C104:$AI104),MIN($C104:$AI104)),$C104:$AI104,0)),J101-INDEX($C93:$AJ103,9,MATCH(IF('Data-solution'!$A$3="Maximize",MAX($C104:$AI104),MIN($C104:$AI104)),$C104:$AI104,0))*INDEX(J93:$AJ103,MATCH(MIN($AK93:$AK103),$AK93:$AK103,0),1)/INDEX($C93:$AJ103,MATCH(MIN($AK93:$AK103),$AK93:$AK103,0),MATCH(IF('Data-solution'!$A$3="Maximize",MAX($C104:$AI104),MIN($C104:$AI104)),$C104:$AI104,0))),J101)</f>
        <v>0</v>
      </c>
      <c r="K116" s="1">
        <f>IF(OR($B108&lt;&gt;$B93,$B109&lt;&gt;$B94,$B110&lt;&gt;$B95,$B111&lt;&gt;$B96,$B112&lt;&gt;$B97,$B113&lt;&gt;$B98,$B114&lt;&gt;$B99,$B115&lt;&gt;$B100,$B116&lt;&gt;$B101,$B117&lt;&gt;$B102,$B118&lt;&gt;$B103),IF($B116&lt;&gt;$B101,K101/INDEX($C93:$AJ103,9,MATCH(IF('Data-solution'!$A$3="Maximize",MAX($C104:$AI104),MIN($C104:$AI104)),$C104:$AI104,0)),K101-INDEX($C93:$AJ103,9,MATCH(IF('Data-solution'!$A$3="Maximize",MAX($C104:$AI104),MIN($C104:$AI104)),$C104:$AI104,0))*INDEX(K93:$AJ103,MATCH(MIN($AK93:$AK103),$AK93:$AK103,0),1)/INDEX($C93:$AJ103,MATCH(MIN($AK93:$AK103),$AK93:$AK103,0),MATCH(IF('Data-solution'!$A$3="Maximize",MAX($C104:$AI104),MIN($C104:$AI104)),$C104:$AI104,0))),K101)</f>
        <v>0</v>
      </c>
      <c r="L116" s="1">
        <f>IF(OR($B108&lt;&gt;$B93,$B109&lt;&gt;$B94,$B110&lt;&gt;$B95,$B111&lt;&gt;$B96,$B112&lt;&gt;$B97,$B113&lt;&gt;$B98,$B114&lt;&gt;$B99,$B115&lt;&gt;$B100,$B116&lt;&gt;$B101,$B117&lt;&gt;$B102,$B118&lt;&gt;$B103),IF($B116&lt;&gt;$B101,L101/INDEX($C93:$AJ103,9,MATCH(IF('Data-solution'!$A$3="Maximize",MAX($C104:$AI104),MIN($C104:$AI104)),$C104:$AI104,0)),L101-INDEX($C93:$AJ103,9,MATCH(IF('Data-solution'!$A$3="Maximize",MAX($C104:$AI104),MIN($C104:$AI104)),$C104:$AI104,0))*INDEX(L93:$AJ103,MATCH(MIN($AK93:$AK103),$AK93:$AK103,0),1)/INDEX($C93:$AJ103,MATCH(MIN($AK93:$AK103),$AK93:$AK103,0),MATCH(IF('Data-solution'!$A$3="Maximize",MAX($C104:$AI104),MIN($C104:$AI104)),$C104:$AI104,0))),L101)</f>
        <v>0</v>
      </c>
      <c r="M116" s="1">
        <f>IF(OR($B108&lt;&gt;$B93,$B109&lt;&gt;$B94,$B110&lt;&gt;$B95,$B111&lt;&gt;$B96,$B112&lt;&gt;$B97,$B113&lt;&gt;$B98,$B114&lt;&gt;$B99,$B115&lt;&gt;$B100,$B116&lt;&gt;$B101,$B117&lt;&gt;$B102,$B118&lt;&gt;$B103),IF($B116&lt;&gt;$B101,M101/INDEX($C93:$AJ103,9,MATCH(IF('Data-solution'!$A$3="Maximize",MAX($C104:$AI104),MIN($C104:$AI104)),$C104:$AI104,0)),M101-INDEX($C93:$AJ103,9,MATCH(IF('Data-solution'!$A$3="Maximize",MAX($C104:$AI104),MIN($C104:$AI104)),$C104:$AI104,0))*INDEX(M93:$AJ103,MATCH(MIN($AK93:$AK103),$AK93:$AK103,0),1)/INDEX($C93:$AJ103,MATCH(MIN($AK93:$AK103),$AK93:$AK103,0),MATCH(IF('Data-solution'!$A$3="Maximize",MAX($C104:$AI104),MIN($C104:$AI104)),$C104:$AI104,0))),M101)</f>
        <v>0</v>
      </c>
      <c r="N116" s="1">
        <f>IF(OR($B108&lt;&gt;$B93,$B109&lt;&gt;$B94,$B110&lt;&gt;$B95,$B111&lt;&gt;$B96,$B112&lt;&gt;$B97,$B113&lt;&gt;$B98,$B114&lt;&gt;$B99,$B115&lt;&gt;$B100,$B116&lt;&gt;$B101,$B117&lt;&gt;$B102,$B118&lt;&gt;$B103),IF($B116&lt;&gt;$B101,N101/INDEX($C93:$AJ103,9,MATCH(IF('Data-solution'!$A$3="Maximize",MAX($C104:$AI104),MIN($C104:$AI104)),$C104:$AI104,0)),N101-INDEX($C93:$AJ103,9,MATCH(IF('Data-solution'!$A$3="Maximize",MAX($C104:$AI104),MIN($C104:$AI104)),$C104:$AI104,0))*INDEX(N93:$AJ103,MATCH(MIN($AK93:$AK103),$AK93:$AK103,0),1)/INDEX($C93:$AJ103,MATCH(MIN($AK93:$AK103),$AK93:$AK103,0),MATCH(IF('Data-solution'!$A$3="Maximize",MAX($C104:$AI104),MIN($C104:$AI104)),$C104:$AI104,0))),N101)</f>
        <v>0</v>
      </c>
      <c r="O116" s="1">
        <f>IF(OR($B108&lt;&gt;$B93,$B109&lt;&gt;$B94,$B110&lt;&gt;$B95,$B111&lt;&gt;$B96,$B112&lt;&gt;$B97,$B113&lt;&gt;$B98,$B114&lt;&gt;$B99,$B115&lt;&gt;$B100,$B116&lt;&gt;$B101,$B117&lt;&gt;$B102,$B118&lt;&gt;$B103),IF($B116&lt;&gt;$B101,O101/INDEX($C93:$AJ103,9,MATCH(IF('Data-solution'!$A$3="Maximize",MAX($C104:$AI104),MIN($C104:$AI104)),$C104:$AI104,0)),O101-INDEX($C93:$AJ103,9,MATCH(IF('Data-solution'!$A$3="Maximize",MAX($C104:$AI104),MIN($C104:$AI104)),$C104:$AI104,0))*INDEX(O93:$AJ103,MATCH(MIN($AK93:$AK103),$AK93:$AK103,0),1)/INDEX($C93:$AJ103,MATCH(MIN($AK93:$AK103),$AK93:$AK103,0),MATCH(IF('Data-solution'!$A$3="Maximize",MAX($C104:$AI104),MIN($C104:$AI104)),$C104:$AI104,0))),O101)</f>
        <v>0</v>
      </c>
      <c r="P116" s="1">
        <f>IF(OR($B108&lt;&gt;$B93,$B109&lt;&gt;$B94,$B110&lt;&gt;$B95,$B111&lt;&gt;$B96,$B112&lt;&gt;$B97,$B113&lt;&gt;$B98,$B114&lt;&gt;$B99,$B115&lt;&gt;$B100,$B116&lt;&gt;$B101,$B117&lt;&gt;$B102,$B118&lt;&gt;$B103),IF($B116&lt;&gt;$B101,P101/INDEX($C93:$AJ103,9,MATCH(IF('Data-solution'!$A$3="Maximize",MAX($C104:$AI104),MIN($C104:$AI104)),$C104:$AI104,0)),P101-INDEX($C93:$AJ103,9,MATCH(IF('Data-solution'!$A$3="Maximize",MAX($C104:$AI104),MIN($C104:$AI104)),$C104:$AI104,0))*INDEX(P93:$AJ103,MATCH(MIN($AK93:$AK103),$AK93:$AK103,0),1)/INDEX($C93:$AJ103,MATCH(MIN($AK93:$AK103),$AK93:$AK103,0),MATCH(IF('Data-solution'!$A$3="Maximize",MAX($C104:$AI104),MIN($C104:$AI104)),$C104:$AI104,0))),P101)</f>
        <v>0</v>
      </c>
      <c r="Q116" s="1">
        <f>IF(OR($B108&lt;&gt;$B93,$B109&lt;&gt;$B94,$B110&lt;&gt;$B95,$B111&lt;&gt;$B96,$B112&lt;&gt;$B97,$B113&lt;&gt;$B98,$B114&lt;&gt;$B99,$B115&lt;&gt;$B100,$B116&lt;&gt;$B101,$B117&lt;&gt;$B102,$B118&lt;&gt;$B103),IF($B116&lt;&gt;$B101,Q101/INDEX($C93:$AJ103,9,MATCH(IF('Data-solution'!$A$3="Maximize",MAX($C104:$AI104),MIN($C104:$AI104)),$C104:$AI104,0)),Q101-INDEX($C93:$AJ103,9,MATCH(IF('Data-solution'!$A$3="Maximize",MAX($C104:$AI104),MIN($C104:$AI104)),$C104:$AI104,0))*INDEX(Q93:$AJ103,MATCH(MIN($AK93:$AK103),$AK93:$AK103,0),1)/INDEX($C93:$AJ103,MATCH(MIN($AK93:$AK103),$AK93:$AK103,0),MATCH(IF('Data-solution'!$A$3="Maximize",MAX($C104:$AI104),MIN($C104:$AI104)),$C104:$AI104,0))),Q101)</f>
        <v>0</v>
      </c>
      <c r="R116" s="1">
        <f>IF(OR($B108&lt;&gt;$B93,$B109&lt;&gt;$B94,$B110&lt;&gt;$B95,$B111&lt;&gt;$B96,$B112&lt;&gt;$B97,$B113&lt;&gt;$B98,$B114&lt;&gt;$B99,$B115&lt;&gt;$B100,$B116&lt;&gt;$B101,$B117&lt;&gt;$B102,$B118&lt;&gt;$B103),IF($B116&lt;&gt;$B101,R101/INDEX($C93:$AJ103,9,MATCH(IF('Data-solution'!$A$3="Maximize",MAX($C104:$AI104),MIN($C104:$AI104)),$C104:$AI104,0)),R101-INDEX($C93:$AJ103,9,MATCH(IF('Data-solution'!$A$3="Maximize",MAX($C104:$AI104),MIN($C104:$AI104)),$C104:$AI104,0))*INDEX(R93:$AJ103,MATCH(MIN($AK93:$AK103),$AK93:$AK103,0),1)/INDEX($C93:$AJ103,MATCH(MIN($AK93:$AK103),$AK93:$AK103,0),MATCH(IF('Data-solution'!$A$3="Maximize",MAX($C104:$AI104),MIN($C104:$AI104)),$C104:$AI104,0))),R101)</f>
        <v>0</v>
      </c>
      <c r="S116" s="1">
        <f>IF(OR($B108&lt;&gt;$B93,$B109&lt;&gt;$B94,$B110&lt;&gt;$B95,$B111&lt;&gt;$B96,$B112&lt;&gt;$B97,$B113&lt;&gt;$B98,$B114&lt;&gt;$B99,$B115&lt;&gt;$B100,$B116&lt;&gt;$B101,$B117&lt;&gt;$B102,$B118&lt;&gt;$B103),IF($B116&lt;&gt;$B101,S101/INDEX($C93:$AJ103,9,MATCH(IF('Data-solution'!$A$3="Maximize",MAX($C104:$AI104),MIN($C104:$AI104)),$C104:$AI104,0)),S101-INDEX($C93:$AJ103,9,MATCH(IF('Data-solution'!$A$3="Maximize",MAX($C104:$AI104),MIN($C104:$AI104)),$C104:$AI104,0))*INDEX(S93:$AJ103,MATCH(MIN($AK93:$AK103),$AK93:$AK103,0),1)/INDEX($C93:$AJ103,MATCH(MIN($AK93:$AK103),$AK93:$AK103,0),MATCH(IF('Data-solution'!$A$3="Maximize",MAX($C104:$AI104),MIN($C104:$AI104)),$C104:$AI104,0))),S101)</f>
        <v>0</v>
      </c>
      <c r="T116" s="1">
        <f>IF(OR($B108&lt;&gt;$B93,$B109&lt;&gt;$B94,$B110&lt;&gt;$B95,$B111&lt;&gt;$B96,$B112&lt;&gt;$B97,$B113&lt;&gt;$B98,$B114&lt;&gt;$B99,$B115&lt;&gt;$B100,$B116&lt;&gt;$B101,$B117&lt;&gt;$B102,$B118&lt;&gt;$B103),IF($B116&lt;&gt;$B101,T101/INDEX($C93:$AJ103,9,MATCH(IF('Data-solution'!$A$3="Maximize",MAX($C104:$AI104),MIN($C104:$AI104)),$C104:$AI104,0)),T101-INDEX($C93:$AJ103,9,MATCH(IF('Data-solution'!$A$3="Maximize",MAX($C104:$AI104),MIN($C104:$AI104)),$C104:$AI104,0))*INDEX(T93:$AJ103,MATCH(MIN($AK93:$AK103),$AK93:$AK103,0),1)/INDEX($C93:$AJ103,MATCH(MIN($AK93:$AK103),$AK93:$AK103,0),MATCH(IF('Data-solution'!$A$3="Maximize",MAX($C104:$AI104),MIN($C104:$AI104)),$C104:$AI104,0))),T101)</f>
        <v>0</v>
      </c>
      <c r="U116" s="1">
        <f>IF(OR($B108&lt;&gt;$B93,$B109&lt;&gt;$B94,$B110&lt;&gt;$B95,$B111&lt;&gt;$B96,$B112&lt;&gt;$B97,$B113&lt;&gt;$B98,$B114&lt;&gt;$B99,$B115&lt;&gt;$B100,$B116&lt;&gt;$B101,$B117&lt;&gt;$B102,$B118&lt;&gt;$B103),IF($B116&lt;&gt;$B101,U101/INDEX($C93:$AJ103,9,MATCH(IF('Data-solution'!$A$3="Maximize",MAX($C104:$AI104),MIN($C104:$AI104)),$C104:$AI104,0)),U101-INDEX($C93:$AJ103,9,MATCH(IF('Data-solution'!$A$3="Maximize",MAX($C104:$AI104),MIN($C104:$AI104)),$C104:$AI104,0))*INDEX(U93:$AJ103,MATCH(MIN($AK93:$AK103),$AK93:$AK103,0),1)/INDEX($C93:$AJ103,MATCH(MIN($AK93:$AK103),$AK93:$AK103,0),MATCH(IF('Data-solution'!$A$3="Maximize",MAX($C104:$AI104),MIN($C104:$AI104)),$C104:$AI104,0))),U101)</f>
        <v>0</v>
      </c>
      <c r="V116" s="1">
        <f>IF(OR($B108&lt;&gt;$B93,$B109&lt;&gt;$B94,$B110&lt;&gt;$B95,$B111&lt;&gt;$B96,$B112&lt;&gt;$B97,$B113&lt;&gt;$B98,$B114&lt;&gt;$B99,$B115&lt;&gt;$B100,$B116&lt;&gt;$B101,$B117&lt;&gt;$B102,$B118&lt;&gt;$B103),IF($B116&lt;&gt;$B101,V101/INDEX($C93:$AJ103,9,MATCH(IF('Data-solution'!$A$3="Maximize",MAX($C104:$AI104),MIN($C104:$AI104)),$C104:$AI104,0)),V101-INDEX($C93:$AJ103,9,MATCH(IF('Data-solution'!$A$3="Maximize",MAX($C104:$AI104),MIN($C104:$AI104)),$C104:$AI104,0))*INDEX(V93:$AJ103,MATCH(MIN($AK93:$AK103),$AK93:$AK103,0),1)/INDEX($C93:$AJ103,MATCH(MIN($AK93:$AK103),$AK93:$AK103,0),MATCH(IF('Data-solution'!$A$3="Maximize",MAX($C104:$AI104),MIN($C104:$AI104)),$C104:$AI104,0))),V101)</f>
        <v>1</v>
      </c>
      <c r="W116" s="1">
        <f>IF(OR($B108&lt;&gt;$B93,$B109&lt;&gt;$B94,$B110&lt;&gt;$B95,$B111&lt;&gt;$B96,$B112&lt;&gt;$B97,$B113&lt;&gt;$B98,$B114&lt;&gt;$B99,$B115&lt;&gt;$B100,$B116&lt;&gt;$B101,$B117&lt;&gt;$B102,$B118&lt;&gt;$B103),IF($B116&lt;&gt;$B101,W101/INDEX($C93:$AJ103,9,MATCH(IF('Data-solution'!$A$3="Maximize",MAX($C104:$AI104),MIN($C104:$AI104)),$C104:$AI104,0)),W101-INDEX($C93:$AJ103,9,MATCH(IF('Data-solution'!$A$3="Maximize",MAX($C104:$AI104),MIN($C104:$AI104)),$C104:$AI104,0))*INDEX(W93:$AJ103,MATCH(MIN($AK93:$AK103),$AK93:$AK103,0),1)/INDEX($C93:$AJ103,MATCH(MIN($AK93:$AK103),$AK93:$AK103,0),MATCH(IF('Data-solution'!$A$3="Maximize",MAX($C104:$AI104),MIN($C104:$AI104)),$C104:$AI104,0))),W101)</f>
        <v>0</v>
      </c>
      <c r="X116" s="1">
        <f>IF(OR($B108&lt;&gt;$B93,$B109&lt;&gt;$B94,$B110&lt;&gt;$B95,$B111&lt;&gt;$B96,$B112&lt;&gt;$B97,$B113&lt;&gt;$B98,$B114&lt;&gt;$B99,$B115&lt;&gt;$B100,$B116&lt;&gt;$B101,$B117&lt;&gt;$B102,$B118&lt;&gt;$B103),IF($B116&lt;&gt;$B101,X101/INDEX($C93:$AJ103,9,MATCH(IF('Data-solution'!$A$3="Maximize",MAX($C104:$AI104),MIN($C104:$AI104)),$C104:$AI104,0)),X101-INDEX($C93:$AJ103,9,MATCH(IF('Data-solution'!$A$3="Maximize",MAX($C104:$AI104),MIN($C104:$AI104)),$C104:$AI104,0))*INDEX(X93:$AJ103,MATCH(MIN($AK93:$AK103),$AK93:$AK103,0),1)/INDEX($C93:$AJ103,MATCH(MIN($AK93:$AK103),$AK93:$AK103,0),MATCH(IF('Data-solution'!$A$3="Maximize",MAX($C104:$AI104),MIN($C104:$AI104)),$C104:$AI104,0))),X101)</f>
        <v>0</v>
      </c>
      <c r="Y116" s="1">
        <f>IF(OR($B108&lt;&gt;$B93,$B109&lt;&gt;$B94,$B110&lt;&gt;$B95,$B111&lt;&gt;$B96,$B112&lt;&gt;$B97,$B113&lt;&gt;$B98,$B114&lt;&gt;$B99,$B115&lt;&gt;$B100,$B116&lt;&gt;$B101,$B117&lt;&gt;$B102,$B118&lt;&gt;$B103),IF($B116&lt;&gt;$B101,Y101/INDEX($C93:$AJ103,9,MATCH(IF('Data-solution'!$A$3="Maximize",MAX($C104:$AI104),MIN($C104:$AI104)),$C104:$AI104,0)),Y101-INDEX($C93:$AJ103,9,MATCH(IF('Data-solution'!$A$3="Maximize",MAX($C104:$AI104),MIN($C104:$AI104)),$C104:$AI104,0))*INDEX(Y93:$AJ103,MATCH(MIN($AK93:$AK103),$AK93:$AK103,0),1)/INDEX($C93:$AJ103,MATCH(MIN($AK93:$AK103),$AK93:$AK103,0),MATCH(IF('Data-solution'!$A$3="Maximize",MAX($C104:$AI104),MIN($C104:$AI104)),$C104:$AI104,0))),Y101)</f>
        <v>0</v>
      </c>
      <c r="Z116" s="1">
        <f>IF(OR($B108&lt;&gt;$B93,$B109&lt;&gt;$B94,$B110&lt;&gt;$B95,$B111&lt;&gt;$B96,$B112&lt;&gt;$B97,$B113&lt;&gt;$B98,$B114&lt;&gt;$B99,$B115&lt;&gt;$B100,$B116&lt;&gt;$B101,$B117&lt;&gt;$B102,$B118&lt;&gt;$B103),IF($B116&lt;&gt;$B101,Z101/INDEX($C93:$AJ103,9,MATCH(IF('Data-solution'!$A$3="Maximize",MAX($C104:$AI104),MIN($C104:$AI104)),$C104:$AI104,0)),Z101-INDEX($C93:$AJ103,9,MATCH(IF('Data-solution'!$A$3="Maximize",MAX($C104:$AI104),MIN($C104:$AI104)),$C104:$AI104,0))*INDEX(Z93:$AJ103,MATCH(MIN($AK93:$AK103),$AK93:$AK103,0),1)/INDEX($C93:$AJ103,MATCH(MIN($AK93:$AK103),$AK93:$AK103,0),MATCH(IF('Data-solution'!$A$3="Maximize",MAX($C104:$AI104),MIN($C104:$AI104)),$C104:$AI104,0))),Z101)</f>
        <v>0</v>
      </c>
      <c r="AA116" s="1">
        <f>IF(OR($B108&lt;&gt;$B93,$B109&lt;&gt;$B94,$B110&lt;&gt;$B95,$B111&lt;&gt;$B96,$B112&lt;&gt;$B97,$B113&lt;&gt;$B98,$B114&lt;&gt;$B99,$B115&lt;&gt;$B100,$B116&lt;&gt;$B101,$B117&lt;&gt;$B102,$B118&lt;&gt;$B103),IF($B116&lt;&gt;$B101,AA101/INDEX($C93:$AJ103,9,MATCH(IF('Data-solution'!$A$3="Maximize",MAX($C104:$AI104),MIN($C104:$AI104)),$C104:$AI104,0)),AA101-INDEX($C93:$AJ103,9,MATCH(IF('Data-solution'!$A$3="Maximize",MAX($C104:$AI104),MIN($C104:$AI104)),$C104:$AI104,0))*INDEX(AA93:$AJ103,MATCH(MIN($AK93:$AK103),$AK93:$AK103,0),1)/INDEX($C93:$AJ103,MATCH(MIN($AK93:$AK103),$AK93:$AK103,0),MATCH(IF('Data-solution'!$A$3="Maximize",MAX($C104:$AI104),MIN($C104:$AI104)),$C104:$AI104,0))),AA101)</f>
        <v>0</v>
      </c>
      <c r="AB116" s="1">
        <f>IF(OR($B108&lt;&gt;$B93,$B109&lt;&gt;$B94,$B110&lt;&gt;$B95,$B111&lt;&gt;$B96,$B112&lt;&gt;$B97,$B113&lt;&gt;$B98,$B114&lt;&gt;$B99,$B115&lt;&gt;$B100,$B116&lt;&gt;$B101,$B117&lt;&gt;$B102,$B118&lt;&gt;$B103),IF($B116&lt;&gt;$B101,AB101/INDEX($C93:$AJ103,9,MATCH(IF('Data-solution'!$A$3="Maximize",MAX($C104:$AI104),MIN($C104:$AI104)),$C104:$AI104,0)),AB101-INDEX($C93:$AJ103,9,MATCH(IF('Data-solution'!$A$3="Maximize",MAX($C104:$AI104),MIN($C104:$AI104)),$C104:$AI104,0))*INDEX(AB93:$AJ103,MATCH(MIN($AK93:$AK103),$AK93:$AK103,0),1)/INDEX($C93:$AJ103,MATCH(MIN($AK93:$AK103),$AK93:$AK103,0),MATCH(IF('Data-solution'!$A$3="Maximize",MAX($C104:$AI104),MIN($C104:$AI104)),$C104:$AI104,0))),AB101)</f>
        <v>0</v>
      </c>
      <c r="AC116" s="1">
        <f>IF(OR($B108&lt;&gt;$B93,$B109&lt;&gt;$B94,$B110&lt;&gt;$B95,$B111&lt;&gt;$B96,$B112&lt;&gt;$B97,$B113&lt;&gt;$B98,$B114&lt;&gt;$B99,$B115&lt;&gt;$B100,$B116&lt;&gt;$B101,$B117&lt;&gt;$B102,$B118&lt;&gt;$B103),IF($B116&lt;&gt;$B101,AC101/INDEX($C93:$AJ103,9,MATCH(IF('Data-solution'!$A$3="Maximize",MAX($C104:$AI104),MIN($C104:$AI104)),$C104:$AI104,0)),AC101-INDEX($C93:$AJ103,9,MATCH(IF('Data-solution'!$A$3="Maximize",MAX($C104:$AI104),MIN($C104:$AI104)),$C104:$AI104,0))*INDEX(AC93:$AJ103,MATCH(MIN($AK93:$AK103),$AK93:$AK103,0),1)/INDEX($C93:$AJ103,MATCH(MIN($AK93:$AK103),$AK93:$AK103,0),MATCH(IF('Data-solution'!$A$3="Maximize",MAX($C104:$AI104),MIN($C104:$AI104)),$C104:$AI104,0))),AC101)</f>
        <v>0</v>
      </c>
      <c r="AD116" s="1">
        <f>IF(OR($B108&lt;&gt;$B93,$B109&lt;&gt;$B94,$B110&lt;&gt;$B95,$B111&lt;&gt;$B96,$B112&lt;&gt;$B97,$B113&lt;&gt;$B98,$B114&lt;&gt;$B99,$B115&lt;&gt;$B100,$B116&lt;&gt;$B101,$B117&lt;&gt;$B102,$B118&lt;&gt;$B103),IF($B116&lt;&gt;$B101,AD101/INDEX($C93:$AJ103,9,MATCH(IF('Data-solution'!$A$3="Maximize",MAX($C104:$AI104),MIN($C104:$AI104)),$C104:$AI104,0)),AD101-INDEX($C93:$AJ103,9,MATCH(IF('Data-solution'!$A$3="Maximize",MAX($C104:$AI104),MIN($C104:$AI104)),$C104:$AI104,0))*INDEX(AD93:$AJ103,MATCH(MIN($AK93:$AK103),$AK93:$AK103,0),1)/INDEX($C93:$AJ103,MATCH(MIN($AK93:$AK103),$AK93:$AK103,0),MATCH(IF('Data-solution'!$A$3="Maximize",MAX($C104:$AI104),MIN($C104:$AI104)),$C104:$AI104,0))),AD101)</f>
        <v>0</v>
      </c>
      <c r="AE116" s="1">
        <f>IF(OR($B108&lt;&gt;$B93,$B109&lt;&gt;$B94,$B110&lt;&gt;$B95,$B111&lt;&gt;$B96,$B112&lt;&gt;$B97,$B113&lt;&gt;$B98,$B114&lt;&gt;$B99,$B115&lt;&gt;$B100,$B116&lt;&gt;$B101,$B117&lt;&gt;$B102,$B118&lt;&gt;$B103),IF($B116&lt;&gt;$B101,AE101/INDEX($C93:$AJ103,9,MATCH(IF('Data-solution'!$A$3="Maximize",MAX($C104:$AI104),MIN($C104:$AI104)),$C104:$AI104,0)),AE101-INDEX($C93:$AJ103,9,MATCH(IF('Data-solution'!$A$3="Maximize",MAX($C104:$AI104),MIN($C104:$AI104)),$C104:$AI104,0))*INDEX(AE93:$AJ103,MATCH(MIN($AK93:$AK103),$AK93:$AK103,0),1)/INDEX($C93:$AJ103,MATCH(MIN($AK93:$AK103),$AK93:$AK103,0),MATCH(IF('Data-solution'!$A$3="Maximize",MAX($C104:$AI104),MIN($C104:$AI104)),$C104:$AI104,0))),AE101)</f>
        <v>0</v>
      </c>
      <c r="AF116" s="1">
        <f>IF(OR($B108&lt;&gt;$B93,$B109&lt;&gt;$B94,$B110&lt;&gt;$B95,$B111&lt;&gt;$B96,$B112&lt;&gt;$B97,$B113&lt;&gt;$B98,$B114&lt;&gt;$B99,$B115&lt;&gt;$B100,$B116&lt;&gt;$B101,$B117&lt;&gt;$B102,$B118&lt;&gt;$B103),IF($B116&lt;&gt;$B101,AF101/INDEX($C93:$AJ103,9,MATCH(IF('Data-solution'!$A$3="Maximize",MAX($C104:$AI104),MIN($C104:$AI104)),$C104:$AI104,0)),AF101-INDEX($C93:$AJ103,9,MATCH(IF('Data-solution'!$A$3="Maximize",MAX($C104:$AI104),MIN($C104:$AI104)),$C104:$AI104,0))*INDEX(AF93:$AJ103,MATCH(MIN($AK93:$AK103),$AK93:$AK103,0),1)/INDEX($C93:$AJ103,MATCH(MIN($AK93:$AK103),$AK93:$AK103,0),MATCH(IF('Data-solution'!$A$3="Maximize",MAX($C104:$AI104),MIN($C104:$AI104)),$C104:$AI104,0))),AF101)</f>
        <v>0</v>
      </c>
      <c r="AG116" s="1">
        <f>IF(OR($B108&lt;&gt;$B93,$B109&lt;&gt;$B94,$B110&lt;&gt;$B95,$B111&lt;&gt;$B96,$B112&lt;&gt;$B97,$B113&lt;&gt;$B98,$B114&lt;&gt;$B99,$B115&lt;&gt;$B100,$B116&lt;&gt;$B101,$B117&lt;&gt;$B102,$B118&lt;&gt;$B103),IF($B116&lt;&gt;$B101,AG101/INDEX($C93:$AJ103,9,MATCH(IF('Data-solution'!$A$3="Maximize",MAX($C104:$AI104),MIN($C104:$AI104)),$C104:$AI104,0)),AG101-INDEX($C93:$AJ103,9,MATCH(IF('Data-solution'!$A$3="Maximize",MAX($C104:$AI104),MIN($C104:$AI104)),$C104:$AI104,0))*INDEX(AG93:$AJ103,MATCH(MIN($AK93:$AK103),$AK93:$AK103,0),1)/INDEX($C93:$AJ103,MATCH(MIN($AK93:$AK103),$AK93:$AK103,0),MATCH(IF('Data-solution'!$A$3="Maximize",MAX($C104:$AI104),MIN($C104:$AI104)),$C104:$AI104,0))),AG101)</f>
        <v>1</v>
      </c>
      <c r="AH116" s="1">
        <f>IF(OR($B108&lt;&gt;$B93,$B109&lt;&gt;$B94,$B110&lt;&gt;$B95,$B111&lt;&gt;$B96,$B112&lt;&gt;$B97,$B113&lt;&gt;$B98,$B114&lt;&gt;$B99,$B115&lt;&gt;$B100,$B116&lt;&gt;$B101,$B117&lt;&gt;$B102,$B118&lt;&gt;$B103),IF($B116&lt;&gt;$B101,AH101/INDEX($C93:$AJ103,9,MATCH(IF('Data-solution'!$A$3="Maximize",MAX($C104:$AI104),MIN($C104:$AI104)),$C104:$AI104,0)),AH101-INDEX($C93:$AJ103,9,MATCH(IF('Data-solution'!$A$3="Maximize",MAX($C104:$AI104),MIN($C104:$AI104)),$C104:$AI104,0))*INDEX(AH93:$AJ103,MATCH(MIN($AK93:$AK103),$AK93:$AK103,0),1)/INDEX($C93:$AJ103,MATCH(MIN($AK93:$AK103),$AK93:$AK103,0),MATCH(IF('Data-solution'!$A$3="Maximize",MAX($C104:$AI104),MIN($C104:$AI104)),$C104:$AI104,0))),AH101)</f>
        <v>0</v>
      </c>
      <c r="AI116" s="1">
        <f>IF(OR($B108&lt;&gt;$B93,$B109&lt;&gt;$B94,$B110&lt;&gt;$B95,$B111&lt;&gt;$B96,$B112&lt;&gt;$B97,$B113&lt;&gt;$B98,$B114&lt;&gt;$B99,$B115&lt;&gt;$B100,$B116&lt;&gt;$B101,$B117&lt;&gt;$B102,$B118&lt;&gt;$B103),IF($B116&lt;&gt;$B101,AI101/INDEX($C93:$AJ103,9,MATCH(IF('Data-solution'!$A$3="Maximize",MAX($C104:$AI104),MIN($C104:$AI104)),$C104:$AI104,0)),AI101-INDEX($C93:$AJ103,9,MATCH(IF('Data-solution'!$A$3="Maximize",MAX($C104:$AI104),MIN($C104:$AI104)),$C104:$AI104,0))*INDEX(AI93:$AJ103,MATCH(MIN($AK93:$AK103),$AK93:$AK103,0),1)/INDEX($C93:$AJ103,MATCH(MIN($AK93:$AK103),$AK93:$AK103,0),MATCH(IF('Data-solution'!$A$3="Maximize",MAX($C104:$AI104),MIN($C104:$AI104)),$C104:$AI104,0))),AI101)</f>
        <v>0</v>
      </c>
      <c r="AJ116" s="1">
        <f>IF(OR($B108&lt;&gt;$B93,$B109&lt;&gt;$B94,$B110&lt;&gt;$B95,$B111&lt;&gt;$B96,$B112&lt;&gt;$B97,$B113&lt;&gt;$B98,$B114&lt;&gt;$B99,$B115&lt;&gt;$B100,$B116&lt;&gt;$B101,$B117&lt;&gt;$B102,$B118&lt;&gt;$B103),IF($B116&lt;&gt;$B101,AJ101/INDEX($C93:$AJ103,9,MATCH(IF('Data-solution'!$A$3="Maximize",MAX($C104:$AI104),MIN($C104:$AI104)),$C104:$AI104,0)),AJ101-INDEX($C93:$AJ103,9,MATCH(IF('Data-solution'!$A$3="Maximize",MAX($C104:$AI104),MIN($C104:$AI104)),$C104:$AI104,0))*INDEX(AJ93:$AJ103,MATCH(MIN($AK93:$AK103),$AK93:$AK103,0),1)/INDEX($C93:$AJ103,MATCH(MIN($AK93:$AK103),$AK93:$AK103,0),MATCH(IF('Data-solution'!$A$3="Maximize",MAX($C104:$AI104),MIN($C104:$AI104)),$C104:$AI104,0))),AJ101)</f>
        <v>0</v>
      </c>
      <c r="AK116" s="1" t="str">
        <f>IF(INDEX(C116:X116,1,MATCH(IF('Data-solution'!A$3="Maximize",MAX(C119:X119),MIN(C119:X119)),C119:X119,0))&gt;0,AJ116/INDEX(C116:X116,1,MATCH(IF('Data-solution'!A$3="Maximize",MAX(C119:X119),MIN(C119:X119)),C119:X119,0))," ")</f>
        <v xml:space="preserve"> </v>
      </c>
    </row>
    <row r="117" spans="1:37" ht="18" customHeight="1" x14ac:dyDescent="0.2">
      <c r="A117" s="1">
        <f t="shared" ref="A117" si="91">INDEX(C106:AI106,1,MATCH(B117,C107:AI107,0))</f>
        <v>0</v>
      </c>
      <c r="B117" s="2" t="str">
        <f>IF(AND('Data-solution'!A$3="Maximize",COUNTIF(C104:X104,"&gt;"&amp;0)&gt;0,AK102=MIN(AK93:AK103),COUNTIF(B108:B116,INDEX(C92:X92,1,MATCH(MAX(C104:X104),C104:X104,0)))=0),INDEX(C92:X92,1,MATCH(MAX(C104:X104),C104:X104,0)),IF(AND('Data-solution'!A$3="Minimize",COUNTIF(C104:X104,"&lt;"&amp;0)&gt;0,AK102=MIN(AK93:AK103),COUNTIF(B108:B116,INDEX(C92:X92,1,MATCH(MIN(C104:X104),C104:X104,0)))=0),INDEX(C92:X92,1,MATCH(MIN(C104:X104),C104:X104,0)),B102))</f>
        <v>S10</v>
      </c>
      <c r="C117" s="1">
        <f>IF(OR($B108&lt;&gt;$B93,$B109&lt;&gt;$B94,$B110&lt;&gt;$B95,$B111&lt;&gt;$B96,$B112&lt;&gt;$B97,$B113&lt;&gt;$B98,$B114&lt;&gt;$B99,$B115&lt;&gt;$B100,$B116&lt;&gt;$B101,$B117&lt;&gt;$B102,$B118&lt;&gt;$B103),IF($B117&lt;&gt;$B102,C102/INDEX($C93:$AJ103,10,MATCH(IF('Data-solution'!$A$3="Maximize",MAX($C104:$AI104),MIN($C104:$AI104)),$C104:$AI104,0)),C102-INDEX($C93:$AJ103,10,MATCH(IF('Data-solution'!$A$3="Maximize",MAX($C104:$AI104),MIN($C104:$AI104)),$C104:$AI104,0))*INDEX(C93:$AJ103,MATCH(MIN($AK93:$AK103),$AK93:$AK103,0),1)/INDEX($C93:$AJ103,MATCH(MIN($AK93:$AK103),$AK93:$AK103,0),MATCH(IF('Data-solution'!$A$3="Maximize",MAX($C104:$AI104),MIN($C104:$AI104)),$C104:$AI104,0))),C102)</f>
        <v>0</v>
      </c>
      <c r="D117" s="1">
        <f>IF(OR($B108&lt;&gt;$B93,$B109&lt;&gt;$B94,$B110&lt;&gt;$B95,$B111&lt;&gt;$B96,$B112&lt;&gt;$B97,$B113&lt;&gt;$B98,$B114&lt;&gt;$B99,$B115&lt;&gt;$B100,$B116&lt;&gt;$B101,$B117&lt;&gt;$B102,$B118&lt;&gt;$B103),IF($B117&lt;&gt;$B102,D102/INDEX($C93:$AJ103,10,MATCH(IF('Data-solution'!$A$3="Maximize",MAX($C104:$AI104),MIN($C104:$AI104)),$C104:$AI104,0)),D102-INDEX($C93:$AJ103,10,MATCH(IF('Data-solution'!$A$3="Maximize",MAX($C104:$AI104),MIN($C104:$AI104)),$C104:$AI104,0))*INDEX(D93:$AJ103,MATCH(MIN($AK93:$AK103),$AK93:$AK103,0),1)/INDEX($C93:$AJ103,MATCH(MIN($AK93:$AK103),$AK93:$AK103,0),MATCH(IF('Data-solution'!$A$3="Maximize",MAX($C104:$AI104),MIN($C104:$AI104)),$C104:$AI104,0))),D102)</f>
        <v>0</v>
      </c>
      <c r="E117" s="1">
        <f>IF(OR($B108&lt;&gt;$B93,$B109&lt;&gt;$B94,$B110&lt;&gt;$B95,$B111&lt;&gt;$B96,$B112&lt;&gt;$B97,$B113&lt;&gt;$B98,$B114&lt;&gt;$B99,$B115&lt;&gt;$B100,$B116&lt;&gt;$B101,$B117&lt;&gt;$B102,$B118&lt;&gt;$B103),IF($B117&lt;&gt;$B102,E102/INDEX($C93:$AJ103,10,MATCH(IF('Data-solution'!$A$3="Maximize",MAX($C104:$AI104),MIN($C104:$AI104)),$C104:$AI104,0)),E102-INDEX($C93:$AJ103,10,MATCH(IF('Data-solution'!$A$3="Maximize",MAX($C104:$AI104),MIN($C104:$AI104)),$C104:$AI104,0))*INDEX(E93:$AJ103,MATCH(MIN($AK93:$AK103),$AK93:$AK103,0),1)/INDEX($C93:$AJ103,MATCH(MIN($AK93:$AK103),$AK93:$AK103,0),MATCH(IF('Data-solution'!$A$3="Maximize",MAX($C104:$AI104),MIN($C104:$AI104)),$C104:$AI104,0))),E102)</f>
        <v>0</v>
      </c>
      <c r="F117" s="1">
        <f>IF(OR($B108&lt;&gt;$B93,$B109&lt;&gt;$B94,$B110&lt;&gt;$B95,$B111&lt;&gt;$B96,$B112&lt;&gt;$B97,$B113&lt;&gt;$B98,$B114&lt;&gt;$B99,$B115&lt;&gt;$B100,$B116&lt;&gt;$B101,$B117&lt;&gt;$B102,$B118&lt;&gt;$B103),IF($B117&lt;&gt;$B102,F102/INDEX($C93:$AJ103,10,MATCH(IF('Data-solution'!$A$3="Maximize",MAX($C104:$AI104),MIN($C104:$AI104)),$C104:$AI104,0)),F102-INDEX($C93:$AJ103,10,MATCH(IF('Data-solution'!$A$3="Maximize",MAX($C104:$AI104),MIN($C104:$AI104)),$C104:$AI104,0))*INDEX(F93:$AJ103,MATCH(MIN($AK93:$AK103),$AK93:$AK103,0),1)/INDEX($C93:$AJ103,MATCH(MIN($AK93:$AK103),$AK93:$AK103,0),MATCH(IF('Data-solution'!$A$3="Maximize",MAX($C104:$AI104),MIN($C104:$AI104)),$C104:$AI104,0))),F102)</f>
        <v>0</v>
      </c>
      <c r="G117" s="1">
        <f>IF(OR($B108&lt;&gt;$B93,$B109&lt;&gt;$B94,$B110&lt;&gt;$B95,$B111&lt;&gt;$B96,$B112&lt;&gt;$B97,$B113&lt;&gt;$B98,$B114&lt;&gt;$B99,$B115&lt;&gt;$B100,$B116&lt;&gt;$B101,$B117&lt;&gt;$B102,$B118&lt;&gt;$B103),IF($B117&lt;&gt;$B102,G102/INDEX($C93:$AJ103,10,MATCH(IF('Data-solution'!$A$3="Maximize",MAX($C104:$AI104),MIN($C104:$AI104)),$C104:$AI104,0)),G102-INDEX($C93:$AJ103,10,MATCH(IF('Data-solution'!$A$3="Maximize",MAX($C104:$AI104),MIN($C104:$AI104)),$C104:$AI104,0))*INDEX(G93:$AJ103,MATCH(MIN($AK93:$AK103),$AK93:$AK103,0),1)/INDEX($C93:$AJ103,MATCH(MIN($AK93:$AK103),$AK93:$AK103,0),MATCH(IF('Data-solution'!$A$3="Maximize",MAX($C104:$AI104),MIN($C104:$AI104)),$C104:$AI104,0))),G102)</f>
        <v>0</v>
      </c>
      <c r="H117" s="1">
        <f>IF(OR($B108&lt;&gt;$B93,$B109&lt;&gt;$B94,$B110&lt;&gt;$B95,$B111&lt;&gt;$B96,$B112&lt;&gt;$B97,$B113&lt;&gt;$B98,$B114&lt;&gt;$B99,$B115&lt;&gt;$B100,$B116&lt;&gt;$B101,$B117&lt;&gt;$B102,$B118&lt;&gt;$B103),IF($B117&lt;&gt;$B102,H102/INDEX($C93:$AJ103,10,MATCH(IF('Data-solution'!$A$3="Maximize",MAX($C104:$AI104),MIN($C104:$AI104)),$C104:$AI104,0)),H102-INDEX($C93:$AJ103,10,MATCH(IF('Data-solution'!$A$3="Maximize",MAX($C104:$AI104),MIN($C104:$AI104)),$C104:$AI104,0))*INDEX(H93:$AJ103,MATCH(MIN($AK93:$AK103),$AK93:$AK103,0),1)/INDEX($C93:$AJ103,MATCH(MIN($AK93:$AK103),$AK93:$AK103,0),MATCH(IF('Data-solution'!$A$3="Maximize",MAX($C104:$AI104),MIN($C104:$AI104)),$C104:$AI104,0))),H102)</f>
        <v>0</v>
      </c>
      <c r="I117" s="1">
        <f>IF(OR($B108&lt;&gt;$B93,$B109&lt;&gt;$B94,$B110&lt;&gt;$B95,$B111&lt;&gt;$B96,$B112&lt;&gt;$B97,$B113&lt;&gt;$B98,$B114&lt;&gt;$B99,$B115&lt;&gt;$B100,$B116&lt;&gt;$B101,$B117&lt;&gt;$B102,$B118&lt;&gt;$B103),IF($B117&lt;&gt;$B102,I102/INDEX($C93:$AJ103,10,MATCH(IF('Data-solution'!$A$3="Maximize",MAX($C104:$AI104),MIN($C104:$AI104)),$C104:$AI104,0)),I102-INDEX($C93:$AJ103,10,MATCH(IF('Data-solution'!$A$3="Maximize",MAX($C104:$AI104),MIN($C104:$AI104)),$C104:$AI104,0))*INDEX(I93:$AJ103,MATCH(MIN($AK93:$AK103),$AK93:$AK103,0),1)/INDEX($C93:$AJ103,MATCH(MIN($AK93:$AK103),$AK93:$AK103,0),MATCH(IF('Data-solution'!$A$3="Maximize",MAX($C104:$AI104),MIN($C104:$AI104)),$C104:$AI104,0))),I102)</f>
        <v>0</v>
      </c>
      <c r="J117" s="1">
        <f>IF(OR($B108&lt;&gt;$B93,$B109&lt;&gt;$B94,$B110&lt;&gt;$B95,$B111&lt;&gt;$B96,$B112&lt;&gt;$B97,$B113&lt;&gt;$B98,$B114&lt;&gt;$B99,$B115&lt;&gt;$B100,$B116&lt;&gt;$B101,$B117&lt;&gt;$B102,$B118&lt;&gt;$B103),IF($B117&lt;&gt;$B102,J102/INDEX($C93:$AJ103,10,MATCH(IF('Data-solution'!$A$3="Maximize",MAX($C104:$AI104),MIN($C104:$AI104)),$C104:$AI104,0)),J102-INDEX($C93:$AJ103,10,MATCH(IF('Data-solution'!$A$3="Maximize",MAX($C104:$AI104),MIN($C104:$AI104)),$C104:$AI104,0))*INDEX(J93:$AJ103,MATCH(MIN($AK93:$AK103),$AK93:$AK103,0),1)/INDEX($C93:$AJ103,MATCH(MIN($AK93:$AK103),$AK93:$AK103,0),MATCH(IF('Data-solution'!$A$3="Maximize",MAX($C104:$AI104),MIN($C104:$AI104)),$C104:$AI104,0))),J102)</f>
        <v>0</v>
      </c>
      <c r="K117" s="1">
        <f>IF(OR($B108&lt;&gt;$B93,$B109&lt;&gt;$B94,$B110&lt;&gt;$B95,$B111&lt;&gt;$B96,$B112&lt;&gt;$B97,$B113&lt;&gt;$B98,$B114&lt;&gt;$B99,$B115&lt;&gt;$B100,$B116&lt;&gt;$B101,$B117&lt;&gt;$B102,$B118&lt;&gt;$B103),IF($B117&lt;&gt;$B102,K102/INDEX($C93:$AJ103,10,MATCH(IF('Data-solution'!$A$3="Maximize",MAX($C104:$AI104),MIN($C104:$AI104)),$C104:$AI104,0)),K102-INDEX($C93:$AJ103,10,MATCH(IF('Data-solution'!$A$3="Maximize",MAX($C104:$AI104),MIN($C104:$AI104)),$C104:$AI104,0))*INDEX(K93:$AJ103,MATCH(MIN($AK93:$AK103),$AK93:$AK103,0),1)/INDEX($C93:$AJ103,MATCH(MIN($AK93:$AK103),$AK93:$AK103,0),MATCH(IF('Data-solution'!$A$3="Maximize",MAX($C104:$AI104),MIN($C104:$AI104)),$C104:$AI104,0))),K102)</f>
        <v>0</v>
      </c>
      <c r="L117" s="1">
        <f>IF(OR($B108&lt;&gt;$B93,$B109&lt;&gt;$B94,$B110&lt;&gt;$B95,$B111&lt;&gt;$B96,$B112&lt;&gt;$B97,$B113&lt;&gt;$B98,$B114&lt;&gt;$B99,$B115&lt;&gt;$B100,$B116&lt;&gt;$B101,$B117&lt;&gt;$B102,$B118&lt;&gt;$B103),IF($B117&lt;&gt;$B102,L102/INDEX($C93:$AJ103,10,MATCH(IF('Data-solution'!$A$3="Maximize",MAX($C104:$AI104),MIN($C104:$AI104)),$C104:$AI104,0)),L102-INDEX($C93:$AJ103,10,MATCH(IF('Data-solution'!$A$3="Maximize",MAX($C104:$AI104),MIN($C104:$AI104)),$C104:$AI104,0))*INDEX(L93:$AJ103,MATCH(MIN($AK93:$AK103),$AK93:$AK103,0),1)/INDEX($C93:$AJ103,MATCH(MIN($AK93:$AK103),$AK93:$AK103,0),MATCH(IF('Data-solution'!$A$3="Maximize",MAX($C104:$AI104),MIN($C104:$AI104)),$C104:$AI104,0))),L102)</f>
        <v>0</v>
      </c>
      <c r="M117" s="1">
        <f>IF(OR($B108&lt;&gt;$B93,$B109&lt;&gt;$B94,$B110&lt;&gt;$B95,$B111&lt;&gt;$B96,$B112&lt;&gt;$B97,$B113&lt;&gt;$B98,$B114&lt;&gt;$B99,$B115&lt;&gt;$B100,$B116&lt;&gt;$B101,$B117&lt;&gt;$B102,$B118&lt;&gt;$B103),IF($B117&lt;&gt;$B102,M102/INDEX($C93:$AJ103,10,MATCH(IF('Data-solution'!$A$3="Maximize",MAX($C104:$AI104),MIN($C104:$AI104)),$C104:$AI104,0)),M102-INDEX($C93:$AJ103,10,MATCH(IF('Data-solution'!$A$3="Maximize",MAX($C104:$AI104),MIN($C104:$AI104)),$C104:$AI104,0))*INDEX(M93:$AJ103,MATCH(MIN($AK93:$AK103),$AK93:$AK103,0),1)/INDEX($C93:$AJ103,MATCH(MIN($AK93:$AK103),$AK93:$AK103,0),MATCH(IF('Data-solution'!$A$3="Maximize",MAX($C104:$AI104),MIN($C104:$AI104)),$C104:$AI104,0))),M102)</f>
        <v>0</v>
      </c>
      <c r="N117" s="1">
        <f>IF(OR($B108&lt;&gt;$B93,$B109&lt;&gt;$B94,$B110&lt;&gt;$B95,$B111&lt;&gt;$B96,$B112&lt;&gt;$B97,$B113&lt;&gt;$B98,$B114&lt;&gt;$B99,$B115&lt;&gt;$B100,$B116&lt;&gt;$B101,$B117&lt;&gt;$B102,$B118&lt;&gt;$B103),IF($B117&lt;&gt;$B102,N102/INDEX($C93:$AJ103,10,MATCH(IF('Data-solution'!$A$3="Maximize",MAX($C104:$AI104),MIN($C104:$AI104)),$C104:$AI104,0)),N102-INDEX($C93:$AJ103,10,MATCH(IF('Data-solution'!$A$3="Maximize",MAX($C104:$AI104),MIN($C104:$AI104)),$C104:$AI104,0))*INDEX(N93:$AJ103,MATCH(MIN($AK93:$AK103),$AK93:$AK103,0),1)/INDEX($C93:$AJ103,MATCH(MIN($AK93:$AK103),$AK93:$AK103,0),MATCH(IF('Data-solution'!$A$3="Maximize",MAX($C104:$AI104),MIN($C104:$AI104)),$C104:$AI104,0))),N102)</f>
        <v>0</v>
      </c>
      <c r="O117" s="1">
        <f>IF(OR($B108&lt;&gt;$B93,$B109&lt;&gt;$B94,$B110&lt;&gt;$B95,$B111&lt;&gt;$B96,$B112&lt;&gt;$B97,$B113&lt;&gt;$B98,$B114&lt;&gt;$B99,$B115&lt;&gt;$B100,$B116&lt;&gt;$B101,$B117&lt;&gt;$B102,$B118&lt;&gt;$B103),IF($B117&lt;&gt;$B102,O102/INDEX($C93:$AJ103,10,MATCH(IF('Data-solution'!$A$3="Maximize",MAX($C104:$AI104),MIN($C104:$AI104)),$C104:$AI104,0)),O102-INDEX($C93:$AJ103,10,MATCH(IF('Data-solution'!$A$3="Maximize",MAX($C104:$AI104),MIN($C104:$AI104)),$C104:$AI104,0))*INDEX(O93:$AJ103,MATCH(MIN($AK93:$AK103),$AK93:$AK103,0),1)/INDEX($C93:$AJ103,MATCH(MIN($AK93:$AK103),$AK93:$AK103,0),MATCH(IF('Data-solution'!$A$3="Maximize",MAX($C104:$AI104),MIN($C104:$AI104)),$C104:$AI104,0))),O102)</f>
        <v>0</v>
      </c>
      <c r="P117" s="1">
        <f>IF(OR($B108&lt;&gt;$B93,$B109&lt;&gt;$B94,$B110&lt;&gt;$B95,$B111&lt;&gt;$B96,$B112&lt;&gt;$B97,$B113&lt;&gt;$B98,$B114&lt;&gt;$B99,$B115&lt;&gt;$B100,$B116&lt;&gt;$B101,$B117&lt;&gt;$B102,$B118&lt;&gt;$B103),IF($B117&lt;&gt;$B102,P102/INDEX($C93:$AJ103,10,MATCH(IF('Data-solution'!$A$3="Maximize",MAX($C104:$AI104),MIN($C104:$AI104)),$C104:$AI104,0)),P102-INDEX($C93:$AJ103,10,MATCH(IF('Data-solution'!$A$3="Maximize",MAX($C104:$AI104),MIN($C104:$AI104)),$C104:$AI104,0))*INDEX(P93:$AJ103,MATCH(MIN($AK93:$AK103),$AK93:$AK103,0),1)/INDEX($C93:$AJ103,MATCH(MIN($AK93:$AK103),$AK93:$AK103,0),MATCH(IF('Data-solution'!$A$3="Maximize",MAX($C104:$AI104),MIN($C104:$AI104)),$C104:$AI104,0))),P102)</f>
        <v>0</v>
      </c>
      <c r="Q117" s="1">
        <f>IF(OR($B108&lt;&gt;$B93,$B109&lt;&gt;$B94,$B110&lt;&gt;$B95,$B111&lt;&gt;$B96,$B112&lt;&gt;$B97,$B113&lt;&gt;$B98,$B114&lt;&gt;$B99,$B115&lt;&gt;$B100,$B116&lt;&gt;$B101,$B117&lt;&gt;$B102,$B118&lt;&gt;$B103),IF($B117&lt;&gt;$B102,Q102/INDEX($C93:$AJ103,10,MATCH(IF('Data-solution'!$A$3="Maximize",MAX($C104:$AI104),MIN($C104:$AI104)),$C104:$AI104,0)),Q102-INDEX($C93:$AJ103,10,MATCH(IF('Data-solution'!$A$3="Maximize",MAX($C104:$AI104),MIN($C104:$AI104)),$C104:$AI104,0))*INDEX(Q93:$AJ103,MATCH(MIN($AK93:$AK103),$AK93:$AK103,0),1)/INDEX($C93:$AJ103,MATCH(MIN($AK93:$AK103),$AK93:$AK103,0),MATCH(IF('Data-solution'!$A$3="Maximize",MAX($C104:$AI104),MIN($C104:$AI104)),$C104:$AI104,0))),Q102)</f>
        <v>0</v>
      </c>
      <c r="R117" s="1">
        <f>IF(OR($B108&lt;&gt;$B93,$B109&lt;&gt;$B94,$B110&lt;&gt;$B95,$B111&lt;&gt;$B96,$B112&lt;&gt;$B97,$B113&lt;&gt;$B98,$B114&lt;&gt;$B99,$B115&lt;&gt;$B100,$B116&lt;&gt;$B101,$B117&lt;&gt;$B102,$B118&lt;&gt;$B103),IF($B117&lt;&gt;$B102,R102/INDEX($C93:$AJ103,10,MATCH(IF('Data-solution'!$A$3="Maximize",MAX($C104:$AI104),MIN($C104:$AI104)),$C104:$AI104,0)),R102-INDEX($C93:$AJ103,10,MATCH(IF('Data-solution'!$A$3="Maximize",MAX($C104:$AI104),MIN($C104:$AI104)),$C104:$AI104,0))*INDEX(R93:$AJ103,MATCH(MIN($AK93:$AK103),$AK93:$AK103,0),1)/INDEX($C93:$AJ103,MATCH(MIN($AK93:$AK103),$AK93:$AK103,0),MATCH(IF('Data-solution'!$A$3="Maximize",MAX($C104:$AI104),MIN($C104:$AI104)),$C104:$AI104,0))),R102)</f>
        <v>0</v>
      </c>
      <c r="S117" s="1">
        <f>IF(OR($B108&lt;&gt;$B93,$B109&lt;&gt;$B94,$B110&lt;&gt;$B95,$B111&lt;&gt;$B96,$B112&lt;&gt;$B97,$B113&lt;&gt;$B98,$B114&lt;&gt;$B99,$B115&lt;&gt;$B100,$B116&lt;&gt;$B101,$B117&lt;&gt;$B102,$B118&lt;&gt;$B103),IF($B117&lt;&gt;$B102,S102/INDEX($C93:$AJ103,10,MATCH(IF('Data-solution'!$A$3="Maximize",MAX($C104:$AI104),MIN($C104:$AI104)),$C104:$AI104,0)),S102-INDEX($C93:$AJ103,10,MATCH(IF('Data-solution'!$A$3="Maximize",MAX($C104:$AI104),MIN($C104:$AI104)),$C104:$AI104,0))*INDEX(S93:$AJ103,MATCH(MIN($AK93:$AK103),$AK93:$AK103,0),1)/INDEX($C93:$AJ103,MATCH(MIN($AK93:$AK103),$AK93:$AK103,0),MATCH(IF('Data-solution'!$A$3="Maximize",MAX($C104:$AI104),MIN($C104:$AI104)),$C104:$AI104,0))),S102)</f>
        <v>0</v>
      </c>
      <c r="T117" s="1">
        <f>IF(OR($B108&lt;&gt;$B93,$B109&lt;&gt;$B94,$B110&lt;&gt;$B95,$B111&lt;&gt;$B96,$B112&lt;&gt;$B97,$B113&lt;&gt;$B98,$B114&lt;&gt;$B99,$B115&lt;&gt;$B100,$B116&lt;&gt;$B101,$B117&lt;&gt;$B102,$B118&lt;&gt;$B103),IF($B117&lt;&gt;$B102,T102/INDEX($C93:$AJ103,10,MATCH(IF('Data-solution'!$A$3="Maximize",MAX($C104:$AI104),MIN($C104:$AI104)),$C104:$AI104,0)),T102-INDEX($C93:$AJ103,10,MATCH(IF('Data-solution'!$A$3="Maximize",MAX($C104:$AI104),MIN($C104:$AI104)),$C104:$AI104,0))*INDEX(T93:$AJ103,MATCH(MIN($AK93:$AK103),$AK93:$AK103,0),1)/INDEX($C93:$AJ103,MATCH(MIN($AK93:$AK103),$AK93:$AK103,0),MATCH(IF('Data-solution'!$A$3="Maximize",MAX($C104:$AI104),MIN($C104:$AI104)),$C104:$AI104,0))),T102)</f>
        <v>0</v>
      </c>
      <c r="U117" s="1">
        <f>IF(OR($B108&lt;&gt;$B93,$B109&lt;&gt;$B94,$B110&lt;&gt;$B95,$B111&lt;&gt;$B96,$B112&lt;&gt;$B97,$B113&lt;&gt;$B98,$B114&lt;&gt;$B99,$B115&lt;&gt;$B100,$B116&lt;&gt;$B101,$B117&lt;&gt;$B102,$B118&lt;&gt;$B103),IF($B117&lt;&gt;$B102,U102/INDEX($C93:$AJ103,10,MATCH(IF('Data-solution'!$A$3="Maximize",MAX($C104:$AI104),MIN($C104:$AI104)),$C104:$AI104,0)),U102-INDEX($C93:$AJ103,10,MATCH(IF('Data-solution'!$A$3="Maximize",MAX($C104:$AI104),MIN($C104:$AI104)),$C104:$AI104,0))*INDEX(U93:$AJ103,MATCH(MIN($AK93:$AK103),$AK93:$AK103,0),1)/INDEX($C93:$AJ103,MATCH(MIN($AK93:$AK103),$AK93:$AK103,0),MATCH(IF('Data-solution'!$A$3="Maximize",MAX($C104:$AI104),MIN($C104:$AI104)),$C104:$AI104,0))),U102)</f>
        <v>0</v>
      </c>
      <c r="V117" s="1">
        <f>IF(OR($B108&lt;&gt;$B93,$B109&lt;&gt;$B94,$B110&lt;&gt;$B95,$B111&lt;&gt;$B96,$B112&lt;&gt;$B97,$B113&lt;&gt;$B98,$B114&lt;&gt;$B99,$B115&lt;&gt;$B100,$B116&lt;&gt;$B101,$B117&lt;&gt;$B102,$B118&lt;&gt;$B103),IF($B117&lt;&gt;$B102,V102/INDEX($C93:$AJ103,10,MATCH(IF('Data-solution'!$A$3="Maximize",MAX($C104:$AI104),MIN($C104:$AI104)),$C104:$AI104,0)),V102-INDEX($C93:$AJ103,10,MATCH(IF('Data-solution'!$A$3="Maximize",MAX($C104:$AI104),MIN($C104:$AI104)),$C104:$AI104,0))*INDEX(V93:$AJ103,MATCH(MIN($AK93:$AK103),$AK93:$AK103,0),1)/INDEX($C93:$AJ103,MATCH(MIN($AK93:$AK103),$AK93:$AK103,0),MATCH(IF('Data-solution'!$A$3="Maximize",MAX($C104:$AI104),MIN($C104:$AI104)),$C104:$AI104,0))),V102)</f>
        <v>0</v>
      </c>
      <c r="W117" s="1">
        <f>IF(OR($B108&lt;&gt;$B93,$B109&lt;&gt;$B94,$B110&lt;&gt;$B95,$B111&lt;&gt;$B96,$B112&lt;&gt;$B97,$B113&lt;&gt;$B98,$B114&lt;&gt;$B99,$B115&lt;&gt;$B100,$B116&lt;&gt;$B101,$B117&lt;&gt;$B102,$B118&lt;&gt;$B103),IF($B117&lt;&gt;$B102,W102/INDEX($C93:$AJ103,10,MATCH(IF('Data-solution'!$A$3="Maximize",MAX($C104:$AI104),MIN($C104:$AI104)),$C104:$AI104,0)),W102-INDEX($C93:$AJ103,10,MATCH(IF('Data-solution'!$A$3="Maximize",MAX($C104:$AI104),MIN($C104:$AI104)),$C104:$AI104,0))*INDEX(W93:$AJ103,MATCH(MIN($AK93:$AK103),$AK93:$AK103,0),1)/INDEX($C93:$AJ103,MATCH(MIN($AK93:$AK103),$AK93:$AK103,0),MATCH(IF('Data-solution'!$A$3="Maximize",MAX($C104:$AI104),MIN($C104:$AI104)),$C104:$AI104,0))),W102)</f>
        <v>1</v>
      </c>
      <c r="X117" s="1">
        <f>IF(OR($B108&lt;&gt;$B93,$B109&lt;&gt;$B94,$B110&lt;&gt;$B95,$B111&lt;&gt;$B96,$B112&lt;&gt;$B97,$B113&lt;&gt;$B98,$B114&lt;&gt;$B99,$B115&lt;&gt;$B100,$B116&lt;&gt;$B101,$B117&lt;&gt;$B102,$B118&lt;&gt;$B103),IF($B117&lt;&gt;$B102,X102/INDEX($C93:$AJ103,10,MATCH(IF('Data-solution'!$A$3="Maximize",MAX($C104:$AI104),MIN($C104:$AI104)),$C104:$AI104,0)),X102-INDEX($C93:$AJ103,10,MATCH(IF('Data-solution'!$A$3="Maximize",MAX($C104:$AI104),MIN($C104:$AI104)),$C104:$AI104,0))*INDEX(X93:$AJ103,MATCH(MIN($AK93:$AK103),$AK93:$AK103,0),1)/INDEX($C93:$AJ103,MATCH(MIN($AK93:$AK103),$AK93:$AK103,0),MATCH(IF('Data-solution'!$A$3="Maximize",MAX($C104:$AI104),MIN($C104:$AI104)),$C104:$AI104,0))),X102)</f>
        <v>0</v>
      </c>
      <c r="Y117" s="1">
        <f>IF(OR($B108&lt;&gt;$B93,$B109&lt;&gt;$B94,$B110&lt;&gt;$B95,$B111&lt;&gt;$B96,$B112&lt;&gt;$B97,$B113&lt;&gt;$B98,$B114&lt;&gt;$B99,$B115&lt;&gt;$B100,$B116&lt;&gt;$B101,$B117&lt;&gt;$B102,$B118&lt;&gt;$B103),IF($B117&lt;&gt;$B102,Y102/INDEX($C93:$AJ103,10,MATCH(IF('Data-solution'!$A$3="Maximize",MAX($C104:$AI104),MIN($C104:$AI104)),$C104:$AI104,0)),Y102-INDEX($C93:$AJ103,10,MATCH(IF('Data-solution'!$A$3="Maximize",MAX($C104:$AI104),MIN($C104:$AI104)),$C104:$AI104,0))*INDEX(Y93:$AJ103,MATCH(MIN($AK93:$AK103),$AK93:$AK103,0),1)/INDEX($C93:$AJ103,MATCH(MIN($AK93:$AK103),$AK93:$AK103,0),MATCH(IF('Data-solution'!$A$3="Maximize",MAX($C104:$AI104),MIN($C104:$AI104)),$C104:$AI104,0))),Y102)</f>
        <v>0</v>
      </c>
      <c r="Z117" s="1">
        <f>IF(OR($B108&lt;&gt;$B93,$B109&lt;&gt;$B94,$B110&lt;&gt;$B95,$B111&lt;&gt;$B96,$B112&lt;&gt;$B97,$B113&lt;&gt;$B98,$B114&lt;&gt;$B99,$B115&lt;&gt;$B100,$B116&lt;&gt;$B101,$B117&lt;&gt;$B102,$B118&lt;&gt;$B103),IF($B117&lt;&gt;$B102,Z102/INDEX($C93:$AJ103,10,MATCH(IF('Data-solution'!$A$3="Maximize",MAX($C104:$AI104),MIN($C104:$AI104)),$C104:$AI104,0)),Z102-INDEX($C93:$AJ103,10,MATCH(IF('Data-solution'!$A$3="Maximize",MAX($C104:$AI104),MIN($C104:$AI104)),$C104:$AI104,0))*INDEX(Z93:$AJ103,MATCH(MIN($AK93:$AK103),$AK93:$AK103,0),1)/INDEX($C93:$AJ103,MATCH(MIN($AK93:$AK103),$AK93:$AK103,0),MATCH(IF('Data-solution'!$A$3="Maximize",MAX($C104:$AI104),MIN($C104:$AI104)),$C104:$AI104,0))),Z102)</f>
        <v>0</v>
      </c>
      <c r="AA117" s="1">
        <f>IF(OR($B108&lt;&gt;$B93,$B109&lt;&gt;$B94,$B110&lt;&gt;$B95,$B111&lt;&gt;$B96,$B112&lt;&gt;$B97,$B113&lt;&gt;$B98,$B114&lt;&gt;$B99,$B115&lt;&gt;$B100,$B116&lt;&gt;$B101,$B117&lt;&gt;$B102,$B118&lt;&gt;$B103),IF($B117&lt;&gt;$B102,AA102/INDEX($C93:$AJ103,10,MATCH(IF('Data-solution'!$A$3="Maximize",MAX($C104:$AI104),MIN($C104:$AI104)),$C104:$AI104,0)),AA102-INDEX($C93:$AJ103,10,MATCH(IF('Data-solution'!$A$3="Maximize",MAX($C104:$AI104),MIN($C104:$AI104)),$C104:$AI104,0))*INDEX(AA93:$AJ103,MATCH(MIN($AK93:$AK103),$AK93:$AK103,0),1)/INDEX($C93:$AJ103,MATCH(MIN($AK93:$AK103),$AK93:$AK103,0),MATCH(IF('Data-solution'!$A$3="Maximize",MAX($C104:$AI104),MIN($C104:$AI104)),$C104:$AI104,0))),AA102)</f>
        <v>0</v>
      </c>
      <c r="AB117" s="1">
        <f>IF(OR($B108&lt;&gt;$B93,$B109&lt;&gt;$B94,$B110&lt;&gt;$B95,$B111&lt;&gt;$B96,$B112&lt;&gt;$B97,$B113&lt;&gt;$B98,$B114&lt;&gt;$B99,$B115&lt;&gt;$B100,$B116&lt;&gt;$B101,$B117&lt;&gt;$B102,$B118&lt;&gt;$B103),IF($B117&lt;&gt;$B102,AB102/INDEX($C93:$AJ103,10,MATCH(IF('Data-solution'!$A$3="Maximize",MAX($C104:$AI104),MIN($C104:$AI104)),$C104:$AI104,0)),AB102-INDEX($C93:$AJ103,10,MATCH(IF('Data-solution'!$A$3="Maximize",MAX($C104:$AI104),MIN($C104:$AI104)),$C104:$AI104,0))*INDEX(AB93:$AJ103,MATCH(MIN($AK93:$AK103),$AK93:$AK103,0),1)/INDEX($C93:$AJ103,MATCH(MIN($AK93:$AK103),$AK93:$AK103,0),MATCH(IF('Data-solution'!$A$3="Maximize",MAX($C104:$AI104),MIN($C104:$AI104)),$C104:$AI104,0))),AB102)</f>
        <v>0</v>
      </c>
      <c r="AC117" s="1">
        <f>IF(OR($B108&lt;&gt;$B93,$B109&lt;&gt;$B94,$B110&lt;&gt;$B95,$B111&lt;&gt;$B96,$B112&lt;&gt;$B97,$B113&lt;&gt;$B98,$B114&lt;&gt;$B99,$B115&lt;&gt;$B100,$B116&lt;&gt;$B101,$B117&lt;&gt;$B102,$B118&lt;&gt;$B103),IF($B117&lt;&gt;$B102,AC102/INDEX($C93:$AJ103,10,MATCH(IF('Data-solution'!$A$3="Maximize",MAX($C104:$AI104),MIN($C104:$AI104)),$C104:$AI104,0)),AC102-INDEX($C93:$AJ103,10,MATCH(IF('Data-solution'!$A$3="Maximize",MAX($C104:$AI104),MIN($C104:$AI104)),$C104:$AI104,0))*INDEX(AC93:$AJ103,MATCH(MIN($AK93:$AK103),$AK93:$AK103,0),1)/INDEX($C93:$AJ103,MATCH(MIN($AK93:$AK103),$AK93:$AK103,0),MATCH(IF('Data-solution'!$A$3="Maximize",MAX($C104:$AI104),MIN($C104:$AI104)),$C104:$AI104,0))),AC102)</f>
        <v>0</v>
      </c>
      <c r="AD117" s="1">
        <f>IF(OR($B108&lt;&gt;$B93,$B109&lt;&gt;$B94,$B110&lt;&gt;$B95,$B111&lt;&gt;$B96,$B112&lt;&gt;$B97,$B113&lt;&gt;$B98,$B114&lt;&gt;$B99,$B115&lt;&gt;$B100,$B116&lt;&gt;$B101,$B117&lt;&gt;$B102,$B118&lt;&gt;$B103),IF($B117&lt;&gt;$B102,AD102/INDEX($C93:$AJ103,10,MATCH(IF('Data-solution'!$A$3="Maximize",MAX($C104:$AI104),MIN($C104:$AI104)),$C104:$AI104,0)),AD102-INDEX($C93:$AJ103,10,MATCH(IF('Data-solution'!$A$3="Maximize",MAX($C104:$AI104),MIN($C104:$AI104)),$C104:$AI104,0))*INDEX(AD93:$AJ103,MATCH(MIN($AK93:$AK103),$AK93:$AK103,0),1)/INDEX($C93:$AJ103,MATCH(MIN($AK93:$AK103),$AK93:$AK103,0),MATCH(IF('Data-solution'!$A$3="Maximize",MAX($C104:$AI104),MIN($C104:$AI104)),$C104:$AI104,0))),AD102)</f>
        <v>0</v>
      </c>
      <c r="AE117" s="1">
        <f>IF(OR($B108&lt;&gt;$B93,$B109&lt;&gt;$B94,$B110&lt;&gt;$B95,$B111&lt;&gt;$B96,$B112&lt;&gt;$B97,$B113&lt;&gt;$B98,$B114&lt;&gt;$B99,$B115&lt;&gt;$B100,$B116&lt;&gt;$B101,$B117&lt;&gt;$B102,$B118&lt;&gt;$B103),IF($B117&lt;&gt;$B102,AE102/INDEX($C93:$AJ103,10,MATCH(IF('Data-solution'!$A$3="Maximize",MAX($C104:$AI104),MIN($C104:$AI104)),$C104:$AI104,0)),AE102-INDEX($C93:$AJ103,10,MATCH(IF('Data-solution'!$A$3="Maximize",MAX($C104:$AI104),MIN($C104:$AI104)),$C104:$AI104,0))*INDEX(AE93:$AJ103,MATCH(MIN($AK93:$AK103),$AK93:$AK103,0),1)/INDEX($C93:$AJ103,MATCH(MIN($AK93:$AK103),$AK93:$AK103,0),MATCH(IF('Data-solution'!$A$3="Maximize",MAX($C104:$AI104),MIN($C104:$AI104)),$C104:$AI104,0))),AE102)</f>
        <v>0</v>
      </c>
      <c r="AF117" s="1">
        <f>IF(OR($B108&lt;&gt;$B93,$B109&lt;&gt;$B94,$B110&lt;&gt;$B95,$B111&lt;&gt;$B96,$B112&lt;&gt;$B97,$B113&lt;&gt;$B98,$B114&lt;&gt;$B99,$B115&lt;&gt;$B100,$B116&lt;&gt;$B101,$B117&lt;&gt;$B102,$B118&lt;&gt;$B103),IF($B117&lt;&gt;$B102,AF102/INDEX($C93:$AJ103,10,MATCH(IF('Data-solution'!$A$3="Maximize",MAX($C104:$AI104),MIN($C104:$AI104)),$C104:$AI104,0)),AF102-INDEX($C93:$AJ103,10,MATCH(IF('Data-solution'!$A$3="Maximize",MAX($C104:$AI104),MIN($C104:$AI104)),$C104:$AI104,0))*INDEX(AF93:$AJ103,MATCH(MIN($AK93:$AK103),$AK93:$AK103,0),1)/INDEX($C93:$AJ103,MATCH(MIN($AK93:$AK103),$AK93:$AK103,0),MATCH(IF('Data-solution'!$A$3="Maximize",MAX($C104:$AI104),MIN($C104:$AI104)),$C104:$AI104,0))),AF102)</f>
        <v>0</v>
      </c>
      <c r="AG117" s="1">
        <f>IF(OR($B108&lt;&gt;$B93,$B109&lt;&gt;$B94,$B110&lt;&gt;$B95,$B111&lt;&gt;$B96,$B112&lt;&gt;$B97,$B113&lt;&gt;$B98,$B114&lt;&gt;$B99,$B115&lt;&gt;$B100,$B116&lt;&gt;$B101,$B117&lt;&gt;$B102,$B118&lt;&gt;$B103),IF($B117&lt;&gt;$B102,AG102/INDEX($C93:$AJ103,10,MATCH(IF('Data-solution'!$A$3="Maximize",MAX($C104:$AI104),MIN($C104:$AI104)),$C104:$AI104,0)),AG102-INDEX($C93:$AJ103,10,MATCH(IF('Data-solution'!$A$3="Maximize",MAX($C104:$AI104),MIN($C104:$AI104)),$C104:$AI104,0))*INDEX(AG93:$AJ103,MATCH(MIN($AK93:$AK103),$AK93:$AK103,0),1)/INDEX($C93:$AJ103,MATCH(MIN($AK93:$AK103),$AK93:$AK103,0),MATCH(IF('Data-solution'!$A$3="Maximize",MAX($C104:$AI104),MIN($C104:$AI104)),$C104:$AI104,0))),AG102)</f>
        <v>0</v>
      </c>
      <c r="AH117" s="1">
        <f>IF(OR($B108&lt;&gt;$B93,$B109&lt;&gt;$B94,$B110&lt;&gt;$B95,$B111&lt;&gt;$B96,$B112&lt;&gt;$B97,$B113&lt;&gt;$B98,$B114&lt;&gt;$B99,$B115&lt;&gt;$B100,$B116&lt;&gt;$B101,$B117&lt;&gt;$B102,$B118&lt;&gt;$B103),IF($B117&lt;&gt;$B102,AH102/INDEX($C93:$AJ103,10,MATCH(IF('Data-solution'!$A$3="Maximize",MAX($C104:$AI104),MIN($C104:$AI104)),$C104:$AI104,0)),AH102-INDEX($C93:$AJ103,10,MATCH(IF('Data-solution'!$A$3="Maximize",MAX($C104:$AI104),MIN($C104:$AI104)),$C104:$AI104,0))*INDEX(AH93:$AJ103,MATCH(MIN($AK93:$AK103),$AK93:$AK103,0),1)/INDEX($C93:$AJ103,MATCH(MIN($AK93:$AK103),$AK93:$AK103,0),MATCH(IF('Data-solution'!$A$3="Maximize",MAX($C104:$AI104),MIN($C104:$AI104)),$C104:$AI104,0))),AH102)</f>
        <v>1</v>
      </c>
      <c r="AI117" s="1">
        <f>IF(OR($B108&lt;&gt;$B93,$B109&lt;&gt;$B94,$B110&lt;&gt;$B95,$B111&lt;&gt;$B96,$B112&lt;&gt;$B97,$B113&lt;&gt;$B98,$B114&lt;&gt;$B99,$B115&lt;&gt;$B100,$B116&lt;&gt;$B101,$B117&lt;&gt;$B102,$B118&lt;&gt;$B103),IF($B117&lt;&gt;$B102,AI102/INDEX($C93:$AJ103,10,MATCH(IF('Data-solution'!$A$3="Maximize",MAX($C104:$AI104),MIN($C104:$AI104)),$C104:$AI104,0)),AI102-INDEX($C93:$AJ103,10,MATCH(IF('Data-solution'!$A$3="Maximize",MAX($C104:$AI104),MIN($C104:$AI104)),$C104:$AI104,0))*INDEX(AI93:$AJ103,MATCH(MIN($AK93:$AK103),$AK93:$AK103,0),1)/INDEX($C93:$AJ103,MATCH(MIN($AK93:$AK103),$AK93:$AK103,0),MATCH(IF('Data-solution'!$A$3="Maximize",MAX($C104:$AI104),MIN($C104:$AI104)),$C104:$AI104,0))),AI102)</f>
        <v>0</v>
      </c>
      <c r="AJ117" s="1">
        <f>IF(OR($B108&lt;&gt;$B93,$B109&lt;&gt;$B94,$B110&lt;&gt;$B95,$B111&lt;&gt;$B96,$B112&lt;&gt;$B97,$B113&lt;&gt;$B98,$B114&lt;&gt;$B99,$B115&lt;&gt;$B100,$B116&lt;&gt;$B101,$B117&lt;&gt;$B102,$B118&lt;&gt;$B103),IF($B117&lt;&gt;$B102,AJ102/INDEX($C93:$AJ103,10,MATCH(IF('Data-solution'!$A$3="Maximize",MAX($C104:$AI104),MIN($C104:$AI104)),$C104:$AI104,0)),AJ102-INDEX($C93:$AJ103,10,MATCH(IF('Data-solution'!$A$3="Maximize",MAX($C104:$AI104),MIN($C104:$AI104)),$C104:$AI104,0))*INDEX(AJ93:$AJ103,MATCH(MIN($AK93:$AK103),$AK93:$AK103,0),1)/INDEX($C93:$AJ103,MATCH(MIN($AK93:$AK103),$AK93:$AK103,0),MATCH(IF('Data-solution'!$A$3="Maximize",MAX($C104:$AI104),MIN($C104:$AI104)),$C104:$AI104,0))),AJ102)</f>
        <v>0</v>
      </c>
      <c r="AK117" s="1" t="str">
        <f>IF(INDEX(C117:X117,1,MATCH(IF('Data-solution'!A$3="Maximize",MAX(C119:X119),MIN(C119:X119)),C119:X119,0))&gt;0,AJ117/INDEX(C117:X117,1,MATCH(IF('Data-solution'!A$3="Maximize",MAX(C119:X119),MIN(C119:X119)),C119:X119,0))," ")</f>
        <v xml:space="preserve"> </v>
      </c>
    </row>
    <row r="118" spans="1:37" ht="18" customHeight="1" x14ac:dyDescent="0.2">
      <c r="A118" s="1">
        <f t="shared" ref="A118" si="92">INDEX(C106:AI106,1,MATCH(B118,C107:AI107,0))</f>
        <v>0</v>
      </c>
      <c r="B118" s="2" t="str">
        <f>IF(AND('Data-solution'!A$3="Maximize",COUNTIF(C104:X104,"&gt;"&amp;0)&gt;0,AK103=MIN(AK93:AK103),COUNTIF(B108:B117,INDEX(C92:X92,1,MATCH(MAX(C104:X104),C104:X104,0)))=0),INDEX(C92:X92,1,MATCH(MAX(C104:X104),C104:X104,0)),IF(AND('Data-solution'!A$3="Minimize",COUNTIF(C104:X104,"&lt;"&amp;0)&gt;0,AK103=MIN(AK93:AK103),COUNTIF(B108:B117,INDEX(C92:X92,1,MATCH(MIN(C104:X104),C104:X104,0)))=0),INDEX(C92:X92,1,MATCH(MIN(C104:X104),C104:X104,0)),B103))</f>
        <v>S11</v>
      </c>
      <c r="C118" s="1">
        <f>IF(OR($B108&lt;&gt;$B93,$B109&lt;&gt;$B94,$B110&lt;&gt;$B95,$B111&lt;&gt;$B96,$B112&lt;&gt;$B97,$B113&lt;&gt;$B98,$B114&lt;&gt;$B99,$B115&lt;&gt;$B100,$B116&lt;&gt;$B101,$B117&lt;&gt;$B102,$B118&lt;&gt;$B103),IF($B118&lt;&gt;$B103,C103/INDEX($C93:$AJ103,11,MATCH(IF('Data-solution'!$A$3="Maximize",MAX($C104:$AI104),MIN($C104:$AI104)),$C104:$AI104,0)),C103-INDEX($C93:$AJ103,11,MATCH(IF('Data-solution'!$A$3="Maximize",MAX($C104:$AI104),MIN($C104:$AI104)),$C104:$AI104,0))*INDEX(C93:$AJ103,MATCH(MIN($AK93:$AK103),$AK93:$AK103,0),1)/INDEX($C93:$AJ103,MATCH(MIN($AK93:$AK103),$AK93:$AK103,0),MATCH(IF('Data-solution'!$A$3="Maximize",MAX($C104:$AI104),MIN($C104:$AI104)),$C104:$AI104,0))),C103)</f>
        <v>0</v>
      </c>
      <c r="D118" s="1">
        <f>IF(OR($B108&lt;&gt;$B93,$B109&lt;&gt;$B94,$B110&lt;&gt;$B95,$B111&lt;&gt;$B96,$B112&lt;&gt;$B97,$B113&lt;&gt;$B98,$B114&lt;&gt;$B99,$B115&lt;&gt;$B100,$B116&lt;&gt;$B101,$B117&lt;&gt;$B102,$B118&lt;&gt;$B103),IF($B118&lt;&gt;$B103,D103/INDEX($C93:$AJ103,11,MATCH(IF('Data-solution'!$A$3="Maximize",MAX($C104:$AI104),MIN($C104:$AI104)),$C104:$AI104,0)),D103-INDEX($C93:$AJ103,11,MATCH(IF('Data-solution'!$A$3="Maximize",MAX($C104:$AI104),MIN($C104:$AI104)),$C104:$AI104,0))*INDEX(D93:$AJ103,MATCH(MIN($AK93:$AK103),$AK93:$AK103,0),1)/INDEX($C93:$AJ103,MATCH(MIN($AK93:$AK103),$AK93:$AK103,0),MATCH(IF('Data-solution'!$A$3="Maximize",MAX($C104:$AI104),MIN($C104:$AI104)),$C104:$AI104,0))),D103)</f>
        <v>0</v>
      </c>
      <c r="E118" s="1">
        <f>IF(OR($B108&lt;&gt;$B93,$B109&lt;&gt;$B94,$B110&lt;&gt;$B95,$B111&lt;&gt;$B96,$B112&lt;&gt;$B97,$B113&lt;&gt;$B98,$B114&lt;&gt;$B99,$B115&lt;&gt;$B100,$B116&lt;&gt;$B101,$B117&lt;&gt;$B102,$B118&lt;&gt;$B103),IF($B118&lt;&gt;$B103,E103/INDEX($C93:$AJ103,11,MATCH(IF('Data-solution'!$A$3="Maximize",MAX($C104:$AI104),MIN($C104:$AI104)),$C104:$AI104,0)),E103-INDEX($C93:$AJ103,11,MATCH(IF('Data-solution'!$A$3="Maximize",MAX($C104:$AI104),MIN($C104:$AI104)),$C104:$AI104,0))*INDEX(E93:$AJ103,MATCH(MIN($AK93:$AK103),$AK93:$AK103,0),1)/INDEX($C93:$AJ103,MATCH(MIN($AK93:$AK103),$AK93:$AK103,0),MATCH(IF('Data-solution'!$A$3="Maximize",MAX($C104:$AI104),MIN($C104:$AI104)),$C104:$AI104,0))),E103)</f>
        <v>0</v>
      </c>
      <c r="F118" s="1">
        <f>IF(OR($B108&lt;&gt;$B93,$B109&lt;&gt;$B94,$B110&lt;&gt;$B95,$B111&lt;&gt;$B96,$B112&lt;&gt;$B97,$B113&lt;&gt;$B98,$B114&lt;&gt;$B99,$B115&lt;&gt;$B100,$B116&lt;&gt;$B101,$B117&lt;&gt;$B102,$B118&lt;&gt;$B103),IF($B118&lt;&gt;$B103,F103/INDEX($C93:$AJ103,11,MATCH(IF('Data-solution'!$A$3="Maximize",MAX($C104:$AI104),MIN($C104:$AI104)),$C104:$AI104,0)),F103-INDEX($C93:$AJ103,11,MATCH(IF('Data-solution'!$A$3="Maximize",MAX($C104:$AI104),MIN($C104:$AI104)),$C104:$AI104,0))*INDEX(F93:$AJ103,MATCH(MIN($AK93:$AK103),$AK93:$AK103,0),1)/INDEX($C93:$AJ103,MATCH(MIN($AK93:$AK103),$AK93:$AK103,0),MATCH(IF('Data-solution'!$A$3="Maximize",MAX($C104:$AI104),MIN($C104:$AI104)),$C104:$AI104,0))),F103)</f>
        <v>0</v>
      </c>
      <c r="G118" s="1">
        <f>IF(OR($B108&lt;&gt;$B93,$B109&lt;&gt;$B94,$B110&lt;&gt;$B95,$B111&lt;&gt;$B96,$B112&lt;&gt;$B97,$B113&lt;&gt;$B98,$B114&lt;&gt;$B99,$B115&lt;&gt;$B100,$B116&lt;&gt;$B101,$B117&lt;&gt;$B102,$B118&lt;&gt;$B103),IF($B118&lt;&gt;$B103,G103/INDEX($C93:$AJ103,11,MATCH(IF('Data-solution'!$A$3="Maximize",MAX($C104:$AI104),MIN($C104:$AI104)),$C104:$AI104,0)),G103-INDEX($C93:$AJ103,11,MATCH(IF('Data-solution'!$A$3="Maximize",MAX($C104:$AI104),MIN($C104:$AI104)),$C104:$AI104,0))*INDEX(G93:$AJ103,MATCH(MIN($AK93:$AK103),$AK93:$AK103,0),1)/INDEX($C93:$AJ103,MATCH(MIN($AK93:$AK103),$AK93:$AK103,0),MATCH(IF('Data-solution'!$A$3="Maximize",MAX($C104:$AI104),MIN($C104:$AI104)),$C104:$AI104,0))),G103)</f>
        <v>0</v>
      </c>
      <c r="H118" s="1">
        <f>IF(OR($B108&lt;&gt;$B93,$B109&lt;&gt;$B94,$B110&lt;&gt;$B95,$B111&lt;&gt;$B96,$B112&lt;&gt;$B97,$B113&lt;&gt;$B98,$B114&lt;&gt;$B99,$B115&lt;&gt;$B100,$B116&lt;&gt;$B101,$B117&lt;&gt;$B102,$B118&lt;&gt;$B103),IF($B118&lt;&gt;$B103,H103/INDEX($C93:$AJ103,11,MATCH(IF('Data-solution'!$A$3="Maximize",MAX($C104:$AI104),MIN($C104:$AI104)),$C104:$AI104,0)),H103-INDEX($C93:$AJ103,11,MATCH(IF('Data-solution'!$A$3="Maximize",MAX($C104:$AI104),MIN($C104:$AI104)),$C104:$AI104,0))*INDEX(H93:$AJ103,MATCH(MIN($AK93:$AK103),$AK93:$AK103,0),1)/INDEX($C93:$AJ103,MATCH(MIN($AK93:$AK103),$AK93:$AK103,0),MATCH(IF('Data-solution'!$A$3="Maximize",MAX($C104:$AI104),MIN($C104:$AI104)),$C104:$AI104,0))),H103)</f>
        <v>0</v>
      </c>
      <c r="I118" s="1">
        <f>IF(OR($B108&lt;&gt;$B93,$B109&lt;&gt;$B94,$B110&lt;&gt;$B95,$B111&lt;&gt;$B96,$B112&lt;&gt;$B97,$B113&lt;&gt;$B98,$B114&lt;&gt;$B99,$B115&lt;&gt;$B100,$B116&lt;&gt;$B101,$B117&lt;&gt;$B102,$B118&lt;&gt;$B103),IF($B118&lt;&gt;$B103,I103/INDEX($C93:$AJ103,11,MATCH(IF('Data-solution'!$A$3="Maximize",MAX($C104:$AI104),MIN($C104:$AI104)),$C104:$AI104,0)),I103-INDEX($C93:$AJ103,11,MATCH(IF('Data-solution'!$A$3="Maximize",MAX($C104:$AI104),MIN($C104:$AI104)),$C104:$AI104,0))*INDEX(I93:$AJ103,MATCH(MIN($AK93:$AK103),$AK93:$AK103,0),1)/INDEX($C93:$AJ103,MATCH(MIN($AK93:$AK103),$AK93:$AK103,0),MATCH(IF('Data-solution'!$A$3="Maximize",MAX($C104:$AI104),MIN($C104:$AI104)),$C104:$AI104,0))),I103)</f>
        <v>0</v>
      </c>
      <c r="J118" s="1">
        <f>IF(OR($B108&lt;&gt;$B93,$B109&lt;&gt;$B94,$B110&lt;&gt;$B95,$B111&lt;&gt;$B96,$B112&lt;&gt;$B97,$B113&lt;&gt;$B98,$B114&lt;&gt;$B99,$B115&lt;&gt;$B100,$B116&lt;&gt;$B101,$B117&lt;&gt;$B102,$B118&lt;&gt;$B103),IF($B118&lt;&gt;$B103,J103/INDEX($C93:$AJ103,11,MATCH(IF('Data-solution'!$A$3="Maximize",MAX($C104:$AI104),MIN($C104:$AI104)),$C104:$AI104,0)),J103-INDEX($C93:$AJ103,11,MATCH(IF('Data-solution'!$A$3="Maximize",MAX($C104:$AI104),MIN($C104:$AI104)),$C104:$AI104,0))*INDEX(J93:$AJ103,MATCH(MIN($AK93:$AK103),$AK93:$AK103,0),1)/INDEX($C93:$AJ103,MATCH(MIN($AK93:$AK103),$AK93:$AK103,0),MATCH(IF('Data-solution'!$A$3="Maximize",MAX($C104:$AI104),MIN($C104:$AI104)),$C104:$AI104,0))),J103)</f>
        <v>0</v>
      </c>
      <c r="K118" s="1">
        <f>IF(OR($B108&lt;&gt;$B93,$B109&lt;&gt;$B94,$B110&lt;&gt;$B95,$B111&lt;&gt;$B96,$B112&lt;&gt;$B97,$B113&lt;&gt;$B98,$B114&lt;&gt;$B99,$B115&lt;&gt;$B100,$B116&lt;&gt;$B101,$B117&lt;&gt;$B102,$B118&lt;&gt;$B103),IF($B118&lt;&gt;$B103,K103/INDEX($C93:$AJ103,11,MATCH(IF('Data-solution'!$A$3="Maximize",MAX($C104:$AI104),MIN($C104:$AI104)),$C104:$AI104,0)),K103-INDEX($C93:$AJ103,11,MATCH(IF('Data-solution'!$A$3="Maximize",MAX($C104:$AI104),MIN($C104:$AI104)),$C104:$AI104,0))*INDEX(K93:$AJ103,MATCH(MIN($AK93:$AK103),$AK93:$AK103,0),1)/INDEX($C93:$AJ103,MATCH(MIN($AK93:$AK103),$AK93:$AK103,0),MATCH(IF('Data-solution'!$A$3="Maximize",MAX($C104:$AI104),MIN($C104:$AI104)),$C104:$AI104,0))),K103)</f>
        <v>0</v>
      </c>
      <c r="L118" s="1">
        <f>IF(OR($B108&lt;&gt;$B93,$B109&lt;&gt;$B94,$B110&lt;&gt;$B95,$B111&lt;&gt;$B96,$B112&lt;&gt;$B97,$B113&lt;&gt;$B98,$B114&lt;&gt;$B99,$B115&lt;&gt;$B100,$B116&lt;&gt;$B101,$B117&lt;&gt;$B102,$B118&lt;&gt;$B103),IF($B118&lt;&gt;$B103,L103/INDEX($C93:$AJ103,11,MATCH(IF('Data-solution'!$A$3="Maximize",MAX($C104:$AI104),MIN($C104:$AI104)),$C104:$AI104,0)),L103-INDEX($C93:$AJ103,11,MATCH(IF('Data-solution'!$A$3="Maximize",MAX($C104:$AI104),MIN($C104:$AI104)),$C104:$AI104,0))*INDEX(L93:$AJ103,MATCH(MIN($AK93:$AK103),$AK93:$AK103,0),1)/INDEX($C93:$AJ103,MATCH(MIN($AK93:$AK103),$AK93:$AK103,0),MATCH(IF('Data-solution'!$A$3="Maximize",MAX($C104:$AI104),MIN($C104:$AI104)),$C104:$AI104,0))),L103)</f>
        <v>0</v>
      </c>
      <c r="M118" s="1">
        <f>IF(OR($B108&lt;&gt;$B93,$B109&lt;&gt;$B94,$B110&lt;&gt;$B95,$B111&lt;&gt;$B96,$B112&lt;&gt;$B97,$B113&lt;&gt;$B98,$B114&lt;&gt;$B99,$B115&lt;&gt;$B100,$B116&lt;&gt;$B101,$B117&lt;&gt;$B102,$B118&lt;&gt;$B103),IF($B118&lt;&gt;$B103,M103/INDEX($C93:$AJ103,11,MATCH(IF('Data-solution'!$A$3="Maximize",MAX($C104:$AI104),MIN($C104:$AI104)),$C104:$AI104,0)),M103-INDEX($C93:$AJ103,11,MATCH(IF('Data-solution'!$A$3="Maximize",MAX($C104:$AI104),MIN($C104:$AI104)),$C104:$AI104,0))*INDEX(M93:$AJ103,MATCH(MIN($AK93:$AK103),$AK93:$AK103,0),1)/INDEX($C93:$AJ103,MATCH(MIN($AK93:$AK103),$AK93:$AK103,0),MATCH(IF('Data-solution'!$A$3="Maximize",MAX($C104:$AI104),MIN($C104:$AI104)),$C104:$AI104,0))),M103)</f>
        <v>0</v>
      </c>
      <c r="N118" s="1">
        <f>IF(OR($B108&lt;&gt;$B93,$B109&lt;&gt;$B94,$B110&lt;&gt;$B95,$B111&lt;&gt;$B96,$B112&lt;&gt;$B97,$B113&lt;&gt;$B98,$B114&lt;&gt;$B99,$B115&lt;&gt;$B100,$B116&lt;&gt;$B101,$B117&lt;&gt;$B102,$B118&lt;&gt;$B103),IF($B118&lt;&gt;$B103,N103/INDEX($C93:$AJ103,11,MATCH(IF('Data-solution'!$A$3="Maximize",MAX($C104:$AI104),MIN($C104:$AI104)),$C104:$AI104,0)),N103-INDEX($C93:$AJ103,11,MATCH(IF('Data-solution'!$A$3="Maximize",MAX($C104:$AI104),MIN($C104:$AI104)),$C104:$AI104,0))*INDEX(N93:$AJ103,MATCH(MIN($AK93:$AK103),$AK93:$AK103,0),1)/INDEX($C93:$AJ103,MATCH(MIN($AK93:$AK103),$AK93:$AK103,0),MATCH(IF('Data-solution'!$A$3="Maximize",MAX($C104:$AI104),MIN($C104:$AI104)),$C104:$AI104,0))),N103)</f>
        <v>0</v>
      </c>
      <c r="O118" s="1">
        <f>IF(OR($B108&lt;&gt;$B93,$B109&lt;&gt;$B94,$B110&lt;&gt;$B95,$B111&lt;&gt;$B96,$B112&lt;&gt;$B97,$B113&lt;&gt;$B98,$B114&lt;&gt;$B99,$B115&lt;&gt;$B100,$B116&lt;&gt;$B101,$B117&lt;&gt;$B102,$B118&lt;&gt;$B103),IF($B118&lt;&gt;$B103,O103/INDEX($C93:$AJ103,11,MATCH(IF('Data-solution'!$A$3="Maximize",MAX($C104:$AI104),MIN($C104:$AI104)),$C104:$AI104,0)),O103-INDEX($C93:$AJ103,11,MATCH(IF('Data-solution'!$A$3="Maximize",MAX($C104:$AI104),MIN($C104:$AI104)),$C104:$AI104,0))*INDEX(O93:$AJ103,MATCH(MIN($AK93:$AK103),$AK93:$AK103,0),1)/INDEX($C93:$AJ103,MATCH(MIN($AK93:$AK103),$AK93:$AK103,0),MATCH(IF('Data-solution'!$A$3="Maximize",MAX($C104:$AI104),MIN($C104:$AI104)),$C104:$AI104,0))),O103)</f>
        <v>0</v>
      </c>
      <c r="P118" s="1">
        <f>IF(OR($B108&lt;&gt;$B93,$B109&lt;&gt;$B94,$B110&lt;&gt;$B95,$B111&lt;&gt;$B96,$B112&lt;&gt;$B97,$B113&lt;&gt;$B98,$B114&lt;&gt;$B99,$B115&lt;&gt;$B100,$B116&lt;&gt;$B101,$B117&lt;&gt;$B102,$B118&lt;&gt;$B103),IF($B118&lt;&gt;$B103,P103/INDEX($C93:$AJ103,11,MATCH(IF('Data-solution'!$A$3="Maximize",MAX($C104:$AI104),MIN($C104:$AI104)),$C104:$AI104,0)),P103-INDEX($C93:$AJ103,11,MATCH(IF('Data-solution'!$A$3="Maximize",MAX($C104:$AI104),MIN($C104:$AI104)),$C104:$AI104,0))*INDEX(P93:$AJ103,MATCH(MIN($AK93:$AK103),$AK93:$AK103,0),1)/INDEX($C93:$AJ103,MATCH(MIN($AK93:$AK103),$AK93:$AK103,0),MATCH(IF('Data-solution'!$A$3="Maximize",MAX($C104:$AI104),MIN($C104:$AI104)),$C104:$AI104,0))),P103)</f>
        <v>0</v>
      </c>
      <c r="Q118" s="1">
        <f>IF(OR($B108&lt;&gt;$B93,$B109&lt;&gt;$B94,$B110&lt;&gt;$B95,$B111&lt;&gt;$B96,$B112&lt;&gt;$B97,$B113&lt;&gt;$B98,$B114&lt;&gt;$B99,$B115&lt;&gt;$B100,$B116&lt;&gt;$B101,$B117&lt;&gt;$B102,$B118&lt;&gt;$B103),IF($B118&lt;&gt;$B103,Q103/INDEX($C93:$AJ103,11,MATCH(IF('Data-solution'!$A$3="Maximize",MAX($C104:$AI104),MIN($C104:$AI104)),$C104:$AI104,0)),Q103-INDEX($C93:$AJ103,11,MATCH(IF('Data-solution'!$A$3="Maximize",MAX($C104:$AI104),MIN($C104:$AI104)),$C104:$AI104,0))*INDEX(Q93:$AJ103,MATCH(MIN($AK93:$AK103),$AK93:$AK103,0),1)/INDEX($C93:$AJ103,MATCH(MIN($AK93:$AK103),$AK93:$AK103,0),MATCH(IF('Data-solution'!$A$3="Maximize",MAX($C104:$AI104),MIN($C104:$AI104)),$C104:$AI104,0))),Q103)</f>
        <v>0</v>
      </c>
      <c r="R118" s="1">
        <f>IF(OR($B108&lt;&gt;$B93,$B109&lt;&gt;$B94,$B110&lt;&gt;$B95,$B111&lt;&gt;$B96,$B112&lt;&gt;$B97,$B113&lt;&gt;$B98,$B114&lt;&gt;$B99,$B115&lt;&gt;$B100,$B116&lt;&gt;$B101,$B117&lt;&gt;$B102,$B118&lt;&gt;$B103),IF($B118&lt;&gt;$B103,R103/INDEX($C93:$AJ103,11,MATCH(IF('Data-solution'!$A$3="Maximize",MAX($C104:$AI104),MIN($C104:$AI104)),$C104:$AI104,0)),R103-INDEX($C93:$AJ103,11,MATCH(IF('Data-solution'!$A$3="Maximize",MAX($C104:$AI104),MIN($C104:$AI104)),$C104:$AI104,0))*INDEX(R93:$AJ103,MATCH(MIN($AK93:$AK103),$AK93:$AK103,0),1)/INDEX($C93:$AJ103,MATCH(MIN($AK93:$AK103),$AK93:$AK103,0),MATCH(IF('Data-solution'!$A$3="Maximize",MAX($C104:$AI104),MIN($C104:$AI104)),$C104:$AI104,0))),R103)</f>
        <v>0</v>
      </c>
      <c r="S118" s="1">
        <f>IF(OR($B108&lt;&gt;$B93,$B109&lt;&gt;$B94,$B110&lt;&gt;$B95,$B111&lt;&gt;$B96,$B112&lt;&gt;$B97,$B113&lt;&gt;$B98,$B114&lt;&gt;$B99,$B115&lt;&gt;$B100,$B116&lt;&gt;$B101,$B117&lt;&gt;$B102,$B118&lt;&gt;$B103),IF($B118&lt;&gt;$B103,S103/INDEX($C93:$AJ103,11,MATCH(IF('Data-solution'!$A$3="Maximize",MAX($C104:$AI104),MIN($C104:$AI104)),$C104:$AI104,0)),S103-INDEX($C93:$AJ103,11,MATCH(IF('Data-solution'!$A$3="Maximize",MAX($C104:$AI104),MIN($C104:$AI104)),$C104:$AI104,0))*INDEX(S93:$AJ103,MATCH(MIN($AK93:$AK103),$AK93:$AK103,0),1)/INDEX($C93:$AJ103,MATCH(MIN($AK93:$AK103),$AK93:$AK103,0),MATCH(IF('Data-solution'!$A$3="Maximize",MAX($C104:$AI104),MIN($C104:$AI104)),$C104:$AI104,0))),S103)</f>
        <v>0</v>
      </c>
      <c r="T118" s="1">
        <f>IF(OR($B108&lt;&gt;$B93,$B109&lt;&gt;$B94,$B110&lt;&gt;$B95,$B111&lt;&gt;$B96,$B112&lt;&gt;$B97,$B113&lt;&gt;$B98,$B114&lt;&gt;$B99,$B115&lt;&gt;$B100,$B116&lt;&gt;$B101,$B117&lt;&gt;$B102,$B118&lt;&gt;$B103),IF($B118&lt;&gt;$B103,T103/INDEX($C93:$AJ103,11,MATCH(IF('Data-solution'!$A$3="Maximize",MAX($C104:$AI104),MIN($C104:$AI104)),$C104:$AI104,0)),T103-INDEX($C93:$AJ103,11,MATCH(IF('Data-solution'!$A$3="Maximize",MAX($C104:$AI104),MIN($C104:$AI104)),$C104:$AI104,0))*INDEX(T93:$AJ103,MATCH(MIN($AK93:$AK103),$AK93:$AK103,0),1)/INDEX($C93:$AJ103,MATCH(MIN($AK93:$AK103),$AK93:$AK103,0),MATCH(IF('Data-solution'!$A$3="Maximize",MAX($C104:$AI104),MIN($C104:$AI104)),$C104:$AI104,0))),T103)</f>
        <v>0</v>
      </c>
      <c r="U118" s="1">
        <f>IF(OR($B108&lt;&gt;$B93,$B109&lt;&gt;$B94,$B110&lt;&gt;$B95,$B111&lt;&gt;$B96,$B112&lt;&gt;$B97,$B113&lt;&gt;$B98,$B114&lt;&gt;$B99,$B115&lt;&gt;$B100,$B116&lt;&gt;$B101,$B117&lt;&gt;$B102,$B118&lt;&gt;$B103),IF($B118&lt;&gt;$B103,U103/INDEX($C93:$AJ103,11,MATCH(IF('Data-solution'!$A$3="Maximize",MAX($C104:$AI104),MIN($C104:$AI104)),$C104:$AI104,0)),U103-INDEX($C93:$AJ103,11,MATCH(IF('Data-solution'!$A$3="Maximize",MAX($C104:$AI104),MIN($C104:$AI104)),$C104:$AI104,0))*INDEX(U93:$AJ103,MATCH(MIN($AK93:$AK103),$AK93:$AK103,0),1)/INDEX($C93:$AJ103,MATCH(MIN($AK93:$AK103),$AK93:$AK103,0),MATCH(IF('Data-solution'!$A$3="Maximize",MAX($C104:$AI104),MIN($C104:$AI104)),$C104:$AI104,0))),U103)</f>
        <v>0</v>
      </c>
      <c r="V118" s="1">
        <f>IF(OR($B108&lt;&gt;$B93,$B109&lt;&gt;$B94,$B110&lt;&gt;$B95,$B111&lt;&gt;$B96,$B112&lt;&gt;$B97,$B113&lt;&gt;$B98,$B114&lt;&gt;$B99,$B115&lt;&gt;$B100,$B116&lt;&gt;$B101,$B117&lt;&gt;$B102,$B118&lt;&gt;$B103),IF($B118&lt;&gt;$B103,V103/INDEX($C93:$AJ103,11,MATCH(IF('Data-solution'!$A$3="Maximize",MAX($C104:$AI104),MIN($C104:$AI104)),$C104:$AI104,0)),V103-INDEX($C93:$AJ103,11,MATCH(IF('Data-solution'!$A$3="Maximize",MAX($C104:$AI104),MIN($C104:$AI104)),$C104:$AI104,0))*INDEX(V93:$AJ103,MATCH(MIN($AK93:$AK103),$AK93:$AK103,0),1)/INDEX($C93:$AJ103,MATCH(MIN($AK93:$AK103),$AK93:$AK103,0),MATCH(IF('Data-solution'!$A$3="Maximize",MAX($C104:$AI104),MIN($C104:$AI104)),$C104:$AI104,0))),V103)</f>
        <v>0</v>
      </c>
      <c r="W118" s="1">
        <f>IF(OR($B108&lt;&gt;$B93,$B109&lt;&gt;$B94,$B110&lt;&gt;$B95,$B111&lt;&gt;$B96,$B112&lt;&gt;$B97,$B113&lt;&gt;$B98,$B114&lt;&gt;$B99,$B115&lt;&gt;$B100,$B116&lt;&gt;$B101,$B117&lt;&gt;$B102,$B118&lt;&gt;$B103),IF($B118&lt;&gt;$B103,W103/INDEX($C93:$AJ103,11,MATCH(IF('Data-solution'!$A$3="Maximize",MAX($C104:$AI104),MIN($C104:$AI104)),$C104:$AI104,0)),W103-INDEX($C93:$AJ103,11,MATCH(IF('Data-solution'!$A$3="Maximize",MAX($C104:$AI104),MIN($C104:$AI104)),$C104:$AI104,0))*INDEX(W93:$AJ103,MATCH(MIN($AK93:$AK103),$AK93:$AK103,0),1)/INDEX($C93:$AJ103,MATCH(MIN($AK93:$AK103),$AK93:$AK103,0),MATCH(IF('Data-solution'!$A$3="Maximize",MAX($C104:$AI104),MIN($C104:$AI104)),$C104:$AI104,0))),W103)</f>
        <v>0</v>
      </c>
      <c r="X118" s="1">
        <f>IF(OR($B108&lt;&gt;$B93,$B109&lt;&gt;$B94,$B110&lt;&gt;$B95,$B111&lt;&gt;$B96,$B112&lt;&gt;$B97,$B113&lt;&gt;$B98,$B114&lt;&gt;$B99,$B115&lt;&gt;$B100,$B116&lt;&gt;$B101,$B117&lt;&gt;$B102,$B118&lt;&gt;$B103),IF($B118&lt;&gt;$B103,X103/INDEX($C93:$AJ103,11,MATCH(IF('Data-solution'!$A$3="Maximize",MAX($C104:$AI104),MIN($C104:$AI104)),$C104:$AI104,0)),X103-INDEX($C93:$AJ103,11,MATCH(IF('Data-solution'!$A$3="Maximize",MAX($C104:$AI104),MIN($C104:$AI104)),$C104:$AI104,0))*INDEX(X93:$AJ103,MATCH(MIN($AK93:$AK103),$AK93:$AK103,0),1)/INDEX($C93:$AJ103,MATCH(MIN($AK93:$AK103),$AK93:$AK103,0),MATCH(IF('Data-solution'!$A$3="Maximize",MAX($C104:$AI104),MIN($C104:$AI104)),$C104:$AI104,0))),X103)</f>
        <v>1</v>
      </c>
      <c r="Y118" s="1">
        <f>IF(OR($B108&lt;&gt;$B93,$B109&lt;&gt;$B94,$B110&lt;&gt;$B95,$B111&lt;&gt;$B96,$B112&lt;&gt;$B97,$B113&lt;&gt;$B98,$B114&lt;&gt;$B99,$B115&lt;&gt;$B100,$B116&lt;&gt;$B101,$B117&lt;&gt;$B102,$B118&lt;&gt;$B103),IF($B118&lt;&gt;$B103,Y103/INDEX($C93:$AJ103,11,MATCH(IF('Data-solution'!$A$3="Maximize",MAX($C104:$AI104),MIN($C104:$AI104)),$C104:$AI104,0)),Y103-INDEX($C93:$AJ103,11,MATCH(IF('Data-solution'!$A$3="Maximize",MAX($C104:$AI104),MIN($C104:$AI104)),$C104:$AI104,0))*INDEX(Y93:$AJ103,MATCH(MIN($AK93:$AK103),$AK93:$AK103,0),1)/INDEX($C93:$AJ103,MATCH(MIN($AK93:$AK103),$AK93:$AK103,0),MATCH(IF('Data-solution'!$A$3="Maximize",MAX($C104:$AI104),MIN($C104:$AI104)),$C104:$AI104,0))),Y103)</f>
        <v>0</v>
      </c>
      <c r="Z118" s="1">
        <f>IF(OR($B108&lt;&gt;$B93,$B109&lt;&gt;$B94,$B110&lt;&gt;$B95,$B111&lt;&gt;$B96,$B112&lt;&gt;$B97,$B113&lt;&gt;$B98,$B114&lt;&gt;$B99,$B115&lt;&gt;$B100,$B116&lt;&gt;$B101,$B117&lt;&gt;$B102,$B118&lt;&gt;$B103),IF($B118&lt;&gt;$B103,Z103/INDEX($C93:$AJ103,11,MATCH(IF('Data-solution'!$A$3="Maximize",MAX($C104:$AI104),MIN($C104:$AI104)),$C104:$AI104,0)),Z103-INDEX($C93:$AJ103,11,MATCH(IF('Data-solution'!$A$3="Maximize",MAX($C104:$AI104),MIN($C104:$AI104)),$C104:$AI104,0))*INDEX(Z93:$AJ103,MATCH(MIN($AK93:$AK103),$AK93:$AK103,0),1)/INDEX($C93:$AJ103,MATCH(MIN($AK93:$AK103),$AK93:$AK103,0),MATCH(IF('Data-solution'!$A$3="Maximize",MAX($C104:$AI104),MIN($C104:$AI104)),$C104:$AI104,0))),Z103)</f>
        <v>0</v>
      </c>
      <c r="AA118" s="1">
        <f>IF(OR($B108&lt;&gt;$B93,$B109&lt;&gt;$B94,$B110&lt;&gt;$B95,$B111&lt;&gt;$B96,$B112&lt;&gt;$B97,$B113&lt;&gt;$B98,$B114&lt;&gt;$B99,$B115&lt;&gt;$B100,$B116&lt;&gt;$B101,$B117&lt;&gt;$B102,$B118&lt;&gt;$B103),IF($B118&lt;&gt;$B103,AA103/INDEX($C93:$AJ103,11,MATCH(IF('Data-solution'!$A$3="Maximize",MAX($C104:$AI104),MIN($C104:$AI104)),$C104:$AI104,0)),AA103-INDEX($C93:$AJ103,11,MATCH(IF('Data-solution'!$A$3="Maximize",MAX($C104:$AI104),MIN($C104:$AI104)),$C104:$AI104,0))*INDEX(AA93:$AJ103,MATCH(MIN($AK93:$AK103),$AK93:$AK103,0),1)/INDEX($C93:$AJ103,MATCH(MIN($AK93:$AK103),$AK93:$AK103,0),MATCH(IF('Data-solution'!$A$3="Maximize",MAX($C104:$AI104),MIN($C104:$AI104)),$C104:$AI104,0))),AA103)</f>
        <v>0</v>
      </c>
      <c r="AB118" s="1">
        <f>IF(OR($B108&lt;&gt;$B93,$B109&lt;&gt;$B94,$B110&lt;&gt;$B95,$B111&lt;&gt;$B96,$B112&lt;&gt;$B97,$B113&lt;&gt;$B98,$B114&lt;&gt;$B99,$B115&lt;&gt;$B100,$B116&lt;&gt;$B101,$B117&lt;&gt;$B102,$B118&lt;&gt;$B103),IF($B118&lt;&gt;$B103,AB103/INDEX($C93:$AJ103,11,MATCH(IF('Data-solution'!$A$3="Maximize",MAX($C104:$AI104),MIN($C104:$AI104)),$C104:$AI104,0)),AB103-INDEX($C93:$AJ103,11,MATCH(IF('Data-solution'!$A$3="Maximize",MAX($C104:$AI104),MIN($C104:$AI104)),$C104:$AI104,0))*INDEX(AB93:$AJ103,MATCH(MIN($AK93:$AK103),$AK93:$AK103,0),1)/INDEX($C93:$AJ103,MATCH(MIN($AK93:$AK103),$AK93:$AK103,0),MATCH(IF('Data-solution'!$A$3="Maximize",MAX($C104:$AI104),MIN($C104:$AI104)),$C104:$AI104,0))),AB103)</f>
        <v>0</v>
      </c>
      <c r="AC118" s="1">
        <f>IF(OR($B108&lt;&gt;$B93,$B109&lt;&gt;$B94,$B110&lt;&gt;$B95,$B111&lt;&gt;$B96,$B112&lt;&gt;$B97,$B113&lt;&gt;$B98,$B114&lt;&gt;$B99,$B115&lt;&gt;$B100,$B116&lt;&gt;$B101,$B117&lt;&gt;$B102,$B118&lt;&gt;$B103),IF($B118&lt;&gt;$B103,AC103/INDEX($C93:$AJ103,11,MATCH(IF('Data-solution'!$A$3="Maximize",MAX($C104:$AI104),MIN($C104:$AI104)),$C104:$AI104,0)),AC103-INDEX($C93:$AJ103,11,MATCH(IF('Data-solution'!$A$3="Maximize",MAX($C104:$AI104),MIN($C104:$AI104)),$C104:$AI104,0))*INDEX(AC93:$AJ103,MATCH(MIN($AK93:$AK103),$AK93:$AK103,0),1)/INDEX($C93:$AJ103,MATCH(MIN($AK93:$AK103),$AK93:$AK103,0),MATCH(IF('Data-solution'!$A$3="Maximize",MAX($C104:$AI104),MIN($C104:$AI104)),$C104:$AI104,0))),AC103)</f>
        <v>0</v>
      </c>
      <c r="AD118" s="1">
        <f>IF(OR($B108&lt;&gt;$B93,$B109&lt;&gt;$B94,$B110&lt;&gt;$B95,$B111&lt;&gt;$B96,$B112&lt;&gt;$B97,$B113&lt;&gt;$B98,$B114&lt;&gt;$B99,$B115&lt;&gt;$B100,$B116&lt;&gt;$B101,$B117&lt;&gt;$B102,$B118&lt;&gt;$B103),IF($B118&lt;&gt;$B103,AD103/INDEX($C93:$AJ103,11,MATCH(IF('Data-solution'!$A$3="Maximize",MAX($C104:$AI104),MIN($C104:$AI104)),$C104:$AI104,0)),AD103-INDEX($C93:$AJ103,11,MATCH(IF('Data-solution'!$A$3="Maximize",MAX($C104:$AI104),MIN($C104:$AI104)),$C104:$AI104,0))*INDEX(AD93:$AJ103,MATCH(MIN($AK93:$AK103),$AK93:$AK103,0),1)/INDEX($C93:$AJ103,MATCH(MIN($AK93:$AK103),$AK93:$AK103,0),MATCH(IF('Data-solution'!$A$3="Maximize",MAX($C104:$AI104),MIN($C104:$AI104)),$C104:$AI104,0))),AD103)</f>
        <v>0</v>
      </c>
      <c r="AE118" s="1">
        <f>IF(OR($B108&lt;&gt;$B93,$B109&lt;&gt;$B94,$B110&lt;&gt;$B95,$B111&lt;&gt;$B96,$B112&lt;&gt;$B97,$B113&lt;&gt;$B98,$B114&lt;&gt;$B99,$B115&lt;&gt;$B100,$B116&lt;&gt;$B101,$B117&lt;&gt;$B102,$B118&lt;&gt;$B103),IF($B118&lt;&gt;$B103,AE103/INDEX($C93:$AJ103,11,MATCH(IF('Data-solution'!$A$3="Maximize",MAX($C104:$AI104),MIN($C104:$AI104)),$C104:$AI104,0)),AE103-INDEX($C93:$AJ103,11,MATCH(IF('Data-solution'!$A$3="Maximize",MAX($C104:$AI104),MIN($C104:$AI104)),$C104:$AI104,0))*INDEX(AE93:$AJ103,MATCH(MIN($AK93:$AK103),$AK93:$AK103,0),1)/INDEX($C93:$AJ103,MATCH(MIN($AK93:$AK103),$AK93:$AK103,0),MATCH(IF('Data-solution'!$A$3="Maximize",MAX($C104:$AI104),MIN($C104:$AI104)),$C104:$AI104,0))),AE103)</f>
        <v>0</v>
      </c>
      <c r="AF118" s="1">
        <f>IF(OR($B108&lt;&gt;$B93,$B109&lt;&gt;$B94,$B110&lt;&gt;$B95,$B111&lt;&gt;$B96,$B112&lt;&gt;$B97,$B113&lt;&gt;$B98,$B114&lt;&gt;$B99,$B115&lt;&gt;$B100,$B116&lt;&gt;$B101,$B117&lt;&gt;$B102,$B118&lt;&gt;$B103),IF($B118&lt;&gt;$B103,AF103/INDEX($C93:$AJ103,11,MATCH(IF('Data-solution'!$A$3="Maximize",MAX($C104:$AI104),MIN($C104:$AI104)),$C104:$AI104,0)),AF103-INDEX($C93:$AJ103,11,MATCH(IF('Data-solution'!$A$3="Maximize",MAX($C104:$AI104),MIN($C104:$AI104)),$C104:$AI104,0))*INDEX(AF93:$AJ103,MATCH(MIN($AK93:$AK103),$AK93:$AK103,0),1)/INDEX($C93:$AJ103,MATCH(MIN($AK93:$AK103),$AK93:$AK103,0),MATCH(IF('Data-solution'!$A$3="Maximize",MAX($C104:$AI104),MIN($C104:$AI104)),$C104:$AI104,0))),AF103)</f>
        <v>0</v>
      </c>
      <c r="AG118" s="1">
        <f>IF(OR($B108&lt;&gt;$B93,$B109&lt;&gt;$B94,$B110&lt;&gt;$B95,$B111&lt;&gt;$B96,$B112&lt;&gt;$B97,$B113&lt;&gt;$B98,$B114&lt;&gt;$B99,$B115&lt;&gt;$B100,$B116&lt;&gt;$B101,$B117&lt;&gt;$B102,$B118&lt;&gt;$B103),IF($B118&lt;&gt;$B103,AG103/INDEX($C93:$AJ103,11,MATCH(IF('Data-solution'!$A$3="Maximize",MAX($C104:$AI104),MIN($C104:$AI104)),$C104:$AI104,0)),AG103-INDEX($C93:$AJ103,11,MATCH(IF('Data-solution'!$A$3="Maximize",MAX($C104:$AI104),MIN($C104:$AI104)),$C104:$AI104,0))*INDEX(AG93:$AJ103,MATCH(MIN($AK93:$AK103),$AK93:$AK103,0),1)/INDEX($C93:$AJ103,MATCH(MIN($AK93:$AK103),$AK93:$AK103,0),MATCH(IF('Data-solution'!$A$3="Maximize",MAX($C104:$AI104),MIN($C104:$AI104)),$C104:$AI104,0))),AG103)</f>
        <v>0</v>
      </c>
      <c r="AH118" s="1">
        <f>IF(OR($B108&lt;&gt;$B93,$B109&lt;&gt;$B94,$B110&lt;&gt;$B95,$B111&lt;&gt;$B96,$B112&lt;&gt;$B97,$B113&lt;&gt;$B98,$B114&lt;&gt;$B99,$B115&lt;&gt;$B100,$B116&lt;&gt;$B101,$B117&lt;&gt;$B102,$B118&lt;&gt;$B103),IF($B118&lt;&gt;$B103,AH103/INDEX($C93:$AJ103,11,MATCH(IF('Data-solution'!$A$3="Maximize",MAX($C104:$AI104),MIN($C104:$AI104)),$C104:$AI104,0)),AH103-INDEX($C93:$AJ103,11,MATCH(IF('Data-solution'!$A$3="Maximize",MAX($C104:$AI104),MIN($C104:$AI104)),$C104:$AI104,0))*INDEX(AH93:$AJ103,MATCH(MIN($AK93:$AK103),$AK93:$AK103,0),1)/INDEX($C93:$AJ103,MATCH(MIN($AK93:$AK103),$AK93:$AK103,0),MATCH(IF('Data-solution'!$A$3="Maximize",MAX($C104:$AI104),MIN($C104:$AI104)),$C104:$AI104,0))),AH103)</f>
        <v>0</v>
      </c>
      <c r="AI118" s="1">
        <f>IF(OR($B108&lt;&gt;$B93,$B109&lt;&gt;$B94,$B110&lt;&gt;$B95,$B111&lt;&gt;$B96,$B112&lt;&gt;$B97,$B113&lt;&gt;$B98,$B114&lt;&gt;$B99,$B115&lt;&gt;$B100,$B116&lt;&gt;$B101,$B117&lt;&gt;$B102,$B118&lt;&gt;$B103),IF($B118&lt;&gt;$B103,AI103/INDEX($C93:$AJ103,11,MATCH(IF('Data-solution'!$A$3="Maximize",MAX($C104:$AI104),MIN($C104:$AI104)),$C104:$AI104,0)),AI103-INDEX($C93:$AJ103,11,MATCH(IF('Data-solution'!$A$3="Maximize",MAX($C104:$AI104),MIN($C104:$AI104)),$C104:$AI104,0))*INDEX(AI93:$AJ103,MATCH(MIN($AK93:$AK103),$AK93:$AK103,0),1)/INDEX($C93:$AJ103,MATCH(MIN($AK93:$AK103),$AK93:$AK103,0),MATCH(IF('Data-solution'!$A$3="Maximize",MAX($C104:$AI104),MIN($C104:$AI104)),$C104:$AI104,0))),AI103)</f>
        <v>1</v>
      </c>
      <c r="AJ118" s="1">
        <f>IF(OR($B108&lt;&gt;$B93,$B109&lt;&gt;$B94,$B110&lt;&gt;$B95,$B111&lt;&gt;$B96,$B112&lt;&gt;$B97,$B113&lt;&gt;$B98,$B114&lt;&gt;$B99,$B115&lt;&gt;$B100,$B116&lt;&gt;$B101,$B117&lt;&gt;$B102,$B118&lt;&gt;$B103),IF($B118&lt;&gt;$B103,AJ103/INDEX($C93:$AJ103,11,MATCH(IF('Data-solution'!$A$3="Maximize",MAX($C104:$AI104),MIN($C104:$AI104)),$C104:$AI104,0)),AJ103-INDEX($C93:$AJ103,11,MATCH(IF('Data-solution'!$A$3="Maximize",MAX($C104:$AI104),MIN($C104:$AI104)),$C104:$AI104,0))*INDEX(AJ93:$AJ103,MATCH(MIN($AK93:$AK103),$AK93:$AK103,0),1)/INDEX($C93:$AJ103,MATCH(MIN($AK93:$AK103),$AK93:$AK103,0),MATCH(IF('Data-solution'!$A$3="Maximize",MAX($C104:$AI104),MIN($C104:$AI104)),$C104:$AI104,0))),AJ103)</f>
        <v>0</v>
      </c>
      <c r="AK118" s="1" t="str">
        <f>IF(INDEX(C118:X118,1,MATCH(IF('Data-solution'!A$3="Maximize",MAX(C119:X119),MIN(C119:X119)),C119:X119,0))&gt;0,AJ118/INDEX(C118:X118,1,MATCH(IF('Data-solution'!A$3="Maximize",MAX(C119:X119),MIN(C119:X119)),C119:X119,0))," ")</f>
        <v xml:space="preserve"> </v>
      </c>
    </row>
    <row r="119" spans="1:37" ht="18" customHeight="1" x14ac:dyDescent="0.2">
      <c r="B119" s="2" t="s">
        <v>5</v>
      </c>
      <c r="C119" s="1">
        <f>IF(SUM(COUNTIF($B108:$B118,$Y107),COUNTIF($B108:$B118,$Z107),COUNTIF($B108:$B118,$AA107),COUNTIF($B108:$B118,$AB107),COUNTIF($B108:$B118,$AC107),COUNTIF($B108:$B118,$AD107),COUNTIF($B108:$B118,$AE107),COUNTIF($B108:$B118,$AF107),COUNTIF($B108:$B118,$AG107),COUNTIF($B108:$B118,$AH107),COUNTIF($B108:$B118,$AI107))=0,C106-SUMPRODUCT($A108:$A118,C108:C118),IF('Data-solution'!$A$3="Maximize",1,-1)*SUM(SUMIF($B108:$B118,$Y107,C108:C118),SUMIF($B108:$B118,$Z107,C108:C118),SUMIF($B108:$B118,$AA107,C108:C118),SUMIF($B108:$B118,$AB107,C108:C118),SUMIF($B108:$B118,$AC107,C108:C118),SUMIF($B108:$B118,$AD107,C108:C118),SUMIF($B108:$B118,$AE107,C108:C118),SUMIF($B108:$B118,$AF107,C108:C118),SUMIF($B108:$B118,$AG107,C108:C118),SUMIF($B108:$B118,$AH107,C108:C118),SUMIF($B108:$B118,$AI107,C108:C118)))</f>
        <v>0</v>
      </c>
      <c r="D119" s="1">
        <f>IF(SUM(COUNTIF($B108:$B118,$Y107),COUNTIF($B108:$B118,$Z107),COUNTIF($B108:$B118,$AA107),COUNTIF($B108:$B118,$AB107),COUNTIF($B108:$B118,$AC107),COUNTIF($B108:$B118,$AD107),COUNTIF($B108:$B118,$AE107),COUNTIF($B108:$B118,$AF107),COUNTIF($B108:$B118,$AG107),COUNTIF($B108:$B118,$AH107),COUNTIF($B108:$B118,$AI107))=0,D106-SUMPRODUCT($A108:$A118,D108:D118),IF('Data-solution'!$A$3="Maximize",1,-1)*SUM(SUMIF($B108:$B118,$Y107,D108:D118),SUMIF($B108:$B118,$Z107,D108:D118),SUMIF($B108:$B118,$AA107,D108:D118),SUMIF($B108:$B118,$AB107,D108:D118),SUMIF($B108:$B118,$AC107,D108:D118),SUMIF($B108:$B118,$AD107,D108:D118),SUMIF($B108:$B118,$AE107,D108:D118),SUMIF($B108:$B118,$AF107,D108:D118),SUMIF($B108:$B118,$AG107,D108:D118),SUMIF($B108:$B118,$AH107,D108:D118),SUMIF($B108:$B118,$AI107,D108:D118)))</f>
        <v>-50</v>
      </c>
      <c r="E119" s="1">
        <f>IF(SUM(COUNTIF($B108:$B118,$Y107),COUNTIF($B108:$B118,$Z107),COUNTIF($B108:$B118,$AA107),COUNTIF($B108:$B118,$AB107),COUNTIF($B108:$B118,$AC107),COUNTIF($B108:$B118,$AD107),COUNTIF($B108:$B118,$AE107),COUNTIF($B108:$B118,$AF107),COUNTIF($B108:$B118,$AG107),COUNTIF($B108:$B118,$AH107),COUNTIF($B108:$B118,$AI107))=0,E106-SUMPRODUCT($A108:$A118,E108:E118),IF('Data-solution'!$A$3="Maximize",1,-1)*SUM(SUMIF($B108:$B118,$Y107,E108:E118),SUMIF($B108:$B118,$Z107,E108:E118),SUMIF($B108:$B118,$AA107,E108:E118),SUMIF($B108:$B118,$AB107,E108:E118),SUMIF($B108:$B118,$AC107,E108:E118),SUMIF($B108:$B118,$AD107,E108:E118),SUMIF($B108:$B118,$AE107,E108:E118),SUMIF($B108:$B118,$AF107,E108:E118),SUMIF($B108:$B118,$AG107,E108:E118),SUMIF($B108:$B118,$AH107,E108:E118),SUMIF($B108:$B118,$AI107,E108:E118)))</f>
        <v>0</v>
      </c>
      <c r="F119" s="1">
        <f>IF(SUM(COUNTIF($B108:$B118,$Y107),COUNTIF($B108:$B118,$Z107),COUNTIF($B108:$B118,$AA107),COUNTIF($B108:$B118,$AB107),COUNTIF($B108:$B118,$AC107),COUNTIF($B108:$B118,$AD107),COUNTIF($B108:$B118,$AE107),COUNTIF($B108:$B118,$AF107),COUNTIF($B108:$B118,$AG107),COUNTIF($B108:$B118,$AH107),COUNTIF($B108:$B118,$AI107))=0,F106-SUMPRODUCT($A108:$A118,F108:F118),IF('Data-solution'!$A$3="Maximize",1,-1)*SUM(SUMIF($B108:$B118,$Y107,F108:F118),SUMIF($B108:$B118,$Z107,F108:F118),SUMIF($B108:$B118,$AA107,F108:F118),SUMIF($B108:$B118,$AB107,F108:F118),SUMIF($B108:$B118,$AC107,F108:F118),SUMIF($B108:$B118,$AD107,F108:F118),SUMIF($B108:$B118,$AE107,F108:F118),SUMIF($B108:$B118,$AF107,F108:F118),SUMIF($B108:$B118,$AG107,F108:F118),SUMIF($B108:$B118,$AH107,F108:F118),SUMIF($B108:$B118,$AI107,F108:F118)))</f>
        <v>0</v>
      </c>
      <c r="G119" s="1">
        <f>IF(SUM(COUNTIF($B108:$B118,$Y107),COUNTIF($B108:$B118,$Z107),COUNTIF($B108:$B118,$AA107),COUNTIF($B108:$B118,$AB107),COUNTIF($B108:$B118,$AC107),COUNTIF($B108:$B118,$AD107),COUNTIF($B108:$B118,$AE107),COUNTIF($B108:$B118,$AF107),COUNTIF($B108:$B118,$AG107),COUNTIF($B108:$B118,$AH107),COUNTIF($B108:$B118,$AI107))=0,G106-SUMPRODUCT($A108:$A118,G108:G118),IF('Data-solution'!$A$3="Maximize",1,-1)*SUM(SUMIF($B108:$B118,$Y107,G108:G118),SUMIF($B108:$B118,$Z107,G108:G118),SUMIF($B108:$B118,$AA107,G108:G118),SUMIF($B108:$B118,$AB107,G108:G118),SUMIF($B108:$B118,$AC107,G108:G118),SUMIF($B108:$B118,$AD107,G108:G118),SUMIF($B108:$B118,$AE107,G108:G118),SUMIF($B108:$B118,$AF107,G108:G118),SUMIF($B108:$B118,$AG107,G108:G118),SUMIF($B108:$B118,$AH107,G108:G118),SUMIF($B108:$B118,$AI107,G108:G118)))</f>
        <v>0</v>
      </c>
      <c r="H119" s="1">
        <f>IF(SUM(COUNTIF($B108:$B118,$Y107),COUNTIF($B108:$B118,$Z107),COUNTIF($B108:$B118,$AA107),COUNTIF($B108:$B118,$AB107),COUNTIF($B108:$B118,$AC107),COUNTIF($B108:$B118,$AD107),COUNTIF($B108:$B118,$AE107),COUNTIF($B108:$B118,$AF107),COUNTIF($B108:$B118,$AG107),COUNTIF($B108:$B118,$AH107),COUNTIF($B108:$B118,$AI107))=0,H106-SUMPRODUCT($A108:$A118,H108:H118),IF('Data-solution'!$A$3="Maximize",1,-1)*SUM(SUMIF($B108:$B118,$Y107,H108:H118),SUMIF($B108:$B118,$Z107,H108:H118),SUMIF($B108:$B118,$AA107,H108:H118),SUMIF($B108:$B118,$AB107,H108:H118),SUMIF($B108:$B118,$AC107,H108:H118),SUMIF($B108:$B118,$AD107,H108:H118),SUMIF($B108:$B118,$AE107,H108:H118),SUMIF($B108:$B118,$AF107,H108:H118),SUMIF($B108:$B118,$AG107,H108:H118),SUMIF($B108:$B118,$AH107,H108:H118),SUMIF($B108:$B118,$AI107,H108:H118)))</f>
        <v>0</v>
      </c>
      <c r="I119" s="1">
        <f>IF(SUM(COUNTIF($B108:$B118,$Y107),COUNTIF($B108:$B118,$Z107),COUNTIF($B108:$B118,$AA107),COUNTIF($B108:$B118,$AB107),COUNTIF($B108:$B118,$AC107),COUNTIF($B108:$B118,$AD107),COUNTIF($B108:$B118,$AE107),COUNTIF($B108:$B118,$AF107),COUNTIF($B108:$B118,$AG107),COUNTIF($B108:$B118,$AH107),COUNTIF($B108:$B118,$AI107))=0,I106-SUMPRODUCT($A108:$A118,I108:I118),IF('Data-solution'!$A$3="Maximize",1,-1)*SUM(SUMIF($B108:$B118,$Y107,I108:I118),SUMIF($B108:$B118,$Z107,I108:I118),SUMIF($B108:$B118,$AA107,I108:I118),SUMIF($B108:$B118,$AB107,I108:I118),SUMIF($B108:$B118,$AC107,I108:I118),SUMIF($B108:$B118,$AD107,I108:I118),SUMIF($B108:$B118,$AE107,I108:I118),SUMIF($B108:$B118,$AF107,I108:I118),SUMIF($B108:$B118,$AG107,I108:I118),SUMIF($B108:$B118,$AH107,I108:I118),SUMIF($B108:$B118,$AI107,I108:I118)))</f>
        <v>0</v>
      </c>
      <c r="J119" s="1">
        <f>IF(SUM(COUNTIF($B108:$B118,$Y107),COUNTIF($B108:$B118,$Z107),COUNTIF($B108:$B118,$AA107),COUNTIF($B108:$B118,$AB107),COUNTIF($B108:$B118,$AC107),COUNTIF($B108:$B118,$AD107),COUNTIF($B108:$B118,$AE107),COUNTIF($B108:$B118,$AF107),COUNTIF($B108:$B118,$AG107),COUNTIF($B108:$B118,$AH107),COUNTIF($B108:$B118,$AI107))=0,J106-SUMPRODUCT($A108:$A118,J108:J118),IF('Data-solution'!$A$3="Maximize",1,-1)*SUM(SUMIF($B108:$B118,$Y107,J108:J118),SUMIF($B108:$B118,$Z107,J108:J118),SUMIF($B108:$B118,$AA107,J108:J118),SUMIF($B108:$B118,$AB107,J108:J118),SUMIF($B108:$B118,$AC107,J108:J118),SUMIF($B108:$B118,$AD107,J108:J118),SUMIF($B108:$B118,$AE107,J108:J118),SUMIF($B108:$B118,$AF107,J108:J118),SUMIF($B108:$B118,$AG107,J108:J118),SUMIF($B108:$B118,$AH107,J108:J118),SUMIF($B108:$B118,$AI107,J108:J118)))</f>
        <v>0</v>
      </c>
      <c r="K119" s="1">
        <f>IF(SUM(COUNTIF($B108:$B118,$Y107),COUNTIF($B108:$B118,$Z107),COUNTIF($B108:$B118,$AA107),COUNTIF($B108:$B118,$AB107),COUNTIF($B108:$B118,$AC107),COUNTIF($B108:$B118,$AD107),COUNTIF($B108:$B118,$AE107),COUNTIF($B108:$B118,$AF107),COUNTIF($B108:$B118,$AG107),COUNTIF($B108:$B118,$AH107),COUNTIF($B108:$B118,$AI107))=0,K106-SUMPRODUCT($A108:$A118,K108:K118),IF('Data-solution'!$A$3="Maximize",1,-1)*SUM(SUMIF($B108:$B118,$Y107,K108:K118),SUMIF($B108:$B118,$Z107,K108:K118),SUMIF($B108:$B118,$AA107,K108:K118),SUMIF($B108:$B118,$AB107,K108:K118),SUMIF($B108:$B118,$AC107,K108:K118),SUMIF($B108:$B118,$AD107,K108:K118),SUMIF($B108:$B118,$AE107,K108:K118),SUMIF($B108:$B118,$AF107,K108:K118),SUMIF($B108:$B118,$AG107,K108:K118),SUMIF($B108:$B118,$AH107,K108:K118),SUMIF($B108:$B118,$AI107,K108:K118)))</f>
        <v>0</v>
      </c>
      <c r="L119" s="1">
        <f>IF(SUM(COUNTIF($B108:$B118,$Y107),COUNTIF($B108:$B118,$Z107),COUNTIF($B108:$B118,$AA107),COUNTIF($B108:$B118,$AB107),COUNTIF($B108:$B118,$AC107),COUNTIF($B108:$B118,$AD107),COUNTIF($B108:$B118,$AE107),COUNTIF($B108:$B118,$AF107),COUNTIF($B108:$B118,$AG107),COUNTIF($B108:$B118,$AH107),COUNTIF($B108:$B118,$AI107))=0,L106-SUMPRODUCT($A108:$A118,L108:L118),IF('Data-solution'!$A$3="Maximize",1,-1)*SUM(SUMIF($B108:$B118,$Y107,L108:L118),SUMIF($B108:$B118,$Z107,L108:L118),SUMIF($B108:$B118,$AA107,L108:L118),SUMIF($B108:$B118,$AB107,L108:L118),SUMIF($B108:$B118,$AC107,L108:L118),SUMIF($B108:$B118,$AD107,L108:L118),SUMIF($B108:$B118,$AE107,L108:L118),SUMIF($B108:$B118,$AF107,L108:L118),SUMIF($B108:$B118,$AG107,L108:L118),SUMIF($B108:$B118,$AH107,L108:L118),SUMIF($B108:$B118,$AI107,L108:L118)))</f>
        <v>0</v>
      </c>
      <c r="M119" s="1">
        <f>IF(SUM(COUNTIF($B108:$B118,$Y107),COUNTIF($B108:$B118,$Z107),COUNTIF($B108:$B118,$AA107),COUNTIF($B108:$B118,$AB107),COUNTIF($B108:$B118,$AC107),COUNTIF($B108:$B118,$AD107),COUNTIF($B108:$B118,$AE107),COUNTIF($B108:$B118,$AF107),COUNTIF($B108:$B118,$AG107),COUNTIF($B108:$B118,$AH107),COUNTIF($B108:$B118,$AI107))=0,M106-SUMPRODUCT($A108:$A118,M108:M118),IF('Data-solution'!$A$3="Maximize",1,-1)*SUM(SUMIF($B108:$B118,$Y107,M108:M118),SUMIF($B108:$B118,$Z107,M108:M118),SUMIF($B108:$B118,$AA107,M108:M118),SUMIF($B108:$B118,$AB107,M108:M118),SUMIF($B108:$B118,$AC107,M108:M118),SUMIF($B108:$B118,$AD107,M108:M118),SUMIF($B108:$B118,$AE107,M108:M118),SUMIF($B108:$B118,$AF107,M108:M118),SUMIF($B108:$B118,$AG107,M108:M118),SUMIF($B108:$B118,$AH107,M108:M118),SUMIF($B108:$B118,$AI107,M108:M118)))</f>
        <v>0</v>
      </c>
      <c r="N119" s="1">
        <f>IF(SUM(COUNTIF($B108:$B118,$Y107),COUNTIF($B108:$B118,$Z107),COUNTIF($B108:$B118,$AA107),COUNTIF($B108:$B118,$AB107),COUNTIF($B108:$B118,$AC107),COUNTIF($B108:$B118,$AD107),COUNTIF($B108:$B118,$AE107),COUNTIF($B108:$B118,$AF107),COUNTIF($B108:$B118,$AG107),COUNTIF($B108:$B118,$AH107),COUNTIF($B108:$B118,$AI107))=0,N106-SUMPRODUCT($A108:$A118,N108:N118),IF('Data-solution'!$A$3="Maximize",1,-1)*SUM(SUMIF($B108:$B118,$Y107,N108:N118),SUMIF($B108:$B118,$Z107,N108:N118),SUMIF($B108:$B118,$AA107,N108:N118),SUMIF($B108:$B118,$AB107,N108:N118),SUMIF($B108:$B118,$AC107,N108:N118),SUMIF($B108:$B118,$AD107,N108:N118),SUMIF($B108:$B118,$AE107,N108:N118),SUMIF($B108:$B118,$AF107,N108:N118),SUMIF($B108:$B118,$AG107,N108:N118),SUMIF($B108:$B118,$AH107,N108:N118),SUMIF($B108:$B118,$AI107,N108:N118)))</f>
        <v>0</v>
      </c>
      <c r="O119" s="1">
        <f>IF(SUM(COUNTIF($B108:$B118,$Y107),COUNTIF($B108:$B118,$Z107),COUNTIF($B108:$B118,$AA107),COUNTIF($B108:$B118,$AB107),COUNTIF($B108:$B118,$AC107),COUNTIF($B108:$B118,$AD107),COUNTIF($B108:$B118,$AE107),COUNTIF($B108:$B118,$AF107),COUNTIF($B108:$B118,$AG107),COUNTIF($B108:$B118,$AH107),COUNTIF($B108:$B118,$AI107))=0,O106-SUMPRODUCT($A108:$A118,O108:O118),IF('Data-solution'!$A$3="Maximize",1,-1)*SUM(SUMIF($B108:$B118,$Y107,O108:O118),SUMIF($B108:$B118,$Z107,O108:O118),SUMIF($B108:$B118,$AA107,O108:O118),SUMIF($B108:$B118,$AB107,O108:O118),SUMIF($B108:$B118,$AC107,O108:O118),SUMIF($B108:$B118,$AD107,O108:O118),SUMIF($B108:$B118,$AE107,O108:O118),SUMIF($B108:$B118,$AF107,O108:O118),SUMIF($B108:$B118,$AG107,O108:O118),SUMIF($B108:$B118,$AH107,O108:O118),SUMIF($B108:$B118,$AI107,O108:O118)))</f>
        <v>0</v>
      </c>
      <c r="P119" s="1">
        <f>IF(SUM(COUNTIF($B108:$B118,$Y107),COUNTIF($B108:$B118,$Z107),COUNTIF($B108:$B118,$AA107),COUNTIF($B108:$B118,$AB107),COUNTIF($B108:$B118,$AC107),COUNTIF($B108:$B118,$AD107),COUNTIF($B108:$B118,$AE107),COUNTIF($B108:$B118,$AF107),COUNTIF($B108:$B118,$AG107),COUNTIF($B108:$B118,$AH107),COUNTIF($B108:$B118,$AI107))=0,P106-SUMPRODUCT($A108:$A118,P108:P118),IF('Data-solution'!$A$3="Maximize",1,-1)*SUM(SUMIF($B108:$B118,$Y107,P108:P118),SUMIF($B108:$B118,$Z107,P108:P118),SUMIF($B108:$B118,$AA107,P108:P118),SUMIF($B108:$B118,$AB107,P108:P118),SUMIF($B108:$B118,$AC107,P108:P118),SUMIF($B108:$B118,$AD107,P108:P118),SUMIF($B108:$B118,$AE107,P108:P118),SUMIF($B108:$B118,$AF107,P108:P118),SUMIF($B108:$B118,$AG107,P108:P118),SUMIF($B108:$B118,$AH107,P108:P118),SUMIF($B108:$B118,$AI107,P108:P118)))</f>
        <v>-49.999999999999993</v>
      </c>
      <c r="Q119" s="1">
        <f>IF(SUM(COUNTIF($B108:$B118,$Y107),COUNTIF($B108:$B118,$Z107),COUNTIF($B108:$B118,$AA107),COUNTIF($B108:$B118,$AB107),COUNTIF($B108:$B118,$AC107),COUNTIF($B108:$B118,$AD107),COUNTIF($B108:$B118,$AE107),COUNTIF($B108:$B118,$AF107),COUNTIF($B108:$B118,$AG107),COUNTIF($B108:$B118,$AH107),COUNTIF($B108:$B118,$AI107))=0,Q106-SUMPRODUCT($A108:$A118,Q108:Q118),IF('Data-solution'!$A$3="Maximize",1,-1)*SUM(SUMIF($B108:$B118,$Y107,Q108:Q118),SUMIF($B108:$B118,$Z107,Q108:Q118),SUMIF($B108:$B118,$AA107,Q108:Q118),SUMIF($B108:$B118,$AB107,Q108:Q118),SUMIF($B108:$B118,$AC107,Q108:Q118),SUMIF($B108:$B118,$AD107,Q108:Q118),SUMIF($B108:$B118,$AE107,Q108:Q118),SUMIF($B108:$B118,$AF107,Q108:Q118),SUMIF($B108:$B118,$AG107,Q108:Q118),SUMIF($B108:$B118,$AH107,Q108:Q118),SUMIF($B108:$B118,$AI107,Q108:Q118)))</f>
        <v>-50</v>
      </c>
      <c r="R119" s="1">
        <f>IF(SUM(COUNTIF($B108:$B118,$Y107),COUNTIF($B108:$B118,$Z107),COUNTIF($B108:$B118,$AA107),COUNTIF($B108:$B118,$AB107),COUNTIF($B108:$B118,$AC107),COUNTIF($B108:$B118,$AD107),COUNTIF($B108:$B118,$AE107),COUNTIF($B108:$B118,$AF107),COUNTIF($B108:$B118,$AG107),COUNTIF($B108:$B118,$AH107),COUNTIF($B108:$B118,$AI107))=0,R106-SUMPRODUCT($A108:$A118,R108:R118),IF('Data-solution'!$A$3="Maximize",1,-1)*SUM(SUMIF($B108:$B118,$Y107,R108:R118),SUMIF($B108:$B118,$Z107,R108:R118),SUMIF($B108:$B118,$AA107,R108:R118),SUMIF($B108:$B118,$AB107,R108:R118),SUMIF($B108:$B118,$AC107,R108:R118),SUMIF($B108:$B118,$AD107,R108:R118),SUMIF($B108:$B118,$AE107,R108:R118),SUMIF($B108:$B118,$AF107,R108:R118),SUMIF($B108:$B118,$AG107,R108:R118),SUMIF($B108:$B118,$AH107,R108:R118),SUMIF($B108:$B118,$AI107,R108:R118)))</f>
        <v>0</v>
      </c>
      <c r="S119" s="1">
        <f>IF(SUM(COUNTIF($B108:$B118,$Y107),COUNTIF($B108:$B118,$Z107),COUNTIF($B108:$B118,$AA107),COUNTIF($B108:$B118,$AB107),COUNTIF($B108:$B118,$AC107),COUNTIF($B108:$B118,$AD107),COUNTIF($B108:$B118,$AE107),COUNTIF($B108:$B118,$AF107),COUNTIF($B108:$B118,$AG107),COUNTIF($B108:$B118,$AH107),COUNTIF($B108:$B118,$AI107))=0,S106-SUMPRODUCT($A108:$A118,S108:S118),IF('Data-solution'!$A$3="Maximize",1,-1)*SUM(SUMIF($B108:$B118,$Y107,S108:S118),SUMIF($B108:$B118,$Z107,S108:S118),SUMIF($B108:$B118,$AA107,S108:S118),SUMIF($B108:$B118,$AB107,S108:S118),SUMIF($B108:$B118,$AC107,S108:S118),SUMIF($B108:$B118,$AD107,S108:S118),SUMIF($B108:$B118,$AE107,S108:S118),SUMIF($B108:$B118,$AF107,S108:S118),SUMIF($B108:$B118,$AG107,S108:S118),SUMIF($B108:$B118,$AH107,S108:S118),SUMIF($B108:$B118,$AI107,S108:S118)))</f>
        <v>0</v>
      </c>
      <c r="T119" s="1">
        <f>IF(SUM(COUNTIF($B108:$B118,$Y107),COUNTIF($B108:$B118,$Z107),COUNTIF($B108:$B118,$AA107),COUNTIF($B108:$B118,$AB107),COUNTIF($B108:$B118,$AC107),COUNTIF($B108:$B118,$AD107),COUNTIF($B108:$B118,$AE107),COUNTIF($B108:$B118,$AF107),COUNTIF($B108:$B118,$AG107),COUNTIF($B108:$B118,$AH107),COUNTIF($B108:$B118,$AI107))=0,T106-SUMPRODUCT($A108:$A118,T108:T118),IF('Data-solution'!$A$3="Maximize",1,-1)*SUM(SUMIF($B108:$B118,$Y107,T108:T118),SUMIF($B108:$B118,$Z107,T108:T118),SUMIF($B108:$B118,$AA107,T108:T118),SUMIF($B108:$B118,$AB107,T108:T118),SUMIF($B108:$B118,$AC107,T108:T118),SUMIF($B108:$B118,$AD107,T108:T118),SUMIF($B108:$B118,$AE107,T108:T118),SUMIF($B108:$B118,$AF107,T108:T118),SUMIF($B108:$B118,$AG107,T108:T118),SUMIF($B108:$B118,$AH107,T108:T118),SUMIF($B108:$B118,$AI107,T108:T118)))</f>
        <v>0</v>
      </c>
      <c r="U119" s="1">
        <f>IF(SUM(COUNTIF($B108:$B118,$Y107),COUNTIF($B108:$B118,$Z107),COUNTIF($B108:$B118,$AA107),COUNTIF($B108:$B118,$AB107),COUNTIF($B108:$B118,$AC107),COUNTIF($B108:$B118,$AD107),COUNTIF($B108:$B118,$AE107),COUNTIF($B108:$B118,$AF107),COUNTIF($B108:$B118,$AG107),COUNTIF($B108:$B118,$AH107),COUNTIF($B108:$B118,$AI107))=0,U106-SUMPRODUCT($A108:$A118,U108:U118),IF('Data-solution'!$A$3="Maximize",1,-1)*SUM(SUMIF($B108:$B118,$Y107,U108:U118),SUMIF($B108:$B118,$Z107,U108:U118),SUMIF($B108:$B118,$AA107,U108:U118),SUMIF($B108:$B118,$AB107,U108:U118),SUMIF($B108:$B118,$AC107,U108:U118),SUMIF($B108:$B118,$AD107,U108:U118),SUMIF($B108:$B118,$AE107,U108:U118),SUMIF($B108:$B118,$AF107,U108:U118),SUMIF($B108:$B118,$AG107,U108:U118),SUMIF($B108:$B118,$AH107,U108:U118),SUMIF($B108:$B118,$AI107,U108:U118)))</f>
        <v>0</v>
      </c>
      <c r="V119" s="1">
        <f>IF(SUM(COUNTIF($B108:$B118,$Y107),COUNTIF($B108:$B118,$Z107),COUNTIF($B108:$B118,$AA107),COUNTIF($B108:$B118,$AB107),COUNTIF($B108:$B118,$AC107),COUNTIF($B108:$B118,$AD107),COUNTIF($B108:$B118,$AE107),COUNTIF($B108:$B118,$AF107),COUNTIF($B108:$B118,$AG107),COUNTIF($B108:$B118,$AH107),COUNTIF($B108:$B118,$AI107))=0,V106-SUMPRODUCT($A108:$A118,V108:V118),IF('Data-solution'!$A$3="Maximize",1,-1)*SUM(SUMIF($B108:$B118,$Y107,V108:V118),SUMIF($B108:$B118,$Z107,V108:V118),SUMIF($B108:$B118,$AA107,V108:V118),SUMIF($B108:$B118,$AB107,V108:V118),SUMIF($B108:$B118,$AC107,V108:V118),SUMIF($B108:$B118,$AD107,V108:V118),SUMIF($B108:$B118,$AE107,V108:V118),SUMIF($B108:$B118,$AF107,V108:V118),SUMIF($B108:$B118,$AG107,V108:V118),SUMIF($B108:$B118,$AH107,V108:V118),SUMIF($B108:$B118,$AI107,V108:V118)))</f>
        <v>0</v>
      </c>
      <c r="W119" s="1">
        <f>IF(SUM(COUNTIF($B108:$B118,$Y107),COUNTIF($B108:$B118,$Z107),COUNTIF($B108:$B118,$AA107),COUNTIF($B108:$B118,$AB107),COUNTIF($B108:$B118,$AC107),COUNTIF($B108:$B118,$AD107),COUNTIF($B108:$B118,$AE107),COUNTIF($B108:$B118,$AF107),COUNTIF($B108:$B118,$AG107),COUNTIF($B108:$B118,$AH107),COUNTIF($B108:$B118,$AI107))=0,W106-SUMPRODUCT($A108:$A118,W108:W118),IF('Data-solution'!$A$3="Maximize",1,-1)*SUM(SUMIF($B108:$B118,$Y107,W108:W118),SUMIF($B108:$B118,$Z107,W108:W118),SUMIF($B108:$B118,$AA107,W108:W118),SUMIF($B108:$B118,$AB107,W108:W118),SUMIF($B108:$B118,$AC107,W108:W118),SUMIF($B108:$B118,$AD107,W108:W118),SUMIF($B108:$B118,$AE107,W108:W118),SUMIF($B108:$B118,$AF107,W108:W118),SUMIF($B108:$B118,$AG107,W108:W118),SUMIF($B108:$B118,$AH107,W108:W118),SUMIF($B108:$B118,$AI107,W108:W118)))</f>
        <v>0</v>
      </c>
      <c r="X119" s="1">
        <f>IF(SUM(COUNTIF($B108:$B118,$Y107),COUNTIF($B108:$B118,$Z107),COUNTIF($B108:$B118,$AA107),COUNTIF($B108:$B118,$AB107),COUNTIF($B108:$B118,$AC107),COUNTIF($B108:$B118,$AD107),COUNTIF($B108:$B118,$AE107),COUNTIF($B108:$B118,$AF107),COUNTIF($B108:$B118,$AG107),COUNTIF($B108:$B118,$AH107),COUNTIF($B108:$B118,$AI107))=0,X106-SUMPRODUCT($A108:$A118,X108:X118),IF('Data-solution'!$A$3="Maximize",1,-1)*SUM(SUMIF($B108:$B118,$Y107,X108:X118),SUMIF($B108:$B118,$Z107,X108:X118),SUMIF($B108:$B118,$AA107,X108:X118),SUMIF($B108:$B118,$AB107,X108:X118),SUMIF($B108:$B118,$AC107,X108:X118),SUMIF($B108:$B118,$AD107,X108:X118),SUMIF($B108:$B118,$AE107,X108:X118),SUMIF($B108:$B118,$AF107,X108:X118),SUMIF($B108:$B118,$AG107,X108:X118),SUMIF($B108:$B118,$AH107,X108:X118),SUMIF($B108:$B118,$AI107,X108:X118)))</f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2">
        <f t="shared" ref="AJ119" si="93">IF(SUMPRODUCT(A108:A118,AJ108:AJ118)&gt;=0,SUMPRODUCT(A108:A118,AJ108:AJ118),0)</f>
        <v>120000</v>
      </c>
    </row>
    <row r="121" spans="1:37" ht="18" customHeight="1" x14ac:dyDescent="0.2">
      <c r="A121" s="1" t="s">
        <v>67</v>
      </c>
      <c r="B121" s="2" t="s">
        <v>4</v>
      </c>
      <c r="C121" s="1">
        <f t="shared" ref="C121" si="94">C$1</f>
        <v>150</v>
      </c>
      <c r="D121" s="1">
        <f t="shared" si="78"/>
        <v>200</v>
      </c>
      <c r="E121" s="1">
        <f t="shared" si="78"/>
        <v>350</v>
      </c>
      <c r="F121" s="1">
        <f t="shared" si="78"/>
        <v>0</v>
      </c>
      <c r="G121" s="1">
        <f t="shared" si="78"/>
        <v>0</v>
      </c>
      <c r="H121" s="1">
        <f t="shared" si="78"/>
        <v>0</v>
      </c>
      <c r="I121" s="1">
        <f t="shared" si="78"/>
        <v>0</v>
      </c>
      <c r="J121" s="1">
        <f t="shared" si="78"/>
        <v>0</v>
      </c>
      <c r="K121" s="1">
        <f t="shared" si="78"/>
        <v>0</v>
      </c>
      <c r="L121" s="1">
        <f t="shared" si="78"/>
        <v>0</v>
      </c>
      <c r="M121" s="1">
        <f t="shared" si="78"/>
        <v>0</v>
      </c>
      <c r="N121" s="1">
        <f t="shared" si="78"/>
        <v>0</v>
      </c>
      <c r="O121" s="1">
        <f t="shared" si="78"/>
        <v>0</v>
      </c>
      <c r="P121" s="1">
        <f t="shared" si="78"/>
        <v>0</v>
      </c>
      <c r="Q121" s="1">
        <f t="shared" si="78"/>
        <v>0</v>
      </c>
      <c r="R121" s="1">
        <f t="shared" si="78"/>
        <v>0</v>
      </c>
      <c r="S121" s="1">
        <f t="shared" si="78"/>
        <v>0</v>
      </c>
      <c r="T121" s="1">
        <f t="shared" si="78"/>
        <v>0</v>
      </c>
      <c r="U121" s="1">
        <f t="shared" si="78"/>
        <v>0</v>
      </c>
      <c r="V121" s="1">
        <f t="shared" si="78"/>
        <v>0</v>
      </c>
      <c r="W121" s="1">
        <f t="shared" si="78"/>
        <v>0</v>
      </c>
      <c r="X121" s="1">
        <f t="shared" si="78"/>
        <v>0</v>
      </c>
      <c r="Y121" s="1">
        <f t="shared" si="78"/>
        <v>-999999</v>
      </c>
      <c r="Z121" s="1">
        <f t="shared" si="78"/>
        <v>-999999</v>
      </c>
      <c r="AA121" s="1">
        <f t="shared" si="78"/>
        <v>-999999</v>
      </c>
      <c r="AB121" s="1">
        <f t="shared" si="78"/>
        <v>-999999</v>
      </c>
      <c r="AC121" s="1">
        <f t="shared" si="78"/>
        <v>-999999</v>
      </c>
      <c r="AD121" s="1">
        <f t="shared" si="78"/>
        <v>-999999</v>
      </c>
      <c r="AE121" s="1">
        <f t="shared" si="78"/>
        <v>-999999</v>
      </c>
      <c r="AF121" s="1">
        <f t="shared" si="78"/>
        <v>-999999</v>
      </c>
      <c r="AG121" s="1">
        <f t="shared" si="78"/>
        <v>-999999</v>
      </c>
      <c r="AH121" s="1">
        <f t="shared" si="78"/>
        <v>-999999</v>
      </c>
      <c r="AI121" s="1">
        <f t="shared" si="78"/>
        <v>-999999</v>
      </c>
    </row>
    <row r="122" spans="1:37" ht="18" customHeight="1" x14ac:dyDescent="0.2">
      <c r="A122" s="2" t="s">
        <v>3</v>
      </c>
      <c r="B122" s="2" t="s">
        <v>1</v>
      </c>
      <c r="C122" s="2" t="str">
        <f t="shared" ref="C122" si="95">C$2</f>
        <v>X1</v>
      </c>
      <c r="D122" s="2" t="str">
        <f t="shared" si="81"/>
        <v>X2</v>
      </c>
      <c r="E122" s="2" t="str">
        <f t="shared" si="81"/>
        <v>X3</v>
      </c>
      <c r="F122" s="2" t="str">
        <f t="shared" si="81"/>
        <v>X4</v>
      </c>
      <c r="G122" s="2" t="str">
        <f t="shared" si="81"/>
        <v>X5</v>
      </c>
      <c r="H122" s="2" t="str">
        <f t="shared" si="81"/>
        <v>X6</v>
      </c>
      <c r="I122" s="2" t="str">
        <f t="shared" si="81"/>
        <v>X7</v>
      </c>
      <c r="J122" s="2" t="str">
        <f t="shared" si="81"/>
        <v>X8</v>
      </c>
      <c r="K122" s="2" t="str">
        <f t="shared" si="81"/>
        <v>X9</v>
      </c>
      <c r="L122" s="2" t="str">
        <f t="shared" si="81"/>
        <v>X10</v>
      </c>
      <c r="M122" s="2" t="str">
        <f t="shared" si="81"/>
        <v>X11</v>
      </c>
      <c r="N122" s="2" t="str">
        <f t="shared" si="81"/>
        <v>S1</v>
      </c>
      <c r="O122" s="2" t="str">
        <f t="shared" si="81"/>
        <v>S2</v>
      </c>
      <c r="P122" s="2" t="str">
        <f t="shared" si="81"/>
        <v>S3</v>
      </c>
      <c r="Q122" s="2" t="str">
        <f t="shared" si="81"/>
        <v>S4</v>
      </c>
      <c r="R122" s="2" t="str">
        <f t="shared" si="81"/>
        <v>S5</v>
      </c>
      <c r="S122" s="2" t="str">
        <f t="shared" si="81"/>
        <v>S6</v>
      </c>
      <c r="T122" s="2" t="str">
        <f t="shared" si="81"/>
        <v>S7</v>
      </c>
      <c r="U122" s="2" t="str">
        <f t="shared" si="81"/>
        <v>S8</v>
      </c>
      <c r="V122" s="2" t="str">
        <f t="shared" si="81"/>
        <v>S9</v>
      </c>
      <c r="W122" s="2" t="str">
        <f t="shared" si="81"/>
        <v>S10</v>
      </c>
      <c r="X122" s="2" t="str">
        <f t="shared" si="81"/>
        <v>S11</v>
      </c>
      <c r="Y122" s="2" t="str">
        <f t="shared" si="81"/>
        <v xml:space="preserve"> </v>
      </c>
      <c r="Z122" s="2" t="str">
        <f t="shared" si="81"/>
        <v xml:space="preserve"> </v>
      </c>
      <c r="AA122" s="2" t="str">
        <f t="shared" si="81"/>
        <v xml:space="preserve"> </v>
      </c>
      <c r="AB122" s="2" t="str">
        <f t="shared" si="81"/>
        <v xml:space="preserve"> </v>
      </c>
      <c r="AC122" s="2" t="str">
        <f t="shared" si="81"/>
        <v xml:space="preserve"> </v>
      </c>
      <c r="AD122" s="2" t="str">
        <f t="shared" si="81"/>
        <v xml:space="preserve"> </v>
      </c>
      <c r="AE122" s="2" t="str">
        <f t="shared" si="81"/>
        <v xml:space="preserve"> </v>
      </c>
      <c r="AF122" s="2" t="str">
        <f t="shared" si="81"/>
        <v xml:space="preserve"> </v>
      </c>
      <c r="AG122" s="2" t="str">
        <f t="shared" si="81"/>
        <v xml:space="preserve"> </v>
      </c>
      <c r="AH122" s="2" t="str">
        <f t="shared" si="81"/>
        <v xml:space="preserve"> </v>
      </c>
      <c r="AI122" s="2" t="str">
        <f t="shared" si="81"/>
        <v xml:space="preserve"> </v>
      </c>
      <c r="AJ122" s="2" t="s">
        <v>9</v>
      </c>
      <c r="AK122" s="2" t="s">
        <v>10</v>
      </c>
    </row>
    <row r="123" spans="1:37" ht="18" customHeight="1" x14ac:dyDescent="0.2">
      <c r="A123" s="1">
        <f t="shared" ref="A123" si="96">INDEX(C121:AI121,1,MATCH(B123,C122:AI122,0))</f>
        <v>0</v>
      </c>
      <c r="B123" s="2" t="str">
        <f>IF(AND('Data-solution'!A$3="Maximize",COUNTIF(C119:X119,"&gt;"&amp;0)&gt;0,AK108=MIN(AK108:AK118)),INDEX(C107:X107,1,MATCH(MAX(C119:X119),C119:X119,0)),IF(AND('Data-solution'!A$3="Minimize",COUNTIF(C119:X119,"&lt;"&amp;0)&gt;0,AK108=MIN(AK108:AK118)),INDEX(C107:X107,1,MATCH(MIN(C119:X119),C119:X119,0)),B108))</f>
        <v>S1</v>
      </c>
      <c r="C123" s="1">
        <f>IF(OR($B123&lt;&gt;$B108,$B124&lt;&gt;$B109,$B125&lt;&gt;$B110,$B126&lt;&gt;$B111,$B127&lt;&gt;$B112,$B128&lt;&gt;$B113,$B129&lt;&gt;$B114,$B130&lt;&gt;$B115,$B131&lt;&gt;$B116,$B132&lt;&gt;$B117,$B133&lt;&gt;$B118),IF($B123&lt;&gt;$B108,C108/INDEX($C108:$AJ118,1,MATCH(IF('Data-solution'!$A$3="Maximize",MAX($C119:$AI119),MIN($C119:$AI119)),$C119:$AI119,0)),C108-INDEX($C108:$AJ118,1,MATCH(IF('Data-solution'!$A$3="Maximize",MAX($C119:$AI119),MIN($C119:$AI119)),$C119:$AI119,0))*INDEX(C108:$AJ118,MATCH(MIN($AK108:$AK118),$AK108:$AK118,0),1)/INDEX($C108:$AJ118,MATCH(MIN($AK108:$AK118),$AK108:$AK118,0),MATCH(IF('Data-solution'!$A$3="Maximize",MAX($C119:$AI119),MIN($C119:$AI119)),$C119:$AI119,0))),C108)</f>
        <v>0</v>
      </c>
      <c r="D123" s="1">
        <f>IF(OR($B123&lt;&gt;$B108,$B124&lt;&gt;$B109,$B125&lt;&gt;$B110,$B126&lt;&gt;$B111,$B127&lt;&gt;$B112,$B128&lt;&gt;$B113,$B129&lt;&gt;$B114,$B130&lt;&gt;$B115,$B131&lt;&gt;$B116,$B132&lt;&gt;$B117,$B133&lt;&gt;$B118),IF($B123&lt;&gt;$B108,D108/INDEX($C108:$AJ118,1,MATCH(IF('Data-solution'!$A$3="Maximize",MAX($C119:$AI119),MIN($C119:$AI119)),$C119:$AI119,0)),D108-INDEX($C108:$AJ118,1,MATCH(IF('Data-solution'!$A$3="Maximize",MAX($C119:$AI119),MIN($C119:$AI119)),$C119:$AI119,0))*INDEX(D108:$AJ118,MATCH(MIN($AK108:$AK118),$AK108:$AK118,0),1)/INDEX($C108:$AJ118,MATCH(MIN($AK108:$AK118),$AK108:$AK118,0),MATCH(IF('Data-solution'!$A$3="Maximize",MAX($C119:$AI119),MIN($C119:$AI119)),$C119:$AI119,0))),D108)</f>
        <v>1</v>
      </c>
      <c r="E123" s="1">
        <f>IF(OR($B123&lt;&gt;$B108,$B124&lt;&gt;$B109,$B125&lt;&gt;$B110,$B126&lt;&gt;$B111,$B127&lt;&gt;$B112,$B128&lt;&gt;$B113,$B129&lt;&gt;$B114,$B130&lt;&gt;$B115,$B131&lt;&gt;$B116,$B132&lt;&gt;$B117,$B133&lt;&gt;$B118),IF($B123&lt;&gt;$B108,E108/INDEX($C108:$AJ118,1,MATCH(IF('Data-solution'!$A$3="Maximize",MAX($C119:$AI119),MIN($C119:$AI119)),$C119:$AI119,0)),E108-INDEX($C108:$AJ118,1,MATCH(IF('Data-solution'!$A$3="Maximize",MAX($C119:$AI119),MIN($C119:$AI119)),$C119:$AI119,0))*INDEX(E108:$AJ118,MATCH(MIN($AK108:$AK118),$AK108:$AK118,0),1)/INDEX($C108:$AJ118,MATCH(MIN($AK108:$AK118),$AK108:$AK118,0),MATCH(IF('Data-solution'!$A$3="Maximize",MAX($C119:$AI119),MIN($C119:$AI119)),$C119:$AI119,0))),E108)</f>
        <v>0</v>
      </c>
      <c r="F123" s="1">
        <f>IF(OR($B123&lt;&gt;$B108,$B124&lt;&gt;$B109,$B125&lt;&gt;$B110,$B126&lt;&gt;$B111,$B127&lt;&gt;$B112,$B128&lt;&gt;$B113,$B129&lt;&gt;$B114,$B130&lt;&gt;$B115,$B131&lt;&gt;$B116,$B132&lt;&gt;$B117,$B133&lt;&gt;$B118),IF($B123&lt;&gt;$B108,F108/INDEX($C108:$AJ118,1,MATCH(IF('Data-solution'!$A$3="Maximize",MAX($C119:$AI119),MIN($C119:$AI119)),$C119:$AI119,0)),F108-INDEX($C108:$AJ118,1,MATCH(IF('Data-solution'!$A$3="Maximize",MAX($C119:$AI119),MIN($C119:$AI119)),$C119:$AI119,0))*INDEX(F108:$AJ118,MATCH(MIN($AK108:$AK118),$AK108:$AK118,0),1)/INDEX($C108:$AJ118,MATCH(MIN($AK108:$AK118),$AK108:$AK118,0),MATCH(IF('Data-solution'!$A$3="Maximize",MAX($C119:$AI119),MIN($C119:$AI119)),$C119:$AI119,0))),F108)</f>
        <v>0</v>
      </c>
      <c r="G123" s="1">
        <f>IF(OR($B123&lt;&gt;$B108,$B124&lt;&gt;$B109,$B125&lt;&gt;$B110,$B126&lt;&gt;$B111,$B127&lt;&gt;$B112,$B128&lt;&gt;$B113,$B129&lt;&gt;$B114,$B130&lt;&gt;$B115,$B131&lt;&gt;$B116,$B132&lt;&gt;$B117,$B133&lt;&gt;$B118),IF($B123&lt;&gt;$B108,G108/INDEX($C108:$AJ118,1,MATCH(IF('Data-solution'!$A$3="Maximize",MAX($C119:$AI119),MIN($C119:$AI119)),$C119:$AI119,0)),G108-INDEX($C108:$AJ118,1,MATCH(IF('Data-solution'!$A$3="Maximize",MAX($C119:$AI119),MIN($C119:$AI119)),$C119:$AI119,0))*INDEX(G108:$AJ118,MATCH(MIN($AK108:$AK118),$AK108:$AK118,0),1)/INDEX($C108:$AJ118,MATCH(MIN($AK108:$AK118),$AK108:$AK118,0),MATCH(IF('Data-solution'!$A$3="Maximize",MAX($C119:$AI119),MIN($C119:$AI119)),$C119:$AI119,0))),G108)</f>
        <v>0</v>
      </c>
      <c r="H123" s="1">
        <f>IF(OR($B123&lt;&gt;$B108,$B124&lt;&gt;$B109,$B125&lt;&gt;$B110,$B126&lt;&gt;$B111,$B127&lt;&gt;$B112,$B128&lt;&gt;$B113,$B129&lt;&gt;$B114,$B130&lt;&gt;$B115,$B131&lt;&gt;$B116,$B132&lt;&gt;$B117,$B133&lt;&gt;$B118),IF($B123&lt;&gt;$B108,H108/INDEX($C108:$AJ118,1,MATCH(IF('Data-solution'!$A$3="Maximize",MAX($C119:$AI119),MIN($C119:$AI119)),$C119:$AI119,0)),H108-INDEX($C108:$AJ118,1,MATCH(IF('Data-solution'!$A$3="Maximize",MAX($C119:$AI119),MIN($C119:$AI119)),$C119:$AI119,0))*INDEX(H108:$AJ118,MATCH(MIN($AK108:$AK118),$AK108:$AK118,0),1)/INDEX($C108:$AJ118,MATCH(MIN($AK108:$AK118),$AK108:$AK118,0),MATCH(IF('Data-solution'!$A$3="Maximize",MAX($C119:$AI119),MIN($C119:$AI119)),$C119:$AI119,0))),H108)</f>
        <v>0</v>
      </c>
      <c r="I123" s="1">
        <f>IF(OR($B123&lt;&gt;$B108,$B124&lt;&gt;$B109,$B125&lt;&gt;$B110,$B126&lt;&gt;$B111,$B127&lt;&gt;$B112,$B128&lt;&gt;$B113,$B129&lt;&gt;$B114,$B130&lt;&gt;$B115,$B131&lt;&gt;$B116,$B132&lt;&gt;$B117,$B133&lt;&gt;$B118),IF($B123&lt;&gt;$B108,I108/INDEX($C108:$AJ118,1,MATCH(IF('Data-solution'!$A$3="Maximize",MAX($C119:$AI119),MIN($C119:$AI119)),$C119:$AI119,0)),I108-INDEX($C108:$AJ118,1,MATCH(IF('Data-solution'!$A$3="Maximize",MAX($C119:$AI119),MIN($C119:$AI119)),$C119:$AI119,0))*INDEX(I108:$AJ118,MATCH(MIN($AK108:$AK118),$AK108:$AK118,0),1)/INDEX($C108:$AJ118,MATCH(MIN($AK108:$AK118),$AK108:$AK118,0),MATCH(IF('Data-solution'!$A$3="Maximize",MAX($C119:$AI119),MIN($C119:$AI119)),$C119:$AI119,0))),I108)</f>
        <v>0</v>
      </c>
      <c r="J123" s="1">
        <f>IF(OR($B123&lt;&gt;$B108,$B124&lt;&gt;$B109,$B125&lt;&gt;$B110,$B126&lt;&gt;$B111,$B127&lt;&gt;$B112,$B128&lt;&gt;$B113,$B129&lt;&gt;$B114,$B130&lt;&gt;$B115,$B131&lt;&gt;$B116,$B132&lt;&gt;$B117,$B133&lt;&gt;$B118),IF($B123&lt;&gt;$B108,J108/INDEX($C108:$AJ118,1,MATCH(IF('Data-solution'!$A$3="Maximize",MAX($C119:$AI119),MIN($C119:$AI119)),$C119:$AI119,0)),J108-INDEX($C108:$AJ118,1,MATCH(IF('Data-solution'!$A$3="Maximize",MAX($C119:$AI119),MIN($C119:$AI119)),$C119:$AI119,0))*INDEX(J108:$AJ118,MATCH(MIN($AK108:$AK118),$AK108:$AK118,0),1)/INDEX($C108:$AJ118,MATCH(MIN($AK108:$AK118),$AK108:$AK118,0),MATCH(IF('Data-solution'!$A$3="Maximize",MAX($C119:$AI119),MIN($C119:$AI119)),$C119:$AI119,0))),J108)</f>
        <v>0</v>
      </c>
      <c r="K123" s="1">
        <f>IF(OR($B123&lt;&gt;$B108,$B124&lt;&gt;$B109,$B125&lt;&gt;$B110,$B126&lt;&gt;$B111,$B127&lt;&gt;$B112,$B128&lt;&gt;$B113,$B129&lt;&gt;$B114,$B130&lt;&gt;$B115,$B131&lt;&gt;$B116,$B132&lt;&gt;$B117,$B133&lt;&gt;$B118),IF($B123&lt;&gt;$B108,K108/INDEX($C108:$AJ118,1,MATCH(IF('Data-solution'!$A$3="Maximize",MAX($C119:$AI119),MIN($C119:$AI119)),$C119:$AI119,0)),K108-INDEX($C108:$AJ118,1,MATCH(IF('Data-solution'!$A$3="Maximize",MAX($C119:$AI119),MIN($C119:$AI119)),$C119:$AI119,0))*INDEX(K108:$AJ118,MATCH(MIN($AK108:$AK118),$AK108:$AK118,0),1)/INDEX($C108:$AJ118,MATCH(MIN($AK108:$AK118),$AK108:$AK118,0),MATCH(IF('Data-solution'!$A$3="Maximize",MAX($C119:$AI119),MIN($C119:$AI119)),$C119:$AI119,0))),K108)</f>
        <v>0</v>
      </c>
      <c r="L123" s="1">
        <f>IF(OR($B123&lt;&gt;$B108,$B124&lt;&gt;$B109,$B125&lt;&gt;$B110,$B126&lt;&gt;$B111,$B127&lt;&gt;$B112,$B128&lt;&gt;$B113,$B129&lt;&gt;$B114,$B130&lt;&gt;$B115,$B131&lt;&gt;$B116,$B132&lt;&gt;$B117,$B133&lt;&gt;$B118),IF($B123&lt;&gt;$B108,L108/INDEX($C108:$AJ118,1,MATCH(IF('Data-solution'!$A$3="Maximize",MAX($C119:$AI119),MIN($C119:$AI119)),$C119:$AI119,0)),L108-INDEX($C108:$AJ118,1,MATCH(IF('Data-solution'!$A$3="Maximize",MAX($C119:$AI119),MIN($C119:$AI119)),$C119:$AI119,0))*INDEX(L108:$AJ118,MATCH(MIN($AK108:$AK118),$AK108:$AK118,0),1)/INDEX($C108:$AJ118,MATCH(MIN($AK108:$AK118),$AK108:$AK118,0),MATCH(IF('Data-solution'!$A$3="Maximize",MAX($C119:$AI119),MIN($C119:$AI119)),$C119:$AI119,0))),L108)</f>
        <v>0</v>
      </c>
      <c r="M123" s="1">
        <f>IF(OR($B123&lt;&gt;$B108,$B124&lt;&gt;$B109,$B125&lt;&gt;$B110,$B126&lt;&gt;$B111,$B127&lt;&gt;$B112,$B128&lt;&gt;$B113,$B129&lt;&gt;$B114,$B130&lt;&gt;$B115,$B131&lt;&gt;$B116,$B132&lt;&gt;$B117,$B133&lt;&gt;$B118),IF($B123&lt;&gt;$B108,M108/INDEX($C108:$AJ118,1,MATCH(IF('Data-solution'!$A$3="Maximize",MAX($C119:$AI119),MIN($C119:$AI119)),$C119:$AI119,0)),M108-INDEX($C108:$AJ118,1,MATCH(IF('Data-solution'!$A$3="Maximize",MAX($C119:$AI119),MIN($C119:$AI119)),$C119:$AI119,0))*INDEX(M108:$AJ118,MATCH(MIN($AK108:$AK118),$AK108:$AK118,0),1)/INDEX($C108:$AJ118,MATCH(MIN($AK108:$AK118),$AK108:$AK118,0),MATCH(IF('Data-solution'!$A$3="Maximize",MAX($C119:$AI119),MIN($C119:$AI119)),$C119:$AI119,0))),M108)</f>
        <v>0</v>
      </c>
      <c r="N123" s="1">
        <f>IF(OR($B123&lt;&gt;$B108,$B124&lt;&gt;$B109,$B125&lt;&gt;$B110,$B126&lt;&gt;$B111,$B127&lt;&gt;$B112,$B128&lt;&gt;$B113,$B129&lt;&gt;$B114,$B130&lt;&gt;$B115,$B131&lt;&gt;$B116,$B132&lt;&gt;$B117,$B133&lt;&gt;$B118),IF($B123&lt;&gt;$B108,N108/INDEX($C108:$AJ118,1,MATCH(IF('Data-solution'!$A$3="Maximize",MAX($C119:$AI119),MIN($C119:$AI119)),$C119:$AI119,0)),N108-INDEX($C108:$AJ118,1,MATCH(IF('Data-solution'!$A$3="Maximize",MAX($C119:$AI119),MIN($C119:$AI119)),$C119:$AI119,0))*INDEX(N108:$AJ118,MATCH(MIN($AK108:$AK118),$AK108:$AK118,0),1)/INDEX($C108:$AJ118,MATCH(MIN($AK108:$AK118),$AK108:$AK118,0),MATCH(IF('Data-solution'!$A$3="Maximize",MAX($C119:$AI119),MIN($C119:$AI119)),$C119:$AI119,0))),N108)</f>
        <v>1</v>
      </c>
      <c r="O123" s="1">
        <f>IF(OR($B123&lt;&gt;$B108,$B124&lt;&gt;$B109,$B125&lt;&gt;$B110,$B126&lt;&gt;$B111,$B127&lt;&gt;$B112,$B128&lt;&gt;$B113,$B129&lt;&gt;$B114,$B130&lt;&gt;$B115,$B131&lt;&gt;$B116,$B132&lt;&gt;$B117,$B133&lt;&gt;$B118),IF($B123&lt;&gt;$B108,O108/INDEX($C108:$AJ118,1,MATCH(IF('Data-solution'!$A$3="Maximize",MAX($C119:$AI119),MIN($C119:$AI119)),$C119:$AI119,0)),O108-INDEX($C108:$AJ118,1,MATCH(IF('Data-solution'!$A$3="Maximize",MAX($C119:$AI119),MIN($C119:$AI119)),$C119:$AI119,0))*INDEX(O108:$AJ118,MATCH(MIN($AK108:$AK118),$AK108:$AK118,0),1)/INDEX($C108:$AJ118,MATCH(MIN($AK108:$AK118),$AK108:$AK118,0),MATCH(IF('Data-solution'!$A$3="Maximize",MAX($C119:$AI119),MIN($C119:$AI119)),$C119:$AI119,0))),O108)</f>
        <v>0</v>
      </c>
      <c r="P123" s="1">
        <f>IF(OR($B123&lt;&gt;$B108,$B124&lt;&gt;$B109,$B125&lt;&gt;$B110,$B126&lt;&gt;$B111,$B127&lt;&gt;$B112,$B128&lt;&gt;$B113,$B129&lt;&gt;$B114,$B130&lt;&gt;$B115,$B131&lt;&gt;$B116,$B132&lt;&gt;$B117,$B133&lt;&gt;$B118),IF($B123&lt;&gt;$B108,P108/INDEX($C108:$AJ118,1,MATCH(IF('Data-solution'!$A$3="Maximize",MAX($C119:$AI119),MIN($C119:$AI119)),$C119:$AI119,0)),P108-INDEX($C108:$AJ118,1,MATCH(IF('Data-solution'!$A$3="Maximize",MAX($C119:$AI119),MIN($C119:$AI119)),$C119:$AI119,0))*INDEX(P108:$AJ118,MATCH(MIN($AK108:$AK118),$AK108:$AK118,0),1)/INDEX($C108:$AJ118,MATCH(MIN($AK108:$AK118),$AK108:$AK118,0),MATCH(IF('Data-solution'!$A$3="Maximize",MAX($C119:$AI119),MIN($C119:$AI119)),$C119:$AI119,0))),P108)</f>
        <v>0</v>
      </c>
      <c r="Q123" s="1">
        <f>IF(OR($B123&lt;&gt;$B108,$B124&lt;&gt;$B109,$B125&lt;&gt;$B110,$B126&lt;&gt;$B111,$B127&lt;&gt;$B112,$B128&lt;&gt;$B113,$B129&lt;&gt;$B114,$B130&lt;&gt;$B115,$B131&lt;&gt;$B116,$B132&lt;&gt;$B117,$B133&lt;&gt;$B118),IF($B123&lt;&gt;$B108,Q108/INDEX($C108:$AJ118,1,MATCH(IF('Data-solution'!$A$3="Maximize",MAX($C119:$AI119),MIN($C119:$AI119)),$C119:$AI119,0)),Q108-INDEX($C108:$AJ118,1,MATCH(IF('Data-solution'!$A$3="Maximize",MAX($C119:$AI119),MIN($C119:$AI119)),$C119:$AI119,0))*INDEX(Q108:$AJ118,MATCH(MIN($AK108:$AK118),$AK108:$AK118,0),1)/INDEX($C108:$AJ118,MATCH(MIN($AK108:$AK118),$AK108:$AK118,0),MATCH(IF('Data-solution'!$A$3="Maximize",MAX($C119:$AI119),MIN($C119:$AI119)),$C119:$AI119,0))),Q108)</f>
        <v>-1</v>
      </c>
      <c r="R123" s="1">
        <f>IF(OR($B123&lt;&gt;$B108,$B124&lt;&gt;$B109,$B125&lt;&gt;$B110,$B126&lt;&gt;$B111,$B127&lt;&gt;$B112,$B128&lt;&gt;$B113,$B129&lt;&gt;$B114,$B130&lt;&gt;$B115,$B131&lt;&gt;$B116,$B132&lt;&gt;$B117,$B133&lt;&gt;$B118),IF($B123&lt;&gt;$B108,R108/INDEX($C108:$AJ118,1,MATCH(IF('Data-solution'!$A$3="Maximize",MAX($C119:$AI119),MIN($C119:$AI119)),$C119:$AI119,0)),R108-INDEX($C108:$AJ118,1,MATCH(IF('Data-solution'!$A$3="Maximize",MAX($C119:$AI119),MIN($C119:$AI119)),$C119:$AI119,0))*INDEX(R108:$AJ118,MATCH(MIN($AK108:$AK118),$AK108:$AK118,0),1)/INDEX($C108:$AJ118,MATCH(MIN($AK108:$AK118),$AK108:$AK118,0),MATCH(IF('Data-solution'!$A$3="Maximize",MAX($C119:$AI119),MIN($C119:$AI119)),$C119:$AI119,0))),R108)</f>
        <v>0</v>
      </c>
      <c r="S123" s="1">
        <f>IF(OR($B123&lt;&gt;$B108,$B124&lt;&gt;$B109,$B125&lt;&gt;$B110,$B126&lt;&gt;$B111,$B127&lt;&gt;$B112,$B128&lt;&gt;$B113,$B129&lt;&gt;$B114,$B130&lt;&gt;$B115,$B131&lt;&gt;$B116,$B132&lt;&gt;$B117,$B133&lt;&gt;$B118),IF($B123&lt;&gt;$B108,S108/INDEX($C108:$AJ118,1,MATCH(IF('Data-solution'!$A$3="Maximize",MAX($C119:$AI119),MIN($C119:$AI119)),$C119:$AI119,0)),S108-INDEX($C108:$AJ118,1,MATCH(IF('Data-solution'!$A$3="Maximize",MAX($C119:$AI119),MIN($C119:$AI119)),$C119:$AI119,0))*INDEX(S108:$AJ118,MATCH(MIN($AK108:$AK118),$AK108:$AK118,0),1)/INDEX($C108:$AJ118,MATCH(MIN($AK108:$AK118),$AK108:$AK118,0),MATCH(IF('Data-solution'!$A$3="Maximize",MAX($C119:$AI119),MIN($C119:$AI119)),$C119:$AI119,0))),S108)</f>
        <v>0</v>
      </c>
      <c r="T123" s="1">
        <f>IF(OR($B123&lt;&gt;$B108,$B124&lt;&gt;$B109,$B125&lt;&gt;$B110,$B126&lt;&gt;$B111,$B127&lt;&gt;$B112,$B128&lt;&gt;$B113,$B129&lt;&gt;$B114,$B130&lt;&gt;$B115,$B131&lt;&gt;$B116,$B132&lt;&gt;$B117,$B133&lt;&gt;$B118),IF($B123&lt;&gt;$B108,T108/INDEX($C108:$AJ118,1,MATCH(IF('Data-solution'!$A$3="Maximize",MAX($C119:$AI119),MIN($C119:$AI119)),$C119:$AI119,0)),T108-INDEX($C108:$AJ118,1,MATCH(IF('Data-solution'!$A$3="Maximize",MAX($C119:$AI119),MIN($C119:$AI119)),$C119:$AI119,0))*INDEX(T108:$AJ118,MATCH(MIN($AK108:$AK118),$AK108:$AK118,0),1)/INDEX($C108:$AJ118,MATCH(MIN($AK108:$AK118),$AK108:$AK118,0),MATCH(IF('Data-solution'!$A$3="Maximize",MAX($C119:$AI119),MIN($C119:$AI119)),$C119:$AI119,0))),T108)</f>
        <v>0</v>
      </c>
      <c r="U123" s="1">
        <f>IF(OR($B123&lt;&gt;$B108,$B124&lt;&gt;$B109,$B125&lt;&gt;$B110,$B126&lt;&gt;$B111,$B127&lt;&gt;$B112,$B128&lt;&gt;$B113,$B129&lt;&gt;$B114,$B130&lt;&gt;$B115,$B131&lt;&gt;$B116,$B132&lt;&gt;$B117,$B133&lt;&gt;$B118),IF($B123&lt;&gt;$B108,U108/INDEX($C108:$AJ118,1,MATCH(IF('Data-solution'!$A$3="Maximize",MAX($C119:$AI119),MIN($C119:$AI119)),$C119:$AI119,0)),U108-INDEX($C108:$AJ118,1,MATCH(IF('Data-solution'!$A$3="Maximize",MAX($C119:$AI119),MIN($C119:$AI119)),$C119:$AI119,0))*INDEX(U108:$AJ118,MATCH(MIN($AK108:$AK118),$AK108:$AK118,0),1)/INDEX($C108:$AJ118,MATCH(MIN($AK108:$AK118),$AK108:$AK118,0),MATCH(IF('Data-solution'!$A$3="Maximize",MAX($C119:$AI119),MIN($C119:$AI119)),$C119:$AI119,0))),U108)</f>
        <v>0</v>
      </c>
      <c r="V123" s="1">
        <f>IF(OR($B123&lt;&gt;$B108,$B124&lt;&gt;$B109,$B125&lt;&gt;$B110,$B126&lt;&gt;$B111,$B127&lt;&gt;$B112,$B128&lt;&gt;$B113,$B129&lt;&gt;$B114,$B130&lt;&gt;$B115,$B131&lt;&gt;$B116,$B132&lt;&gt;$B117,$B133&lt;&gt;$B118),IF($B123&lt;&gt;$B108,V108/INDEX($C108:$AJ118,1,MATCH(IF('Data-solution'!$A$3="Maximize",MAX($C119:$AI119),MIN($C119:$AI119)),$C119:$AI119,0)),V108-INDEX($C108:$AJ118,1,MATCH(IF('Data-solution'!$A$3="Maximize",MAX($C119:$AI119),MIN($C119:$AI119)),$C119:$AI119,0))*INDEX(V108:$AJ118,MATCH(MIN($AK108:$AK118),$AK108:$AK118,0),1)/INDEX($C108:$AJ118,MATCH(MIN($AK108:$AK118),$AK108:$AK118,0),MATCH(IF('Data-solution'!$A$3="Maximize",MAX($C119:$AI119),MIN($C119:$AI119)),$C119:$AI119,0))),V108)</f>
        <v>0</v>
      </c>
      <c r="W123" s="1">
        <f>IF(OR($B123&lt;&gt;$B108,$B124&lt;&gt;$B109,$B125&lt;&gt;$B110,$B126&lt;&gt;$B111,$B127&lt;&gt;$B112,$B128&lt;&gt;$B113,$B129&lt;&gt;$B114,$B130&lt;&gt;$B115,$B131&lt;&gt;$B116,$B132&lt;&gt;$B117,$B133&lt;&gt;$B118),IF($B123&lt;&gt;$B108,W108/INDEX($C108:$AJ118,1,MATCH(IF('Data-solution'!$A$3="Maximize",MAX($C119:$AI119),MIN($C119:$AI119)),$C119:$AI119,0)),W108-INDEX($C108:$AJ118,1,MATCH(IF('Data-solution'!$A$3="Maximize",MAX($C119:$AI119),MIN($C119:$AI119)),$C119:$AI119,0))*INDEX(W108:$AJ118,MATCH(MIN($AK108:$AK118),$AK108:$AK118,0),1)/INDEX($C108:$AJ118,MATCH(MIN($AK108:$AK118),$AK108:$AK118,0),MATCH(IF('Data-solution'!$A$3="Maximize",MAX($C119:$AI119),MIN($C119:$AI119)),$C119:$AI119,0))),W108)</f>
        <v>0</v>
      </c>
      <c r="X123" s="1">
        <f>IF(OR($B123&lt;&gt;$B108,$B124&lt;&gt;$B109,$B125&lt;&gt;$B110,$B126&lt;&gt;$B111,$B127&lt;&gt;$B112,$B128&lt;&gt;$B113,$B129&lt;&gt;$B114,$B130&lt;&gt;$B115,$B131&lt;&gt;$B116,$B132&lt;&gt;$B117,$B133&lt;&gt;$B118),IF($B123&lt;&gt;$B108,X108/INDEX($C108:$AJ118,1,MATCH(IF('Data-solution'!$A$3="Maximize",MAX($C119:$AI119),MIN($C119:$AI119)),$C119:$AI119,0)),X108-INDEX($C108:$AJ118,1,MATCH(IF('Data-solution'!$A$3="Maximize",MAX($C119:$AI119),MIN($C119:$AI119)),$C119:$AI119,0))*INDEX(X108:$AJ118,MATCH(MIN($AK108:$AK118),$AK108:$AK118,0),1)/INDEX($C108:$AJ118,MATCH(MIN($AK108:$AK118),$AK108:$AK118,0),MATCH(IF('Data-solution'!$A$3="Maximize",MAX($C119:$AI119),MIN($C119:$AI119)),$C119:$AI119,0))),X108)</f>
        <v>0</v>
      </c>
      <c r="Y123" s="1">
        <f>IF(OR($B123&lt;&gt;$B108,$B124&lt;&gt;$B109,$B125&lt;&gt;$B110,$B126&lt;&gt;$B111,$B127&lt;&gt;$B112,$B128&lt;&gt;$B113,$B129&lt;&gt;$B114,$B130&lt;&gt;$B115,$B131&lt;&gt;$B116,$B132&lt;&gt;$B117,$B133&lt;&gt;$B118),IF($B123&lt;&gt;$B108,Y108/INDEX($C108:$AJ118,1,MATCH(IF('Data-solution'!$A$3="Maximize",MAX($C119:$AI119),MIN($C119:$AI119)),$C119:$AI119,0)),Y108-INDEX($C108:$AJ118,1,MATCH(IF('Data-solution'!$A$3="Maximize",MAX($C119:$AI119),MIN($C119:$AI119)),$C119:$AI119,0))*INDEX(Y108:$AJ118,MATCH(MIN($AK108:$AK118),$AK108:$AK118,0),1)/INDEX($C108:$AJ118,MATCH(MIN($AK108:$AK118),$AK108:$AK118,0),MATCH(IF('Data-solution'!$A$3="Maximize",MAX($C119:$AI119),MIN($C119:$AI119)),$C119:$AI119,0))),Y108)</f>
        <v>1</v>
      </c>
      <c r="Z123" s="1">
        <f>IF(OR($B123&lt;&gt;$B108,$B124&lt;&gt;$B109,$B125&lt;&gt;$B110,$B126&lt;&gt;$B111,$B127&lt;&gt;$B112,$B128&lt;&gt;$B113,$B129&lt;&gt;$B114,$B130&lt;&gt;$B115,$B131&lt;&gt;$B116,$B132&lt;&gt;$B117,$B133&lt;&gt;$B118),IF($B123&lt;&gt;$B108,Z108/INDEX($C108:$AJ118,1,MATCH(IF('Data-solution'!$A$3="Maximize",MAX($C119:$AI119),MIN($C119:$AI119)),$C119:$AI119,0)),Z108-INDEX($C108:$AJ118,1,MATCH(IF('Data-solution'!$A$3="Maximize",MAX($C119:$AI119),MIN($C119:$AI119)),$C119:$AI119,0))*INDEX(Z108:$AJ118,MATCH(MIN($AK108:$AK118),$AK108:$AK118,0),1)/INDEX($C108:$AJ118,MATCH(MIN($AK108:$AK118),$AK108:$AK118,0),MATCH(IF('Data-solution'!$A$3="Maximize",MAX($C119:$AI119),MIN($C119:$AI119)),$C119:$AI119,0))),Z108)</f>
        <v>0</v>
      </c>
      <c r="AA123" s="1">
        <f>IF(OR($B123&lt;&gt;$B108,$B124&lt;&gt;$B109,$B125&lt;&gt;$B110,$B126&lt;&gt;$B111,$B127&lt;&gt;$B112,$B128&lt;&gt;$B113,$B129&lt;&gt;$B114,$B130&lt;&gt;$B115,$B131&lt;&gt;$B116,$B132&lt;&gt;$B117,$B133&lt;&gt;$B118),IF($B123&lt;&gt;$B108,AA108/INDEX($C108:$AJ118,1,MATCH(IF('Data-solution'!$A$3="Maximize",MAX($C119:$AI119),MIN($C119:$AI119)),$C119:$AI119,0)),AA108-INDEX($C108:$AJ118,1,MATCH(IF('Data-solution'!$A$3="Maximize",MAX($C119:$AI119),MIN($C119:$AI119)),$C119:$AI119,0))*INDEX(AA108:$AJ118,MATCH(MIN($AK108:$AK118),$AK108:$AK118,0),1)/INDEX($C108:$AJ118,MATCH(MIN($AK108:$AK118),$AK108:$AK118,0),MATCH(IF('Data-solution'!$A$3="Maximize",MAX($C119:$AI119),MIN($C119:$AI119)),$C119:$AI119,0))),AA108)</f>
        <v>0</v>
      </c>
      <c r="AB123" s="1">
        <f>IF(OR($B123&lt;&gt;$B108,$B124&lt;&gt;$B109,$B125&lt;&gt;$B110,$B126&lt;&gt;$B111,$B127&lt;&gt;$B112,$B128&lt;&gt;$B113,$B129&lt;&gt;$B114,$B130&lt;&gt;$B115,$B131&lt;&gt;$B116,$B132&lt;&gt;$B117,$B133&lt;&gt;$B118),IF($B123&lt;&gt;$B108,AB108/INDEX($C108:$AJ118,1,MATCH(IF('Data-solution'!$A$3="Maximize",MAX($C119:$AI119),MIN($C119:$AI119)),$C119:$AI119,0)),AB108-INDEX($C108:$AJ118,1,MATCH(IF('Data-solution'!$A$3="Maximize",MAX($C119:$AI119),MIN($C119:$AI119)),$C119:$AI119,0))*INDEX(AB108:$AJ118,MATCH(MIN($AK108:$AK118),$AK108:$AK118,0),1)/INDEX($C108:$AJ118,MATCH(MIN($AK108:$AK118),$AK108:$AK118,0),MATCH(IF('Data-solution'!$A$3="Maximize",MAX($C119:$AI119),MIN($C119:$AI119)),$C119:$AI119,0))),AB108)</f>
        <v>-1</v>
      </c>
      <c r="AC123" s="1">
        <f>IF(OR($B123&lt;&gt;$B108,$B124&lt;&gt;$B109,$B125&lt;&gt;$B110,$B126&lt;&gt;$B111,$B127&lt;&gt;$B112,$B128&lt;&gt;$B113,$B129&lt;&gt;$B114,$B130&lt;&gt;$B115,$B131&lt;&gt;$B116,$B132&lt;&gt;$B117,$B133&lt;&gt;$B118),IF($B123&lt;&gt;$B108,AC108/INDEX($C108:$AJ118,1,MATCH(IF('Data-solution'!$A$3="Maximize",MAX($C119:$AI119),MIN($C119:$AI119)),$C119:$AI119,0)),AC108-INDEX($C108:$AJ118,1,MATCH(IF('Data-solution'!$A$3="Maximize",MAX($C119:$AI119),MIN($C119:$AI119)),$C119:$AI119,0))*INDEX(AC108:$AJ118,MATCH(MIN($AK108:$AK118),$AK108:$AK118,0),1)/INDEX($C108:$AJ118,MATCH(MIN($AK108:$AK118),$AK108:$AK118,0),MATCH(IF('Data-solution'!$A$3="Maximize",MAX($C119:$AI119),MIN($C119:$AI119)),$C119:$AI119,0))),AC108)</f>
        <v>0</v>
      </c>
      <c r="AD123" s="1">
        <f>IF(OR($B123&lt;&gt;$B108,$B124&lt;&gt;$B109,$B125&lt;&gt;$B110,$B126&lt;&gt;$B111,$B127&lt;&gt;$B112,$B128&lt;&gt;$B113,$B129&lt;&gt;$B114,$B130&lt;&gt;$B115,$B131&lt;&gt;$B116,$B132&lt;&gt;$B117,$B133&lt;&gt;$B118),IF($B123&lt;&gt;$B108,AD108/INDEX($C108:$AJ118,1,MATCH(IF('Data-solution'!$A$3="Maximize",MAX($C119:$AI119),MIN($C119:$AI119)),$C119:$AI119,0)),AD108-INDEX($C108:$AJ118,1,MATCH(IF('Data-solution'!$A$3="Maximize",MAX($C119:$AI119),MIN($C119:$AI119)),$C119:$AI119,0))*INDEX(AD108:$AJ118,MATCH(MIN($AK108:$AK118),$AK108:$AK118,0),1)/INDEX($C108:$AJ118,MATCH(MIN($AK108:$AK118),$AK108:$AK118,0),MATCH(IF('Data-solution'!$A$3="Maximize",MAX($C119:$AI119),MIN($C119:$AI119)),$C119:$AI119,0))),AD108)</f>
        <v>0</v>
      </c>
      <c r="AE123" s="1">
        <f>IF(OR($B123&lt;&gt;$B108,$B124&lt;&gt;$B109,$B125&lt;&gt;$B110,$B126&lt;&gt;$B111,$B127&lt;&gt;$B112,$B128&lt;&gt;$B113,$B129&lt;&gt;$B114,$B130&lt;&gt;$B115,$B131&lt;&gt;$B116,$B132&lt;&gt;$B117,$B133&lt;&gt;$B118),IF($B123&lt;&gt;$B108,AE108/INDEX($C108:$AJ118,1,MATCH(IF('Data-solution'!$A$3="Maximize",MAX($C119:$AI119),MIN($C119:$AI119)),$C119:$AI119,0)),AE108-INDEX($C108:$AJ118,1,MATCH(IF('Data-solution'!$A$3="Maximize",MAX($C119:$AI119),MIN($C119:$AI119)),$C119:$AI119,0))*INDEX(AE108:$AJ118,MATCH(MIN($AK108:$AK118),$AK108:$AK118,0),1)/INDEX($C108:$AJ118,MATCH(MIN($AK108:$AK118),$AK108:$AK118,0),MATCH(IF('Data-solution'!$A$3="Maximize",MAX($C119:$AI119),MIN($C119:$AI119)),$C119:$AI119,0))),AE108)</f>
        <v>0</v>
      </c>
      <c r="AF123" s="1">
        <f>IF(OR($B123&lt;&gt;$B108,$B124&lt;&gt;$B109,$B125&lt;&gt;$B110,$B126&lt;&gt;$B111,$B127&lt;&gt;$B112,$B128&lt;&gt;$B113,$B129&lt;&gt;$B114,$B130&lt;&gt;$B115,$B131&lt;&gt;$B116,$B132&lt;&gt;$B117,$B133&lt;&gt;$B118),IF($B123&lt;&gt;$B108,AF108/INDEX($C108:$AJ118,1,MATCH(IF('Data-solution'!$A$3="Maximize",MAX($C119:$AI119),MIN($C119:$AI119)),$C119:$AI119,0)),AF108-INDEX($C108:$AJ118,1,MATCH(IF('Data-solution'!$A$3="Maximize",MAX($C119:$AI119),MIN($C119:$AI119)),$C119:$AI119,0))*INDEX(AF108:$AJ118,MATCH(MIN($AK108:$AK118),$AK108:$AK118,0),1)/INDEX($C108:$AJ118,MATCH(MIN($AK108:$AK118),$AK108:$AK118,0),MATCH(IF('Data-solution'!$A$3="Maximize",MAX($C119:$AI119),MIN($C119:$AI119)),$C119:$AI119,0))),AF108)</f>
        <v>0</v>
      </c>
      <c r="AG123" s="1">
        <f>IF(OR($B123&lt;&gt;$B108,$B124&lt;&gt;$B109,$B125&lt;&gt;$B110,$B126&lt;&gt;$B111,$B127&lt;&gt;$B112,$B128&lt;&gt;$B113,$B129&lt;&gt;$B114,$B130&lt;&gt;$B115,$B131&lt;&gt;$B116,$B132&lt;&gt;$B117,$B133&lt;&gt;$B118),IF($B123&lt;&gt;$B108,AG108/INDEX($C108:$AJ118,1,MATCH(IF('Data-solution'!$A$3="Maximize",MAX($C119:$AI119),MIN($C119:$AI119)),$C119:$AI119,0)),AG108-INDEX($C108:$AJ118,1,MATCH(IF('Data-solution'!$A$3="Maximize",MAX($C119:$AI119),MIN($C119:$AI119)),$C119:$AI119,0))*INDEX(AG108:$AJ118,MATCH(MIN($AK108:$AK118),$AK108:$AK118,0),1)/INDEX($C108:$AJ118,MATCH(MIN($AK108:$AK118),$AK108:$AK118,0),MATCH(IF('Data-solution'!$A$3="Maximize",MAX($C119:$AI119),MIN($C119:$AI119)),$C119:$AI119,0))),AG108)</f>
        <v>0</v>
      </c>
      <c r="AH123" s="1">
        <f>IF(OR($B123&lt;&gt;$B108,$B124&lt;&gt;$B109,$B125&lt;&gt;$B110,$B126&lt;&gt;$B111,$B127&lt;&gt;$B112,$B128&lt;&gt;$B113,$B129&lt;&gt;$B114,$B130&lt;&gt;$B115,$B131&lt;&gt;$B116,$B132&lt;&gt;$B117,$B133&lt;&gt;$B118),IF($B123&lt;&gt;$B108,AH108/INDEX($C108:$AJ118,1,MATCH(IF('Data-solution'!$A$3="Maximize",MAX($C119:$AI119),MIN($C119:$AI119)),$C119:$AI119,0)),AH108-INDEX($C108:$AJ118,1,MATCH(IF('Data-solution'!$A$3="Maximize",MAX($C119:$AI119),MIN($C119:$AI119)),$C119:$AI119,0))*INDEX(AH108:$AJ118,MATCH(MIN($AK108:$AK118),$AK108:$AK118,0),1)/INDEX($C108:$AJ118,MATCH(MIN($AK108:$AK118),$AK108:$AK118,0),MATCH(IF('Data-solution'!$A$3="Maximize",MAX($C119:$AI119),MIN($C119:$AI119)),$C119:$AI119,0))),AH108)</f>
        <v>0</v>
      </c>
      <c r="AI123" s="1">
        <f>IF(OR($B123&lt;&gt;$B108,$B124&lt;&gt;$B109,$B125&lt;&gt;$B110,$B126&lt;&gt;$B111,$B127&lt;&gt;$B112,$B128&lt;&gt;$B113,$B129&lt;&gt;$B114,$B130&lt;&gt;$B115,$B131&lt;&gt;$B116,$B132&lt;&gt;$B117,$B133&lt;&gt;$B118),IF($B123&lt;&gt;$B108,AI108/INDEX($C108:$AJ118,1,MATCH(IF('Data-solution'!$A$3="Maximize",MAX($C119:$AI119),MIN($C119:$AI119)),$C119:$AI119,0)),AI108-INDEX($C108:$AJ118,1,MATCH(IF('Data-solution'!$A$3="Maximize",MAX($C119:$AI119),MIN($C119:$AI119)),$C119:$AI119,0))*INDEX(AI108:$AJ118,MATCH(MIN($AK108:$AK118),$AK108:$AK118,0),1)/INDEX($C108:$AJ118,MATCH(MIN($AK108:$AK118),$AK108:$AK118,0),MATCH(IF('Data-solution'!$A$3="Maximize",MAX($C119:$AI119),MIN($C119:$AI119)),$C119:$AI119,0))),AI108)</f>
        <v>0</v>
      </c>
      <c r="AJ123" s="1">
        <f>IF(OR($B123&lt;&gt;$B108,$B124&lt;&gt;$B109,$B125&lt;&gt;$B110,$B126&lt;&gt;$B111,$B127&lt;&gt;$B112,$B128&lt;&gt;$B113,$B129&lt;&gt;$B114,$B130&lt;&gt;$B115,$B131&lt;&gt;$B116,$B132&lt;&gt;$B117,$B133&lt;&gt;$B118),IF($B123&lt;&gt;$B108,AJ108/INDEX($C108:$AJ118,1,MATCH(IF('Data-solution'!$A$3="Maximize",MAX($C119:$AI119),MIN($C119:$AI119)),$C119:$AI119,0)),AJ108-INDEX($C108:$AJ118,1,MATCH(IF('Data-solution'!$A$3="Maximize",MAX($C119:$AI119),MIN($C119:$AI119)),$C119:$AI119,0))*INDEX(AJ108:$AJ118,MATCH(MIN($AK108:$AK118),$AK108:$AK118,0),1)/INDEX($C108:$AJ118,MATCH(MIN($AK108:$AK118),$AK108:$AK118,0),MATCH(IF('Data-solution'!$A$3="Maximize",MAX($C119:$AI119),MIN($C119:$AI119)),$C119:$AI119,0))),AJ108)</f>
        <v>150</v>
      </c>
      <c r="AK123" s="1" t="str">
        <f>IF(INDEX(C123:X123,1,MATCH(IF('Data-solution'!A$3="Maximize",MAX(C134:X134),MIN(C134:X134)),C134:X134,0))&gt;0,AJ123/INDEX(C123:X123,1,MATCH(IF('Data-solution'!A$3="Maximize",MAX(C134:X134),MIN(C134:X134)),C134:X134,0))," ")</f>
        <v xml:space="preserve"> </v>
      </c>
    </row>
    <row r="124" spans="1:37" ht="18" customHeight="1" x14ac:dyDescent="0.2">
      <c r="A124" s="1">
        <f t="shared" ref="A124" si="97">INDEX(C121:AI121,1,MATCH(B124,C122:AI122,0))</f>
        <v>0</v>
      </c>
      <c r="B124" s="2" t="str">
        <f>IF(AND('Data-solution'!A$3="Maximize",COUNTIF(C119:X119,"&gt;"&amp;0)&gt;0,AK109=MIN(AK108:AK118),COUNTIF(B123,INDEX(C107:X107,1,MATCH(MAX(C119:X119),C119:X119,0)))=0),INDEX(C107:X107,1,MATCH(MAX(C119:X119),C119:X119,0)),IF(AND('Data-solution'!A$3="Minimize",COUNTIF(C119:X119,"&lt;"&amp;0)&gt;0,AK109=MIN(AK108:AK118),COUNTIF(B123,INDEX(C107:X107,1,MATCH(MIN(C119:X119),C119:X119,0)))=0),INDEX(C107:X107,1,MATCH(MIN(C119:X119),C119:X119,0)),B109))</f>
        <v>S2</v>
      </c>
      <c r="C124" s="1">
        <f>IF(OR($B123&lt;&gt;$B108,$B124&lt;&gt;$B109,$B125&lt;&gt;$B110,$B126&lt;&gt;$B111,$B127&lt;&gt;$B112,$B128&lt;&gt;$B113,$B129&lt;&gt;$B114,$B130&lt;&gt;$B115,$B131&lt;&gt;$B116,$B132&lt;&gt;$B117,$B133&lt;&gt;$B118),IF($B124&lt;&gt;$B109,C109/INDEX($C108:$AJ118,2,MATCH(IF('Data-solution'!$A$3="Maximize",MAX($C119:$AI119),MIN($C119:$AI119)),$C119:$AI119,0)),C109-INDEX($C108:$AJ118,2,MATCH(IF('Data-solution'!$A$3="Maximize",MAX($C119:$AI119),MIN($C119:$AI119)),$C119:$AI119,0))*INDEX(C108:$AJ118,MATCH(MIN($AK108:$AK118),$AK108:$AK118,0),1)/INDEX($C108:$AJ118,MATCH(MIN($AK108:$AK118),$AK108:$AK118,0),MATCH(IF('Data-solution'!$A$3="Maximize",MAX($C119:$AI119),MIN($C119:$AI119)),$C119:$AI119,0))),C109)</f>
        <v>0</v>
      </c>
      <c r="D124" s="1">
        <f>IF(OR($B123&lt;&gt;$B108,$B124&lt;&gt;$B109,$B125&lt;&gt;$B110,$B126&lt;&gt;$B111,$B127&lt;&gt;$B112,$B128&lt;&gt;$B113,$B129&lt;&gt;$B114,$B130&lt;&gt;$B115,$B131&lt;&gt;$B116,$B132&lt;&gt;$B117,$B133&lt;&gt;$B118),IF($B124&lt;&gt;$B109,D109/INDEX($C108:$AJ118,2,MATCH(IF('Data-solution'!$A$3="Maximize",MAX($C119:$AI119),MIN($C119:$AI119)),$C119:$AI119,0)),D109-INDEX($C108:$AJ118,2,MATCH(IF('Data-solution'!$A$3="Maximize",MAX($C119:$AI119),MIN($C119:$AI119)),$C119:$AI119,0))*INDEX(D108:$AJ118,MATCH(MIN($AK108:$AK118),$AK108:$AK118,0),1)/INDEX($C108:$AJ118,MATCH(MIN($AK108:$AK118),$AK108:$AK118,0),MATCH(IF('Data-solution'!$A$3="Maximize",MAX($C119:$AI119),MIN($C119:$AI119)),$C119:$AI119,0))),D109)</f>
        <v>1.75</v>
      </c>
      <c r="E124" s="1">
        <f>IF(OR($B123&lt;&gt;$B108,$B124&lt;&gt;$B109,$B125&lt;&gt;$B110,$B126&lt;&gt;$B111,$B127&lt;&gt;$B112,$B128&lt;&gt;$B113,$B129&lt;&gt;$B114,$B130&lt;&gt;$B115,$B131&lt;&gt;$B116,$B132&lt;&gt;$B117,$B133&lt;&gt;$B118),IF($B124&lt;&gt;$B109,E109/INDEX($C108:$AJ118,2,MATCH(IF('Data-solution'!$A$3="Maximize",MAX($C119:$AI119),MIN($C119:$AI119)),$C119:$AI119,0)),E109-INDEX($C108:$AJ118,2,MATCH(IF('Data-solution'!$A$3="Maximize",MAX($C119:$AI119),MIN($C119:$AI119)),$C119:$AI119,0))*INDEX(E108:$AJ118,MATCH(MIN($AK108:$AK118),$AK108:$AK118,0),1)/INDEX($C108:$AJ118,MATCH(MIN($AK108:$AK118),$AK108:$AK118,0),MATCH(IF('Data-solution'!$A$3="Maximize",MAX($C119:$AI119),MIN($C119:$AI119)),$C119:$AI119,0))),E109)</f>
        <v>0</v>
      </c>
      <c r="F124" s="1">
        <f>IF(OR($B123&lt;&gt;$B108,$B124&lt;&gt;$B109,$B125&lt;&gt;$B110,$B126&lt;&gt;$B111,$B127&lt;&gt;$B112,$B128&lt;&gt;$B113,$B129&lt;&gt;$B114,$B130&lt;&gt;$B115,$B131&lt;&gt;$B116,$B132&lt;&gt;$B117,$B133&lt;&gt;$B118),IF($B124&lt;&gt;$B109,F109/INDEX($C108:$AJ118,2,MATCH(IF('Data-solution'!$A$3="Maximize",MAX($C119:$AI119),MIN($C119:$AI119)),$C119:$AI119,0)),F109-INDEX($C108:$AJ118,2,MATCH(IF('Data-solution'!$A$3="Maximize",MAX($C119:$AI119),MIN($C119:$AI119)),$C119:$AI119,0))*INDEX(F108:$AJ118,MATCH(MIN($AK108:$AK118),$AK108:$AK118,0),1)/INDEX($C108:$AJ118,MATCH(MIN($AK108:$AK118),$AK108:$AK118,0),MATCH(IF('Data-solution'!$A$3="Maximize",MAX($C119:$AI119),MIN($C119:$AI119)),$C119:$AI119,0))),F109)</f>
        <v>0</v>
      </c>
      <c r="G124" s="1">
        <f>IF(OR($B123&lt;&gt;$B108,$B124&lt;&gt;$B109,$B125&lt;&gt;$B110,$B126&lt;&gt;$B111,$B127&lt;&gt;$B112,$B128&lt;&gt;$B113,$B129&lt;&gt;$B114,$B130&lt;&gt;$B115,$B131&lt;&gt;$B116,$B132&lt;&gt;$B117,$B133&lt;&gt;$B118),IF($B124&lt;&gt;$B109,G109/INDEX($C108:$AJ118,2,MATCH(IF('Data-solution'!$A$3="Maximize",MAX($C119:$AI119),MIN($C119:$AI119)),$C119:$AI119,0)),G109-INDEX($C108:$AJ118,2,MATCH(IF('Data-solution'!$A$3="Maximize",MAX($C119:$AI119),MIN($C119:$AI119)),$C119:$AI119,0))*INDEX(G108:$AJ118,MATCH(MIN($AK108:$AK118),$AK108:$AK118,0),1)/INDEX($C108:$AJ118,MATCH(MIN($AK108:$AK118),$AK108:$AK118,0),MATCH(IF('Data-solution'!$A$3="Maximize",MAX($C119:$AI119),MIN($C119:$AI119)),$C119:$AI119,0))),G109)</f>
        <v>0</v>
      </c>
      <c r="H124" s="1">
        <f>IF(OR($B123&lt;&gt;$B108,$B124&lt;&gt;$B109,$B125&lt;&gt;$B110,$B126&lt;&gt;$B111,$B127&lt;&gt;$B112,$B128&lt;&gt;$B113,$B129&lt;&gt;$B114,$B130&lt;&gt;$B115,$B131&lt;&gt;$B116,$B132&lt;&gt;$B117,$B133&lt;&gt;$B118),IF($B124&lt;&gt;$B109,H109/INDEX($C108:$AJ118,2,MATCH(IF('Data-solution'!$A$3="Maximize",MAX($C119:$AI119),MIN($C119:$AI119)),$C119:$AI119,0)),H109-INDEX($C108:$AJ118,2,MATCH(IF('Data-solution'!$A$3="Maximize",MAX($C119:$AI119),MIN($C119:$AI119)),$C119:$AI119,0))*INDEX(H108:$AJ118,MATCH(MIN($AK108:$AK118),$AK108:$AK118,0),1)/INDEX($C108:$AJ118,MATCH(MIN($AK108:$AK118),$AK108:$AK118,0),MATCH(IF('Data-solution'!$A$3="Maximize",MAX($C119:$AI119),MIN($C119:$AI119)),$C119:$AI119,0))),H109)</f>
        <v>0</v>
      </c>
      <c r="I124" s="1">
        <f>IF(OR($B123&lt;&gt;$B108,$B124&lt;&gt;$B109,$B125&lt;&gt;$B110,$B126&lt;&gt;$B111,$B127&lt;&gt;$B112,$B128&lt;&gt;$B113,$B129&lt;&gt;$B114,$B130&lt;&gt;$B115,$B131&lt;&gt;$B116,$B132&lt;&gt;$B117,$B133&lt;&gt;$B118),IF($B124&lt;&gt;$B109,I109/INDEX($C108:$AJ118,2,MATCH(IF('Data-solution'!$A$3="Maximize",MAX($C119:$AI119),MIN($C119:$AI119)),$C119:$AI119,0)),I109-INDEX($C108:$AJ118,2,MATCH(IF('Data-solution'!$A$3="Maximize",MAX($C119:$AI119),MIN($C119:$AI119)),$C119:$AI119,0))*INDEX(I108:$AJ118,MATCH(MIN($AK108:$AK118),$AK108:$AK118,0),1)/INDEX($C108:$AJ118,MATCH(MIN($AK108:$AK118),$AK108:$AK118,0),MATCH(IF('Data-solution'!$A$3="Maximize",MAX($C119:$AI119),MIN($C119:$AI119)),$C119:$AI119,0))),I109)</f>
        <v>0</v>
      </c>
      <c r="J124" s="1">
        <f>IF(OR($B123&lt;&gt;$B108,$B124&lt;&gt;$B109,$B125&lt;&gt;$B110,$B126&lt;&gt;$B111,$B127&lt;&gt;$B112,$B128&lt;&gt;$B113,$B129&lt;&gt;$B114,$B130&lt;&gt;$B115,$B131&lt;&gt;$B116,$B132&lt;&gt;$B117,$B133&lt;&gt;$B118),IF($B124&lt;&gt;$B109,J109/INDEX($C108:$AJ118,2,MATCH(IF('Data-solution'!$A$3="Maximize",MAX($C119:$AI119),MIN($C119:$AI119)),$C119:$AI119,0)),J109-INDEX($C108:$AJ118,2,MATCH(IF('Data-solution'!$A$3="Maximize",MAX($C119:$AI119),MIN($C119:$AI119)),$C119:$AI119,0))*INDEX(J108:$AJ118,MATCH(MIN($AK108:$AK118),$AK108:$AK118,0),1)/INDEX($C108:$AJ118,MATCH(MIN($AK108:$AK118),$AK108:$AK118,0),MATCH(IF('Data-solution'!$A$3="Maximize",MAX($C119:$AI119),MIN($C119:$AI119)),$C119:$AI119,0))),J109)</f>
        <v>0</v>
      </c>
      <c r="K124" s="1">
        <f>IF(OR($B123&lt;&gt;$B108,$B124&lt;&gt;$B109,$B125&lt;&gt;$B110,$B126&lt;&gt;$B111,$B127&lt;&gt;$B112,$B128&lt;&gt;$B113,$B129&lt;&gt;$B114,$B130&lt;&gt;$B115,$B131&lt;&gt;$B116,$B132&lt;&gt;$B117,$B133&lt;&gt;$B118),IF($B124&lt;&gt;$B109,K109/INDEX($C108:$AJ118,2,MATCH(IF('Data-solution'!$A$3="Maximize",MAX($C119:$AI119),MIN($C119:$AI119)),$C119:$AI119,0)),K109-INDEX($C108:$AJ118,2,MATCH(IF('Data-solution'!$A$3="Maximize",MAX($C119:$AI119),MIN($C119:$AI119)),$C119:$AI119,0))*INDEX(K108:$AJ118,MATCH(MIN($AK108:$AK118),$AK108:$AK118,0),1)/INDEX($C108:$AJ118,MATCH(MIN($AK108:$AK118),$AK108:$AK118,0),MATCH(IF('Data-solution'!$A$3="Maximize",MAX($C119:$AI119),MIN($C119:$AI119)),$C119:$AI119,0))),K109)</f>
        <v>0</v>
      </c>
      <c r="L124" s="1">
        <f>IF(OR($B123&lt;&gt;$B108,$B124&lt;&gt;$B109,$B125&lt;&gt;$B110,$B126&lt;&gt;$B111,$B127&lt;&gt;$B112,$B128&lt;&gt;$B113,$B129&lt;&gt;$B114,$B130&lt;&gt;$B115,$B131&lt;&gt;$B116,$B132&lt;&gt;$B117,$B133&lt;&gt;$B118),IF($B124&lt;&gt;$B109,L109/INDEX($C108:$AJ118,2,MATCH(IF('Data-solution'!$A$3="Maximize",MAX($C119:$AI119),MIN($C119:$AI119)),$C119:$AI119,0)),L109-INDEX($C108:$AJ118,2,MATCH(IF('Data-solution'!$A$3="Maximize",MAX($C119:$AI119),MIN($C119:$AI119)),$C119:$AI119,0))*INDEX(L108:$AJ118,MATCH(MIN($AK108:$AK118),$AK108:$AK118,0),1)/INDEX($C108:$AJ118,MATCH(MIN($AK108:$AK118),$AK108:$AK118,0),MATCH(IF('Data-solution'!$A$3="Maximize",MAX($C119:$AI119),MIN($C119:$AI119)),$C119:$AI119,0))),L109)</f>
        <v>0</v>
      </c>
      <c r="M124" s="1">
        <f>IF(OR($B123&lt;&gt;$B108,$B124&lt;&gt;$B109,$B125&lt;&gt;$B110,$B126&lt;&gt;$B111,$B127&lt;&gt;$B112,$B128&lt;&gt;$B113,$B129&lt;&gt;$B114,$B130&lt;&gt;$B115,$B131&lt;&gt;$B116,$B132&lt;&gt;$B117,$B133&lt;&gt;$B118),IF($B124&lt;&gt;$B109,M109/INDEX($C108:$AJ118,2,MATCH(IF('Data-solution'!$A$3="Maximize",MAX($C119:$AI119),MIN($C119:$AI119)),$C119:$AI119,0)),M109-INDEX($C108:$AJ118,2,MATCH(IF('Data-solution'!$A$3="Maximize",MAX($C119:$AI119),MIN($C119:$AI119)),$C119:$AI119,0))*INDEX(M108:$AJ118,MATCH(MIN($AK108:$AK118),$AK108:$AK118,0),1)/INDEX($C108:$AJ118,MATCH(MIN($AK108:$AK118),$AK108:$AK118,0),MATCH(IF('Data-solution'!$A$3="Maximize",MAX($C119:$AI119),MIN($C119:$AI119)),$C119:$AI119,0))),M109)</f>
        <v>0</v>
      </c>
      <c r="N124" s="1">
        <f>IF(OR($B123&lt;&gt;$B108,$B124&lt;&gt;$B109,$B125&lt;&gt;$B110,$B126&lt;&gt;$B111,$B127&lt;&gt;$B112,$B128&lt;&gt;$B113,$B129&lt;&gt;$B114,$B130&lt;&gt;$B115,$B131&lt;&gt;$B116,$B132&lt;&gt;$B117,$B133&lt;&gt;$B118),IF($B124&lt;&gt;$B109,N109/INDEX($C108:$AJ118,2,MATCH(IF('Data-solution'!$A$3="Maximize",MAX($C119:$AI119),MIN($C119:$AI119)),$C119:$AI119,0)),N109-INDEX($C108:$AJ118,2,MATCH(IF('Data-solution'!$A$3="Maximize",MAX($C119:$AI119),MIN($C119:$AI119)),$C119:$AI119,0))*INDEX(N108:$AJ118,MATCH(MIN($AK108:$AK118),$AK108:$AK118,0),1)/INDEX($C108:$AJ118,MATCH(MIN($AK108:$AK118),$AK108:$AK118,0),MATCH(IF('Data-solution'!$A$3="Maximize",MAX($C119:$AI119),MIN($C119:$AI119)),$C119:$AI119,0))),N109)</f>
        <v>0</v>
      </c>
      <c r="O124" s="1">
        <f>IF(OR($B123&lt;&gt;$B108,$B124&lt;&gt;$B109,$B125&lt;&gt;$B110,$B126&lt;&gt;$B111,$B127&lt;&gt;$B112,$B128&lt;&gt;$B113,$B129&lt;&gt;$B114,$B130&lt;&gt;$B115,$B131&lt;&gt;$B116,$B132&lt;&gt;$B117,$B133&lt;&gt;$B118),IF($B124&lt;&gt;$B109,O109/INDEX($C108:$AJ118,2,MATCH(IF('Data-solution'!$A$3="Maximize",MAX($C119:$AI119),MIN($C119:$AI119)),$C119:$AI119,0)),O109-INDEX($C108:$AJ118,2,MATCH(IF('Data-solution'!$A$3="Maximize",MAX($C119:$AI119),MIN($C119:$AI119)),$C119:$AI119,0))*INDEX(O108:$AJ118,MATCH(MIN($AK108:$AK118),$AK108:$AK118,0),1)/INDEX($C108:$AJ118,MATCH(MIN($AK108:$AK118),$AK108:$AK118,0),MATCH(IF('Data-solution'!$A$3="Maximize",MAX($C119:$AI119),MIN($C119:$AI119)),$C119:$AI119,0))),O109)</f>
        <v>1</v>
      </c>
      <c r="P124" s="1">
        <f>IF(OR($B123&lt;&gt;$B108,$B124&lt;&gt;$B109,$B125&lt;&gt;$B110,$B126&lt;&gt;$B111,$B127&lt;&gt;$B112,$B128&lt;&gt;$B113,$B129&lt;&gt;$B114,$B130&lt;&gt;$B115,$B131&lt;&gt;$B116,$B132&lt;&gt;$B117,$B133&lt;&gt;$B118),IF($B124&lt;&gt;$B109,P109/INDEX($C108:$AJ118,2,MATCH(IF('Data-solution'!$A$3="Maximize",MAX($C119:$AI119),MIN($C119:$AI119)),$C119:$AI119,0)),P109-INDEX($C108:$AJ118,2,MATCH(IF('Data-solution'!$A$3="Maximize",MAX($C119:$AI119),MIN($C119:$AI119)),$C119:$AI119,0))*INDEX(P108:$AJ118,MATCH(MIN($AK108:$AK118),$AK108:$AK118,0),1)/INDEX($C108:$AJ118,MATCH(MIN($AK108:$AK118),$AK108:$AK118,0),MATCH(IF('Data-solution'!$A$3="Maximize",MAX($C119:$AI119),MIN($C119:$AI119)),$C119:$AI119,0))),P109)</f>
        <v>-0.25</v>
      </c>
      <c r="Q124" s="1">
        <f>IF(OR($B123&lt;&gt;$B108,$B124&lt;&gt;$B109,$B125&lt;&gt;$B110,$B126&lt;&gt;$B111,$B127&lt;&gt;$B112,$B128&lt;&gt;$B113,$B129&lt;&gt;$B114,$B130&lt;&gt;$B115,$B131&lt;&gt;$B116,$B132&lt;&gt;$B117,$B133&lt;&gt;$B118),IF($B124&lt;&gt;$B109,Q109/INDEX($C108:$AJ118,2,MATCH(IF('Data-solution'!$A$3="Maximize",MAX($C119:$AI119),MIN($C119:$AI119)),$C119:$AI119,0)),Q109-INDEX($C108:$AJ118,2,MATCH(IF('Data-solution'!$A$3="Maximize",MAX($C119:$AI119),MIN($C119:$AI119)),$C119:$AI119,0))*INDEX(Q108:$AJ118,MATCH(MIN($AK108:$AK118),$AK108:$AK118,0),1)/INDEX($C108:$AJ118,MATCH(MIN($AK108:$AK118),$AK108:$AK118,0),MATCH(IF('Data-solution'!$A$3="Maximize",MAX($C119:$AI119),MIN($C119:$AI119)),$C119:$AI119,0))),Q109)</f>
        <v>-0.5</v>
      </c>
      <c r="R124" s="1">
        <f>IF(OR($B123&lt;&gt;$B108,$B124&lt;&gt;$B109,$B125&lt;&gt;$B110,$B126&lt;&gt;$B111,$B127&lt;&gt;$B112,$B128&lt;&gt;$B113,$B129&lt;&gt;$B114,$B130&lt;&gt;$B115,$B131&lt;&gt;$B116,$B132&lt;&gt;$B117,$B133&lt;&gt;$B118),IF($B124&lt;&gt;$B109,R109/INDEX($C108:$AJ118,2,MATCH(IF('Data-solution'!$A$3="Maximize",MAX($C119:$AI119),MIN($C119:$AI119)),$C119:$AI119,0)),R109-INDEX($C108:$AJ118,2,MATCH(IF('Data-solution'!$A$3="Maximize",MAX($C119:$AI119),MIN($C119:$AI119)),$C119:$AI119,0))*INDEX(R108:$AJ118,MATCH(MIN($AK108:$AK118),$AK108:$AK118,0),1)/INDEX($C108:$AJ118,MATCH(MIN($AK108:$AK118),$AK108:$AK118,0),MATCH(IF('Data-solution'!$A$3="Maximize",MAX($C119:$AI119),MIN($C119:$AI119)),$C119:$AI119,0))),R109)</f>
        <v>0</v>
      </c>
      <c r="S124" s="1">
        <f>IF(OR($B123&lt;&gt;$B108,$B124&lt;&gt;$B109,$B125&lt;&gt;$B110,$B126&lt;&gt;$B111,$B127&lt;&gt;$B112,$B128&lt;&gt;$B113,$B129&lt;&gt;$B114,$B130&lt;&gt;$B115,$B131&lt;&gt;$B116,$B132&lt;&gt;$B117,$B133&lt;&gt;$B118),IF($B124&lt;&gt;$B109,S109/INDEX($C108:$AJ118,2,MATCH(IF('Data-solution'!$A$3="Maximize",MAX($C119:$AI119),MIN($C119:$AI119)),$C119:$AI119,0)),S109-INDEX($C108:$AJ118,2,MATCH(IF('Data-solution'!$A$3="Maximize",MAX($C119:$AI119),MIN($C119:$AI119)),$C119:$AI119,0))*INDEX(S108:$AJ118,MATCH(MIN($AK108:$AK118),$AK108:$AK118,0),1)/INDEX($C108:$AJ118,MATCH(MIN($AK108:$AK118),$AK108:$AK118,0),MATCH(IF('Data-solution'!$A$3="Maximize",MAX($C119:$AI119),MIN($C119:$AI119)),$C119:$AI119,0))),S109)</f>
        <v>0</v>
      </c>
      <c r="T124" s="1">
        <f>IF(OR($B123&lt;&gt;$B108,$B124&lt;&gt;$B109,$B125&lt;&gt;$B110,$B126&lt;&gt;$B111,$B127&lt;&gt;$B112,$B128&lt;&gt;$B113,$B129&lt;&gt;$B114,$B130&lt;&gt;$B115,$B131&lt;&gt;$B116,$B132&lt;&gt;$B117,$B133&lt;&gt;$B118),IF($B124&lt;&gt;$B109,T109/INDEX($C108:$AJ118,2,MATCH(IF('Data-solution'!$A$3="Maximize",MAX($C119:$AI119),MIN($C119:$AI119)),$C119:$AI119,0)),T109-INDEX($C108:$AJ118,2,MATCH(IF('Data-solution'!$A$3="Maximize",MAX($C119:$AI119),MIN($C119:$AI119)),$C119:$AI119,0))*INDEX(T108:$AJ118,MATCH(MIN($AK108:$AK118),$AK108:$AK118,0),1)/INDEX($C108:$AJ118,MATCH(MIN($AK108:$AK118),$AK108:$AK118,0),MATCH(IF('Data-solution'!$A$3="Maximize",MAX($C119:$AI119),MIN($C119:$AI119)),$C119:$AI119,0))),T109)</f>
        <v>0</v>
      </c>
      <c r="U124" s="1">
        <f>IF(OR($B123&lt;&gt;$B108,$B124&lt;&gt;$B109,$B125&lt;&gt;$B110,$B126&lt;&gt;$B111,$B127&lt;&gt;$B112,$B128&lt;&gt;$B113,$B129&lt;&gt;$B114,$B130&lt;&gt;$B115,$B131&lt;&gt;$B116,$B132&lt;&gt;$B117,$B133&lt;&gt;$B118),IF($B124&lt;&gt;$B109,U109/INDEX($C108:$AJ118,2,MATCH(IF('Data-solution'!$A$3="Maximize",MAX($C119:$AI119),MIN($C119:$AI119)),$C119:$AI119,0)),U109-INDEX($C108:$AJ118,2,MATCH(IF('Data-solution'!$A$3="Maximize",MAX($C119:$AI119),MIN($C119:$AI119)),$C119:$AI119,0))*INDEX(U108:$AJ118,MATCH(MIN($AK108:$AK118),$AK108:$AK118,0),1)/INDEX($C108:$AJ118,MATCH(MIN($AK108:$AK118),$AK108:$AK118,0),MATCH(IF('Data-solution'!$A$3="Maximize",MAX($C119:$AI119),MIN($C119:$AI119)),$C119:$AI119,0))),U109)</f>
        <v>0</v>
      </c>
      <c r="V124" s="1">
        <f>IF(OR($B123&lt;&gt;$B108,$B124&lt;&gt;$B109,$B125&lt;&gt;$B110,$B126&lt;&gt;$B111,$B127&lt;&gt;$B112,$B128&lt;&gt;$B113,$B129&lt;&gt;$B114,$B130&lt;&gt;$B115,$B131&lt;&gt;$B116,$B132&lt;&gt;$B117,$B133&lt;&gt;$B118),IF($B124&lt;&gt;$B109,V109/INDEX($C108:$AJ118,2,MATCH(IF('Data-solution'!$A$3="Maximize",MAX($C119:$AI119),MIN($C119:$AI119)),$C119:$AI119,0)),V109-INDEX($C108:$AJ118,2,MATCH(IF('Data-solution'!$A$3="Maximize",MAX($C119:$AI119),MIN($C119:$AI119)),$C119:$AI119,0))*INDEX(V108:$AJ118,MATCH(MIN($AK108:$AK118),$AK108:$AK118,0),1)/INDEX($C108:$AJ118,MATCH(MIN($AK108:$AK118),$AK108:$AK118,0),MATCH(IF('Data-solution'!$A$3="Maximize",MAX($C119:$AI119),MIN($C119:$AI119)),$C119:$AI119,0))),V109)</f>
        <v>0</v>
      </c>
      <c r="W124" s="1">
        <f>IF(OR($B123&lt;&gt;$B108,$B124&lt;&gt;$B109,$B125&lt;&gt;$B110,$B126&lt;&gt;$B111,$B127&lt;&gt;$B112,$B128&lt;&gt;$B113,$B129&lt;&gt;$B114,$B130&lt;&gt;$B115,$B131&lt;&gt;$B116,$B132&lt;&gt;$B117,$B133&lt;&gt;$B118),IF($B124&lt;&gt;$B109,W109/INDEX($C108:$AJ118,2,MATCH(IF('Data-solution'!$A$3="Maximize",MAX($C119:$AI119),MIN($C119:$AI119)),$C119:$AI119,0)),W109-INDEX($C108:$AJ118,2,MATCH(IF('Data-solution'!$A$3="Maximize",MAX($C119:$AI119),MIN($C119:$AI119)),$C119:$AI119,0))*INDEX(W108:$AJ118,MATCH(MIN($AK108:$AK118),$AK108:$AK118,0),1)/INDEX($C108:$AJ118,MATCH(MIN($AK108:$AK118),$AK108:$AK118,0),MATCH(IF('Data-solution'!$A$3="Maximize",MAX($C119:$AI119),MIN($C119:$AI119)),$C119:$AI119,0))),W109)</f>
        <v>0</v>
      </c>
      <c r="X124" s="1">
        <f>IF(OR($B123&lt;&gt;$B108,$B124&lt;&gt;$B109,$B125&lt;&gt;$B110,$B126&lt;&gt;$B111,$B127&lt;&gt;$B112,$B128&lt;&gt;$B113,$B129&lt;&gt;$B114,$B130&lt;&gt;$B115,$B131&lt;&gt;$B116,$B132&lt;&gt;$B117,$B133&lt;&gt;$B118),IF($B124&lt;&gt;$B109,X109/INDEX($C108:$AJ118,2,MATCH(IF('Data-solution'!$A$3="Maximize",MAX($C119:$AI119),MIN($C119:$AI119)),$C119:$AI119,0)),X109-INDEX($C108:$AJ118,2,MATCH(IF('Data-solution'!$A$3="Maximize",MAX($C119:$AI119),MIN($C119:$AI119)),$C119:$AI119,0))*INDEX(X108:$AJ118,MATCH(MIN($AK108:$AK118),$AK108:$AK118,0),1)/INDEX($C108:$AJ118,MATCH(MIN($AK108:$AK118),$AK108:$AK118,0),MATCH(IF('Data-solution'!$A$3="Maximize",MAX($C119:$AI119),MIN($C119:$AI119)),$C119:$AI119,0))),X109)</f>
        <v>0</v>
      </c>
      <c r="Y124" s="1">
        <f>IF(OR($B123&lt;&gt;$B108,$B124&lt;&gt;$B109,$B125&lt;&gt;$B110,$B126&lt;&gt;$B111,$B127&lt;&gt;$B112,$B128&lt;&gt;$B113,$B129&lt;&gt;$B114,$B130&lt;&gt;$B115,$B131&lt;&gt;$B116,$B132&lt;&gt;$B117,$B133&lt;&gt;$B118),IF($B124&lt;&gt;$B109,Y109/INDEX($C108:$AJ118,2,MATCH(IF('Data-solution'!$A$3="Maximize",MAX($C119:$AI119),MIN($C119:$AI119)),$C119:$AI119,0)),Y109-INDEX($C108:$AJ118,2,MATCH(IF('Data-solution'!$A$3="Maximize",MAX($C119:$AI119),MIN($C119:$AI119)),$C119:$AI119,0))*INDEX(Y108:$AJ118,MATCH(MIN($AK108:$AK118),$AK108:$AK118,0),1)/INDEX($C108:$AJ118,MATCH(MIN($AK108:$AK118),$AK108:$AK118,0),MATCH(IF('Data-solution'!$A$3="Maximize",MAX($C119:$AI119),MIN($C119:$AI119)),$C119:$AI119,0))),Y109)</f>
        <v>0</v>
      </c>
      <c r="Z124" s="1">
        <f>IF(OR($B123&lt;&gt;$B108,$B124&lt;&gt;$B109,$B125&lt;&gt;$B110,$B126&lt;&gt;$B111,$B127&lt;&gt;$B112,$B128&lt;&gt;$B113,$B129&lt;&gt;$B114,$B130&lt;&gt;$B115,$B131&lt;&gt;$B116,$B132&lt;&gt;$B117,$B133&lt;&gt;$B118),IF($B124&lt;&gt;$B109,Z109/INDEX($C108:$AJ118,2,MATCH(IF('Data-solution'!$A$3="Maximize",MAX($C119:$AI119),MIN($C119:$AI119)),$C119:$AI119,0)),Z109-INDEX($C108:$AJ118,2,MATCH(IF('Data-solution'!$A$3="Maximize",MAX($C119:$AI119),MIN($C119:$AI119)),$C119:$AI119,0))*INDEX(Z108:$AJ118,MATCH(MIN($AK108:$AK118),$AK108:$AK118,0),1)/INDEX($C108:$AJ118,MATCH(MIN($AK108:$AK118),$AK108:$AK118,0),MATCH(IF('Data-solution'!$A$3="Maximize",MAX($C119:$AI119),MIN($C119:$AI119)),$C119:$AI119,0))),Z109)</f>
        <v>1</v>
      </c>
      <c r="AA124" s="1">
        <f>IF(OR($B123&lt;&gt;$B108,$B124&lt;&gt;$B109,$B125&lt;&gt;$B110,$B126&lt;&gt;$B111,$B127&lt;&gt;$B112,$B128&lt;&gt;$B113,$B129&lt;&gt;$B114,$B130&lt;&gt;$B115,$B131&lt;&gt;$B116,$B132&lt;&gt;$B117,$B133&lt;&gt;$B118),IF($B124&lt;&gt;$B109,AA109/INDEX($C108:$AJ118,2,MATCH(IF('Data-solution'!$A$3="Maximize",MAX($C119:$AI119),MIN($C119:$AI119)),$C119:$AI119,0)),AA109-INDEX($C108:$AJ118,2,MATCH(IF('Data-solution'!$A$3="Maximize",MAX($C119:$AI119),MIN($C119:$AI119)),$C119:$AI119,0))*INDEX(AA108:$AJ118,MATCH(MIN($AK108:$AK118),$AK108:$AK118,0),1)/INDEX($C108:$AJ118,MATCH(MIN($AK108:$AK118),$AK108:$AK118,0),MATCH(IF('Data-solution'!$A$3="Maximize",MAX($C119:$AI119),MIN($C119:$AI119)),$C119:$AI119,0))),AA109)</f>
        <v>-0.25</v>
      </c>
      <c r="AB124" s="1">
        <f>IF(OR($B123&lt;&gt;$B108,$B124&lt;&gt;$B109,$B125&lt;&gt;$B110,$B126&lt;&gt;$B111,$B127&lt;&gt;$B112,$B128&lt;&gt;$B113,$B129&lt;&gt;$B114,$B130&lt;&gt;$B115,$B131&lt;&gt;$B116,$B132&lt;&gt;$B117,$B133&lt;&gt;$B118),IF($B124&lt;&gt;$B109,AB109/INDEX($C108:$AJ118,2,MATCH(IF('Data-solution'!$A$3="Maximize",MAX($C119:$AI119),MIN($C119:$AI119)),$C119:$AI119,0)),AB109-INDEX($C108:$AJ118,2,MATCH(IF('Data-solution'!$A$3="Maximize",MAX($C119:$AI119),MIN($C119:$AI119)),$C119:$AI119,0))*INDEX(AB108:$AJ118,MATCH(MIN($AK108:$AK118),$AK108:$AK118,0),1)/INDEX($C108:$AJ118,MATCH(MIN($AK108:$AK118),$AK108:$AK118,0),MATCH(IF('Data-solution'!$A$3="Maximize",MAX($C119:$AI119),MIN($C119:$AI119)),$C119:$AI119,0))),AB109)</f>
        <v>-0.5</v>
      </c>
      <c r="AC124" s="1">
        <f>IF(OR($B123&lt;&gt;$B108,$B124&lt;&gt;$B109,$B125&lt;&gt;$B110,$B126&lt;&gt;$B111,$B127&lt;&gt;$B112,$B128&lt;&gt;$B113,$B129&lt;&gt;$B114,$B130&lt;&gt;$B115,$B131&lt;&gt;$B116,$B132&lt;&gt;$B117,$B133&lt;&gt;$B118),IF($B124&lt;&gt;$B109,AC109/INDEX($C108:$AJ118,2,MATCH(IF('Data-solution'!$A$3="Maximize",MAX($C119:$AI119),MIN($C119:$AI119)),$C119:$AI119,0)),AC109-INDEX($C108:$AJ118,2,MATCH(IF('Data-solution'!$A$3="Maximize",MAX($C119:$AI119),MIN($C119:$AI119)),$C119:$AI119,0))*INDEX(AC108:$AJ118,MATCH(MIN($AK108:$AK118),$AK108:$AK118,0),1)/INDEX($C108:$AJ118,MATCH(MIN($AK108:$AK118),$AK108:$AK118,0),MATCH(IF('Data-solution'!$A$3="Maximize",MAX($C119:$AI119),MIN($C119:$AI119)),$C119:$AI119,0))),AC109)</f>
        <v>0</v>
      </c>
      <c r="AD124" s="1">
        <f>IF(OR($B123&lt;&gt;$B108,$B124&lt;&gt;$B109,$B125&lt;&gt;$B110,$B126&lt;&gt;$B111,$B127&lt;&gt;$B112,$B128&lt;&gt;$B113,$B129&lt;&gt;$B114,$B130&lt;&gt;$B115,$B131&lt;&gt;$B116,$B132&lt;&gt;$B117,$B133&lt;&gt;$B118),IF($B124&lt;&gt;$B109,AD109/INDEX($C108:$AJ118,2,MATCH(IF('Data-solution'!$A$3="Maximize",MAX($C119:$AI119),MIN($C119:$AI119)),$C119:$AI119,0)),AD109-INDEX($C108:$AJ118,2,MATCH(IF('Data-solution'!$A$3="Maximize",MAX($C119:$AI119),MIN($C119:$AI119)),$C119:$AI119,0))*INDEX(AD108:$AJ118,MATCH(MIN($AK108:$AK118),$AK108:$AK118,0),1)/INDEX($C108:$AJ118,MATCH(MIN($AK108:$AK118),$AK108:$AK118,0),MATCH(IF('Data-solution'!$A$3="Maximize",MAX($C119:$AI119),MIN($C119:$AI119)),$C119:$AI119,0))),AD109)</f>
        <v>0</v>
      </c>
      <c r="AE124" s="1">
        <f>IF(OR($B123&lt;&gt;$B108,$B124&lt;&gt;$B109,$B125&lt;&gt;$B110,$B126&lt;&gt;$B111,$B127&lt;&gt;$B112,$B128&lt;&gt;$B113,$B129&lt;&gt;$B114,$B130&lt;&gt;$B115,$B131&lt;&gt;$B116,$B132&lt;&gt;$B117,$B133&lt;&gt;$B118),IF($B124&lt;&gt;$B109,AE109/INDEX($C108:$AJ118,2,MATCH(IF('Data-solution'!$A$3="Maximize",MAX($C119:$AI119),MIN($C119:$AI119)),$C119:$AI119,0)),AE109-INDEX($C108:$AJ118,2,MATCH(IF('Data-solution'!$A$3="Maximize",MAX($C119:$AI119),MIN($C119:$AI119)),$C119:$AI119,0))*INDEX(AE108:$AJ118,MATCH(MIN($AK108:$AK118),$AK108:$AK118,0),1)/INDEX($C108:$AJ118,MATCH(MIN($AK108:$AK118),$AK108:$AK118,0),MATCH(IF('Data-solution'!$A$3="Maximize",MAX($C119:$AI119),MIN($C119:$AI119)),$C119:$AI119,0))),AE109)</f>
        <v>0</v>
      </c>
      <c r="AF124" s="1">
        <f>IF(OR($B123&lt;&gt;$B108,$B124&lt;&gt;$B109,$B125&lt;&gt;$B110,$B126&lt;&gt;$B111,$B127&lt;&gt;$B112,$B128&lt;&gt;$B113,$B129&lt;&gt;$B114,$B130&lt;&gt;$B115,$B131&lt;&gt;$B116,$B132&lt;&gt;$B117,$B133&lt;&gt;$B118),IF($B124&lt;&gt;$B109,AF109/INDEX($C108:$AJ118,2,MATCH(IF('Data-solution'!$A$3="Maximize",MAX($C119:$AI119),MIN($C119:$AI119)),$C119:$AI119,0)),AF109-INDEX($C108:$AJ118,2,MATCH(IF('Data-solution'!$A$3="Maximize",MAX($C119:$AI119),MIN($C119:$AI119)),$C119:$AI119,0))*INDEX(AF108:$AJ118,MATCH(MIN($AK108:$AK118),$AK108:$AK118,0),1)/INDEX($C108:$AJ118,MATCH(MIN($AK108:$AK118),$AK108:$AK118,0),MATCH(IF('Data-solution'!$A$3="Maximize",MAX($C119:$AI119),MIN($C119:$AI119)),$C119:$AI119,0))),AF109)</f>
        <v>0</v>
      </c>
      <c r="AG124" s="1">
        <f>IF(OR($B123&lt;&gt;$B108,$B124&lt;&gt;$B109,$B125&lt;&gt;$B110,$B126&lt;&gt;$B111,$B127&lt;&gt;$B112,$B128&lt;&gt;$B113,$B129&lt;&gt;$B114,$B130&lt;&gt;$B115,$B131&lt;&gt;$B116,$B132&lt;&gt;$B117,$B133&lt;&gt;$B118),IF($B124&lt;&gt;$B109,AG109/INDEX($C108:$AJ118,2,MATCH(IF('Data-solution'!$A$3="Maximize",MAX($C119:$AI119),MIN($C119:$AI119)),$C119:$AI119,0)),AG109-INDEX($C108:$AJ118,2,MATCH(IF('Data-solution'!$A$3="Maximize",MAX($C119:$AI119),MIN($C119:$AI119)),$C119:$AI119,0))*INDEX(AG108:$AJ118,MATCH(MIN($AK108:$AK118),$AK108:$AK118,0),1)/INDEX($C108:$AJ118,MATCH(MIN($AK108:$AK118),$AK108:$AK118,0),MATCH(IF('Data-solution'!$A$3="Maximize",MAX($C119:$AI119),MIN($C119:$AI119)),$C119:$AI119,0))),AG109)</f>
        <v>0</v>
      </c>
      <c r="AH124" s="1">
        <f>IF(OR($B123&lt;&gt;$B108,$B124&lt;&gt;$B109,$B125&lt;&gt;$B110,$B126&lt;&gt;$B111,$B127&lt;&gt;$B112,$B128&lt;&gt;$B113,$B129&lt;&gt;$B114,$B130&lt;&gt;$B115,$B131&lt;&gt;$B116,$B132&lt;&gt;$B117,$B133&lt;&gt;$B118),IF($B124&lt;&gt;$B109,AH109/INDEX($C108:$AJ118,2,MATCH(IF('Data-solution'!$A$3="Maximize",MAX($C119:$AI119),MIN($C119:$AI119)),$C119:$AI119,0)),AH109-INDEX($C108:$AJ118,2,MATCH(IF('Data-solution'!$A$3="Maximize",MAX($C119:$AI119),MIN($C119:$AI119)),$C119:$AI119,0))*INDEX(AH108:$AJ118,MATCH(MIN($AK108:$AK118),$AK108:$AK118,0),1)/INDEX($C108:$AJ118,MATCH(MIN($AK108:$AK118),$AK108:$AK118,0),MATCH(IF('Data-solution'!$A$3="Maximize",MAX($C119:$AI119),MIN($C119:$AI119)),$C119:$AI119,0))),AH109)</f>
        <v>0</v>
      </c>
      <c r="AI124" s="1">
        <f>IF(OR($B123&lt;&gt;$B108,$B124&lt;&gt;$B109,$B125&lt;&gt;$B110,$B126&lt;&gt;$B111,$B127&lt;&gt;$B112,$B128&lt;&gt;$B113,$B129&lt;&gt;$B114,$B130&lt;&gt;$B115,$B131&lt;&gt;$B116,$B132&lt;&gt;$B117,$B133&lt;&gt;$B118),IF($B124&lt;&gt;$B109,AI109/INDEX($C108:$AJ118,2,MATCH(IF('Data-solution'!$A$3="Maximize",MAX($C119:$AI119),MIN($C119:$AI119)),$C119:$AI119,0)),AI109-INDEX($C108:$AJ118,2,MATCH(IF('Data-solution'!$A$3="Maximize",MAX($C119:$AI119),MIN($C119:$AI119)),$C119:$AI119,0))*INDEX(AI108:$AJ118,MATCH(MIN($AK108:$AK118),$AK108:$AK118,0),1)/INDEX($C108:$AJ118,MATCH(MIN($AK108:$AK118),$AK108:$AK118,0),MATCH(IF('Data-solution'!$A$3="Maximize",MAX($C119:$AI119),MIN($C119:$AI119)),$C119:$AI119,0))),AI109)</f>
        <v>0</v>
      </c>
      <c r="AJ124" s="1">
        <f>IF(OR($B123&lt;&gt;$B108,$B124&lt;&gt;$B109,$B125&lt;&gt;$B110,$B126&lt;&gt;$B111,$B127&lt;&gt;$B112,$B128&lt;&gt;$B113,$B129&lt;&gt;$B114,$B130&lt;&gt;$B115,$B131&lt;&gt;$B116,$B132&lt;&gt;$B117,$B133&lt;&gt;$B118),IF($B124&lt;&gt;$B109,AJ109/INDEX($C108:$AJ118,2,MATCH(IF('Data-solution'!$A$3="Maximize",MAX($C119:$AI119),MIN($C119:$AI119)),$C119:$AI119,0)),AJ109-INDEX($C108:$AJ118,2,MATCH(IF('Data-solution'!$A$3="Maximize",MAX($C119:$AI119),MIN($C119:$AI119)),$C119:$AI119,0))*INDEX(AJ108:$AJ118,MATCH(MIN($AK108:$AK118),$AK108:$AK118,0),1)/INDEX($C108:$AJ118,MATCH(MIN($AK108:$AK118),$AK108:$AK118,0),MATCH(IF('Data-solution'!$A$3="Maximize",MAX($C119:$AI119),MIN($C119:$AI119)),$C119:$AI119,0))),AJ109)</f>
        <v>300</v>
      </c>
      <c r="AK124" s="1" t="str">
        <f>IF(INDEX(C124:X124,1,MATCH(IF('Data-solution'!A$3="Maximize",MAX(C134:X134),MIN(C134:X134)),C134:X134,0))&gt;0,AJ124/INDEX(C124:X124,1,MATCH(IF('Data-solution'!A$3="Maximize",MAX(C134:X134),MIN(C134:X134)),C134:X134,0))," ")</f>
        <v xml:space="preserve"> </v>
      </c>
    </row>
    <row r="125" spans="1:37" ht="18" customHeight="1" x14ac:dyDescent="0.2">
      <c r="A125" s="1">
        <f t="shared" ref="A125" si="98">INDEX(C121:AI121,1,MATCH(B125,C122:AI122,0))</f>
        <v>350</v>
      </c>
      <c r="B125" s="2" t="str">
        <f>IF(AND('Data-solution'!A$3="Maximize",COUNTIF(C119:X119,"&gt;"&amp;0)&gt;0,AK110=MIN(AK108:AK118),COUNTIF(B123:B124,INDEX(C107:X107,1,MATCH(MAX(C119:X119),C119:X119,0)))=0),INDEX(C107:X107,1,MATCH(MAX(C119:X119),C119:X119,0)),IF(AND('Data-solution'!A$3="Minimize",COUNTIF(C119:X119,"&lt;"&amp;0)&gt;0,AK110=MIN(AK108:AK118),COUNTIF(B123:B124,INDEX(C107:X107,1,MATCH(MIN(C119:X119),C119:X119,0)))=0),INDEX(C107:X107,1,MATCH(MIN(C119:X119),C119:X119,0)),B110))</f>
        <v>X3</v>
      </c>
      <c r="C125" s="1">
        <f>IF(OR($B123&lt;&gt;$B108,$B124&lt;&gt;$B109,$B125&lt;&gt;$B110,$B126&lt;&gt;$B111,$B127&lt;&gt;$B112,$B128&lt;&gt;$B113,$B129&lt;&gt;$B114,$B130&lt;&gt;$B115,$B131&lt;&gt;$B116,$B132&lt;&gt;$B117,$B133&lt;&gt;$B118),IF($B125&lt;&gt;$B110,C110/INDEX($C108:$AJ118,3,MATCH(IF('Data-solution'!$A$3="Maximize",MAX($C119:$AI119),MIN($C119:$AI119)),$C119:$AI119,0)),C110-INDEX($C108:$AJ118,3,MATCH(IF('Data-solution'!$A$3="Maximize",MAX($C119:$AI119),MIN($C119:$AI119)),$C119:$AI119,0))*INDEX(C108:$AJ118,MATCH(MIN($AK108:$AK118),$AK108:$AK118,0),1)/INDEX($C108:$AJ118,MATCH(MIN($AK108:$AK118),$AK108:$AK118,0),MATCH(IF('Data-solution'!$A$3="Maximize",MAX($C119:$AI119),MIN($C119:$AI119)),$C119:$AI119,0))),C110)</f>
        <v>0</v>
      </c>
      <c r="D125" s="1">
        <f>IF(OR($B123&lt;&gt;$B108,$B124&lt;&gt;$B109,$B125&lt;&gt;$B110,$B126&lt;&gt;$B111,$B127&lt;&gt;$B112,$B128&lt;&gt;$B113,$B129&lt;&gt;$B114,$B130&lt;&gt;$B115,$B131&lt;&gt;$B116,$B132&lt;&gt;$B117,$B133&lt;&gt;$B118),IF($B125&lt;&gt;$B110,D110/INDEX($C108:$AJ118,3,MATCH(IF('Data-solution'!$A$3="Maximize",MAX($C119:$AI119),MIN($C119:$AI119)),$C119:$AI119,0)),D110-INDEX($C108:$AJ118,3,MATCH(IF('Data-solution'!$A$3="Maximize",MAX($C119:$AI119),MIN($C119:$AI119)),$C119:$AI119,0))*INDEX(D108:$AJ118,MATCH(MIN($AK108:$AK118),$AK108:$AK118,0),1)/INDEX($C108:$AJ118,MATCH(MIN($AK108:$AK118),$AK108:$AK118,0),MATCH(IF('Data-solution'!$A$3="Maximize",MAX($C119:$AI119),MIN($C119:$AI119)),$C119:$AI119,0))),D110)</f>
        <v>1.25</v>
      </c>
      <c r="E125" s="1">
        <f>IF(OR($B123&lt;&gt;$B108,$B124&lt;&gt;$B109,$B125&lt;&gt;$B110,$B126&lt;&gt;$B111,$B127&lt;&gt;$B112,$B128&lt;&gt;$B113,$B129&lt;&gt;$B114,$B130&lt;&gt;$B115,$B131&lt;&gt;$B116,$B132&lt;&gt;$B117,$B133&lt;&gt;$B118),IF($B125&lt;&gt;$B110,E110/INDEX($C108:$AJ118,3,MATCH(IF('Data-solution'!$A$3="Maximize",MAX($C119:$AI119),MIN($C119:$AI119)),$C119:$AI119,0)),E110-INDEX($C108:$AJ118,3,MATCH(IF('Data-solution'!$A$3="Maximize",MAX($C119:$AI119),MIN($C119:$AI119)),$C119:$AI119,0))*INDEX(E108:$AJ118,MATCH(MIN($AK108:$AK118),$AK108:$AK118,0),1)/INDEX($C108:$AJ118,MATCH(MIN($AK108:$AK118),$AK108:$AK118,0),MATCH(IF('Data-solution'!$A$3="Maximize",MAX($C119:$AI119),MIN($C119:$AI119)),$C119:$AI119,0))),E110)</f>
        <v>1</v>
      </c>
      <c r="F125" s="1">
        <f>IF(OR($B123&lt;&gt;$B108,$B124&lt;&gt;$B109,$B125&lt;&gt;$B110,$B126&lt;&gt;$B111,$B127&lt;&gt;$B112,$B128&lt;&gt;$B113,$B129&lt;&gt;$B114,$B130&lt;&gt;$B115,$B131&lt;&gt;$B116,$B132&lt;&gt;$B117,$B133&lt;&gt;$B118),IF($B125&lt;&gt;$B110,F110/INDEX($C108:$AJ118,3,MATCH(IF('Data-solution'!$A$3="Maximize",MAX($C119:$AI119),MIN($C119:$AI119)),$C119:$AI119,0)),F110-INDEX($C108:$AJ118,3,MATCH(IF('Data-solution'!$A$3="Maximize",MAX($C119:$AI119),MIN($C119:$AI119)),$C119:$AI119,0))*INDEX(F108:$AJ118,MATCH(MIN($AK108:$AK118),$AK108:$AK118,0),1)/INDEX($C108:$AJ118,MATCH(MIN($AK108:$AK118),$AK108:$AK118,0),MATCH(IF('Data-solution'!$A$3="Maximize",MAX($C119:$AI119),MIN($C119:$AI119)),$C119:$AI119,0))),F110)</f>
        <v>0</v>
      </c>
      <c r="G125" s="1">
        <f>IF(OR($B123&lt;&gt;$B108,$B124&lt;&gt;$B109,$B125&lt;&gt;$B110,$B126&lt;&gt;$B111,$B127&lt;&gt;$B112,$B128&lt;&gt;$B113,$B129&lt;&gt;$B114,$B130&lt;&gt;$B115,$B131&lt;&gt;$B116,$B132&lt;&gt;$B117,$B133&lt;&gt;$B118),IF($B125&lt;&gt;$B110,G110/INDEX($C108:$AJ118,3,MATCH(IF('Data-solution'!$A$3="Maximize",MAX($C119:$AI119),MIN($C119:$AI119)),$C119:$AI119,0)),G110-INDEX($C108:$AJ118,3,MATCH(IF('Data-solution'!$A$3="Maximize",MAX($C119:$AI119),MIN($C119:$AI119)),$C119:$AI119,0))*INDEX(G108:$AJ118,MATCH(MIN($AK108:$AK118),$AK108:$AK118,0),1)/INDEX($C108:$AJ118,MATCH(MIN($AK108:$AK118),$AK108:$AK118,0),MATCH(IF('Data-solution'!$A$3="Maximize",MAX($C119:$AI119),MIN($C119:$AI119)),$C119:$AI119,0))),G110)</f>
        <v>0</v>
      </c>
      <c r="H125" s="1">
        <f>IF(OR($B123&lt;&gt;$B108,$B124&lt;&gt;$B109,$B125&lt;&gt;$B110,$B126&lt;&gt;$B111,$B127&lt;&gt;$B112,$B128&lt;&gt;$B113,$B129&lt;&gt;$B114,$B130&lt;&gt;$B115,$B131&lt;&gt;$B116,$B132&lt;&gt;$B117,$B133&lt;&gt;$B118),IF($B125&lt;&gt;$B110,H110/INDEX($C108:$AJ118,3,MATCH(IF('Data-solution'!$A$3="Maximize",MAX($C119:$AI119),MIN($C119:$AI119)),$C119:$AI119,0)),H110-INDEX($C108:$AJ118,3,MATCH(IF('Data-solution'!$A$3="Maximize",MAX($C119:$AI119),MIN($C119:$AI119)),$C119:$AI119,0))*INDEX(H108:$AJ118,MATCH(MIN($AK108:$AK118),$AK108:$AK118,0),1)/INDEX($C108:$AJ118,MATCH(MIN($AK108:$AK118),$AK108:$AK118,0),MATCH(IF('Data-solution'!$A$3="Maximize",MAX($C119:$AI119),MIN($C119:$AI119)),$C119:$AI119,0))),H110)</f>
        <v>0</v>
      </c>
      <c r="I125" s="1">
        <f>IF(OR($B123&lt;&gt;$B108,$B124&lt;&gt;$B109,$B125&lt;&gt;$B110,$B126&lt;&gt;$B111,$B127&lt;&gt;$B112,$B128&lt;&gt;$B113,$B129&lt;&gt;$B114,$B130&lt;&gt;$B115,$B131&lt;&gt;$B116,$B132&lt;&gt;$B117,$B133&lt;&gt;$B118),IF($B125&lt;&gt;$B110,I110/INDEX($C108:$AJ118,3,MATCH(IF('Data-solution'!$A$3="Maximize",MAX($C119:$AI119),MIN($C119:$AI119)),$C119:$AI119,0)),I110-INDEX($C108:$AJ118,3,MATCH(IF('Data-solution'!$A$3="Maximize",MAX($C119:$AI119),MIN($C119:$AI119)),$C119:$AI119,0))*INDEX(I108:$AJ118,MATCH(MIN($AK108:$AK118),$AK108:$AK118,0),1)/INDEX($C108:$AJ118,MATCH(MIN($AK108:$AK118),$AK108:$AK118,0),MATCH(IF('Data-solution'!$A$3="Maximize",MAX($C119:$AI119),MIN($C119:$AI119)),$C119:$AI119,0))),I110)</f>
        <v>0</v>
      </c>
      <c r="J125" s="1">
        <f>IF(OR($B123&lt;&gt;$B108,$B124&lt;&gt;$B109,$B125&lt;&gt;$B110,$B126&lt;&gt;$B111,$B127&lt;&gt;$B112,$B128&lt;&gt;$B113,$B129&lt;&gt;$B114,$B130&lt;&gt;$B115,$B131&lt;&gt;$B116,$B132&lt;&gt;$B117,$B133&lt;&gt;$B118),IF($B125&lt;&gt;$B110,J110/INDEX($C108:$AJ118,3,MATCH(IF('Data-solution'!$A$3="Maximize",MAX($C119:$AI119),MIN($C119:$AI119)),$C119:$AI119,0)),J110-INDEX($C108:$AJ118,3,MATCH(IF('Data-solution'!$A$3="Maximize",MAX($C119:$AI119),MIN($C119:$AI119)),$C119:$AI119,0))*INDEX(J108:$AJ118,MATCH(MIN($AK108:$AK118),$AK108:$AK118,0),1)/INDEX($C108:$AJ118,MATCH(MIN($AK108:$AK118),$AK108:$AK118,0),MATCH(IF('Data-solution'!$A$3="Maximize",MAX($C119:$AI119),MIN($C119:$AI119)),$C119:$AI119,0))),J110)</f>
        <v>0</v>
      </c>
      <c r="K125" s="1">
        <f>IF(OR($B123&lt;&gt;$B108,$B124&lt;&gt;$B109,$B125&lt;&gt;$B110,$B126&lt;&gt;$B111,$B127&lt;&gt;$B112,$B128&lt;&gt;$B113,$B129&lt;&gt;$B114,$B130&lt;&gt;$B115,$B131&lt;&gt;$B116,$B132&lt;&gt;$B117,$B133&lt;&gt;$B118),IF($B125&lt;&gt;$B110,K110/INDEX($C108:$AJ118,3,MATCH(IF('Data-solution'!$A$3="Maximize",MAX($C119:$AI119),MIN($C119:$AI119)),$C119:$AI119,0)),K110-INDEX($C108:$AJ118,3,MATCH(IF('Data-solution'!$A$3="Maximize",MAX($C119:$AI119),MIN($C119:$AI119)),$C119:$AI119,0))*INDEX(K108:$AJ118,MATCH(MIN($AK108:$AK118),$AK108:$AK118,0),1)/INDEX($C108:$AJ118,MATCH(MIN($AK108:$AK118),$AK108:$AK118,0),MATCH(IF('Data-solution'!$A$3="Maximize",MAX($C119:$AI119),MIN($C119:$AI119)),$C119:$AI119,0))),K110)</f>
        <v>0</v>
      </c>
      <c r="L125" s="1">
        <f>IF(OR($B123&lt;&gt;$B108,$B124&lt;&gt;$B109,$B125&lt;&gt;$B110,$B126&lt;&gt;$B111,$B127&lt;&gt;$B112,$B128&lt;&gt;$B113,$B129&lt;&gt;$B114,$B130&lt;&gt;$B115,$B131&lt;&gt;$B116,$B132&lt;&gt;$B117,$B133&lt;&gt;$B118),IF($B125&lt;&gt;$B110,L110/INDEX($C108:$AJ118,3,MATCH(IF('Data-solution'!$A$3="Maximize",MAX($C119:$AI119),MIN($C119:$AI119)),$C119:$AI119,0)),L110-INDEX($C108:$AJ118,3,MATCH(IF('Data-solution'!$A$3="Maximize",MAX($C119:$AI119),MIN($C119:$AI119)),$C119:$AI119,0))*INDEX(L108:$AJ118,MATCH(MIN($AK108:$AK118),$AK108:$AK118,0),1)/INDEX($C108:$AJ118,MATCH(MIN($AK108:$AK118),$AK108:$AK118,0),MATCH(IF('Data-solution'!$A$3="Maximize",MAX($C119:$AI119),MIN($C119:$AI119)),$C119:$AI119,0))),L110)</f>
        <v>0</v>
      </c>
      <c r="M125" s="1">
        <f>IF(OR($B123&lt;&gt;$B108,$B124&lt;&gt;$B109,$B125&lt;&gt;$B110,$B126&lt;&gt;$B111,$B127&lt;&gt;$B112,$B128&lt;&gt;$B113,$B129&lt;&gt;$B114,$B130&lt;&gt;$B115,$B131&lt;&gt;$B116,$B132&lt;&gt;$B117,$B133&lt;&gt;$B118),IF($B125&lt;&gt;$B110,M110/INDEX($C108:$AJ118,3,MATCH(IF('Data-solution'!$A$3="Maximize",MAX($C119:$AI119),MIN($C119:$AI119)),$C119:$AI119,0)),M110-INDEX($C108:$AJ118,3,MATCH(IF('Data-solution'!$A$3="Maximize",MAX($C119:$AI119),MIN($C119:$AI119)),$C119:$AI119,0))*INDEX(M108:$AJ118,MATCH(MIN($AK108:$AK118),$AK108:$AK118,0),1)/INDEX($C108:$AJ118,MATCH(MIN($AK108:$AK118),$AK108:$AK118,0),MATCH(IF('Data-solution'!$A$3="Maximize",MAX($C119:$AI119),MIN($C119:$AI119)),$C119:$AI119,0))),M110)</f>
        <v>0</v>
      </c>
      <c r="N125" s="1">
        <f>IF(OR($B123&lt;&gt;$B108,$B124&lt;&gt;$B109,$B125&lt;&gt;$B110,$B126&lt;&gt;$B111,$B127&lt;&gt;$B112,$B128&lt;&gt;$B113,$B129&lt;&gt;$B114,$B130&lt;&gt;$B115,$B131&lt;&gt;$B116,$B132&lt;&gt;$B117,$B133&lt;&gt;$B118),IF($B125&lt;&gt;$B110,N110/INDEX($C108:$AJ118,3,MATCH(IF('Data-solution'!$A$3="Maximize",MAX($C119:$AI119),MIN($C119:$AI119)),$C119:$AI119,0)),N110-INDEX($C108:$AJ118,3,MATCH(IF('Data-solution'!$A$3="Maximize",MAX($C119:$AI119),MIN($C119:$AI119)),$C119:$AI119,0))*INDEX(N108:$AJ118,MATCH(MIN($AK108:$AK118),$AK108:$AK118,0),1)/INDEX($C108:$AJ118,MATCH(MIN($AK108:$AK118),$AK108:$AK118,0),MATCH(IF('Data-solution'!$A$3="Maximize",MAX($C119:$AI119),MIN($C119:$AI119)),$C119:$AI119,0))),N110)</f>
        <v>0</v>
      </c>
      <c r="O125" s="1">
        <f>IF(OR($B123&lt;&gt;$B108,$B124&lt;&gt;$B109,$B125&lt;&gt;$B110,$B126&lt;&gt;$B111,$B127&lt;&gt;$B112,$B128&lt;&gt;$B113,$B129&lt;&gt;$B114,$B130&lt;&gt;$B115,$B131&lt;&gt;$B116,$B132&lt;&gt;$B117,$B133&lt;&gt;$B118),IF($B125&lt;&gt;$B110,O110/INDEX($C108:$AJ118,3,MATCH(IF('Data-solution'!$A$3="Maximize",MAX($C119:$AI119),MIN($C119:$AI119)),$C119:$AI119,0)),O110-INDEX($C108:$AJ118,3,MATCH(IF('Data-solution'!$A$3="Maximize",MAX($C119:$AI119),MIN($C119:$AI119)),$C119:$AI119,0))*INDEX(O108:$AJ118,MATCH(MIN($AK108:$AK118),$AK108:$AK118,0),1)/INDEX($C108:$AJ118,MATCH(MIN($AK108:$AK118),$AK108:$AK118,0),MATCH(IF('Data-solution'!$A$3="Maximize",MAX($C119:$AI119),MIN($C119:$AI119)),$C119:$AI119,0))),O110)</f>
        <v>0</v>
      </c>
      <c r="P125" s="1">
        <f>IF(OR($B123&lt;&gt;$B108,$B124&lt;&gt;$B109,$B125&lt;&gt;$B110,$B126&lt;&gt;$B111,$B127&lt;&gt;$B112,$B128&lt;&gt;$B113,$B129&lt;&gt;$B114,$B130&lt;&gt;$B115,$B131&lt;&gt;$B116,$B132&lt;&gt;$B117,$B133&lt;&gt;$B118),IF($B125&lt;&gt;$B110,P110/INDEX($C108:$AJ118,3,MATCH(IF('Data-solution'!$A$3="Maximize",MAX($C119:$AI119),MIN($C119:$AI119)),$C119:$AI119,0)),P110-INDEX($C108:$AJ118,3,MATCH(IF('Data-solution'!$A$3="Maximize",MAX($C119:$AI119),MIN($C119:$AI119)),$C119:$AI119,0))*INDEX(P108:$AJ118,MATCH(MIN($AK108:$AK118),$AK108:$AK118,0),1)/INDEX($C108:$AJ118,MATCH(MIN($AK108:$AK118),$AK108:$AK118,0),MATCH(IF('Data-solution'!$A$3="Maximize",MAX($C119:$AI119),MIN($C119:$AI119)),$C119:$AI119,0))),P110)</f>
        <v>0.24999999999999997</v>
      </c>
      <c r="Q125" s="1">
        <f>IF(OR($B123&lt;&gt;$B108,$B124&lt;&gt;$B109,$B125&lt;&gt;$B110,$B126&lt;&gt;$B111,$B127&lt;&gt;$B112,$B128&lt;&gt;$B113,$B129&lt;&gt;$B114,$B130&lt;&gt;$B115,$B131&lt;&gt;$B116,$B132&lt;&gt;$B117,$B133&lt;&gt;$B118),IF($B125&lt;&gt;$B110,Q110/INDEX($C108:$AJ118,3,MATCH(IF('Data-solution'!$A$3="Maximize",MAX($C119:$AI119),MIN($C119:$AI119)),$C119:$AI119,0)),Q110-INDEX($C108:$AJ118,3,MATCH(IF('Data-solution'!$A$3="Maximize",MAX($C119:$AI119),MIN($C119:$AI119)),$C119:$AI119,0))*INDEX(Q108:$AJ118,MATCH(MIN($AK108:$AK118),$AK108:$AK118,0),1)/INDEX($C108:$AJ118,MATCH(MIN($AK108:$AK118),$AK108:$AK118,0),MATCH(IF('Data-solution'!$A$3="Maximize",MAX($C119:$AI119),MIN($C119:$AI119)),$C119:$AI119,0))),Q110)</f>
        <v>-0.49999999999999989</v>
      </c>
      <c r="R125" s="1">
        <f>IF(OR($B123&lt;&gt;$B108,$B124&lt;&gt;$B109,$B125&lt;&gt;$B110,$B126&lt;&gt;$B111,$B127&lt;&gt;$B112,$B128&lt;&gt;$B113,$B129&lt;&gt;$B114,$B130&lt;&gt;$B115,$B131&lt;&gt;$B116,$B132&lt;&gt;$B117,$B133&lt;&gt;$B118),IF($B125&lt;&gt;$B110,R110/INDEX($C108:$AJ118,3,MATCH(IF('Data-solution'!$A$3="Maximize",MAX($C119:$AI119),MIN($C119:$AI119)),$C119:$AI119,0)),R110-INDEX($C108:$AJ118,3,MATCH(IF('Data-solution'!$A$3="Maximize",MAX($C119:$AI119),MIN($C119:$AI119)),$C119:$AI119,0))*INDEX(R108:$AJ118,MATCH(MIN($AK108:$AK118),$AK108:$AK118,0),1)/INDEX($C108:$AJ118,MATCH(MIN($AK108:$AK118),$AK108:$AK118,0),MATCH(IF('Data-solution'!$A$3="Maximize",MAX($C119:$AI119),MIN($C119:$AI119)),$C119:$AI119,0))),R110)</f>
        <v>0</v>
      </c>
      <c r="S125" s="1">
        <f>IF(OR($B123&lt;&gt;$B108,$B124&lt;&gt;$B109,$B125&lt;&gt;$B110,$B126&lt;&gt;$B111,$B127&lt;&gt;$B112,$B128&lt;&gt;$B113,$B129&lt;&gt;$B114,$B130&lt;&gt;$B115,$B131&lt;&gt;$B116,$B132&lt;&gt;$B117,$B133&lt;&gt;$B118),IF($B125&lt;&gt;$B110,S110/INDEX($C108:$AJ118,3,MATCH(IF('Data-solution'!$A$3="Maximize",MAX($C119:$AI119),MIN($C119:$AI119)),$C119:$AI119,0)),S110-INDEX($C108:$AJ118,3,MATCH(IF('Data-solution'!$A$3="Maximize",MAX($C119:$AI119),MIN($C119:$AI119)),$C119:$AI119,0))*INDEX(S108:$AJ118,MATCH(MIN($AK108:$AK118),$AK108:$AK118,0),1)/INDEX($C108:$AJ118,MATCH(MIN($AK108:$AK118),$AK108:$AK118,0),MATCH(IF('Data-solution'!$A$3="Maximize",MAX($C119:$AI119),MIN($C119:$AI119)),$C119:$AI119,0))),S110)</f>
        <v>0</v>
      </c>
      <c r="T125" s="1">
        <f>IF(OR($B123&lt;&gt;$B108,$B124&lt;&gt;$B109,$B125&lt;&gt;$B110,$B126&lt;&gt;$B111,$B127&lt;&gt;$B112,$B128&lt;&gt;$B113,$B129&lt;&gt;$B114,$B130&lt;&gt;$B115,$B131&lt;&gt;$B116,$B132&lt;&gt;$B117,$B133&lt;&gt;$B118),IF($B125&lt;&gt;$B110,T110/INDEX($C108:$AJ118,3,MATCH(IF('Data-solution'!$A$3="Maximize",MAX($C119:$AI119),MIN($C119:$AI119)),$C119:$AI119,0)),T110-INDEX($C108:$AJ118,3,MATCH(IF('Data-solution'!$A$3="Maximize",MAX($C119:$AI119),MIN($C119:$AI119)),$C119:$AI119,0))*INDEX(T108:$AJ118,MATCH(MIN($AK108:$AK118),$AK108:$AK118,0),1)/INDEX($C108:$AJ118,MATCH(MIN($AK108:$AK118),$AK108:$AK118,0),MATCH(IF('Data-solution'!$A$3="Maximize",MAX($C119:$AI119),MIN($C119:$AI119)),$C119:$AI119,0))),T110)</f>
        <v>0</v>
      </c>
      <c r="U125" s="1">
        <f>IF(OR($B123&lt;&gt;$B108,$B124&lt;&gt;$B109,$B125&lt;&gt;$B110,$B126&lt;&gt;$B111,$B127&lt;&gt;$B112,$B128&lt;&gt;$B113,$B129&lt;&gt;$B114,$B130&lt;&gt;$B115,$B131&lt;&gt;$B116,$B132&lt;&gt;$B117,$B133&lt;&gt;$B118),IF($B125&lt;&gt;$B110,U110/INDEX($C108:$AJ118,3,MATCH(IF('Data-solution'!$A$3="Maximize",MAX($C119:$AI119),MIN($C119:$AI119)),$C119:$AI119,0)),U110-INDEX($C108:$AJ118,3,MATCH(IF('Data-solution'!$A$3="Maximize",MAX($C119:$AI119),MIN($C119:$AI119)),$C119:$AI119,0))*INDEX(U108:$AJ118,MATCH(MIN($AK108:$AK118),$AK108:$AK118,0),1)/INDEX($C108:$AJ118,MATCH(MIN($AK108:$AK118),$AK108:$AK118,0),MATCH(IF('Data-solution'!$A$3="Maximize",MAX($C119:$AI119),MIN($C119:$AI119)),$C119:$AI119,0))),U110)</f>
        <v>0</v>
      </c>
      <c r="V125" s="1">
        <f>IF(OR($B123&lt;&gt;$B108,$B124&lt;&gt;$B109,$B125&lt;&gt;$B110,$B126&lt;&gt;$B111,$B127&lt;&gt;$B112,$B128&lt;&gt;$B113,$B129&lt;&gt;$B114,$B130&lt;&gt;$B115,$B131&lt;&gt;$B116,$B132&lt;&gt;$B117,$B133&lt;&gt;$B118),IF($B125&lt;&gt;$B110,V110/INDEX($C108:$AJ118,3,MATCH(IF('Data-solution'!$A$3="Maximize",MAX($C119:$AI119),MIN($C119:$AI119)),$C119:$AI119,0)),V110-INDEX($C108:$AJ118,3,MATCH(IF('Data-solution'!$A$3="Maximize",MAX($C119:$AI119),MIN($C119:$AI119)),$C119:$AI119,0))*INDEX(V108:$AJ118,MATCH(MIN($AK108:$AK118),$AK108:$AK118,0),1)/INDEX($C108:$AJ118,MATCH(MIN($AK108:$AK118),$AK108:$AK118,0),MATCH(IF('Data-solution'!$A$3="Maximize",MAX($C119:$AI119),MIN($C119:$AI119)),$C119:$AI119,0))),V110)</f>
        <v>0</v>
      </c>
      <c r="W125" s="1">
        <f>IF(OR($B123&lt;&gt;$B108,$B124&lt;&gt;$B109,$B125&lt;&gt;$B110,$B126&lt;&gt;$B111,$B127&lt;&gt;$B112,$B128&lt;&gt;$B113,$B129&lt;&gt;$B114,$B130&lt;&gt;$B115,$B131&lt;&gt;$B116,$B132&lt;&gt;$B117,$B133&lt;&gt;$B118),IF($B125&lt;&gt;$B110,W110/INDEX($C108:$AJ118,3,MATCH(IF('Data-solution'!$A$3="Maximize",MAX($C119:$AI119),MIN($C119:$AI119)),$C119:$AI119,0)),W110-INDEX($C108:$AJ118,3,MATCH(IF('Data-solution'!$A$3="Maximize",MAX($C119:$AI119),MIN($C119:$AI119)),$C119:$AI119,0))*INDEX(W108:$AJ118,MATCH(MIN($AK108:$AK118),$AK108:$AK118,0),1)/INDEX($C108:$AJ118,MATCH(MIN($AK108:$AK118),$AK108:$AK118,0),MATCH(IF('Data-solution'!$A$3="Maximize",MAX($C119:$AI119),MIN($C119:$AI119)),$C119:$AI119,0))),W110)</f>
        <v>0</v>
      </c>
      <c r="X125" s="1">
        <f>IF(OR($B123&lt;&gt;$B108,$B124&lt;&gt;$B109,$B125&lt;&gt;$B110,$B126&lt;&gt;$B111,$B127&lt;&gt;$B112,$B128&lt;&gt;$B113,$B129&lt;&gt;$B114,$B130&lt;&gt;$B115,$B131&lt;&gt;$B116,$B132&lt;&gt;$B117,$B133&lt;&gt;$B118),IF($B125&lt;&gt;$B110,X110/INDEX($C108:$AJ118,3,MATCH(IF('Data-solution'!$A$3="Maximize",MAX($C119:$AI119),MIN($C119:$AI119)),$C119:$AI119,0)),X110-INDEX($C108:$AJ118,3,MATCH(IF('Data-solution'!$A$3="Maximize",MAX($C119:$AI119),MIN($C119:$AI119)),$C119:$AI119,0))*INDEX(X108:$AJ118,MATCH(MIN($AK108:$AK118),$AK108:$AK118,0),1)/INDEX($C108:$AJ118,MATCH(MIN($AK108:$AK118),$AK108:$AK118,0),MATCH(IF('Data-solution'!$A$3="Maximize",MAX($C119:$AI119),MIN($C119:$AI119)),$C119:$AI119,0))),X110)</f>
        <v>0</v>
      </c>
      <c r="Y125" s="1">
        <f>IF(OR($B123&lt;&gt;$B108,$B124&lt;&gt;$B109,$B125&lt;&gt;$B110,$B126&lt;&gt;$B111,$B127&lt;&gt;$B112,$B128&lt;&gt;$B113,$B129&lt;&gt;$B114,$B130&lt;&gt;$B115,$B131&lt;&gt;$B116,$B132&lt;&gt;$B117,$B133&lt;&gt;$B118),IF($B125&lt;&gt;$B110,Y110/INDEX($C108:$AJ118,3,MATCH(IF('Data-solution'!$A$3="Maximize",MAX($C119:$AI119),MIN($C119:$AI119)),$C119:$AI119,0)),Y110-INDEX($C108:$AJ118,3,MATCH(IF('Data-solution'!$A$3="Maximize",MAX($C119:$AI119),MIN($C119:$AI119)),$C119:$AI119,0))*INDEX(Y108:$AJ118,MATCH(MIN($AK108:$AK118),$AK108:$AK118,0),1)/INDEX($C108:$AJ118,MATCH(MIN($AK108:$AK118),$AK108:$AK118,0),MATCH(IF('Data-solution'!$A$3="Maximize",MAX($C119:$AI119),MIN($C119:$AI119)),$C119:$AI119,0))),Y110)</f>
        <v>0</v>
      </c>
      <c r="Z125" s="1">
        <f>IF(OR($B123&lt;&gt;$B108,$B124&lt;&gt;$B109,$B125&lt;&gt;$B110,$B126&lt;&gt;$B111,$B127&lt;&gt;$B112,$B128&lt;&gt;$B113,$B129&lt;&gt;$B114,$B130&lt;&gt;$B115,$B131&lt;&gt;$B116,$B132&lt;&gt;$B117,$B133&lt;&gt;$B118),IF($B125&lt;&gt;$B110,Z110/INDEX($C108:$AJ118,3,MATCH(IF('Data-solution'!$A$3="Maximize",MAX($C119:$AI119),MIN($C119:$AI119)),$C119:$AI119,0)),Z110-INDEX($C108:$AJ118,3,MATCH(IF('Data-solution'!$A$3="Maximize",MAX($C119:$AI119),MIN($C119:$AI119)),$C119:$AI119,0))*INDEX(Z108:$AJ118,MATCH(MIN($AK108:$AK118),$AK108:$AK118,0),1)/INDEX($C108:$AJ118,MATCH(MIN($AK108:$AK118),$AK108:$AK118,0),MATCH(IF('Data-solution'!$A$3="Maximize",MAX($C119:$AI119),MIN($C119:$AI119)),$C119:$AI119,0))),Z110)</f>
        <v>0</v>
      </c>
      <c r="AA125" s="1">
        <f>IF(OR($B123&lt;&gt;$B108,$B124&lt;&gt;$B109,$B125&lt;&gt;$B110,$B126&lt;&gt;$B111,$B127&lt;&gt;$B112,$B128&lt;&gt;$B113,$B129&lt;&gt;$B114,$B130&lt;&gt;$B115,$B131&lt;&gt;$B116,$B132&lt;&gt;$B117,$B133&lt;&gt;$B118),IF($B125&lt;&gt;$B110,AA110/INDEX($C108:$AJ118,3,MATCH(IF('Data-solution'!$A$3="Maximize",MAX($C119:$AI119),MIN($C119:$AI119)),$C119:$AI119,0)),AA110-INDEX($C108:$AJ118,3,MATCH(IF('Data-solution'!$A$3="Maximize",MAX($C119:$AI119),MIN($C119:$AI119)),$C119:$AI119,0))*INDEX(AA108:$AJ118,MATCH(MIN($AK108:$AK118),$AK108:$AK118,0),1)/INDEX($C108:$AJ118,MATCH(MIN($AK108:$AK118),$AK108:$AK118,0),MATCH(IF('Data-solution'!$A$3="Maximize",MAX($C119:$AI119),MIN($C119:$AI119)),$C119:$AI119,0))),AA110)</f>
        <v>0.24999999999999997</v>
      </c>
      <c r="AB125" s="1">
        <f>IF(OR($B123&lt;&gt;$B108,$B124&lt;&gt;$B109,$B125&lt;&gt;$B110,$B126&lt;&gt;$B111,$B127&lt;&gt;$B112,$B128&lt;&gt;$B113,$B129&lt;&gt;$B114,$B130&lt;&gt;$B115,$B131&lt;&gt;$B116,$B132&lt;&gt;$B117,$B133&lt;&gt;$B118),IF($B125&lt;&gt;$B110,AB110/INDEX($C108:$AJ118,3,MATCH(IF('Data-solution'!$A$3="Maximize",MAX($C119:$AI119),MIN($C119:$AI119)),$C119:$AI119,0)),AB110-INDEX($C108:$AJ118,3,MATCH(IF('Data-solution'!$A$3="Maximize",MAX($C119:$AI119),MIN($C119:$AI119)),$C119:$AI119,0))*INDEX(AB108:$AJ118,MATCH(MIN($AK108:$AK118),$AK108:$AK118,0),1)/INDEX($C108:$AJ118,MATCH(MIN($AK108:$AK118),$AK108:$AK118,0),MATCH(IF('Data-solution'!$A$3="Maximize",MAX($C119:$AI119),MIN($C119:$AI119)),$C119:$AI119,0))),AB110)</f>
        <v>-0.49999999999999989</v>
      </c>
      <c r="AC125" s="1">
        <f>IF(OR($B123&lt;&gt;$B108,$B124&lt;&gt;$B109,$B125&lt;&gt;$B110,$B126&lt;&gt;$B111,$B127&lt;&gt;$B112,$B128&lt;&gt;$B113,$B129&lt;&gt;$B114,$B130&lt;&gt;$B115,$B131&lt;&gt;$B116,$B132&lt;&gt;$B117,$B133&lt;&gt;$B118),IF($B125&lt;&gt;$B110,AC110/INDEX($C108:$AJ118,3,MATCH(IF('Data-solution'!$A$3="Maximize",MAX($C119:$AI119),MIN($C119:$AI119)),$C119:$AI119,0)),AC110-INDEX($C108:$AJ118,3,MATCH(IF('Data-solution'!$A$3="Maximize",MAX($C119:$AI119),MIN($C119:$AI119)),$C119:$AI119,0))*INDEX(AC108:$AJ118,MATCH(MIN($AK108:$AK118),$AK108:$AK118,0),1)/INDEX($C108:$AJ118,MATCH(MIN($AK108:$AK118),$AK108:$AK118,0),MATCH(IF('Data-solution'!$A$3="Maximize",MAX($C119:$AI119),MIN($C119:$AI119)),$C119:$AI119,0))),AC110)</f>
        <v>0</v>
      </c>
      <c r="AD125" s="1">
        <f>IF(OR($B123&lt;&gt;$B108,$B124&lt;&gt;$B109,$B125&lt;&gt;$B110,$B126&lt;&gt;$B111,$B127&lt;&gt;$B112,$B128&lt;&gt;$B113,$B129&lt;&gt;$B114,$B130&lt;&gt;$B115,$B131&lt;&gt;$B116,$B132&lt;&gt;$B117,$B133&lt;&gt;$B118),IF($B125&lt;&gt;$B110,AD110/INDEX($C108:$AJ118,3,MATCH(IF('Data-solution'!$A$3="Maximize",MAX($C119:$AI119),MIN($C119:$AI119)),$C119:$AI119,0)),AD110-INDEX($C108:$AJ118,3,MATCH(IF('Data-solution'!$A$3="Maximize",MAX($C119:$AI119),MIN($C119:$AI119)),$C119:$AI119,0))*INDEX(AD108:$AJ118,MATCH(MIN($AK108:$AK118),$AK108:$AK118,0),1)/INDEX($C108:$AJ118,MATCH(MIN($AK108:$AK118),$AK108:$AK118,0),MATCH(IF('Data-solution'!$A$3="Maximize",MAX($C119:$AI119),MIN($C119:$AI119)),$C119:$AI119,0))),AD110)</f>
        <v>0</v>
      </c>
      <c r="AE125" s="1">
        <f>IF(OR($B123&lt;&gt;$B108,$B124&lt;&gt;$B109,$B125&lt;&gt;$B110,$B126&lt;&gt;$B111,$B127&lt;&gt;$B112,$B128&lt;&gt;$B113,$B129&lt;&gt;$B114,$B130&lt;&gt;$B115,$B131&lt;&gt;$B116,$B132&lt;&gt;$B117,$B133&lt;&gt;$B118),IF($B125&lt;&gt;$B110,AE110/INDEX($C108:$AJ118,3,MATCH(IF('Data-solution'!$A$3="Maximize",MAX($C119:$AI119),MIN($C119:$AI119)),$C119:$AI119,0)),AE110-INDEX($C108:$AJ118,3,MATCH(IF('Data-solution'!$A$3="Maximize",MAX($C119:$AI119),MIN($C119:$AI119)),$C119:$AI119,0))*INDEX(AE108:$AJ118,MATCH(MIN($AK108:$AK118),$AK108:$AK118,0),1)/INDEX($C108:$AJ118,MATCH(MIN($AK108:$AK118),$AK108:$AK118,0),MATCH(IF('Data-solution'!$A$3="Maximize",MAX($C119:$AI119),MIN($C119:$AI119)),$C119:$AI119,0))),AE110)</f>
        <v>0</v>
      </c>
      <c r="AF125" s="1">
        <f>IF(OR($B123&lt;&gt;$B108,$B124&lt;&gt;$B109,$B125&lt;&gt;$B110,$B126&lt;&gt;$B111,$B127&lt;&gt;$B112,$B128&lt;&gt;$B113,$B129&lt;&gt;$B114,$B130&lt;&gt;$B115,$B131&lt;&gt;$B116,$B132&lt;&gt;$B117,$B133&lt;&gt;$B118),IF($B125&lt;&gt;$B110,AF110/INDEX($C108:$AJ118,3,MATCH(IF('Data-solution'!$A$3="Maximize",MAX($C119:$AI119),MIN($C119:$AI119)),$C119:$AI119,0)),AF110-INDEX($C108:$AJ118,3,MATCH(IF('Data-solution'!$A$3="Maximize",MAX($C119:$AI119),MIN($C119:$AI119)),$C119:$AI119,0))*INDEX(AF108:$AJ118,MATCH(MIN($AK108:$AK118),$AK108:$AK118,0),1)/INDEX($C108:$AJ118,MATCH(MIN($AK108:$AK118),$AK108:$AK118,0),MATCH(IF('Data-solution'!$A$3="Maximize",MAX($C119:$AI119),MIN($C119:$AI119)),$C119:$AI119,0))),AF110)</f>
        <v>0</v>
      </c>
      <c r="AG125" s="1">
        <f>IF(OR($B123&lt;&gt;$B108,$B124&lt;&gt;$B109,$B125&lt;&gt;$B110,$B126&lt;&gt;$B111,$B127&lt;&gt;$B112,$B128&lt;&gt;$B113,$B129&lt;&gt;$B114,$B130&lt;&gt;$B115,$B131&lt;&gt;$B116,$B132&lt;&gt;$B117,$B133&lt;&gt;$B118),IF($B125&lt;&gt;$B110,AG110/INDEX($C108:$AJ118,3,MATCH(IF('Data-solution'!$A$3="Maximize",MAX($C119:$AI119),MIN($C119:$AI119)),$C119:$AI119,0)),AG110-INDEX($C108:$AJ118,3,MATCH(IF('Data-solution'!$A$3="Maximize",MAX($C119:$AI119),MIN($C119:$AI119)),$C119:$AI119,0))*INDEX(AG108:$AJ118,MATCH(MIN($AK108:$AK118),$AK108:$AK118,0),1)/INDEX($C108:$AJ118,MATCH(MIN($AK108:$AK118),$AK108:$AK118,0),MATCH(IF('Data-solution'!$A$3="Maximize",MAX($C119:$AI119),MIN($C119:$AI119)),$C119:$AI119,0))),AG110)</f>
        <v>0</v>
      </c>
      <c r="AH125" s="1">
        <f>IF(OR($B123&lt;&gt;$B108,$B124&lt;&gt;$B109,$B125&lt;&gt;$B110,$B126&lt;&gt;$B111,$B127&lt;&gt;$B112,$B128&lt;&gt;$B113,$B129&lt;&gt;$B114,$B130&lt;&gt;$B115,$B131&lt;&gt;$B116,$B132&lt;&gt;$B117,$B133&lt;&gt;$B118),IF($B125&lt;&gt;$B110,AH110/INDEX($C108:$AJ118,3,MATCH(IF('Data-solution'!$A$3="Maximize",MAX($C119:$AI119),MIN($C119:$AI119)),$C119:$AI119,0)),AH110-INDEX($C108:$AJ118,3,MATCH(IF('Data-solution'!$A$3="Maximize",MAX($C119:$AI119),MIN($C119:$AI119)),$C119:$AI119,0))*INDEX(AH108:$AJ118,MATCH(MIN($AK108:$AK118),$AK108:$AK118,0),1)/INDEX($C108:$AJ118,MATCH(MIN($AK108:$AK118),$AK108:$AK118,0),MATCH(IF('Data-solution'!$A$3="Maximize",MAX($C119:$AI119),MIN($C119:$AI119)),$C119:$AI119,0))),AH110)</f>
        <v>0</v>
      </c>
      <c r="AI125" s="1">
        <f>IF(OR($B123&lt;&gt;$B108,$B124&lt;&gt;$B109,$B125&lt;&gt;$B110,$B126&lt;&gt;$B111,$B127&lt;&gt;$B112,$B128&lt;&gt;$B113,$B129&lt;&gt;$B114,$B130&lt;&gt;$B115,$B131&lt;&gt;$B116,$B132&lt;&gt;$B117,$B133&lt;&gt;$B118),IF($B125&lt;&gt;$B110,AI110/INDEX($C108:$AJ118,3,MATCH(IF('Data-solution'!$A$3="Maximize",MAX($C119:$AI119),MIN($C119:$AI119)),$C119:$AI119,0)),AI110-INDEX($C108:$AJ118,3,MATCH(IF('Data-solution'!$A$3="Maximize",MAX($C119:$AI119),MIN($C119:$AI119)),$C119:$AI119,0))*INDEX(AI108:$AJ118,MATCH(MIN($AK108:$AK118),$AK108:$AK118,0),1)/INDEX($C108:$AJ118,MATCH(MIN($AK108:$AK118),$AK108:$AK118,0),MATCH(IF('Data-solution'!$A$3="Maximize",MAX($C119:$AI119),MIN($C119:$AI119)),$C119:$AI119,0))),AI110)</f>
        <v>0</v>
      </c>
      <c r="AJ125" s="1">
        <f>IF(OR($B123&lt;&gt;$B108,$B124&lt;&gt;$B109,$B125&lt;&gt;$B110,$B126&lt;&gt;$B111,$B127&lt;&gt;$B112,$B128&lt;&gt;$B113,$B129&lt;&gt;$B114,$B130&lt;&gt;$B115,$B131&lt;&gt;$B116,$B132&lt;&gt;$B117,$B133&lt;&gt;$B118),IF($B125&lt;&gt;$B110,AJ110/INDEX($C108:$AJ118,3,MATCH(IF('Data-solution'!$A$3="Maximize",MAX($C119:$AI119),MIN($C119:$AI119)),$C119:$AI119,0)),AJ110-INDEX($C108:$AJ118,3,MATCH(IF('Data-solution'!$A$3="Maximize",MAX($C119:$AI119),MIN($C119:$AI119)),$C119:$AI119,0))*INDEX(AJ108:$AJ118,MATCH(MIN($AK108:$AK118),$AK108:$AK118,0),1)/INDEX($C108:$AJ118,MATCH(MIN($AK108:$AK118),$AK108:$AK118,0),MATCH(IF('Data-solution'!$A$3="Maximize",MAX($C119:$AI119),MIN($C119:$AI119)),$C119:$AI119,0))),AJ110)</f>
        <v>300</v>
      </c>
      <c r="AK125" s="1" t="str">
        <f>IF(INDEX(C125:X125,1,MATCH(IF('Data-solution'!A$3="Maximize",MAX(C134:X134),MIN(C134:X134)),C134:X134,0))&gt;0,AJ125/INDEX(C125:X125,1,MATCH(IF('Data-solution'!A$3="Maximize",MAX(C134:X134),MIN(C134:X134)),C134:X134,0))," ")</f>
        <v xml:space="preserve"> </v>
      </c>
    </row>
    <row r="126" spans="1:37" ht="18" customHeight="1" x14ac:dyDescent="0.2">
      <c r="A126" s="1">
        <f t="shared" ref="A126" si="99">INDEX(C121:AI121,1,MATCH(B126,C122:AI122,0))</f>
        <v>150</v>
      </c>
      <c r="B126" s="2" t="str">
        <f>IF(AND('Data-solution'!A$3="Maximize",COUNTIF(C119:X119,"&gt;"&amp;0)&gt;0,AK111=MIN(AK108:AK118),COUNTIF(B123:B125,INDEX(C107:X107,1,MATCH(MAX(C119:X119),C119:X119,0)))=0),INDEX(C107:X107,1,MATCH(MAX(C119:X119),C119:X119,0)),IF(AND('Data-solution'!A$3="Minimize",COUNTIF(C119:X119,"&lt;"&amp;0)&gt;0,AK111=MIN(AK108:AK118),COUNTIF(B123:B125,INDEX(C107:X107,1,MATCH(MIN(C119:X119),C119:X119,0)))=0),INDEX(C107:X107,1,MATCH(MIN(C119:X119),C119:X119,0)),B111))</f>
        <v>X1</v>
      </c>
      <c r="C126" s="1">
        <f>IF(OR($B123&lt;&gt;$B108,$B124&lt;&gt;$B109,$B125&lt;&gt;$B110,$B126&lt;&gt;$B111,$B127&lt;&gt;$B112,$B128&lt;&gt;$B113,$B129&lt;&gt;$B114,$B130&lt;&gt;$B115,$B131&lt;&gt;$B116,$B132&lt;&gt;$B117,$B133&lt;&gt;$B118),IF($B126&lt;&gt;$B111,C111/INDEX($C108:$AJ118,4,MATCH(IF('Data-solution'!$A$3="Maximize",MAX($C119:$AI119),MIN($C119:$AI119)),$C119:$AI119,0)),C111-INDEX($C108:$AJ118,4,MATCH(IF('Data-solution'!$A$3="Maximize",MAX($C119:$AI119),MIN($C119:$AI119)),$C119:$AI119,0))*INDEX(C108:$AJ118,MATCH(MIN($AK108:$AK118),$AK108:$AK118,0),1)/INDEX($C108:$AJ118,MATCH(MIN($AK108:$AK118),$AK108:$AK118,0),MATCH(IF('Data-solution'!$A$3="Maximize",MAX($C119:$AI119),MIN($C119:$AI119)),$C119:$AI119,0))),C111)</f>
        <v>1</v>
      </c>
      <c r="D126" s="1">
        <f>IF(OR($B123&lt;&gt;$B108,$B124&lt;&gt;$B109,$B125&lt;&gt;$B110,$B126&lt;&gt;$B111,$B127&lt;&gt;$B112,$B128&lt;&gt;$B113,$B129&lt;&gt;$B114,$B130&lt;&gt;$B115,$B131&lt;&gt;$B116,$B132&lt;&gt;$B117,$B133&lt;&gt;$B118),IF($B126&lt;&gt;$B111,D111/INDEX($C108:$AJ118,4,MATCH(IF('Data-solution'!$A$3="Maximize",MAX($C119:$AI119),MIN($C119:$AI119)),$C119:$AI119,0)),D111-INDEX($C108:$AJ118,4,MATCH(IF('Data-solution'!$A$3="Maximize",MAX($C119:$AI119),MIN($C119:$AI119)),$C119:$AI119,0))*INDEX(D108:$AJ118,MATCH(MIN($AK108:$AK118),$AK108:$AK118,0),1)/INDEX($C108:$AJ118,MATCH(MIN($AK108:$AK118),$AK108:$AK118,0),MATCH(IF('Data-solution'!$A$3="Maximize",MAX($C119:$AI119),MIN($C119:$AI119)),$C119:$AI119,0))),D111)</f>
        <v>-1.25</v>
      </c>
      <c r="E126" s="1">
        <f>IF(OR($B123&lt;&gt;$B108,$B124&lt;&gt;$B109,$B125&lt;&gt;$B110,$B126&lt;&gt;$B111,$B127&lt;&gt;$B112,$B128&lt;&gt;$B113,$B129&lt;&gt;$B114,$B130&lt;&gt;$B115,$B131&lt;&gt;$B116,$B132&lt;&gt;$B117,$B133&lt;&gt;$B118),IF($B126&lt;&gt;$B111,E111/INDEX($C108:$AJ118,4,MATCH(IF('Data-solution'!$A$3="Maximize",MAX($C119:$AI119),MIN($C119:$AI119)),$C119:$AI119,0)),E111-INDEX($C108:$AJ118,4,MATCH(IF('Data-solution'!$A$3="Maximize",MAX($C119:$AI119),MIN($C119:$AI119)),$C119:$AI119,0))*INDEX(E108:$AJ118,MATCH(MIN($AK108:$AK118),$AK108:$AK118,0),1)/INDEX($C108:$AJ118,MATCH(MIN($AK108:$AK118),$AK108:$AK118,0),MATCH(IF('Data-solution'!$A$3="Maximize",MAX($C119:$AI119),MIN($C119:$AI119)),$C119:$AI119,0))),E111)</f>
        <v>0</v>
      </c>
      <c r="F126" s="1">
        <f>IF(OR($B123&lt;&gt;$B108,$B124&lt;&gt;$B109,$B125&lt;&gt;$B110,$B126&lt;&gt;$B111,$B127&lt;&gt;$B112,$B128&lt;&gt;$B113,$B129&lt;&gt;$B114,$B130&lt;&gt;$B115,$B131&lt;&gt;$B116,$B132&lt;&gt;$B117,$B133&lt;&gt;$B118),IF($B126&lt;&gt;$B111,F111/INDEX($C108:$AJ118,4,MATCH(IF('Data-solution'!$A$3="Maximize",MAX($C119:$AI119),MIN($C119:$AI119)),$C119:$AI119,0)),F111-INDEX($C108:$AJ118,4,MATCH(IF('Data-solution'!$A$3="Maximize",MAX($C119:$AI119),MIN($C119:$AI119)),$C119:$AI119,0))*INDEX(F108:$AJ118,MATCH(MIN($AK108:$AK118),$AK108:$AK118,0),1)/INDEX($C108:$AJ118,MATCH(MIN($AK108:$AK118),$AK108:$AK118,0),MATCH(IF('Data-solution'!$A$3="Maximize",MAX($C119:$AI119),MIN($C119:$AI119)),$C119:$AI119,0))),F111)</f>
        <v>0</v>
      </c>
      <c r="G126" s="1">
        <f>IF(OR($B123&lt;&gt;$B108,$B124&lt;&gt;$B109,$B125&lt;&gt;$B110,$B126&lt;&gt;$B111,$B127&lt;&gt;$B112,$B128&lt;&gt;$B113,$B129&lt;&gt;$B114,$B130&lt;&gt;$B115,$B131&lt;&gt;$B116,$B132&lt;&gt;$B117,$B133&lt;&gt;$B118),IF($B126&lt;&gt;$B111,G111/INDEX($C108:$AJ118,4,MATCH(IF('Data-solution'!$A$3="Maximize",MAX($C119:$AI119),MIN($C119:$AI119)),$C119:$AI119,0)),G111-INDEX($C108:$AJ118,4,MATCH(IF('Data-solution'!$A$3="Maximize",MAX($C119:$AI119),MIN($C119:$AI119)),$C119:$AI119,0))*INDEX(G108:$AJ118,MATCH(MIN($AK108:$AK118),$AK108:$AK118,0),1)/INDEX($C108:$AJ118,MATCH(MIN($AK108:$AK118),$AK108:$AK118,0),MATCH(IF('Data-solution'!$A$3="Maximize",MAX($C119:$AI119),MIN($C119:$AI119)),$C119:$AI119,0))),G111)</f>
        <v>0</v>
      </c>
      <c r="H126" s="1">
        <f>IF(OR($B123&lt;&gt;$B108,$B124&lt;&gt;$B109,$B125&lt;&gt;$B110,$B126&lt;&gt;$B111,$B127&lt;&gt;$B112,$B128&lt;&gt;$B113,$B129&lt;&gt;$B114,$B130&lt;&gt;$B115,$B131&lt;&gt;$B116,$B132&lt;&gt;$B117,$B133&lt;&gt;$B118),IF($B126&lt;&gt;$B111,H111/INDEX($C108:$AJ118,4,MATCH(IF('Data-solution'!$A$3="Maximize",MAX($C119:$AI119),MIN($C119:$AI119)),$C119:$AI119,0)),H111-INDEX($C108:$AJ118,4,MATCH(IF('Data-solution'!$A$3="Maximize",MAX($C119:$AI119),MIN($C119:$AI119)),$C119:$AI119,0))*INDEX(H108:$AJ118,MATCH(MIN($AK108:$AK118),$AK108:$AK118,0),1)/INDEX($C108:$AJ118,MATCH(MIN($AK108:$AK118),$AK108:$AK118,0),MATCH(IF('Data-solution'!$A$3="Maximize",MAX($C119:$AI119),MIN($C119:$AI119)),$C119:$AI119,0))),H111)</f>
        <v>0</v>
      </c>
      <c r="I126" s="1">
        <f>IF(OR($B123&lt;&gt;$B108,$B124&lt;&gt;$B109,$B125&lt;&gt;$B110,$B126&lt;&gt;$B111,$B127&lt;&gt;$B112,$B128&lt;&gt;$B113,$B129&lt;&gt;$B114,$B130&lt;&gt;$B115,$B131&lt;&gt;$B116,$B132&lt;&gt;$B117,$B133&lt;&gt;$B118),IF($B126&lt;&gt;$B111,I111/INDEX($C108:$AJ118,4,MATCH(IF('Data-solution'!$A$3="Maximize",MAX($C119:$AI119),MIN($C119:$AI119)),$C119:$AI119,0)),I111-INDEX($C108:$AJ118,4,MATCH(IF('Data-solution'!$A$3="Maximize",MAX($C119:$AI119),MIN($C119:$AI119)),$C119:$AI119,0))*INDEX(I108:$AJ118,MATCH(MIN($AK108:$AK118),$AK108:$AK118,0),1)/INDEX($C108:$AJ118,MATCH(MIN($AK108:$AK118),$AK108:$AK118,0),MATCH(IF('Data-solution'!$A$3="Maximize",MAX($C119:$AI119),MIN($C119:$AI119)),$C119:$AI119,0))),I111)</f>
        <v>0</v>
      </c>
      <c r="J126" s="1">
        <f>IF(OR($B123&lt;&gt;$B108,$B124&lt;&gt;$B109,$B125&lt;&gt;$B110,$B126&lt;&gt;$B111,$B127&lt;&gt;$B112,$B128&lt;&gt;$B113,$B129&lt;&gt;$B114,$B130&lt;&gt;$B115,$B131&lt;&gt;$B116,$B132&lt;&gt;$B117,$B133&lt;&gt;$B118),IF($B126&lt;&gt;$B111,J111/INDEX($C108:$AJ118,4,MATCH(IF('Data-solution'!$A$3="Maximize",MAX($C119:$AI119),MIN($C119:$AI119)),$C119:$AI119,0)),J111-INDEX($C108:$AJ118,4,MATCH(IF('Data-solution'!$A$3="Maximize",MAX($C119:$AI119),MIN($C119:$AI119)),$C119:$AI119,0))*INDEX(J108:$AJ118,MATCH(MIN($AK108:$AK118),$AK108:$AK118,0),1)/INDEX($C108:$AJ118,MATCH(MIN($AK108:$AK118),$AK108:$AK118,0),MATCH(IF('Data-solution'!$A$3="Maximize",MAX($C119:$AI119),MIN($C119:$AI119)),$C119:$AI119,0))),J111)</f>
        <v>0</v>
      </c>
      <c r="K126" s="1">
        <f>IF(OR($B123&lt;&gt;$B108,$B124&lt;&gt;$B109,$B125&lt;&gt;$B110,$B126&lt;&gt;$B111,$B127&lt;&gt;$B112,$B128&lt;&gt;$B113,$B129&lt;&gt;$B114,$B130&lt;&gt;$B115,$B131&lt;&gt;$B116,$B132&lt;&gt;$B117,$B133&lt;&gt;$B118),IF($B126&lt;&gt;$B111,K111/INDEX($C108:$AJ118,4,MATCH(IF('Data-solution'!$A$3="Maximize",MAX($C119:$AI119),MIN($C119:$AI119)),$C119:$AI119,0)),K111-INDEX($C108:$AJ118,4,MATCH(IF('Data-solution'!$A$3="Maximize",MAX($C119:$AI119),MIN($C119:$AI119)),$C119:$AI119,0))*INDEX(K108:$AJ118,MATCH(MIN($AK108:$AK118),$AK108:$AK118,0),1)/INDEX($C108:$AJ118,MATCH(MIN($AK108:$AK118),$AK108:$AK118,0),MATCH(IF('Data-solution'!$A$3="Maximize",MAX($C119:$AI119),MIN($C119:$AI119)),$C119:$AI119,0))),K111)</f>
        <v>0</v>
      </c>
      <c r="L126" s="1">
        <f>IF(OR($B123&lt;&gt;$B108,$B124&lt;&gt;$B109,$B125&lt;&gt;$B110,$B126&lt;&gt;$B111,$B127&lt;&gt;$B112,$B128&lt;&gt;$B113,$B129&lt;&gt;$B114,$B130&lt;&gt;$B115,$B131&lt;&gt;$B116,$B132&lt;&gt;$B117,$B133&lt;&gt;$B118),IF($B126&lt;&gt;$B111,L111/INDEX($C108:$AJ118,4,MATCH(IF('Data-solution'!$A$3="Maximize",MAX($C119:$AI119),MIN($C119:$AI119)),$C119:$AI119,0)),L111-INDEX($C108:$AJ118,4,MATCH(IF('Data-solution'!$A$3="Maximize",MAX($C119:$AI119),MIN($C119:$AI119)),$C119:$AI119,0))*INDEX(L108:$AJ118,MATCH(MIN($AK108:$AK118),$AK108:$AK118,0),1)/INDEX($C108:$AJ118,MATCH(MIN($AK108:$AK118),$AK108:$AK118,0),MATCH(IF('Data-solution'!$A$3="Maximize",MAX($C119:$AI119),MIN($C119:$AI119)),$C119:$AI119,0))),L111)</f>
        <v>0</v>
      </c>
      <c r="M126" s="1">
        <f>IF(OR($B123&lt;&gt;$B108,$B124&lt;&gt;$B109,$B125&lt;&gt;$B110,$B126&lt;&gt;$B111,$B127&lt;&gt;$B112,$B128&lt;&gt;$B113,$B129&lt;&gt;$B114,$B130&lt;&gt;$B115,$B131&lt;&gt;$B116,$B132&lt;&gt;$B117,$B133&lt;&gt;$B118),IF($B126&lt;&gt;$B111,M111/INDEX($C108:$AJ118,4,MATCH(IF('Data-solution'!$A$3="Maximize",MAX($C119:$AI119),MIN($C119:$AI119)),$C119:$AI119,0)),M111-INDEX($C108:$AJ118,4,MATCH(IF('Data-solution'!$A$3="Maximize",MAX($C119:$AI119),MIN($C119:$AI119)),$C119:$AI119,0))*INDEX(M108:$AJ118,MATCH(MIN($AK108:$AK118),$AK108:$AK118,0),1)/INDEX($C108:$AJ118,MATCH(MIN($AK108:$AK118),$AK108:$AK118,0),MATCH(IF('Data-solution'!$A$3="Maximize",MAX($C119:$AI119),MIN($C119:$AI119)),$C119:$AI119,0))),M111)</f>
        <v>0</v>
      </c>
      <c r="N126" s="1">
        <f>IF(OR($B123&lt;&gt;$B108,$B124&lt;&gt;$B109,$B125&lt;&gt;$B110,$B126&lt;&gt;$B111,$B127&lt;&gt;$B112,$B128&lt;&gt;$B113,$B129&lt;&gt;$B114,$B130&lt;&gt;$B115,$B131&lt;&gt;$B116,$B132&lt;&gt;$B117,$B133&lt;&gt;$B118),IF($B126&lt;&gt;$B111,N111/INDEX($C108:$AJ118,4,MATCH(IF('Data-solution'!$A$3="Maximize",MAX($C119:$AI119),MIN($C119:$AI119)),$C119:$AI119,0)),N111-INDEX($C108:$AJ118,4,MATCH(IF('Data-solution'!$A$3="Maximize",MAX($C119:$AI119),MIN($C119:$AI119)),$C119:$AI119,0))*INDEX(N108:$AJ118,MATCH(MIN($AK108:$AK118),$AK108:$AK118,0),1)/INDEX($C108:$AJ118,MATCH(MIN($AK108:$AK118),$AK108:$AK118,0),MATCH(IF('Data-solution'!$A$3="Maximize",MAX($C119:$AI119),MIN($C119:$AI119)),$C119:$AI119,0))),N111)</f>
        <v>0</v>
      </c>
      <c r="O126" s="1">
        <f>IF(OR($B123&lt;&gt;$B108,$B124&lt;&gt;$B109,$B125&lt;&gt;$B110,$B126&lt;&gt;$B111,$B127&lt;&gt;$B112,$B128&lt;&gt;$B113,$B129&lt;&gt;$B114,$B130&lt;&gt;$B115,$B131&lt;&gt;$B116,$B132&lt;&gt;$B117,$B133&lt;&gt;$B118),IF($B126&lt;&gt;$B111,O111/INDEX($C108:$AJ118,4,MATCH(IF('Data-solution'!$A$3="Maximize",MAX($C119:$AI119),MIN($C119:$AI119)),$C119:$AI119,0)),O111-INDEX($C108:$AJ118,4,MATCH(IF('Data-solution'!$A$3="Maximize",MAX($C119:$AI119),MIN($C119:$AI119)),$C119:$AI119,0))*INDEX(O108:$AJ118,MATCH(MIN($AK108:$AK118),$AK108:$AK118,0),1)/INDEX($C108:$AJ118,MATCH(MIN($AK108:$AK118),$AK108:$AK118,0),MATCH(IF('Data-solution'!$A$3="Maximize",MAX($C119:$AI119),MIN($C119:$AI119)),$C119:$AI119,0))),O111)</f>
        <v>0</v>
      </c>
      <c r="P126" s="1">
        <f>IF(OR($B123&lt;&gt;$B108,$B124&lt;&gt;$B109,$B125&lt;&gt;$B110,$B126&lt;&gt;$B111,$B127&lt;&gt;$B112,$B128&lt;&gt;$B113,$B129&lt;&gt;$B114,$B130&lt;&gt;$B115,$B131&lt;&gt;$B116,$B132&lt;&gt;$B117,$B133&lt;&gt;$B118),IF($B126&lt;&gt;$B111,P111/INDEX($C108:$AJ118,4,MATCH(IF('Data-solution'!$A$3="Maximize",MAX($C119:$AI119),MIN($C119:$AI119)),$C119:$AI119,0)),P111-INDEX($C108:$AJ118,4,MATCH(IF('Data-solution'!$A$3="Maximize",MAX($C119:$AI119),MIN($C119:$AI119)),$C119:$AI119,0))*INDEX(P108:$AJ118,MATCH(MIN($AK108:$AK118),$AK108:$AK118,0),1)/INDEX($C108:$AJ118,MATCH(MIN($AK108:$AK118),$AK108:$AK118,0),MATCH(IF('Data-solution'!$A$3="Maximize",MAX($C119:$AI119),MIN($C119:$AI119)),$C119:$AI119,0))),P111)</f>
        <v>-0.24999999999999994</v>
      </c>
      <c r="Q126" s="1">
        <f>IF(OR($B123&lt;&gt;$B108,$B124&lt;&gt;$B109,$B125&lt;&gt;$B110,$B126&lt;&gt;$B111,$B127&lt;&gt;$B112,$B128&lt;&gt;$B113,$B129&lt;&gt;$B114,$B130&lt;&gt;$B115,$B131&lt;&gt;$B116,$B132&lt;&gt;$B117,$B133&lt;&gt;$B118),IF($B126&lt;&gt;$B111,Q111/INDEX($C108:$AJ118,4,MATCH(IF('Data-solution'!$A$3="Maximize",MAX($C119:$AI119),MIN($C119:$AI119)),$C119:$AI119,0)),Q111-INDEX($C108:$AJ118,4,MATCH(IF('Data-solution'!$A$3="Maximize",MAX($C119:$AI119),MIN($C119:$AI119)),$C119:$AI119,0))*INDEX(Q108:$AJ118,MATCH(MIN($AK108:$AK118),$AK108:$AK118,0),1)/INDEX($C108:$AJ118,MATCH(MIN($AK108:$AK118),$AK108:$AK118,0),MATCH(IF('Data-solution'!$A$3="Maximize",MAX($C119:$AI119),MIN($C119:$AI119)),$C119:$AI119,0))),Q111)</f>
        <v>1.4999999999999998</v>
      </c>
      <c r="R126" s="1">
        <f>IF(OR($B123&lt;&gt;$B108,$B124&lt;&gt;$B109,$B125&lt;&gt;$B110,$B126&lt;&gt;$B111,$B127&lt;&gt;$B112,$B128&lt;&gt;$B113,$B129&lt;&gt;$B114,$B130&lt;&gt;$B115,$B131&lt;&gt;$B116,$B132&lt;&gt;$B117,$B133&lt;&gt;$B118),IF($B126&lt;&gt;$B111,R111/INDEX($C108:$AJ118,4,MATCH(IF('Data-solution'!$A$3="Maximize",MAX($C119:$AI119),MIN($C119:$AI119)),$C119:$AI119,0)),R111-INDEX($C108:$AJ118,4,MATCH(IF('Data-solution'!$A$3="Maximize",MAX($C119:$AI119),MIN($C119:$AI119)),$C119:$AI119,0))*INDEX(R108:$AJ118,MATCH(MIN($AK108:$AK118),$AK108:$AK118,0),1)/INDEX($C108:$AJ118,MATCH(MIN($AK108:$AK118),$AK108:$AK118,0),MATCH(IF('Data-solution'!$A$3="Maximize",MAX($C119:$AI119),MIN($C119:$AI119)),$C119:$AI119,0))),R111)</f>
        <v>0</v>
      </c>
      <c r="S126" s="1">
        <f>IF(OR($B123&lt;&gt;$B108,$B124&lt;&gt;$B109,$B125&lt;&gt;$B110,$B126&lt;&gt;$B111,$B127&lt;&gt;$B112,$B128&lt;&gt;$B113,$B129&lt;&gt;$B114,$B130&lt;&gt;$B115,$B131&lt;&gt;$B116,$B132&lt;&gt;$B117,$B133&lt;&gt;$B118),IF($B126&lt;&gt;$B111,S111/INDEX($C108:$AJ118,4,MATCH(IF('Data-solution'!$A$3="Maximize",MAX($C119:$AI119),MIN($C119:$AI119)),$C119:$AI119,0)),S111-INDEX($C108:$AJ118,4,MATCH(IF('Data-solution'!$A$3="Maximize",MAX($C119:$AI119),MIN($C119:$AI119)),$C119:$AI119,0))*INDEX(S108:$AJ118,MATCH(MIN($AK108:$AK118),$AK108:$AK118,0),1)/INDEX($C108:$AJ118,MATCH(MIN($AK108:$AK118),$AK108:$AK118,0),MATCH(IF('Data-solution'!$A$3="Maximize",MAX($C119:$AI119),MIN($C119:$AI119)),$C119:$AI119,0))),S111)</f>
        <v>0</v>
      </c>
      <c r="T126" s="1">
        <f>IF(OR($B123&lt;&gt;$B108,$B124&lt;&gt;$B109,$B125&lt;&gt;$B110,$B126&lt;&gt;$B111,$B127&lt;&gt;$B112,$B128&lt;&gt;$B113,$B129&lt;&gt;$B114,$B130&lt;&gt;$B115,$B131&lt;&gt;$B116,$B132&lt;&gt;$B117,$B133&lt;&gt;$B118),IF($B126&lt;&gt;$B111,T111/INDEX($C108:$AJ118,4,MATCH(IF('Data-solution'!$A$3="Maximize",MAX($C119:$AI119),MIN($C119:$AI119)),$C119:$AI119,0)),T111-INDEX($C108:$AJ118,4,MATCH(IF('Data-solution'!$A$3="Maximize",MAX($C119:$AI119),MIN($C119:$AI119)),$C119:$AI119,0))*INDEX(T108:$AJ118,MATCH(MIN($AK108:$AK118),$AK108:$AK118,0),1)/INDEX($C108:$AJ118,MATCH(MIN($AK108:$AK118),$AK108:$AK118,0),MATCH(IF('Data-solution'!$A$3="Maximize",MAX($C119:$AI119),MIN($C119:$AI119)),$C119:$AI119,0))),T111)</f>
        <v>0</v>
      </c>
      <c r="U126" s="1">
        <f>IF(OR($B123&lt;&gt;$B108,$B124&lt;&gt;$B109,$B125&lt;&gt;$B110,$B126&lt;&gt;$B111,$B127&lt;&gt;$B112,$B128&lt;&gt;$B113,$B129&lt;&gt;$B114,$B130&lt;&gt;$B115,$B131&lt;&gt;$B116,$B132&lt;&gt;$B117,$B133&lt;&gt;$B118),IF($B126&lt;&gt;$B111,U111/INDEX($C108:$AJ118,4,MATCH(IF('Data-solution'!$A$3="Maximize",MAX($C119:$AI119),MIN($C119:$AI119)),$C119:$AI119,0)),U111-INDEX($C108:$AJ118,4,MATCH(IF('Data-solution'!$A$3="Maximize",MAX($C119:$AI119),MIN($C119:$AI119)),$C119:$AI119,0))*INDEX(U108:$AJ118,MATCH(MIN($AK108:$AK118),$AK108:$AK118,0),1)/INDEX($C108:$AJ118,MATCH(MIN($AK108:$AK118),$AK108:$AK118,0),MATCH(IF('Data-solution'!$A$3="Maximize",MAX($C119:$AI119),MIN($C119:$AI119)),$C119:$AI119,0))),U111)</f>
        <v>0</v>
      </c>
      <c r="V126" s="1">
        <f>IF(OR($B123&lt;&gt;$B108,$B124&lt;&gt;$B109,$B125&lt;&gt;$B110,$B126&lt;&gt;$B111,$B127&lt;&gt;$B112,$B128&lt;&gt;$B113,$B129&lt;&gt;$B114,$B130&lt;&gt;$B115,$B131&lt;&gt;$B116,$B132&lt;&gt;$B117,$B133&lt;&gt;$B118),IF($B126&lt;&gt;$B111,V111/INDEX($C108:$AJ118,4,MATCH(IF('Data-solution'!$A$3="Maximize",MAX($C119:$AI119),MIN($C119:$AI119)),$C119:$AI119,0)),V111-INDEX($C108:$AJ118,4,MATCH(IF('Data-solution'!$A$3="Maximize",MAX($C119:$AI119),MIN($C119:$AI119)),$C119:$AI119,0))*INDEX(V108:$AJ118,MATCH(MIN($AK108:$AK118),$AK108:$AK118,0),1)/INDEX($C108:$AJ118,MATCH(MIN($AK108:$AK118),$AK108:$AK118,0),MATCH(IF('Data-solution'!$A$3="Maximize",MAX($C119:$AI119),MIN($C119:$AI119)),$C119:$AI119,0))),V111)</f>
        <v>0</v>
      </c>
      <c r="W126" s="1">
        <f>IF(OR($B123&lt;&gt;$B108,$B124&lt;&gt;$B109,$B125&lt;&gt;$B110,$B126&lt;&gt;$B111,$B127&lt;&gt;$B112,$B128&lt;&gt;$B113,$B129&lt;&gt;$B114,$B130&lt;&gt;$B115,$B131&lt;&gt;$B116,$B132&lt;&gt;$B117,$B133&lt;&gt;$B118),IF($B126&lt;&gt;$B111,W111/INDEX($C108:$AJ118,4,MATCH(IF('Data-solution'!$A$3="Maximize",MAX($C119:$AI119),MIN($C119:$AI119)),$C119:$AI119,0)),W111-INDEX($C108:$AJ118,4,MATCH(IF('Data-solution'!$A$3="Maximize",MAX($C119:$AI119),MIN($C119:$AI119)),$C119:$AI119,0))*INDEX(W108:$AJ118,MATCH(MIN($AK108:$AK118),$AK108:$AK118,0),1)/INDEX($C108:$AJ118,MATCH(MIN($AK108:$AK118),$AK108:$AK118,0),MATCH(IF('Data-solution'!$A$3="Maximize",MAX($C119:$AI119),MIN($C119:$AI119)),$C119:$AI119,0))),W111)</f>
        <v>0</v>
      </c>
      <c r="X126" s="1">
        <f>IF(OR($B123&lt;&gt;$B108,$B124&lt;&gt;$B109,$B125&lt;&gt;$B110,$B126&lt;&gt;$B111,$B127&lt;&gt;$B112,$B128&lt;&gt;$B113,$B129&lt;&gt;$B114,$B130&lt;&gt;$B115,$B131&lt;&gt;$B116,$B132&lt;&gt;$B117,$B133&lt;&gt;$B118),IF($B126&lt;&gt;$B111,X111/INDEX($C108:$AJ118,4,MATCH(IF('Data-solution'!$A$3="Maximize",MAX($C119:$AI119),MIN($C119:$AI119)),$C119:$AI119,0)),X111-INDEX($C108:$AJ118,4,MATCH(IF('Data-solution'!$A$3="Maximize",MAX($C119:$AI119),MIN($C119:$AI119)),$C119:$AI119,0))*INDEX(X108:$AJ118,MATCH(MIN($AK108:$AK118),$AK108:$AK118,0),1)/INDEX($C108:$AJ118,MATCH(MIN($AK108:$AK118),$AK108:$AK118,0),MATCH(IF('Data-solution'!$A$3="Maximize",MAX($C119:$AI119),MIN($C119:$AI119)),$C119:$AI119,0))),X111)</f>
        <v>0</v>
      </c>
      <c r="Y126" s="1">
        <f>IF(OR($B123&lt;&gt;$B108,$B124&lt;&gt;$B109,$B125&lt;&gt;$B110,$B126&lt;&gt;$B111,$B127&lt;&gt;$B112,$B128&lt;&gt;$B113,$B129&lt;&gt;$B114,$B130&lt;&gt;$B115,$B131&lt;&gt;$B116,$B132&lt;&gt;$B117,$B133&lt;&gt;$B118),IF($B126&lt;&gt;$B111,Y111/INDEX($C108:$AJ118,4,MATCH(IF('Data-solution'!$A$3="Maximize",MAX($C119:$AI119),MIN($C119:$AI119)),$C119:$AI119,0)),Y111-INDEX($C108:$AJ118,4,MATCH(IF('Data-solution'!$A$3="Maximize",MAX($C119:$AI119),MIN($C119:$AI119)),$C119:$AI119,0))*INDEX(Y108:$AJ118,MATCH(MIN($AK108:$AK118),$AK108:$AK118,0),1)/INDEX($C108:$AJ118,MATCH(MIN($AK108:$AK118),$AK108:$AK118,0),MATCH(IF('Data-solution'!$A$3="Maximize",MAX($C119:$AI119),MIN($C119:$AI119)),$C119:$AI119,0))),Y111)</f>
        <v>0</v>
      </c>
      <c r="Z126" s="1">
        <f>IF(OR($B123&lt;&gt;$B108,$B124&lt;&gt;$B109,$B125&lt;&gt;$B110,$B126&lt;&gt;$B111,$B127&lt;&gt;$B112,$B128&lt;&gt;$B113,$B129&lt;&gt;$B114,$B130&lt;&gt;$B115,$B131&lt;&gt;$B116,$B132&lt;&gt;$B117,$B133&lt;&gt;$B118),IF($B126&lt;&gt;$B111,Z111/INDEX($C108:$AJ118,4,MATCH(IF('Data-solution'!$A$3="Maximize",MAX($C119:$AI119),MIN($C119:$AI119)),$C119:$AI119,0)),Z111-INDEX($C108:$AJ118,4,MATCH(IF('Data-solution'!$A$3="Maximize",MAX($C119:$AI119),MIN($C119:$AI119)),$C119:$AI119,0))*INDEX(Z108:$AJ118,MATCH(MIN($AK108:$AK118),$AK108:$AK118,0),1)/INDEX($C108:$AJ118,MATCH(MIN($AK108:$AK118),$AK108:$AK118,0),MATCH(IF('Data-solution'!$A$3="Maximize",MAX($C119:$AI119),MIN($C119:$AI119)),$C119:$AI119,0))),Z111)</f>
        <v>0</v>
      </c>
      <c r="AA126" s="1">
        <f>IF(OR($B123&lt;&gt;$B108,$B124&lt;&gt;$B109,$B125&lt;&gt;$B110,$B126&lt;&gt;$B111,$B127&lt;&gt;$B112,$B128&lt;&gt;$B113,$B129&lt;&gt;$B114,$B130&lt;&gt;$B115,$B131&lt;&gt;$B116,$B132&lt;&gt;$B117,$B133&lt;&gt;$B118),IF($B126&lt;&gt;$B111,AA111/INDEX($C108:$AJ118,4,MATCH(IF('Data-solution'!$A$3="Maximize",MAX($C119:$AI119),MIN($C119:$AI119)),$C119:$AI119,0)),AA111-INDEX($C108:$AJ118,4,MATCH(IF('Data-solution'!$A$3="Maximize",MAX($C119:$AI119),MIN($C119:$AI119)),$C119:$AI119,0))*INDEX(AA108:$AJ118,MATCH(MIN($AK108:$AK118),$AK108:$AK118,0),1)/INDEX($C108:$AJ118,MATCH(MIN($AK108:$AK118),$AK108:$AK118,0),MATCH(IF('Data-solution'!$A$3="Maximize",MAX($C119:$AI119),MIN($C119:$AI119)),$C119:$AI119,0))),AA111)</f>
        <v>-0.24999999999999994</v>
      </c>
      <c r="AB126" s="1">
        <f>IF(OR($B123&lt;&gt;$B108,$B124&lt;&gt;$B109,$B125&lt;&gt;$B110,$B126&lt;&gt;$B111,$B127&lt;&gt;$B112,$B128&lt;&gt;$B113,$B129&lt;&gt;$B114,$B130&lt;&gt;$B115,$B131&lt;&gt;$B116,$B132&lt;&gt;$B117,$B133&lt;&gt;$B118),IF($B126&lt;&gt;$B111,AB111/INDEX($C108:$AJ118,4,MATCH(IF('Data-solution'!$A$3="Maximize",MAX($C119:$AI119),MIN($C119:$AI119)),$C119:$AI119,0)),AB111-INDEX($C108:$AJ118,4,MATCH(IF('Data-solution'!$A$3="Maximize",MAX($C119:$AI119),MIN($C119:$AI119)),$C119:$AI119,0))*INDEX(AB108:$AJ118,MATCH(MIN($AK108:$AK118),$AK108:$AK118,0),1)/INDEX($C108:$AJ118,MATCH(MIN($AK108:$AK118),$AK108:$AK118,0),MATCH(IF('Data-solution'!$A$3="Maximize",MAX($C119:$AI119),MIN($C119:$AI119)),$C119:$AI119,0))),AB111)</f>
        <v>1.4999999999999998</v>
      </c>
      <c r="AC126" s="1">
        <f>IF(OR($B123&lt;&gt;$B108,$B124&lt;&gt;$B109,$B125&lt;&gt;$B110,$B126&lt;&gt;$B111,$B127&lt;&gt;$B112,$B128&lt;&gt;$B113,$B129&lt;&gt;$B114,$B130&lt;&gt;$B115,$B131&lt;&gt;$B116,$B132&lt;&gt;$B117,$B133&lt;&gt;$B118),IF($B126&lt;&gt;$B111,AC111/INDEX($C108:$AJ118,4,MATCH(IF('Data-solution'!$A$3="Maximize",MAX($C119:$AI119),MIN($C119:$AI119)),$C119:$AI119,0)),AC111-INDEX($C108:$AJ118,4,MATCH(IF('Data-solution'!$A$3="Maximize",MAX($C119:$AI119),MIN($C119:$AI119)),$C119:$AI119,0))*INDEX(AC108:$AJ118,MATCH(MIN($AK108:$AK118),$AK108:$AK118,0),1)/INDEX($C108:$AJ118,MATCH(MIN($AK108:$AK118),$AK108:$AK118,0),MATCH(IF('Data-solution'!$A$3="Maximize",MAX($C119:$AI119),MIN($C119:$AI119)),$C119:$AI119,0))),AC111)</f>
        <v>0</v>
      </c>
      <c r="AD126" s="1">
        <f>IF(OR($B123&lt;&gt;$B108,$B124&lt;&gt;$B109,$B125&lt;&gt;$B110,$B126&lt;&gt;$B111,$B127&lt;&gt;$B112,$B128&lt;&gt;$B113,$B129&lt;&gt;$B114,$B130&lt;&gt;$B115,$B131&lt;&gt;$B116,$B132&lt;&gt;$B117,$B133&lt;&gt;$B118),IF($B126&lt;&gt;$B111,AD111/INDEX($C108:$AJ118,4,MATCH(IF('Data-solution'!$A$3="Maximize",MAX($C119:$AI119),MIN($C119:$AI119)),$C119:$AI119,0)),AD111-INDEX($C108:$AJ118,4,MATCH(IF('Data-solution'!$A$3="Maximize",MAX($C119:$AI119),MIN($C119:$AI119)),$C119:$AI119,0))*INDEX(AD108:$AJ118,MATCH(MIN($AK108:$AK118),$AK108:$AK118,0),1)/INDEX($C108:$AJ118,MATCH(MIN($AK108:$AK118),$AK108:$AK118,0),MATCH(IF('Data-solution'!$A$3="Maximize",MAX($C119:$AI119),MIN($C119:$AI119)),$C119:$AI119,0))),AD111)</f>
        <v>0</v>
      </c>
      <c r="AE126" s="1">
        <f>IF(OR($B123&lt;&gt;$B108,$B124&lt;&gt;$B109,$B125&lt;&gt;$B110,$B126&lt;&gt;$B111,$B127&lt;&gt;$B112,$B128&lt;&gt;$B113,$B129&lt;&gt;$B114,$B130&lt;&gt;$B115,$B131&lt;&gt;$B116,$B132&lt;&gt;$B117,$B133&lt;&gt;$B118),IF($B126&lt;&gt;$B111,AE111/INDEX($C108:$AJ118,4,MATCH(IF('Data-solution'!$A$3="Maximize",MAX($C119:$AI119),MIN($C119:$AI119)),$C119:$AI119,0)),AE111-INDEX($C108:$AJ118,4,MATCH(IF('Data-solution'!$A$3="Maximize",MAX($C119:$AI119),MIN($C119:$AI119)),$C119:$AI119,0))*INDEX(AE108:$AJ118,MATCH(MIN($AK108:$AK118),$AK108:$AK118,0),1)/INDEX($C108:$AJ118,MATCH(MIN($AK108:$AK118),$AK108:$AK118,0),MATCH(IF('Data-solution'!$A$3="Maximize",MAX($C119:$AI119),MIN($C119:$AI119)),$C119:$AI119,0))),AE111)</f>
        <v>0</v>
      </c>
      <c r="AF126" s="1">
        <f>IF(OR($B123&lt;&gt;$B108,$B124&lt;&gt;$B109,$B125&lt;&gt;$B110,$B126&lt;&gt;$B111,$B127&lt;&gt;$B112,$B128&lt;&gt;$B113,$B129&lt;&gt;$B114,$B130&lt;&gt;$B115,$B131&lt;&gt;$B116,$B132&lt;&gt;$B117,$B133&lt;&gt;$B118),IF($B126&lt;&gt;$B111,AF111/INDEX($C108:$AJ118,4,MATCH(IF('Data-solution'!$A$3="Maximize",MAX($C119:$AI119),MIN($C119:$AI119)),$C119:$AI119,0)),AF111-INDEX($C108:$AJ118,4,MATCH(IF('Data-solution'!$A$3="Maximize",MAX($C119:$AI119),MIN($C119:$AI119)),$C119:$AI119,0))*INDEX(AF108:$AJ118,MATCH(MIN($AK108:$AK118),$AK108:$AK118,0),1)/INDEX($C108:$AJ118,MATCH(MIN($AK108:$AK118),$AK108:$AK118,0),MATCH(IF('Data-solution'!$A$3="Maximize",MAX($C119:$AI119),MIN($C119:$AI119)),$C119:$AI119,0))),AF111)</f>
        <v>0</v>
      </c>
      <c r="AG126" s="1">
        <f>IF(OR($B123&lt;&gt;$B108,$B124&lt;&gt;$B109,$B125&lt;&gt;$B110,$B126&lt;&gt;$B111,$B127&lt;&gt;$B112,$B128&lt;&gt;$B113,$B129&lt;&gt;$B114,$B130&lt;&gt;$B115,$B131&lt;&gt;$B116,$B132&lt;&gt;$B117,$B133&lt;&gt;$B118),IF($B126&lt;&gt;$B111,AG111/INDEX($C108:$AJ118,4,MATCH(IF('Data-solution'!$A$3="Maximize",MAX($C119:$AI119),MIN($C119:$AI119)),$C119:$AI119,0)),AG111-INDEX($C108:$AJ118,4,MATCH(IF('Data-solution'!$A$3="Maximize",MAX($C119:$AI119),MIN($C119:$AI119)),$C119:$AI119,0))*INDEX(AG108:$AJ118,MATCH(MIN($AK108:$AK118),$AK108:$AK118,0),1)/INDEX($C108:$AJ118,MATCH(MIN($AK108:$AK118),$AK108:$AK118,0),MATCH(IF('Data-solution'!$A$3="Maximize",MAX($C119:$AI119),MIN($C119:$AI119)),$C119:$AI119,0))),AG111)</f>
        <v>0</v>
      </c>
      <c r="AH126" s="1">
        <f>IF(OR($B123&lt;&gt;$B108,$B124&lt;&gt;$B109,$B125&lt;&gt;$B110,$B126&lt;&gt;$B111,$B127&lt;&gt;$B112,$B128&lt;&gt;$B113,$B129&lt;&gt;$B114,$B130&lt;&gt;$B115,$B131&lt;&gt;$B116,$B132&lt;&gt;$B117,$B133&lt;&gt;$B118),IF($B126&lt;&gt;$B111,AH111/INDEX($C108:$AJ118,4,MATCH(IF('Data-solution'!$A$3="Maximize",MAX($C119:$AI119),MIN($C119:$AI119)),$C119:$AI119,0)),AH111-INDEX($C108:$AJ118,4,MATCH(IF('Data-solution'!$A$3="Maximize",MAX($C119:$AI119),MIN($C119:$AI119)),$C119:$AI119,0))*INDEX(AH108:$AJ118,MATCH(MIN($AK108:$AK118),$AK108:$AK118,0),1)/INDEX($C108:$AJ118,MATCH(MIN($AK108:$AK118),$AK108:$AK118,0),MATCH(IF('Data-solution'!$A$3="Maximize",MAX($C119:$AI119),MIN($C119:$AI119)),$C119:$AI119,0))),AH111)</f>
        <v>0</v>
      </c>
      <c r="AI126" s="1">
        <f>IF(OR($B123&lt;&gt;$B108,$B124&lt;&gt;$B109,$B125&lt;&gt;$B110,$B126&lt;&gt;$B111,$B127&lt;&gt;$B112,$B128&lt;&gt;$B113,$B129&lt;&gt;$B114,$B130&lt;&gt;$B115,$B131&lt;&gt;$B116,$B132&lt;&gt;$B117,$B133&lt;&gt;$B118),IF($B126&lt;&gt;$B111,AI111/INDEX($C108:$AJ118,4,MATCH(IF('Data-solution'!$A$3="Maximize",MAX($C119:$AI119),MIN($C119:$AI119)),$C119:$AI119,0)),AI111-INDEX($C108:$AJ118,4,MATCH(IF('Data-solution'!$A$3="Maximize",MAX($C119:$AI119),MIN($C119:$AI119)),$C119:$AI119,0))*INDEX(AI108:$AJ118,MATCH(MIN($AK108:$AK118),$AK108:$AK118,0),1)/INDEX($C108:$AJ118,MATCH(MIN($AK108:$AK118),$AK108:$AK118,0),MATCH(IF('Data-solution'!$A$3="Maximize",MAX($C119:$AI119),MIN($C119:$AI119)),$C119:$AI119,0))),AI111)</f>
        <v>0</v>
      </c>
      <c r="AJ126" s="1">
        <f>IF(OR($B123&lt;&gt;$B108,$B124&lt;&gt;$B109,$B125&lt;&gt;$B110,$B126&lt;&gt;$B111,$B127&lt;&gt;$B112,$B128&lt;&gt;$B113,$B129&lt;&gt;$B114,$B130&lt;&gt;$B115,$B131&lt;&gt;$B116,$B132&lt;&gt;$B117,$B133&lt;&gt;$B118),IF($B126&lt;&gt;$B111,AJ111/INDEX($C108:$AJ118,4,MATCH(IF('Data-solution'!$A$3="Maximize",MAX($C119:$AI119),MIN($C119:$AI119)),$C119:$AI119,0)),AJ111-INDEX($C108:$AJ118,4,MATCH(IF('Data-solution'!$A$3="Maximize",MAX($C119:$AI119),MIN($C119:$AI119)),$C119:$AI119,0))*INDEX(AJ108:$AJ118,MATCH(MIN($AK108:$AK118),$AK108:$AK118,0),1)/INDEX($C108:$AJ118,MATCH(MIN($AK108:$AK118),$AK108:$AK118,0),MATCH(IF('Data-solution'!$A$3="Maximize",MAX($C119:$AI119),MIN($C119:$AI119)),$C119:$AI119,0))),AJ111)</f>
        <v>100.00000000000001</v>
      </c>
      <c r="AK126" s="1">
        <f>IF(INDEX(C126:X126,1,MATCH(IF('Data-solution'!A$3="Maximize",MAX(C134:X134),MIN(C134:X134)),C134:X134,0))&gt;0,AJ126/INDEX(C126:X126,1,MATCH(IF('Data-solution'!A$3="Maximize",MAX(C134:X134),MIN(C134:X134)),C134:X134,0))," ")</f>
        <v>100.00000000000001</v>
      </c>
    </row>
    <row r="127" spans="1:37" ht="18" customHeight="1" x14ac:dyDescent="0.2">
      <c r="A127" s="1">
        <f t="shared" ref="A127" si="100">INDEX(C121:AI121,1,MATCH(B127,C122:AI122,0))</f>
        <v>0</v>
      </c>
      <c r="B127" s="2" t="str">
        <f>IF(AND('Data-solution'!A$3="Maximize",COUNTIF(C119:X119,"&gt;"&amp;0)&gt;0,AK112=MIN(AK108:AK118),COUNTIF(B123:B126,INDEX(C107:X107,1,MATCH(MAX(C119:X119),C119:X119,0)))=0),INDEX(C107:X107,1,MATCH(MAX(C119:X119),C119:X119,0)),IF(AND('Data-solution'!A$3="Minimize",COUNTIF(C119:X119,"&lt;"&amp;0)&gt;0,AK112=MIN(AK108:AK118),COUNTIF(B123:B126,INDEX(C107:X107,1,MATCH(MIN(C119:X119),C119:X119,0)))=0),INDEX(C107:X107,1,MATCH(MIN(C119:X119),C119:X119,0)),B112))</f>
        <v>S5</v>
      </c>
      <c r="C127" s="1">
        <f>IF(OR($B123&lt;&gt;$B108,$B124&lt;&gt;$B109,$B125&lt;&gt;$B110,$B126&lt;&gt;$B111,$B127&lt;&gt;$B112,$B128&lt;&gt;$B113,$B129&lt;&gt;$B114,$B130&lt;&gt;$B115,$B131&lt;&gt;$B116,$B132&lt;&gt;$B117,$B133&lt;&gt;$B118),IF($B127&lt;&gt;$B112,C112/INDEX($C108:$AJ118,5,MATCH(IF('Data-solution'!$A$3="Maximize",MAX($C119:$AI119),MIN($C119:$AI119)),$C119:$AI119,0)),C112-INDEX($C108:$AJ118,5,MATCH(IF('Data-solution'!$A$3="Maximize",MAX($C119:$AI119),MIN($C119:$AI119)),$C119:$AI119,0))*INDEX(C108:$AJ118,MATCH(MIN($AK108:$AK118),$AK108:$AK118,0),1)/INDEX($C108:$AJ118,MATCH(MIN($AK108:$AK118),$AK108:$AK118,0),MATCH(IF('Data-solution'!$A$3="Maximize",MAX($C119:$AI119),MIN($C119:$AI119)),$C119:$AI119,0))),C112)</f>
        <v>0</v>
      </c>
      <c r="D127" s="1">
        <f>IF(OR($B123&lt;&gt;$B108,$B124&lt;&gt;$B109,$B125&lt;&gt;$B110,$B126&lt;&gt;$B111,$B127&lt;&gt;$B112,$B128&lt;&gt;$B113,$B129&lt;&gt;$B114,$B130&lt;&gt;$B115,$B131&lt;&gt;$B116,$B132&lt;&gt;$B117,$B133&lt;&gt;$B118),IF($B127&lt;&gt;$B112,D112/INDEX($C108:$AJ118,5,MATCH(IF('Data-solution'!$A$3="Maximize",MAX($C119:$AI119),MIN($C119:$AI119)),$C119:$AI119,0)),D112-INDEX($C108:$AJ118,5,MATCH(IF('Data-solution'!$A$3="Maximize",MAX($C119:$AI119),MIN($C119:$AI119)),$C119:$AI119,0))*INDEX(D108:$AJ118,MATCH(MIN($AK108:$AK118),$AK108:$AK118,0),1)/INDEX($C108:$AJ118,MATCH(MIN($AK108:$AK118),$AK108:$AK118,0),MATCH(IF('Data-solution'!$A$3="Maximize",MAX($C119:$AI119),MIN($C119:$AI119)),$C119:$AI119,0))),D112)</f>
        <v>0</v>
      </c>
      <c r="E127" s="1">
        <f>IF(OR($B123&lt;&gt;$B108,$B124&lt;&gt;$B109,$B125&lt;&gt;$B110,$B126&lt;&gt;$B111,$B127&lt;&gt;$B112,$B128&lt;&gt;$B113,$B129&lt;&gt;$B114,$B130&lt;&gt;$B115,$B131&lt;&gt;$B116,$B132&lt;&gt;$B117,$B133&lt;&gt;$B118),IF($B127&lt;&gt;$B112,E112/INDEX($C108:$AJ118,5,MATCH(IF('Data-solution'!$A$3="Maximize",MAX($C119:$AI119),MIN($C119:$AI119)),$C119:$AI119,0)),E112-INDEX($C108:$AJ118,5,MATCH(IF('Data-solution'!$A$3="Maximize",MAX($C119:$AI119),MIN($C119:$AI119)),$C119:$AI119,0))*INDEX(E108:$AJ118,MATCH(MIN($AK108:$AK118),$AK108:$AK118,0),1)/INDEX($C108:$AJ118,MATCH(MIN($AK108:$AK118),$AK108:$AK118,0),MATCH(IF('Data-solution'!$A$3="Maximize",MAX($C119:$AI119),MIN($C119:$AI119)),$C119:$AI119,0))),E112)</f>
        <v>0</v>
      </c>
      <c r="F127" s="1">
        <f>IF(OR($B123&lt;&gt;$B108,$B124&lt;&gt;$B109,$B125&lt;&gt;$B110,$B126&lt;&gt;$B111,$B127&lt;&gt;$B112,$B128&lt;&gt;$B113,$B129&lt;&gt;$B114,$B130&lt;&gt;$B115,$B131&lt;&gt;$B116,$B132&lt;&gt;$B117,$B133&lt;&gt;$B118),IF($B127&lt;&gt;$B112,F112/INDEX($C108:$AJ118,5,MATCH(IF('Data-solution'!$A$3="Maximize",MAX($C119:$AI119),MIN($C119:$AI119)),$C119:$AI119,0)),F112-INDEX($C108:$AJ118,5,MATCH(IF('Data-solution'!$A$3="Maximize",MAX($C119:$AI119),MIN($C119:$AI119)),$C119:$AI119,0))*INDEX(F108:$AJ118,MATCH(MIN($AK108:$AK118),$AK108:$AK118,0),1)/INDEX($C108:$AJ118,MATCH(MIN($AK108:$AK118),$AK108:$AK118,0),MATCH(IF('Data-solution'!$A$3="Maximize",MAX($C119:$AI119),MIN($C119:$AI119)),$C119:$AI119,0))),F112)</f>
        <v>0</v>
      </c>
      <c r="G127" s="1">
        <f>IF(OR($B123&lt;&gt;$B108,$B124&lt;&gt;$B109,$B125&lt;&gt;$B110,$B126&lt;&gt;$B111,$B127&lt;&gt;$B112,$B128&lt;&gt;$B113,$B129&lt;&gt;$B114,$B130&lt;&gt;$B115,$B131&lt;&gt;$B116,$B132&lt;&gt;$B117,$B133&lt;&gt;$B118),IF($B127&lt;&gt;$B112,G112/INDEX($C108:$AJ118,5,MATCH(IF('Data-solution'!$A$3="Maximize",MAX($C119:$AI119),MIN($C119:$AI119)),$C119:$AI119,0)),G112-INDEX($C108:$AJ118,5,MATCH(IF('Data-solution'!$A$3="Maximize",MAX($C119:$AI119),MIN($C119:$AI119)),$C119:$AI119,0))*INDEX(G108:$AJ118,MATCH(MIN($AK108:$AK118),$AK108:$AK118,0),1)/INDEX($C108:$AJ118,MATCH(MIN($AK108:$AK118),$AK108:$AK118,0),MATCH(IF('Data-solution'!$A$3="Maximize",MAX($C119:$AI119),MIN($C119:$AI119)),$C119:$AI119,0))),G112)</f>
        <v>0</v>
      </c>
      <c r="H127" s="1">
        <f>IF(OR($B123&lt;&gt;$B108,$B124&lt;&gt;$B109,$B125&lt;&gt;$B110,$B126&lt;&gt;$B111,$B127&lt;&gt;$B112,$B128&lt;&gt;$B113,$B129&lt;&gt;$B114,$B130&lt;&gt;$B115,$B131&lt;&gt;$B116,$B132&lt;&gt;$B117,$B133&lt;&gt;$B118),IF($B127&lt;&gt;$B112,H112/INDEX($C108:$AJ118,5,MATCH(IF('Data-solution'!$A$3="Maximize",MAX($C119:$AI119),MIN($C119:$AI119)),$C119:$AI119,0)),H112-INDEX($C108:$AJ118,5,MATCH(IF('Data-solution'!$A$3="Maximize",MAX($C119:$AI119),MIN($C119:$AI119)),$C119:$AI119,0))*INDEX(H108:$AJ118,MATCH(MIN($AK108:$AK118),$AK108:$AK118,0),1)/INDEX($C108:$AJ118,MATCH(MIN($AK108:$AK118),$AK108:$AK118,0),MATCH(IF('Data-solution'!$A$3="Maximize",MAX($C119:$AI119),MIN($C119:$AI119)),$C119:$AI119,0))),H112)</f>
        <v>0</v>
      </c>
      <c r="I127" s="1">
        <f>IF(OR($B123&lt;&gt;$B108,$B124&lt;&gt;$B109,$B125&lt;&gt;$B110,$B126&lt;&gt;$B111,$B127&lt;&gt;$B112,$B128&lt;&gt;$B113,$B129&lt;&gt;$B114,$B130&lt;&gt;$B115,$B131&lt;&gt;$B116,$B132&lt;&gt;$B117,$B133&lt;&gt;$B118),IF($B127&lt;&gt;$B112,I112/INDEX($C108:$AJ118,5,MATCH(IF('Data-solution'!$A$3="Maximize",MAX($C119:$AI119),MIN($C119:$AI119)),$C119:$AI119,0)),I112-INDEX($C108:$AJ118,5,MATCH(IF('Data-solution'!$A$3="Maximize",MAX($C119:$AI119),MIN($C119:$AI119)),$C119:$AI119,0))*INDEX(I108:$AJ118,MATCH(MIN($AK108:$AK118),$AK108:$AK118,0),1)/INDEX($C108:$AJ118,MATCH(MIN($AK108:$AK118),$AK108:$AK118,0),MATCH(IF('Data-solution'!$A$3="Maximize",MAX($C119:$AI119),MIN($C119:$AI119)),$C119:$AI119,0))),I112)</f>
        <v>0</v>
      </c>
      <c r="J127" s="1">
        <f>IF(OR($B123&lt;&gt;$B108,$B124&lt;&gt;$B109,$B125&lt;&gt;$B110,$B126&lt;&gt;$B111,$B127&lt;&gt;$B112,$B128&lt;&gt;$B113,$B129&lt;&gt;$B114,$B130&lt;&gt;$B115,$B131&lt;&gt;$B116,$B132&lt;&gt;$B117,$B133&lt;&gt;$B118),IF($B127&lt;&gt;$B112,J112/INDEX($C108:$AJ118,5,MATCH(IF('Data-solution'!$A$3="Maximize",MAX($C119:$AI119),MIN($C119:$AI119)),$C119:$AI119,0)),J112-INDEX($C108:$AJ118,5,MATCH(IF('Data-solution'!$A$3="Maximize",MAX($C119:$AI119),MIN($C119:$AI119)),$C119:$AI119,0))*INDEX(J108:$AJ118,MATCH(MIN($AK108:$AK118),$AK108:$AK118,0),1)/INDEX($C108:$AJ118,MATCH(MIN($AK108:$AK118),$AK108:$AK118,0),MATCH(IF('Data-solution'!$A$3="Maximize",MAX($C119:$AI119),MIN($C119:$AI119)),$C119:$AI119,0))),J112)</f>
        <v>0</v>
      </c>
      <c r="K127" s="1">
        <f>IF(OR($B123&lt;&gt;$B108,$B124&lt;&gt;$B109,$B125&lt;&gt;$B110,$B126&lt;&gt;$B111,$B127&lt;&gt;$B112,$B128&lt;&gt;$B113,$B129&lt;&gt;$B114,$B130&lt;&gt;$B115,$B131&lt;&gt;$B116,$B132&lt;&gt;$B117,$B133&lt;&gt;$B118),IF($B127&lt;&gt;$B112,K112/INDEX($C108:$AJ118,5,MATCH(IF('Data-solution'!$A$3="Maximize",MAX($C119:$AI119),MIN($C119:$AI119)),$C119:$AI119,0)),K112-INDEX($C108:$AJ118,5,MATCH(IF('Data-solution'!$A$3="Maximize",MAX($C119:$AI119),MIN($C119:$AI119)),$C119:$AI119,0))*INDEX(K108:$AJ118,MATCH(MIN($AK108:$AK118),$AK108:$AK118,0),1)/INDEX($C108:$AJ118,MATCH(MIN($AK108:$AK118),$AK108:$AK118,0),MATCH(IF('Data-solution'!$A$3="Maximize",MAX($C119:$AI119),MIN($C119:$AI119)),$C119:$AI119,0))),K112)</f>
        <v>0</v>
      </c>
      <c r="L127" s="1">
        <f>IF(OR($B123&lt;&gt;$B108,$B124&lt;&gt;$B109,$B125&lt;&gt;$B110,$B126&lt;&gt;$B111,$B127&lt;&gt;$B112,$B128&lt;&gt;$B113,$B129&lt;&gt;$B114,$B130&lt;&gt;$B115,$B131&lt;&gt;$B116,$B132&lt;&gt;$B117,$B133&lt;&gt;$B118),IF($B127&lt;&gt;$B112,L112/INDEX($C108:$AJ118,5,MATCH(IF('Data-solution'!$A$3="Maximize",MAX($C119:$AI119),MIN($C119:$AI119)),$C119:$AI119,0)),L112-INDEX($C108:$AJ118,5,MATCH(IF('Data-solution'!$A$3="Maximize",MAX($C119:$AI119),MIN($C119:$AI119)),$C119:$AI119,0))*INDEX(L108:$AJ118,MATCH(MIN($AK108:$AK118),$AK108:$AK118,0),1)/INDEX($C108:$AJ118,MATCH(MIN($AK108:$AK118),$AK108:$AK118,0),MATCH(IF('Data-solution'!$A$3="Maximize",MAX($C119:$AI119),MIN($C119:$AI119)),$C119:$AI119,0))),L112)</f>
        <v>0</v>
      </c>
      <c r="M127" s="1">
        <f>IF(OR($B123&lt;&gt;$B108,$B124&lt;&gt;$B109,$B125&lt;&gt;$B110,$B126&lt;&gt;$B111,$B127&lt;&gt;$B112,$B128&lt;&gt;$B113,$B129&lt;&gt;$B114,$B130&lt;&gt;$B115,$B131&lt;&gt;$B116,$B132&lt;&gt;$B117,$B133&lt;&gt;$B118),IF($B127&lt;&gt;$B112,M112/INDEX($C108:$AJ118,5,MATCH(IF('Data-solution'!$A$3="Maximize",MAX($C119:$AI119),MIN($C119:$AI119)),$C119:$AI119,0)),M112-INDEX($C108:$AJ118,5,MATCH(IF('Data-solution'!$A$3="Maximize",MAX($C119:$AI119),MIN($C119:$AI119)),$C119:$AI119,0))*INDEX(M108:$AJ118,MATCH(MIN($AK108:$AK118),$AK108:$AK118,0),1)/INDEX($C108:$AJ118,MATCH(MIN($AK108:$AK118),$AK108:$AK118,0),MATCH(IF('Data-solution'!$A$3="Maximize",MAX($C119:$AI119),MIN($C119:$AI119)),$C119:$AI119,0))),M112)</f>
        <v>0</v>
      </c>
      <c r="N127" s="1">
        <f>IF(OR($B123&lt;&gt;$B108,$B124&lt;&gt;$B109,$B125&lt;&gt;$B110,$B126&lt;&gt;$B111,$B127&lt;&gt;$B112,$B128&lt;&gt;$B113,$B129&lt;&gt;$B114,$B130&lt;&gt;$B115,$B131&lt;&gt;$B116,$B132&lt;&gt;$B117,$B133&lt;&gt;$B118),IF($B127&lt;&gt;$B112,N112/INDEX($C108:$AJ118,5,MATCH(IF('Data-solution'!$A$3="Maximize",MAX($C119:$AI119),MIN($C119:$AI119)),$C119:$AI119,0)),N112-INDEX($C108:$AJ118,5,MATCH(IF('Data-solution'!$A$3="Maximize",MAX($C119:$AI119),MIN($C119:$AI119)),$C119:$AI119,0))*INDEX(N108:$AJ118,MATCH(MIN($AK108:$AK118),$AK108:$AK118,0),1)/INDEX($C108:$AJ118,MATCH(MIN($AK108:$AK118),$AK108:$AK118,0),MATCH(IF('Data-solution'!$A$3="Maximize",MAX($C119:$AI119),MIN($C119:$AI119)),$C119:$AI119,0))),N112)</f>
        <v>0</v>
      </c>
      <c r="O127" s="1">
        <f>IF(OR($B123&lt;&gt;$B108,$B124&lt;&gt;$B109,$B125&lt;&gt;$B110,$B126&lt;&gt;$B111,$B127&lt;&gt;$B112,$B128&lt;&gt;$B113,$B129&lt;&gt;$B114,$B130&lt;&gt;$B115,$B131&lt;&gt;$B116,$B132&lt;&gt;$B117,$B133&lt;&gt;$B118),IF($B127&lt;&gt;$B112,O112/INDEX($C108:$AJ118,5,MATCH(IF('Data-solution'!$A$3="Maximize",MAX($C119:$AI119),MIN($C119:$AI119)),$C119:$AI119,0)),O112-INDEX($C108:$AJ118,5,MATCH(IF('Data-solution'!$A$3="Maximize",MAX($C119:$AI119),MIN($C119:$AI119)),$C119:$AI119,0))*INDEX(O108:$AJ118,MATCH(MIN($AK108:$AK118),$AK108:$AK118,0),1)/INDEX($C108:$AJ118,MATCH(MIN($AK108:$AK118),$AK108:$AK118,0),MATCH(IF('Data-solution'!$A$3="Maximize",MAX($C119:$AI119),MIN($C119:$AI119)),$C119:$AI119,0))),O112)</f>
        <v>0</v>
      </c>
      <c r="P127" s="1">
        <f>IF(OR($B123&lt;&gt;$B108,$B124&lt;&gt;$B109,$B125&lt;&gt;$B110,$B126&lt;&gt;$B111,$B127&lt;&gt;$B112,$B128&lt;&gt;$B113,$B129&lt;&gt;$B114,$B130&lt;&gt;$B115,$B131&lt;&gt;$B116,$B132&lt;&gt;$B117,$B133&lt;&gt;$B118),IF($B127&lt;&gt;$B112,P112/INDEX($C108:$AJ118,5,MATCH(IF('Data-solution'!$A$3="Maximize",MAX($C119:$AI119),MIN($C119:$AI119)),$C119:$AI119,0)),P112-INDEX($C108:$AJ118,5,MATCH(IF('Data-solution'!$A$3="Maximize",MAX($C119:$AI119),MIN($C119:$AI119)),$C119:$AI119,0))*INDEX(P108:$AJ118,MATCH(MIN($AK108:$AK118),$AK108:$AK118,0),1)/INDEX($C108:$AJ118,MATCH(MIN($AK108:$AK118),$AK108:$AK118,0),MATCH(IF('Data-solution'!$A$3="Maximize",MAX($C119:$AI119),MIN($C119:$AI119)),$C119:$AI119,0))),P112)</f>
        <v>0</v>
      </c>
      <c r="Q127" s="1">
        <f>IF(OR($B123&lt;&gt;$B108,$B124&lt;&gt;$B109,$B125&lt;&gt;$B110,$B126&lt;&gt;$B111,$B127&lt;&gt;$B112,$B128&lt;&gt;$B113,$B129&lt;&gt;$B114,$B130&lt;&gt;$B115,$B131&lt;&gt;$B116,$B132&lt;&gt;$B117,$B133&lt;&gt;$B118),IF($B127&lt;&gt;$B112,Q112/INDEX($C108:$AJ118,5,MATCH(IF('Data-solution'!$A$3="Maximize",MAX($C119:$AI119),MIN($C119:$AI119)),$C119:$AI119,0)),Q112-INDEX($C108:$AJ118,5,MATCH(IF('Data-solution'!$A$3="Maximize",MAX($C119:$AI119),MIN($C119:$AI119)),$C119:$AI119,0))*INDEX(Q108:$AJ118,MATCH(MIN($AK108:$AK118),$AK108:$AK118,0),1)/INDEX($C108:$AJ118,MATCH(MIN($AK108:$AK118),$AK108:$AK118,0),MATCH(IF('Data-solution'!$A$3="Maximize",MAX($C119:$AI119),MIN($C119:$AI119)),$C119:$AI119,0))),Q112)</f>
        <v>0</v>
      </c>
      <c r="R127" s="1">
        <f>IF(OR($B123&lt;&gt;$B108,$B124&lt;&gt;$B109,$B125&lt;&gt;$B110,$B126&lt;&gt;$B111,$B127&lt;&gt;$B112,$B128&lt;&gt;$B113,$B129&lt;&gt;$B114,$B130&lt;&gt;$B115,$B131&lt;&gt;$B116,$B132&lt;&gt;$B117,$B133&lt;&gt;$B118),IF($B127&lt;&gt;$B112,R112/INDEX($C108:$AJ118,5,MATCH(IF('Data-solution'!$A$3="Maximize",MAX($C119:$AI119),MIN($C119:$AI119)),$C119:$AI119,0)),R112-INDEX($C108:$AJ118,5,MATCH(IF('Data-solution'!$A$3="Maximize",MAX($C119:$AI119),MIN($C119:$AI119)),$C119:$AI119,0))*INDEX(R108:$AJ118,MATCH(MIN($AK108:$AK118),$AK108:$AK118,0),1)/INDEX($C108:$AJ118,MATCH(MIN($AK108:$AK118),$AK108:$AK118,0),MATCH(IF('Data-solution'!$A$3="Maximize",MAX($C119:$AI119),MIN($C119:$AI119)),$C119:$AI119,0))),R112)</f>
        <v>1</v>
      </c>
      <c r="S127" s="1">
        <f>IF(OR($B123&lt;&gt;$B108,$B124&lt;&gt;$B109,$B125&lt;&gt;$B110,$B126&lt;&gt;$B111,$B127&lt;&gt;$B112,$B128&lt;&gt;$B113,$B129&lt;&gt;$B114,$B130&lt;&gt;$B115,$B131&lt;&gt;$B116,$B132&lt;&gt;$B117,$B133&lt;&gt;$B118),IF($B127&lt;&gt;$B112,S112/INDEX($C108:$AJ118,5,MATCH(IF('Data-solution'!$A$3="Maximize",MAX($C119:$AI119),MIN($C119:$AI119)),$C119:$AI119,0)),S112-INDEX($C108:$AJ118,5,MATCH(IF('Data-solution'!$A$3="Maximize",MAX($C119:$AI119),MIN($C119:$AI119)),$C119:$AI119,0))*INDEX(S108:$AJ118,MATCH(MIN($AK108:$AK118),$AK108:$AK118,0),1)/INDEX($C108:$AJ118,MATCH(MIN($AK108:$AK118),$AK108:$AK118,0),MATCH(IF('Data-solution'!$A$3="Maximize",MAX($C119:$AI119),MIN($C119:$AI119)),$C119:$AI119,0))),S112)</f>
        <v>0</v>
      </c>
      <c r="T127" s="1">
        <f>IF(OR($B123&lt;&gt;$B108,$B124&lt;&gt;$B109,$B125&lt;&gt;$B110,$B126&lt;&gt;$B111,$B127&lt;&gt;$B112,$B128&lt;&gt;$B113,$B129&lt;&gt;$B114,$B130&lt;&gt;$B115,$B131&lt;&gt;$B116,$B132&lt;&gt;$B117,$B133&lt;&gt;$B118),IF($B127&lt;&gt;$B112,T112/INDEX($C108:$AJ118,5,MATCH(IF('Data-solution'!$A$3="Maximize",MAX($C119:$AI119),MIN($C119:$AI119)),$C119:$AI119,0)),T112-INDEX($C108:$AJ118,5,MATCH(IF('Data-solution'!$A$3="Maximize",MAX($C119:$AI119),MIN($C119:$AI119)),$C119:$AI119,0))*INDEX(T108:$AJ118,MATCH(MIN($AK108:$AK118),$AK108:$AK118,0),1)/INDEX($C108:$AJ118,MATCH(MIN($AK108:$AK118),$AK108:$AK118,0),MATCH(IF('Data-solution'!$A$3="Maximize",MAX($C119:$AI119),MIN($C119:$AI119)),$C119:$AI119,0))),T112)</f>
        <v>0</v>
      </c>
      <c r="U127" s="1">
        <f>IF(OR($B123&lt;&gt;$B108,$B124&lt;&gt;$B109,$B125&lt;&gt;$B110,$B126&lt;&gt;$B111,$B127&lt;&gt;$B112,$B128&lt;&gt;$B113,$B129&lt;&gt;$B114,$B130&lt;&gt;$B115,$B131&lt;&gt;$B116,$B132&lt;&gt;$B117,$B133&lt;&gt;$B118),IF($B127&lt;&gt;$B112,U112/INDEX($C108:$AJ118,5,MATCH(IF('Data-solution'!$A$3="Maximize",MAX($C119:$AI119),MIN($C119:$AI119)),$C119:$AI119,0)),U112-INDEX($C108:$AJ118,5,MATCH(IF('Data-solution'!$A$3="Maximize",MAX($C119:$AI119),MIN($C119:$AI119)),$C119:$AI119,0))*INDEX(U108:$AJ118,MATCH(MIN($AK108:$AK118),$AK108:$AK118,0),1)/INDEX($C108:$AJ118,MATCH(MIN($AK108:$AK118),$AK108:$AK118,0),MATCH(IF('Data-solution'!$A$3="Maximize",MAX($C119:$AI119),MIN($C119:$AI119)),$C119:$AI119,0))),U112)</f>
        <v>0</v>
      </c>
      <c r="V127" s="1">
        <f>IF(OR($B123&lt;&gt;$B108,$B124&lt;&gt;$B109,$B125&lt;&gt;$B110,$B126&lt;&gt;$B111,$B127&lt;&gt;$B112,$B128&lt;&gt;$B113,$B129&lt;&gt;$B114,$B130&lt;&gt;$B115,$B131&lt;&gt;$B116,$B132&lt;&gt;$B117,$B133&lt;&gt;$B118),IF($B127&lt;&gt;$B112,V112/INDEX($C108:$AJ118,5,MATCH(IF('Data-solution'!$A$3="Maximize",MAX($C119:$AI119),MIN($C119:$AI119)),$C119:$AI119,0)),V112-INDEX($C108:$AJ118,5,MATCH(IF('Data-solution'!$A$3="Maximize",MAX($C119:$AI119),MIN($C119:$AI119)),$C119:$AI119,0))*INDEX(V108:$AJ118,MATCH(MIN($AK108:$AK118),$AK108:$AK118,0),1)/INDEX($C108:$AJ118,MATCH(MIN($AK108:$AK118),$AK108:$AK118,0),MATCH(IF('Data-solution'!$A$3="Maximize",MAX($C119:$AI119),MIN($C119:$AI119)),$C119:$AI119,0))),V112)</f>
        <v>0</v>
      </c>
      <c r="W127" s="1">
        <f>IF(OR($B123&lt;&gt;$B108,$B124&lt;&gt;$B109,$B125&lt;&gt;$B110,$B126&lt;&gt;$B111,$B127&lt;&gt;$B112,$B128&lt;&gt;$B113,$B129&lt;&gt;$B114,$B130&lt;&gt;$B115,$B131&lt;&gt;$B116,$B132&lt;&gt;$B117,$B133&lt;&gt;$B118),IF($B127&lt;&gt;$B112,W112/INDEX($C108:$AJ118,5,MATCH(IF('Data-solution'!$A$3="Maximize",MAX($C119:$AI119),MIN($C119:$AI119)),$C119:$AI119,0)),W112-INDEX($C108:$AJ118,5,MATCH(IF('Data-solution'!$A$3="Maximize",MAX($C119:$AI119),MIN($C119:$AI119)),$C119:$AI119,0))*INDEX(W108:$AJ118,MATCH(MIN($AK108:$AK118),$AK108:$AK118,0),1)/INDEX($C108:$AJ118,MATCH(MIN($AK108:$AK118),$AK108:$AK118,0),MATCH(IF('Data-solution'!$A$3="Maximize",MAX($C119:$AI119),MIN($C119:$AI119)),$C119:$AI119,0))),W112)</f>
        <v>0</v>
      </c>
      <c r="X127" s="1">
        <f>IF(OR($B123&lt;&gt;$B108,$B124&lt;&gt;$B109,$B125&lt;&gt;$B110,$B126&lt;&gt;$B111,$B127&lt;&gt;$B112,$B128&lt;&gt;$B113,$B129&lt;&gt;$B114,$B130&lt;&gt;$B115,$B131&lt;&gt;$B116,$B132&lt;&gt;$B117,$B133&lt;&gt;$B118),IF($B127&lt;&gt;$B112,X112/INDEX($C108:$AJ118,5,MATCH(IF('Data-solution'!$A$3="Maximize",MAX($C119:$AI119),MIN($C119:$AI119)),$C119:$AI119,0)),X112-INDEX($C108:$AJ118,5,MATCH(IF('Data-solution'!$A$3="Maximize",MAX($C119:$AI119),MIN($C119:$AI119)),$C119:$AI119,0))*INDEX(X108:$AJ118,MATCH(MIN($AK108:$AK118),$AK108:$AK118,0),1)/INDEX($C108:$AJ118,MATCH(MIN($AK108:$AK118),$AK108:$AK118,0),MATCH(IF('Data-solution'!$A$3="Maximize",MAX($C119:$AI119),MIN($C119:$AI119)),$C119:$AI119,0))),X112)</f>
        <v>0</v>
      </c>
      <c r="Y127" s="1">
        <f>IF(OR($B123&lt;&gt;$B108,$B124&lt;&gt;$B109,$B125&lt;&gt;$B110,$B126&lt;&gt;$B111,$B127&lt;&gt;$B112,$B128&lt;&gt;$B113,$B129&lt;&gt;$B114,$B130&lt;&gt;$B115,$B131&lt;&gt;$B116,$B132&lt;&gt;$B117,$B133&lt;&gt;$B118),IF($B127&lt;&gt;$B112,Y112/INDEX($C108:$AJ118,5,MATCH(IF('Data-solution'!$A$3="Maximize",MAX($C119:$AI119),MIN($C119:$AI119)),$C119:$AI119,0)),Y112-INDEX($C108:$AJ118,5,MATCH(IF('Data-solution'!$A$3="Maximize",MAX($C119:$AI119),MIN($C119:$AI119)),$C119:$AI119,0))*INDEX(Y108:$AJ118,MATCH(MIN($AK108:$AK118),$AK108:$AK118,0),1)/INDEX($C108:$AJ118,MATCH(MIN($AK108:$AK118),$AK108:$AK118,0),MATCH(IF('Data-solution'!$A$3="Maximize",MAX($C119:$AI119),MIN($C119:$AI119)),$C119:$AI119,0))),Y112)</f>
        <v>0</v>
      </c>
      <c r="Z127" s="1">
        <f>IF(OR($B123&lt;&gt;$B108,$B124&lt;&gt;$B109,$B125&lt;&gt;$B110,$B126&lt;&gt;$B111,$B127&lt;&gt;$B112,$B128&lt;&gt;$B113,$B129&lt;&gt;$B114,$B130&lt;&gt;$B115,$B131&lt;&gt;$B116,$B132&lt;&gt;$B117,$B133&lt;&gt;$B118),IF($B127&lt;&gt;$B112,Z112/INDEX($C108:$AJ118,5,MATCH(IF('Data-solution'!$A$3="Maximize",MAX($C119:$AI119),MIN($C119:$AI119)),$C119:$AI119,0)),Z112-INDEX($C108:$AJ118,5,MATCH(IF('Data-solution'!$A$3="Maximize",MAX($C119:$AI119),MIN($C119:$AI119)),$C119:$AI119,0))*INDEX(Z108:$AJ118,MATCH(MIN($AK108:$AK118),$AK108:$AK118,0),1)/INDEX($C108:$AJ118,MATCH(MIN($AK108:$AK118),$AK108:$AK118,0),MATCH(IF('Data-solution'!$A$3="Maximize",MAX($C119:$AI119),MIN($C119:$AI119)),$C119:$AI119,0))),Z112)</f>
        <v>0</v>
      </c>
      <c r="AA127" s="1">
        <f>IF(OR($B123&lt;&gt;$B108,$B124&lt;&gt;$B109,$B125&lt;&gt;$B110,$B126&lt;&gt;$B111,$B127&lt;&gt;$B112,$B128&lt;&gt;$B113,$B129&lt;&gt;$B114,$B130&lt;&gt;$B115,$B131&lt;&gt;$B116,$B132&lt;&gt;$B117,$B133&lt;&gt;$B118),IF($B127&lt;&gt;$B112,AA112/INDEX($C108:$AJ118,5,MATCH(IF('Data-solution'!$A$3="Maximize",MAX($C119:$AI119),MIN($C119:$AI119)),$C119:$AI119,0)),AA112-INDEX($C108:$AJ118,5,MATCH(IF('Data-solution'!$A$3="Maximize",MAX($C119:$AI119),MIN($C119:$AI119)),$C119:$AI119,0))*INDEX(AA108:$AJ118,MATCH(MIN($AK108:$AK118),$AK108:$AK118,0),1)/INDEX($C108:$AJ118,MATCH(MIN($AK108:$AK118),$AK108:$AK118,0),MATCH(IF('Data-solution'!$A$3="Maximize",MAX($C119:$AI119),MIN($C119:$AI119)),$C119:$AI119,0))),AA112)</f>
        <v>0</v>
      </c>
      <c r="AB127" s="1">
        <f>IF(OR($B123&lt;&gt;$B108,$B124&lt;&gt;$B109,$B125&lt;&gt;$B110,$B126&lt;&gt;$B111,$B127&lt;&gt;$B112,$B128&lt;&gt;$B113,$B129&lt;&gt;$B114,$B130&lt;&gt;$B115,$B131&lt;&gt;$B116,$B132&lt;&gt;$B117,$B133&lt;&gt;$B118),IF($B127&lt;&gt;$B112,AB112/INDEX($C108:$AJ118,5,MATCH(IF('Data-solution'!$A$3="Maximize",MAX($C119:$AI119),MIN($C119:$AI119)),$C119:$AI119,0)),AB112-INDEX($C108:$AJ118,5,MATCH(IF('Data-solution'!$A$3="Maximize",MAX($C119:$AI119),MIN($C119:$AI119)),$C119:$AI119,0))*INDEX(AB108:$AJ118,MATCH(MIN($AK108:$AK118),$AK108:$AK118,0),1)/INDEX($C108:$AJ118,MATCH(MIN($AK108:$AK118),$AK108:$AK118,0),MATCH(IF('Data-solution'!$A$3="Maximize",MAX($C119:$AI119),MIN($C119:$AI119)),$C119:$AI119,0))),AB112)</f>
        <v>0</v>
      </c>
      <c r="AC127" s="1">
        <f>IF(OR($B123&lt;&gt;$B108,$B124&lt;&gt;$B109,$B125&lt;&gt;$B110,$B126&lt;&gt;$B111,$B127&lt;&gt;$B112,$B128&lt;&gt;$B113,$B129&lt;&gt;$B114,$B130&lt;&gt;$B115,$B131&lt;&gt;$B116,$B132&lt;&gt;$B117,$B133&lt;&gt;$B118),IF($B127&lt;&gt;$B112,AC112/INDEX($C108:$AJ118,5,MATCH(IF('Data-solution'!$A$3="Maximize",MAX($C119:$AI119),MIN($C119:$AI119)),$C119:$AI119,0)),AC112-INDEX($C108:$AJ118,5,MATCH(IF('Data-solution'!$A$3="Maximize",MAX($C119:$AI119),MIN($C119:$AI119)),$C119:$AI119,0))*INDEX(AC108:$AJ118,MATCH(MIN($AK108:$AK118),$AK108:$AK118,0),1)/INDEX($C108:$AJ118,MATCH(MIN($AK108:$AK118),$AK108:$AK118,0),MATCH(IF('Data-solution'!$A$3="Maximize",MAX($C119:$AI119),MIN($C119:$AI119)),$C119:$AI119,0))),AC112)</f>
        <v>1</v>
      </c>
      <c r="AD127" s="1">
        <f>IF(OR($B123&lt;&gt;$B108,$B124&lt;&gt;$B109,$B125&lt;&gt;$B110,$B126&lt;&gt;$B111,$B127&lt;&gt;$B112,$B128&lt;&gt;$B113,$B129&lt;&gt;$B114,$B130&lt;&gt;$B115,$B131&lt;&gt;$B116,$B132&lt;&gt;$B117,$B133&lt;&gt;$B118),IF($B127&lt;&gt;$B112,AD112/INDEX($C108:$AJ118,5,MATCH(IF('Data-solution'!$A$3="Maximize",MAX($C119:$AI119),MIN($C119:$AI119)),$C119:$AI119,0)),AD112-INDEX($C108:$AJ118,5,MATCH(IF('Data-solution'!$A$3="Maximize",MAX($C119:$AI119),MIN($C119:$AI119)),$C119:$AI119,0))*INDEX(AD108:$AJ118,MATCH(MIN($AK108:$AK118),$AK108:$AK118,0),1)/INDEX($C108:$AJ118,MATCH(MIN($AK108:$AK118),$AK108:$AK118,0),MATCH(IF('Data-solution'!$A$3="Maximize",MAX($C119:$AI119),MIN($C119:$AI119)),$C119:$AI119,0))),AD112)</f>
        <v>0</v>
      </c>
      <c r="AE127" s="1">
        <f>IF(OR($B123&lt;&gt;$B108,$B124&lt;&gt;$B109,$B125&lt;&gt;$B110,$B126&lt;&gt;$B111,$B127&lt;&gt;$B112,$B128&lt;&gt;$B113,$B129&lt;&gt;$B114,$B130&lt;&gt;$B115,$B131&lt;&gt;$B116,$B132&lt;&gt;$B117,$B133&lt;&gt;$B118),IF($B127&lt;&gt;$B112,AE112/INDEX($C108:$AJ118,5,MATCH(IF('Data-solution'!$A$3="Maximize",MAX($C119:$AI119),MIN($C119:$AI119)),$C119:$AI119,0)),AE112-INDEX($C108:$AJ118,5,MATCH(IF('Data-solution'!$A$3="Maximize",MAX($C119:$AI119),MIN($C119:$AI119)),$C119:$AI119,0))*INDEX(AE108:$AJ118,MATCH(MIN($AK108:$AK118),$AK108:$AK118,0),1)/INDEX($C108:$AJ118,MATCH(MIN($AK108:$AK118),$AK108:$AK118,0),MATCH(IF('Data-solution'!$A$3="Maximize",MAX($C119:$AI119),MIN($C119:$AI119)),$C119:$AI119,0))),AE112)</f>
        <v>0</v>
      </c>
      <c r="AF127" s="1">
        <f>IF(OR($B123&lt;&gt;$B108,$B124&lt;&gt;$B109,$B125&lt;&gt;$B110,$B126&lt;&gt;$B111,$B127&lt;&gt;$B112,$B128&lt;&gt;$B113,$B129&lt;&gt;$B114,$B130&lt;&gt;$B115,$B131&lt;&gt;$B116,$B132&lt;&gt;$B117,$B133&lt;&gt;$B118),IF($B127&lt;&gt;$B112,AF112/INDEX($C108:$AJ118,5,MATCH(IF('Data-solution'!$A$3="Maximize",MAX($C119:$AI119),MIN($C119:$AI119)),$C119:$AI119,0)),AF112-INDEX($C108:$AJ118,5,MATCH(IF('Data-solution'!$A$3="Maximize",MAX($C119:$AI119),MIN($C119:$AI119)),$C119:$AI119,0))*INDEX(AF108:$AJ118,MATCH(MIN($AK108:$AK118),$AK108:$AK118,0),1)/INDEX($C108:$AJ118,MATCH(MIN($AK108:$AK118),$AK108:$AK118,0),MATCH(IF('Data-solution'!$A$3="Maximize",MAX($C119:$AI119),MIN($C119:$AI119)),$C119:$AI119,0))),AF112)</f>
        <v>0</v>
      </c>
      <c r="AG127" s="1">
        <f>IF(OR($B123&lt;&gt;$B108,$B124&lt;&gt;$B109,$B125&lt;&gt;$B110,$B126&lt;&gt;$B111,$B127&lt;&gt;$B112,$B128&lt;&gt;$B113,$B129&lt;&gt;$B114,$B130&lt;&gt;$B115,$B131&lt;&gt;$B116,$B132&lt;&gt;$B117,$B133&lt;&gt;$B118),IF($B127&lt;&gt;$B112,AG112/INDEX($C108:$AJ118,5,MATCH(IF('Data-solution'!$A$3="Maximize",MAX($C119:$AI119),MIN($C119:$AI119)),$C119:$AI119,0)),AG112-INDEX($C108:$AJ118,5,MATCH(IF('Data-solution'!$A$3="Maximize",MAX($C119:$AI119),MIN($C119:$AI119)),$C119:$AI119,0))*INDEX(AG108:$AJ118,MATCH(MIN($AK108:$AK118),$AK108:$AK118,0),1)/INDEX($C108:$AJ118,MATCH(MIN($AK108:$AK118),$AK108:$AK118,0),MATCH(IF('Data-solution'!$A$3="Maximize",MAX($C119:$AI119),MIN($C119:$AI119)),$C119:$AI119,0))),AG112)</f>
        <v>0</v>
      </c>
      <c r="AH127" s="1">
        <f>IF(OR($B123&lt;&gt;$B108,$B124&lt;&gt;$B109,$B125&lt;&gt;$B110,$B126&lt;&gt;$B111,$B127&lt;&gt;$B112,$B128&lt;&gt;$B113,$B129&lt;&gt;$B114,$B130&lt;&gt;$B115,$B131&lt;&gt;$B116,$B132&lt;&gt;$B117,$B133&lt;&gt;$B118),IF($B127&lt;&gt;$B112,AH112/INDEX($C108:$AJ118,5,MATCH(IF('Data-solution'!$A$3="Maximize",MAX($C119:$AI119),MIN($C119:$AI119)),$C119:$AI119,0)),AH112-INDEX($C108:$AJ118,5,MATCH(IF('Data-solution'!$A$3="Maximize",MAX($C119:$AI119),MIN($C119:$AI119)),$C119:$AI119,0))*INDEX(AH108:$AJ118,MATCH(MIN($AK108:$AK118),$AK108:$AK118,0),1)/INDEX($C108:$AJ118,MATCH(MIN($AK108:$AK118),$AK108:$AK118,0),MATCH(IF('Data-solution'!$A$3="Maximize",MAX($C119:$AI119),MIN($C119:$AI119)),$C119:$AI119,0))),AH112)</f>
        <v>0</v>
      </c>
      <c r="AI127" s="1">
        <f>IF(OR($B123&lt;&gt;$B108,$B124&lt;&gt;$B109,$B125&lt;&gt;$B110,$B126&lt;&gt;$B111,$B127&lt;&gt;$B112,$B128&lt;&gt;$B113,$B129&lt;&gt;$B114,$B130&lt;&gt;$B115,$B131&lt;&gt;$B116,$B132&lt;&gt;$B117,$B133&lt;&gt;$B118),IF($B127&lt;&gt;$B112,AI112/INDEX($C108:$AJ118,5,MATCH(IF('Data-solution'!$A$3="Maximize",MAX($C119:$AI119),MIN($C119:$AI119)),$C119:$AI119,0)),AI112-INDEX($C108:$AJ118,5,MATCH(IF('Data-solution'!$A$3="Maximize",MAX($C119:$AI119),MIN($C119:$AI119)),$C119:$AI119,0))*INDEX(AI108:$AJ118,MATCH(MIN($AK108:$AK118),$AK108:$AK118,0),1)/INDEX($C108:$AJ118,MATCH(MIN($AK108:$AK118),$AK108:$AK118,0),MATCH(IF('Data-solution'!$A$3="Maximize",MAX($C119:$AI119),MIN($C119:$AI119)),$C119:$AI119,0))),AI112)</f>
        <v>0</v>
      </c>
      <c r="AJ127" s="1">
        <f>IF(OR($B123&lt;&gt;$B108,$B124&lt;&gt;$B109,$B125&lt;&gt;$B110,$B126&lt;&gt;$B111,$B127&lt;&gt;$B112,$B128&lt;&gt;$B113,$B129&lt;&gt;$B114,$B130&lt;&gt;$B115,$B131&lt;&gt;$B116,$B132&lt;&gt;$B117,$B133&lt;&gt;$B118),IF($B127&lt;&gt;$B112,AJ112/INDEX($C108:$AJ118,5,MATCH(IF('Data-solution'!$A$3="Maximize",MAX($C119:$AI119),MIN($C119:$AI119)),$C119:$AI119,0)),AJ112-INDEX($C108:$AJ118,5,MATCH(IF('Data-solution'!$A$3="Maximize",MAX($C119:$AI119),MIN($C119:$AI119)),$C119:$AI119,0))*INDEX(AJ108:$AJ118,MATCH(MIN($AK108:$AK118),$AK108:$AK118,0),1)/INDEX($C108:$AJ118,MATCH(MIN($AK108:$AK118),$AK108:$AK118,0),MATCH(IF('Data-solution'!$A$3="Maximize",MAX($C119:$AI119),MIN($C119:$AI119)),$C119:$AI119,0))),AJ112)</f>
        <v>0</v>
      </c>
      <c r="AK127" s="1" t="str">
        <f>IF(INDEX(C127:X127,1,MATCH(IF('Data-solution'!A$3="Maximize",MAX(C134:X134),MIN(C134:X134)),C134:X134,0))&gt;0,AJ127/INDEX(C127:X127,1,MATCH(IF('Data-solution'!A$3="Maximize",MAX(C134:X134),MIN(C134:X134)),C134:X134,0))," ")</f>
        <v xml:space="preserve"> </v>
      </c>
    </row>
    <row r="128" spans="1:37" ht="18" customHeight="1" x14ac:dyDescent="0.2">
      <c r="A128" s="1">
        <f t="shared" ref="A128" si="101">INDEX(C121:AI121,1,MATCH(B128,C122:AI122,0))</f>
        <v>0</v>
      </c>
      <c r="B128" s="2" t="str">
        <f>IF(AND('Data-solution'!A$3="Maximize",COUNTIF(C119:X119,"&gt;"&amp;0)&gt;0,AK113=MIN(AK108:AK118),COUNTIF(B123:B127,INDEX(C107:X107,1,MATCH(MAX(C119:X119),C119:X119,0)))=0),INDEX(C107:X107,1,MATCH(MAX(C119:X119),C119:X119,0)),IF(AND('Data-solution'!A$3="Minimize",COUNTIF(C119:X119,"&lt;"&amp;0)&gt;0,AK113=MIN(AK108:AK118),COUNTIF(B123:B127,INDEX(C107:X107,1,MATCH(MIN(C119:X119),C119:X119,0)))=0),INDEX(C107:X107,1,MATCH(MIN(C119:X119),C119:X119,0)),B113))</f>
        <v>S6</v>
      </c>
      <c r="C128" s="1">
        <f>IF(OR($B123&lt;&gt;$B108,$B124&lt;&gt;$B109,$B125&lt;&gt;$B110,$B126&lt;&gt;$B111,$B127&lt;&gt;$B112,$B128&lt;&gt;$B113,$B129&lt;&gt;$B114,$B130&lt;&gt;$B115,$B131&lt;&gt;$B116,$B132&lt;&gt;$B117,$B133&lt;&gt;$B118),IF($B128&lt;&gt;$B113,C113/INDEX($C108:$AJ118,6,MATCH(IF('Data-solution'!$A$3="Maximize",MAX($C119:$AI119),MIN($C119:$AI119)),$C119:$AI119,0)),C113-INDEX($C108:$AJ118,6,MATCH(IF('Data-solution'!$A$3="Maximize",MAX($C119:$AI119),MIN($C119:$AI119)),$C119:$AI119,0))*INDEX(C108:$AJ118,MATCH(MIN($AK108:$AK118),$AK108:$AK118,0),1)/INDEX($C108:$AJ118,MATCH(MIN($AK108:$AK118),$AK108:$AK118,0),MATCH(IF('Data-solution'!$A$3="Maximize",MAX($C119:$AI119),MIN($C119:$AI119)),$C119:$AI119,0))),C113)</f>
        <v>0</v>
      </c>
      <c r="D128" s="1">
        <f>IF(OR($B123&lt;&gt;$B108,$B124&lt;&gt;$B109,$B125&lt;&gt;$B110,$B126&lt;&gt;$B111,$B127&lt;&gt;$B112,$B128&lt;&gt;$B113,$B129&lt;&gt;$B114,$B130&lt;&gt;$B115,$B131&lt;&gt;$B116,$B132&lt;&gt;$B117,$B133&lt;&gt;$B118),IF($B128&lt;&gt;$B113,D113/INDEX($C108:$AJ118,6,MATCH(IF('Data-solution'!$A$3="Maximize",MAX($C119:$AI119),MIN($C119:$AI119)),$C119:$AI119,0)),D113-INDEX($C108:$AJ118,6,MATCH(IF('Data-solution'!$A$3="Maximize",MAX($C119:$AI119),MIN($C119:$AI119)),$C119:$AI119,0))*INDEX(D108:$AJ118,MATCH(MIN($AK108:$AK118),$AK108:$AK118,0),1)/INDEX($C108:$AJ118,MATCH(MIN($AK108:$AK118),$AK108:$AK118,0),MATCH(IF('Data-solution'!$A$3="Maximize",MAX($C119:$AI119),MIN($C119:$AI119)),$C119:$AI119,0))),D113)</f>
        <v>0</v>
      </c>
      <c r="E128" s="1">
        <f>IF(OR($B123&lt;&gt;$B108,$B124&lt;&gt;$B109,$B125&lt;&gt;$B110,$B126&lt;&gt;$B111,$B127&lt;&gt;$B112,$B128&lt;&gt;$B113,$B129&lt;&gt;$B114,$B130&lt;&gt;$B115,$B131&lt;&gt;$B116,$B132&lt;&gt;$B117,$B133&lt;&gt;$B118),IF($B128&lt;&gt;$B113,E113/INDEX($C108:$AJ118,6,MATCH(IF('Data-solution'!$A$3="Maximize",MAX($C119:$AI119),MIN($C119:$AI119)),$C119:$AI119,0)),E113-INDEX($C108:$AJ118,6,MATCH(IF('Data-solution'!$A$3="Maximize",MAX($C119:$AI119),MIN($C119:$AI119)),$C119:$AI119,0))*INDEX(E108:$AJ118,MATCH(MIN($AK108:$AK118),$AK108:$AK118,0),1)/INDEX($C108:$AJ118,MATCH(MIN($AK108:$AK118),$AK108:$AK118,0),MATCH(IF('Data-solution'!$A$3="Maximize",MAX($C119:$AI119),MIN($C119:$AI119)),$C119:$AI119,0))),E113)</f>
        <v>0</v>
      </c>
      <c r="F128" s="1">
        <f>IF(OR($B123&lt;&gt;$B108,$B124&lt;&gt;$B109,$B125&lt;&gt;$B110,$B126&lt;&gt;$B111,$B127&lt;&gt;$B112,$B128&lt;&gt;$B113,$B129&lt;&gt;$B114,$B130&lt;&gt;$B115,$B131&lt;&gt;$B116,$B132&lt;&gt;$B117,$B133&lt;&gt;$B118),IF($B128&lt;&gt;$B113,F113/INDEX($C108:$AJ118,6,MATCH(IF('Data-solution'!$A$3="Maximize",MAX($C119:$AI119),MIN($C119:$AI119)),$C119:$AI119,0)),F113-INDEX($C108:$AJ118,6,MATCH(IF('Data-solution'!$A$3="Maximize",MAX($C119:$AI119),MIN($C119:$AI119)),$C119:$AI119,0))*INDEX(F108:$AJ118,MATCH(MIN($AK108:$AK118),$AK108:$AK118,0),1)/INDEX($C108:$AJ118,MATCH(MIN($AK108:$AK118),$AK108:$AK118,0),MATCH(IF('Data-solution'!$A$3="Maximize",MAX($C119:$AI119),MIN($C119:$AI119)),$C119:$AI119,0))),F113)</f>
        <v>0</v>
      </c>
      <c r="G128" s="1">
        <f>IF(OR($B123&lt;&gt;$B108,$B124&lt;&gt;$B109,$B125&lt;&gt;$B110,$B126&lt;&gt;$B111,$B127&lt;&gt;$B112,$B128&lt;&gt;$B113,$B129&lt;&gt;$B114,$B130&lt;&gt;$B115,$B131&lt;&gt;$B116,$B132&lt;&gt;$B117,$B133&lt;&gt;$B118),IF($B128&lt;&gt;$B113,G113/INDEX($C108:$AJ118,6,MATCH(IF('Data-solution'!$A$3="Maximize",MAX($C119:$AI119),MIN($C119:$AI119)),$C119:$AI119,0)),G113-INDEX($C108:$AJ118,6,MATCH(IF('Data-solution'!$A$3="Maximize",MAX($C119:$AI119),MIN($C119:$AI119)),$C119:$AI119,0))*INDEX(G108:$AJ118,MATCH(MIN($AK108:$AK118),$AK108:$AK118,0),1)/INDEX($C108:$AJ118,MATCH(MIN($AK108:$AK118),$AK108:$AK118,0),MATCH(IF('Data-solution'!$A$3="Maximize",MAX($C119:$AI119),MIN($C119:$AI119)),$C119:$AI119,0))),G113)</f>
        <v>0</v>
      </c>
      <c r="H128" s="1">
        <f>IF(OR($B123&lt;&gt;$B108,$B124&lt;&gt;$B109,$B125&lt;&gt;$B110,$B126&lt;&gt;$B111,$B127&lt;&gt;$B112,$B128&lt;&gt;$B113,$B129&lt;&gt;$B114,$B130&lt;&gt;$B115,$B131&lt;&gt;$B116,$B132&lt;&gt;$B117,$B133&lt;&gt;$B118),IF($B128&lt;&gt;$B113,H113/INDEX($C108:$AJ118,6,MATCH(IF('Data-solution'!$A$3="Maximize",MAX($C119:$AI119),MIN($C119:$AI119)),$C119:$AI119,0)),H113-INDEX($C108:$AJ118,6,MATCH(IF('Data-solution'!$A$3="Maximize",MAX($C119:$AI119),MIN($C119:$AI119)),$C119:$AI119,0))*INDEX(H108:$AJ118,MATCH(MIN($AK108:$AK118),$AK108:$AK118,0),1)/INDEX($C108:$AJ118,MATCH(MIN($AK108:$AK118),$AK108:$AK118,0),MATCH(IF('Data-solution'!$A$3="Maximize",MAX($C119:$AI119),MIN($C119:$AI119)),$C119:$AI119,0))),H113)</f>
        <v>0</v>
      </c>
      <c r="I128" s="1">
        <f>IF(OR($B123&lt;&gt;$B108,$B124&lt;&gt;$B109,$B125&lt;&gt;$B110,$B126&lt;&gt;$B111,$B127&lt;&gt;$B112,$B128&lt;&gt;$B113,$B129&lt;&gt;$B114,$B130&lt;&gt;$B115,$B131&lt;&gt;$B116,$B132&lt;&gt;$B117,$B133&lt;&gt;$B118),IF($B128&lt;&gt;$B113,I113/INDEX($C108:$AJ118,6,MATCH(IF('Data-solution'!$A$3="Maximize",MAX($C119:$AI119),MIN($C119:$AI119)),$C119:$AI119,0)),I113-INDEX($C108:$AJ118,6,MATCH(IF('Data-solution'!$A$3="Maximize",MAX($C119:$AI119),MIN($C119:$AI119)),$C119:$AI119,0))*INDEX(I108:$AJ118,MATCH(MIN($AK108:$AK118),$AK108:$AK118,0),1)/INDEX($C108:$AJ118,MATCH(MIN($AK108:$AK118),$AK108:$AK118,0),MATCH(IF('Data-solution'!$A$3="Maximize",MAX($C119:$AI119),MIN($C119:$AI119)),$C119:$AI119,0))),I113)</f>
        <v>0</v>
      </c>
      <c r="J128" s="1">
        <f>IF(OR($B123&lt;&gt;$B108,$B124&lt;&gt;$B109,$B125&lt;&gt;$B110,$B126&lt;&gt;$B111,$B127&lt;&gt;$B112,$B128&lt;&gt;$B113,$B129&lt;&gt;$B114,$B130&lt;&gt;$B115,$B131&lt;&gt;$B116,$B132&lt;&gt;$B117,$B133&lt;&gt;$B118),IF($B128&lt;&gt;$B113,J113/INDEX($C108:$AJ118,6,MATCH(IF('Data-solution'!$A$3="Maximize",MAX($C119:$AI119),MIN($C119:$AI119)),$C119:$AI119,0)),J113-INDEX($C108:$AJ118,6,MATCH(IF('Data-solution'!$A$3="Maximize",MAX($C119:$AI119),MIN($C119:$AI119)),$C119:$AI119,0))*INDEX(J108:$AJ118,MATCH(MIN($AK108:$AK118),$AK108:$AK118,0),1)/INDEX($C108:$AJ118,MATCH(MIN($AK108:$AK118),$AK108:$AK118,0),MATCH(IF('Data-solution'!$A$3="Maximize",MAX($C119:$AI119),MIN($C119:$AI119)),$C119:$AI119,0))),J113)</f>
        <v>0</v>
      </c>
      <c r="K128" s="1">
        <f>IF(OR($B123&lt;&gt;$B108,$B124&lt;&gt;$B109,$B125&lt;&gt;$B110,$B126&lt;&gt;$B111,$B127&lt;&gt;$B112,$B128&lt;&gt;$B113,$B129&lt;&gt;$B114,$B130&lt;&gt;$B115,$B131&lt;&gt;$B116,$B132&lt;&gt;$B117,$B133&lt;&gt;$B118),IF($B128&lt;&gt;$B113,K113/INDEX($C108:$AJ118,6,MATCH(IF('Data-solution'!$A$3="Maximize",MAX($C119:$AI119),MIN($C119:$AI119)),$C119:$AI119,0)),K113-INDEX($C108:$AJ118,6,MATCH(IF('Data-solution'!$A$3="Maximize",MAX($C119:$AI119),MIN($C119:$AI119)),$C119:$AI119,0))*INDEX(K108:$AJ118,MATCH(MIN($AK108:$AK118),$AK108:$AK118,0),1)/INDEX($C108:$AJ118,MATCH(MIN($AK108:$AK118),$AK108:$AK118,0),MATCH(IF('Data-solution'!$A$3="Maximize",MAX($C119:$AI119),MIN($C119:$AI119)),$C119:$AI119,0))),K113)</f>
        <v>0</v>
      </c>
      <c r="L128" s="1">
        <f>IF(OR($B123&lt;&gt;$B108,$B124&lt;&gt;$B109,$B125&lt;&gt;$B110,$B126&lt;&gt;$B111,$B127&lt;&gt;$B112,$B128&lt;&gt;$B113,$B129&lt;&gt;$B114,$B130&lt;&gt;$B115,$B131&lt;&gt;$B116,$B132&lt;&gt;$B117,$B133&lt;&gt;$B118),IF($B128&lt;&gt;$B113,L113/INDEX($C108:$AJ118,6,MATCH(IF('Data-solution'!$A$3="Maximize",MAX($C119:$AI119),MIN($C119:$AI119)),$C119:$AI119,0)),L113-INDEX($C108:$AJ118,6,MATCH(IF('Data-solution'!$A$3="Maximize",MAX($C119:$AI119),MIN($C119:$AI119)),$C119:$AI119,0))*INDEX(L108:$AJ118,MATCH(MIN($AK108:$AK118),$AK108:$AK118,0),1)/INDEX($C108:$AJ118,MATCH(MIN($AK108:$AK118),$AK108:$AK118,0),MATCH(IF('Data-solution'!$A$3="Maximize",MAX($C119:$AI119),MIN($C119:$AI119)),$C119:$AI119,0))),L113)</f>
        <v>0</v>
      </c>
      <c r="M128" s="1">
        <f>IF(OR($B123&lt;&gt;$B108,$B124&lt;&gt;$B109,$B125&lt;&gt;$B110,$B126&lt;&gt;$B111,$B127&lt;&gt;$B112,$B128&lt;&gt;$B113,$B129&lt;&gt;$B114,$B130&lt;&gt;$B115,$B131&lt;&gt;$B116,$B132&lt;&gt;$B117,$B133&lt;&gt;$B118),IF($B128&lt;&gt;$B113,M113/INDEX($C108:$AJ118,6,MATCH(IF('Data-solution'!$A$3="Maximize",MAX($C119:$AI119),MIN($C119:$AI119)),$C119:$AI119,0)),M113-INDEX($C108:$AJ118,6,MATCH(IF('Data-solution'!$A$3="Maximize",MAX($C119:$AI119),MIN($C119:$AI119)),$C119:$AI119,0))*INDEX(M108:$AJ118,MATCH(MIN($AK108:$AK118),$AK108:$AK118,0),1)/INDEX($C108:$AJ118,MATCH(MIN($AK108:$AK118),$AK108:$AK118,0),MATCH(IF('Data-solution'!$A$3="Maximize",MAX($C119:$AI119),MIN($C119:$AI119)),$C119:$AI119,0))),M113)</f>
        <v>0</v>
      </c>
      <c r="N128" s="1">
        <f>IF(OR($B123&lt;&gt;$B108,$B124&lt;&gt;$B109,$B125&lt;&gt;$B110,$B126&lt;&gt;$B111,$B127&lt;&gt;$B112,$B128&lt;&gt;$B113,$B129&lt;&gt;$B114,$B130&lt;&gt;$B115,$B131&lt;&gt;$B116,$B132&lt;&gt;$B117,$B133&lt;&gt;$B118),IF($B128&lt;&gt;$B113,N113/INDEX($C108:$AJ118,6,MATCH(IF('Data-solution'!$A$3="Maximize",MAX($C119:$AI119),MIN($C119:$AI119)),$C119:$AI119,0)),N113-INDEX($C108:$AJ118,6,MATCH(IF('Data-solution'!$A$3="Maximize",MAX($C119:$AI119),MIN($C119:$AI119)),$C119:$AI119,0))*INDEX(N108:$AJ118,MATCH(MIN($AK108:$AK118),$AK108:$AK118,0),1)/INDEX($C108:$AJ118,MATCH(MIN($AK108:$AK118),$AK108:$AK118,0),MATCH(IF('Data-solution'!$A$3="Maximize",MAX($C119:$AI119),MIN($C119:$AI119)),$C119:$AI119,0))),N113)</f>
        <v>0</v>
      </c>
      <c r="O128" s="1">
        <f>IF(OR($B123&lt;&gt;$B108,$B124&lt;&gt;$B109,$B125&lt;&gt;$B110,$B126&lt;&gt;$B111,$B127&lt;&gt;$B112,$B128&lt;&gt;$B113,$B129&lt;&gt;$B114,$B130&lt;&gt;$B115,$B131&lt;&gt;$B116,$B132&lt;&gt;$B117,$B133&lt;&gt;$B118),IF($B128&lt;&gt;$B113,O113/INDEX($C108:$AJ118,6,MATCH(IF('Data-solution'!$A$3="Maximize",MAX($C119:$AI119),MIN($C119:$AI119)),$C119:$AI119,0)),O113-INDEX($C108:$AJ118,6,MATCH(IF('Data-solution'!$A$3="Maximize",MAX($C119:$AI119),MIN($C119:$AI119)),$C119:$AI119,0))*INDEX(O108:$AJ118,MATCH(MIN($AK108:$AK118),$AK108:$AK118,0),1)/INDEX($C108:$AJ118,MATCH(MIN($AK108:$AK118),$AK108:$AK118,0),MATCH(IF('Data-solution'!$A$3="Maximize",MAX($C119:$AI119),MIN($C119:$AI119)),$C119:$AI119,0))),O113)</f>
        <v>0</v>
      </c>
      <c r="P128" s="1">
        <f>IF(OR($B123&lt;&gt;$B108,$B124&lt;&gt;$B109,$B125&lt;&gt;$B110,$B126&lt;&gt;$B111,$B127&lt;&gt;$B112,$B128&lt;&gt;$B113,$B129&lt;&gt;$B114,$B130&lt;&gt;$B115,$B131&lt;&gt;$B116,$B132&lt;&gt;$B117,$B133&lt;&gt;$B118),IF($B128&lt;&gt;$B113,P113/INDEX($C108:$AJ118,6,MATCH(IF('Data-solution'!$A$3="Maximize",MAX($C119:$AI119),MIN($C119:$AI119)),$C119:$AI119,0)),P113-INDEX($C108:$AJ118,6,MATCH(IF('Data-solution'!$A$3="Maximize",MAX($C119:$AI119),MIN($C119:$AI119)),$C119:$AI119,0))*INDEX(P108:$AJ118,MATCH(MIN($AK108:$AK118),$AK108:$AK118,0),1)/INDEX($C108:$AJ118,MATCH(MIN($AK108:$AK118),$AK108:$AK118,0),MATCH(IF('Data-solution'!$A$3="Maximize",MAX($C119:$AI119),MIN($C119:$AI119)),$C119:$AI119,0))),P113)</f>
        <v>0</v>
      </c>
      <c r="Q128" s="1">
        <f>IF(OR($B123&lt;&gt;$B108,$B124&lt;&gt;$B109,$B125&lt;&gt;$B110,$B126&lt;&gt;$B111,$B127&lt;&gt;$B112,$B128&lt;&gt;$B113,$B129&lt;&gt;$B114,$B130&lt;&gt;$B115,$B131&lt;&gt;$B116,$B132&lt;&gt;$B117,$B133&lt;&gt;$B118),IF($B128&lt;&gt;$B113,Q113/INDEX($C108:$AJ118,6,MATCH(IF('Data-solution'!$A$3="Maximize",MAX($C119:$AI119),MIN($C119:$AI119)),$C119:$AI119,0)),Q113-INDEX($C108:$AJ118,6,MATCH(IF('Data-solution'!$A$3="Maximize",MAX($C119:$AI119),MIN($C119:$AI119)),$C119:$AI119,0))*INDEX(Q108:$AJ118,MATCH(MIN($AK108:$AK118),$AK108:$AK118,0),1)/INDEX($C108:$AJ118,MATCH(MIN($AK108:$AK118),$AK108:$AK118,0),MATCH(IF('Data-solution'!$A$3="Maximize",MAX($C119:$AI119),MIN($C119:$AI119)),$C119:$AI119,0))),Q113)</f>
        <v>0</v>
      </c>
      <c r="R128" s="1">
        <f>IF(OR($B123&lt;&gt;$B108,$B124&lt;&gt;$B109,$B125&lt;&gt;$B110,$B126&lt;&gt;$B111,$B127&lt;&gt;$B112,$B128&lt;&gt;$B113,$B129&lt;&gt;$B114,$B130&lt;&gt;$B115,$B131&lt;&gt;$B116,$B132&lt;&gt;$B117,$B133&lt;&gt;$B118),IF($B128&lt;&gt;$B113,R113/INDEX($C108:$AJ118,6,MATCH(IF('Data-solution'!$A$3="Maximize",MAX($C119:$AI119),MIN($C119:$AI119)),$C119:$AI119,0)),R113-INDEX($C108:$AJ118,6,MATCH(IF('Data-solution'!$A$3="Maximize",MAX($C119:$AI119),MIN($C119:$AI119)),$C119:$AI119,0))*INDEX(R108:$AJ118,MATCH(MIN($AK108:$AK118),$AK108:$AK118,0),1)/INDEX($C108:$AJ118,MATCH(MIN($AK108:$AK118),$AK108:$AK118,0),MATCH(IF('Data-solution'!$A$3="Maximize",MAX($C119:$AI119),MIN($C119:$AI119)),$C119:$AI119,0))),R113)</f>
        <v>0</v>
      </c>
      <c r="S128" s="1">
        <f>IF(OR($B123&lt;&gt;$B108,$B124&lt;&gt;$B109,$B125&lt;&gt;$B110,$B126&lt;&gt;$B111,$B127&lt;&gt;$B112,$B128&lt;&gt;$B113,$B129&lt;&gt;$B114,$B130&lt;&gt;$B115,$B131&lt;&gt;$B116,$B132&lt;&gt;$B117,$B133&lt;&gt;$B118),IF($B128&lt;&gt;$B113,S113/INDEX($C108:$AJ118,6,MATCH(IF('Data-solution'!$A$3="Maximize",MAX($C119:$AI119),MIN($C119:$AI119)),$C119:$AI119,0)),S113-INDEX($C108:$AJ118,6,MATCH(IF('Data-solution'!$A$3="Maximize",MAX($C119:$AI119),MIN($C119:$AI119)),$C119:$AI119,0))*INDEX(S108:$AJ118,MATCH(MIN($AK108:$AK118),$AK108:$AK118,0),1)/INDEX($C108:$AJ118,MATCH(MIN($AK108:$AK118),$AK108:$AK118,0),MATCH(IF('Data-solution'!$A$3="Maximize",MAX($C119:$AI119),MIN($C119:$AI119)),$C119:$AI119,0))),S113)</f>
        <v>1</v>
      </c>
      <c r="T128" s="1">
        <f>IF(OR($B123&lt;&gt;$B108,$B124&lt;&gt;$B109,$B125&lt;&gt;$B110,$B126&lt;&gt;$B111,$B127&lt;&gt;$B112,$B128&lt;&gt;$B113,$B129&lt;&gt;$B114,$B130&lt;&gt;$B115,$B131&lt;&gt;$B116,$B132&lt;&gt;$B117,$B133&lt;&gt;$B118),IF($B128&lt;&gt;$B113,T113/INDEX($C108:$AJ118,6,MATCH(IF('Data-solution'!$A$3="Maximize",MAX($C119:$AI119),MIN($C119:$AI119)),$C119:$AI119,0)),T113-INDEX($C108:$AJ118,6,MATCH(IF('Data-solution'!$A$3="Maximize",MAX($C119:$AI119),MIN($C119:$AI119)),$C119:$AI119,0))*INDEX(T108:$AJ118,MATCH(MIN($AK108:$AK118),$AK108:$AK118,0),1)/INDEX($C108:$AJ118,MATCH(MIN($AK108:$AK118),$AK108:$AK118,0),MATCH(IF('Data-solution'!$A$3="Maximize",MAX($C119:$AI119),MIN($C119:$AI119)),$C119:$AI119,0))),T113)</f>
        <v>0</v>
      </c>
      <c r="U128" s="1">
        <f>IF(OR($B123&lt;&gt;$B108,$B124&lt;&gt;$B109,$B125&lt;&gt;$B110,$B126&lt;&gt;$B111,$B127&lt;&gt;$B112,$B128&lt;&gt;$B113,$B129&lt;&gt;$B114,$B130&lt;&gt;$B115,$B131&lt;&gt;$B116,$B132&lt;&gt;$B117,$B133&lt;&gt;$B118),IF($B128&lt;&gt;$B113,U113/INDEX($C108:$AJ118,6,MATCH(IF('Data-solution'!$A$3="Maximize",MAX($C119:$AI119),MIN($C119:$AI119)),$C119:$AI119,0)),U113-INDEX($C108:$AJ118,6,MATCH(IF('Data-solution'!$A$3="Maximize",MAX($C119:$AI119),MIN($C119:$AI119)),$C119:$AI119,0))*INDEX(U108:$AJ118,MATCH(MIN($AK108:$AK118),$AK108:$AK118,0),1)/INDEX($C108:$AJ118,MATCH(MIN($AK108:$AK118),$AK108:$AK118,0),MATCH(IF('Data-solution'!$A$3="Maximize",MAX($C119:$AI119),MIN($C119:$AI119)),$C119:$AI119,0))),U113)</f>
        <v>0</v>
      </c>
      <c r="V128" s="1">
        <f>IF(OR($B123&lt;&gt;$B108,$B124&lt;&gt;$B109,$B125&lt;&gt;$B110,$B126&lt;&gt;$B111,$B127&lt;&gt;$B112,$B128&lt;&gt;$B113,$B129&lt;&gt;$B114,$B130&lt;&gt;$B115,$B131&lt;&gt;$B116,$B132&lt;&gt;$B117,$B133&lt;&gt;$B118),IF($B128&lt;&gt;$B113,V113/INDEX($C108:$AJ118,6,MATCH(IF('Data-solution'!$A$3="Maximize",MAX($C119:$AI119),MIN($C119:$AI119)),$C119:$AI119,0)),V113-INDEX($C108:$AJ118,6,MATCH(IF('Data-solution'!$A$3="Maximize",MAX($C119:$AI119),MIN($C119:$AI119)),$C119:$AI119,0))*INDEX(V108:$AJ118,MATCH(MIN($AK108:$AK118),$AK108:$AK118,0),1)/INDEX($C108:$AJ118,MATCH(MIN($AK108:$AK118),$AK108:$AK118,0),MATCH(IF('Data-solution'!$A$3="Maximize",MAX($C119:$AI119),MIN($C119:$AI119)),$C119:$AI119,0))),V113)</f>
        <v>0</v>
      </c>
      <c r="W128" s="1">
        <f>IF(OR($B123&lt;&gt;$B108,$B124&lt;&gt;$B109,$B125&lt;&gt;$B110,$B126&lt;&gt;$B111,$B127&lt;&gt;$B112,$B128&lt;&gt;$B113,$B129&lt;&gt;$B114,$B130&lt;&gt;$B115,$B131&lt;&gt;$B116,$B132&lt;&gt;$B117,$B133&lt;&gt;$B118),IF($B128&lt;&gt;$B113,W113/INDEX($C108:$AJ118,6,MATCH(IF('Data-solution'!$A$3="Maximize",MAX($C119:$AI119),MIN($C119:$AI119)),$C119:$AI119,0)),W113-INDEX($C108:$AJ118,6,MATCH(IF('Data-solution'!$A$3="Maximize",MAX($C119:$AI119),MIN($C119:$AI119)),$C119:$AI119,0))*INDEX(W108:$AJ118,MATCH(MIN($AK108:$AK118),$AK108:$AK118,0),1)/INDEX($C108:$AJ118,MATCH(MIN($AK108:$AK118),$AK108:$AK118,0),MATCH(IF('Data-solution'!$A$3="Maximize",MAX($C119:$AI119),MIN($C119:$AI119)),$C119:$AI119,0))),W113)</f>
        <v>0</v>
      </c>
      <c r="X128" s="1">
        <f>IF(OR($B123&lt;&gt;$B108,$B124&lt;&gt;$B109,$B125&lt;&gt;$B110,$B126&lt;&gt;$B111,$B127&lt;&gt;$B112,$B128&lt;&gt;$B113,$B129&lt;&gt;$B114,$B130&lt;&gt;$B115,$B131&lt;&gt;$B116,$B132&lt;&gt;$B117,$B133&lt;&gt;$B118),IF($B128&lt;&gt;$B113,X113/INDEX($C108:$AJ118,6,MATCH(IF('Data-solution'!$A$3="Maximize",MAX($C119:$AI119),MIN($C119:$AI119)),$C119:$AI119,0)),X113-INDEX($C108:$AJ118,6,MATCH(IF('Data-solution'!$A$3="Maximize",MAX($C119:$AI119),MIN($C119:$AI119)),$C119:$AI119,0))*INDEX(X108:$AJ118,MATCH(MIN($AK108:$AK118),$AK108:$AK118,0),1)/INDEX($C108:$AJ118,MATCH(MIN($AK108:$AK118),$AK108:$AK118,0),MATCH(IF('Data-solution'!$A$3="Maximize",MAX($C119:$AI119),MIN($C119:$AI119)),$C119:$AI119,0))),X113)</f>
        <v>0</v>
      </c>
      <c r="Y128" s="1">
        <f>IF(OR($B123&lt;&gt;$B108,$B124&lt;&gt;$B109,$B125&lt;&gt;$B110,$B126&lt;&gt;$B111,$B127&lt;&gt;$B112,$B128&lt;&gt;$B113,$B129&lt;&gt;$B114,$B130&lt;&gt;$B115,$B131&lt;&gt;$B116,$B132&lt;&gt;$B117,$B133&lt;&gt;$B118),IF($B128&lt;&gt;$B113,Y113/INDEX($C108:$AJ118,6,MATCH(IF('Data-solution'!$A$3="Maximize",MAX($C119:$AI119),MIN($C119:$AI119)),$C119:$AI119,0)),Y113-INDEX($C108:$AJ118,6,MATCH(IF('Data-solution'!$A$3="Maximize",MAX($C119:$AI119),MIN($C119:$AI119)),$C119:$AI119,0))*INDEX(Y108:$AJ118,MATCH(MIN($AK108:$AK118),$AK108:$AK118,0),1)/INDEX($C108:$AJ118,MATCH(MIN($AK108:$AK118),$AK108:$AK118,0),MATCH(IF('Data-solution'!$A$3="Maximize",MAX($C119:$AI119),MIN($C119:$AI119)),$C119:$AI119,0))),Y113)</f>
        <v>0</v>
      </c>
      <c r="Z128" s="1">
        <f>IF(OR($B123&lt;&gt;$B108,$B124&lt;&gt;$B109,$B125&lt;&gt;$B110,$B126&lt;&gt;$B111,$B127&lt;&gt;$B112,$B128&lt;&gt;$B113,$B129&lt;&gt;$B114,$B130&lt;&gt;$B115,$B131&lt;&gt;$B116,$B132&lt;&gt;$B117,$B133&lt;&gt;$B118),IF($B128&lt;&gt;$B113,Z113/INDEX($C108:$AJ118,6,MATCH(IF('Data-solution'!$A$3="Maximize",MAX($C119:$AI119),MIN($C119:$AI119)),$C119:$AI119,0)),Z113-INDEX($C108:$AJ118,6,MATCH(IF('Data-solution'!$A$3="Maximize",MAX($C119:$AI119),MIN($C119:$AI119)),$C119:$AI119,0))*INDEX(Z108:$AJ118,MATCH(MIN($AK108:$AK118),$AK108:$AK118,0),1)/INDEX($C108:$AJ118,MATCH(MIN($AK108:$AK118),$AK108:$AK118,0),MATCH(IF('Data-solution'!$A$3="Maximize",MAX($C119:$AI119),MIN($C119:$AI119)),$C119:$AI119,0))),Z113)</f>
        <v>0</v>
      </c>
      <c r="AA128" s="1">
        <f>IF(OR($B123&lt;&gt;$B108,$B124&lt;&gt;$B109,$B125&lt;&gt;$B110,$B126&lt;&gt;$B111,$B127&lt;&gt;$B112,$B128&lt;&gt;$B113,$B129&lt;&gt;$B114,$B130&lt;&gt;$B115,$B131&lt;&gt;$B116,$B132&lt;&gt;$B117,$B133&lt;&gt;$B118),IF($B128&lt;&gt;$B113,AA113/INDEX($C108:$AJ118,6,MATCH(IF('Data-solution'!$A$3="Maximize",MAX($C119:$AI119),MIN($C119:$AI119)),$C119:$AI119,0)),AA113-INDEX($C108:$AJ118,6,MATCH(IF('Data-solution'!$A$3="Maximize",MAX($C119:$AI119),MIN($C119:$AI119)),$C119:$AI119,0))*INDEX(AA108:$AJ118,MATCH(MIN($AK108:$AK118),$AK108:$AK118,0),1)/INDEX($C108:$AJ118,MATCH(MIN($AK108:$AK118),$AK108:$AK118,0),MATCH(IF('Data-solution'!$A$3="Maximize",MAX($C119:$AI119),MIN($C119:$AI119)),$C119:$AI119,0))),AA113)</f>
        <v>0</v>
      </c>
      <c r="AB128" s="1">
        <f>IF(OR($B123&lt;&gt;$B108,$B124&lt;&gt;$B109,$B125&lt;&gt;$B110,$B126&lt;&gt;$B111,$B127&lt;&gt;$B112,$B128&lt;&gt;$B113,$B129&lt;&gt;$B114,$B130&lt;&gt;$B115,$B131&lt;&gt;$B116,$B132&lt;&gt;$B117,$B133&lt;&gt;$B118),IF($B128&lt;&gt;$B113,AB113/INDEX($C108:$AJ118,6,MATCH(IF('Data-solution'!$A$3="Maximize",MAX($C119:$AI119),MIN($C119:$AI119)),$C119:$AI119,0)),AB113-INDEX($C108:$AJ118,6,MATCH(IF('Data-solution'!$A$3="Maximize",MAX($C119:$AI119),MIN($C119:$AI119)),$C119:$AI119,0))*INDEX(AB108:$AJ118,MATCH(MIN($AK108:$AK118),$AK108:$AK118,0),1)/INDEX($C108:$AJ118,MATCH(MIN($AK108:$AK118),$AK108:$AK118,0),MATCH(IF('Data-solution'!$A$3="Maximize",MAX($C119:$AI119),MIN($C119:$AI119)),$C119:$AI119,0))),AB113)</f>
        <v>0</v>
      </c>
      <c r="AC128" s="1">
        <f>IF(OR($B123&lt;&gt;$B108,$B124&lt;&gt;$B109,$B125&lt;&gt;$B110,$B126&lt;&gt;$B111,$B127&lt;&gt;$B112,$B128&lt;&gt;$B113,$B129&lt;&gt;$B114,$B130&lt;&gt;$B115,$B131&lt;&gt;$B116,$B132&lt;&gt;$B117,$B133&lt;&gt;$B118),IF($B128&lt;&gt;$B113,AC113/INDEX($C108:$AJ118,6,MATCH(IF('Data-solution'!$A$3="Maximize",MAX($C119:$AI119),MIN($C119:$AI119)),$C119:$AI119,0)),AC113-INDEX($C108:$AJ118,6,MATCH(IF('Data-solution'!$A$3="Maximize",MAX($C119:$AI119),MIN($C119:$AI119)),$C119:$AI119,0))*INDEX(AC108:$AJ118,MATCH(MIN($AK108:$AK118),$AK108:$AK118,0),1)/INDEX($C108:$AJ118,MATCH(MIN($AK108:$AK118),$AK108:$AK118,0),MATCH(IF('Data-solution'!$A$3="Maximize",MAX($C119:$AI119),MIN($C119:$AI119)),$C119:$AI119,0))),AC113)</f>
        <v>0</v>
      </c>
      <c r="AD128" s="1">
        <f>IF(OR($B123&lt;&gt;$B108,$B124&lt;&gt;$B109,$B125&lt;&gt;$B110,$B126&lt;&gt;$B111,$B127&lt;&gt;$B112,$B128&lt;&gt;$B113,$B129&lt;&gt;$B114,$B130&lt;&gt;$B115,$B131&lt;&gt;$B116,$B132&lt;&gt;$B117,$B133&lt;&gt;$B118),IF($B128&lt;&gt;$B113,AD113/INDEX($C108:$AJ118,6,MATCH(IF('Data-solution'!$A$3="Maximize",MAX($C119:$AI119),MIN($C119:$AI119)),$C119:$AI119,0)),AD113-INDEX($C108:$AJ118,6,MATCH(IF('Data-solution'!$A$3="Maximize",MAX($C119:$AI119),MIN($C119:$AI119)),$C119:$AI119,0))*INDEX(AD108:$AJ118,MATCH(MIN($AK108:$AK118),$AK108:$AK118,0),1)/INDEX($C108:$AJ118,MATCH(MIN($AK108:$AK118),$AK108:$AK118,0),MATCH(IF('Data-solution'!$A$3="Maximize",MAX($C119:$AI119),MIN($C119:$AI119)),$C119:$AI119,0))),AD113)</f>
        <v>1</v>
      </c>
      <c r="AE128" s="1">
        <f>IF(OR($B123&lt;&gt;$B108,$B124&lt;&gt;$B109,$B125&lt;&gt;$B110,$B126&lt;&gt;$B111,$B127&lt;&gt;$B112,$B128&lt;&gt;$B113,$B129&lt;&gt;$B114,$B130&lt;&gt;$B115,$B131&lt;&gt;$B116,$B132&lt;&gt;$B117,$B133&lt;&gt;$B118),IF($B128&lt;&gt;$B113,AE113/INDEX($C108:$AJ118,6,MATCH(IF('Data-solution'!$A$3="Maximize",MAX($C119:$AI119),MIN($C119:$AI119)),$C119:$AI119,0)),AE113-INDEX($C108:$AJ118,6,MATCH(IF('Data-solution'!$A$3="Maximize",MAX($C119:$AI119),MIN($C119:$AI119)),$C119:$AI119,0))*INDEX(AE108:$AJ118,MATCH(MIN($AK108:$AK118),$AK108:$AK118,0),1)/INDEX($C108:$AJ118,MATCH(MIN($AK108:$AK118),$AK108:$AK118,0),MATCH(IF('Data-solution'!$A$3="Maximize",MAX($C119:$AI119),MIN($C119:$AI119)),$C119:$AI119,0))),AE113)</f>
        <v>0</v>
      </c>
      <c r="AF128" s="1">
        <f>IF(OR($B123&lt;&gt;$B108,$B124&lt;&gt;$B109,$B125&lt;&gt;$B110,$B126&lt;&gt;$B111,$B127&lt;&gt;$B112,$B128&lt;&gt;$B113,$B129&lt;&gt;$B114,$B130&lt;&gt;$B115,$B131&lt;&gt;$B116,$B132&lt;&gt;$B117,$B133&lt;&gt;$B118),IF($B128&lt;&gt;$B113,AF113/INDEX($C108:$AJ118,6,MATCH(IF('Data-solution'!$A$3="Maximize",MAX($C119:$AI119),MIN($C119:$AI119)),$C119:$AI119,0)),AF113-INDEX($C108:$AJ118,6,MATCH(IF('Data-solution'!$A$3="Maximize",MAX($C119:$AI119),MIN($C119:$AI119)),$C119:$AI119,0))*INDEX(AF108:$AJ118,MATCH(MIN($AK108:$AK118),$AK108:$AK118,0),1)/INDEX($C108:$AJ118,MATCH(MIN($AK108:$AK118),$AK108:$AK118,0),MATCH(IF('Data-solution'!$A$3="Maximize",MAX($C119:$AI119),MIN($C119:$AI119)),$C119:$AI119,0))),AF113)</f>
        <v>0</v>
      </c>
      <c r="AG128" s="1">
        <f>IF(OR($B123&lt;&gt;$B108,$B124&lt;&gt;$B109,$B125&lt;&gt;$B110,$B126&lt;&gt;$B111,$B127&lt;&gt;$B112,$B128&lt;&gt;$B113,$B129&lt;&gt;$B114,$B130&lt;&gt;$B115,$B131&lt;&gt;$B116,$B132&lt;&gt;$B117,$B133&lt;&gt;$B118),IF($B128&lt;&gt;$B113,AG113/INDEX($C108:$AJ118,6,MATCH(IF('Data-solution'!$A$3="Maximize",MAX($C119:$AI119),MIN($C119:$AI119)),$C119:$AI119,0)),AG113-INDEX($C108:$AJ118,6,MATCH(IF('Data-solution'!$A$3="Maximize",MAX($C119:$AI119),MIN($C119:$AI119)),$C119:$AI119,0))*INDEX(AG108:$AJ118,MATCH(MIN($AK108:$AK118),$AK108:$AK118,0),1)/INDEX($C108:$AJ118,MATCH(MIN($AK108:$AK118),$AK108:$AK118,0),MATCH(IF('Data-solution'!$A$3="Maximize",MAX($C119:$AI119),MIN($C119:$AI119)),$C119:$AI119,0))),AG113)</f>
        <v>0</v>
      </c>
      <c r="AH128" s="1">
        <f>IF(OR($B123&lt;&gt;$B108,$B124&lt;&gt;$B109,$B125&lt;&gt;$B110,$B126&lt;&gt;$B111,$B127&lt;&gt;$B112,$B128&lt;&gt;$B113,$B129&lt;&gt;$B114,$B130&lt;&gt;$B115,$B131&lt;&gt;$B116,$B132&lt;&gt;$B117,$B133&lt;&gt;$B118),IF($B128&lt;&gt;$B113,AH113/INDEX($C108:$AJ118,6,MATCH(IF('Data-solution'!$A$3="Maximize",MAX($C119:$AI119),MIN($C119:$AI119)),$C119:$AI119,0)),AH113-INDEX($C108:$AJ118,6,MATCH(IF('Data-solution'!$A$3="Maximize",MAX($C119:$AI119),MIN($C119:$AI119)),$C119:$AI119,0))*INDEX(AH108:$AJ118,MATCH(MIN($AK108:$AK118),$AK108:$AK118,0),1)/INDEX($C108:$AJ118,MATCH(MIN($AK108:$AK118),$AK108:$AK118,0),MATCH(IF('Data-solution'!$A$3="Maximize",MAX($C119:$AI119),MIN($C119:$AI119)),$C119:$AI119,0))),AH113)</f>
        <v>0</v>
      </c>
      <c r="AI128" s="1">
        <f>IF(OR($B123&lt;&gt;$B108,$B124&lt;&gt;$B109,$B125&lt;&gt;$B110,$B126&lt;&gt;$B111,$B127&lt;&gt;$B112,$B128&lt;&gt;$B113,$B129&lt;&gt;$B114,$B130&lt;&gt;$B115,$B131&lt;&gt;$B116,$B132&lt;&gt;$B117,$B133&lt;&gt;$B118),IF($B128&lt;&gt;$B113,AI113/INDEX($C108:$AJ118,6,MATCH(IF('Data-solution'!$A$3="Maximize",MAX($C119:$AI119),MIN($C119:$AI119)),$C119:$AI119,0)),AI113-INDEX($C108:$AJ118,6,MATCH(IF('Data-solution'!$A$3="Maximize",MAX($C119:$AI119),MIN($C119:$AI119)),$C119:$AI119,0))*INDEX(AI108:$AJ118,MATCH(MIN($AK108:$AK118),$AK108:$AK118,0),1)/INDEX($C108:$AJ118,MATCH(MIN($AK108:$AK118),$AK108:$AK118,0),MATCH(IF('Data-solution'!$A$3="Maximize",MAX($C119:$AI119),MIN($C119:$AI119)),$C119:$AI119,0))),AI113)</f>
        <v>0</v>
      </c>
      <c r="AJ128" s="1">
        <f>IF(OR($B123&lt;&gt;$B108,$B124&lt;&gt;$B109,$B125&lt;&gt;$B110,$B126&lt;&gt;$B111,$B127&lt;&gt;$B112,$B128&lt;&gt;$B113,$B129&lt;&gt;$B114,$B130&lt;&gt;$B115,$B131&lt;&gt;$B116,$B132&lt;&gt;$B117,$B133&lt;&gt;$B118),IF($B128&lt;&gt;$B113,AJ113/INDEX($C108:$AJ118,6,MATCH(IF('Data-solution'!$A$3="Maximize",MAX($C119:$AI119),MIN($C119:$AI119)),$C119:$AI119,0)),AJ113-INDEX($C108:$AJ118,6,MATCH(IF('Data-solution'!$A$3="Maximize",MAX($C119:$AI119),MIN($C119:$AI119)),$C119:$AI119,0))*INDEX(AJ108:$AJ118,MATCH(MIN($AK108:$AK118),$AK108:$AK118,0),1)/INDEX($C108:$AJ118,MATCH(MIN($AK108:$AK118),$AK108:$AK118,0),MATCH(IF('Data-solution'!$A$3="Maximize",MAX($C119:$AI119),MIN($C119:$AI119)),$C119:$AI119,0))),AJ113)</f>
        <v>0</v>
      </c>
      <c r="AK128" s="1" t="str">
        <f>IF(INDEX(C128:X128,1,MATCH(IF('Data-solution'!A$3="Maximize",MAX(C134:X134),MIN(C134:X134)),C134:X134,0))&gt;0,AJ128/INDEX(C128:X128,1,MATCH(IF('Data-solution'!A$3="Maximize",MAX(C134:X134),MIN(C134:X134)),C134:X134,0))," ")</f>
        <v xml:space="preserve"> </v>
      </c>
    </row>
    <row r="129" spans="1:37" ht="18" customHeight="1" x14ac:dyDescent="0.2">
      <c r="A129" s="1">
        <f t="shared" ref="A129" si="102">INDEX(C121:AI121,1,MATCH(B129,C122:AI122,0))</f>
        <v>0</v>
      </c>
      <c r="B129" s="2" t="str">
        <f>IF(AND('Data-solution'!A$3="Maximize",COUNTIF(C119:X119,"&gt;"&amp;0)&gt;0,AK114=MIN(AK108:AK118),COUNTIF(B123:B128,INDEX(C107:X107,1,MATCH(MAX(C119:X119),C119:X119,0)))=0),INDEX(C107:X107,1,MATCH(MAX(C119:X119),C119:X119,0)),IF(AND('Data-solution'!A$3="Minimize",COUNTIF(C119:X119,"&lt;"&amp;0)&gt;0,AK114=MIN(AK108:AK118),COUNTIF(B123:B128,INDEX(C107:X107,1,MATCH(MIN(C119:X119),C119:X119,0)))=0),INDEX(C107:X107,1,MATCH(MIN(C119:X119),C119:X119,0)),B114))</f>
        <v>S7</v>
      </c>
      <c r="C129" s="1">
        <f>IF(OR($B123&lt;&gt;$B108,$B124&lt;&gt;$B109,$B125&lt;&gt;$B110,$B126&lt;&gt;$B111,$B127&lt;&gt;$B112,$B128&lt;&gt;$B113,$B129&lt;&gt;$B114,$B130&lt;&gt;$B115,$B131&lt;&gt;$B116,$B132&lt;&gt;$B117,$B133&lt;&gt;$B118),IF($B129&lt;&gt;$B114,C114/INDEX($C108:$AJ118,7,MATCH(IF('Data-solution'!$A$3="Maximize",MAX($C119:$AI119),MIN($C119:$AI119)),$C119:$AI119,0)),C114-INDEX($C108:$AJ118,7,MATCH(IF('Data-solution'!$A$3="Maximize",MAX($C119:$AI119),MIN($C119:$AI119)),$C119:$AI119,0))*INDEX(C108:$AJ118,MATCH(MIN($AK108:$AK118),$AK108:$AK118,0),1)/INDEX($C108:$AJ118,MATCH(MIN($AK108:$AK118),$AK108:$AK118,0),MATCH(IF('Data-solution'!$A$3="Maximize",MAX($C119:$AI119),MIN($C119:$AI119)),$C119:$AI119,0))),C114)</f>
        <v>0</v>
      </c>
      <c r="D129" s="1">
        <f>IF(OR($B123&lt;&gt;$B108,$B124&lt;&gt;$B109,$B125&lt;&gt;$B110,$B126&lt;&gt;$B111,$B127&lt;&gt;$B112,$B128&lt;&gt;$B113,$B129&lt;&gt;$B114,$B130&lt;&gt;$B115,$B131&lt;&gt;$B116,$B132&lt;&gt;$B117,$B133&lt;&gt;$B118),IF($B129&lt;&gt;$B114,D114/INDEX($C108:$AJ118,7,MATCH(IF('Data-solution'!$A$3="Maximize",MAX($C119:$AI119),MIN($C119:$AI119)),$C119:$AI119,0)),D114-INDEX($C108:$AJ118,7,MATCH(IF('Data-solution'!$A$3="Maximize",MAX($C119:$AI119),MIN($C119:$AI119)),$C119:$AI119,0))*INDEX(D108:$AJ118,MATCH(MIN($AK108:$AK118),$AK108:$AK118,0),1)/INDEX($C108:$AJ118,MATCH(MIN($AK108:$AK118),$AK108:$AK118,0),MATCH(IF('Data-solution'!$A$3="Maximize",MAX($C119:$AI119),MIN($C119:$AI119)),$C119:$AI119,0))),D114)</f>
        <v>0</v>
      </c>
      <c r="E129" s="1">
        <f>IF(OR($B123&lt;&gt;$B108,$B124&lt;&gt;$B109,$B125&lt;&gt;$B110,$B126&lt;&gt;$B111,$B127&lt;&gt;$B112,$B128&lt;&gt;$B113,$B129&lt;&gt;$B114,$B130&lt;&gt;$B115,$B131&lt;&gt;$B116,$B132&lt;&gt;$B117,$B133&lt;&gt;$B118),IF($B129&lt;&gt;$B114,E114/INDEX($C108:$AJ118,7,MATCH(IF('Data-solution'!$A$3="Maximize",MAX($C119:$AI119),MIN($C119:$AI119)),$C119:$AI119,0)),E114-INDEX($C108:$AJ118,7,MATCH(IF('Data-solution'!$A$3="Maximize",MAX($C119:$AI119),MIN($C119:$AI119)),$C119:$AI119,0))*INDEX(E108:$AJ118,MATCH(MIN($AK108:$AK118),$AK108:$AK118,0),1)/INDEX($C108:$AJ118,MATCH(MIN($AK108:$AK118),$AK108:$AK118,0),MATCH(IF('Data-solution'!$A$3="Maximize",MAX($C119:$AI119),MIN($C119:$AI119)),$C119:$AI119,0))),E114)</f>
        <v>0</v>
      </c>
      <c r="F129" s="1">
        <f>IF(OR($B123&lt;&gt;$B108,$B124&lt;&gt;$B109,$B125&lt;&gt;$B110,$B126&lt;&gt;$B111,$B127&lt;&gt;$B112,$B128&lt;&gt;$B113,$B129&lt;&gt;$B114,$B130&lt;&gt;$B115,$B131&lt;&gt;$B116,$B132&lt;&gt;$B117,$B133&lt;&gt;$B118),IF($B129&lt;&gt;$B114,F114/INDEX($C108:$AJ118,7,MATCH(IF('Data-solution'!$A$3="Maximize",MAX($C119:$AI119),MIN($C119:$AI119)),$C119:$AI119,0)),F114-INDEX($C108:$AJ118,7,MATCH(IF('Data-solution'!$A$3="Maximize",MAX($C119:$AI119),MIN($C119:$AI119)),$C119:$AI119,0))*INDEX(F108:$AJ118,MATCH(MIN($AK108:$AK118),$AK108:$AK118,0),1)/INDEX($C108:$AJ118,MATCH(MIN($AK108:$AK118),$AK108:$AK118,0),MATCH(IF('Data-solution'!$A$3="Maximize",MAX($C119:$AI119),MIN($C119:$AI119)),$C119:$AI119,0))),F114)</f>
        <v>0</v>
      </c>
      <c r="G129" s="1">
        <f>IF(OR($B123&lt;&gt;$B108,$B124&lt;&gt;$B109,$B125&lt;&gt;$B110,$B126&lt;&gt;$B111,$B127&lt;&gt;$B112,$B128&lt;&gt;$B113,$B129&lt;&gt;$B114,$B130&lt;&gt;$B115,$B131&lt;&gt;$B116,$B132&lt;&gt;$B117,$B133&lt;&gt;$B118),IF($B129&lt;&gt;$B114,G114/INDEX($C108:$AJ118,7,MATCH(IF('Data-solution'!$A$3="Maximize",MAX($C119:$AI119),MIN($C119:$AI119)),$C119:$AI119,0)),G114-INDEX($C108:$AJ118,7,MATCH(IF('Data-solution'!$A$3="Maximize",MAX($C119:$AI119),MIN($C119:$AI119)),$C119:$AI119,0))*INDEX(G108:$AJ118,MATCH(MIN($AK108:$AK118),$AK108:$AK118,0),1)/INDEX($C108:$AJ118,MATCH(MIN($AK108:$AK118),$AK108:$AK118,0),MATCH(IF('Data-solution'!$A$3="Maximize",MAX($C119:$AI119),MIN($C119:$AI119)),$C119:$AI119,0))),G114)</f>
        <v>0</v>
      </c>
      <c r="H129" s="1">
        <f>IF(OR($B123&lt;&gt;$B108,$B124&lt;&gt;$B109,$B125&lt;&gt;$B110,$B126&lt;&gt;$B111,$B127&lt;&gt;$B112,$B128&lt;&gt;$B113,$B129&lt;&gt;$B114,$B130&lt;&gt;$B115,$B131&lt;&gt;$B116,$B132&lt;&gt;$B117,$B133&lt;&gt;$B118),IF($B129&lt;&gt;$B114,H114/INDEX($C108:$AJ118,7,MATCH(IF('Data-solution'!$A$3="Maximize",MAX($C119:$AI119),MIN($C119:$AI119)),$C119:$AI119,0)),H114-INDEX($C108:$AJ118,7,MATCH(IF('Data-solution'!$A$3="Maximize",MAX($C119:$AI119),MIN($C119:$AI119)),$C119:$AI119,0))*INDEX(H108:$AJ118,MATCH(MIN($AK108:$AK118),$AK108:$AK118,0),1)/INDEX($C108:$AJ118,MATCH(MIN($AK108:$AK118),$AK108:$AK118,0),MATCH(IF('Data-solution'!$A$3="Maximize",MAX($C119:$AI119),MIN($C119:$AI119)),$C119:$AI119,0))),H114)</f>
        <v>0</v>
      </c>
      <c r="I129" s="1">
        <f>IF(OR($B123&lt;&gt;$B108,$B124&lt;&gt;$B109,$B125&lt;&gt;$B110,$B126&lt;&gt;$B111,$B127&lt;&gt;$B112,$B128&lt;&gt;$B113,$B129&lt;&gt;$B114,$B130&lt;&gt;$B115,$B131&lt;&gt;$B116,$B132&lt;&gt;$B117,$B133&lt;&gt;$B118),IF($B129&lt;&gt;$B114,I114/INDEX($C108:$AJ118,7,MATCH(IF('Data-solution'!$A$3="Maximize",MAX($C119:$AI119),MIN($C119:$AI119)),$C119:$AI119,0)),I114-INDEX($C108:$AJ118,7,MATCH(IF('Data-solution'!$A$3="Maximize",MAX($C119:$AI119),MIN($C119:$AI119)),$C119:$AI119,0))*INDEX(I108:$AJ118,MATCH(MIN($AK108:$AK118),$AK108:$AK118,0),1)/INDEX($C108:$AJ118,MATCH(MIN($AK108:$AK118),$AK108:$AK118,0),MATCH(IF('Data-solution'!$A$3="Maximize",MAX($C119:$AI119),MIN($C119:$AI119)),$C119:$AI119,0))),I114)</f>
        <v>0</v>
      </c>
      <c r="J129" s="1">
        <f>IF(OR($B123&lt;&gt;$B108,$B124&lt;&gt;$B109,$B125&lt;&gt;$B110,$B126&lt;&gt;$B111,$B127&lt;&gt;$B112,$B128&lt;&gt;$B113,$B129&lt;&gt;$B114,$B130&lt;&gt;$B115,$B131&lt;&gt;$B116,$B132&lt;&gt;$B117,$B133&lt;&gt;$B118),IF($B129&lt;&gt;$B114,J114/INDEX($C108:$AJ118,7,MATCH(IF('Data-solution'!$A$3="Maximize",MAX($C119:$AI119),MIN($C119:$AI119)),$C119:$AI119,0)),J114-INDEX($C108:$AJ118,7,MATCH(IF('Data-solution'!$A$3="Maximize",MAX($C119:$AI119),MIN($C119:$AI119)),$C119:$AI119,0))*INDEX(J108:$AJ118,MATCH(MIN($AK108:$AK118),$AK108:$AK118,0),1)/INDEX($C108:$AJ118,MATCH(MIN($AK108:$AK118),$AK108:$AK118,0),MATCH(IF('Data-solution'!$A$3="Maximize",MAX($C119:$AI119),MIN($C119:$AI119)),$C119:$AI119,0))),J114)</f>
        <v>0</v>
      </c>
      <c r="K129" s="1">
        <f>IF(OR($B123&lt;&gt;$B108,$B124&lt;&gt;$B109,$B125&lt;&gt;$B110,$B126&lt;&gt;$B111,$B127&lt;&gt;$B112,$B128&lt;&gt;$B113,$B129&lt;&gt;$B114,$B130&lt;&gt;$B115,$B131&lt;&gt;$B116,$B132&lt;&gt;$B117,$B133&lt;&gt;$B118),IF($B129&lt;&gt;$B114,K114/INDEX($C108:$AJ118,7,MATCH(IF('Data-solution'!$A$3="Maximize",MAX($C119:$AI119),MIN($C119:$AI119)),$C119:$AI119,0)),K114-INDEX($C108:$AJ118,7,MATCH(IF('Data-solution'!$A$3="Maximize",MAX($C119:$AI119),MIN($C119:$AI119)),$C119:$AI119,0))*INDEX(K108:$AJ118,MATCH(MIN($AK108:$AK118),$AK108:$AK118,0),1)/INDEX($C108:$AJ118,MATCH(MIN($AK108:$AK118),$AK108:$AK118,0),MATCH(IF('Data-solution'!$A$3="Maximize",MAX($C119:$AI119),MIN($C119:$AI119)),$C119:$AI119,0))),K114)</f>
        <v>0</v>
      </c>
      <c r="L129" s="1">
        <f>IF(OR($B123&lt;&gt;$B108,$B124&lt;&gt;$B109,$B125&lt;&gt;$B110,$B126&lt;&gt;$B111,$B127&lt;&gt;$B112,$B128&lt;&gt;$B113,$B129&lt;&gt;$B114,$B130&lt;&gt;$B115,$B131&lt;&gt;$B116,$B132&lt;&gt;$B117,$B133&lt;&gt;$B118),IF($B129&lt;&gt;$B114,L114/INDEX($C108:$AJ118,7,MATCH(IF('Data-solution'!$A$3="Maximize",MAX($C119:$AI119),MIN($C119:$AI119)),$C119:$AI119,0)),L114-INDEX($C108:$AJ118,7,MATCH(IF('Data-solution'!$A$3="Maximize",MAX($C119:$AI119),MIN($C119:$AI119)),$C119:$AI119,0))*INDEX(L108:$AJ118,MATCH(MIN($AK108:$AK118),$AK108:$AK118,0),1)/INDEX($C108:$AJ118,MATCH(MIN($AK108:$AK118),$AK108:$AK118,0),MATCH(IF('Data-solution'!$A$3="Maximize",MAX($C119:$AI119),MIN($C119:$AI119)),$C119:$AI119,0))),L114)</f>
        <v>0</v>
      </c>
      <c r="M129" s="1">
        <f>IF(OR($B123&lt;&gt;$B108,$B124&lt;&gt;$B109,$B125&lt;&gt;$B110,$B126&lt;&gt;$B111,$B127&lt;&gt;$B112,$B128&lt;&gt;$B113,$B129&lt;&gt;$B114,$B130&lt;&gt;$B115,$B131&lt;&gt;$B116,$B132&lt;&gt;$B117,$B133&lt;&gt;$B118),IF($B129&lt;&gt;$B114,M114/INDEX($C108:$AJ118,7,MATCH(IF('Data-solution'!$A$3="Maximize",MAX($C119:$AI119),MIN($C119:$AI119)),$C119:$AI119,0)),M114-INDEX($C108:$AJ118,7,MATCH(IF('Data-solution'!$A$3="Maximize",MAX($C119:$AI119),MIN($C119:$AI119)),$C119:$AI119,0))*INDEX(M108:$AJ118,MATCH(MIN($AK108:$AK118),$AK108:$AK118,0),1)/INDEX($C108:$AJ118,MATCH(MIN($AK108:$AK118),$AK108:$AK118,0),MATCH(IF('Data-solution'!$A$3="Maximize",MAX($C119:$AI119),MIN($C119:$AI119)),$C119:$AI119,0))),M114)</f>
        <v>0</v>
      </c>
      <c r="N129" s="1">
        <f>IF(OR($B123&lt;&gt;$B108,$B124&lt;&gt;$B109,$B125&lt;&gt;$B110,$B126&lt;&gt;$B111,$B127&lt;&gt;$B112,$B128&lt;&gt;$B113,$B129&lt;&gt;$B114,$B130&lt;&gt;$B115,$B131&lt;&gt;$B116,$B132&lt;&gt;$B117,$B133&lt;&gt;$B118),IF($B129&lt;&gt;$B114,N114/INDEX($C108:$AJ118,7,MATCH(IF('Data-solution'!$A$3="Maximize",MAX($C119:$AI119),MIN($C119:$AI119)),$C119:$AI119,0)),N114-INDEX($C108:$AJ118,7,MATCH(IF('Data-solution'!$A$3="Maximize",MAX($C119:$AI119),MIN($C119:$AI119)),$C119:$AI119,0))*INDEX(N108:$AJ118,MATCH(MIN($AK108:$AK118),$AK108:$AK118,0),1)/INDEX($C108:$AJ118,MATCH(MIN($AK108:$AK118),$AK108:$AK118,0),MATCH(IF('Data-solution'!$A$3="Maximize",MAX($C119:$AI119),MIN($C119:$AI119)),$C119:$AI119,0))),N114)</f>
        <v>0</v>
      </c>
      <c r="O129" s="1">
        <f>IF(OR($B123&lt;&gt;$B108,$B124&lt;&gt;$B109,$B125&lt;&gt;$B110,$B126&lt;&gt;$B111,$B127&lt;&gt;$B112,$B128&lt;&gt;$B113,$B129&lt;&gt;$B114,$B130&lt;&gt;$B115,$B131&lt;&gt;$B116,$B132&lt;&gt;$B117,$B133&lt;&gt;$B118),IF($B129&lt;&gt;$B114,O114/INDEX($C108:$AJ118,7,MATCH(IF('Data-solution'!$A$3="Maximize",MAX($C119:$AI119),MIN($C119:$AI119)),$C119:$AI119,0)),O114-INDEX($C108:$AJ118,7,MATCH(IF('Data-solution'!$A$3="Maximize",MAX($C119:$AI119),MIN($C119:$AI119)),$C119:$AI119,0))*INDEX(O108:$AJ118,MATCH(MIN($AK108:$AK118),$AK108:$AK118,0),1)/INDEX($C108:$AJ118,MATCH(MIN($AK108:$AK118),$AK108:$AK118,0),MATCH(IF('Data-solution'!$A$3="Maximize",MAX($C119:$AI119),MIN($C119:$AI119)),$C119:$AI119,0))),O114)</f>
        <v>0</v>
      </c>
      <c r="P129" s="1">
        <f>IF(OR($B123&lt;&gt;$B108,$B124&lt;&gt;$B109,$B125&lt;&gt;$B110,$B126&lt;&gt;$B111,$B127&lt;&gt;$B112,$B128&lt;&gt;$B113,$B129&lt;&gt;$B114,$B130&lt;&gt;$B115,$B131&lt;&gt;$B116,$B132&lt;&gt;$B117,$B133&lt;&gt;$B118),IF($B129&lt;&gt;$B114,P114/INDEX($C108:$AJ118,7,MATCH(IF('Data-solution'!$A$3="Maximize",MAX($C119:$AI119),MIN($C119:$AI119)),$C119:$AI119,0)),P114-INDEX($C108:$AJ118,7,MATCH(IF('Data-solution'!$A$3="Maximize",MAX($C119:$AI119),MIN($C119:$AI119)),$C119:$AI119,0))*INDEX(P108:$AJ118,MATCH(MIN($AK108:$AK118),$AK108:$AK118,0),1)/INDEX($C108:$AJ118,MATCH(MIN($AK108:$AK118),$AK108:$AK118,0),MATCH(IF('Data-solution'!$A$3="Maximize",MAX($C119:$AI119),MIN($C119:$AI119)),$C119:$AI119,0))),P114)</f>
        <v>0</v>
      </c>
      <c r="Q129" s="1">
        <f>IF(OR($B123&lt;&gt;$B108,$B124&lt;&gt;$B109,$B125&lt;&gt;$B110,$B126&lt;&gt;$B111,$B127&lt;&gt;$B112,$B128&lt;&gt;$B113,$B129&lt;&gt;$B114,$B130&lt;&gt;$B115,$B131&lt;&gt;$B116,$B132&lt;&gt;$B117,$B133&lt;&gt;$B118),IF($B129&lt;&gt;$B114,Q114/INDEX($C108:$AJ118,7,MATCH(IF('Data-solution'!$A$3="Maximize",MAX($C119:$AI119),MIN($C119:$AI119)),$C119:$AI119,0)),Q114-INDEX($C108:$AJ118,7,MATCH(IF('Data-solution'!$A$3="Maximize",MAX($C119:$AI119),MIN($C119:$AI119)),$C119:$AI119,0))*INDEX(Q108:$AJ118,MATCH(MIN($AK108:$AK118),$AK108:$AK118,0),1)/INDEX($C108:$AJ118,MATCH(MIN($AK108:$AK118),$AK108:$AK118,0),MATCH(IF('Data-solution'!$A$3="Maximize",MAX($C119:$AI119),MIN($C119:$AI119)),$C119:$AI119,0))),Q114)</f>
        <v>0</v>
      </c>
      <c r="R129" s="1">
        <f>IF(OR($B123&lt;&gt;$B108,$B124&lt;&gt;$B109,$B125&lt;&gt;$B110,$B126&lt;&gt;$B111,$B127&lt;&gt;$B112,$B128&lt;&gt;$B113,$B129&lt;&gt;$B114,$B130&lt;&gt;$B115,$B131&lt;&gt;$B116,$B132&lt;&gt;$B117,$B133&lt;&gt;$B118),IF($B129&lt;&gt;$B114,R114/INDEX($C108:$AJ118,7,MATCH(IF('Data-solution'!$A$3="Maximize",MAX($C119:$AI119),MIN($C119:$AI119)),$C119:$AI119,0)),R114-INDEX($C108:$AJ118,7,MATCH(IF('Data-solution'!$A$3="Maximize",MAX($C119:$AI119),MIN($C119:$AI119)),$C119:$AI119,0))*INDEX(R108:$AJ118,MATCH(MIN($AK108:$AK118),$AK108:$AK118,0),1)/INDEX($C108:$AJ118,MATCH(MIN($AK108:$AK118),$AK108:$AK118,0),MATCH(IF('Data-solution'!$A$3="Maximize",MAX($C119:$AI119),MIN($C119:$AI119)),$C119:$AI119,0))),R114)</f>
        <v>0</v>
      </c>
      <c r="S129" s="1">
        <f>IF(OR($B123&lt;&gt;$B108,$B124&lt;&gt;$B109,$B125&lt;&gt;$B110,$B126&lt;&gt;$B111,$B127&lt;&gt;$B112,$B128&lt;&gt;$B113,$B129&lt;&gt;$B114,$B130&lt;&gt;$B115,$B131&lt;&gt;$B116,$B132&lt;&gt;$B117,$B133&lt;&gt;$B118),IF($B129&lt;&gt;$B114,S114/INDEX($C108:$AJ118,7,MATCH(IF('Data-solution'!$A$3="Maximize",MAX($C119:$AI119),MIN($C119:$AI119)),$C119:$AI119,0)),S114-INDEX($C108:$AJ118,7,MATCH(IF('Data-solution'!$A$3="Maximize",MAX($C119:$AI119),MIN($C119:$AI119)),$C119:$AI119,0))*INDEX(S108:$AJ118,MATCH(MIN($AK108:$AK118),$AK108:$AK118,0),1)/INDEX($C108:$AJ118,MATCH(MIN($AK108:$AK118),$AK108:$AK118,0),MATCH(IF('Data-solution'!$A$3="Maximize",MAX($C119:$AI119),MIN($C119:$AI119)),$C119:$AI119,0))),S114)</f>
        <v>0</v>
      </c>
      <c r="T129" s="1">
        <f>IF(OR($B123&lt;&gt;$B108,$B124&lt;&gt;$B109,$B125&lt;&gt;$B110,$B126&lt;&gt;$B111,$B127&lt;&gt;$B112,$B128&lt;&gt;$B113,$B129&lt;&gt;$B114,$B130&lt;&gt;$B115,$B131&lt;&gt;$B116,$B132&lt;&gt;$B117,$B133&lt;&gt;$B118),IF($B129&lt;&gt;$B114,T114/INDEX($C108:$AJ118,7,MATCH(IF('Data-solution'!$A$3="Maximize",MAX($C119:$AI119),MIN($C119:$AI119)),$C119:$AI119,0)),T114-INDEX($C108:$AJ118,7,MATCH(IF('Data-solution'!$A$3="Maximize",MAX($C119:$AI119),MIN($C119:$AI119)),$C119:$AI119,0))*INDEX(T108:$AJ118,MATCH(MIN($AK108:$AK118),$AK108:$AK118,0),1)/INDEX($C108:$AJ118,MATCH(MIN($AK108:$AK118),$AK108:$AK118,0),MATCH(IF('Data-solution'!$A$3="Maximize",MAX($C119:$AI119),MIN($C119:$AI119)),$C119:$AI119,0))),T114)</f>
        <v>1</v>
      </c>
      <c r="U129" s="1">
        <f>IF(OR($B123&lt;&gt;$B108,$B124&lt;&gt;$B109,$B125&lt;&gt;$B110,$B126&lt;&gt;$B111,$B127&lt;&gt;$B112,$B128&lt;&gt;$B113,$B129&lt;&gt;$B114,$B130&lt;&gt;$B115,$B131&lt;&gt;$B116,$B132&lt;&gt;$B117,$B133&lt;&gt;$B118),IF($B129&lt;&gt;$B114,U114/INDEX($C108:$AJ118,7,MATCH(IF('Data-solution'!$A$3="Maximize",MAX($C119:$AI119),MIN($C119:$AI119)),$C119:$AI119,0)),U114-INDEX($C108:$AJ118,7,MATCH(IF('Data-solution'!$A$3="Maximize",MAX($C119:$AI119),MIN($C119:$AI119)),$C119:$AI119,0))*INDEX(U108:$AJ118,MATCH(MIN($AK108:$AK118),$AK108:$AK118,0),1)/INDEX($C108:$AJ118,MATCH(MIN($AK108:$AK118),$AK108:$AK118,0),MATCH(IF('Data-solution'!$A$3="Maximize",MAX($C119:$AI119),MIN($C119:$AI119)),$C119:$AI119,0))),U114)</f>
        <v>0</v>
      </c>
      <c r="V129" s="1">
        <f>IF(OR($B123&lt;&gt;$B108,$B124&lt;&gt;$B109,$B125&lt;&gt;$B110,$B126&lt;&gt;$B111,$B127&lt;&gt;$B112,$B128&lt;&gt;$B113,$B129&lt;&gt;$B114,$B130&lt;&gt;$B115,$B131&lt;&gt;$B116,$B132&lt;&gt;$B117,$B133&lt;&gt;$B118),IF($B129&lt;&gt;$B114,V114/INDEX($C108:$AJ118,7,MATCH(IF('Data-solution'!$A$3="Maximize",MAX($C119:$AI119),MIN($C119:$AI119)),$C119:$AI119,0)),V114-INDEX($C108:$AJ118,7,MATCH(IF('Data-solution'!$A$3="Maximize",MAX($C119:$AI119),MIN($C119:$AI119)),$C119:$AI119,0))*INDEX(V108:$AJ118,MATCH(MIN($AK108:$AK118),$AK108:$AK118,0),1)/INDEX($C108:$AJ118,MATCH(MIN($AK108:$AK118),$AK108:$AK118,0),MATCH(IF('Data-solution'!$A$3="Maximize",MAX($C119:$AI119),MIN($C119:$AI119)),$C119:$AI119,0))),V114)</f>
        <v>0</v>
      </c>
      <c r="W129" s="1">
        <f>IF(OR($B123&lt;&gt;$B108,$B124&lt;&gt;$B109,$B125&lt;&gt;$B110,$B126&lt;&gt;$B111,$B127&lt;&gt;$B112,$B128&lt;&gt;$B113,$B129&lt;&gt;$B114,$B130&lt;&gt;$B115,$B131&lt;&gt;$B116,$B132&lt;&gt;$B117,$B133&lt;&gt;$B118),IF($B129&lt;&gt;$B114,W114/INDEX($C108:$AJ118,7,MATCH(IF('Data-solution'!$A$3="Maximize",MAX($C119:$AI119),MIN($C119:$AI119)),$C119:$AI119,0)),W114-INDEX($C108:$AJ118,7,MATCH(IF('Data-solution'!$A$3="Maximize",MAX($C119:$AI119),MIN($C119:$AI119)),$C119:$AI119,0))*INDEX(W108:$AJ118,MATCH(MIN($AK108:$AK118),$AK108:$AK118,0),1)/INDEX($C108:$AJ118,MATCH(MIN($AK108:$AK118),$AK108:$AK118,0),MATCH(IF('Data-solution'!$A$3="Maximize",MAX($C119:$AI119),MIN($C119:$AI119)),$C119:$AI119,0))),W114)</f>
        <v>0</v>
      </c>
      <c r="X129" s="1">
        <f>IF(OR($B123&lt;&gt;$B108,$B124&lt;&gt;$B109,$B125&lt;&gt;$B110,$B126&lt;&gt;$B111,$B127&lt;&gt;$B112,$B128&lt;&gt;$B113,$B129&lt;&gt;$B114,$B130&lt;&gt;$B115,$B131&lt;&gt;$B116,$B132&lt;&gt;$B117,$B133&lt;&gt;$B118),IF($B129&lt;&gt;$B114,X114/INDEX($C108:$AJ118,7,MATCH(IF('Data-solution'!$A$3="Maximize",MAX($C119:$AI119),MIN($C119:$AI119)),$C119:$AI119,0)),X114-INDEX($C108:$AJ118,7,MATCH(IF('Data-solution'!$A$3="Maximize",MAX($C119:$AI119),MIN($C119:$AI119)),$C119:$AI119,0))*INDEX(X108:$AJ118,MATCH(MIN($AK108:$AK118),$AK108:$AK118,0),1)/INDEX($C108:$AJ118,MATCH(MIN($AK108:$AK118),$AK108:$AK118,0),MATCH(IF('Data-solution'!$A$3="Maximize",MAX($C119:$AI119),MIN($C119:$AI119)),$C119:$AI119,0))),X114)</f>
        <v>0</v>
      </c>
      <c r="Y129" s="1">
        <f>IF(OR($B123&lt;&gt;$B108,$B124&lt;&gt;$B109,$B125&lt;&gt;$B110,$B126&lt;&gt;$B111,$B127&lt;&gt;$B112,$B128&lt;&gt;$B113,$B129&lt;&gt;$B114,$B130&lt;&gt;$B115,$B131&lt;&gt;$B116,$B132&lt;&gt;$B117,$B133&lt;&gt;$B118),IF($B129&lt;&gt;$B114,Y114/INDEX($C108:$AJ118,7,MATCH(IF('Data-solution'!$A$3="Maximize",MAX($C119:$AI119),MIN($C119:$AI119)),$C119:$AI119,0)),Y114-INDEX($C108:$AJ118,7,MATCH(IF('Data-solution'!$A$3="Maximize",MAX($C119:$AI119),MIN($C119:$AI119)),$C119:$AI119,0))*INDEX(Y108:$AJ118,MATCH(MIN($AK108:$AK118),$AK108:$AK118,0),1)/INDEX($C108:$AJ118,MATCH(MIN($AK108:$AK118),$AK108:$AK118,0),MATCH(IF('Data-solution'!$A$3="Maximize",MAX($C119:$AI119),MIN($C119:$AI119)),$C119:$AI119,0))),Y114)</f>
        <v>0</v>
      </c>
      <c r="Z129" s="1">
        <f>IF(OR($B123&lt;&gt;$B108,$B124&lt;&gt;$B109,$B125&lt;&gt;$B110,$B126&lt;&gt;$B111,$B127&lt;&gt;$B112,$B128&lt;&gt;$B113,$B129&lt;&gt;$B114,$B130&lt;&gt;$B115,$B131&lt;&gt;$B116,$B132&lt;&gt;$B117,$B133&lt;&gt;$B118),IF($B129&lt;&gt;$B114,Z114/INDEX($C108:$AJ118,7,MATCH(IF('Data-solution'!$A$3="Maximize",MAX($C119:$AI119),MIN($C119:$AI119)),$C119:$AI119,0)),Z114-INDEX($C108:$AJ118,7,MATCH(IF('Data-solution'!$A$3="Maximize",MAX($C119:$AI119),MIN($C119:$AI119)),$C119:$AI119,0))*INDEX(Z108:$AJ118,MATCH(MIN($AK108:$AK118),$AK108:$AK118,0),1)/INDEX($C108:$AJ118,MATCH(MIN($AK108:$AK118),$AK108:$AK118,0),MATCH(IF('Data-solution'!$A$3="Maximize",MAX($C119:$AI119),MIN($C119:$AI119)),$C119:$AI119,0))),Z114)</f>
        <v>0</v>
      </c>
      <c r="AA129" s="1">
        <f>IF(OR($B123&lt;&gt;$B108,$B124&lt;&gt;$B109,$B125&lt;&gt;$B110,$B126&lt;&gt;$B111,$B127&lt;&gt;$B112,$B128&lt;&gt;$B113,$B129&lt;&gt;$B114,$B130&lt;&gt;$B115,$B131&lt;&gt;$B116,$B132&lt;&gt;$B117,$B133&lt;&gt;$B118),IF($B129&lt;&gt;$B114,AA114/INDEX($C108:$AJ118,7,MATCH(IF('Data-solution'!$A$3="Maximize",MAX($C119:$AI119),MIN($C119:$AI119)),$C119:$AI119,0)),AA114-INDEX($C108:$AJ118,7,MATCH(IF('Data-solution'!$A$3="Maximize",MAX($C119:$AI119),MIN($C119:$AI119)),$C119:$AI119,0))*INDEX(AA108:$AJ118,MATCH(MIN($AK108:$AK118),$AK108:$AK118,0),1)/INDEX($C108:$AJ118,MATCH(MIN($AK108:$AK118),$AK108:$AK118,0),MATCH(IF('Data-solution'!$A$3="Maximize",MAX($C119:$AI119),MIN($C119:$AI119)),$C119:$AI119,0))),AA114)</f>
        <v>0</v>
      </c>
      <c r="AB129" s="1">
        <f>IF(OR($B123&lt;&gt;$B108,$B124&lt;&gt;$B109,$B125&lt;&gt;$B110,$B126&lt;&gt;$B111,$B127&lt;&gt;$B112,$B128&lt;&gt;$B113,$B129&lt;&gt;$B114,$B130&lt;&gt;$B115,$B131&lt;&gt;$B116,$B132&lt;&gt;$B117,$B133&lt;&gt;$B118),IF($B129&lt;&gt;$B114,AB114/INDEX($C108:$AJ118,7,MATCH(IF('Data-solution'!$A$3="Maximize",MAX($C119:$AI119),MIN($C119:$AI119)),$C119:$AI119,0)),AB114-INDEX($C108:$AJ118,7,MATCH(IF('Data-solution'!$A$3="Maximize",MAX($C119:$AI119),MIN($C119:$AI119)),$C119:$AI119,0))*INDEX(AB108:$AJ118,MATCH(MIN($AK108:$AK118),$AK108:$AK118,0),1)/INDEX($C108:$AJ118,MATCH(MIN($AK108:$AK118),$AK108:$AK118,0),MATCH(IF('Data-solution'!$A$3="Maximize",MAX($C119:$AI119),MIN($C119:$AI119)),$C119:$AI119,0))),AB114)</f>
        <v>0</v>
      </c>
      <c r="AC129" s="1">
        <f>IF(OR($B123&lt;&gt;$B108,$B124&lt;&gt;$B109,$B125&lt;&gt;$B110,$B126&lt;&gt;$B111,$B127&lt;&gt;$B112,$B128&lt;&gt;$B113,$B129&lt;&gt;$B114,$B130&lt;&gt;$B115,$B131&lt;&gt;$B116,$B132&lt;&gt;$B117,$B133&lt;&gt;$B118),IF($B129&lt;&gt;$B114,AC114/INDEX($C108:$AJ118,7,MATCH(IF('Data-solution'!$A$3="Maximize",MAX($C119:$AI119),MIN($C119:$AI119)),$C119:$AI119,0)),AC114-INDEX($C108:$AJ118,7,MATCH(IF('Data-solution'!$A$3="Maximize",MAX($C119:$AI119),MIN($C119:$AI119)),$C119:$AI119,0))*INDEX(AC108:$AJ118,MATCH(MIN($AK108:$AK118),$AK108:$AK118,0),1)/INDEX($C108:$AJ118,MATCH(MIN($AK108:$AK118),$AK108:$AK118,0),MATCH(IF('Data-solution'!$A$3="Maximize",MAX($C119:$AI119),MIN($C119:$AI119)),$C119:$AI119,0))),AC114)</f>
        <v>0</v>
      </c>
      <c r="AD129" s="1">
        <f>IF(OR($B123&lt;&gt;$B108,$B124&lt;&gt;$B109,$B125&lt;&gt;$B110,$B126&lt;&gt;$B111,$B127&lt;&gt;$B112,$B128&lt;&gt;$B113,$B129&lt;&gt;$B114,$B130&lt;&gt;$B115,$B131&lt;&gt;$B116,$B132&lt;&gt;$B117,$B133&lt;&gt;$B118),IF($B129&lt;&gt;$B114,AD114/INDEX($C108:$AJ118,7,MATCH(IF('Data-solution'!$A$3="Maximize",MAX($C119:$AI119),MIN($C119:$AI119)),$C119:$AI119,0)),AD114-INDEX($C108:$AJ118,7,MATCH(IF('Data-solution'!$A$3="Maximize",MAX($C119:$AI119),MIN($C119:$AI119)),$C119:$AI119,0))*INDEX(AD108:$AJ118,MATCH(MIN($AK108:$AK118),$AK108:$AK118,0),1)/INDEX($C108:$AJ118,MATCH(MIN($AK108:$AK118),$AK108:$AK118,0),MATCH(IF('Data-solution'!$A$3="Maximize",MAX($C119:$AI119),MIN($C119:$AI119)),$C119:$AI119,0))),AD114)</f>
        <v>0</v>
      </c>
      <c r="AE129" s="1">
        <f>IF(OR($B123&lt;&gt;$B108,$B124&lt;&gt;$B109,$B125&lt;&gt;$B110,$B126&lt;&gt;$B111,$B127&lt;&gt;$B112,$B128&lt;&gt;$B113,$B129&lt;&gt;$B114,$B130&lt;&gt;$B115,$B131&lt;&gt;$B116,$B132&lt;&gt;$B117,$B133&lt;&gt;$B118),IF($B129&lt;&gt;$B114,AE114/INDEX($C108:$AJ118,7,MATCH(IF('Data-solution'!$A$3="Maximize",MAX($C119:$AI119),MIN($C119:$AI119)),$C119:$AI119,0)),AE114-INDEX($C108:$AJ118,7,MATCH(IF('Data-solution'!$A$3="Maximize",MAX($C119:$AI119),MIN($C119:$AI119)),$C119:$AI119,0))*INDEX(AE108:$AJ118,MATCH(MIN($AK108:$AK118),$AK108:$AK118,0),1)/INDEX($C108:$AJ118,MATCH(MIN($AK108:$AK118),$AK108:$AK118,0),MATCH(IF('Data-solution'!$A$3="Maximize",MAX($C119:$AI119),MIN($C119:$AI119)),$C119:$AI119,0))),AE114)</f>
        <v>1</v>
      </c>
      <c r="AF129" s="1">
        <f>IF(OR($B123&lt;&gt;$B108,$B124&lt;&gt;$B109,$B125&lt;&gt;$B110,$B126&lt;&gt;$B111,$B127&lt;&gt;$B112,$B128&lt;&gt;$B113,$B129&lt;&gt;$B114,$B130&lt;&gt;$B115,$B131&lt;&gt;$B116,$B132&lt;&gt;$B117,$B133&lt;&gt;$B118),IF($B129&lt;&gt;$B114,AF114/INDEX($C108:$AJ118,7,MATCH(IF('Data-solution'!$A$3="Maximize",MAX($C119:$AI119),MIN($C119:$AI119)),$C119:$AI119,0)),AF114-INDEX($C108:$AJ118,7,MATCH(IF('Data-solution'!$A$3="Maximize",MAX($C119:$AI119),MIN($C119:$AI119)),$C119:$AI119,0))*INDEX(AF108:$AJ118,MATCH(MIN($AK108:$AK118),$AK108:$AK118,0),1)/INDEX($C108:$AJ118,MATCH(MIN($AK108:$AK118),$AK108:$AK118,0),MATCH(IF('Data-solution'!$A$3="Maximize",MAX($C119:$AI119),MIN($C119:$AI119)),$C119:$AI119,0))),AF114)</f>
        <v>0</v>
      </c>
      <c r="AG129" s="1">
        <f>IF(OR($B123&lt;&gt;$B108,$B124&lt;&gt;$B109,$B125&lt;&gt;$B110,$B126&lt;&gt;$B111,$B127&lt;&gt;$B112,$B128&lt;&gt;$B113,$B129&lt;&gt;$B114,$B130&lt;&gt;$B115,$B131&lt;&gt;$B116,$B132&lt;&gt;$B117,$B133&lt;&gt;$B118),IF($B129&lt;&gt;$B114,AG114/INDEX($C108:$AJ118,7,MATCH(IF('Data-solution'!$A$3="Maximize",MAX($C119:$AI119),MIN($C119:$AI119)),$C119:$AI119,0)),AG114-INDEX($C108:$AJ118,7,MATCH(IF('Data-solution'!$A$3="Maximize",MAX($C119:$AI119),MIN($C119:$AI119)),$C119:$AI119,0))*INDEX(AG108:$AJ118,MATCH(MIN($AK108:$AK118),$AK108:$AK118,0),1)/INDEX($C108:$AJ118,MATCH(MIN($AK108:$AK118),$AK108:$AK118,0),MATCH(IF('Data-solution'!$A$3="Maximize",MAX($C119:$AI119),MIN($C119:$AI119)),$C119:$AI119,0))),AG114)</f>
        <v>0</v>
      </c>
      <c r="AH129" s="1">
        <f>IF(OR($B123&lt;&gt;$B108,$B124&lt;&gt;$B109,$B125&lt;&gt;$B110,$B126&lt;&gt;$B111,$B127&lt;&gt;$B112,$B128&lt;&gt;$B113,$B129&lt;&gt;$B114,$B130&lt;&gt;$B115,$B131&lt;&gt;$B116,$B132&lt;&gt;$B117,$B133&lt;&gt;$B118),IF($B129&lt;&gt;$B114,AH114/INDEX($C108:$AJ118,7,MATCH(IF('Data-solution'!$A$3="Maximize",MAX($C119:$AI119),MIN($C119:$AI119)),$C119:$AI119,0)),AH114-INDEX($C108:$AJ118,7,MATCH(IF('Data-solution'!$A$3="Maximize",MAX($C119:$AI119),MIN($C119:$AI119)),$C119:$AI119,0))*INDEX(AH108:$AJ118,MATCH(MIN($AK108:$AK118),$AK108:$AK118,0),1)/INDEX($C108:$AJ118,MATCH(MIN($AK108:$AK118),$AK108:$AK118,0),MATCH(IF('Data-solution'!$A$3="Maximize",MAX($C119:$AI119),MIN($C119:$AI119)),$C119:$AI119,0))),AH114)</f>
        <v>0</v>
      </c>
      <c r="AI129" s="1">
        <f>IF(OR($B123&lt;&gt;$B108,$B124&lt;&gt;$B109,$B125&lt;&gt;$B110,$B126&lt;&gt;$B111,$B127&lt;&gt;$B112,$B128&lt;&gt;$B113,$B129&lt;&gt;$B114,$B130&lt;&gt;$B115,$B131&lt;&gt;$B116,$B132&lt;&gt;$B117,$B133&lt;&gt;$B118),IF($B129&lt;&gt;$B114,AI114/INDEX($C108:$AJ118,7,MATCH(IF('Data-solution'!$A$3="Maximize",MAX($C119:$AI119),MIN($C119:$AI119)),$C119:$AI119,0)),AI114-INDEX($C108:$AJ118,7,MATCH(IF('Data-solution'!$A$3="Maximize",MAX($C119:$AI119),MIN($C119:$AI119)),$C119:$AI119,0))*INDEX(AI108:$AJ118,MATCH(MIN($AK108:$AK118),$AK108:$AK118,0),1)/INDEX($C108:$AJ118,MATCH(MIN($AK108:$AK118),$AK108:$AK118,0),MATCH(IF('Data-solution'!$A$3="Maximize",MAX($C119:$AI119),MIN($C119:$AI119)),$C119:$AI119,0))),AI114)</f>
        <v>0</v>
      </c>
      <c r="AJ129" s="1">
        <f>IF(OR($B123&lt;&gt;$B108,$B124&lt;&gt;$B109,$B125&lt;&gt;$B110,$B126&lt;&gt;$B111,$B127&lt;&gt;$B112,$B128&lt;&gt;$B113,$B129&lt;&gt;$B114,$B130&lt;&gt;$B115,$B131&lt;&gt;$B116,$B132&lt;&gt;$B117,$B133&lt;&gt;$B118),IF($B129&lt;&gt;$B114,AJ114/INDEX($C108:$AJ118,7,MATCH(IF('Data-solution'!$A$3="Maximize",MAX($C119:$AI119),MIN($C119:$AI119)),$C119:$AI119,0)),AJ114-INDEX($C108:$AJ118,7,MATCH(IF('Data-solution'!$A$3="Maximize",MAX($C119:$AI119),MIN($C119:$AI119)),$C119:$AI119,0))*INDEX(AJ108:$AJ118,MATCH(MIN($AK108:$AK118),$AK108:$AK118,0),1)/INDEX($C108:$AJ118,MATCH(MIN($AK108:$AK118),$AK108:$AK118,0),MATCH(IF('Data-solution'!$A$3="Maximize",MAX($C119:$AI119),MIN($C119:$AI119)),$C119:$AI119,0))),AJ114)</f>
        <v>0</v>
      </c>
      <c r="AK129" s="1" t="str">
        <f>IF(INDEX(C129:X129,1,MATCH(IF('Data-solution'!A$3="Maximize",MAX(C134:X134),MIN(C134:X134)),C134:X134,0))&gt;0,AJ129/INDEX(C129:X129,1,MATCH(IF('Data-solution'!A$3="Maximize",MAX(C134:X134),MIN(C134:X134)),C134:X134,0))," ")</f>
        <v xml:space="preserve"> </v>
      </c>
    </row>
    <row r="130" spans="1:37" ht="18" customHeight="1" x14ac:dyDescent="0.2">
      <c r="A130" s="1">
        <f t="shared" ref="A130" si="103">INDEX(C121:AI121,1,MATCH(B130,C122:AI122,0))</f>
        <v>0</v>
      </c>
      <c r="B130" s="2" t="str">
        <f>IF(AND('Data-solution'!A$3="Maximize",COUNTIF(C119:X119,"&gt;"&amp;0)&gt;0,AK115=MIN(AK108:AK118),COUNTIF(B123:B129,INDEX(C107:X107,1,MATCH(MAX(C119:X119),C119:X119,0)))=0),INDEX(C107:X107,1,MATCH(MAX(C119:X119),C119:X119,0)),IF(AND('Data-solution'!A$3="Minimize",COUNTIF(C119:X119,"&lt;"&amp;0)&gt;0,AK115=MIN(AK108:AK118),COUNTIF(B123:B129,INDEX(C107:X107,1,MATCH(MIN(C119:X119),C119:X119,0)))=0),INDEX(C107:X107,1,MATCH(MIN(C119:X119),C119:X119,0)),B115))</f>
        <v>S8</v>
      </c>
      <c r="C130" s="1">
        <f>IF(OR($B123&lt;&gt;$B108,$B124&lt;&gt;$B109,$B125&lt;&gt;$B110,$B126&lt;&gt;$B111,$B127&lt;&gt;$B112,$B128&lt;&gt;$B113,$B129&lt;&gt;$B114,$B130&lt;&gt;$B115,$B131&lt;&gt;$B116,$B132&lt;&gt;$B117,$B133&lt;&gt;$B118),IF($B130&lt;&gt;$B115,C115/INDEX($C108:$AJ118,8,MATCH(IF('Data-solution'!$A$3="Maximize",MAX($C119:$AI119),MIN($C119:$AI119)),$C119:$AI119,0)),C115-INDEX($C108:$AJ118,8,MATCH(IF('Data-solution'!$A$3="Maximize",MAX($C119:$AI119),MIN($C119:$AI119)),$C119:$AI119,0))*INDEX(C108:$AJ118,MATCH(MIN($AK108:$AK118),$AK108:$AK118,0),1)/INDEX($C108:$AJ118,MATCH(MIN($AK108:$AK118),$AK108:$AK118,0),MATCH(IF('Data-solution'!$A$3="Maximize",MAX($C119:$AI119),MIN($C119:$AI119)),$C119:$AI119,0))),C115)</f>
        <v>0</v>
      </c>
      <c r="D130" s="1">
        <f>IF(OR($B123&lt;&gt;$B108,$B124&lt;&gt;$B109,$B125&lt;&gt;$B110,$B126&lt;&gt;$B111,$B127&lt;&gt;$B112,$B128&lt;&gt;$B113,$B129&lt;&gt;$B114,$B130&lt;&gt;$B115,$B131&lt;&gt;$B116,$B132&lt;&gt;$B117,$B133&lt;&gt;$B118),IF($B130&lt;&gt;$B115,D115/INDEX($C108:$AJ118,8,MATCH(IF('Data-solution'!$A$3="Maximize",MAX($C119:$AI119),MIN($C119:$AI119)),$C119:$AI119,0)),D115-INDEX($C108:$AJ118,8,MATCH(IF('Data-solution'!$A$3="Maximize",MAX($C119:$AI119),MIN($C119:$AI119)),$C119:$AI119,0))*INDEX(D108:$AJ118,MATCH(MIN($AK108:$AK118),$AK108:$AK118,0),1)/INDEX($C108:$AJ118,MATCH(MIN($AK108:$AK118),$AK108:$AK118,0),MATCH(IF('Data-solution'!$A$3="Maximize",MAX($C119:$AI119),MIN($C119:$AI119)),$C119:$AI119,0))),D115)</f>
        <v>0</v>
      </c>
      <c r="E130" s="1">
        <f>IF(OR($B123&lt;&gt;$B108,$B124&lt;&gt;$B109,$B125&lt;&gt;$B110,$B126&lt;&gt;$B111,$B127&lt;&gt;$B112,$B128&lt;&gt;$B113,$B129&lt;&gt;$B114,$B130&lt;&gt;$B115,$B131&lt;&gt;$B116,$B132&lt;&gt;$B117,$B133&lt;&gt;$B118),IF($B130&lt;&gt;$B115,E115/INDEX($C108:$AJ118,8,MATCH(IF('Data-solution'!$A$3="Maximize",MAX($C119:$AI119),MIN($C119:$AI119)),$C119:$AI119,0)),E115-INDEX($C108:$AJ118,8,MATCH(IF('Data-solution'!$A$3="Maximize",MAX($C119:$AI119),MIN($C119:$AI119)),$C119:$AI119,0))*INDEX(E108:$AJ118,MATCH(MIN($AK108:$AK118),$AK108:$AK118,0),1)/INDEX($C108:$AJ118,MATCH(MIN($AK108:$AK118),$AK108:$AK118,0),MATCH(IF('Data-solution'!$A$3="Maximize",MAX($C119:$AI119),MIN($C119:$AI119)),$C119:$AI119,0))),E115)</f>
        <v>0</v>
      </c>
      <c r="F130" s="1">
        <f>IF(OR($B123&lt;&gt;$B108,$B124&lt;&gt;$B109,$B125&lt;&gt;$B110,$B126&lt;&gt;$B111,$B127&lt;&gt;$B112,$B128&lt;&gt;$B113,$B129&lt;&gt;$B114,$B130&lt;&gt;$B115,$B131&lt;&gt;$B116,$B132&lt;&gt;$B117,$B133&lt;&gt;$B118),IF($B130&lt;&gt;$B115,F115/INDEX($C108:$AJ118,8,MATCH(IF('Data-solution'!$A$3="Maximize",MAX($C119:$AI119),MIN($C119:$AI119)),$C119:$AI119,0)),F115-INDEX($C108:$AJ118,8,MATCH(IF('Data-solution'!$A$3="Maximize",MAX($C119:$AI119),MIN($C119:$AI119)),$C119:$AI119,0))*INDEX(F108:$AJ118,MATCH(MIN($AK108:$AK118),$AK108:$AK118,0),1)/INDEX($C108:$AJ118,MATCH(MIN($AK108:$AK118),$AK108:$AK118,0),MATCH(IF('Data-solution'!$A$3="Maximize",MAX($C119:$AI119),MIN($C119:$AI119)),$C119:$AI119,0))),F115)</f>
        <v>0</v>
      </c>
      <c r="G130" s="1">
        <f>IF(OR($B123&lt;&gt;$B108,$B124&lt;&gt;$B109,$B125&lt;&gt;$B110,$B126&lt;&gt;$B111,$B127&lt;&gt;$B112,$B128&lt;&gt;$B113,$B129&lt;&gt;$B114,$B130&lt;&gt;$B115,$B131&lt;&gt;$B116,$B132&lt;&gt;$B117,$B133&lt;&gt;$B118),IF($B130&lt;&gt;$B115,G115/INDEX($C108:$AJ118,8,MATCH(IF('Data-solution'!$A$3="Maximize",MAX($C119:$AI119),MIN($C119:$AI119)),$C119:$AI119,0)),G115-INDEX($C108:$AJ118,8,MATCH(IF('Data-solution'!$A$3="Maximize",MAX($C119:$AI119),MIN($C119:$AI119)),$C119:$AI119,0))*INDEX(G108:$AJ118,MATCH(MIN($AK108:$AK118),$AK108:$AK118,0),1)/INDEX($C108:$AJ118,MATCH(MIN($AK108:$AK118),$AK108:$AK118,0),MATCH(IF('Data-solution'!$A$3="Maximize",MAX($C119:$AI119),MIN($C119:$AI119)),$C119:$AI119,0))),G115)</f>
        <v>0</v>
      </c>
      <c r="H130" s="1">
        <f>IF(OR($B123&lt;&gt;$B108,$B124&lt;&gt;$B109,$B125&lt;&gt;$B110,$B126&lt;&gt;$B111,$B127&lt;&gt;$B112,$B128&lt;&gt;$B113,$B129&lt;&gt;$B114,$B130&lt;&gt;$B115,$B131&lt;&gt;$B116,$B132&lt;&gt;$B117,$B133&lt;&gt;$B118),IF($B130&lt;&gt;$B115,H115/INDEX($C108:$AJ118,8,MATCH(IF('Data-solution'!$A$3="Maximize",MAX($C119:$AI119),MIN($C119:$AI119)),$C119:$AI119,0)),H115-INDEX($C108:$AJ118,8,MATCH(IF('Data-solution'!$A$3="Maximize",MAX($C119:$AI119),MIN($C119:$AI119)),$C119:$AI119,0))*INDEX(H108:$AJ118,MATCH(MIN($AK108:$AK118),$AK108:$AK118,0),1)/INDEX($C108:$AJ118,MATCH(MIN($AK108:$AK118),$AK108:$AK118,0),MATCH(IF('Data-solution'!$A$3="Maximize",MAX($C119:$AI119),MIN($C119:$AI119)),$C119:$AI119,0))),H115)</f>
        <v>0</v>
      </c>
      <c r="I130" s="1">
        <f>IF(OR($B123&lt;&gt;$B108,$B124&lt;&gt;$B109,$B125&lt;&gt;$B110,$B126&lt;&gt;$B111,$B127&lt;&gt;$B112,$B128&lt;&gt;$B113,$B129&lt;&gt;$B114,$B130&lt;&gt;$B115,$B131&lt;&gt;$B116,$B132&lt;&gt;$B117,$B133&lt;&gt;$B118),IF($B130&lt;&gt;$B115,I115/INDEX($C108:$AJ118,8,MATCH(IF('Data-solution'!$A$3="Maximize",MAX($C119:$AI119),MIN($C119:$AI119)),$C119:$AI119,0)),I115-INDEX($C108:$AJ118,8,MATCH(IF('Data-solution'!$A$3="Maximize",MAX($C119:$AI119),MIN($C119:$AI119)),$C119:$AI119,0))*INDEX(I108:$AJ118,MATCH(MIN($AK108:$AK118),$AK108:$AK118,0),1)/INDEX($C108:$AJ118,MATCH(MIN($AK108:$AK118),$AK108:$AK118,0),MATCH(IF('Data-solution'!$A$3="Maximize",MAX($C119:$AI119),MIN($C119:$AI119)),$C119:$AI119,0))),I115)</f>
        <v>0</v>
      </c>
      <c r="J130" s="1">
        <f>IF(OR($B123&lt;&gt;$B108,$B124&lt;&gt;$B109,$B125&lt;&gt;$B110,$B126&lt;&gt;$B111,$B127&lt;&gt;$B112,$B128&lt;&gt;$B113,$B129&lt;&gt;$B114,$B130&lt;&gt;$B115,$B131&lt;&gt;$B116,$B132&lt;&gt;$B117,$B133&lt;&gt;$B118),IF($B130&lt;&gt;$B115,J115/INDEX($C108:$AJ118,8,MATCH(IF('Data-solution'!$A$3="Maximize",MAX($C119:$AI119),MIN($C119:$AI119)),$C119:$AI119,0)),J115-INDEX($C108:$AJ118,8,MATCH(IF('Data-solution'!$A$3="Maximize",MAX($C119:$AI119),MIN($C119:$AI119)),$C119:$AI119,0))*INDEX(J108:$AJ118,MATCH(MIN($AK108:$AK118),$AK108:$AK118,0),1)/INDEX($C108:$AJ118,MATCH(MIN($AK108:$AK118),$AK108:$AK118,0),MATCH(IF('Data-solution'!$A$3="Maximize",MAX($C119:$AI119),MIN($C119:$AI119)),$C119:$AI119,0))),J115)</f>
        <v>0</v>
      </c>
      <c r="K130" s="1">
        <f>IF(OR($B123&lt;&gt;$B108,$B124&lt;&gt;$B109,$B125&lt;&gt;$B110,$B126&lt;&gt;$B111,$B127&lt;&gt;$B112,$B128&lt;&gt;$B113,$B129&lt;&gt;$B114,$B130&lt;&gt;$B115,$B131&lt;&gt;$B116,$B132&lt;&gt;$B117,$B133&lt;&gt;$B118),IF($B130&lt;&gt;$B115,K115/INDEX($C108:$AJ118,8,MATCH(IF('Data-solution'!$A$3="Maximize",MAX($C119:$AI119),MIN($C119:$AI119)),$C119:$AI119,0)),K115-INDEX($C108:$AJ118,8,MATCH(IF('Data-solution'!$A$3="Maximize",MAX($C119:$AI119),MIN($C119:$AI119)),$C119:$AI119,0))*INDEX(K108:$AJ118,MATCH(MIN($AK108:$AK118),$AK108:$AK118,0),1)/INDEX($C108:$AJ118,MATCH(MIN($AK108:$AK118),$AK108:$AK118,0),MATCH(IF('Data-solution'!$A$3="Maximize",MAX($C119:$AI119),MIN($C119:$AI119)),$C119:$AI119,0))),K115)</f>
        <v>0</v>
      </c>
      <c r="L130" s="1">
        <f>IF(OR($B123&lt;&gt;$B108,$B124&lt;&gt;$B109,$B125&lt;&gt;$B110,$B126&lt;&gt;$B111,$B127&lt;&gt;$B112,$B128&lt;&gt;$B113,$B129&lt;&gt;$B114,$B130&lt;&gt;$B115,$B131&lt;&gt;$B116,$B132&lt;&gt;$B117,$B133&lt;&gt;$B118),IF($B130&lt;&gt;$B115,L115/INDEX($C108:$AJ118,8,MATCH(IF('Data-solution'!$A$3="Maximize",MAX($C119:$AI119),MIN($C119:$AI119)),$C119:$AI119,0)),L115-INDEX($C108:$AJ118,8,MATCH(IF('Data-solution'!$A$3="Maximize",MAX($C119:$AI119),MIN($C119:$AI119)),$C119:$AI119,0))*INDEX(L108:$AJ118,MATCH(MIN($AK108:$AK118),$AK108:$AK118,0),1)/INDEX($C108:$AJ118,MATCH(MIN($AK108:$AK118),$AK108:$AK118,0),MATCH(IF('Data-solution'!$A$3="Maximize",MAX($C119:$AI119),MIN($C119:$AI119)),$C119:$AI119,0))),L115)</f>
        <v>0</v>
      </c>
      <c r="M130" s="1">
        <f>IF(OR($B123&lt;&gt;$B108,$B124&lt;&gt;$B109,$B125&lt;&gt;$B110,$B126&lt;&gt;$B111,$B127&lt;&gt;$B112,$B128&lt;&gt;$B113,$B129&lt;&gt;$B114,$B130&lt;&gt;$B115,$B131&lt;&gt;$B116,$B132&lt;&gt;$B117,$B133&lt;&gt;$B118),IF($B130&lt;&gt;$B115,M115/INDEX($C108:$AJ118,8,MATCH(IF('Data-solution'!$A$3="Maximize",MAX($C119:$AI119),MIN($C119:$AI119)),$C119:$AI119,0)),M115-INDEX($C108:$AJ118,8,MATCH(IF('Data-solution'!$A$3="Maximize",MAX($C119:$AI119),MIN($C119:$AI119)),$C119:$AI119,0))*INDEX(M108:$AJ118,MATCH(MIN($AK108:$AK118),$AK108:$AK118,0),1)/INDEX($C108:$AJ118,MATCH(MIN($AK108:$AK118),$AK108:$AK118,0),MATCH(IF('Data-solution'!$A$3="Maximize",MAX($C119:$AI119),MIN($C119:$AI119)),$C119:$AI119,0))),M115)</f>
        <v>0</v>
      </c>
      <c r="N130" s="1">
        <f>IF(OR($B123&lt;&gt;$B108,$B124&lt;&gt;$B109,$B125&lt;&gt;$B110,$B126&lt;&gt;$B111,$B127&lt;&gt;$B112,$B128&lt;&gt;$B113,$B129&lt;&gt;$B114,$B130&lt;&gt;$B115,$B131&lt;&gt;$B116,$B132&lt;&gt;$B117,$B133&lt;&gt;$B118),IF($B130&lt;&gt;$B115,N115/INDEX($C108:$AJ118,8,MATCH(IF('Data-solution'!$A$3="Maximize",MAX($C119:$AI119),MIN($C119:$AI119)),$C119:$AI119,0)),N115-INDEX($C108:$AJ118,8,MATCH(IF('Data-solution'!$A$3="Maximize",MAX($C119:$AI119),MIN($C119:$AI119)),$C119:$AI119,0))*INDEX(N108:$AJ118,MATCH(MIN($AK108:$AK118),$AK108:$AK118,0),1)/INDEX($C108:$AJ118,MATCH(MIN($AK108:$AK118),$AK108:$AK118,0),MATCH(IF('Data-solution'!$A$3="Maximize",MAX($C119:$AI119),MIN($C119:$AI119)),$C119:$AI119,0))),N115)</f>
        <v>0</v>
      </c>
      <c r="O130" s="1">
        <f>IF(OR($B123&lt;&gt;$B108,$B124&lt;&gt;$B109,$B125&lt;&gt;$B110,$B126&lt;&gt;$B111,$B127&lt;&gt;$B112,$B128&lt;&gt;$B113,$B129&lt;&gt;$B114,$B130&lt;&gt;$B115,$B131&lt;&gt;$B116,$B132&lt;&gt;$B117,$B133&lt;&gt;$B118),IF($B130&lt;&gt;$B115,O115/INDEX($C108:$AJ118,8,MATCH(IF('Data-solution'!$A$3="Maximize",MAX($C119:$AI119),MIN($C119:$AI119)),$C119:$AI119,0)),O115-INDEX($C108:$AJ118,8,MATCH(IF('Data-solution'!$A$3="Maximize",MAX($C119:$AI119),MIN($C119:$AI119)),$C119:$AI119,0))*INDEX(O108:$AJ118,MATCH(MIN($AK108:$AK118),$AK108:$AK118,0),1)/INDEX($C108:$AJ118,MATCH(MIN($AK108:$AK118),$AK108:$AK118,0),MATCH(IF('Data-solution'!$A$3="Maximize",MAX($C119:$AI119),MIN($C119:$AI119)),$C119:$AI119,0))),O115)</f>
        <v>0</v>
      </c>
      <c r="P130" s="1">
        <f>IF(OR($B123&lt;&gt;$B108,$B124&lt;&gt;$B109,$B125&lt;&gt;$B110,$B126&lt;&gt;$B111,$B127&lt;&gt;$B112,$B128&lt;&gt;$B113,$B129&lt;&gt;$B114,$B130&lt;&gt;$B115,$B131&lt;&gt;$B116,$B132&lt;&gt;$B117,$B133&lt;&gt;$B118),IF($B130&lt;&gt;$B115,P115/INDEX($C108:$AJ118,8,MATCH(IF('Data-solution'!$A$3="Maximize",MAX($C119:$AI119),MIN($C119:$AI119)),$C119:$AI119,0)),P115-INDEX($C108:$AJ118,8,MATCH(IF('Data-solution'!$A$3="Maximize",MAX($C119:$AI119),MIN($C119:$AI119)),$C119:$AI119,0))*INDEX(P108:$AJ118,MATCH(MIN($AK108:$AK118),$AK108:$AK118,0),1)/INDEX($C108:$AJ118,MATCH(MIN($AK108:$AK118),$AK108:$AK118,0),MATCH(IF('Data-solution'!$A$3="Maximize",MAX($C119:$AI119),MIN($C119:$AI119)),$C119:$AI119,0))),P115)</f>
        <v>0</v>
      </c>
      <c r="Q130" s="1">
        <f>IF(OR($B123&lt;&gt;$B108,$B124&lt;&gt;$B109,$B125&lt;&gt;$B110,$B126&lt;&gt;$B111,$B127&lt;&gt;$B112,$B128&lt;&gt;$B113,$B129&lt;&gt;$B114,$B130&lt;&gt;$B115,$B131&lt;&gt;$B116,$B132&lt;&gt;$B117,$B133&lt;&gt;$B118),IF($B130&lt;&gt;$B115,Q115/INDEX($C108:$AJ118,8,MATCH(IF('Data-solution'!$A$3="Maximize",MAX($C119:$AI119),MIN($C119:$AI119)),$C119:$AI119,0)),Q115-INDEX($C108:$AJ118,8,MATCH(IF('Data-solution'!$A$3="Maximize",MAX($C119:$AI119),MIN($C119:$AI119)),$C119:$AI119,0))*INDEX(Q108:$AJ118,MATCH(MIN($AK108:$AK118),$AK108:$AK118,0),1)/INDEX($C108:$AJ118,MATCH(MIN($AK108:$AK118),$AK108:$AK118,0),MATCH(IF('Data-solution'!$A$3="Maximize",MAX($C119:$AI119),MIN($C119:$AI119)),$C119:$AI119,0))),Q115)</f>
        <v>0</v>
      </c>
      <c r="R130" s="1">
        <f>IF(OR($B123&lt;&gt;$B108,$B124&lt;&gt;$B109,$B125&lt;&gt;$B110,$B126&lt;&gt;$B111,$B127&lt;&gt;$B112,$B128&lt;&gt;$B113,$B129&lt;&gt;$B114,$B130&lt;&gt;$B115,$B131&lt;&gt;$B116,$B132&lt;&gt;$B117,$B133&lt;&gt;$B118),IF($B130&lt;&gt;$B115,R115/INDEX($C108:$AJ118,8,MATCH(IF('Data-solution'!$A$3="Maximize",MAX($C119:$AI119),MIN($C119:$AI119)),$C119:$AI119,0)),R115-INDEX($C108:$AJ118,8,MATCH(IF('Data-solution'!$A$3="Maximize",MAX($C119:$AI119),MIN($C119:$AI119)),$C119:$AI119,0))*INDEX(R108:$AJ118,MATCH(MIN($AK108:$AK118),$AK108:$AK118,0),1)/INDEX($C108:$AJ118,MATCH(MIN($AK108:$AK118),$AK108:$AK118,0),MATCH(IF('Data-solution'!$A$3="Maximize",MAX($C119:$AI119),MIN($C119:$AI119)),$C119:$AI119,0))),R115)</f>
        <v>0</v>
      </c>
      <c r="S130" s="1">
        <f>IF(OR($B123&lt;&gt;$B108,$B124&lt;&gt;$B109,$B125&lt;&gt;$B110,$B126&lt;&gt;$B111,$B127&lt;&gt;$B112,$B128&lt;&gt;$B113,$B129&lt;&gt;$B114,$B130&lt;&gt;$B115,$B131&lt;&gt;$B116,$B132&lt;&gt;$B117,$B133&lt;&gt;$B118),IF($B130&lt;&gt;$B115,S115/INDEX($C108:$AJ118,8,MATCH(IF('Data-solution'!$A$3="Maximize",MAX($C119:$AI119),MIN($C119:$AI119)),$C119:$AI119,0)),S115-INDEX($C108:$AJ118,8,MATCH(IF('Data-solution'!$A$3="Maximize",MAX($C119:$AI119),MIN($C119:$AI119)),$C119:$AI119,0))*INDEX(S108:$AJ118,MATCH(MIN($AK108:$AK118),$AK108:$AK118,0),1)/INDEX($C108:$AJ118,MATCH(MIN($AK108:$AK118),$AK108:$AK118,0),MATCH(IF('Data-solution'!$A$3="Maximize",MAX($C119:$AI119),MIN($C119:$AI119)),$C119:$AI119,0))),S115)</f>
        <v>0</v>
      </c>
      <c r="T130" s="1">
        <f>IF(OR($B123&lt;&gt;$B108,$B124&lt;&gt;$B109,$B125&lt;&gt;$B110,$B126&lt;&gt;$B111,$B127&lt;&gt;$B112,$B128&lt;&gt;$B113,$B129&lt;&gt;$B114,$B130&lt;&gt;$B115,$B131&lt;&gt;$B116,$B132&lt;&gt;$B117,$B133&lt;&gt;$B118),IF($B130&lt;&gt;$B115,T115/INDEX($C108:$AJ118,8,MATCH(IF('Data-solution'!$A$3="Maximize",MAX($C119:$AI119),MIN($C119:$AI119)),$C119:$AI119,0)),T115-INDEX($C108:$AJ118,8,MATCH(IF('Data-solution'!$A$3="Maximize",MAX($C119:$AI119),MIN($C119:$AI119)),$C119:$AI119,0))*INDEX(T108:$AJ118,MATCH(MIN($AK108:$AK118),$AK108:$AK118,0),1)/INDEX($C108:$AJ118,MATCH(MIN($AK108:$AK118),$AK108:$AK118,0),MATCH(IF('Data-solution'!$A$3="Maximize",MAX($C119:$AI119),MIN($C119:$AI119)),$C119:$AI119,0))),T115)</f>
        <v>0</v>
      </c>
      <c r="U130" s="1">
        <f>IF(OR($B123&lt;&gt;$B108,$B124&lt;&gt;$B109,$B125&lt;&gt;$B110,$B126&lt;&gt;$B111,$B127&lt;&gt;$B112,$B128&lt;&gt;$B113,$B129&lt;&gt;$B114,$B130&lt;&gt;$B115,$B131&lt;&gt;$B116,$B132&lt;&gt;$B117,$B133&lt;&gt;$B118),IF($B130&lt;&gt;$B115,U115/INDEX($C108:$AJ118,8,MATCH(IF('Data-solution'!$A$3="Maximize",MAX($C119:$AI119),MIN($C119:$AI119)),$C119:$AI119,0)),U115-INDEX($C108:$AJ118,8,MATCH(IF('Data-solution'!$A$3="Maximize",MAX($C119:$AI119),MIN($C119:$AI119)),$C119:$AI119,0))*INDEX(U108:$AJ118,MATCH(MIN($AK108:$AK118),$AK108:$AK118,0),1)/INDEX($C108:$AJ118,MATCH(MIN($AK108:$AK118),$AK108:$AK118,0),MATCH(IF('Data-solution'!$A$3="Maximize",MAX($C119:$AI119),MIN($C119:$AI119)),$C119:$AI119,0))),U115)</f>
        <v>1</v>
      </c>
      <c r="V130" s="1">
        <f>IF(OR($B123&lt;&gt;$B108,$B124&lt;&gt;$B109,$B125&lt;&gt;$B110,$B126&lt;&gt;$B111,$B127&lt;&gt;$B112,$B128&lt;&gt;$B113,$B129&lt;&gt;$B114,$B130&lt;&gt;$B115,$B131&lt;&gt;$B116,$B132&lt;&gt;$B117,$B133&lt;&gt;$B118),IF($B130&lt;&gt;$B115,V115/INDEX($C108:$AJ118,8,MATCH(IF('Data-solution'!$A$3="Maximize",MAX($C119:$AI119),MIN($C119:$AI119)),$C119:$AI119,0)),V115-INDEX($C108:$AJ118,8,MATCH(IF('Data-solution'!$A$3="Maximize",MAX($C119:$AI119),MIN($C119:$AI119)),$C119:$AI119,0))*INDEX(V108:$AJ118,MATCH(MIN($AK108:$AK118),$AK108:$AK118,0),1)/INDEX($C108:$AJ118,MATCH(MIN($AK108:$AK118),$AK108:$AK118,0),MATCH(IF('Data-solution'!$A$3="Maximize",MAX($C119:$AI119),MIN($C119:$AI119)),$C119:$AI119,0))),V115)</f>
        <v>0</v>
      </c>
      <c r="W130" s="1">
        <f>IF(OR($B123&lt;&gt;$B108,$B124&lt;&gt;$B109,$B125&lt;&gt;$B110,$B126&lt;&gt;$B111,$B127&lt;&gt;$B112,$B128&lt;&gt;$B113,$B129&lt;&gt;$B114,$B130&lt;&gt;$B115,$B131&lt;&gt;$B116,$B132&lt;&gt;$B117,$B133&lt;&gt;$B118),IF($B130&lt;&gt;$B115,W115/INDEX($C108:$AJ118,8,MATCH(IF('Data-solution'!$A$3="Maximize",MAX($C119:$AI119),MIN($C119:$AI119)),$C119:$AI119,0)),W115-INDEX($C108:$AJ118,8,MATCH(IF('Data-solution'!$A$3="Maximize",MAX($C119:$AI119),MIN($C119:$AI119)),$C119:$AI119,0))*INDEX(W108:$AJ118,MATCH(MIN($AK108:$AK118),$AK108:$AK118,0),1)/INDEX($C108:$AJ118,MATCH(MIN($AK108:$AK118),$AK108:$AK118,0),MATCH(IF('Data-solution'!$A$3="Maximize",MAX($C119:$AI119),MIN($C119:$AI119)),$C119:$AI119,0))),W115)</f>
        <v>0</v>
      </c>
      <c r="X130" s="1">
        <f>IF(OR($B123&lt;&gt;$B108,$B124&lt;&gt;$B109,$B125&lt;&gt;$B110,$B126&lt;&gt;$B111,$B127&lt;&gt;$B112,$B128&lt;&gt;$B113,$B129&lt;&gt;$B114,$B130&lt;&gt;$B115,$B131&lt;&gt;$B116,$B132&lt;&gt;$B117,$B133&lt;&gt;$B118),IF($B130&lt;&gt;$B115,X115/INDEX($C108:$AJ118,8,MATCH(IF('Data-solution'!$A$3="Maximize",MAX($C119:$AI119),MIN($C119:$AI119)),$C119:$AI119,0)),X115-INDEX($C108:$AJ118,8,MATCH(IF('Data-solution'!$A$3="Maximize",MAX($C119:$AI119),MIN($C119:$AI119)),$C119:$AI119,0))*INDEX(X108:$AJ118,MATCH(MIN($AK108:$AK118),$AK108:$AK118,0),1)/INDEX($C108:$AJ118,MATCH(MIN($AK108:$AK118),$AK108:$AK118,0),MATCH(IF('Data-solution'!$A$3="Maximize",MAX($C119:$AI119),MIN($C119:$AI119)),$C119:$AI119,0))),X115)</f>
        <v>0</v>
      </c>
      <c r="Y130" s="1">
        <f>IF(OR($B123&lt;&gt;$B108,$B124&lt;&gt;$B109,$B125&lt;&gt;$B110,$B126&lt;&gt;$B111,$B127&lt;&gt;$B112,$B128&lt;&gt;$B113,$B129&lt;&gt;$B114,$B130&lt;&gt;$B115,$B131&lt;&gt;$B116,$B132&lt;&gt;$B117,$B133&lt;&gt;$B118),IF($B130&lt;&gt;$B115,Y115/INDEX($C108:$AJ118,8,MATCH(IF('Data-solution'!$A$3="Maximize",MAX($C119:$AI119),MIN($C119:$AI119)),$C119:$AI119,0)),Y115-INDEX($C108:$AJ118,8,MATCH(IF('Data-solution'!$A$3="Maximize",MAX($C119:$AI119),MIN($C119:$AI119)),$C119:$AI119,0))*INDEX(Y108:$AJ118,MATCH(MIN($AK108:$AK118),$AK108:$AK118,0),1)/INDEX($C108:$AJ118,MATCH(MIN($AK108:$AK118),$AK108:$AK118,0),MATCH(IF('Data-solution'!$A$3="Maximize",MAX($C119:$AI119),MIN($C119:$AI119)),$C119:$AI119,0))),Y115)</f>
        <v>0</v>
      </c>
      <c r="Z130" s="1">
        <f>IF(OR($B123&lt;&gt;$B108,$B124&lt;&gt;$B109,$B125&lt;&gt;$B110,$B126&lt;&gt;$B111,$B127&lt;&gt;$B112,$B128&lt;&gt;$B113,$B129&lt;&gt;$B114,$B130&lt;&gt;$B115,$B131&lt;&gt;$B116,$B132&lt;&gt;$B117,$B133&lt;&gt;$B118),IF($B130&lt;&gt;$B115,Z115/INDEX($C108:$AJ118,8,MATCH(IF('Data-solution'!$A$3="Maximize",MAX($C119:$AI119),MIN($C119:$AI119)),$C119:$AI119,0)),Z115-INDEX($C108:$AJ118,8,MATCH(IF('Data-solution'!$A$3="Maximize",MAX($C119:$AI119),MIN($C119:$AI119)),$C119:$AI119,0))*INDEX(Z108:$AJ118,MATCH(MIN($AK108:$AK118),$AK108:$AK118,0),1)/INDEX($C108:$AJ118,MATCH(MIN($AK108:$AK118),$AK108:$AK118,0),MATCH(IF('Data-solution'!$A$3="Maximize",MAX($C119:$AI119),MIN($C119:$AI119)),$C119:$AI119,0))),Z115)</f>
        <v>0</v>
      </c>
      <c r="AA130" s="1">
        <f>IF(OR($B123&lt;&gt;$B108,$B124&lt;&gt;$B109,$B125&lt;&gt;$B110,$B126&lt;&gt;$B111,$B127&lt;&gt;$B112,$B128&lt;&gt;$B113,$B129&lt;&gt;$B114,$B130&lt;&gt;$B115,$B131&lt;&gt;$B116,$B132&lt;&gt;$B117,$B133&lt;&gt;$B118),IF($B130&lt;&gt;$B115,AA115/INDEX($C108:$AJ118,8,MATCH(IF('Data-solution'!$A$3="Maximize",MAX($C119:$AI119),MIN($C119:$AI119)),$C119:$AI119,0)),AA115-INDEX($C108:$AJ118,8,MATCH(IF('Data-solution'!$A$3="Maximize",MAX($C119:$AI119),MIN($C119:$AI119)),$C119:$AI119,0))*INDEX(AA108:$AJ118,MATCH(MIN($AK108:$AK118),$AK108:$AK118,0),1)/INDEX($C108:$AJ118,MATCH(MIN($AK108:$AK118),$AK108:$AK118,0),MATCH(IF('Data-solution'!$A$3="Maximize",MAX($C119:$AI119),MIN($C119:$AI119)),$C119:$AI119,0))),AA115)</f>
        <v>0</v>
      </c>
      <c r="AB130" s="1">
        <f>IF(OR($B123&lt;&gt;$B108,$B124&lt;&gt;$B109,$B125&lt;&gt;$B110,$B126&lt;&gt;$B111,$B127&lt;&gt;$B112,$B128&lt;&gt;$B113,$B129&lt;&gt;$B114,$B130&lt;&gt;$B115,$B131&lt;&gt;$B116,$B132&lt;&gt;$B117,$B133&lt;&gt;$B118),IF($B130&lt;&gt;$B115,AB115/INDEX($C108:$AJ118,8,MATCH(IF('Data-solution'!$A$3="Maximize",MAX($C119:$AI119),MIN($C119:$AI119)),$C119:$AI119,0)),AB115-INDEX($C108:$AJ118,8,MATCH(IF('Data-solution'!$A$3="Maximize",MAX($C119:$AI119),MIN($C119:$AI119)),$C119:$AI119,0))*INDEX(AB108:$AJ118,MATCH(MIN($AK108:$AK118),$AK108:$AK118,0),1)/INDEX($C108:$AJ118,MATCH(MIN($AK108:$AK118),$AK108:$AK118,0),MATCH(IF('Data-solution'!$A$3="Maximize",MAX($C119:$AI119),MIN($C119:$AI119)),$C119:$AI119,0))),AB115)</f>
        <v>0</v>
      </c>
      <c r="AC130" s="1">
        <f>IF(OR($B123&lt;&gt;$B108,$B124&lt;&gt;$B109,$B125&lt;&gt;$B110,$B126&lt;&gt;$B111,$B127&lt;&gt;$B112,$B128&lt;&gt;$B113,$B129&lt;&gt;$B114,$B130&lt;&gt;$B115,$B131&lt;&gt;$B116,$B132&lt;&gt;$B117,$B133&lt;&gt;$B118),IF($B130&lt;&gt;$B115,AC115/INDEX($C108:$AJ118,8,MATCH(IF('Data-solution'!$A$3="Maximize",MAX($C119:$AI119),MIN($C119:$AI119)),$C119:$AI119,0)),AC115-INDEX($C108:$AJ118,8,MATCH(IF('Data-solution'!$A$3="Maximize",MAX($C119:$AI119),MIN($C119:$AI119)),$C119:$AI119,0))*INDEX(AC108:$AJ118,MATCH(MIN($AK108:$AK118),$AK108:$AK118,0),1)/INDEX($C108:$AJ118,MATCH(MIN($AK108:$AK118),$AK108:$AK118,0),MATCH(IF('Data-solution'!$A$3="Maximize",MAX($C119:$AI119),MIN($C119:$AI119)),$C119:$AI119,0))),AC115)</f>
        <v>0</v>
      </c>
      <c r="AD130" s="1">
        <f>IF(OR($B123&lt;&gt;$B108,$B124&lt;&gt;$B109,$B125&lt;&gt;$B110,$B126&lt;&gt;$B111,$B127&lt;&gt;$B112,$B128&lt;&gt;$B113,$B129&lt;&gt;$B114,$B130&lt;&gt;$B115,$B131&lt;&gt;$B116,$B132&lt;&gt;$B117,$B133&lt;&gt;$B118),IF($B130&lt;&gt;$B115,AD115/INDEX($C108:$AJ118,8,MATCH(IF('Data-solution'!$A$3="Maximize",MAX($C119:$AI119),MIN($C119:$AI119)),$C119:$AI119,0)),AD115-INDEX($C108:$AJ118,8,MATCH(IF('Data-solution'!$A$3="Maximize",MAX($C119:$AI119),MIN($C119:$AI119)),$C119:$AI119,0))*INDEX(AD108:$AJ118,MATCH(MIN($AK108:$AK118),$AK108:$AK118,0),1)/INDEX($C108:$AJ118,MATCH(MIN($AK108:$AK118),$AK108:$AK118,0),MATCH(IF('Data-solution'!$A$3="Maximize",MAX($C119:$AI119),MIN($C119:$AI119)),$C119:$AI119,0))),AD115)</f>
        <v>0</v>
      </c>
      <c r="AE130" s="1">
        <f>IF(OR($B123&lt;&gt;$B108,$B124&lt;&gt;$B109,$B125&lt;&gt;$B110,$B126&lt;&gt;$B111,$B127&lt;&gt;$B112,$B128&lt;&gt;$B113,$B129&lt;&gt;$B114,$B130&lt;&gt;$B115,$B131&lt;&gt;$B116,$B132&lt;&gt;$B117,$B133&lt;&gt;$B118),IF($B130&lt;&gt;$B115,AE115/INDEX($C108:$AJ118,8,MATCH(IF('Data-solution'!$A$3="Maximize",MAX($C119:$AI119),MIN($C119:$AI119)),$C119:$AI119,0)),AE115-INDEX($C108:$AJ118,8,MATCH(IF('Data-solution'!$A$3="Maximize",MAX($C119:$AI119),MIN($C119:$AI119)),$C119:$AI119,0))*INDEX(AE108:$AJ118,MATCH(MIN($AK108:$AK118),$AK108:$AK118,0),1)/INDEX($C108:$AJ118,MATCH(MIN($AK108:$AK118),$AK108:$AK118,0),MATCH(IF('Data-solution'!$A$3="Maximize",MAX($C119:$AI119),MIN($C119:$AI119)),$C119:$AI119,0))),AE115)</f>
        <v>0</v>
      </c>
      <c r="AF130" s="1">
        <f>IF(OR($B123&lt;&gt;$B108,$B124&lt;&gt;$B109,$B125&lt;&gt;$B110,$B126&lt;&gt;$B111,$B127&lt;&gt;$B112,$B128&lt;&gt;$B113,$B129&lt;&gt;$B114,$B130&lt;&gt;$B115,$B131&lt;&gt;$B116,$B132&lt;&gt;$B117,$B133&lt;&gt;$B118),IF($B130&lt;&gt;$B115,AF115/INDEX($C108:$AJ118,8,MATCH(IF('Data-solution'!$A$3="Maximize",MAX($C119:$AI119),MIN($C119:$AI119)),$C119:$AI119,0)),AF115-INDEX($C108:$AJ118,8,MATCH(IF('Data-solution'!$A$3="Maximize",MAX($C119:$AI119),MIN($C119:$AI119)),$C119:$AI119,0))*INDEX(AF108:$AJ118,MATCH(MIN($AK108:$AK118),$AK108:$AK118,0),1)/INDEX($C108:$AJ118,MATCH(MIN($AK108:$AK118),$AK108:$AK118,0),MATCH(IF('Data-solution'!$A$3="Maximize",MAX($C119:$AI119),MIN($C119:$AI119)),$C119:$AI119,0))),AF115)</f>
        <v>1</v>
      </c>
      <c r="AG130" s="1">
        <f>IF(OR($B123&lt;&gt;$B108,$B124&lt;&gt;$B109,$B125&lt;&gt;$B110,$B126&lt;&gt;$B111,$B127&lt;&gt;$B112,$B128&lt;&gt;$B113,$B129&lt;&gt;$B114,$B130&lt;&gt;$B115,$B131&lt;&gt;$B116,$B132&lt;&gt;$B117,$B133&lt;&gt;$B118),IF($B130&lt;&gt;$B115,AG115/INDEX($C108:$AJ118,8,MATCH(IF('Data-solution'!$A$3="Maximize",MAX($C119:$AI119),MIN($C119:$AI119)),$C119:$AI119,0)),AG115-INDEX($C108:$AJ118,8,MATCH(IF('Data-solution'!$A$3="Maximize",MAX($C119:$AI119),MIN($C119:$AI119)),$C119:$AI119,0))*INDEX(AG108:$AJ118,MATCH(MIN($AK108:$AK118),$AK108:$AK118,0),1)/INDEX($C108:$AJ118,MATCH(MIN($AK108:$AK118),$AK108:$AK118,0),MATCH(IF('Data-solution'!$A$3="Maximize",MAX($C119:$AI119),MIN($C119:$AI119)),$C119:$AI119,0))),AG115)</f>
        <v>0</v>
      </c>
      <c r="AH130" s="1">
        <f>IF(OR($B123&lt;&gt;$B108,$B124&lt;&gt;$B109,$B125&lt;&gt;$B110,$B126&lt;&gt;$B111,$B127&lt;&gt;$B112,$B128&lt;&gt;$B113,$B129&lt;&gt;$B114,$B130&lt;&gt;$B115,$B131&lt;&gt;$B116,$B132&lt;&gt;$B117,$B133&lt;&gt;$B118),IF($B130&lt;&gt;$B115,AH115/INDEX($C108:$AJ118,8,MATCH(IF('Data-solution'!$A$3="Maximize",MAX($C119:$AI119),MIN($C119:$AI119)),$C119:$AI119,0)),AH115-INDEX($C108:$AJ118,8,MATCH(IF('Data-solution'!$A$3="Maximize",MAX($C119:$AI119),MIN($C119:$AI119)),$C119:$AI119,0))*INDEX(AH108:$AJ118,MATCH(MIN($AK108:$AK118),$AK108:$AK118,0),1)/INDEX($C108:$AJ118,MATCH(MIN($AK108:$AK118),$AK108:$AK118,0),MATCH(IF('Data-solution'!$A$3="Maximize",MAX($C119:$AI119),MIN($C119:$AI119)),$C119:$AI119,0))),AH115)</f>
        <v>0</v>
      </c>
      <c r="AI130" s="1">
        <f>IF(OR($B123&lt;&gt;$B108,$B124&lt;&gt;$B109,$B125&lt;&gt;$B110,$B126&lt;&gt;$B111,$B127&lt;&gt;$B112,$B128&lt;&gt;$B113,$B129&lt;&gt;$B114,$B130&lt;&gt;$B115,$B131&lt;&gt;$B116,$B132&lt;&gt;$B117,$B133&lt;&gt;$B118),IF($B130&lt;&gt;$B115,AI115/INDEX($C108:$AJ118,8,MATCH(IF('Data-solution'!$A$3="Maximize",MAX($C119:$AI119),MIN($C119:$AI119)),$C119:$AI119,0)),AI115-INDEX($C108:$AJ118,8,MATCH(IF('Data-solution'!$A$3="Maximize",MAX($C119:$AI119),MIN($C119:$AI119)),$C119:$AI119,0))*INDEX(AI108:$AJ118,MATCH(MIN($AK108:$AK118),$AK108:$AK118,0),1)/INDEX($C108:$AJ118,MATCH(MIN($AK108:$AK118),$AK108:$AK118,0),MATCH(IF('Data-solution'!$A$3="Maximize",MAX($C119:$AI119),MIN($C119:$AI119)),$C119:$AI119,0))),AI115)</f>
        <v>0</v>
      </c>
      <c r="AJ130" s="1">
        <f>IF(OR($B123&lt;&gt;$B108,$B124&lt;&gt;$B109,$B125&lt;&gt;$B110,$B126&lt;&gt;$B111,$B127&lt;&gt;$B112,$B128&lt;&gt;$B113,$B129&lt;&gt;$B114,$B130&lt;&gt;$B115,$B131&lt;&gt;$B116,$B132&lt;&gt;$B117,$B133&lt;&gt;$B118),IF($B130&lt;&gt;$B115,AJ115/INDEX($C108:$AJ118,8,MATCH(IF('Data-solution'!$A$3="Maximize",MAX($C119:$AI119),MIN($C119:$AI119)),$C119:$AI119,0)),AJ115-INDEX($C108:$AJ118,8,MATCH(IF('Data-solution'!$A$3="Maximize",MAX($C119:$AI119),MIN($C119:$AI119)),$C119:$AI119,0))*INDEX(AJ108:$AJ118,MATCH(MIN($AK108:$AK118),$AK108:$AK118,0),1)/INDEX($C108:$AJ118,MATCH(MIN($AK108:$AK118),$AK108:$AK118,0),MATCH(IF('Data-solution'!$A$3="Maximize",MAX($C119:$AI119),MIN($C119:$AI119)),$C119:$AI119,0))),AJ115)</f>
        <v>0</v>
      </c>
      <c r="AK130" s="1" t="str">
        <f>IF(INDEX(C130:X130,1,MATCH(IF('Data-solution'!A$3="Maximize",MAX(C134:X134),MIN(C134:X134)),C134:X134,0))&gt;0,AJ130/INDEX(C130:X130,1,MATCH(IF('Data-solution'!A$3="Maximize",MAX(C134:X134),MIN(C134:X134)),C134:X134,0))," ")</f>
        <v xml:space="preserve"> </v>
      </c>
    </row>
    <row r="131" spans="1:37" ht="18" customHeight="1" x14ac:dyDescent="0.2">
      <c r="A131" s="1">
        <f t="shared" ref="A131" si="104">INDEX(C121:AI121,1,MATCH(B131,C122:AI122,0))</f>
        <v>0</v>
      </c>
      <c r="B131" s="2" t="str">
        <f>IF(AND('Data-solution'!A$3="Maximize",COUNTIF(C119:X119,"&gt;"&amp;0)&gt;0,AK116=MIN(AK108:AK118),COUNTIF(B123:B130,INDEX(C107:X107,1,MATCH(MAX(C119:X119),C119:X119,0)))=0),INDEX(C107:X107,1,MATCH(MAX(C119:X119),C119:X119,0)),IF(AND('Data-solution'!A$3="Minimize",COUNTIF(C119:X119,"&lt;"&amp;0)&gt;0,AK116=MIN(AK108:AK118),COUNTIF(B123:B130,INDEX(C107:X107,1,MATCH(MIN(C119:X119),C119:X119,0)))=0),INDEX(C107:X107,1,MATCH(MIN(C119:X119),C119:X119,0)),B116))</f>
        <v>S9</v>
      </c>
      <c r="C131" s="1">
        <f>IF(OR($B123&lt;&gt;$B108,$B124&lt;&gt;$B109,$B125&lt;&gt;$B110,$B126&lt;&gt;$B111,$B127&lt;&gt;$B112,$B128&lt;&gt;$B113,$B129&lt;&gt;$B114,$B130&lt;&gt;$B115,$B131&lt;&gt;$B116,$B132&lt;&gt;$B117,$B133&lt;&gt;$B118),IF($B131&lt;&gt;$B116,C116/INDEX($C108:$AJ118,9,MATCH(IF('Data-solution'!$A$3="Maximize",MAX($C119:$AI119),MIN($C119:$AI119)),$C119:$AI119,0)),C116-INDEX($C108:$AJ118,9,MATCH(IF('Data-solution'!$A$3="Maximize",MAX($C119:$AI119),MIN($C119:$AI119)),$C119:$AI119,0))*INDEX(C108:$AJ118,MATCH(MIN($AK108:$AK118),$AK108:$AK118,0),1)/INDEX($C108:$AJ118,MATCH(MIN($AK108:$AK118),$AK108:$AK118,0),MATCH(IF('Data-solution'!$A$3="Maximize",MAX($C119:$AI119),MIN($C119:$AI119)),$C119:$AI119,0))),C116)</f>
        <v>0</v>
      </c>
      <c r="D131" s="1">
        <f>IF(OR($B123&lt;&gt;$B108,$B124&lt;&gt;$B109,$B125&lt;&gt;$B110,$B126&lt;&gt;$B111,$B127&lt;&gt;$B112,$B128&lt;&gt;$B113,$B129&lt;&gt;$B114,$B130&lt;&gt;$B115,$B131&lt;&gt;$B116,$B132&lt;&gt;$B117,$B133&lt;&gt;$B118),IF($B131&lt;&gt;$B116,D116/INDEX($C108:$AJ118,9,MATCH(IF('Data-solution'!$A$3="Maximize",MAX($C119:$AI119),MIN($C119:$AI119)),$C119:$AI119,0)),D116-INDEX($C108:$AJ118,9,MATCH(IF('Data-solution'!$A$3="Maximize",MAX($C119:$AI119),MIN($C119:$AI119)),$C119:$AI119,0))*INDEX(D108:$AJ118,MATCH(MIN($AK108:$AK118),$AK108:$AK118,0),1)/INDEX($C108:$AJ118,MATCH(MIN($AK108:$AK118),$AK108:$AK118,0),MATCH(IF('Data-solution'!$A$3="Maximize",MAX($C119:$AI119),MIN($C119:$AI119)),$C119:$AI119,0))),D116)</f>
        <v>0</v>
      </c>
      <c r="E131" s="1">
        <f>IF(OR($B123&lt;&gt;$B108,$B124&lt;&gt;$B109,$B125&lt;&gt;$B110,$B126&lt;&gt;$B111,$B127&lt;&gt;$B112,$B128&lt;&gt;$B113,$B129&lt;&gt;$B114,$B130&lt;&gt;$B115,$B131&lt;&gt;$B116,$B132&lt;&gt;$B117,$B133&lt;&gt;$B118),IF($B131&lt;&gt;$B116,E116/INDEX($C108:$AJ118,9,MATCH(IF('Data-solution'!$A$3="Maximize",MAX($C119:$AI119),MIN($C119:$AI119)),$C119:$AI119,0)),E116-INDEX($C108:$AJ118,9,MATCH(IF('Data-solution'!$A$3="Maximize",MAX($C119:$AI119),MIN($C119:$AI119)),$C119:$AI119,0))*INDEX(E108:$AJ118,MATCH(MIN($AK108:$AK118),$AK108:$AK118,0),1)/INDEX($C108:$AJ118,MATCH(MIN($AK108:$AK118),$AK108:$AK118,0),MATCH(IF('Data-solution'!$A$3="Maximize",MAX($C119:$AI119),MIN($C119:$AI119)),$C119:$AI119,0))),E116)</f>
        <v>0</v>
      </c>
      <c r="F131" s="1">
        <f>IF(OR($B123&lt;&gt;$B108,$B124&lt;&gt;$B109,$B125&lt;&gt;$B110,$B126&lt;&gt;$B111,$B127&lt;&gt;$B112,$B128&lt;&gt;$B113,$B129&lt;&gt;$B114,$B130&lt;&gt;$B115,$B131&lt;&gt;$B116,$B132&lt;&gt;$B117,$B133&lt;&gt;$B118),IF($B131&lt;&gt;$B116,F116/INDEX($C108:$AJ118,9,MATCH(IF('Data-solution'!$A$3="Maximize",MAX($C119:$AI119),MIN($C119:$AI119)),$C119:$AI119,0)),F116-INDEX($C108:$AJ118,9,MATCH(IF('Data-solution'!$A$3="Maximize",MAX($C119:$AI119),MIN($C119:$AI119)),$C119:$AI119,0))*INDEX(F108:$AJ118,MATCH(MIN($AK108:$AK118),$AK108:$AK118,0),1)/INDEX($C108:$AJ118,MATCH(MIN($AK108:$AK118),$AK108:$AK118,0),MATCH(IF('Data-solution'!$A$3="Maximize",MAX($C119:$AI119),MIN($C119:$AI119)),$C119:$AI119,0))),F116)</f>
        <v>0</v>
      </c>
      <c r="G131" s="1">
        <f>IF(OR($B123&lt;&gt;$B108,$B124&lt;&gt;$B109,$B125&lt;&gt;$B110,$B126&lt;&gt;$B111,$B127&lt;&gt;$B112,$B128&lt;&gt;$B113,$B129&lt;&gt;$B114,$B130&lt;&gt;$B115,$B131&lt;&gt;$B116,$B132&lt;&gt;$B117,$B133&lt;&gt;$B118),IF($B131&lt;&gt;$B116,G116/INDEX($C108:$AJ118,9,MATCH(IF('Data-solution'!$A$3="Maximize",MAX($C119:$AI119),MIN($C119:$AI119)),$C119:$AI119,0)),G116-INDEX($C108:$AJ118,9,MATCH(IF('Data-solution'!$A$3="Maximize",MAX($C119:$AI119),MIN($C119:$AI119)),$C119:$AI119,0))*INDEX(G108:$AJ118,MATCH(MIN($AK108:$AK118),$AK108:$AK118,0),1)/INDEX($C108:$AJ118,MATCH(MIN($AK108:$AK118),$AK108:$AK118,0),MATCH(IF('Data-solution'!$A$3="Maximize",MAX($C119:$AI119),MIN($C119:$AI119)),$C119:$AI119,0))),G116)</f>
        <v>0</v>
      </c>
      <c r="H131" s="1">
        <f>IF(OR($B123&lt;&gt;$B108,$B124&lt;&gt;$B109,$B125&lt;&gt;$B110,$B126&lt;&gt;$B111,$B127&lt;&gt;$B112,$B128&lt;&gt;$B113,$B129&lt;&gt;$B114,$B130&lt;&gt;$B115,$B131&lt;&gt;$B116,$B132&lt;&gt;$B117,$B133&lt;&gt;$B118),IF($B131&lt;&gt;$B116,H116/INDEX($C108:$AJ118,9,MATCH(IF('Data-solution'!$A$3="Maximize",MAX($C119:$AI119),MIN($C119:$AI119)),$C119:$AI119,0)),H116-INDEX($C108:$AJ118,9,MATCH(IF('Data-solution'!$A$3="Maximize",MAX($C119:$AI119),MIN($C119:$AI119)),$C119:$AI119,0))*INDEX(H108:$AJ118,MATCH(MIN($AK108:$AK118),$AK108:$AK118,0),1)/INDEX($C108:$AJ118,MATCH(MIN($AK108:$AK118),$AK108:$AK118,0),MATCH(IF('Data-solution'!$A$3="Maximize",MAX($C119:$AI119),MIN($C119:$AI119)),$C119:$AI119,0))),H116)</f>
        <v>0</v>
      </c>
      <c r="I131" s="1">
        <f>IF(OR($B123&lt;&gt;$B108,$B124&lt;&gt;$B109,$B125&lt;&gt;$B110,$B126&lt;&gt;$B111,$B127&lt;&gt;$B112,$B128&lt;&gt;$B113,$B129&lt;&gt;$B114,$B130&lt;&gt;$B115,$B131&lt;&gt;$B116,$B132&lt;&gt;$B117,$B133&lt;&gt;$B118),IF($B131&lt;&gt;$B116,I116/INDEX($C108:$AJ118,9,MATCH(IF('Data-solution'!$A$3="Maximize",MAX($C119:$AI119),MIN($C119:$AI119)),$C119:$AI119,0)),I116-INDEX($C108:$AJ118,9,MATCH(IF('Data-solution'!$A$3="Maximize",MAX($C119:$AI119),MIN($C119:$AI119)),$C119:$AI119,0))*INDEX(I108:$AJ118,MATCH(MIN($AK108:$AK118),$AK108:$AK118,0),1)/INDEX($C108:$AJ118,MATCH(MIN($AK108:$AK118),$AK108:$AK118,0),MATCH(IF('Data-solution'!$A$3="Maximize",MAX($C119:$AI119),MIN($C119:$AI119)),$C119:$AI119,0))),I116)</f>
        <v>0</v>
      </c>
      <c r="J131" s="1">
        <f>IF(OR($B123&lt;&gt;$B108,$B124&lt;&gt;$B109,$B125&lt;&gt;$B110,$B126&lt;&gt;$B111,$B127&lt;&gt;$B112,$B128&lt;&gt;$B113,$B129&lt;&gt;$B114,$B130&lt;&gt;$B115,$B131&lt;&gt;$B116,$B132&lt;&gt;$B117,$B133&lt;&gt;$B118),IF($B131&lt;&gt;$B116,J116/INDEX($C108:$AJ118,9,MATCH(IF('Data-solution'!$A$3="Maximize",MAX($C119:$AI119),MIN($C119:$AI119)),$C119:$AI119,0)),J116-INDEX($C108:$AJ118,9,MATCH(IF('Data-solution'!$A$3="Maximize",MAX($C119:$AI119),MIN($C119:$AI119)),$C119:$AI119,0))*INDEX(J108:$AJ118,MATCH(MIN($AK108:$AK118),$AK108:$AK118,0),1)/INDEX($C108:$AJ118,MATCH(MIN($AK108:$AK118),$AK108:$AK118,0),MATCH(IF('Data-solution'!$A$3="Maximize",MAX($C119:$AI119),MIN($C119:$AI119)),$C119:$AI119,0))),J116)</f>
        <v>0</v>
      </c>
      <c r="K131" s="1">
        <f>IF(OR($B123&lt;&gt;$B108,$B124&lt;&gt;$B109,$B125&lt;&gt;$B110,$B126&lt;&gt;$B111,$B127&lt;&gt;$B112,$B128&lt;&gt;$B113,$B129&lt;&gt;$B114,$B130&lt;&gt;$B115,$B131&lt;&gt;$B116,$B132&lt;&gt;$B117,$B133&lt;&gt;$B118),IF($B131&lt;&gt;$B116,K116/INDEX($C108:$AJ118,9,MATCH(IF('Data-solution'!$A$3="Maximize",MAX($C119:$AI119),MIN($C119:$AI119)),$C119:$AI119,0)),K116-INDEX($C108:$AJ118,9,MATCH(IF('Data-solution'!$A$3="Maximize",MAX($C119:$AI119),MIN($C119:$AI119)),$C119:$AI119,0))*INDEX(K108:$AJ118,MATCH(MIN($AK108:$AK118),$AK108:$AK118,0),1)/INDEX($C108:$AJ118,MATCH(MIN($AK108:$AK118),$AK108:$AK118,0),MATCH(IF('Data-solution'!$A$3="Maximize",MAX($C119:$AI119),MIN($C119:$AI119)),$C119:$AI119,0))),K116)</f>
        <v>0</v>
      </c>
      <c r="L131" s="1">
        <f>IF(OR($B123&lt;&gt;$B108,$B124&lt;&gt;$B109,$B125&lt;&gt;$B110,$B126&lt;&gt;$B111,$B127&lt;&gt;$B112,$B128&lt;&gt;$B113,$B129&lt;&gt;$B114,$B130&lt;&gt;$B115,$B131&lt;&gt;$B116,$B132&lt;&gt;$B117,$B133&lt;&gt;$B118),IF($B131&lt;&gt;$B116,L116/INDEX($C108:$AJ118,9,MATCH(IF('Data-solution'!$A$3="Maximize",MAX($C119:$AI119),MIN($C119:$AI119)),$C119:$AI119,0)),L116-INDEX($C108:$AJ118,9,MATCH(IF('Data-solution'!$A$3="Maximize",MAX($C119:$AI119),MIN($C119:$AI119)),$C119:$AI119,0))*INDEX(L108:$AJ118,MATCH(MIN($AK108:$AK118),$AK108:$AK118,0),1)/INDEX($C108:$AJ118,MATCH(MIN($AK108:$AK118),$AK108:$AK118,0),MATCH(IF('Data-solution'!$A$3="Maximize",MAX($C119:$AI119),MIN($C119:$AI119)),$C119:$AI119,0))),L116)</f>
        <v>0</v>
      </c>
      <c r="M131" s="1">
        <f>IF(OR($B123&lt;&gt;$B108,$B124&lt;&gt;$B109,$B125&lt;&gt;$B110,$B126&lt;&gt;$B111,$B127&lt;&gt;$B112,$B128&lt;&gt;$B113,$B129&lt;&gt;$B114,$B130&lt;&gt;$B115,$B131&lt;&gt;$B116,$B132&lt;&gt;$B117,$B133&lt;&gt;$B118),IF($B131&lt;&gt;$B116,M116/INDEX($C108:$AJ118,9,MATCH(IF('Data-solution'!$A$3="Maximize",MAX($C119:$AI119),MIN($C119:$AI119)),$C119:$AI119,0)),M116-INDEX($C108:$AJ118,9,MATCH(IF('Data-solution'!$A$3="Maximize",MAX($C119:$AI119),MIN($C119:$AI119)),$C119:$AI119,0))*INDEX(M108:$AJ118,MATCH(MIN($AK108:$AK118),$AK108:$AK118,0),1)/INDEX($C108:$AJ118,MATCH(MIN($AK108:$AK118),$AK108:$AK118,0),MATCH(IF('Data-solution'!$A$3="Maximize",MAX($C119:$AI119),MIN($C119:$AI119)),$C119:$AI119,0))),M116)</f>
        <v>0</v>
      </c>
      <c r="N131" s="1">
        <f>IF(OR($B123&lt;&gt;$B108,$B124&lt;&gt;$B109,$B125&lt;&gt;$B110,$B126&lt;&gt;$B111,$B127&lt;&gt;$B112,$B128&lt;&gt;$B113,$B129&lt;&gt;$B114,$B130&lt;&gt;$B115,$B131&lt;&gt;$B116,$B132&lt;&gt;$B117,$B133&lt;&gt;$B118),IF($B131&lt;&gt;$B116,N116/INDEX($C108:$AJ118,9,MATCH(IF('Data-solution'!$A$3="Maximize",MAX($C119:$AI119),MIN($C119:$AI119)),$C119:$AI119,0)),N116-INDEX($C108:$AJ118,9,MATCH(IF('Data-solution'!$A$3="Maximize",MAX($C119:$AI119),MIN($C119:$AI119)),$C119:$AI119,0))*INDEX(N108:$AJ118,MATCH(MIN($AK108:$AK118),$AK108:$AK118,0),1)/INDEX($C108:$AJ118,MATCH(MIN($AK108:$AK118),$AK108:$AK118,0),MATCH(IF('Data-solution'!$A$3="Maximize",MAX($C119:$AI119),MIN($C119:$AI119)),$C119:$AI119,0))),N116)</f>
        <v>0</v>
      </c>
      <c r="O131" s="1">
        <f>IF(OR($B123&lt;&gt;$B108,$B124&lt;&gt;$B109,$B125&lt;&gt;$B110,$B126&lt;&gt;$B111,$B127&lt;&gt;$B112,$B128&lt;&gt;$B113,$B129&lt;&gt;$B114,$B130&lt;&gt;$B115,$B131&lt;&gt;$B116,$B132&lt;&gt;$B117,$B133&lt;&gt;$B118),IF($B131&lt;&gt;$B116,O116/INDEX($C108:$AJ118,9,MATCH(IF('Data-solution'!$A$3="Maximize",MAX($C119:$AI119),MIN($C119:$AI119)),$C119:$AI119,0)),O116-INDEX($C108:$AJ118,9,MATCH(IF('Data-solution'!$A$3="Maximize",MAX($C119:$AI119),MIN($C119:$AI119)),$C119:$AI119,0))*INDEX(O108:$AJ118,MATCH(MIN($AK108:$AK118),$AK108:$AK118,0),1)/INDEX($C108:$AJ118,MATCH(MIN($AK108:$AK118),$AK108:$AK118,0),MATCH(IF('Data-solution'!$A$3="Maximize",MAX($C119:$AI119),MIN($C119:$AI119)),$C119:$AI119,0))),O116)</f>
        <v>0</v>
      </c>
      <c r="P131" s="1">
        <f>IF(OR($B123&lt;&gt;$B108,$B124&lt;&gt;$B109,$B125&lt;&gt;$B110,$B126&lt;&gt;$B111,$B127&lt;&gt;$B112,$B128&lt;&gt;$B113,$B129&lt;&gt;$B114,$B130&lt;&gt;$B115,$B131&lt;&gt;$B116,$B132&lt;&gt;$B117,$B133&lt;&gt;$B118),IF($B131&lt;&gt;$B116,P116/INDEX($C108:$AJ118,9,MATCH(IF('Data-solution'!$A$3="Maximize",MAX($C119:$AI119),MIN($C119:$AI119)),$C119:$AI119,0)),P116-INDEX($C108:$AJ118,9,MATCH(IF('Data-solution'!$A$3="Maximize",MAX($C119:$AI119),MIN($C119:$AI119)),$C119:$AI119,0))*INDEX(P108:$AJ118,MATCH(MIN($AK108:$AK118),$AK108:$AK118,0),1)/INDEX($C108:$AJ118,MATCH(MIN($AK108:$AK118),$AK108:$AK118,0),MATCH(IF('Data-solution'!$A$3="Maximize",MAX($C119:$AI119),MIN($C119:$AI119)),$C119:$AI119,0))),P116)</f>
        <v>0</v>
      </c>
      <c r="Q131" s="1">
        <f>IF(OR($B123&lt;&gt;$B108,$B124&lt;&gt;$B109,$B125&lt;&gt;$B110,$B126&lt;&gt;$B111,$B127&lt;&gt;$B112,$B128&lt;&gt;$B113,$B129&lt;&gt;$B114,$B130&lt;&gt;$B115,$B131&lt;&gt;$B116,$B132&lt;&gt;$B117,$B133&lt;&gt;$B118),IF($B131&lt;&gt;$B116,Q116/INDEX($C108:$AJ118,9,MATCH(IF('Data-solution'!$A$3="Maximize",MAX($C119:$AI119),MIN($C119:$AI119)),$C119:$AI119,0)),Q116-INDEX($C108:$AJ118,9,MATCH(IF('Data-solution'!$A$3="Maximize",MAX($C119:$AI119),MIN($C119:$AI119)),$C119:$AI119,0))*INDEX(Q108:$AJ118,MATCH(MIN($AK108:$AK118),$AK108:$AK118,0),1)/INDEX($C108:$AJ118,MATCH(MIN($AK108:$AK118),$AK108:$AK118,0),MATCH(IF('Data-solution'!$A$3="Maximize",MAX($C119:$AI119),MIN($C119:$AI119)),$C119:$AI119,0))),Q116)</f>
        <v>0</v>
      </c>
      <c r="R131" s="1">
        <f>IF(OR($B123&lt;&gt;$B108,$B124&lt;&gt;$B109,$B125&lt;&gt;$B110,$B126&lt;&gt;$B111,$B127&lt;&gt;$B112,$B128&lt;&gt;$B113,$B129&lt;&gt;$B114,$B130&lt;&gt;$B115,$B131&lt;&gt;$B116,$B132&lt;&gt;$B117,$B133&lt;&gt;$B118),IF($B131&lt;&gt;$B116,R116/INDEX($C108:$AJ118,9,MATCH(IF('Data-solution'!$A$3="Maximize",MAX($C119:$AI119),MIN($C119:$AI119)),$C119:$AI119,0)),R116-INDEX($C108:$AJ118,9,MATCH(IF('Data-solution'!$A$3="Maximize",MAX($C119:$AI119),MIN($C119:$AI119)),$C119:$AI119,0))*INDEX(R108:$AJ118,MATCH(MIN($AK108:$AK118),$AK108:$AK118,0),1)/INDEX($C108:$AJ118,MATCH(MIN($AK108:$AK118),$AK108:$AK118,0),MATCH(IF('Data-solution'!$A$3="Maximize",MAX($C119:$AI119),MIN($C119:$AI119)),$C119:$AI119,0))),R116)</f>
        <v>0</v>
      </c>
      <c r="S131" s="1">
        <f>IF(OR($B123&lt;&gt;$B108,$B124&lt;&gt;$B109,$B125&lt;&gt;$B110,$B126&lt;&gt;$B111,$B127&lt;&gt;$B112,$B128&lt;&gt;$B113,$B129&lt;&gt;$B114,$B130&lt;&gt;$B115,$B131&lt;&gt;$B116,$B132&lt;&gt;$B117,$B133&lt;&gt;$B118),IF($B131&lt;&gt;$B116,S116/INDEX($C108:$AJ118,9,MATCH(IF('Data-solution'!$A$3="Maximize",MAX($C119:$AI119),MIN($C119:$AI119)),$C119:$AI119,0)),S116-INDEX($C108:$AJ118,9,MATCH(IF('Data-solution'!$A$3="Maximize",MAX($C119:$AI119),MIN($C119:$AI119)),$C119:$AI119,0))*INDEX(S108:$AJ118,MATCH(MIN($AK108:$AK118),$AK108:$AK118,0),1)/INDEX($C108:$AJ118,MATCH(MIN($AK108:$AK118),$AK108:$AK118,0),MATCH(IF('Data-solution'!$A$3="Maximize",MAX($C119:$AI119),MIN($C119:$AI119)),$C119:$AI119,0))),S116)</f>
        <v>0</v>
      </c>
      <c r="T131" s="1">
        <f>IF(OR($B123&lt;&gt;$B108,$B124&lt;&gt;$B109,$B125&lt;&gt;$B110,$B126&lt;&gt;$B111,$B127&lt;&gt;$B112,$B128&lt;&gt;$B113,$B129&lt;&gt;$B114,$B130&lt;&gt;$B115,$B131&lt;&gt;$B116,$B132&lt;&gt;$B117,$B133&lt;&gt;$B118),IF($B131&lt;&gt;$B116,T116/INDEX($C108:$AJ118,9,MATCH(IF('Data-solution'!$A$3="Maximize",MAX($C119:$AI119),MIN($C119:$AI119)),$C119:$AI119,0)),T116-INDEX($C108:$AJ118,9,MATCH(IF('Data-solution'!$A$3="Maximize",MAX($C119:$AI119),MIN($C119:$AI119)),$C119:$AI119,0))*INDEX(T108:$AJ118,MATCH(MIN($AK108:$AK118),$AK108:$AK118,0),1)/INDEX($C108:$AJ118,MATCH(MIN($AK108:$AK118),$AK108:$AK118,0),MATCH(IF('Data-solution'!$A$3="Maximize",MAX($C119:$AI119),MIN($C119:$AI119)),$C119:$AI119,0))),T116)</f>
        <v>0</v>
      </c>
      <c r="U131" s="1">
        <f>IF(OR($B123&lt;&gt;$B108,$B124&lt;&gt;$B109,$B125&lt;&gt;$B110,$B126&lt;&gt;$B111,$B127&lt;&gt;$B112,$B128&lt;&gt;$B113,$B129&lt;&gt;$B114,$B130&lt;&gt;$B115,$B131&lt;&gt;$B116,$B132&lt;&gt;$B117,$B133&lt;&gt;$B118),IF($B131&lt;&gt;$B116,U116/INDEX($C108:$AJ118,9,MATCH(IF('Data-solution'!$A$3="Maximize",MAX($C119:$AI119),MIN($C119:$AI119)),$C119:$AI119,0)),U116-INDEX($C108:$AJ118,9,MATCH(IF('Data-solution'!$A$3="Maximize",MAX($C119:$AI119),MIN($C119:$AI119)),$C119:$AI119,0))*INDEX(U108:$AJ118,MATCH(MIN($AK108:$AK118),$AK108:$AK118,0),1)/INDEX($C108:$AJ118,MATCH(MIN($AK108:$AK118),$AK108:$AK118,0),MATCH(IF('Data-solution'!$A$3="Maximize",MAX($C119:$AI119),MIN($C119:$AI119)),$C119:$AI119,0))),U116)</f>
        <v>0</v>
      </c>
      <c r="V131" s="1">
        <f>IF(OR($B123&lt;&gt;$B108,$B124&lt;&gt;$B109,$B125&lt;&gt;$B110,$B126&lt;&gt;$B111,$B127&lt;&gt;$B112,$B128&lt;&gt;$B113,$B129&lt;&gt;$B114,$B130&lt;&gt;$B115,$B131&lt;&gt;$B116,$B132&lt;&gt;$B117,$B133&lt;&gt;$B118),IF($B131&lt;&gt;$B116,V116/INDEX($C108:$AJ118,9,MATCH(IF('Data-solution'!$A$3="Maximize",MAX($C119:$AI119),MIN($C119:$AI119)),$C119:$AI119,0)),V116-INDEX($C108:$AJ118,9,MATCH(IF('Data-solution'!$A$3="Maximize",MAX($C119:$AI119),MIN($C119:$AI119)),$C119:$AI119,0))*INDEX(V108:$AJ118,MATCH(MIN($AK108:$AK118),$AK108:$AK118,0),1)/INDEX($C108:$AJ118,MATCH(MIN($AK108:$AK118),$AK108:$AK118,0),MATCH(IF('Data-solution'!$A$3="Maximize",MAX($C119:$AI119),MIN($C119:$AI119)),$C119:$AI119,0))),V116)</f>
        <v>1</v>
      </c>
      <c r="W131" s="1">
        <f>IF(OR($B123&lt;&gt;$B108,$B124&lt;&gt;$B109,$B125&lt;&gt;$B110,$B126&lt;&gt;$B111,$B127&lt;&gt;$B112,$B128&lt;&gt;$B113,$B129&lt;&gt;$B114,$B130&lt;&gt;$B115,$B131&lt;&gt;$B116,$B132&lt;&gt;$B117,$B133&lt;&gt;$B118),IF($B131&lt;&gt;$B116,W116/INDEX($C108:$AJ118,9,MATCH(IF('Data-solution'!$A$3="Maximize",MAX($C119:$AI119),MIN($C119:$AI119)),$C119:$AI119,0)),W116-INDEX($C108:$AJ118,9,MATCH(IF('Data-solution'!$A$3="Maximize",MAX($C119:$AI119),MIN($C119:$AI119)),$C119:$AI119,0))*INDEX(W108:$AJ118,MATCH(MIN($AK108:$AK118),$AK108:$AK118,0),1)/INDEX($C108:$AJ118,MATCH(MIN($AK108:$AK118),$AK108:$AK118,0),MATCH(IF('Data-solution'!$A$3="Maximize",MAX($C119:$AI119),MIN($C119:$AI119)),$C119:$AI119,0))),W116)</f>
        <v>0</v>
      </c>
      <c r="X131" s="1">
        <f>IF(OR($B123&lt;&gt;$B108,$B124&lt;&gt;$B109,$B125&lt;&gt;$B110,$B126&lt;&gt;$B111,$B127&lt;&gt;$B112,$B128&lt;&gt;$B113,$B129&lt;&gt;$B114,$B130&lt;&gt;$B115,$B131&lt;&gt;$B116,$B132&lt;&gt;$B117,$B133&lt;&gt;$B118),IF($B131&lt;&gt;$B116,X116/INDEX($C108:$AJ118,9,MATCH(IF('Data-solution'!$A$3="Maximize",MAX($C119:$AI119),MIN($C119:$AI119)),$C119:$AI119,0)),X116-INDEX($C108:$AJ118,9,MATCH(IF('Data-solution'!$A$3="Maximize",MAX($C119:$AI119),MIN($C119:$AI119)),$C119:$AI119,0))*INDEX(X108:$AJ118,MATCH(MIN($AK108:$AK118),$AK108:$AK118,0),1)/INDEX($C108:$AJ118,MATCH(MIN($AK108:$AK118),$AK108:$AK118,0),MATCH(IF('Data-solution'!$A$3="Maximize",MAX($C119:$AI119),MIN($C119:$AI119)),$C119:$AI119,0))),X116)</f>
        <v>0</v>
      </c>
      <c r="Y131" s="1">
        <f>IF(OR($B123&lt;&gt;$B108,$B124&lt;&gt;$B109,$B125&lt;&gt;$B110,$B126&lt;&gt;$B111,$B127&lt;&gt;$B112,$B128&lt;&gt;$B113,$B129&lt;&gt;$B114,$B130&lt;&gt;$B115,$B131&lt;&gt;$B116,$B132&lt;&gt;$B117,$B133&lt;&gt;$B118),IF($B131&lt;&gt;$B116,Y116/INDEX($C108:$AJ118,9,MATCH(IF('Data-solution'!$A$3="Maximize",MAX($C119:$AI119),MIN($C119:$AI119)),$C119:$AI119,0)),Y116-INDEX($C108:$AJ118,9,MATCH(IF('Data-solution'!$A$3="Maximize",MAX($C119:$AI119),MIN($C119:$AI119)),$C119:$AI119,0))*INDEX(Y108:$AJ118,MATCH(MIN($AK108:$AK118),$AK108:$AK118,0),1)/INDEX($C108:$AJ118,MATCH(MIN($AK108:$AK118),$AK108:$AK118,0),MATCH(IF('Data-solution'!$A$3="Maximize",MAX($C119:$AI119),MIN($C119:$AI119)),$C119:$AI119,0))),Y116)</f>
        <v>0</v>
      </c>
      <c r="Z131" s="1">
        <f>IF(OR($B123&lt;&gt;$B108,$B124&lt;&gt;$B109,$B125&lt;&gt;$B110,$B126&lt;&gt;$B111,$B127&lt;&gt;$B112,$B128&lt;&gt;$B113,$B129&lt;&gt;$B114,$B130&lt;&gt;$B115,$B131&lt;&gt;$B116,$B132&lt;&gt;$B117,$B133&lt;&gt;$B118),IF($B131&lt;&gt;$B116,Z116/INDEX($C108:$AJ118,9,MATCH(IF('Data-solution'!$A$3="Maximize",MAX($C119:$AI119),MIN($C119:$AI119)),$C119:$AI119,0)),Z116-INDEX($C108:$AJ118,9,MATCH(IF('Data-solution'!$A$3="Maximize",MAX($C119:$AI119),MIN($C119:$AI119)),$C119:$AI119,0))*INDEX(Z108:$AJ118,MATCH(MIN($AK108:$AK118),$AK108:$AK118,0),1)/INDEX($C108:$AJ118,MATCH(MIN($AK108:$AK118),$AK108:$AK118,0),MATCH(IF('Data-solution'!$A$3="Maximize",MAX($C119:$AI119),MIN($C119:$AI119)),$C119:$AI119,0))),Z116)</f>
        <v>0</v>
      </c>
      <c r="AA131" s="1">
        <f>IF(OR($B123&lt;&gt;$B108,$B124&lt;&gt;$B109,$B125&lt;&gt;$B110,$B126&lt;&gt;$B111,$B127&lt;&gt;$B112,$B128&lt;&gt;$B113,$B129&lt;&gt;$B114,$B130&lt;&gt;$B115,$B131&lt;&gt;$B116,$B132&lt;&gt;$B117,$B133&lt;&gt;$B118),IF($B131&lt;&gt;$B116,AA116/INDEX($C108:$AJ118,9,MATCH(IF('Data-solution'!$A$3="Maximize",MAX($C119:$AI119),MIN($C119:$AI119)),$C119:$AI119,0)),AA116-INDEX($C108:$AJ118,9,MATCH(IF('Data-solution'!$A$3="Maximize",MAX($C119:$AI119),MIN($C119:$AI119)),$C119:$AI119,0))*INDEX(AA108:$AJ118,MATCH(MIN($AK108:$AK118),$AK108:$AK118,0),1)/INDEX($C108:$AJ118,MATCH(MIN($AK108:$AK118),$AK108:$AK118,0),MATCH(IF('Data-solution'!$A$3="Maximize",MAX($C119:$AI119),MIN($C119:$AI119)),$C119:$AI119,0))),AA116)</f>
        <v>0</v>
      </c>
      <c r="AB131" s="1">
        <f>IF(OR($B123&lt;&gt;$B108,$B124&lt;&gt;$B109,$B125&lt;&gt;$B110,$B126&lt;&gt;$B111,$B127&lt;&gt;$B112,$B128&lt;&gt;$B113,$B129&lt;&gt;$B114,$B130&lt;&gt;$B115,$B131&lt;&gt;$B116,$B132&lt;&gt;$B117,$B133&lt;&gt;$B118),IF($B131&lt;&gt;$B116,AB116/INDEX($C108:$AJ118,9,MATCH(IF('Data-solution'!$A$3="Maximize",MAX($C119:$AI119),MIN($C119:$AI119)),$C119:$AI119,0)),AB116-INDEX($C108:$AJ118,9,MATCH(IF('Data-solution'!$A$3="Maximize",MAX($C119:$AI119),MIN($C119:$AI119)),$C119:$AI119,0))*INDEX(AB108:$AJ118,MATCH(MIN($AK108:$AK118),$AK108:$AK118,0),1)/INDEX($C108:$AJ118,MATCH(MIN($AK108:$AK118),$AK108:$AK118,0),MATCH(IF('Data-solution'!$A$3="Maximize",MAX($C119:$AI119),MIN($C119:$AI119)),$C119:$AI119,0))),AB116)</f>
        <v>0</v>
      </c>
      <c r="AC131" s="1">
        <f>IF(OR($B123&lt;&gt;$B108,$B124&lt;&gt;$B109,$B125&lt;&gt;$B110,$B126&lt;&gt;$B111,$B127&lt;&gt;$B112,$B128&lt;&gt;$B113,$B129&lt;&gt;$B114,$B130&lt;&gt;$B115,$B131&lt;&gt;$B116,$B132&lt;&gt;$B117,$B133&lt;&gt;$B118),IF($B131&lt;&gt;$B116,AC116/INDEX($C108:$AJ118,9,MATCH(IF('Data-solution'!$A$3="Maximize",MAX($C119:$AI119),MIN($C119:$AI119)),$C119:$AI119,0)),AC116-INDEX($C108:$AJ118,9,MATCH(IF('Data-solution'!$A$3="Maximize",MAX($C119:$AI119),MIN($C119:$AI119)),$C119:$AI119,0))*INDEX(AC108:$AJ118,MATCH(MIN($AK108:$AK118),$AK108:$AK118,0),1)/INDEX($C108:$AJ118,MATCH(MIN($AK108:$AK118),$AK108:$AK118,0),MATCH(IF('Data-solution'!$A$3="Maximize",MAX($C119:$AI119),MIN($C119:$AI119)),$C119:$AI119,0))),AC116)</f>
        <v>0</v>
      </c>
      <c r="AD131" s="1">
        <f>IF(OR($B123&lt;&gt;$B108,$B124&lt;&gt;$B109,$B125&lt;&gt;$B110,$B126&lt;&gt;$B111,$B127&lt;&gt;$B112,$B128&lt;&gt;$B113,$B129&lt;&gt;$B114,$B130&lt;&gt;$B115,$B131&lt;&gt;$B116,$B132&lt;&gt;$B117,$B133&lt;&gt;$B118),IF($B131&lt;&gt;$B116,AD116/INDEX($C108:$AJ118,9,MATCH(IF('Data-solution'!$A$3="Maximize",MAX($C119:$AI119),MIN($C119:$AI119)),$C119:$AI119,0)),AD116-INDEX($C108:$AJ118,9,MATCH(IF('Data-solution'!$A$3="Maximize",MAX($C119:$AI119),MIN($C119:$AI119)),$C119:$AI119,0))*INDEX(AD108:$AJ118,MATCH(MIN($AK108:$AK118),$AK108:$AK118,0),1)/INDEX($C108:$AJ118,MATCH(MIN($AK108:$AK118),$AK108:$AK118,0),MATCH(IF('Data-solution'!$A$3="Maximize",MAX($C119:$AI119),MIN($C119:$AI119)),$C119:$AI119,0))),AD116)</f>
        <v>0</v>
      </c>
      <c r="AE131" s="1">
        <f>IF(OR($B123&lt;&gt;$B108,$B124&lt;&gt;$B109,$B125&lt;&gt;$B110,$B126&lt;&gt;$B111,$B127&lt;&gt;$B112,$B128&lt;&gt;$B113,$B129&lt;&gt;$B114,$B130&lt;&gt;$B115,$B131&lt;&gt;$B116,$B132&lt;&gt;$B117,$B133&lt;&gt;$B118),IF($B131&lt;&gt;$B116,AE116/INDEX($C108:$AJ118,9,MATCH(IF('Data-solution'!$A$3="Maximize",MAX($C119:$AI119),MIN($C119:$AI119)),$C119:$AI119,0)),AE116-INDEX($C108:$AJ118,9,MATCH(IF('Data-solution'!$A$3="Maximize",MAX($C119:$AI119),MIN($C119:$AI119)),$C119:$AI119,0))*INDEX(AE108:$AJ118,MATCH(MIN($AK108:$AK118),$AK108:$AK118,0),1)/INDEX($C108:$AJ118,MATCH(MIN($AK108:$AK118),$AK108:$AK118,0),MATCH(IF('Data-solution'!$A$3="Maximize",MAX($C119:$AI119),MIN($C119:$AI119)),$C119:$AI119,0))),AE116)</f>
        <v>0</v>
      </c>
      <c r="AF131" s="1">
        <f>IF(OR($B123&lt;&gt;$B108,$B124&lt;&gt;$B109,$B125&lt;&gt;$B110,$B126&lt;&gt;$B111,$B127&lt;&gt;$B112,$B128&lt;&gt;$B113,$B129&lt;&gt;$B114,$B130&lt;&gt;$B115,$B131&lt;&gt;$B116,$B132&lt;&gt;$B117,$B133&lt;&gt;$B118),IF($B131&lt;&gt;$B116,AF116/INDEX($C108:$AJ118,9,MATCH(IF('Data-solution'!$A$3="Maximize",MAX($C119:$AI119),MIN($C119:$AI119)),$C119:$AI119,0)),AF116-INDEX($C108:$AJ118,9,MATCH(IF('Data-solution'!$A$3="Maximize",MAX($C119:$AI119),MIN($C119:$AI119)),$C119:$AI119,0))*INDEX(AF108:$AJ118,MATCH(MIN($AK108:$AK118),$AK108:$AK118,0),1)/INDEX($C108:$AJ118,MATCH(MIN($AK108:$AK118),$AK108:$AK118,0),MATCH(IF('Data-solution'!$A$3="Maximize",MAX($C119:$AI119),MIN($C119:$AI119)),$C119:$AI119,0))),AF116)</f>
        <v>0</v>
      </c>
      <c r="AG131" s="1">
        <f>IF(OR($B123&lt;&gt;$B108,$B124&lt;&gt;$B109,$B125&lt;&gt;$B110,$B126&lt;&gt;$B111,$B127&lt;&gt;$B112,$B128&lt;&gt;$B113,$B129&lt;&gt;$B114,$B130&lt;&gt;$B115,$B131&lt;&gt;$B116,$B132&lt;&gt;$B117,$B133&lt;&gt;$B118),IF($B131&lt;&gt;$B116,AG116/INDEX($C108:$AJ118,9,MATCH(IF('Data-solution'!$A$3="Maximize",MAX($C119:$AI119),MIN($C119:$AI119)),$C119:$AI119,0)),AG116-INDEX($C108:$AJ118,9,MATCH(IF('Data-solution'!$A$3="Maximize",MAX($C119:$AI119),MIN($C119:$AI119)),$C119:$AI119,0))*INDEX(AG108:$AJ118,MATCH(MIN($AK108:$AK118),$AK108:$AK118,0),1)/INDEX($C108:$AJ118,MATCH(MIN($AK108:$AK118),$AK108:$AK118,0),MATCH(IF('Data-solution'!$A$3="Maximize",MAX($C119:$AI119),MIN($C119:$AI119)),$C119:$AI119,0))),AG116)</f>
        <v>1</v>
      </c>
      <c r="AH131" s="1">
        <f>IF(OR($B123&lt;&gt;$B108,$B124&lt;&gt;$B109,$B125&lt;&gt;$B110,$B126&lt;&gt;$B111,$B127&lt;&gt;$B112,$B128&lt;&gt;$B113,$B129&lt;&gt;$B114,$B130&lt;&gt;$B115,$B131&lt;&gt;$B116,$B132&lt;&gt;$B117,$B133&lt;&gt;$B118),IF($B131&lt;&gt;$B116,AH116/INDEX($C108:$AJ118,9,MATCH(IF('Data-solution'!$A$3="Maximize",MAX($C119:$AI119),MIN($C119:$AI119)),$C119:$AI119,0)),AH116-INDEX($C108:$AJ118,9,MATCH(IF('Data-solution'!$A$3="Maximize",MAX($C119:$AI119),MIN($C119:$AI119)),$C119:$AI119,0))*INDEX(AH108:$AJ118,MATCH(MIN($AK108:$AK118),$AK108:$AK118,0),1)/INDEX($C108:$AJ118,MATCH(MIN($AK108:$AK118),$AK108:$AK118,0),MATCH(IF('Data-solution'!$A$3="Maximize",MAX($C119:$AI119),MIN($C119:$AI119)),$C119:$AI119,0))),AH116)</f>
        <v>0</v>
      </c>
      <c r="AI131" s="1">
        <f>IF(OR($B123&lt;&gt;$B108,$B124&lt;&gt;$B109,$B125&lt;&gt;$B110,$B126&lt;&gt;$B111,$B127&lt;&gt;$B112,$B128&lt;&gt;$B113,$B129&lt;&gt;$B114,$B130&lt;&gt;$B115,$B131&lt;&gt;$B116,$B132&lt;&gt;$B117,$B133&lt;&gt;$B118),IF($B131&lt;&gt;$B116,AI116/INDEX($C108:$AJ118,9,MATCH(IF('Data-solution'!$A$3="Maximize",MAX($C119:$AI119),MIN($C119:$AI119)),$C119:$AI119,0)),AI116-INDEX($C108:$AJ118,9,MATCH(IF('Data-solution'!$A$3="Maximize",MAX($C119:$AI119),MIN($C119:$AI119)),$C119:$AI119,0))*INDEX(AI108:$AJ118,MATCH(MIN($AK108:$AK118),$AK108:$AK118,0),1)/INDEX($C108:$AJ118,MATCH(MIN($AK108:$AK118),$AK108:$AK118,0),MATCH(IF('Data-solution'!$A$3="Maximize",MAX($C119:$AI119),MIN($C119:$AI119)),$C119:$AI119,0))),AI116)</f>
        <v>0</v>
      </c>
      <c r="AJ131" s="1">
        <f>IF(OR($B123&lt;&gt;$B108,$B124&lt;&gt;$B109,$B125&lt;&gt;$B110,$B126&lt;&gt;$B111,$B127&lt;&gt;$B112,$B128&lt;&gt;$B113,$B129&lt;&gt;$B114,$B130&lt;&gt;$B115,$B131&lt;&gt;$B116,$B132&lt;&gt;$B117,$B133&lt;&gt;$B118),IF($B131&lt;&gt;$B116,AJ116/INDEX($C108:$AJ118,9,MATCH(IF('Data-solution'!$A$3="Maximize",MAX($C119:$AI119),MIN($C119:$AI119)),$C119:$AI119,0)),AJ116-INDEX($C108:$AJ118,9,MATCH(IF('Data-solution'!$A$3="Maximize",MAX($C119:$AI119),MIN($C119:$AI119)),$C119:$AI119,0))*INDEX(AJ108:$AJ118,MATCH(MIN($AK108:$AK118),$AK108:$AK118,0),1)/INDEX($C108:$AJ118,MATCH(MIN($AK108:$AK118),$AK108:$AK118,0),MATCH(IF('Data-solution'!$A$3="Maximize",MAX($C119:$AI119),MIN($C119:$AI119)),$C119:$AI119,0))),AJ116)</f>
        <v>0</v>
      </c>
      <c r="AK131" s="1" t="str">
        <f>IF(INDEX(C131:X131,1,MATCH(IF('Data-solution'!A$3="Maximize",MAX(C134:X134),MIN(C134:X134)),C134:X134,0))&gt;0,AJ131/INDEX(C131:X131,1,MATCH(IF('Data-solution'!A$3="Maximize",MAX(C134:X134),MIN(C134:X134)),C134:X134,0))," ")</f>
        <v xml:space="preserve"> </v>
      </c>
    </row>
    <row r="132" spans="1:37" ht="18" customHeight="1" x14ac:dyDescent="0.2">
      <c r="A132" s="1">
        <f t="shared" ref="A132" si="105">INDEX(C121:AI121,1,MATCH(B132,C122:AI122,0))</f>
        <v>0</v>
      </c>
      <c r="B132" s="2" t="str">
        <f>IF(AND('Data-solution'!A$3="Maximize",COUNTIF(C119:X119,"&gt;"&amp;0)&gt;0,AK117=MIN(AK108:AK118),COUNTIF(B123:B131,INDEX(C107:X107,1,MATCH(MAX(C119:X119),C119:X119,0)))=0),INDEX(C107:X107,1,MATCH(MAX(C119:X119),C119:X119,0)),IF(AND('Data-solution'!A$3="Minimize",COUNTIF(C119:X119,"&lt;"&amp;0)&gt;0,AK117=MIN(AK108:AK118),COUNTIF(B123:B131,INDEX(C107:X107,1,MATCH(MIN(C119:X119),C119:X119,0)))=0),INDEX(C107:X107,1,MATCH(MIN(C119:X119),C119:X119,0)),B117))</f>
        <v>S10</v>
      </c>
      <c r="C132" s="1">
        <f>IF(OR($B123&lt;&gt;$B108,$B124&lt;&gt;$B109,$B125&lt;&gt;$B110,$B126&lt;&gt;$B111,$B127&lt;&gt;$B112,$B128&lt;&gt;$B113,$B129&lt;&gt;$B114,$B130&lt;&gt;$B115,$B131&lt;&gt;$B116,$B132&lt;&gt;$B117,$B133&lt;&gt;$B118),IF($B132&lt;&gt;$B117,C117/INDEX($C108:$AJ118,10,MATCH(IF('Data-solution'!$A$3="Maximize",MAX($C119:$AI119),MIN($C119:$AI119)),$C119:$AI119,0)),C117-INDEX($C108:$AJ118,10,MATCH(IF('Data-solution'!$A$3="Maximize",MAX($C119:$AI119),MIN($C119:$AI119)),$C119:$AI119,0))*INDEX(C108:$AJ118,MATCH(MIN($AK108:$AK118),$AK108:$AK118,0),1)/INDEX($C108:$AJ118,MATCH(MIN($AK108:$AK118),$AK108:$AK118,0),MATCH(IF('Data-solution'!$A$3="Maximize",MAX($C119:$AI119),MIN($C119:$AI119)),$C119:$AI119,0))),C117)</f>
        <v>0</v>
      </c>
      <c r="D132" s="1">
        <f>IF(OR($B123&lt;&gt;$B108,$B124&lt;&gt;$B109,$B125&lt;&gt;$B110,$B126&lt;&gt;$B111,$B127&lt;&gt;$B112,$B128&lt;&gt;$B113,$B129&lt;&gt;$B114,$B130&lt;&gt;$B115,$B131&lt;&gt;$B116,$B132&lt;&gt;$B117,$B133&lt;&gt;$B118),IF($B132&lt;&gt;$B117,D117/INDEX($C108:$AJ118,10,MATCH(IF('Data-solution'!$A$3="Maximize",MAX($C119:$AI119),MIN($C119:$AI119)),$C119:$AI119,0)),D117-INDEX($C108:$AJ118,10,MATCH(IF('Data-solution'!$A$3="Maximize",MAX($C119:$AI119),MIN($C119:$AI119)),$C119:$AI119,0))*INDEX(D108:$AJ118,MATCH(MIN($AK108:$AK118),$AK108:$AK118,0),1)/INDEX($C108:$AJ118,MATCH(MIN($AK108:$AK118),$AK108:$AK118,0),MATCH(IF('Data-solution'!$A$3="Maximize",MAX($C119:$AI119),MIN($C119:$AI119)),$C119:$AI119,0))),D117)</f>
        <v>0</v>
      </c>
      <c r="E132" s="1">
        <f>IF(OR($B123&lt;&gt;$B108,$B124&lt;&gt;$B109,$B125&lt;&gt;$B110,$B126&lt;&gt;$B111,$B127&lt;&gt;$B112,$B128&lt;&gt;$B113,$B129&lt;&gt;$B114,$B130&lt;&gt;$B115,$B131&lt;&gt;$B116,$B132&lt;&gt;$B117,$B133&lt;&gt;$B118),IF($B132&lt;&gt;$B117,E117/INDEX($C108:$AJ118,10,MATCH(IF('Data-solution'!$A$3="Maximize",MAX($C119:$AI119),MIN($C119:$AI119)),$C119:$AI119,0)),E117-INDEX($C108:$AJ118,10,MATCH(IF('Data-solution'!$A$3="Maximize",MAX($C119:$AI119),MIN($C119:$AI119)),$C119:$AI119,0))*INDEX(E108:$AJ118,MATCH(MIN($AK108:$AK118),$AK108:$AK118,0),1)/INDEX($C108:$AJ118,MATCH(MIN($AK108:$AK118),$AK108:$AK118,0),MATCH(IF('Data-solution'!$A$3="Maximize",MAX($C119:$AI119),MIN($C119:$AI119)),$C119:$AI119,0))),E117)</f>
        <v>0</v>
      </c>
      <c r="F132" s="1">
        <f>IF(OR($B123&lt;&gt;$B108,$B124&lt;&gt;$B109,$B125&lt;&gt;$B110,$B126&lt;&gt;$B111,$B127&lt;&gt;$B112,$B128&lt;&gt;$B113,$B129&lt;&gt;$B114,$B130&lt;&gt;$B115,$B131&lt;&gt;$B116,$B132&lt;&gt;$B117,$B133&lt;&gt;$B118),IF($B132&lt;&gt;$B117,F117/INDEX($C108:$AJ118,10,MATCH(IF('Data-solution'!$A$3="Maximize",MAX($C119:$AI119),MIN($C119:$AI119)),$C119:$AI119,0)),F117-INDEX($C108:$AJ118,10,MATCH(IF('Data-solution'!$A$3="Maximize",MAX($C119:$AI119),MIN($C119:$AI119)),$C119:$AI119,0))*INDEX(F108:$AJ118,MATCH(MIN($AK108:$AK118),$AK108:$AK118,0),1)/INDEX($C108:$AJ118,MATCH(MIN($AK108:$AK118),$AK108:$AK118,0),MATCH(IF('Data-solution'!$A$3="Maximize",MAX($C119:$AI119),MIN($C119:$AI119)),$C119:$AI119,0))),F117)</f>
        <v>0</v>
      </c>
      <c r="G132" s="1">
        <f>IF(OR($B123&lt;&gt;$B108,$B124&lt;&gt;$B109,$B125&lt;&gt;$B110,$B126&lt;&gt;$B111,$B127&lt;&gt;$B112,$B128&lt;&gt;$B113,$B129&lt;&gt;$B114,$B130&lt;&gt;$B115,$B131&lt;&gt;$B116,$B132&lt;&gt;$B117,$B133&lt;&gt;$B118),IF($B132&lt;&gt;$B117,G117/INDEX($C108:$AJ118,10,MATCH(IF('Data-solution'!$A$3="Maximize",MAX($C119:$AI119),MIN($C119:$AI119)),$C119:$AI119,0)),G117-INDEX($C108:$AJ118,10,MATCH(IF('Data-solution'!$A$3="Maximize",MAX($C119:$AI119),MIN($C119:$AI119)),$C119:$AI119,0))*INDEX(G108:$AJ118,MATCH(MIN($AK108:$AK118),$AK108:$AK118,0),1)/INDEX($C108:$AJ118,MATCH(MIN($AK108:$AK118),$AK108:$AK118,0),MATCH(IF('Data-solution'!$A$3="Maximize",MAX($C119:$AI119),MIN($C119:$AI119)),$C119:$AI119,0))),G117)</f>
        <v>0</v>
      </c>
      <c r="H132" s="1">
        <f>IF(OR($B123&lt;&gt;$B108,$B124&lt;&gt;$B109,$B125&lt;&gt;$B110,$B126&lt;&gt;$B111,$B127&lt;&gt;$B112,$B128&lt;&gt;$B113,$B129&lt;&gt;$B114,$B130&lt;&gt;$B115,$B131&lt;&gt;$B116,$B132&lt;&gt;$B117,$B133&lt;&gt;$B118),IF($B132&lt;&gt;$B117,H117/INDEX($C108:$AJ118,10,MATCH(IF('Data-solution'!$A$3="Maximize",MAX($C119:$AI119),MIN($C119:$AI119)),$C119:$AI119,0)),H117-INDEX($C108:$AJ118,10,MATCH(IF('Data-solution'!$A$3="Maximize",MAX($C119:$AI119),MIN($C119:$AI119)),$C119:$AI119,0))*INDEX(H108:$AJ118,MATCH(MIN($AK108:$AK118),$AK108:$AK118,0),1)/INDEX($C108:$AJ118,MATCH(MIN($AK108:$AK118),$AK108:$AK118,0),MATCH(IF('Data-solution'!$A$3="Maximize",MAX($C119:$AI119),MIN($C119:$AI119)),$C119:$AI119,0))),H117)</f>
        <v>0</v>
      </c>
      <c r="I132" s="1">
        <f>IF(OR($B123&lt;&gt;$B108,$B124&lt;&gt;$B109,$B125&lt;&gt;$B110,$B126&lt;&gt;$B111,$B127&lt;&gt;$B112,$B128&lt;&gt;$B113,$B129&lt;&gt;$B114,$B130&lt;&gt;$B115,$B131&lt;&gt;$B116,$B132&lt;&gt;$B117,$B133&lt;&gt;$B118),IF($B132&lt;&gt;$B117,I117/INDEX($C108:$AJ118,10,MATCH(IF('Data-solution'!$A$3="Maximize",MAX($C119:$AI119),MIN($C119:$AI119)),$C119:$AI119,0)),I117-INDEX($C108:$AJ118,10,MATCH(IF('Data-solution'!$A$3="Maximize",MAX($C119:$AI119),MIN($C119:$AI119)),$C119:$AI119,0))*INDEX(I108:$AJ118,MATCH(MIN($AK108:$AK118),$AK108:$AK118,0),1)/INDEX($C108:$AJ118,MATCH(MIN($AK108:$AK118),$AK108:$AK118,0),MATCH(IF('Data-solution'!$A$3="Maximize",MAX($C119:$AI119),MIN($C119:$AI119)),$C119:$AI119,0))),I117)</f>
        <v>0</v>
      </c>
      <c r="J132" s="1">
        <f>IF(OR($B123&lt;&gt;$B108,$B124&lt;&gt;$B109,$B125&lt;&gt;$B110,$B126&lt;&gt;$B111,$B127&lt;&gt;$B112,$B128&lt;&gt;$B113,$B129&lt;&gt;$B114,$B130&lt;&gt;$B115,$B131&lt;&gt;$B116,$B132&lt;&gt;$B117,$B133&lt;&gt;$B118),IF($B132&lt;&gt;$B117,J117/INDEX($C108:$AJ118,10,MATCH(IF('Data-solution'!$A$3="Maximize",MAX($C119:$AI119),MIN($C119:$AI119)),$C119:$AI119,0)),J117-INDEX($C108:$AJ118,10,MATCH(IF('Data-solution'!$A$3="Maximize",MAX($C119:$AI119),MIN($C119:$AI119)),$C119:$AI119,0))*INDEX(J108:$AJ118,MATCH(MIN($AK108:$AK118),$AK108:$AK118,0),1)/INDEX($C108:$AJ118,MATCH(MIN($AK108:$AK118),$AK108:$AK118,0),MATCH(IF('Data-solution'!$A$3="Maximize",MAX($C119:$AI119),MIN($C119:$AI119)),$C119:$AI119,0))),J117)</f>
        <v>0</v>
      </c>
      <c r="K132" s="1">
        <f>IF(OR($B123&lt;&gt;$B108,$B124&lt;&gt;$B109,$B125&lt;&gt;$B110,$B126&lt;&gt;$B111,$B127&lt;&gt;$B112,$B128&lt;&gt;$B113,$B129&lt;&gt;$B114,$B130&lt;&gt;$B115,$B131&lt;&gt;$B116,$B132&lt;&gt;$B117,$B133&lt;&gt;$B118),IF($B132&lt;&gt;$B117,K117/INDEX($C108:$AJ118,10,MATCH(IF('Data-solution'!$A$3="Maximize",MAX($C119:$AI119),MIN($C119:$AI119)),$C119:$AI119,0)),K117-INDEX($C108:$AJ118,10,MATCH(IF('Data-solution'!$A$3="Maximize",MAX($C119:$AI119),MIN($C119:$AI119)),$C119:$AI119,0))*INDEX(K108:$AJ118,MATCH(MIN($AK108:$AK118),$AK108:$AK118,0),1)/INDEX($C108:$AJ118,MATCH(MIN($AK108:$AK118),$AK108:$AK118,0),MATCH(IF('Data-solution'!$A$3="Maximize",MAX($C119:$AI119),MIN($C119:$AI119)),$C119:$AI119,0))),K117)</f>
        <v>0</v>
      </c>
      <c r="L132" s="1">
        <f>IF(OR($B123&lt;&gt;$B108,$B124&lt;&gt;$B109,$B125&lt;&gt;$B110,$B126&lt;&gt;$B111,$B127&lt;&gt;$B112,$B128&lt;&gt;$B113,$B129&lt;&gt;$B114,$B130&lt;&gt;$B115,$B131&lt;&gt;$B116,$B132&lt;&gt;$B117,$B133&lt;&gt;$B118),IF($B132&lt;&gt;$B117,L117/INDEX($C108:$AJ118,10,MATCH(IF('Data-solution'!$A$3="Maximize",MAX($C119:$AI119),MIN($C119:$AI119)),$C119:$AI119,0)),L117-INDEX($C108:$AJ118,10,MATCH(IF('Data-solution'!$A$3="Maximize",MAX($C119:$AI119),MIN($C119:$AI119)),$C119:$AI119,0))*INDEX(L108:$AJ118,MATCH(MIN($AK108:$AK118),$AK108:$AK118,0),1)/INDEX($C108:$AJ118,MATCH(MIN($AK108:$AK118),$AK108:$AK118,0),MATCH(IF('Data-solution'!$A$3="Maximize",MAX($C119:$AI119),MIN($C119:$AI119)),$C119:$AI119,0))),L117)</f>
        <v>0</v>
      </c>
      <c r="M132" s="1">
        <f>IF(OR($B123&lt;&gt;$B108,$B124&lt;&gt;$B109,$B125&lt;&gt;$B110,$B126&lt;&gt;$B111,$B127&lt;&gt;$B112,$B128&lt;&gt;$B113,$B129&lt;&gt;$B114,$B130&lt;&gt;$B115,$B131&lt;&gt;$B116,$B132&lt;&gt;$B117,$B133&lt;&gt;$B118),IF($B132&lt;&gt;$B117,M117/INDEX($C108:$AJ118,10,MATCH(IF('Data-solution'!$A$3="Maximize",MAX($C119:$AI119),MIN($C119:$AI119)),$C119:$AI119,0)),M117-INDEX($C108:$AJ118,10,MATCH(IF('Data-solution'!$A$3="Maximize",MAX($C119:$AI119),MIN($C119:$AI119)),$C119:$AI119,0))*INDEX(M108:$AJ118,MATCH(MIN($AK108:$AK118),$AK108:$AK118,0),1)/INDEX($C108:$AJ118,MATCH(MIN($AK108:$AK118),$AK108:$AK118,0),MATCH(IF('Data-solution'!$A$3="Maximize",MAX($C119:$AI119),MIN($C119:$AI119)),$C119:$AI119,0))),M117)</f>
        <v>0</v>
      </c>
      <c r="N132" s="1">
        <f>IF(OR($B123&lt;&gt;$B108,$B124&lt;&gt;$B109,$B125&lt;&gt;$B110,$B126&lt;&gt;$B111,$B127&lt;&gt;$B112,$B128&lt;&gt;$B113,$B129&lt;&gt;$B114,$B130&lt;&gt;$B115,$B131&lt;&gt;$B116,$B132&lt;&gt;$B117,$B133&lt;&gt;$B118),IF($B132&lt;&gt;$B117,N117/INDEX($C108:$AJ118,10,MATCH(IF('Data-solution'!$A$3="Maximize",MAX($C119:$AI119),MIN($C119:$AI119)),$C119:$AI119,0)),N117-INDEX($C108:$AJ118,10,MATCH(IF('Data-solution'!$A$3="Maximize",MAX($C119:$AI119),MIN($C119:$AI119)),$C119:$AI119,0))*INDEX(N108:$AJ118,MATCH(MIN($AK108:$AK118),$AK108:$AK118,0),1)/INDEX($C108:$AJ118,MATCH(MIN($AK108:$AK118),$AK108:$AK118,0),MATCH(IF('Data-solution'!$A$3="Maximize",MAX($C119:$AI119),MIN($C119:$AI119)),$C119:$AI119,0))),N117)</f>
        <v>0</v>
      </c>
      <c r="O132" s="1">
        <f>IF(OR($B123&lt;&gt;$B108,$B124&lt;&gt;$B109,$B125&lt;&gt;$B110,$B126&lt;&gt;$B111,$B127&lt;&gt;$B112,$B128&lt;&gt;$B113,$B129&lt;&gt;$B114,$B130&lt;&gt;$B115,$B131&lt;&gt;$B116,$B132&lt;&gt;$B117,$B133&lt;&gt;$B118),IF($B132&lt;&gt;$B117,O117/INDEX($C108:$AJ118,10,MATCH(IF('Data-solution'!$A$3="Maximize",MAX($C119:$AI119),MIN($C119:$AI119)),$C119:$AI119,0)),O117-INDEX($C108:$AJ118,10,MATCH(IF('Data-solution'!$A$3="Maximize",MAX($C119:$AI119),MIN($C119:$AI119)),$C119:$AI119,0))*INDEX(O108:$AJ118,MATCH(MIN($AK108:$AK118),$AK108:$AK118,0),1)/INDEX($C108:$AJ118,MATCH(MIN($AK108:$AK118),$AK108:$AK118,0),MATCH(IF('Data-solution'!$A$3="Maximize",MAX($C119:$AI119),MIN($C119:$AI119)),$C119:$AI119,0))),O117)</f>
        <v>0</v>
      </c>
      <c r="P132" s="1">
        <f>IF(OR($B123&lt;&gt;$B108,$B124&lt;&gt;$B109,$B125&lt;&gt;$B110,$B126&lt;&gt;$B111,$B127&lt;&gt;$B112,$B128&lt;&gt;$B113,$B129&lt;&gt;$B114,$B130&lt;&gt;$B115,$B131&lt;&gt;$B116,$B132&lt;&gt;$B117,$B133&lt;&gt;$B118),IF($B132&lt;&gt;$B117,P117/INDEX($C108:$AJ118,10,MATCH(IF('Data-solution'!$A$3="Maximize",MAX($C119:$AI119),MIN($C119:$AI119)),$C119:$AI119,0)),P117-INDEX($C108:$AJ118,10,MATCH(IF('Data-solution'!$A$3="Maximize",MAX($C119:$AI119),MIN($C119:$AI119)),$C119:$AI119,0))*INDEX(P108:$AJ118,MATCH(MIN($AK108:$AK118),$AK108:$AK118,0),1)/INDEX($C108:$AJ118,MATCH(MIN($AK108:$AK118),$AK108:$AK118,0),MATCH(IF('Data-solution'!$A$3="Maximize",MAX($C119:$AI119),MIN($C119:$AI119)),$C119:$AI119,0))),P117)</f>
        <v>0</v>
      </c>
      <c r="Q132" s="1">
        <f>IF(OR($B123&lt;&gt;$B108,$B124&lt;&gt;$B109,$B125&lt;&gt;$B110,$B126&lt;&gt;$B111,$B127&lt;&gt;$B112,$B128&lt;&gt;$B113,$B129&lt;&gt;$B114,$B130&lt;&gt;$B115,$B131&lt;&gt;$B116,$B132&lt;&gt;$B117,$B133&lt;&gt;$B118),IF($B132&lt;&gt;$B117,Q117/INDEX($C108:$AJ118,10,MATCH(IF('Data-solution'!$A$3="Maximize",MAX($C119:$AI119),MIN($C119:$AI119)),$C119:$AI119,0)),Q117-INDEX($C108:$AJ118,10,MATCH(IF('Data-solution'!$A$3="Maximize",MAX($C119:$AI119),MIN($C119:$AI119)),$C119:$AI119,0))*INDEX(Q108:$AJ118,MATCH(MIN($AK108:$AK118),$AK108:$AK118,0),1)/INDEX($C108:$AJ118,MATCH(MIN($AK108:$AK118),$AK108:$AK118,0),MATCH(IF('Data-solution'!$A$3="Maximize",MAX($C119:$AI119),MIN($C119:$AI119)),$C119:$AI119,0))),Q117)</f>
        <v>0</v>
      </c>
      <c r="R132" s="1">
        <f>IF(OR($B123&lt;&gt;$B108,$B124&lt;&gt;$B109,$B125&lt;&gt;$B110,$B126&lt;&gt;$B111,$B127&lt;&gt;$B112,$B128&lt;&gt;$B113,$B129&lt;&gt;$B114,$B130&lt;&gt;$B115,$B131&lt;&gt;$B116,$B132&lt;&gt;$B117,$B133&lt;&gt;$B118),IF($B132&lt;&gt;$B117,R117/INDEX($C108:$AJ118,10,MATCH(IF('Data-solution'!$A$3="Maximize",MAX($C119:$AI119),MIN($C119:$AI119)),$C119:$AI119,0)),R117-INDEX($C108:$AJ118,10,MATCH(IF('Data-solution'!$A$3="Maximize",MAX($C119:$AI119),MIN($C119:$AI119)),$C119:$AI119,0))*INDEX(R108:$AJ118,MATCH(MIN($AK108:$AK118),$AK108:$AK118,0),1)/INDEX($C108:$AJ118,MATCH(MIN($AK108:$AK118),$AK108:$AK118,0),MATCH(IF('Data-solution'!$A$3="Maximize",MAX($C119:$AI119),MIN($C119:$AI119)),$C119:$AI119,0))),R117)</f>
        <v>0</v>
      </c>
      <c r="S132" s="1">
        <f>IF(OR($B123&lt;&gt;$B108,$B124&lt;&gt;$B109,$B125&lt;&gt;$B110,$B126&lt;&gt;$B111,$B127&lt;&gt;$B112,$B128&lt;&gt;$B113,$B129&lt;&gt;$B114,$B130&lt;&gt;$B115,$B131&lt;&gt;$B116,$B132&lt;&gt;$B117,$B133&lt;&gt;$B118),IF($B132&lt;&gt;$B117,S117/INDEX($C108:$AJ118,10,MATCH(IF('Data-solution'!$A$3="Maximize",MAX($C119:$AI119),MIN($C119:$AI119)),$C119:$AI119,0)),S117-INDEX($C108:$AJ118,10,MATCH(IF('Data-solution'!$A$3="Maximize",MAX($C119:$AI119),MIN($C119:$AI119)),$C119:$AI119,0))*INDEX(S108:$AJ118,MATCH(MIN($AK108:$AK118),$AK108:$AK118,0),1)/INDEX($C108:$AJ118,MATCH(MIN($AK108:$AK118),$AK108:$AK118,0),MATCH(IF('Data-solution'!$A$3="Maximize",MAX($C119:$AI119),MIN($C119:$AI119)),$C119:$AI119,0))),S117)</f>
        <v>0</v>
      </c>
      <c r="T132" s="1">
        <f>IF(OR($B123&lt;&gt;$B108,$B124&lt;&gt;$B109,$B125&lt;&gt;$B110,$B126&lt;&gt;$B111,$B127&lt;&gt;$B112,$B128&lt;&gt;$B113,$B129&lt;&gt;$B114,$B130&lt;&gt;$B115,$B131&lt;&gt;$B116,$B132&lt;&gt;$B117,$B133&lt;&gt;$B118),IF($B132&lt;&gt;$B117,T117/INDEX($C108:$AJ118,10,MATCH(IF('Data-solution'!$A$3="Maximize",MAX($C119:$AI119),MIN($C119:$AI119)),$C119:$AI119,0)),T117-INDEX($C108:$AJ118,10,MATCH(IF('Data-solution'!$A$3="Maximize",MAX($C119:$AI119),MIN($C119:$AI119)),$C119:$AI119,0))*INDEX(T108:$AJ118,MATCH(MIN($AK108:$AK118),$AK108:$AK118,0),1)/INDEX($C108:$AJ118,MATCH(MIN($AK108:$AK118),$AK108:$AK118,0),MATCH(IF('Data-solution'!$A$3="Maximize",MAX($C119:$AI119),MIN($C119:$AI119)),$C119:$AI119,0))),T117)</f>
        <v>0</v>
      </c>
      <c r="U132" s="1">
        <f>IF(OR($B123&lt;&gt;$B108,$B124&lt;&gt;$B109,$B125&lt;&gt;$B110,$B126&lt;&gt;$B111,$B127&lt;&gt;$B112,$B128&lt;&gt;$B113,$B129&lt;&gt;$B114,$B130&lt;&gt;$B115,$B131&lt;&gt;$B116,$B132&lt;&gt;$B117,$B133&lt;&gt;$B118),IF($B132&lt;&gt;$B117,U117/INDEX($C108:$AJ118,10,MATCH(IF('Data-solution'!$A$3="Maximize",MAX($C119:$AI119),MIN($C119:$AI119)),$C119:$AI119,0)),U117-INDEX($C108:$AJ118,10,MATCH(IF('Data-solution'!$A$3="Maximize",MAX($C119:$AI119),MIN($C119:$AI119)),$C119:$AI119,0))*INDEX(U108:$AJ118,MATCH(MIN($AK108:$AK118),$AK108:$AK118,0),1)/INDEX($C108:$AJ118,MATCH(MIN($AK108:$AK118),$AK108:$AK118,0),MATCH(IF('Data-solution'!$A$3="Maximize",MAX($C119:$AI119),MIN($C119:$AI119)),$C119:$AI119,0))),U117)</f>
        <v>0</v>
      </c>
      <c r="V132" s="1">
        <f>IF(OR($B123&lt;&gt;$B108,$B124&lt;&gt;$B109,$B125&lt;&gt;$B110,$B126&lt;&gt;$B111,$B127&lt;&gt;$B112,$B128&lt;&gt;$B113,$B129&lt;&gt;$B114,$B130&lt;&gt;$B115,$B131&lt;&gt;$B116,$B132&lt;&gt;$B117,$B133&lt;&gt;$B118),IF($B132&lt;&gt;$B117,V117/INDEX($C108:$AJ118,10,MATCH(IF('Data-solution'!$A$3="Maximize",MAX($C119:$AI119),MIN($C119:$AI119)),$C119:$AI119,0)),V117-INDEX($C108:$AJ118,10,MATCH(IF('Data-solution'!$A$3="Maximize",MAX($C119:$AI119),MIN($C119:$AI119)),$C119:$AI119,0))*INDEX(V108:$AJ118,MATCH(MIN($AK108:$AK118),$AK108:$AK118,0),1)/INDEX($C108:$AJ118,MATCH(MIN($AK108:$AK118),$AK108:$AK118,0),MATCH(IF('Data-solution'!$A$3="Maximize",MAX($C119:$AI119),MIN($C119:$AI119)),$C119:$AI119,0))),V117)</f>
        <v>0</v>
      </c>
      <c r="W132" s="1">
        <f>IF(OR($B123&lt;&gt;$B108,$B124&lt;&gt;$B109,$B125&lt;&gt;$B110,$B126&lt;&gt;$B111,$B127&lt;&gt;$B112,$B128&lt;&gt;$B113,$B129&lt;&gt;$B114,$B130&lt;&gt;$B115,$B131&lt;&gt;$B116,$B132&lt;&gt;$B117,$B133&lt;&gt;$B118),IF($B132&lt;&gt;$B117,W117/INDEX($C108:$AJ118,10,MATCH(IF('Data-solution'!$A$3="Maximize",MAX($C119:$AI119),MIN($C119:$AI119)),$C119:$AI119,0)),W117-INDEX($C108:$AJ118,10,MATCH(IF('Data-solution'!$A$3="Maximize",MAX($C119:$AI119),MIN($C119:$AI119)),$C119:$AI119,0))*INDEX(W108:$AJ118,MATCH(MIN($AK108:$AK118),$AK108:$AK118,0),1)/INDEX($C108:$AJ118,MATCH(MIN($AK108:$AK118),$AK108:$AK118,0),MATCH(IF('Data-solution'!$A$3="Maximize",MAX($C119:$AI119),MIN($C119:$AI119)),$C119:$AI119,0))),W117)</f>
        <v>1</v>
      </c>
      <c r="X132" s="1">
        <f>IF(OR($B123&lt;&gt;$B108,$B124&lt;&gt;$B109,$B125&lt;&gt;$B110,$B126&lt;&gt;$B111,$B127&lt;&gt;$B112,$B128&lt;&gt;$B113,$B129&lt;&gt;$B114,$B130&lt;&gt;$B115,$B131&lt;&gt;$B116,$B132&lt;&gt;$B117,$B133&lt;&gt;$B118),IF($B132&lt;&gt;$B117,X117/INDEX($C108:$AJ118,10,MATCH(IF('Data-solution'!$A$3="Maximize",MAX($C119:$AI119),MIN($C119:$AI119)),$C119:$AI119,0)),X117-INDEX($C108:$AJ118,10,MATCH(IF('Data-solution'!$A$3="Maximize",MAX($C119:$AI119),MIN($C119:$AI119)),$C119:$AI119,0))*INDEX(X108:$AJ118,MATCH(MIN($AK108:$AK118),$AK108:$AK118,0),1)/INDEX($C108:$AJ118,MATCH(MIN($AK108:$AK118),$AK108:$AK118,0),MATCH(IF('Data-solution'!$A$3="Maximize",MAX($C119:$AI119),MIN($C119:$AI119)),$C119:$AI119,0))),X117)</f>
        <v>0</v>
      </c>
      <c r="Y132" s="1">
        <f>IF(OR($B123&lt;&gt;$B108,$B124&lt;&gt;$B109,$B125&lt;&gt;$B110,$B126&lt;&gt;$B111,$B127&lt;&gt;$B112,$B128&lt;&gt;$B113,$B129&lt;&gt;$B114,$B130&lt;&gt;$B115,$B131&lt;&gt;$B116,$B132&lt;&gt;$B117,$B133&lt;&gt;$B118),IF($B132&lt;&gt;$B117,Y117/INDEX($C108:$AJ118,10,MATCH(IF('Data-solution'!$A$3="Maximize",MAX($C119:$AI119),MIN($C119:$AI119)),$C119:$AI119,0)),Y117-INDEX($C108:$AJ118,10,MATCH(IF('Data-solution'!$A$3="Maximize",MAX($C119:$AI119),MIN($C119:$AI119)),$C119:$AI119,0))*INDEX(Y108:$AJ118,MATCH(MIN($AK108:$AK118),$AK108:$AK118,0),1)/INDEX($C108:$AJ118,MATCH(MIN($AK108:$AK118),$AK108:$AK118,0),MATCH(IF('Data-solution'!$A$3="Maximize",MAX($C119:$AI119),MIN($C119:$AI119)),$C119:$AI119,0))),Y117)</f>
        <v>0</v>
      </c>
      <c r="Z132" s="1">
        <f>IF(OR($B123&lt;&gt;$B108,$B124&lt;&gt;$B109,$B125&lt;&gt;$B110,$B126&lt;&gt;$B111,$B127&lt;&gt;$B112,$B128&lt;&gt;$B113,$B129&lt;&gt;$B114,$B130&lt;&gt;$B115,$B131&lt;&gt;$B116,$B132&lt;&gt;$B117,$B133&lt;&gt;$B118),IF($B132&lt;&gt;$B117,Z117/INDEX($C108:$AJ118,10,MATCH(IF('Data-solution'!$A$3="Maximize",MAX($C119:$AI119),MIN($C119:$AI119)),$C119:$AI119,0)),Z117-INDEX($C108:$AJ118,10,MATCH(IF('Data-solution'!$A$3="Maximize",MAX($C119:$AI119),MIN($C119:$AI119)),$C119:$AI119,0))*INDEX(Z108:$AJ118,MATCH(MIN($AK108:$AK118),$AK108:$AK118,0),1)/INDEX($C108:$AJ118,MATCH(MIN($AK108:$AK118),$AK108:$AK118,0),MATCH(IF('Data-solution'!$A$3="Maximize",MAX($C119:$AI119),MIN($C119:$AI119)),$C119:$AI119,0))),Z117)</f>
        <v>0</v>
      </c>
      <c r="AA132" s="1">
        <f>IF(OR($B123&lt;&gt;$B108,$B124&lt;&gt;$B109,$B125&lt;&gt;$B110,$B126&lt;&gt;$B111,$B127&lt;&gt;$B112,$B128&lt;&gt;$B113,$B129&lt;&gt;$B114,$B130&lt;&gt;$B115,$B131&lt;&gt;$B116,$B132&lt;&gt;$B117,$B133&lt;&gt;$B118),IF($B132&lt;&gt;$B117,AA117/INDEX($C108:$AJ118,10,MATCH(IF('Data-solution'!$A$3="Maximize",MAX($C119:$AI119),MIN($C119:$AI119)),$C119:$AI119,0)),AA117-INDEX($C108:$AJ118,10,MATCH(IF('Data-solution'!$A$3="Maximize",MAX($C119:$AI119),MIN($C119:$AI119)),$C119:$AI119,0))*INDEX(AA108:$AJ118,MATCH(MIN($AK108:$AK118),$AK108:$AK118,0),1)/INDEX($C108:$AJ118,MATCH(MIN($AK108:$AK118),$AK108:$AK118,0),MATCH(IF('Data-solution'!$A$3="Maximize",MAX($C119:$AI119),MIN($C119:$AI119)),$C119:$AI119,0))),AA117)</f>
        <v>0</v>
      </c>
      <c r="AB132" s="1">
        <f>IF(OR($B123&lt;&gt;$B108,$B124&lt;&gt;$B109,$B125&lt;&gt;$B110,$B126&lt;&gt;$B111,$B127&lt;&gt;$B112,$B128&lt;&gt;$B113,$B129&lt;&gt;$B114,$B130&lt;&gt;$B115,$B131&lt;&gt;$B116,$B132&lt;&gt;$B117,$B133&lt;&gt;$B118),IF($B132&lt;&gt;$B117,AB117/INDEX($C108:$AJ118,10,MATCH(IF('Data-solution'!$A$3="Maximize",MAX($C119:$AI119),MIN($C119:$AI119)),$C119:$AI119,0)),AB117-INDEX($C108:$AJ118,10,MATCH(IF('Data-solution'!$A$3="Maximize",MAX($C119:$AI119),MIN($C119:$AI119)),$C119:$AI119,0))*INDEX(AB108:$AJ118,MATCH(MIN($AK108:$AK118),$AK108:$AK118,0),1)/INDEX($C108:$AJ118,MATCH(MIN($AK108:$AK118),$AK108:$AK118,0),MATCH(IF('Data-solution'!$A$3="Maximize",MAX($C119:$AI119),MIN($C119:$AI119)),$C119:$AI119,0))),AB117)</f>
        <v>0</v>
      </c>
      <c r="AC132" s="1">
        <f>IF(OR($B123&lt;&gt;$B108,$B124&lt;&gt;$B109,$B125&lt;&gt;$B110,$B126&lt;&gt;$B111,$B127&lt;&gt;$B112,$B128&lt;&gt;$B113,$B129&lt;&gt;$B114,$B130&lt;&gt;$B115,$B131&lt;&gt;$B116,$B132&lt;&gt;$B117,$B133&lt;&gt;$B118),IF($B132&lt;&gt;$B117,AC117/INDEX($C108:$AJ118,10,MATCH(IF('Data-solution'!$A$3="Maximize",MAX($C119:$AI119),MIN($C119:$AI119)),$C119:$AI119,0)),AC117-INDEX($C108:$AJ118,10,MATCH(IF('Data-solution'!$A$3="Maximize",MAX($C119:$AI119),MIN($C119:$AI119)),$C119:$AI119,0))*INDEX(AC108:$AJ118,MATCH(MIN($AK108:$AK118),$AK108:$AK118,0),1)/INDEX($C108:$AJ118,MATCH(MIN($AK108:$AK118),$AK108:$AK118,0),MATCH(IF('Data-solution'!$A$3="Maximize",MAX($C119:$AI119),MIN($C119:$AI119)),$C119:$AI119,0))),AC117)</f>
        <v>0</v>
      </c>
      <c r="AD132" s="1">
        <f>IF(OR($B123&lt;&gt;$B108,$B124&lt;&gt;$B109,$B125&lt;&gt;$B110,$B126&lt;&gt;$B111,$B127&lt;&gt;$B112,$B128&lt;&gt;$B113,$B129&lt;&gt;$B114,$B130&lt;&gt;$B115,$B131&lt;&gt;$B116,$B132&lt;&gt;$B117,$B133&lt;&gt;$B118),IF($B132&lt;&gt;$B117,AD117/INDEX($C108:$AJ118,10,MATCH(IF('Data-solution'!$A$3="Maximize",MAX($C119:$AI119),MIN($C119:$AI119)),$C119:$AI119,0)),AD117-INDEX($C108:$AJ118,10,MATCH(IF('Data-solution'!$A$3="Maximize",MAX($C119:$AI119),MIN($C119:$AI119)),$C119:$AI119,0))*INDEX(AD108:$AJ118,MATCH(MIN($AK108:$AK118),$AK108:$AK118,0),1)/INDEX($C108:$AJ118,MATCH(MIN($AK108:$AK118),$AK108:$AK118,0),MATCH(IF('Data-solution'!$A$3="Maximize",MAX($C119:$AI119),MIN($C119:$AI119)),$C119:$AI119,0))),AD117)</f>
        <v>0</v>
      </c>
      <c r="AE132" s="1">
        <f>IF(OR($B123&lt;&gt;$B108,$B124&lt;&gt;$B109,$B125&lt;&gt;$B110,$B126&lt;&gt;$B111,$B127&lt;&gt;$B112,$B128&lt;&gt;$B113,$B129&lt;&gt;$B114,$B130&lt;&gt;$B115,$B131&lt;&gt;$B116,$B132&lt;&gt;$B117,$B133&lt;&gt;$B118),IF($B132&lt;&gt;$B117,AE117/INDEX($C108:$AJ118,10,MATCH(IF('Data-solution'!$A$3="Maximize",MAX($C119:$AI119),MIN($C119:$AI119)),$C119:$AI119,0)),AE117-INDEX($C108:$AJ118,10,MATCH(IF('Data-solution'!$A$3="Maximize",MAX($C119:$AI119),MIN($C119:$AI119)),$C119:$AI119,0))*INDEX(AE108:$AJ118,MATCH(MIN($AK108:$AK118),$AK108:$AK118,0),1)/INDEX($C108:$AJ118,MATCH(MIN($AK108:$AK118),$AK108:$AK118,0),MATCH(IF('Data-solution'!$A$3="Maximize",MAX($C119:$AI119),MIN($C119:$AI119)),$C119:$AI119,0))),AE117)</f>
        <v>0</v>
      </c>
      <c r="AF132" s="1">
        <f>IF(OR($B123&lt;&gt;$B108,$B124&lt;&gt;$B109,$B125&lt;&gt;$B110,$B126&lt;&gt;$B111,$B127&lt;&gt;$B112,$B128&lt;&gt;$B113,$B129&lt;&gt;$B114,$B130&lt;&gt;$B115,$B131&lt;&gt;$B116,$B132&lt;&gt;$B117,$B133&lt;&gt;$B118),IF($B132&lt;&gt;$B117,AF117/INDEX($C108:$AJ118,10,MATCH(IF('Data-solution'!$A$3="Maximize",MAX($C119:$AI119),MIN($C119:$AI119)),$C119:$AI119,0)),AF117-INDEX($C108:$AJ118,10,MATCH(IF('Data-solution'!$A$3="Maximize",MAX($C119:$AI119),MIN($C119:$AI119)),$C119:$AI119,0))*INDEX(AF108:$AJ118,MATCH(MIN($AK108:$AK118),$AK108:$AK118,0),1)/INDEX($C108:$AJ118,MATCH(MIN($AK108:$AK118),$AK108:$AK118,0),MATCH(IF('Data-solution'!$A$3="Maximize",MAX($C119:$AI119),MIN($C119:$AI119)),$C119:$AI119,0))),AF117)</f>
        <v>0</v>
      </c>
      <c r="AG132" s="1">
        <f>IF(OR($B123&lt;&gt;$B108,$B124&lt;&gt;$B109,$B125&lt;&gt;$B110,$B126&lt;&gt;$B111,$B127&lt;&gt;$B112,$B128&lt;&gt;$B113,$B129&lt;&gt;$B114,$B130&lt;&gt;$B115,$B131&lt;&gt;$B116,$B132&lt;&gt;$B117,$B133&lt;&gt;$B118),IF($B132&lt;&gt;$B117,AG117/INDEX($C108:$AJ118,10,MATCH(IF('Data-solution'!$A$3="Maximize",MAX($C119:$AI119),MIN($C119:$AI119)),$C119:$AI119,0)),AG117-INDEX($C108:$AJ118,10,MATCH(IF('Data-solution'!$A$3="Maximize",MAX($C119:$AI119),MIN($C119:$AI119)),$C119:$AI119,0))*INDEX(AG108:$AJ118,MATCH(MIN($AK108:$AK118),$AK108:$AK118,0),1)/INDEX($C108:$AJ118,MATCH(MIN($AK108:$AK118),$AK108:$AK118,0),MATCH(IF('Data-solution'!$A$3="Maximize",MAX($C119:$AI119),MIN($C119:$AI119)),$C119:$AI119,0))),AG117)</f>
        <v>0</v>
      </c>
      <c r="AH132" s="1">
        <f>IF(OR($B123&lt;&gt;$B108,$B124&lt;&gt;$B109,$B125&lt;&gt;$B110,$B126&lt;&gt;$B111,$B127&lt;&gt;$B112,$B128&lt;&gt;$B113,$B129&lt;&gt;$B114,$B130&lt;&gt;$B115,$B131&lt;&gt;$B116,$B132&lt;&gt;$B117,$B133&lt;&gt;$B118),IF($B132&lt;&gt;$B117,AH117/INDEX($C108:$AJ118,10,MATCH(IF('Data-solution'!$A$3="Maximize",MAX($C119:$AI119),MIN($C119:$AI119)),$C119:$AI119,0)),AH117-INDEX($C108:$AJ118,10,MATCH(IF('Data-solution'!$A$3="Maximize",MAX($C119:$AI119),MIN($C119:$AI119)),$C119:$AI119,0))*INDEX(AH108:$AJ118,MATCH(MIN($AK108:$AK118),$AK108:$AK118,0),1)/INDEX($C108:$AJ118,MATCH(MIN($AK108:$AK118),$AK108:$AK118,0),MATCH(IF('Data-solution'!$A$3="Maximize",MAX($C119:$AI119),MIN($C119:$AI119)),$C119:$AI119,0))),AH117)</f>
        <v>1</v>
      </c>
      <c r="AI132" s="1">
        <f>IF(OR($B123&lt;&gt;$B108,$B124&lt;&gt;$B109,$B125&lt;&gt;$B110,$B126&lt;&gt;$B111,$B127&lt;&gt;$B112,$B128&lt;&gt;$B113,$B129&lt;&gt;$B114,$B130&lt;&gt;$B115,$B131&lt;&gt;$B116,$B132&lt;&gt;$B117,$B133&lt;&gt;$B118),IF($B132&lt;&gt;$B117,AI117/INDEX($C108:$AJ118,10,MATCH(IF('Data-solution'!$A$3="Maximize",MAX($C119:$AI119),MIN($C119:$AI119)),$C119:$AI119,0)),AI117-INDEX($C108:$AJ118,10,MATCH(IF('Data-solution'!$A$3="Maximize",MAX($C119:$AI119),MIN($C119:$AI119)),$C119:$AI119,0))*INDEX(AI108:$AJ118,MATCH(MIN($AK108:$AK118),$AK108:$AK118,0),1)/INDEX($C108:$AJ118,MATCH(MIN($AK108:$AK118),$AK108:$AK118,0),MATCH(IF('Data-solution'!$A$3="Maximize",MAX($C119:$AI119),MIN($C119:$AI119)),$C119:$AI119,0))),AI117)</f>
        <v>0</v>
      </c>
      <c r="AJ132" s="1">
        <f>IF(OR($B123&lt;&gt;$B108,$B124&lt;&gt;$B109,$B125&lt;&gt;$B110,$B126&lt;&gt;$B111,$B127&lt;&gt;$B112,$B128&lt;&gt;$B113,$B129&lt;&gt;$B114,$B130&lt;&gt;$B115,$B131&lt;&gt;$B116,$B132&lt;&gt;$B117,$B133&lt;&gt;$B118),IF($B132&lt;&gt;$B117,AJ117/INDEX($C108:$AJ118,10,MATCH(IF('Data-solution'!$A$3="Maximize",MAX($C119:$AI119),MIN($C119:$AI119)),$C119:$AI119,0)),AJ117-INDEX($C108:$AJ118,10,MATCH(IF('Data-solution'!$A$3="Maximize",MAX($C119:$AI119),MIN($C119:$AI119)),$C119:$AI119,0))*INDEX(AJ108:$AJ118,MATCH(MIN($AK108:$AK118),$AK108:$AK118,0),1)/INDEX($C108:$AJ118,MATCH(MIN($AK108:$AK118),$AK108:$AK118,0),MATCH(IF('Data-solution'!$A$3="Maximize",MAX($C119:$AI119),MIN($C119:$AI119)),$C119:$AI119,0))),AJ117)</f>
        <v>0</v>
      </c>
      <c r="AK132" s="1" t="str">
        <f>IF(INDEX(C132:X132,1,MATCH(IF('Data-solution'!A$3="Maximize",MAX(C134:X134),MIN(C134:X134)),C134:X134,0))&gt;0,AJ132/INDEX(C132:X132,1,MATCH(IF('Data-solution'!A$3="Maximize",MAX(C134:X134),MIN(C134:X134)),C134:X134,0))," ")</f>
        <v xml:space="preserve"> </v>
      </c>
    </row>
    <row r="133" spans="1:37" ht="18" customHeight="1" x14ac:dyDescent="0.2">
      <c r="A133" s="1">
        <f t="shared" ref="A133" si="106">INDEX(C121:AI121,1,MATCH(B133,C122:AI122,0))</f>
        <v>0</v>
      </c>
      <c r="B133" s="2" t="str">
        <f>IF(AND('Data-solution'!A$3="Maximize",COUNTIF(C119:X119,"&gt;"&amp;0)&gt;0,AK118=MIN(AK108:AK118),COUNTIF(B123:B132,INDEX(C107:X107,1,MATCH(MAX(C119:X119),C119:X119,0)))=0),INDEX(C107:X107,1,MATCH(MAX(C119:X119),C119:X119,0)),IF(AND('Data-solution'!A$3="Minimize",COUNTIF(C119:X119,"&lt;"&amp;0)&gt;0,AK118=MIN(AK108:AK118),COUNTIF(B123:B132,INDEX(C107:X107,1,MATCH(MIN(C119:X119),C119:X119,0)))=0),INDEX(C107:X107,1,MATCH(MIN(C119:X119),C119:X119,0)),B118))</f>
        <v>S11</v>
      </c>
      <c r="C133" s="1">
        <f>IF(OR($B123&lt;&gt;$B108,$B124&lt;&gt;$B109,$B125&lt;&gt;$B110,$B126&lt;&gt;$B111,$B127&lt;&gt;$B112,$B128&lt;&gt;$B113,$B129&lt;&gt;$B114,$B130&lt;&gt;$B115,$B131&lt;&gt;$B116,$B132&lt;&gt;$B117,$B133&lt;&gt;$B118),IF($B133&lt;&gt;$B118,C118/INDEX($C108:$AJ118,11,MATCH(IF('Data-solution'!$A$3="Maximize",MAX($C119:$AI119),MIN($C119:$AI119)),$C119:$AI119,0)),C118-INDEX($C108:$AJ118,11,MATCH(IF('Data-solution'!$A$3="Maximize",MAX($C119:$AI119),MIN($C119:$AI119)),$C119:$AI119,0))*INDEX(C108:$AJ118,MATCH(MIN($AK108:$AK118),$AK108:$AK118,0),1)/INDEX($C108:$AJ118,MATCH(MIN($AK108:$AK118),$AK108:$AK118,0),MATCH(IF('Data-solution'!$A$3="Maximize",MAX($C119:$AI119),MIN($C119:$AI119)),$C119:$AI119,0))),C118)</f>
        <v>0</v>
      </c>
      <c r="D133" s="1">
        <f>IF(OR($B123&lt;&gt;$B108,$B124&lt;&gt;$B109,$B125&lt;&gt;$B110,$B126&lt;&gt;$B111,$B127&lt;&gt;$B112,$B128&lt;&gt;$B113,$B129&lt;&gt;$B114,$B130&lt;&gt;$B115,$B131&lt;&gt;$B116,$B132&lt;&gt;$B117,$B133&lt;&gt;$B118),IF($B133&lt;&gt;$B118,D118/INDEX($C108:$AJ118,11,MATCH(IF('Data-solution'!$A$3="Maximize",MAX($C119:$AI119),MIN($C119:$AI119)),$C119:$AI119,0)),D118-INDEX($C108:$AJ118,11,MATCH(IF('Data-solution'!$A$3="Maximize",MAX($C119:$AI119),MIN($C119:$AI119)),$C119:$AI119,0))*INDEX(D108:$AJ118,MATCH(MIN($AK108:$AK118),$AK108:$AK118,0),1)/INDEX($C108:$AJ118,MATCH(MIN($AK108:$AK118),$AK108:$AK118,0),MATCH(IF('Data-solution'!$A$3="Maximize",MAX($C119:$AI119),MIN($C119:$AI119)),$C119:$AI119,0))),D118)</f>
        <v>0</v>
      </c>
      <c r="E133" s="1">
        <f>IF(OR($B123&lt;&gt;$B108,$B124&lt;&gt;$B109,$B125&lt;&gt;$B110,$B126&lt;&gt;$B111,$B127&lt;&gt;$B112,$B128&lt;&gt;$B113,$B129&lt;&gt;$B114,$B130&lt;&gt;$B115,$B131&lt;&gt;$B116,$B132&lt;&gt;$B117,$B133&lt;&gt;$B118),IF($B133&lt;&gt;$B118,E118/INDEX($C108:$AJ118,11,MATCH(IF('Data-solution'!$A$3="Maximize",MAX($C119:$AI119),MIN($C119:$AI119)),$C119:$AI119,0)),E118-INDEX($C108:$AJ118,11,MATCH(IF('Data-solution'!$A$3="Maximize",MAX($C119:$AI119),MIN($C119:$AI119)),$C119:$AI119,0))*INDEX(E108:$AJ118,MATCH(MIN($AK108:$AK118),$AK108:$AK118,0),1)/INDEX($C108:$AJ118,MATCH(MIN($AK108:$AK118),$AK108:$AK118,0),MATCH(IF('Data-solution'!$A$3="Maximize",MAX($C119:$AI119),MIN($C119:$AI119)),$C119:$AI119,0))),E118)</f>
        <v>0</v>
      </c>
      <c r="F133" s="1">
        <f>IF(OR($B123&lt;&gt;$B108,$B124&lt;&gt;$B109,$B125&lt;&gt;$B110,$B126&lt;&gt;$B111,$B127&lt;&gt;$B112,$B128&lt;&gt;$B113,$B129&lt;&gt;$B114,$B130&lt;&gt;$B115,$B131&lt;&gt;$B116,$B132&lt;&gt;$B117,$B133&lt;&gt;$B118),IF($B133&lt;&gt;$B118,F118/INDEX($C108:$AJ118,11,MATCH(IF('Data-solution'!$A$3="Maximize",MAX($C119:$AI119),MIN($C119:$AI119)),$C119:$AI119,0)),F118-INDEX($C108:$AJ118,11,MATCH(IF('Data-solution'!$A$3="Maximize",MAX($C119:$AI119),MIN($C119:$AI119)),$C119:$AI119,0))*INDEX(F108:$AJ118,MATCH(MIN($AK108:$AK118),$AK108:$AK118,0),1)/INDEX($C108:$AJ118,MATCH(MIN($AK108:$AK118),$AK108:$AK118,0),MATCH(IF('Data-solution'!$A$3="Maximize",MAX($C119:$AI119),MIN($C119:$AI119)),$C119:$AI119,0))),F118)</f>
        <v>0</v>
      </c>
      <c r="G133" s="1">
        <f>IF(OR($B123&lt;&gt;$B108,$B124&lt;&gt;$B109,$B125&lt;&gt;$B110,$B126&lt;&gt;$B111,$B127&lt;&gt;$B112,$B128&lt;&gt;$B113,$B129&lt;&gt;$B114,$B130&lt;&gt;$B115,$B131&lt;&gt;$B116,$B132&lt;&gt;$B117,$B133&lt;&gt;$B118),IF($B133&lt;&gt;$B118,G118/INDEX($C108:$AJ118,11,MATCH(IF('Data-solution'!$A$3="Maximize",MAX($C119:$AI119),MIN($C119:$AI119)),$C119:$AI119,0)),G118-INDEX($C108:$AJ118,11,MATCH(IF('Data-solution'!$A$3="Maximize",MAX($C119:$AI119),MIN($C119:$AI119)),$C119:$AI119,0))*INDEX(G108:$AJ118,MATCH(MIN($AK108:$AK118),$AK108:$AK118,0),1)/INDEX($C108:$AJ118,MATCH(MIN($AK108:$AK118),$AK108:$AK118,0),MATCH(IF('Data-solution'!$A$3="Maximize",MAX($C119:$AI119),MIN($C119:$AI119)),$C119:$AI119,0))),G118)</f>
        <v>0</v>
      </c>
      <c r="H133" s="1">
        <f>IF(OR($B123&lt;&gt;$B108,$B124&lt;&gt;$B109,$B125&lt;&gt;$B110,$B126&lt;&gt;$B111,$B127&lt;&gt;$B112,$B128&lt;&gt;$B113,$B129&lt;&gt;$B114,$B130&lt;&gt;$B115,$B131&lt;&gt;$B116,$B132&lt;&gt;$B117,$B133&lt;&gt;$B118),IF($B133&lt;&gt;$B118,H118/INDEX($C108:$AJ118,11,MATCH(IF('Data-solution'!$A$3="Maximize",MAX($C119:$AI119),MIN($C119:$AI119)),$C119:$AI119,0)),H118-INDEX($C108:$AJ118,11,MATCH(IF('Data-solution'!$A$3="Maximize",MAX($C119:$AI119),MIN($C119:$AI119)),$C119:$AI119,0))*INDEX(H108:$AJ118,MATCH(MIN($AK108:$AK118),$AK108:$AK118,0),1)/INDEX($C108:$AJ118,MATCH(MIN($AK108:$AK118),$AK108:$AK118,0),MATCH(IF('Data-solution'!$A$3="Maximize",MAX($C119:$AI119),MIN($C119:$AI119)),$C119:$AI119,0))),H118)</f>
        <v>0</v>
      </c>
      <c r="I133" s="1">
        <f>IF(OR($B123&lt;&gt;$B108,$B124&lt;&gt;$B109,$B125&lt;&gt;$B110,$B126&lt;&gt;$B111,$B127&lt;&gt;$B112,$B128&lt;&gt;$B113,$B129&lt;&gt;$B114,$B130&lt;&gt;$B115,$B131&lt;&gt;$B116,$B132&lt;&gt;$B117,$B133&lt;&gt;$B118),IF($B133&lt;&gt;$B118,I118/INDEX($C108:$AJ118,11,MATCH(IF('Data-solution'!$A$3="Maximize",MAX($C119:$AI119),MIN($C119:$AI119)),$C119:$AI119,0)),I118-INDEX($C108:$AJ118,11,MATCH(IF('Data-solution'!$A$3="Maximize",MAX($C119:$AI119),MIN($C119:$AI119)),$C119:$AI119,0))*INDEX(I108:$AJ118,MATCH(MIN($AK108:$AK118),$AK108:$AK118,0),1)/INDEX($C108:$AJ118,MATCH(MIN($AK108:$AK118),$AK108:$AK118,0),MATCH(IF('Data-solution'!$A$3="Maximize",MAX($C119:$AI119),MIN($C119:$AI119)),$C119:$AI119,0))),I118)</f>
        <v>0</v>
      </c>
      <c r="J133" s="1">
        <f>IF(OR($B123&lt;&gt;$B108,$B124&lt;&gt;$B109,$B125&lt;&gt;$B110,$B126&lt;&gt;$B111,$B127&lt;&gt;$B112,$B128&lt;&gt;$B113,$B129&lt;&gt;$B114,$B130&lt;&gt;$B115,$B131&lt;&gt;$B116,$B132&lt;&gt;$B117,$B133&lt;&gt;$B118),IF($B133&lt;&gt;$B118,J118/INDEX($C108:$AJ118,11,MATCH(IF('Data-solution'!$A$3="Maximize",MAX($C119:$AI119),MIN($C119:$AI119)),$C119:$AI119,0)),J118-INDEX($C108:$AJ118,11,MATCH(IF('Data-solution'!$A$3="Maximize",MAX($C119:$AI119),MIN($C119:$AI119)),$C119:$AI119,0))*INDEX(J108:$AJ118,MATCH(MIN($AK108:$AK118),$AK108:$AK118,0),1)/INDEX($C108:$AJ118,MATCH(MIN($AK108:$AK118),$AK108:$AK118,0),MATCH(IF('Data-solution'!$A$3="Maximize",MAX($C119:$AI119),MIN($C119:$AI119)),$C119:$AI119,0))),J118)</f>
        <v>0</v>
      </c>
      <c r="K133" s="1">
        <f>IF(OR($B123&lt;&gt;$B108,$B124&lt;&gt;$B109,$B125&lt;&gt;$B110,$B126&lt;&gt;$B111,$B127&lt;&gt;$B112,$B128&lt;&gt;$B113,$B129&lt;&gt;$B114,$B130&lt;&gt;$B115,$B131&lt;&gt;$B116,$B132&lt;&gt;$B117,$B133&lt;&gt;$B118),IF($B133&lt;&gt;$B118,K118/INDEX($C108:$AJ118,11,MATCH(IF('Data-solution'!$A$3="Maximize",MAX($C119:$AI119),MIN($C119:$AI119)),$C119:$AI119,0)),K118-INDEX($C108:$AJ118,11,MATCH(IF('Data-solution'!$A$3="Maximize",MAX($C119:$AI119),MIN($C119:$AI119)),$C119:$AI119,0))*INDEX(K108:$AJ118,MATCH(MIN($AK108:$AK118),$AK108:$AK118,0),1)/INDEX($C108:$AJ118,MATCH(MIN($AK108:$AK118),$AK108:$AK118,0),MATCH(IF('Data-solution'!$A$3="Maximize",MAX($C119:$AI119),MIN($C119:$AI119)),$C119:$AI119,0))),K118)</f>
        <v>0</v>
      </c>
      <c r="L133" s="1">
        <f>IF(OR($B123&lt;&gt;$B108,$B124&lt;&gt;$B109,$B125&lt;&gt;$B110,$B126&lt;&gt;$B111,$B127&lt;&gt;$B112,$B128&lt;&gt;$B113,$B129&lt;&gt;$B114,$B130&lt;&gt;$B115,$B131&lt;&gt;$B116,$B132&lt;&gt;$B117,$B133&lt;&gt;$B118),IF($B133&lt;&gt;$B118,L118/INDEX($C108:$AJ118,11,MATCH(IF('Data-solution'!$A$3="Maximize",MAX($C119:$AI119),MIN($C119:$AI119)),$C119:$AI119,0)),L118-INDEX($C108:$AJ118,11,MATCH(IF('Data-solution'!$A$3="Maximize",MAX($C119:$AI119),MIN($C119:$AI119)),$C119:$AI119,0))*INDEX(L108:$AJ118,MATCH(MIN($AK108:$AK118),$AK108:$AK118,0),1)/INDEX($C108:$AJ118,MATCH(MIN($AK108:$AK118),$AK108:$AK118,0),MATCH(IF('Data-solution'!$A$3="Maximize",MAX($C119:$AI119),MIN($C119:$AI119)),$C119:$AI119,0))),L118)</f>
        <v>0</v>
      </c>
      <c r="M133" s="1">
        <f>IF(OR($B123&lt;&gt;$B108,$B124&lt;&gt;$B109,$B125&lt;&gt;$B110,$B126&lt;&gt;$B111,$B127&lt;&gt;$B112,$B128&lt;&gt;$B113,$B129&lt;&gt;$B114,$B130&lt;&gt;$B115,$B131&lt;&gt;$B116,$B132&lt;&gt;$B117,$B133&lt;&gt;$B118),IF($B133&lt;&gt;$B118,M118/INDEX($C108:$AJ118,11,MATCH(IF('Data-solution'!$A$3="Maximize",MAX($C119:$AI119),MIN($C119:$AI119)),$C119:$AI119,0)),M118-INDEX($C108:$AJ118,11,MATCH(IF('Data-solution'!$A$3="Maximize",MAX($C119:$AI119),MIN($C119:$AI119)),$C119:$AI119,0))*INDEX(M108:$AJ118,MATCH(MIN($AK108:$AK118),$AK108:$AK118,0),1)/INDEX($C108:$AJ118,MATCH(MIN($AK108:$AK118),$AK108:$AK118,0),MATCH(IF('Data-solution'!$A$3="Maximize",MAX($C119:$AI119),MIN($C119:$AI119)),$C119:$AI119,0))),M118)</f>
        <v>0</v>
      </c>
      <c r="N133" s="1">
        <f>IF(OR($B123&lt;&gt;$B108,$B124&lt;&gt;$B109,$B125&lt;&gt;$B110,$B126&lt;&gt;$B111,$B127&lt;&gt;$B112,$B128&lt;&gt;$B113,$B129&lt;&gt;$B114,$B130&lt;&gt;$B115,$B131&lt;&gt;$B116,$B132&lt;&gt;$B117,$B133&lt;&gt;$B118),IF($B133&lt;&gt;$B118,N118/INDEX($C108:$AJ118,11,MATCH(IF('Data-solution'!$A$3="Maximize",MAX($C119:$AI119),MIN($C119:$AI119)),$C119:$AI119,0)),N118-INDEX($C108:$AJ118,11,MATCH(IF('Data-solution'!$A$3="Maximize",MAX($C119:$AI119),MIN($C119:$AI119)),$C119:$AI119,0))*INDEX(N108:$AJ118,MATCH(MIN($AK108:$AK118),$AK108:$AK118,0),1)/INDEX($C108:$AJ118,MATCH(MIN($AK108:$AK118),$AK108:$AK118,0),MATCH(IF('Data-solution'!$A$3="Maximize",MAX($C119:$AI119),MIN($C119:$AI119)),$C119:$AI119,0))),N118)</f>
        <v>0</v>
      </c>
      <c r="O133" s="1">
        <f>IF(OR($B123&lt;&gt;$B108,$B124&lt;&gt;$B109,$B125&lt;&gt;$B110,$B126&lt;&gt;$B111,$B127&lt;&gt;$B112,$B128&lt;&gt;$B113,$B129&lt;&gt;$B114,$B130&lt;&gt;$B115,$B131&lt;&gt;$B116,$B132&lt;&gt;$B117,$B133&lt;&gt;$B118),IF($B133&lt;&gt;$B118,O118/INDEX($C108:$AJ118,11,MATCH(IF('Data-solution'!$A$3="Maximize",MAX($C119:$AI119),MIN($C119:$AI119)),$C119:$AI119,0)),O118-INDEX($C108:$AJ118,11,MATCH(IF('Data-solution'!$A$3="Maximize",MAX($C119:$AI119),MIN($C119:$AI119)),$C119:$AI119,0))*INDEX(O108:$AJ118,MATCH(MIN($AK108:$AK118),$AK108:$AK118,0),1)/INDEX($C108:$AJ118,MATCH(MIN($AK108:$AK118),$AK108:$AK118,0),MATCH(IF('Data-solution'!$A$3="Maximize",MAX($C119:$AI119),MIN($C119:$AI119)),$C119:$AI119,0))),O118)</f>
        <v>0</v>
      </c>
      <c r="P133" s="1">
        <f>IF(OR($B123&lt;&gt;$B108,$B124&lt;&gt;$B109,$B125&lt;&gt;$B110,$B126&lt;&gt;$B111,$B127&lt;&gt;$B112,$B128&lt;&gt;$B113,$B129&lt;&gt;$B114,$B130&lt;&gt;$B115,$B131&lt;&gt;$B116,$B132&lt;&gt;$B117,$B133&lt;&gt;$B118),IF($B133&lt;&gt;$B118,P118/INDEX($C108:$AJ118,11,MATCH(IF('Data-solution'!$A$3="Maximize",MAX($C119:$AI119),MIN($C119:$AI119)),$C119:$AI119,0)),P118-INDEX($C108:$AJ118,11,MATCH(IF('Data-solution'!$A$3="Maximize",MAX($C119:$AI119),MIN($C119:$AI119)),$C119:$AI119,0))*INDEX(P108:$AJ118,MATCH(MIN($AK108:$AK118),$AK108:$AK118,0),1)/INDEX($C108:$AJ118,MATCH(MIN($AK108:$AK118),$AK108:$AK118,0),MATCH(IF('Data-solution'!$A$3="Maximize",MAX($C119:$AI119),MIN($C119:$AI119)),$C119:$AI119,0))),P118)</f>
        <v>0</v>
      </c>
      <c r="Q133" s="1">
        <f>IF(OR($B123&lt;&gt;$B108,$B124&lt;&gt;$B109,$B125&lt;&gt;$B110,$B126&lt;&gt;$B111,$B127&lt;&gt;$B112,$B128&lt;&gt;$B113,$B129&lt;&gt;$B114,$B130&lt;&gt;$B115,$B131&lt;&gt;$B116,$B132&lt;&gt;$B117,$B133&lt;&gt;$B118),IF($B133&lt;&gt;$B118,Q118/INDEX($C108:$AJ118,11,MATCH(IF('Data-solution'!$A$3="Maximize",MAX($C119:$AI119),MIN($C119:$AI119)),$C119:$AI119,0)),Q118-INDEX($C108:$AJ118,11,MATCH(IF('Data-solution'!$A$3="Maximize",MAX($C119:$AI119),MIN($C119:$AI119)),$C119:$AI119,0))*INDEX(Q108:$AJ118,MATCH(MIN($AK108:$AK118),$AK108:$AK118,0),1)/INDEX($C108:$AJ118,MATCH(MIN($AK108:$AK118),$AK108:$AK118,0),MATCH(IF('Data-solution'!$A$3="Maximize",MAX($C119:$AI119),MIN($C119:$AI119)),$C119:$AI119,0))),Q118)</f>
        <v>0</v>
      </c>
      <c r="R133" s="1">
        <f>IF(OR($B123&lt;&gt;$B108,$B124&lt;&gt;$B109,$B125&lt;&gt;$B110,$B126&lt;&gt;$B111,$B127&lt;&gt;$B112,$B128&lt;&gt;$B113,$B129&lt;&gt;$B114,$B130&lt;&gt;$B115,$B131&lt;&gt;$B116,$B132&lt;&gt;$B117,$B133&lt;&gt;$B118),IF($B133&lt;&gt;$B118,R118/INDEX($C108:$AJ118,11,MATCH(IF('Data-solution'!$A$3="Maximize",MAX($C119:$AI119),MIN($C119:$AI119)),$C119:$AI119,0)),R118-INDEX($C108:$AJ118,11,MATCH(IF('Data-solution'!$A$3="Maximize",MAX($C119:$AI119),MIN($C119:$AI119)),$C119:$AI119,0))*INDEX(R108:$AJ118,MATCH(MIN($AK108:$AK118),$AK108:$AK118,0),1)/INDEX($C108:$AJ118,MATCH(MIN($AK108:$AK118),$AK108:$AK118,0),MATCH(IF('Data-solution'!$A$3="Maximize",MAX($C119:$AI119),MIN($C119:$AI119)),$C119:$AI119,0))),R118)</f>
        <v>0</v>
      </c>
      <c r="S133" s="1">
        <f>IF(OR($B123&lt;&gt;$B108,$B124&lt;&gt;$B109,$B125&lt;&gt;$B110,$B126&lt;&gt;$B111,$B127&lt;&gt;$B112,$B128&lt;&gt;$B113,$B129&lt;&gt;$B114,$B130&lt;&gt;$B115,$B131&lt;&gt;$B116,$B132&lt;&gt;$B117,$B133&lt;&gt;$B118),IF($B133&lt;&gt;$B118,S118/INDEX($C108:$AJ118,11,MATCH(IF('Data-solution'!$A$3="Maximize",MAX($C119:$AI119),MIN($C119:$AI119)),$C119:$AI119,0)),S118-INDEX($C108:$AJ118,11,MATCH(IF('Data-solution'!$A$3="Maximize",MAX($C119:$AI119),MIN($C119:$AI119)),$C119:$AI119,0))*INDEX(S108:$AJ118,MATCH(MIN($AK108:$AK118),$AK108:$AK118,0),1)/INDEX($C108:$AJ118,MATCH(MIN($AK108:$AK118),$AK108:$AK118,0),MATCH(IF('Data-solution'!$A$3="Maximize",MAX($C119:$AI119),MIN($C119:$AI119)),$C119:$AI119,0))),S118)</f>
        <v>0</v>
      </c>
      <c r="T133" s="1">
        <f>IF(OR($B123&lt;&gt;$B108,$B124&lt;&gt;$B109,$B125&lt;&gt;$B110,$B126&lt;&gt;$B111,$B127&lt;&gt;$B112,$B128&lt;&gt;$B113,$B129&lt;&gt;$B114,$B130&lt;&gt;$B115,$B131&lt;&gt;$B116,$B132&lt;&gt;$B117,$B133&lt;&gt;$B118),IF($B133&lt;&gt;$B118,T118/INDEX($C108:$AJ118,11,MATCH(IF('Data-solution'!$A$3="Maximize",MAX($C119:$AI119),MIN($C119:$AI119)),$C119:$AI119,0)),T118-INDEX($C108:$AJ118,11,MATCH(IF('Data-solution'!$A$3="Maximize",MAX($C119:$AI119),MIN($C119:$AI119)),$C119:$AI119,0))*INDEX(T108:$AJ118,MATCH(MIN($AK108:$AK118),$AK108:$AK118,0),1)/INDEX($C108:$AJ118,MATCH(MIN($AK108:$AK118),$AK108:$AK118,0),MATCH(IF('Data-solution'!$A$3="Maximize",MAX($C119:$AI119),MIN($C119:$AI119)),$C119:$AI119,0))),T118)</f>
        <v>0</v>
      </c>
      <c r="U133" s="1">
        <f>IF(OR($B123&lt;&gt;$B108,$B124&lt;&gt;$B109,$B125&lt;&gt;$B110,$B126&lt;&gt;$B111,$B127&lt;&gt;$B112,$B128&lt;&gt;$B113,$B129&lt;&gt;$B114,$B130&lt;&gt;$B115,$B131&lt;&gt;$B116,$B132&lt;&gt;$B117,$B133&lt;&gt;$B118),IF($B133&lt;&gt;$B118,U118/INDEX($C108:$AJ118,11,MATCH(IF('Data-solution'!$A$3="Maximize",MAX($C119:$AI119),MIN($C119:$AI119)),$C119:$AI119,0)),U118-INDEX($C108:$AJ118,11,MATCH(IF('Data-solution'!$A$3="Maximize",MAX($C119:$AI119),MIN($C119:$AI119)),$C119:$AI119,0))*INDEX(U108:$AJ118,MATCH(MIN($AK108:$AK118),$AK108:$AK118,0),1)/INDEX($C108:$AJ118,MATCH(MIN($AK108:$AK118),$AK108:$AK118,0),MATCH(IF('Data-solution'!$A$3="Maximize",MAX($C119:$AI119),MIN($C119:$AI119)),$C119:$AI119,0))),U118)</f>
        <v>0</v>
      </c>
      <c r="V133" s="1">
        <f>IF(OR($B123&lt;&gt;$B108,$B124&lt;&gt;$B109,$B125&lt;&gt;$B110,$B126&lt;&gt;$B111,$B127&lt;&gt;$B112,$B128&lt;&gt;$B113,$B129&lt;&gt;$B114,$B130&lt;&gt;$B115,$B131&lt;&gt;$B116,$B132&lt;&gt;$B117,$B133&lt;&gt;$B118),IF($B133&lt;&gt;$B118,V118/INDEX($C108:$AJ118,11,MATCH(IF('Data-solution'!$A$3="Maximize",MAX($C119:$AI119),MIN($C119:$AI119)),$C119:$AI119,0)),V118-INDEX($C108:$AJ118,11,MATCH(IF('Data-solution'!$A$3="Maximize",MAX($C119:$AI119),MIN($C119:$AI119)),$C119:$AI119,0))*INDEX(V108:$AJ118,MATCH(MIN($AK108:$AK118),$AK108:$AK118,0),1)/INDEX($C108:$AJ118,MATCH(MIN($AK108:$AK118),$AK108:$AK118,0),MATCH(IF('Data-solution'!$A$3="Maximize",MAX($C119:$AI119),MIN($C119:$AI119)),$C119:$AI119,0))),V118)</f>
        <v>0</v>
      </c>
      <c r="W133" s="1">
        <f>IF(OR($B123&lt;&gt;$B108,$B124&lt;&gt;$B109,$B125&lt;&gt;$B110,$B126&lt;&gt;$B111,$B127&lt;&gt;$B112,$B128&lt;&gt;$B113,$B129&lt;&gt;$B114,$B130&lt;&gt;$B115,$B131&lt;&gt;$B116,$B132&lt;&gt;$B117,$B133&lt;&gt;$B118),IF($B133&lt;&gt;$B118,W118/INDEX($C108:$AJ118,11,MATCH(IF('Data-solution'!$A$3="Maximize",MAX($C119:$AI119),MIN($C119:$AI119)),$C119:$AI119,0)),W118-INDEX($C108:$AJ118,11,MATCH(IF('Data-solution'!$A$3="Maximize",MAX($C119:$AI119),MIN($C119:$AI119)),$C119:$AI119,0))*INDEX(W108:$AJ118,MATCH(MIN($AK108:$AK118),$AK108:$AK118,0),1)/INDEX($C108:$AJ118,MATCH(MIN($AK108:$AK118),$AK108:$AK118,0),MATCH(IF('Data-solution'!$A$3="Maximize",MAX($C119:$AI119),MIN($C119:$AI119)),$C119:$AI119,0))),W118)</f>
        <v>0</v>
      </c>
      <c r="X133" s="1">
        <f>IF(OR($B123&lt;&gt;$B108,$B124&lt;&gt;$B109,$B125&lt;&gt;$B110,$B126&lt;&gt;$B111,$B127&lt;&gt;$B112,$B128&lt;&gt;$B113,$B129&lt;&gt;$B114,$B130&lt;&gt;$B115,$B131&lt;&gt;$B116,$B132&lt;&gt;$B117,$B133&lt;&gt;$B118),IF($B133&lt;&gt;$B118,X118/INDEX($C108:$AJ118,11,MATCH(IF('Data-solution'!$A$3="Maximize",MAX($C119:$AI119),MIN($C119:$AI119)),$C119:$AI119,0)),X118-INDEX($C108:$AJ118,11,MATCH(IF('Data-solution'!$A$3="Maximize",MAX($C119:$AI119),MIN($C119:$AI119)),$C119:$AI119,0))*INDEX(X108:$AJ118,MATCH(MIN($AK108:$AK118),$AK108:$AK118,0),1)/INDEX($C108:$AJ118,MATCH(MIN($AK108:$AK118),$AK108:$AK118,0),MATCH(IF('Data-solution'!$A$3="Maximize",MAX($C119:$AI119),MIN($C119:$AI119)),$C119:$AI119,0))),X118)</f>
        <v>1</v>
      </c>
      <c r="Y133" s="1">
        <f>IF(OR($B123&lt;&gt;$B108,$B124&lt;&gt;$B109,$B125&lt;&gt;$B110,$B126&lt;&gt;$B111,$B127&lt;&gt;$B112,$B128&lt;&gt;$B113,$B129&lt;&gt;$B114,$B130&lt;&gt;$B115,$B131&lt;&gt;$B116,$B132&lt;&gt;$B117,$B133&lt;&gt;$B118),IF($B133&lt;&gt;$B118,Y118/INDEX($C108:$AJ118,11,MATCH(IF('Data-solution'!$A$3="Maximize",MAX($C119:$AI119),MIN($C119:$AI119)),$C119:$AI119,0)),Y118-INDEX($C108:$AJ118,11,MATCH(IF('Data-solution'!$A$3="Maximize",MAX($C119:$AI119),MIN($C119:$AI119)),$C119:$AI119,0))*INDEX(Y108:$AJ118,MATCH(MIN($AK108:$AK118),$AK108:$AK118,0),1)/INDEX($C108:$AJ118,MATCH(MIN($AK108:$AK118),$AK108:$AK118,0),MATCH(IF('Data-solution'!$A$3="Maximize",MAX($C119:$AI119),MIN($C119:$AI119)),$C119:$AI119,0))),Y118)</f>
        <v>0</v>
      </c>
      <c r="Z133" s="1">
        <f>IF(OR($B123&lt;&gt;$B108,$B124&lt;&gt;$B109,$B125&lt;&gt;$B110,$B126&lt;&gt;$B111,$B127&lt;&gt;$B112,$B128&lt;&gt;$B113,$B129&lt;&gt;$B114,$B130&lt;&gt;$B115,$B131&lt;&gt;$B116,$B132&lt;&gt;$B117,$B133&lt;&gt;$B118),IF($B133&lt;&gt;$B118,Z118/INDEX($C108:$AJ118,11,MATCH(IF('Data-solution'!$A$3="Maximize",MAX($C119:$AI119),MIN($C119:$AI119)),$C119:$AI119,0)),Z118-INDEX($C108:$AJ118,11,MATCH(IF('Data-solution'!$A$3="Maximize",MAX($C119:$AI119),MIN($C119:$AI119)),$C119:$AI119,0))*INDEX(Z108:$AJ118,MATCH(MIN($AK108:$AK118),$AK108:$AK118,0),1)/INDEX($C108:$AJ118,MATCH(MIN($AK108:$AK118),$AK108:$AK118,0),MATCH(IF('Data-solution'!$A$3="Maximize",MAX($C119:$AI119),MIN($C119:$AI119)),$C119:$AI119,0))),Z118)</f>
        <v>0</v>
      </c>
      <c r="AA133" s="1">
        <f>IF(OR($B123&lt;&gt;$B108,$B124&lt;&gt;$B109,$B125&lt;&gt;$B110,$B126&lt;&gt;$B111,$B127&lt;&gt;$B112,$B128&lt;&gt;$B113,$B129&lt;&gt;$B114,$B130&lt;&gt;$B115,$B131&lt;&gt;$B116,$B132&lt;&gt;$B117,$B133&lt;&gt;$B118),IF($B133&lt;&gt;$B118,AA118/INDEX($C108:$AJ118,11,MATCH(IF('Data-solution'!$A$3="Maximize",MAX($C119:$AI119),MIN($C119:$AI119)),$C119:$AI119,0)),AA118-INDEX($C108:$AJ118,11,MATCH(IF('Data-solution'!$A$3="Maximize",MAX($C119:$AI119),MIN($C119:$AI119)),$C119:$AI119,0))*INDEX(AA108:$AJ118,MATCH(MIN($AK108:$AK118),$AK108:$AK118,0),1)/INDEX($C108:$AJ118,MATCH(MIN($AK108:$AK118),$AK108:$AK118,0),MATCH(IF('Data-solution'!$A$3="Maximize",MAX($C119:$AI119),MIN($C119:$AI119)),$C119:$AI119,0))),AA118)</f>
        <v>0</v>
      </c>
      <c r="AB133" s="1">
        <f>IF(OR($B123&lt;&gt;$B108,$B124&lt;&gt;$B109,$B125&lt;&gt;$B110,$B126&lt;&gt;$B111,$B127&lt;&gt;$B112,$B128&lt;&gt;$B113,$B129&lt;&gt;$B114,$B130&lt;&gt;$B115,$B131&lt;&gt;$B116,$B132&lt;&gt;$B117,$B133&lt;&gt;$B118),IF($B133&lt;&gt;$B118,AB118/INDEX($C108:$AJ118,11,MATCH(IF('Data-solution'!$A$3="Maximize",MAX($C119:$AI119),MIN($C119:$AI119)),$C119:$AI119,0)),AB118-INDEX($C108:$AJ118,11,MATCH(IF('Data-solution'!$A$3="Maximize",MAX($C119:$AI119),MIN($C119:$AI119)),$C119:$AI119,0))*INDEX(AB108:$AJ118,MATCH(MIN($AK108:$AK118),$AK108:$AK118,0),1)/INDEX($C108:$AJ118,MATCH(MIN($AK108:$AK118),$AK108:$AK118,0),MATCH(IF('Data-solution'!$A$3="Maximize",MAX($C119:$AI119),MIN($C119:$AI119)),$C119:$AI119,0))),AB118)</f>
        <v>0</v>
      </c>
      <c r="AC133" s="1">
        <f>IF(OR($B123&lt;&gt;$B108,$B124&lt;&gt;$B109,$B125&lt;&gt;$B110,$B126&lt;&gt;$B111,$B127&lt;&gt;$B112,$B128&lt;&gt;$B113,$B129&lt;&gt;$B114,$B130&lt;&gt;$B115,$B131&lt;&gt;$B116,$B132&lt;&gt;$B117,$B133&lt;&gt;$B118),IF($B133&lt;&gt;$B118,AC118/INDEX($C108:$AJ118,11,MATCH(IF('Data-solution'!$A$3="Maximize",MAX($C119:$AI119),MIN($C119:$AI119)),$C119:$AI119,0)),AC118-INDEX($C108:$AJ118,11,MATCH(IF('Data-solution'!$A$3="Maximize",MAX($C119:$AI119),MIN($C119:$AI119)),$C119:$AI119,0))*INDEX(AC108:$AJ118,MATCH(MIN($AK108:$AK118),$AK108:$AK118,0),1)/INDEX($C108:$AJ118,MATCH(MIN($AK108:$AK118),$AK108:$AK118,0),MATCH(IF('Data-solution'!$A$3="Maximize",MAX($C119:$AI119),MIN($C119:$AI119)),$C119:$AI119,0))),AC118)</f>
        <v>0</v>
      </c>
      <c r="AD133" s="1">
        <f>IF(OR($B123&lt;&gt;$B108,$B124&lt;&gt;$B109,$B125&lt;&gt;$B110,$B126&lt;&gt;$B111,$B127&lt;&gt;$B112,$B128&lt;&gt;$B113,$B129&lt;&gt;$B114,$B130&lt;&gt;$B115,$B131&lt;&gt;$B116,$B132&lt;&gt;$B117,$B133&lt;&gt;$B118),IF($B133&lt;&gt;$B118,AD118/INDEX($C108:$AJ118,11,MATCH(IF('Data-solution'!$A$3="Maximize",MAX($C119:$AI119),MIN($C119:$AI119)),$C119:$AI119,0)),AD118-INDEX($C108:$AJ118,11,MATCH(IF('Data-solution'!$A$3="Maximize",MAX($C119:$AI119),MIN($C119:$AI119)),$C119:$AI119,0))*INDEX(AD108:$AJ118,MATCH(MIN($AK108:$AK118),$AK108:$AK118,0),1)/INDEX($C108:$AJ118,MATCH(MIN($AK108:$AK118),$AK108:$AK118,0),MATCH(IF('Data-solution'!$A$3="Maximize",MAX($C119:$AI119),MIN($C119:$AI119)),$C119:$AI119,0))),AD118)</f>
        <v>0</v>
      </c>
      <c r="AE133" s="1">
        <f>IF(OR($B123&lt;&gt;$B108,$B124&lt;&gt;$B109,$B125&lt;&gt;$B110,$B126&lt;&gt;$B111,$B127&lt;&gt;$B112,$B128&lt;&gt;$B113,$B129&lt;&gt;$B114,$B130&lt;&gt;$B115,$B131&lt;&gt;$B116,$B132&lt;&gt;$B117,$B133&lt;&gt;$B118),IF($B133&lt;&gt;$B118,AE118/INDEX($C108:$AJ118,11,MATCH(IF('Data-solution'!$A$3="Maximize",MAX($C119:$AI119),MIN($C119:$AI119)),$C119:$AI119,0)),AE118-INDEX($C108:$AJ118,11,MATCH(IF('Data-solution'!$A$3="Maximize",MAX($C119:$AI119),MIN($C119:$AI119)),$C119:$AI119,0))*INDEX(AE108:$AJ118,MATCH(MIN($AK108:$AK118),$AK108:$AK118,0),1)/INDEX($C108:$AJ118,MATCH(MIN($AK108:$AK118),$AK108:$AK118,0),MATCH(IF('Data-solution'!$A$3="Maximize",MAX($C119:$AI119),MIN($C119:$AI119)),$C119:$AI119,0))),AE118)</f>
        <v>0</v>
      </c>
      <c r="AF133" s="1">
        <f>IF(OR($B123&lt;&gt;$B108,$B124&lt;&gt;$B109,$B125&lt;&gt;$B110,$B126&lt;&gt;$B111,$B127&lt;&gt;$B112,$B128&lt;&gt;$B113,$B129&lt;&gt;$B114,$B130&lt;&gt;$B115,$B131&lt;&gt;$B116,$B132&lt;&gt;$B117,$B133&lt;&gt;$B118),IF($B133&lt;&gt;$B118,AF118/INDEX($C108:$AJ118,11,MATCH(IF('Data-solution'!$A$3="Maximize",MAX($C119:$AI119),MIN($C119:$AI119)),$C119:$AI119,0)),AF118-INDEX($C108:$AJ118,11,MATCH(IF('Data-solution'!$A$3="Maximize",MAX($C119:$AI119),MIN($C119:$AI119)),$C119:$AI119,0))*INDEX(AF108:$AJ118,MATCH(MIN($AK108:$AK118),$AK108:$AK118,0),1)/INDEX($C108:$AJ118,MATCH(MIN($AK108:$AK118),$AK108:$AK118,0),MATCH(IF('Data-solution'!$A$3="Maximize",MAX($C119:$AI119),MIN($C119:$AI119)),$C119:$AI119,0))),AF118)</f>
        <v>0</v>
      </c>
      <c r="AG133" s="1">
        <f>IF(OR($B123&lt;&gt;$B108,$B124&lt;&gt;$B109,$B125&lt;&gt;$B110,$B126&lt;&gt;$B111,$B127&lt;&gt;$B112,$B128&lt;&gt;$B113,$B129&lt;&gt;$B114,$B130&lt;&gt;$B115,$B131&lt;&gt;$B116,$B132&lt;&gt;$B117,$B133&lt;&gt;$B118),IF($B133&lt;&gt;$B118,AG118/INDEX($C108:$AJ118,11,MATCH(IF('Data-solution'!$A$3="Maximize",MAX($C119:$AI119),MIN($C119:$AI119)),$C119:$AI119,0)),AG118-INDEX($C108:$AJ118,11,MATCH(IF('Data-solution'!$A$3="Maximize",MAX($C119:$AI119),MIN($C119:$AI119)),$C119:$AI119,0))*INDEX(AG108:$AJ118,MATCH(MIN($AK108:$AK118),$AK108:$AK118,0),1)/INDEX($C108:$AJ118,MATCH(MIN($AK108:$AK118),$AK108:$AK118,0),MATCH(IF('Data-solution'!$A$3="Maximize",MAX($C119:$AI119),MIN($C119:$AI119)),$C119:$AI119,0))),AG118)</f>
        <v>0</v>
      </c>
      <c r="AH133" s="1">
        <f>IF(OR($B123&lt;&gt;$B108,$B124&lt;&gt;$B109,$B125&lt;&gt;$B110,$B126&lt;&gt;$B111,$B127&lt;&gt;$B112,$B128&lt;&gt;$B113,$B129&lt;&gt;$B114,$B130&lt;&gt;$B115,$B131&lt;&gt;$B116,$B132&lt;&gt;$B117,$B133&lt;&gt;$B118),IF($B133&lt;&gt;$B118,AH118/INDEX($C108:$AJ118,11,MATCH(IF('Data-solution'!$A$3="Maximize",MAX($C119:$AI119),MIN($C119:$AI119)),$C119:$AI119,0)),AH118-INDEX($C108:$AJ118,11,MATCH(IF('Data-solution'!$A$3="Maximize",MAX($C119:$AI119),MIN($C119:$AI119)),$C119:$AI119,0))*INDEX(AH108:$AJ118,MATCH(MIN($AK108:$AK118),$AK108:$AK118,0),1)/INDEX($C108:$AJ118,MATCH(MIN($AK108:$AK118),$AK108:$AK118,0),MATCH(IF('Data-solution'!$A$3="Maximize",MAX($C119:$AI119),MIN($C119:$AI119)),$C119:$AI119,0))),AH118)</f>
        <v>0</v>
      </c>
      <c r="AI133" s="1">
        <f>IF(OR($B123&lt;&gt;$B108,$B124&lt;&gt;$B109,$B125&lt;&gt;$B110,$B126&lt;&gt;$B111,$B127&lt;&gt;$B112,$B128&lt;&gt;$B113,$B129&lt;&gt;$B114,$B130&lt;&gt;$B115,$B131&lt;&gt;$B116,$B132&lt;&gt;$B117,$B133&lt;&gt;$B118),IF($B133&lt;&gt;$B118,AI118/INDEX($C108:$AJ118,11,MATCH(IF('Data-solution'!$A$3="Maximize",MAX($C119:$AI119),MIN($C119:$AI119)),$C119:$AI119,0)),AI118-INDEX($C108:$AJ118,11,MATCH(IF('Data-solution'!$A$3="Maximize",MAX($C119:$AI119),MIN($C119:$AI119)),$C119:$AI119,0))*INDEX(AI108:$AJ118,MATCH(MIN($AK108:$AK118),$AK108:$AK118,0),1)/INDEX($C108:$AJ118,MATCH(MIN($AK108:$AK118),$AK108:$AK118,0),MATCH(IF('Data-solution'!$A$3="Maximize",MAX($C119:$AI119),MIN($C119:$AI119)),$C119:$AI119,0))),AI118)</f>
        <v>1</v>
      </c>
      <c r="AJ133" s="1">
        <f>IF(OR($B123&lt;&gt;$B108,$B124&lt;&gt;$B109,$B125&lt;&gt;$B110,$B126&lt;&gt;$B111,$B127&lt;&gt;$B112,$B128&lt;&gt;$B113,$B129&lt;&gt;$B114,$B130&lt;&gt;$B115,$B131&lt;&gt;$B116,$B132&lt;&gt;$B117,$B133&lt;&gt;$B118),IF($B133&lt;&gt;$B118,AJ118/INDEX($C108:$AJ118,11,MATCH(IF('Data-solution'!$A$3="Maximize",MAX($C119:$AI119),MIN($C119:$AI119)),$C119:$AI119,0)),AJ118-INDEX($C108:$AJ118,11,MATCH(IF('Data-solution'!$A$3="Maximize",MAX($C119:$AI119),MIN($C119:$AI119)),$C119:$AI119,0))*INDEX(AJ108:$AJ118,MATCH(MIN($AK108:$AK118),$AK108:$AK118,0),1)/INDEX($C108:$AJ118,MATCH(MIN($AK108:$AK118),$AK108:$AK118,0),MATCH(IF('Data-solution'!$A$3="Maximize",MAX($C119:$AI119),MIN($C119:$AI119)),$C119:$AI119,0))),AJ118)</f>
        <v>0</v>
      </c>
      <c r="AK133" s="1" t="str">
        <f>IF(INDEX(C133:X133,1,MATCH(IF('Data-solution'!A$3="Maximize",MAX(C134:X134),MIN(C134:X134)),C134:X134,0))&gt;0,AJ133/INDEX(C133:X133,1,MATCH(IF('Data-solution'!A$3="Maximize",MAX(C134:X134),MIN(C134:X134)),C134:X134,0))," ")</f>
        <v xml:space="preserve"> </v>
      </c>
    </row>
    <row r="134" spans="1:37" ht="18" customHeight="1" x14ac:dyDescent="0.2">
      <c r="B134" s="2" t="s">
        <v>5</v>
      </c>
      <c r="C134" s="1">
        <f>IF(SUM(COUNTIF($B123:$B133,$Y122),COUNTIF($B123:$B133,$Z122),COUNTIF($B123:$B133,$AA122),COUNTIF($B123:$B133,$AB122),COUNTIF($B123:$B133,$AC122),COUNTIF($B123:$B133,$AD122),COUNTIF($B123:$B133,$AE122),COUNTIF($B123:$B133,$AF122),COUNTIF($B123:$B133,$AG122),COUNTIF($B123:$B133,$AH122),COUNTIF($B123:$B133,$AI122))=0,C121-SUMPRODUCT($A123:$A133,C123:C133),IF('Data-solution'!$A$3="Maximize",1,-1)*SUM(SUMIF($B123:$B133,$Y122,C123:C133),SUMIF($B123:$B133,$Z122,C123:C133),SUMIF($B123:$B133,$AA122,C123:C133),SUMIF($B123:$B133,$AB122,C123:C133),SUMIF($B123:$B133,$AC122,C123:C133),SUMIF($B123:$B133,$AD122,C123:C133),SUMIF($B123:$B133,$AE122,C123:C133),SUMIF($B123:$B133,$AF122,C123:C133),SUMIF($B123:$B133,$AG122,C123:C133),SUMIF($B123:$B133,$AH122,C123:C133),SUMIF($B123:$B133,$AI122,C123:C133)))</f>
        <v>0</v>
      </c>
      <c r="D134" s="1">
        <f>IF(SUM(COUNTIF($B123:$B133,$Y122),COUNTIF($B123:$B133,$Z122),COUNTIF($B123:$B133,$AA122),COUNTIF($B123:$B133,$AB122),COUNTIF($B123:$B133,$AC122),COUNTIF($B123:$B133,$AD122),COUNTIF($B123:$B133,$AE122),COUNTIF($B123:$B133,$AF122),COUNTIF($B123:$B133,$AG122),COUNTIF($B123:$B133,$AH122),COUNTIF($B123:$B133,$AI122))=0,D121-SUMPRODUCT($A123:$A133,D123:D133),IF('Data-solution'!$A$3="Maximize",1,-1)*SUM(SUMIF($B123:$B133,$Y122,D123:D133),SUMIF($B123:$B133,$Z122,D123:D133),SUMIF($B123:$B133,$AA122,D123:D133),SUMIF($B123:$B133,$AB122,D123:D133),SUMIF($B123:$B133,$AC122,D123:D133),SUMIF($B123:$B133,$AD122,D123:D133),SUMIF($B123:$B133,$AE122,D123:D133),SUMIF($B123:$B133,$AF122,D123:D133),SUMIF($B123:$B133,$AG122,D123:D133),SUMIF($B123:$B133,$AH122,D123:D133),SUMIF($B123:$B133,$AI122,D123:D133)))</f>
        <v>-50</v>
      </c>
      <c r="E134" s="1">
        <f>IF(SUM(COUNTIF($B123:$B133,$Y122),COUNTIF($B123:$B133,$Z122),COUNTIF($B123:$B133,$AA122),COUNTIF($B123:$B133,$AB122),COUNTIF($B123:$B133,$AC122),COUNTIF($B123:$B133,$AD122),COUNTIF($B123:$B133,$AE122),COUNTIF($B123:$B133,$AF122),COUNTIF($B123:$B133,$AG122),COUNTIF($B123:$B133,$AH122),COUNTIF($B123:$B133,$AI122))=0,E121-SUMPRODUCT($A123:$A133,E123:E133),IF('Data-solution'!$A$3="Maximize",1,-1)*SUM(SUMIF($B123:$B133,$Y122,E123:E133),SUMIF($B123:$B133,$Z122,E123:E133),SUMIF($B123:$B133,$AA122,E123:E133),SUMIF($B123:$B133,$AB122,E123:E133),SUMIF($B123:$B133,$AC122,E123:E133),SUMIF($B123:$B133,$AD122,E123:E133),SUMIF($B123:$B133,$AE122,E123:E133),SUMIF($B123:$B133,$AF122,E123:E133),SUMIF($B123:$B133,$AG122,E123:E133),SUMIF($B123:$B133,$AH122,E123:E133),SUMIF($B123:$B133,$AI122,E123:E133)))</f>
        <v>0</v>
      </c>
      <c r="F134" s="1">
        <f>IF(SUM(COUNTIF($B123:$B133,$Y122),COUNTIF($B123:$B133,$Z122),COUNTIF($B123:$B133,$AA122),COUNTIF($B123:$B133,$AB122),COUNTIF($B123:$B133,$AC122),COUNTIF($B123:$B133,$AD122),COUNTIF($B123:$B133,$AE122),COUNTIF($B123:$B133,$AF122),COUNTIF($B123:$B133,$AG122),COUNTIF($B123:$B133,$AH122),COUNTIF($B123:$B133,$AI122))=0,F121-SUMPRODUCT($A123:$A133,F123:F133),IF('Data-solution'!$A$3="Maximize",1,-1)*SUM(SUMIF($B123:$B133,$Y122,F123:F133),SUMIF($B123:$B133,$Z122,F123:F133),SUMIF($B123:$B133,$AA122,F123:F133),SUMIF($B123:$B133,$AB122,F123:F133),SUMIF($B123:$B133,$AC122,F123:F133),SUMIF($B123:$B133,$AD122,F123:F133),SUMIF($B123:$B133,$AE122,F123:F133),SUMIF($B123:$B133,$AF122,F123:F133),SUMIF($B123:$B133,$AG122,F123:F133),SUMIF($B123:$B133,$AH122,F123:F133),SUMIF($B123:$B133,$AI122,F123:F133)))</f>
        <v>0</v>
      </c>
      <c r="G134" s="1">
        <f>IF(SUM(COUNTIF($B123:$B133,$Y122),COUNTIF($B123:$B133,$Z122),COUNTIF($B123:$B133,$AA122),COUNTIF($B123:$B133,$AB122),COUNTIF($B123:$B133,$AC122),COUNTIF($B123:$B133,$AD122),COUNTIF($B123:$B133,$AE122),COUNTIF($B123:$B133,$AF122),COUNTIF($B123:$B133,$AG122),COUNTIF($B123:$B133,$AH122),COUNTIF($B123:$B133,$AI122))=0,G121-SUMPRODUCT($A123:$A133,G123:G133),IF('Data-solution'!$A$3="Maximize",1,-1)*SUM(SUMIF($B123:$B133,$Y122,G123:G133),SUMIF($B123:$B133,$Z122,G123:G133),SUMIF($B123:$B133,$AA122,G123:G133),SUMIF($B123:$B133,$AB122,G123:G133),SUMIF($B123:$B133,$AC122,G123:G133),SUMIF($B123:$B133,$AD122,G123:G133),SUMIF($B123:$B133,$AE122,G123:G133),SUMIF($B123:$B133,$AF122,G123:G133),SUMIF($B123:$B133,$AG122,G123:G133),SUMIF($B123:$B133,$AH122,G123:G133),SUMIF($B123:$B133,$AI122,G123:G133)))</f>
        <v>0</v>
      </c>
      <c r="H134" s="1">
        <f>IF(SUM(COUNTIF($B123:$B133,$Y122),COUNTIF($B123:$B133,$Z122),COUNTIF($B123:$B133,$AA122),COUNTIF($B123:$B133,$AB122),COUNTIF($B123:$B133,$AC122),COUNTIF($B123:$B133,$AD122),COUNTIF($B123:$B133,$AE122),COUNTIF($B123:$B133,$AF122),COUNTIF($B123:$B133,$AG122),COUNTIF($B123:$B133,$AH122),COUNTIF($B123:$B133,$AI122))=0,H121-SUMPRODUCT($A123:$A133,H123:H133),IF('Data-solution'!$A$3="Maximize",1,-1)*SUM(SUMIF($B123:$B133,$Y122,H123:H133),SUMIF($B123:$B133,$Z122,H123:H133),SUMIF($B123:$B133,$AA122,H123:H133),SUMIF($B123:$B133,$AB122,H123:H133),SUMIF($B123:$B133,$AC122,H123:H133),SUMIF($B123:$B133,$AD122,H123:H133),SUMIF($B123:$B133,$AE122,H123:H133),SUMIF($B123:$B133,$AF122,H123:H133),SUMIF($B123:$B133,$AG122,H123:H133),SUMIF($B123:$B133,$AH122,H123:H133),SUMIF($B123:$B133,$AI122,H123:H133)))</f>
        <v>0</v>
      </c>
      <c r="I134" s="1">
        <f>IF(SUM(COUNTIF($B123:$B133,$Y122),COUNTIF($B123:$B133,$Z122),COUNTIF($B123:$B133,$AA122),COUNTIF($B123:$B133,$AB122),COUNTIF($B123:$B133,$AC122),COUNTIF($B123:$B133,$AD122),COUNTIF($B123:$B133,$AE122),COUNTIF($B123:$B133,$AF122),COUNTIF($B123:$B133,$AG122),COUNTIF($B123:$B133,$AH122),COUNTIF($B123:$B133,$AI122))=0,I121-SUMPRODUCT($A123:$A133,I123:I133),IF('Data-solution'!$A$3="Maximize",1,-1)*SUM(SUMIF($B123:$B133,$Y122,I123:I133),SUMIF($B123:$B133,$Z122,I123:I133),SUMIF($B123:$B133,$AA122,I123:I133),SUMIF($B123:$B133,$AB122,I123:I133),SUMIF($B123:$B133,$AC122,I123:I133),SUMIF($B123:$B133,$AD122,I123:I133),SUMIF($B123:$B133,$AE122,I123:I133),SUMIF($B123:$B133,$AF122,I123:I133),SUMIF($B123:$B133,$AG122,I123:I133),SUMIF($B123:$B133,$AH122,I123:I133),SUMIF($B123:$B133,$AI122,I123:I133)))</f>
        <v>0</v>
      </c>
      <c r="J134" s="1">
        <f>IF(SUM(COUNTIF($B123:$B133,$Y122),COUNTIF($B123:$B133,$Z122),COUNTIF($B123:$B133,$AA122),COUNTIF($B123:$B133,$AB122),COUNTIF($B123:$B133,$AC122),COUNTIF($B123:$B133,$AD122),COUNTIF($B123:$B133,$AE122),COUNTIF($B123:$B133,$AF122),COUNTIF($B123:$B133,$AG122),COUNTIF($B123:$B133,$AH122),COUNTIF($B123:$B133,$AI122))=0,J121-SUMPRODUCT($A123:$A133,J123:J133),IF('Data-solution'!$A$3="Maximize",1,-1)*SUM(SUMIF($B123:$B133,$Y122,J123:J133),SUMIF($B123:$B133,$Z122,J123:J133),SUMIF($B123:$B133,$AA122,J123:J133),SUMIF($B123:$B133,$AB122,J123:J133),SUMIF($B123:$B133,$AC122,J123:J133),SUMIF($B123:$B133,$AD122,J123:J133),SUMIF($B123:$B133,$AE122,J123:J133),SUMIF($B123:$B133,$AF122,J123:J133),SUMIF($B123:$B133,$AG122,J123:J133),SUMIF($B123:$B133,$AH122,J123:J133),SUMIF($B123:$B133,$AI122,J123:J133)))</f>
        <v>0</v>
      </c>
      <c r="K134" s="1">
        <f>IF(SUM(COUNTIF($B123:$B133,$Y122),COUNTIF($B123:$B133,$Z122),COUNTIF($B123:$B133,$AA122),COUNTIF($B123:$B133,$AB122),COUNTIF($B123:$B133,$AC122),COUNTIF($B123:$B133,$AD122),COUNTIF($B123:$B133,$AE122),COUNTIF($B123:$B133,$AF122),COUNTIF($B123:$B133,$AG122),COUNTIF($B123:$B133,$AH122),COUNTIF($B123:$B133,$AI122))=0,K121-SUMPRODUCT($A123:$A133,K123:K133),IF('Data-solution'!$A$3="Maximize",1,-1)*SUM(SUMIF($B123:$B133,$Y122,K123:K133),SUMIF($B123:$B133,$Z122,K123:K133),SUMIF($B123:$B133,$AA122,K123:K133),SUMIF($B123:$B133,$AB122,K123:K133),SUMIF($B123:$B133,$AC122,K123:K133),SUMIF($B123:$B133,$AD122,K123:K133),SUMIF($B123:$B133,$AE122,K123:K133),SUMIF($B123:$B133,$AF122,K123:K133),SUMIF($B123:$B133,$AG122,K123:K133),SUMIF($B123:$B133,$AH122,K123:K133),SUMIF($B123:$B133,$AI122,K123:K133)))</f>
        <v>0</v>
      </c>
      <c r="L134" s="1">
        <f>IF(SUM(COUNTIF($B123:$B133,$Y122),COUNTIF($B123:$B133,$Z122),COUNTIF($B123:$B133,$AA122),COUNTIF($B123:$B133,$AB122),COUNTIF($B123:$B133,$AC122),COUNTIF($B123:$B133,$AD122),COUNTIF($B123:$B133,$AE122),COUNTIF($B123:$B133,$AF122),COUNTIF($B123:$B133,$AG122),COUNTIF($B123:$B133,$AH122),COUNTIF($B123:$B133,$AI122))=0,L121-SUMPRODUCT($A123:$A133,L123:L133),IF('Data-solution'!$A$3="Maximize",1,-1)*SUM(SUMIF($B123:$B133,$Y122,L123:L133),SUMIF($B123:$B133,$Z122,L123:L133),SUMIF($B123:$B133,$AA122,L123:L133),SUMIF($B123:$B133,$AB122,L123:L133),SUMIF($B123:$B133,$AC122,L123:L133),SUMIF($B123:$B133,$AD122,L123:L133),SUMIF($B123:$B133,$AE122,L123:L133),SUMIF($B123:$B133,$AF122,L123:L133),SUMIF($B123:$B133,$AG122,L123:L133),SUMIF($B123:$B133,$AH122,L123:L133),SUMIF($B123:$B133,$AI122,L123:L133)))</f>
        <v>0</v>
      </c>
      <c r="M134" s="1">
        <f>IF(SUM(COUNTIF($B123:$B133,$Y122),COUNTIF($B123:$B133,$Z122),COUNTIF($B123:$B133,$AA122),COUNTIF($B123:$B133,$AB122),COUNTIF($B123:$B133,$AC122),COUNTIF($B123:$B133,$AD122),COUNTIF($B123:$B133,$AE122),COUNTIF($B123:$B133,$AF122),COUNTIF($B123:$B133,$AG122),COUNTIF($B123:$B133,$AH122),COUNTIF($B123:$B133,$AI122))=0,M121-SUMPRODUCT($A123:$A133,M123:M133),IF('Data-solution'!$A$3="Maximize",1,-1)*SUM(SUMIF($B123:$B133,$Y122,M123:M133),SUMIF($B123:$B133,$Z122,M123:M133),SUMIF($B123:$B133,$AA122,M123:M133),SUMIF($B123:$B133,$AB122,M123:M133),SUMIF($B123:$B133,$AC122,M123:M133),SUMIF($B123:$B133,$AD122,M123:M133),SUMIF($B123:$B133,$AE122,M123:M133),SUMIF($B123:$B133,$AF122,M123:M133),SUMIF($B123:$B133,$AG122,M123:M133),SUMIF($B123:$B133,$AH122,M123:M133),SUMIF($B123:$B133,$AI122,M123:M133)))</f>
        <v>0</v>
      </c>
      <c r="N134" s="1">
        <f>IF(SUM(COUNTIF($B123:$B133,$Y122),COUNTIF($B123:$B133,$Z122),COUNTIF($B123:$B133,$AA122),COUNTIF($B123:$B133,$AB122),COUNTIF($B123:$B133,$AC122),COUNTIF($B123:$B133,$AD122),COUNTIF($B123:$B133,$AE122),COUNTIF($B123:$B133,$AF122),COUNTIF($B123:$B133,$AG122),COUNTIF($B123:$B133,$AH122),COUNTIF($B123:$B133,$AI122))=0,N121-SUMPRODUCT($A123:$A133,N123:N133),IF('Data-solution'!$A$3="Maximize",1,-1)*SUM(SUMIF($B123:$B133,$Y122,N123:N133),SUMIF($B123:$B133,$Z122,N123:N133),SUMIF($B123:$B133,$AA122,N123:N133),SUMIF($B123:$B133,$AB122,N123:N133),SUMIF($B123:$B133,$AC122,N123:N133),SUMIF($B123:$B133,$AD122,N123:N133),SUMIF($B123:$B133,$AE122,N123:N133),SUMIF($B123:$B133,$AF122,N123:N133),SUMIF($B123:$B133,$AG122,N123:N133),SUMIF($B123:$B133,$AH122,N123:N133),SUMIF($B123:$B133,$AI122,N123:N133)))</f>
        <v>0</v>
      </c>
      <c r="O134" s="1">
        <f>IF(SUM(COUNTIF($B123:$B133,$Y122),COUNTIF($B123:$B133,$Z122),COUNTIF($B123:$B133,$AA122),COUNTIF($B123:$B133,$AB122),COUNTIF($B123:$B133,$AC122),COUNTIF($B123:$B133,$AD122),COUNTIF($B123:$B133,$AE122),COUNTIF($B123:$B133,$AF122),COUNTIF($B123:$B133,$AG122),COUNTIF($B123:$B133,$AH122),COUNTIF($B123:$B133,$AI122))=0,O121-SUMPRODUCT($A123:$A133,O123:O133),IF('Data-solution'!$A$3="Maximize",1,-1)*SUM(SUMIF($B123:$B133,$Y122,O123:O133),SUMIF($B123:$B133,$Z122,O123:O133),SUMIF($B123:$B133,$AA122,O123:O133),SUMIF($B123:$B133,$AB122,O123:O133),SUMIF($B123:$B133,$AC122,O123:O133),SUMIF($B123:$B133,$AD122,O123:O133),SUMIF($B123:$B133,$AE122,O123:O133),SUMIF($B123:$B133,$AF122,O123:O133),SUMIF($B123:$B133,$AG122,O123:O133),SUMIF($B123:$B133,$AH122,O123:O133),SUMIF($B123:$B133,$AI122,O123:O133)))</f>
        <v>0</v>
      </c>
      <c r="P134" s="1">
        <f>IF(SUM(COUNTIF($B123:$B133,$Y122),COUNTIF($B123:$B133,$Z122),COUNTIF($B123:$B133,$AA122),COUNTIF($B123:$B133,$AB122),COUNTIF($B123:$B133,$AC122),COUNTIF($B123:$B133,$AD122),COUNTIF($B123:$B133,$AE122),COUNTIF($B123:$B133,$AF122),COUNTIF($B123:$B133,$AG122),COUNTIF($B123:$B133,$AH122),COUNTIF($B123:$B133,$AI122))=0,P121-SUMPRODUCT($A123:$A133,P123:P133),IF('Data-solution'!$A$3="Maximize",1,-1)*SUM(SUMIF($B123:$B133,$Y122,P123:P133),SUMIF($B123:$B133,$Z122,P123:P133),SUMIF($B123:$B133,$AA122,P123:P133),SUMIF($B123:$B133,$AB122,P123:P133),SUMIF($B123:$B133,$AC122,P123:P133),SUMIF($B123:$B133,$AD122,P123:P133),SUMIF($B123:$B133,$AE122,P123:P133),SUMIF($B123:$B133,$AF122,P123:P133),SUMIF($B123:$B133,$AG122,P123:P133),SUMIF($B123:$B133,$AH122,P123:P133),SUMIF($B123:$B133,$AI122,P123:P133)))</f>
        <v>-49.999999999999993</v>
      </c>
      <c r="Q134" s="1">
        <f>IF(SUM(COUNTIF($B123:$B133,$Y122),COUNTIF($B123:$B133,$Z122),COUNTIF($B123:$B133,$AA122),COUNTIF($B123:$B133,$AB122),COUNTIF($B123:$B133,$AC122),COUNTIF($B123:$B133,$AD122),COUNTIF($B123:$B133,$AE122),COUNTIF($B123:$B133,$AF122),COUNTIF($B123:$B133,$AG122),COUNTIF($B123:$B133,$AH122),COUNTIF($B123:$B133,$AI122))=0,Q121-SUMPRODUCT($A123:$A133,Q123:Q133),IF('Data-solution'!$A$3="Maximize",1,-1)*SUM(SUMIF($B123:$B133,$Y122,Q123:Q133),SUMIF($B123:$B133,$Z122,Q123:Q133),SUMIF($B123:$B133,$AA122,Q123:Q133),SUMIF($B123:$B133,$AB122,Q123:Q133),SUMIF($B123:$B133,$AC122,Q123:Q133),SUMIF($B123:$B133,$AD122,Q123:Q133),SUMIF($B123:$B133,$AE122,Q123:Q133),SUMIF($B123:$B133,$AF122,Q123:Q133),SUMIF($B123:$B133,$AG122,Q123:Q133),SUMIF($B123:$B133,$AH122,Q123:Q133),SUMIF($B123:$B133,$AI122,Q123:Q133)))</f>
        <v>-50</v>
      </c>
      <c r="R134" s="1">
        <f>IF(SUM(COUNTIF($B123:$B133,$Y122),COUNTIF($B123:$B133,$Z122),COUNTIF($B123:$B133,$AA122),COUNTIF($B123:$B133,$AB122),COUNTIF($B123:$B133,$AC122),COUNTIF($B123:$B133,$AD122),COUNTIF($B123:$B133,$AE122),COUNTIF($B123:$B133,$AF122),COUNTIF($B123:$B133,$AG122),COUNTIF($B123:$B133,$AH122),COUNTIF($B123:$B133,$AI122))=0,R121-SUMPRODUCT($A123:$A133,R123:R133),IF('Data-solution'!$A$3="Maximize",1,-1)*SUM(SUMIF($B123:$B133,$Y122,R123:R133),SUMIF($B123:$B133,$Z122,R123:R133),SUMIF($B123:$B133,$AA122,R123:R133),SUMIF($B123:$B133,$AB122,R123:R133),SUMIF($B123:$B133,$AC122,R123:R133),SUMIF($B123:$B133,$AD122,R123:R133),SUMIF($B123:$B133,$AE122,R123:R133),SUMIF($B123:$B133,$AF122,R123:R133),SUMIF($B123:$B133,$AG122,R123:R133),SUMIF($B123:$B133,$AH122,R123:R133),SUMIF($B123:$B133,$AI122,R123:R133)))</f>
        <v>0</v>
      </c>
      <c r="S134" s="1">
        <f>IF(SUM(COUNTIF($B123:$B133,$Y122),COUNTIF($B123:$B133,$Z122),COUNTIF($B123:$B133,$AA122),COUNTIF($B123:$B133,$AB122),COUNTIF($B123:$B133,$AC122),COUNTIF($B123:$B133,$AD122),COUNTIF($B123:$B133,$AE122),COUNTIF($B123:$B133,$AF122),COUNTIF($B123:$B133,$AG122),COUNTIF($B123:$B133,$AH122),COUNTIF($B123:$B133,$AI122))=0,S121-SUMPRODUCT($A123:$A133,S123:S133),IF('Data-solution'!$A$3="Maximize",1,-1)*SUM(SUMIF($B123:$B133,$Y122,S123:S133),SUMIF($B123:$B133,$Z122,S123:S133),SUMIF($B123:$B133,$AA122,S123:S133),SUMIF($B123:$B133,$AB122,S123:S133),SUMIF($B123:$B133,$AC122,S123:S133),SUMIF($B123:$B133,$AD122,S123:S133),SUMIF($B123:$B133,$AE122,S123:S133),SUMIF($B123:$B133,$AF122,S123:S133),SUMIF($B123:$B133,$AG122,S123:S133),SUMIF($B123:$B133,$AH122,S123:S133),SUMIF($B123:$B133,$AI122,S123:S133)))</f>
        <v>0</v>
      </c>
      <c r="T134" s="1">
        <f>IF(SUM(COUNTIF($B123:$B133,$Y122),COUNTIF($B123:$B133,$Z122),COUNTIF($B123:$B133,$AA122),COUNTIF($B123:$B133,$AB122),COUNTIF($B123:$B133,$AC122),COUNTIF($B123:$B133,$AD122),COUNTIF($B123:$B133,$AE122),COUNTIF($B123:$B133,$AF122),COUNTIF($B123:$B133,$AG122),COUNTIF($B123:$B133,$AH122),COUNTIF($B123:$B133,$AI122))=0,T121-SUMPRODUCT($A123:$A133,T123:T133),IF('Data-solution'!$A$3="Maximize",1,-1)*SUM(SUMIF($B123:$B133,$Y122,T123:T133),SUMIF($B123:$B133,$Z122,T123:T133),SUMIF($B123:$B133,$AA122,T123:T133),SUMIF($B123:$B133,$AB122,T123:T133),SUMIF($B123:$B133,$AC122,T123:T133),SUMIF($B123:$B133,$AD122,T123:T133),SUMIF($B123:$B133,$AE122,T123:T133),SUMIF($B123:$B133,$AF122,T123:T133),SUMIF($B123:$B133,$AG122,T123:T133),SUMIF($B123:$B133,$AH122,T123:T133),SUMIF($B123:$B133,$AI122,T123:T133)))</f>
        <v>0</v>
      </c>
      <c r="U134" s="1">
        <f>IF(SUM(COUNTIF($B123:$B133,$Y122),COUNTIF($B123:$B133,$Z122),COUNTIF($B123:$B133,$AA122),COUNTIF($B123:$B133,$AB122),COUNTIF($B123:$B133,$AC122),COUNTIF($B123:$B133,$AD122),COUNTIF($B123:$B133,$AE122),COUNTIF($B123:$B133,$AF122),COUNTIF($B123:$B133,$AG122),COUNTIF($B123:$B133,$AH122),COUNTIF($B123:$B133,$AI122))=0,U121-SUMPRODUCT($A123:$A133,U123:U133),IF('Data-solution'!$A$3="Maximize",1,-1)*SUM(SUMIF($B123:$B133,$Y122,U123:U133),SUMIF($B123:$B133,$Z122,U123:U133),SUMIF($B123:$B133,$AA122,U123:U133),SUMIF($B123:$B133,$AB122,U123:U133),SUMIF($B123:$B133,$AC122,U123:U133),SUMIF($B123:$B133,$AD122,U123:U133),SUMIF($B123:$B133,$AE122,U123:U133),SUMIF($B123:$B133,$AF122,U123:U133),SUMIF($B123:$B133,$AG122,U123:U133),SUMIF($B123:$B133,$AH122,U123:U133),SUMIF($B123:$B133,$AI122,U123:U133)))</f>
        <v>0</v>
      </c>
      <c r="V134" s="1">
        <f>IF(SUM(COUNTIF($B123:$B133,$Y122),COUNTIF($B123:$B133,$Z122),COUNTIF($B123:$B133,$AA122),COUNTIF($B123:$B133,$AB122),COUNTIF($B123:$B133,$AC122),COUNTIF($B123:$B133,$AD122),COUNTIF($B123:$B133,$AE122),COUNTIF($B123:$B133,$AF122),COUNTIF($B123:$B133,$AG122),COUNTIF($B123:$B133,$AH122),COUNTIF($B123:$B133,$AI122))=0,V121-SUMPRODUCT($A123:$A133,V123:V133),IF('Data-solution'!$A$3="Maximize",1,-1)*SUM(SUMIF($B123:$B133,$Y122,V123:V133),SUMIF($B123:$B133,$Z122,V123:V133),SUMIF($B123:$B133,$AA122,V123:V133),SUMIF($B123:$B133,$AB122,V123:V133),SUMIF($B123:$B133,$AC122,V123:V133),SUMIF($B123:$B133,$AD122,V123:V133),SUMIF($B123:$B133,$AE122,V123:V133),SUMIF($B123:$B133,$AF122,V123:V133),SUMIF($B123:$B133,$AG122,V123:V133),SUMIF($B123:$B133,$AH122,V123:V133),SUMIF($B123:$B133,$AI122,V123:V133)))</f>
        <v>0</v>
      </c>
      <c r="W134" s="1">
        <f>IF(SUM(COUNTIF($B123:$B133,$Y122),COUNTIF($B123:$B133,$Z122),COUNTIF($B123:$B133,$AA122),COUNTIF($B123:$B133,$AB122),COUNTIF($B123:$B133,$AC122),COUNTIF($B123:$B133,$AD122),COUNTIF($B123:$B133,$AE122),COUNTIF($B123:$B133,$AF122),COUNTIF($B123:$B133,$AG122),COUNTIF($B123:$B133,$AH122),COUNTIF($B123:$B133,$AI122))=0,W121-SUMPRODUCT($A123:$A133,W123:W133),IF('Data-solution'!$A$3="Maximize",1,-1)*SUM(SUMIF($B123:$B133,$Y122,W123:W133),SUMIF($B123:$B133,$Z122,W123:W133),SUMIF($B123:$B133,$AA122,W123:W133),SUMIF($B123:$B133,$AB122,W123:W133),SUMIF($B123:$B133,$AC122,W123:W133),SUMIF($B123:$B133,$AD122,W123:W133),SUMIF($B123:$B133,$AE122,W123:W133),SUMIF($B123:$B133,$AF122,W123:W133),SUMIF($B123:$B133,$AG122,W123:W133),SUMIF($B123:$B133,$AH122,W123:W133),SUMIF($B123:$B133,$AI122,W123:W133)))</f>
        <v>0</v>
      </c>
      <c r="X134" s="1">
        <f>IF(SUM(COUNTIF($B123:$B133,$Y122),COUNTIF($B123:$B133,$Z122),COUNTIF($B123:$B133,$AA122),COUNTIF($B123:$B133,$AB122),COUNTIF($B123:$B133,$AC122),COUNTIF($B123:$B133,$AD122),COUNTIF($B123:$B133,$AE122),COUNTIF($B123:$B133,$AF122),COUNTIF($B123:$B133,$AG122),COUNTIF($B123:$B133,$AH122),COUNTIF($B123:$B133,$AI122))=0,X121-SUMPRODUCT($A123:$A133,X123:X133),IF('Data-solution'!$A$3="Maximize",1,-1)*SUM(SUMIF($B123:$B133,$Y122,X123:X133),SUMIF($B123:$B133,$Z122,X123:X133),SUMIF($B123:$B133,$AA122,X123:X133),SUMIF($B123:$B133,$AB122,X123:X133),SUMIF($B123:$B133,$AC122,X123:X133),SUMIF($B123:$B133,$AD122,X123:X133),SUMIF($B123:$B133,$AE122,X123:X133),SUMIF($B123:$B133,$AF122,X123:X133),SUMIF($B123:$B133,$AG122,X123:X133),SUMIF($B123:$B133,$AH122,X123:X133),SUMIF($B123:$B133,$AI122,X123:X133)))</f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2">
        <f t="shared" ref="AJ134" si="107">IF(SUMPRODUCT(A123:A133,AJ123:AJ133)&gt;=0,SUMPRODUCT(A123:A133,AJ123:AJ133),0)</f>
        <v>120000</v>
      </c>
    </row>
    <row r="136" spans="1:37" ht="18" customHeight="1" x14ac:dyDescent="0.2">
      <c r="A136" s="1" t="s">
        <v>68</v>
      </c>
      <c r="B136" s="2" t="s">
        <v>4</v>
      </c>
      <c r="C136" s="1">
        <f t="shared" ref="C136" si="108">C$1</f>
        <v>150</v>
      </c>
      <c r="D136" s="1">
        <f t="shared" si="78"/>
        <v>200</v>
      </c>
      <c r="E136" s="1">
        <f t="shared" si="78"/>
        <v>350</v>
      </c>
      <c r="F136" s="1">
        <f t="shared" si="78"/>
        <v>0</v>
      </c>
      <c r="G136" s="1">
        <f t="shared" si="78"/>
        <v>0</v>
      </c>
      <c r="H136" s="1">
        <f t="shared" si="78"/>
        <v>0</v>
      </c>
      <c r="I136" s="1">
        <f t="shared" si="78"/>
        <v>0</v>
      </c>
      <c r="J136" s="1">
        <f t="shared" si="78"/>
        <v>0</v>
      </c>
      <c r="K136" s="1">
        <f t="shared" si="78"/>
        <v>0</v>
      </c>
      <c r="L136" s="1">
        <f t="shared" si="78"/>
        <v>0</v>
      </c>
      <c r="M136" s="1">
        <f t="shared" si="78"/>
        <v>0</v>
      </c>
      <c r="N136" s="1">
        <f t="shared" si="78"/>
        <v>0</v>
      </c>
      <c r="O136" s="1">
        <f t="shared" si="78"/>
        <v>0</v>
      </c>
      <c r="P136" s="1">
        <f t="shared" si="78"/>
        <v>0</v>
      </c>
      <c r="Q136" s="1">
        <f t="shared" si="78"/>
        <v>0</v>
      </c>
      <c r="R136" s="1">
        <f t="shared" si="78"/>
        <v>0</v>
      </c>
      <c r="S136" s="1">
        <f t="shared" si="78"/>
        <v>0</v>
      </c>
      <c r="T136" s="1">
        <f t="shared" si="78"/>
        <v>0</v>
      </c>
      <c r="U136" s="1">
        <f t="shared" si="78"/>
        <v>0</v>
      </c>
      <c r="V136" s="1">
        <f t="shared" si="78"/>
        <v>0</v>
      </c>
      <c r="W136" s="1">
        <f t="shared" si="78"/>
        <v>0</v>
      </c>
      <c r="X136" s="1">
        <f t="shared" si="78"/>
        <v>0</v>
      </c>
      <c r="Y136" s="1">
        <f t="shared" si="78"/>
        <v>-999999</v>
      </c>
      <c r="Z136" s="1">
        <f t="shared" si="78"/>
        <v>-999999</v>
      </c>
      <c r="AA136" s="1">
        <f t="shared" si="78"/>
        <v>-999999</v>
      </c>
      <c r="AB136" s="1">
        <f t="shared" si="78"/>
        <v>-999999</v>
      </c>
      <c r="AC136" s="1">
        <f t="shared" si="78"/>
        <v>-999999</v>
      </c>
      <c r="AD136" s="1">
        <f t="shared" si="78"/>
        <v>-999999</v>
      </c>
      <c r="AE136" s="1">
        <f t="shared" si="78"/>
        <v>-999999</v>
      </c>
      <c r="AF136" s="1">
        <f t="shared" si="78"/>
        <v>-999999</v>
      </c>
      <c r="AG136" s="1">
        <f t="shared" si="78"/>
        <v>-999999</v>
      </c>
      <c r="AH136" s="1">
        <f t="shared" si="78"/>
        <v>-999999</v>
      </c>
      <c r="AI136" s="1">
        <f t="shared" si="78"/>
        <v>-999999</v>
      </c>
    </row>
    <row r="137" spans="1:37" ht="18" customHeight="1" x14ac:dyDescent="0.2">
      <c r="A137" s="2" t="s">
        <v>3</v>
      </c>
      <c r="B137" s="2" t="s">
        <v>1</v>
      </c>
      <c r="C137" s="2" t="str">
        <f t="shared" ref="C137" si="109">C$2</f>
        <v>X1</v>
      </c>
      <c r="D137" s="2" t="str">
        <f t="shared" si="81"/>
        <v>X2</v>
      </c>
      <c r="E137" s="2" t="str">
        <f t="shared" si="81"/>
        <v>X3</v>
      </c>
      <c r="F137" s="2" t="str">
        <f t="shared" si="81"/>
        <v>X4</v>
      </c>
      <c r="G137" s="2" t="str">
        <f t="shared" si="81"/>
        <v>X5</v>
      </c>
      <c r="H137" s="2" t="str">
        <f t="shared" si="81"/>
        <v>X6</v>
      </c>
      <c r="I137" s="2" t="str">
        <f t="shared" si="81"/>
        <v>X7</v>
      </c>
      <c r="J137" s="2" t="str">
        <f t="shared" si="81"/>
        <v>X8</v>
      </c>
      <c r="K137" s="2" t="str">
        <f t="shared" si="81"/>
        <v>X9</v>
      </c>
      <c r="L137" s="2" t="str">
        <f t="shared" si="81"/>
        <v>X10</v>
      </c>
      <c r="M137" s="2" t="str">
        <f t="shared" si="81"/>
        <v>X11</v>
      </c>
      <c r="N137" s="2" t="str">
        <f t="shared" si="81"/>
        <v>S1</v>
      </c>
      <c r="O137" s="2" t="str">
        <f t="shared" si="81"/>
        <v>S2</v>
      </c>
      <c r="P137" s="2" t="str">
        <f t="shared" si="81"/>
        <v>S3</v>
      </c>
      <c r="Q137" s="2" t="str">
        <f t="shared" si="81"/>
        <v>S4</v>
      </c>
      <c r="R137" s="2" t="str">
        <f t="shared" si="81"/>
        <v>S5</v>
      </c>
      <c r="S137" s="2" t="str">
        <f t="shared" si="81"/>
        <v>S6</v>
      </c>
      <c r="T137" s="2" t="str">
        <f t="shared" si="81"/>
        <v>S7</v>
      </c>
      <c r="U137" s="2" t="str">
        <f t="shared" si="81"/>
        <v>S8</v>
      </c>
      <c r="V137" s="2" t="str">
        <f t="shared" si="81"/>
        <v>S9</v>
      </c>
      <c r="W137" s="2" t="str">
        <f t="shared" si="81"/>
        <v>S10</v>
      </c>
      <c r="X137" s="2" t="str">
        <f t="shared" si="81"/>
        <v>S11</v>
      </c>
      <c r="Y137" s="2" t="str">
        <f t="shared" si="81"/>
        <v xml:space="preserve"> </v>
      </c>
      <c r="Z137" s="2" t="str">
        <f t="shared" si="81"/>
        <v xml:space="preserve"> </v>
      </c>
      <c r="AA137" s="2" t="str">
        <f t="shared" si="81"/>
        <v xml:space="preserve"> </v>
      </c>
      <c r="AB137" s="2" t="str">
        <f t="shared" si="81"/>
        <v xml:space="preserve"> </v>
      </c>
      <c r="AC137" s="2" t="str">
        <f t="shared" si="81"/>
        <v xml:space="preserve"> </v>
      </c>
      <c r="AD137" s="2" t="str">
        <f t="shared" si="81"/>
        <v xml:space="preserve"> </v>
      </c>
      <c r="AE137" s="2" t="str">
        <f t="shared" si="81"/>
        <v xml:space="preserve"> </v>
      </c>
      <c r="AF137" s="2" t="str">
        <f t="shared" si="81"/>
        <v xml:space="preserve"> </v>
      </c>
      <c r="AG137" s="2" t="str">
        <f t="shared" si="81"/>
        <v xml:space="preserve"> </v>
      </c>
      <c r="AH137" s="2" t="str">
        <f t="shared" si="81"/>
        <v xml:space="preserve"> </v>
      </c>
      <c r="AI137" s="2" t="str">
        <f t="shared" si="81"/>
        <v xml:space="preserve"> </v>
      </c>
      <c r="AJ137" s="2" t="s">
        <v>9</v>
      </c>
      <c r="AK137" s="2" t="s">
        <v>10</v>
      </c>
    </row>
    <row r="138" spans="1:37" ht="18" customHeight="1" x14ac:dyDescent="0.2">
      <c r="A138" s="1">
        <f t="shared" ref="A138" si="110">INDEX(C136:AI136,1,MATCH(B138,C137:AI137,0))</f>
        <v>0</v>
      </c>
      <c r="B138" s="2" t="str">
        <f>IF(AND('Data-solution'!A$3="Maximize",COUNTIF(C134:X134,"&gt;"&amp;0)&gt;0,AK123=MIN(AK123:AK133)),INDEX(C122:X122,1,MATCH(MAX(C134:X134),C134:X134,0)),IF(AND('Data-solution'!A$3="Minimize",COUNTIF(C134:X134,"&lt;"&amp;0)&gt;0,AK123=MIN(AK123:AK133)),INDEX(C122:X122,1,MATCH(MIN(C134:X134),C134:X134,0)),B123))</f>
        <v>S1</v>
      </c>
      <c r="C138" s="1">
        <f>IF(OR($B138&lt;&gt;$B123,$B139&lt;&gt;$B124,$B140&lt;&gt;$B125,$B141&lt;&gt;$B126,$B142&lt;&gt;$B127,$B143&lt;&gt;$B128,$B144&lt;&gt;$B129,$B145&lt;&gt;$B130,$B146&lt;&gt;$B131,$B147&lt;&gt;$B132,$B148&lt;&gt;$B133),IF($B138&lt;&gt;$B123,C123/INDEX($C123:$AJ133,1,MATCH(IF('Data-solution'!$A$3="Maximize",MAX($C134:$AI134),MIN($C134:$AI134)),$C134:$AI134,0)),C123-INDEX($C123:$AJ133,1,MATCH(IF('Data-solution'!$A$3="Maximize",MAX($C134:$AI134),MIN($C134:$AI134)),$C134:$AI134,0))*INDEX(C123:$AJ133,MATCH(MIN($AK123:$AK133),$AK123:$AK133,0),1)/INDEX($C123:$AJ133,MATCH(MIN($AK123:$AK133),$AK123:$AK133,0),MATCH(IF('Data-solution'!$A$3="Maximize",MAX($C134:$AI134),MIN($C134:$AI134)),$C134:$AI134,0))),C123)</f>
        <v>0</v>
      </c>
      <c r="D138" s="1">
        <f>IF(OR($B138&lt;&gt;$B123,$B139&lt;&gt;$B124,$B140&lt;&gt;$B125,$B141&lt;&gt;$B126,$B142&lt;&gt;$B127,$B143&lt;&gt;$B128,$B144&lt;&gt;$B129,$B145&lt;&gt;$B130,$B146&lt;&gt;$B131,$B147&lt;&gt;$B132,$B148&lt;&gt;$B133),IF($B138&lt;&gt;$B123,D123/INDEX($C123:$AJ133,1,MATCH(IF('Data-solution'!$A$3="Maximize",MAX($C134:$AI134),MIN($C134:$AI134)),$C134:$AI134,0)),D123-INDEX($C123:$AJ133,1,MATCH(IF('Data-solution'!$A$3="Maximize",MAX($C134:$AI134),MIN($C134:$AI134)),$C134:$AI134,0))*INDEX(D123:$AJ133,MATCH(MIN($AK123:$AK133),$AK123:$AK133,0),1)/INDEX($C123:$AJ133,MATCH(MIN($AK123:$AK133),$AK123:$AK133,0),MATCH(IF('Data-solution'!$A$3="Maximize",MAX($C134:$AI134),MIN($C134:$AI134)),$C134:$AI134,0))),D123)</f>
        <v>1</v>
      </c>
      <c r="E138" s="1">
        <f>IF(OR($B138&lt;&gt;$B123,$B139&lt;&gt;$B124,$B140&lt;&gt;$B125,$B141&lt;&gt;$B126,$B142&lt;&gt;$B127,$B143&lt;&gt;$B128,$B144&lt;&gt;$B129,$B145&lt;&gt;$B130,$B146&lt;&gt;$B131,$B147&lt;&gt;$B132,$B148&lt;&gt;$B133),IF($B138&lt;&gt;$B123,E123/INDEX($C123:$AJ133,1,MATCH(IF('Data-solution'!$A$3="Maximize",MAX($C134:$AI134),MIN($C134:$AI134)),$C134:$AI134,0)),E123-INDEX($C123:$AJ133,1,MATCH(IF('Data-solution'!$A$3="Maximize",MAX($C134:$AI134),MIN($C134:$AI134)),$C134:$AI134,0))*INDEX(E123:$AJ133,MATCH(MIN($AK123:$AK133),$AK123:$AK133,0),1)/INDEX($C123:$AJ133,MATCH(MIN($AK123:$AK133),$AK123:$AK133,0),MATCH(IF('Data-solution'!$A$3="Maximize",MAX($C134:$AI134),MIN($C134:$AI134)),$C134:$AI134,0))),E123)</f>
        <v>0</v>
      </c>
      <c r="F138" s="1">
        <f>IF(OR($B138&lt;&gt;$B123,$B139&lt;&gt;$B124,$B140&lt;&gt;$B125,$B141&lt;&gt;$B126,$B142&lt;&gt;$B127,$B143&lt;&gt;$B128,$B144&lt;&gt;$B129,$B145&lt;&gt;$B130,$B146&lt;&gt;$B131,$B147&lt;&gt;$B132,$B148&lt;&gt;$B133),IF($B138&lt;&gt;$B123,F123/INDEX($C123:$AJ133,1,MATCH(IF('Data-solution'!$A$3="Maximize",MAX($C134:$AI134),MIN($C134:$AI134)),$C134:$AI134,0)),F123-INDEX($C123:$AJ133,1,MATCH(IF('Data-solution'!$A$3="Maximize",MAX($C134:$AI134),MIN($C134:$AI134)),$C134:$AI134,0))*INDEX(F123:$AJ133,MATCH(MIN($AK123:$AK133),$AK123:$AK133,0),1)/INDEX($C123:$AJ133,MATCH(MIN($AK123:$AK133),$AK123:$AK133,0),MATCH(IF('Data-solution'!$A$3="Maximize",MAX($C134:$AI134),MIN($C134:$AI134)),$C134:$AI134,0))),F123)</f>
        <v>0</v>
      </c>
      <c r="G138" s="1">
        <f>IF(OR($B138&lt;&gt;$B123,$B139&lt;&gt;$B124,$B140&lt;&gt;$B125,$B141&lt;&gt;$B126,$B142&lt;&gt;$B127,$B143&lt;&gt;$B128,$B144&lt;&gt;$B129,$B145&lt;&gt;$B130,$B146&lt;&gt;$B131,$B147&lt;&gt;$B132,$B148&lt;&gt;$B133),IF($B138&lt;&gt;$B123,G123/INDEX($C123:$AJ133,1,MATCH(IF('Data-solution'!$A$3="Maximize",MAX($C134:$AI134),MIN($C134:$AI134)),$C134:$AI134,0)),G123-INDEX($C123:$AJ133,1,MATCH(IF('Data-solution'!$A$3="Maximize",MAX($C134:$AI134),MIN($C134:$AI134)),$C134:$AI134,0))*INDEX(G123:$AJ133,MATCH(MIN($AK123:$AK133),$AK123:$AK133,0),1)/INDEX($C123:$AJ133,MATCH(MIN($AK123:$AK133),$AK123:$AK133,0),MATCH(IF('Data-solution'!$A$3="Maximize",MAX($C134:$AI134),MIN($C134:$AI134)),$C134:$AI134,0))),G123)</f>
        <v>0</v>
      </c>
      <c r="H138" s="1">
        <f>IF(OR($B138&lt;&gt;$B123,$B139&lt;&gt;$B124,$B140&lt;&gt;$B125,$B141&lt;&gt;$B126,$B142&lt;&gt;$B127,$B143&lt;&gt;$B128,$B144&lt;&gt;$B129,$B145&lt;&gt;$B130,$B146&lt;&gt;$B131,$B147&lt;&gt;$B132,$B148&lt;&gt;$B133),IF($B138&lt;&gt;$B123,H123/INDEX($C123:$AJ133,1,MATCH(IF('Data-solution'!$A$3="Maximize",MAX($C134:$AI134),MIN($C134:$AI134)),$C134:$AI134,0)),H123-INDEX($C123:$AJ133,1,MATCH(IF('Data-solution'!$A$3="Maximize",MAX($C134:$AI134),MIN($C134:$AI134)),$C134:$AI134,0))*INDEX(H123:$AJ133,MATCH(MIN($AK123:$AK133),$AK123:$AK133,0),1)/INDEX($C123:$AJ133,MATCH(MIN($AK123:$AK133),$AK123:$AK133,0),MATCH(IF('Data-solution'!$A$3="Maximize",MAX($C134:$AI134),MIN($C134:$AI134)),$C134:$AI134,0))),H123)</f>
        <v>0</v>
      </c>
      <c r="I138" s="1">
        <f>IF(OR($B138&lt;&gt;$B123,$B139&lt;&gt;$B124,$B140&lt;&gt;$B125,$B141&lt;&gt;$B126,$B142&lt;&gt;$B127,$B143&lt;&gt;$B128,$B144&lt;&gt;$B129,$B145&lt;&gt;$B130,$B146&lt;&gt;$B131,$B147&lt;&gt;$B132,$B148&lt;&gt;$B133),IF($B138&lt;&gt;$B123,I123/INDEX($C123:$AJ133,1,MATCH(IF('Data-solution'!$A$3="Maximize",MAX($C134:$AI134),MIN($C134:$AI134)),$C134:$AI134,0)),I123-INDEX($C123:$AJ133,1,MATCH(IF('Data-solution'!$A$3="Maximize",MAX($C134:$AI134),MIN($C134:$AI134)),$C134:$AI134,0))*INDEX(I123:$AJ133,MATCH(MIN($AK123:$AK133),$AK123:$AK133,0),1)/INDEX($C123:$AJ133,MATCH(MIN($AK123:$AK133),$AK123:$AK133,0),MATCH(IF('Data-solution'!$A$3="Maximize",MAX($C134:$AI134),MIN($C134:$AI134)),$C134:$AI134,0))),I123)</f>
        <v>0</v>
      </c>
      <c r="J138" s="1">
        <f>IF(OR($B138&lt;&gt;$B123,$B139&lt;&gt;$B124,$B140&lt;&gt;$B125,$B141&lt;&gt;$B126,$B142&lt;&gt;$B127,$B143&lt;&gt;$B128,$B144&lt;&gt;$B129,$B145&lt;&gt;$B130,$B146&lt;&gt;$B131,$B147&lt;&gt;$B132,$B148&lt;&gt;$B133),IF($B138&lt;&gt;$B123,J123/INDEX($C123:$AJ133,1,MATCH(IF('Data-solution'!$A$3="Maximize",MAX($C134:$AI134),MIN($C134:$AI134)),$C134:$AI134,0)),J123-INDEX($C123:$AJ133,1,MATCH(IF('Data-solution'!$A$3="Maximize",MAX($C134:$AI134),MIN($C134:$AI134)),$C134:$AI134,0))*INDEX(J123:$AJ133,MATCH(MIN($AK123:$AK133),$AK123:$AK133,0),1)/INDEX($C123:$AJ133,MATCH(MIN($AK123:$AK133),$AK123:$AK133,0),MATCH(IF('Data-solution'!$A$3="Maximize",MAX($C134:$AI134),MIN($C134:$AI134)),$C134:$AI134,0))),J123)</f>
        <v>0</v>
      </c>
      <c r="K138" s="1">
        <f>IF(OR($B138&lt;&gt;$B123,$B139&lt;&gt;$B124,$B140&lt;&gt;$B125,$B141&lt;&gt;$B126,$B142&lt;&gt;$B127,$B143&lt;&gt;$B128,$B144&lt;&gt;$B129,$B145&lt;&gt;$B130,$B146&lt;&gt;$B131,$B147&lt;&gt;$B132,$B148&lt;&gt;$B133),IF($B138&lt;&gt;$B123,K123/INDEX($C123:$AJ133,1,MATCH(IF('Data-solution'!$A$3="Maximize",MAX($C134:$AI134),MIN($C134:$AI134)),$C134:$AI134,0)),K123-INDEX($C123:$AJ133,1,MATCH(IF('Data-solution'!$A$3="Maximize",MAX($C134:$AI134),MIN($C134:$AI134)),$C134:$AI134,0))*INDEX(K123:$AJ133,MATCH(MIN($AK123:$AK133),$AK123:$AK133,0),1)/INDEX($C123:$AJ133,MATCH(MIN($AK123:$AK133),$AK123:$AK133,0),MATCH(IF('Data-solution'!$A$3="Maximize",MAX($C134:$AI134),MIN($C134:$AI134)),$C134:$AI134,0))),K123)</f>
        <v>0</v>
      </c>
      <c r="L138" s="1">
        <f>IF(OR($B138&lt;&gt;$B123,$B139&lt;&gt;$B124,$B140&lt;&gt;$B125,$B141&lt;&gt;$B126,$B142&lt;&gt;$B127,$B143&lt;&gt;$B128,$B144&lt;&gt;$B129,$B145&lt;&gt;$B130,$B146&lt;&gt;$B131,$B147&lt;&gt;$B132,$B148&lt;&gt;$B133),IF($B138&lt;&gt;$B123,L123/INDEX($C123:$AJ133,1,MATCH(IF('Data-solution'!$A$3="Maximize",MAX($C134:$AI134),MIN($C134:$AI134)),$C134:$AI134,0)),L123-INDEX($C123:$AJ133,1,MATCH(IF('Data-solution'!$A$3="Maximize",MAX($C134:$AI134),MIN($C134:$AI134)),$C134:$AI134,0))*INDEX(L123:$AJ133,MATCH(MIN($AK123:$AK133),$AK123:$AK133,0),1)/INDEX($C123:$AJ133,MATCH(MIN($AK123:$AK133),$AK123:$AK133,0),MATCH(IF('Data-solution'!$A$3="Maximize",MAX($C134:$AI134),MIN($C134:$AI134)),$C134:$AI134,0))),L123)</f>
        <v>0</v>
      </c>
      <c r="M138" s="1">
        <f>IF(OR($B138&lt;&gt;$B123,$B139&lt;&gt;$B124,$B140&lt;&gt;$B125,$B141&lt;&gt;$B126,$B142&lt;&gt;$B127,$B143&lt;&gt;$B128,$B144&lt;&gt;$B129,$B145&lt;&gt;$B130,$B146&lt;&gt;$B131,$B147&lt;&gt;$B132,$B148&lt;&gt;$B133),IF($B138&lt;&gt;$B123,M123/INDEX($C123:$AJ133,1,MATCH(IF('Data-solution'!$A$3="Maximize",MAX($C134:$AI134),MIN($C134:$AI134)),$C134:$AI134,0)),M123-INDEX($C123:$AJ133,1,MATCH(IF('Data-solution'!$A$3="Maximize",MAX($C134:$AI134),MIN($C134:$AI134)),$C134:$AI134,0))*INDEX(M123:$AJ133,MATCH(MIN($AK123:$AK133),$AK123:$AK133,0),1)/INDEX($C123:$AJ133,MATCH(MIN($AK123:$AK133),$AK123:$AK133,0),MATCH(IF('Data-solution'!$A$3="Maximize",MAX($C134:$AI134),MIN($C134:$AI134)),$C134:$AI134,0))),M123)</f>
        <v>0</v>
      </c>
      <c r="N138" s="1">
        <f>IF(OR($B138&lt;&gt;$B123,$B139&lt;&gt;$B124,$B140&lt;&gt;$B125,$B141&lt;&gt;$B126,$B142&lt;&gt;$B127,$B143&lt;&gt;$B128,$B144&lt;&gt;$B129,$B145&lt;&gt;$B130,$B146&lt;&gt;$B131,$B147&lt;&gt;$B132,$B148&lt;&gt;$B133),IF($B138&lt;&gt;$B123,N123/INDEX($C123:$AJ133,1,MATCH(IF('Data-solution'!$A$3="Maximize",MAX($C134:$AI134),MIN($C134:$AI134)),$C134:$AI134,0)),N123-INDEX($C123:$AJ133,1,MATCH(IF('Data-solution'!$A$3="Maximize",MAX($C134:$AI134),MIN($C134:$AI134)),$C134:$AI134,0))*INDEX(N123:$AJ133,MATCH(MIN($AK123:$AK133),$AK123:$AK133,0),1)/INDEX($C123:$AJ133,MATCH(MIN($AK123:$AK133),$AK123:$AK133,0),MATCH(IF('Data-solution'!$A$3="Maximize",MAX($C134:$AI134),MIN($C134:$AI134)),$C134:$AI134,0))),N123)</f>
        <v>1</v>
      </c>
      <c r="O138" s="1">
        <f>IF(OR($B138&lt;&gt;$B123,$B139&lt;&gt;$B124,$B140&lt;&gt;$B125,$B141&lt;&gt;$B126,$B142&lt;&gt;$B127,$B143&lt;&gt;$B128,$B144&lt;&gt;$B129,$B145&lt;&gt;$B130,$B146&lt;&gt;$B131,$B147&lt;&gt;$B132,$B148&lt;&gt;$B133),IF($B138&lt;&gt;$B123,O123/INDEX($C123:$AJ133,1,MATCH(IF('Data-solution'!$A$3="Maximize",MAX($C134:$AI134),MIN($C134:$AI134)),$C134:$AI134,0)),O123-INDEX($C123:$AJ133,1,MATCH(IF('Data-solution'!$A$3="Maximize",MAX($C134:$AI134),MIN($C134:$AI134)),$C134:$AI134,0))*INDEX(O123:$AJ133,MATCH(MIN($AK123:$AK133),$AK123:$AK133,0),1)/INDEX($C123:$AJ133,MATCH(MIN($AK123:$AK133),$AK123:$AK133,0),MATCH(IF('Data-solution'!$A$3="Maximize",MAX($C134:$AI134),MIN($C134:$AI134)),$C134:$AI134,0))),O123)</f>
        <v>0</v>
      </c>
      <c r="P138" s="1">
        <f>IF(OR($B138&lt;&gt;$B123,$B139&lt;&gt;$B124,$B140&lt;&gt;$B125,$B141&lt;&gt;$B126,$B142&lt;&gt;$B127,$B143&lt;&gt;$B128,$B144&lt;&gt;$B129,$B145&lt;&gt;$B130,$B146&lt;&gt;$B131,$B147&lt;&gt;$B132,$B148&lt;&gt;$B133),IF($B138&lt;&gt;$B123,P123/INDEX($C123:$AJ133,1,MATCH(IF('Data-solution'!$A$3="Maximize",MAX($C134:$AI134),MIN($C134:$AI134)),$C134:$AI134,0)),P123-INDEX($C123:$AJ133,1,MATCH(IF('Data-solution'!$A$3="Maximize",MAX($C134:$AI134),MIN($C134:$AI134)),$C134:$AI134,0))*INDEX(P123:$AJ133,MATCH(MIN($AK123:$AK133),$AK123:$AK133,0),1)/INDEX($C123:$AJ133,MATCH(MIN($AK123:$AK133),$AK123:$AK133,0),MATCH(IF('Data-solution'!$A$3="Maximize",MAX($C134:$AI134),MIN($C134:$AI134)),$C134:$AI134,0))),P123)</f>
        <v>0</v>
      </c>
      <c r="Q138" s="1">
        <f>IF(OR($B138&lt;&gt;$B123,$B139&lt;&gt;$B124,$B140&lt;&gt;$B125,$B141&lt;&gt;$B126,$B142&lt;&gt;$B127,$B143&lt;&gt;$B128,$B144&lt;&gt;$B129,$B145&lt;&gt;$B130,$B146&lt;&gt;$B131,$B147&lt;&gt;$B132,$B148&lt;&gt;$B133),IF($B138&lt;&gt;$B123,Q123/INDEX($C123:$AJ133,1,MATCH(IF('Data-solution'!$A$3="Maximize",MAX($C134:$AI134),MIN($C134:$AI134)),$C134:$AI134,0)),Q123-INDEX($C123:$AJ133,1,MATCH(IF('Data-solution'!$A$3="Maximize",MAX($C134:$AI134),MIN($C134:$AI134)),$C134:$AI134,0))*INDEX(Q123:$AJ133,MATCH(MIN($AK123:$AK133),$AK123:$AK133,0),1)/INDEX($C123:$AJ133,MATCH(MIN($AK123:$AK133),$AK123:$AK133,0),MATCH(IF('Data-solution'!$A$3="Maximize",MAX($C134:$AI134),MIN($C134:$AI134)),$C134:$AI134,0))),Q123)</f>
        <v>-1</v>
      </c>
      <c r="R138" s="1">
        <f>IF(OR($B138&lt;&gt;$B123,$B139&lt;&gt;$B124,$B140&lt;&gt;$B125,$B141&lt;&gt;$B126,$B142&lt;&gt;$B127,$B143&lt;&gt;$B128,$B144&lt;&gt;$B129,$B145&lt;&gt;$B130,$B146&lt;&gt;$B131,$B147&lt;&gt;$B132,$B148&lt;&gt;$B133),IF($B138&lt;&gt;$B123,R123/INDEX($C123:$AJ133,1,MATCH(IF('Data-solution'!$A$3="Maximize",MAX($C134:$AI134),MIN($C134:$AI134)),$C134:$AI134,0)),R123-INDEX($C123:$AJ133,1,MATCH(IF('Data-solution'!$A$3="Maximize",MAX($C134:$AI134),MIN($C134:$AI134)),$C134:$AI134,0))*INDEX(R123:$AJ133,MATCH(MIN($AK123:$AK133),$AK123:$AK133,0),1)/INDEX($C123:$AJ133,MATCH(MIN($AK123:$AK133),$AK123:$AK133,0),MATCH(IF('Data-solution'!$A$3="Maximize",MAX($C134:$AI134),MIN($C134:$AI134)),$C134:$AI134,0))),R123)</f>
        <v>0</v>
      </c>
      <c r="S138" s="1">
        <f>IF(OR($B138&lt;&gt;$B123,$B139&lt;&gt;$B124,$B140&lt;&gt;$B125,$B141&lt;&gt;$B126,$B142&lt;&gt;$B127,$B143&lt;&gt;$B128,$B144&lt;&gt;$B129,$B145&lt;&gt;$B130,$B146&lt;&gt;$B131,$B147&lt;&gt;$B132,$B148&lt;&gt;$B133),IF($B138&lt;&gt;$B123,S123/INDEX($C123:$AJ133,1,MATCH(IF('Data-solution'!$A$3="Maximize",MAX($C134:$AI134),MIN($C134:$AI134)),$C134:$AI134,0)),S123-INDEX($C123:$AJ133,1,MATCH(IF('Data-solution'!$A$3="Maximize",MAX($C134:$AI134),MIN($C134:$AI134)),$C134:$AI134,0))*INDEX(S123:$AJ133,MATCH(MIN($AK123:$AK133),$AK123:$AK133,0),1)/INDEX($C123:$AJ133,MATCH(MIN($AK123:$AK133),$AK123:$AK133,0),MATCH(IF('Data-solution'!$A$3="Maximize",MAX($C134:$AI134),MIN($C134:$AI134)),$C134:$AI134,0))),S123)</f>
        <v>0</v>
      </c>
      <c r="T138" s="1">
        <f>IF(OR($B138&lt;&gt;$B123,$B139&lt;&gt;$B124,$B140&lt;&gt;$B125,$B141&lt;&gt;$B126,$B142&lt;&gt;$B127,$B143&lt;&gt;$B128,$B144&lt;&gt;$B129,$B145&lt;&gt;$B130,$B146&lt;&gt;$B131,$B147&lt;&gt;$B132,$B148&lt;&gt;$B133),IF($B138&lt;&gt;$B123,T123/INDEX($C123:$AJ133,1,MATCH(IF('Data-solution'!$A$3="Maximize",MAX($C134:$AI134),MIN($C134:$AI134)),$C134:$AI134,0)),T123-INDEX($C123:$AJ133,1,MATCH(IF('Data-solution'!$A$3="Maximize",MAX($C134:$AI134),MIN($C134:$AI134)),$C134:$AI134,0))*INDEX(T123:$AJ133,MATCH(MIN($AK123:$AK133),$AK123:$AK133,0),1)/INDEX($C123:$AJ133,MATCH(MIN($AK123:$AK133),$AK123:$AK133,0),MATCH(IF('Data-solution'!$A$3="Maximize",MAX($C134:$AI134),MIN($C134:$AI134)),$C134:$AI134,0))),T123)</f>
        <v>0</v>
      </c>
      <c r="U138" s="1">
        <f>IF(OR($B138&lt;&gt;$B123,$B139&lt;&gt;$B124,$B140&lt;&gt;$B125,$B141&lt;&gt;$B126,$B142&lt;&gt;$B127,$B143&lt;&gt;$B128,$B144&lt;&gt;$B129,$B145&lt;&gt;$B130,$B146&lt;&gt;$B131,$B147&lt;&gt;$B132,$B148&lt;&gt;$B133),IF($B138&lt;&gt;$B123,U123/INDEX($C123:$AJ133,1,MATCH(IF('Data-solution'!$A$3="Maximize",MAX($C134:$AI134),MIN($C134:$AI134)),$C134:$AI134,0)),U123-INDEX($C123:$AJ133,1,MATCH(IF('Data-solution'!$A$3="Maximize",MAX($C134:$AI134),MIN($C134:$AI134)),$C134:$AI134,0))*INDEX(U123:$AJ133,MATCH(MIN($AK123:$AK133),$AK123:$AK133,0),1)/INDEX($C123:$AJ133,MATCH(MIN($AK123:$AK133),$AK123:$AK133,0),MATCH(IF('Data-solution'!$A$3="Maximize",MAX($C134:$AI134),MIN($C134:$AI134)),$C134:$AI134,0))),U123)</f>
        <v>0</v>
      </c>
      <c r="V138" s="1">
        <f>IF(OR($B138&lt;&gt;$B123,$B139&lt;&gt;$B124,$B140&lt;&gt;$B125,$B141&lt;&gt;$B126,$B142&lt;&gt;$B127,$B143&lt;&gt;$B128,$B144&lt;&gt;$B129,$B145&lt;&gt;$B130,$B146&lt;&gt;$B131,$B147&lt;&gt;$B132,$B148&lt;&gt;$B133),IF($B138&lt;&gt;$B123,V123/INDEX($C123:$AJ133,1,MATCH(IF('Data-solution'!$A$3="Maximize",MAX($C134:$AI134),MIN($C134:$AI134)),$C134:$AI134,0)),V123-INDEX($C123:$AJ133,1,MATCH(IF('Data-solution'!$A$3="Maximize",MAX($C134:$AI134),MIN($C134:$AI134)),$C134:$AI134,0))*INDEX(V123:$AJ133,MATCH(MIN($AK123:$AK133),$AK123:$AK133,0),1)/INDEX($C123:$AJ133,MATCH(MIN($AK123:$AK133),$AK123:$AK133,0),MATCH(IF('Data-solution'!$A$3="Maximize",MAX($C134:$AI134),MIN($C134:$AI134)),$C134:$AI134,0))),V123)</f>
        <v>0</v>
      </c>
      <c r="W138" s="1">
        <f>IF(OR($B138&lt;&gt;$B123,$B139&lt;&gt;$B124,$B140&lt;&gt;$B125,$B141&lt;&gt;$B126,$B142&lt;&gt;$B127,$B143&lt;&gt;$B128,$B144&lt;&gt;$B129,$B145&lt;&gt;$B130,$B146&lt;&gt;$B131,$B147&lt;&gt;$B132,$B148&lt;&gt;$B133),IF($B138&lt;&gt;$B123,W123/INDEX($C123:$AJ133,1,MATCH(IF('Data-solution'!$A$3="Maximize",MAX($C134:$AI134),MIN($C134:$AI134)),$C134:$AI134,0)),W123-INDEX($C123:$AJ133,1,MATCH(IF('Data-solution'!$A$3="Maximize",MAX($C134:$AI134),MIN($C134:$AI134)),$C134:$AI134,0))*INDEX(W123:$AJ133,MATCH(MIN($AK123:$AK133),$AK123:$AK133,0),1)/INDEX($C123:$AJ133,MATCH(MIN($AK123:$AK133),$AK123:$AK133,0),MATCH(IF('Data-solution'!$A$3="Maximize",MAX($C134:$AI134),MIN($C134:$AI134)),$C134:$AI134,0))),W123)</f>
        <v>0</v>
      </c>
      <c r="X138" s="1">
        <f>IF(OR($B138&lt;&gt;$B123,$B139&lt;&gt;$B124,$B140&lt;&gt;$B125,$B141&lt;&gt;$B126,$B142&lt;&gt;$B127,$B143&lt;&gt;$B128,$B144&lt;&gt;$B129,$B145&lt;&gt;$B130,$B146&lt;&gt;$B131,$B147&lt;&gt;$B132,$B148&lt;&gt;$B133),IF($B138&lt;&gt;$B123,X123/INDEX($C123:$AJ133,1,MATCH(IF('Data-solution'!$A$3="Maximize",MAX($C134:$AI134),MIN($C134:$AI134)),$C134:$AI134,0)),X123-INDEX($C123:$AJ133,1,MATCH(IF('Data-solution'!$A$3="Maximize",MAX($C134:$AI134),MIN($C134:$AI134)),$C134:$AI134,0))*INDEX(X123:$AJ133,MATCH(MIN($AK123:$AK133),$AK123:$AK133,0),1)/INDEX($C123:$AJ133,MATCH(MIN($AK123:$AK133),$AK123:$AK133,0),MATCH(IF('Data-solution'!$A$3="Maximize",MAX($C134:$AI134),MIN($C134:$AI134)),$C134:$AI134,0))),X123)</f>
        <v>0</v>
      </c>
      <c r="Y138" s="1">
        <f>IF(OR($B138&lt;&gt;$B123,$B139&lt;&gt;$B124,$B140&lt;&gt;$B125,$B141&lt;&gt;$B126,$B142&lt;&gt;$B127,$B143&lt;&gt;$B128,$B144&lt;&gt;$B129,$B145&lt;&gt;$B130,$B146&lt;&gt;$B131,$B147&lt;&gt;$B132,$B148&lt;&gt;$B133),IF($B138&lt;&gt;$B123,Y123/INDEX($C123:$AJ133,1,MATCH(IF('Data-solution'!$A$3="Maximize",MAX($C134:$AI134),MIN($C134:$AI134)),$C134:$AI134,0)),Y123-INDEX($C123:$AJ133,1,MATCH(IF('Data-solution'!$A$3="Maximize",MAX($C134:$AI134),MIN($C134:$AI134)),$C134:$AI134,0))*INDEX(Y123:$AJ133,MATCH(MIN($AK123:$AK133),$AK123:$AK133,0),1)/INDEX($C123:$AJ133,MATCH(MIN($AK123:$AK133),$AK123:$AK133,0),MATCH(IF('Data-solution'!$A$3="Maximize",MAX($C134:$AI134),MIN($C134:$AI134)),$C134:$AI134,0))),Y123)</f>
        <v>1</v>
      </c>
      <c r="Z138" s="1">
        <f>IF(OR($B138&lt;&gt;$B123,$B139&lt;&gt;$B124,$B140&lt;&gt;$B125,$B141&lt;&gt;$B126,$B142&lt;&gt;$B127,$B143&lt;&gt;$B128,$B144&lt;&gt;$B129,$B145&lt;&gt;$B130,$B146&lt;&gt;$B131,$B147&lt;&gt;$B132,$B148&lt;&gt;$B133),IF($B138&lt;&gt;$B123,Z123/INDEX($C123:$AJ133,1,MATCH(IF('Data-solution'!$A$3="Maximize",MAX($C134:$AI134),MIN($C134:$AI134)),$C134:$AI134,0)),Z123-INDEX($C123:$AJ133,1,MATCH(IF('Data-solution'!$A$3="Maximize",MAX($C134:$AI134),MIN($C134:$AI134)),$C134:$AI134,0))*INDEX(Z123:$AJ133,MATCH(MIN($AK123:$AK133),$AK123:$AK133,0),1)/INDEX($C123:$AJ133,MATCH(MIN($AK123:$AK133),$AK123:$AK133,0),MATCH(IF('Data-solution'!$A$3="Maximize",MAX($C134:$AI134),MIN($C134:$AI134)),$C134:$AI134,0))),Z123)</f>
        <v>0</v>
      </c>
      <c r="AA138" s="1">
        <f>IF(OR($B138&lt;&gt;$B123,$B139&lt;&gt;$B124,$B140&lt;&gt;$B125,$B141&lt;&gt;$B126,$B142&lt;&gt;$B127,$B143&lt;&gt;$B128,$B144&lt;&gt;$B129,$B145&lt;&gt;$B130,$B146&lt;&gt;$B131,$B147&lt;&gt;$B132,$B148&lt;&gt;$B133),IF($B138&lt;&gt;$B123,AA123/INDEX($C123:$AJ133,1,MATCH(IF('Data-solution'!$A$3="Maximize",MAX($C134:$AI134),MIN($C134:$AI134)),$C134:$AI134,0)),AA123-INDEX($C123:$AJ133,1,MATCH(IF('Data-solution'!$A$3="Maximize",MAX($C134:$AI134),MIN($C134:$AI134)),$C134:$AI134,0))*INDEX(AA123:$AJ133,MATCH(MIN($AK123:$AK133),$AK123:$AK133,0),1)/INDEX($C123:$AJ133,MATCH(MIN($AK123:$AK133),$AK123:$AK133,0),MATCH(IF('Data-solution'!$A$3="Maximize",MAX($C134:$AI134),MIN($C134:$AI134)),$C134:$AI134,0))),AA123)</f>
        <v>0</v>
      </c>
      <c r="AB138" s="1">
        <f>IF(OR($B138&lt;&gt;$B123,$B139&lt;&gt;$B124,$B140&lt;&gt;$B125,$B141&lt;&gt;$B126,$B142&lt;&gt;$B127,$B143&lt;&gt;$B128,$B144&lt;&gt;$B129,$B145&lt;&gt;$B130,$B146&lt;&gt;$B131,$B147&lt;&gt;$B132,$B148&lt;&gt;$B133),IF($B138&lt;&gt;$B123,AB123/INDEX($C123:$AJ133,1,MATCH(IF('Data-solution'!$A$3="Maximize",MAX($C134:$AI134),MIN($C134:$AI134)),$C134:$AI134,0)),AB123-INDEX($C123:$AJ133,1,MATCH(IF('Data-solution'!$A$3="Maximize",MAX($C134:$AI134),MIN($C134:$AI134)),$C134:$AI134,0))*INDEX(AB123:$AJ133,MATCH(MIN($AK123:$AK133),$AK123:$AK133,0),1)/INDEX($C123:$AJ133,MATCH(MIN($AK123:$AK133),$AK123:$AK133,0),MATCH(IF('Data-solution'!$A$3="Maximize",MAX($C134:$AI134),MIN($C134:$AI134)),$C134:$AI134,0))),AB123)</f>
        <v>-1</v>
      </c>
      <c r="AC138" s="1">
        <f>IF(OR($B138&lt;&gt;$B123,$B139&lt;&gt;$B124,$B140&lt;&gt;$B125,$B141&lt;&gt;$B126,$B142&lt;&gt;$B127,$B143&lt;&gt;$B128,$B144&lt;&gt;$B129,$B145&lt;&gt;$B130,$B146&lt;&gt;$B131,$B147&lt;&gt;$B132,$B148&lt;&gt;$B133),IF($B138&lt;&gt;$B123,AC123/INDEX($C123:$AJ133,1,MATCH(IF('Data-solution'!$A$3="Maximize",MAX($C134:$AI134),MIN($C134:$AI134)),$C134:$AI134,0)),AC123-INDEX($C123:$AJ133,1,MATCH(IF('Data-solution'!$A$3="Maximize",MAX($C134:$AI134),MIN($C134:$AI134)),$C134:$AI134,0))*INDEX(AC123:$AJ133,MATCH(MIN($AK123:$AK133),$AK123:$AK133,0),1)/INDEX($C123:$AJ133,MATCH(MIN($AK123:$AK133),$AK123:$AK133,0),MATCH(IF('Data-solution'!$A$3="Maximize",MAX($C134:$AI134),MIN($C134:$AI134)),$C134:$AI134,0))),AC123)</f>
        <v>0</v>
      </c>
      <c r="AD138" s="1">
        <f>IF(OR($B138&lt;&gt;$B123,$B139&lt;&gt;$B124,$B140&lt;&gt;$B125,$B141&lt;&gt;$B126,$B142&lt;&gt;$B127,$B143&lt;&gt;$B128,$B144&lt;&gt;$B129,$B145&lt;&gt;$B130,$B146&lt;&gt;$B131,$B147&lt;&gt;$B132,$B148&lt;&gt;$B133),IF($B138&lt;&gt;$B123,AD123/INDEX($C123:$AJ133,1,MATCH(IF('Data-solution'!$A$3="Maximize",MAX($C134:$AI134),MIN($C134:$AI134)),$C134:$AI134,0)),AD123-INDEX($C123:$AJ133,1,MATCH(IF('Data-solution'!$A$3="Maximize",MAX($C134:$AI134),MIN($C134:$AI134)),$C134:$AI134,0))*INDEX(AD123:$AJ133,MATCH(MIN($AK123:$AK133),$AK123:$AK133,0),1)/INDEX($C123:$AJ133,MATCH(MIN($AK123:$AK133),$AK123:$AK133,0),MATCH(IF('Data-solution'!$A$3="Maximize",MAX($C134:$AI134),MIN($C134:$AI134)),$C134:$AI134,0))),AD123)</f>
        <v>0</v>
      </c>
      <c r="AE138" s="1">
        <f>IF(OR($B138&lt;&gt;$B123,$B139&lt;&gt;$B124,$B140&lt;&gt;$B125,$B141&lt;&gt;$B126,$B142&lt;&gt;$B127,$B143&lt;&gt;$B128,$B144&lt;&gt;$B129,$B145&lt;&gt;$B130,$B146&lt;&gt;$B131,$B147&lt;&gt;$B132,$B148&lt;&gt;$B133),IF($B138&lt;&gt;$B123,AE123/INDEX($C123:$AJ133,1,MATCH(IF('Data-solution'!$A$3="Maximize",MAX($C134:$AI134),MIN($C134:$AI134)),$C134:$AI134,0)),AE123-INDEX($C123:$AJ133,1,MATCH(IF('Data-solution'!$A$3="Maximize",MAX($C134:$AI134),MIN($C134:$AI134)),$C134:$AI134,0))*INDEX(AE123:$AJ133,MATCH(MIN($AK123:$AK133),$AK123:$AK133,0),1)/INDEX($C123:$AJ133,MATCH(MIN($AK123:$AK133),$AK123:$AK133,0),MATCH(IF('Data-solution'!$A$3="Maximize",MAX($C134:$AI134),MIN($C134:$AI134)),$C134:$AI134,0))),AE123)</f>
        <v>0</v>
      </c>
      <c r="AF138" s="1">
        <f>IF(OR($B138&lt;&gt;$B123,$B139&lt;&gt;$B124,$B140&lt;&gt;$B125,$B141&lt;&gt;$B126,$B142&lt;&gt;$B127,$B143&lt;&gt;$B128,$B144&lt;&gt;$B129,$B145&lt;&gt;$B130,$B146&lt;&gt;$B131,$B147&lt;&gt;$B132,$B148&lt;&gt;$B133),IF($B138&lt;&gt;$B123,AF123/INDEX($C123:$AJ133,1,MATCH(IF('Data-solution'!$A$3="Maximize",MAX($C134:$AI134),MIN($C134:$AI134)),$C134:$AI134,0)),AF123-INDEX($C123:$AJ133,1,MATCH(IF('Data-solution'!$A$3="Maximize",MAX($C134:$AI134),MIN($C134:$AI134)),$C134:$AI134,0))*INDEX(AF123:$AJ133,MATCH(MIN($AK123:$AK133),$AK123:$AK133,0),1)/INDEX($C123:$AJ133,MATCH(MIN($AK123:$AK133),$AK123:$AK133,0),MATCH(IF('Data-solution'!$A$3="Maximize",MAX($C134:$AI134),MIN($C134:$AI134)),$C134:$AI134,0))),AF123)</f>
        <v>0</v>
      </c>
      <c r="AG138" s="1">
        <f>IF(OR($B138&lt;&gt;$B123,$B139&lt;&gt;$B124,$B140&lt;&gt;$B125,$B141&lt;&gt;$B126,$B142&lt;&gt;$B127,$B143&lt;&gt;$B128,$B144&lt;&gt;$B129,$B145&lt;&gt;$B130,$B146&lt;&gt;$B131,$B147&lt;&gt;$B132,$B148&lt;&gt;$B133),IF($B138&lt;&gt;$B123,AG123/INDEX($C123:$AJ133,1,MATCH(IF('Data-solution'!$A$3="Maximize",MAX($C134:$AI134),MIN($C134:$AI134)),$C134:$AI134,0)),AG123-INDEX($C123:$AJ133,1,MATCH(IF('Data-solution'!$A$3="Maximize",MAX($C134:$AI134),MIN($C134:$AI134)),$C134:$AI134,0))*INDEX(AG123:$AJ133,MATCH(MIN($AK123:$AK133),$AK123:$AK133,0),1)/INDEX($C123:$AJ133,MATCH(MIN($AK123:$AK133),$AK123:$AK133,0),MATCH(IF('Data-solution'!$A$3="Maximize",MAX($C134:$AI134),MIN($C134:$AI134)),$C134:$AI134,0))),AG123)</f>
        <v>0</v>
      </c>
      <c r="AH138" s="1">
        <f>IF(OR($B138&lt;&gt;$B123,$B139&lt;&gt;$B124,$B140&lt;&gt;$B125,$B141&lt;&gt;$B126,$B142&lt;&gt;$B127,$B143&lt;&gt;$B128,$B144&lt;&gt;$B129,$B145&lt;&gt;$B130,$B146&lt;&gt;$B131,$B147&lt;&gt;$B132,$B148&lt;&gt;$B133),IF($B138&lt;&gt;$B123,AH123/INDEX($C123:$AJ133,1,MATCH(IF('Data-solution'!$A$3="Maximize",MAX($C134:$AI134),MIN($C134:$AI134)),$C134:$AI134,0)),AH123-INDEX($C123:$AJ133,1,MATCH(IF('Data-solution'!$A$3="Maximize",MAX($C134:$AI134),MIN($C134:$AI134)),$C134:$AI134,0))*INDEX(AH123:$AJ133,MATCH(MIN($AK123:$AK133),$AK123:$AK133,0),1)/INDEX($C123:$AJ133,MATCH(MIN($AK123:$AK133),$AK123:$AK133,0),MATCH(IF('Data-solution'!$A$3="Maximize",MAX($C134:$AI134),MIN($C134:$AI134)),$C134:$AI134,0))),AH123)</f>
        <v>0</v>
      </c>
      <c r="AI138" s="1">
        <f>IF(OR($B138&lt;&gt;$B123,$B139&lt;&gt;$B124,$B140&lt;&gt;$B125,$B141&lt;&gt;$B126,$B142&lt;&gt;$B127,$B143&lt;&gt;$B128,$B144&lt;&gt;$B129,$B145&lt;&gt;$B130,$B146&lt;&gt;$B131,$B147&lt;&gt;$B132,$B148&lt;&gt;$B133),IF($B138&lt;&gt;$B123,AI123/INDEX($C123:$AJ133,1,MATCH(IF('Data-solution'!$A$3="Maximize",MAX($C134:$AI134),MIN($C134:$AI134)),$C134:$AI134,0)),AI123-INDEX($C123:$AJ133,1,MATCH(IF('Data-solution'!$A$3="Maximize",MAX($C134:$AI134),MIN($C134:$AI134)),$C134:$AI134,0))*INDEX(AI123:$AJ133,MATCH(MIN($AK123:$AK133),$AK123:$AK133,0),1)/INDEX($C123:$AJ133,MATCH(MIN($AK123:$AK133),$AK123:$AK133,0),MATCH(IF('Data-solution'!$A$3="Maximize",MAX($C134:$AI134),MIN($C134:$AI134)),$C134:$AI134,0))),AI123)</f>
        <v>0</v>
      </c>
      <c r="AJ138" s="1">
        <f>IF(OR($B138&lt;&gt;$B123,$B139&lt;&gt;$B124,$B140&lt;&gt;$B125,$B141&lt;&gt;$B126,$B142&lt;&gt;$B127,$B143&lt;&gt;$B128,$B144&lt;&gt;$B129,$B145&lt;&gt;$B130,$B146&lt;&gt;$B131,$B147&lt;&gt;$B132,$B148&lt;&gt;$B133),IF($B138&lt;&gt;$B123,AJ123/INDEX($C123:$AJ133,1,MATCH(IF('Data-solution'!$A$3="Maximize",MAX($C134:$AI134),MIN($C134:$AI134)),$C134:$AI134,0)),AJ123-INDEX($C123:$AJ133,1,MATCH(IF('Data-solution'!$A$3="Maximize",MAX($C134:$AI134),MIN($C134:$AI134)),$C134:$AI134,0))*INDEX(AJ123:$AJ133,MATCH(MIN($AK123:$AK133),$AK123:$AK133,0),1)/INDEX($C123:$AJ133,MATCH(MIN($AK123:$AK133),$AK123:$AK133,0),MATCH(IF('Data-solution'!$A$3="Maximize",MAX($C134:$AI134),MIN($C134:$AI134)),$C134:$AI134,0))),AJ123)</f>
        <v>150</v>
      </c>
      <c r="AK138" s="1" t="str">
        <f>IF(INDEX(C138:X138,1,MATCH(IF('Data-solution'!A$3="Maximize",MAX(C149:X149),MIN(C149:X149)),C149:X149,0))&gt;0,AJ138/INDEX(C138:X138,1,MATCH(IF('Data-solution'!A$3="Maximize",MAX(C149:X149),MIN(C149:X149)),C149:X149,0))," ")</f>
        <v xml:space="preserve"> </v>
      </c>
    </row>
    <row r="139" spans="1:37" ht="18" customHeight="1" x14ac:dyDescent="0.2">
      <c r="A139" s="1">
        <f t="shared" ref="A139" si="111">INDEX(C136:AI136,1,MATCH(B139,C137:AI137,0))</f>
        <v>0</v>
      </c>
      <c r="B139" s="2" t="str">
        <f>IF(AND('Data-solution'!A$3="Maximize",COUNTIF(C134:X134,"&gt;"&amp;0)&gt;0,AK124=MIN(AK123:AK133),COUNTIF(B138,INDEX(C122:X122,1,MATCH(MAX(C134:X134),C134:X134,0)))=0),INDEX(C122:X122,1,MATCH(MAX(C134:X134),C134:X134,0)),IF(AND('Data-solution'!A$3="Minimize",COUNTIF(C134:X134,"&lt;"&amp;0)&gt;0,AK124=MIN(AK123:AK133),COUNTIF(B138,INDEX(C122:X122,1,MATCH(MIN(C134:X134),C134:X134,0)))=0),INDEX(C122:X122,1,MATCH(MIN(C134:X134),C134:X134,0)),B124))</f>
        <v>S2</v>
      </c>
      <c r="C139" s="1">
        <f>IF(OR($B138&lt;&gt;$B123,$B139&lt;&gt;$B124,$B140&lt;&gt;$B125,$B141&lt;&gt;$B126,$B142&lt;&gt;$B127,$B143&lt;&gt;$B128,$B144&lt;&gt;$B129,$B145&lt;&gt;$B130,$B146&lt;&gt;$B131,$B147&lt;&gt;$B132,$B148&lt;&gt;$B133),IF($B139&lt;&gt;$B124,C124/INDEX($C123:$AJ133,2,MATCH(IF('Data-solution'!$A$3="Maximize",MAX($C134:$AI134),MIN($C134:$AI134)),$C134:$AI134,0)),C124-INDEX($C123:$AJ133,2,MATCH(IF('Data-solution'!$A$3="Maximize",MAX($C134:$AI134),MIN($C134:$AI134)),$C134:$AI134,0))*INDEX(C123:$AJ133,MATCH(MIN($AK123:$AK133),$AK123:$AK133,0),1)/INDEX($C123:$AJ133,MATCH(MIN($AK123:$AK133),$AK123:$AK133,0),MATCH(IF('Data-solution'!$A$3="Maximize",MAX($C134:$AI134),MIN($C134:$AI134)),$C134:$AI134,0))),C124)</f>
        <v>0</v>
      </c>
      <c r="D139" s="1">
        <f>IF(OR($B138&lt;&gt;$B123,$B139&lt;&gt;$B124,$B140&lt;&gt;$B125,$B141&lt;&gt;$B126,$B142&lt;&gt;$B127,$B143&lt;&gt;$B128,$B144&lt;&gt;$B129,$B145&lt;&gt;$B130,$B146&lt;&gt;$B131,$B147&lt;&gt;$B132,$B148&lt;&gt;$B133),IF($B139&lt;&gt;$B124,D124/INDEX($C123:$AJ133,2,MATCH(IF('Data-solution'!$A$3="Maximize",MAX($C134:$AI134),MIN($C134:$AI134)),$C134:$AI134,0)),D124-INDEX($C123:$AJ133,2,MATCH(IF('Data-solution'!$A$3="Maximize",MAX($C134:$AI134),MIN($C134:$AI134)),$C134:$AI134,0))*INDEX(D123:$AJ133,MATCH(MIN($AK123:$AK133),$AK123:$AK133,0),1)/INDEX($C123:$AJ133,MATCH(MIN($AK123:$AK133),$AK123:$AK133,0),MATCH(IF('Data-solution'!$A$3="Maximize",MAX($C134:$AI134),MIN($C134:$AI134)),$C134:$AI134,0))),D124)</f>
        <v>1.75</v>
      </c>
      <c r="E139" s="1">
        <f>IF(OR($B138&lt;&gt;$B123,$B139&lt;&gt;$B124,$B140&lt;&gt;$B125,$B141&lt;&gt;$B126,$B142&lt;&gt;$B127,$B143&lt;&gt;$B128,$B144&lt;&gt;$B129,$B145&lt;&gt;$B130,$B146&lt;&gt;$B131,$B147&lt;&gt;$B132,$B148&lt;&gt;$B133),IF($B139&lt;&gt;$B124,E124/INDEX($C123:$AJ133,2,MATCH(IF('Data-solution'!$A$3="Maximize",MAX($C134:$AI134),MIN($C134:$AI134)),$C134:$AI134,0)),E124-INDEX($C123:$AJ133,2,MATCH(IF('Data-solution'!$A$3="Maximize",MAX($C134:$AI134),MIN($C134:$AI134)),$C134:$AI134,0))*INDEX(E123:$AJ133,MATCH(MIN($AK123:$AK133),$AK123:$AK133,0),1)/INDEX($C123:$AJ133,MATCH(MIN($AK123:$AK133),$AK123:$AK133,0),MATCH(IF('Data-solution'!$A$3="Maximize",MAX($C134:$AI134),MIN($C134:$AI134)),$C134:$AI134,0))),E124)</f>
        <v>0</v>
      </c>
      <c r="F139" s="1">
        <f>IF(OR($B138&lt;&gt;$B123,$B139&lt;&gt;$B124,$B140&lt;&gt;$B125,$B141&lt;&gt;$B126,$B142&lt;&gt;$B127,$B143&lt;&gt;$B128,$B144&lt;&gt;$B129,$B145&lt;&gt;$B130,$B146&lt;&gt;$B131,$B147&lt;&gt;$B132,$B148&lt;&gt;$B133),IF($B139&lt;&gt;$B124,F124/INDEX($C123:$AJ133,2,MATCH(IF('Data-solution'!$A$3="Maximize",MAX($C134:$AI134),MIN($C134:$AI134)),$C134:$AI134,0)),F124-INDEX($C123:$AJ133,2,MATCH(IF('Data-solution'!$A$3="Maximize",MAX($C134:$AI134),MIN($C134:$AI134)),$C134:$AI134,0))*INDEX(F123:$AJ133,MATCH(MIN($AK123:$AK133),$AK123:$AK133,0),1)/INDEX($C123:$AJ133,MATCH(MIN($AK123:$AK133),$AK123:$AK133,0),MATCH(IF('Data-solution'!$A$3="Maximize",MAX($C134:$AI134),MIN($C134:$AI134)),$C134:$AI134,0))),F124)</f>
        <v>0</v>
      </c>
      <c r="G139" s="1">
        <f>IF(OR($B138&lt;&gt;$B123,$B139&lt;&gt;$B124,$B140&lt;&gt;$B125,$B141&lt;&gt;$B126,$B142&lt;&gt;$B127,$B143&lt;&gt;$B128,$B144&lt;&gt;$B129,$B145&lt;&gt;$B130,$B146&lt;&gt;$B131,$B147&lt;&gt;$B132,$B148&lt;&gt;$B133),IF($B139&lt;&gt;$B124,G124/INDEX($C123:$AJ133,2,MATCH(IF('Data-solution'!$A$3="Maximize",MAX($C134:$AI134),MIN($C134:$AI134)),$C134:$AI134,0)),G124-INDEX($C123:$AJ133,2,MATCH(IF('Data-solution'!$A$3="Maximize",MAX($C134:$AI134),MIN($C134:$AI134)),$C134:$AI134,0))*INDEX(G123:$AJ133,MATCH(MIN($AK123:$AK133),$AK123:$AK133,0),1)/INDEX($C123:$AJ133,MATCH(MIN($AK123:$AK133),$AK123:$AK133,0),MATCH(IF('Data-solution'!$A$3="Maximize",MAX($C134:$AI134),MIN($C134:$AI134)),$C134:$AI134,0))),G124)</f>
        <v>0</v>
      </c>
      <c r="H139" s="1">
        <f>IF(OR($B138&lt;&gt;$B123,$B139&lt;&gt;$B124,$B140&lt;&gt;$B125,$B141&lt;&gt;$B126,$B142&lt;&gt;$B127,$B143&lt;&gt;$B128,$B144&lt;&gt;$B129,$B145&lt;&gt;$B130,$B146&lt;&gt;$B131,$B147&lt;&gt;$B132,$B148&lt;&gt;$B133),IF($B139&lt;&gt;$B124,H124/INDEX($C123:$AJ133,2,MATCH(IF('Data-solution'!$A$3="Maximize",MAX($C134:$AI134),MIN($C134:$AI134)),$C134:$AI134,0)),H124-INDEX($C123:$AJ133,2,MATCH(IF('Data-solution'!$A$3="Maximize",MAX($C134:$AI134),MIN($C134:$AI134)),$C134:$AI134,0))*INDEX(H123:$AJ133,MATCH(MIN($AK123:$AK133),$AK123:$AK133,0),1)/INDEX($C123:$AJ133,MATCH(MIN($AK123:$AK133),$AK123:$AK133,0),MATCH(IF('Data-solution'!$A$3="Maximize",MAX($C134:$AI134),MIN($C134:$AI134)),$C134:$AI134,0))),H124)</f>
        <v>0</v>
      </c>
      <c r="I139" s="1">
        <f>IF(OR($B138&lt;&gt;$B123,$B139&lt;&gt;$B124,$B140&lt;&gt;$B125,$B141&lt;&gt;$B126,$B142&lt;&gt;$B127,$B143&lt;&gt;$B128,$B144&lt;&gt;$B129,$B145&lt;&gt;$B130,$B146&lt;&gt;$B131,$B147&lt;&gt;$B132,$B148&lt;&gt;$B133),IF($B139&lt;&gt;$B124,I124/INDEX($C123:$AJ133,2,MATCH(IF('Data-solution'!$A$3="Maximize",MAX($C134:$AI134),MIN($C134:$AI134)),$C134:$AI134,0)),I124-INDEX($C123:$AJ133,2,MATCH(IF('Data-solution'!$A$3="Maximize",MAX($C134:$AI134),MIN($C134:$AI134)),$C134:$AI134,0))*INDEX(I123:$AJ133,MATCH(MIN($AK123:$AK133),$AK123:$AK133,0),1)/INDEX($C123:$AJ133,MATCH(MIN($AK123:$AK133),$AK123:$AK133,0),MATCH(IF('Data-solution'!$A$3="Maximize",MAX($C134:$AI134),MIN($C134:$AI134)),$C134:$AI134,0))),I124)</f>
        <v>0</v>
      </c>
      <c r="J139" s="1">
        <f>IF(OR($B138&lt;&gt;$B123,$B139&lt;&gt;$B124,$B140&lt;&gt;$B125,$B141&lt;&gt;$B126,$B142&lt;&gt;$B127,$B143&lt;&gt;$B128,$B144&lt;&gt;$B129,$B145&lt;&gt;$B130,$B146&lt;&gt;$B131,$B147&lt;&gt;$B132,$B148&lt;&gt;$B133),IF($B139&lt;&gt;$B124,J124/INDEX($C123:$AJ133,2,MATCH(IF('Data-solution'!$A$3="Maximize",MAX($C134:$AI134),MIN($C134:$AI134)),$C134:$AI134,0)),J124-INDEX($C123:$AJ133,2,MATCH(IF('Data-solution'!$A$3="Maximize",MAX($C134:$AI134),MIN($C134:$AI134)),$C134:$AI134,0))*INDEX(J123:$AJ133,MATCH(MIN($AK123:$AK133),$AK123:$AK133,0),1)/INDEX($C123:$AJ133,MATCH(MIN($AK123:$AK133),$AK123:$AK133,0),MATCH(IF('Data-solution'!$A$3="Maximize",MAX($C134:$AI134),MIN($C134:$AI134)),$C134:$AI134,0))),J124)</f>
        <v>0</v>
      </c>
      <c r="K139" s="1">
        <f>IF(OR($B138&lt;&gt;$B123,$B139&lt;&gt;$B124,$B140&lt;&gt;$B125,$B141&lt;&gt;$B126,$B142&lt;&gt;$B127,$B143&lt;&gt;$B128,$B144&lt;&gt;$B129,$B145&lt;&gt;$B130,$B146&lt;&gt;$B131,$B147&lt;&gt;$B132,$B148&lt;&gt;$B133),IF($B139&lt;&gt;$B124,K124/INDEX($C123:$AJ133,2,MATCH(IF('Data-solution'!$A$3="Maximize",MAX($C134:$AI134),MIN($C134:$AI134)),$C134:$AI134,0)),K124-INDEX($C123:$AJ133,2,MATCH(IF('Data-solution'!$A$3="Maximize",MAX($C134:$AI134),MIN($C134:$AI134)),$C134:$AI134,0))*INDEX(K123:$AJ133,MATCH(MIN($AK123:$AK133),$AK123:$AK133,0),1)/INDEX($C123:$AJ133,MATCH(MIN($AK123:$AK133),$AK123:$AK133,0),MATCH(IF('Data-solution'!$A$3="Maximize",MAX($C134:$AI134),MIN($C134:$AI134)),$C134:$AI134,0))),K124)</f>
        <v>0</v>
      </c>
      <c r="L139" s="1">
        <f>IF(OR($B138&lt;&gt;$B123,$B139&lt;&gt;$B124,$B140&lt;&gt;$B125,$B141&lt;&gt;$B126,$B142&lt;&gt;$B127,$B143&lt;&gt;$B128,$B144&lt;&gt;$B129,$B145&lt;&gt;$B130,$B146&lt;&gt;$B131,$B147&lt;&gt;$B132,$B148&lt;&gt;$B133),IF($B139&lt;&gt;$B124,L124/INDEX($C123:$AJ133,2,MATCH(IF('Data-solution'!$A$3="Maximize",MAX($C134:$AI134),MIN($C134:$AI134)),$C134:$AI134,0)),L124-INDEX($C123:$AJ133,2,MATCH(IF('Data-solution'!$A$3="Maximize",MAX($C134:$AI134),MIN($C134:$AI134)),$C134:$AI134,0))*INDEX(L123:$AJ133,MATCH(MIN($AK123:$AK133),$AK123:$AK133,0),1)/INDEX($C123:$AJ133,MATCH(MIN($AK123:$AK133),$AK123:$AK133,0),MATCH(IF('Data-solution'!$A$3="Maximize",MAX($C134:$AI134),MIN($C134:$AI134)),$C134:$AI134,0))),L124)</f>
        <v>0</v>
      </c>
      <c r="M139" s="1">
        <f>IF(OR($B138&lt;&gt;$B123,$B139&lt;&gt;$B124,$B140&lt;&gt;$B125,$B141&lt;&gt;$B126,$B142&lt;&gt;$B127,$B143&lt;&gt;$B128,$B144&lt;&gt;$B129,$B145&lt;&gt;$B130,$B146&lt;&gt;$B131,$B147&lt;&gt;$B132,$B148&lt;&gt;$B133),IF($B139&lt;&gt;$B124,M124/INDEX($C123:$AJ133,2,MATCH(IF('Data-solution'!$A$3="Maximize",MAX($C134:$AI134),MIN($C134:$AI134)),$C134:$AI134,0)),M124-INDEX($C123:$AJ133,2,MATCH(IF('Data-solution'!$A$3="Maximize",MAX($C134:$AI134),MIN($C134:$AI134)),$C134:$AI134,0))*INDEX(M123:$AJ133,MATCH(MIN($AK123:$AK133),$AK123:$AK133,0),1)/INDEX($C123:$AJ133,MATCH(MIN($AK123:$AK133),$AK123:$AK133,0),MATCH(IF('Data-solution'!$A$3="Maximize",MAX($C134:$AI134),MIN($C134:$AI134)),$C134:$AI134,0))),M124)</f>
        <v>0</v>
      </c>
      <c r="N139" s="1">
        <f>IF(OR($B138&lt;&gt;$B123,$B139&lt;&gt;$B124,$B140&lt;&gt;$B125,$B141&lt;&gt;$B126,$B142&lt;&gt;$B127,$B143&lt;&gt;$B128,$B144&lt;&gt;$B129,$B145&lt;&gt;$B130,$B146&lt;&gt;$B131,$B147&lt;&gt;$B132,$B148&lt;&gt;$B133),IF($B139&lt;&gt;$B124,N124/INDEX($C123:$AJ133,2,MATCH(IF('Data-solution'!$A$3="Maximize",MAX($C134:$AI134),MIN($C134:$AI134)),$C134:$AI134,0)),N124-INDEX($C123:$AJ133,2,MATCH(IF('Data-solution'!$A$3="Maximize",MAX($C134:$AI134),MIN($C134:$AI134)),$C134:$AI134,0))*INDEX(N123:$AJ133,MATCH(MIN($AK123:$AK133),$AK123:$AK133,0),1)/INDEX($C123:$AJ133,MATCH(MIN($AK123:$AK133),$AK123:$AK133,0),MATCH(IF('Data-solution'!$A$3="Maximize",MAX($C134:$AI134),MIN($C134:$AI134)),$C134:$AI134,0))),N124)</f>
        <v>0</v>
      </c>
      <c r="O139" s="1">
        <f>IF(OR($B138&lt;&gt;$B123,$B139&lt;&gt;$B124,$B140&lt;&gt;$B125,$B141&lt;&gt;$B126,$B142&lt;&gt;$B127,$B143&lt;&gt;$B128,$B144&lt;&gt;$B129,$B145&lt;&gt;$B130,$B146&lt;&gt;$B131,$B147&lt;&gt;$B132,$B148&lt;&gt;$B133),IF($B139&lt;&gt;$B124,O124/INDEX($C123:$AJ133,2,MATCH(IF('Data-solution'!$A$3="Maximize",MAX($C134:$AI134),MIN($C134:$AI134)),$C134:$AI134,0)),O124-INDEX($C123:$AJ133,2,MATCH(IF('Data-solution'!$A$3="Maximize",MAX($C134:$AI134),MIN($C134:$AI134)),$C134:$AI134,0))*INDEX(O123:$AJ133,MATCH(MIN($AK123:$AK133),$AK123:$AK133,0),1)/INDEX($C123:$AJ133,MATCH(MIN($AK123:$AK133),$AK123:$AK133,0),MATCH(IF('Data-solution'!$A$3="Maximize",MAX($C134:$AI134),MIN($C134:$AI134)),$C134:$AI134,0))),O124)</f>
        <v>1</v>
      </c>
      <c r="P139" s="1">
        <f>IF(OR($B138&lt;&gt;$B123,$B139&lt;&gt;$B124,$B140&lt;&gt;$B125,$B141&lt;&gt;$B126,$B142&lt;&gt;$B127,$B143&lt;&gt;$B128,$B144&lt;&gt;$B129,$B145&lt;&gt;$B130,$B146&lt;&gt;$B131,$B147&lt;&gt;$B132,$B148&lt;&gt;$B133),IF($B139&lt;&gt;$B124,P124/INDEX($C123:$AJ133,2,MATCH(IF('Data-solution'!$A$3="Maximize",MAX($C134:$AI134),MIN($C134:$AI134)),$C134:$AI134,0)),P124-INDEX($C123:$AJ133,2,MATCH(IF('Data-solution'!$A$3="Maximize",MAX($C134:$AI134),MIN($C134:$AI134)),$C134:$AI134,0))*INDEX(P123:$AJ133,MATCH(MIN($AK123:$AK133),$AK123:$AK133,0),1)/INDEX($C123:$AJ133,MATCH(MIN($AK123:$AK133),$AK123:$AK133,0),MATCH(IF('Data-solution'!$A$3="Maximize",MAX($C134:$AI134),MIN($C134:$AI134)),$C134:$AI134,0))),P124)</f>
        <v>-0.25</v>
      </c>
      <c r="Q139" s="1">
        <f>IF(OR($B138&lt;&gt;$B123,$B139&lt;&gt;$B124,$B140&lt;&gt;$B125,$B141&lt;&gt;$B126,$B142&lt;&gt;$B127,$B143&lt;&gt;$B128,$B144&lt;&gt;$B129,$B145&lt;&gt;$B130,$B146&lt;&gt;$B131,$B147&lt;&gt;$B132,$B148&lt;&gt;$B133),IF($B139&lt;&gt;$B124,Q124/INDEX($C123:$AJ133,2,MATCH(IF('Data-solution'!$A$3="Maximize",MAX($C134:$AI134),MIN($C134:$AI134)),$C134:$AI134,0)),Q124-INDEX($C123:$AJ133,2,MATCH(IF('Data-solution'!$A$3="Maximize",MAX($C134:$AI134),MIN($C134:$AI134)),$C134:$AI134,0))*INDEX(Q123:$AJ133,MATCH(MIN($AK123:$AK133),$AK123:$AK133,0),1)/INDEX($C123:$AJ133,MATCH(MIN($AK123:$AK133),$AK123:$AK133,0),MATCH(IF('Data-solution'!$A$3="Maximize",MAX($C134:$AI134),MIN($C134:$AI134)),$C134:$AI134,0))),Q124)</f>
        <v>-0.5</v>
      </c>
      <c r="R139" s="1">
        <f>IF(OR($B138&lt;&gt;$B123,$B139&lt;&gt;$B124,$B140&lt;&gt;$B125,$B141&lt;&gt;$B126,$B142&lt;&gt;$B127,$B143&lt;&gt;$B128,$B144&lt;&gt;$B129,$B145&lt;&gt;$B130,$B146&lt;&gt;$B131,$B147&lt;&gt;$B132,$B148&lt;&gt;$B133),IF($B139&lt;&gt;$B124,R124/INDEX($C123:$AJ133,2,MATCH(IF('Data-solution'!$A$3="Maximize",MAX($C134:$AI134),MIN($C134:$AI134)),$C134:$AI134,0)),R124-INDEX($C123:$AJ133,2,MATCH(IF('Data-solution'!$A$3="Maximize",MAX($C134:$AI134),MIN($C134:$AI134)),$C134:$AI134,0))*INDEX(R123:$AJ133,MATCH(MIN($AK123:$AK133),$AK123:$AK133,0),1)/INDEX($C123:$AJ133,MATCH(MIN($AK123:$AK133),$AK123:$AK133,0),MATCH(IF('Data-solution'!$A$3="Maximize",MAX($C134:$AI134),MIN($C134:$AI134)),$C134:$AI134,0))),R124)</f>
        <v>0</v>
      </c>
      <c r="S139" s="1">
        <f>IF(OR($B138&lt;&gt;$B123,$B139&lt;&gt;$B124,$B140&lt;&gt;$B125,$B141&lt;&gt;$B126,$B142&lt;&gt;$B127,$B143&lt;&gt;$B128,$B144&lt;&gt;$B129,$B145&lt;&gt;$B130,$B146&lt;&gt;$B131,$B147&lt;&gt;$B132,$B148&lt;&gt;$B133),IF($B139&lt;&gt;$B124,S124/INDEX($C123:$AJ133,2,MATCH(IF('Data-solution'!$A$3="Maximize",MAX($C134:$AI134),MIN($C134:$AI134)),$C134:$AI134,0)),S124-INDEX($C123:$AJ133,2,MATCH(IF('Data-solution'!$A$3="Maximize",MAX($C134:$AI134),MIN($C134:$AI134)),$C134:$AI134,0))*INDEX(S123:$AJ133,MATCH(MIN($AK123:$AK133),$AK123:$AK133,0),1)/INDEX($C123:$AJ133,MATCH(MIN($AK123:$AK133),$AK123:$AK133,0),MATCH(IF('Data-solution'!$A$3="Maximize",MAX($C134:$AI134),MIN($C134:$AI134)),$C134:$AI134,0))),S124)</f>
        <v>0</v>
      </c>
      <c r="T139" s="1">
        <f>IF(OR($B138&lt;&gt;$B123,$B139&lt;&gt;$B124,$B140&lt;&gt;$B125,$B141&lt;&gt;$B126,$B142&lt;&gt;$B127,$B143&lt;&gt;$B128,$B144&lt;&gt;$B129,$B145&lt;&gt;$B130,$B146&lt;&gt;$B131,$B147&lt;&gt;$B132,$B148&lt;&gt;$B133),IF($B139&lt;&gt;$B124,T124/INDEX($C123:$AJ133,2,MATCH(IF('Data-solution'!$A$3="Maximize",MAX($C134:$AI134),MIN($C134:$AI134)),$C134:$AI134,0)),T124-INDEX($C123:$AJ133,2,MATCH(IF('Data-solution'!$A$3="Maximize",MAX($C134:$AI134),MIN($C134:$AI134)),$C134:$AI134,0))*INDEX(T123:$AJ133,MATCH(MIN($AK123:$AK133),$AK123:$AK133,0),1)/INDEX($C123:$AJ133,MATCH(MIN($AK123:$AK133),$AK123:$AK133,0),MATCH(IF('Data-solution'!$A$3="Maximize",MAX($C134:$AI134),MIN($C134:$AI134)),$C134:$AI134,0))),T124)</f>
        <v>0</v>
      </c>
      <c r="U139" s="1">
        <f>IF(OR($B138&lt;&gt;$B123,$B139&lt;&gt;$B124,$B140&lt;&gt;$B125,$B141&lt;&gt;$B126,$B142&lt;&gt;$B127,$B143&lt;&gt;$B128,$B144&lt;&gt;$B129,$B145&lt;&gt;$B130,$B146&lt;&gt;$B131,$B147&lt;&gt;$B132,$B148&lt;&gt;$B133),IF($B139&lt;&gt;$B124,U124/INDEX($C123:$AJ133,2,MATCH(IF('Data-solution'!$A$3="Maximize",MAX($C134:$AI134),MIN($C134:$AI134)),$C134:$AI134,0)),U124-INDEX($C123:$AJ133,2,MATCH(IF('Data-solution'!$A$3="Maximize",MAX($C134:$AI134),MIN($C134:$AI134)),$C134:$AI134,0))*INDEX(U123:$AJ133,MATCH(MIN($AK123:$AK133),$AK123:$AK133,0),1)/INDEX($C123:$AJ133,MATCH(MIN($AK123:$AK133),$AK123:$AK133,0),MATCH(IF('Data-solution'!$A$3="Maximize",MAX($C134:$AI134),MIN($C134:$AI134)),$C134:$AI134,0))),U124)</f>
        <v>0</v>
      </c>
      <c r="V139" s="1">
        <f>IF(OR($B138&lt;&gt;$B123,$B139&lt;&gt;$B124,$B140&lt;&gt;$B125,$B141&lt;&gt;$B126,$B142&lt;&gt;$B127,$B143&lt;&gt;$B128,$B144&lt;&gt;$B129,$B145&lt;&gt;$B130,$B146&lt;&gt;$B131,$B147&lt;&gt;$B132,$B148&lt;&gt;$B133),IF($B139&lt;&gt;$B124,V124/INDEX($C123:$AJ133,2,MATCH(IF('Data-solution'!$A$3="Maximize",MAX($C134:$AI134),MIN($C134:$AI134)),$C134:$AI134,0)),V124-INDEX($C123:$AJ133,2,MATCH(IF('Data-solution'!$A$3="Maximize",MAX($C134:$AI134),MIN($C134:$AI134)),$C134:$AI134,0))*INDEX(V123:$AJ133,MATCH(MIN($AK123:$AK133),$AK123:$AK133,0),1)/INDEX($C123:$AJ133,MATCH(MIN($AK123:$AK133),$AK123:$AK133,0),MATCH(IF('Data-solution'!$A$3="Maximize",MAX($C134:$AI134),MIN($C134:$AI134)),$C134:$AI134,0))),V124)</f>
        <v>0</v>
      </c>
      <c r="W139" s="1">
        <f>IF(OR($B138&lt;&gt;$B123,$B139&lt;&gt;$B124,$B140&lt;&gt;$B125,$B141&lt;&gt;$B126,$B142&lt;&gt;$B127,$B143&lt;&gt;$B128,$B144&lt;&gt;$B129,$B145&lt;&gt;$B130,$B146&lt;&gt;$B131,$B147&lt;&gt;$B132,$B148&lt;&gt;$B133),IF($B139&lt;&gt;$B124,W124/INDEX($C123:$AJ133,2,MATCH(IF('Data-solution'!$A$3="Maximize",MAX($C134:$AI134),MIN($C134:$AI134)),$C134:$AI134,0)),W124-INDEX($C123:$AJ133,2,MATCH(IF('Data-solution'!$A$3="Maximize",MAX($C134:$AI134),MIN($C134:$AI134)),$C134:$AI134,0))*INDEX(W123:$AJ133,MATCH(MIN($AK123:$AK133),$AK123:$AK133,0),1)/INDEX($C123:$AJ133,MATCH(MIN($AK123:$AK133),$AK123:$AK133,0),MATCH(IF('Data-solution'!$A$3="Maximize",MAX($C134:$AI134),MIN($C134:$AI134)),$C134:$AI134,0))),W124)</f>
        <v>0</v>
      </c>
      <c r="X139" s="1">
        <f>IF(OR($B138&lt;&gt;$B123,$B139&lt;&gt;$B124,$B140&lt;&gt;$B125,$B141&lt;&gt;$B126,$B142&lt;&gt;$B127,$B143&lt;&gt;$B128,$B144&lt;&gt;$B129,$B145&lt;&gt;$B130,$B146&lt;&gt;$B131,$B147&lt;&gt;$B132,$B148&lt;&gt;$B133),IF($B139&lt;&gt;$B124,X124/INDEX($C123:$AJ133,2,MATCH(IF('Data-solution'!$A$3="Maximize",MAX($C134:$AI134),MIN($C134:$AI134)),$C134:$AI134,0)),X124-INDEX($C123:$AJ133,2,MATCH(IF('Data-solution'!$A$3="Maximize",MAX($C134:$AI134),MIN($C134:$AI134)),$C134:$AI134,0))*INDEX(X123:$AJ133,MATCH(MIN($AK123:$AK133),$AK123:$AK133,0),1)/INDEX($C123:$AJ133,MATCH(MIN($AK123:$AK133),$AK123:$AK133,0),MATCH(IF('Data-solution'!$A$3="Maximize",MAX($C134:$AI134),MIN($C134:$AI134)),$C134:$AI134,0))),X124)</f>
        <v>0</v>
      </c>
      <c r="Y139" s="1">
        <f>IF(OR($B138&lt;&gt;$B123,$B139&lt;&gt;$B124,$B140&lt;&gt;$B125,$B141&lt;&gt;$B126,$B142&lt;&gt;$B127,$B143&lt;&gt;$B128,$B144&lt;&gt;$B129,$B145&lt;&gt;$B130,$B146&lt;&gt;$B131,$B147&lt;&gt;$B132,$B148&lt;&gt;$B133),IF($B139&lt;&gt;$B124,Y124/INDEX($C123:$AJ133,2,MATCH(IF('Data-solution'!$A$3="Maximize",MAX($C134:$AI134),MIN($C134:$AI134)),$C134:$AI134,0)),Y124-INDEX($C123:$AJ133,2,MATCH(IF('Data-solution'!$A$3="Maximize",MAX($C134:$AI134),MIN($C134:$AI134)),$C134:$AI134,0))*INDEX(Y123:$AJ133,MATCH(MIN($AK123:$AK133),$AK123:$AK133,0),1)/INDEX($C123:$AJ133,MATCH(MIN($AK123:$AK133),$AK123:$AK133,0),MATCH(IF('Data-solution'!$A$3="Maximize",MAX($C134:$AI134),MIN($C134:$AI134)),$C134:$AI134,0))),Y124)</f>
        <v>0</v>
      </c>
      <c r="Z139" s="1">
        <f>IF(OR($B138&lt;&gt;$B123,$B139&lt;&gt;$B124,$B140&lt;&gt;$B125,$B141&lt;&gt;$B126,$B142&lt;&gt;$B127,$B143&lt;&gt;$B128,$B144&lt;&gt;$B129,$B145&lt;&gt;$B130,$B146&lt;&gt;$B131,$B147&lt;&gt;$B132,$B148&lt;&gt;$B133),IF($B139&lt;&gt;$B124,Z124/INDEX($C123:$AJ133,2,MATCH(IF('Data-solution'!$A$3="Maximize",MAX($C134:$AI134),MIN($C134:$AI134)),$C134:$AI134,0)),Z124-INDEX($C123:$AJ133,2,MATCH(IF('Data-solution'!$A$3="Maximize",MAX($C134:$AI134),MIN($C134:$AI134)),$C134:$AI134,0))*INDEX(Z123:$AJ133,MATCH(MIN($AK123:$AK133),$AK123:$AK133,0),1)/INDEX($C123:$AJ133,MATCH(MIN($AK123:$AK133),$AK123:$AK133,0),MATCH(IF('Data-solution'!$A$3="Maximize",MAX($C134:$AI134),MIN($C134:$AI134)),$C134:$AI134,0))),Z124)</f>
        <v>1</v>
      </c>
      <c r="AA139" s="1">
        <f>IF(OR($B138&lt;&gt;$B123,$B139&lt;&gt;$B124,$B140&lt;&gt;$B125,$B141&lt;&gt;$B126,$B142&lt;&gt;$B127,$B143&lt;&gt;$B128,$B144&lt;&gt;$B129,$B145&lt;&gt;$B130,$B146&lt;&gt;$B131,$B147&lt;&gt;$B132,$B148&lt;&gt;$B133),IF($B139&lt;&gt;$B124,AA124/INDEX($C123:$AJ133,2,MATCH(IF('Data-solution'!$A$3="Maximize",MAX($C134:$AI134),MIN($C134:$AI134)),$C134:$AI134,0)),AA124-INDEX($C123:$AJ133,2,MATCH(IF('Data-solution'!$A$3="Maximize",MAX($C134:$AI134),MIN($C134:$AI134)),$C134:$AI134,0))*INDEX(AA123:$AJ133,MATCH(MIN($AK123:$AK133),$AK123:$AK133,0),1)/INDEX($C123:$AJ133,MATCH(MIN($AK123:$AK133),$AK123:$AK133,0),MATCH(IF('Data-solution'!$A$3="Maximize",MAX($C134:$AI134),MIN($C134:$AI134)),$C134:$AI134,0))),AA124)</f>
        <v>-0.25</v>
      </c>
      <c r="AB139" s="1">
        <f>IF(OR($B138&lt;&gt;$B123,$B139&lt;&gt;$B124,$B140&lt;&gt;$B125,$B141&lt;&gt;$B126,$B142&lt;&gt;$B127,$B143&lt;&gt;$B128,$B144&lt;&gt;$B129,$B145&lt;&gt;$B130,$B146&lt;&gt;$B131,$B147&lt;&gt;$B132,$B148&lt;&gt;$B133),IF($B139&lt;&gt;$B124,AB124/INDEX($C123:$AJ133,2,MATCH(IF('Data-solution'!$A$3="Maximize",MAX($C134:$AI134),MIN($C134:$AI134)),$C134:$AI134,0)),AB124-INDEX($C123:$AJ133,2,MATCH(IF('Data-solution'!$A$3="Maximize",MAX($C134:$AI134),MIN($C134:$AI134)),$C134:$AI134,0))*INDEX(AB123:$AJ133,MATCH(MIN($AK123:$AK133),$AK123:$AK133,0),1)/INDEX($C123:$AJ133,MATCH(MIN($AK123:$AK133),$AK123:$AK133,0),MATCH(IF('Data-solution'!$A$3="Maximize",MAX($C134:$AI134),MIN($C134:$AI134)),$C134:$AI134,0))),AB124)</f>
        <v>-0.5</v>
      </c>
      <c r="AC139" s="1">
        <f>IF(OR($B138&lt;&gt;$B123,$B139&lt;&gt;$B124,$B140&lt;&gt;$B125,$B141&lt;&gt;$B126,$B142&lt;&gt;$B127,$B143&lt;&gt;$B128,$B144&lt;&gt;$B129,$B145&lt;&gt;$B130,$B146&lt;&gt;$B131,$B147&lt;&gt;$B132,$B148&lt;&gt;$B133),IF($B139&lt;&gt;$B124,AC124/INDEX($C123:$AJ133,2,MATCH(IF('Data-solution'!$A$3="Maximize",MAX($C134:$AI134),MIN($C134:$AI134)),$C134:$AI134,0)),AC124-INDEX($C123:$AJ133,2,MATCH(IF('Data-solution'!$A$3="Maximize",MAX($C134:$AI134),MIN($C134:$AI134)),$C134:$AI134,0))*INDEX(AC123:$AJ133,MATCH(MIN($AK123:$AK133),$AK123:$AK133,0),1)/INDEX($C123:$AJ133,MATCH(MIN($AK123:$AK133),$AK123:$AK133,0),MATCH(IF('Data-solution'!$A$3="Maximize",MAX($C134:$AI134),MIN($C134:$AI134)),$C134:$AI134,0))),AC124)</f>
        <v>0</v>
      </c>
      <c r="AD139" s="1">
        <f>IF(OR($B138&lt;&gt;$B123,$B139&lt;&gt;$B124,$B140&lt;&gt;$B125,$B141&lt;&gt;$B126,$B142&lt;&gt;$B127,$B143&lt;&gt;$B128,$B144&lt;&gt;$B129,$B145&lt;&gt;$B130,$B146&lt;&gt;$B131,$B147&lt;&gt;$B132,$B148&lt;&gt;$B133),IF($B139&lt;&gt;$B124,AD124/INDEX($C123:$AJ133,2,MATCH(IF('Data-solution'!$A$3="Maximize",MAX($C134:$AI134),MIN($C134:$AI134)),$C134:$AI134,0)),AD124-INDEX($C123:$AJ133,2,MATCH(IF('Data-solution'!$A$3="Maximize",MAX($C134:$AI134),MIN($C134:$AI134)),$C134:$AI134,0))*INDEX(AD123:$AJ133,MATCH(MIN($AK123:$AK133),$AK123:$AK133,0),1)/INDEX($C123:$AJ133,MATCH(MIN($AK123:$AK133),$AK123:$AK133,0),MATCH(IF('Data-solution'!$A$3="Maximize",MAX($C134:$AI134),MIN($C134:$AI134)),$C134:$AI134,0))),AD124)</f>
        <v>0</v>
      </c>
      <c r="AE139" s="1">
        <f>IF(OR($B138&lt;&gt;$B123,$B139&lt;&gt;$B124,$B140&lt;&gt;$B125,$B141&lt;&gt;$B126,$B142&lt;&gt;$B127,$B143&lt;&gt;$B128,$B144&lt;&gt;$B129,$B145&lt;&gt;$B130,$B146&lt;&gt;$B131,$B147&lt;&gt;$B132,$B148&lt;&gt;$B133),IF($B139&lt;&gt;$B124,AE124/INDEX($C123:$AJ133,2,MATCH(IF('Data-solution'!$A$3="Maximize",MAX($C134:$AI134),MIN($C134:$AI134)),$C134:$AI134,0)),AE124-INDEX($C123:$AJ133,2,MATCH(IF('Data-solution'!$A$3="Maximize",MAX($C134:$AI134),MIN($C134:$AI134)),$C134:$AI134,0))*INDEX(AE123:$AJ133,MATCH(MIN($AK123:$AK133),$AK123:$AK133,0),1)/INDEX($C123:$AJ133,MATCH(MIN($AK123:$AK133),$AK123:$AK133,0),MATCH(IF('Data-solution'!$A$3="Maximize",MAX($C134:$AI134),MIN($C134:$AI134)),$C134:$AI134,0))),AE124)</f>
        <v>0</v>
      </c>
      <c r="AF139" s="1">
        <f>IF(OR($B138&lt;&gt;$B123,$B139&lt;&gt;$B124,$B140&lt;&gt;$B125,$B141&lt;&gt;$B126,$B142&lt;&gt;$B127,$B143&lt;&gt;$B128,$B144&lt;&gt;$B129,$B145&lt;&gt;$B130,$B146&lt;&gt;$B131,$B147&lt;&gt;$B132,$B148&lt;&gt;$B133),IF($B139&lt;&gt;$B124,AF124/INDEX($C123:$AJ133,2,MATCH(IF('Data-solution'!$A$3="Maximize",MAX($C134:$AI134),MIN($C134:$AI134)),$C134:$AI134,0)),AF124-INDEX($C123:$AJ133,2,MATCH(IF('Data-solution'!$A$3="Maximize",MAX($C134:$AI134),MIN($C134:$AI134)),$C134:$AI134,0))*INDEX(AF123:$AJ133,MATCH(MIN($AK123:$AK133),$AK123:$AK133,0),1)/INDEX($C123:$AJ133,MATCH(MIN($AK123:$AK133),$AK123:$AK133,0),MATCH(IF('Data-solution'!$A$3="Maximize",MAX($C134:$AI134),MIN($C134:$AI134)),$C134:$AI134,0))),AF124)</f>
        <v>0</v>
      </c>
      <c r="AG139" s="1">
        <f>IF(OR($B138&lt;&gt;$B123,$B139&lt;&gt;$B124,$B140&lt;&gt;$B125,$B141&lt;&gt;$B126,$B142&lt;&gt;$B127,$B143&lt;&gt;$B128,$B144&lt;&gt;$B129,$B145&lt;&gt;$B130,$B146&lt;&gt;$B131,$B147&lt;&gt;$B132,$B148&lt;&gt;$B133),IF($B139&lt;&gt;$B124,AG124/INDEX($C123:$AJ133,2,MATCH(IF('Data-solution'!$A$3="Maximize",MAX($C134:$AI134),MIN($C134:$AI134)),$C134:$AI134,0)),AG124-INDEX($C123:$AJ133,2,MATCH(IF('Data-solution'!$A$3="Maximize",MAX($C134:$AI134),MIN($C134:$AI134)),$C134:$AI134,0))*INDEX(AG123:$AJ133,MATCH(MIN($AK123:$AK133),$AK123:$AK133,0),1)/INDEX($C123:$AJ133,MATCH(MIN($AK123:$AK133),$AK123:$AK133,0),MATCH(IF('Data-solution'!$A$3="Maximize",MAX($C134:$AI134),MIN($C134:$AI134)),$C134:$AI134,0))),AG124)</f>
        <v>0</v>
      </c>
      <c r="AH139" s="1">
        <f>IF(OR($B138&lt;&gt;$B123,$B139&lt;&gt;$B124,$B140&lt;&gt;$B125,$B141&lt;&gt;$B126,$B142&lt;&gt;$B127,$B143&lt;&gt;$B128,$B144&lt;&gt;$B129,$B145&lt;&gt;$B130,$B146&lt;&gt;$B131,$B147&lt;&gt;$B132,$B148&lt;&gt;$B133),IF($B139&lt;&gt;$B124,AH124/INDEX($C123:$AJ133,2,MATCH(IF('Data-solution'!$A$3="Maximize",MAX($C134:$AI134),MIN($C134:$AI134)),$C134:$AI134,0)),AH124-INDEX($C123:$AJ133,2,MATCH(IF('Data-solution'!$A$3="Maximize",MAX($C134:$AI134),MIN($C134:$AI134)),$C134:$AI134,0))*INDEX(AH123:$AJ133,MATCH(MIN($AK123:$AK133),$AK123:$AK133,0),1)/INDEX($C123:$AJ133,MATCH(MIN($AK123:$AK133),$AK123:$AK133,0),MATCH(IF('Data-solution'!$A$3="Maximize",MAX($C134:$AI134),MIN($C134:$AI134)),$C134:$AI134,0))),AH124)</f>
        <v>0</v>
      </c>
      <c r="AI139" s="1">
        <f>IF(OR($B138&lt;&gt;$B123,$B139&lt;&gt;$B124,$B140&lt;&gt;$B125,$B141&lt;&gt;$B126,$B142&lt;&gt;$B127,$B143&lt;&gt;$B128,$B144&lt;&gt;$B129,$B145&lt;&gt;$B130,$B146&lt;&gt;$B131,$B147&lt;&gt;$B132,$B148&lt;&gt;$B133),IF($B139&lt;&gt;$B124,AI124/INDEX($C123:$AJ133,2,MATCH(IF('Data-solution'!$A$3="Maximize",MAX($C134:$AI134),MIN($C134:$AI134)),$C134:$AI134,0)),AI124-INDEX($C123:$AJ133,2,MATCH(IF('Data-solution'!$A$3="Maximize",MAX($C134:$AI134),MIN($C134:$AI134)),$C134:$AI134,0))*INDEX(AI123:$AJ133,MATCH(MIN($AK123:$AK133),$AK123:$AK133,0),1)/INDEX($C123:$AJ133,MATCH(MIN($AK123:$AK133),$AK123:$AK133,0),MATCH(IF('Data-solution'!$A$3="Maximize",MAX($C134:$AI134),MIN($C134:$AI134)),$C134:$AI134,0))),AI124)</f>
        <v>0</v>
      </c>
      <c r="AJ139" s="1">
        <f>IF(OR($B138&lt;&gt;$B123,$B139&lt;&gt;$B124,$B140&lt;&gt;$B125,$B141&lt;&gt;$B126,$B142&lt;&gt;$B127,$B143&lt;&gt;$B128,$B144&lt;&gt;$B129,$B145&lt;&gt;$B130,$B146&lt;&gt;$B131,$B147&lt;&gt;$B132,$B148&lt;&gt;$B133),IF($B139&lt;&gt;$B124,AJ124/INDEX($C123:$AJ133,2,MATCH(IF('Data-solution'!$A$3="Maximize",MAX($C134:$AI134),MIN($C134:$AI134)),$C134:$AI134,0)),AJ124-INDEX($C123:$AJ133,2,MATCH(IF('Data-solution'!$A$3="Maximize",MAX($C134:$AI134),MIN($C134:$AI134)),$C134:$AI134,0))*INDEX(AJ123:$AJ133,MATCH(MIN($AK123:$AK133),$AK123:$AK133,0),1)/INDEX($C123:$AJ133,MATCH(MIN($AK123:$AK133),$AK123:$AK133,0),MATCH(IF('Data-solution'!$A$3="Maximize",MAX($C134:$AI134),MIN($C134:$AI134)),$C134:$AI134,0))),AJ124)</f>
        <v>300</v>
      </c>
      <c r="AK139" s="1" t="str">
        <f>IF(INDEX(C139:X139,1,MATCH(IF('Data-solution'!A$3="Maximize",MAX(C149:X149),MIN(C149:X149)),C149:X149,0))&gt;0,AJ139/INDEX(C139:X139,1,MATCH(IF('Data-solution'!A$3="Maximize",MAX(C149:X149),MIN(C149:X149)),C149:X149,0))," ")</f>
        <v xml:space="preserve"> </v>
      </c>
    </row>
    <row r="140" spans="1:37" ht="18" customHeight="1" x14ac:dyDescent="0.2">
      <c r="A140" s="1">
        <f t="shared" ref="A140" si="112">INDEX(C136:AI136,1,MATCH(B140,C137:AI137,0))</f>
        <v>350</v>
      </c>
      <c r="B140" s="2" t="str">
        <f>IF(AND('Data-solution'!A$3="Maximize",COUNTIF(C134:X134,"&gt;"&amp;0)&gt;0,AK125=MIN(AK123:AK133),COUNTIF(B138:B139,INDEX(C122:X122,1,MATCH(MAX(C134:X134),C134:X134,0)))=0),INDEX(C122:X122,1,MATCH(MAX(C134:X134),C134:X134,0)),IF(AND('Data-solution'!A$3="Minimize",COUNTIF(C134:X134,"&lt;"&amp;0)&gt;0,AK125=MIN(AK123:AK133),COUNTIF(B138:B139,INDEX(C122:X122,1,MATCH(MIN(C134:X134),C134:X134,0)))=0),INDEX(C122:X122,1,MATCH(MIN(C134:X134),C134:X134,0)),B125))</f>
        <v>X3</v>
      </c>
      <c r="C140" s="1">
        <f>IF(OR($B138&lt;&gt;$B123,$B139&lt;&gt;$B124,$B140&lt;&gt;$B125,$B141&lt;&gt;$B126,$B142&lt;&gt;$B127,$B143&lt;&gt;$B128,$B144&lt;&gt;$B129,$B145&lt;&gt;$B130,$B146&lt;&gt;$B131,$B147&lt;&gt;$B132,$B148&lt;&gt;$B133),IF($B140&lt;&gt;$B125,C125/INDEX($C123:$AJ133,3,MATCH(IF('Data-solution'!$A$3="Maximize",MAX($C134:$AI134),MIN($C134:$AI134)),$C134:$AI134,0)),C125-INDEX($C123:$AJ133,3,MATCH(IF('Data-solution'!$A$3="Maximize",MAX($C134:$AI134),MIN($C134:$AI134)),$C134:$AI134,0))*INDEX(C123:$AJ133,MATCH(MIN($AK123:$AK133),$AK123:$AK133,0),1)/INDEX($C123:$AJ133,MATCH(MIN($AK123:$AK133),$AK123:$AK133,0),MATCH(IF('Data-solution'!$A$3="Maximize",MAX($C134:$AI134),MIN($C134:$AI134)),$C134:$AI134,0))),C125)</f>
        <v>0</v>
      </c>
      <c r="D140" s="1">
        <f>IF(OR($B138&lt;&gt;$B123,$B139&lt;&gt;$B124,$B140&lt;&gt;$B125,$B141&lt;&gt;$B126,$B142&lt;&gt;$B127,$B143&lt;&gt;$B128,$B144&lt;&gt;$B129,$B145&lt;&gt;$B130,$B146&lt;&gt;$B131,$B147&lt;&gt;$B132,$B148&lt;&gt;$B133),IF($B140&lt;&gt;$B125,D125/INDEX($C123:$AJ133,3,MATCH(IF('Data-solution'!$A$3="Maximize",MAX($C134:$AI134),MIN($C134:$AI134)),$C134:$AI134,0)),D125-INDEX($C123:$AJ133,3,MATCH(IF('Data-solution'!$A$3="Maximize",MAX($C134:$AI134),MIN($C134:$AI134)),$C134:$AI134,0))*INDEX(D123:$AJ133,MATCH(MIN($AK123:$AK133),$AK123:$AK133,0),1)/INDEX($C123:$AJ133,MATCH(MIN($AK123:$AK133),$AK123:$AK133,0),MATCH(IF('Data-solution'!$A$3="Maximize",MAX($C134:$AI134),MIN($C134:$AI134)),$C134:$AI134,0))),D125)</f>
        <v>1.25</v>
      </c>
      <c r="E140" s="1">
        <f>IF(OR($B138&lt;&gt;$B123,$B139&lt;&gt;$B124,$B140&lt;&gt;$B125,$B141&lt;&gt;$B126,$B142&lt;&gt;$B127,$B143&lt;&gt;$B128,$B144&lt;&gt;$B129,$B145&lt;&gt;$B130,$B146&lt;&gt;$B131,$B147&lt;&gt;$B132,$B148&lt;&gt;$B133),IF($B140&lt;&gt;$B125,E125/INDEX($C123:$AJ133,3,MATCH(IF('Data-solution'!$A$3="Maximize",MAX($C134:$AI134),MIN($C134:$AI134)),$C134:$AI134,0)),E125-INDEX($C123:$AJ133,3,MATCH(IF('Data-solution'!$A$3="Maximize",MAX($C134:$AI134),MIN($C134:$AI134)),$C134:$AI134,0))*INDEX(E123:$AJ133,MATCH(MIN($AK123:$AK133),$AK123:$AK133,0),1)/INDEX($C123:$AJ133,MATCH(MIN($AK123:$AK133),$AK123:$AK133,0),MATCH(IF('Data-solution'!$A$3="Maximize",MAX($C134:$AI134),MIN($C134:$AI134)),$C134:$AI134,0))),E125)</f>
        <v>1</v>
      </c>
      <c r="F140" s="1">
        <f>IF(OR($B138&lt;&gt;$B123,$B139&lt;&gt;$B124,$B140&lt;&gt;$B125,$B141&lt;&gt;$B126,$B142&lt;&gt;$B127,$B143&lt;&gt;$B128,$B144&lt;&gt;$B129,$B145&lt;&gt;$B130,$B146&lt;&gt;$B131,$B147&lt;&gt;$B132,$B148&lt;&gt;$B133),IF($B140&lt;&gt;$B125,F125/INDEX($C123:$AJ133,3,MATCH(IF('Data-solution'!$A$3="Maximize",MAX($C134:$AI134),MIN($C134:$AI134)),$C134:$AI134,0)),F125-INDEX($C123:$AJ133,3,MATCH(IF('Data-solution'!$A$3="Maximize",MAX($C134:$AI134),MIN($C134:$AI134)),$C134:$AI134,0))*INDEX(F123:$AJ133,MATCH(MIN($AK123:$AK133),$AK123:$AK133,0),1)/INDEX($C123:$AJ133,MATCH(MIN($AK123:$AK133),$AK123:$AK133,0),MATCH(IF('Data-solution'!$A$3="Maximize",MAX($C134:$AI134),MIN($C134:$AI134)),$C134:$AI134,0))),F125)</f>
        <v>0</v>
      </c>
      <c r="G140" s="1">
        <f>IF(OR($B138&lt;&gt;$B123,$B139&lt;&gt;$B124,$B140&lt;&gt;$B125,$B141&lt;&gt;$B126,$B142&lt;&gt;$B127,$B143&lt;&gt;$B128,$B144&lt;&gt;$B129,$B145&lt;&gt;$B130,$B146&lt;&gt;$B131,$B147&lt;&gt;$B132,$B148&lt;&gt;$B133),IF($B140&lt;&gt;$B125,G125/INDEX($C123:$AJ133,3,MATCH(IF('Data-solution'!$A$3="Maximize",MAX($C134:$AI134),MIN($C134:$AI134)),$C134:$AI134,0)),G125-INDEX($C123:$AJ133,3,MATCH(IF('Data-solution'!$A$3="Maximize",MAX($C134:$AI134),MIN($C134:$AI134)),$C134:$AI134,0))*INDEX(G123:$AJ133,MATCH(MIN($AK123:$AK133),$AK123:$AK133,0),1)/INDEX($C123:$AJ133,MATCH(MIN($AK123:$AK133),$AK123:$AK133,0),MATCH(IF('Data-solution'!$A$3="Maximize",MAX($C134:$AI134),MIN($C134:$AI134)),$C134:$AI134,0))),G125)</f>
        <v>0</v>
      </c>
      <c r="H140" s="1">
        <f>IF(OR($B138&lt;&gt;$B123,$B139&lt;&gt;$B124,$B140&lt;&gt;$B125,$B141&lt;&gt;$B126,$B142&lt;&gt;$B127,$B143&lt;&gt;$B128,$B144&lt;&gt;$B129,$B145&lt;&gt;$B130,$B146&lt;&gt;$B131,$B147&lt;&gt;$B132,$B148&lt;&gt;$B133),IF($B140&lt;&gt;$B125,H125/INDEX($C123:$AJ133,3,MATCH(IF('Data-solution'!$A$3="Maximize",MAX($C134:$AI134),MIN($C134:$AI134)),$C134:$AI134,0)),H125-INDEX($C123:$AJ133,3,MATCH(IF('Data-solution'!$A$3="Maximize",MAX($C134:$AI134),MIN($C134:$AI134)),$C134:$AI134,0))*INDEX(H123:$AJ133,MATCH(MIN($AK123:$AK133),$AK123:$AK133,0),1)/INDEX($C123:$AJ133,MATCH(MIN($AK123:$AK133),$AK123:$AK133,0),MATCH(IF('Data-solution'!$A$3="Maximize",MAX($C134:$AI134),MIN($C134:$AI134)),$C134:$AI134,0))),H125)</f>
        <v>0</v>
      </c>
      <c r="I140" s="1">
        <f>IF(OR($B138&lt;&gt;$B123,$B139&lt;&gt;$B124,$B140&lt;&gt;$B125,$B141&lt;&gt;$B126,$B142&lt;&gt;$B127,$B143&lt;&gt;$B128,$B144&lt;&gt;$B129,$B145&lt;&gt;$B130,$B146&lt;&gt;$B131,$B147&lt;&gt;$B132,$B148&lt;&gt;$B133),IF($B140&lt;&gt;$B125,I125/INDEX($C123:$AJ133,3,MATCH(IF('Data-solution'!$A$3="Maximize",MAX($C134:$AI134),MIN($C134:$AI134)),$C134:$AI134,0)),I125-INDEX($C123:$AJ133,3,MATCH(IF('Data-solution'!$A$3="Maximize",MAX($C134:$AI134),MIN($C134:$AI134)),$C134:$AI134,0))*INDEX(I123:$AJ133,MATCH(MIN($AK123:$AK133),$AK123:$AK133,0),1)/INDEX($C123:$AJ133,MATCH(MIN($AK123:$AK133),$AK123:$AK133,0),MATCH(IF('Data-solution'!$A$3="Maximize",MAX($C134:$AI134),MIN($C134:$AI134)),$C134:$AI134,0))),I125)</f>
        <v>0</v>
      </c>
      <c r="J140" s="1">
        <f>IF(OR($B138&lt;&gt;$B123,$B139&lt;&gt;$B124,$B140&lt;&gt;$B125,$B141&lt;&gt;$B126,$B142&lt;&gt;$B127,$B143&lt;&gt;$B128,$B144&lt;&gt;$B129,$B145&lt;&gt;$B130,$B146&lt;&gt;$B131,$B147&lt;&gt;$B132,$B148&lt;&gt;$B133),IF($B140&lt;&gt;$B125,J125/INDEX($C123:$AJ133,3,MATCH(IF('Data-solution'!$A$3="Maximize",MAX($C134:$AI134),MIN($C134:$AI134)),$C134:$AI134,0)),J125-INDEX($C123:$AJ133,3,MATCH(IF('Data-solution'!$A$3="Maximize",MAX($C134:$AI134),MIN($C134:$AI134)),$C134:$AI134,0))*INDEX(J123:$AJ133,MATCH(MIN($AK123:$AK133),$AK123:$AK133,0),1)/INDEX($C123:$AJ133,MATCH(MIN($AK123:$AK133),$AK123:$AK133,0),MATCH(IF('Data-solution'!$A$3="Maximize",MAX($C134:$AI134),MIN($C134:$AI134)),$C134:$AI134,0))),J125)</f>
        <v>0</v>
      </c>
      <c r="K140" s="1">
        <f>IF(OR($B138&lt;&gt;$B123,$B139&lt;&gt;$B124,$B140&lt;&gt;$B125,$B141&lt;&gt;$B126,$B142&lt;&gt;$B127,$B143&lt;&gt;$B128,$B144&lt;&gt;$B129,$B145&lt;&gt;$B130,$B146&lt;&gt;$B131,$B147&lt;&gt;$B132,$B148&lt;&gt;$B133),IF($B140&lt;&gt;$B125,K125/INDEX($C123:$AJ133,3,MATCH(IF('Data-solution'!$A$3="Maximize",MAX($C134:$AI134),MIN($C134:$AI134)),$C134:$AI134,0)),K125-INDEX($C123:$AJ133,3,MATCH(IF('Data-solution'!$A$3="Maximize",MAX($C134:$AI134),MIN($C134:$AI134)),$C134:$AI134,0))*INDEX(K123:$AJ133,MATCH(MIN($AK123:$AK133),$AK123:$AK133,0),1)/INDEX($C123:$AJ133,MATCH(MIN($AK123:$AK133),$AK123:$AK133,0),MATCH(IF('Data-solution'!$A$3="Maximize",MAX($C134:$AI134),MIN($C134:$AI134)),$C134:$AI134,0))),K125)</f>
        <v>0</v>
      </c>
      <c r="L140" s="1">
        <f>IF(OR($B138&lt;&gt;$B123,$B139&lt;&gt;$B124,$B140&lt;&gt;$B125,$B141&lt;&gt;$B126,$B142&lt;&gt;$B127,$B143&lt;&gt;$B128,$B144&lt;&gt;$B129,$B145&lt;&gt;$B130,$B146&lt;&gt;$B131,$B147&lt;&gt;$B132,$B148&lt;&gt;$B133),IF($B140&lt;&gt;$B125,L125/INDEX($C123:$AJ133,3,MATCH(IF('Data-solution'!$A$3="Maximize",MAX($C134:$AI134),MIN($C134:$AI134)),$C134:$AI134,0)),L125-INDEX($C123:$AJ133,3,MATCH(IF('Data-solution'!$A$3="Maximize",MAX($C134:$AI134),MIN($C134:$AI134)),$C134:$AI134,0))*INDEX(L123:$AJ133,MATCH(MIN($AK123:$AK133),$AK123:$AK133,0),1)/INDEX($C123:$AJ133,MATCH(MIN($AK123:$AK133),$AK123:$AK133,0),MATCH(IF('Data-solution'!$A$3="Maximize",MAX($C134:$AI134),MIN($C134:$AI134)),$C134:$AI134,0))),L125)</f>
        <v>0</v>
      </c>
      <c r="M140" s="1">
        <f>IF(OR($B138&lt;&gt;$B123,$B139&lt;&gt;$B124,$B140&lt;&gt;$B125,$B141&lt;&gt;$B126,$B142&lt;&gt;$B127,$B143&lt;&gt;$B128,$B144&lt;&gt;$B129,$B145&lt;&gt;$B130,$B146&lt;&gt;$B131,$B147&lt;&gt;$B132,$B148&lt;&gt;$B133),IF($B140&lt;&gt;$B125,M125/INDEX($C123:$AJ133,3,MATCH(IF('Data-solution'!$A$3="Maximize",MAX($C134:$AI134),MIN($C134:$AI134)),$C134:$AI134,0)),M125-INDEX($C123:$AJ133,3,MATCH(IF('Data-solution'!$A$3="Maximize",MAX($C134:$AI134),MIN($C134:$AI134)),$C134:$AI134,0))*INDEX(M123:$AJ133,MATCH(MIN($AK123:$AK133),$AK123:$AK133,0),1)/INDEX($C123:$AJ133,MATCH(MIN($AK123:$AK133),$AK123:$AK133,0),MATCH(IF('Data-solution'!$A$3="Maximize",MAX($C134:$AI134),MIN($C134:$AI134)),$C134:$AI134,0))),M125)</f>
        <v>0</v>
      </c>
      <c r="N140" s="1">
        <f>IF(OR($B138&lt;&gt;$B123,$B139&lt;&gt;$B124,$B140&lt;&gt;$B125,$B141&lt;&gt;$B126,$B142&lt;&gt;$B127,$B143&lt;&gt;$B128,$B144&lt;&gt;$B129,$B145&lt;&gt;$B130,$B146&lt;&gt;$B131,$B147&lt;&gt;$B132,$B148&lt;&gt;$B133),IF($B140&lt;&gt;$B125,N125/INDEX($C123:$AJ133,3,MATCH(IF('Data-solution'!$A$3="Maximize",MAX($C134:$AI134),MIN($C134:$AI134)),$C134:$AI134,0)),N125-INDEX($C123:$AJ133,3,MATCH(IF('Data-solution'!$A$3="Maximize",MAX($C134:$AI134),MIN($C134:$AI134)),$C134:$AI134,0))*INDEX(N123:$AJ133,MATCH(MIN($AK123:$AK133),$AK123:$AK133,0),1)/INDEX($C123:$AJ133,MATCH(MIN($AK123:$AK133),$AK123:$AK133,0),MATCH(IF('Data-solution'!$A$3="Maximize",MAX($C134:$AI134),MIN($C134:$AI134)),$C134:$AI134,0))),N125)</f>
        <v>0</v>
      </c>
      <c r="O140" s="1">
        <f>IF(OR($B138&lt;&gt;$B123,$B139&lt;&gt;$B124,$B140&lt;&gt;$B125,$B141&lt;&gt;$B126,$B142&lt;&gt;$B127,$B143&lt;&gt;$B128,$B144&lt;&gt;$B129,$B145&lt;&gt;$B130,$B146&lt;&gt;$B131,$B147&lt;&gt;$B132,$B148&lt;&gt;$B133),IF($B140&lt;&gt;$B125,O125/INDEX($C123:$AJ133,3,MATCH(IF('Data-solution'!$A$3="Maximize",MAX($C134:$AI134),MIN($C134:$AI134)),$C134:$AI134,0)),O125-INDEX($C123:$AJ133,3,MATCH(IF('Data-solution'!$A$3="Maximize",MAX($C134:$AI134),MIN($C134:$AI134)),$C134:$AI134,0))*INDEX(O123:$AJ133,MATCH(MIN($AK123:$AK133),$AK123:$AK133,0),1)/INDEX($C123:$AJ133,MATCH(MIN($AK123:$AK133),$AK123:$AK133,0),MATCH(IF('Data-solution'!$A$3="Maximize",MAX($C134:$AI134),MIN($C134:$AI134)),$C134:$AI134,0))),O125)</f>
        <v>0</v>
      </c>
      <c r="P140" s="1">
        <f>IF(OR($B138&lt;&gt;$B123,$B139&lt;&gt;$B124,$B140&lt;&gt;$B125,$B141&lt;&gt;$B126,$B142&lt;&gt;$B127,$B143&lt;&gt;$B128,$B144&lt;&gt;$B129,$B145&lt;&gt;$B130,$B146&lt;&gt;$B131,$B147&lt;&gt;$B132,$B148&lt;&gt;$B133),IF($B140&lt;&gt;$B125,P125/INDEX($C123:$AJ133,3,MATCH(IF('Data-solution'!$A$3="Maximize",MAX($C134:$AI134),MIN($C134:$AI134)),$C134:$AI134,0)),P125-INDEX($C123:$AJ133,3,MATCH(IF('Data-solution'!$A$3="Maximize",MAX($C134:$AI134),MIN($C134:$AI134)),$C134:$AI134,0))*INDEX(P123:$AJ133,MATCH(MIN($AK123:$AK133),$AK123:$AK133,0),1)/INDEX($C123:$AJ133,MATCH(MIN($AK123:$AK133),$AK123:$AK133,0),MATCH(IF('Data-solution'!$A$3="Maximize",MAX($C134:$AI134),MIN($C134:$AI134)),$C134:$AI134,0))),P125)</f>
        <v>0.24999999999999997</v>
      </c>
      <c r="Q140" s="1">
        <f>IF(OR($B138&lt;&gt;$B123,$B139&lt;&gt;$B124,$B140&lt;&gt;$B125,$B141&lt;&gt;$B126,$B142&lt;&gt;$B127,$B143&lt;&gt;$B128,$B144&lt;&gt;$B129,$B145&lt;&gt;$B130,$B146&lt;&gt;$B131,$B147&lt;&gt;$B132,$B148&lt;&gt;$B133),IF($B140&lt;&gt;$B125,Q125/INDEX($C123:$AJ133,3,MATCH(IF('Data-solution'!$A$3="Maximize",MAX($C134:$AI134),MIN($C134:$AI134)),$C134:$AI134,0)),Q125-INDEX($C123:$AJ133,3,MATCH(IF('Data-solution'!$A$3="Maximize",MAX($C134:$AI134),MIN($C134:$AI134)),$C134:$AI134,0))*INDEX(Q123:$AJ133,MATCH(MIN($AK123:$AK133),$AK123:$AK133,0),1)/INDEX($C123:$AJ133,MATCH(MIN($AK123:$AK133),$AK123:$AK133,0),MATCH(IF('Data-solution'!$A$3="Maximize",MAX($C134:$AI134),MIN($C134:$AI134)),$C134:$AI134,0))),Q125)</f>
        <v>-0.49999999999999989</v>
      </c>
      <c r="R140" s="1">
        <f>IF(OR($B138&lt;&gt;$B123,$B139&lt;&gt;$B124,$B140&lt;&gt;$B125,$B141&lt;&gt;$B126,$B142&lt;&gt;$B127,$B143&lt;&gt;$B128,$B144&lt;&gt;$B129,$B145&lt;&gt;$B130,$B146&lt;&gt;$B131,$B147&lt;&gt;$B132,$B148&lt;&gt;$B133),IF($B140&lt;&gt;$B125,R125/INDEX($C123:$AJ133,3,MATCH(IF('Data-solution'!$A$3="Maximize",MAX($C134:$AI134),MIN($C134:$AI134)),$C134:$AI134,0)),R125-INDEX($C123:$AJ133,3,MATCH(IF('Data-solution'!$A$3="Maximize",MAX($C134:$AI134),MIN($C134:$AI134)),$C134:$AI134,0))*INDEX(R123:$AJ133,MATCH(MIN($AK123:$AK133),$AK123:$AK133,0),1)/INDEX($C123:$AJ133,MATCH(MIN($AK123:$AK133),$AK123:$AK133,0),MATCH(IF('Data-solution'!$A$3="Maximize",MAX($C134:$AI134),MIN($C134:$AI134)),$C134:$AI134,0))),R125)</f>
        <v>0</v>
      </c>
      <c r="S140" s="1">
        <f>IF(OR($B138&lt;&gt;$B123,$B139&lt;&gt;$B124,$B140&lt;&gt;$B125,$B141&lt;&gt;$B126,$B142&lt;&gt;$B127,$B143&lt;&gt;$B128,$B144&lt;&gt;$B129,$B145&lt;&gt;$B130,$B146&lt;&gt;$B131,$B147&lt;&gt;$B132,$B148&lt;&gt;$B133),IF($B140&lt;&gt;$B125,S125/INDEX($C123:$AJ133,3,MATCH(IF('Data-solution'!$A$3="Maximize",MAX($C134:$AI134),MIN($C134:$AI134)),$C134:$AI134,0)),S125-INDEX($C123:$AJ133,3,MATCH(IF('Data-solution'!$A$3="Maximize",MAX($C134:$AI134),MIN($C134:$AI134)),$C134:$AI134,0))*INDEX(S123:$AJ133,MATCH(MIN($AK123:$AK133),$AK123:$AK133,0),1)/INDEX($C123:$AJ133,MATCH(MIN($AK123:$AK133),$AK123:$AK133,0),MATCH(IF('Data-solution'!$A$3="Maximize",MAX($C134:$AI134),MIN($C134:$AI134)),$C134:$AI134,0))),S125)</f>
        <v>0</v>
      </c>
      <c r="T140" s="1">
        <f>IF(OR($B138&lt;&gt;$B123,$B139&lt;&gt;$B124,$B140&lt;&gt;$B125,$B141&lt;&gt;$B126,$B142&lt;&gt;$B127,$B143&lt;&gt;$B128,$B144&lt;&gt;$B129,$B145&lt;&gt;$B130,$B146&lt;&gt;$B131,$B147&lt;&gt;$B132,$B148&lt;&gt;$B133),IF($B140&lt;&gt;$B125,T125/INDEX($C123:$AJ133,3,MATCH(IF('Data-solution'!$A$3="Maximize",MAX($C134:$AI134),MIN($C134:$AI134)),$C134:$AI134,0)),T125-INDEX($C123:$AJ133,3,MATCH(IF('Data-solution'!$A$3="Maximize",MAX($C134:$AI134),MIN($C134:$AI134)),$C134:$AI134,0))*INDEX(T123:$AJ133,MATCH(MIN($AK123:$AK133),$AK123:$AK133,0),1)/INDEX($C123:$AJ133,MATCH(MIN($AK123:$AK133),$AK123:$AK133,0),MATCH(IF('Data-solution'!$A$3="Maximize",MAX($C134:$AI134),MIN($C134:$AI134)),$C134:$AI134,0))),T125)</f>
        <v>0</v>
      </c>
      <c r="U140" s="1">
        <f>IF(OR($B138&lt;&gt;$B123,$B139&lt;&gt;$B124,$B140&lt;&gt;$B125,$B141&lt;&gt;$B126,$B142&lt;&gt;$B127,$B143&lt;&gt;$B128,$B144&lt;&gt;$B129,$B145&lt;&gt;$B130,$B146&lt;&gt;$B131,$B147&lt;&gt;$B132,$B148&lt;&gt;$B133),IF($B140&lt;&gt;$B125,U125/INDEX($C123:$AJ133,3,MATCH(IF('Data-solution'!$A$3="Maximize",MAX($C134:$AI134),MIN($C134:$AI134)),$C134:$AI134,0)),U125-INDEX($C123:$AJ133,3,MATCH(IF('Data-solution'!$A$3="Maximize",MAX($C134:$AI134),MIN($C134:$AI134)),$C134:$AI134,0))*INDEX(U123:$AJ133,MATCH(MIN($AK123:$AK133),$AK123:$AK133,0),1)/INDEX($C123:$AJ133,MATCH(MIN($AK123:$AK133),$AK123:$AK133,0),MATCH(IF('Data-solution'!$A$3="Maximize",MAX($C134:$AI134),MIN($C134:$AI134)),$C134:$AI134,0))),U125)</f>
        <v>0</v>
      </c>
      <c r="V140" s="1">
        <f>IF(OR($B138&lt;&gt;$B123,$B139&lt;&gt;$B124,$B140&lt;&gt;$B125,$B141&lt;&gt;$B126,$B142&lt;&gt;$B127,$B143&lt;&gt;$B128,$B144&lt;&gt;$B129,$B145&lt;&gt;$B130,$B146&lt;&gt;$B131,$B147&lt;&gt;$B132,$B148&lt;&gt;$B133),IF($B140&lt;&gt;$B125,V125/INDEX($C123:$AJ133,3,MATCH(IF('Data-solution'!$A$3="Maximize",MAX($C134:$AI134),MIN($C134:$AI134)),$C134:$AI134,0)),V125-INDEX($C123:$AJ133,3,MATCH(IF('Data-solution'!$A$3="Maximize",MAX($C134:$AI134),MIN($C134:$AI134)),$C134:$AI134,0))*INDEX(V123:$AJ133,MATCH(MIN($AK123:$AK133),$AK123:$AK133,0),1)/INDEX($C123:$AJ133,MATCH(MIN($AK123:$AK133),$AK123:$AK133,0),MATCH(IF('Data-solution'!$A$3="Maximize",MAX($C134:$AI134),MIN($C134:$AI134)),$C134:$AI134,0))),V125)</f>
        <v>0</v>
      </c>
      <c r="W140" s="1">
        <f>IF(OR($B138&lt;&gt;$B123,$B139&lt;&gt;$B124,$B140&lt;&gt;$B125,$B141&lt;&gt;$B126,$B142&lt;&gt;$B127,$B143&lt;&gt;$B128,$B144&lt;&gt;$B129,$B145&lt;&gt;$B130,$B146&lt;&gt;$B131,$B147&lt;&gt;$B132,$B148&lt;&gt;$B133),IF($B140&lt;&gt;$B125,W125/INDEX($C123:$AJ133,3,MATCH(IF('Data-solution'!$A$3="Maximize",MAX($C134:$AI134),MIN($C134:$AI134)),$C134:$AI134,0)),W125-INDEX($C123:$AJ133,3,MATCH(IF('Data-solution'!$A$3="Maximize",MAX($C134:$AI134),MIN($C134:$AI134)),$C134:$AI134,0))*INDEX(W123:$AJ133,MATCH(MIN($AK123:$AK133),$AK123:$AK133,0),1)/INDEX($C123:$AJ133,MATCH(MIN($AK123:$AK133),$AK123:$AK133,0),MATCH(IF('Data-solution'!$A$3="Maximize",MAX($C134:$AI134),MIN($C134:$AI134)),$C134:$AI134,0))),W125)</f>
        <v>0</v>
      </c>
      <c r="X140" s="1">
        <f>IF(OR($B138&lt;&gt;$B123,$B139&lt;&gt;$B124,$B140&lt;&gt;$B125,$B141&lt;&gt;$B126,$B142&lt;&gt;$B127,$B143&lt;&gt;$B128,$B144&lt;&gt;$B129,$B145&lt;&gt;$B130,$B146&lt;&gt;$B131,$B147&lt;&gt;$B132,$B148&lt;&gt;$B133),IF($B140&lt;&gt;$B125,X125/INDEX($C123:$AJ133,3,MATCH(IF('Data-solution'!$A$3="Maximize",MAX($C134:$AI134),MIN($C134:$AI134)),$C134:$AI134,0)),X125-INDEX($C123:$AJ133,3,MATCH(IF('Data-solution'!$A$3="Maximize",MAX($C134:$AI134),MIN($C134:$AI134)),$C134:$AI134,0))*INDEX(X123:$AJ133,MATCH(MIN($AK123:$AK133),$AK123:$AK133,0),1)/INDEX($C123:$AJ133,MATCH(MIN($AK123:$AK133),$AK123:$AK133,0),MATCH(IF('Data-solution'!$A$3="Maximize",MAX($C134:$AI134),MIN($C134:$AI134)),$C134:$AI134,0))),X125)</f>
        <v>0</v>
      </c>
      <c r="Y140" s="1">
        <f>IF(OR($B138&lt;&gt;$B123,$B139&lt;&gt;$B124,$B140&lt;&gt;$B125,$B141&lt;&gt;$B126,$B142&lt;&gt;$B127,$B143&lt;&gt;$B128,$B144&lt;&gt;$B129,$B145&lt;&gt;$B130,$B146&lt;&gt;$B131,$B147&lt;&gt;$B132,$B148&lt;&gt;$B133),IF($B140&lt;&gt;$B125,Y125/INDEX($C123:$AJ133,3,MATCH(IF('Data-solution'!$A$3="Maximize",MAX($C134:$AI134),MIN($C134:$AI134)),$C134:$AI134,0)),Y125-INDEX($C123:$AJ133,3,MATCH(IF('Data-solution'!$A$3="Maximize",MAX($C134:$AI134),MIN($C134:$AI134)),$C134:$AI134,0))*INDEX(Y123:$AJ133,MATCH(MIN($AK123:$AK133),$AK123:$AK133,0),1)/INDEX($C123:$AJ133,MATCH(MIN($AK123:$AK133),$AK123:$AK133,0),MATCH(IF('Data-solution'!$A$3="Maximize",MAX($C134:$AI134),MIN($C134:$AI134)),$C134:$AI134,0))),Y125)</f>
        <v>0</v>
      </c>
      <c r="Z140" s="1">
        <f>IF(OR($B138&lt;&gt;$B123,$B139&lt;&gt;$B124,$B140&lt;&gt;$B125,$B141&lt;&gt;$B126,$B142&lt;&gt;$B127,$B143&lt;&gt;$B128,$B144&lt;&gt;$B129,$B145&lt;&gt;$B130,$B146&lt;&gt;$B131,$B147&lt;&gt;$B132,$B148&lt;&gt;$B133),IF($B140&lt;&gt;$B125,Z125/INDEX($C123:$AJ133,3,MATCH(IF('Data-solution'!$A$3="Maximize",MAX($C134:$AI134),MIN($C134:$AI134)),$C134:$AI134,0)),Z125-INDEX($C123:$AJ133,3,MATCH(IF('Data-solution'!$A$3="Maximize",MAX($C134:$AI134),MIN($C134:$AI134)),$C134:$AI134,0))*INDEX(Z123:$AJ133,MATCH(MIN($AK123:$AK133),$AK123:$AK133,0),1)/INDEX($C123:$AJ133,MATCH(MIN($AK123:$AK133),$AK123:$AK133,0),MATCH(IF('Data-solution'!$A$3="Maximize",MAX($C134:$AI134),MIN($C134:$AI134)),$C134:$AI134,0))),Z125)</f>
        <v>0</v>
      </c>
      <c r="AA140" s="1">
        <f>IF(OR($B138&lt;&gt;$B123,$B139&lt;&gt;$B124,$B140&lt;&gt;$B125,$B141&lt;&gt;$B126,$B142&lt;&gt;$B127,$B143&lt;&gt;$B128,$B144&lt;&gt;$B129,$B145&lt;&gt;$B130,$B146&lt;&gt;$B131,$B147&lt;&gt;$B132,$B148&lt;&gt;$B133),IF($B140&lt;&gt;$B125,AA125/INDEX($C123:$AJ133,3,MATCH(IF('Data-solution'!$A$3="Maximize",MAX($C134:$AI134),MIN($C134:$AI134)),$C134:$AI134,0)),AA125-INDEX($C123:$AJ133,3,MATCH(IF('Data-solution'!$A$3="Maximize",MAX($C134:$AI134),MIN($C134:$AI134)),$C134:$AI134,0))*INDEX(AA123:$AJ133,MATCH(MIN($AK123:$AK133),$AK123:$AK133,0),1)/INDEX($C123:$AJ133,MATCH(MIN($AK123:$AK133),$AK123:$AK133,0),MATCH(IF('Data-solution'!$A$3="Maximize",MAX($C134:$AI134),MIN($C134:$AI134)),$C134:$AI134,0))),AA125)</f>
        <v>0.24999999999999997</v>
      </c>
      <c r="AB140" s="1">
        <f>IF(OR($B138&lt;&gt;$B123,$B139&lt;&gt;$B124,$B140&lt;&gt;$B125,$B141&lt;&gt;$B126,$B142&lt;&gt;$B127,$B143&lt;&gt;$B128,$B144&lt;&gt;$B129,$B145&lt;&gt;$B130,$B146&lt;&gt;$B131,$B147&lt;&gt;$B132,$B148&lt;&gt;$B133),IF($B140&lt;&gt;$B125,AB125/INDEX($C123:$AJ133,3,MATCH(IF('Data-solution'!$A$3="Maximize",MAX($C134:$AI134),MIN($C134:$AI134)),$C134:$AI134,0)),AB125-INDEX($C123:$AJ133,3,MATCH(IF('Data-solution'!$A$3="Maximize",MAX($C134:$AI134),MIN($C134:$AI134)),$C134:$AI134,0))*INDEX(AB123:$AJ133,MATCH(MIN($AK123:$AK133),$AK123:$AK133,0),1)/INDEX($C123:$AJ133,MATCH(MIN($AK123:$AK133),$AK123:$AK133,0),MATCH(IF('Data-solution'!$A$3="Maximize",MAX($C134:$AI134),MIN($C134:$AI134)),$C134:$AI134,0))),AB125)</f>
        <v>-0.49999999999999989</v>
      </c>
      <c r="AC140" s="1">
        <f>IF(OR($B138&lt;&gt;$B123,$B139&lt;&gt;$B124,$B140&lt;&gt;$B125,$B141&lt;&gt;$B126,$B142&lt;&gt;$B127,$B143&lt;&gt;$B128,$B144&lt;&gt;$B129,$B145&lt;&gt;$B130,$B146&lt;&gt;$B131,$B147&lt;&gt;$B132,$B148&lt;&gt;$B133),IF($B140&lt;&gt;$B125,AC125/INDEX($C123:$AJ133,3,MATCH(IF('Data-solution'!$A$3="Maximize",MAX($C134:$AI134),MIN($C134:$AI134)),$C134:$AI134,0)),AC125-INDEX($C123:$AJ133,3,MATCH(IF('Data-solution'!$A$3="Maximize",MAX($C134:$AI134),MIN($C134:$AI134)),$C134:$AI134,0))*INDEX(AC123:$AJ133,MATCH(MIN($AK123:$AK133),$AK123:$AK133,0),1)/INDEX($C123:$AJ133,MATCH(MIN($AK123:$AK133),$AK123:$AK133,0),MATCH(IF('Data-solution'!$A$3="Maximize",MAX($C134:$AI134),MIN($C134:$AI134)),$C134:$AI134,0))),AC125)</f>
        <v>0</v>
      </c>
      <c r="AD140" s="1">
        <f>IF(OR($B138&lt;&gt;$B123,$B139&lt;&gt;$B124,$B140&lt;&gt;$B125,$B141&lt;&gt;$B126,$B142&lt;&gt;$B127,$B143&lt;&gt;$B128,$B144&lt;&gt;$B129,$B145&lt;&gt;$B130,$B146&lt;&gt;$B131,$B147&lt;&gt;$B132,$B148&lt;&gt;$B133),IF($B140&lt;&gt;$B125,AD125/INDEX($C123:$AJ133,3,MATCH(IF('Data-solution'!$A$3="Maximize",MAX($C134:$AI134),MIN($C134:$AI134)),$C134:$AI134,0)),AD125-INDEX($C123:$AJ133,3,MATCH(IF('Data-solution'!$A$3="Maximize",MAX($C134:$AI134),MIN($C134:$AI134)),$C134:$AI134,0))*INDEX(AD123:$AJ133,MATCH(MIN($AK123:$AK133),$AK123:$AK133,0),1)/INDEX($C123:$AJ133,MATCH(MIN($AK123:$AK133),$AK123:$AK133,0),MATCH(IF('Data-solution'!$A$3="Maximize",MAX($C134:$AI134),MIN($C134:$AI134)),$C134:$AI134,0))),AD125)</f>
        <v>0</v>
      </c>
      <c r="AE140" s="1">
        <f>IF(OR($B138&lt;&gt;$B123,$B139&lt;&gt;$B124,$B140&lt;&gt;$B125,$B141&lt;&gt;$B126,$B142&lt;&gt;$B127,$B143&lt;&gt;$B128,$B144&lt;&gt;$B129,$B145&lt;&gt;$B130,$B146&lt;&gt;$B131,$B147&lt;&gt;$B132,$B148&lt;&gt;$B133),IF($B140&lt;&gt;$B125,AE125/INDEX($C123:$AJ133,3,MATCH(IF('Data-solution'!$A$3="Maximize",MAX($C134:$AI134),MIN($C134:$AI134)),$C134:$AI134,0)),AE125-INDEX($C123:$AJ133,3,MATCH(IF('Data-solution'!$A$3="Maximize",MAX($C134:$AI134),MIN($C134:$AI134)),$C134:$AI134,0))*INDEX(AE123:$AJ133,MATCH(MIN($AK123:$AK133),$AK123:$AK133,0),1)/INDEX($C123:$AJ133,MATCH(MIN($AK123:$AK133),$AK123:$AK133,0),MATCH(IF('Data-solution'!$A$3="Maximize",MAX($C134:$AI134),MIN($C134:$AI134)),$C134:$AI134,0))),AE125)</f>
        <v>0</v>
      </c>
      <c r="AF140" s="1">
        <f>IF(OR($B138&lt;&gt;$B123,$B139&lt;&gt;$B124,$B140&lt;&gt;$B125,$B141&lt;&gt;$B126,$B142&lt;&gt;$B127,$B143&lt;&gt;$B128,$B144&lt;&gt;$B129,$B145&lt;&gt;$B130,$B146&lt;&gt;$B131,$B147&lt;&gt;$B132,$B148&lt;&gt;$B133),IF($B140&lt;&gt;$B125,AF125/INDEX($C123:$AJ133,3,MATCH(IF('Data-solution'!$A$3="Maximize",MAX($C134:$AI134),MIN($C134:$AI134)),$C134:$AI134,0)),AF125-INDEX($C123:$AJ133,3,MATCH(IF('Data-solution'!$A$3="Maximize",MAX($C134:$AI134),MIN($C134:$AI134)),$C134:$AI134,0))*INDEX(AF123:$AJ133,MATCH(MIN($AK123:$AK133),$AK123:$AK133,0),1)/INDEX($C123:$AJ133,MATCH(MIN($AK123:$AK133),$AK123:$AK133,0),MATCH(IF('Data-solution'!$A$3="Maximize",MAX($C134:$AI134),MIN($C134:$AI134)),$C134:$AI134,0))),AF125)</f>
        <v>0</v>
      </c>
      <c r="AG140" s="1">
        <f>IF(OR($B138&lt;&gt;$B123,$B139&lt;&gt;$B124,$B140&lt;&gt;$B125,$B141&lt;&gt;$B126,$B142&lt;&gt;$B127,$B143&lt;&gt;$B128,$B144&lt;&gt;$B129,$B145&lt;&gt;$B130,$B146&lt;&gt;$B131,$B147&lt;&gt;$B132,$B148&lt;&gt;$B133),IF($B140&lt;&gt;$B125,AG125/INDEX($C123:$AJ133,3,MATCH(IF('Data-solution'!$A$3="Maximize",MAX($C134:$AI134),MIN($C134:$AI134)),$C134:$AI134,0)),AG125-INDEX($C123:$AJ133,3,MATCH(IF('Data-solution'!$A$3="Maximize",MAX($C134:$AI134),MIN($C134:$AI134)),$C134:$AI134,0))*INDEX(AG123:$AJ133,MATCH(MIN($AK123:$AK133),$AK123:$AK133,0),1)/INDEX($C123:$AJ133,MATCH(MIN($AK123:$AK133),$AK123:$AK133,0),MATCH(IF('Data-solution'!$A$3="Maximize",MAX($C134:$AI134),MIN($C134:$AI134)),$C134:$AI134,0))),AG125)</f>
        <v>0</v>
      </c>
      <c r="AH140" s="1">
        <f>IF(OR($B138&lt;&gt;$B123,$B139&lt;&gt;$B124,$B140&lt;&gt;$B125,$B141&lt;&gt;$B126,$B142&lt;&gt;$B127,$B143&lt;&gt;$B128,$B144&lt;&gt;$B129,$B145&lt;&gt;$B130,$B146&lt;&gt;$B131,$B147&lt;&gt;$B132,$B148&lt;&gt;$B133),IF($B140&lt;&gt;$B125,AH125/INDEX($C123:$AJ133,3,MATCH(IF('Data-solution'!$A$3="Maximize",MAX($C134:$AI134),MIN($C134:$AI134)),$C134:$AI134,0)),AH125-INDEX($C123:$AJ133,3,MATCH(IF('Data-solution'!$A$3="Maximize",MAX($C134:$AI134),MIN($C134:$AI134)),$C134:$AI134,0))*INDEX(AH123:$AJ133,MATCH(MIN($AK123:$AK133),$AK123:$AK133,0),1)/INDEX($C123:$AJ133,MATCH(MIN($AK123:$AK133),$AK123:$AK133,0),MATCH(IF('Data-solution'!$A$3="Maximize",MAX($C134:$AI134),MIN($C134:$AI134)),$C134:$AI134,0))),AH125)</f>
        <v>0</v>
      </c>
      <c r="AI140" s="1">
        <f>IF(OR($B138&lt;&gt;$B123,$B139&lt;&gt;$B124,$B140&lt;&gt;$B125,$B141&lt;&gt;$B126,$B142&lt;&gt;$B127,$B143&lt;&gt;$B128,$B144&lt;&gt;$B129,$B145&lt;&gt;$B130,$B146&lt;&gt;$B131,$B147&lt;&gt;$B132,$B148&lt;&gt;$B133),IF($B140&lt;&gt;$B125,AI125/INDEX($C123:$AJ133,3,MATCH(IF('Data-solution'!$A$3="Maximize",MAX($C134:$AI134),MIN($C134:$AI134)),$C134:$AI134,0)),AI125-INDEX($C123:$AJ133,3,MATCH(IF('Data-solution'!$A$3="Maximize",MAX($C134:$AI134),MIN($C134:$AI134)),$C134:$AI134,0))*INDEX(AI123:$AJ133,MATCH(MIN($AK123:$AK133),$AK123:$AK133,0),1)/INDEX($C123:$AJ133,MATCH(MIN($AK123:$AK133),$AK123:$AK133,0),MATCH(IF('Data-solution'!$A$3="Maximize",MAX($C134:$AI134),MIN($C134:$AI134)),$C134:$AI134,0))),AI125)</f>
        <v>0</v>
      </c>
      <c r="AJ140" s="1">
        <f>IF(OR($B138&lt;&gt;$B123,$B139&lt;&gt;$B124,$B140&lt;&gt;$B125,$B141&lt;&gt;$B126,$B142&lt;&gt;$B127,$B143&lt;&gt;$B128,$B144&lt;&gt;$B129,$B145&lt;&gt;$B130,$B146&lt;&gt;$B131,$B147&lt;&gt;$B132,$B148&lt;&gt;$B133),IF($B140&lt;&gt;$B125,AJ125/INDEX($C123:$AJ133,3,MATCH(IF('Data-solution'!$A$3="Maximize",MAX($C134:$AI134),MIN($C134:$AI134)),$C134:$AI134,0)),AJ125-INDEX($C123:$AJ133,3,MATCH(IF('Data-solution'!$A$3="Maximize",MAX($C134:$AI134),MIN($C134:$AI134)),$C134:$AI134,0))*INDEX(AJ123:$AJ133,MATCH(MIN($AK123:$AK133),$AK123:$AK133,0),1)/INDEX($C123:$AJ133,MATCH(MIN($AK123:$AK133),$AK123:$AK133,0),MATCH(IF('Data-solution'!$A$3="Maximize",MAX($C134:$AI134),MIN($C134:$AI134)),$C134:$AI134,0))),AJ125)</f>
        <v>300</v>
      </c>
      <c r="AK140" s="1" t="str">
        <f>IF(INDEX(C140:X140,1,MATCH(IF('Data-solution'!A$3="Maximize",MAX(C149:X149),MIN(C149:X149)),C149:X149,0))&gt;0,AJ140/INDEX(C140:X140,1,MATCH(IF('Data-solution'!A$3="Maximize",MAX(C149:X149),MIN(C149:X149)),C149:X149,0))," ")</f>
        <v xml:space="preserve"> </v>
      </c>
    </row>
    <row r="141" spans="1:37" ht="18" customHeight="1" x14ac:dyDescent="0.2">
      <c r="A141" s="1">
        <f t="shared" ref="A141" si="113">INDEX(C136:AI136,1,MATCH(B141,C137:AI137,0))</f>
        <v>150</v>
      </c>
      <c r="B141" s="2" t="str">
        <f>IF(AND('Data-solution'!A$3="Maximize",COUNTIF(C134:X134,"&gt;"&amp;0)&gt;0,AK126=MIN(AK123:AK133),COUNTIF(B138:B140,INDEX(C122:X122,1,MATCH(MAX(C134:X134),C134:X134,0)))=0),INDEX(C122:X122,1,MATCH(MAX(C134:X134),C134:X134,0)),IF(AND('Data-solution'!A$3="Minimize",COUNTIF(C134:X134,"&lt;"&amp;0)&gt;0,AK126=MIN(AK123:AK133),COUNTIF(B138:B140,INDEX(C122:X122,1,MATCH(MIN(C134:X134),C134:X134,0)))=0),INDEX(C122:X122,1,MATCH(MIN(C134:X134),C134:X134,0)),B126))</f>
        <v>X1</v>
      </c>
      <c r="C141" s="1">
        <f>IF(OR($B138&lt;&gt;$B123,$B139&lt;&gt;$B124,$B140&lt;&gt;$B125,$B141&lt;&gt;$B126,$B142&lt;&gt;$B127,$B143&lt;&gt;$B128,$B144&lt;&gt;$B129,$B145&lt;&gt;$B130,$B146&lt;&gt;$B131,$B147&lt;&gt;$B132,$B148&lt;&gt;$B133),IF($B141&lt;&gt;$B126,C126/INDEX($C123:$AJ133,4,MATCH(IF('Data-solution'!$A$3="Maximize",MAX($C134:$AI134),MIN($C134:$AI134)),$C134:$AI134,0)),C126-INDEX($C123:$AJ133,4,MATCH(IF('Data-solution'!$A$3="Maximize",MAX($C134:$AI134),MIN($C134:$AI134)),$C134:$AI134,0))*INDEX(C123:$AJ133,MATCH(MIN($AK123:$AK133),$AK123:$AK133,0),1)/INDEX($C123:$AJ133,MATCH(MIN($AK123:$AK133),$AK123:$AK133,0),MATCH(IF('Data-solution'!$A$3="Maximize",MAX($C134:$AI134),MIN($C134:$AI134)),$C134:$AI134,0))),C126)</f>
        <v>1</v>
      </c>
      <c r="D141" s="1">
        <f>IF(OR($B138&lt;&gt;$B123,$B139&lt;&gt;$B124,$B140&lt;&gt;$B125,$B141&lt;&gt;$B126,$B142&lt;&gt;$B127,$B143&lt;&gt;$B128,$B144&lt;&gt;$B129,$B145&lt;&gt;$B130,$B146&lt;&gt;$B131,$B147&lt;&gt;$B132,$B148&lt;&gt;$B133),IF($B141&lt;&gt;$B126,D126/INDEX($C123:$AJ133,4,MATCH(IF('Data-solution'!$A$3="Maximize",MAX($C134:$AI134),MIN($C134:$AI134)),$C134:$AI134,0)),D126-INDEX($C123:$AJ133,4,MATCH(IF('Data-solution'!$A$3="Maximize",MAX($C134:$AI134),MIN($C134:$AI134)),$C134:$AI134,0))*INDEX(D123:$AJ133,MATCH(MIN($AK123:$AK133),$AK123:$AK133,0),1)/INDEX($C123:$AJ133,MATCH(MIN($AK123:$AK133),$AK123:$AK133,0),MATCH(IF('Data-solution'!$A$3="Maximize",MAX($C134:$AI134),MIN($C134:$AI134)),$C134:$AI134,0))),D126)</f>
        <v>-1.25</v>
      </c>
      <c r="E141" s="1">
        <f>IF(OR($B138&lt;&gt;$B123,$B139&lt;&gt;$B124,$B140&lt;&gt;$B125,$B141&lt;&gt;$B126,$B142&lt;&gt;$B127,$B143&lt;&gt;$B128,$B144&lt;&gt;$B129,$B145&lt;&gt;$B130,$B146&lt;&gt;$B131,$B147&lt;&gt;$B132,$B148&lt;&gt;$B133),IF($B141&lt;&gt;$B126,E126/INDEX($C123:$AJ133,4,MATCH(IF('Data-solution'!$A$3="Maximize",MAX($C134:$AI134),MIN($C134:$AI134)),$C134:$AI134,0)),E126-INDEX($C123:$AJ133,4,MATCH(IF('Data-solution'!$A$3="Maximize",MAX($C134:$AI134),MIN($C134:$AI134)),$C134:$AI134,0))*INDEX(E123:$AJ133,MATCH(MIN($AK123:$AK133),$AK123:$AK133,0),1)/INDEX($C123:$AJ133,MATCH(MIN($AK123:$AK133),$AK123:$AK133,0),MATCH(IF('Data-solution'!$A$3="Maximize",MAX($C134:$AI134),MIN($C134:$AI134)),$C134:$AI134,0))),E126)</f>
        <v>0</v>
      </c>
      <c r="F141" s="1">
        <f>IF(OR($B138&lt;&gt;$B123,$B139&lt;&gt;$B124,$B140&lt;&gt;$B125,$B141&lt;&gt;$B126,$B142&lt;&gt;$B127,$B143&lt;&gt;$B128,$B144&lt;&gt;$B129,$B145&lt;&gt;$B130,$B146&lt;&gt;$B131,$B147&lt;&gt;$B132,$B148&lt;&gt;$B133),IF($B141&lt;&gt;$B126,F126/INDEX($C123:$AJ133,4,MATCH(IF('Data-solution'!$A$3="Maximize",MAX($C134:$AI134),MIN($C134:$AI134)),$C134:$AI134,0)),F126-INDEX($C123:$AJ133,4,MATCH(IF('Data-solution'!$A$3="Maximize",MAX($C134:$AI134),MIN($C134:$AI134)),$C134:$AI134,0))*INDEX(F123:$AJ133,MATCH(MIN($AK123:$AK133),$AK123:$AK133,0),1)/INDEX($C123:$AJ133,MATCH(MIN($AK123:$AK133),$AK123:$AK133,0),MATCH(IF('Data-solution'!$A$3="Maximize",MAX($C134:$AI134),MIN($C134:$AI134)),$C134:$AI134,0))),F126)</f>
        <v>0</v>
      </c>
      <c r="G141" s="1">
        <f>IF(OR($B138&lt;&gt;$B123,$B139&lt;&gt;$B124,$B140&lt;&gt;$B125,$B141&lt;&gt;$B126,$B142&lt;&gt;$B127,$B143&lt;&gt;$B128,$B144&lt;&gt;$B129,$B145&lt;&gt;$B130,$B146&lt;&gt;$B131,$B147&lt;&gt;$B132,$B148&lt;&gt;$B133),IF($B141&lt;&gt;$B126,G126/INDEX($C123:$AJ133,4,MATCH(IF('Data-solution'!$A$3="Maximize",MAX($C134:$AI134),MIN($C134:$AI134)),$C134:$AI134,0)),G126-INDEX($C123:$AJ133,4,MATCH(IF('Data-solution'!$A$3="Maximize",MAX($C134:$AI134),MIN($C134:$AI134)),$C134:$AI134,0))*INDEX(G123:$AJ133,MATCH(MIN($AK123:$AK133),$AK123:$AK133,0),1)/INDEX($C123:$AJ133,MATCH(MIN($AK123:$AK133),$AK123:$AK133,0),MATCH(IF('Data-solution'!$A$3="Maximize",MAX($C134:$AI134),MIN($C134:$AI134)),$C134:$AI134,0))),G126)</f>
        <v>0</v>
      </c>
      <c r="H141" s="1">
        <f>IF(OR($B138&lt;&gt;$B123,$B139&lt;&gt;$B124,$B140&lt;&gt;$B125,$B141&lt;&gt;$B126,$B142&lt;&gt;$B127,$B143&lt;&gt;$B128,$B144&lt;&gt;$B129,$B145&lt;&gt;$B130,$B146&lt;&gt;$B131,$B147&lt;&gt;$B132,$B148&lt;&gt;$B133),IF($B141&lt;&gt;$B126,H126/INDEX($C123:$AJ133,4,MATCH(IF('Data-solution'!$A$3="Maximize",MAX($C134:$AI134),MIN($C134:$AI134)),$C134:$AI134,0)),H126-INDEX($C123:$AJ133,4,MATCH(IF('Data-solution'!$A$3="Maximize",MAX($C134:$AI134),MIN($C134:$AI134)),$C134:$AI134,0))*INDEX(H123:$AJ133,MATCH(MIN($AK123:$AK133),$AK123:$AK133,0),1)/INDEX($C123:$AJ133,MATCH(MIN($AK123:$AK133),$AK123:$AK133,0),MATCH(IF('Data-solution'!$A$3="Maximize",MAX($C134:$AI134),MIN($C134:$AI134)),$C134:$AI134,0))),H126)</f>
        <v>0</v>
      </c>
      <c r="I141" s="1">
        <f>IF(OR($B138&lt;&gt;$B123,$B139&lt;&gt;$B124,$B140&lt;&gt;$B125,$B141&lt;&gt;$B126,$B142&lt;&gt;$B127,$B143&lt;&gt;$B128,$B144&lt;&gt;$B129,$B145&lt;&gt;$B130,$B146&lt;&gt;$B131,$B147&lt;&gt;$B132,$B148&lt;&gt;$B133),IF($B141&lt;&gt;$B126,I126/INDEX($C123:$AJ133,4,MATCH(IF('Data-solution'!$A$3="Maximize",MAX($C134:$AI134),MIN($C134:$AI134)),$C134:$AI134,0)),I126-INDEX($C123:$AJ133,4,MATCH(IF('Data-solution'!$A$3="Maximize",MAX($C134:$AI134),MIN($C134:$AI134)),$C134:$AI134,0))*INDEX(I123:$AJ133,MATCH(MIN($AK123:$AK133),$AK123:$AK133,0),1)/INDEX($C123:$AJ133,MATCH(MIN($AK123:$AK133),$AK123:$AK133,0),MATCH(IF('Data-solution'!$A$3="Maximize",MAX($C134:$AI134),MIN($C134:$AI134)),$C134:$AI134,0))),I126)</f>
        <v>0</v>
      </c>
      <c r="J141" s="1">
        <f>IF(OR($B138&lt;&gt;$B123,$B139&lt;&gt;$B124,$B140&lt;&gt;$B125,$B141&lt;&gt;$B126,$B142&lt;&gt;$B127,$B143&lt;&gt;$B128,$B144&lt;&gt;$B129,$B145&lt;&gt;$B130,$B146&lt;&gt;$B131,$B147&lt;&gt;$B132,$B148&lt;&gt;$B133),IF($B141&lt;&gt;$B126,J126/INDEX($C123:$AJ133,4,MATCH(IF('Data-solution'!$A$3="Maximize",MAX($C134:$AI134),MIN($C134:$AI134)),$C134:$AI134,0)),J126-INDEX($C123:$AJ133,4,MATCH(IF('Data-solution'!$A$3="Maximize",MAX($C134:$AI134),MIN($C134:$AI134)),$C134:$AI134,0))*INDEX(J123:$AJ133,MATCH(MIN($AK123:$AK133),$AK123:$AK133,0),1)/INDEX($C123:$AJ133,MATCH(MIN($AK123:$AK133),$AK123:$AK133,0),MATCH(IF('Data-solution'!$A$3="Maximize",MAX($C134:$AI134),MIN($C134:$AI134)),$C134:$AI134,0))),J126)</f>
        <v>0</v>
      </c>
      <c r="K141" s="1">
        <f>IF(OR($B138&lt;&gt;$B123,$B139&lt;&gt;$B124,$B140&lt;&gt;$B125,$B141&lt;&gt;$B126,$B142&lt;&gt;$B127,$B143&lt;&gt;$B128,$B144&lt;&gt;$B129,$B145&lt;&gt;$B130,$B146&lt;&gt;$B131,$B147&lt;&gt;$B132,$B148&lt;&gt;$B133),IF($B141&lt;&gt;$B126,K126/INDEX($C123:$AJ133,4,MATCH(IF('Data-solution'!$A$3="Maximize",MAX($C134:$AI134),MIN($C134:$AI134)),$C134:$AI134,0)),K126-INDEX($C123:$AJ133,4,MATCH(IF('Data-solution'!$A$3="Maximize",MAX($C134:$AI134),MIN($C134:$AI134)),$C134:$AI134,0))*INDEX(K123:$AJ133,MATCH(MIN($AK123:$AK133),$AK123:$AK133,0),1)/INDEX($C123:$AJ133,MATCH(MIN($AK123:$AK133),$AK123:$AK133,0),MATCH(IF('Data-solution'!$A$3="Maximize",MAX($C134:$AI134),MIN($C134:$AI134)),$C134:$AI134,0))),K126)</f>
        <v>0</v>
      </c>
      <c r="L141" s="1">
        <f>IF(OR($B138&lt;&gt;$B123,$B139&lt;&gt;$B124,$B140&lt;&gt;$B125,$B141&lt;&gt;$B126,$B142&lt;&gt;$B127,$B143&lt;&gt;$B128,$B144&lt;&gt;$B129,$B145&lt;&gt;$B130,$B146&lt;&gt;$B131,$B147&lt;&gt;$B132,$B148&lt;&gt;$B133),IF($B141&lt;&gt;$B126,L126/INDEX($C123:$AJ133,4,MATCH(IF('Data-solution'!$A$3="Maximize",MAX($C134:$AI134),MIN($C134:$AI134)),$C134:$AI134,0)),L126-INDEX($C123:$AJ133,4,MATCH(IF('Data-solution'!$A$3="Maximize",MAX($C134:$AI134),MIN($C134:$AI134)),$C134:$AI134,0))*INDEX(L123:$AJ133,MATCH(MIN($AK123:$AK133),$AK123:$AK133,0),1)/INDEX($C123:$AJ133,MATCH(MIN($AK123:$AK133),$AK123:$AK133,0),MATCH(IF('Data-solution'!$A$3="Maximize",MAX($C134:$AI134),MIN($C134:$AI134)),$C134:$AI134,0))),L126)</f>
        <v>0</v>
      </c>
      <c r="M141" s="1">
        <f>IF(OR($B138&lt;&gt;$B123,$B139&lt;&gt;$B124,$B140&lt;&gt;$B125,$B141&lt;&gt;$B126,$B142&lt;&gt;$B127,$B143&lt;&gt;$B128,$B144&lt;&gt;$B129,$B145&lt;&gt;$B130,$B146&lt;&gt;$B131,$B147&lt;&gt;$B132,$B148&lt;&gt;$B133),IF($B141&lt;&gt;$B126,M126/INDEX($C123:$AJ133,4,MATCH(IF('Data-solution'!$A$3="Maximize",MAX($C134:$AI134),MIN($C134:$AI134)),$C134:$AI134,0)),M126-INDEX($C123:$AJ133,4,MATCH(IF('Data-solution'!$A$3="Maximize",MAX($C134:$AI134),MIN($C134:$AI134)),$C134:$AI134,0))*INDEX(M123:$AJ133,MATCH(MIN($AK123:$AK133),$AK123:$AK133,0),1)/INDEX($C123:$AJ133,MATCH(MIN($AK123:$AK133),$AK123:$AK133,0),MATCH(IF('Data-solution'!$A$3="Maximize",MAX($C134:$AI134),MIN($C134:$AI134)),$C134:$AI134,0))),M126)</f>
        <v>0</v>
      </c>
      <c r="N141" s="1">
        <f>IF(OR($B138&lt;&gt;$B123,$B139&lt;&gt;$B124,$B140&lt;&gt;$B125,$B141&lt;&gt;$B126,$B142&lt;&gt;$B127,$B143&lt;&gt;$B128,$B144&lt;&gt;$B129,$B145&lt;&gt;$B130,$B146&lt;&gt;$B131,$B147&lt;&gt;$B132,$B148&lt;&gt;$B133),IF($B141&lt;&gt;$B126,N126/INDEX($C123:$AJ133,4,MATCH(IF('Data-solution'!$A$3="Maximize",MAX($C134:$AI134),MIN($C134:$AI134)),$C134:$AI134,0)),N126-INDEX($C123:$AJ133,4,MATCH(IF('Data-solution'!$A$3="Maximize",MAX($C134:$AI134),MIN($C134:$AI134)),$C134:$AI134,0))*INDEX(N123:$AJ133,MATCH(MIN($AK123:$AK133),$AK123:$AK133,0),1)/INDEX($C123:$AJ133,MATCH(MIN($AK123:$AK133),$AK123:$AK133,0),MATCH(IF('Data-solution'!$A$3="Maximize",MAX($C134:$AI134),MIN($C134:$AI134)),$C134:$AI134,0))),N126)</f>
        <v>0</v>
      </c>
      <c r="O141" s="1">
        <f>IF(OR($B138&lt;&gt;$B123,$B139&lt;&gt;$B124,$B140&lt;&gt;$B125,$B141&lt;&gt;$B126,$B142&lt;&gt;$B127,$B143&lt;&gt;$B128,$B144&lt;&gt;$B129,$B145&lt;&gt;$B130,$B146&lt;&gt;$B131,$B147&lt;&gt;$B132,$B148&lt;&gt;$B133),IF($B141&lt;&gt;$B126,O126/INDEX($C123:$AJ133,4,MATCH(IF('Data-solution'!$A$3="Maximize",MAX($C134:$AI134),MIN($C134:$AI134)),$C134:$AI134,0)),O126-INDEX($C123:$AJ133,4,MATCH(IF('Data-solution'!$A$3="Maximize",MAX($C134:$AI134),MIN($C134:$AI134)),$C134:$AI134,0))*INDEX(O123:$AJ133,MATCH(MIN($AK123:$AK133),$AK123:$AK133,0),1)/INDEX($C123:$AJ133,MATCH(MIN($AK123:$AK133),$AK123:$AK133,0),MATCH(IF('Data-solution'!$A$3="Maximize",MAX($C134:$AI134),MIN($C134:$AI134)),$C134:$AI134,0))),O126)</f>
        <v>0</v>
      </c>
      <c r="P141" s="1">
        <f>IF(OR($B138&lt;&gt;$B123,$B139&lt;&gt;$B124,$B140&lt;&gt;$B125,$B141&lt;&gt;$B126,$B142&lt;&gt;$B127,$B143&lt;&gt;$B128,$B144&lt;&gt;$B129,$B145&lt;&gt;$B130,$B146&lt;&gt;$B131,$B147&lt;&gt;$B132,$B148&lt;&gt;$B133),IF($B141&lt;&gt;$B126,P126/INDEX($C123:$AJ133,4,MATCH(IF('Data-solution'!$A$3="Maximize",MAX($C134:$AI134),MIN($C134:$AI134)),$C134:$AI134,0)),P126-INDEX($C123:$AJ133,4,MATCH(IF('Data-solution'!$A$3="Maximize",MAX($C134:$AI134),MIN($C134:$AI134)),$C134:$AI134,0))*INDEX(P123:$AJ133,MATCH(MIN($AK123:$AK133),$AK123:$AK133,0),1)/INDEX($C123:$AJ133,MATCH(MIN($AK123:$AK133),$AK123:$AK133,0),MATCH(IF('Data-solution'!$A$3="Maximize",MAX($C134:$AI134),MIN($C134:$AI134)),$C134:$AI134,0))),P126)</f>
        <v>-0.24999999999999994</v>
      </c>
      <c r="Q141" s="1">
        <f>IF(OR($B138&lt;&gt;$B123,$B139&lt;&gt;$B124,$B140&lt;&gt;$B125,$B141&lt;&gt;$B126,$B142&lt;&gt;$B127,$B143&lt;&gt;$B128,$B144&lt;&gt;$B129,$B145&lt;&gt;$B130,$B146&lt;&gt;$B131,$B147&lt;&gt;$B132,$B148&lt;&gt;$B133),IF($B141&lt;&gt;$B126,Q126/INDEX($C123:$AJ133,4,MATCH(IF('Data-solution'!$A$3="Maximize",MAX($C134:$AI134),MIN($C134:$AI134)),$C134:$AI134,0)),Q126-INDEX($C123:$AJ133,4,MATCH(IF('Data-solution'!$A$3="Maximize",MAX($C134:$AI134),MIN($C134:$AI134)),$C134:$AI134,0))*INDEX(Q123:$AJ133,MATCH(MIN($AK123:$AK133),$AK123:$AK133,0),1)/INDEX($C123:$AJ133,MATCH(MIN($AK123:$AK133),$AK123:$AK133,0),MATCH(IF('Data-solution'!$A$3="Maximize",MAX($C134:$AI134),MIN($C134:$AI134)),$C134:$AI134,0))),Q126)</f>
        <v>1.4999999999999998</v>
      </c>
      <c r="R141" s="1">
        <f>IF(OR($B138&lt;&gt;$B123,$B139&lt;&gt;$B124,$B140&lt;&gt;$B125,$B141&lt;&gt;$B126,$B142&lt;&gt;$B127,$B143&lt;&gt;$B128,$B144&lt;&gt;$B129,$B145&lt;&gt;$B130,$B146&lt;&gt;$B131,$B147&lt;&gt;$B132,$B148&lt;&gt;$B133),IF($B141&lt;&gt;$B126,R126/INDEX($C123:$AJ133,4,MATCH(IF('Data-solution'!$A$3="Maximize",MAX($C134:$AI134),MIN($C134:$AI134)),$C134:$AI134,0)),R126-INDEX($C123:$AJ133,4,MATCH(IF('Data-solution'!$A$3="Maximize",MAX($C134:$AI134),MIN($C134:$AI134)),$C134:$AI134,0))*INDEX(R123:$AJ133,MATCH(MIN($AK123:$AK133),$AK123:$AK133,0),1)/INDEX($C123:$AJ133,MATCH(MIN($AK123:$AK133),$AK123:$AK133,0),MATCH(IF('Data-solution'!$A$3="Maximize",MAX($C134:$AI134),MIN($C134:$AI134)),$C134:$AI134,0))),R126)</f>
        <v>0</v>
      </c>
      <c r="S141" s="1">
        <f>IF(OR($B138&lt;&gt;$B123,$B139&lt;&gt;$B124,$B140&lt;&gt;$B125,$B141&lt;&gt;$B126,$B142&lt;&gt;$B127,$B143&lt;&gt;$B128,$B144&lt;&gt;$B129,$B145&lt;&gt;$B130,$B146&lt;&gt;$B131,$B147&lt;&gt;$B132,$B148&lt;&gt;$B133),IF($B141&lt;&gt;$B126,S126/INDEX($C123:$AJ133,4,MATCH(IF('Data-solution'!$A$3="Maximize",MAX($C134:$AI134),MIN($C134:$AI134)),$C134:$AI134,0)),S126-INDEX($C123:$AJ133,4,MATCH(IF('Data-solution'!$A$3="Maximize",MAX($C134:$AI134),MIN($C134:$AI134)),$C134:$AI134,0))*INDEX(S123:$AJ133,MATCH(MIN($AK123:$AK133),$AK123:$AK133,0),1)/INDEX($C123:$AJ133,MATCH(MIN($AK123:$AK133),$AK123:$AK133,0),MATCH(IF('Data-solution'!$A$3="Maximize",MAX($C134:$AI134),MIN($C134:$AI134)),$C134:$AI134,0))),S126)</f>
        <v>0</v>
      </c>
      <c r="T141" s="1">
        <f>IF(OR($B138&lt;&gt;$B123,$B139&lt;&gt;$B124,$B140&lt;&gt;$B125,$B141&lt;&gt;$B126,$B142&lt;&gt;$B127,$B143&lt;&gt;$B128,$B144&lt;&gt;$B129,$B145&lt;&gt;$B130,$B146&lt;&gt;$B131,$B147&lt;&gt;$B132,$B148&lt;&gt;$B133),IF($B141&lt;&gt;$B126,T126/INDEX($C123:$AJ133,4,MATCH(IF('Data-solution'!$A$3="Maximize",MAX($C134:$AI134),MIN($C134:$AI134)),$C134:$AI134,0)),T126-INDEX($C123:$AJ133,4,MATCH(IF('Data-solution'!$A$3="Maximize",MAX($C134:$AI134),MIN($C134:$AI134)),$C134:$AI134,0))*INDEX(T123:$AJ133,MATCH(MIN($AK123:$AK133),$AK123:$AK133,0),1)/INDEX($C123:$AJ133,MATCH(MIN($AK123:$AK133),$AK123:$AK133,0),MATCH(IF('Data-solution'!$A$3="Maximize",MAX($C134:$AI134),MIN($C134:$AI134)),$C134:$AI134,0))),T126)</f>
        <v>0</v>
      </c>
      <c r="U141" s="1">
        <f>IF(OR($B138&lt;&gt;$B123,$B139&lt;&gt;$B124,$B140&lt;&gt;$B125,$B141&lt;&gt;$B126,$B142&lt;&gt;$B127,$B143&lt;&gt;$B128,$B144&lt;&gt;$B129,$B145&lt;&gt;$B130,$B146&lt;&gt;$B131,$B147&lt;&gt;$B132,$B148&lt;&gt;$B133),IF($B141&lt;&gt;$B126,U126/INDEX($C123:$AJ133,4,MATCH(IF('Data-solution'!$A$3="Maximize",MAX($C134:$AI134),MIN($C134:$AI134)),$C134:$AI134,0)),U126-INDEX($C123:$AJ133,4,MATCH(IF('Data-solution'!$A$3="Maximize",MAX($C134:$AI134),MIN($C134:$AI134)),$C134:$AI134,0))*INDEX(U123:$AJ133,MATCH(MIN($AK123:$AK133),$AK123:$AK133,0),1)/INDEX($C123:$AJ133,MATCH(MIN($AK123:$AK133),$AK123:$AK133,0),MATCH(IF('Data-solution'!$A$3="Maximize",MAX($C134:$AI134),MIN($C134:$AI134)),$C134:$AI134,0))),U126)</f>
        <v>0</v>
      </c>
      <c r="V141" s="1">
        <f>IF(OR($B138&lt;&gt;$B123,$B139&lt;&gt;$B124,$B140&lt;&gt;$B125,$B141&lt;&gt;$B126,$B142&lt;&gt;$B127,$B143&lt;&gt;$B128,$B144&lt;&gt;$B129,$B145&lt;&gt;$B130,$B146&lt;&gt;$B131,$B147&lt;&gt;$B132,$B148&lt;&gt;$B133),IF($B141&lt;&gt;$B126,V126/INDEX($C123:$AJ133,4,MATCH(IF('Data-solution'!$A$3="Maximize",MAX($C134:$AI134),MIN($C134:$AI134)),$C134:$AI134,0)),V126-INDEX($C123:$AJ133,4,MATCH(IF('Data-solution'!$A$3="Maximize",MAX($C134:$AI134),MIN($C134:$AI134)),$C134:$AI134,0))*INDEX(V123:$AJ133,MATCH(MIN($AK123:$AK133),$AK123:$AK133,0),1)/INDEX($C123:$AJ133,MATCH(MIN($AK123:$AK133),$AK123:$AK133,0),MATCH(IF('Data-solution'!$A$3="Maximize",MAX($C134:$AI134),MIN($C134:$AI134)),$C134:$AI134,0))),V126)</f>
        <v>0</v>
      </c>
      <c r="W141" s="1">
        <f>IF(OR($B138&lt;&gt;$B123,$B139&lt;&gt;$B124,$B140&lt;&gt;$B125,$B141&lt;&gt;$B126,$B142&lt;&gt;$B127,$B143&lt;&gt;$B128,$B144&lt;&gt;$B129,$B145&lt;&gt;$B130,$B146&lt;&gt;$B131,$B147&lt;&gt;$B132,$B148&lt;&gt;$B133),IF($B141&lt;&gt;$B126,W126/INDEX($C123:$AJ133,4,MATCH(IF('Data-solution'!$A$3="Maximize",MAX($C134:$AI134),MIN($C134:$AI134)),$C134:$AI134,0)),W126-INDEX($C123:$AJ133,4,MATCH(IF('Data-solution'!$A$3="Maximize",MAX($C134:$AI134),MIN($C134:$AI134)),$C134:$AI134,0))*INDEX(W123:$AJ133,MATCH(MIN($AK123:$AK133),$AK123:$AK133,0),1)/INDEX($C123:$AJ133,MATCH(MIN($AK123:$AK133),$AK123:$AK133,0),MATCH(IF('Data-solution'!$A$3="Maximize",MAX($C134:$AI134),MIN($C134:$AI134)),$C134:$AI134,0))),W126)</f>
        <v>0</v>
      </c>
      <c r="X141" s="1">
        <f>IF(OR($B138&lt;&gt;$B123,$B139&lt;&gt;$B124,$B140&lt;&gt;$B125,$B141&lt;&gt;$B126,$B142&lt;&gt;$B127,$B143&lt;&gt;$B128,$B144&lt;&gt;$B129,$B145&lt;&gt;$B130,$B146&lt;&gt;$B131,$B147&lt;&gt;$B132,$B148&lt;&gt;$B133),IF($B141&lt;&gt;$B126,X126/INDEX($C123:$AJ133,4,MATCH(IF('Data-solution'!$A$3="Maximize",MAX($C134:$AI134),MIN($C134:$AI134)),$C134:$AI134,0)),X126-INDEX($C123:$AJ133,4,MATCH(IF('Data-solution'!$A$3="Maximize",MAX($C134:$AI134),MIN($C134:$AI134)),$C134:$AI134,0))*INDEX(X123:$AJ133,MATCH(MIN($AK123:$AK133),$AK123:$AK133,0),1)/INDEX($C123:$AJ133,MATCH(MIN($AK123:$AK133),$AK123:$AK133,0),MATCH(IF('Data-solution'!$A$3="Maximize",MAX($C134:$AI134),MIN($C134:$AI134)),$C134:$AI134,0))),X126)</f>
        <v>0</v>
      </c>
      <c r="Y141" s="1">
        <f>IF(OR($B138&lt;&gt;$B123,$B139&lt;&gt;$B124,$B140&lt;&gt;$B125,$B141&lt;&gt;$B126,$B142&lt;&gt;$B127,$B143&lt;&gt;$B128,$B144&lt;&gt;$B129,$B145&lt;&gt;$B130,$B146&lt;&gt;$B131,$B147&lt;&gt;$B132,$B148&lt;&gt;$B133),IF($B141&lt;&gt;$B126,Y126/INDEX($C123:$AJ133,4,MATCH(IF('Data-solution'!$A$3="Maximize",MAX($C134:$AI134),MIN($C134:$AI134)),$C134:$AI134,0)),Y126-INDEX($C123:$AJ133,4,MATCH(IF('Data-solution'!$A$3="Maximize",MAX($C134:$AI134),MIN($C134:$AI134)),$C134:$AI134,0))*INDEX(Y123:$AJ133,MATCH(MIN($AK123:$AK133),$AK123:$AK133,0),1)/INDEX($C123:$AJ133,MATCH(MIN($AK123:$AK133),$AK123:$AK133,0),MATCH(IF('Data-solution'!$A$3="Maximize",MAX($C134:$AI134),MIN($C134:$AI134)),$C134:$AI134,0))),Y126)</f>
        <v>0</v>
      </c>
      <c r="Z141" s="1">
        <f>IF(OR($B138&lt;&gt;$B123,$B139&lt;&gt;$B124,$B140&lt;&gt;$B125,$B141&lt;&gt;$B126,$B142&lt;&gt;$B127,$B143&lt;&gt;$B128,$B144&lt;&gt;$B129,$B145&lt;&gt;$B130,$B146&lt;&gt;$B131,$B147&lt;&gt;$B132,$B148&lt;&gt;$B133),IF($B141&lt;&gt;$B126,Z126/INDEX($C123:$AJ133,4,MATCH(IF('Data-solution'!$A$3="Maximize",MAX($C134:$AI134),MIN($C134:$AI134)),$C134:$AI134,0)),Z126-INDEX($C123:$AJ133,4,MATCH(IF('Data-solution'!$A$3="Maximize",MAX($C134:$AI134),MIN($C134:$AI134)),$C134:$AI134,0))*INDEX(Z123:$AJ133,MATCH(MIN($AK123:$AK133),$AK123:$AK133,0),1)/INDEX($C123:$AJ133,MATCH(MIN($AK123:$AK133),$AK123:$AK133,0),MATCH(IF('Data-solution'!$A$3="Maximize",MAX($C134:$AI134),MIN($C134:$AI134)),$C134:$AI134,0))),Z126)</f>
        <v>0</v>
      </c>
      <c r="AA141" s="1">
        <f>IF(OR($B138&lt;&gt;$B123,$B139&lt;&gt;$B124,$B140&lt;&gt;$B125,$B141&lt;&gt;$B126,$B142&lt;&gt;$B127,$B143&lt;&gt;$B128,$B144&lt;&gt;$B129,$B145&lt;&gt;$B130,$B146&lt;&gt;$B131,$B147&lt;&gt;$B132,$B148&lt;&gt;$B133),IF($B141&lt;&gt;$B126,AA126/INDEX($C123:$AJ133,4,MATCH(IF('Data-solution'!$A$3="Maximize",MAX($C134:$AI134),MIN($C134:$AI134)),$C134:$AI134,0)),AA126-INDEX($C123:$AJ133,4,MATCH(IF('Data-solution'!$A$3="Maximize",MAX($C134:$AI134),MIN($C134:$AI134)),$C134:$AI134,0))*INDEX(AA123:$AJ133,MATCH(MIN($AK123:$AK133),$AK123:$AK133,0),1)/INDEX($C123:$AJ133,MATCH(MIN($AK123:$AK133),$AK123:$AK133,0),MATCH(IF('Data-solution'!$A$3="Maximize",MAX($C134:$AI134),MIN($C134:$AI134)),$C134:$AI134,0))),AA126)</f>
        <v>-0.24999999999999994</v>
      </c>
      <c r="AB141" s="1">
        <f>IF(OR($B138&lt;&gt;$B123,$B139&lt;&gt;$B124,$B140&lt;&gt;$B125,$B141&lt;&gt;$B126,$B142&lt;&gt;$B127,$B143&lt;&gt;$B128,$B144&lt;&gt;$B129,$B145&lt;&gt;$B130,$B146&lt;&gt;$B131,$B147&lt;&gt;$B132,$B148&lt;&gt;$B133),IF($B141&lt;&gt;$B126,AB126/INDEX($C123:$AJ133,4,MATCH(IF('Data-solution'!$A$3="Maximize",MAX($C134:$AI134),MIN($C134:$AI134)),$C134:$AI134,0)),AB126-INDEX($C123:$AJ133,4,MATCH(IF('Data-solution'!$A$3="Maximize",MAX($C134:$AI134),MIN($C134:$AI134)),$C134:$AI134,0))*INDEX(AB123:$AJ133,MATCH(MIN($AK123:$AK133),$AK123:$AK133,0),1)/INDEX($C123:$AJ133,MATCH(MIN($AK123:$AK133),$AK123:$AK133,0),MATCH(IF('Data-solution'!$A$3="Maximize",MAX($C134:$AI134),MIN($C134:$AI134)),$C134:$AI134,0))),AB126)</f>
        <v>1.4999999999999998</v>
      </c>
      <c r="AC141" s="1">
        <f>IF(OR($B138&lt;&gt;$B123,$B139&lt;&gt;$B124,$B140&lt;&gt;$B125,$B141&lt;&gt;$B126,$B142&lt;&gt;$B127,$B143&lt;&gt;$B128,$B144&lt;&gt;$B129,$B145&lt;&gt;$B130,$B146&lt;&gt;$B131,$B147&lt;&gt;$B132,$B148&lt;&gt;$B133),IF($B141&lt;&gt;$B126,AC126/INDEX($C123:$AJ133,4,MATCH(IF('Data-solution'!$A$3="Maximize",MAX($C134:$AI134),MIN($C134:$AI134)),$C134:$AI134,0)),AC126-INDEX($C123:$AJ133,4,MATCH(IF('Data-solution'!$A$3="Maximize",MAX($C134:$AI134),MIN($C134:$AI134)),$C134:$AI134,0))*INDEX(AC123:$AJ133,MATCH(MIN($AK123:$AK133),$AK123:$AK133,0),1)/INDEX($C123:$AJ133,MATCH(MIN($AK123:$AK133),$AK123:$AK133,0),MATCH(IF('Data-solution'!$A$3="Maximize",MAX($C134:$AI134),MIN($C134:$AI134)),$C134:$AI134,0))),AC126)</f>
        <v>0</v>
      </c>
      <c r="AD141" s="1">
        <f>IF(OR($B138&lt;&gt;$B123,$B139&lt;&gt;$B124,$B140&lt;&gt;$B125,$B141&lt;&gt;$B126,$B142&lt;&gt;$B127,$B143&lt;&gt;$B128,$B144&lt;&gt;$B129,$B145&lt;&gt;$B130,$B146&lt;&gt;$B131,$B147&lt;&gt;$B132,$B148&lt;&gt;$B133),IF($B141&lt;&gt;$B126,AD126/INDEX($C123:$AJ133,4,MATCH(IF('Data-solution'!$A$3="Maximize",MAX($C134:$AI134),MIN($C134:$AI134)),$C134:$AI134,0)),AD126-INDEX($C123:$AJ133,4,MATCH(IF('Data-solution'!$A$3="Maximize",MAX($C134:$AI134),MIN($C134:$AI134)),$C134:$AI134,0))*INDEX(AD123:$AJ133,MATCH(MIN($AK123:$AK133),$AK123:$AK133,0),1)/INDEX($C123:$AJ133,MATCH(MIN($AK123:$AK133),$AK123:$AK133,0),MATCH(IF('Data-solution'!$A$3="Maximize",MAX($C134:$AI134),MIN($C134:$AI134)),$C134:$AI134,0))),AD126)</f>
        <v>0</v>
      </c>
      <c r="AE141" s="1">
        <f>IF(OR($B138&lt;&gt;$B123,$B139&lt;&gt;$B124,$B140&lt;&gt;$B125,$B141&lt;&gt;$B126,$B142&lt;&gt;$B127,$B143&lt;&gt;$B128,$B144&lt;&gt;$B129,$B145&lt;&gt;$B130,$B146&lt;&gt;$B131,$B147&lt;&gt;$B132,$B148&lt;&gt;$B133),IF($B141&lt;&gt;$B126,AE126/INDEX($C123:$AJ133,4,MATCH(IF('Data-solution'!$A$3="Maximize",MAX($C134:$AI134),MIN($C134:$AI134)),$C134:$AI134,0)),AE126-INDEX($C123:$AJ133,4,MATCH(IF('Data-solution'!$A$3="Maximize",MAX($C134:$AI134),MIN($C134:$AI134)),$C134:$AI134,0))*INDEX(AE123:$AJ133,MATCH(MIN($AK123:$AK133),$AK123:$AK133,0),1)/INDEX($C123:$AJ133,MATCH(MIN($AK123:$AK133),$AK123:$AK133,0),MATCH(IF('Data-solution'!$A$3="Maximize",MAX($C134:$AI134),MIN($C134:$AI134)),$C134:$AI134,0))),AE126)</f>
        <v>0</v>
      </c>
      <c r="AF141" s="1">
        <f>IF(OR($B138&lt;&gt;$B123,$B139&lt;&gt;$B124,$B140&lt;&gt;$B125,$B141&lt;&gt;$B126,$B142&lt;&gt;$B127,$B143&lt;&gt;$B128,$B144&lt;&gt;$B129,$B145&lt;&gt;$B130,$B146&lt;&gt;$B131,$B147&lt;&gt;$B132,$B148&lt;&gt;$B133),IF($B141&lt;&gt;$B126,AF126/INDEX($C123:$AJ133,4,MATCH(IF('Data-solution'!$A$3="Maximize",MAX($C134:$AI134),MIN($C134:$AI134)),$C134:$AI134,0)),AF126-INDEX($C123:$AJ133,4,MATCH(IF('Data-solution'!$A$3="Maximize",MAX($C134:$AI134),MIN($C134:$AI134)),$C134:$AI134,0))*INDEX(AF123:$AJ133,MATCH(MIN($AK123:$AK133),$AK123:$AK133,0),1)/INDEX($C123:$AJ133,MATCH(MIN($AK123:$AK133),$AK123:$AK133,0),MATCH(IF('Data-solution'!$A$3="Maximize",MAX($C134:$AI134),MIN($C134:$AI134)),$C134:$AI134,0))),AF126)</f>
        <v>0</v>
      </c>
      <c r="AG141" s="1">
        <f>IF(OR($B138&lt;&gt;$B123,$B139&lt;&gt;$B124,$B140&lt;&gt;$B125,$B141&lt;&gt;$B126,$B142&lt;&gt;$B127,$B143&lt;&gt;$B128,$B144&lt;&gt;$B129,$B145&lt;&gt;$B130,$B146&lt;&gt;$B131,$B147&lt;&gt;$B132,$B148&lt;&gt;$B133),IF($B141&lt;&gt;$B126,AG126/INDEX($C123:$AJ133,4,MATCH(IF('Data-solution'!$A$3="Maximize",MAX($C134:$AI134),MIN($C134:$AI134)),$C134:$AI134,0)),AG126-INDEX($C123:$AJ133,4,MATCH(IF('Data-solution'!$A$3="Maximize",MAX($C134:$AI134),MIN($C134:$AI134)),$C134:$AI134,0))*INDEX(AG123:$AJ133,MATCH(MIN($AK123:$AK133),$AK123:$AK133,0),1)/INDEX($C123:$AJ133,MATCH(MIN($AK123:$AK133),$AK123:$AK133,0),MATCH(IF('Data-solution'!$A$3="Maximize",MAX($C134:$AI134),MIN($C134:$AI134)),$C134:$AI134,0))),AG126)</f>
        <v>0</v>
      </c>
      <c r="AH141" s="1">
        <f>IF(OR($B138&lt;&gt;$B123,$B139&lt;&gt;$B124,$B140&lt;&gt;$B125,$B141&lt;&gt;$B126,$B142&lt;&gt;$B127,$B143&lt;&gt;$B128,$B144&lt;&gt;$B129,$B145&lt;&gt;$B130,$B146&lt;&gt;$B131,$B147&lt;&gt;$B132,$B148&lt;&gt;$B133),IF($B141&lt;&gt;$B126,AH126/INDEX($C123:$AJ133,4,MATCH(IF('Data-solution'!$A$3="Maximize",MAX($C134:$AI134),MIN($C134:$AI134)),$C134:$AI134,0)),AH126-INDEX($C123:$AJ133,4,MATCH(IF('Data-solution'!$A$3="Maximize",MAX($C134:$AI134),MIN($C134:$AI134)),$C134:$AI134,0))*INDEX(AH123:$AJ133,MATCH(MIN($AK123:$AK133),$AK123:$AK133,0),1)/INDEX($C123:$AJ133,MATCH(MIN($AK123:$AK133),$AK123:$AK133,0),MATCH(IF('Data-solution'!$A$3="Maximize",MAX($C134:$AI134),MIN($C134:$AI134)),$C134:$AI134,0))),AH126)</f>
        <v>0</v>
      </c>
      <c r="AI141" s="1">
        <f>IF(OR($B138&lt;&gt;$B123,$B139&lt;&gt;$B124,$B140&lt;&gt;$B125,$B141&lt;&gt;$B126,$B142&lt;&gt;$B127,$B143&lt;&gt;$B128,$B144&lt;&gt;$B129,$B145&lt;&gt;$B130,$B146&lt;&gt;$B131,$B147&lt;&gt;$B132,$B148&lt;&gt;$B133),IF($B141&lt;&gt;$B126,AI126/INDEX($C123:$AJ133,4,MATCH(IF('Data-solution'!$A$3="Maximize",MAX($C134:$AI134),MIN($C134:$AI134)),$C134:$AI134,0)),AI126-INDEX($C123:$AJ133,4,MATCH(IF('Data-solution'!$A$3="Maximize",MAX($C134:$AI134),MIN($C134:$AI134)),$C134:$AI134,0))*INDEX(AI123:$AJ133,MATCH(MIN($AK123:$AK133),$AK123:$AK133,0),1)/INDEX($C123:$AJ133,MATCH(MIN($AK123:$AK133),$AK123:$AK133,0),MATCH(IF('Data-solution'!$A$3="Maximize",MAX($C134:$AI134),MIN($C134:$AI134)),$C134:$AI134,0))),AI126)</f>
        <v>0</v>
      </c>
      <c r="AJ141" s="1">
        <f>IF(OR($B138&lt;&gt;$B123,$B139&lt;&gt;$B124,$B140&lt;&gt;$B125,$B141&lt;&gt;$B126,$B142&lt;&gt;$B127,$B143&lt;&gt;$B128,$B144&lt;&gt;$B129,$B145&lt;&gt;$B130,$B146&lt;&gt;$B131,$B147&lt;&gt;$B132,$B148&lt;&gt;$B133),IF($B141&lt;&gt;$B126,AJ126/INDEX($C123:$AJ133,4,MATCH(IF('Data-solution'!$A$3="Maximize",MAX($C134:$AI134),MIN($C134:$AI134)),$C134:$AI134,0)),AJ126-INDEX($C123:$AJ133,4,MATCH(IF('Data-solution'!$A$3="Maximize",MAX($C134:$AI134),MIN($C134:$AI134)),$C134:$AI134,0))*INDEX(AJ123:$AJ133,MATCH(MIN($AK123:$AK133),$AK123:$AK133,0),1)/INDEX($C123:$AJ133,MATCH(MIN($AK123:$AK133),$AK123:$AK133,0),MATCH(IF('Data-solution'!$A$3="Maximize",MAX($C134:$AI134),MIN($C134:$AI134)),$C134:$AI134,0))),AJ126)</f>
        <v>100.00000000000001</v>
      </c>
      <c r="AK141" s="1">
        <f>IF(INDEX(C141:X141,1,MATCH(IF('Data-solution'!A$3="Maximize",MAX(C149:X149),MIN(C149:X149)),C149:X149,0))&gt;0,AJ141/INDEX(C141:X141,1,MATCH(IF('Data-solution'!A$3="Maximize",MAX(C149:X149),MIN(C149:X149)),C149:X149,0))," ")</f>
        <v>100.00000000000001</v>
      </c>
    </row>
    <row r="142" spans="1:37" ht="18" customHeight="1" x14ac:dyDescent="0.2">
      <c r="A142" s="1">
        <f t="shared" ref="A142" si="114">INDEX(C136:AI136,1,MATCH(B142,C137:AI137,0))</f>
        <v>0</v>
      </c>
      <c r="B142" s="2" t="str">
        <f>IF(AND('Data-solution'!A$3="Maximize",COUNTIF(C134:X134,"&gt;"&amp;0)&gt;0,AK127=MIN(AK123:AK133),COUNTIF(B138:B141,INDEX(C122:X122,1,MATCH(MAX(C134:X134),C134:X134,0)))=0),INDEX(C122:X122,1,MATCH(MAX(C134:X134),C134:X134,0)),IF(AND('Data-solution'!A$3="Minimize",COUNTIF(C134:X134,"&lt;"&amp;0)&gt;0,AK127=MIN(AK123:AK133),COUNTIF(B138:B141,INDEX(C122:X122,1,MATCH(MIN(C134:X134),C134:X134,0)))=0),INDEX(C122:X122,1,MATCH(MIN(C134:X134),C134:X134,0)),B127))</f>
        <v>S5</v>
      </c>
      <c r="C142" s="1">
        <f>IF(OR($B138&lt;&gt;$B123,$B139&lt;&gt;$B124,$B140&lt;&gt;$B125,$B141&lt;&gt;$B126,$B142&lt;&gt;$B127,$B143&lt;&gt;$B128,$B144&lt;&gt;$B129,$B145&lt;&gt;$B130,$B146&lt;&gt;$B131,$B147&lt;&gt;$B132,$B148&lt;&gt;$B133),IF($B142&lt;&gt;$B127,C127/INDEX($C123:$AJ133,5,MATCH(IF('Data-solution'!$A$3="Maximize",MAX($C134:$AI134),MIN($C134:$AI134)),$C134:$AI134,0)),C127-INDEX($C123:$AJ133,5,MATCH(IF('Data-solution'!$A$3="Maximize",MAX($C134:$AI134),MIN($C134:$AI134)),$C134:$AI134,0))*INDEX(C123:$AJ133,MATCH(MIN($AK123:$AK133),$AK123:$AK133,0),1)/INDEX($C123:$AJ133,MATCH(MIN($AK123:$AK133),$AK123:$AK133,0),MATCH(IF('Data-solution'!$A$3="Maximize",MAX($C134:$AI134),MIN($C134:$AI134)),$C134:$AI134,0))),C127)</f>
        <v>0</v>
      </c>
      <c r="D142" s="1">
        <f>IF(OR($B138&lt;&gt;$B123,$B139&lt;&gt;$B124,$B140&lt;&gt;$B125,$B141&lt;&gt;$B126,$B142&lt;&gt;$B127,$B143&lt;&gt;$B128,$B144&lt;&gt;$B129,$B145&lt;&gt;$B130,$B146&lt;&gt;$B131,$B147&lt;&gt;$B132,$B148&lt;&gt;$B133),IF($B142&lt;&gt;$B127,D127/INDEX($C123:$AJ133,5,MATCH(IF('Data-solution'!$A$3="Maximize",MAX($C134:$AI134),MIN($C134:$AI134)),$C134:$AI134,0)),D127-INDEX($C123:$AJ133,5,MATCH(IF('Data-solution'!$A$3="Maximize",MAX($C134:$AI134),MIN($C134:$AI134)),$C134:$AI134,0))*INDEX(D123:$AJ133,MATCH(MIN($AK123:$AK133),$AK123:$AK133,0),1)/INDEX($C123:$AJ133,MATCH(MIN($AK123:$AK133),$AK123:$AK133,0),MATCH(IF('Data-solution'!$A$3="Maximize",MAX($C134:$AI134),MIN($C134:$AI134)),$C134:$AI134,0))),D127)</f>
        <v>0</v>
      </c>
      <c r="E142" s="1">
        <f>IF(OR($B138&lt;&gt;$B123,$B139&lt;&gt;$B124,$B140&lt;&gt;$B125,$B141&lt;&gt;$B126,$B142&lt;&gt;$B127,$B143&lt;&gt;$B128,$B144&lt;&gt;$B129,$B145&lt;&gt;$B130,$B146&lt;&gt;$B131,$B147&lt;&gt;$B132,$B148&lt;&gt;$B133),IF($B142&lt;&gt;$B127,E127/INDEX($C123:$AJ133,5,MATCH(IF('Data-solution'!$A$3="Maximize",MAX($C134:$AI134),MIN($C134:$AI134)),$C134:$AI134,0)),E127-INDEX($C123:$AJ133,5,MATCH(IF('Data-solution'!$A$3="Maximize",MAX($C134:$AI134),MIN($C134:$AI134)),$C134:$AI134,0))*INDEX(E123:$AJ133,MATCH(MIN($AK123:$AK133),$AK123:$AK133,0),1)/INDEX($C123:$AJ133,MATCH(MIN($AK123:$AK133),$AK123:$AK133,0),MATCH(IF('Data-solution'!$A$3="Maximize",MAX($C134:$AI134),MIN($C134:$AI134)),$C134:$AI134,0))),E127)</f>
        <v>0</v>
      </c>
      <c r="F142" s="1">
        <f>IF(OR($B138&lt;&gt;$B123,$B139&lt;&gt;$B124,$B140&lt;&gt;$B125,$B141&lt;&gt;$B126,$B142&lt;&gt;$B127,$B143&lt;&gt;$B128,$B144&lt;&gt;$B129,$B145&lt;&gt;$B130,$B146&lt;&gt;$B131,$B147&lt;&gt;$B132,$B148&lt;&gt;$B133),IF($B142&lt;&gt;$B127,F127/INDEX($C123:$AJ133,5,MATCH(IF('Data-solution'!$A$3="Maximize",MAX($C134:$AI134),MIN($C134:$AI134)),$C134:$AI134,0)),F127-INDEX($C123:$AJ133,5,MATCH(IF('Data-solution'!$A$3="Maximize",MAX($C134:$AI134),MIN($C134:$AI134)),$C134:$AI134,0))*INDEX(F123:$AJ133,MATCH(MIN($AK123:$AK133),$AK123:$AK133,0),1)/INDEX($C123:$AJ133,MATCH(MIN($AK123:$AK133),$AK123:$AK133,0),MATCH(IF('Data-solution'!$A$3="Maximize",MAX($C134:$AI134),MIN($C134:$AI134)),$C134:$AI134,0))),F127)</f>
        <v>0</v>
      </c>
      <c r="G142" s="1">
        <f>IF(OR($B138&lt;&gt;$B123,$B139&lt;&gt;$B124,$B140&lt;&gt;$B125,$B141&lt;&gt;$B126,$B142&lt;&gt;$B127,$B143&lt;&gt;$B128,$B144&lt;&gt;$B129,$B145&lt;&gt;$B130,$B146&lt;&gt;$B131,$B147&lt;&gt;$B132,$B148&lt;&gt;$B133),IF($B142&lt;&gt;$B127,G127/INDEX($C123:$AJ133,5,MATCH(IF('Data-solution'!$A$3="Maximize",MAX($C134:$AI134),MIN($C134:$AI134)),$C134:$AI134,0)),G127-INDEX($C123:$AJ133,5,MATCH(IF('Data-solution'!$A$3="Maximize",MAX($C134:$AI134),MIN($C134:$AI134)),$C134:$AI134,0))*INDEX(G123:$AJ133,MATCH(MIN($AK123:$AK133),$AK123:$AK133,0),1)/INDEX($C123:$AJ133,MATCH(MIN($AK123:$AK133),$AK123:$AK133,0),MATCH(IF('Data-solution'!$A$3="Maximize",MAX($C134:$AI134),MIN($C134:$AI134)),$C134:$AI134,0))),G127)</f>
        <v>0</v>
      </c>
      <c r="H142" s="1">
        <f>IF(OR($B138&lt;&gt;$B123,$B139&lt;&gt;$B124,$B140&lt;&gt;$B125,$B141&lt;&gt;$B126,$B142&lt;&gt;$B127,$B143&lt;&gt;$B128,$B144&lt;&gt;$B129,$B145&lt;&gt;$B130,$B146&lt;&gt;$B131,$B147&lt;&gt;$B132,$B148&lt;&gt;$B133),IF($B142&lt;&gt;$B127,H127/INDEX($C123:$AJ133,5,MATCH(IF('Data-solution'!$A$3="Maximize",MAX($C134:$AI134),MIN($C134:$AI134)),$C134:$AI134,0)),H127-INDEX($C123:$AJ133,5,MATCH(IF('Data-solution'!$A$3="Maximize",MAX($C134:$AI134),MIN($C134:$AI134)),$C134:$AI134,0))*INDEX(H123:$AJ133,MATCH(MIN($AK123:$AK133),$AK123:$AK133,0),1)/INDEX($C123:$AJ133,MATCH(MIN($AK123:$AK133),$AK123:$AK133,0),MATCH(IF('Data-solution'!$A$3="Maximize",MAX($C134:$AI134),MIN($C134:$AI134)),$C134:$AI134,0))),H127)</f>
        <v>0</v>
      </c>
      <c r="I142" s="1">
        <f>IF(OR($B138&lt;&gt;$B123,$B139&lt;&gt;$B124,$B140&lt;&gt;$B125,$B141&lt;&gt;$B126,$B142&lt;&gt;$B127,$B143&lt;&gt;$B128,$B144&lt;&gt;$B129,$B145&lt;&gt;$B130,$B146&lt;&gt;$B131,$B147&lt;&gt;$B132,$B148&lt;&gt;$B133),IF($B142&lt;&gt;$B127,I127/INDEX($C123:$AJ133,5,MATCH(IF('Data-solution'!$A$3="Maximize",MAX($C134:$AI134),MIN($C134:$AI134)),$C134:$AI134,0)),I127-INDEX($C123:$AJ133,5,MATCH(IF('Data-solution'!$A$3="Maximize",MAX($C134:$AI134),MIN($C134:$AI134)),$C134:$AI134,0))*INDEX(I123:$AJ133,MATCH(MIN($AK123:$AK133),$AK123:$AK133,0),1)/INDEX($C123:$AJ133,MATCH(MIN($AK123:$AK133),$AK123:$AK133,0),MATCH(IF('Data-solution'!$A$3="Maximize",MAX($C134:$AI134),MIN($C134:$AI134)),$C134:$AI134,0))),I127)</f>
        <v>0</v>
      </c>
      <c r="J142" s="1">
        <f>IF(OR($B138&lt;&gt;$B123,$B139&lt;&gt;$B124,$B140&lt;&gt;$B125,$B141&lt;&gt;$B126,$B142&lt;&gt;$B127,$B143&lt;&gt;$B128,$B144&lt;&gt;$B129,$B145&lt;&gt;$B130,$B146&lt;&gt;$B131,$B147&lt;&gt;$B132,$B148&lt;&gt;$B133),IF($B142&lt;&gt;$B127,J127/INDEX($C123:$AJ133,5,MATCH(IF('Data-solution'!$A$3="Maximize",MAX($C134:$AI134),MIN($C134:$AI134)),$C134:$AI134,0)),J127-INDEX($C123:$AJ133,5,MATCH(IF('Data-solution'!$A$3="Maximize",MAX($C134:$AI134),MIN($C134:$AI134)),$C134:$AI134,0))*INDEX(J123:$AJ133,MATCH(MIN($AK123:$AK133),$AK123:$AK133,0),1)/INDEX($C123:$AJ133,MATCH(MIN($AK123:$AK133),$AK123:$AK133,0),MATCH(IF('Data-solution'!$A$3="Maximize",MAX($C134:$AI134),MIN($C134:$AI134)),$C134:$AI134,0))),J127)</f>
        <v>0</v>
      </c>
      <c r="K142" s="1">
        <f>IF(OR($B138&lt;&gt;$B123,$B139&lt;&gt;$B124,$B140&lt;&gt;$B125,$B141&lt;&gt;$B126,$B142&lt;&gt;$B127,$B143&lt;&gt;$B128,$B144&lt;&gt;$B129,$B145&lt;&gt;$B130,$B146&lt;&gt;$B131,$B147&lt;&gt;$B132,$B148&lt;&gt;$B133),IF($B142&lt;&gt;$B127,K127/INDEX($C123:$AJ133,5,MATCH(IF('Data-solution'!$A$3="Maximize",MAX($C134:$AI134),MIN($C134:$AI134)),$C134:$AI134,0)),K127-INDEX($C123:$AJ133,5,MATCH(IF('Data-solution'!$A$3="Maximize",MAX($C134:$AI134),MIN($C134:$AI134)),$C134:$AI134,0))*INDEX(K123:$AJ133,MATCH(MIN($AK123:$AK133),$AK123:$AK133,0),1)/INDEX($C123:$AJ133,MATCH(MIN($AK123:$AK133),$AK123:$AK133,0),MATCH(IF('Data-solution'!$A$3="Maximize",MAX($C134:$AI134),MIN($C134:$AI134)),$C134:$AI134,0))),K127)</f>
        <v>0</v>
      </c>
      <c r="L142" s="1">
        <f>IF(OR($B138&lt;&gt;$B123,$B139&lt;&gt;$B124,$B140&lt;&gt;$B125,$B141&lt;&gt;$B126,$B142&lt;&gt;$B127,$B143&lt;&gt;$B128,$B144&lt;&gt;$B129,$B145&lt;&gt;$B130,$B146&lt;&gt;$B131,$B147&lt;&gt;$B132,$B148&lt;&gt;$B133),IF($B142&lt;&gt;$B127,L127/INDEX($C123:$AJ133,5,MATCH(IF('Data-solution'!$A$3="Maximize",MAX($C134:$AI134),MIN($C134:$AI134)),$C134:$AI134,0)),L127-INDEX($C123:$AJ133,5,MATCH(IF('Data-solution'!$A$3="Maximize",MAX($C134:$AI134),MIN($C134:$AI134)),$C134:$AI134,0))*INDEX(L123:$AJ133,MATCH(MIN($AK123:$AK133),$AK123:$AK133,0),1)/INDEX($C123:$AJ133,MATCH(MIN($AK123:$AK133),$AK123:$AK133,0),MATCH(IF('Data-solution'!$A$3="Maximize",MAX($C134:$AI134),MIN($C134:$AI134)),$C134:$AI134,0))),L127)</f>
        <v>0</v>
      </c>
      <c r="M142" s="1">
        <f>IF(OR($B138&lt;&gt;$B123,$B139&lt;&gt;$B124,$B140&lt;&gt;$B125,$B141&lt;&gt;$B126,$B142&lt;&gt;$B127,$B143&lt;&gt;$B128,$B144&lt;&gt;$B129,$B145&lt;&gt;$B130,$B146&lt;&gt;$B131,$B147&lt;&gt;$B132,$B148&lt;&gt;$B133),IF($B142&lt;&gt;$B127,M127/INDEX($C123:$AJ133,5,MATCH(IF('Data-solution'!$A$3="Maximize",MAX($C134:$AI134),MIN($C134:$AI134)),$C134:$AI134,0)),M127-INDEX($C123:$AJ133,5,MATCH(IF('Data-solution'!$A$3="Maximize",MAX($C134:$AI134),MIN($C134:$AI134)),$C134:$AI134,0))*INDEX(M123:$AJ133,MATCH(MIN($AK123:$AK133),$AK123:$AK133,0),1)/INDEX($C123:$AJ133,MATCH(MIN($AK123:$AK133),$AK123:$AK133,0),MATCH(IF('Data-solution'!$A$3="Maximize",MAX($C134:$AI134),MIN($C134:$AI134)),$C134:$AI134,0))),M127)</f>
        <v>0</v>
      </c>
      <c r="N142" s="1">
        <f>IF(OR($B138&lt;&gt;$B123,$B139&lt;&gt;$B124,$B140&lt;&gt;$B125,$B141&lt;&gt;$B126,$B142&lt;&gt;$B127,$B143&lt;&gt;$B128,$B144&lt;&gt;$B129,$B145&lt;&gt;$B130,$B146&lt;&gt;$B131,$B147&lt;&gt;$B132,$B148&lt;&gt;$B133),IF($B142&lt;&gt;$B127,N127/INDEX($C123:$AJ133,5,MATCH(IF('Data-solution'!$A$3="Maximize",MAX($C134:$AI134),MIN($C134:$AI134)),$C134:$AI134,0)),N127-INDEX($C123:$AJ133,5,MATCH(IF('Data-solution'!$A$3="Maximize",MAX($C134:$AI134),MIN($C134:$AI134)),$C134:$AI134,0))*INDEX(N123:$AJ133,MATCH(MIN($AK123:$AK133),$AK123:$AK133,0),1)/INDEX($C123:$AJ133,MATCH(MIN($AK123:$AK133),$AK123:$AK133,0),MATCH(IF('Data-solution'!$A$3="Maximize",MAX($C134:$AI134),MIN($C134:$AI134)),$C134:$AI134,0))),N127)</f>
        <v>0</v>
      </c>
      <c r="O142" s="1">
        <f>IF(OR($B138&lt;&gt;$B123,$B139&lt;&gt;$B124,$B140&lt;&gt;$B125,$B141&lt;&gt;$B126,$B142&lt;&gt;$B127,$B143&lt;&gt;$B128,$B144&lt;&gt;$B129,$B145&lt;&gt;$B130,$B146&lt;&gt;$B131,$B147&lt;&gt;$B132,$B148&lt;&gt;$B133),IF($B142&lt;&gt;$B127,O127/INDEX($C123:$AJ133,5,MATCH(IF('Data-solution'!$A$3="Maximize",MAX($C134:$AI134),MIN($C134:$AI134)),$C134:$AI134,0)),O127-INDEX($C123:$AJ133,5,MATCH(IF('Data-solution'!$A$3="Maximize",MAX($C134:$AI134),MIN($C134:$AI134)),$C134:$AI134,0))*INDEX(O123:$AJ133,MATCH(MIN($AK123:$AK133),$AK123:$AK133,0),1)/INDEX($C123:$AJ133,MATCH(MIN($AK123:$AK133),$AK123:$AK133,0),MATCH(IF('Data-solution'!$A$3="Maximize",MAX($C134:$AI134),MIN($C134:$AI134)),$C134:$AI134,0))),O127)</f>
        <v>0</v>
      </c>
      <c r="P142" s="1">
        <f>IF(OR($B138&lt;&gt;$B123,$B139&lt;&gt;$B124,$B140&lt;&gt;$B125,$B141&lt;&gt;$B126,$B142&lt;&gt;$B127,$B143&lt;&gt;$B128,$B144&lt;&gt;$B129,$B145&lt;&gt;$B130,$B146&lt;&gt;$B131,$B147&lt;&gt;$B132,$B148&lt;&gt;$B133),IF($B142&lt;&gt;$B127,P127/INDEX($C123:$AJ133,5,MATCH(IF('Data-solution'!$A$3="Maximize",MAX($C134:$AI134),MIN($C134:$AI134)),$C134:$AI134,0)),P127-INDEX($C123:$AJ133,5,MATCH(IF('Data-solution'!$A$3="Maximize",MAX($C134:$AI134),MIN($C134:$AI134)),$C134:$AI134,0))*INDEX(P123:$AJ133,MATCH(MIN($AK123:$AK133),$AK123:$AK133,0),1)/INDEX($C123:$AJ133,MATCH(MIN($AK123:$AK133),$AK123:$AK133,0),MATCH(IF('Data-solution'!$A$3="Maximize",MAX($C134:$AI134),MIN($C134:$AI134)),$C134:$AI134,0))),P127)</f>
        <v>0</v>
      </c>
      <c r="Q142" s="1">
        <f>IF(OR($B138&lt;&gt;$B123,$B139&lt;&gt;$B124,$B140&lt;&gt;$B125,$B141&lt;&gt;$B126,$B142&lt;&gt;$B127,$B143&lt;&gt;$B128,$B144&lt;&gt;$B129,$B145&lt;&gt;$B130,$B146&lt;&gt;$B131,$B147&lt;&gt;$B132,$B148&lt;&gt;$B133),IF($B142&lt;&gt;$B127,Q127/INDEX($C123:$AJ133,5,MATCH(IF('Data-solution'!$A$3="Maximize",MAX($C134:$AI134),MIN($C134:$AI134)),$C134:$AI134,0)),Q127-INDEX($C123:$AJ133,5,MATCH(IF('Data-solution'!$A$3="Maximize",MAX($C134:$AI134),MIN($C134:$AI134)),$C134:$AI134,0))*INDEX(Q123:$AJ133,MATCH(MIN($AK123:$AK133),$AK123:$AK133,0),1)/INDEX($C123:$AJ133,MATCH(MIN($AK123:$AK133),$AK123:$AK133,0),MATCH(IF('Data-solution'!$A$3="Maximize",MAX($C134:$AI134),MIN($C134:$AI134)),$C134:$AI134,0))),Q127)</f>
        <v>0</v>
      </c>
      <c r="R142" s="1">
        <f>IF(OR($B138&lt;&gt;$B123,$B139&lt;&gt;$B124,$B140&lt;&gt;$B125,$B141&lt;&gt;$B126,$B142&lt;&gt;$B127,$B143&lt;&gt;$B128,$B144&lt;&gt;$B129,$B145&lt;&gt;$B130,$B146&lt;&gt;$B131,$B147&lt;&gt;$B132,$B148&lt;&gt;$B133),IF($B142&lt;&gt;$B127,R127/INDEX($C123:$AJ133,5,MATCH(IF('Data-solution'!$A$3="Maximize",MAX($C134:$AI134),MIN($C134:$AI134)),$C134:$AI134,0)),R127-INDEX($C123:$AJ133,5,MATCH(IF('Data-solution'!$A$3="Maximize",MAX($C134:$AI134),MIN($C134:$AI134)),$C134:$AI134,0))*INDEX(R123:$AJ133,MATCH(MIN($AK123:$AK133),$AK123:$AK133,0),1)/INDEX($C123:$AJ133,MATCH(MIN($AK123:$AK133),$AK123:$AK133,0),MATCH(IF('Data-solution'!$A$3="Maximize",MAX($C134:$AI134),MIN($C134:$AI134)),$C134:$AI134,0))),R127)</f>
        <v>1</v>
      </c>
      <c r="S142" s="1">
        <f>IF(OR($B138&lt;&gt;$B123,$B139&lt;&gt;$B124,$B140&lt;&gt;$B125,$B141&lt;&gt;$B126,$B142&lt;&gt;$B127,$B143&lt;&gt;$B128,$B144&lt;&gt;$B129,$B145&lt;&gt;$B130,$B146&lt;&gt;$B131,$B147&lt;&gt;$B132,$B148&lt;&gt;$B133),IF($B142&lt;&gt;$B127,S127/INDEX($C123:$AJ133,5,MATCH(IF('Data-solution'!$A$3="Maximize",MAX($C134:$AI134),MIN($C134:$AI134)),$C134:$AI134,0)),S127-INDEX($C123:$AJ133,5,MATCH(IF('Data-solution'!$A$3="Maximize",MAX($C134:$AI134),MIN($C134:$AI134)),$C134:$AI134,0))*INDEX(S123:$AJ133,MATCH(MIN($AK123:$AK133),$AK123:$AK133,0),1)/INDEX($C123:$AJ133,MATCH(MIN($AK123:$AK133),$AK123:$AK133,0),MATCH(IF('Data-solution'!$A$3="Maximize",MAX($C134:$AI134),MIN($C134:$AI134)),$C134:$AI134,0))),S127)</f>
        <v>0</v>
      </c>
      <c r="T142" s="1">
        <f>IF(OR($B138&lt;&gt;$B123,$B139&lt;&gt;$B124,$B140&lt;&gt;$B125,$B141&lt;&gt;$B126,$B142&lt;&gt;$B127,$B143&lt;&gt;$B128,$B144&lt;&gt;$B129,$B145&lt;&gt;$B130,$B146&lt;&gt;$B131,$B147&lt;&gt;$B132,$B148&lt;&gt;$B133),IF($B142&lt;&gt;$B127,T127/INDEX($C123:$AJ133,5,MATCH(IF('Data-solution'!$A$3="Maximize",MAX($C134:$AI134),MIN($C134:$AI134)),$C134:$AI134,0)),T127-INDEX($C123:$AJ133,5,MATCH(IF('Data-solution'!$A$3="Maximize",MAX($C134:$AI134),MIN($C134:$AI134)),$C134:$AI134,0))*INDEX(T123:$AJ133,MATCH(MIN($AK123:$AK133),$AK123:$AK133,0),1)/INDEX($C123:$AJ133,MATCH(MIN($AK123:$AK133),$AK123:$AK133,0),MATCH(IF('Data-solution'!$A$3="Maximize",MAX($C134:$AI134),MIN($C134:$AI134)),$C134:$AI134,0))),T127)</f>
        <v>0</v>
      </c>
      <c r="U142" s="1">
        <f>IF(OR($B138&lt;&gt;$B123,$B139&lt;&gt;$B124,$B140&lt;&gt;$B125,$B141&lt;&gt;$B126,$B142&lt;&gt;$B127,$B143&lt;&gt;$B128,$B144&lt;&gt;$B129,$B145&lt;&gt;$B130,$B146&lt;&gt;$B131,$B147&lt;&gt;$B132,$B148&lt;&gt;$B133),IF($B142&lt;&gt;$B127,U127/INDEX($C123:$AJ133,5,MATCH(IF('Data-solution'!$A$3="Maximize",MAX($C134:$AI134),MIN($C134:$AI134)),$C134:$AI134,0)),U127-INDEX($C123:$AJ133,5,MATCH(IF('Data-solution'!$A$3="Maximize",MAX($C134:$AI134),MIN($C134:$AI134)),$C134:$AI134,0))*INDEX(U123:$AJ133,MATCH(MIN($AK123:$AK133),$AK123:$AK133,0),1)/INDEX($C123:$AJ133,MATCH(MIN($AK123:$AK133),$AK123:$AK133,0),MATCH(IF('Data-solution'!$A$3="Maximize",MAX($C134:$AI134),MIN($C134:$AI134)),$C134:$AI134,0))),U127)</f>
        <v>0</v>
      </c>
      <c r="V142" s="1">
        <f>IF(OR($B138&lt;&gt;$B123,$B139&lt;&gt;$B124,$B140&lt;&gt;$B125,$B141&lt;&gt;$B126,$B142&lt;&gt;$B127,$B143&lt;&gt;$B128,$B144&lt;&gt;$B129,$B145&lt;&gt;$B130,$B146&lt;&gt;$B131,$B147&lt;&gt;$B132,$B148&lt;&gt;$B133),IF($B142&lt;&gt;$B127,V127/INDEX($C123:$AJ133,5,MATCH(IF('Data-solution'!$A$3="Maximize",MAX($C134:$AI134),MIN($C134:$AI134)),$C134:$AI134,0)),V127-INDEX($C123:$AJ133,5,MATCH(IF('Data-solution'!$A$3="Maximize",MAX($C134:$AI134),MIN($C134:$AI134)),$C134:$AI134,0))*INDEX(V123:$AJ133,MATCH(MIN($AK123:$AK133),$AK123:$AK133,0),1)/INDEX($C123:$AJ133,MATCH(MIN($AK123:$AK133),$AK123:$AK133,0),MATCH(IF('Data-solution'!$A$3="Maximize",MAX($C134:$AI134),MIN($C134:$AI134)),$C134:$AI134,0))),V127)</f>
        <v>0</v>
      </c>
      <c r="W142" s="1">
        <f>IF(OR($B138&lt;&gt;$B123,$B139&lt;&gt;$B124,$B140&lt;&gt;$B125,$B141&lt;&gt;$B126,$B142&lt;&gt;$B127,$B143&lt;&gt;$B128,$B144&lt;&gt;$B129,$B145&lt;&gt;$B130,$B146&lt;&gt;$B131,$B147&lt;&gt;$B132,$B148&lt;&gt;$B133),IF($B142&lt;&gt;$B127,W127/INDEX($C123:$AJ133,5,MATCH(IF('Data-solution'!$A$3="Maximize",MAX($C134:$AI134),MIN($C134:$AI134)),$C134:$AI134,0)),W127-INDEX($C123:$AJ133,5,MATCH(IF('Data-solution'!$A$3="Maximize",MAX($C134:$AI134),MIN($C134:$AI134)),$C134:$AI134,0))*INDEX(W123:$AJ133,MATCH(MIN($AK123:$AK133),$AK123:$AK133,0),1)/INDEX($C123:$AJ133,MATCH(MIN($AK123:$AK133),$AK123:$AK133,0),MATCH(IF('Data-solution'!$A$3="Maximize",MAX($C134:$AI134),MIN($C134:$AI134)),$C134:$AI134,0))),W127)</f>
        <v>0</v>
      </c>
      <c r="X142" s="1">
        <f>IF(OR($B138&lt;&gt;$B123,$B139&lt;&gt;$B124,$B140&lt;&gt;$B125,$B141&lt;&gt;$B126,$B142&lt;&gt;$B127,$B143&lt;&gt;$B128,$B144&lt;&gt;$B129,$B145&lt;&gt;$B130,$B146&lt;&gt;$B131,$B147&lt;&gt;$B132,$B148&lt;&gt;$B133),IF($B142&lt;&gt;$B127,X127/INDEX($C123:$AJ133,5,MATCH(IF('Data-solution'!$A$3="Maximize",MAX($C134:$AI134),MIN($C134:$AI134)),$C134:$AI134,0)),X127-INDEX($C123:$AJ133,5,MATCH(IF('Data-solution'!$A$3="Maximize",MAX($C134:$AI134),MIN($C134:$AI134)),$C134:$AI134,0))*INDEX(X123:$AJ133,MATCH(MIN($AK123:$AK133),$AK123:$AK133,0),1)/INDEX($C123:$AJ133,MATCH(MIN($AK123:$AK133),$AK123:$AK133,0),MATCH(IF('Data-solution'!$A$3="Maximize",MAX($C134:$AI134),MIN($C134:$AI134)),$C134:$AI134,0))),X127)</f>
        <v>0</v>
      </c>
      <c r="Y142" s="1">
        <f>IF(OR($B138&lt;&gt;$B123,$B139&lt;&gt;$B124,$B140&lt;&gt;$B125,$B141&lt;&gt;$B126,$B142&lt;&gt;$B127,$B143&lt;&gt;$B128,$B144&lt;&gt;$B129,$B145&lt;&gt;$B130,$B146&lt;&gt;$B131,$B147&lt;&gt;$B132,$B148&lt;&gt;$B133),IF($B142&lt;&gt;$B127,Y127/INDEX($C123:$AJ133,5,MATCH(IF('Data-solution'!$A$3="Maximize",MAX($C134:$AI134),MIN($C134:$AI134)),$C134:$AI134,0)),Y127-INDEX($C123:$AJ133,5,MATCH(IF('Data-solution'!$A$3="Maximize",MAX($C134:$AI134),MIN($C134:$AI134)),$C134:$AI134,0))*INDEX(Y123:$AJ133,MATCH(MIN($AK123:$AK133),$AK123:$AK133,0),1)/INDEX($C123:$AJ133,MATCH(MIN($AK123:$AK133),$AK123:$AK133,0),MATCH(IF('Data-solution'!$A$3="Maximize",MAX($C134:$AI134),MIN($C134:$AI134)),$C134:$AI134,0))),Y127)</f>
        <v>0</v>
      </c>
      <c r="Z142" s="1">
        <f>IF(OR($B138&lt;&gt;$B123,$B139&lt;&gt;$B124,$B140&lt;&gt;$B125,$B141&lt;&gt;$B126,$B142&lt;&gt;$B127,$B143&lt;&gt;$B128,$B144&lt;&gt;$B129,$B145&lt;&gt;$B130,$B146&lt;&gt;$B131,$B147&lt;&gt;$B132,$B148&lt;&gt;$B133),IF($B142&lt;&gt;$B127,Z127/INDEX($C123:$AJ133,5,MATCH(IF('Data-solution'!$A$3="Maximize",MAX($C134:$AI134),MIN($C134:$AI134)),$C134:$AI134,0)),Z127-INDEX($C123:$AJ133,5,MATCH(IF('Data-solution'!$A$3="Maximize",MAX($C134:$AI134),MIN($C134:$AI134)),$C134:$AI134,0))*INDEX(Z123:$AJ133,MATCH(MIN($AK123:$AK133),$AK123:$AK133,0),1)/INDEX($C123:$AJ133,MATCH(MIN($AK123:$AK133),$AK123:$AK133,0),MATCH(IF('Data-solution'!$A$3="Maximize",MAX($C134:$AI134),MIN($C134:$AI134)),$C134:$AI134,0))),Z127)</f>
        <v>0</v>
      </c>
      <c r="AA142" s="1">
        <f>IF(OR($B138&lt;&gt;$B123,$B139&lt;&gt;$B124,$B140&lt;&gt;$B125,$B141&lt;&gt;$B126,$B142&lt;&gt;$B127,$B143&lt;&gt;$B128,$B144&lt;&gt;$B129,$B145&lt;&gt;$B130,$B146&lt;&gt;$B131,$B147&lt;&gt;$B132,$B148&lt;&gt;$B133),IF($B142&lt;&gt;$B127,AA127/INDEX($C123:$AJ133,5,MATCH(IF('Data-solution'!$A$3="Maximize",MAX($C134:$AI134),MIN($C134:$AI134)),$C134:$AI134,0)),AA127-INDEX($C123:$AJ133,5,MATCH(IF('Data-solution'!$A$3="Maximize",MAX($C134:$AI134),MIN($C134:$AI134)),$C134:$AI134,0))*INDEX(AA123:$AJ133,MATCH(MIN($AK123:$AK133),$AK123:$AK133,0),1)/INDEX($C123:$AJ133,MATCH(MIN($AK123:$AK133),$AK123:$AK133,0),MATCH(IF('Data-solution'!$A$3="Maximize",MAX($C134:$AI134),MIN($C134:$AI134)),$C134:$AI134,0))),AA127)</f>
        <v>0</v>
      </c>
      <c r="AB142" s="1">
        <f>IF(OR($B138&lt;&gt;$B123,$B139&lt;&gt;$B124,$B140&lt;&gt;$B125,$B141&lt;&gt;$B126,$B142&lt;&gt;$B127,$B143&lt;&gt;$B128,$B144&lt;&gt;$B129,$B145&lt;&gt;$B130,$B146&lt;&gt;$B131,$B147&lt;&gt;$B132,$B148&lt;&gt;$B133),IF($B142&lt;&gt;$B127,AB127/INDEX($C123:$AJ133,5,MATCH(IF('Data-solution'!$A$3="Maximize",MAX($C134:$AI134),MIN($C134:$AI134)),$C134:$AI134,0)),AB127-INDEX($C123:$AJ133,5,MATCH(IF('Data-solution'!$A$3="Maximize",MAX($C134:$AI134),MIN($C134:$AI134)),$C134:$AI134,0))*INDEX(AB123:$AJ133,MATCH(MIN($AK123:$AK133),$AK123:$AK133,0),1)/INDEX($C123:$AJ133,MATCH(MIN($AK123:$AK133),$AK123:$AK133,0),MATCH(IF('Data-solution'!$A$3="Maximize",MAX($C134:$AI134),MIN($C134:$AI134)),$C134:$AI134,0))),AB127)</f>
        <v>0</v>
      </c>
      <c r="AC142" s="1">
        <f>IF(OR($B138&lt;&gt;$B123,$B139&lt;&gt;$B124,$B140&lt;&gt;$B125,$B141&lt;&gt;$B126,$B142&lt;&gt;$B127,$B143&lt;&gt;$B128,$B144&lt;&gt;$B129,$B145&lt;&gt;$B130,$B146&lt;&gt;$B131,$B147&lt;&gt;$B132,$B148&lt;&gt;$B133),IF($B142&lt;&gt;$B127,AC127/INDEX($C123:$AJ133,5,MATCH(IF('Data-solution'!$A$3="Maximize",MAX($C134:$AI134),MIN($C134:$AI134)),$C134:$AI134,0)),AC127-INDEX($C123:$AJ133,5,MATCH(IF('Data-solution'!$A$3="Maximize",MAX($C134:$AI134),MIN($C134:$AI134)),$C134:$AI134,0))*INDEX(AC123:$AJ133,MATCH(MIN($AK123:$AK133),$AK123:$AK133,0),1)/INDEX($C123:$AJ133,MATCH(MIN($AK123:$AK133),$AK123:$AK133,0),MATCH(IF('Data-solution'!$A$3="Maximize",MAX($C134:$AI134),MIN($C134:$AI134)),$C134:$AI134,0))),AC127)</f>
        <v>1</v>
      </c>
      <c r="AD142" s="1">
        <f>IF(OR($B138&lt;&gt;$B123,$B139&lt;&gt;$B124,$B140&lt;&gt;$B125,$B141&lt;&gt;$B126,$B142&lt;&gt;$B127,$B143&lt;&gt;$B128,$B144&lt;&gt;$B129,$B145&lt;&gt;$B130,$B146&lt;&gt;$B131,$B147&lt;&gt;$B132,$B148&lt;&gt;$B133),IF($B142&lt;&gt;$B127,AD127/INDEX($C123:$AJ133,5,MATCH(IF('Data-solution'!$A$3="Maximize",MAX($C134:$AI134),MIN($C134:$AI134)),$C134:$AI134,0)),AD127-INDEX($C123:$AJ133,5,MATCH(IF('Data-solution'!$A$3="Maximize",MAX($C134:$AI134),MIN($C134:$AI134)),$C134:$AI134,0))*INDEX(AD123:$AJ133,MATCH(MIN($AK123:$AK133),$AK123:$AK133,0),1)/INDEX($C123:$AJ133,MATCH(MIN($AK123:$AK133),$AK123:$AK133,0),MATCH(IF('Data-solution'!$A$3="Maximize",MAX($C134:$AI134),MIN($C134:$AI134)),$C134:$AI134,0))),AD127)</f>
        <v>0</v>
      </c>
      <c r="AE142" s="1">
        <f>IF(OR($B138&lt;&gt;$B123,$B139&lt;&gt;$B124,$B140&lt;&gt;$B125,$B141&lt;&gt;$B126,$B142&lt;&gt;$B127,$B143&lt;&gt;$B128,$B144&lt;&gt;$B129,$B145&lt;&gt;$B130,$B146&lt;&gt;$B131,$B147&lt;&gt;$B132,$B148&lt;&gt;$B133),IF($B142&lt;&gt;$B127,AE127/INDEX($C123:$AJ133,5,MATCH(IF('Data-solution'!$A$3="Maximize",MAX($C134:$AI134),MIN($C134:$AI134)),$C134:$AI134,0)),AE127-INDEX($C123:$AJ133,5,MATCH(IF('Data-solution'!$A$3="Maximize",MAX($C134:$AI134),MIN($C134:$AI134)),$C134:$AI134,0))*INDEX(AE123:$AJ133,MATCH(MIN($AK123:$AK133),$AK123:$AK133,0),1)/INDEX($C123:$AJ133,MATCH(MIN($AK123:$AK133),$AK123:$AK133,0),MATCH(IF('Data-solution'!$A$3="Maximize",MAX($C134:$AI134),MIN($C134:$AI134)),$C134:$AI134,0))),AE127)</f>
        <v>0</v>
      </c>
      <c r="AF142" s="1">
        <f>IF(OR($B138&lt;&gt;$B123,$B139&lt;&gt;$B124,$B140&lt;&gt;$B125,$B141&lt;&gt;$B126,$B142&lt;&gt;$B127,$B143&lt;&gt;$B128,$B144&lt;&gt;$B129,$B145&lt;&gt;$B130,$B146&lt;&gt;$B131,$B147&lt;&gt;$B132,$B148&lt;&gt;$B133),IF($B142&lt;&gt;$B127,AF127/INDEX($C123:$AJ133,5,MATCH(IF('Data-solution'!$A$3="Maximize",MAX($C134:$AI134),MIN($C134:$AI134)),$C134:$AI134,0)),AF127-INDEX($C123:$AJ133,5,MATCH(IF('Data-solution'!$A$3="Maximize",MAX($C134:$AI134),MIN($C134:$AI134)),$C134:$AI134,0))*INDEX(AF123:$AJ133,MATCH(MIN($AK123:$AK133),$AK123:$AK133,0),1)/INDEX($C123:$AJ133,MATCH(MIN($AK123:$AK133),$AK123:$AK133,0),MATCH(IF('Data-solution'!$A$3="Maximize",MAX($C134:$AI134),MIN($C134:$AI134)),$C134:$AI134,0))),AF127)</f>
        <v>0</v>
      </c>
      <c r="AG142" s="1">
        <f>IF(OR($B138&lt;&gt;$B123,$B139&lt;&gt;$B124,$B140&lt;&gt;$B125,$B141&lt;&gt;$B126,$B142&lt;&gt;$B127,$B143&lt;&gt;$B128,$B144&lt;&gt;$B129,$B145&lt;&gt;$B130,$B146&lt;&gt;$B131,$B147&lt;&gt;$B132,$B148&lt;&gt;$B133),IF($B142&lt;&gt;$B127,AG127/INDEX($C123:$AJ133,5,MATCH(IF('Data-solution'!$A$3="Maximize",MAX($C134:$AI134),MIN($C134:$AI134)),$C134:$AI134,0)),AG127-INDEX($C123:$AJ133,5,MATCH(IF('Data-solution'!$A$3="Maximize",MAX($C134:$AI134),MIN($C134:$AI134)),$C134:$AI134,0))*INDEX(AG123:$AJ133,MATCH(MIN($AK123:$AK133),$AK123:$AK133,0),1)/INDEX($C123:$AJ133,MATCH(MIN($AK123:$AK133),$AK123:$AK133,0),MATCH(IF('Data-solution'!$A$3="Maximize",MAX($C134:$AI134),MIN($C134:$AI134)),$C134:$AI134,0))),AG127)</f>
        <v>0</v>
      </c>
      <c r="AH142" s="1">
        <f>IF(OR($B138&lt;&gt;$B123,$B139&lt;&gt;$B124,$B140&lt;&gt;$B125,$B141&lt;&gt;$B126,$B142&lt;&gt;$B127,$B143&lt;&gt;$B128,$B144&lt;&gt;$B129,$B145&lt;&gt;$B130,$B146&lt;&gt;$B131,$B147&lt;&gt;$B132,$B148&lt;&gt;$B133),IF($B142&lt;&gt;$B127,AH127/INDEX($C123:$AJ133,5,MATCH(IF('Data-solution'!$A$3="Maximize",MAX($C134:$AI134),MIN($C134:$AI134)),$C134:$AI134,0)),AH127-INDEX($C123:$AJ133,5,MATCH(IF('Data-solution'!$A$3="Maximize",MAX($C134:$AI134),MIN($C134:$AI134)),$C134:$AI134,0))*INDEX(AH123:$AJ133,MATCH(MIN($AK123:$AK133),$AK123:$AK133,0),1)/INDEX($C123:$AJ133,MATCH(MIN($AK123:$AK133),$AK123:$AK133,0),MATCH(IF('Data-solution'!$A$3="Maximize",MAX($C134:$AI134),MIN($C134:$AI134)),$C134:$AI134,0))),AH127)</f>
        <v>0</v>
      </c>
      <c r="AI142" s="1">
        <f>IF(OR($B138&lt;&gt;$B123,$B139&lt;&gt;$B124,$B140&lt;&gt;$B125,$B141&lt;&gt;$B126,$B142&lt;&gt;$B127,$B143&lt;&gt;$B128,$B144&lt;&gt;$B129,$B145&lt;&gt;$B130,$B146&lt;&gt;$B131,$B147&lt;&gt;$B132,$B148&lt;&gt;$B133),IF($B142&lt;&gt;$B127,AI127/INDEX($C123:$AJ133,5,MATCH(IF('Data-solution'!$A$3="Maximize",MAX($C134:$AI134),MIN($C134:$AI134)),$C134:$AI134,0)),AI127-INDEX($C123:$AJ133,5,MATCH(IF('Data-solution'!$A$3="Maximize",MAX($C134:$AI134),MIN($C134:$AI134)),$C134:$AI134,0))*INDEX(AI123:$AJ133,MATCH(MIN($AK123:$AK133),$AK123:$AK133,0),1)/INDEX($C123:$AJ133,MATCH(MIN($AK123:$AK133),$AK123:$AK133,0),MATCH(IF('Data-solution'!$A$3="Maximize",MAX($C134:$AI134),MIN($C134:$AI134)),$C134:$AI134,0))),AI127)</f>
        <v>0</v>
      </c>
      <c r="AJ142" s="1">
        <f>IF(OR($B138&lt;&gt;$B123,$B139&lt;&gt;$B124,$B140&lt;&gt;$B125,$B141&lt;&gt;$B126,$B142&lt;&gt;$B127,$B143&lt;&gt;$B128,$B144&lt;&gt;$B129,$B145&lt;&gt;$B130,$B146&lt;&gt;$B131,$B147&lt;&gt;$B132,$B148&lt;&gt;$B133),IF($B142&lt;&gt;$B127,AJ127/INDEX($C123:$AJ133,5,MATCH(IF('Data-solution'!$A$3="Maximize",MAX($C134:$AI134),MIN($C134:$AI134)),$C134:$AI134,0)),AJ127-INDEX($C123:$AJ133,5,MATCH(IF('Data-solution'!$A$3="Maximize",MAX($C134:$AI134),MIN($C134:$AI134)),$C134:$AI134,0))*INDEX(AJ123:$AJ133,MATCH(MIN($AK123:$AK133),$AK123:$AK133,0),1)/INDEX($C123:$AJ133,MATCH(MIN($AK123:$AK133),$AK123:$AK133,0),MATCH(IF('Data-solution'!$A$3="Maximize",MAX($C134:$AI134),MIN($C134:$AI134)),$C134:$AI134,0))),AJ127)</f>
        <v>0</v>
      </c>
      <c r="AK142" s="1" t="str">
        <f>IF(INDEX(C142:X142,1,MATCH(IF('Data-solution'!A$3="Maximize",MAX(C149:X149),MIN(C149:X149)),C149:X149,0))&gt;0,AJ142/INDEX(C142:X142,1,MATCH(IF('Data-solution'!A$3="Maximize",MAX(C149:X149),MIN(C149:X149)),C149:X149,0))," ")</f>
        <v xml:space="preserve"> </v>
      </c>
    </row>
    <row r="143" spans="1:37" ht="18" customHeight="1" x14ac:dyDescent="0.2">
      <c r="A143" s="1">
        <f t="shared" ref="A143" si="115">INDEX(C136:AI136,1,MATCH(B143,C137:AI137,0))</f>
        <v>0</v>
      </c>
      <c r="B143" s="2" t="str">
        <f>IF(AND('Data-solution'!A$3="Maximize",COUNTIF(C134:X134,"&gt;"&amp;0)&gt;0,AK128=MIN(AK123:AK133),COUNTIF(B138:B142,INDEX(C122:X122,1,MATCH(MAX(C134:X134),C134:X134,0)))=0),INDEX(C122:X122,1,MATCH(MAX(C134:X134),C134:X134,0)),IF(AND('Data-solution'!A$3="Minimize",COUNTIF(C134:X134,"&lt;"&amp;0)&gt;0,AK128=MIN(AK123:AK133),COUNTIF(B138:B142,INDEX(C122:X122,1,MATCH(MIN(C134:X134),C134:X134,0)))=0),INDEX(C122:X122,1,MATCH(MIN(C134:X134),C134:X134,0)),B128))</f>
        <v>S6</v>
      </c>
      <c r="C143" s="1">
        <f>IF(OR($B138&lt;&gt;$B123,$B139&lt;&gt;$B124,$B140&lt;&gt;$B125,$B141&lt;&gt;$B126,$B142&lt;&gt;$B127,$B143&lt;&gt;$B128,$B144&lt;&gt;$B129,$B145&lt;&gt;$B130,$B146&lt;&gt;$B131,$B147&lt;&gt;$B132,$B148&lt;&gt;$B133),IF($B143&lt;&gt;$B128,C128/INDEX($C123:$AJ133,6,MATCH(IF('Data-solution'!$A$3="Maximize",MAX($C134:$AI134),MIN($C134:$AI134)),$C134:$AI134,0)),C128-INDEX($C123:$AJ133,6,MATCH(IF('Data-solution'!$A$3="Maximize",MAX($C134:$AI134),MIN($C134:$AI134)),$C134:$AI134,0))*INDEX(C123:$AJ133,MATCH(MIN($AK123:$AK133),$AK123:$AK133,0),1)/INDEX($C123:$AJ133,MATCH(MIN($AK123:$AK133),$AK123:$AK133,0),MATCH(IF('Data-solution'!$A$3="Maximize",MAX($C134:$AI134),MIN($C134:$AI134)),$C134:$AI134,0))),C128)</f>
        <v>0</v>
      </c>
      <c r="D143" s="1">
        <f>IF(OR($B138&lt;&gt;$B123,$B139&lt;&gt;$B124,$B140&lt;&gt;$B125,$B141&lt;&gt;$B126,$B142&lt;&gt;$B127,$B143&lt;&gt;$B128,$B144&lt;&gt;$B129,$B145&lt;&gt;$B130,$B146&lt;&gt;$B131,$B147&lt;&gt;$B132,$B148&lt;&gt;$B133),IF($B143&lt;&gt;$B128,D128/INDEX($C123:$AJ133,6,MATCH(IF('Data-solution'!$A$3="Maximize",MAX($C134:$AI134),MIN($C134:$AI134)),$C134:$AI134,0)),D128-INDEX($C123:$AJ133,6,MATCH(IF('Data-solution'!$A$3="Maximize",MAX($C134:$AI134),MIN($C134:$AI134)),$C134:$AI134,0))*INDEX(D123:$AJ133,MATCH(MIN($AK123:$AK133),$AK123:$AK133,0),1)/INDEX($C123:$AJ133,MATCH(MIN($AK123:$AK133),$AK123:$AK133,0),MATCH(IF('Data-solution'!$A$3="Maximize",MAX($C134:$AI134),MIN($C134:$AI134)),$C134:$AI134,0))),D128)</f>
        <v>0</v>
      </c>
      <c r="E143" s="1">
        <f>IF(OR($B138&lt;&gt;$B123,$B139&lt;&gt;$B124,$B140&lt;&gt;$B125,$B141&lt;&gt;$B126,$B142&lt;&gt;$B127,$B143&lt;&gt;$B128,$B144&lt;&gt;$B129,$B145&lt;&gt;$B130,$B146&lt;&gt;$B131,$B147&lt;&gt;$B132,$B148&lt;&gt;$B133),IF($B143&lt;&gt;$B128,E128/INDEX($C123:$AJ133,6,MATCH(IF('Data-solution'!$A$3="Maximize",MAX($C134:$AI134),MIN($C134:$AI134)),$C134:$AI134,0)),E128-INDEX($C123:$AJ133,6,MATCH(IF('Data-solution'!$A$3="Maximize",MAX($C134:$AI134),MIN($C134:$AI134)),$C134:$AI134,0))*INDEX(E123:$AJ133,MATCH(MIN($AK123:$AK133),$AK123:$AK133,0),1)/INDEX($C123:$AJ133,MATCH(MIN($AK123:$AK133),$AK123:$AK133,0),MATCH(IF('Data-solution'!$A$3="Maximize",MAX($C134:$AI134),MIN($C134:$AI134)),$C134:$AI134,0))),E128)</f>
        <v>0</v>
      </c>
      <c r="F143" s="1">
        <f>IF(OR($B138&lt;&gt;$B123,$B139&lt;&gt;$B124,$B140&lt;&gt;$B125,$B141&lt;&gt;$B126,$B142&lt;&gt;$B127,$B143&lt;&gt;$B128,$B144&lt;&gt;$B129,$B145&lt;&gt;$B130,$B146&lt;&gt;$B131,$B147&lt;&gt;$B132,$B148&lt;&gt;$B133),IF($B143&lt;&gt;$B128,F128/INDEX($C123:$AJ133,6,MATCH(IF('Data-solution'!$A$3="Maximize",MAX($C134:$AI134),MIN($C134:$AI134)),$C134:$AI134,0)),F128-INDEX($C123:$AJ133,6,MATCH(IF('Data-solution'!$A$3="Maximize",MAX($C134:$AI134),MIN($C134:$AI134)),$C134:$AI134,0))*INDEX(F123:$AJ133,MATCH(MIN($AK123:$AK133),$AK123:$AK133,0),1)/INDEX($C123:$AJ133,MATCH(MIN($AK123:$AK133),$AK123:$AK133,0),MATCH(IF('Data-solution'!$A$3="Maximize",MAX($C134:$AI134),MIN($C134:$AI134)),$C134:$AI134,0))),F128)</f>
        <v>0</v>
      </c>
      <c r="G143" s="1">
        <f>IF(OR($B138&lt;&gt;$B123,$B139&lt;&gt;$B124,$B140&lt;&gt;$B125,$B141&lt;&gt;$B126,$B142&lt;&gt;$B127,$B143&lt;&gt;$B128,$B144&lt;&gt;$B129,$B145&lt;&gt;$B130,$B146&lt;&gt;$B131,$B147&lt;&gt;$B132,$B148&lt;&gt;$B133),IF($B143&lt;&gt;$B128,G128/INDEX($C123:$AJ133,6,MATCH(IF('Data-solution'!$A$3="Maximize",MAX($C134:$AI134),MIN($C134:$AI134)),$C134:$AI134,0)),G128-INDEX($C123:$AJ133,6,MATCH(IF('Data-solution'!$A$3="Maximize",MAX($C134:$AI134),MIN($C134:$AI134)),$C134:$AI134,0))*INDEX(G123:$AJ133,MATCH(MIN($AK123:$AK133),$AK123:$AK133,0),1)/INDEX($C123:$AJ133,MATCH(MIN($AK123:$AK133),$AK123:$AK133,0),MATCH(IF('Data-solution'!$A$3="Maximize",MAX($C134:$AI134),MIN($C134:$AI134)),$C134:$AI134,0))),G128)</f>
        <v>0</v>
      </c>
      <c r="H143" s="1">
        <f>IF(OR($B138&lt;&gt;$B123,$B139&lt;&gt;$B124,$B140&lt;&gt;$B125,$B141&lt;&gt;$B126,$B142&lt;&gt;$B127,$B143&lt;&gt;$B128,$B144&lt;&gt;$B129,$B145&lt;&gt;$B130,$B146&lt;&gt;$B131,$B147&lt;&gt;$B132,$B148&lt;&gt;$B133),IF($B143&lt;&gt;$B128,H128/INDEX($C123:$AJ133,6,MATCH(IF('Data-solution'!$A$3="Maximize",MAX($C134:$AI134),MIN($C134:$AI134)),$C134:$AI134,0)),H128-INDEX($C123:$AJ133,6,MATCH(IF('Data-solution'!$A$3="Maximize",MAX($C134:$AI134),MIN($C134:$AI134)),$C134:$AI134,0))*INDEX(H123:$AJ133,MATCH(MIN($AK123:$AK133),$AK123:$AK133,0),1)/INDEX($C123:$AJ133,MATCH(MIN($AK123:$AK133),$AK123:$AK133,0),MATCH(IF('Data-solution'!$A$3="Maximize",MAX($C134:$AI134),MIN($C134:$AI134)),$C134:$AI134,0))),H128)</f>
        <v>0</v>
      </c>
      <c r="I143" s="1">
        <f>IF(OR($B138&lt;&gt;$B123,$B139&lt;&gt;$B124,$B140&lt;&gt;$B125,$B141&lt;&gt;$B126,$B142&lt;&gt;$B127,$B143&lt;&gt;$B128,$B144&lt;&gt;$B129,$B145&lt;&gt;$B130,$B146&lt;&gt;$B131,$B147&lt;&gt;$B132,$B148&lt;&gt;$B133),IF($B143&lt;&gt;$B128,I128/INDEX($C123:$AJ133,6,MATCH(IF('Data-solution'!$A$3="Maximize",MAX($C134:$AI134),MIN($C134:$AI134)),$C134:$AI134,0)),I128-INDEX($C123:$AJ133,6,MATCH(IF('Data-solution'!$A$3="Maximize",MAX($C134:$AI134),MIN($C134:$AI134)),$C134:$AI134,0))*INDEX(I123:$AJ133,MATCH(MIN($AK123:$AK133),$AK123:$AK133,0),1)/INDEX($C123:$AJ133,MATCH(MIN($AK123:$AK133),$AK123:$AK133,0),MATCH(IF('Data-solution'!$A$3="Maximize",MAX($C134:$AI134),MIN($C134:$AI134)),$C134:$AI134,0))),I128)</f>
        <v>0</v>
      </c>
      <c r="J143" s="1">
        <f>IF(OR($B138&lt;&gt;$B123,$B139&lt;&gt;$B124,$B140&lt;&gt;$B125,$B141&lt;&gt;$B126,$B142&lt;&gt;$B127,$B143&lt;&gt;$B128,$B144&lt;&gt;$B129,$B145&lt;&gt;$B130,$B146&lt;&gt;$B131,$B147&lt;&gt;$B132,$B148&lt;&gt;$B133),IF($B143&lt;&gt;$B128,J128/INDEX($C123:$AJ133,6,MATCH(IF('Data-solution'!$A$3="Maximize",MAX($C134:$AI134),MIN($C134:$AI134)),$C134:$AI134,0)),J128-INDEX($C123:$AJ133,6,MATCH(IF('Data-solution'!$A$3="Maximize",MAX($C134:$AI134),MIN($C134:$AI134)),$C134:$AI134,0))*INDEX(J123:$AJ133,MATCH(MIN($AK123:$AK133),$AK123:$AK133,0),1)/INDEX($C123:$AJ133,MATCH(MIN($AK123:$AK133),$AK123:$AK133,0),MATCH(IF('Data-solution'!$A$3="Maximize",MAX($C134:$AI134),MIN($C134:$AI134)),$C134:$AI134,0))),J128)</f>
        <v>0</v>
      </c>
      <c r="K143" s="1">
        <f>IF(OR($B138&lt;&gt;$B123,$B139&lt;&gt;$B124,$B140&lt;&gt;$B125,$B141&lt;&gt;$B126,$B142&lt;&gt;$B127,$B143&lt;&gt;$B128,$B144&lt;&gt;$B129,$B145&lt;&gt;$B130,$B146&lt;&gt;$B131,$B147&lt;&gt;$B132,$B148&lt;&gt;$B133),IF($B143&lt;&gt;$B128,K128/INDEX($C123:$AJ133,6,MATCH(IF('Data-solution'!$A$3="Maximize",MAX($C134:$AI134),MIN($C134:$AI134)),$C134:$AI134,0)),K128-INDEX($C123:$AJ133,6,MATCH(IF('Data-solution'!$A$3="Maximize",MAX($C134:$AI134),MIN($C134:$AI134)),$C134:$AI134,0))*INDEX(K123:$AJ133,MATCH(MIN($AK123:$AK133),$AK123:$AK133,0),1)/INDEX($C123:$AJ133,MATCH(MIN($AK123:$AK133),$AK123:$AK133,0),MATCH(IF('Data-solution'!$A$3="Maximize",MAX($C134:$AI134),MIN($C134:$AI134)),$C134:$AI134,0))),K128)</f>
        <v>0</v>
      </c>
      <c r="L143" s="1">
        <f>IF(OR($B138&lt;&gt;$B123,$B139&lt;&gt;$B124,$B140&lt;&gt;$B125,$B141&lt;&gt;$B126,$B142&lt;&gt;$B127,$B143&lt;&gt;$B128,$B144&lt;&gt;$B129,$B145&lt;&gt;$B130,$B146&lt;&gt;$B131,$B147&lt;&gt;$B132,$B148&lt;&gt;$B133),IF($B143&lt;&gt;$B128,L128/INDEX($C123:$AJ133,6,MATCH(IF('Data-solution'!$A$3="Maximize",MAX($C134:$AI134),MIN($C134:$AI134)),$C134:$AI134,0)),L128-INDEX($C123:$AJ133,6,MATCH(IF('Data-solution'!$A$3="Maximize",MAX($C134:$AI134),MIN($C134:$AI134)),$C134:$AI134,0))*INDEX(L123:$AJ133,MATCH(MIN($AK123:$AK133),$AK123:$AK133,0),1)/INDEX($C123:$AJ133,MATCH(MIN($AK123:$AK133),$AK123:$AK133,0),MATCH(IF('Data-solution'!$A$3="Maximize",MAX($C134:$AI134),MIN($C134:$AI134)),$C134:$AI134,0))),L128)</f>
        <v>0</v>
      </c>
      <c r="M143" s="1">
        <f>IF(OR($B138&lt;&gt;$B123,$B139&lt;&gt;$B124,$B140&lt;&gt;$B125,$B141&lt;&gt;$B126,$B142&lt;&gt;$B127,$B143&lt;&gt;$B128,$B144&lt;&gt;$B129,$B145&lt;&gt;$B130,$B146&lt;&gt;$B131,$B147&lt;&gt;$B132,$B148&lt;&gt;$B133),IF($B143&lt;&gt;$B128,M128/INDEX($C123:$AJ133,6,MATCH(IF('Data-solution'!$A$3="Maximize",MAX($C134:$AI134),MIN($C134:$AI134)),$C134:$AI134,0)),M128-INDEX($C123:$AJ133,6,MATCH(IF('Data-solution'!$A$3="Maximize",MAX($C134:$AI134),MIN($C134:$AI134)),$C134:$AI134,0))*INDEX(M123:$AJ133,MATCH(MIN($AK123:$AK133),$AK123:$AK133,0),1)/INDEX($C123:$AJ133,MATCH(MIN($AK123:$AK133),$AK123:$AK133,0),MATCH(IF('Data-solution'!$A$3="Maximize",MAX($C134:$AI134),MIN($C134:$AI134)),$C134:$AI134,0))),M128)</f>
        <v>0</v>
      </c>
      <c r="N143" s="1">
        <f>IF(OR($B138&lt;&gt;$B123,$B139&lt;&gt;$B124,$B140&lt;&gt;$B125,$B141&lt;&gt;$B126,$B142&lt;&gt;$B127,$B143&lt;&gt;$B128,$B144&lt;&gt;$B129,$B145&lt;&gt;$B130,$B146&lt;&gt;$B131,$B147&lt;&gt;$B132,$B148&lt;&gt;$B133),IF($B143&lt;&gt;$B128,N128/INDEX($C123:$AJ133,6,MATCH(IF('Data-solution'!$A$3="Maximize",MAX($C134:$AI134),MIN($C134:$AI134)),$C134:$AI134,0)),N128-INDEX($C123:$AJ133,6,MATCH(IF('Data-solution'!$A$3="Maximize",MAX($C134:$AI134),MIN($C134:$AI134)),$C134:$AI134,0))*INDEX(N123:$AJ133,MATCH(MIN($AK123:$AK133),$AK123:$AK133,0),1)/INDEX($C123:$AJ133,MATCH(MIN($AK123:$AK133),$AK123:$AK133,0),MATCH(IF('Data-solution'!$A$3="Maximize",MAX($C134:$AI134),MIN($C134:$AI134)),$C134:$AI134,0))),N128)</f>
        <v>0</v>
      </c>
      <c r="O143" s="1">
        <f>IF(OR($B138&lt;&gt;$B123,$B139&lt;&gt;$B124,$B140&lt;&gt;$B125,$B141&lt;&gt;$B126,$B142&lt;&gt;$B127,$B143&lt;&gt;$B128,$B144&lt;&gt;$B129,$B145&lt;&gt;$B130,$B146&lt;&gt;$B131,$B147&lt;&gt;$B132,$B148&lt;&gt;$B133),IF($B143&lt;&gt;$B128,O128/INDEX($C123:$AJ133,6,MATCH(IF('Data-solution'!$A$3="Maximize",MAX($C134:$AI134),MIN($C134:$AI134)),$C134:$AI134,0)),O128-INDEX($C123:$AJ133,6,MATCH(IF('Data-solution'!$A$3="Maximize",MAX($C134:$AI134),MIN($C134:$AI134)),$C134:$AI134,0))*INDEX(O123:$AJ133,MATCH(MIN($AK123:$AK133),$AK123:$AK133,0),1)/INDEX($C123:$AJ133,MATCH(MIN($AK123:$AK133),$AK123:$AK133,0),MATCH(IF('Data-solution'!$A$3="Maximize",MAX($C134:$AI134),MIN($C134:$AI134)),$C134:$AI134,0))),O128)</f>
        <v>0</v>
      </c>
      <c r="P143" s="1">
        <f>IF(OR($B138&lt;&gt;$B123,$B139&lt;&gt;$B124,$B140&lt;&gt;$B125,$B141&lt;&gt;$B126,$B142&lt;&gt;$B127,$B143&lt;&gt;$B128,$B144&lt;&gt;$B129,$B145&lt;&gt;$B130,$B146&lt;&gt;$B131,$B147&lt;&gt;$B132,$B148&lt;&gt;$B133),IF($B143&lt;&gt;$B128,P128/INDEX($C123:$AJ133,6,MATCH(IF('Data-solution'!$A$3="Maximize",MAX($C134:$AI134),MIN($C134:$AI134)),$C134:$AI134,0)),P128-INDEX($C123:$AJ133,6,MATCH(IF('Data-solution'!$A$3="Maximize",MAX($C134:$AI134),MIN($C134:$AI134)),$C134:$AI134,0))*INDEX(P123:$AJ133,MATCH(MIN($AK123:$AK133),$AK123:$AK133,0),1)/INDEX($C123:$AJ133,MATCH(MIN($AK123:$AK133),$AK123:$AK133,0),MATCH(IF('Data-solution'!$A$3="Maximize",MAX($C134:$AI134),MIN($C134:$AI134)),$C134:$AI134,0))),P128)</f>
        <v>0</v>
      </c>
      <c r="Q143" s="1">
        <f>IF(OR($B138&lt;&gt;$B123,$B139&lt;&gt;$B124,$B140&lt;&gt;$B125,$B141&lt;&gt;$B126,$B142&lt;&gt;$B127,$B143&lt;&gt;$B128,$B144&lt;&gt;$B129,$B145&lt;&gt;$B130,$B146&lt;&gt;$B131,$B147&lt;&gt;$B132,$B148&lt;&gt;$B133),IF($B143&lt;&gt;$B128,Q128/INDEX($C123:$AJ133,6,MATCH(IF('Data-solution'!$A$3="Maximize",MAX($C134:$AI134),MIN($C134:$AI134)),$C134:$AI134,0)),Q128-INDEX($C123:$AJ133,6,MATCH(IF('Data-solution'!$A$3="Maximize",MAX($C134:$AI134),MIN($C134:$AI134)),$C134:$AI134,0))*INDEX(Q123:$AJ133,MATCH(MIN($AK123:$AK133),$AK123:$AK133,0),1)/INDEX($C123:$AJ133,MATCH(MIN($AK123:$AK133),$AK123:$AK133,0),MATCH(IF('Data-solution'!$A$3="Maximize",MAX($C134:$AI134),MIN($C134:$AI134)),$C134:$AI134,0))),Q128)</f>
        <v>0</v>
      </c>
      <c r="R143" s="1">
        <f>IF(OR($B138&lt;&gt;$B123,$B139&lt;&gt;$B124,$B140&lt;&gt;$B125,$B141&lt;&gt;$B126,$B142&lt;&gt;$B127,$B143&lt;&gt;$B128,$B144&lt;&gt;$B129,$B145&lt;&gt;$B130,$B146&lt;&gt;$B131,$B147&lt;&gt;$B132,$B148&lt;&gt;$B133),IF($B143&lt;&gt;$B128,R128/INDEX($C123:$AJ133,6,MATCH(IF('Data-solution'!$A$3="Maximize",MAX($C134:$AI134),MIN($C134:$AI134)),$C134:$AI134,0)),R128-INDEX($C123:$AJ133,6,MATCH(IF('Data-solution'!$A$3="Maximize",MAX($C134:$AI134),MIN($C134:$AI134)),$C134:$AI134,0))*INDEX(R123:$AJ133,MATCH(MIN($AK123:$AK133),$AK123:$AK133,0),1)/INDEX($C123:$AJ133,MATCH(MIN($AK123:$AK133),$AK123:$AK133,0),MATCH(IF('Data-solution'!$A$3="Maximize",MAX($C134:$AI134),MIN($C134:$AI134)),$C134:$AI134,0))),R128)</f>
        <v>0</v>
      </c>
      <c r="S143" s="1">
        <f>IF(OR($B138&lt;&gt;$B123,$B139&lt;&gt;$B124,$B140&lt;&gt;$B125,$B141&lt;&gt;$B126,$B142&lt;&gt;$B127,$B143&lt;&gt;$B128,$B144&lt;&gt;$B129,$B145&lt;&gt;$B130,$B146&lt;&gt;$B131,$B147&lt;&gt;$B132,$B148&lt;&gt;$B133),IF($B143&lt;&gt;$B128,S128/INDEX($C123:$AJ133,6,MATCH(IF('Data-solution'!$A$3="Maximize",MAX($C134:$AI134),MIN($C134:$AI134)),$C134:$AI134,0)),S128-INDEX($C123:$AJ133,6,MATCH(IF('Data-solution'!$A$3="Maximize",MAX($C134:$AI134),MIN($C134:$AI134)),$C134:$AI134,0))*INDEX(S123:$AJ133,MATCH(MIN($AK123:$AK133),$AK123:$AK133,0),1)/INDEX($C123:$AJ133,MATCH(MIN($AK123:$AK133),$AK123:$AK133,0),MATCH(IF('Data-solution'!$A$3="Maximize",MAX($C134:$AI134),MIN($C134:$AI134)),$C134:$AI134,0))),S128)</f>
        <v>1</v>
      </c>
      <c r="T143" s="1">
        <f>IF(OR($B138&lt;&gt;$B123,$B139&lt;&gt;$B124,$B140&lt;&gt;$B125,$B141&lt;&gt;$B126,$B142&lt;&gt;$B127,$B143&lt;&gt;$B128,$B144&lt;&gt;$B129,$B145&lt;&gt;$B130,$B146&lt;&gt;$B131,$B147&lt;&gt;$B132,$B148&lt;&gt;$B133),IF($B143&lt;&gt;$B128,T128/INDEX($C123:$AJ133,6,MATCH(IF('Data-solution'!$A$3="Maximize",MAX($C134:$AI134),MIN($C134:$AI134)),$C134:$AI134,0)),T128-INDEX($C123:$AJ133,6,MATCH(IF('Data-solution'!$A$3="Maximize",MAX($C134:$AI134),MIN($C134:$AI134)),$C134:$AI134,0))*INDEX(T123:$AJ133,MATCH(MIN($AK123:$AK133),$AK123:$AK133,0),1)/INDEX($C123:$AJ133,MATCH(MIN($AK123:$AK133),$AK123:$AK133,0),MATCH(IF('Data-solution'!$A$3="Maximize",MAX($C134:$AI134),MIN($C134:$AI134)),$C134:$AI134,0))),T128)</f>
        <v>0</v>
      </c>
      <c r="U143" s="1">
        <f>IF(OR($B138&lt;&gt;$B123,$B139&lt;&gt;$B124,$B140&lt;&gt;$B125,$B141&lt;&gt;$B126,$B142&lt;&gt;$B127,$B143&lt;&gt;$B128,$B144&lt;&gt;$B129,$B145&lt;&gt;$B130,$B146&lt;&gt;$B131,$B147&lt;&gt;$B132,$B148&lt;&gt;$B133),IF($B143&lt;&gt;$B128,U128/INDEX($C123:$AJ133,6,MATCH(IF('Data-solution'!$A$3="Maximize",MAX($C134:$AI134),MIN($C134:$AI134)),$C134:$AI134,0)),U128-INDEX($C123:$AJ133,6,MATCH(IF('Data-solution'!$A$3="Maximize",MAX($C134:$AI134),MIN($C134:$AI134)),$C134:$AI134,0))*INDEX(U123:$AJ133,MATCH(MIN($AK123:$AK133),$AK123:$AK133,0),1)/INDEX($C123:$AJ133,MATCH(MIN($AK123:$AK133),$AK123:$AK133,0),MATCH(IF('Data-solution'!$A$3="Maximize",MAX($C134:$AI134),MIN($C134:$AI134)),$C134:$AI134,0))),U128)</f>
        <v>0</v>
      </c>
      <c r="V143" s="1">
        <f>IF(OR($B138&lt;&gt;$B123,$B139&lt;&gt;$B124,$B140&lt;&gt;$B125,$B141&lt;&gt;$B126,$B142&lt;&gt;$B127,$B143&lt;&gt;$B128,$B144&lt;&gt;$B129,$B145&lt;&gt;$B130,$B146&lt;&gt;$B131,$B147&lt;&gt;$B132,$B148&lt;&gt;$B133),IF($B143&lt;&gt;$B128,V128/INDEX($C123:$AJ133,6,MATCH(IF('Data-solution'!$A$3="Maximize",MAX($C134:$AI134),MIN($C134:$AI134)),$C134:$AI134,0)),V128-INDEX($C123:$AJ133,6,MATCH(IF('Data-solution'!$A$3="Maximize",MAX($C134:$AI134),MIN($C134:$AI134)),$C134:$AI134,0))*INDEX(V123:$AJ133,MATCH(MIN($AK123:$AK133),$AK123:$AK133,0),1)/INDEX($C123:$AJ133,MATCH(MIN($AK123:$AK133),$AK123:$AK133,0),MATCH(IF('Data-solution'!$A$3="Maximize",MAX($C134:$AI134),MIN($C134:$AI134)),$C134:$AI134,0))),V128)</f>
        <v>0</v>
      </c>
      <c r="W143" s="1">
        <f>IF(OR($B138&lt;&gt;$B123,$B139&lt;&gt;$B124,$B140&lt;&gt;$B125,$B141&lt;&gt;$B126,$B142&lt;&gt;$B127,$B143&lt;&gt;$B128,$B144&lt;&gt;$B129,$B145&lt;&gt;$B130,$B146&lt;&gt;$B131,$B147&lt;&gt;$B132,$B148&lt;&gt;$B133),IF($B143&lt;&gt;$B128,W128/INDEX($C123:$AJ133,6,MATCH(IF('Data-solution'!$A$3="Maximize",MAX($C134:$AI134),MIN($C134:$AI134)),$C134:$AI134,0)),W128-INDEX($C123:$AJ133,6,MATCH(IF('Data-solution'!$A$3="Maximize",MAX($C134:$AI134),MIN($C134:$AI134)),$C134:$AI134,0))*INDEX(W123:$AJ133,MATCH(MIN($AK123:$AK133),$AK123:$AK133,0),1)/INDEX($C123:$AJ133,MATCH(MIN($AK123:$AK133),$AK123:$AK133,0),MATCH(IF('Data-solution'!$A$3="Maximize",MAX($C134:$AI134),MIN($C134:$AI134)),$C134:$AI134,0))),W128)</f>
        <v>0</v>
      </c>
      <c r="X143" s="1">
        <f>IF(OR($B138&lt;&gt;$B123,$B139&lt;&gt;$B124,$B140&lt;&gt;$B125,$B141&lt;&gt;$B126,$B142&lt;&gt;$B127,$B143&lt;&gt;$B128,$B144&lt;&gt;$B129,$B145&lt;&gt;$B130,$B146&lt;&gt;$B131,$B147&lt;&gt;$B132,$B148&lt;&gt;$B133),IF($B143&lt;&gt;$B128,X128/INDEX($C123:$AJ133,6,MATCH(IF('Data-solution'!$A$3="Maximize",MAX($C134:$AI134),MIN($C134:$AI134)),$C134:$AI134,0)),X128-INDEX($C123:$AJ133,6,MATCH(IF('Data-solution'!$A$3="Maximize",MAX($C134:$AI134),MIN($C134:$AI134)),$C134:$AI134,0))*INDEX(X123:$AJ133,MATCH(MIN($AK123:$AK133),$AK123:$AK133,0),1)/INDEX($C123:$AJ133,MATCH(MIN($AK123:$AK133),$AK123:$AK133,0),MATCH(IF('Data-solution'!$A$3="Maximize",MAX($C134:$AI134),MIN($C134:$AI134)),$C134:$AI134,0))),X128)</f>
        <v>0</v>
      </c>
      <c r="Y143" s="1">
        <f>IF(OR($B138&lt;&gt;$B123,$B139&lt;&gt;$B124,$B140&lt;&gt;$B125,$B141&lt;&gt;$B126,$B142&lt;&gt;$B127,$B143&lt;&gt;$B128,$B144&lt;&gt;$B129,$B145&lt;&gt;$B130,$B146&lt;&gt;$B131,$B147&lt;&gt;$B132,$B148&lt;&gt;$B133),IF($B143&lt;&gt;$B128,Y128/INDEX($C123:$AJ133,6,MATCH(IF('Data-solution'!$A$3="Maximize",MAX($C134:$AI134),MIN($C134:$AI134)),$C134:$AI134,0)),Y128-INDEX($C123:$AJ133,6,MATCH(IF('Data-solution'!$A$3="Maximize",MAX($C134:$AI134),MIN($C134:$AI134)),$C134:$AI134,0))*INDEX(Y123:$AJ133,MATCH(MIN($AK123:$AK133),$AK123:$AK133,0),1)/INDEX($C123:$AJ133,MATCH(MIN($AK123:$AK133),$AK123:$AK133,0),MATCH(IF('Data-solution'!$A$3="Maximize",MAX($C134:$AI134),MIN($C134:$AI134)),$C134:$AI134,0))),Y128)</f>
        <v>0</v>
      </c>
      <c r="Z143" s="1">
        <f>IF(OR($B138&lt;&gt;$B123,$B139&lt;&gt;$B124,$B140&lt;&gt;$B125,$B141&lt;&gt;$B126,$B142&lt;&gt;$B127,$B143&lt;&gt;$B128,$B144&lt;&gt;$B129,$B145&lt;&gt;$B130,$B146&lt;&gt;$B131,$B147&lt;&gt;$B132,$B148&lt;&gt;$B133),IF($B143&lt;&gt;$B128,Z128/INDEX($C123:$AJ133,6,MATCH(IF('Data-solution'!$A$3="Maximize",MAX($C134:$AI134),MIN($C134:$AI134)),$C134:$AI134,0)),Z128-INDEX($C123:$AJ133,6,MATCH(IF('Data-solution'!$A$3="Maximize",MAX($C134:$AI134),MIN($C134:$AI134)),$C134:$AI134,0))*INDEX(Z123:$AJ133,MATCH(MIN($AK123:$AK133),$AK123:$AK133,0),1)/INDEX($C123:$AJ133,MATCH(MIN($AK123:$AK133),$AK123:$AK133,0),MATCH(IF('Data-solution'!$A$3="Maximize",MAX($C134:$AI134),MIN($C134:$AI134)),$C134:$AI134,0))),Z128)</f>
        <v>0</v>
      </c>
      <c r="AA143" s="1">
        <f>IF(OR($B138&lt;&gt;$B123,$B139&lt;&gt;$B124,$B140&lt;&gt;$B125,$B141&lt;&gt;$B126,$B142&lt;&gt;$B127,$B143&lt;&gt;$B128,$B144&lt;&gt;$B129,$B145&lt;&gt;$B130,$B146&lt;&gt;$B131,$B147&lt;&gt;$B132,$B148&lt;&gt;$B133),IF($B143&lt;&gt;$B128,AA128/INDEX($C123:$AJ133,6,MATCH(IF('Data-solution'!$A$3="Maximize",MAX($C134:$AI134),MIN($C134:$AI134)),$C134:$AI134,0)),AA128-INDEX($C123:$AJ133,6,MATCH(IF('Data-solution'!$A$3="Maximize",MAX($C134:$AI134),MIN($C134:$AI134)),$C134:$AI134,0))*INDEX(AA123:$AJ133,MATCH(MIN($AK123:$AK133),$AK123:$AK133,0),1)/INDEX($C123:$AJ133,MATCH(MIN($AK123:$AK133),$AK123:$AK133,0),MATCH(IF('Data-solution'!$A$3="Maximize",MAX($C134:$AI134),MIN($C134:$AI134)),$C134:$AI134,0))),AA128)</f>
        <v>0</v>
      </c>
      <c r="AB143" s="1">
        <f>IF(OR($B138&lt;&gt;$B123,$B139&lt;&gt;$B124,$B140&lt;&gt;$B125,$B141&lt;&gt;$B126,$B142&lt;&gt;$B127,$B143&lt;&gt;$B128,$B144&lt;&gt;$B129,$B145&lt;&gt;$B130,$B146&lt;&gt;$B131,$B147&lt;&gt;$B132,$B148&lt;&gt;$B133),IF($B143&lt;&gt;$B128,AB128/INDEX($C123:$AJ133,6,MATCH(IF('Data-solution'!$A$3="Maximize",MAX($C134:$AI134),MIN($C134:$AI134)),$C134:$AI134,0)),AB128-INDEX($C123:$AJ133,6,MATCH(IF('Data-solution'!$A$3="Maximize",MAX($C134:$AI134),MIN($C134:$AI134)),$C134:$AI134,0))*INDEX(AB123:$AJ133,MATCH(MIN($AK123:$AK133),$AK123:$AK133,0),1)/INDEX($C123:$AJ133,MATCH(MIN($AK123:$AK133),$AK123:$AK133,0),MATCH(IF('Data-solution'!$A$3="Maximize",MAX($C134:$AI134),MIN($C134:$AI134)),$C134:$AI134,0))),AB128)</f>
        <v>0</v>
      </c>
      <c r="AC143" s="1">
        <f>IF(OR($B138&lt;&gt;$B123,$B139&lt;&gt;$B124,$B140&lt;&gt;$B125,$B141&lt;&gt;$B126,$B142&lt;&gt;$B127,$B143&lt;&gt;$B128,$B144&lt;&gt;$B129,$B145&lt;&gt;$B130,$B146&lt;&gt;$B131,$B147&lt;&gt;$B132,$B148&lt;&gt;$B133),IF($B143&lt;&gt;$B128,AC128/INDEX($C123:$AJ133,6,MATCH(IF('Data-solution'!$A$3="Maximize",MAX($C134:$AI134),MIN($C134:$AI134)),$C134:$AI134,0)),AC128-INDEX($C123:$AJ133,6,MATCH(IF('Data-solution'!$A$3="Maximize",MAX($C134:$AI134),MIN($C134:$AI134)),$C134:$AI134,0))*INDEX(AC123:$AJ133,MATCH(MIN($AK123:$AK133),$AK123:$AK133,0),1)/INDEX($C123:$AJ133,MATCH(MIN($AK123:$AK133),$AK123:$AK133,0),MATCH(IF('Data-solution'!$A$3="Maximize",MAX($C134:$AI134),MIN($C134:$AI134)),$C134:$AI134,0))),AC128)</f>
        <v>0</v>
      </c>
      <c r="AD143" s="1">
        <f>IF(OR($B138&lt;&gt;$B123,$B139&lt;&gt;$B124,$B140&lt;&gt;$B125,$B141&lt;&gt;$B126,$B142&lt;&gt;$B127,$B143&lt;&gt;$B128,$B144&lt;&gt;$B129,$B145&lt;&gt;$B130,$B146&lt;&gt;$B131,$B147&lt;&gt;$B132,$B148&lt;&gt;$B133),IF($B143&lt;&gt;$B128,AD128/INDEX($C123:$AJ133,6,MATCH(IF('Data-solution'!$A$3="Maximize",MAX($C134:$AI134),MIN($C134:$AI134)),$C134:$AI134,0)),AD128-INDEX($C123:$AJ133,6,MATCH(IF('Data-solution'!$A$3="Maximize",MAX($C134:$AI134),MIN($C134:$AI134)),$C134:$AI134,0))*INDEX(AD123:$AJ133,MATCH(MIN($AK123:$AK133),$AK123:$AK133,0),1)/INDEX($C123:$AJ133,MATCH(MIN($AK123:$AK133),$AK123:$AK133,0),MATCH(IF('Data-solution'!$A$3="Maximize",MAX($C134:$AI134),MIN($C134:$AI134)),$C134:$AI134,0))),AD128)</f>
        <v>1</v>
      </c>
      <c r="AE143" s="1">
        <f>IF(OR($B138&lt;&gt;$B123,$B139&lt;&gt;$B124,$B140&lt;&gt;$B125,$B141&lt;&gt;$B126,$B142&lt;&gt;$B127,$B143&lt;&gt;$B128,$B144&lt;&gt;$B129,$B145&lt;&gt;$B130,$B146&lt;&gt;$B131,$B147&lt;&gt;$B132,$B148&lt;&gt;$B133),IF($B143&lt;&gt;$B128,AE128/INDEX($C123:$AJ133,6,MATCH(IF('Data-solution'!$A$3="Maximize",MAX($C134:$AI134),MIN($C134:$AI134)),$C134:$AI134,0)),AE128-INDEX($C123:$AJ133,6,MATCH(IF('Data-solution'!$A$3="Maximize",MAX($C134:$AI134),MIN($C134:$AI134)),$C134:$AI134,0))*INDEX(AE123:$AJ133,MATCH(MIN($AK123:$AK133),$AK123:$AK133,0),1)/INDEX($C123:$AJ133,MATCH(MIN($AK123:$AK133),$AK123:$AK133,0),MATCH(IF('Data-solution'!$A$3="Maximize",MAX($C134:$AI134),MIN($C134:$AI134)),$C134:$AI134,0))),AE128)</f>
        <v>0</v>
      </c>
      <c r="AF143" s="1">
        <f>IF(OR($B138&lt;&gt;$B123,$B139&lt;&gt;$B124,$B140&lt;&gt;$B125,$B141&lt;&gt;$B126,$B142&lt;&gt;$B127,$B143&lt;&gt;$B128,$B144&lt;&gt;$B129,$B145&lt;&gt;$B130,$B146&lt;&gt;$B131,$B147&lt;&gt;$B132,$B148&lt;&gt;$B133),IF($B143&lt;&gt;$B128,AF128/INDEX($C123:$AJ133,6,MATCH(IF('Data-solution'!$A$3="Maximize",MAX($C134:$AI134),MIN($C134:$AI134)),$C134:$AI134,0)),AF128-INDEX($C123:$AJ133,6,MATCH(IF('Data-solution'!$A$3="Maximize",MAX($C134:$AI134),MIN($C134:$AI134)),$C134:$AI134,0))*INDEX(AF123:$AJ133,MATCH(MIN($AK123:$AK133),$AK123:$AK133,0),1)/INDEX($C123:$AJ133,MATCH(MIN($AK123:$AK133),$AK123:$AK133,0),MATCH(IF('Data-solution'!$A$3="Maximize",MAX($C134:$AI134),MIN($C134:$AI134)),$C134:$AI134,0))),AF128)</f>
        <v>0</v>
      </c>
      <c r="AG143" s="1">
        <f>IF(OR($B138&lt;&gt;$B123,$B139&lt;&gt;$B124,$B140&lt;&gt;$B125,$B141&lt;&gt;$B126,$B142&lt;&gt;$B127,$B143&lt;&gt;$B128,$B144&lt;&gt;$B129,$B145&lt;&gt;$B130,$B146&lt;&gt;$B131,$B147&lt;&gt;$B132,$B148&lt;&gt;$B133),IF($B143&lt;&gt;$B128,AG128/INDEX($C123:$AJ133,6,MATCH(IF('Data-solution'!$A$3="Maximize",MAX($C134:$AI134),MIN($C134:$AI134)),$C134:$AI134,0)),AG128-INDEX($C123:$AJ133,6,MATCH(IF('Data-solution'!$A$3="Maximize",MAX($C134:$AI134),MIN($C134:$AI134)),$C134:$AI134,0))*INDEX(AG123:$AJ133,MATCH(MIN($AK123:$AK133),$AK123:$AK133,0),1)/INDEX($C123:$AJ133,MATCH(MIN($AK123:$AK133),$AK123:$AK133,0),MATCH(IF('Data-solution'!$A$3="Maximize",MAX($C134:$AI134),MIN($C134:$AI134)),$C134:$AI134,0))),AG128)</f>
        <v>0</v>
      </c>
      <c r="AH143" s="1">
        <f>IF(OR($B138&lt;&gt;$B123,$B139&lt;&gt;$B124,$B140&lt;&gt;$B125,$B141&lt;&gt;$B126,$B142&lt;&gt;$B127,$B143&lt;&gt;$B128,$B144&lt;&gt;$B129,$B145&lt;&gt;$B130,$B146&lt;&gt;$B131,$B147&lt;&gt;$B132,$B148&lt;&gt;$B133),IF($B143&lt;&gt;$B128,AH128/INDEX($C123:$AJ133,6,MATCH(IF('Data-solution'!$A$3="Maximize",MAX($C134:$AI134),MIN($C134:$AI134)),$C134:$AI134,0)),AH128-INDEX($C123:$AJ133,6,MATCH(IF('Data-solution'!$A$3="Maximize",MAX($C134:$AI134),MIN($C134:$AI134)),$C134:$AI134,0))*INDEX(AH123:$AJ133,MATCH(MIN($AK123:$AK133),$AK123:$AK133,0),1)/INDEX($C123:$AJ133,MATCH(MIN($AK123:$AK133),$AK123:$AK133,0),MATCH(IF('Data-solution'!$A$3="Maximize",MAX($C134:$AI134),MIN($C134:$AI134)),$C134:$AI134,0))),AH128)</f>
        <v>0</v>
      </c>
      <c r="AI143" s="1">
        <f>IF(OR($B138&lt;&gt;$B123,$B139&lt;&gt;$B124,$B140&lt;&gt;$B125,$B141&lt;&gt;$B126,$B142&lt;&gt;$B127,$B143&lt;&gt;$B128,$B144&lt;&gt;$B129,$B145&lt;&gt;$B130,$B146&lt;&gt;$B131,$B147&lt;&gt;$B132,$B148&lt;&gt;$B133),IF($B143&lt;&gt;$B128,AI128/INDEX($C123:$AJ133,6,MATCH(IF('Data-solution'!$A$3="Maximize",MAX($C134:$AI134),MIN($C134:$AI134)),$C134:$AI134,0)),AI128-INDEX($C123:$AJ133,6,MATCH(IF('Data-solution'!$A$3="Maximize",MAX($C134:$AI134),MIN($C134:$AI134)),$C134:$AI134,0))*INDEX(AI123:$AJ133,MATCH(MIN($AK123:$AK133),$AK123:$AK133,0),1)/INDEX($C123:$AJ133,MATCH(MIN($AK123:$AK133),$AK123:$AK133,0),MATCH(IF('Data-solution'!$A$3="Maximize",MAX($C134:$AI134),MIN($C134:$AI134)),$C134:$AI134,0))),AI128)</f>
        <v>0</v>
      </c>
      <c r="AJ143" s="1">
        <f>IF(OR($B138&lt;&gt;$B123,$B139&lt;&gt;$B124,$B140&lt;&gt;$B125,$B141&lt;&gt;$B126,$B142&lt;&gt;$B127,$B143&lt;&gt;$B128,$B144&lt;&gt;$B129,$B145&lt;&gt;$B130,$B146&lt;&gt;$B131,$B147&lt;&gt;$B132,$B148&lt;&gt;$B133),IF($B143&lt;&gt;$B128,AJ128/INDEX($C123:$AJ133,6,MATCH(IF('Data-solution'!$A$3="Maximize",MAX($C134:$AI134),MIN($C134:$AI134)),$C134:$AI134,0)),AJ128-INDEX($C123:$AJ133,6,MATCH(IF('Data-solution'!$A$3="Maximize",MAX($C134:$AI134),MIN($C134:$AI134)),$C134:$AI134,0))*INDEX(AJ123:$AJ133,MATCH(MIN($AK123:$AK133),$AK123:$AK133,0),1)/INDEX($C123:$AJ133,MATCH(MIN($AK123:$AK133),$AK123:$AK133,0),MATCH(IF('Data-solution'!$A$3="Maximize",MAX($C134:$AI134),MIN($C134:$AI134)),$C134:$AI134,0))),AJ128)</f>
        <v>0</v>
      </c>
      <c r="AK143" s="1" t="str">
        <f>IF(INDEX(C143:X143,1,MATCH(IF('Data-solution'!A$3="Maximize",MAX(C149:X149),MIN(C149:X149)),C149:X149,0))&gt;0,AJ143/INDEX(C143:X143,1,MATCH(IF('Data-solution'!A$3="Maximize",MAX(C149:X149),MIN(C149:X149)),C149:X149,0))," ")</f>
        <v xml:space="preserve"> </v>
      </c>
    </row>
    <row r="144" spans="1:37" ht="18" customHeight="1" x14ac:dyDescent="0.2">
      <c r="A144" s="1">
        <f t="shared" ref="A144" si="116">INDEX(C136:AI136,1,MATCH(B144,C137:AI137,0))</f>
        <v>0</v>
      </c>
      <c r="B144" s="2" t="str">
        <f>IF(AND('Data-solution'!A$3="Maximize",COUNTIF(C134:X134,"&gt;"&amp;0)&gt;0,AK129=MIN(AK123:AK133),COUNTIF(B138:B143,INDEX(C122:X122,1,MATCH(MAX(C134:X134),C134:X134,0)))=0),INDEX(C122:X122,1,MATCH(MAX(C134:X134),C134:X134,0)),IF(AND('Data-solution'!A$3="Minimize",COUNTIF(C134:X134,"&lt;"&amp;0)&gt;0,AK129=MIN(AK123:AK133),COUNTIF(B138:B143,INDEX(C122:X122,1,MATCH(MIN(C134:X134),C134:X134,0)))=0),INDEX(C122:X122,1,MATCH(MIN(C134:X134),C134:X134,0)),B129))</f>
        <v>S7</v>
      </c>
      <c r="C144" s="1">
        <f>IF(OR($B138&lt;&gt;$B123,$B139&lt;&gt;$B124,$B140&lt;&gt;$B125,$B141&lt;&gt;$B126,$B142&lt;&gt;$B127,$B143&lt;&gt;$B128,$B144&lt;&gt;$B129,$B145&lt;&gt;$B130,$B146&lt;&gt;$B131,$B147&lt;&gt;$B132,$B148&lt;&gt;$B133),IF($B144&lt;&gt;$B129,C129/INDEX($C123:$AJ133,7,MATCH(IF('Data-solution'!$A$3="Maximize",MAX($C134:$AI134),MIN($C134:$AI134)),$C134:$AI134,0)),C129-INDEX($C123:$AJ133,7,MATCH(IF('Data-solution'!$A$3="Maximize",MAX($C134:$AI134),MIN($C134:$AI134)),$C134:$AI134,0))*INDEX(C123:$AJ133,MATCH(MIN($AK123:$AK133),$AK123:$AK133,0),1)/INDEX($C123:$AJ133,MATCH(MIN($AK123:$AK133),$AK123:$AK133,0),MATCH(IF('Data-solution'!$A$3="Maximize",MAX($C134:$AI134),MIN($C134:$AI134)),$C134:$AI134,0))),C129)</f>
        <v>0</v>
      </c>
      <c r="D144" s="1">
        <f>IF(OR($B138&lt;&gt;$B123,$B139&lt;&gt;$B124,$B140&lt;&gt;$B125,$B141&lt;&gt;$B126,$B142&lt;&gt;$B127,$B143&lt;&gt;$B128,$B144&lt;&gt;$B129,$B145&lt;&gt;$B130,$B146&lt;&gt;$B131,$B147&lt;&gt;$B132,$B148&lt;&gt;$B133),IF($B144&lt;&gt;$B129,D129/INDEX($C123:$AJ133,7,MATCH(IF('Data-solution'!$A$3="Maximize",MAX($C134:$AI134),MIN($C134:$AI134)),$C134:$AI134,0)),D129-INDEX($C123:$AJ133,7,MATCH(IF('Data-solution'!$A$3="Maximize",MAX($C134:$AI134),MIN($C134:$AI134)),$C134:$AI134,0))*INDEX(D123:$AJ133,MATCH(MIN($AK123:$AK133),$AK123:$AK133,0),1)/INDEX($C123:$AJ133,MATCH(MIN($AK123:$AK133),$AK123:$AK133,0),MATCH(IF('Data-solution'!$A$3="Maximize",MAX($C134:$AI134),MIN($C134:$AI134)),$C134:$AI134,0))),D129)</f>
        <v>0</v>
      </c>
      <c r="E144" s="1">
        <f>IF(OR($B138&lt;&gt;$B123,$B139&lt;&gt;$B124,$B140&lt;&gt;$B125,$B141&lt;&gt;$B126,$B142&lt;&gt;$B127,$B143&lt;&gt;$B128,$B144&lt;&gt;$B129,$B145&lt;&gt;$B130,$B146&lt;&gt;$B131,$B147&lt;&gt;$B132,$B148&lt;&gt;$B133),IF($B144&lt;&gt;$B129,E129/INDEX($C123:$AJ133,7,MATCH(IF('Data-solution'!$A$3="Maximize",MAX($C134:$AI134),MIN($C134:$AI134)),$C134:$AI134,0)),E129-INDEX($C123:$AJ133,7,MATCH(IF('Data-solution'!$A$3="Maximize",MAX($C134:$AI134),MIN($C134:$AI134)),$C134:$AI134,0))*INDEX(E123:$AJ133,MATCH(MIN($AK123:$AK133),$AK123:$AK133,0),1)/INDEX($C123:$AJ133,MATCH(MIN($AK123:$AK133),$AK123:$AK133,0),MATCH(IF('Data-solution'!$A$3="Maximize",MAX($C134:$AI134),MIN($C134:$AI134)),$C134:$AI134,0))),E129)</f>
        <v>0</v>
      </c>
      <c r="F144" s="1">
        <f>IF(OR($B138&lt;&gt;$B123,$B139&lt;&gt;$B124,$B140&lt;&gt;$B125,$B141&lt;&gt;$B126,$B142&lt;&gt;$B127,$B143&lt;&gt;$B128,$B144&lt;&gt;$B129,$B145&lt;&gt;$B130,$B146&lt;&gt;$B131,$B147&lt;&gt;$B132,$B148&lt;&gt;$B133),IF($B144&lt;&gt;$B129,F129/INDEX($C123:$AJ133,7,MATCH(IF('Data-solution'!$A$3="Maximize",MAX($C134:$AI134),MIN($C134:$AI134)),$C134:$AI134,0)),F129-INDEX($C123:$AJ133,7,MATCH(IF('Data-solution'!$A$3="Maximize",MAX($C134:$AI134),MIN($C134:$AI134)),$C134:$AI134,0))*INDEX(F123:$AJ133,MATCH(MIN($AK123:$AK133),$AK123:$AK133,0),1)/INDEX($C123:$AJ133,MATCH(MIN($AK123:$AK133),$AK123:$AK133,0),MATCH(IF('Data-solution'!$A$3="Maximize",MAX($C134:$AI134),MIN($C134:$AI134)),$C134:$AI134,0))),F129)</f>
        <v>0</v>
      </c>
      <c r="G144" s="1">
        <f>IF(OR($B138&lt;&gt;$B123,$B139&lt;&gt;$B124,$B140&lt;&gt;$B125,$B141&lt;&gt;$B126,$B142&lt;&gt;$B127,$B143&lt;&gt;$B128,$B144&lt;&gt;$B129,$B145&lt;&gt;$B130,$B146&lt;&gt;$B131,$B147&lt;&gt;$B132,$B148&lt;&gt;$B133),IF($B144&lt;&gt;$B129,G129/INDEX($C123:$AJ133,7,MATCH(IF('Data-solution'!$A$3="Maximize",MAX($C134:$AI134),MIN($C134:$AI134)),$C134:$AI134,0)),G129-INDEX($C123:$AJ133,7,MATCH(IF('Data-solution'!$A$3="Maximize",MAX($C134:$AI134),MIN($C134:$AI134)),$C134:$AI134,0))*INDEX(G123:$AJ133,MATCH(MIN($AK123:$AK133),$AK123:$AK133,0),1)/INDEX($C123:$AJ133,MATCH(MIN($AK123:$AK133),$AK123:$AK133,0),MATCH(IF('Data-solution'!$A$3="Maximize",MAX($C134:$AI134),MIN($C134:$AI134)),$C134:$AI134,0))),G129)</f>
        <v>0</v>
      </c>
      <c r="H144" s="1">
        <f>IF(OR($B138&lt;&gt;$B123,$B139&lt;&gt;$B124,$B140&lt;&gt;$B125,$B141&lt;&gt;$B126,$B142&lt;&gt;$B127,$B143&lt;&gt;$B128,$B144&lt;&gt;$B129,$B145&lt;&gt;$B130,$B146&lt;&gt;$B131,$B147&lt;&gt;$B132,$B148&lt;&gt;$B133),IF($B144&lt;&gt;$B129,H129/INDEX($C123:$AJ133,7,MATCH(IF('Data-solution'!$A$3="Maximize",MAX($C134:$AI134),MIN($C134:$AI134)),$C134:$AI134,0)),H129-INDEX($C123:$AJ133,7,MATCH(IF('Data-solution'!$A$3="Maximize",MAX($C134:$AI134),MIN($C134:$AI134)),$C134:$AI134,0))*INDEX(H123:$AJ133,MATCH(MIN($AK123:$AK133),$AK123:$AK133,0),1)/INDEX($C123:$AJ133,MATCH(MIN($AK123:$AK133),$AK123:$AK133,0),MATCH(IF('Data-solution'!$A$3="Maximize",MAX($C134:$AI134),MIN($C134:$AI134)),$C134:$AI134,0))),H129)</f>
        <v>0</v>
      </c>
      <c r="I144" s="1">
        <f>IF(OR($B138&lt;&gt;$B123,$B139&lt;&gt;$B124,$B140&lt;&gt;$B125,$B141&lt;&gt;$B126,$B142&lt;&gt;$B127,$B143&lt;&gt;$B128,$B144&lt;&gt;$B129,$B145&lt;&gt;$B130,$B146&lt;&gt;$B131,$B147&lt;&gt;$B132,$B148&lt;&gt;$B133),IF($B144&lt;&gt;$B129,I129/INDEX($C123:$AJ133,7,MATCH(IF('Data-solution'!$A$3="Maximize",MAX($C134:$AI134),MIN($C134:$AI134)),$C134:$AI134,0)),I129-INDEX($C123:$AJ133,7,MATCH(IF('Data-solution'!$A$3="Maximize",MAX($C134:$AI134),MIN($C134:$AI134)),$C134:$AI134,0))*INDEX(I123:$AJ133,MATCH(MIN($AK123:$AK133),$AK123:$AK133,0),1)/INDEX($C123:$AJ133,MATCH(MIN($AK123:$AK133),$AK123:$AK133,0),MATCH(IF('Data-solution'!$A$3="Maximize",MAX($C134:$AI134),MIN($C134:$AI134)),$C134:$AI134,0))),I129)</f>
        <v>0</v>
      </c>
      <c r="J144" s="1">
        <f>IF(OR($B138&lt;&gt;$B123,$B139&lt;&gt;$B124,$B140&lt;&gt;$B125,$B141&lt;&gt;$B126,$B142&lt;&gt;$B127,$B143&lt;&gt;$B128,$B144&lt;&gt;$B129,$B145&lt;&gt;$B130,$B146&lt;&gt;$B131,$B147&lt;&gt;$B132,$B148&lt;&gt;$B133),IF($B144&lt;&gt;$B129,J129/INDEX($C123:$AJ133,7,MATCH(IF('Data-solution'!$A$3="Maximize",MAX($C134:$AI134),MIN($C134:$AI134)),$C134:$AI134,0)),J129-INDEX($C123:$AJ133,7,MATCH(IF('Data-solution'!$A$3="Maximize",MAX($C134:$AI134),MIN($C134:$AI134)),$C134:$AI134,0))*INDEX(J123:$AJ133,MATCH(MIN($AK123:$AK133),$AK123:$AK133,0),1)/INDEX($C123:$AJ133,MATCH(MIN($AK123:$AK133),$AK123:$AK133,0),MATCH(IF('Data-solution'!$A$3="Maximize",MAX($C134:$AI134),MIN($C134:$AI134)),$C134:$AI134,0))),J129)</f>
        <v>0</v>
      </c>
      <c r="K144" s="1">
        <f>IF(OR($B138&lt;&gt;$B123,$B139&lt;&gt;$B124,$B140&lt;&gt;$B125,$B141&lt;&gt;$B126,$B142&lt;&gt;$B127,$B143&lt;&gt;$B128,$B144&lt;&gt;$B129,$B145&lt;&gt;$B130,$B146&lt;&gt;$B131,$B147&lt;&gt;$B132,$B148&lt;&gt;$B133),IF($B144&lt;&gt;$B129,K129/INDEX($C123:$AJ133,7,MATCH(IF('Data-solution'!$A$3="Maximize",MAX($C134:$AI134),MIN($C134:$AI134)),$C134:$AI134,0)),K129-INDEX($C123:$AJ133,7,MATCH(IF('Data-solution'!$A$3="Maximize",MAX($C134:$AI134),MIN($C134:$AI134)),$C134:$AI134,0))*INDEX(K123:$AJ133,MATCH(MIN($AK123:$AK133),$AK123:$AK133,0),1)/INDEX($C123:$AJ133,MATCH(MIN($AK123:$AK133),$AK123:$AK133,0),MATCH(IF('Data-solution'!$A$3="Maximize",MAX($C134:$AI134),MIN($C134:$AI134)),$C134:$AI134,0))),K129)</f>
        <v>0</v>
      </c>
      <c r="L144" s="1">
        <f>IF(OR($B138&lt;&gt;$B123,$B139&lt;&gt;$B124,$B140&lt;&gt;$B125,$B141&lt;&gt;$B126,$B142&lt;&gt;$B127,$B143&lt;&gt;$B128,$B144&lt;&gt;$B129,$B145&lt;&gt;$B130,$B146&lt;&gt;$B131,$B147&lt;&gt;$B132,$B148&lt;&gt;$B133),IF($B144&lt;&gt;$B129,L129/INDEX($C123:$AJ133,7,MATCH(IF('Data-solution'!$A$3="Maximize",MAX($C134:$AI134),MIN($C134:$AI134)),$C134:$AI134,0)),L129-INDEX($C123:$AJ133,7,MATCH(IF('Data-solution'!$A$3="Maximize",MAX($C134:$AI134),MIN($C134:$AI134)),$C134:$AI134,0))*INDEX(L123:$AJ133,MATCH(MIN($AK123:$AK133),$AK123:$AK133,0),1)/INDEX($C123:$AJ133,MATCH(MIN($AK123:$AK133),$AK123:$AK133,0),MATCH(IF('Data-solution'!$A$3="Maximize",MAX($C134:$AI134),MIN($C134:$AI134)),$C134:$AI134,0))),L129)</f>
        <v>0</v>
      </c>
      <c r="M144" s="1">
        <f>IF(OR($B138&lt;&gt;$B123,$B139&lt;&gt;$B124,$B140&lt;&gt;$B125,$B141&lt;&gt;$B126,$B142&lt;&gt;$B127,$B143&lt;&gt;$B128,$B144&lt;&gt;$B129,$B145&lt;&gt;$B130,$B146&lt;&gt;$B131,$B147&lt;&gt;$B132,$B148&lt;&gt;$B133),IF($B144&lt;&gt;$B129,M129/INDEX($C123:$AJ133,7,MATCH(IF('Data-solution'!$A$3="Maximize",MAX($C134:$AI134),MIN($C134:$AI134)),$C134:$AI134,0)),M129-INDEX($C123:$AJ133,7,MATCH(IF('Data-solution'!$A$3="Maximize",MAX($C134:$AI134),MIN($C134:$AI134)),$C134:$AI134,0))*INDEX(M123:$AJ133,MATCH(MIN($AK123:$AK133),$AK123:$AK133,0),1)/INDEX($C123:$AJ133,MATCH(MIN($AK123:$AK133),$AK123:$AK133,0),MATCH(IF('Data-solution'!$A$3="Maximize",MAX($C134:$AI134),MIN($C134:$AI134)),$C134:$AI134,0))),M129)</f>
        <v>0</v>
      </c>
      <c r="N144" s="1">
        <f>IF(OR($B138&lt;&gt;$B123,$B139&lt;&gt;$B124,$B140&lt;&gt;$B125,$B141&lt;&gt;$B126,$B142&lt;&gt;$B127,$B143&lt;&gt;$B128,$B144&lt;&gt;$B129,$B145&lt;&gt;$B130,$B146&lt;&gt;$B131,$B147&lt;&gt;$B132,$B148&lt;&gt;$B133),IF($B144&lt;&gt;$B129,N129/INDEX($C123:$AJ133,7,MATCH(IF('Data-solution'!$A$3="Maximize",MAX($C134:$AI134),MIN($C134:$AI134)),$C134:$AI134,0)),N129-INDEX($C123:$AJ133,7,MATCH(IF('Data-solution'!$A$3="Maximize",MAX($C134:$AI134),MIN($C134:$AI134)),$C134:$AI134,0))*INDEX(N123:$AJ133,MATCH(MIN($AK123:$AK133),$AK123:$AK133,0),1)/INDEX($C123:$AJ133,MATCH(MIN($AK123:$AK133),$AK123:$AK133,0),MATCH(IF('Data-solution'!$A$3="Maximize",MAX($C134:$AI134),MIN($C134:$AI134)),$C134:$AI134,0))),N129)</f>
        <v>0</v>
      </c>
      <c r="O144" s="1">
        <f>IF(OR($B138&lt;&gt;$B123,$B139&lt;&gt;$B124,$B140&lt;&gt;$B125,$B141&lt;&gt;$B126,$B142&lt;&gt;$B127,$B143&lt;&gt;$B128,$B144&lt;&gt;$B129,$B145&lt;&gt;$B130,$B146&lt;&gt;$B131,$B147&lt;&gt;$B132,$B148&lt;&gt;$B133),IF($B144&lt;&gt;$B129,O129/INDEX($C123:$AJ133,7,MATCH(IF('Data-solution'!$A$3="Maximize",MAX($C134:$AI134),MIN($C134:$AI134)),$C134:$AI134,0)),O129-INDEX($C123:$AJ133,7,MATCH(IF('Data-solution'!$A$3="Maximize",MAX($C134:$AI134),MIN($C134:$AI134)),$C134:$AI134,0))*INDEX(O123:$AJ133,MATCH(MIN($AK123:$AK133),$AK123:$AK133,0),1)/INDEX($C123:$AJ133,MATCH(MIN($AK123:$AK133),$AK123:$AK133,0),MATCH(IF('Data-solution'!$A$3="Maximize",MAX($C134:$AI134),MIN($C134:$AI134)),$C134:$AI134,0))),O129)</f>
        <v>0</v>
      </c>
      <c r="P144" s="1">
        <f>IF(OR($B138&lt;&gt;$B123,$B139&lt;&gt;$B124,$B140&lt;&gt;$B125,$B141&lt;&gt;$B126,$B142&lt;&gt;$B127,$B143&lt;&gt;$B128,$B144&lt;&gt;$B129,$B145&lt;&gt;$B130,$B146&lt;&gt;$B131,$B147&lt;&gt;$B132,$B148&lt;&gt;$B133),IF($B144&lt;&gt;$B129,P129/INDEX($C123:$AJ133,7,MATCH(IF('Data-solution'!$A$3="Maximize",MAX($C134:$AI134),MIN($C134:$AI134)),$C134:$AI134,0)),P129-INDEX($C123:$AJ133,7,MATCH(IF('Data-solution'!$A$3="Maximize",MAX($C134:$AI134),MIN($C134:$AI134)),$C134:$AI134,0))*INDEX(P123:$AJ133,MATCH(MIN($AK123:$AK133),$AK123:$AK133,0),1)/INDEX($C123:$AJ133,MATCH(MIN($AK123:$AK133),$AK123:$AK133,0),MATCH(IF('Data-solution'!$A$3="Maximize",MAX($C134:$AI134),MIN($C134:$AI134)),$C134:$AI134,0))),P129)</f>
        <v>0</v>
      </c>
      <c r="Q144" s="1">
        <f>IF(OR($B138&lt;&gt;$B123,$B139&lt;&gt;$B124,$B140&lt;&gt;$B125,$B141&lt;&gt;$B126,$B142&lt;&gt;$B127,$B143&lt;&gt;$B128,$B144&lt;&gt;$B129,$B145&lt;&gt;$B130,$B146&lt;&gt;$B131,$B147&lt;&gt;$B132,$B148&lt;&gt;$B133),IF($B144&lt;&gt;$B129,Q129/INDEX($C123:$AJ133,7,MATCH(IF('Data-solution'!$A$3="Maximize",MAX($C134:$AI134),MIN($C134:$AI134)),$C134:$AI134,0)),Q129-INDEX($C123:$AJ133,7,MATCH(IF('Data-solution'!$A$3="Maximize",MAX($C134:$AI134),MIN($C134:$AI134)),$C134:$AI134,0))*INDEX(Q123:$AJ133,MATCH(MIN($AK123:$AK133),$AK123:$AK133,0),1)/INDEX($C123:$AJ133,MATCH(MIN($AK123:$AK133),$AK123:$AK133,0),MATCH(IF('Data-solution'!$A$3="Maximize",MAX($C134:$AI134),MIN($C134:$AI134)),$C134:$AI134,0))),Q129)</f>
        <v>0</v>
      </c>
      <c r="R144" s="1">
        <f>IF(OR($B138&lt;&gt;$B123,$B139&lt;&gt;$B124,$B140&lt;&gt;$B125,$B141&lt;&gt;$B126,$B142&lt;&gt;$B127,$B143&lt;&gt;$B128,$B144&lt;&gt;$B129,$B145&lt;&gt;$B130,$B146&lt;&gt;$B131,$B147&lt;&gt;$B132,$B148&lt;&gt;$B133),IF($B144&lt;&gt;$B129,R129/INDEX($C123:$AJ133,7,MATCH(IF('Data-solution'!$A$3="Maximize",MAX($C134:$AI134),MIN($C134:$AI134)),$C134:$AI134,0)),R129-INDEX($C123:$AJ133,7,MATCH(IF('Data-solution'!$A$3="Maximize",MAX($C134:$AI134),MIN($C134:$AI134)),$C134:$AI134,0))*INDEX(R123:$AJ133,MATCH(MIN($AK123:$AK133),$AK123:$AK133,0),1)/INDEX($C123:$AJ133,MATCH(MIN($AK123:$AK133),$AK123:$AK133,0),MATCH(IF('Data-solution'!$A$3="Maximize",MAX($C134:$AI134),MIN($C134:$AI134)),$C134:$AI134,0))),R129)</f>
        <v>0</v>
      </c>
      <c r="S144" s="1">
        <f>IF(OR($B138&lt;&gt;$B123,$B139&lt;&gt;$B124,$B140&lt;&gt;$B125,$B141&lt;&gt;$B126,$B142&lt;&gt;$B127,$B143&lt;&gt;$B128,$B144&lt;&gt;$B129,$B145&lt;&gt;$B130,$B146&lt;&gt;$B131,$B147&lt;&gt;$B132,$B148&lt;&gt;$B133),IF($B144&lt;&gt;$B129,S129/INDEX($C123:$AJ133,7,MATCH(IF('Data-solution'!$A$3="Maximize",MAX($C134:$AI134),MIN($C134:$AI134)),$C134:$AI134,0)),S129-INDEX($C123:$AJ133,7,MATCH(IF('Data-solution'!$A$3="Maximize",MAX($C134:$AI134),MIN($C134:$AI134)),$C134:$AI134,0))*INDEX(S123:$AJ133,MATCH(MIN($AK123:$AK133),$AK123:$AK133,0),1)/INDEX($C123:$AJ133,MATCH(MIN($AK123:$AK133),$AK123:$AK133,0),MATCH(IF('Data-solution'!$A$3="Maximize",MAX($C134:$AI134),MIN($C134:$AI134)),$C134:$AI134,0))),S129)</f>
        <v>0</v>
      </c>
      <c r="T144" s="1">
        <f>IF(OR($B138&lt;&gt;$B123,$B139&lt;&gt;$B124,$B140&lt;&gt;$B125,$B141&lt;&gt;$B126,$B142&lt;&gt;$B127,$B143&lt;&gt;$B128,$B144&lt;&gt;$B129,$B145&lt;&gt;$B130,$B146&lt;&gt;$B131,$B147&lt;&gt;$B132,$B148&lt;&gt;$B133),IF($B144&lt;&gt;$B129,T129/INDEX($C123:$AJ133,7,MATCH(IF('Data-solution'!$A$3="Maximize",MAX($C134:$AI134),MIN($C134:$AI134)),$C134:$AI134,0)),T129-INDEX($C123:$AJ133,7,MATCH(IF('Data-solution'!$A$3="Maximize",MAX($C134:$AI134),MIN($C134:$AI134)),$C134:$AI134,0))*INDEX(T123:$AJ133,MATCH(MIN($AK123:$AK133),$AK123:$AK133,0),1)/INDEX($C123:$AJ133,MATCH(MIN($AK123:$AK133),$AK123:$AK133,0),MATCH(IF('Data-solution'!$A$3="Maximize",MAX($C134:$AI134),MIN($C134:$AI134)),$C134:$AI134,0))),T129)</f>
        <v>1</v>
      </c>
      <c r="U144" s="1">
        <f>IF(OR($B138&lt;&gt;$B123,$B139&lt;&gt;$B124,$B140&lt;&gt;$B125,$B141&lt;&gt;$B126,$B142&lt;&gt;$B127,$B143&lt;&gt;$B128,$B144&lt;&gt;$B129,$B145&lt;&gt;$B130,$B146&lt;&gt;$B131,$B147&lt;&gt;$B132,$B148&lt;&gt;$B133),IF($B144&lt;&gt;$B129,U129/INDEX($C123:$AJ133,7,MATCH(IF('Data-solution'!$A$3="Maximize",MAX($C134:$AI134),MIN($C134:$AI134)),$C134:$AI134,0)),U129-INDEX($C123:$AJ133,7,MATCH(IF('Data-solution'!$A$3="Maximize",MAX($C134:$AI134),MIN($C134:$AI134)),$C134:$AI134,0))*INDEX(U123:$AJ133,MATCH(MIN($AK123:$AK133),$AK123:$AK133,0),1)/INDEX($C123:$AJ133,MATCH(MIN($AK123:$AK133),$AK123:$AK133,0),MATCH(IF('Data-solution'!$A$3="Maximize",MAX($C134:$AI134),MIN($C134:$AI134)),$C134:$AI134,0))),U129)</f>
        <v>0</v>
      </c>
      <c r="V144" s="1">
        <f>IF(OR($B138&lt;&gt;$B123,$B139&lt;&gt;$B124,$B140&lt;&gt;$B125,$B141&lt;&gt;$B126,$B142&lt;&gt;$B127,$B143&lt;&gt;$B128,$B144&lt;&gt;$B129,$B145&lt;&gt;$B130,$B146&lt;&gt;$B131,$B147&lt;&gt;$B132,$B148&lt;&gt;$B133),IF($B144&lt;&gt;$B129,V129/INDEX($C123:$AJ133,7,MATCH(IF('Data-solution'!$A$3="Maximize",MAX($C134:$AI134),MIN($C134:$AI134)),$C134:$AI134,0)),V129-INDEX($C123:$AJ133,7,MATCH(IF('Data-solution'!$A$3="Maximize",MAX($C134:$AI134),MIN($C134:$AI134)),$C134:$AI134,0))*INDEX(V123:$AJ133,MATCH(MIN($AK123:$AK133),$AK123:$AK133,0),1)/INDEX($C123:$AJ133,MATCH(MIN($AK123:$AK133),$AK123:$AK133,0),MATCH(IF('Data-solution'!$A$3="Maximize",MAX($C134:$AI134),MIN($C134:$AI134)),$C134:$AI134,0))),V129)</f>
        <v>0</v>
      </c>
      <c r="W144" s="1">
        <f>IF(OR($B138&lt;&gt;$B123,$B139&lt;&gt;$B124,$B140&lt;&gt;$B125,$B141&lt;&gt;$B126,$B142&lt;&gt;$B127,$B143&lt;&gt;$B128,$B144&lt;&gt;$B129,$B145&lt;&gt;$B130,$B146&lt;&gt;$B131,$B147&lt;&gt;$B132,$B148&lt;&gt;$B133),IF($B144&lt;&gt;$B129,W129/INDEX($C123:$AJ133,7,MATCH(IF('Data-solution'!$A$3="Maximize",MAX($C134:$AI134),MIN($C134:$AI134)),$C134:$AI134,0)),W129-INDEX($C123:$AJ133,7,MATCH(IF('Data-solution'!$A$3="Maximize",MAX($C134:$AI134),MIN($C134:$AI134)),$C134:$AI134,0))*INDEX(W123:$AJ133,MATCH(MIN($AK123:$AK133),$AK123:$AK133,0),1)/INDEX($C123:$AJ133,MATCH(MIN($AK123:$AK133),$AK123:$AK133,0),MATCH(IF('Data-solution'!$A$3="Maximize",MAX($C134:$AI134),MIN($C134:$AI134)),$C134:$AI134,0))),W129)</f>
        <v>0</v>
      </c>
      <c r="X144" s="1">
        <f>IF(OR($B138&lt;&gt;$B123,$B139&lt;&gt;$B124,$B140&lt;&gt;$B125,$B141&lt;&gt;$B126,$B142&lt;&gt;$B127,$B143&lt;&gt;$B128,$B144&lt;&gt;$B129,$B145&lt;&gt;$B130,$B146&lt;&gt;$B131,$B147&lt;&gt;$B132,$B148&lt;&gt;$B133),IF($B144&lt;&gt;$B129,X129/INDEX($C123:$AJ133,7,MATCH(IF('Data-solution'!$A$3="Maximize",MAX($C134:$AI134),MIN($C134:$AI134)),$C134:$AI134,0)),X129-INDEX($C123:$AJ133,7,MATCH(IF('Data-solution'!$A$3="Maximize",MAX($C134:$AI134),MIN($C134:$AI134)),$C134:$AI134,0))*INDEX(X123:$AJ133,MATCH(MIN($AK123:$AK133),$AK123:$AK133,0),1)/INDEX($C123:$AJ133,MATCH(MIN($AK123:$AK133),$AK123:$AK133,0),MATCH(IF('Data-solution'!$A$3="Maximize",MAX($C134:$AI134),MIN($C134:$AI134)),$C134:$AI134,0))),X129)</f>
        <v>0</v>
      </c>
      <c r="Y144" s="1">
        <f>IF(OR($B138&lt;&gt;$B123,$B139&lt;&gt;$B124,$B140&lt;&gt;$B125,$B141&lt;&gt;$B126,$B142&lt;&gt;$B127,$B143&lt;&gt;$B128,$B144&lt;&gt;$B129,$B145&lt;&gt;$B130,$B146&lt;&gt;$B131,$B147&lt;&gt;$B132,$B148&lt;&gt;$B133),IF($B144&lt;&gt;$B129,Y129/INDEX($C123:$AJ133,7,MATCH(IF('Data-solution'!$A$3="Maximize",MAX($C134:$AI134),MIN($C134:$AI134)),$C134:$AI134,0)),Y129-INDEX($C123:$AJ133,7,MATCH(IF('Data-solution'!$A$3="Maximize",MAX($C134:$AI134),MIN($C134:$AI134)),$C134:$AI134,0))*INDEX(Y123:$AJ133,MATCH(MIN($AK123:$AK133),$AK123:$AK133,0),1)/INDEX($C123:$AJ133,MATCH(MIN($AK123:$AK133),$AK123:$AK133,0),MATCH(IF('Data-solution'!$A$3="Maximize",MAX($C134:$AI134),MIN($C134:$AI134)),$C134:$AI134,0))),Y129)</f>
        <v>0</v>
      </c>
      <c r="Z144" s="1">
        <f>IF(OR($B138&lt;&gt;$B123,$B139&lt;&gt;$B124,$B140&lt;&gt;$B125,$B141&lt;&gt;$B126,$B142&lt;&gt;$B127,$B143&lt;&gt;$B128,$B144&lt;&gt;$B129,$B145&lt;&gt;$B130,$B146&lt;&gt;$B131,$B147&lt;&gt;$B132,$B148&lt;&gt;$B133),IF($B144&lt;&gt;$B129,Z129/INDEX($C123:$AJ133,7,MATCH(IF('Data-solution'!$A$3="Maximize",MAX($C134:$AI134),MIN($C134:$AI134)),$C134:$AI134,0)),Z129-INDEX($C123:$AJ133,7,MATCH(IF('Data-solution'!$A$3="Maximize",MAX($C134:$AI134),MIN($C134:$AI134)),$C134:$AI134,0))*INDEX(Z123:$AJ133,MATCH(MIN($AK123:$AK133),$AK123:$AK133,0),1)/INDEX($C123:$AJ133,MATCH(MIN($AK123:$AK133),$AK123:$AK133,0),MATCH(IF('Data-solution'!$A$3="Maximize",MAX($C134:$AI134),MIN($C134:$AI134)),$C134:$AI134,0))),Z129)</f>
        <v>0</v>
      </c>
      <c r="AA144" s="1">
        <f>IF(OR($B138&lt;&gt;$B123,$B139&lt;&gt;$B124,$B140&lt;&gt;$B125,$B141&lt;&gt;$B126,$B142&lt;&gt;$B127,$B143&lt;&gt;$B128,$B144&lt;&gt;$B129,$B145&lt;&gt;$B130,$B146&lt;&gt;$B131,$B147&lt;&gt;$B132,$B148&lt;&gt;$B133),IF($B144&lt;&gt;$B129,AA129/INDEX($C123:$AJ133,7,MATCH(IF('Data-solution'!$A$3="Maximize",MAX($C134:$AI134),MIN($C134:$AI134)),$C134:$AI134,0)),AA129-INDEX($C123:$AJ133,7,MATCH(IF('Data-solution'!$A$3="Maximize",MAX($C134:$AI134),MIN($C134:$AI134)),$C134:$AI134,0))*INDEX(AA123:$AJ133,MATCH(MIN($AK123:$AK133),$AK123:$AK133,0),1)/INDEX($C123:$AJ133,MATCH(MIN($AK123:$AK133),$AK123:$AK133,0),MATCH(IF('Data-solution'!$A$3="Maximize",MAX($C134:$AI134),MIN($C134:$AI134)),$C134:$AI134,0))),AA129)</f>
        <v>0</v>
      </c>
      <c r="AB144" s="1">
        <f>IF(OR($B138&lt;&gt;$B123,$B139&lt;&gt;$B124,$B140&lt;&gt;$B125,$B141&lt;&gt;$B126,$B142&lt;&gt;$B127,$B143&lt;&gt;$B128,$B144&lt;&gt;$B129,$B145&lt;&gt;$B130,$B146&lt;&gt;$B131,$B147&lt;&gt;$B132,$B148&lt;&gt;$B133),IF($B144&lt;&gt;$B129,AB129/INDEX($C123:$AJ133,7,MATCH(IF('Data-solution'!$A$3="Maximize",MAX($C134:$AI134),MIN($C134:$AI134)),$C134:$AI134,0)),AB129-INDEX($C123:$AJ133,7,MATCH(IF('Data-solution'!$A$3="Maximize",MAX($C134:$AI134),MIN($C134:$AI134)),$C134:$AI134,0))*INDEX(AB123:$AJ133,MATCH(MIN($AK123:$AK133),$AK123:$AK133,0),1)/INDEX($C123:$AJ133,MATCH(MIN($AK123:$AK133),$AK123:$AK133,0),MATCH(IF('Data-solution'!$A$3="Maximize",MAX($C134:$AI134),MIN($C134:$AI134)),$C134:$AI134,0))),AB129)</f>
        <v>0</v>
      </c>
      <c r="AC144" s="1">
        <f>IF(OR($B138&lt;&gt;$B123,$B139&lt;&gt;$B124,$B140&lt;&gt;$B125,$B141&lt;&gt;$B126,$B142&lt;&gt;$B127,$B143&lt;&gt;$B128,$B144&lt;&gt;$B129,$B145&lt;&gt;$B130,$B146&lt;&gt;$B131,$B147&lt;&gt;$B132,$B148&lt;&gt;$B133),IF($B144&lt;&gt;$B129,AC129/INDEX($C123:$AJ133,7,MATCH(IF('Data-solution'!$A$3="Maximize",MAX($C134:$AI134),MIN($C134:$AI134)),$C134:$AI134,0)),AC129-INDEX($C123:$AJ133,7,MATCH(IF('Data-solution'!$A$3="Maximize",MAX($C134:$AI134),MIN($C134:$AI134)),$C134:$AI134,0))*INDEX(AC123:$AJ133,MATCH(MIN($AK123:$AK133),$AK123:$AK133,0),1)/INDEX($C123:$AJ133,MATCH(MIN($AK123:$AK133),$AK123:$AK133,0),MATCH(IF('Data-solution'!$A$3="Maximize",MAX($C134:$AI134),MIN($C134:$AI134)),$C134:$AI134,0))),AC129)</f>
        <v>0</v>
      </c>
      <c r="AD144" s="1">
        <f>IF(OR($B138&lt;&gt;$B123,$B139&lt;&gt;$B124,$B140&lt;&gt;$B125,$B141&lt;&gt;$B126,$B142&lt;&gt;$B127,$B143&lt;&gt;$B128,$B144&lt;&gt;$B129,$B145&lt;&gt;$B130,$B146&lt;&gt;$B131,$B147&lt;&gt;$B132,$B148&lt;&gt;$B133),IF($B144&lt;&gt;$B129,AD129/INDEX($C123:$AJ133,7,MATCH(IF('Data-solution'!$A$3="Maximize",MAX($C134:$AI134),MIN($C134:$AI134)),$C134:$AI134,0)),AD129-INDEX($C123:$AJ133,7,MATCH(IF('Data-solution'!$A$3="Maximize",MAX($C134:$AI134),MIN($C134:$AI134)),$C134:$AI134,0))*INDEX(AD123:$AJ133,MATCH(MIN($AK123:$AK133),$AK123:$AK133,0),1)/INDEX($C123:$AJ133,MATCH(MIN($AK123:$AK133),$AK123:$AK133,0),MATCH(IF('Data-solution'!$A$3="Maximize",MAX($C134:$AI134),MIN($C134:$AI134)),$C134:$AI134,0))),AD129)</f>
        <v>0</v>
      </c>
      <c r="AE144" s="1">
        <f>IF(OR($B138&lt;&gt;$B123,$B139&lt;&gt;$B124,$B140&lt;&gt;$B125,$B141&lt;&gt;$B126,$B142&lt;&gt;$B127,$B143&lt;&gt;$B128,$B144&lt;&gt;$B129,$B145&lt;&gt;$B130,$B146&lt;&gt;$B131,$B147&lt;&gt;$B132,$B148&lt;&gt;$B133),IF($B144&lt;&gt;$B129,AE129/INDEX($C123:$AJ133,7,MATCH(IF('Data-solution'!$A$3="Maximize",MAX($C134:$AI134),MIN($C134:$AI134)),$C134:$AI134,0)),AE129-INDEX($C123:$AJ133,7,MATCH(IF('Data-solution'!$A$3="Maximize",MAX($C134:$AI134),MIN($C134:$AI134)),$C134:$AI134,0))*INDEX(AE123:$AJ133,MATCH(MIN($AK123:$AK133),$AK123:$AK133,0),1)/INDEX($C123:$AJ133,MATCH(MIN($AK123:$AK133),$AK123:$AK133,0),MATCH(IF('Data-solution'!$A$3="Maximize",MAX($C134:$AI134),MIN($C134:$AI134)),$C134:$AI134,0))),AE129)</f>
        <v>1</v>
      </c>
      <c r="AF144" s="1">
        <f>IF(OR($B138&lt;&gt;$B123,$B139&lt;&gt;$B124,$B140&lt;&gt;$B125,$B141&lt;&gt;$B126,$B142&lt;&gt;$B127,$B143&lt;&gt;$B128,$B144&lt;&gt;$B129,$B145&lt;&gt;$B130,$B146&lt;&gt;$B131,$B147&lt;&gt;$B132,$B148&lt;&gt;$B133),IF($B144&lt;&gt;$B129,AF129/INDEX($C123:$AJ133,7,MATCH(IF('Data-solution'!$A$3="Maximize",MAX($C134:$AI134),MIN($C134:$AI134)),$C134:$AI134,0)),AF129-INDEX($C123:$AJ133,7,MATCH(IF('Data-solution'!$A$3="Maximize",MAX($C134:$AI134),MIN($C134:$AI134)),$C134:$AI134,0))*INDEX(AF123:$AJ133,MATCH(MIN($AK123:$AK133),$AK123:$AK133,0),1)/INDEX($C123:$AJ133,MATCH(MIN($AK123:$AK133),$AK123:$AK133,0),MATCH(IF('Data-solution'!$A$3="Maximize",MAX($C134:$AI134),MIN($C134:$AI134)),$C134:$AI134,0))),AF129)</f>
        <v>0</v>
      </c>
      <c r="AG144" s="1">
        <f>IF(OR($B138&lt;&gt;$B123,$B139&lt;&gt;$B124,$B140&lt;&gt;$B125,$B141&lt;&gt;$B126,$B142&lt;&gt;$B127,$B143&lt;&gt;$B128,$B144&lt;&gt;$B129,$B145&lt;&gt;$B130,$B146&lt;&gt;$B131,$B147&lt;&gt;$B132,$B148&lt;&gt;$B133),IF($B144&lt;&gt;$B129,AG129/INDEX($C123:$AJ133,7,MATCH(IF('Data-solution'!$A$3="Maximize",MAX($C134:$AI134),MIN($C134:$AI134)),$C134:$AI134,0)),AG129-INDEX($C123:$AJ133,7,MATCH(IF('Data-solution'!$A$3="Maximize",MAX($C134:$AI134),MIN($C134:$AI134)),$C134:$AI134,0))*INDEX(AG123:$AJ133,MATCH(MIN($AK123:$AK133),$AK123:$AK133,0),1)/INDEX($C123:$AJ133,MATCH(MIN($AK123:$AK133),$AK123:$AK133,0),MATCH(IF('Data-solution'!$A$3="Maximize",MAX($C134:$AI134),MIN($C134:$AI134)),$C134:$AI134,0))),AG129)</f>
        <v>0</v>
      </c>
      <c r="AH144" s="1">
        <f>IF(OR($B138&lt;&gt;$B123,$B139&lt;&gt;$B124,$B140&lt;&gt;$B125,$B141&lt;&gt;$B126,$B142&lt;&gt;$B127,$B143&lt;&gt;$B128,$B144&lt;&gt;$B129,$B145&lt;&gt;$B130,$B146&lt;&gt;$B131,$B147&lt;&gt;$B132,$B148&lt;&gt;$B133),IF($B144&lt;&gt;$B129,AH129/INDEX($C123:$AJ133,7,MATCH(IF('Data-solution'!$A$3="Maximize",MAX($C134:$AI134),MIN($C134:$AI134)),$C134:$AI134,0)),AH129-INDEX($C123:$AJ133,7,MATCH(IF('Data-solution'!$A$3="Maximize",MAX($C134:$AI134),MIN($C134:$AI134)),$C134:$AI134,0))*INDEX(AH123:$AJ133,MATCH(MIN($AK123:$AK133),$AK123:$AK133,0),1)/INDEX($C123:$AJ133,MATCH(MIN($AK123:$AK133),$AK123:$AK133,0),MATCH(IF('Data-solution'!$A$3="Maximize",MAX($C134:$AI134),MIN($C134:$AI134)),$C134:$AI134,0))),AH129)</f>
        <v>0</v>
      </c>
      <c r="AI144" s="1">
        <f>IF(OR($B138&lt;&gt;$B123,$B139&lt;&gt;$B124,$B140&lt;&gt;$B125,$B141&lt;&gt;$B126,$B142&lt;&gt;$B127,$B143&lt;&gt;$B128,$B144&lt;&gt;$B129,$B145&lt;&gt;$B130,$B146&lt;&gt;$B131,$B147&lt;&gt;$B132,$B148&lt;&gt;$B133),IF($B144&lt;&gt;$B129,AI129/INDEX($C123:$AJ133,7,MATCH(IF('Data-solution'!$A$3="Maximize",MAX($C134:$AI134),MIN($C134:$AI134)),$C134:$AI134,0)),AI129-INDEX($C123:$AJ133,7,MATCH(IF('Data-solution'!$A$3="Maximize",MAX($C134:$AI134),MIN($C134:$AI134)),$C134:$AI134,0))*INDEX(AI123:$AJ133,MATCH(MIN($AK123:$AK133),$AK123:$AK133,0),1)/INDEX($C123:$AJ133,MATCH(MIN($AK123:$AK133),$AK123:$AK133,0),MATCH(IF('Data-solution'!$A$3="Maximize",MAX($C134:$AI134),MIN($C134:$AI134)),$C134:$AI134,0))),AI129)</f>
        <v>0</v>
      </c>
      <c r="AJ144" s="1">
        <f>IF(OR($B138&lt;&gt;$B123,$B139&lt;&gt;$B124,$B140&lt;&gt;$B125,$B141&lt;&gt;$B126,$B142&lt;&gt;$B127,$B143&lt;&gt;$B128,$B144&lt;&gt;$B129,$B145&lt;&gt;$B130,$B146&lt;&gt;$B131,$B147&lt;&gt;$B132,$B148&lt;&gt;$B133),IF($B144&lt;&gt;$B129,AJ129/INDEX($C123:$AJ133,7,MATCH(IF('Data-solution'!$A$3="Maximize",MAX($C134:$AI134),MIN($C134:$AI134)),$C134:$AI134,0)),AJ129-INDEX($C123:$AJ133,7,MATCH(IF('Data-solution'!$A$3="Maximize",MAX($C134:$AI134),MIN($C134:$AI134)),$C134:$AI134,0))*INDEX(AJ123:$AJ133,MATCH(MIN($AK123:$AK133),$AK123:$AK133,0),1)/INDEX($C123:$AJ133,MATCH(MIN($AK123:$AK133),$AK123:$AK133,0),MATCH(IF('Data-solution'!$A$3="Maximize",MAX($C134:$AI134),MIN($C134:$AI134)),$C134:$AI134,0))),AJ129)</f>
        <v>0</v>
      </c>
      <c r="AK144" s="1" t="str">
        <f>IF(INDEX(C144:X144,1,MATCH(IF('Data-solution'!A$3="Maximize",MAX(C149:X149),MIN(C149:X149)),C149:X149,0))&gt;0,AJ144/INDEX(C144:X144,1,MATCH(IF('Data-solution'!A$3="Maximize",MAX(C149:X149),MIN(C149:X149)),C149:X149,0))," ")</f>
        <v xml:space="preserve"> </v>
      </c>
    </row>
    <row r="145" spans="1:37" ht="18" customHeight="1" x14ac:dyDescent="0.2">
      <c r="A145" s="1">
        <f t="shared" ref="A145" si="117">INDEX(C136:AI136,1,MATCH(B145,C137:AI137,0))</f>
        <v>0</v>
      </c>
      <c r="B145" s="2" t="str">
        <f>IF(AND('Data-solution'!A$3="Maximize",COUNTIF(C134:X134,"&gt;"&amp;0)&gt;0,AK130=MIN(AK123:AK133),COUNTIF(B138:B144,INDEX(C122:X122,1,MATCH(MAX(C134:X134),C134:X134,0)))=0),INDEX(C122:X122,1,MATCH(MAX(C134:X134),C134:X134,0)),IF(AND('Data-solution'!A$3="Minimize",COUNTIF(C134:X134,"&lt;"&amp;0)&gt;0,AK130=MIN(AK123:AK133),COUNTIF(B138:B144,INDEX(C122:X122,1,MATCH(MIN(C134:X134),C134:X134,0)))=0),INDEX(C122:X122,1,MATCH(MIN(C134:X134),C134:X134,0)),B130))</f>
        <v>S8</v>
      </c>
      <c r="C145" s="1">
        <f>IF(OR($B138&lt;&gt;$B123,$B139&lt;&gt;$B124,$B140&lt;&gt;$B125,$B141&lt;&gt;$B126,$B142&lt;&gt;$B127,$B143&lt;&gt;$B128,$B144&lt;&gt;$B129,$B145&lt;&gt;$B130,$B146&lt;&gt;$B131,$B147&lt;&gt;$B132,$B148&lt;&gt;$B133),IF($B145&lt;&gt;$B130,C130/INDEX($C123:$AJ133,8,MATCH(IF('Data-solution'!$A$3="Maximize",MAX($C134:$AI134),MIN($C134:$AI134)),$C134:$AI134,0)),C130-INDEX($C123:$AJ133,8,MATCH(IF('Data-solution'!$A$3="Maximize",MAX($C134:$AI134),MIN($C134:$AI134)),$C134:$AI134,0))*INDEX(C123:$AJ133,MATCH(MIN($AK123:$AK133),$AK123:$AK133,0),1)/INDEX($C123:$AJ133,MATCH(MIN($AK123:$AK133),$AK123:$AK133,0),MATCH(IF('Data-solution'!$A$3="Maximize",MAX($C134:$AI134),MIN($C134:$AI134)),$C134:$AI134,0))),C130)</f>
        <v>0</v>
      </c>
      <c r="D145" s="1">
        <f>IF(OR($B138&lt;&gt;$B123,$B139&lt;&gt;$B124,$B140&lt;&gt;$B125,$B141&lt;&gt;$B126,$B142&lt;&gt;$B127,$B143&lt;&gt;$B128,$B144&lt;&gt;$B129,$B145&lt;&gt;$B130,$B146&lt;&gt;$B131,$B147&lt;&gt;$B132,$B148&lt;&gt;$B133),IF($B145&lt;&gt;$B130,D130/INDEX($C123:$AJ133,8,MATCH(IF('Data-solution'!$A$3="Maximize",MAX($C134:$AI134),MIN($C134:$AI134)),$C134:$AI134,0)),D130-INDEX($C123:$AJ133,8,MATCH(IF('Data-solution'!$A$3="Maximize",MAX($C134:$AI134),MIN($C134:$AI134)),$C134:$AI134,0))*INDEX(D123:$AJ133,MATCH(MIN($AK123:$AK133),$AK123:$AK133,0),1)/INDEX($C123:$AJ133,MATCH(MIN($AK123:$AK133),$AK123:$AK133,0),MATCH(IF('Data-solution'!$A$3="Maximize",MAX($C134:$AI134),MIN($C134:$AI134)),$C134:$AI134,0))),D130)</f>
        <v>0</v>
      </c>
      <c r="E145" s="1">
        <f>IF(OR($B138&lt;&gt;$B123,$B139&lt;&gt;$B124,$B140&lt;&gt;$B125,$B141&lt;&gt;$B126,$B142&lt;&gt;$B127,$B143&lt;&gt;$B128,$B144&lt;&gt;$B129,$B145&lt;&gt;$B130,$B146&lt;&gt;$B131,$B147&lt;&gt;$B132,$B148&lt;&gt;$B133),IF($B145&lt;&gt;$B130,E130/INDEX($C123:$AJ133,8,MATCH(IF('Data-solution'!$A$3="Maximize",MAX($C134:$AI134),MIN($C134:$AI134)),$C134:$AI134,0)),E130-INDEX($C123:$AJ133,8,MATCH(IF('Data-solution'!$A$3="Maximize",MAX($C134:$AI134),MIN($C134:$AI134)),$C134:$AI134,0))*INDEX(E123:$AJ133,MATCH(MIN($AK123:$AK133),$AK123:$AK133,0),1)/INDEX($C123:$AJ133,MATCH(MIN($AK123:$AK133),$AK123:$AK133,0),MATCH(IF('Data-solution'!$A$3="Maximize",MAX($C134:$AI134),MIN($C134:$AI134)),$C134:$AI134,0))),E130)</f>
        <v>0</v>
      </c>
      <c r="F145" s="1">
        <f>IF(OR($B138&lt;&gt;$B123,$B139&lt;&gt;$B124,$B140&lt;&gt;$B125,$B141&lt;&gt;$B126,$B142&lt;&gt;$B127,$B143&lt;&gt;$B128,$B144&lt;&gt;$B129,$B145&lt;&gt;$B130,$B146&lt;&gt;$B131,$B147&lt;&gt;$B132,$B148&lt;&gt;$B133),IF($B145&lt;&gt;$B130,F130/INDEX($C123:$AJ133,8,MATCH(IF('Data-solution'!$A$3="Maximize",MAX($C134:$AI134),MIN($C134:$AI134)),$C134:$AI134,0)),F130-INDEX($C123:$AJ133,8,MATCH(IF('Data-solution'!$A$3="Maximize",MAX($C134:$AI134),MIN($C134:$AI134)),$C134:$AI134,0))*INDEX(F123:$AJ133,MATCH(MIN($AK123:$AK133),$AK123:$AK133,0),1)/INDEX($C123:$AJ133,MATCH(MIN($AK123:$AK133),$AK123:$AK133,0),MATCH(IF('Data-solution'!$A$3="Maximize",MAX($C134:$AI134),MIN($C134:$AI134)),$C134:$AI134,0))),F130)</f>
        <v>0</v>
      </c>
      <c r="G145" s="1">
        <f>IF(OR($B138&lt;&gt;$B123,$B139&lt;&gt;$B124,$B140&lt;&gt;$B125,$B141&lt;&gt;$B126,$B142&lt;&gt;$B127,$B143&lt;&gt;$B128,$B144&lt;&gt;$B129,$B145&lt;&gt;$B130,$B146&lt;&gt;$B131,$B147&lt;&gt;$B132,$B148&lt;&gt;$B133),IF($B145&lt;&gt;$B130,G130/INDEX($C123:$AJ133,8,MATCH(IF('Data-solution'!$A$3="Maximize",MAX($C134:$AI134),MIN($C134:$AI134)),$C134:$AI134,0)),G130-INDEX($C123:$AJ133,8,MATCH(IF('Data-solution'!$A$3="Maximize",MAX($C134:$AI134),MIN($C134:$AI134)),$C134:$AI134,0))*INDEX(G123:$AJ133,MATCH(MIN($AK123:$AK133),$AK123:$AK133,0),1)/INDEX($C123:$AJ133,MATCH(MIN($AK123:$AK133),$AK123:$AK133,0),MATCH(IF('Data-solution'!$A$3="Maximize",MAX($C134:$AI134),MIN($C134:$AI134)),$C134:$AI134,0))),G130)</f>
        <v>0</v>
      </c>
      <c r="H145" s="1">
        <f>IF(OR($B138&lt;&gt;$B123,$B139&lt;&gt;$B124,$B140&lt;&gt;$B125,$B141&lt;&gt;$B126,$B142&lt;&gt;$B127,$B143&lt;&gt;$B128,$B144&lt;&gt;$B129,$B145&lt;&gt;$B130,$B146&lt;&gt;$B131,$B147&lt;&gt;$B132,$B148&lt;&gt;$B133),IF($B145&lt;&gt;$B130,H130/INDEX($C123:$AJ133,8,MATCH(IF('Data-solution'!$A$3="Maximize",MAX($C134:$AI134),MIN($C134:$AI134)),$C134:$AI134,0)),H130-INDEX($C123:$AJ133,8,MATCH(IF('Data-solution'!$A$3="Maximize",MAX($C134:$AI134),MIN($C134:$AI134)),$C134:$AI134,0))*INDEX(H123:$AJ133,MATCH(MIN($AK123:$AK133),$AK123:$AK133,0),1)/INDEX($C123:$AJ133,MATCH(MIN($AK123:$AK133),$AK123:$AK133,0),MATCH(IF('Data-solution'!$A$3="Maximize",MAX($C134:$AI134),MIN($C134:$AI134)),$C134:$AI134,0))),H130)</f>
        <v>0</v>
      </c>
      <c r="I145" s="1">
        <f>IF(OR($B138&lt;&gt;$B123,$B139&lt;&gt;$B124,$B140&lt;&gt;$B125,$B141&lt;&gt;$B126,$B142&lt;&gt;$B127,$B143&lt;&gt;$B128,$B144&lt;&gt;$B129,$B145&lt;&gt;$B130,$B146&lt;&gt;$B131,$B147&lt;&gt;$B132,$B148&lt;&gt;$B133),IF($B145&lt;&gt;$B130,I130/INDEX($C123:$AJ133,8,MATCH(IF('Data-solution'!$A$3="Maximize",MAX($C134:$AI134),MIN($C134:$AI134)),$C134:$AI134,0)),I130-INDEX($C123:$AJ133,8,MATCH(IF('Data-solution'!$A$3="Maximize",MAX($C134:$AI134),MIN($C134:$AI134)),$C134:$AI134,0))*INDEX(I123:$AJ133,MATCH(MIN($AK123:$AK133),$AK123:$AK133,0),1)/INDEX($C123:$AJ133,MATCH(MIN($AK123:$AK133),$AK123:$AK133,0),MATCH(IF('Data-solution'!$A$3="Maximize",MAX($C134:$AI134),MIN($C134:$AI134)),$C134:$AI134,0))),I130)</f>
        <v>0</v>
      </c>
      <c r="J145" s="1">
        <f>IF(OR($B138&lt;&gt;$B123,$B139&lt;&gt;$B124,$B140&lt;&gt;$B125,$B141&lt;&gt;$B126,$B142&lt;&gt;$B127,$B143&lt;&gt;$B128,$B144&lt;&gt;$B129,$B145&lt;&gt;$B130,$B146&lt;&gt;$B131,$B147&lt;&gt;$B132,$B148&lt;&gt;$B133),IF($B145&lt;&gt;$B130,J130/INDEX($C123:$AJ133,8,MATCH(IF('Data-solution'!$A$3="Maximize",MAX($C134:$AI134),MIN($C134:$AI134)),$C134:$AI134,0)),J130-INDEX($C123:$AJ133,8,MATCH(IF('Data-solution'!$A$3="Maximize",MAX($C134:$AI134),MIN($C134:$AI134)),$C134:$AI134,0))*INDEX(J123:$AJ133,MATCH(MIN($AK123:$AK133),$AK123:$AK133,0),1)/INDEX($C123:$AJ133,MATCH(MIN($AK123:$AK133),$AK123:$AK133,0),MATCH(IF('Data-solution'!$A$3="Maximize",MAX($C134:$AI134),MIN($C134:$AI134)),$C134:$AI134,0))),J130)</f>
        <v>0</v>
      </c>
      <c r="K145" s="1">
        <f>IF(OR($B138&lt;&gt;$B123,$B139&lt;&gt;$B124,$B140&lt;&gt;$B125,$B141&lt;&gt;$B126,$B142&lt;&gt;$B127,$B143&lt;&gt;$B128,$B144&lt;&gt;$B129,$B145&lt;&gt;$B130,$B146&lt;&gt;$B131,$B147&lt;&gt;$B132,$B148&lt;&gt;$B133),IF($B145&lt;&gt;$B130,K130/INDEX($C123:$AJ133,8,MATCH(IF('Data-solution'!$A$3="Maximize",MAX($C134:$AI134),MIN($C134:$AI134)),$C134:$AI134,0)),K130-INDEX($C123:$AJ133,8,MATCH(IF('Data-solution'!$A$3="Maximize",MAX($C134:$AI134),MIN($C134:$AI134)),$C134:$AI134,0))*INDEX(K123:$AJ133,MATCH(MIN($AK123:$AK133),$AK123:$AK133,0),1)/INDEX($C123:$AJ133,MATCH(MIN($AK123:$AK133),$AK123:$AK133,0),MATCH(IF('Data-solution'!$A$3="Maximize",MAX($C134:$AI134),MIN($C134:$AI134)),$C134:$AI134,0))),K130)</f>
        <v>0</v>
      </c>
      <c r="L145" s="1">
        <f>IF(OR($B138&lt;&gt;$B123,$B139&lt;&gt;$B124,$B140&lt;&gt;$B125,$B141&lt;&gt;$B126,$B142&lt;&gt;$B127,$B143&lt;&gt;$B128,$B144&lt;&gt;$B129,$B145&lt;&gt;$B130,$B146&lt;&gt;$B131,$B147&lt;&gt;$B132,$B148&lt;&gt;$B133),IF($B145&lt;&gt;$B130,L130/INDEX($C123:$AJ133,8,MATCH(IF('Data-solution'!$A$3="Maximize",MAX($C134:$AI134),MIN($C134:$AI134)),$C134:$AI134,0)),L130-INDEX($C123:$AJ133,8,MATCH(IF('Data-solution'!$A$3="Maximize",MAX($C134:$AI134),MIN($C134:$AI134)),$C134:$AI134,0))*INDEX(L123:$AJ133,MATCH(MIN($AK123:$AK133),$AK123:$AK133,0),1)/INDEX($C123:$AJ133,MATCH(MIN($AK123:$AK133),$AK123:$AK133,0),MATCH(IF('Data-solution'!$A$3="Maximize",MAX($C134:$AI134),MIN($C134:$AI134)),$C134:$AI134,0))),L130)</f>
        <v>0</v>
      </c>
      <c r="M145" s="1">
        <f>IF(OR($B138&lt;&gt;$B123,$B139&lt;&gt;$B124,$B140&lt;&gt;$B125,$B141&lt;&gt;$B126,$B142&lt;&gt;$B127,$B143&lt;&gt;$B128,$B144&lt;&gt;$B129,$B145&lt;&gt;$B130,$B146&lt;&gt;$B131,$B147&lt;&gt;$B132,$B148&lt;&gt;$B133),IF($B145&lt;&gt;$B130,M130/INDEX($C123:$AJ133,8,MATCH(IF('Data-solution'!$A$3="Maximize",MAX($C134:$AI134),MIN($C134:$AI134)),$C134:$AI134,0)),M130-INDEX($C123:$AJ133,8,MATCH(IF('Data-solution'!$A$3="Maximize",MAX($C134:$AI134),MIN($C134:$AI134)),$C134:$AI134,0))*INDEX(M123:$AJ133,MATCH(MIN($AK123:$AK133),$AK123:$AK133,0),1)/INDEX($C123:$AJ133,MATCH(MIN($AK123:$AK133),$AK123:$AK133,0),MATCH(IF('Data-solution'!$A$3="Maximize",MAX($C134:$AI134),MIN($C134:$AI134)),$C134:$AI134,0))),M130)</f>
        <v>0</v>
      </c>
      <c r="N145" s="1">
        <f>IF(OR($B138&lt;&gt;$B123,$B139&lt;&gt;$B124,$B140&lt;&gt;$B125,$B141&lt;&gt;$B126,$B142&lt;&gt;$B127,$B143&lt;&gt;$B128,$B144&lt;&gt;$B129,$B145&lt;&gt;$B130,$B146&lt;&gt;$B131,$B147&lt;&gt;$B132,$B148&lt;&gt;$B133),IF($B145&lt;&gt;$B130,N130/INDEX($C123:$AJ133,8,MATCH(IF('Data-solution'!$A$3="Maximize",MAX($C134:$AI134),MIN($C134:$AI134)),$C134:$AI134,0)),N130-INDEX($C123:$AJ133,8,MATCH(IF('Data-solution'!$A$3="Maximize",MAX($C134:$AI134),MIN($C134:$AI134)),$C134:$AI134,0))*INDEX(N123:$AJ133,MATCH(MIN($AK123:$AK133),$AK123:$AK133,0),1)/INDEX($C123:$AJ133,MATCH(MIN($AK123:$AK133),$AK123:$AK133,0),MATCH(IF('Data-solution'!$A$3="Maximize",MAX($C134:$AI134),MIN($C134:$AI134)),$C134:$AI134,0))),N130)</f>
        <v>0</v>
      </c>
      <c r="O145" s="1">
        <f>IF(OR($B138&lt;&gt;$B123,$B139&lt;&gt;$B124,$B140&lt;&gt;$B125,$B141&lt;&gt;$B126,$B142&lt;&gt;$B127,$B143&lt;&gt;$B128,$B144&lt;&gt;$B129,$B145&lt;&gt;$B130,$B146&lt;&gt;$B131,$B147&lt;&gt;$B132,$B148&lt;&gt;$B133),IF($B145&lt;&gt;$B130,O130/INDEX($C123:$AJ133,8,MATCH(IF('Data-solution'!$A$3="Maximize",MAX($C134:$AI134),MIN($C134:$AI134)),$C134:$AI134,0)),O130-INDEX($C123:$AJ133,8,MATCH(IF('Data-solution'!$A$3="Maximize",MAX($C134:$AI134),MIN($C134:$AI134)),$C134:$AI134,0))*INDEX(O123:$AJ133,MATCH(MIN($AK123:$AK133),$AK123:$AK133,0),1)/INDEX($C123:$AJ133,MATCH(MIN($AK123:$AK133),$AK123:$AK133,0),MATCH(IF('Data-solution'!$A$3="Maximize",MAX($C134:$AI134),MIN($C134:$AI134)),$C134:$AI134,0))),O130)</f>
        <v>0</v>
      </c>
      <c r="P145" s="1">
        <f>IF(OR($B138&lt;&gt;$B123,$B139&lt;&gt;$B124,$B140&lt;&gt;$B125,$B141&lt;&gt;$B126,$B142&lt;&gt;$B127,$B143&lt;&gt;$B128,$B144&lt;&gt;$B129,$B145&lt;&gt;$B130,$B146&lt;&gt;$B131,$B147&lt;&gt;$B132,$B148&lt;&gt;$B133),IF($B145&lt;&gt;$B130,P130/INDEX($C123:$AJ133,8,MATCH(IF('Data-solution'!$A$3="Maximize",MAX($C134:$AI134),MIN($C134:$AI134)),$C134:$AI134,0)),P130-INDEX($C123:$AJ133,8,MATCH(IF('Data-solution'!$A$3="Maximize",MAX($C134:$AI134),MIN($C134:$AI134)),$C134:$AI134,0))*INDEX(P123:$AJ133,MATCH(MIN($AK123:$AK133),$AK123:$AK133,0),1)/INDEX($C123:$AJ133,MATCH(MIN($AK123:$AK133),$AK123:$AK133,0),MATCH(IF('Data-solution'!$A$3="Maximize",MAX($C134:$AI134),MIN($C134:$AI134)),$C134:$AI134,0))),P130)</f>
        <v>0</v>
      </c>
      <c r="Q145" s="1">
        <f>IF(OR($B138&lt;&gt;$B123,$B139&lt;&gt;$B124,$B140&lt;&gt;$B125,$B141&lt;&gt;$B126,$B142&lt;&gt;$B127,$B143&lt;&gt;$B128,$B144&lt;&gt;$B129,$B145&lt;&gt;$B130,$B146&lt;&gt;$B131,$B147&lt;&gt;$B132,$B148&lt;&gt;$B133),IF($B145&lt;&gt;$B130,Q130/INDEX($C123:$AJ133,8,MATCH(IF('Data-solution'!$A$3="Maximize",MAX($C134:$AI134),MIN($C134:$AI134)),$C134:$AI134,0)),Q130-INDEX($C123:$AJ133,8,MATCH(IF('Data-solution'!$A$3="Maximize",MAX($C134:$AI134),MIN($C134:$AI134)),$C134:$AI134,0))*INDEX(Q123:$AJ133,MATCH(MIN($AK123:$AK133),$AK123:$AK133,0),1)/INDEX($C123:$AJ133,MATCH(MIN($AK123:$AK133),$AK123:$AK133,0),MATCH(IF('Data-solution'!$A$3="Maximize",MAX($C134:$AI134),MIN($C134:$AI134)),$C134:$AI134,0))),Q130)</f>
        <v>0</v>
      </c>
      <c r="R145" s="1">
        <f>IF(OR($B138&lt;&gt;$B123,$B139&lt;&gt;$B124,$B140&lt;&gt;$B125,$B141&lt;&gt;$B126,$B142&lt;&gt;$B127,$B143&lt;&gt;$B128,$B144&lt;&gt;$B129,$B145&lt;&gt;$B130,$B146&lt;&gt;$B131,$B147&lt;&gt;$B132,$B148&lt;&gt;$B133),IF($B145&lt;&gt;$B130,R130/INDEX($C123:$AJ133,8,MATCH(IF('Data-solution'!$A$3="Maximize",MAX($C134:$AI134),MIN($C134:$AI134)),$C134:$AI134,0)),R130-INDEX($C123:$AJ133,8,MATCH(IF('Data-solution'!$A$3="Maximize",MAX($C134:$AI134),MIN($C134:$AI134)),$C134:$AI134,0))*INDEX(R123:$AJ133,MATCH(MIN($AK123:$AK133),$AK123:$AK133,0),1)/INDEX($C123:$AJ133,MATCH(MIN($AK123:$AK133),$AK123:$AK133,0),MATCH(IF('Data-solution'!$A$3="Maximize",MAX($C134:$AI134),MIN($C134:$AI134)),$C134:$AI134,0))),R130)</f>
        <v>0</v>
      </c>
      <c r="S145" s="1">
        <f>IF(OR($B138&lt;&gt;$B123,$B139&lt;&gt;$B124,$B140&lt;&gt;$B125,$B141&lt;&gt;$B126,$B142&lt;&gt;$B127,$B143&lt;&gt;$B128,$B144&lt;&gt;$B129,$B145&lt;&gt;$B130,$B146&lt;&gt;$B131,$B147&lt;&gt;$B132,$B148&lt;&gt;$B133),IF($B145&lt;&gt;$B130,S130/INDEX($C123:$AJ133,8,MATCH(IF('Data-solution'!$A$3="Maximize",MAX($C134:$AI134),MIN($C134:$AI134)),$C134:$AI134,0)),S130-INDEX($C123:$AJ133,8,MATCH(IF('Data-solution'!$A$3="Maximize",MAX($C134:$AI134),MIN($C134:$AI134)),$C134:$AI134,0))*INDEX(S123:$AJ133,MATCH(MIN($AK123:$AK133),$AK123:$AK133,0),1)/INDEX($C123:$AJ133,MATCH(MIN($AK123:$AK133),$AK123:$AK133,0),MATCH(IF('Data-solution'!$A$3="Maximize",MAX($C134:$AI134),MIN($C134:$AI134)),$C134:$AI134,0))),S130)</f>
        <v>0</v>
      </c>
      <c r="T145" s="1">
        <f>IF(OR($B138&lt;&gt;$B123,$B139&lt;&gt;$B124,$B140&lt;&gt;$B125,$B141&lt;&gt;$B126,$B142&lt;&gt;$B127,$B143&lt;&gt;$B128,$B144&lt;&gt;$B129,$B145&lt;&gt;$B130,$B146&lt;&gt;$B131,$B147&lt;&gt;$B132,$B148&lt;&gt;$B133),IF($B145&lt;&gt;$B130,T130/INDEX($C123:$AJ133,8,MATCH(IF('Data-solution'!$A$3="Maximize",MAX($C134:$AI134),MIN($C134:$AI134)),$C134:$AI134,0)),T130-INDEX($C123:$AJ133,8,MATCH(IF('Data-solution'!$A$3="Maximize",MAX($C134:$AI134),MIN($C134:$AI134)),$C134:$AI134,0))*INDEX(T123:$AJ133,MATCH(MIN($AK123:$AK133),$AK123:$AK133,0),1)/INDEX($C123:$AJ133,MATCH(MIN($AK123:$AK133),$AK123:$AK133,0),MATCH(IF('Data-solution'!$A$3="Maximize",MAX($C134:$AI134),MIN($C134:$AI134)),$C134:$AI134,0))),T130)</f>
        <v>0</v>
      </c>
      <c r="U145" s="1">
        <f>IF(OR($B138&lt;&gt;$B123,$B139&lt;&gt;$B124,$B140&lt;&gt;$B125,$B141&lt;&gt;$B126,$B142&lt;&gt;$B127,$B143&lt;&gt;$B128,$B144&lt;&gt;$B129,$B145&lt;&gt;$B130,$B146&lt;&gt;$B131,$B147&lt;&gt;$B132,$B148&lt;&gt;$B133),IF($B145&lt;&gt;$B130,U130/INDEX($C123:$AJ133,8,MATCH(IF('Data-solution'!$A$3="Maximize",MAX($C134:$AI134),MIN($C134:$AI134)),$C134:$AI134,0)),U130-INDEX($C123:$AJ133,8,MATCH(IF('Data-solution'!$A$3="Maximize",MAX($C134:$AI134),MIN($C134:$AI134)),$C134:$AI134,0))*INDEX(U123:$AJ133,MATCH(MIN($AK123:$AK133),$AK123:$AK133,0),1)/INDEX($C123:$AJ133,MATCH(MIN($AK123:$AK133),$AK123:$AK133,0),MATCH(IF('Data-solution'!$A$3="Maximize",MAX($C134:$AI134),MIN($C134:$AI134)),$C134:$AI134,0))),U130)</f>
        <v>1</v>
      </c>
      <c r="V145" s="1">
        <f>IF(OR($B138&lt;&gt;$B123,$B139&lt;&gt;$B124,$B140&lt;&gt;$B125,$B141&lt;&gt;$B126,$B142&lt;&gt;$B127,$B143&lt;&gt;$B128,$B144&lt;&gt;$B129,$B145&lt;&gt;$B130,$B146&lt;&gt;$B131,$B147&lt;&gt;$B132,$B148&lt;&gt;$B133),IF($B145&lt;&gt;$B130,V130/INDEX($C123:$AJ133,8,MATCH(IF('Data-solution'!$A$3="Maximize",MAX($C134:$AI134),MIN($C134:$AI134)),$C134:$AI134,0)),V130-INDEX($C123:$AJ133,8,MATCH(IF('Data-solution'!$A$3="Maximize",MAX($C134:$AI134),MIN($C134:$AI134)),$C134:$AI134,0))*INDEX(V123:$AJ133,MATCH(MIN($AK123:$AK133),$AK123:$AK133,0),1)/INDEX($C123:$AJ133,MATCH(MIN($AK123:$AK133),$AK123:$AK133,0),MATCH(IF('Data-solution'!$A$3="Maximize",MAX($C134:$AI134),MIN($C134:$AI134)),$C134:$AI134,0))),V130)</f>
        <v>0</v>
      </c>
      <c r="W145" s="1">
        <f>IF(OR($B138&lt;&gt;$B123,$B139&lt;&gt;$B124,$B140&lt;&gt;$B125,$B141&lt;&gt;$B126,$B142&lt;&gt;$B127,$B143&lt;&gt;$B128,$B144&lt;&gt;$B129,$B145&lt;&gt;$B130,$B146&lt;&gt;$B131,$B147&lt;&gt;$B132,$B148&lt;&gt;$B133),IF($B145&lt;&gt;$B130,W130/INDEX($C123:$AJ133,8,MATCH(IF('Data-solution'!$A$3="Maximize",MAX($C134:$AI134),MIN($C134:$AI134)),$C134:$AI134,0)),W130-INDEX($C123:$AJ133,8,MATCH(IF('Data-solution'!$A$3="Maximize",MAX($C134:$AI134),MIN($C134:$AI134)),$C134:$AI134,0))*INDEX(W123:$AJ133,MATCH(MIN($AK123:$AK133),$AK123:$AK133,0),1)/INDEX($C123:$AJ133,MATCH(MIN($AK123:$AK133),$AK123:$AK133,0),MATCH(IF('Data-solution'!$A$3="Maximize",MAX($C134:$AI134),MIN($C134:$AI134)),$C134:$AI134,0))),W130)</f>
        <v>0</v>
      </c>
      <c r="X145" s="1">
        <f>IF(OR($B138&lt;&gt;$B123,$B139&lt;&gt;$B124,$B140&lt;&gt;$B125,$B141&lt;&gt;$B126,$B142&lt;&gt;$B127,$B143&lt;&gt;$B128,$B144&lt;&gt;$B129,$B145&lt;&gt;$B130,$B146&lt;&gt;$B131,$B147&lt;&gt;$B132,$B148&lt;&gt;$B133),IF($B145&lt;&gt;$B130,X130/INDEX($C123:$AJ133,8,MATCH(IF('Data-solution'!$A$3="Maximize",MAX($C134:$AI134),MIN($C134:$AI134)),$C134:$AI134,0)),X130-INDEX($C123:$AJ133,8,MATCH(IF('Data-solution'!$A$3="Maximize",MAX($C134:$AI134),MIN($C134:$AI134)),$C134:$AI134,0))*INDEX(X123:$AJ133,MATCH(MIN($AK123:$AK133),$AK123:$AK133,0),1)/INDEX($C123:$AJ133,MATCH(MIN($AK123:$AK133),$AK123:$AK133,0),MATCH(IF('Data-solution'!$A$3="Maximize",MAX($C134:$AI134),MIN($C134:$AI134)),$C134:$AI134,0))),X130)</f>
        <v>0</v>
      </c>
      <c r="Y145" s="1">
        <f>IF(OR($B138&lt;&gt;$B123,$B139&lt;&gt;$B124,$B140&lt;&gt;$B125,$B141&lt;&gt;$B126,$B142&lt;&gt;$B127,$B143&lt;&gt;$B128,$B144&lt;&gt;$B129,$B145&lt;&gt;$B130,$B146&lt;&gt;$B131,$B147&lt;&gt;$B132,$B148&lt;&gt;$B133),IF($B145&lt;&gt;$B130,Y130/INDEX($C123:$AJ133,8,MATCH(IF('Data-solution'!$A$3="Maximize",MAX($C134:$AI134),MIN($C134:$AI134)),$C134:$AI134,0)),Y130-INDEX($C123:$AJ133,8,MATCH(IF('Data-solution'!$A$3="Maximize",MAX($C134:$AI134),MIN($C134:$AI134)),$C134:$AI134,0))*INDEX(Y123:$AJ133,MATCH(MIN($AK123:$AK133),$AK123:$AK133,0),1)/INDEX($C123:$AJ133,MATCH(MIN($AK123:$AK133),$AK123:$AK133,0),MATCH(IF('Data-solution'!$A$3="Maximize",MAX($C134:$AI134),MIN($C134:$AI134)),$C134:$AI134,0))),Y130)</f>
        <v>0</v>
      </c>
      <c r="Z145" s="1">
        <f>IF(OR($B138&lt;&gt;$B123,$B139&lt;&gt;$B124,$B140&lt;&gt;$B125,$B141&lt;&gt;$B126,$B142&lt;&gt;$B127,$B143&lt;&gt;$B128,$B144&lt;&gt;$B129,$B145&lt;&gt;$B130,$B146&lt;&gt;$B131,$B147&lt;&gt;$B132,$B148&lt;&gt;$B133),IF($B145&lt;&gt;$B130,Z130/INDEX($C123:$AJ133,8,MATCH(IF('Data-solution'!$A$3="Maximize",MAX($C134:$AI134),MIN($C134:$AI134)),$C134:$AI134,0)),Z130-INDEX($C123:$AJ133,8,MATCH(IF('Data-solution'!$A$3="Maximize",MAX($C134:$AI134),MIN($C134:$AI134)),$C134:$AI134,0))*INDEX(Z123:$AJ133,MATCH(MIN($AK123:$AK133),$AK123:$AK133,0),1)/INDEX($C123:$AJ133,MATCH(MIN($AK123:$AK133),$AK123:$AK133,0),MATCH(IF('Data-solution'!$A$3="Maximize",MAX($C134:$AI134),MIN($C134:$AI134)),$C134:$AI134,0))),Z130)</f>
        <v>0</v>
      </c>
      <c r="AA145" s="1">
        <f>IF(OR($B138&lt;&gt;$B123,$B139&lt;&gt;$B124,$B140&lt;&gt;$B125,$B141&lt;&gt;$B126,$B142&lt;&gt;$B127,$B143&lt;&gt;$B128,$B144&lt;&gt;$B129,$B145&lt;&gt;$B130,$B146&lt;&gt;$B131,$B147&lt;&gt;$B132,$B148&lt;&gt;$B133),IF($B145&lt;&gt;$B130,AA130/INDEX($C123:$AJ133,8,MATCH(IF('Data-solution'!$A$3="Maximize",MAX($C134:$AI134),MIN($C134:$AI134)),$C134:$AI134,0)),AA130-INDEX($C123:$AJ133,8,MATCH(IF('Data-solution'!$A$3="Maximize",MAX($C134:$AI134),MIN($C134:$AI134)),$C134:$AI134,0))*INDEX(AA123:$AJ133,MATCH(MIN($AK123:$AK133),$AK123:$AK133,0),1)/INDEX($C123:$AJ133,MATCH(MIN($AK123:$AK133),$AK123:$AK133,0),MATCH(IF('Data-solution'!$A$3="Maximize",MAX($C134:$AI134),MIN($C134:$AI134)),$C134:$AI134,0))),AA130)</f>
        <v>0</v>
      </c>
      <c r="AB145" s="1">
        <f>IF(OR($B138&lt;&gt;$B123,$B139&lt;&gt;$B124,$B140&lt;&gt;$B125,$B141&lt;&gt;$B126,$B142&lt;&gt;$B127,$B143&lt;&gt;$B128,$B144&lt;&gt;$B129,$B145&lt;&gt;$B130,$B146&lt;&gt;$B131,$B147&lt;&gt;$B132,$B148&lt;&gt;$B133),IF($B145&lt;&gt;$B130,AB130/INDEX($C123:$AJ133,8,MATCH(IF('Data-solution'!$A$3="Maximize",MAX($C134:$AI134),MIN($C134:$AI134)),$C134:$AI134,0)),AB130-INDEX($C123:$AJ133,8,MATCH(IF('Data-solution'!$A$3="Maximize",MAX($C134:$AI134),MIN($C134:$AI134)),$C134:$AI134,0))*INDEX(AB123:$AJ133,MATCH(MIN($AK123:$AK133),$AK123:$AK133,0),1)/INDEX($C123:$AJ133,MATCH(MIN($AK123:$AK133),$AK123:$AK133,0),MATCH(IF('Data-solution'!$A$3="Maximize",MAX($C134:$AI134),MIN($C134:$AI134)),$C134:$AI134,0))),AB130)</f>
        <v>0</v>
      </c>
      <c r="AC145" s="1">
        <f>IF(OR($B138&lt;&gt;$B123,$B139&lt;&gt;$B124,$B140&lt;&gt;$B125,$B141&lt;&gt;$B126,$B142&lt;&gt;$B127,$B143&lt;&gt;$B128,$B144&lt;&gt;$B129,$B145&lt;&gt;$B130,$B146&lt;&gt;$B131,$B147&lt;&gt;$B132,$B148&lt;&gt;$B133),IF($B145&lt;&gt;$B130,AC130/INDEX($C123:$AJ133,8,MATCH(IF('Data-solution'!$A$3="Maximize",MAX($C134:$AI134),MIN($C134:$AI134)),$C134:$AI134,0)),AC130-INDEX($C123:$AJ133,8,MATCH(IF('Data-solution'!$A$3="Maximize",MAX($C134:$AI134),MIN($C134:$AI134)),$C134:$AI134,0))*INDEX(AC123:$AJ133,MATCH(MIN($AK123:$AK133),$AK123:$AK133,0),1)/INDEX($C123:$AJ133,MATCH(MIN($AK123:$AK133),$AK123:$AK133,0),MATCH(IF('Data-solution'!$A$3="Maximize",MAX($C134:$AI134),MIN($C134:$AI134)),$C134:$AI134,0))),AC130)</f>
        <v>0</v>
      </c>
      <c r="AD145" s="1">
        <f>IF(OR($B138&lt;&gt;$B123,$B139&lt;&gt;$B124,$B140&lt;&gt;$B125,$B141&lt;&gt;$B126,$B142&lt;&gt;$B127,$B143&lt;&gt;$B128,$B144&lt;&gt;$B129,$B145&lt;&gt;$B130,$B146&lt;&gt;$B131,$B147&lt;&gt;$B132,$B148&lt;&gt;$B133),IF($B145&lt;&gt;$B130,AD130/INDEX($C123:$AJ133,8,MATCH(IF('Data-solution'!$A$3="Maximize",MAX($C134:$AI134),MIN($C134:$AI134)),$C134:$AI134,0)),AD130-INDEX($C123:$AJ133,8,MATCH(IF('Data-solution'!$A$3="Maximize",MAX($C134:$AI134),MIN($C134:$AI134)),$C134:$AI134,0))*INDEX(AD123:$AJ133,MATCH(MIN($AK123:$AK133),$AK123:$AK133,0),1)/INDEX($C123:$AJ133,MATCH(MIN($AK123:$AK133),$AK123:$AK133,0),MATCH(IF('Data-solution'!$A$3="Maximize",MAX($C134:$AI134),MIN($C134:$AI134)),$C134:$AI134,0))),AD130)</f>
        <v>0</v>
      </c>
      <c r="AE145" s="1">
        <f>IF(OR($B138&lt;&gt;$B123,$B139&lt;&gt;$B124,$B140&lt;&gt;$B125,$B141&lt;&gt;$B126,$B142&lt;&gt;$B127,$B143&lt;&gt;$B128,$B144&lt;&gt;$B129,$B145&lt;&gt;$B130,$B146&lt;&gt;$B131,$B147&lt;&gt;$B132,$B148&lt;&gt;$B133),IF($B145&lt;&gt;$B130,AE130/INDEX($C123:$AJ133,8,MATCH(IF('Data-solution'!$A$3="Maximize",MAX($C134:$AI134),MIN($C134:$AI134)),$C134:$AI134,0)),AE130-INDEX($C123:$AJ133,8,MATCH(IF('Data-solution'!$A$3="Maximize",MAX($C134:$AI134),MIN($C134:$AI134)),$C134:$AI134,0))*INDEX(AE123:$AJ133,MATCH(MIN($AK123:$AK133),$AK123:$AK133,0),1)/INDEX($C123:$AJ133,MATCH(MIN($AK123:$AK133),$AK123:$AK133,0),MATCH(IF('Data-solution'!$A$3="Maximize",MAX($C134:$AI134),MIN($C134:$AI134)),$C134:$AI134,0))),AE130)</f>
        <v>0</v>
      </c>
      <c r="AF145" s="1">
        <f>IF(OR($B138&lt;&gt;$B123,$B139&lt;&gt;$B124,$B140&lt;&gt;$B125,$B141&lt;&gt;$B126,$B142&lt;&gt;$B127,$B143&lt;&gt;$B128,$B144&lt;&gt;$B129,$B145&lt;&gt;$B130,$B146&lt;&gt;$B131,$B147&lt;&gt;$B132,$B148&lt;&gt;$B133),IF($B145&lt;&gt;$B130,AF130/INDEX($C123:$AJ133,8,MATCH(IF('Data-solution'!$A$3="Maximize",MAX($C134:$AI134),MIN($C134:$AI134)),$C134:$AI134,0)),AF130-INDEX($C123:$AJ133,8,MATCH(IF('Data-solution'!$A$3="Maximize",MAX($C134:$AI134),MIN($C134:$AI134)),$C134:$AI134,0))*INDEX(AF123:$AJ133,MATCH(MIN($AK123:$AK133),$AK123:$AK133,0),1)/INDEX($C123:$AJ133,MATCH(MIN($AK123:$AK133),$AK123:$AK133,0),MATCH(IF('Data-solution'!$A$3="Maximize",MAX($C134:$AI134),MIN($C134:$AI134)),$C134:$AI134,0))),AF130)</f>
        <v>1</v>
      </c>
      <c r="AG145" s="1">
        <f>IF(OR($B138&lt;&gt;$B123,$B139&lt;&gt;$B124,$B140&lt;&gt;$B125,$B141&lt;&gt;$B126,$B142&lt;&gt;$B127,$B143&lt;&gt;$B128,$B144&lt;&gt;$B129,$B145&lt;&gt;$B130,$B146&lt;&gt;$B131,$B147&lt;&gt;$B132,$B148&lt;&gt;$B133),IF($B145&lt;&gt;$B130,AG130/INDEX($C123:$AJ133,8,MATCH(IF('Data-solution'!$A$3="Maximize",MAX($C134:$AI134),MIN($C134:$AI134)),$C134:$AI134,0)),AG130-INDEX($C123:$AJ133,8,MATCH(IF('Data-solution'!$A$3="Maximize",MAX($C134:$AI134),MIN($C134:$AI134)),$C134:$AI134,0))*INDEX(AG123:$AJ133,MATCH(MIN($AK123:$AK133),$AK123:$AK133,0),1)/INDEX($C123:$AJ133,MATCH(MIN($AK123:$AK133),$AK123:$AK133,0),MATCH(IF('Data-solution'!$A$3="Maximize",MAX($C134:$AI134),MIN($C134:$AI134)),$C134:$AI134,0))),AG130)</f>
        <v>0</v>
      </c>
      <c r="AH145" s="1">
        <f>IF(OR($B138&lt;&gt;$B123,$B139&lt;&gt;$B124,$B140&lt;&gt;$B125,$B141&lt;&gt;$B126,$B142&lt;&gt;$B127,$B143&lt;&gt;$B128,$B144&lt;&gt;$B129,$B145&lt;&gt;$B130,$B146&lt;&gt;$B131,$B147&lt;&gt;$B132,$B148&lt;&gt;$B133),IF($B145&lt;&gt;$B130,AH130/INDEX($C123:$AJ133,8,MATCH(IF('Data-solution'!$A$3="Maximize",MAX($C134:$AI134),MIN($C134:$AI134)),$C134:$AI134,0)),AH130-INDEX($C123:$AJ133,8,MATCH(IF('Data-solution'!$A$3="Maximize",MAX($C134:$AI134),MIN($C134:$AI134)),$C134:$AI134,0))*INDEX(AH123:$AJ133,MATCH(MIN($AK123:$AK133),$AK123:$AK133,0),1)/INDEX($C123:$AJ133,MATCH(MIN($AK123:$AK133),$AK123:$AK133,0),MATCH(IF('Data-solution'!$A$3="Maximize",MAX($C134:$AI134),MIN($C134:$AI134)),$C134:$AI134,0))),AH130)</f>
        <v>0</v>
      </c>
      <c r="AI145" s="1">
        <f>IF(OR($B138&lt;&gt;$B123,$B139&lt;&gt;$B124,$B140&lt;&gt;$B125,$B141&lt;&gt;$B126,$B142&lt;&gt;$B127,$B143&lt;&gt;$B128,$B144&lt;&gt;$B129,$B145&lt;&gt;$B130,$B146&lt;&gt;$B131,$B147&lt;&gt;$B132,$B148&lt;&gt;$B133),IF($B145&lt;&gt;$B130,AI130/INDEX($C123:$AJ133,8,MATCH(IF('Data-solution'!$A$3="Maximize",MAX($C134:$AI134),MIN($C134:$AI134)),$C134:$AI134,0)),AI130-INDEX($C123:$AJ133,8,MATCH(IF('Data-solution'!$A$3="Maximize",MAX($C134:$AI134),MIN($C134:$AI134)),$C134:$AI134,0))*INDEX(AI123:$AJ133,MATCH(MIN($AK123:$AK133),$AK123:$AK133,0),1)/INDEX($C123:$AJ133,MATCH(MIN($AK123:$AK133),$AK123:$AK133,0),MATCH(IF('Data-solution'!$A$3="Maximize",MAX($C134:$AI134),MIN($C134:$AI134)),$C134:$AI134,0))),AI130)</f>
        <v>0</v>
      </c>
      <c r="AJ145" s="1">
        <f>IF(OR($B138&lt;&gt;$B123,$B139&lt;&gt;$B124,$B140&lt;&gt;$B125,$B141&lt;&gt;$B126,$B142&lt;&gt;$B127,$B143&lt;&gt;$B128,$B144&lt;&gt;$B129,$B145&lt;&gt;$B130,$B146&lt;&gt;$B131,$B147&lt;&gt;$B132,$B148&lt;&gt;$B133),IF($B145&lt;&gt;$B130,AJ130/INDEX($C123:$AJ133,8,MATCH(IF('Data-solution'!$A$3="Maximize",MAX($C134:$AI134),MIN($C134:$AI134)),$C134:$AI134,0)),AJ130-INDEX($C123:$AJ133,8,MATCH(IF('Data-solution'!$A$3="Maximize",MAX($C134:$AI134),MIN($C134:$AI134)),$C134:$AI134,0))*INDEX(AJ123:$AJ133,MATCH(MIN($AK123:$AK133),$AK123:$AK133,0),1)/INDEX($C123:$AJ133,MATCH(MIN($AK123:$AK133),$AK123:$AK133,0),MATCH(IF('Data-solution'!$A$3="Maximize",MAX($C134:$AI134),MIN($C134:$AI134)),$C134:$AI134,0))),AJ130)</f>
        <v>0</v>
      </c>
      <c r="AK145" s="1" t="str">
        <f>IF(INDEX(C145:X145,1,MATCH(IF('Data-solution'!A$3="Maximize",MAX(C149:X149),MIN(C149:X149)),C149:X149,0))&gt;0,AJ145/INDEX(C145:X145,1,MATCH(IF('Data-solution'!A$3="Maximize",MAX(C149:X149),MIN(C149:X149)),C149:X149,0))," ")</f>
        <v xml:space="preserve"> </v>
      </c>
    </row>
    <row r="146" spans="1:37" ht="18" customHeight="1" x14ac:dyDescent="0.2">
      <c r="A146" s="1">
        <f t="shared" ref="A146" si="118">INDEX(C136:AI136,1,MATCH(B146,C137:AI137,0))</f>
        <v>0</v>
      </c>
      <c r="B146" s="2" t="str">
        <f>IF(AND('Data-solution'!A$3="Maximize",COUNTIF(C134:X134,"&gt;"&amp;0)&gt;0,AK131=MIN(AK123:AK133),COUNTIF(B138:B145,INDEX(C122:X122,1,MATCH(MAX(C134:X134),C134:X134,0)))=0),INDEX(C122:X122,1,MATCH(MAX(C134:X134),C134:X134,0)),IF(AND('Data-solution'!A$3="Minimize",COUNTIF(C134:X134,"&lt;"&amp;0)&gt;0,AK131=MIN(AK123:AK133),COUNTIF(B138:B145,INDEX(C122:X122,1,MATCH(MIN(C134:X134),C134:X134,0)))=0),INDEX(C122:X122,1,MATCH(MIN(C134:X134),C134:X134,0)),B131))</f>
        <v>S9</v>
      </c>
      <c r="C146" s="1">
        <f>IF(OR($B138&lt;&gt;$B123,$B139&lt;&gt;$B124,$B140&lt;&gt;$B125,$B141&lt;&gt;$B126,$B142&lt;&gt;$B127,$B143&lt;&gt;$B128,$B144&lt;&gt;$B129,$B145&lt;&gt;$B130,$B146&lt;&gt;$B131,$B147&lt;&gt;$B132,$B148&lt;&gt;$B133),IF($B146&lt;&gt;$B131,C131/INDEX($C123:$AJ133,9,MATCH(IF('Data-solution'!$A$3="Maximize",MAX($C134:$AI134),MIN($C134:$AI134)),$C134:$AI134,0)),C131-INDEX($C123:$AJ133,9,MATCH(IF('Data-solution'!$A$3="Maximize",MAX($C134:$AI134),MIN($C134:$AI134)),$C134:$AI134,0))*INDEX(C123:$AJ133,MATCH(MIN($AK123:$AK133),$AK123:$AK133,0),1)/INDEX($C123:$AJ133,MATCH(MIN($AK123:$AK133),$AK123:$AK133,0),MATCH(IF('Data-solution'!$A$3="Maximize",MAX($C134:$AI134),MIN($C134:$AI134)),$C134:$AI134,0))),C131)</f>
        <v>0</v>
      </c>
      <c r="D146" s="1">
        <f>IF(OR($B138&lt;&gt;$B123,$B139&lt;&gt;$B124,$B140&lt;&gt;$B125,$B141&lt;&gt;$B126,$B142&lt;&gt;$B127,$B143&lt;&gt;$B128,$B144&lt;&gt;$B129,$B145&lt;&gt;$B130,$B146&lt;&gt;$B131,$B147&lt;&gt;$B132,$B148&lt;&gt;$B133),IF($B146&lt;&gt;$B131,D131/INDEX($C123:$AJ133,9,MATCH(IF('Data-solution'!$A$3="Maximize",MAX($C134:$AI134),MIN($C134:$AI134)),$C134:$AI134,0)),D131-INDEX($C123:$AJ133,9,MATCH(IF('Data-solution'!$A$3="Maximize",MAX($C134:$AI134),MIN($C134:$AI134)),$C134:$AI134,0))*INDEX(D123:$AJ133,MATCH(MIN($AK123:$AK133),$AK123:$AK133,0),1)/INDEX($C123:$AJ133,MATCH(MIN($AK123:$AK133),$AK123:$AK133,0),MATCH(IF('Data-solution'!$A$3="Maximize",MAX($C134:$AI134),MIN($C134:$AI134)),$C134:$AI134,0))),D131)</f>
        <v>0</v>
      </c>
      <c r="E146" s="1">
        <f>IF(OR($B138&lt;&gt;$B123,$B139&lt;&gt;$B124,$B140&lt;&gt;$B125,$B141&lt;&gt;$B126,$B142&lt;&gt;$B127,$B143&lt;&gt;$B128,$B144&lt;&gt;$B129,$B145&lt;&gt;$B130,$B146&lt;&gt;$B131,$B147&lt;&gt;$B132,$B148&lt;&gt;$B133),IF($B146&lt;&gt;$B131,E131/INDEX($C123:$AJ133,9,MATCH(IF('Data-solution'!$A$3="Maximize",MAX($C134:$AI134),MIN($C134:$AI134)),$C134:$AI134,0)),E131-INDEX($C123:$AJ133,9,MATCH(IF('Data-solution'!$A$3="Maximize",MAX($C134:$AI134),MIN($C134:$AI134)),$C134:$AI134,0))*INDEX(E123:$AJ133,MATCH(MIN($AK123:$AK133),$AK123:$AK133,0),1)/INDEX($C123:$AJ133,MATCH(MIN($AK123:$AK133),$AK123:$AK133,0),MATCH(IF('Data-solution'!$A$3="Maximize",MAX($C134:$AI134),MIN($C134:$AI134)),$C134:$AI134,0))),E131)</f>
        <v>0</v>
      </c>
      <c r="F146" s="1">
        <f>IF(OR($B138&lt;&gt;$B123,$B139&lt;&gt;$B124,$B140&lt;&gt;$B125,$B141&lt;&gt;$B126,$B142&lt;&gt;$B127,$B143&lt;&gt;$B128,$B144&lt;&gt;$B129,$B145&lt;&gt;$B130,$B146&lt;&gt;$B131,$B147&lt;&gt;$B132,$B148&lt;&gt;$B133),IF($B146&lt;&gt;$B131,F131/INDEX($C123:$AJ133,9,MATCH(IF('Data-solution'!$A$3="Maximize",MAX($C134:$AI134),MIN($C134:$AI134)),$C134:$AI134,0)),F131-INDEX($C123:$AJ133,9,MATCH(IF('Data-solution'!$A$3="Maximize",MAX($C134:$AI134),MIN($C134:$AI134)),$C134:$AI134,0))*INDEX(F123:$AJ133,MATCH(MIN($AK123:$AK133),$AK123:$AK133,0),1)/INDEX($C123:$AJ133,MATCH(MIN($AK123:$AK133),$AK123:$AK133,0),MATCH(IF('Data-solution'!$A$3="Maximize",MAX($C134:$AI134),MIN($C134:$AI134)),$C134:$AI134,0))),F131)</f>
        <v>0</v>
      </c>
      <c r="G146" s="1">
        <f>IF(OR($B138&lt;&gt;$B123,$B139&lt;&gt;$B124,$B140&lt;&gt;$B125,$B141&lt;&gt;$B126,$B142&lt;&gt;$B127,$B143&lt;&gt;$B128,$B144&lt;&gt;$B129,$B145&lt;&gt;$B130,$B146&lt;&gt;$B131,$B147&lt;&gt;$B132,$B148&lt;&gt;$B133),IF($B146&lt;&gt;$B131,G131/INDEX($C123:$AJ133,9,MATCH(IF('Data-solution'!$A$3="Maximize",MAX($C134:$AI134),MIN($C134:$AI134)),$C134:$AI134,0)),G131-INDEX($C123:$AJ133,9,MATCH(IF('Data-solution'!$A$3="Maximize",MAX($C134:$AI134),MIN($C134:$AI134)),$C134:$AI134,0))*INDEX(G123:$AJ133,MATCH(MIN($AK123:$AK133),$AK123:$AK133,0),1)/INDEX($C123:$AJ133,MATCH(MIN($AK123:$AK133),$AK123:$AK133,0),MATCH(IF('Data-solution'!$A$3="Maximize",MAX($C134:$AI134),MIN($C134:$AI134)),$C134:$AI134,0))),G131)</f>
        <v>0</v>
      </c>
      <c r="H146" s="1">
        <f>IF(OR($B138&lt;&gt;$B123,$B139&lt;&gt;$B124,$B140&lt;&gt;$B125,$B141&lt;&gt;$B126,$B142&lt;&gt;$B127,$B143&lt;&gt;$B128,$B144&lt;&gt;$B129,$B145&lt;&gt;$B130,$B146&lt;&gt;$B131,$B147&lt;&gt;$B132,$B148&lt;&gt;$B133),IF($B146&lt;&gt;$B131,H131/INDEX($C123:$AJ133,9,MATCH(IF('Data-solution'!$A$3="Maximize",MAX($C134:$AI134),MIN($C134:$AI134)),$C134:$AI134,0)),H131-INDEX($C123:$AJ133,9,MATCH(IF('Data-solution'!$A$3="Maximize",MAX($C134:$AI134),MIN($C134:$AI134)),$C134:$AI134,0))*INDEX(H123:$AJ133,MATCH(MIN($AK123:$AK133),$AK123:$AK133,0),1)/INDEX($C123:$AJ133,MATCH(MIN($AK123:$AK133),$AK123:$AK133,0),MATCH(IF('Data-solution'!$A$3="Maximize",MAX($C134:$AI134),MIN($C134:$AI134)),$C134:$AI134,0))),H131)</f>
        <v>0</v>
      </c>
      <c r="I146" s="1">
        <f>IF(OR($B138&lt;&gt;$B123,$B139&lt;&gt;$B124,$B140&lt;&gt;$B125,$B141&lt;&gt;$B126,$B142&lt;&gt;$B127,$B143&lt;&gt;$B128,$B144&lt;&gt;$B129,$B145&lt;&gt;$B130,$B146&lt;&gt;$B131,$B147&lt;&gt;$B132,$B148&lt;&gt;$B133),IF($B146&lt;&gt;$B131,I131/INDEX($C123:$AJ133,9,MATCH(IF('Data-solution'!$A$3="Maximize",MAX($C134:$AI134),MIN($C134:$AI134)),$C134:$AI134,0)),I131-INDEX($C123:$AJ133,9,MATCH(IF('Data-solution'!$A$3="Maximize",MAX($C134:$AI134),MIN($C134:$AI134)),$C134:$AI134,0))*INDEX(I123:$AJ133,MATCH(MIN($AK123:$AK133),$AK123:$AK133,0),1)/INDEX($C123:$AJ133,MATCH(MIN($AK123:$AK133),$AK123:$AK133,0),MATCH(IF('Data-solution'!$A$3="Maximize",MAX($C134:$AI134),MIN($C134:$AI134)),$C134:$AI134,0))),I131)</f>
        <v>0</v>
      </c>
      <c r="J146" s="1">
        <f>IF(OR($B138&lt;&gt;$B123,$B139&lt;&gt;$B124,$B140&lt;&gt;$B125,$B141&lt;&gt;$B126,$B142&lt;&gt;$B127,$B143&lt;&gt;$B128,$B144&lt;&gt;$B129,$B145&lt;&gt;$B130,$B146&lt;&gt;$B131,$B147&lt;&gt;$B132,$B148&lt;&gt;$B133),IF($B146&lt;&gt;$B131,J131/INDEX($C123:$AJ133,9,MATCH(IF('Data-solution'!$A$3="Maximize",MAX($C134:$AI134),MIN($C134:$AI134)),$C134:$AI134,0)),J131-INDEX($C123:$AJ133,9,MATCH(IF('Data-solution'!$A$3="Maximize",MAX($C134:$AI134),MIN($C134:$AI134)),$C134:$AI134,0))*INDEX(J123:$AJ133,MATCH(MIN($AK123:$AK133),$AK123:$AK133,0),1)/INDEX($C123:$AJ133,MATCH(MIN($AK123:$AK133),$AK123:$AK133,0),MATCH(IF('Data-solution'!$A$3="Maximize",MAX($C134:$AI134),MIN($C134:$AI134)),$C134:$AI134,0))),J131)</f>
        <v>0</v>
      </c>
      <c r="K146" s="1">
        <f>IF(OR($B138&lt;&gt;$B123,$B139&lt;&gt;$B124,$B140&lt;&gt;$B125,$B141&lt;&gt;$B126,$B142&lt;&gt;$B127,$B143&lt;&gt;$B128,$B144&lt;&gt;$B129,$B145&lt;&gt;$B130,$B146&lt;&gt;$B131,$B147&lt;&gt;$B132,$B148&lt;&gt;$B133),IF($B146&lt;&gt;$B131,K131/INDEX($C123:$AJ133,9,MATCH(IF('Data-solution'!$A$3="Maximize",MAX($C134:$AI134),MIN($C134:$AI134)),$C134:$AI134,0)),K131-INDEX($C123:$AJ133,9,MATCH(IF('Data-solution'!$A$3="Maximize",MAX($C134:$AI134),MIN($C134:$AI134)),$C134:$AI134,0))*INDEX(K123:$AJ133,MATCH(MIN($AK123:$AK133),$AK123:$AK133,0),1)/INDEX($C123:$AJ133,MATCH(MIN($AK123:$AK133),$AK123:$AK133,0),MATCH(IF('Data-solution'!$A$3="Maximize",MAX($C134:$AI134),MIN($C134:$AI134)),$C134:$AI134,0))),K131)</f>
        <v>0</v>
      </c>
      <c r="L146" s="1">
        <f>IF(OR($B138&lt;&gt;$B123,$B139&lt;&gt;$B124,$B140&lt;&gt;$B125,$B141&lt;&gt;$B126,$B142&lt;&gt;$B127,$B143&lt;&gt;$B128,$B144&lt;&gt;$B129,$B145&lt;&gt;$B130,$B146&lt;&gt;$B131,$B147&lt;&gt;$B132,$B148&lt;&gt;$B133),IF($B146&lt;&gt;$B131,L131/INDEX($C123:$AJ133,9,MATCH(IF('Data-solution'!$A$3="Maximize",MAX($C134:$AI134),MIN($C134:$AI134)),$C134:$AI134,0)),L131-INDEX($C123:$AJ133,9,MATCH(IF('Data-solution'!$A$3="Maximize",MAX($C134:$AI134),MIN($C134:$AI134)),$C134:$AI134,0))*INDEX(L123:$AJ133,MATCH(MIN($AK123:$AK133),$AK123:$AK133,0),1)/INDEX($C123:$AJ133,MATCH(MIN($AK123:$AK133),$AK123:$AK133,0),MATCH(IF('Data-solution'!$A$3="Maximize",MAX($C134:$AI134),MIN($C134:$AI134)),$C134:$AI134,0))),L131)</f>
        <v>0</v>
      </c>
      <c r="M146" s="1">
        <f>IF(OR($B138&lt;&gt;$B123,$B139&lt;&gt;$B124,$B140&lt;&gt;$B125,$B141&lt;&gt;$B126,$B142&lt;&gt;$B127,$B143&lt;&gt;$B128,$B144&lt;&gt;$B129,$B145&lt;&gt;$B130,$B146&lt;&gt;$B131,$B147&lt;&gt;$B132,$B148&lt;&gt;$B133),IF($B146&lt;&gt;$B131,M131/INDEX($C123:$AJ133,9,MATCH(IF('Data-solution'!$A$3="Maximize",MAX($C134:$AI134),MIN($C134:$AI134)),$C134:$AI134,0)),M131-INDEX($C123:$AJ133,9,MATCH(IF('Data-solution'!$A$3="Maximize",MAX($C134:$AI134),MIN($C134:$AI134)),$C134:$AI134,0))*INDEX(M123:$AJ133,MATCH(MIN($AK123:$AK133),$AK123:$AK133,0),1)/INDEX($C123:$AJ133,MATCH(MIN($AK123:$AK133),$AK123:$AK133,0),MATCH(IF('Data-solution'!$A$3="Maximize",MAX($C134:$AI134),MIN($C134:$AI134)),$C134:$AI134,0))),M131)</f>
        <v>0</v>
      </c>
      <c r="N146" s="1">
        <f>IF(OR($B138&lt;&gt;$B123,$B139&lt;&gt;$B124,$B140&lt;&gt;$B125,$B141&lt;&gt;$B126,$B142&lt;&gt;$B127,$B143&lt;&gt;$B128,$B144&lt;&gt;$B129,$B145&lt;&gt;$B130,$B146&lt;&gt;$B131,$B147&lt;&gt;$B132,$B148&lt;&gt;$B133),IF($B146&lt;&gt;$B131,N131/INDEX($C123:$AJ133,9,MATCH(IF('Data-solution'!$A$3="Maximize",MAX($C134:$AI134),MIN($C134:$AI134)),$C134:$AI134,0)),N131-INDEX($C123:$AJ133,9,MATCH(IF('Data-solution'!$A$3="Maximize",MAX($C134:$AI134),MIN($C134:$AI134)),$C134:$AI134,0))*INDEX(N123:$AJ133,MATCH(MIN($AK123:$AK133),$AK123:$AK133,0),1)/INDEX($C123:$AJ133,MATCH(MIN($AK123:$AK133),$AK123:$AK133,0),MATCH(IF('Data-solution'!$A$3="Maximize",MAX($C134:$AI134),MIN($C134:$AI134)),$C134:$AI134,0))),N131)</f>
        <v>0</v>
      </c>
      <c r="O146" s="1">
        <f>IF(OR($B138&lt;&gt;$B123,$B139&lt;&gt;$B124,$B140&lt;&gt;$B125,$B141&lt;&gt;$B126,$B142&lt;&gt;$B127,$B143&lt;&gt;$B128,$B144&lt;&gt;$B129,$B145&lt;&gt;$B130,$B146&lt;&gt;$B131,$B147&lt;&gt;$B132,$B148&lt;&gt;$B133),IF($B146&lt;&gt;$B131,O131/INDEX($C123:$AJ133,9,MATCH(IF('Data-solution'!$A$3="Maximize",MAX($C134:$AI134),MIN($C134:$AI134)),$C134:$AI134,0)),O131-INDEX($C123:$AJ133,9,MATCH(IF('Data-solution'!$A$3="Maximize",MAX($C134:$AI134),MIN($C134:$AI134)),$C134:$AI134,0))*INDEX(O123:$AJ133,MATCH(MIN($AK123:$AK133),$AK123:$AK133,0),1)/INDEX($C123:$AJ133,MATCH(MIN($AK123:$AK133),$AK123:$AK133,0),MATCH(IF('Data-solution'!$A$3="Maximize",MAX($C134:$AI134),MIN($C134:$AI134)),$C134:$AI134,0))),O131)</f>
        <v>0</v>
      </c>
      <c r="P146" s="1">
        <f>IF(OR($B138&lt;&gt;$B123,$B139&lt;&gt;$B124,$B140&lt;&gt;$B125,$B141&lt;&gt;$B126,$B142&lt;&gt;$B127,$B143&lt;&gt;$B128,$B144&lt;&gt;$B129,$B145&lt;&gt;$B130,$B146&lt;&gt;$B131,$B147&lt;&gt;$B132,$B148&lt;&gt;$B133),IF($B146&lt;&gt;$B131,P131/INDEX($C123:$AJ133,9,MATCH(IF('Data-solution'!$A$3="Maximize",MAX($C134:$AI134),MIN($C134:$AI134)),$C134:$AI134,0)),P131-INDEX($C123:$AJ133,9,MATCH(IF('Data-solution'!$A$3="Maximize",MAX($C134:$AI134),MIN($C134:$AI134)),$C134:$AI134,0))*INDEX(P123:$AJ133,MATCH(MIN($AK123:$AK133),$AK123:$AK133,0),1)/INDEX($C123:$AJ133,MATCH(MIN($AK123:$AK133),$AK123:$AK133,0),MATCH(IF('Data-solution'!$A$3="Maximize",MAX($C134:$AI134),MIN($C134:$AI134)),$C134:$AI134,0))),P131)</f>
        <v>0</v>
      </c>
      <c r="Q146" s="1">
        <f>IF(OR($B138&lt;&gt;$B123,$B139&lt;&gt;$B124,$B140&lt;&gt;$B125,$B141&lt;&gt;$B126,$B142&lt;&gt;$B127,$B143&lt;&gt;$B128,$B144&lt;&gt;$B129,$B145&lt;&gt;$B130,$B146&lt;&gt;$B131,$B147&lt;&gt;$B132,$B148&lt;&gt;$B133),IF($B146&lt;&gt;$B131,Q131/INDEX($C123:$AJ133,9,MATCH(IF('Data-solution'!$A$3="Maximize",MAX($C134:$AI134),MIN($C134:$AI134)),$C134:$AI134,0)),Q131-INDEX($C123:$AJ133,9,MATCH(IF('Data-solution'!$A$3="Maximize",MAX($C134:$AI134),MIN($C134:$AI134)),$C134:$AI134,0))*INDEX(Q123:$AJ133,MATCH(MIN($AK123:$AK133),$AK123:$AK133,0),1)/INDEX($C123:$AJ133,MATCH(MIN($AK123:$AK133),$AK123:$AK133,0),MATCH(IF('Data-solution'!$A$3="Maximize",MAX($C134:$AI134),MIN($C134:$AI134)),$C134:$AI134,0))),Q131)</f>
        <v>0</v>
      </c>
      <c r="R146" s="1">
        <f>IF(OR($B138&lt;&gt;$B123,$B139&lt;&gt;$B124,$B140&lt;&gt;$B125,$B141&lt;&gt;$B126,$B142&lt;&gt;$B127,$B143&lt;&gt;$B128,$B144&lt;&gt;$B129,$B145&lt;&gt;$B130,$B146&lt;&gt;$B131,$B147&lt;&gt;$B132,$B148&lt;&gt;$B133),IF($B146&lt;&gt;$B131,R131/INDEX($C123:$AJ133,9,MATCH(IF('Data-solution'!$A$3="Maximize",MAX($C134:$AI134),MIN($C134:$AI134)),$C134:$AI134,0)),R131-INDEX($C123:$AJ133,9,MATCH(IF('Data-solution'!$A$3="Maximize",MAX($C134:$AI134),MIN($C134:$AI134)),$C134:$AI134,0))*INDEX(R123:$AJ133,MATCH(MIN($AK123:$AK133),$AK123:$AK133,0),1)/INDEX($C123:$AJ133,MATCH(MIN($AK123:$AK133),$AK123:$AK133,0),MATCH(IF('Data-solution'!$A$3="Maximize",MAX($C134:$AI134),MIN($C134:$AI134)),$C134:$AI134,0))),R131)</f>
        <v>0</v>
      </c>
      <c r="S146" s="1">
        <f>IF(OR($B138&lt;&gt;$B123,$B139&lt;&gt;$B124,$B140&lt;&gt;$B125,$B141&lt;&gt;$B126,$B142&lt;&gt;$B127,$B143&lt;&gt;$B128,$B144&lt;&gt;$B129,$B145&lt;&gt;$B130,$B146&lt;&gt;$B131,$B147&lt;&gt;$B132,$B148&lt;&gt;$B133),IF($B146&lt;&gt;$B131,S131/INDEX($C123:$AJ133,9,MATCH(IF('Data-solution'!$A$3="Maximize",MAX($C134:$AI134),MIN($C134:$AI134)),$C134:$AI134,0)),S131-INDEX($C123:$AJ133,9,MATCH(IF('Data-solution'!$A$3="Maximize",MAX($C134:$AI134),MIN($C134:$AI134)),$C134:$AI134,0))*INDEX(S123:$AJ133,MATCH(MIN($AK123:$AK133),$AK123:$AK133,0),1)/INDEX($C123:$AJ133,MATCH(MIN($AK123:$AK133),$AK123:$AK133,0),MATCH(IF('Data-solution'!$A$3="Maximize",MAX($C134:$AI134),MIN($C134:$AI134)),$C134:$AI134,0))),S131)</f>
        <v>0</v>
      </c>
      <c r="T146" s="1">
        <f>IF(OR($B138&lt;&gt;$B123,$B139&lt;&gt;$B124,$B140&lt;&gt;$B125,$B141&lt;&gt;$B126,$B142&lt;&gt;$B127,$B143&lt;&gt;$B128,$B144&lt;&gt;$B129,$B145&lt;&gt;$B130,$B146&lt;&gt;$B131,$B147&lt;&gt;$B132,$B148&lt;&gt;$B133),IF($B146&lt;&gt;$B131,T131/INDEX($C123:$AJ133,9,MATCH(IF('Data-solution'!$A$3="Maximize",MAX($C134:$AI134),MIN($C134:$AI134)),$C134:$AI134,0)),T131-INDEX($C123:$AJ133,9,MATCH(IF('Data-solution'!$A$3="Maximize",MAX($C134:$AI134),MIN($C134:$AI134)),$C134:$AI134,0))*INDEX(T123:$AJ133,MATCH(MIN($AK123:$AK133),$AK123:$AK133,0),1)/INDEX($C123:$AJ133,MATCH(MIN($AK123:$AK133),$AK123:$AK133,0),MATCH(IF('Data-solution'!$A$3="Maximize",MAX($C134:$AI134),MIN($C134:$AI134)),$C134:$AI134,0))),T131)</f>
        <v>0</v>
      </c>
      <c r="U146" s="1">
        <f>IF(OR($B138&lt;&gt;$B123,$B139&lt;&gt;$B124,$B140&lt;&gt;$B125,$B141&lt;&gt;$B126,$B142&lt;&gt;$B127,$B143&lt;&gt;$B128,$B144&lt;&gt;$B129,$B145&lt;&gt;$B130,$B146&lt;&gt;$B131,$B147&lt;&gt;$B132,$B148&lt;&gt;$B133),IF($B146&lt;&gt;$B131,U131/INDEX($C123:$AJ133,9,MATCH(IF('Data-solution'!$A$3="Maximize",MAX($C134:$AI134),MIN($C134:$AI134)),$C134:$AI134,0)),U131-INDEX($C123:$AJ133,9,MATCH(IF('Data-solution'!$A$3="Maximize",MAX($C134:$AI134),MIN($C134:$AI134)),$C134:$AI134,0))*INDEX(U123:$AJ133,MATCH(MIN($AK123:$AK133),$AK123:$AK133,0),1)/INDEX($C123:$AJ133,MATCH(MIN($AK123:$AK133),$AK123:$AK133,0),MATCH(IF('Data-solution'!$A$3="Maximize",MAX($C134:$AI134),MIN($C134:$AI134)),$C134:$AI134,0))),U131)</f>
        <v>0</v>
      </c>
      <c r="V146" s="1">
        <f>IF(OR($B138&lt;&gt;$B123,$B139&lt;&gt;$B124,$B140&lt;&gt;$B125,$B141&lt;&gt;$B126,$B142&lt;&gt;$B127,$B143&lt;&gt;$B128,$B144&lt;&gt;$B129,$B145&lt;&gt;$B130,$B146&lt;&gt;$B131,$B147&lt;&gt;$B132,$B148&lt;&gt;$B133),IF($B146&lt;&gt;$B131,V131/INDEX($C123:$AJ133,9,MATCH(IF('Data-solution'!$A$3="Maximize",MAX($C134:$AI134),MIN($C134:$AI134)),$C134:$AI134,0)),V131-INDEX($C123:$AJ133,9,MATCH(IF('Data-solution'!$A$3="Maximize",MAX($C134:$AI134),MIN($C134:$AI134)),$C134:$AI134,0))*INDEX(V123:$AJ133,MATCH(MIN($AK123:$AK133),$AK123:$AK133,0),1)/INDEX($C123:$AJ133,MATCH(MIN($AK123:$AK133),$AK123:$AK133,0),MATCH(IF('Data-solution'!$A$3="Maximize",MAX($C134:$AI134),MIN($C134:$AI134)),$C134:$AI134,0))),V131)</f>
        <v>1</v>
      </c>
      <c r="W146" s="1">
        <f>IF(OR($B138&lt;&gt;$B123,$B139&lt;&gt;$B124,$B140&lt;&gt;$B125,$B141&lt;&gt;$B126,$B142&lt;&gt;$B127,$B143&lt;&gt;$B128,$B144&lt;&gt;$B129,$B145&lt;&gt;$B130,$B146&lt;&gt;$B131,$B147&lt;&gt;$B132,$B148&lt;&gt;$B133),IF($B146&lt;&gt;$B131,W131/INDEX($C123:$AJ133,9,MATCH(IF('Data-solution'!$A$3="Maximize",MAX($C134:$AI134),MIN($C134:$AI134)),$C134:$AI134,0)),W131-INDEX($C123:$AJ133,9,MATCH(IF('Data-solution'!$A$3="Maximize",MAX($C134:$AI134),MIN($C134:$AI134)),$C134:$AI134,0))*INDEX(W123:$AJ133,MATCH(MIN($AK123:$AK133),$AK123:$AK133,0),1)/INDEX($C123:$AJ133,MATCH(MIN($AK123:$AK133),$AK123:$AK133,0),MATCH(IF('Data-solution'!$A$3="Maximize",MAX($C134:$AI134),MIN($C134:$AI134)),$C134:$AI134,0))),W131)</f>
        <v>0</v>
      </c>
      <c r="X146" s="1">
        <f>IF(OR($B138&lt;&gt;$B123,$B139&lt;&gt;$B124,$B140&lt;&gt;$B125,$B141&lt;&gt;$B126,$B142&lt;&gt;$B127,$B143&lt;&gt;$B128,$B144&lt;&gt;$B129,$B145&lt;&gt;$B130,$B146&lt;&gt;$B131,$B147&lt;&gt;$B132,$B148&lt;&gt;$B133),IF($B146&lt;&gt;$B131,X131/INDEX($C123:$AJ133,9,MATCH(IF('Data-solution'!$A$3="Maximize",MAX($C134:$AI134),MIN($C134:$AI134)),$C134:$AI134,0)),X131-INDEX($C123:$AJ133,9,MATCH(IF('Data-solution'!$A$3="Maximize",MAX($C134:$AI134),MIN($C134:$AI134)),$C134:$AI134,0))*INDEX(X123:$AJ133,MATCH(MIN($AK123:$AK133),$AK123:$AK133,0),1)/INDEX($C123:$AJ133,MATCH(MIN($AK123:$AK133),$AK123:$AK133,0),MATCH(IF('Data-solution'!$A$3="Maximize",MAX($C134:$AI134),MIN($C134:$AI134)),$C134:$AI134,0))),X131)</f>
        <v>0</v>
      </c>
      <c r="Y146" s="1">
        <f>IF(OR($B138&lt;&gt;$B123,$B139&lt;&gt;$B124,$B140&lt;&gt;$B125,$B141&lt;&gt;$B126,$B142&lt;&gt;$B127,$B143&lt;&gt;$B128,$B144&lt;&gt;$B129,$B145&lt;&gt;$B130,$B146&lt;&gt;$B131,$B147&lt;&gt;$B132,$B148&lt;&gt;$B133),IF($B146&lt;&gt;$B131,Y131/INDEX($C123:$AJ133,9,MATCH(IF('Data-solution'!$A$3="Maximize",MAX($C134:$AI134),MIN($C134:$AI134)),$C134:$AI134,0)),Y131-INDEX($C123:$AJ133,9,MATCH(IF('Data-solution'!$A$3="Maximize",MAX($C134:$AI134),MIN($C134:$AI134)),$C134:$AI134,0))*INDEX(Y123:$AJ133,MATCH(MIN($AK123:$AK133),$AK123:$AK133,0),1)/INDEX($C123:$AJ133,MATCH(MIN($AK123:$AK133),$AK123:$AK133,0),MATCH(IF('Data-solution'!$A$3="Maximize",MAX($C134:$AI134),MIN($C134:$AI134)),$C134:$AI134,0))),Y131)</f>
        <v>0</v>
      </c>
      <c r="Z146" s="1">
        <f>IF(OR($B138&lt;&gt;$B123,$B139&lt;&gt;$B124,$B140&lt;&gt;$B125,$B141&lt;&gt;$B126,$B142&lt;&gt;$B127,$B143&lt;&gt;$B128,$B144&lt;&gt;$B129,$B145&lt;&gt;$B130,$B146&lt;&gt;$B131,$B147&lt;&gt;$B132,$B148&lt;&gt;$B133),IF($B146&lt;&gt;$B131,Z131/INDEX($C123:$AJ133,9,MATCH(IF('Data-solution'!$A$3="Maximize",MAX($C134:$AI134),MIN($C134:$AI134)),$C134:$AI134,0)),Z131-INDEX($C123:$AJ133,9,MATCH(IF('Data-solution'!$A$3="Maximize",MAX($C134:$AI134),MIN($C134:$AI134)),$C134:$AI134,0))*INDEX(Z123:$AJ133,MATCH(MIN($AK123:$AK133),$AK123:$AK133,0),1)/INDEX($C123:$AJ133,MATCH(MIN($AK123:$AK133),$AK123:$AK133,0),MATCH(IF('Data-solution'!$A$3="Maximize",MAX($C134:$AI134),MIN($C134:$AI134)),$C134:$AI134,0))),Z131)</f>
        <v>0</v>
      </c>
      <c r="AA146" s="1">
        <f>IF(OR($B138&lt;&gt;$B123,$B139&lt;&gt;$B124,$B140&lt;&gt;$B125,$B141&lt;&gt;$B126,$B142&lt;&gt;$B127,$B143&lt;&gt;$B128,$B144&lt;&gt;$B129,$B145&lt;&gt;$B130,$B146&lt;&gt;$B131,$B147&lt;&gt;$B132,$B148&lt;&gt;$B133),IF($B146&lt;&gt;$B131,AA131/INDEX($C123:$AJ133,9,MATCH(IF('Data-solution'!$A$3="Maximize",MAX($C134:$AI134),MIN($C134:$AI134)),$C134:$AI134,0)),AA131-INDEX($C123:$AJ133,9,MATCH(IF('Data-solution'!$A$3="Maximize",MAX($C134:$AI134),MIN($C134:$AI134)),$C134:$AI134,0))*INDEX(AA123:$AJ133,MATCH(MIN($AK123:$AK133),$AK123:$AK133,0),1)/INDEX($C123:$AJ133,MATCH(MIN($AK123:$AK133),$AK123:$AK133,0),MATCH(IF('Data-solution'!$A$3="Maximize",MAX($C134:$AI134),MIN($C134:$AI134)),$C134:$AI134,0))),AA131)</f>
        <v>0</v>
      </c>
      <c r="AB146" s="1">
        <f>IF(OR($B138&lt;&gt;$B123,$B139&lt;&gt;$B124,$B140&lt;&gt;$B125,$B141&lt;&gt;$B126,$B142&lt;&gt;$B127,$B143&lt;&gt;$B128,$B144&lt;&gt;$B129,$B145&lt;&gt;$B130,$B146&lt;&gt;$B131,$B147&lt;&gt;$B132,$B148&lt;&gt;$B133),IF($B146&lt;&gt;$B131,AB131/INDEX($C123:$AJ133,9,MATCH(IF('Data-solution'!$A$3="Maximize",MAX($C134:$AI134),MIN($C134:$AI134)),$C134:$AI134,0)),AB131-INDEX($C123:$AJ133,9,MATCH(IF('Data-solution'!$A$3="Maximize",MAX($C134:$AI134),MIN($C134:$AI134)),$C134:$AI134,0))*INDEX(AB123:$AJ133,MATCH(MIN($AK123:$AK133),$AK123:$AK133,0),1)/INDEX($C123:$AJ133,MATCH(MIN($AK123:$AK133),$AK123:$AK133,0),MATCH(IF('Data-solution'!$A$3="Maximize",MAX($C134:$AI134),MIN($C134:$AI134)),$C134:$AI134,0))),AB131)</f>
        <v>0</v>
      </c>
      <c r="AC146" s="1">
        <f>IF(OR($B138&lt;&gt;$B123,$B139&lt;&gt;$B124,$B140&lt;&gt;$B125,$B141&lt;&gt;$B126,$B142&lt;&gt;$B127,$B143&lt;&gt;$B128,$B144&lt;&gt;$B129,$B145&lt;&gt;$B130,$B146&lt;&gt;$B131,$B147&lt;&gt;$B132,$B148&lt;&gt;$B133),IF($B146&lt;&gt;$B131,AC131/INDEX($C123:$AJ133,9,MATCH(IF('Data-solution'!$A$3="Maximize",MAX($C134:$AI134),MIN($C134:$AI134)),$C134:$AI134,0)),AC131-INDEX($C123:$AJ133,9,MATCH(IF('Data-solution'!$A$3="Maximize",MAX($C134:$AI134),MIN($C134:$AI134)),$C134:$AI134,0))*INDEX(AC123:$AJ133,MATCH(MIN($AK123:$AK133),$AK123:$AK133,0),1)/INDEX($C123:$AJ133,MATCH(MIN($AK123:$AK133),$AK123:$AK133,0),MATCH(IF('Data-solution'!$A$3="Maximize",MAX($C134:$AI134),MIN($C134:$AI134)),$C134:$AI134,0))),AC131)</f>
        <v>0</v>
      </c>
      <c r="AD146" s="1">
        <f>IF(OR($B138&lt;&gt;$B123,$B139&lt;&gt;$B124,$B140&lt;&gt;$B125,$B141&lt;&gt;$B126,$B142&lt;&gt;$B127,$B143&lt;&gt;$B128,$B144&lt;&gt;$B129,$B145&lt;&gt;$B130,$B146&lt;&gt;$B131,$B147&lt;&gt;$B132,$B148&lt;&gt;$B133),IF($B146&lt;&gt;$B131,AD131/INDEX($C123:$AJ133,9,MATCH(IF('Data-solution'!$A$3="Maximize",MAX($C134:$AI134),MIN($C134:$AI134)),$C134:$AI134,0)),AD131-INDEX($C123:$AJ133,9,MATCH(IF('Data-solution'!$A$3="Maximize",MAX($C134:$AI134),MIN($C134:$AI134)),$C134:$AI134,0))*INDEX(AD123:$AJ133,MATCH(MIN($AK123:$AK133),$AK123:$AK133,0),1)/INDEX($C123:$AJ133,MATCH(MIN($AK123:$AK133),$AK123:$AK133,0),MATCH(IF('Data-solution'!$A$3="Maximize",MAX($C134:$AI134),MIN($C134:$AI134)),$C134:$AI134,0))),AD131)</f>
        <v>0</v>
      </c>
      <c r="AE146" s="1">
        <f>IF(OR($B138&lt;&gt;$B123,$B139&lt;&gt;$B124,$B140&lt;&gt;$B125,$B141&lt;&gt;$B126,$B142&lt;&gt;$B127,$B143&lt;&gt;$B128,$B144&lt;&gt;$B129,$B145&lt;&gt;$B130,$B146&lt;&gt;$B131,$B147&lt;&gt;$B132,$B148&lt;&gt;$B133),IF($B146&lt;&gt;$B131,AE131/INDEX($C123:$AJ133,9,MATCH(IF('Data-solution'!$A$3="Maximize",MAX($C134:$AI134),MIN($C134:$AI134)),$C134:$AI134,0)),AE131-INDEX($C123:$AJ133,9,MATCH(IF('Data-solution'!$A$3="Maximize",MAX($C134:$AI134),MIN($C134:$AI134)),$C134:$AI134,0))*INDEX(AE123:$AJ133,MATCH(MIN($AK123:$AK133),$AK123:$AK133,0),1)/INDEX($C123:$AJ133,MATCH(MIN($AK123:$AK133),$AK123:$AK133,0),MATCH(IF('Data-solution'!$A$3="Maximize",MAX($C134:$AI134),MIN($C134:$AI134)),$C134:$AI134,0))),AE131)</f>
        <v>0</v>
      </c>
      <c r="AF146" s="1">
        <f>IF(OR($B138&lt;&gt;$B123,$B139&lt;&gt;$B124,$B140&lt;&gt;$B125,$B141&lt;&gt;$B126,$B142&lt;&gt;$B127,$B143&lt;&gt;$B128,$B144&lt;&gt;$B129,$B145&lt;&gt;$B130,$B146&lt;&gt;$B131,$B147&lt;&gt;$B132,$B148&lt;&gt;$B133),IF($B146&lt;&gt;$B131,AF131/INDEX($C123:$AJ133,9,MATCH(IF('Data-solution'!$A$3="Maximize",MAX($C134:$AI134),MIN($C134:$AI134)),$C134:$AI134,0)),AF131-INDEX($C123:$AJ133,9,MATCH(IF('Data-solution'!$A$3="Maximize",MAX($C134:$AI134),MIN($C134:$AI134)),$C134:$AI134,0))*INDEX(AF123:$AJ133,MATCH(MIN($AK123:$AK133),$AK123:$AK133,0),1)/INDEX($C123:$AJ133,MATCH(MIN($AK123:$AK133),$AK123:$AK133,0),MATCH(IF('Data-solution'!$A$3="Maximize",MAX($C134:$AI134),MIN($C134:$AI134)),$C134:$AI134,0))),AF131)</f>
        <v>0</v>
      </c>
      <c r="AG146" s="1">
        <f>IF(OR($B138&lt;&gt;$B123,$B139&lt;&gt;$B124,$B140&lt;&gt;$B125,$B141&lt;&gt;$B126,$B142&lt;&gt;$B127,$B143&lt;&gt;$B128,$B144&lt;&gt;$B129,$B145&lt;&gt;$B130,$B146&lt;&gt;$B131,$B147&lt;&gt;$B132,$B148&lt;&gt;$B133),IF($B146&lt;&gt;$B131,AG131/INDEX($C123:$AJ133,9,MATCH(IF('Data-solution'!$A$3="Maximize",MAX($C134:$AI134),MIN($C134:$AI134)),$C134:$AI134,0)),AG131-INDEX($C123:$AJ133,9,MATCH(IF('Data-solution'!$A$3="Maximize",MAX($C134:$AI134),MIN($C134:$AI134)),$C134:$AI134,0))*INDEX(AG123:$AJ133,MATCH(MIN($AK123:$AK133),$AK123:$AK133,0),1)/INDEX($C123:$AJ133,MATCH(MIN($AK123:$AK133),$AK123:$AK133,0),MATCH(IF('Data-solution'!$A$3="Maximize",MAX($C134:$AI134),MIN($C134:$AI134)),$C134:$AI134,0))),AG131)</f>
        <v>1</v>
      </c>
      <c r="AH146" s="1">
        <f>IF(OR($B138&lt;&gt;$B123,$B139&lt;&gt;$B124,$B140&lt;&gt;$B125,$B141&lt;&gt;$B126,$B142&lt;&gt;$B127,$B143&lt;&gt;$B128,$B144&lt;&gt;$B129,$B145&lt;&gt;$B130,$B146&lt;&gt;$B131,$B147&lt;&gt;$B132,$B148&lt;&gt;$B133),IF($B146&lt;&gt;$B131,AH131/INDEX($C123:$AJ133,9,MATCH(IF('Data-solution'!$A$3="Maximize",MAX($C134:$AI134),MIN($C134:$AI134)),$C134:$AI134,0)),AH131-INDEX($C123:$AJ133,9,MATCH(IF('Data-solution'!$A$3="Maximize",MAX($C134:$AI134),MIN($C134:$AI134)),$C134:$AI134,0))*INDEX(AH123:$AJ133,MATCH(MIN($AK123:$AK133),$AK123:$AK133,0),1)/INDEX($C123:$AJ133,MATCH(MIN($AK123:$AK133),$AK123:$AK133,0),MATCH(IF('Data-solution'!$A$3="Maximize",MAX($C134:$AI134),MIN($C134:$AI134)),$C134:$AI134,0))),AH131)</f>
        <v>0</v>
      </c>
      <c r="AI146" s="1">
        <f>IF(OR($B138&lt;&gt;$B123,$B139&lt;&gt;$B124,$B140&lt;&gt;$B125,$B141&lt;&gt;$B126,$B142&lt;&gt;$B127,$B143&lt;&gt;$B128,$B144&lt;&gt;$B129,$B145&lt;&gt;$B130,$B146&lt;&gt;$B131,$B147&lt;&gt;$B132,$B148&lt;&gt;$B133),IF($B146&lt;&gt;$B131,AI131/INDEX($C123:$AJ133,9,MATCH(IF('Data-solution'!$A$3="Maximize",MAX($C134:$AI134),MIN($C134:$AI134)),$C134:$AI134,0)),AI131-INDEX($C123:$AJ133,9,MATCH(IF('Data-solution'!$A$3="Maximize",MAX($C134:$AI134),MIN($C134:$AI134)),$C134:$AI134,0))*INDEX(AI123:$AJ133,MATCH(MIN($AK123:$AK133),$AK123:$AK133,0),1)/INDEX($C123:$AJ133,MATCH(MIN($AK123:$AK133),$AK123:$AK133,0),MATCH(IF('Data-solution'!$A$3="Maximize",MAX($C134:$AI134),MIN($C134:$AI134)),$C134:$AI134,0))),AI131)</f>
        <v>0</v>
      </c>
      <c r="AJ146" s="1">
        <f>IF(OR($B138&lt;&gt;$B123,$B139&lt;&gt;$B124,$B140&lt;&gt;$B125,$B141&lt;&gt;$B126,$B142&lt;&gt;$B127,$B143&lt;&gt;$B128,$B144&lt;&gt;$B129,$B145&lt;&gt;$B130,$B146&lt;&gt;$B131,$B147&lt;&gt;$B132,$B148&lt;&gt;$B133),IF($B146&lt;&gt;$B131,AJ131/INDEX($C123:$AJ133,9,MATCH(IF('Data-solution'!$A$3="Maximize",MAX($C134:$AI134),MIN($C134:$AI134)),$C134:$AI134,0)),AJ131-INDEX($C123:$AJ133,9,MATCH(IF('Data-solution'!$A$3="Maximize",MAX($C134:$AI134),MIN($C134:$AI134)),$C134:$AI134,0))*INDEX(AJ123:$AJ133,MATCH(MIN($AK123:$AK133),$AK123:$AK133,0),1)/INDEX($C123:$AJ133,MATCH(MIN($AK123:$AK133),$AK123:$AK133,0),MATCH(IF('Data-solution'!$A$3="Maximize",MAX($C134:$AI134),MIN($C134:$AI134)),$C134:$AI134,0))),AJ131)</f>
        <v>0</v>
      </c>
      <c r="AK146" s="1" t="str">
        <f>IF(INDEX(C146:X146,1,MATCH(IF('Data-solution'!A$3="Maximize",MAX(C149:X149),MIN(C149:X149)),C149:X149,0))&gt;0,AJ146/INDEX(C146:X146,1,MATCH(IF('Data-solution'!A$3="Maximize",MAX(C149:X149),MIN(C149:X149)),C149:X149,0))," ")</f>
        <v xml:space="preserve"> </v>
      </c>
    </row>
    <row r="147" spans="1:37" ht="18" customHeight="1" x14ac:dyDescent="0.2">
      <c r="A147" s="1">
        <f t="shared" ref="A147" si="119">INDEX(C136:AI136,1,MATCH(B147,C137:AI137,0))</f>
        <v>0</v>
      </c>
      <c r="B147" s="2" t="str">
        <f>IF(AND('Data-solution'!A$3="Maximize",COUNTIF(C134:X134,"&gt;"&amp;0)&gt;0,AK132=MIN(AK123:AK133),COUNTIF(B138:B146,INDEX(C122:X122,1,MATCH(MAX(C134:X134),C134:X134,0)))=0),INDEX(C122:X122,1,MATCH(MAX(C134:X134),C134:X134,0)),IF(AND('Data-solution'!A$3="Minimize",COUNTIF(C134:X134,"&lt;"&amp;0)&gt;0,AK132=MIN(AK123:AK133),COUNTIF(B138:B146,INDEX(C122:X122,1,MATCH(MIN(C134:X134),C134:X134,0)))=0),INDEX(C122:X122,1,MATCH(MIN(C134:X134),C134:X134,0)),B132))</f>
        <v>S10</v>
      </c>
      <c r="C147" s="1">
        <f>IF(OR($B138&lt;&gt;$B123,$B139&lt;&gt;$B124,$B140&lt;&gt;$B125,$B141&lt;&gt;$B126,$B142&lt;&gt;$B127,$B143&lt;&gt;$B128,$B144&lt;&gt;$B129,$B145&lt;&gt;$B130,$B146&lt;&gt;$B131,$B147&lt;&gt;$B132,$B148&lt;&gt;$B133),IF($B147&lt;&gt;$B132,C132/INDEX($C123:$AJ133,10,MATCH(IF('Data-solution'!$A$3="Maximize",MAX($C134:$AI134),MIN($C134:$AI134)),$C134:$AI134,0)),C132-INDEX($C123:$AJ133,10,MATCH(IF('Data-solution'!$A$3="Maximize",MAX($C134:$AI134),MIN($C134:$AI134)),$C134:$AI134,0))*INDEX(C123:$AJ133,MATCH(MIN($AK123:$AK133),$AK123:$AK133,0),1)/INDEX($C123:$AJ133,MATCH(MIN($AK123:$AK133),$AK123:$AK133,0),MATCH(IF('Data-solution'!$A$3="Maximize",MAX($C134:$AI134),MIN($C134:$AI134)),$C134:$AI134,0))),C132)</f>
        <v>0</v>
      </c>
      <c r="D147" s="1">
        <f>IF(OR($B138&lt;&gt;$B123,$B139&lt;&gt;$B124,$B140&lt;&gt;$B125,$B141&lt;&gt;$B126,$B142&lt;&gt;$B127,$B143&lt;&gt;$B128,$B144&lt;&gt;$B129,$B145&lt;&gt;$B130,$B146&lt;&gt;$B131,$B147&lt;&gt;$B132,$B148&lt;&gt;$B133),IF($B147&lt;&gt;$B132,D132/INDEX($C123:$AJ133,10,MATCH(IF('Data-solution'!$A$3="Maximize",MAX($C134:$AI134),MIN($C134:$AI134)),$C134:$AI134,0)),D132-INDEX($C123:$AJ133,10,MATCH(IF('Data-solution'!$A$3="Maximize",MAX($C134:$AI134),MIN($C134:$AI134)),$C134:$AI134,0))*INDEX(D123:$AJ133,MATCH(MIN($AK123:$AK133),$AK123:$AK133,0),1)/INDEX($C123:$AJ133,MATCH(MIN($AK123:$AK133),$AK123:$AK133,0),MATCH(IF('Data-solution'!$A$3="Maximize",MAX($C134:$AI134),MIN($C134:$AI134)),$C134:$AI134,0))),D132)</f>
        <v>0</v>
      </c>
      <c r="E147" s="1">
        <f>IF(OR($B138&lt;&gt;$B123,$B139&lt;&gt;$B124,$B140&lt;&gt;$B125,$B141&lt;&gt;$B126,$B142&lt;&gt;$B127,$B143&lt;&gt;$B128,$B144&lt;&gt;$B129,$B145&lt;&gt;$B130,$B146&lt;&gt;$B131,$B147&lt;&gt;$B132,$B148&lt;&gt;$B133),IF($B147&lt;&gt;$B132,E132/INDEX($C123:$AJ133,10,MATCH(IF('Data-solution'!$A$3="Maximize",MAX($C134:$AI134),MIN($C134:$AI134)),$C134:$AI134,0)),E132-INDEX($C123:$AJ133,10,MATCH(IF('Data-solution'!$A$3="Maximize",MAX($C134:$AI134),MIN($C134:$AI134)),$C134:$AI134,0))*INDEX(E123:$AJ133,MATCH(MIN($AK123:$AK133),$AK123:$AK133,0),1)/INDEX($C123:$AJ133,MATCH(MIN($AK123:$AK133),$AK123:$AK133,0),MATCH(IF('Data-solution'!$A$3="Maximize",MAX($C134:$AI134),MIN($C134:$AI134)),$C134:$AI134,0))),E132)</f>
        <v>0</v>
      </c>
      <c r="F147" s="1">
        <f>IF(OR($B138&lt;&gt;$B123,$B139&lt;&gt;$B124,$B140&lt;&gt;$B125,$B141&lt;&gt;$B126,$B142&lt;&gt;$B127,$B143&lt;&gt;$B128,$B144&lt;&gt;$B129,$B145&lt;&gt;$B130,$B146&lt;&gt;$B131,$B147&lt;&gt;$B132,$B148&lt;&gt;$B133),IF($B147&lt;&gt;$B132,F132/INDEX($C123:$AJ133,10,MATCH(IF('Data-solution'!$A$3="Maximize",MAX($C134:$AI134),MIN($C134:$AI134)),$C134:$AI134,0)),F132-INDEX($C123:$AJ133,10,MATCH(IF('Data-solution'!$A$3="Maximize",MAX($C134:$AI134),MIN($C134:$AI134)),$C134:$AI134,0))*INDEX(F123:$AJ133,MATCH(MIN($AK123:$AK133),$AK123:$AK133,0),1)/INDEX($C123:$AJ133,MATCH(MIN($AK123:$AK133),$AK123:$AK133,0),MATCH(IF('Data-solution'!$A$3="Maximize",MAX($C134:$AI134),MIN($C134:$AI134)),$C134:$AI134,0))),F132)</f>
        <v>0</v>
      </c>
      <c r="G147" s="1">
        <f>IF(OR($B138&lt;&gt;$B123,$B139&lt;&gt;$B124,$B140&lt;&gt;$B125,$B141&lt;&gt;$B126,$B142&lt;&gt;$B127,$B143&lt;&gt;$B128,$B144&lt;&gt;$B129,$B145&lt;&gt;$B130,$B146&lt;&gt;$B131,$B147&lt;&gt;$B132,$B148&lt;&gt;$B133),IF($B147&lt;&gt;$B132,G132/INDEX($C123:$AJ133,10,MATCH(IF('Data-solution'!$A$3="Maximize",MAX($C134:$AI134),MIN($C134:$AI134)),$C134:$AI134,0)),G132-INDEX($C123:$AJ133,10,MATCH(IF('Data-solution'!$A$3="Maximize",MAX($C134:$AI134),MIN($C134:$AI134)),$C134:$AI134,0))*INDEX(G123:$AJ133,MATCH(MIN($AK123:$AK133),$AK123:$AK133,0),1)/INDEX($C123:$AJ133,MATCH(MIN($AK123:$AK133),$AK123:$AK133,0),MATCH(IF('Data-solution'!$A$3="Maximize",MAX($C134:$AI134),MIN($C134:$AI134)),$C134:$AI134,0))),G132)</f>
        <v>0</v>
      </c>
      <c r="H147" s="1">
        <f>IF(OR($B138&lt;&gt;$B123,$B139&lt;&gt;$B124,$B140&lt;&gt;$B125,$B141&lt;&gt;$B126,$B142&lt;&gt;$B127,$B143&lt;&gt;$B128,$B144&lt;&gt;$B129,$B145&lt;&gt;$B130,$B146&lt;&gt;$B131,$B147&lt;&gt;$B132,$B148&lt;&gt;$B133),IF($B147&lt;&gt;$B132,H132/INDEX($C123:$AJ133,10,MATCH(IF('Data-solution'!$A$3="Maximize",MAX($C134:$AI134),MIN($C134:$AI134)),$C134:$AI134,0)),H132-INDEX($C123:$AJ133,10,MATCH(IF('Data-solution'!$A$3="Maximize",MAX($C134:$AI134),MIN($C134:$AI134)),$C134:$AI134,0))*INDEX(H123:$AJ133,MATCH(MIN($AK123:$AK133),$AK123:$AK133,0),1)/INDEX($C123:$AJ133,MATCH(MIN($AK123:$AK133),$AK123:$AK133,0),MATCH(IF('Data-solution'!$A$3="Maximize",MAX($C134:$AI134),MIN($C134:$AI134)),$C134:$AI134,0))),H132)</f>
        <v>0</v>
      </c>
      <c r="I147" s="1">
        <f>IF(OR($B138&lt;&gt;$B123,$B139&lt;&gt;$B124,$B140&lt;&gt;$B125,$B141&lt;&gt;$B126,$B142&lt;&gt;$B127,$B143&lt;&gt;$B128,$B144&lt;&gt;$B129,$B145&lt;&gt;$B130,$B146&lt;&gt;$B131,$B147&lt;&gt;$B132,$B148&lt;&gt;$B133),IF($B147&lt;&gt;$B132,I132/INDEX($C123:$AJ133,10,MATCH(IF('Data-solution'!$A$3="Maximize",MAX($C134:$AI134),MIN($C134:$AI134)),$C134:$AI134,0)),I132-INDEX($C123:$AJ133,10,MATCH(IF('Data-solution'!$A$3="Maximize",MAX($C134:$AI134),MIN($C134:$AI134)),$C134:$AI134,0))*INDEX(I123:$AJ133,MATCH(MIN($AK123:$AK133),$AK123:$AK133,0),1)/INDEX($C123:$AJ133,MATCH(MIN($AK123:$AK133),$AK123:$AK133,0),MATCH(IF('Data-solution'!$A$3="Maximize",MAX($C134:$AI134),MIN($C134:$AI134)),$C134:$AI134,0))),I132)</f>
        <v>0</v>
      </c>
      <c r="J147" s="1">
        <f>IF(OR($B138&lt;&gt;$B123,$B139&lt;&gt;$B124,$B140&lt;&gt;$B125,$B141&lt;&gt;$B126,$B142&lt;&gt;$B127,$B143&lt;&gt;$B128,$B144&lt;&gt;$B129,$B145&lt;&gt;$B130,$B146&lt;&gt;$B131,$B147&lt;&gt;$B132,$B148&lt;&gt;$B133),IF($B147&lt;&gt;$B132,J132/INDEX($C123:$AJ133,10,MATCH(IF('Data-solution'!$A$3="Maximize",MAX($C134:$AI134),MIN($C134:$AI134)),$C134:$AI134,0)),J132-INDEX($C123:$AJ133,10,MATCH(IF('Data-solution'!$A$3="Maximize",MAX($C134:$AI134),MIN($C134:$AI134)),$C134:$AI134,0))*INDEX(J123:$AJ133,MATCH(MIN($AK123:$AK133),$AK123:$AK133,0),1)/INDEX($C123:$AJ133,MATCH(MIN($AK123:$AK133),$AK123:$AK133,0),MATCH(IF('Data-solution'!$A$3="Maximize",MAX($C134:$AI134),MIN($C134:$AI134)),$C134:$AI134,0))),J132)</f>
        <v>0</v>
      </c>
      <c r="K147" s="1">
        <f>IF(OR($B138&lt;&gt;$B123,$B139&lt;&gt;$B124,$B140&lt;&gt;$B125,$B141&lt;&gt;$B126,$B142&lt;&gt;$B127,$B143&lt;&gt;$B128,$B144&lt;&gt;$B129,$B145&lt;&gt;$B130,$B146&lt;&gt;$B131,$B147&lt;&gt;$B132,$B148&lt;&gt;$B133),IF($B147&lt;&gt;$B132,K132/INDEX($C123:$AJ133,10,MATCH(IF('Data-solution'!$A$3="Maximize",MAX($C134:$AI134),MIN($C134:$AI134)),$C134:$AI134,0)),K132-INDEX($C123:$AJ133,10,MATCH(IF('Data-solution'!$A$3="Maximize",MAX($C134:$AI134),MIN($C134:$AI134)),$C134:$AI134,0))*INDEX(K123:$AJ133,MATCH(MIN($AK123:$AK133),$AK123:$AK133,0),1)/INDEX($C123:$AJ133,MATCH(MIN($AK123:$AK133),$AK123:$AK133,0),MATCH(IF('Data-solution'!$A$3="Maximize",MAX($C134:$AI134),MIN($C134:$AI134)),$C134:$AI134,0))),K132)</f>
        <v>0</v>
      </c>
      <c r="L147" s="1">
        <f>IF(OR($B138&lt;&gt;$B123,$B139&lt;&gt;$B124,$B140&lt;&gt;$B125,$B141&lt;&gt;$B126,$B142&lt;&gt;$B127,$B143&lt;&gt;$B128,$B144&lt;&gt;$B129,$B145&lt;&gt;$B130,$B146&lt;&gt;$B131,$B147&lt;&gt;$B132,$B148&lt;&gt;$B133),IF($B147&lt;&gt;$B132,L132/INDEX($C123:$AJ133,10,MATCH(IF('Data-solution'!$A$3="Maximize",MAX($C134:$AI134),MIN($C134:$AI134)),$C134:$AI134,0)),L132-INDEX($C123:$AJ133,10,MATCH(IF('Data-solution'!$A$3="Maximize",MAX($C134:$AI134),MIN($C134:$AI134)),$C134:$AI134,0))*INDEX(L123:$AJ133,MATCH(MIN($AK123:$AK133),$AK123:$AK133,0),1)/INDEX($C123:$AJ133,MATCH(MIN($AK123:$AK133),$AK123:$AK133,0),MATCH(IF('Data-solution'!$A$3="Maximize",MAX($C134:$AI134),MIN($C134:$AI134)),$C134:$AI134,0))),L132)</f>
        <v>0</v>
      </c>
      <c r="M147" s="1">
        <f>IF(OR($B138&lt;&gt;$B123,$B139&lt;&gt;$B124,$B140&lt;&gt;$B125,$B141&lt;&gt;$B126,$B142&lt;&gt;$B127,$B143&lt;&gt;$B128,$B144&lt;&gt;$B129,$B145&lt;&gt;$B130,$B146&lt;&gt;$B131,$B147&lt;&gt;$B132,$B148&lt;&gt;$B133),IF($B147&lt;&gt;$B132,M132/INDEX($C123:$AJ133,10,MATCH(IF('Data-solution'!$A$3="Maximize",MAX($C134:$AI134),MIN($C134:$AI134)),$C134:$AI134,0)),M132-INDEX($C123:$AJ133,10,MATCH(IF('Data-solution'!$A$3="Maximize",MAX($C134:$AI134),MIN($C134:$AI134)),$C134:$AI134,0))*INDEX(M123:$AJ133,MATCH(MIN($AK123:$AK133),$AK123:$AK133,0),1)/INDEX($C123:$AJ133,MATCH(MIN($AK123:$AK133),$AK123:$AK133,0),MATCH(IF('Data-solution'!$A$3="Maximize",MAX($C134:$AI134),MIN($C134:$AI134)),$C134:$AI134,0))),M132)</f>
        <v>0</v>
      </c>
      <c r="N147" s="1">
        <f>IF(OR($B138&lt;&gt;$B123,$B139&lt;&gt;$B124,$B140&lt;&gt;$B125,$B141&lt;&gt;$B126,$B142&lt;&gt;$B127,$B143&lt;&gt;$B128,$B144&lt;&gt;$B129,$B145&lt;&gt;$B130,$B146&lt;&gt;$B131,$B147&lt;&gt;$B132,$B148&lt;&gt;$B133),IF($B147&lt;&gt;$B132,N132/INDEX($C123:$AJ133,10,MATCH(IF('Data-solution'!$A$3="Maximize",MAX($C134:$AI134),MIN($C134:$AI134)),$C134:$AI134,0)),N132-INDEX($C123:$AJ133,10,MATCH(IF('Data-solution'!$A$3="Maximize",MAX($C134:$AI134),MIN($C134:$AI134)),$C134:$AI134,0))*INDEX(N123:$AJ133,MATCH(MIN($AK123:$AK133),$AK123:$AK133,0),1)/INDEX($C123:$AJ133,MATCH(MIN($AK123:$AK133),$AK123:$AK133,0),MATCH(IF('Data-solution'!$A$3="Maximize",MAX($C134:$AI134),MIN($C134:$AI134)),$C134:$AI134,0))),N132)</f>
        <v>0</v>
      </c>
      <c r="O147" s="1">
        <f>IF(OR($B138&lt;&gt;$B123,$B139&lt;&gt;$B124,$B140&lt;&gt;$B125,$B141&lt;&gt;$B126,$B142&lt;&gt;$B127,$B143&lt;&gt;$B128,$B144&lt;&gt;$B129,$B145&lt;&gt;$B130,$B146&lt;&gt;$B131,$B147&lt;&gt;$B132,$B148&lt;&gt;$B133),IF($B147&lt;&gt;$B132,O132/INDEX($C123:$AJ133,10,MATCH(IF('Data-solution'!$A$3="Maximize",MAX($C134:$AI134),MIN($C134:$AI134)),$C134:$AI134,0)),O132-INDEX($C123:$AJ133,10,MATCH(IF('Data-solution'!$A$3="Maximize",MAX($C134:$AI134),MIN($C134:$AI134)),$C134:$AI134,0))*INDEX(O123:$AJ133,MATCH(MIN($AK123:$AK133),$AK123:$AK133,0),1)/INDEX($C123:$AJ133,MATCH(MIN($AK123:$AK133),$AK123:$AK133,0),MATCH(IF('Data-solution'!$A$3="Maximize",MAX($C134:$AI134),MIN($C134:$AI134)),$C134:$AI134,0))),O132)</f>
        <v>0</v>
      </c>
      <c r="P147" s="1">
        <f>IF(OR($B138&lt;&gt;$B123,$B139&lt;&gt;$B124,$B140&lt;&gt;$B125,$B141&lt;&gt;$B126,$B142&lt;&gt;$B127,$B143&lt;&gt;$B128,$B144&lt;&gt;$B129,$B145&lt;&gt;$B130,$B146&lt;&gt;$B131,$B147&lt;&gt;$B132,$B148&lt;&gt;$B133),IF($B147&lt;&gt;$B132,P132/INDEX($C123:$AJ133,10,MATCH(IF('Data-solution'!$A$3="Maximize",MAX($C134:$AI134),MIN($C134:$AI134)),$C134:$AI134,0)),P132-INDEX($C123:$AJ133,10,MATCH(IF('Data-solution'!$A$3="Maximize",MAX($C134:$AI134),MIN($C134:$AI134)),$C134:$AI134,0))*INDEX(P123:$AJ133,MATCH(MIN($AK123:$AK133),$AK123:$AK133,0),1)/INDEX($C123:$AJ133,MATCH(MIN($AK123:$AK133),$AK123:$AK133,0),MATCH(IF('Data-solution'!$A$3="Maximize",MAX($C134:$AI134),MIN($C134:$AI134)),$C134:$AI134,0))),P132)</f>
        <v>0</v>
      </c>
      <c r="Q147" s="1">
        <f>IF(OR($B138&lt;&gt;$B123,$B139&lt;&gt;$B124,$B140&lt;&gt;$B125,$B141&lt;&gt;$B126,$B142&lt;&gt;$B127,$B143&lt;&gt;$B128,$B144&lt;&gt;$B129,$B145&lt;&gt;$B130,$B146&lt;&gt;$B131,$B147&lt;&gt;$B132,$B148&lt;&gt;$B133),IF($B147&lt;&gt;$B132,Q132/INDEX($C123:$AJ133,10,MATCH(IF('Data-solution'!$A$3="Maximize",MAX($C134:$AI134),MIN($C134:$AI134)),$C134:$AI134,0)),Q132-INDEX($C123:$AJ133,10,MATCH(IF('Data-solution'!$A$3="Maximize",MAX($C134:$AI134),MIN($C134:$AI134)),$C134:$AI134,0))*INDEX(Q123:$AJ133,MATCH(MIN($AK123:$AK133),$AK123:$AK133,0),1)/INDEX($C123:$AJ133,MATCH(MIN($AK123:$AK133),$AK123:$AK133,0),MATCH(IF('Data-solution'!$A$3="Maximize",MAX($C134:$AI134),MIN($C134:$AI134)),$C134:$AI134,0))),Q132)</f>
        <v>0</v>
      </c>
      <c r="R147" s="1">
        <f>IF(OR($B138&lt;&gt;$B123,$B139&lt;&gt;$B124,$B140&lt;&gt;$B125,$B141&lt;&gt;$B126,$B142&lt;&gt;$B127,$B143&lt;&gt;$B128,$B144&lt;&gt;$B129,$B145&lt;&gt;$B130,$B146&lt;&gt;$B131,$B147&lt;&gt;$B132,$B148&lt;&gt;$B133),IF($B147&lt;&gt;$B132,R132/INDEX($C123:$AJ133,10,MATCH(IF('Data-solution'!$A$3="Maximize",MAX($C134:$AI134),MIN($C134:$AI134)),$C134:$AI134,0)),R132-INDEX($C123:$AJ133,10,MATCH(IF('Data-solution'!$A$3="Maximize",MAX($C134:$AI134),MIN($C134:$AI134)),$C134:$AI134,0))*INDEX(R123:$AJ133,MATCH(MIN($AK123:$AK133),$AK123:$AK133,0),1)/INDEX($C123:$AJ133,MATCH(MIN($AK123:$AK133),$AK123:$AK133,0),MATCH(IF('Data-solution'!$A$3="Maximize",MAX($C134:$AI134),MIN($C134:$AI134)),$C134:$AI134,0))),R132)</f>
        <v>0</v>
      </c>
      <c r="S147" s="1">
        <f>IF(OR($B138&lt;&gt;$B123,$B139&lt;&gt;$B124,$B140&lt;&gt;$B125,$B141&lt;&gt;$B126,$B142&lt;&gt;$B127,$B143&lt;&gt;$B128,$B144&lt;&gt;$B129,$B145&lt;&gt;$B130,$B146&lt;&gt;$B131,$B147&lt;&gt;$B132,$B148&lt;&gt;$B133),IF($B147&lt;&gt;$B132,S132/INDEX($C123:$AJ133,10,MATCH(IF('Data-solution'!$A$3="Maximize",MAX($C134:$AI134),MIN($C134:$AI134)),$C134:$AI134,0)),S132-INDEX($C123:$AJ133,10,MATCH(IF('Data-solution'!$A$3="Maximize",MAX($C134:$AI134),MIN($C134:$AI134)),$C134:$AI134,0))*INDEX(S123:$AJ133,MATCH(MIN($AK123:$AK133),$AK123:$AK133,0),1)/INDEX($C123:$AJ133,MATCH(MIN($AK123:$AK133),$AK123:$AK133,0),MATCH(IF('Data-solution'!$A$3="Maximize",MAX($C134:$AI134),MIN($C134:$AI134)),$C134:$AI134,0))),S132)</f>
        <v>0</v>
      </c>
      <c r="T147" s="1">
        <f>IF(OR($B138&lt;&gt;$B123,$B139&lt;&gt;$B124,$B140&lt;&gt;$B125,$B141&lt;&gt;$B126,$B142&lt;&gt;$B127,$B143&lt;&gt;$B128,$B144&lt;&gt;$B129,$B145&lt;&gt;$B130,$B146&lt;&gt;$B131,$B147&lt;&gt;$B132,$B148&lt;&gt;$B133),IF($B147&lt;&gt;$B132,T132/INDEX($C123:$AJ133,10,MATCH(IF('Data-solution'!$A$3="Maximize",MAX($C134:$AI134),MIN($C134:$AI134)),$C134:$AI134,0)),T132-INDEX($C123:$AJ133,10,MATCH(IF('Data-solution'!$A$3="Maximize",MAX($C134:$AI134),MIN($C134:$AI134)),$C134:$AI134,0))*INDEX(T123:$AJ133,MATCH(MIN($AK123:$AK133),$AK123:$AK133,0),1)/INDEX($C123:$AJ133,MATCH(MIN($AK123:$AK133),$AK123:$AK133,0),MATCH(IF('Data-solution'!$A$3="Maximize",MAX($C134:$AI134),MIN($C134:$AI134)),$C134:$AI134,0))),T132)</f>
        <v>0</v>
      </c>
      <c r="U147" s="1">
        <f>IF(OR($B138&lt;&gt;$B123,$B139&lt;&gt;$B124,$B140&lt;&gt;$B125,$B141&lt;&gt;$B126,$B142&lt;&gt;$B127,$B143&lt;&gt;$B128,$B144&lt;&gt;$B129,$B145&lt;&gt;$B130,$B146&lt;&gt;$B131,$B147&lt;&gt;$B132,$B148&lt;&gt;$B133),IF($B147&lt;&gt;$B132,U132/INDEX($C123:$AJ133,10,MATCH(IF('Data-solution'!$A$3="Maximize",MAX($C134:$AI134),MIN($C134:$AI134)),$C134:$AI134,0)),U132-INDEX($C123:$AJ133,10,MATCH(IF('Data-solution'!$A$3="Maximize",MAX($C134:$AI134),MIN($C134:$AI134)),$C134:$AI134,0))*INDEX(U123:$AJ133,MATCH(MIN($AK123:$AK133),$AK123:$AK133,0),1)/INDEX($C123:$AJ133,MATCH(MIN($AK123:$AK133),$AK123:$AK133,0),MATCH(IF('Data-solution'!$A$3="Maximize",MAX($C134:$AI134),MIN($C134:$AI134)),$C134:$AI134,0))),U132)</f>
        <v>0</v>
      </c>
      <c r="V147" s="1">
        <f>IF(OR($B138&lt;&gt;$B123,$B139&lt;&gt;$B124,$B140&lt;&gt;$B125,$B141&lt;&gt;$B126,$B142&lt;&gt;$B127,$B143&lt;&gt;$B128,$B144&lt;&gt;$B129,$B145&lt;&gt;$B130,$B146&lt;&gt;$B131,$B147&lt;&gt;$B132,$B148&lt;&gt;$B133),IF($B147&lt;&gt;$B132,V132/INDEX($C123:$AJ133,10,MATCH(IF('Data-solution'!$A$3="Maximize",MAX($C134:$AI134),MIN($C134:$AI134)),$C134:$AI134,0)),V132-INDEX($C123:$AJ133,10,MATCH(IF('Data-solution'!$A$3="Maximize",MAX($C134:$AI134),MIN($C134:$AI134)),$C134:$AI134,0))*INDEX(V123:$AJ133,MATCH(MIN($AK123:$AK133),$AK123:$AK133,0),1)/INDEX($C123:$AJ133,MATCH(MIN($AK123:$AK133),$AK123:$AK133,0),MATCH(IF('Data-solution'!$A$3="Maximize",MAX($C134:$AI134),MIN($C134:$AI134)),$C134:$AI134,0))),V132)</f>
        <v>0</v>
      </c>
      <c r="W147" s="1">
        <f>IF(OR($B138&lt;&gt;$B123,$B139&lt;&gt;$B124,$B140&lt;&gt;$B125,$B141&lt;&gt;$B126,$B142&lt;&gt;$B127,$B143&lt;&gt;$B128,$B144&lt;&gt;$B129,$B145&lt;&gt;$B130,$B146&lt;&gt;$B131,$B147&lt;&gt;$B132,$B148&lt;&gt;$B133),IF($B147&lt;&gt;$B132,W132/INDEX($C123:$AJ133,10,MATCH(IF('Data-solution'!$A$3="Maximize",MAX($C134:$AI134),MIN($C134:$AI134)),$C134:$AI134,0)),W132-INDEX($C123:$AJ133,10,MATCH(IF('Data-solution'!$A$3="Maximize",MAX($C134:$AI134),MIN($C134:$AI134)),$C134:$AI134,0))*INDEX(W123:$AJ133,MATCH(MIN($AK123:$AK133),$AK123:$AK133,0),1)/INDEX($C123:$AJ133,MATCH(MIN($AK123:$AK133),$AK123:$AK133,0),MATCH(IF('Data-solution'!$A$3="Maximize",MAX($C134:$AI134),MIN($C134:$AI134)),$C134:$AI134,0))),W132)</f>
        <v>1</v>
      </c>
      <c r="X147" s="1">
        <f>IF(OR($B138&lt;&gt;$B123,$B139&lt;&gt;$B124,$B140&lt;&gt;$B125,$B141&lt;&gt;$B126,$B142&lt;&gt;$B127,$B143&lt;&gt;$B128,$B144&lt;&gt;$B129,$B145&lt;&gt;$B130,$B146&lt;&gt;$B131,$B147&lt;&gt;$B132,$B148&lt;&gt;$B133),IF($B147&lt;&gt;$B132,X132/INDEX($C123:$AJ133,10,MATCH(IF('Data-solution'!$A$3="Maximize",MAX($C134:$AI134),MIN($C134:$AI134)),$C134:$AI134,0)),X132-INDEX($C123:$AJ133,10,MATCH(IF('Data-solution'!$A$3="Maximize",MAX($C134:$AI134),MIN($C134:$AI134)),$C134:$AI134,0))*INDEX(X123:$AJ133,MATCH(MIN($AK123:$AK133),$AK123:$AK133,0),1)/INDEX($C123:$AJ133,MATCH(MIN($AK123:$AK133),$AK123:$AK133,0),MATCH(IF('Data-solution'!$A$3="Maximize",MAX($C134:$AI134),MIN($C134:$AI134)),$C134:$AI134,0))),X132)</f>
        <v>0</v>
      </c>
      <c r="Y147" s="1">
        <f>IF(OR($B138&lt;&gt;$B123,$B139&lt;&gt;$B124,$B140&lt;&gt;$B125,$B141&lt;&gt;$B126,$B142&lt;&gt;$B127,$B143&lt;&gt;$B128,$B144&lt;&gt;$B129,$B145&lt;&gt;$B130,$B146&lt;&gt;$B131,$B147&lt;&gt;$B132,$B148&lt;&gt;$B133),IF($B147&lt;&gt;$B132,Y132/INDEX($C123:$AJ133,10,MATCH(IF('Data-solution'!$A$3="Maximize",MAX($C134:$AI134),MIN($C134:$AI134)),$C134:$AI134,0)),Y132-INDEX($C123:$AJ133,10,MATCH(IF('Data-solution'!$A$3="Maximize",MAX($C134:$AI134),MIN($C134:$AI134)),$C134:$AI134,0))*INDEX(Y123:$AJ133,MATCH(MIN($AK123:$AK133),$AK123:$AK133,0),1)/INDEX($C123:$AJ133,MATCH(MIN($AK123:$AK133),$AK123:$AK133,0),MATCH(IF('Data-solution'!$A$3="Maximize",MAX($C134:$AI134),MIN($C134:$AI134)),$C134:$AI134,0))),Y132)</f>
        <v>0</v>
      </c>
      <c r="Z147" s="1">
        <f>IF(OR($B138&lt;&gt;$B123,$B139&lt;&gt;$B124,$B140&lt;&gt;$B125,$B141&lt;&gt;$B126,$B142&lt;&gt;$B127,$B143&lt;&gt;$B128,$B144&lt;&gt;$B129,$B145&lt;&gt;$B130,$B146&lt;&gt;$B131,$B147&lt;&gt;$B132,$B148&lt;&gt;$B133),IF($B147&lt;&gt;$B132,Z132/INDEX($C123:$AJ133,10,MATCH(IF('Data-solution'!$A$3="Maximize",MAX($C134:$AI134),MIN($C134:$AI134)),$C134:$AI134,0)),Z132-INDEX($C123:$AJ133,10,MATCH(IF('Data-solution'!$A$3="Maximize",MAX($C134:$AI134),MIN($C134:$AI134)),$C134:$AI134,0))*INDEX(Z123:$AJ133,MATCH(MIN($AK123:$AK133),$AK123:$AK133,0),1)/INDEX($C123:$AJ133,MATCH(MIN($AK123:$AK133),$AK123:$AK133,0),MATCH(IF('Data-solution'!$A$3="Maximize",MAX($C134:$AI134),MIN($C134:$AI134)),$C134:$AI134,0))),Z132)</f>
        <v>0</v>
      </c>
      <c r="AA147" s="1">
        <f>IF(OR($B138&lt;&gt;$B123,$B139&lt;&gt;$B124,$B140&lt;&gt;$B125,$B141&lt;&gt;$B126,$B142&lt;&gt;$B127,$B143&lt;&gt;$B128,$B144&lt;&gt;$B129,$B145&lt;&gt;$B130,$B146&lt;&gt;$B131,$B147&lt;&gt;$B132,$B148&lt;&gt;$B133),IF($B147&lt;&gt;$B132,AA132/INDEX($C123:$AJ133,10,MATCH(IF('Data-solution'!$A$3="Maximize",MAX($C134:$AI134),MIN($C134:$AI134)),$C134:$AI134,0)),AA132-INDEX($C123:$AJ133,10,MATCH(IF('Data-solution'!$A$3="Maximize",MAX($C134:$AI134),MIN($C134:$AI134)),$C134:$AI134,0))*INDEX(AA123:$AJ133,MATCH(MIN($AK123:$AK133),$AK123:$AK133,0),1)/INDEX($C123:$AJ133,MATCH(MIN($AK123:$AK133),$AK123:$AK133,0),MATCH(IF('Data-solution'!$A$3="Maximize",MAX($C134:$AI134),MIN($C134:$AI134)),$C134:$AI134,0))),AA132)</f>
        <v>0</v>
      </c>
      <c r="AB147" s="1">
        <f>IF(OR($B138&lt;&gt;$B123,$B139&lt;&gt;$B124,$B140&lt;&gt;$B125,$B141&lt;&gt;$B126,$B142&lt;&gt;$B127,$B143&lt;&gt;$B128,$B144&lt;&gt;$B129,$B145&lt;&gt;$B130,$B146&lt;&gt;$B131,$B147&lt;&gt;$B132,$B148&lt;&gt;$B133),IF($B147&lt;&gt;$B132,AB132/INDEX($C123:$AJ133,10,MATCH(IF('Data-solution'!$A$3="Maximize",MAX($C134:$AI134),MIN($C134:$AI134)),$C134:$AI134,0)),AB132-INDEX($C123:$AJ133,10,MATCH(IF('Data-solution'!$A$3="Maximize",MAX($C134:$AI134),MIN($C134:$AI134)),$C134:$AI134,0))*INDEX(AB123:$AJ133,MATCH(MIN($AK123:$AK133),$AK123:$AK133,0),1)/INDEX($C123:$AJ133,MATCH(MIN($AK123:$AK133),$AK123:$AK133,0),MATCH(IF('Data-solution'!$A$3="Maximize",MAX($C134:$AI134),MIN($C134:$AI134)),$C134:$AI134,0))),AB132)</f>
        <v>0</v>
      </c>
      <c r="AC147" s="1">
        <f>IF(OR($B138&lt;&gt;$B123,$B139&lt;&gt;$B124,$B140&lt;&gt;$B125,$B141&lt;&gt;$B126,$B142&lt;&gt;$B127,$B143&lt;&gt;$B128,$B144&lt;&gt;$B129,$B145&lt;&gt;$B130,$B146&lt;&gt;$B131,$B147&lt;&gt;$B132,$B148&lt;&gt;$B133),IF($B147&lt;&gt;$B132,AC132/INDEX($C123:$AJ133,10,MATCH(IF('Data-solution'!$A$3="Maximize",MAX($C134:$AI134),MIN($C134:$AI134)),$C134:$AI134,0)),AC132-INDEX($C123:$AJ133,10,MATCH(IF('Data-solution'!$A$3="Maximize",MAX($C134:$AI134),MIN($C134:$AI134)),$C134:$AI134,0))*INDEX(AC123:$AJ133,MATCH(MIN($AK123:$AK133),$AK123:$AK133,0),1)/INDEX($C123:$AJ133,MATCH(MIN($AK123:$AK133),$AK123:$AK133,0),MATCH(IF('Data-solution'!$A$3="Maximize",MAX($C134:$AI134),MIN($C134:$AI134)),$C134:$AI134,0))),AC132)</f>
        <v>0</v>
      </c>
      <c r="AD147" s="1">
        <f>IF(OR($B138&lt;&gt;$B123,$B139&lt;&gt;$B124,$B140&lt;&gt;$B125,$B141&lt;&gt;$B126,$B142&lt;&gt;$B127,$B143&lt;&gt;$B128,$B144&lt;&gt;$B129,$B145&lt;&gt;$B130,$B146&lt;&gt;$B131,$B147&lt;&gt;$B132,$B148&lt;&gt;$B133),IF($B147&lt;&gt;$B132,AD132/INDEX($C123:$AJ133,10,MATCH(IF('Data-solution'!$A$3="Maximize",MAX($C134:$AI134),MIN($C134:$AI134)),$C134:$AI134,0)),AD132-INDEX($C123:$AJ133,10,MATCH(IF('Data-solution'!$A$3="Maximize",MAX($C134:$AI134),MIN($C134:$AI134)),$C134:$AI134,0))*INDEX(AD123:$AJ133,MATCH(MIN($AK123:$AK133),$AK123:$AK133,0),1)/INDEX($C123:$AJ133,MATCH(MIN($AK123:$AK133),$AK123:$AK133,0),MATCH(IF('Data-solution'!$A$3="Maximize",MAX($C134:$AI134),MIN($C134:$AI134)),$C134:$AI134,0))),AD132)</f>
        <v>0</v>
      </c>
      <c r="AE147" s="1">
        <f>IF(OR($B138&lt;&gt;$B123,$B139&lt;&gt;$B124,$B140&lt;&gt;$B125,$B141&lt;&gt;$B126,$B142&lt;&gt;$B127,$B143&lt;&gt;$B128,$B144&lt;&gt;$B129,$B145&lt;&gt;$B130,$B146&lt;&gt;$B131,$B147&lt;&gt;$B132,$B148&lt;&gt;$B133),IF($B147&lt;&gt;$B132,AE132/INDEX($C123:$AJ133,10,MATCH(IF('Data-solution'!$A$3="Maximize",MAX($C134:$AI134),MIN($C134:$AI134)),$C134:$AI134,0)),AE132-INDEX($C123:$AJ133,10,MATCH(IF('Data-solution'!$A$3="Maximize",MAX($C134:$AI134),MIN($C134:$AI134)),$C134:$AI134,0))*INDEX(AE123:$AJ133,MATCH(MIN($AK123:$AK133),$AK123:$AK133,0),1)/INDEX($C123:$AJ133,MATCH(MIN($AK123:$AK133),$AK123:$AK133,0),MATCH(IF('Data-solution'!$A$3="Maximize",MAX($C134:$AI134),MIN($C134:$AI134)),$C134:$AI134,0))),AE132)</f>
        <v>0</v>
      </c>
      <c r="AF147" s="1">
        <f>IF(OR($B138&lt;&gt;$B123,$B139&lt;&gt;$B124,$B140&lt;&gt;$B125,$B141&lt;&gt;$B126,$B142&lt;&gt;$B127,$B143&lt;&gt;$B128,$B144&lt;&gt;$B129,$B145&lt;&gt;$B130,$B146&lt;&gt;$B131,$B147&lt;&gt;$B132,$B148&lt;&gt;$B133),IF($B147&lt;&gt;$B132,AF132/INDEX($C123:$AJ133,10,MATCH(IF('Data-solution'!$A$3="Maximize",MAX($C134:$AI134),MIN($C134:$AI134)),$C134:$AI134,0)),AF132-INDEX($C123:$AJ133,10,MATCH(IF('Data-solution'!$A$3="Maximize",MAX($C134:$AI134),MIN($C134:$AI134)),$C134:$AI134,0))*INDEX(AF123:$AJ133,MATCH(MIN($AK123:$AK133),$AK123:$AK133,0),1)/INDEX($C123:$AJ133,MATCH(MIN($AK123:$AK133),$AK123:$AK133,0),MATCH(IF('Data-solution'!$A$3="Maximize",MAX($C134:$AI134),MIN($C134:$AI134)),$C134:$AI134,0))),AF132)</f>
        <v>0</v>
      </c>
      <c r="AG147" s="1">
        <f>IF(OR($B138&lt;&gt;$B123,$B139&lt;&gt;$B124,$B140&lt;&gt;$B125,$B141&lt;&gt;$B126,$B142&lt;&gt;$B127,$B143&lt;&gt;$B128,$B144&lt;&gt;$B129,$B145&lt;&gt;$B130,$B146&lt;&gt;$B131,$B147&lt;&gt;$B132,$B148&lt;&gt;$B133),IF($B147&lt;&gt;$B132,AG132/INDEX($C123:$AJ133,10,MATCH(IF('Data-solution'!$A$3="Maximize",MAX($C134:$AI134),MIN($C134:$AI134)),$C134:$AI134,0)),AG132-INDEX($C123:$AJ133,10,MATCH(IF('Data-solution'!$A$3="Maximize",MAX($C134:$AI134),MIN($C134:$AI134)),$C134:$AI134,0))*INDEX(AG123:$AJ133,MATCH(MIN($AK123:$AK133),$AK123:$AK133,0),1)/INDEX($C123:$AJ133,MATCH(MIN($AK123:$AK133),$AK123:$AK133,0),MATCH(IF('Data-solution'!$A$3="Maximize",MAX($C134:$AI134),MIN($C134:$AI134)),$C134:$AI134,0))),AG132)</f>
        <v>0</v>
      </c>
      <c r="AH147" s="1">
        <f>IF(OR($B138&lt;&gt;$B123,$B139&lt;&gt;$B124,$B140&lt;&gt;$B125,$B141&lt;&gt;$B126,$B142&lt;&gt;$B127,$B143&lt;&gt;$B128,$B144&lt;&gt;$B129,$B145&lt;&gt;$B130,$B146&lt;&gt;$B131,$B147&lt;&gt;$B132,$B148&lt;&gt;$B133),IF($B147&lt;&gt;$B132,AH132/INDEX($C123:$AJ133,10,MATCH(IF('Data-solution'!$A$3="Maximize",MAX($C134:$AI134),MIN($C134:$AI134)),$C134:$AI134,0)),AH132-INDEX($C123:$AJ133,10,MATCH(IF('Data-solution'!$A$3="Maximize",MAX($C134:$AI134),MIN($C134:$AI134)),$C134:$AI134,0))*INDEX(AH123:$AJ133,MATCH(MIN($AK123:$AK133),$AK123:$AK133,0),1)/INDEX($C123:$AJ133,MATCH(MIN($AK123:$AK133),$AK123:$AK133,0),MATCH(IF('Data-solution'!$A$3="Maximize",MAX($C134:$AI134),MIN($C134:$AI134)),$C134:$AI134,0))),AH132)</f>
        <v>1</v>
      </c>
      <c r="AI147" s="1">
        <f>IF(OR($B138&lt;&gt;$B123,$B139&lt;&gt;$B124,$B140&lt;&gt;$B125,$B141&lt;&gt;$B126,$B142&lt;&gt;$B127,$B143&lt;&gt;$B128,$B144&lt;&gt;$B129,$B145&lt;&gt;$B130,$B146&lt;&gt;$B131,$B147&lt;&gt;$B132,$B148&lt;&gt;$B133),IF($B147&lt;&gt;$B132,AI132/INDEX($C123:$AJ133,10,MATCH(IF('Data-solution'!$A$3="Maximize",MAX($C134:$AI134),MIN($C134:$AI134)),$C134:$AI134,0)),AI132-INDEX($C123:$AJ133,10,MATCH(IF('Data-solution'!$A$3="Maximize",MAX($C134:$AI134),MIN($C134:$AI134)),$C134:$AI134,0))*INDEX(AI123:$AJ133,MATCH(MIN($AK123:$AK133),$AK123:$AK133,0),1)/INDEX($C123:$AJ133,MATCH(MIN($AK123:$AK133),$AK123:$AK133,0),MATCH(IF('Data-solution'!$A$3="Maximize",MAX($C134:$AI134),MIN($C134:$AI134)),$C134:$AI134,0))),AI132)</f>
        <v>0</v>
      </c>
      <c r="AJ147" s="1">
        <f>IF(OR($B138&lt;&gt;$B123,$B139&lt;&gt;$B124,$B140&lt;&gt;$B125,$B141&lt;&gt;$B126,$B142&lt;&gt;$B127,$B143&lt;&gt;$B128,$B144&lt;&gt;$B129,$B145&lt;&gt;$B130,$B146&lt;&gt;$B131,$B147&lt;&gt;$B132,$B148&lt;&gt;$B133),IF($B147&lt;&gt;$B132,AJ132/INDEX($C123:$AJ133,10,MATCH(IF('Data-solution'!$A$3="Maximize",MAX($C134:$AI134),MIN($C134:$AI134)),$C134:$AI134,0)),AJ132-INDEX($C123:$AJ133,10,MATCH(IF('Data-solution'!$A$3="Maximize",MAX($C134:$AI134),MIN($C134:$AI134)),$C134:$AI134,0))*INDEX(AJ123:$AJ133,MATCH(MIN($AK123:$AK133),$AK123:$AK133,0),1)/INDEX($C123:$AJ133,MATCH(MIN($AK123:$AK133),$AK123:$AK133,0),MATCH(IF('Data-solution'!$A$3="Maximize",MAX($C134:$AI134),MIN($C134:$AI134)),$C134:$AI134,0))),AJ132)</f>
        <v>0</v>
      </c>
      <c r="AK147" s="1" t="str">
        <f>IF(INDEX(C147:X147,1,MATCH(IF('Data-solution'!A$3="Maximize",MAX(C149:X149),MIN(C149:X149)),C149:X149,0))&gt;0,AJ147/INDEX(C147:X147,1,MATCH(IF('Data-solution'!A$3="Maximize",MAX(C149:X149),MIN(C149:X149)),C149:X149,0))," ")</f>
        <v xml:space="preserve"> </v>
      </c>
    </row>
    <row r="148" spans="1:37" ht="18" customHeight="1" x14ac:dyDescent="0.2">
      <c r="A148" s="1">
        <f t="shared" ref="A148" si="120">INDEX(C136:AI136,1,MATCH(B148,C137:AI137,0))</f>
        <v>0</v>
      </c>
      <c r="B148" s="2" t="str">
        <f>IF(AND('Data-solution'!A$3="Maximize",COUNTIF(C134:X134,"&gt;"&amp;0)&gt;0,AK133=MIN(AK123:AK133),COUNTIF(B138:B147,INDEX(C122:X122,1,MATCH(MAX(C134:X134),C134:X134,0)))=0),INDEX(C122:X122,1,MATCH(MAX(C134:X134),C134:X134,0)),IF(AND('Data-solution'!A$3="Minimize",COUNTIF(C134:X134,"&lt;"&amp;0)&gt;0,AK133=MIN(AK123:AK133),COUNTIF(B138:B147,INDEX(C122:X122,1,MATCH(MIN(C134:X134),C134:X134,0)))=0),INDEX(C122:X122,1,MATCH(MIN(C134:X134),C134:X134,0)),B133))</f>
        <v>S11</v>
      </c>
      <c r="C148" s="1">
        <f>IF(OR($B138&lt;&gt;$B123,$B139&lt;&gt;$B124,$B140&lt;&gt;$B125,$B141&lt;&gt;$B126,$B142&lt;&gt;$B127,$B143&lt;&gt;$B128,$B144&lt;&gt;$B129,$B145&lt;&gt;$B130,$B146&lt;&gt;$B131,$B147&lt;&gt;$B132,$B148&lt;&gt;$B133),IF($B148&lt;&gt;$B133,C133/INDEX($C123:$AJ133,11,MATCH(IF('Data-solution'!$A$3="Maximize",MAX($C134:$AI134),MIN($C134:$AI134)),$C134:$AI134,0)),C133-INDEX($C123:$AJ133,11,MATCH(IF('Data-solution'!$A$3="Maximize",MAX($C134:$AI134),MIN($C134:$AI134)),$C134:$AI134,0))*INDEX(C123:$AJ133,MATCH(MIN($AK123:$AK133),$AK123:$AK133,0),1)/INDEX($C123:$AJ133,MATCH(MIN($AK123:$AK133),$AK123:$AK133,0),MATCH(IF('Data-solution'!$A$3="Maximize",MAX($C134:$AI134),MIN($C134:$AI134)),$C134:$AI134,0))),C133)</f>
        <v>0</v>
      </c>
      <c r="D148" s="1">
        <f>IF(OR($B138&lt;&gt;$B123,$B139&lt;&gt;$B124,$B140&lt;&gt;$B125,$B141&lt;&gt;$B126,$B142&lt;&gt;$B127,$B143&lt;&gt;$B128,$B144&lt;&gt;$B129,$B145&lt;&gt;$B130,$B146&lt;&gt;$B131,$B147&lt;&gt;$B132,$B148&lt;&gt;$B133),IF($B148&lt;&gt;$B133,D133/INDEX($C123:$AJ133,11,MATCH(IF('Data-solution'!$A$3="Maximize",MAX($C134:$AI134),MIN($C134:$AI134)),$C134:$AI134,0)),D133-INDEX($C123:$AJ133,11,MATCH(IF('Data-solution'!$A$3="Maximize",MAX($C134:$AI134),MIN($C134:$AI134)),$C134:$AI134,0))*INDEX(D123:$AJ133,MATCH(MIN($AK123:$AK133),$AK123:$AK133,0),1)/INDEX($C123:$AJ133,MATCH(MIN($AK123:$AK133),$AK123:$AK133,0),MATCH(IF('Data-solution'!$A$3="Maximize",MAX($C134:$AI134),MIN($C134:$AI134)),$C134:$AI134,0))),D133)</f>
        <v>0</v>
      </c>
      <c r="E148" s="1">
        <f>IF(OR($B138&lt;&gt;$B123,$B139&lt;&gt;$B124,$B140&lt;&gt;$B125,$B141&lt;&gt;$B126,$B142&lt;&gt;$B127,$B143&lt;&gt;$B128,$B144&lt;&gt;$B129,$B145&lt;&gt;$B130,$B146&lt;&gt;$B131,$B147&lt;&gt;$B132,$B148&lt;&gt;$B133),IF($B148&lt;&gt;$B133,E133/INDEX($C123:$AJ133,11,MATCH(IF('Data-solution'!$A$3="Maximize",MAX($C134:$AI134),MIN($C134:$AI134)),$C134:$AI134,0)),E133-INDEX($C123:$AJ133,11,MATCH(IF('Data-solution'!$A$3="Maximize",MAX($C134:$AI134),MIN($C134:$AI134)),$C134:$AI134,0))*INDEX(E123:$AJ133,MATCH(MIN($AK123:$AK133),$AK123:$AK133,0),1)/INDEX($C123:$AJ133,MATCH(MIN($AK123:$AK133),$AK123:$AK133,0),MATCH(IF('Data-solution'!$A$3="Maximize",MAX($C134:$AI134),MIN($C134:$AI134)),$C134:$AI134,0))),E133)</f>
        <v>0</v>
      </c>
      <c r="F148" s="1">
        <f>IF(OR($B138&lt;&gt;$B123,$B139&lt;&gt;$B124,$B140&lt;&gt;$B125,$B141&lt;&gt;$B126,$B142&lt;&gt;$B127,$B143&lt;&gt;$B128,$B144&lt;&gt;$B129,$B145&lt;&gt;$B130,$B146&lt;&gt;$B131,$B147&lt;&gt;$B132,$B148&lt;&gt;$B133),IF($B148&lt;&gt;$B133,F133/INDEX($C123:$AJ133,11,MATCH(IF('Data-solution'!$A$3="Maximize",MAX($C134:$AI134),MIN($C134:$AI134)),$C134:$AI134,0)),F133-INDEX($C123:$AJ133,11,MATCH(IF('Data-solution'!$A$3="Maximize",MAX($C134:$AI134),MIN($C134:$AI134)),$C134:$AI134,0))*INDEX(F123:$AJ133,MATCH(MIN($AK123:$AK133),$AK123:$AK133,0),1)/INDEX($C123:$AJ133,MATCH(MIN($AK123:$AK133),$AK123:$AK133,0),MATCH(IF('Data-solution'!$A$3="Maximize",MAX($C134:$AI134),MIN($C134:$AI134)),$C134:$AI134,0))),F133)</f>
        <v>0</v>
      </c>
      <c r="G148" s="1">
        <f>IF(OR($B138&lt;&gt;$B123,$B139&lt;&gt;$B124,$B140&lt;&gt;$B125,$B141&lt;&gt;$B126,$B142&lt;&gt;$B127,$B143&lt;&gt;$B128,$B144&lt;&gt;$B129,$B145&lt;&gt;$B130,$B146&lt;&gt;$B131,$B147&lt;&gt;$B132,$B148&lt;&gt;$B133),IF($B148&lt;&gt;$B133,G133/INDEX($C123:$AJ133,11,MATCH(IF('Data-solution'!$A$3="Maximize",MAX($C134:$AI134),MIN($C134:$AI134)),$C134:$AI134,0)),G133-INDEX($C123:$AJ133,11,MATCH(IF('Data-solution'!$A$3="Maximize",MAX($C134:$AI134),MIN($C134:$AI134)),$C134:$AI134,0))*INDEX(G123:$AJ133,MATCH(MIN($AK123:$AK133),$AK123:$AK133,0),1)/INDEX($C123:$AJ133,MATCH(MIN($AK123:$AK133),$AK123:$AK133,0),MATCH(IF('Data-solution'!$A$3="Maximize",MAX($C134:$AI134),MIN($C134:$AI134)),$C134:$AI134,0))),G133)</f>
        <v>0</v>
      </c>
      <c r="H148" s="1">
        <f>IF(OR($B138&lt;&gt;$B123,$B139&lt;&gt;$B124,$B140&lt;&gt;$B125,$B141&lt;&gt;$B126,$B142&lt;&gt;$B127,$B143&lt;&gt;$B128,$B144&lt;&gt;$B129,$B145&lt;&gt;$B130,$B146&lt;&gt;$B131,$B147&lt;&gt;$B132,$B148&lt;&gt;$B133),IF($B148&lt;&gt;$B133,H133/INDEX($C123:$AJ133,11,MATCH(IF('Data-solution'!$A$3="Maximize",MAX($C134:$AI134),MIN($C134:$AI134)),$C134:$AI134,0)),H133-INDEX($C123:$AJ133,11,MATCH(IF('Data-solution'!$A$3="Maximize",MAX($C134:$AI134),MIN($C134:$AI134)),$C134:$AI134,0))*INDEX(H123:$AJ133,MATCH(MIN($AK123:$AK133),$AK123:$AK133,0),1)/INDEX($C123:$AJ133,MATCH(MIN($AK123:$AK133),$AK123:$AK133,0),MATCH(IF('Data-solution'!$A$3="Maximize",MAX($C134:$AI134),MIN($C134:$AI134)),$C134:$AI134,0))),H133)</f>
        <v>0</v>
      </c>
      <c r="I148" s="1">
        <f>IF(OR($B138&lt;&gt;$B123,$B139&lt;&gt;$B124,$B140&lt;&gt;$B125,$B141&lt;&gt;$B126,$B142&lt;&gt;$B127,$B143&lt;&gt;$B128,$B144&lt;&gt;$B129,$B145&lt;&gt;$B130,$B146&lt;&gt;$B131,$B147&lt;&gt;$B132,$B148&lt;&gt;$B133),IF($B148&lt;&gt;$B133,I133/INDEX($C123:$AJ133,11,MATCH(IF('Data-solution'!$A$3="Maximize",MAX($C134:$AI134),MIN($C134:$AI134)),$C134:$AI134,0)),I133-INDEX($C123:$AJ133,11,MATCH(IF('Data-solution'!$A$3="Maximize",MAX($C134:$AI134),MIN($C134:$AI134)),$C134:$AI134,0))*INDEX(I123:$AJ133,MATCH(MIN($AK123:$AK133),$AK123:$AK133,0),1)/INDEX($C123:$AJ133,MATCH(MIN($AK123:$AK133),$AK123:$AK133,0),MATCH(IF('Data-solution'!$A$3="Maximize",MAX($C134:$AI134),MIN($C134:$AI134)),$C134:$AI134,0))),I133)</f>
        <v>0</v>
      </c>
      <c r="J148" s="1">
        <f>IF(OR($B138&lt;&gt;$B123,$B139&lt;&gt;$B124,$B140&lt;&gt;$B125,$B141&lt;&gt;$B126,$B142&lt;&gt;$B127,$B143&lt;&gt;$B128,$B144&lt;&gt;$B129,$B145&lt;&gt;$B130,$B146&lt;&gt;$B131,$B147&lt;&gt;$B132,$B148&lt;&gt;$B133),IF($B148&lt;&gt;$B133,J133/INDEX($C123:$AJ133,11,MATCH(IF('Data-solution'!$A$3="Maximize",MAX($C134:$AI134),MIN($C134:$AI134)),$C134:$AI134,0)),J133-INDEX($C123:$AJ133,11,MATCH(IF('Data-solution'!$A$3="Maximize",MAX($C134:$AI134),MIN($C134:$AI134)),$C134:$AI134,0))*INDEX(J123:$AJ133,MATCH(MIN($AK123:$AK133),$AK123:$AK133,0),1)/INDEX($C123:$AJ133,MATCH(MIN($AK123:$AK133),$AK123:$AK133,0),MATCH(IF('Data-solution'!$A$3="Maximize",MAX($C134:$AI134),MIN($C134:$AI134)),$C134:$AI134,0))),J133)</f>
        <v>0</v>
      </c>
      <c r="K148" s="1">
        <f>IF(OR($B138&lt;&gt;$B123,$B139&lt;&gt;$B124,$B140&lt;&gt;$B125,$B141&lt;&gt;$B126,$B142&lt;&gt;$B127,$B143&lt;&gt;$B128,$B144&lt;&gt;$B129,$B145&lt;&gt;$B130,$B146&lt;&gt;$B131,$B147&lt;&gt;$B132,$B148&lt;&gt;$B133),IF($B148&lt;&gt;$B133,K133/INDEX($C123:$AJ133,11,MATCH(IF('Data-solution'!$A$3="Maximize",MAX($C134:$AI134),MIN($C134:$AI134)),$C134:$AI134,0)),K133-INDEX($C123:$AJ133,11,MATCH(IF('Data-solution'!$A$3="Maximize",MAX($C134:$AI134),MIN($C134:$AI134)),$C134:$AI134,0))*INDEX(K123:$AJ133,MATCH(MIN($AK123:$AK133),$AK123:$AK133,0),1)/INDEX($C123:$AJ133,MATCH(MIN($AK123:$AK133),$AK123:$AK133,0),MATCH(IF('Data-solution'!$A$3="Maximize",MAX($C134:$AI134),MIN($C134:$AI134)),$C134:$AI134,0))),K133)</f>
        <v>0</v>
      </c>
      <c r="L148" s="1">
        <f>IF(OR($B138&lt;&gt;$B123,$B139&lt;&gt;$B124,$B140&lt;&gt;$B125,$B141&lt;&gt;$B126,$B142&lt;&gt;$B127,$B143&lt;&gt;$B128,$B144&lt;&gt;$B129,$B145&lt;&gt;$B130,$B146&lt;&gt;$B131,$B147&lt;&gt;$B132,$B148&lt;&gt;$B133),IF($B148&lt;&gt;$B133,L133/INDEX($C123:$AJ133,11,MATCH(IF('Data-solution'!$A$3="Maximize",MAX($C134:$AI134),MIN($C134:$AI134)),$C134:$AI134,0)),L133-INDEX($C123:$AJ133,11,MATCH(IF('Data-solution'!$A$3="Maximize",MAX($C134:$AI134),MIN($C134:$AI134)),$C134:$AI134,0))*INDEX(L123:$AJ133,MATCH(MIN($AK123:$AK133),$AK123:$AK133,0),1)/INDEX($C123:$AJ133,MATCH(MIN($AK123:$AK133),$AK123:$AK133,0),MATCH(IF('Data-solution'!$A$3="Maximize",MAX($C134:$AI134),MIN($C134:$AI134)),$C134:$AI134,0))),L133)</f>
        <v>0</v>
      </c>
      <c r="M148" s="1">
        <f>IF(OR($B138&lt;&gt;$B123,$B139&lt;&gt;$B124,$B140&lt;&gt;$B125,$B141&lt;&gt;$B126,$B142&lt;&gt;$B127,$B143&lt;&gt;$B128,$B144&lt;&gt;$B129,$B145&lt;&gt;$B130,$B146&lt;&gt;$B131,$B147&lt;&gt;$B132,$B148&lt;&gt;$B133),IF($B148&lt;&gt;$B133,M133/INDEX($C123:$AJ133,11,MATCH(IF('Data-solution'!$A$3="Maximize",MAX($C134:$AI134),MIN($C134:$AI134)),$C134:$AI134,0)),M133-INDEX($C123:$AJ133,11,MATCH(IF('Data-solution'!$A$3="Maximize",MAX($C134:$AI134),MIN($C134:$AI134)),$C134:$AI134,0))*INDEX(M123:$AJ133,MATCH(MIN($AK123:$AK133),$AK123:$AK133,0),1)/INDEX($C123:$AJ133,MATCH(MIN($AK123:$AK133),$AK123:$AK133,0),MATCH(IF('Data-solution'!$A$3="Maximize",MAX($C134:$AI134),MIN($C134:$AI134)),$C134:$AI134,0))),M133)</f>
        <v>0</v>
      </c>
      <c r="N148" s="1">
        <f>IF(OR($B138&lt;&gt;$B123,$B139&lt;&gt;$B124,$B140&lt;&gt;$B125,$B141&lt;&gt;$B126,$B142&lt;&gt;$B127,$B143&lt;&gt;$B128,$B144&lt;&gt;$B129,$B145&lt;&gt;$B130,$B146&lt;&gt;$B131,$B147&lt;&gt;$B132,$B148&lt;&gt;$B133),IF($B148&lt;&gt;$B133,N133/INDEX($C123:$AJ133,11,MATCH(IF('Data-solution'!$A$3="Maximize",MAX($C134:$AI134),MIN($C134:$AI134)),$C134:$AI134,0)),N133-INDEX($C123:$AJ133,11,MATCH(IF('Data-solution'!$A$3="Maximize",MAX($C134:$AI134),MIN($C134:$AI134)),$C134:$AI134,0))*INDEX(N123:$AJ133,MATCH(MIN($AK123:$AK133),$AK123:$AK133,0),1)/INDEX($C123:$AJ133,MATCH(MIN($AK123:$AK133),$AK123:$AK133,0),MATCH(IF('Data-solution'!$A$3="Maximize",MAX($C134:$AI134),MIN($C134:$AI134)),$C134:$AI134,0))),N133)</f>
        <v>0</v>
      </c>
      <c r="O148" s="1">
        <f>IF(OR($B138&lt;&gt;$B123,$B139&lt;&gt;$B124,$B140&lt;&gt;$B125,$B141&lt;&gt;$B126,$B142&lt;&gt;$B127,$B143&lt;&gt;$B128,$B144&lt;&gt;$B129,$B145&lt;&gt;$B130,$B146&lt;&gt;$B131,$B147&lt;&gt;$B132,$B148&lt;&gt;$B133),IF($B148&lt;&gt;$B133,O133/INDEX($C123:$AJ133,11,MATCH(IF('Data-solution'!$A$3="Maximize",MAX($C134:$AI134),MIN($C134:$AI134)),$C134:$AI134,0)),O133-INDEX($C123:$AJ133,11,MATCH(IF('Data-solution'!$A$3="Maximize",MAX($C134:$AI134),MIN($C134:$AI134)),$C134:$AI134,0))*INDEX(O123:$AJ133,MATCH(MIN($AK123:$AK133),$AK123:$AK133,0),1)/INDEX($C123:$AJ133,MATCH(MIN($AK123:$AK133),$AK123:$AK133,0),MATCH(IF('Data-solution'!$A$3="Maximize",MAX($C134:$AI134),MIN($C134:$AI134)),$C134:$AI134,0))),O133)</f>
        <v>0</v>
      </c>
      <c r="P148" s="1">
        <f>IF(OR($B138&lt;&gt;$B123,$B139&lt;&gt;$B124,$B140&lt;&gt;$B125,$B141&lt;&gt;$B126,$B142&lt;&gt;$B127,$B143&lt;&gt;$B128,$B144&lt;&gt;$B129,$B145&lt;&gt;$B130,$B146&lt;&gt;$B131,$B147&lt;&gt;$B132,$B148&lt;&gt;$B133),IF($B148&lt;&gt;$B133,P133/INDEX($C123:$AJ133,11,MATCH(IF('Data-solution'!$A$3="Maximize",MAX($C134:$AI134),MIN($C134:$AI134)),$C134:$AI134,0)),P133-INDEX($C123:$AJ133,11,MATCH(IF('Data-solution'!$A$3="Maximize",MAX($C134:$AI134),MIN($C134:$AI134)),$C134:$AI134,0))*INDEX(P123:$AJ133,MATCH(MIN($AK123:$AK133),$AK123:$AK133,0),1)/INDEX($C123:$AJ133,MATCH(MIN($AK123:$AK133),$AK123:$AK133,0),MATCH(IF('Data-solution'!$A$3="Maximize",MAX($C134:$AI134),MIN($C134:$AI134)),$C134:$AI134,0))),P133)</f>
        <v>0</v>
      </c>
      <c r="Q148" s="1">
        <f>IF(OR($B138&lt;&gt;$B123,$B139&lt;&gt;$B124,$B140&lt;&gt;$B125,$B141&lt;&gt;$B126,$B142&lt;&gt;$B127,$B143&lt;&gt;$B128,$B144&lt;&gt;$B129,$B145&lt;&gt;$B130,$B146&lt;&gt;$B131,$B147&lt;&gt;$B132,$B148&lt;&gt;$B133),IF($B148&lt;&gt;$B133,Q133/INDEX($C123:$AJ133,11,MATCH(IF('Data-solution'!$A$3="Maximize",MAX($C134:$AI134),MIN($C134:$AI134)),$C134:$AI134,0)),Q133-INDEX($C123:$AJ133,11,MATCH(IF('Data-solution'!$A$3="Maximize",MAX($C134:$AI134),MIN($C134:$AI134)),$C134:$AI134,0))*INDEX(Q123:$AJ133,MATCH(MIN($AK123:$AK133),$AK123:$AK133,0),1)/INDEX($C123:$AJ133,MATCH(MIN($AK123:$AK133),$AK123:$AK133,0),MATCH(IF('Data-solution'!$A$3="Maximize",MAX($C134:$AI134),MIN($C134:$AI134)),$C134:$AI134,0))),Q133)</f>
        <v>0</v>
      </c>
      <c r="R148" s="1">
        <f>IF(OR($B138&lt;&gt;$B123,$B139&lt;&gt;$B124,$B140&lt;&gt;$B125,$B141&lt;&gt;$B126,$B142&lt;&gt;$B127,$B143&lt;&gt;$B128,$B144&lt;&gt;$B129,$B145&lt;&gt;$B130,$B146&lt;&gt;$B131,$B147&lt;&gt;$B132,$B148&lt;&gt;$B133),IF($B148&lt;&gt;$B133,R133/INDEX($C123:$AJ133,11,MATCH(IF('Data-solution'!$A$3="Maximize",MAX($C134:$AI134),MIN($C134:$AI134)),$C134:$AI134,0)),R133-INDEX($C123:$AJ133,11,MATCH(IF('Data-solution'!$A$3="Maximize",MAX($C134:$AI134),MIN($C134:$AI134)),$C134:$AI134,0))*INDEX(R123:$AJ133,MATCH(MIN($AK123:$AK133),$AK123:$AK133,0),1)/INDEX($C123:$AJ133,MATCH(MIN($AK123:$AK133),$AK123:$AK133,0),MATCH(IF('Data-solution'!$A$3="Maximize",MAX($C134:$AI134),MIN($C134:$AI134)),$C134:$AI134,0))),R133)</f>
        <v>0</v>
      </c>
      <c r="S148" s="1">
        <f>IF(OR($B138&lt;&gt;$B123,$B139&lt;&gt;$B124,$B140&lt;&gt;$B125,$B141&lt;&gt;$B126,$B142&lt;&gt;$B127,$B143&lt;&gt;$B128,$B144&lt;&gt;$B129,$B145&lt;&gt;$B130,$B146&lt;&gt;$B131,$B147&lt;&gt;$B132,$B148&lt;&gt;$B133),IF($B148&lt;&gt;$B133,S133/INDEX($C123:$AJ133,11,MATCH(IF('Data-solution'!$A$3="Maximize",MAX($C134:$AI134),MIN($C134:$AI134)),$C134:$AI134,0)),S133-INDEX($C123:$AJ133,11,MATCH(IF('Data-solution'!$A$3="Maximize",MAX($C134:$AI134),MIN($C134:$AI134)),$C134:$AI134,0))*INDEX(S123:$AJ133,MATCH(MIN($AK123:$AK133),$AK123:$AK133,0),1)/INDEX($C123:$AJ133,MATCH(MIN($AK123:$AK133),$AK123:$AK133,0),MATCH(IF('Data-solution'!$A$3="Maximize",MAX($C134:$AI134),MIN($C134:$AI134)),$C134:$AI134,0))),S133)</f>
        <v>0</v>
      </c>
      <c r="T148" s="1">
        <f>IF(OR($B138&lt;&gt;$B123,$B139&lt;&gt;$B124,$B140&lt;&gt;$B125,$B141&lt;&gt;$B126,$B142&lt;&gt;$B127,$B143&lt;&gt;$B128,$B144&lt;&gt;$B129,$B145&lt;&gt;$B130,$B146&lt;&gt;$B131,$B147&lt;&gt;$B132,$B148&lt;&gt;$B133),IF($B148&lt;&gt;$B133,T133/INDEX($C123:$AJ133,11,MATCH(IF('Data-solution'!$A$3="Maximize",MAX($C134:$AI134),MIN($C134:$AI134)),$C134:$AI134,0)),T133-INDEX($C123:$AJ133,11,MATCH(IF('Data-solution'!$A$3="Maximize",MAX($C134:$AI134),MIN($C134:$AI134)),$C134:$AI134,0))*INDEX(T123:$AJ133,MATCH(MIN($AK123:$AK133),$AK123:$AK133,0),1)/INDEX($C123:$AJ133,MATCH(MIN($AK123:$AK133),$AK123:$AK133,0),MATCH(IF('Data-solution'!$A$3="Maximize",MAX($C134:$AI134),MIN($C134:$AI134)),$C134:$AI134,0))),T133)</f>
        <v>0</v>
      </c>
      <c r="U148" s="1">
        <f>IF(OR($B138&lt;&gt;$B123,$B139&lt;&gt;$B124,$B140&lt;&gt;$B125,$B141&lt;&gt;$B126,$B142&lt;&gt;$B127,$B143&lt;&gt;$B128,$B144&lt;&gt;$B129,$B145&lt;&gt;$B130,$B146&lt;&gt;$B131,$B147&lt;&gt;$B132,$B148&lt;&gt;$B133),IF($B148&lt;&gt;$B133,U133/INDEX($C123:$AJ133,11,MATCH(IF('Data-solution'!$A$3="Maximize",MAX($C134:$AI134),MIN($C134:$AI134)),$C134:$AI134,0)),U133-INDEX($C123:$AJ133,11,MATCH(IF('Data-solution'!$A$3="Maximize",MAX($C134:$AI134),MIN($C134:$AI134)),$C134:$AI134,0))*INDEX(U123:$AJ133,MATCH(MIN($AK123:$AK133),$AK123:$AK133,0),1)/INDEX($C123:$AJ133,MATCH(MIN($AK123:$AK133),$AK123:$AK133,0),MATCH(IF('Data-solution'!$A$3="Maximize",MAX($C134:$AI134),MIN($C134:$AI134)),$C134:$AI134,0))),U133)</f>
        <v>0</v>
      </c>
      <c r="V148" s="1">
        <f>IF(OR($B138&lt;&gt;$B123,$B139&lt;&gt;$B124,$B140&lt;&gt;$B125,$B141&lt;&gt;$B126,$B142&lt;&gt;$B127,$B143&lt;&gt;$B128,$B144&lt;&gt;$B129,$B145&lt;&gt;$B130,$B146&lt;&gt;$B131,$B147&lt;&gt;$B132,$B148&lt;&gt;$B133),IF($B148&lt;&gt;$B133,V133/INDEX($C123:$AJ133,11,MATCH(IF('Data-solution'!$A$3="Maximize",MAX($C134:$AI134),MIN($C134:$AI134)),$C134:$AI134,0)),V133-INDEX($C123:$AJ133,11,MATCH(IF('Data-solution'!$A$3="Maximize",MAX($C134:$AI134),MIN($C134:$AI134)),$C134:$AI134,0))*INDEX(V123:$AJ133,MATCH(MIN($AK123:$AK133),$AK123:$AK133,0),1)/INDEX($C123:$AJ133,MATCH(MIN($AK123:$AK133),$AK123:$AK133,0),MATCH(IF('Data-solution'!$A$3="Maximize",MAX($C134:$AI134),MIN($C134:$AI134)),$C134:$AI134,0))),V133)</f>
        <v>0</v>
      </c>
      <c r="W148" s="1">
        <f>IF(OR($B138&lt;&gt;$B123,$B139&lt;&gt;$B124,$B140&lt;&gt;$B125,$B141&lt;&gt;$B126,$B142&lt;&gt;$B127,$B143&lt;&gt;$B128,$B144&lt;&gt;$B129,$B145&lt;&gt;$B130,$B146&lt;&gt;$B131,$B147&lt;&gt;$B132,$B148&lt;&gt;$B133),IF($B148&lt;&gt;$B133,W133/INDEX($C123:$AJ133,11,MATCH(IF('Data-solution'!$A$3="Maximize",MAX($C134:$AI134),MIN($C134:$AI134)),$C134:$AI134,0)),W133-INDEX($C123:$AJ133,11,MATCH(IF('Data-solution'!$A$3="Maximize",MAX($C134:$AI134),MIN($C134:$AI134)),$C134:$AI134,0))*INDEX(W123:$AJ133,MATCH(MIN($AK123:$AK133),$AK123:$AK133,0),1)/INDEX($C123:$AJ133,MATCH(MIN($AK123:$AK133),$AK123:$AK133,0),MATCH(IF('Data-solution'!$A$3="Maximize",MAX($C134:$AI134),MIN($C134:$AI134)),$C134:$AI134,0))),W133)</f>
        <v>0</v>
      </c>
      <c r="X148" s="1">
        <f>IF(OR($B138&lt;&gt;$B123,$B139&lt;&gt;$B124,$B140&lt;&gt;$B125,$B141&lt;&gt;$B126,$B142&lt;&gt;$B127,$B143&lt;&gt;$B128,$B144&lt;&gt;$B129,$B145&lt;&gt;$B130,$B146&lt;&gt;$B131,$B147&lt;&gt;$B132,$B148&lt;&gt;$B133),IF($B148&lt;&gt;$B133,X133/INDEX($C123:$AJ133,11,MATCH(IF('Data-solution'!$A$3="Maximize",MAX($C134:$AI134),MIN($C134:$AI134)),$C134:$AI134,0)),X133-INDEX($C123:$AJ133,11,MATCH(IF('Data-solution'!$A$3="Maximize",MAX($C134:$AI134),MIN($C134:$AI134)),$C134:$AI134,0))*INDEX(X123:$AJ133,MATCH(MIN($AK123:$AK133),$AK123:$AK133,0),1)/INDEX($C123:$AJ133,MATCH(MIN($AK123:$AK133),$AK123:$AK133,0),MATCH(IF('Data-solution'!$A$3="Maximize",MAX($C134:$AI134),MIN($C134:$AI134)),$C134:$AI134,0))),X133)</f>
        <v>1</v>
      </c>
      <c r="Y148" s="1">
        <f>IF(OR($B138&lt;&gt;$B123,$B139&lt;&gt;$B124,$B140&lt;&gt;$B125,$B141&lt;&gt;$B126,$B142&lt;&gt;$B127,$B143&lt;&gt;$B128,$B144&lt;&gt;$B129,$B145&lt;&gt;$B130,$B146&lt;&gt;$B131,$B147&lt;&gt;$B132,$B148&lt;&gt;$B133),IF($B148&lt;&gt;$B133,Y133/INDEX($C123:$AJ133,11,MATCH(IF('Data-solution'!$A$3="Maximize",MAX($C134:$AI134),MIN($C134:$AI134)),$C134:$AI134,0)),Y133-INDEX($C123:$AJ133,11,MATCH(IF('Data-solution'!$A$3="Maximize",MAX($C134:$AI134),MIN($C134:$AI134)),$C134:$AI134,0))*INDEX(Y123:$AJ133,MATCH(MIN($AK123:$AK133),$AK123:$AK133,0),1)/INDEX($C123:$AJ133,MATCH(MIN($AK123:$AK133),$AK123:$AK133,0),MATCH(IF('Data-solution'!$A$3="Maximize",MAX($C134:$AI134),MIN($C134:$AI134)),$C134:$AI134,0))),Y133)</f>
        <v>0</v>
      </c>
      <c r="Z148" s="1">
        <f>IF(OR($B138&lt;&gt;$B123,$B139&lt;&gt;$B124,$B140&lt;&gt;$B125,$B141&lt;&gt;$B126,$B142&lt;&gt;$B127,$B143&lt;&gt;$B128,$B144&lt;&gt;$B129,$B145&lt;&gt;$B130,$B146&lt;&gt;$B131,$B147&lt;&gt;$B132,$B148&lt;&gt;$B133),IF($B148&lt;&gt;$B133,Z133/INDEX($C123:$AJ133,11,MATCH(IF('Data-solution'!$A$3="Maximize",MAX($C134:$AI134),MIN($C134:$AI134)),$C134:$AI134,0)),Z133-INDEX($C123:$AJ133,11,MATCH(IF('Data-solution'!$A$3="Maximize",MAX($C134:$AI134),MIN($C134:$AI134)),$C134:$AI134,0))*INDEX(Z123:$AJ133,MATCH(MIN($AK123:$AK133),$AK123:$AK133,0),1)/INDEX($C123:$AJ133,MATCH(MIN($AK123:$AK133),$AK123:$AK133,0),MATCH(IF('Data-solution'!$A$3="Maximize",MAX($C134:$AI134),MIN($C134:$AI134)),$C134:$AI134,0))),Z133)</f>
        <v>0</v>
      </c>
      <c r="AA148" s="1">
        <f>IF(OR($B138&lt;&gt;$B123,$B139&lt;&gt;$B124,$B140&lt;&gt;$B125,$B141&lt;&gt;$B126,$B142&lt;&gt;$B127,$B143&lt;&gt;$B128,$B144&lt;&gt;$B129,$B145&lt;&gt;$B130,$B146&lt;&gt;$B131,$B147&lt;&gt;$B132,$B148&lt;&gt;$B133),IF($B148&lt;&gt;$B133,AA133/INDEX($C123:$AJ133,11,MATCH(IF('Data-solution'!$A$3="Maximize",MAX($C134:$AI134),MIN($C134:$AI134)),$C134:$AI134,0)),AA133-INDEX($C123:$AJ133,11,MATCH(IF('Data-solution'!$A$3="Maximize",MAX($C134:$AI134),MIN($C134:$AI134)),$C134:$AI134,0))*INDEX(AA123:$AJ133,MATCH(MIN($AK123:$AK133),$AK123:$AK133,0),1)/INDEX($C123:$AJ133,MATCH(MIN($AK123:$AK133),$AK123:$AK133,0),MATCH(IF('Data-solution'!$A$3="Maximize",MAX($C134:$AI134),MIN($C134:$AI134)),$C134:$AI134,0))),AA133)</f>
        <v>0</v>
      </c>
      <c r="AB148" s="1">
        <f>IF(OR($B138&lt;&gt;$B123,$B139&lt;&gt;$B124,$B140&lt;&gt;$B125,$B141&lt;&gt;$B126,$B142&lt;&gt;$B127,$B143&lt;&gt;$B128,$B144&lt;&gt;$B129,$B145&lt;&gt;$B130,$B146&lt;&gt;$B131,$B147&lt;&gt;$B132,$B148&lt;&gt;$B133),IF($B148&lt;&gt;$B133,AB133/INDEX($C123:$AJ133,11,MATCH(IF('Data-solution'!$A$3="Maximize",MAX($C134:$AI134),MIN($C134:$AI134)),$C134:$AI134,0)),AB133-INDEX($C123:$AJ133,11,MATCH(IF('Data-solution'!$A$3="Maximize",MAX($C134:$AI134),MIN($C134:$AI134)),$C134:$AI134,0))*INDEX(AB123:$AJ133,MATCH(MIN($AK123:$AK133),$AK123:$AK133,0),1)/INDEX($C123:$AJ133,MATCH(MIN($AK123:$AK133),$AK123:$AK133,0),MATCH(IF('Data-solution'!$A$3="Maximize",MAX($C134:$AI134),MIN($C134:$AI134)),$C134:$AI134,0))),AB133)</f>
        <v>0</v>
      </c>
      <c r="AC148" s="1">
        <f>IF(OR($B138&lt;&gt;$B123,$B139&lt;&gt;$B124,$B140&lt;&gt;$B125,$B141&lt;&gt;$B126,$B142&lt;&gt;$B127,$B143&lt;&gt;$B128,$B144&lt;&gt;$B129,$B145&lt;&gt;$B130,$B146&lt;&gt;$B131,$B147&lt;&gt;$B132,$B148&lt;&gt;$B133),IF($B148&lt;&gt;$B133,AC133/INDEX($C123:$AJ133,11,MATCH(IF('Data-solution'!$A$3="Maximize",MAX($C134:$AI134),MIN($C134:$AI134)),$C134:$AI134,0)),AC133-INDEX($C123:$AJ133,11,MATCH(IF('Data-solution'!$A$3="Maximize",MAX($C134:$AI134),MIN($C134:$AI134)),$C134:$AI134,0))*INDEX(AC123:$AJ133,MATCH(MIN($AK123:$AK133),$AK123:$AK133,0),1)/INDEX($C123:$AJ133,MATCH(MIN($AK123:$AK133),$AK123:$AK133,0),MATCH(IF('Data-solution'!$A$3="Maximize",MAX($C134:$AI134),MIN($C134:$AI134)),$C134:$AI134,0))),AC133)</f>
        <v>0</v>
      </c>
      <c r="AD148" s="1">
        <f>IF(OR($B138&lt;&gt;$B123,$B139&lt;&gt;$B124,$B140&lt;&gt;$B125,$B141&lt;&gt;$B126,$B142&lt;&gt;$B127,$B143&lt;&gt;$B128,$B144&lt;&gt;$B129,$B145&lt;&gt;$B130,$B146&lt;&gt;$B131,$B147&lt;&gt;$B132,$B148&lt;&gt;$B133),IF($B148&lt;&gt;$B133,AD133/INDEX($C123:$AJ133,11,MATCH(IF('Data-solution'!$A$3="Maximize",MAX($C134:$AI134),MIN($C134:$AI134)),$C134:$AI134,0)),AD133-INDEX($C123:$AJ133,11,MATCH(IF('Data-solution'!$A$3="Maximize",MAX($C134:$AI134),MIN($C134:$AI134)),$C134:$AI134,0))*INDEX(AD123:$AJ133,MATCH(MIN($AK123:$AK133),$AK123:$AK133,0),1)/INDEX($C123:$AJ133,MATCH(MIN($AK123:$AK133),$AK123:$AK133,0),MATCH(IF('Data-solution'!$A$3="Maximize",MAX($C134:$AI134),MIN($C134:$AI134)),$C134:$AI134,0))),AD133)</f>
        <v>0</v>
      </c>
      <c r="AE148" s="1">
        <f>IF(OR($B138&lt;&gt;$B123,$B139&lt;&gt;$B124,$B140&lt;&gt;$B125,$B141&lt;&gt;$B126,$B142&lt;&gt;$B127,$B143&lt;&gt;$B128,$B144&lt;&gt;$B129,$B145&lt;&gt;$B130,$B146&lt;&gt;$B131,$B147&lt;&gt;$B132,$B148&lt;&gt;$B133),IF($B148&lt;&gt;$B133,AE133/INDEX($C123:$AJ133,11,MATCH(IF('Data-solution'!$A$3="Maximize",MAX($C134:$AI134),MIN($C134:$AI134)),$C134:$AI134,0)),AE133-INDEX($C123:$AJ133,11,MATCH(IF('Data-solution'!$A$3="Maximize",MAX($C134:$AI134),MIN($C134:$AI134)),$C134:$AI134,0))*INDEX(AE123:$AJ133,MATCH(MIN($AK123:$AK133),$AK123:$AK133,0),1)/INDEX($C123:$AJ133,MATCH(MIN($AK123:$AK133),$AK123:$AK133,0),MATCH(IF('Data-solution'!$A$3="Maximize",MAX($C134:$AI134),MIN($C134:$AI134)),$C134:$AI134,0))),AE133)</f>
        <v>0</v>
      </c>
      <c r="AF148" s="1">
        <f>IF(OR($B138&lt;&gt;$B123,$B139&lt;&gt;$B124,$B140&lt;&gt;$B125,$B141&lt;&gt;$B126,$B142&lt;&gt;$B127,$B143&lt;&gt;$B128,$B144&lt;&gt;$B129,$B145&lt;&gt;$B130,$B146&lt;&gt;$B131,$B147&lt;&gt;$B132,$B148&lt;&gt;$B133),IF($B148&lt;&gt;$B133,AF133/INDEX($C123:$AJ133,11,MATCH(IF('Data-solution'!$A$3="Maximize",MAX($C134:$AI134),MIN($C134:$AI134)),$C134:$AI134,0)),AF133-INDEX($C123:$AJ133,11,MATCH(IF('Data-solution'!$A$3="Maximize",MAX($C134:$AI134),MIN($C134:$AI134)),$C134:$AI134,0))*INDEX(AF123:$AJ133,MATCH(MIN($AK123:$AK133),$AK123:$AK133,0),1)/INDEX($C123:$AJ133,MATCH(MIN($AK123:$AK133),$AK123:$AK133,0),MATCH(IF('Data-solution'!$A$3="Maximize",MAX($C134:$AI134),MIN($C134:$AI134)),$C134:$AI134,0))),AF133)</f>
        <v>0</v>
      </c>
      <c r="AG148" s="1">
        <f>IF(OR($B138&lt;&gt;$B123,$B139&lt;&gt;$B124,$B140&lt;&gt;$B125,$B141&lt;&gt;$B126,$B142&lt;&gt;$B127,$B143&lt;&gt;$B128,$B144&lt;&gt;$B129,$B145&lt;&gt;$B130,$B146&lt;&gt;$B131,$B147&lt;&gt;$B132,$B148&lt;&gt;$B133),IF($B148&lt;&gt;$B133,AG133/INDEX($C123:$AJ133,11,MATCH(IF('Data-solution'!$A$3="Maximize",MAX($C134:$AI134),MIN($C134:$AI134)),$C134:$AI134,0)),AG133-INDEX($C123:$AJ133,11,MATCH(IF('Data-solution'!$A$3="Maximize",MAX($C134:$AI134),MIN($C134:$AI134)),$C134:$AI134,0))*INDEX(AG123:$AJ133,MATCH(MIN($AK123:$AK133),$AK123:$AK133,0),1)/INDEX($C123:$AJ133,MATCH(MIN($AK123:$AK133),$AK123:$AK133,0),MATCH(IF('Data-solution'!$A$3="Maximize",MAX($C134:$AI134),MIN($C134:$AI134)),$C134:$AI134,0))),AG133)</f>
        <v>0</v>
      </c>
      <c r="AH148" s="1">
        <f>IF(OR($B138&lt;&gt;$B123,$B139&lt;&gt;$B124,$B140&lt;&gt;$B125,$B141&lt;&gt;$B126,$B142&lt;&gt;$B127,$B143&lt;&gt;$B128,$B144&lt;&gt;$B129,$B145&lt;&gt;$B130,$B146&lt;&gt;$B131,$B147&lt;&gt;$B132,$B148&lt;&gt;$B133),IF($B148&lt;&gt;$B133,AH133/INDEX($C123:$AJ133,11,MATCH(IF('Data-solution'!$A$3="Maximize",MAX($C134:$AI134),MIN($C134:$AI134)),$C134:$AI134,0)),AH133-INDEX($C123:$AJ133,11,MATCH(IF('Data-solution'!$A$3="Maximize",MAX($C134:$AI134),MIN($C134:$AI134)),$C134:$AI134,0))*INDEX(AH123:$AJ133,MATCH(MIN($AK123:$AK133),$AK123:$AK133,0),1)/INDEX($C123:$AJ133,MATCH(MIN($AK123:$AK133),$AK123:$AK133,0),MATCH(IF('Data-solution'!$A$3="Maximize",MAX($C134:$AI134),MIN($C134:$AI134)),$C134:$AI134,0))),AH133)</f>
        <v>0</v>
      </c>
      <c r="AI148" s="1">
        <f>IF(OR($B138&lt;&gt;$B123,$B139&lt;&gt;$B124,$B140&lt;&gt;$B125,$B141&lt;&gt;$B126,$B142&lt;&gt;$B127,$B143&lt;&gt;$B128,$B144&lt;&gt;$B129,$B145&lt;&gt;$B130,$B146&lt;&gt;$B131,$B147&lt;&gt;$B132,$B148&lt;&gt;$B133),IF($B148&lt;&gt;$B133,AI133/INDEX($C123:$AJ133,11,MATCH(IF('Data-solution'!$A$3="Maximize",MAX($C134:$AI134),MIN($C134:$AI134)),$C134:$AI134,0)),AI133-INDEX($C123:$AJ133,11,MATCH(IF('Data-solution'!$A$3="Maximize",MAX($C134:$AI134),MIN($C134:$AI134)),$C134:$AI134,0))*INDEX(AI123:$AJ133,MATCH(MIN($AK123:$AK133),$AK123:$AK133,0),1)/INDEX($C123:$AJ133,MATCH(MIN($AK123:$AK133),$AK123:$AK133,0),MATCH(IF('Data-solution'!$A$3="Maximize",MAX($C134:$AI134),MIN($C134:$AI134)),$C134:$AI134,0))),AI133)</f>
        <v>1</v>
      </c>
      <c r="AJ148" s="1">
        <f>IF(OR($B138&lt;&gt;$B123,$B139&lt;&gt;$B124,$B140&lt;&gt;$B125,$B141&lt;&gt;$B126,$B142&lt;&gt;$B127,$B143&lt;&gt;$B128,$B144&lt;&gt;$B129,$B145&lt;&gt;$B130,$B146&lt;&gt;$B131,$B147&lt;&gt;$B132,$B148&lt;&gt;$B133),IF($B148&lt;&gt;$B133,AJ133/INDEX($C123:$AJ133,11,MATCH(IF('Data-solution'!$A$3="Maximize",MAX($C134:$AI134),MIN($C134:$AI134)),$C134:$AI134,0)),AJ133-INDEX($C123:$AJ133,11,MATCH(IF('Data-solution'!$A$3="Maximize",MAX($C134:$AI134),MIN($C134:$AI134)),$C134:$AI134,0))*INDEX(AJ123:$AJ133,MATCH(MIN($AK123:$AK133),$AK123:$AK133,0),1)/INDEX($C123:$AJ133,MATCH(MIN($AK123:$AK133),$AK123:$AK133,0),MATCH(IF('Data-solution'!$A$3="Maximize",MAX($C134:$AI134),MIN($C134:$AI134)),$C134:$AI134,0))),AJ133)</f>
        <v>0</v>
      </c>
      <c r="AK148" s="1" t="str">
        <f>IF(INDEX(C148:X148,1,MATCH(IF('Data-solution'!A$3="Maximize",MAX(C149:X149),MIN(C149:X149)),C149:X149,0))&gt;0,AJ148/INDEX(C148:X148,1,MATCH(IF('Data-solution'!A$3="Maximize",MAX(C149:X149),MIN(C149:X149)),C149:X149,0))," ")</f>
        <v xml:space="preserve"> </v>
      </c>
    </row>
    <row r="149" spans="1:37" ht="18" customHeight="1" x14ac:dyDescent="0.2">
      <c r="B149" s="2" t="s">
        <v>5</v>
      </c>
      <c r="C149" s="1">
        <f>IF(SUM(COUNTIF($B138:$B148,$Y137),COUNTIF($B138:$B148,$Z137),COUNTIF($B138:$B148,$AA137),COUNTIF($B138:$B148,$AB137),COUNTIF($B138:$B148,$AC137),COUNTIF($B138:$B148,$AD137),COUNTIF($B138:$B148,$AE137),COUNTIF($B138:$B148,$AF137),COUNTIF($B138:$B148,$AG137),COUNTIF($B138:$B148,$AH137),COUNTIF($B138:$B148,$AI137))=0,C136-SUMPRODUCT($A138:$A148,C138:C148),IF('Data-solution'!$A$3="Maximize",1,-1)*SUM(SUMIF($B138:$B148,$Y137,C138:C148),SUMIF($B138:$B148,$Z137,C138:C148),SUMIF($B138:$B148,$AA137,C138:C148),SUMIF($B138:$B148,$AB137,C138:C148),SUMIF($B138:$B148,$AC137,C138:C148),SUMIF($B138:$B148,$AD137,C138:C148),SUMIF($B138:$B148,$AE137,C138:C148),SUMIF($B138:$B148,$AF137,C138:C148),SUMIF($B138:$B148,$AG137,C138:C148),SUMIF($B138:$B148,$AH137,C138:C148),SUMIF($B138:$B148,$AI137,C138:C148)))</f>
        <v>0</v>
      </c>
      <c r="D149" s="1">
        <f>IF(SUM(COUNTIF($B138:$B148,$Y137),COUNTIF($B138:$B148,$Z137),COUNTIF($B138:$B148,$AA137),COUNTIF($B138:$B148,$AB137),COUNTIF($B138:$B148,$AC137),COUNTIF($B138:$B148,$AD137),COUNTIF($B138:$B148,$AE137),COUNTIF($B138:$B148,$AF137),COUNTIF($B138:$B148,$AG137),COUNTIF($B138:$B148,$AH137),COUNTIF($B138:$B148,$AI137))=0,D136-SUMPRODUCT($A138:$A148,D138:D148),IF('Data-solution'!$A$3="Maximize",1,-1)*SUM(SUMIF($B138:$B148,$Y137,D138:D148),SUMIF($B138:$B148,$Z137,D138:D148),SUMIF($B138:$B148,$AA137,D138:D148),SUMIF($B138:$B148,$AB137,D138:D148),SUMIF($B138:$B148,$AC137,D138:D148),SUMIF($B138:$B148,$AD137,D138:D148),SUMIF($B138:$B148,$AE137,D138:D148),SUMIF($B138:$B148,$AF137,D138:D148),SUMIF($B138:$B148,$AG137,D138:D148),SUMIF($B138:$B148,$AH137,D138:D148),SUMIF($B138:$B148,$AI137,D138:D148)))</f>
        <v>-50</v>
      </c>
      <c r="E149" s="1">
        <f>IF(SUM(COUNTIF($B138:$B148,$Y137),COUNTIF($B138:$B148,$Z137),COUNTIF($B138:$B148,$AA137),COUNTIF($B138:$B148,$AB137),COUNTIF($B138:$B148,$AC137),COUNTIF($B138:$B148,$AD137),COUNTIF($B138:$B148,$AE137),COUNTIF($B138:$B148,$AF137),COUNTIF($B138:$B148,$AG137),COUNTIF($B138:$B148,$AH137),COUNTIF($B138:$B148,$AI137))=0,E136-SUMPRODUCT($A138:$A148,E138:E148),IF('Data-solution'!$A$3="Maximize",1,-1)*SUM(SUMIF($B138:$B148,$Y137,E138:E148),SUMIF($B138:$B148,$Z137,E138:E148),SUMIF($B138:$B148,$AA137,E138:E148),SUMIF($B138:$B148,$AB137,E138:E148),SUMIF($B138:$B148,$AC137,E138:E148),SUMIF($B138:$B148,$AD137,E138:E148),SUMIF($B138:$B148,$AE137,E138:E148),SUMIF($B138:$B148,$AF137,E138:E148),SUMIF($B138:$B148,$AG137,E138:E148),SUMIF($B138:$B148,$AH137,E138:E148),SUMIF($B138:$B148,$AI137,E138:E148)))</f>
        <v>0</v>
      </c>
      <c r="F149" s="1">
        <f>IF(SUM(COUNTIF($B138:$B148,$Y137),COUNTIF($B138:$B148,$Z137),COUNTIF($B138:$B148,$AA137),COUNTIF($B138:$B148,$AB137),COUNTIF($B138:$B148,$AC137),COUNTIF($B138:$B148,$AD137),COUNTIF($B138:$B148,$AE137),COUNTIF($B138:$B148,$AF137),COUNTIF($B138:$B148,$AG137),COUNTIF($B138:$B148,$AH137),COUNTIF($B138:$B148,$AI137))=0,F136-SUMPRODUCT($A138:$A148,F138:F148),IF('Data-solution'!$A$3="Maximize",1,-1)*SUM(SUMIF($B138:$B148,$Y137,F138:F148),SUMIF($B138:$B148,$Z137,F138:F148),SUMIF($B138:$B148,$AA137,F138:F148),SUMIF($B138:$B148,$AB137,F138:F148),SUMIF($B138:$B148,$AC137,F138:F148),SUMIF($B138:$B148,$AD137,F138:F148),SUMIF($B138:$B148,$AE137,F138:F148),SUMIF($B138:$B148,$AF137,F138:F148),SUMIF($B138:$B148,$AG137,F138:F148),SUMIF($B138:$B148,$AH137,F138:F148),SUMIF($B138:$B148,$AI137,F138:F148)))</f>
        <v>0</v>
      </c>
      <c r="G149" s="1">
        <f>IF(SUM(COUNTIF($B138:$B148,$Y137),COUNTIF($B138:$B148,$Z137),COUNTIF($B138:$B148,$AA137),COUNTIF($B138:$B148,$AB137),COUNTIF($B138:$B148,$AC137),COUNTIF($B138:$B148,$AD137),COUNTIF($B138:$B148,$AE137),COUNTIF($B138:$B148,$AF137),COUNTIF($B138:$B148,$AG137),COUNTIF($B138:$B148,$AH137),COUNTIF($B138:$B148,$AI137))=0,G136-SUMPRODUCT($A138:$A148,G138:G148),IF('Data-solution'!$A$3="Maximize",1,-1)*SUM(SUMIF($B138:$B148,$Y137,G138:G148),SUMIF($B138:$B148,$Z137,G138:G148),SUMIF($B138:$B148,$AA137,G138:G148),SUMIF($B138:$B148,$AB137,G138:G148),SUMIF($B138:$B148,$AC137,G138:G148),SUMIF($B138:$B148,$AD137,G138:G148),SUMIF($B138:$B148,$AE137,G138:G148),SUMIF($B138:$B148,$AF137,G138:G148),SUMIF($B138:$B148,$AG137,G138:G148),SUMIF($B138:$B148,$AH137,G138:G148),SUMIF($B138:$B148,$AI137,G138:G148)))</f>
        <v>0</v>
      </c>
      <c r="H149" s="1">
        <f>IF(SUM(COUNTIF($B138:$B148,$Y137),COUNTIF($B138:$B148,$Z137),COUNTIF($B138:$B148,$AA137),COUNTIF($B138:$B148,$AB137),COUNTIF($B138:$B148,$AC137),COUNTIF($B138:$B148,$AD137),COUNTIF($B138:$B148,$AE137),COUNTIF($B138:$B148,$AF137),COUNTIF($B138:$B148,$AG137),COUNTIF($B138:$B148,$AH137),COUNTIF($B138:$B148,$AI137))=0,H136-SUMPRODUCT($A138:$A148,H138:H148),IF('Data-solution'!$A$3="Maximize",1,-1)*SUM(SUMIF($B138:$B148,$Y137,H138:H148),SUMIF($B138:$B148,$Z137,H138:H148),SUMIF($B138:$B148,$AA137,H138:H148),SUMIF($B138:$B148,$AB137,H138:H148),SUMIF($B138:$B148,$AC137,H138:H148),SUMIF($B138:$B148,$AD137,H138:H148),SUMIF($B138:$B148,$AE137,H138:H148),SUMIF($B138:$B148,$AF137,H138:H148),SUMIF($B138:$B148,$AG137,H138:H148),SUMIF($B138:$B148,$AH137,H138:H148),SUMIF($B138:$B148,$AI137,H138:H148)))</f>
        <v>0</v>
      </c>
      <c r="I149" s="1">
        <f>IF(SUM(COUNTIF($B138:$B148,$Y137),COUNTIF($B138:$B148,$Z137),COUNTIF($B138:$B148,$AA137),COUNTIF($B138:$B148,$AB137),COUNTIF($B138:$B148,$AC137),COUNTIF($B138:$B148,$AD137),COUNTIF($B138:$B148,$AE137),COUNTIF($B138:$B148,$AF137),COUNTIF($B138:$B148,$AG137),COUNTIF($B138:$B148,$AH137),COUNTIF($B138:$B148,$AI137))=0,I136-SUMPRODUCT($A138:$A148,I138:I148),IF('Data-solution'!$A$3="Maximize",1,-1)*SUM(SUMIF($B138:$B148,$Y137,I138:I148),SUMIF($B138:$B148,$Z137,I138:I148),SUMIF($B138:$B148,$AA137,I138:I148),SUMIF($B138:$B148,$AB137,I138:I148),SUMIF($B138:$B148,$AC137,I138:I148),SUMIF($B138:$B148,$AD137,I138:I148),SUMIF($B138:$B148,$AE137,I138:I148),SUMIF($B138:$B148,$AF137,I138:I148),SUMIF($B138:$B148,$AG137,I138:I148),SUMIF($B138:$B148,$AH137,I138:I148),SUMIF($B138:$B148,$AI137,I138:I148)))</f>
        <v>0</v>
      </c>
      <c r="J149" s="1">
        <f>IF(SUM(COUNTIF($B138:$B148,$Y137),COUNTIF($B138:$B148,$Z137),COUNTIF($B138:$B148,$AA137),COUNTIF($B138:$B148,$AB137),COUNTIF($B138:$B148,$AC137),COUNTIF($B138:$B148,$AD137),COUNTIF($B138:$B148,$AE137),COUNTIF($B138:$B148,$AF137),COUNTIF($B138:$B148,$AG137),COUNTIF($B138:$B148,$AH137),COUNTIF($B138:$B148,$AI137))=0,J136-SUMPRODUCT($A138:$A148,J138:J148),IF('Data-solution'!$A$3="Maximize",1,-1)*SUM(SUMIF($B138:$B148,$Y137,J138:J148),SUMIF($B138:$B148,$Z137,J138:J148),SUMIF($B138:$B148,$AA137,J138:J148),SUMIF($B138:$B148,$AB137,J138:J148),SUMIF($B138:$B148,$AC137,J138:J148),SUMIF($B138:$B148,$AD137,J138:J148),SUMIF($B138:$B148,$AE137,J138:J148),SUMIF($B138:$B148,$AF137,J138:J148),SUMIF($B138:$B148,$AG137,J138:J148),SUMIF($B138:$B148,$AH137,J138:J148),SUMIF($B138:$B148,$AI137,J138:J148)))</f>
        <v>0</v>
      </c>
      <c r="K149" s="1">
        <f>IF(SUM(COUNTIF($B138:$B148,$Y137),COUNTIF($B138:$B148,$Z137),COUNTIF($B138:$B148,$AA137),COUNTIF($B138:$B148,$AB137),COUNTIF($B138:$B148,$AC137),COUNTIF($B138:$B148,$AD137),COUNTIF($B138:$B148,$AE137),COUNTIF($B138:$B148,$AF137),COUNTIF($B138:$B148,$AG137),COUNTIF($B138:$B148,$AH137),COUNTIF($B138:$B148,$AI137))=0,K136-SUMPRODUCT($A138:$A148,K138:K148),IF('Data-solution'!$A$3="Maximize",1,-1)*SUM(SUMIF($B138:$B148,$Y137,K138:K148),SUMIF($B138:$B148,$Z137,K138:K148),SUMIF($B138:$B148,$AA137,K138:K148),SUMIF($B138:$B148,$AB137,K138:K148),SUMIF($B138:$B148,$AC137,K138:K148),SUMIF($B138:$B148,$AD137,K138:K148),SUMIF($B138:$B148,$AE137,K138:K148),SUMIF($B138:$B148,$AF137,K138:K148),SUMIF($B138:$B148,$AG137,K138:K148),SUMIF($B138:$B148,$AH137,K138:K148),SUMIF($B138:$B148,$AI137,K138:K148)))</f>
        <v>0</v>
      </c>
      <c r="L149" s="1">
        <f>IF(SUM(COUNTIF($B138:$B148,$Y137),COUNTIF($B138:$B148,$Z137),COUNTIF($B138:$B148,$AA137),COUNTIF($B138:$B148,$AB137),COUNTIF($B138:$B148,$AC137),COUNTIF($B138:$B148,$AD137),COUNTIF($B138:$B148,$AE137),COUNTIF($B138:$B148,$AF137),COUNTIF($B138:$B148,$AG137),COUNTIF($B138:$B148,$AH137),COUNTIF($B138:$B148,$AI137))=0,L136-SUMPRODUCT($A138:$A148,L138:L148),IF('Data-solution'!$A$3="Maximize",1,-1)*SUM(SUMIF($B138:$B148,$Y137,L138:L148),SUMIF($B138:$B148,$Z137,L138:L148),SUMIF($B138:$B148,$AA137,L138:L148),SUMIF($B138:$B148,$AB137,L138:L148),SUMIF($B138:$B148,$AC137,L138:L148),SUMIF($B138:$B148,$AD137,L138:L148),SUMIF($B138:$B148,$AE137,L138:L148),SUMIF($B138:$B148,$AF137,L138:L148),SUMIF($B138:$B148,$AG137,L138:L148),SUMIF($B138:$B148,$AH137,L138:L148),SUMIF($B138:$B148,$AI137,L138:L148)))</f>
        <v>0</v>
      </c>
      <c r="M149" s="1">
        <f>IF(SUM(COUNTIF($B138:$B148,$Y137),COUNTIF($B138:$B148,$Z137),COUNTIF($B138:$B148,$AA137),COUNTIF($B138:$B148,$AB137),COUNTIF($B138:$B148,$AC137),COUNTIF($B138:$B148,$AD137),COUNTIF($B138:$B148,$AE137),COUNTIF($B138:$B148,$AF137),COUNTIF($B138:$B148,$AG137),COUNTIF($B138:$B148,$AH137),COUNTIF($B138:$B148,$AI137))=0,M136-SUMPRODUCT($A138:$A148,M138:M148),IF('Data-solution'!$A$3="Maximize",1,-1)*SUM(SUMIF($B138:$B148,$Y137,M138:M148),SUMIF($B138:$B148,$Z137,M138:M148),SUMIF($B138:$B148,$AA137,M138:M148),SUMIF($B138:$B148,$AB137,M138:M148),SUMIF($B138:$B148,$AC137,M138:M148),SUMIF($B138:$B148,$AD137,M138:M148),SUMIF($B138:$B148,$AE137,M138:M148),SUMIF($B138:$B148,$AF137,M138:M148),SUMIF($B138:$B148,$AG137,M138:M148),SUMIF($B138:$B148,$AH137,M138:M148),SUMIF($B138:$B148,$AI137,M138:M148)))</f>
        <v>0</v>
      </c>
      <c r="N149" s="1">
        <f>IF(SUM(COUNTIF($B138:$B148,$Y137),COUNTIF($B138:$B148,$Z137),COUNTIF($B138:$B148,$AA137),COUNTIF($B138:$B148,$AB137),COUNTIF($B138:$B148,$AC137),COUNTIF($B138:$B148,$AD137),COUNTIF($B138:$B148,$AE137),COUNTIF($B138:$B148,$AF137),COUNTIF($B138:$B148,$AG137),COUNTIF($B138:$B148,$AH137),COUNTIF($B138:$B148,$AI137))=0,N136-SUMPRODUCT($A138:$A148,N138:N148),IF('Data-solution'!$A$3="Maximize",1,-1)*SUM(SUMIF($B138:$B148,$Y137,N138:N148),SUMIF($B138:$B148,$Z137,N138:N148),SUMIF($B138:$B148,$AA137,N138:N148),SUMIF($B138:$B148,$AB137,N138:N148),SUMIF($B138:$B148,$AC137,N138:N148),SUMIF($B138:$B148,$AD137,N138:N148),SUMIF($B138:$B148,$AE137,N138:N148),SUMIF($B138:$B148,$AF137,N138:N148),SUMIF($B138:$B148,$AG137,N138:N148),SUMIF($B138:$B148,$AH137,N138:N148),SUMIF($B138:$B148,$AI137,N138:N148)))</f>
        <v>0</v>
      </c>
      <c r="O149" s="1">
        <f>IF(SUM(COUNTIF($B138:$B148,$Y137),COUNTIF($B138:$B148,$Z137),COUNTIF($B138:$B148,$AA137),COUNTIF($B138:$B148,$AB137),COUNTIF($B138:$B148,$AC137),COUNTIF($B138:$B148,$AD137),COUNTIF($B138:$B148,$AE137),COUNTIF($B138:$B148,$AF137),COUNTIF($B138:$B148,$AG137),COUNTIF($B138:$B148,$AH137),COUNTIF($B138:$B148,$AI137))=0,O136-SUMPRODUCT($A138:$A148,O138:O148),IF('Data-solution'!$A$3="Maximize",1,-1)*SUM(SUMIF($B138:$B148,$Y137,O138:O148),SUMIF($B138:$B148,$Z137,O138:O148),SUMIF($B138:$B148,$AA137,O138:O148),SUMIF($B138:$B148,$AB137,O138:O148),SUMIF($B138:$B148,$AC137,O138:O148),SUMIF($B138:$B148,$AD137,O138:O148),SUMIF($B138:$B148,$AE137,O138:O148),SUMIF($B138:$B148,$AF137,O138:O148),SUMIF($B138:$B148,$AG137,O138:O148),SUMIF($B138:$B148,$AH137,O138:O148),SUMIF($B138:$B148,$AI137,O138:O148)))</f>
        <v>0</v>
      </c>
      <c r="P149" s="1">
        <f>IF(SUM(COUNTIF($B138:$B148,$Y137),COUNTIF($B138:$B148,$Z137),COUNTIF($B138:$B148,$AA137),COUNTIF($B138:$B148,$AB137),COUNTIF($B138:$B148,$AC137),COUNTIF($B138:$B148,$AD137),COUNTIF($B138:$B148,$AE137),COUNTIF($B138:$B148,$AF137),COUNTIF($B138:$B148,$AG137),COUNTIF($B138:$B148,$AH137),COUNTIF($B138:$B148,$AI137))=0,P136-SUMPRODUCT($A138:$A148,P138:P148),IF('Data-solution'!$A$3="Maximize",1,-1)*SUM(SUMIF($B138:$B148,$Y137,P138:P148),SUMIF($B138:$B148,$Z137,P138:P148),SUMIF($B138:$B148,$AA137,P138:P148),SUMIF($B138:$B148,$AB137,P138:P148),SUMIF($B138:$B148,$AC137,P138:P148),SUMIF($B138:$B148,$AD137,P138:P148),SUMIF($B138:$B148,$AE137,P138:P148),SUMIF($B138:$B148,$AF137,P138:P148),SUMIF($B138:$B148,$AG137,P138:P148),SUMIF($B138:$B148,$AH137,P138:P148),SUMIF($B138:$B148,$AI137,P138:P148)))</f>
        <v>-49.999999999999993</v>
      </c>
      <c r="Q149" s="1">
        <f>IF(SUM(COUNTIF($B138:$B148,$Y137),COUNTIF($B138:$B148,$Z137),COUNTIF($B138:$B148,$AA137),COUNTIF($B138:$B148,$AB137),COUNTIF($B138:$B148,$AC137),COUNTIF($B138:$B148,$AD137),COUNTIF($B138:$B148,$AE137),COUNTIF($B138:$B148,$AF137),COUNTIF($B138:$B148,$AG137),COUNTIF($B138:$B148,$AH137),COUNTIF($B138:$B148,$AI137))=0,Q136-SUMPRODUCT($A138:$A148,Q138:Q148),IF('Data-solution'!$A$3="Maximize",1,-1)*SUM(SUMIF($B138:$B148,$Y137,Q138:Q148),SUMIF($B138:$B148,$Z137,Q138:Q148),SUMIF($B138:$B148,$AA137,Q138:Q148),SUMIF($B138:$B148,$AB137,Q138:Q148),SUMIF($B138:$B148,$AC137,Q138:Q148),SUMIF($B138:$B148,$AD137,Q138:Q148),SUMIF($B138:$B148,$AE137,Q138:Q148),SUMIF($B138:$B148,$AF137,Q138:Q148),SUMIF($B138:$B148,$AG137,Q138:Q148),SUMIF($B138:$B148,$AH137,Q138:Q148),SUMIF($B138:$B148,$AI137,Q138:Q148)))</f>
        <v>-50</v>
      </c>
      <c r="R149" s="1">
        <f>IF(SUM(COUNTIF($B138:$B148,$Y137),COUNTIF($B138:$B148,$Z137),COUNTIF($B138:$B148,$AA137),COUNTIF($B138:$B148,$AB137),COUNTIF($B138:$B148,$AC137),COUNTIF($B138:$B148,$AD137),COUNTIF($B138:$B148,$AE137),COUNTIF($B138:$B148,$AF137),COUNTIF($B138:$B148,$AG137),COUNTIF($B138:$B148,$AH137),COUNTIF($B138:$B148,$AI137))=0,R136-SUMPRODUCT($A138:$A148,R138:R148),IF('Data-solution'!$A$3="Maximize",1,-1)*SUM(SUMIF($B138:$B148,$Y137,R138:R148),SUMIF($B138:$B148,$Z137,R138:R148),SUMIF($B138:$B148,$AA137,R138:R148),SUMIF($B138:$B148,$AB137,R138:R148),SUMIF($B138:$B148,$AC137,R138:R148),SUMIF($B138:$B148,$AD137,R138:R148),SUMIF($B138:$B148,$AE137,R138:R148),SUMIF($B138:$B148,$AF137,R138:R148),SUMIF($B138:$B148,$AG137,R138:R148),SUMIF($B138:$B148,$AH137,R138:R148),SUMIF($B138:$B148,$AI137,R138:R148)))</f>
        <v>0</v>
      </c>
      <c r="S149" s="1">
        <f>IF(SUM(COUNTIF($B138:$B148,$Y137),COUNTIF($B138:$B148,$Z137),COUNTIF($B138:$B148,$AA137),COUNTIF($B138:$B148,$AB137),COUNTIF($B138:$B148,$AC137),COUNTIF($B138:$B148,$AD137),COUNTIF($B138:$B148,$AE137),COUNTIF($B138:$B148,$AF137),COUNTIF($B138:$B148,$AG137),COUNTIF($B138:$B148,$AH137),COUNTIF($B138:$B148,$AI137))=0,S136-SUMPRODUCT($A138:$A148,S138:S148),IF('Data-solution'!$A$3="Maximize",1,-1)*SUM(SUMIF($B138:$B148,$Y137,S138:S148),SUMIF($B138:$B148,$Z137,S138:S148),SUMIF($B138:$B148,$AA137,S138:S148),SUMIF($B138:$B148,$AB137,S138:S148),SUMIF($B138:$B148,$AC137,S138:S148),SUMIF($B138:$B148,$AD137,S138:S148),SUMIF($B138:$B148,$AE137,S138:S148),SUMIF($B138:$B148,$AF137,S138:S148),SUMIF($B138:$B148,$AG137,S138:S148),SUMIF($B138:$B148,$AH137,S138:S148),SUMIF($B138:$B148,$AI137,S138:S148)))</f>
        <v>0</v>
      </c>
      <c r="T149" s="1">
        <f>IF(SUM(COUNTIF($B138:$B148,$Y137),COUNTIF($B138:$B148,$Z137),COUNTIF($B138:$B148,$AA137),COUNTIF($B138:$B148,$AB137),COUNTIF($B138:$B148,$AC137),COUNTIF($B138:$B148,$AD137),COUNTIF($B138:$B148,$AE137),COUNTIF($B138:$B148,$AF137),COUNTIF($B138:$B148,$AG137),COUNTIF($B138:$B148,$AH137),COUNTIF($B138:$B148,$AI137))=0,T136-SUMPRODUCT($A138:$A148,T138:T148),IF('Data-solution'!$A$3="Maximize",1,-1)*SUM(SUMIF($B138:$B148,$Y137,T138:T148),SUMIF($B138:$B148,$Z137,T138:T148),SUMIF($B138:$B148,$AA137,T138:T148),SUMIF($B138:$B148,$AB137,T138:T148),SUMIF($B138:$B148,$AC137,T138:T148),SUMIF($B138:$B148,$AD137,T138:T148),SUMIF($B138:$B148,$AE137,T138:T148),SUMIF($B138:$B148,$AF137,T138:T148),SUMIF($B138:$B148,$AG137,T138:T148),SUMIF($B138:$B148,$AH137,T138:T148),SUMIF($B138:$B148,$AI137,T138:T148)))</f>
        <v>0</v>
      </c>
      <c r="U149" s="1">
        <f>IF(SUM(COUNTIF($B138:$B148,$Y137),COUNTIF($B138:$B148,$Z137),COUNTIF($B138:$B148,$AA137),COUNTIF($B138:$B148,$AB137),COUNTIF($B138:$B148,$AC137),COUNTIF($B138:$B148,$AD137),COUNTIF($B138:$B148,$AE137),COUNTIF($B138:$B148,$AF137),COUNTIF($B138:$B148,$AG137),COUNTIF($B138:$B148,$AH137),COUNTIF($B138:$B148,$AI137))=0,U136-SUMPRODUCT($A138:$A148,U138:U148),IF('Data-solution'!$A$3="Maximize",1,-1)*SUM(SUMIF($B138:$B148,$Y137,U138:U148),SUMIF($B138:$B148,$Z137,U138:U148),SUMIF($B138:$B148,$AA137,U138:U148),SUMIF($B138:$B148,$AB137,U138:U148),SUMIF($B138:$B148,$AC137,U138:U148),SUMIF($B138:$B148,$AD137,U138:U148),SUMIF($B138:$B148,$AE137,U138:U148),SUMIF($B138:$B148,$AF137,U138:U148),SUMIF($B138:$B148,$AG137,U138:U148),SUMIF($B138:$B148,$AH137,U138:U148),SUMIF($B138:$B148,$AI137,U138:U148)))</f>
        <v>0</v>
      </c>
      <c r="V149" s="1">
        <f>IF(SUM(COUNTIF($B138:$B148,$Y137),COUNTIF($B138:$B148,$Z137),COUNTIF($B138:$B148,$AA137),COUNTIF($B138:$B148,$AB137),COUNTIF($B138:$B148,$AC137),COUNTIF($B138:$B148,$AD137),COUNTIF($B138:$B148,$AE137),COUNTIF($B138:$B148,$AF137),COUNTIF($B138:$B148,$AG137),COUNTIF($B138:$B148,$AH137),COUNTIF($B138:$B148,$AI137))=0,V136-SUMPRODUCT($A138:$A148,V138:V148),IF('Data-solution'!$A$3="Maximize",1,-1)*SUM(SUMIF($B138:$B148,$Y137,V138:V148),SUMIF($B138:$B148,$Z137,V138:V148),SUMIF($B138:$B148,$AA137,V138:V148),SUMIF($B138:$B148,$AB137,V138:V148),SUMIF($B138:$B148,$AC137,V138:V148),SUMIF($B138:$B148,$AD137,V138:V148),SUMIF($B138:$B148,$AE137,V138:V148),SUMIF($B138:$B148,$AF137,V138:V148),SUMIF($B138:$B148,$AG137,V138:V148),SUMIF($B138:$B148,$AH137,V138:V148),SUMIF($B138:$B148,$AI137,V138:V148)))</f>
        <v>0</v>
      </c>
      <c r="W149" s="1">
        <f>IF(SUM(COUNTIF($B138:$B148,$Y137),COUNTIF($B138:$B148,$Z137),COUNTIF($B138:$B148,$AA137),COUNTIF($B138:$B148,$AB137),COUNTIF($B138:$B148,$AC137),COUNTIF($B138:$B148,$AD137),COUNTIF($B138:$B148,$AE137),COUNTIF($B138:$B148,$AF137),COUNTIF($B138:$B148,$AG137),COUNTIF($B138:$B148,$AH137),COUNTIF($B138:$B148,$AI137))=0,W136-SUMPRODUCT($A138:$A148,W138:W148),IF('Data-solution'!$A$3="Maximize",1,-1)*SUM(SUMIF($B138:$B148,$Y137,W138:W148),SUMIF($B138:$B148,$Z137,W138:W148),SUMIF($B138:$B148,$AA137,W138:W148),SUMIF($B138:$B148,$AB137,W138:W148),SUMIF($B138:$B148,$AC137,W138:W148),SUMIF($B138:$B148,$AD137,W138:W148),SUMIF($B138:$B148,$AE137,W138:W148),SUMIF($B138:$B148,$AF137,W138:W148),SUMIF($B138:$B148,$AG137,W138:W148),SUMIF($B138:$B148,$AH137,W138:W148),SUMIF($B138:$B148,$AI137,W138:W148)))</f>
        <v>0</v>
      </c>
      <c r="X149" s="1">
        <f>IF(SUM(COUNTIF($B138:$B148,$Y137),COUNTIF($B138:$B148,$Z137),COUNTIF($B138:$B148,$AA137),COUNTIF($B138:$B148,$AB137),COUNTIF($B138:$B148,$AC137),COUNTIF($B138:$B148,$AD137),COUNTIF($B138:$B148,$AE137),COUNTIF($B138:$B148,$AF137),COUNTIF($B138:$B148,$AG137),COUNTIF($B138:$B148,$AH137),COUNTIF($B138:$B148,$AI137))=0,X136-SUMPRODUCT($A138:$A148,X138:X148),IF('Data-solution'!$A$3="Maximize",1,-1)*SUM(SUMIF($B138:$B148,$Y137,X138:X148),SUMIF($B138:$B148,$Z137,X138:X148),SUMIF($B138:$B148,$AA137,X138:X148),SUMIF($B138:$B148,$AB137,X138:X148),SUMIF($B138:$B148,$AC137,X138:X148),SUMIF($B138:$B148,$AD137,X138:X148),SUMIF($B138:$B148,$AE137,X138:X148),SUMIF($B138:$B148,$AF137,X138:X148),SUMIF($B138:$B148,$AG137,X138:X148),SUMIF($B138:$B148,$AH137,X138:X148),SUMIF($B138:$B148,$AI137,X138:X148)))</f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2">
        <f t="shared" ref="AJ149" si="121">IF(SUMPRODUCT(A138:A148,AJ138:AJ148)&gt;=0,SUMPRODUCT(A138:A148,AJ138:AJ148),0)</f>
        <v>120000</v>
      </c>
    </row>
    <row r="151" spans="1:37" ht="18" customHeight="1" x14ac:dyDescent="0.2">
      <c r="A151" s="1" t="s">
        <v>69</v>
      </c>
      <c r="B151" s="2" t="s">
        <v>4</v>
      </c>
      <c r="C151" s="1">
        <f t="shared" ref="C151" si="122">C$1</f>
        <v>150</v>
      </c>
      <c r="D151" s="1">
        <f t="shared" si="78"/>
        <v>200</v>
      </c>
      <c r="E151" s="1">
        <f t="shared" si="78"/>
        <v>350</v>
      </c>
      <c r="F151" s="1">
        <f t="shared" si="78"/>
        <v>0</v>
      </c>
      <c r="G151" s="1">
        <f t="shared" si="78"/>
        <v>0</v>
      </c>
      <c r="H151" s="1">
        <f t="shared" si="78"/>
        <v>0</v>
      </c>
      <c r="I151" s="1">
        <f t="shared" si="78"/>
        <v>0</v>
      </c>
      <c r="J151" s="1">
        <f t="shared" si="78"/>
        <v>0</v>
      </c>
      <c r="K151" s="1">
        <f t="shared" si="78"/>
        <v>0</v>
      </c>
      <c r="L151" s="1">
        <f t="shared" si="78"/>
        <v>0</v>
      </c>
      <c r="M151" s="1">
        <f t="shared" si="78"/>
        <v>0</v>
      </c>
      <c r="N151" s="1">
        <f t="shared" si="78"/>
        <v>0</v>
      </c>
      <c r="O151" s="1">
        <f t="shared" si="78"/>
        <v>0</v>
      </c>
      <c r="P151" s="1">
        <f t="shared" si="78"/>
        <v>0</v>
      </c>
      <c r="Q151" s="1">
        <f t="shared" si="78"/>
        <v>0</v>
      </c>
      <c r="R151" s="1">
        <f t="shared" si="78"/>
        <v>0</v>
      </c>
      <c r="S151" s="1">
        <f t="shared" si="78"/>
        <v>0</v>
      </c>
      <c r="T151" s="1">
        <f t="shared" si="78"/>
        <v>0</v>
      </c>
      <c r="U151" s="1">
        <f t="shared" si="78"/>
        <v>0</v>
      </c>
      <c r="V151" s="1">
        <f t="shared" si="78"/>
        <v>0</v>
      </c>
      <c r="W151" s="1">
        <f t="shared" si="78"/>
        <v>0</v>
      </c>
      <c r="X151" s="1">
        <f t="shared" si="78"/>
        <v>0</v>
      </c>
      <c r="Y151" s="1">
        <f t="shared" si="78"/>
        <v>-999999</v>
      </c>
      <c r="Z151" s="1">
        <f t="shared" si="78"/>
        <v>-999999</v>
      </c>
      <c r="AA151" s="1">
        <f t="shared" si="78"/>
        <v>-999999</v>
      </c>
      <c r="AB151" s="1">
        <f t="shared" si="78"/>
        <v>-999999</v>
      </c>
      <c r="AC151" s="1">
        <f t="shared" si="78"/>
        <v>-999999</v>
      </c>
      <c r="AD151" s="1">
        <f t="shared" si="78"/>
        <v>-999999</v>
      </c>
      <c r="AE151" s="1">
        <f t="shared" si="78"/>
        <v>-999999</v>
      </c>
      <c r="AF151" s="1">
        <f t="shared" si="78"/>
        <v>-999999</v>
      </c>
      <c r="AG151" s="1">
        <f t="shared" si="78"/>
        <v>-999999</v>
      </c>
      <c r="AH151" s="1">
        <f t="shared" si="78"/>
        <v>-999999</v>
      </c>
      <c r="AI151" s="1">
        <f t="shared" si="78"/>
        <v>-999999</v>
      </c>
    </row>
    <row r="152" spans="1:37" ht="18" customHeight="1" x14ac:dyDescent="0.2">
      <c r="A152" s="2" t="s">
        <v>3</v>
      </c>
      <c r="B152" s="2" t="s">
        <v>1</v>
      </c>
      <c r="C152" s="2" t="str">
        <f t="shared" ref="C152" si="123">C$2</f>
        <v>X1</v>
      </c>
      <c r="D152" s="2" t="str">
        <f t="shared" si="81"/>
        <v>X2</v>
      </c>
      <c r="E152" s="2" t="str">
        <f t="shared" si="81"/>
        <v>X3</v>
      </c>
      <c r="F152" s="2" t="str">
        <f t="shared" si="81"/>
        <v>X4</v>
      </c>
      <c r="G152" s="2" t="str">
        <f t="shared" si="81"/>
        <v>X5</v>
      </c>
      <c r="H152" s="2" t="str">
        <f t="shared" si="81"/>
        <v>X6</v>
      </c>
      <c r="I152" s="2" t="str">
        <f t="shared" si="81"/>
        <v>X7</v>
      </c>
      <c r="J152" s="2" t="str">
        <f t="shared" si="81"/>
        <v>X8</v>
      </c>
      <c r="K152" s="2" t="str">
        <f t="shared" si="81"/>
        <v>X9</v>
      </c>
      <c r="L152" s="2" t="str">
        <f t="shared" si="81"/>
        <v>X10</v>
      </c>
      <c r="M152" s="2" t="str">
        <f t="shared" si="81"/>
        <v>X11</v>
      </c>
      <c r="N152" s="2" t="str">
        <f t="shared" si="81"/>
        <v>S1</v>
      </c>
      <c r="O152" s="2" t="str">
        <f t="shared" si="81"/>
        <v>S2</v>
      </c>
      <c r="P152" s="2" t="str">
        <f t="shared" si="81"/>
        <v>S3</v>
      </c>
      <c r="Q152" s="2" t="str">
        <f t="shared" si="81"/>
        <v>S4</v>
      </c>
      <c r="R152" s="2" t="str">
        <f t="shared" si="81"/>
        <v>S5</v>
      </c>
      <c r="S152" s="2" t="str">
        <f t="shared" si="81"/>
        <v>S6</v>
      </c>
      <c r="T152" s="2" t="str">
        <f t="shared" si="81"/>
        <v>S7</v>
      </c>
      <c r="U152" s="2" t="str">
        <f t="shared" si="81"/>
        <v>S8</v>
      </c>
      <c r="V152" s="2" t="str">
        <f t="shared" si="81"/>
        <v>S9</v>
      </c>
      <c r="W152" s="2" t="str">
        <f t="shared" si="81"/>
        <v>S10</v>
      </c>
      <c r="X152" s="2" t="str">
        <f t="shared" si="81"/>
        <v>S11</v>
      </c>
      <c r="Y152" s="2" t="str">
        <f t="shared" si="81"/>
        <v xml:space="preserve"> </v>
      </c>
      <c r="Z152" s="2" t="str">
        <f t="shared" si="81"/>
        <v xml:space="preserve"> </v>
      </c>
      <c r="AA152" s="2" t="str">
        <f t="shared" si="81"/>
        <v xml:space="preserve"> </v>
      </c>
      <c r="AB152" s="2" t="str">
        <f t="shared" si="81"/>
        <v xml:space="preserve"> </v>
      </c>
      <c r="AC152" s="2" t="str">
        <f t="shared" si="81"/>
        <v xml:space="preserve"> </v>
      </c>
      <c r="AD152" s="2" t="str">
        <f t="shared" si="81"/>
        <v xml:space="preserve"> </v>
      </c>
      <c r="AE152" s="2" t="str">
        <f t="shared" si="81"/>
        <v xml:space="preserve"> </v>
      </c>
      <c r="AF152" s="2" t="str">
        <f t="shared" si="81"/>
        <v xml:space="preserve"> </v>
      </c>
      <c r="AG152" s="2" t="str">
        <f t="shared" si="81"/>
        <v xml:space="preserve"> </v>
      </c>
      <c r="AH152" s="2" t="str">
        <f t="shared" si="81"/>
        <v xml:space="preserve"> </v>
      </c>
      <c r="AI152" s="2" t="str">
        <f t="shared" si="81"/>
        <v xml:space="preserve"> </v>
      </c>
      <c r="AJ152" s="2" t="s">
        <v>9</v>
      </c>
      <c r="AK152" s="2" t="s">
        <v>10</v>
      </c>
    </row>
    <row r="153" spans="1:37" ht="18" customHeight="1" x14ac:dyDescent="0.2">
      <c r="A153" s="1">
        <f t="shared" ref="A153" si="124">INDEX(C151:AI151,1,MATCH(B153,C152:AI152,0))</f>
        <v>0</v>
      </c>
      <c r="B153" s="2" t="str">
        <f>IF(AND('Data-solution'!A$3="Maximize",COUNTIF(C149:X149,"&gt;"&amp;0)&gt;0,AK138=MIN(AK138:AK148)),INDEX(C137:X137,1,MATCH(MAX(C149:X149),C149:X149,0)),IF(AND('Data-solution'!A$3="Minimize",COUNTIF(C149:X149,"&lt;"&amp;0)&gt;0,AK138=MIN(AK138:AK148)),INDEX(C137:X137,1,MATCH(MIN(C149:X149),C149:X149,0)),B138))</f>
        <v>S1</v>
      </c>
      <c r="C153" s="1">
        <f>IF(OR($B153&lt;&gt;$B138,$B154&lt;&gt;$B139,$B155&lt;&gt;$B140,$B156&lt;&gt;$B141,$B157&lt;&gt;$B142,$B158&lt;&gt;$B143,$B159&lt;&gt;$B144,$B160&lt;&gt;$B145,$B161&lt;&gt;$B146,$B162&lt;&gt;$B147,$B163&lt;&gt;$B148),IF($B153&lt;&gt;$B138,C138/INDEX($C138:$AJ148,1,MATCH(IF('Data-solution'!$A$3="Maximize",MAX($C149:$AI149),MIN($C149:$AI149)),$C149:$AI149,0)),C138-INDEX($C138:$AJ148,1,MATCH(IF('Data-solution'!$A$3="Maximize",MAX($C149:$AI149),MIN($C149:$AI149)),$C149:$AI149,0))*INDEX(C138:$AJ148,MATCH(MIN($AK138:$AK148),$AK138:$AK148,0),1)/INDEX($C138:$AJ148,MATCH(MIN($AK138:$AK148),$AK138:$AK148,0),MATCH(IF('Data-solution'!$A$3="Maximize",MAX($C149:$AI149),MIN($C149:$AI149)),$C149:$AI149,0))),C138)</f>
        <v>0</v>
      </c>
      <c r="D153" s="1">
        <f>IF(OR($B153&lt;&gt;$B138,$B154&lt;&gt;$B139,$B155&lt;&gt;$B140,$B156&lt;&gt;$B141,$B157&lt;&gt;$B142,$B158&lt;&gt;$B143,$B159&lt;&gt;$B144,$B160&lt;&gt;$B145,$B161&lt;&gt;$B146,$B162&lt;&gt;$B147,$B163&lt;&gt;$B148),IF($B153&lt;&gt;$B138,D138/INDEX($C138:$AJ148,1,MATCH(IF('Data-solution'!$A$3="Maximize",MAX($C149:$AI149),MIN($C149:$AI149)),$C149:$AI149,0)),D138-INDEX($C138:$AJ148,1,MATCH(IF('Data-solution'!$A$3="Maximize",MAX($C149:$AI149),MIN($C149:$AI149)),$C149:$AI149,0))*INDEX(D138:$AJ148,MATCH(MIN($AK138:$AK148),$AK138:$AK148,0),1)/INDEX($C138:$AJ148,MATCH(MIN($AK138:$AK148),$AK138:$AK148,0),MATCH(IF('Data-solution'!$A$3="Maximize",MAX($C149:$AI149),MIN($C149:$AI149)),$C149:$AI149,0))),D138)</f>
        <v>1</v>
      </c>
      <c r="E153" s="1">
        <f>IF(OR($B153&lt;&gt;$B138,$B154&lt;&gt;$B139,$B155&lt;&gt;$B140,$B156&lt;&gt;$B141,$B157&lt;&gt;$B142,$B158&lt;&gt;$B143,$B159&lt;&gt;$B144,$B160&lt;&gt;$B145,$B161&lt;&gt;$B146,$B162&lt;&gt;$B147,$B163&lt;&gt;$B148),IF($B153&lt;&gt;$B138,E138/INDEX($C138:$AJ148,1,MATCH(IF('Data-solution'!$A$3="Maximize",MAX($C149:$AI149),MIN($C149:$AI149)),$C149:$AI149,0)),E138-INDEX($C138:$AJ148,1,MATCH(IF('Data-solution'!$A$3="Maximize",MAX($C149:$AI149),MIN($C149:$AI149)),$C149:$AI149,0))*INDEX(E138:$AJ148,MATCH(MIN($AK138:$AK148),$AK138:$AK148,0),1)/INDEX($C138:$AJ148,MATCH(MIN($AK138:$AK148),$AK138:$AK148,0),MATCH(IF('Data-solution'!$A$3="Maximize",MAX($C149:$AI149),MIN($C149:$AI149)),$C149:$AI149,0))),E138)</f>
        <v>0</v>
      </c>
      <c r="F153" s="1">
        <f>IF(OR($B153&lt;&gt;$B138,$B154&lt;&gt;$B139,$B155&lt;&gt;$B140,$B156&lt;&gt;$B141,$B157&lt;&gt;$B142,$B158&lt;&gt;$B143,$B159&lt;&gt;$B144,$B160&lt;&gt;$B145,$B161&lt;&gt;$B146,$B162&lt;&gt;$B147,$B163&lt;&gt;$B148),IF($B153&lt;&gt;$B138,F138/INDEX($C138:$AJ148,1,MATCH(IF('Data-solution'!$A$3="Maximize",MAX($C149:$AI149),MIN($C149:$AI149)),$C149:$AI149,0)),F138-INDEX($C138:$AJ148,1,MATCH(IF('Data-solution'!$A$3="Maximize",MAX($C149:$AI149),MIN($C149:$AI149)),$C149:$AI149,0))*INDEX(F138:$AJ148,MATCH(MIN($AK138:$AK148),$AK138:$AK148,0),1)/INDEX($C138:$AJ148,MATCH(MIN($AK138:$AK148),$AK138:$AK148,0),MATCH(IF('Data-solution'!$A$3="Maximize",MAX($C149:$AI149),MIN($C149:$AI149)),$C149:$AI149,0))),F138)</f>
        <v>0</v>
      </c>
      <c r="G153" s="1">
        <f>IF(OR($B153&lt;&gt;$B138,$B154&lt;&gt;$B139,$B155&lt;&gt;$B140,$B156&lt;&gt;$B141,$B157&lt;&gt;$B142,$B158&lt;&gt;$B143,$B159&lt;&gt;$B144,$B160&lt;&gt;$B145,$B161&lt;&gt;$B146,$B162&lt;&gt;$B147,$B163&lt;&gt;$B148),IF($B153&lt;&gt;$B138,G138/INDEX($C138:$AJ148,1,MATCH(IF('Data-solution'!$A$3="Maximize",MAX($C149:$AI149),MIN($C149:$AI149)),$C149:$AI149,0)),G138-INDEX($C138:$AJ148,1,MATCH(IF('Data-solution'!$A$3="Maximize",MAX($C149:$AI149),MIN($C149:$AI149)),$C149:$AI149,0))*INDEX(G138:$AJ148,MATCH(MIN($AK138:$AK148),$AK138:$AK148,0),1)/INDEX($C138:$AJ148,MATCH(MIN($AK138:$AK148),$AK138:$AK148,0),MATCH(IF('Data-solution'!$A$3="Maximize",MAX($C149:$AI149),MIN($C149:$AI149)),$C149:$AI149,0))),G138)</f>
        <v>0</v>
      </c>
      <c r="H153" s="1">
        <f>IF(OR($B153&lt;&gt;$B138,$B154&lt;&gt;$B139,$B155&lt;&gt;$B140,$B156&lt;&gt;$B141,$B157&lt;&gt;$B142,$B158&lt;&gt;$B143,$B159&lt;&gt;$B144,$B160&lt;&gt;$B145,$B161&lt;&gt;$B146,$B162&lt;&gt;$B147,$B163&lt;&gt;$B148),IF($B153&lt;&gt;$B138,H138/INDEX($C138:$AJ148,1,MATCH(IF('Data-solution'!$A$3="Maximize",MAX($C149:$AI149),MIN($C149:$AI149)),$C149:$AI149,0)),H138-INDEX($C138:$AJ148,1,MATCH(IF('Data-solution'!$A$3="Maximize",MAX($C149:$AI149),MIN($C149:$AI149)),$C149:$AI149,0))*INDEX(H138:$AJ148,MATCH(MIN($AK138:$AK148),$AK138:$AK148,0),1)/INDEX($C138:$AJ148,MATCH(MIN($AK138:$AK148),$AK138:$AK148,0),MATCH(IF('Data-solution'!$A$3="Maximize",MAX($C149:$AI149),MIN($C149:$AI149)),$C149:$AI149,0))),H138)</f>
        <v>0</v>
      </c>
      <c r="I153" s="1">
        <f>IF(OR($B153&lt;&gt;$B138,$B154&lt;&gt;$B139,$B155&lt;&gt;$B140,$B156&lt;&gt;$B141,$B157&lt;&gt;$B142,$B158&lt;&gt;$B143,$B159&lt;&gt;$B144,$B160&lt;&gt;$B145,$B161&lt;&gt;$B146,$B162&lt;&gt;$B147,$B163&lt;&gt;$B148),IF($B153&lt;&gt;$B138,I138/INDEX($C138:$AJ148,1,MATCH(IF('Data-solution'!$A$3="Maximize",MAX($C149:$AI149),MIN($C149:$AI149)),$C149:$AI149,0)),I138-INDEX($C138:$AJ148,1,MATCH(IF('Data-solution'!$A$3="Maximize",MAX($C149:$AI149),MIN($C149:$AI149)),$C149:$AI149,0))*INDEX(I138:$AJ148,MATCH(MIN($AK138:$AK148),$AK138:$AK148,0),1)/INDEX($C138:$AJ148,MATCH(MIN($AK138:$AK148),$AK138:$AK148,0),MATCH(IF('Data-solution'!$A$3="Maximize",MAX($C149:$AI149),MIN($C149:$AI149)),$C149:$AI149,0))),I138)</f>
        <v>0</v>
      </c>
      <c r="J153" s="1">
        <f>IF(OR($B153&lt;&gt;$B138,$B154&lt;&gt;$B139,$B155&lt;&gt;$B140,$B156&lt;&gt;$B141,$B157&lt;&gt;$B142,$B158&lt;&gt;$B143,$B159&lt;&gt;$B144,$B160&lt;&gt;$B145,$B161&lt;&gt;$B146,$B162&lt;&gt;$B147,$B163&lt;&gt;$B148),IF($B153&lt;&gt;$B138,J138/INDEX($C138:$AJ148,1,MATCH(IF('Data-solution'!$A$3="Maximize",MAX($C149:$AI149),MIN($C149:$AI149)),$C149:$AI149,0)),J138-INDEX($C138:$AJ148,1,MATCH(IF('Data-solution'!$A$3="Maximize",MAX($C149:$AI149),MIN($C149:$AI149)),$C149:$AI149,0))*INDEX(J138:$AJ148,MATCH(MIN($AK138:$AK148),$AK138:$AK148,0),1)/INDEX($C138:$AJ148,MATCH(MIN($AK138:$AK148),$AK138:$AK148,0),MATCH(IF('Data-solution'!$A$3="Maximize",MAX($C149:$AI149),MIN($C149:$AI149)),$C149:$AI149,0))),J138)</f>
        <v>0</v>
      </c>
      <c r="K153" s="1">
        <f>IF(OR($B153&lt;&gt;$B138,$B154&lt;&gt;$B139,$B155&lt;&gt;$B140,$B156&lt;&gt;$B141,$B157&lt;&gt;$B142,$B158&lt;&gt;$B143,$B159&lt;&gt;$B144,$B160&lt;&gt;$B145,$B161&lt;&gt;$B146,$B162&lt;&gt;$B147,$B163&lt;&gt;$B148),IF($B153&lt;&gt;$B138,K138/INDEX($C138:$AJ148,1,MATCH(IF('Data-solution'!$A$3="Maximize",MAX($C149:$AI149),MIN($C149:$AI149)),$C149:$AI149,0)),K138-INDEX($C138:$AJ148,1,MATCH(IF('Data-solution'!$A$3="Maximize",MAX($C149:$AI149),MIN($C149:$AI149)),$C149:$AI149,0))*INDEX(K138:$AJ148,MATCH(MIN($AK138:$AK148),$AK138:$AK148,0),1)/INDEX($C138:$AJ148,MATCH(MIN($AK138:$AK148),$AK138:$AK148,0),MATCH(IF('Data-solution'!$A$3="Maximize",MAX($C149:$AI149),MIN($C149:$AI149)),$C149:$AI149,0))),K138)</f>
        <v>0</v>
      </c>
      <c r="L153" s="1">
        <f>IF(OR($B153&lt;&gt;$B138,$B154&lt;&gt;$B139,$B155&lt;&gt;$B140,$B156&lt;&gt;$B141,$B157&lt;&gt;$B142,$B158&lt;&gt;$B143,$B159&lt;&gt;$B144,$B160&lt;&gt;$B145,$B161&lt;&gt;$B146,$B162&lt;&gt;$B147,$B163&lt;&gt;$B148),IF($B153&lt;&gt;$B138,L138/INDEX($C138:$AJ148,1,MATCH(IF('Data-solution'!$A$3="Maximize",MAX($C149:$AI149),MIN($C149:$AI149)),$C149:$AI149,0)),L138-INDEX($C138:$AJ148,1,MATCH(IF('Data-solution'!$A$3="Maximize",MAX($C149:$AI149),MIN($C149:$AI149)),$C149:$AI149,0))*INDEX(L138:$AJ148,MATCH(MIN($AK138:$AK148),$AK138:$AK148,0),1)/INDEX($C138:$AJ148,MATCH(MIN($AK138:$AK148),$AK138:$AK148,0),MATCH(IF('Data-solution'!$A$3="Maximize",MAX($C149:$AI149),MIN($C149:$AI149)),$C149:$AI149,0))),L138)</f>
        <v>0</v>
      </c>
      <c r="M153" s="1">
        <f>IF(OR($B153&lt;&gt;$B138,$B154&lt;&gt;$B139,$B155&lt;&gt;$B140,$B156&lt;&gt;$B141,$B157&lt;&gt;$B142,$B158&lt;&gt;$B143,$B159&lt;&gt;$B144,$B160&lt;&gt;$B145,$B161&lt;&gt;$B146,$B162&lt;&gt;$B147,$B163&lt;&gt;$B148),IF($B153&lt;&gt;$B138,M138/INDEX($C138:$AJ148,1,MATCH(IF('Data-solution'!$A$3="Maximize",MAX($C149:$AI149),MIN($C149:$AI149)),$C149:$AI149,0)),M138-INDEX($C138:$AJ148,1,MATCH(IF('Data-solution'!$A$3="Maximize",MAX($C149:$AI149),MIN($C149:$AI149)),$C149:$AI149,0))*INDEX(M138:$AJ148,MATCH(MIN($AK138:$AK148),$AK138:$AK148,0),1)/INDEX($C138:$AJ148,MATCH(MIN($AK138:$AK148),$AK138:$AK148,0),MATCH(IF('Data-solution'!$A$3="Maximize",MAX($C149:$AI149),MIN($C149:$AI149)),$C149:$AI149,0))),M138)</f>
        <v>0</v>
      </c>
      <c r="N153" s="1">
        <f>IF(OR($B153&lt;&gt;$B138,$B154&lt;&gt;$B139,$B155&lt;&gt;$B140,$B156&lt;&gt;$B141,$B157&lt;&gt;$B142,$B158&lt;&gt;$B143,$B159&lt;&gt;$B144,$B160&lt;&gt;$B145,$B161&lt;&gt;$B146,$B162&lt;&gt;$B147,$B163&lt;&gt;$B148),IF($B153&lt;&gt;$B138,N138/INDEX($C138:$AJ148,1,MATCH(IF('Data-solution'!$A$3="Maximize",MAX($C149:$AI149),MIN($C149:$AI149)),$C149:$AI149,0)),N138-INDEX($C138:$AJ148,1,MATCH(IF('Data-solution'!$A$3="Maximize",MAX($C149:$AI149),MIN($C149:$AI149)),$C149:$AI149,0))*INDEX(N138:$AJ148,MATCH(MIN($AK138:$AK148),$AK138:$AK148,0),1)/INDEX($C138:$AJ148,MATCH(MIN($AK138:$AK148),$AK138:$AK148,0),MATCH(IF('Data-solution'!$A$3="Maximize",MAX($C149:$AI149),MIN($C149:$AI149)),$C149:$AI149,0))),N138)</f>
        <v>1</v>
      </c>
      <c r="O153" s="1">
        <f>IF(OR($B153&lt;&gt;$B138,$B154&lt;&gt;$B139,$B155&lt;&gt;$B140,$B156&lt;&gt;$B141,$B157&lt;&gt;$B142,$B158&lt;&gt;$B143,$B159&lt;&gt;$B144,$B160&lt;&gt;$B145,$B161&lt;&gt;$B146,$B162&lt;&gt;$B147,$B163&lt;&gt;$B148),IF($B153&lt;&gt;$B138,O138/INDEX($C138:$AJ148,1,MATCH(IF('Data-solution'!$A$3="Maximize",MAX($C149:$AI149),MIN($C149:$AI149)),$C149:$AI149,0)),O138-INDEX($C138:$AJ148,1,MATCH(IF('Data-solution'!$A$3="Maximize",MAX($C149:$AI149),MIN($C149:$AI149)),$C149:$AI149,0))*INDEX(O138:$AJ148,MATCH(MIN($AK138:$AK148),$AK138:$AK148,0),1)/INDEX($C138:$AJ148,MATCH(MIN($AK138:$AK148),$AK138:$AK148,0),MATCH(IF('Data-solution'!$A$3="Maximize",MAX($C149:$AI149),MIN($C149:$AI149)),$C149:$AI149,0))),O138)</f>
        <v>0</v>
      </c>
      <c r="P153" s="1">
        <f>IF(OR($B153&lt;&gt;$B138,$B154&lt;&gt;$B139,$B155&lt;&gt;$B140,$B156&lt;&gt;$B141,$B157&lt;&gt;$B142,$B158&lt;&gt;$B143,$B159&lt;&gt;$B144,$B160&lt;&gt;$B145,$B161&lt;&gt;$B146,$B162&lt;&gt;$B147,$B163&lt;&gt;$B148),IF($B153&lt;&gt;$B138,P138/INDEX($C138:$AJ148,1,MATCH(IF('Data-solution'!$A$3="Maximize",MAX($C149:$AI149),MIN($C149:$AI149)),$C149:$AI149,0)),P138-INDEX($C138:$AJ148,1,MATCH(IF('Data-solution'!$A$3="Maximize",MAX($C149:$AI149),MIN($C149:$AI149)),$C149:$AI149,0))*INDEX(P138:$AJ148,MATCH(MIN($AK138:$AK148),$AK138:$AK148,0),1)/INDEX($C138:$AJ148,MATCH(MIN($AK138:$AK148),$AK138:$AK148,0),MATCH(IF('Data-solution'!$A$3="Maximize",MAX($C149:$AI149),MIN($C149:$AI149)),$C149:$AI149,0))),P138)</f>
        <v>0</v>
      </c>
      <c r="Q153" s="1">
        <f>IF(OR($B153&lt;&gt;$B138,$B154&lt;&gt;$B139,$B155&lt;&gt;$B140,$B156&lt;&gt;$B141,$B157&lt;&gt;$B142,$B158&lt;&gt;$B143,$B159&lt;&gt;$B144,$B160&lt;&gt;$B145,$B161&lt;&gt;$B146,$B162&lt;&gt;$B147,$B163&lt;&gt;$B148),IF($B153&lt;&gt;$B138,Q138/INDEX($C138:$AJ148,1,MATCH(IF('Data-solution'!$A$3="Maximize",MAX($C149:$AI149),MIN($C149:$AI149)),$C149:$AI149,0)),Q138-INDEX($C138:$AJ148,1,MATCH(IF('Data-solution'!$A$3="Maximize",MAX($C149:$AI149),MIN($C149:$AI149)),$C149:$AI149,0))*INDEX(Q138:$AJ148,MATCH(MIN($AK138:$AK148),$AK138:$AK148,0),1)/INDEX($C138:$AJ148,MATCH(MIN($AK138:$AK148),$AK138:$AK148,0),MATCH(IF('Data-solution'!$A$3="Maximize",MAX($C149:$AI149),MIN($C149:$AI149)),$C149:$AI149,0))),Q138)</f>
        <v>-1</v>
      </c>
      <c r="R153" s="1">
        <f>IF(OR($B153&lt;&gt;$B138,$B154&lt;&gt;$B139,$B155&lt;&gt;$B140,$B156&lt;&gt;$B141,$B157&lt;&gt;$B142,$B158&lt;&gt;$B143,$B159&lt;&gt;$B144,$B160&lt;&gt;$B145,$B161&lt;&gt;$B146,$B162&lt;&gt;$B147,$B163&lt;&gt;$B148),IF($B153&lt;&gt;$B138,R138/INDEX($C138:$AJ148,1,MATCH(IF('Data-solution'!$A$3="Maximize",MAX($C149:$AI149),MIN($C149:$AI149)),$C149:$AI149,0)),R138-INDEX($C138:$AJ148,1,MATCH(IF('Data-solution'!$A$3="Maximize",MAX($C149:$AI149),MIN($C149:$AI149)),$C149:$AI149,0))*INDEX(R138:$AJ148,MATCH(MIN($AK138:$AK148),$AK138:$AK148,0),1)/INDEX($C138:$AJ148,MATCH(MIN($AK138:$AK148),$AK138:$AK148,0),MATCH(IF('Data-solution'!$A$3="Maximize",MAX($C149:$AI149),MIN($C149:$AI149)),$C149:$AI149,0))),R138)</f>
        <v>0</v>
      </c>
      <c r="S153" s="1">
        <f>IF(OR($B153&lt;&gt;$B138,$B154&lt;&gt;$B139,$B155&lt;&gt;$B140,$B156&lt;&gt;$B141,$B157&lt;&gt;$B142,$B158&lt;&gt;$B143,$B159&lt;&gt;$B144,$B160&lt;&gt;$B145,$B161&lt;&gt;$B146,$B162&lt;&gt;$B147,$B163&lt;&gt;$B148),IF($B153&lt;&gt;$B138,S138/INDEX($C138:$AJ148,1,MATCH(IF('Data-solution'!$A$3="Maximize",MAX($C149:$AI149),MIN($C149:$AI149)),$C149:$AI149,0)),S138-INDEX($C138:$AJ148,1,MATCH(IF('Data-solution'!$A$3="Maximize",MAX($C149:$AI149),MIN($C149:$AI149)),$C149:$AI149,0))*INDEX(S138:$AJ148,MATCH(MIN($AK138:$AK148),$AK138:$AK148,0),1)/INDEX($C138:$AJ148,MATCH(MIN($AK138:$AK148),$AK138:$AK148,0),MATCH(IF('Data-solution'!$A$3="Maximize",MAX($C149:$AI149),MIN($C149:$AI149)),$C149:$AI149,0))),S138)</f>
        <v>0</v>
      </c>
      <c r="T153" s="1">
        <f>IF(OR($B153&lt;&gt;$B138,$B154&lt;&gt;$B139,$B155&lt;&gt;$B140,$B156&lt;&gt;$B141,$B157&lt;&gt;$B142,$B158&lt;&gt;$B143,$B159&lt;&gt;$B144,$B160&lt;&gt;$B145,$B161&lt;&gt;$B146,$B162&lt;&gt;$B147,$B163&lt;&gt;$B148),IF($B153&lt;&gt;$B138,T138/INDEX($C138:$AJ148,1,MATCH(IF('Data-solution'!$A$3="Maximize",MAX($C149:$AI149),MIN($C149:$AI149)),$C149:$AI149,0)),T138-INDEX($C138:$AJ148,1,MATCH(IF('Data-solution'!$A$3="Maximize",MAX($C149:$AI149),MIN($C149:$AI149)),$C149:$AI149,0))*INDEX(T138:$AJ148,MATCH(MIN($AK138:$AK148),$AK138:$AK148,0),1)/INDEX($C138:$AJ148,MATCH(MIN($AK138:$AK148),$AK138:$AK148,0),MATCH(IF('Data-solution'!$A$3="Maximize",MAX($C149:$AI149),MIN($C149:$AI149)),$C149:$AI149,0))),T138)</f>
        <v>0</v>
      </c>
      <c r="U153" s="1">
        <f>IF(OR($B153&lt;&gt;$B138,$B154&lt;&gt;$B139,$B155&lt;&gt;$B140,$B156&lt;&gt;$B141,$B157&lt;&gt;$B142,$B158&lt;&gt;$B143,$B159&lt;&gt;$B144,$B160&lt;&gt;$B145,$B161&lt;&gt;$B146,$B162&lt;&gt;$B147,$B163&lt;&gt;$B148),IF($B153&lt;&gt;$B138,U138/INDEX($C138:$AJ148,1,MATCH(IF('Data-solution'!$A$3="Maximize",MAX($C149:$AI149),MIN($C149:$AI149)),$C149:$AI149,0)),U138-INDEX($C138:$AJ148,1,MATCH(IF('Data-solution'!$A$3="Maximize",MAX($C149:$AI149),MIN($C149:$AI149)),$C149:$AI149,0))*INDEX(U138:$AJ148,MATCH(MIN($AK138:$AK148),$AK138:$AK148,0),1)/INDEX($C138:$AJ148,MATCH(MIN($AK138:$AK148),$AK138:$AK148,0),MATCH(IF('Data-solution'!$A$3="Maximize",MAX($C149:$AI149),MIN($C149:$AI149)),$C149:$AI149,0))),U138)</f>
        <v>0</v>
      </c>
      <c r="V153" s="1">
        <f>IF(OR($B153&lt;&gt;$B138,$B154&lt;&gt;$B139,$B155&lt;&gt;$B140,$B156&lt;&gt;$B141,$B157&lt;&gt;$B142,$B158&lt;&gt;$B143,$B159&lt;&gt;$B144,$B160&lt;&gt;$B145,$B161&lt;&gt;$B146,$B162&lt;&gt;$B147,$B163&lt;&gt;$B148),IF($B153&lt;&gt;$B138,V138/INDEX($C138:$AJ148,1,MATCH(IF('Data-solution'!$A$3="Maximize",MAX($C149:$AI149),MIN($C149:$AI149)),$C149:$AI149,0)),V138-INDEX($C138:$AJ148,1,MATCH(IF('Data-solution'!$A$3="Maximize",MAX($C149:$AI149),MIN($C149:$AI149)),$C149:$AI149,0))*INDEX(V138:$AJ148,MATCH(MIN($AK138:$AK148),$AK138:$AK148,0),1)/INDEX($C138:$AJ148,MATCH(MIN($AK138:$AK148),$AK138:$AK148,0),MATCH(IF('Data-solution'!$A$3="Maximize",MAX($C149:$AI149),MIN($C149:$AI149)),$C149:$AI149,0))),V138)</f>
        <v>0</v>
      </c>
      <c r="W153" s="1">
        <f>IF(OR($B153&lt;&gt;$B138,$B154&lt;&gt;$B139,$B155&lt;&gt;$B140,$B156&lt;&gt;$B141,$B157&lt;&gt;$B142,$B158&lt;&gt;$B143,$B159&lt;&gt;$B144,$B160&lt;&gt;$B145,$B161&lt;&gt;$B146,$B162&lt;&gt;$B147,$B163&lt;&gt;$B148),IF($B153&lt;&gt;$B138,W138/INDEX($C138:$AJ148,1,MATCH(IF('Data-solution'!$A$3="Maximize",MAX($C149:$AI149),MIN($C149:$AI149)),$C149:$AI149,0)),W138-INDEX($C138:$AJ148,1,MATCH(IF('Data-solution'!$A$3="Maximize",MAX($C149:$AI149),MIN($C149:$AI149)),$C149:$AI149,0))*INDEX(W138:$AJ148,MATCH(MIN($AK138:$AK148),$AK138:$AK148,0),1)/INDEX($C138:$AJ148,MATCH(MIN($AK138:$AK148),$AK138:$AK148,0),MATCH(IF('Data-solution'!$A$3="Maximize",MAX($C149:$AI149),MIN($C149:$AI149)),$C149:$AI149,0))),W138)</f>
        <v>0</v>
      </c>
      <c r="X153" s="1">
        <f>IF(OR($B153&lt;&gt;$B138,$B154&lt;&gt;$B139,$B155&lt;&gt;$B140,$B156&lt;&gt;$B141,$B157&lt;&gt;$B142,$B158&lt;&gt;$B143,$B159&lt;&gt;$B144,$B160&lt;&gt;$B145,$B161&lt;&gt;$B146,$B162&lt;&gt;$B147,$B163&lt;&gt;$B148),IF($B153&lt;&gt;$B138,X138/INDEX($C138:$AJ148,1,MATCH(IF('Data-solution'!$A$3="Maximize",MAX($C149:$AI149),MIN($C149:$AI149)),$C149:$AI149,0)),X138-INDEX($C138:$AJ148,1,MATCH(IF('Data-solution'!$A$3="Maximize",MAX($C149:$AI149),MIN($C149:$AI149)),$C149:$AI149,0))*INDEX(X138:$AJ148,MATCH(MIN($AK138:$AK148),$AK138:$AK148,0),1)/INDEX($C138:$AJ148,MATCH(MIN($AK138:$AK148),$AK138:$AK148,0),MATCH(IF('Data-solution'!$A$3="Maximize",MAX($C149:$AI149),MIN($C149:$AI149)),$C149:$AI149,0))),X138)</f>
        <v>0</v>
      </c>
      <c r="Y153" s="1">
        <f>IF(OR($B153&lt;&gt;$B138,$B154&lt;&gt;$B139,$B155&lt;&gt;$B140,$B156&lt;&gt;$B141,$B157&lt;&gt;$B142,$B158&lt;&gt;$B143,$B159&lt;&gt;$B144,$B160&lt;&gt;$B145,$B161&lt;&gt;$B146,$B162&lt;&gt;$B147,$B163&lt;&gt;$B148),IF($B153&lt;&gt;$B138,Y138/INDEX($C138:$AJ148,1,MATCH(IF('Data-solution'!$A$3="Maximize",MAX($C149:$AI149),MIN($C149:$AI149)),$C149:$AI149,0)),Y138-INDEX($C138:$AJ148,1,MATCH(IF('Data-solution'!$A$3="Maximize",MAX($C149:$AI149),MIN($C149:$AI149)),$C149:$AI149,0))*INDEX(Y138:$AJ148,MATCH(MIN($AK138:$AK148),$AK138:$AK148,0),1)/INDEX($C138:$AJ148,MATCH(MIN($AK138:$AK148),$AK138:$AK148,0),MATCH(IF('Data-solution'!$A$3="Maximize",MAX($C149:$AI149),MIN($C149:$AI149)),$C149:$AI149,0))),Y138)</f>
        <v>1</v>
      </c>
      <c r="Z153" s="1">
        <f>IF(OR($B153&lt;&gt;$B138,$B154&lt;&gt;$B139,$B155&lt;&gt;$B140,$B156&lt;&gt;$B141,$B157&lt;&gt;$B142,$B158&lt;&gt;$B143,$B159&lt;&gt;$B144,$B160&lt;&gt;$B145,$B161&lt;&gt;$B146,$B162&lt;&gt;$B147,$B163&lt;&gt;$B148),IF($B153&lt;&gt;$B138,Z138/INDEX($C138:$AJ148,1,MATCH(IF('Data-solution'!$A$3="Maximize",MAX($C149:$AI149),MIN($C149:$AI149)),$C149:$AI149,0)),Z138-INDEX($C138:$AJ148,1,MATCH(IF('Data-solution'!$A$3="Maximize",MAX($C149:$AI149),MIN($C149:$AI149)),$C149:$AI149,0))*INDEX(Z138:$AJ148,MATCH(MIN($AK138:$AK148),$AK138:$AK148,0),1)/INDEX($C138:$AJ148,MATCH(MIN($AK138:$AK148),$AK138:$AK148,0),MATCH(IF('Data-solution'!$A$3="Maximize",MAX($C149:$AI149),MIN($C149:$AI149)),$C149:$AI149,0))),Z138)</f>
        <v>0</v>
      </c>
      <c r="AA153" s="1">
        <f>IF(OR($B153&lt;&gt;$B138,$B154&lt;&gt;$B139,$B155&lt;&gt;$B140,$B156&lt;&gt;$B141,$B157&lt;&gt;$B142,$B158&lt;&gt;$B143,$B159&lt;&gt;$B144,$B160&lt;&gt;$B145,$B161&lt;&gt;$B146,$B162&lt;&gt;$B147,$B163&lt;&gt;$B148),IF($B153&lt;&gt;$B138,AA138/INDEX($C138:$AJ148,1,MATCH(IF('Data-solution'!$A$3="Maximize",MAX($C149:$AI149),MIN($C149:$AI149)),$C149:$AI149,0)),AA138-INDEX($C138:$AJ148,1,MATCH(IF('Data-solution'!$A$3="Maximize",MAX($C149:$AI149),MIN($C149:$AI149)),$C149:$AI149,0))*INDEX(AA138:$AJ148,MATCH(MIN($AK138:$AK148),$AK138:$AK148,0),1)/INDEX($C138:$AJ148,MATCH(MIN($AK138:$AK148),$AK138:$AK148,0),MATCH(IF('Data-solution'!$A$3="Maximize",MAX($C149:$AI149),MIN($C149:$AI149)),$C149:$AI149,0))),AA138)</f>
        <v>0</v>
      </c>
      <c r="AB153" s="1">
        <f>IF(OR($B153&lt;&gt;$B138,$B154&lt;&gt;$B139,$B155&lt;&gt;$B140,$B156&lt;&gt;$B141,$B157&lt;&gt;$B142,$B158&lt;&gt;$B143,$B159&lt;&gt;$B144,$B160&lt;&gt;$B145,$B161&lt;&gt;$B146,$B162&lt;&gt;$B147,$B163&lt;&gt;$B148),IF($B153&lt;&gt;$B138,AB138/INDEX($C138:$AJ148,1,MATCH(IF('Data-solution'!$A$3="Maximize",MAX($C149:$AI149),MIN($C149:$AI149)),$C149:$AI149,0)),AB138-INDEX($C138:$AJ148,1,MATCH(IF('Data-solution'!$A$3="Maximize",MAX($C149:$AI149),MIN($C149:$AI149)),$C149:$AI149,0))*INDEX(AB138:$AJ148,MATCH(MIN($AK138:$AK148),$AK138:$AK148,0),1)/INDEX($C138:$AJ148,MATCH(MIN($AK138:$AK148),$AK138:$AK148,0),MATCH(IF('Data-solution'!$A$3="Maximize",MAX($C149:$AI149),MIN($C149:$AI149)),$C149:$AI149,0))),AB138)</f>
        <v>-1</v>
      </c>
      <c r="AC153" s="1">
        <f>IF(OR($B153&lt;&gt;$B138,$B154&lt;&gt;$B139,$B155&lt;&gt;$B140,$B156&lt;&gt;$B141,$B157&lt;&gt;$B142,$B158&lt;&gt;$B143,$B159&lt;&gt;$B144,$B160&lt;&gt;$B145,$B161&lt;&gt;$B146,$B162&lt;&gt;$B147,$B163&lt;&gt;$B148),IF($B153&lt;&gt;$B138,AC138/INDEX($C138:$AJ148,1,MATCH(IF('Data-solution'!$A$3="Maximize",MAX($C149:$AI149),MIN($C149:$AI149)),$C149:$AI149,0)),AC138-INDEX($C138:$AJ148,1,MATCH(IF('Data-solution'!$A$3="Maximize",MAX($C149:$AI149),MIN($C149:$AI149)),$C149:$AI149,0))*INDEX(AC138:$AJ148,MATCH(MIN($AK138:$AK148),$AK138:$AK148,0),1)/INDEX($C138:$AJ148,MATCH(MIN($AK138:$AK148),$AK138:$AK148,0),MATCH(IF('Data-solution'!$A$3="Maximize",MAX($C149:$AI149),MIN($C149:$AI149)),$C149:$AI149,0))),AC138)</f>
        <v>0</v>
      </c>
      <c r="AD153" s="1">
        <f>IF(OR($B153&lt;&gt;$B138,$B154&lt;&gt;$B139,$B155&lt;&gt;$B140,$B156&lt;&gt;$B141,$B157&lt;&gt;$B142,$B158&lt;&gt;$B143,$B159&lt;&gt;$B144,$B160&lt;&gt;$B145,$B161&lt;&gt;$B146,$B162&lt;&gt;$B147,$B163&lt;&gt;$B148),IF($B153&lt;&gt;$B138,AD138/INDEX($C138:$AJ148,1,MATCH(IF('Data-solution'!$A$3="Maximize",MAX($C149:$AI149),MIN($C149:$AI149)),$C149:$AI149,0)),AD138-INDEX($C138:$AJ148,1,MATCH(IF('Data-solution'!$A$3="Maximize",MAX($C149:$AI149),MIN($C149:$AI149)),$C149:$AI149,0))*INDEX(AD138:$AJ148,MATCH(MIN($AK138:$AK148),$AK138:$AK148,0),1)/INDEX($C138:$AJ148,MATCH(MIN($AK138:$AK148),$AK138:$AK148,0),MATCH(IF('Data-solution'!$A$3="Maximize",MAX($C149:$AI149),MIN($C149:$AI149)),$C149:$AI149,0))),AD138)</f>
        <v>0</v>
      </c>
      <c r="AE153" s="1">
        <f>IF(OR($B153&lt;&gt;$B138,$B154&lt;&gt;$B139,$B155&lt;&gt;$B140,$B156&lt;&gt;$B141,$B157&lt;&gt;$B142,$B158&lt;&gt;$B143,$B159&lt;&gt;$B144,$B160&lt;&gt;$B145,$B161&lt;&gt;$B146,$B162&lt;&gt;$B147,$B163&lt;&gt;$B148),IF($B153&lt;&gt;$B138,AE138/INDEX($C138:$AJ148,1,MATCH(IF('Data-solution'!$A$3="Maximize",MAX($C149:$AI149),MIN($C149:$AI149)),$C149:$AI149,0)),AE138-INDEX($C138:$AJ148,1,MATCH(IF('Data-solution'!$A$3="Maximize",MAX($C149:$AI149),MIN($C149:$AI149)),$C149:$AI149,0))*INDEX(AE138:$AJ148,MATCH(MIN($AK138:$AK148),$AK138:$AK148,0),1)/INDEX($C138:$AJ148,MATCH(MIN($AK138:$AK148),$AK138:$AK148,0),MATCH(IF('Data-solution'!$A$3="Maximize",MAX($C149:$AI149),MIN($C149:$AI149)),$C149:$AI149,0))),AE138)</f>
        <v>0</v>
      </c>
      <c r="AF153" s="1">
        <f>IF(OR($B153&lt;&gt;$B138,$B154&lt;&gt;$B139,$B155&lt;&gt;$B140,$B156&lt;&gt;$B141,$B157&lt;&gt;$B142,$B158&lt;&gt;$B143,$B159&lt;&gt;$B144,$B160&lt;&gt;$B145,$B161&lt;&gt;$B146,$B162&lt;&gt;$B147,$B163&lt;&gt;$B148),IF($B153&lt;&gt;$B138,AF138/INDEX($C138:$AJ148,1,MATCH(IF('Data-solution'!$A$3="Maximize",MAX($C149:$AI149),MIN($C149:$AI149)),$C149:$AI149,0)),AF138-INDEX($C138:$AJ148,1,MATCH(IF('Data-solution'!$A$3="Maximize",MAX($C149:$AI149),MIN($C149:$AI149)),$C149:$AI149,0))*INDEX(AF138:$AJ148,MATCH(MIN($AK138:$AK148),$AK138:$AK148,0),1)/INDEX($C138:$AJ148,MATCH(MIN($AK138:$AK148),$AK138:$AK148,0),MATCH(IF('Data-solution'!$A$3="Maximize",MAX($C149:$AI149),MIN($C149:$AI149)),$C149:$AI149,0))),AF138)</f>
        <v>0</v>
      </c>
      <c r="AG153" s="1">
        <f>IF(OR($B153&lt;&gt;$B138,$B154&lt;&gt;$B139,$B155&lt;&gt;$B140,$B156&lt;&gt;$B141,$B157&lt;&gt;$B142,$B158&lt;&gt;$B143,$B159&lt;&gt;$B144,$B160&lt;&gt;$B145,$B161&lt;&gt;$B146,$B162&lt;&gt;$B147,$B163&lt;&gt;$B148),IF($B153&lt;&gt;$B138,AG138/INDEX($C138:$AJ148,1,MATCH(IF('Data-solution'!$A$3="Maximize",MAX($C149:$AI149),MIN($C149:$AI149)),$C149:$AI149,0)),AG138-INDEX($C138:$AJ148,1,MATCH(IF('Data-solution'!$A$3="Maximize",MAX($C149:$AI149),MIN($C149:$AI149)),$C149:$AI149,0))*INDEX(AG138:$AJ148,MATCH(MIN($AK138:$AK148),$AK138:$AK148,0),1)/INDEX($C138:$AJ148,MATCH(MIN($AK138:$AK148),$AK138:$AK148,0),MATCH(IF('Data-solution'!$A$3="Maximize",MAX($C149:$AI149),MIN($C149:$AI149)),$C149:$AI149,0))),AG138)</f>
        <v>0</v>
      </c>
      <c r="AH153" s="1">
        <f>IF(OR($B153&lt;&gt;$B138,$B154&lt;&gt;$B139,$B155&lt;&gt;$B140,$B156&lt;&gt;$B141,$B157&lt;&gt;$B142,$B158&lt;&gt;$B143,$B159&lt;&gt;$B144,$B160&lt;&gt;$B145,$B161&lt;&gt;$B146,$B162&lt;&gt;$B147,$B163&lt;&gt;$B148),IF($B153&lt;&gt;$B138,AH138/INDEX($C138:$AJ148,1,MATCH(IF('Data-solution'!$A$3="Maximize",MAX($C149:$AI149),MIN($C149:$AI149)),$C149:$AI149,0)),AH138-INDEX($C138:$AJ148,1,MATCH(IF('Data-solution'!$A$3="Maximize",MAX($C149:$AI149),MIN($C149:$AI149)),$C149:$AI149,0))*INDEX(AH138:$AJ148,MATCH(MIN($AK138:$AK148),$AK138:$AK148,0),1)/INDEX($C138:$AJ148,MATCH(MIN($AK138:$AK148),$AK138:$AK148,0),MATCH(IF('Data-solution'!$A$3="Maximize",MAX($C149:$AI149),MIN($C149:$AI149)),$C149:$AI149,0))),AH138)</f>
        <v>0</v>
      </c>
      <c r="AI153" s="1">
        <f>IF(OR($B153&lt;&gt;$B138,$B154&lt;&gt;$B139,$B155&lt;&gt;$B140,$B156&lt;&gt;$B141,$B157&lt;&gt;$B142,$B158&lt;&gt;$B143,$B159&lt;&gt;$B144,$B160&lt;&gt;$B145,$B161&lt;&gt;$B146,$B162&lt;&gt;$B147,$B163&lt;&gt;$B148),IF($B153&lt;&gt;$B138,AI138/INDEX($C138:$AJ148,1,MATCH(IF('Data-solution'!$A$3="Maximize",MAX($C149:$AI149),MIN($C149:$AI149)),$C149:$AI149,0)),AI138-INDEX($C138:$AJ148,1,MATCH(IF('Data-solution'!$A$3="Maximize",MAX($C149:$AI149),MIN($C149:$AI149)),$C149:$AI149,0))*INDEX(AI138:$AJ148,MATCH(MIN($AK138:$AK148),$AK138:$AK148,0),1)/INDEX($C138:$AJ148,MATCH(MIN($AK138:$AK148),$AK138:$AK148,0),MATCH(IF('Data-solution'!$A$3="Maximize",MAX($C149:$AI149),MIN($C149:$AI149)),$C149:$AI149,0))),AI138)</f>
        <v>0</v>
      </c>
      <c r="AJ153" s="1">
        <f>IF(OR($B153&lt;&gt;$B138,$B154&lt;&gt;$B139,$B155&lt;&gt;$B140,$B156&lt;&gt;$B141,$B157&lt;&gt;$B142,$B158&lt;&gt;$B143,$B159&lt;&gt;$B144,$B160&lt;&gt;$B145,$B161&lt;&gt;$B146,$B162&lt;&gt;$B147,$B163&lt;&gt;$B148),IF($B153&lt;&gt;$B138,AJ138/INDEX($C138:$AJ148,1,MATCH(IF('Data-solution'!$A$3="Maximize",MAX($C149:$AI149),MIN($C149:$AI149)),$C149:$AI149,0)),AJ138-INDEX($C138:$AJ148,1,MATCH(IF('Data-solution'!$A$3="Maximize",MAX($C149:$AI149),MIN($C149:$AI149)),$C149:$AI149,0))*INDEX(AJ138:$AJ148,MATCH(MIN($AK138:$AK148),$AK138:$AK148,0),1)/INDEX($C138:$AJ148,MATCH(MIN($AK138:$AK148),$AK138:$AK148,0),MATCH(IF('Data-solution'!$A$3="Maximize",MAX($C149:$AI149),MIN($C149:$AI149)),$C149:$AI149,0))),AJ138)</f>
        <v>150</v>
      </c>
      <c r="AK153" s="1" t="str">
        <f>IF(INDEX(C153:X153,1,MATCH(IF('Data-solution'!A$3="Maximize",MAX(C164:X164),MIN(C164:X164)),C164:X164,0))&gt;0,AJ153/INDEX(C153:X153,1,MATCH(IF('Data-solution'!A$3="Maximize",MAX(C164:X164),MIN(C164:X164)),C164:X164,0))," ")</f>
        <v xml:space="preserve"> </v>
      </c>
    </row>
    <row r="154" spans="1:37" ht="18" customHeight="1" x14ac:dyDescent="0.2">
      <c r="A154" s="1">
        <f t="shared" ref="A154" si="125">INDEX(C151:AI151,1,MATCH(B154,C152:AI152,0))</f>
        <v>0</v>
      </c>
      <c r="B154" s="2" t="str">
        <f>IF(AND('Data-solution'!A$3="Maximize",COUNTIF(C149:X149,"&gt;"&amp;0)&gt;0,AK139=MIN(AK138:AK148),COUNTIF(B153,INDEX(C137:X137,1,MATCH(MAX(C149:X149),C149:X149,0)))=0),INDEX(C137:X137,1,MATCH(MAX(C149:X149),C149:X149,0)),IF(AND('Data-solution'!A$3="Minimize",COUNTIF(C149:X149,"&lt;"&amp;0)&gt;0,AK139=MIN(AK138:AK148),COUNTIF(B153,INDEX(C137:X137,1,MATCH(MIN(C149:X149),C149:X149,0)))=0),INDEX(C137:X137,1,MATCH(MIN(C149:X149),C149:X149,0)),B139))</f>
        <v>S2</v>
      </c>
      <c r="C154" s="1">
        <f>IF(OR($B153&lt;&gt;$B138,$B154&lt;&gt;$B139,$B155&lt;&gt;$B140,$B156&lt;&gt;$B141,$B157&lt;&gt;$B142,$B158&lt;&gt;$B143,$B159&lt;&gt;$B144,$B160&lt;&gt;$B145,$B161&lt;&gt;$B146,$B162&lt;&gt;$B147,$B163&lt;&gt;$B148),IF($B154&lt;&gt;$B139,C139/INDEX($C138:$AJ148,2,MATCH(IF('Data-solution'!$A$3="Maximize",MAX($C149:$AI149),MIN($C149:$AI149)),$C149:$AI149,0)),C139-INDEX($C138:$AJ148,2,MATCH(IF('Data-solution'!$A$3="Maximize",MAX($C149:$AI149),MIN($C149:$AI149)),$C149:$AI149,0))*INDEX(C138:$AJ148,MATCH(MIN($AK138:$AK148),$AK138:$AK148,0),1)/INDEX($C138:$AJ148,MATCH(MIN($AK138:$AK148),$AK138:$AK148,0),MATCH(IF('Data-solution'!$A$3="Maximize",MAX($C149:$AI149),MIN($C149:$AI149)),$C149:$AI149,0))),C139)</f>
        <v>0</v>
      </c>
      <c r="D154" s="1">
        <f>IF(OR($B153&lt;&gt;$B138,$B154&lt;&gt;$B139,$B155&lt;&gt;$B140,$B156&lt;&gt;$B141,$B157&lt;&gt;$B142,$B158&lt;&gt;$B143,$B159&lt;&gt;$B144,$B160&lt;&gt;$B145,$B161&lt;&gt;$B146,$B162&lt;&gt;$B147,$B163&lt;&gt;$B148),IF($B154&lt;&gt;$B139,D139/INDEX($C138:$AJ148,2,MATCH(IF('Data-solution'!$A$3="Maximize",MAX($C149:$AI149),MIN($C149:$AI149)),$C149:$AI149,0)),D139-INDEX($C138:$AJ148,2,MATCH(IF('Data-solution'!$A$3="Maximize",MAX($C149:$AI149),MIN($C149:$AI149)),$C149:$AI149,0))*INDEX(D138:$AJ148,MATCH(MIN($AK138:$AK148),$AK138:$AK148,0),1)/INDEX($C138:$AJ148,MATCH(MIN($AK138:$AK148),$AK138:$AK148,0),MATCH(IF('Data-solution'!$A$3="Maximize",MAX($C149:$AI149),MIN($C149:$AI149)),$C149:$AI149,0))),D139)</f>
        <v>1.75</v>
      </c>
      <c r="E154" s="1">
        <f>IF(OR($B153&lt;&gt;$B138,$B154&lt;&gt;$B139,$B155&lt;&gt;$B140,$B156&lt;&gt;$B141,$B157&lt;&gt;$B142,$B158&lt;&gt;$B143,$B159&lt;&gt;$B144,$B160&lt;&gt;$B145,$B161&lt;&gt;$B146,$B162&lt;&gt;$B147,$B163&lt;&gt;$B148),IF($B154&lt;&gt;$B139,E139/INDEX($C138:$AJ148,2,MATCH(IF('Data-solution'!$A$3="Maximize",MAX($C149:$AI149),MIN($C149:$AI149)),$C149:$AI149,0)),E139-INDEX($C138:$AJ148,2,MATCH(IF('Data-solution'!$A$3="Maximize",MAX($C149:$AI149),MIN($C149:$AI149)),$C149:$AI149,0))*INDEX(E138:$AJ148,MATCH(MIN($AK138:$AK148),$AK138:$AK148,0),1)/INDEX($C138:$AJ148,MATCH(MIN($AK138:$AK148),$AK138:$AK148,0),MATCH(IF('Data-solution'!$A$3="Maximize",MAX($C149:$AI149),MIN($C149:$AI149)),$C149:$AI149,0))),E139)</f>
        <v>0</v>
      </c>
      <c r="F154" s="1">
        <f>IF(OR($B153&lt;&gt;$B138,$B154&lt;&gt;$B139,$B155&lt;&gt;$B140,$B156&lt;&gt;$B141,$B157&lt;&gt;$B142,$B158&lt;&gt;$B143,$B159&lt;&gt;$B144,$B160&lt;&gt;$B145,$B161&lt;&gt;$B146,$B162&lt;&gt;$B147,$B163&lt;&gt;$B148),IF($B154&lt;&gt;$B139,F139/INDEX($C138:$AJ148,2,MATCH(IF('Data-solution'!$A$3="Maximize",MAX($C149:$AI149),MIN($C149:$AI149)),$C149:$AI149,0)),F139-INDEX($C138:$AJ148,2,MATCH(IF('Data-solution'!$A$3="Maximize",MAX($C149:$AI149),MIN($C149:$AI149)),$C149:$AI149,0))*INDEX(F138:$AJ148,MATCH(MIN($AK138:$AK148),$AK138:$AK148,0),1)/INDEX($C138:$AJ148,MATCH(MIN($AK138:$AK148),$AK138:$AK148,0),MATCH(IF('Data-solution'!$A$3="Maximize",MAX($C149:$AI149),MIN($C149:$AI149)),$C149:$AI149,0))),F139)</f>
        <v>0</v>
      </c>
      <c r="G154" s="1">
        <f>IF(OR($B153&lt;&gt;$B138,$B154&lt;&gt;$B139,$B155&lt;&gt;$B140,$B156&lt;&gt;$B141,$B157&lt;&gt;$B142,$B158&lt;&gt;$B143,$B159&lt;&gt;$B144,$B160&lt;&gt;$B145,$B161&lt;&gt;$B146,$B162&lt;&gt;$B147,$B163&lt;&gt;$B148),IF($B154&lt;&gt;$B139,G139/INDEX($C138:$AJ148,2,MATCH(IF('Data-solution'!$A$3="Maximize",MAX($C149:$AI149),MIN($C149:$AI149)),$C149:$AI149,0)),G139-INDEX($C138:$AJ148,2,MATCH(IF('Data-solution'!$A$3="Maximize",MAX($C149:$AI149),MIN($C149:$AI149)),$C149:$AI149,0))*INDEX(G138:$AJ148,MATCH(MIN($AK138:$AK148),$AK138:$AK148,0),1)/INDEX($C138:$AJ148,MATCH(MIN($AK138:$AK148),$AK138:$AK148,0),MATCH(IF('Data-solution'!$A$3="Maximize",MAX($C149:$AI149),MIN($C149:$AI149)),$C149:$AI149,0))),G139)</f>
        <v>0</v>
      </c>
      <c r="H154" s="1">
        <f>IF(OR($B153&lt;&gt;$B138,$B154&lt;&gt;$B139,$B155&lt;&gt;$B140,$B156&lt;&gt;$B141,$B157&lt;&gt;$B142,$B158&lt;&gt;$B143,$B159&lt;&gt;$B144,$B160&lt;&gt;$B145,$B161&lt;&gt;$B146,$B162&lt;&gt;$B147,$B163&lt;&gt;$B148),IF($B154&lt;&gt;$B139,H139/INDEX($C138:$AJ148,2,MATCH(IF('Data-solution'!$A$3="Maximize",MAX($C149:$AI149),MIN($C149:$AI149)),$C149:$AI149,0)),H139-INDEX($C138:$AJ148,2,MATCH(IF('Data-solution'!$A$3="Maximize",MAX($C149:$AI149),MIN($C149:$AI149)),$C149:$AI149,0))*INDEX(H138:$AJ148,MATCH(MIN($AK138:$AK148),$AK138:$AK148,0),1)/INDEX($C138:$AJ148,MATCH(MIN($AK138:$AK148),$AK138:$AK148,0),MATCH(IF('Data-solution'!$A$3="Maximize",MAX($C149:$AI149),MIN($C149:$AI149)),$C149:$AI149,0))),H139)</f>
        <v>0</v>
      </c>
      <c r="I154" s="1">
        <f>IF(OR($B153&lt;&gt;$B138,$B154&lt;&gt;$B139,$B155&lt;&gt;$B140,$B156&lt;&gt;$B141,$B157&lt;&gt;$B142,$B158&lt;&gt;$B143,$B159&lt;&gt;$B144,$B160&lt;&gt;$B145,$B161&lt;&gt;$B146,$B162&lt;&gt;$B147,$B163&lt;&gt;$B148),IF($B154&lt;&gt;$B139,I139/INDEX($C138:$AJ148,2,MATCH(IF('Data-solution'!$A$3="Maximize",MAX($C149:$AI149),MIN($C149:$AI149)),$C149:$AI149,0)),I139-INDEX($C138:$AJ148,2,MATCH(IF('Data-solution'!$A$3="Maximize",MAX($C149:$AI149),MIN($C149:$AI149)),$C149:$AI149,0))*INDEX(I138:$AJ148,MATCH(MIN($AK138:$AK148),$AK138:$AK148,0),1)/INDEX($C138:$AJ148,MATCH(MIN($AK138:$AK148),$AK138:$AK148,0),MATCH(IF('Data-solution'!$A$3="Maximize",MAX($C149:$AI149),MIN($C149:$AI149)),$C149:$AI149,0))),I139)</f>
        <v>0</v>
      </c>
      <c r="J154" s="1">
        <f>IF(OR($B153&lt;&gt;$B138,$B154&lt;&gt;$B139,$B155&lt;&gt;$B140,$B156&lt;&gt;$B141,$B157&lt;&gt;$B142,$B158&lt;&gt;$B143,$B159&lt;&gt;$B144,$B160&lt;&gt;$B145,$B161&lt;&gt;$B146,$B162&lt;&gt;$B147,$B163&lt;&gt;$B148),IF($B154&lt;&gt;$B139,J139/INDEX($C138:$AJ148,2,MATCH(IF('Data-solution'!$A$3="Maximize",MAX($C149:$AI149),MIN($C149:$AI149)),$C149:$AI149,0)),J139-INDEX($C138:$AJ148,2,MATCH(IF('Data-solution'!$A$3="Maximize",MAX($C149:$AI149),MIN($C149:$AI149)),$C149:$AI149,0))*INDEX(J138:$AJ148,MATCH(MIN($AK138:$AK148),$AK138:$AK148,0),1)/INDEX($C138:$AJ148,MATCH(MIN($AK138:$AK148),$AK138:$AK148,0),MATCH(IF('Data-solution'!$A$3="Maximize",MAX($C149:$AI149),MIN($C149:$AI149)),$C149:$AI149,0))),J139)</f>
        <v>0</v>
      </c>
      <c r="K154" s="1">
        <f>IF(OR($B153&lt;&gt;$B138,$B154&lt;&gt;$B139,$B155&lt;&gt;$B140,$B156&lt;&gt;$B141,$B157&lt;&gt;$B142,$B158&lt;&gt;$B143,$B159&lt;&gt;$B144,$B160&lt;&gt;$B145,$B161&lt;&gt;$B146,$B162&lt;&gt;$B147,$B163&lt;&gt;$B148),IF($B154&lt;&gt;$B139,K139/INDEX($C138:$AJ148,2,MATCH(IF('Data-solution'!$A$3="Maximize",MAX($C149:$AI149),MIN($C149:$AI149)),$C149:$AI149,0)),K139-INDEX($C138:$AJ148,2,MATCH(IF('Data-solution'!$A$3="Maximize",MAX($C149:$AI149),MIN($C149:$AI149)),$C149:$AI149,0))*INDEX(K138:$AJ148,MATCH(MIN($AK138:$AK148),$AK138:$AK148,0),1)/INDEX($C138:$AJ148,MATCH(MIN($AK138:$AK148),$AK138:$AK148,0),MATCH(IF('Data-solution'!$A$3="Maximize",MAX($C149:$AI149),MIN($C149:$AI149)),$C149:$AI149,0))),K139)</f>
        <v>0</v>
      </c>
      <c r="L154" s="1">
        <f>IF(OR($B153&lt;&gt;$B138,$B154&lt;&gt;$B139,$B155&lt;&gt;$B140,$B156&lt;&gt;$B141,$B157&lt;&gt;$B142,$B158&lt;&gt;$B143,$B159&lt;&gt;$B144,$B160&lt;&gt;$B145,$B161&lt;&gt;$B146,$B162&lt;&gt;$B147,$B163&lt;&gt;$B148),IF($B154&lt;&gt;$B139,L139/INDEX($C138:$AJ148,2,MATCH(IF('Data-solution'!$A$3="Maximize",MAX($C149:$AI149),MIN($C149:$AI149)),$C149:$AI149,0)),L139-INDEX($C138:$AJ148,2,MATCH(IF('Data-solution'!$A$3="Maximize",MAX($C149:$AI149),MIN($C149:$AI149)),$C149:$AI149,0))*INDEX(L138:$AJ148,MATCH(MIN($AK138:$AK148),$AK138:$AK148,0),1)/INDEX($C138:$AJ148,MATCH(MIN($AK138:$AK148),$AK138:$AK148,0),MATCH(IF('Data-solution'!$A$3="Maximize",MAX($C149:$AI149),MIN($C149:$AI149)),$C149:$AI149,0))),L139)</f>
        <v>0</v>
      </c>
      <c r="M154" s="1">
        <f>IF(OR($B153&lt;&gt;$B138,$B154&lt;&gt;$B139,$B155&lt;&gt;$B140,$B156&lt;&gt;$B141,$B157&lt;&gt;$B142,$B158&lt;&gt;$B143,$B159&lt;&gt;$B144,$B160&lt;&gt;$B145,$B161&lt;&gt;$B146,$B162&lt;&gt;$B147,$B163&lt;&gt;$B148),IF($B154&lt;&gt;$B139,M139/INDEX($C138:$AJ148,2,MATCH(IF('Data-solution'!$A$3="Maximize",MAX($C149:$AI149),MIN($C149:$AI149)),$C149:$AI149,0)),M139-INDEX($C138:$AJ148,2,MATCH(IF('Data-solution'!$A$3="Maximize",MAX($C149:$AI149),MIN($C149:$AI149)),$C149:$AI149,0))*INDEX(M138:$AJ148,MATCH(MIN($AK138:$AK148),$AK138:$AK148,0),1)/INDEX($C138:$AJ148,MATCH(MIN($AK138:$AK148),$AK138:$AK148,0),MATCH(IF('Data-solution'!$A$3="Maximize",MAX($C149:$AI149),MIN($C149:$AI149)),$C149:$AI149,0))),M139)</f>
        <v>0</v>
      </c>
      <c r="N154" s="1">
        <f>IF(OR($B153&lt;&gt;$B138,$B154&lt;&gt;$B139,$B155&lt;&gt;$B140,$B156&lt;&gt;$B141,$B157&lt;&gt;$B142,$B158&lt;&gt;$B143,$B159&lt;&gt;$B144,$B160&lt;&gt;$B145,$B161&lt;&gt;$B146,$B162&lt;&gt;$B147,$B163&lt;&gt;$B148),IF($B154&lt;&gt;$B139,N139/INDEX($C138:$AJ148,2,MATCH(IF('Data-solution'!$A$3="Maximize",MAX($C149:$AI149),MIN($C149:$AI149)),$C149:$AI149,0)),N139-INDEX($C138:$AJ148,2,MATCH(IF('Data-solution'!$A$3="Maximize",MAX($C149:$AI149),MIN($C149:$AI149)),$C149:$AI149,0))*INDEX(N138:$AJ148,MATCH(MIN($AK138:$AK148),$AK138:$AK148,0),1)/INDEX($C138:$AJ148,MATCH(MIN($AK138:$AK148),$AK138:$AK148,0),MATCH(IF('Data-solution'!$A$3="Maximize",MAX($C149:$AI149),MIN($C149:$AI149)),$C149:$AI149,0))),N139)</f>
        <v>0</v>
      </c>
      <c r="O154" s="1">
        <f>IF(OR($B153&lt;&gt;$B138,$B154&lt;&gt;$B139,$B155&lt;&gt;$B140,$B156&lt;&gt;$B141,$B157&lt;&gt;$B142,$B158&lt;&gt;$B143,$B159&lt;&gt;$B144,$B160&lt;&gt;$B145,$B161&lt;&gt;$B146,$B162&lt;&gt;$B147,$B163&lt;&gt;$B148),IF($B154&lt;&gt;$B139,O139/INDEX($C138:$AJ148,2,MATCH(IF('Data-solution'!$A$3="Maximize",MAX($C149:$AI149),MIN($C149:$AI149)),$C149:$AI149,0)),O139-INDEX($C138:$AJ148,2,MATCH(IF('Data-solution'!$A$3="Maximize",MAX($C149:$AI149),MIN($C149:$AI149)),$C149:$AI149,0))*INDEX(O138:$AJ148,MATCH(MIN($AK138:$AK148),$AK138:$AK148,0),1)/INDEX($C138:$AJ148,MATCH(MIN($AK138:$AK148),$AK138:$AK148,0),MATCH(IF('Data-solution'!$A$3="Maximize",MAX($C149:$AI149),MIN($C149:$AI149)),$C149:$AI149,0))),O139)</f>
        <v>1</v>
      </c>
      <c r="P154" s="1">
        <f>IF(OR($B153&lt;&gt;$B138,$B154&lt;&gt;$B139,$B155&lt;&gt;$B140,$B156&lt;&gt;$B141,$B157&lt;&gt;$B142,$B158&lt;&gt;$B143,$B159&lt;&gt;$B144,$B160&lt;&gt;$B145,$B161&lt;&gt;$B146,$B162&lt;&gt;$B147,$B163&lt;&gt;$B148),IF($B154&lt;&gt;$B139,P139/INDEX($C138:$AJ148,2,MATCH(IF('Data-solution'!$A$3="Maximize",MAX($C149:$AI149),MIN($C149:$AI149)),$C149:$AI149,0)),P139-INDEX($C138:$AJ148,2,MATCH(IF('Data-solution'!$A$3="Maximize",MAX($C149:$AI149),MIN($C149:$AI149)),$C149:$AI149,0))*INDEX(P138:$AJ148,MATCH(MIN($AK138:$AK148),$AK138:$AK148,0),1)/INDEX($C138:$AJ148,MATCH(MIN($AK138:$AK148),$AK138:$AK148,0),MATCH(IF('Data-solution'!$A$3="Maximize",MAX($C149:$AI149),MIN($C149:$AI149)),$C149:$AI149,0))),P139)</f>
        <v>-0.25</v>
      </c>
      <c r="Q154" s="1">
        <f>IF(OR($B153&lt;&gt;$B138,$B154&lt;&gt;$B139,$B155&lt;&gt;$B140,$B156&lt;&gt;$B141,$B157&lt;&gt;$B142,$B158&lt;&gt;$B143,$B159&lt;&gt;$B144,$B160&lt;&gt;$B145,$B161&lt;&gt;$B146,$B162&lt;&gt;$B147,$B163&lt;&gt;$B148),IF($B154&lt;&gt;$B139,Q139/INDEX($C138:$AJ148,2,MATCH(IF('Data-solution'!$A$3="Maximize",MAX($C149:$AI149),MIN($C149:$AI149)),$C149:$AI149,0)),Q139-INDEX($C138:$AJ148,2,MATCH(IF('Data-solution'!$A$3="Maximize",MAX($C149:$AI149),MIN($C149:$AI149)),$C149:$AI149,0))*INDEX(Q138:$AJ148,MATCH(MIN($AK138:$AK148),$AK138:$AK148,0),1)/INDEX($C138:$AJ148,MATCH(MIN($AK138:$AK148),$AK138:$AK148,0),MATCH(IF('Data-solution'!$A$3="Maximize",MAX($C149:$AI149),MIN($C149:$AI149)),$C149:$AI149,0))),Q139)</f>
        <v>-0.5</v>
      </c>
      <c r="R154" s="1">
        <f>IF(OR($B153&lt;&gt;$B138,$B154&lt;&gt;$B139,$B155&lt;&gt;$B140,$B156&lt;&gt;$B141,$B157&lt;&gt;$B142,$B158&lt;&gt;$B143,$B159&lt;&gt;$B144,$B160&lt;&gt;$B145,$B161&lt;&gt;$B146,$B162&lt;&gt;$B147,$B163&lt;&gt;$B148),IF($B154&lt;&gt;$B139,R139/INDEX($C138:$AJ148,2,MATCH(IF('Data-solution'!$A$3="Maximize",MAX($C149:$AI149),MIN($C149:$AI149)),$C149:$AI149,0)),R139-INDEX($C138:$AJ148,2,MATCH(IF('Data-solution'!$A$3="Maximize",MAX($C149:$AI149),MIN($C149:$AI149)),$C149:$AI149,0))*INDEX(R138:$AJ148,MATCH(MIN($AK138:$AK148),$AK138:$AK148,0),1)/INDEX($C138:$AJ148,MATCH(MIN($AK138:$AK148),$AK138:$AK148,0),MATCH(IF('Data-solution'!$A$3="Maximize",MAX($C149:$AI149),MIN($C149:$AI149)),$C149:$AI149,0))),R139)</f>
        <v>0</v>
      </c>
      <c r="S154" s="1">
        <f>IF(OR($B153&lt;&gt;$B138,$B154&lt;&gt;$B139,$B155&lt;&gt;$B140,$B156&lt;&gt;$B141,$B157&lt;&gt;$B142,$B158&lt;&gt;$B143,$B159&lt;&gt;$B144,$B160&lt;&gt;$B145,$B161&lt;&gt;$B146,$B162&lt;&gt;$B147,$B163&lt;&gt;$B148),IF($B154&lt;&gt;$B139,S139/INDEX($C138:$AJ148,2,MATCH(IF('Data-solution'!$A$3="Maximize",MAX($C149:$AI149),MIN($C149:$AI149)),$C149:$AI149,0)),S139-INDEX($C138:$AJ148,2,MATCH(IF('Data-solution'!$A$3="Maximize",MAX($C149:$AI149),MIN($C149:$AI149)),$C149:$AI149,0))*INDEX(S138:$AJ148,MATCH(MIN($AK138:$AK148),$AK138:$AK148,0),1)/INDEX($C138:$AJ148,MATCH(MIN($AK138:$AK148),$AK138:$AK148,0),MATCH(IF('Data-solution'!$A$3="Maximize",MAX($C149:$AI149),MIN($C149:$AI149)),$C149:$AI149,0))),S139)</f>
        <v>0</v>
      </c>
      <c r="T154" s="1">
        <f>IF(OR($B153&lt;&gt;$B138,$B154&lt;&gt;$B139,$B155&lt;&gt;$B140,$B156&lt;&gt;$B141,$B157&lt;&gt;$B142,$B158&lt;&gt;$B143,$B159&lt;&gt;$B144,$B160&lt;&gt;$B145,$B161&lt;&gt;$B146,$B162&lt;&gt;$B147,$B163&lt;&gt;$B148),IF($B154&lt;&gt;$B139,T139/INDEX($C138:$AJ148,2,MATCH(IF('Data-solution'!$A$3="Maximize",MAX($C149:$AI149),MIN($C149:$AI149)),$C149:$AI149,0)),T139-INDEX($C138:$AJ148,2,MATCH(IF('Data-solution'!$A$3="Maximize",MAX($C149:$AI149),MIN($C149:$AI149)),$C149:$AI149,0))*INDEX(T138:$AJ148,MATCH(MIN($AK138:$AK148),$AK138:$AK148,0),1)/INDEX($C138:$AJ148,MATCH(MIN($AK138:$AK148),$AK138:$AK148,0),MATCH(IF('Data-solution'!$A$3="Maximize",MAX($C149:$AI149),MIN($C149:$AI149)),$C149:$AI149,0))),T139)</f>
        <v>0</v>
      </c>
      <c r="U154" s="1">
        <f>IF(OR($B153&lt;&gt;$B138,$B154&lt;&gt;$B139,$B155&lt;&gt;$B140,$B156&lt;&gt;$B141,$B157&lt;&gt;$B142,$B158&lt;&gt;$B143,$B159&lt;&gt;$B144,$B160&lt;&gt;$B145,$B161&lt;&gt;$B146,$B162&lt;&gt;$B147,$B163&lt;&gt;$B148),IF($B154&lt;&gt;$B139,U139/INDEX($C138:$AJ148,2,MATCH(IF('Data-solution'!$A$3="Maximize",MAX($C149:$AI149),MIN($C149:$AI149)),$C149:$AI149,0)),U139-INDEX($C138:$AJ148,2,MATCH(IF('Data-solution'!$A$3="Maximize",MAX($C149:$AI149),MIN($C149:$AI149)),$C149:$AI149,0))*INDEX(U138:$AJ148,MATCH(MIN($AK138:$AK148),$AK138:$AK148,0),1)/INDEX($C138:$AJ148,MATCH(MIN($AK138:$AK148),$AK138:$AK148,0),MATCH(IF('Data-solution'!$A$3="Maximize",MAX($C149:$AI149),MIN($C149:$AI149)),$C149:$AI149,0))),U139)</f>
        <v>0</v>
      </c>
      <c r="V154" s="1">
        <f>IF(OR($B153&lt;&gt;$B138,$B154&lt;&gt;$B139,$B155&lt;&gt;$B140,$B156&lt;&gt;$B141,$B157&lt;&gt;$B142,$B158&lt;&gt;$B143,$B159&lt;&gt;$B144,$B160&lt;&gt;$B145,$B161&lt;&gt;$B146,$B162&lt;&gt;$B147,$B163&lt;&gt;$B148),IF($B154&lt;&gt;$B139,V139/INDEX($C138:$AJ148,2,MATCH(IF('Data-solution'!$A$3="Maximize",MAX($C149:$AI149),MIN($C149:$AI149)),$C149:$AI149,0)),V139-INDEX($C138:$AJ148,2,MATCH(IF('Data-solution'!$A$3="Maximize",MAX($C149:$AI149),MIN($C149:$AI149)),$C149:$AI149,0))*INDEX(V138:$AJ148,MATCH(MIN($AK138:$AK148),$AK138:$AK148,0),1)/INDEX($C138:$AJ148,MATCH(MIN($AK138:$AK148),$AK138:$AK148,0),MATCH(IF('Data-solution'!$A$3="Maximize",MAX($C149:$AI149),MIN($C149:$AI149)),$C149:$AI149,0))),V139)</f>
        <v>0</v>
      </c>
      <c r="W154" s="1">
        <f>IF(OR($B153&lt;&gt;$B138,$B154&lt;&gt;$B139,$B155&lt;&gt;$B140,$B156&lt;&gt;$B141,$B157&lt;&gt;$B142,$B158&lt;&gt;$B143,$B159&lt;&gt;$B144,$B160&lt;&gt;$B145,$B161&lt;&gt;$B146,$B162&lt;&gt;$B147,$B163&lt;&gt;$B148),IF($B154&lt;&gt;$B139,W139/INDEX($C138:$AJ148,2,MATCH(IF('Data-solution'!$A$3="Maximize",MAX($C149:$AI149),MIN($C149:$AI149)),$C149:$AI149,0)),W139-INDEX($C138:$AJ148,2,MATCH(IF('Data-solution'!$A$3="Maximize",MAX($C149:$AI149),MIN($C149:$AI149)),$C149:$AI149,0))*INDEX(W138:$AJ148,MATCH(MIN($AK138:$AK148),$AK138:$AK148,0),1)/INDEX($C138:$AJ148,MATCH(MIN($AK138:$AK148),$AK138:$AK148,0),MATCH(IF('Data-solution'!$A$3="Maximize",MAX($C149:$AI149),MIN($C149:$AI149)),$C149:$AI149,0))),W139)</f>
        <v>0</v>
      </c>
      <c r="X154" s="1">
        <f>IF(OR($B153&lt;&gt;$B138,$B154&lt;&gt;$B139,$B155&lt;&gt;$B140,$B156&lt;&gt;$B141,$B157&lt;&gt;$B142,$B158&lt;&gt;$B143,$B159&lt;&gt;$B144,$B160&lt;&gt;$B145,$B161&lt;&gt;$B146,$B162&lt;&gt;$B147,$B163&lt;&gt;$B148),IF($B154&lt;&gt;$B139,X139/INDEX($C138:$AJ148,2,MATCH(IF('Data-solution'!$A$3="Maximize",MAX($C149:$AI149),MIN($C149:$AI149)),$C149:$AI149,0)),X139-INDEX($C138:$AJ148,2,MATCH(IF('Data-solution'!$A$3="Maximize",MAX($C149:$AI149),MIN($C149:$AI149)),$C149:$AI149,0))*INDEX(X138:$AJ148,MATCH(MIN($AK138:$AK148),$AK138:$AK148,0),1)/INDEX($C138:$AJ148,MATCH(MIN($AK138:$AK148),$AK138:$AK148,0),MATCH(IF('Data-solution'!$A$3="Maximize",MAX($C149:$AI149),MIN($C149:$AI149)),$C149:$AI149,0))),X139)</f>
        <v>0</v>
      </c>
      <c r="Y154" s="1">
        <f>IF(OR($B153&lt;&gt;$B138,$B154&lt;&gt;$B139,$B155&lt;&gt;$B140,$B156&lt;&gt;$B141,$B157&lt;&gt;$B142,$B158&lt;&gt;$B143,$B159&lt;&gt;$B144,$B160&lt;&gt;$B145,$B161&lt;&gt;$B146,$B162&lt;&gt;$B147,$B163&lt;&gt;$B148),IF($B154&lt;&gt;$B139,Y139/INDEX($C138:$AJ148,2,MATCH(IF('Data-solution'!$A$3="Maximize",MAX($C149:$AI149),MIN($C149:$AI149)),$C149:$AI149,0)),Y139-INDEX($C138:$AJ148,2,MATCH(IF('Data-solution'!$A$3="Maximize",MAX($C149:$AI149),MIN($C149:$AI149)),$C149:$AI149,0))*INDEX(Y138:$AJ148,MATCH(MIN($AK138:$AK148),$AK138:$AK148,0),1)/INDEX($C138:$AJ148,MATCH(MIN($AK138:$AK148),$AK138:$AK148,0),MATCH(IF('Data-solution'!$A$3="Maximize",MAX($C149:$AI149),MIN($C149:$AI149)),$C149:$AI149,0))),Y139)</f>
        <v>0</v>
      </c>
      <c r="Z154" s="1">
        <f>IF(OR($B153&lt;&gt;$B138,$B154&lt;&gt;$B139,$B155&lt;&gt;$B140,$B156&lt;&gt;$B141,$B157&lt;&gt;$B142,$B158&lt;&gt;$B143,$B159&lt;&gt;$B144,$B160&lt;&gt;$B145,$B161&lt;&gt;$B146,$B162&lt;&gt;$B147,$B163&lt;&gt;$B148),IF($B154&lt;&gt;$B139,Z139/INDEX($C138:$AJ148,2,MATCH(IF('Data-solution'!$A$3="Maximize",MAX($C149:$AI149),MIN($C149:$AI149)),$C149:$AI149,0)),Z139-INDEX($C138:$AJ148,2,MATCH(IF('Data-solution'!$A$3="Maximize",MAX($C149:$AI149),MIN($C149:$AI149)),$C149:$AI149,0))*INDEX(Z138:$AJ148,MATCH(MIN($AK138:$AK148),$AK138:$AK148,0),1)/INDEX($C138:$AJ148,MATCH(MIN($AK138:$AK148),$AK138:$AK148,0),MATCH(IF('Data-solution'!$A$3="Maximize",MAX($C149:$AI149),MIN($C149:$AI149)),$C149:$AI149,0))),Z139)</f>
        <v>1</v>
      </c>
      <c r="AA154" s="1">
        <f>IF(OR($B153&lt;&gt;$B138,$B154&lt;&gt;$B139,$B155&lt;&gt;$B140,$B156&lt;&gt;$B141,$B157&lt;&gt;$B142,$B158&lt;&gt;$B143,$B159&lt;&gt;$B144,$B160&lt;&gt;$B145,$B161&lt;&gt;$B146,$B162&lt;&gt;$B147,$B163&lt;&gt;$B148),IF($B154&lt;&gt;$B139,AA139/INDEX($C138:$AJ148,2,MATCH(IF('Data-solution'!$A$3="Maximize",MAX($C149:$AI149),MIN($C149:$AI149)),$C149:$AI149,0)),AA139-INDEX($C138:$AJ148,2,MATCH(IF('Data-solution'!$A$3="Maximize",MAX($C149:$AI149),MIN($C149:$AI149)),$C149:$AI149,0))*INDEX(AA138:$AJ148,MATCH(MIN($AK138:$AK148),$AK138:$AK148,0),1)/INDEX($C138:$AJ148,MATCH(MIN($AK138:$AK148),$AK138:$AK148,0),MATCH(IF('Data-solution'!$A$3="Maximize",MAX($C149:$AI149),MIN($C149:$AI149)),$C149:$AI149,0))),AA139)</f>
        <v>-0.25</v>
      </c>
      <c r="AB154" s="1">
        <f>IF(OR($B153&lt;&gt;$B138,$B154&lt;&gt;$B139,$B155&lt;&gt;$B140,$B156&lt;&gt;$B141,$B157&lt;&gt;$B142,$B158&lt;&gt;$B143,$B159&lt;&gt;$B144,$B160&lt;&gt;$B145,$B161&lt;&gt;$B146,$B162&lt;&gt;$B147,$B163&lt;&gt;$B148),IF($B154&lt;&gt;$B139,AB139/INDEX($C138:$AJ148,2,MATCH(IF('Data-solution'!$A$3="Maximize",MAX($C149:$AI149),MIN($C149:$AI149)),$C149:$AI149,0)),AB139-INDEX($C138:$AJ148,2,MATCH(IF('Data-solution'!$A$3="Maximize",MAX($C149:$AI149),MIN($C149:$AI149)),$C149:$AI149,0))*INDEX(AB138:$AJ148,MATCH(MIN($AK138:$AK148),$AK138:$AK148,0),1)/INDEX($C138:$AJ148,MATCH(MIN($AK138:$AK148),$AK138:$AK148,0),MATCH(IF('Data-solution'!$A$3="Maximize",MAX($C149:$AI149),MIN($C149:$AI149)),$C149:$AI149,0))),AB139)</f>
        <v>-0.5</v>
      </c>
      <c r="AC154" s="1">
        <f>IF(OR($B153&lt;&gt;$B138,$B154&lt;&gt;$B139,$B155&lt;&gt;$B140,$B156&lt;&gt;$B141,$B157&lt;&gt;$B142,$B158&lt;&gt;$B143,$B159&lt;&gt;$B144,$B160&lt;&gt;$B145,$B161&lt;&gt;$B146,$B162&lt;&gt;$B147,$B163&lt;&gt;$B148),IF($B154&lt;&gt;$B139,AC139/INDEX($C138:$AJ148,2,MATCH(IF('Data-solution'!$A$3="Maximize",MAX($C149:$AI149),MIN($C149:$AI149)),$C149:$AI149,0)),AC139-INDEX($C138:$AJ148,2,MATCH(IF('Data-solution'!$A$3="Maximize",MAX($C149:$AI149),MIN($C149:$AI149)),$C149:$AI149,0))*INDEX(AC138:$AJ148,MATCH(MIN($AK138:$AK148),$AK138:$AK148,0),1)/INDEX($C138:$AJ148,MATCH(MIN($AK138:$AK148),$AK138:$AK148,0),MATCH(IF('Data-solution'!$A$3="Maximize",MAX($C149:$AI149),MIN($C149:$AI149)),$C149:$AI149,0))),AC139)</f>
        <v>0</v>
      </c>
      <c r="AD154" s="1">
        <f>IF(OR($B153&lt;&gt;$B138,$B154&lt;&gt;$B139,$B155&lt;&gt;$B140,$B156&lt;&gt;$B141,$B157&lt;&gt;$B142,$B158&lt;&gt;$B143,$B159&lt;&gt;$B144,$B160&lt;&gt;$B145,$B161&lt;&gt;$B146,$B162&lt;&gt;$B147,$B163&lt;&gt;$B148),IF($B154&lt;&gt;$B139,AD139/INDEX($C138:$AJ148,2,MATCH(IF('Data-solution'!$A$3="Maximize",MAX($C149:$AI149),MIN($C149:$AI149)),$C149:$AI149,0)),AD139-INDEX($C138:$AJ148,2,MATCH(IF('Data-solution'!$A$3="Maximize",MAX($C149:$AI149),MIN($C149:$AI149)),$C149:$AI149,0))*INDEX(AD138:$AJ148,MATCH(MIN($AK138:$AK148),$AK138:$AK148,0),1)/INDEX($C138:$AJ148,MATCH(MIN($AK138:$AK148),$AK138:$AK148,0),MATCH(IF('Data-solution'!$A$3="Maximize",MAX($C149:$AI149),MIN($C149:$AI149)),$C149:$AI149,0))),AD139)</f>
        <v>0</v>
      </c>
      <c r="AE154" s="1">
        <f>IF(OR($B153&lt;&gt;$B138,$B154&lt;&gt;$B139,$B155&lt;&gt;$B140,$B156&lt;&gt;$B141,$B157&lt;&gt;$B142,$B158&lt;&gt;$B143,$B159&lt;&gt;$B144,$B160&lt;&gt;$B145,$B161&lt;&gt;$B146,$B162&lt;&gt;$B147,$B163&lt;&gt;$B148),IF($B154&lt;&gt;$B139,AE139/INDEX($C138:$AJ148,2,MATCH(IF('Data-solution'!$A$3="Maximize",MAX($C149:$AI149),MIN($C149:$AI149)),$C149:$AI149,0)),AE139-INDEX($C138:$AJ148,2,MATCH(IF('Data-solution'!$A$3="Maximize",MAX($C149:$AI149),MIN($C149:$AI149)),$C149:$AI149,0))*INDEX(AE138:$AJ148,MATCH(MIN($AK138:$AK148),$AK138:$AK148,0),1)/INDEX($C138:$AJ148,MATCH(MIN($AK138:$AK148),$AK138:$AK148,0),MATCH(IF('Data-solution'!$A$3="Maximize",MAX($C149:$AI149),MIN($C149:$AI149)),$C149:$AI149,0))),AE139)</f>
        <v>0</v>
      </c>
      <c r="AF154" s="1">
        <f>IF(OR($B153&lt;&gt;$B138,$B154&lt;&gt;$B139,$B155&lt;&gt;$B140,$B156&lt;&gt;$B141,$B157&lt;&gt;$B142,$B158&lt;&gt;$B143,$B159&lt;&gt;$B144,$B160&lt;&gt;$B145,$B161&lt;&gt;$B146,$B162&lt;&gt;$B147,$B163&lt;&gt;$B148),IF($B154&lt;&gt;$B139,AF139/INDEX($C138:$AJ148,2,MATCH(IF('Data-solution'!$A$3="Maximize",MAX($C149:$AI149),MIN($C149:$AI149)),$C149:$AI149,0)),AF139-INDEX($C138:$AJ148,2,MATCH(IF('Data-solution'!$A$3="Maximize",MAX($C149:$AI149),MIN($C149:$AI149)),$C149:$AI149,0))*INDEX(AF138:$AJ148,MATCH(MIN($AK138:$AK148),$AK138:$AK148,0),1)/INDEX($C138:$AJ148,MATCH(MIN($AK138:$AK148),$AK138:$AK148,0),MATCH(IF('Data-solution'!$A$3="Maximize",MAX($C149:$AI149),MIN($C149:$AI149)),$C149:$AI149,0))),AF139)</f>
        <v>0</v>
      </c>
      <c r="AG154" s="1">
        <f>IF(OR($B153&lt;&gt;$B138,$B154&lt;&gt;$B139,$B155&lt;&gt;$B140,$B156&lt;&gt;$B141,$B157&lt;&gt;$B142,$B158&lt;&gt;$B143,$B159&lt;&gt;$B144,$B160&lt;&gt;$B145,$B161&lt;&gt;$B146,$B162&lt;&gt;$B147,$B163&lt;&gt;$B148),IF($B154&lt;&gt;$B139,AG139/INDEX($C138:$AJ148,2,MATCH(IF('Data-solution'!$A$3="Maximize",MAX($C149:$AI149),MIN($C149:$AI149)),$C149:$AI149,0)),AG139-INDEX($C138:$AJ148,2,MATCH(IF('Data-solution'!$A$3="Maximize",MAX($C149:$AI149),MIN($C149:$AI149)),$C149:$AI149,0))*INDEX(AG138:$AJ148,MATCH(MIN($AK138:$AK148),$AK138:$AK148,0),1)/INDEX($C138:$AJ148,MATCH(MIN($AK138:$AK148),$AK138:$AK148,0),MATCH(IF('Data-solution'!$A$3="Maximize",MAX($C149:$AI149),MIN($C149:$AI149)),$C149:$AI149,0))),AG139)</f>
        <v>0</v>
      </c>
      <c r="AH154" s="1">
        <f>IF(OR($B153&lt;&gt;$B138,$B154&lt;&gt;$B139,$B155&lt;&gt;$B140,$B156&lt;&gt;$B141,$B157&lt;&gt;$B142,$B158&lt;&gt;$B143,$B159&lt;&gt;$B144,$B160&lt;&gt;$B145,$B161&lt;&gt;$B146,$B162&lt;&gt;$B147,$B163&lt;&gt;$B148),IF($B154&lt;&gt;$B139,AH139/INDEX($C138:$AJ148,2,MATCH(IF('Data-solution'!$A$3="Maximize",MAX($C149:$AI149),MIN($C149:$AI149)),$C149:$AI149,0)),AH139-INDEX($C138:$AJ148,2,MATCH(IF('Data-solution'!$A$3="Maximize",MAX($C149:$AI149),MIN($C149:$AI149)),$C149:$AI149,0))*INDEX(AH138:$AJ148,MATCH(MIN($AK138:$AK148),$AK138:$AK148,0),1)/INDEX($C138:$AJ148,MATCH(MIN($AK138:$AK148),$AK138:$AK148,0),MATCH(IF('Data-solution'!$A$3="Maximize",MAX($C149:$AI149),MIN($C149:$AI149)),$C149:$AI149,0))),AH139)</f>
        <v>0</v>
      </c>
      <c r="AI154" s="1">
        <f>IF(OR($B153&lt;&gt;$B138,$B154&lt;&gt;$B139,$B155&lt;&gt;$B140,$B156&lt;&gt;$B141,$B157&lt;&gt;$B142,$B158&lt;&gt;$B143,$B159&lt;&gt;$B144,$B160&lt;&gt;$B145,$B161&lt;&gt;$B146,$B162&lt;&gt;$B147,$B163&lt;&gt;$B148),IF($B154&lt;&gt;$B139,AI139/INDEX($C138:$AJ148,2,MATCH(IF('Data-solution'!$A$3="Maximize",MAX($C149:$AI149),MIN($C149:$AI149)),$C149:$AI149,0)),AI139-INDEX($C138:$AJ148,2,MATCH(IF('Data-solution'!$A$3="Maximize",MAX($C149:$AI149),MIN($C149:$AI149)),$C149:$AI149,0))*INDEX(AI138:$AJ148,MATCH(MIN($AK138:$AK148),$AK138:$AK148,0),1)/INDEX($C138:$AJ148,MATCH(MIN($AK138:$AK148),$AK138:$AK148,0),MATCH(IF('Data-solution'!$A$3="Maximize",MAX($C149:$AI149),MIN($C149:$AI149)),$C149:$AI149,0))),AI139)</f>
        <v>0</v>
      </c>
      <c r="AJ154" s="1">
        <f>IF(OR($B153&lt;&gt;$B138,$B154&lt;&gt;$B139,$B155&lt;&gt;$B140,$B156&lt;&gt;$B141,$B157&lt;&gt;$B142,$B158&lt;&gt;$B143,$B159&lt;&gt;$B144,$B160&lt;&gt;$B145,$B161&lt;&gt;$B146,$B162&lt;&gt;$B147,$B163&lt;&gt;$B148),IF($B154&lt;&gt;$B139,AJ139/INDEX($C138:$AJ148,2,MATCH(IF('Data-solution'!$A$3="Maximize",MAX($C149:$AI149),MIN($C149:$AI149)),$C149:$AI149,0)),AJ139-INDEX($C138:$AJ148,2,MATCH(IF('Data-solution'!$A$3="Maximize",MAX($C149:$AI149),MIN($C149:$AI149)),$C149:$AI149,0))*INDEX(AJ138:$AJ148,MATCH(MIN($AK138:$AK148),$AK138:$AK148,0),1)/INDEX($C138:$AJ148,MATCH(MIN($AK138:$AK148),$AK138:$AK148,0),MATCH(IF('Data-solution'!$A$3="Maximize",MAX($C149:$AI149),MIN($C149:$AI149)),$C149:$AI149,0))),AJ139)</f>
        <v>300</v>
      </c>
      <c r="AK154" s="1" t="str">
        <f>IF(INDEX(C154:X154,1,MATCH(IF('Data-solution'!A$3="Maximize",MAX(C164:X164),MIN(C164:X164)),C164:X164,0))&gt;0,AJ154/INDEX(C154:X154,1,MATCH(IF('Data-solution'!A$3="Maximize",MAX(C164:X164),MIN(C164:X164)),C164:X164,0))," ")</f>
        <v xml:space="preserve"> </v>
      </c>
    </row>
    <row r="155" spans="1:37" ht="18" customHeight="1" x14ac:dyDescent="0.2">
      <c r="A155" s="1">
        <f t="shared" ref="A155" si="126">INDEX(C151:AI151,1,MATCH(B155,C152:AI152,0))</f>
        <v>350</v>
      </c>
      <c r="B155" s="2" t="str">
        <f>IF(AND('Data-solution'!A$3="Maximize",COUNTIF(C149:X149,"&gt;"&amp;0)&gt;0,AK140=MIN(AK138:AK148),COUNTIF(B153:B154,INDEX(C137:X137,1,MATCH(MAX(C149:X149),C149:X149,0)))=0),INDEX(C137:X137,1,MATCH(MAX(C149:X149),C149:X149,0)),IF(AND('Data-solution'!A$3="Minimize",COUNTIF(C149:X149,"&lt;"&amp;0)&gt;0,AK140=MIN(AK138:AK148),COUNTIF(B153:B154,INDEX(C137:X137,1,MATCH(MIN(C149:X149),C149:X149,0)))=0),INDEX(C137:X137,1,MATCH(MIN(C149:X149),C149:X149,0)),B140))</f>
        <v>X3</v>
      </c>
      <c r="C155" s="1">
        <f>IF(OR($B153&lt;&gt;$B138,$B154&lt;&gt;$B139,$B155&lt;&gt;$B140,$B156&lt;&gt;$B141,$B157&lt;&gt;$B142,$B158&lt;&gt;$B143,$B159&lt;&gt;$B144,$B160&lt;&gt;$B145,$B161&lt;&gt;$B146,$B162&lt;&gt;$B147,$B163&lt;&gt;$B148),IF($B155&lt;&gt;$B140,C140/INDEX($C138:$AJ148,3,MATCH(IF('Data-solution'!$A$3="Maximize",MAX($C149:$AI149),MIN($C149:$AI149)),$C149:$AI149,0)),C140-INDEX($C138:$AJ148,3,MATCH(IF('Data-solution'!$A$3="Maximize",MAX($C149:$AI149),MIN($C149:$AI149)),$C149:$AI149,0))*INDEX(C138:$AJ148,MATCH(MIN($AK138:$AK148),$AK138:$AK148,0),1)/INDEX($C138:$AJ148,MATCH(MIN($AK138:$AK148),$AK138:$AK148,0),MATCH(IF('Data-solution'!$A$3="Maximize",MAX($C149:$AI149),MIN($C149:$AI149)),$C149:$AI149,0))),C140)</f>
        <v>0</v>
      </c>
      <c r="D155" s="1">
        <f>IF(OR($B153&lt;&gt;$B138,$B154&lt;&gt;$B139,$B155&lt;&gt;$B140,$B156&lt;&gt;$B141,$B157&lt;&gt;$B142,$B158&lt;&gt;$B143,$B159&lt;&gt;$B144,$B160&lt;&gt;$B145,$B161&lt;&gt;$B146,$B162&lt;&gt;$B147,$B163&lt;&gt;$B148),IF($B155&lt;&gt;$B140,D140/INDEX($C138:$AJ148,3,MATCH(IF('Data-solution'!$A$3="Maximize",MAX($C149:$AI149),MIN($C149:$AI149)),$C149:$AI149,0)),D140-INDEX($C138:$AJ148,3,MATCH(IF('Data-solution'!$A$3="Maximize",MAX($C149:$AI149),MIN($C149:$AI149)),$C149:$AI149,0))*INDEX(D138:$AJ148,MATCH(MIN($AK138:$AK148),$AK138:$AK148,0),1)/INDEX($C138:$AJ148,MATCH(MIN($AK138:$AK148),$AK138:$AK148,0),MATCH(IF('Data-solution'!$A$3="Maximize",MAX($C149:$AI149),MIN($C149:$AI149)),$C149:$AI149,0))),D140)</f>
        <v>1.25</v>
      </c>
      <c r="E155" s="1">
        <f>IF(OR($B153&lt;&gt;$B138,$B154&lt;&gt;$B139,$B155&lt;&gt;$B140,$B156&lt;&gt;$B141,$B157&lt;&gt;$B142,$B158&lt;&gt;$B143,$B159&lt;&gt;$B144,$B160&lt;&gt;$B145,$B161&lt;&gt;$B146,$B162&lt;&gt;$B147,$B163&lt;&gt;$B148),IF($B155&lt;&gt;$B140,E140/INDEX($C138:$AJ148,3,MATCH(IF('Data-solution'!$A$3="Maximize",MAX($C149:$AI149),MIN($C149:$AI149)),$C149:$AI149,0)),E140-INDEX($C138:$AJ148,3,MATCH(IF('Data-solution'!$A$3="Maximize",MAX($C149:$AI149),MIN($C149:$AI149)),$C149:$AI149,0))*INDEX(E138:$AJ148,MATCH(MIN($AK138:$AK148),$AK138:$AK148,0),1)/INDEX($C138:$AJ148,MATCH(MIN($AK138:$AK148),$AK138:$AK148,0),MATCH(IF('Data-solution'!$A$3="Maximize",MAX($C149:$AI149),MIN($C149:$AI149)),$C149:$AI149,0))),E140)</f>
        <v>1</v>
      </c>
      <c r="F155" s="1">
        <f>IF(OR($B153&lt;&gt;$B138,$B154&lt;&gt;$B139,$B155&lt;&gt;$B140,$B156&lt;&gt;$B141,$B157&lt;&gt;$B142,$B158&lt;&gt;$B143,$B159&lt;&gt;$B144,$B160&lt;&gt;$B145,$B161&lt;&gt;$B146,$B162&lt;&gt;$B147,$B163&lt;&gt;$B148),IF($B155&lt;&gt;$B140,F140/INDEX($C138:$AJ148,3,MATCH(IF('Data-solution'!$A$3="Maximize",MAX($C149:$AI149),MIN($C149:$AI149)),$C149:$AI149,0)),F140-INDEX($C138:$AJ148,3,MATCH(IF('Data-solution'!$A$3="Maximize",MAX($C149:$AI149),MIN($C149:$AI149)),$C149:$AI149,0))*INDEX(F138:$AJ148,MATCH(MIN($AK138:$AK148),$AK138:$AK148,0),1)/INDEX($C138:$AJ148,MATCH(MIN($AK138:$AK148),$AK138:$AK148,0),MATCH(IF('Data-solution'!$A$3="Maximize",MAX($C149:$AI149),MIN($C149:$AI149)),$C149:$AI149,0))),F140)</f>
        <v>0</v>
      </c>
      <c r="G155" s="1">
        <f>IF(OR($B153&lt;&gt;$B138,$B154&lt;&gt;$B139,$B155&lt;&gt;$B140,$B156&lt;&gt;$B141,$B157&lt;&gt;$B142,$B158&lt;&gt;$B143,$B159&lt;&gt;$B144,$B160&lt;&gt;$B145,$B161&lt;&gt;$B146,$B162&lt;&gt;$B147,$B163&lt;&gt;$B148),IF($B155&lt;&gt;$B140,G140/INDEX($C138:$AJ148,3,MATCH(IF('Data-solution'!$A$3="Maximize",MAX($C149:$AI149),MIN($C149:$AI149)),$C149:$AI149,0)),G140-INDEX($C138:$AJ148,3,MATCH(IF('Data-solution'!$A$3="Maximize",MAX($C149:$AI149),MIN($C149:$AI149)),$C149:$AI149,0))*INDEX(G138:$AJ148,MATCH(MIN($AK138:$AK148),$AK138:$AK148,0),1)/INDEX($C138:$AJ148,MATCH(MIN($AK138:$AK148),$AK138:$AK148,0),MATCH(IF('Data-solution'!$A$3="Maximize",MAX($C149:$AI149),MIN($C149:$AI149)),$C149:$AI149,0))),G140)</f>
        <v>0</v>
      </c>
      <c r="H155" s="1">
        <f>IF(OR($B153&lt;&gt;$B138,$B154&lt;&gt;$B139,$B155&lt;&gt;$B140,$B156&lt;&gt;$B141,$B157&lt;&gt;$B142,$B158&lt;&gt;$B143,$B159&lt;&gt;$B144,$B160&lt;&gt;$B145,$B161&lt;&gt;$B146,$B162&lt;&gt;$B147,$B163&lt;&gt;$B148),IF($B155&lt;&gt;$B140,H140/INDEX($C138:$AJ148,3,MATCH(IF('Data-solution'!$A$3="Maximize",MAX($C149:$AI149),MIN($C149:$AI149)),$C149:$AI149,0)),H140-INDEX($C138:$AJ148,3,MATCH(IF('Data-solution'!$A$3="Maximize",MAX($C149:$AI149),MIN($C149:$AI149)),$C149:$AI149,0))*INDEX(H138:$AJ148,MATCH(MIN($AK138:$AK148),$AK138:$AK148,0),1)/INDEX($C138:$AJ148,MATCH(MIN($AK138:$AK148),$AK138:$AK148,0),MATCH(IF('Data-solution'!$A$3="Maximize",MAX($C149:$AI149),MIN($C149:$AI149)),$C149:$AI149,0))),H140)</f>
        <v>0</v>
      </c>
      <c r="I155" s="1">
        <f>IF(OR($B153&lt;&gt;$B138,$B154&lt;&gt;$B139,$B155&lt;&gt;$B140,$B156&lt;&gt;$B141,$B157&lt;&gt;$B142,$B158&lt;&gt;$B143,$B159&lt;&gt;$B144,$B160&lt;&gt;$B145,$B161&lt;&gt;$B146,$B162&lt;&gt;$B147,$B163&lt;&gt;$B148),IF($B155&lt;&gt;$B140,I140/INDEX($C138:$AJ148,3,MATCH(IF('Data-solution'!$A$3="Maximize",MAX($C149:$AI149),MIN($C149:$AI149)),$C149:$AI149,0)),I140-INDEX($C138:$AJ148,3,MATCH(IF('Data-solution'!$A$3="Maximize",MAX($C149:$AI149),MIN($C149:$AI149)),$C149:$AI149,0))*INDEX(I138:$AJ148,MATCH(MIN($AK138:$AK148),$AK138:$AK148,0),1)/INDEX($C138:$AJ148,MATCH(MIN($AK138:$AK148),$AK138:$AK148,0),MATCH(IF('Data-solution'!$A$3="Maximize",MAX($C149:$AI149),MIN($C149:$AI149)),$C149:$AI149,0))),I140)</f>
        <v>0</v>
      </c>
      <c r="J155" s="1">
        <f>IF(OR($B153&lt;&gt;$B138,$B154&lt;&gt;$B139,$B155&lt;&gt;$B140,$B156&lt;&gt;$B141,$B157&lt;&gt;$B142,$B158&lt;&gt;$B143,$B159&lt;&gt;$B144,$B160&lt;&gt;$B145,$B161&lt;&gt;$B146,$B162&lt;&gt;$B147,$B163&lt;&gt;$B148),IF($B155&lt;&gt;$B140,J140/INDEX($C138:$AJ148,3,MATCH(IF('Data-solution'!$A$3="Maximize",MAX($C149:$AI149),MIN($C149:$AI149)),$C149:$AI149,0)),J140-INDEX($C138:$AJ148,3,MATCH(IF('Data-solution'!$A$3="Maximize",MAX($C149:$AI149),MIN($C149:$AI149)),$C149:$AI149,0))*INDEX(J138:$AJ148,MATCH(MIN($AK138:$AK148),$AK138:$AK148,0),1)/INDEX($C138:$AJ148,MATCH(MIN($AK138:$AK148),$AK138:$AK148,0),MATCH(IF('Data-solution'!$A$3="Maximize",MAX($C149:$AI149),MIN($C149:$AI149)),$C149:$AI149,0))),J140)</f>
        <v>0</v>
      </c>
      <c r="K155" s="1">
        <f>IF(OR($B153&lt;&gt;$B138,$B154&lt;&gt;$B139,$B155&lt;&gt;$B140,$B156&lt;&gt;$B141,$B157&lt;&gt;$B142,$B158&lt;&gt;$B143,$B159&lt;&gt;$B144,$B160&lt;&gt;$B145,$B161&lt;&gt;$B146,$B162&lt;&gt;$B147,$B163&lt;&gt;$B148),IF($B155&lt;&gt;$B140,K140/INDEX($C138:$AJ148,3,MATCH(IF('Data-solution'!$A$3="Maximize",MAX($C149:$AI149),MIN($C149:$AI149)),$C149:$AI149,0)),K140-INDEX($C138:$AJ148,3,MATCH(IF('Data-solution'!$A$3="Maximize",MAX($C149:$AI149),MIN($C149:$AI149)),$C149:$AI149,0))*INDEX(K138:$AJ148,MATCH(MIN($AK138:$AK148),$AK138:$AK148,0),1)/INDEX($C138:$AJ148,MATCH(MIN($AK138:$AK148),$AK138:$AK148,0),MATCH(IF('Data-solution'!$A$3="Maximize",MAX($C149:$AI149),MIN($C149:$AI149)),$C149:$AI149,0))),K140)</f>
        <v>0</v>
      </c>
      <c r="L155" s="1">
        <f>IF(OR($B153&lt;&gt;$B138,$B154&lt;&gt;$B139,$B155&lt;&gt;$B140,$B156&lt;&gt;$B141,$B157&lt;&gt;$B142,$B158&lt;&gt;$B143,$B159&lt;&gt;$B144,$B160&lt;&gt;$B145,$B161&lt;&gt;$B146,$B162&lt;&gt;$B147,$B163&lt;&gt;$B148),IF($B155&lt;&gt;$B140,L140/INDEX($C138:$AJ148,3,MATCH(IF('Data-solution'!$A$3="Maximize",MAX($C149:$AI149),MIN($C149:$AI149)),$C149:$AI149,0)),L140-INDEX($C138:$AJ148,3,MATCH(IF('Data-solution'!$A$3="Maximize",MAX($C149:$AI149),MIN($C149:$AI149)),$C149:$AI149,0))*INDEX(L138:$AJ148,MATCH(MIN($AK138:$AK148),$AK138:$AK148,0),1)/INDEX($C138:$AJ148,MATCH(MIN($AK138:$AK148),$AK138:$AK148,0),MATCH(IF('Data-solution'!$A$3="Maximize",MAX($C149:$AI149),MIN($C149:$AI149)),$C149:$AI149,0))),L140)</f>
        <v>0</v>
      </c>
      <c r="M155" s="1">
        <f>IF(OR($B153&lt;&gt;$B138,$B154&lt;&gt;$B139,$B155&lt;&gt;$B140,$B156&lt;&gt;$B141,$B157&lt;&gt;$B142,$B158&lt;&gt;$B143,$B159&lt;&gt;$B144,$B160&lt;&gt;$B145,$B161&lt;&gt;$B146,$B162&lt;&gt;$B147,$B163&lt;&gt;$B148),IF($B155&lt;&gt;$B140,M140/INDEX($C138:$AJ148,3,MATCH(IF('Data-solution'!$A$3="Maximize",MAX($C149:$AI149),MIN($C149:$AI149)),$C149:$AI149,0)),M140-INDEX($C138:$AJ148,3,MATCH(IF('Data-solution'!$A$3="Maximize",MAX($C149:$AI149),MIN($C149:$AI149)),$C149:$AI149,0))*INDEX(M138:$AJ148,MATCH(MIN($AK138:$AK148),$AK138:$AK148,0),1)/INDEX($C138:$AJ148,MATCH(MIN($AK138:$AK148),$AK138:$AK148,0),MATCH(IF('Data-solution'!$A$3="Maximize",MAX($C149:$AI149),MIN($C149:$AI149)),$C149:$AI149,0))),M140)</f>
        <v>0</v>
      </c>
      <c r="N155" s="1">
        <f>IF(OR($B153&lt;&gt;$B138,$B154&lt;&gt;$B139,$B155&lt;&gt;$B140,$B156&lt;&gt;$B141,$B157&lt;&gt;$B142,$B158&lt;&gt;$B143,$B159&lt;&gt;$B144,$B160&lt;&gt;$B145,$B161&lt;&gt;$B146,$B162&lt;&gt;$B147,$B163&lt;&gt;$B148),IF($B155&lt;&gt;$B140,N140/INDEX($C138:$AJ148,3,MATCH(IF('Data-solution'!$A$3="Maximize",MAX($C149:$AI149),MIN($C149:$AI149)),$C149:$AI149,0)),N140-INDEX($C138:$AJ148,3,MATCH(IF('Data-solution'!$A$3="Maximize",MAX($C149:$AI149),MIN($C149:$AI149)),$C149:$AI149,0))*INDEX(N138:$AJ148,MATCH(MIN($AK138:$AK148),$AK138:$AK148,0),1)/INDEX($C138:$AJ148,MATCH(MIN($AK138:$AK148),$AK138:$AK148,0),MATCH(IF('Data-solution'!$A$3="Maximize",MAX($C149:$AI149),MIN($C149:$AI149)),$C149:$AI149,0))),N140)</f>
        <v>0</v>
      </c>
      <c r="O155" s="1">
        <f>IF(OR($B153&lt;&gt;$B138,$B154&lt;&gt;$B139,$B155&lt;&gt;$B140,$B156&lt;&gt;$B141,$B157&lt;&gt;$B142,$B158&lt;&gt;$B143,$B159&lt;&gt;$B144,$B160&lt;&gt;$B145,$B161&lt;&gt;$B146,$B162&lt;&gt;$B147,$B163&lt;&gt;$B148),IF($B155&lt;&gt;$B140,O140/INDEX($C138:$AJ148,3,MATCH(IF('Data-solution'!$A$3="Maximize",MAX($C149:$AI149),MIN($C149:$AI149)),$C149:$AI149,0)),O140-INDEX($C138:$AJ148,3,MATCH(IF('Data-solution'!$A$3="Maximize",MAX($C149:$AI149),MIN($C149:$AI149)),$C149:$AI149,0))*INDEX(O138:$AJ148,MATCH(MIN($AK138:$AK148),$AK138:$AK148,0),1)/INDEX($C138:$AJ148,MATCH(MIN($AK138:$AK148),$AK138:$AK148,0),MATCH(IF('Data-solution'!$A$3="Maximize",MAX($C149:$AI149),MIN($C149:$AI149)),$C149:$AI149,0))),O140)</f>
        <v>0</v>
      </c>
      <c r="P155" s="1">
        <f>IF(OR($B153&lt;&gt;$B138,$B154&lt;&gt;$B139,$B155&lt;&gt;$B140,$B156&lt;&gt;$B141,$B157&lt;&gt;$B142,$B158&lt;&gt;$B143,$B159&lt;&gt;$B144,$B160&lt;&gt;$B145,$B161&lt;&gt;$B146,$B162&lt;&gt;$B147,$B163&lt;&gt;$B148),IF($B155&lt;&gt;$B140,P140/INDEX($C138:$AJ148,3,MATCH(IF('Data-solution'!$A$3="Maximize",MAX($C149:$AI149),MIN($C149:$AI149)),$C149:$AI149,0)),P140-INDEX($C138:$AJ148,3,MATCH(IF('Data-solution'!$A$3="Maximize",MAX($C149:$AI149),MIN($C149:$AI149)),$C149:$AI149,0))*INDEX(P138:$AJ148,MATCH(MIN($AK138:$AK148),$AK138:$AK148,0),1)/INDEX($C138:$AJ148,MATCH(MIN($AK138:$AK148),$AK138:$AK148,0),MATCH(IF('Data-solution'!$A$3="Maximize",MAX($C149:$AI149),MIN($C149:$AI149)),$C149:$AI149,0))),P140)</f>
        <v>0.24999999999999997</v>
      </c>
      <c r="Q155" s="1">
        <f>IF(OR($B153&lt;&gt;$B138,$B154&lt;&gt;$B139,$B155&lt;&gt;$B140,$B156&lt;&gt;$B141,$B157&lt;&gt;$B142,$B158&lt;&gt;$B143,$B159&lt;&gt;$B144,$B160&lt;&gt;$B145,$B161&lt;&gt;$B146,$B162&lt;&gt;$B147,$B163&lt;&gt;$B148),IF($B155&lt;&gt;$B140,Q140/INDEX($C138:$AJ148,3,MATCH(IF('Data-solution'!$A$3="Maximize",MAX($C149:$AI149),MIN($C149:$AI149)),$C149:$AI149,0)),Q140-INDEX($C138:$AJ148,3,MATCH(IF('Data-solution'!$A$3="Maximize",MAX($C149:$AI149),MIN($C149:$AI149)),$C149:$AI149,0))*INDEX(Q138:$AJ148,MATCH(MIN($AK138:$AK148),$AK138:$AK148,0),1)/INDEX($C138:$AJ148,MATCH(MIN($AK138:$AK148),$AK138:$AK148,0),MATCH(IF('Data-solution'!$A$3="Maximize",MAX($C149:$AI149),MIN($C149:$AI149)),$C149:$AI149,0))),Q140)</f>
        <v>-0.49999999999999989</v>
      </c>
      <c r="R155" s="1">
        <f>IF(OR($B153&lt;&gt;$B138,$B154&lt;&gt;$B139,$B155&lt;&gt;$B140,$B156&lt;&gt;$B141,$B157&lt;&gt;$B142,$B158&lt;&gt;$B143,$B159&lt;&gt;$B144,$B160&lt;&gt;$B145,$B161&lt;&gt;$B146,$B162&lt;&gt;$B147,$B163&lt;&gt;$B148),IF($B155&lt;&gt;$B140,R140/INDEX($C138:$AJ148,3,MATCH(IF('Data-solution'!$A$3="Maximize",MAX($C149:$AI149),MIN($C149:$AI149)),$C149:$AI149,0)),R140-INDEX($C138:$AJ148,3,MATCH(IF('Data-solution'!$A$3="Maximize",MAX($C149:$AI149),MIN($C149:$AI149)),$C149:$AI149,0))*INDEX(R138:$AJ148,MATCH(MIN($AK138:$AK148),$AK138:$AK148,0),1)/INDEX($C138:$AJ148,MATCH(MIN($AK138:$AK148),$AK138:$AK148,0),MATCH(IF('Data-solution'!$A$3="Maximize",MAX($C149:$AI149),MIN($C149:$AI149)),$C149:$AI149,0))),R140)</f>
        <v>0</v>
      </c>
      <c r="S155" s="1">
        <f>IF(OR($B153&lt;&gt;$B138,$B154&lt;&gt;$B139,$B155&lt;&gt;$B140,$B156&lt;&gt;$B141,$B157&lt;&gt;$B142,$B158&lt;&gt;$B143,$B159&lt;&gt;$B144,$B160&lt;&gt;$B145,$B161&lt;&gt;$B146,$B162&lt;&gt;$B147,$B163&lt;&gt;$B148),IF($B155&lt;&gt;$B140,S140/INDEX($C138:$AJ148,3,MATCH(IF('Data-solution'!$A$3="Maximize",MAX($C149:$AI149),MIN($C149:$AI149)),$C149:$AI149,0)),S140-INDEX($C138:$AJ148,3,MATCH(IF('Data-solution'!$A$3="Maximize",MAX($C149:$AI149),MIN($C149:$AI149)),$C149:$AI149,0))*INDEX(S138:$AJ148,MATCH(MIN($AK138:$AK148),$AK138:$AK148,0),1)/INDEX($C138:$AJ148,MATCH(MIN($AK138:$AK148),$AK138:$AK148,0),MATCH(IF('Data-solution'!$A$3="Maximize",MAX($C149:$AI149),MIN($C149:$AI149)),$C149:$AI149,0))),S140)</f>
        <v>0</v>
      </c>
      <c r="T155" s="1">
        <f>IF(OR($B153&lt;&gt;$B138,$B154&lt;&gt;$B139,$B155&lt;&gt;$B140,$B156&lt;&gt;$B141,$B157&lt;&gt;$B142,$B158&lt;&gt;$B143,$B159&lt;&gt;$B144,$B160&lt;&gt;$B145,$B161&lt;&gt;$B146,$B162&lt;&gt;$B147,$B163&lt;&gt;$B148),IF($B155&lt;&gt;$B140,T140/INDEX($C138:$AJ148,3,MATCH(IF('Data-solution'!$A$3="Maximize",MAX($C149:$AI149),MIN($C149:$AI149)),$C149:$AI149,0)),T140-INDEX($C138:$AJ148,3,MATCH(IF('Data-solution'!$A$3="Maximize",MAX($C149:$AI149),MIN($C149:$AI149)),$C149:$AI149,0))*INDEX(T138:$AJ148,MATCH(MIN($AK138:$AK148),$AK138:$AK148,0),1)/INDEX($C138:$AJ148,MATCH(MIN($AK138:$AK148),$AK138:$AK148,0),MATCH(IF('Data-solution'!$A$3="Maximize",MAX($C149:$AI149),MIN($C149:$AI149)),$C149:$AI149,0))),T140)</f>
        <v>0</v>
      </c>
      <c r="U155" s="1">
        <f>IF(OR($B153&lt;&gt;$B138,$B154&lt;&gt;$B139,$B155&lt;&gt;$B140,$B156&lt;&gt;$B141,$B157&lt;&gt;$B142,$B158&lt;&gt;$B143,$B159&lt;&gt;$B144,$B160&lt;&gt;$B145,$B161&lt;&gt;$B146,$B162&lt;&gt;$B147,$B163&lt;&gt;$B148),IF($B155&lt;&gt;$B140,U140/INDEX($C138:$AJ148,3,MATCH(IF('Data-solution'!$A$3="Maximize",MAX($C149:$AI149),MIN($C149:$AI149)),$C149:$AI149,0)),U140-INDEX($C138:$AJ148,3,MATCH(IF('Data-solution'!$A$3="Maximize",MAX($C149:$AI149),MIN($C149:$AI149)),$C149:$AI149,0))*INDEX(U138:$AJ148,MATCH(MIN($AK138:$AK148),$AK138:$AK148,0),1)/INDEX($C138:$AJ148,MATCH(MIN($AK138:$AK148),$AK138:$AK148,0),MATCH(IF('Data-solution'!$A$3="Maximize",MAX($C149:$AI149),MIN($C149:$AI149)),$C149:$AI149,0))),U140)</f>
        <v>0</v>
      </c>
      <c r="V155" s="1">
        <f>IF(OR($B153&lt;&gt;$B138,$B154&lt;&gt;$B139,$B155&lt;&gt;$B140,$B156&lt;&gt;$B141,$B157&lt;&gt;$B142,$B158&lt;&gt;$B143,$B159&lt;&gt;$B144,$B160&lt;&gt;$B145,$B161&lt;&gt;$B146,$B162&lt;&gt;$B147,$B163&lt;&gt;$B148),IF($B155&lt;&gt;$B140,V140/INDEX($C138:$AJ148,3,MATCH(IF('Data-solution'!$A$3="Maximize",MAX($C149:$AI149),MIN($C149:$AI149)),$C149:$AI149,0)),V140-INDEX($C138:$AJ148,3,MATCH(IF('Data-solution'!$A$3="Maximize",MAX($C149:$AI149),MIN($C149:$AI149)),$C149:$AI149,0))*INDEX(V138:$AJ148,MATCH(MIN($AK138:$AK148),$AK138:$AK148,0),1)/INDEX($C138:$AJ148,MATCH(MIN($AK138:$AK148),$AK138:$AK148,0),MATCH(IF('Data-solution'!$A$3="Maximize",MAX($C149:$AI149),MIN($C149:$AI149)),$C149:$AI149,0))),V140)</f>
        <v>0</v>
      </c>
      <c r="W155" s="1">
        <f>IF(OR($B153&lt;&gt;$B138,$B154&lt;&gt;$B139,$B155&lt;&gt;$B140,$B156&lt;&gt;$B141,$B157&lt;&gt;$B142,$B158&lt;&gt;$B143,$B159&lt;&gt;$B144,$B160&lt;&gt;$B145,$B161&lt;&gt;$B146,$B162&lt;&gt;$B147,$B163&lt;&gt;$B148),IF($B155&lt;&gt;$B140,W140/INDEX($C138:$AJ148,3,MATCH(IF('Data-solution'!$A$3="Maximize",MAX($C149:$AI149),MIN($C149:$AI149)),$C149:$AI149,0)),W140-INDEX($C138:$AJ148,3,MATCH(IF('Data-solution'!$A$3="Maximize",MAX($C149:$AI149),MIN($C149:$AI149)),$C149:$AI149,0))*INDEX(W138:$AJ148,MATCH(MIN($AK138:$AK148),$AK138:$AK148,0),1)/INDEX($C138:$AJ148,MATCH(MIN($AK138:$AK148),$AK138:$AK148,0),MATCH(IF('Data-solution'!$A$3="Maximize",MAX($C149:$AI149),MIN($C149:$AI149)),$C149:$AI149,0))),W140)</f>
        <v>0</v>
      </c>
      <c r="X155" s="1">
        <f>IF(OR($B153&lt;&gt;$B138,$B154&lt;&gt;$B139,$B155&lt;&gt;$B140,$B156&lt;&gt;$B141,$B157&lt;&gt;$B142,$B158&lt;&gt;$B143,$B159&lt;&gt;$B144,$B160&lt;&gt;$B145,$B161&lt;&gt;$B146,$B162&lt;&gt;$B147,$B163&lt;&gt;$B148),IF($B155&lt;&gt;$B140,X140/INDEX($C138:$AJ148,3,MATCH(IF('Data-solution'!$A$3="Maximize",MAX($C149:$AI149),MIN($C149:$AI149)),$C149:$AI149,0)),X140-INDEX($C138:$AJ148,3,MATCH(IF('Data-solution'!$A$3="Maximize",MAX($C149:$AI149),MIN($C149:$AI149)),$C149:$AI149,0))*INDEX(X138:$AJ148,MATCH(MIN($AK138:$AK148),$AK138:$AK148,0),1)/INDEX($C138:$AJ148,MATCH(MIN($AK138:$AK148),$AK138:$AK148,0),MATCH(IF('Data-solution'!$A$3="Maximize",MAX($C149:$AI149),MIN($C149:$AI149)),$C149:$AI149,0))),X140)</f>
        <v>0</v>
      </c>
      <c r="Y155" s="1">
        <f>IF(OR($B153&lt;&gt;$B138,$B154&lt;&gt;$B139,$B155&lt;&gt;$B140,$B156&lt;&gt;$B141,$B157&lt;&gt;$B142,$B158&lt;&gt;$B143,$B159&lt;&gt;$B144,$B160&lt;&gt;$B145,$B161&lt;&gt;$B146,$B162&lt;&gt;$B147,$B163&lt;&gt;$B148),IF($B155&lt;&gt;$B140,Y140/INDEX($C138:$AJ148,3,MATCH(IF('Data-solution'!$A$3="Maximize",MAX($C149:$AI149),MIN($C149:$AI149)),$C149:$AI149,0)),Y140-INDEX($C138:$AJ148,3,MATCH(IF('Data-solution'!$A$3="Maximize",MAX($C149:$AI149),MIN($C149:$AI149)),$C149:$AI149,0))*INDEX(Y138:$AJ148,MATCH(MIN($AK138:$AK148),$AK138:$AK148,0),1)/INDEX($C138:$AJ148,MATCH(MIN($AK138:$AK148),$AK138:$AK148,0),MATCH(IF('Data-solution'!$A$3="Maximize",MAX($C149:$AI149),MIN($C149:$AI149)),$C149:$AI149,0))),Y140)</f>
        <v>0</v>
      </c>
      <c r="Z155" s="1">
        <f>IF(OR($B153&lt;&gt;$B138,$B154&lt;&gt;$B139,$B155&lt;&gt;$B140,$B156&lt;&gt;$B141,$B157&lt;&gt;$B142,$B158&lt;&gt;$B143,$B159&lt;&gt;$B144,$B160&lt;&gt;$B145,$B161&lt;&gt;$B146,$B162&lt;&gt;$B147,$B163&lt;&gt;$B148),IF($B155&lt;&gt;$B140,Z140/INDEX($C138:$AJ148,3,MATCH(IF('Data-solution'!$A$3="Maximize",MAX($C149:$AI149),MIN($C149:$AI149)),$C149:$AI149,0)),Z140-INDEX($C138:$AJ148,3,MATCH(IF('Data-solution'!$A$3="Maximize",MAX($C149:$AI149),MIN($C149:$AI149)),$C149:$AI149,0))*INDEX(Z138:$AJ148,MATCH(MIN($AK138:$AK148),$AK138:$AK148,0),1)/INDEX($C138:$AJ148,MATCH(MIN($AK138:$AK148),$AK138:$AK148,0),MATCH(IF('Data-solution'!$A$3="Maximize",MAX($C149:$AI149),MIN($C149:$AI149)),$C149:$AI149,0))),Z140)</f>
        <v>0</v>
      </c>
      <c r="AA155" s="1">
        <f>IF(OR($B153&lt;&gt;$B138,$B154&lt;&gt;$B139,$B155&lt;&gt;$B140,$B156&lt;&gt;$B141,$B157&lt;&gt;$B142,$B158&lt;&gt;$B143,$B159&lt;&gt;$B144,$B160&lt;&gt;$B145,$B161&lt;&gt;$B146,$B162&lt;&gt;$B147,$B163&lt;&gt;$B148),IF($B155&lt;&gt;$B140,AA140/INDEX($C138:$AJ148,3,MATCH(IF('Data-solution'!$A$3="Maximize",MAX($C149:$AI149),MIN($C149:$AI149)),$C149:$AI149,0)),AA140-INDEX($C138:$AJ148,3,MATCH(IF('Data-solution'!$A$3="Maximize",MAX($C149:$AI149),MIN($C149:$AI149)),$C149:$AI149,0))*INDEX(AA138:$AJ148,MATCH(MIN($AK138:$AK148),$AK138:$AK148,0),1)/INDEX($C138:$AJ148,MATCH(MIN($AK138:$AK148),$AK138:$AK148,0),MATCH(IF('Data-solution'!$A$3="Maximize",MAX($C149:$AI149),MIN($C149:$AI149)),$C149:$AI149,0))),AA140)</f>
        <v>0.24999999999999997</v>
      </c>
      <c r="AB155" s="1">
        <f>IF(OR($B153&lt;&gt;$B138,$B154&lt;&gt;$B139,$B155&lt;&gt;$B140,$B156&lt;&gt;$B141,$B157&lt;&gt;$B142,$B158&lt;&gt;$B143,$B159&lt;&gt;$B144,$B160&lt;&gt;$B145,$B161&lt;&gt;$B146,$B162&lt;&gt;$B147,$B163&lt;&gt;$B148),IF($B155&lt;&gt;$B140,AB140/INDEX($C138:$AJ148,3,MATCH(IF('Data-solution'!$A$3="Maximize",MAX($C149:$AI149),MIN($C149:$AI149)),$C149:$AI149,0)),AB140-INDEX($C138:$AJ148,3,MATCH(IF('Data-solution'!$A$3="Maximize",MAX($C149:$AI149),MIN($C149:$AI149)),$C149:$AI149,0))*INDEX(AB138:$AJ148,MATCH(MIN($AK138:$AK148),$AK138:$AK148,0),1)/INDEX($C138:$AJ148,MATCH(MIN($AK138:$AK148),$AK138:$AK148,0),MATCH(IF('Data-solution'!$A$3="Maximize",MAX($C149:$AI149),MIN($C149:$AI149)),$C149:$AI149,0))),AB140)</f>
        <v>-0.49999999999999989</v>
      </c>
      <c r="AC155" s="1">
        <f>IF(OR($B153&lt;&gt;$B138,$B154&lt;&gt;$B139,$B155&lt;&gt;$B140,$B156&lt;&gt;$B141,$B157&lt;&gt;$B142,$B158&lt;&gt;$B143,$B159&lt;&gt;$B144,$B160&lt;&gt;$B145,$B161&lt;&gt;$B146,$B162&lt;&gt;$B147,$B163&lt;&gt;$B148),IF($B155&lt;&gt;$B140,AC140/INDEX($C138:$AJ148,3,MATCH(IF('Data-solution'!$A$3="Maximize",MAX($C149:$AI149),MIN($C149:$AI149)),$C149:$AI149,0)),AC140-INDEX($C138:$AJ148,3,MATCH(IF('Data-solution'!$A$3="Maximize",MAX($C149:$AI149),MIN($C149:$AI149)),$C149:$AI149,0))*INDEX(AC138:$AJ148,MATCH(MIN($AK138:$AK148),$AK138:$AK148,0),1)/INDEX($C138:$AJ148,MATCH(MIN($AK138:$AK148),$AK138:$AK148,0),MATCH(IF('Data-solution'!$A$3="Maximize",MAX($C149:$AI149),MIN($C149:$AI149)),$C149:$AI149,0))),AC140)</f>
        <v>0</v>
      </c>
      <c r="AD155" s="1">
        <f>IF(OR($B153&lt;&gt;$B138,$B154&lt;&gt;$B139,$B155&lt;&gt;$B140,$B156&lt;&gt;$B141,$B157&lt;&gt;$B142,$B158&lt;&gt;$B143,$B159&lt;&gt;$B144,$B160&lt;&gt;$B145,$B161&lt;&gt;$B146,$B162&lt;&gt;$B147,$B163&lt;&gt;$B148),IF($B155&lt;&gt;$B140,AD140/INDEX($C138:$AJ148,3,MATCH(IF('Data-solution'!$A$3="Maximize",MAX($C149:$AI149),MIN($C149:$AI149)),$C149:$AI149,0)),AD140-INDEX($C138:$AJ148,3,MATCH(IF('Data-solution'!$A$3="Maximize",MAX($C149:$AI149),MIN($C149:$AI149)),$C149:$AI149,0))*INDEX(AD138:$AJ148,MATCH(MIN($AK138:$AK148),$AK138:$AK148,0),1)/INDEX($C138:$AJ148,MATCH(MIN($AK138:$AK148),$AK138:$AK148,0),MATCH(IF('Data-solution'!$A$3="Maximize",MAX($C149:$AI149),MIN($C149:$AI149)),$C149:$AI149,0))),AD140)</f>
        <v>0</v>
      </c>
      <c r="AE155" s="1">
        <f>IF(OR($B153&lt;&gt;$B138,$B154&lt;&gt;$B139,$B155&lt;&gt;$B140,$B156&lt;&gt;$B141,$B157&lt;&gt;$B142,$B158&lt;&gt;$B143,$B159&lt;&gt;$B144,$B160&lt;&gt;$B145,$B161&lt;&gt;$B146,$B162&lt;&gt;$B147,$B163&lt;&gt;$B148),IF($B155&lt;&gt;$B140,AE140/INDEX($C138:$AJ148,3,MATCH(IF('Data-solution'!$A$3="Maximize",MAX($C149:$AI149),MIN($C149:$AI149)),$C149:$AI149,0)),AE140-INDEX($C138:$AJ148,3,MATCH(IF('Data-solution'!$A$3="Maximize",MAX($C149:$AI149),MIN($C149:$AI149)),$C149:$AI149,0))*INDEX(AE138:$AJ148,MATCH(MIN($AK138:$AK148),$AK138:$AK148,0),1)/INDEX($C138:$AJ148,MATCH(MIN($AK138:$AK148),$AK138:$AK148,0),MATCH(IF('Data-solution'!$A$3="Maximize",MAX($C149:$AI149),MIN($C149:$AI149)),$C149:$AI149,0))),AE140)</f>
        <v>0</v>
      </c>
      <c r="AF155" s="1">
        <f>IF(OR($B153&lt;&gt;$B138,$B154&lt;&gt;$B139,$B155&lt;&gt;$B140,$B156&lt;&gt;$B141,$B157&lt;&gt;$B142,$B158&lt;&gt;$B143,$B159&lt;&gt;$B144,$B160&lt;&gt;$B145,$B161&lt;&gt;$B146,$B162&lt;&gt;$B147,$B163&lt;&gt;$B148),IF($B155&lt;&gt;$B140,AF140/INDEX($C138:$AJ148,3,MATCH(IF('Data-solution'!$A$3="Maximize",MAX($C149:$AI149),MIN($C149:$AI149)),$C149:$AI149,0)),AF140-INDEX($C138:$AJ148,3,MATCH(IF('Data-solution'!$A$3="Maximize",MAX($C149:$AI149),MIN($C149:$AI149)),$C149:$AI149,0))*INDEX(AF138:$AJ148,MATCH(MIN($AK138:$AK148),$AK138:$AK148,0),1)/INDEX($C138:$AJ148,MATCH(MIN($AK138:$AK148),$AK138:$AK148,0),MATCH(IF('Data-solution'!$A$3="Maximize",MAX($C149:$AI149),MIN($C149:$AI149)),$C149:$AI149,0))),AF140)</f>
        <v>0</v>
      </c>
      <c r="AG155" s="1">
        <f>IF(OR($B153&lt;&gt;$B138,$B154&lt;&gt;$B139,$B155&lt;&gt;$B140,$B156&lt;&gt;$B141,$B157&lt;&gt;$B142,$B158&lt;&gt;$B143,$B159&lt;&gt;$B144,$B160&lt;&gt;$B145,$B161&lt;&gt;$B146,$B162&lt;&gt;$B147,$B163&lt;&gt;$B148),IF($B155&lt;&gt;$B140,AG140/INDEX($C138:$AJ148,3,MATCH(IF('Data-solution'!$A$3="Maximize",MAX($C149:$AI149),MIN($C149:$AI149)),$C149:$AI149,0)),AG140-INDEX($C138:$AJ148,3,MATCH(IF('Data-solution'!$A$3="Maximize",MAX($C149:$AI149),MIN($C149:$AI149)),$C149:$AI149,0))*INDEX(AG138:$AJ148,MATCH(MIN($AK138:$AK148),$AK138:$AK148,0),1)/INDEX($C138:$AJ148,MATCH(MIN($AK138:$AK148),$AK138:$AK148,0),MATCH(IF('Data-solution'!$A$3="Maximize",MAX($C149:$AI149),MIN($C149:$AI149)),$C149:$AI149,0))),AG140)</f>
        <v>0</v>
      </c>
      <c r="AH155" s="1">
        <f>IF(OR($B153&lt;&gt;$B138,$B154&lt;&gt;$B139,$B155&lt;&gt;$B140,$B156&lt;&gt;$B141,$B157&lt;&gt;$B142,$B158&lt;&gt;$B143,$B159&lt;&gt;$B144,$B160&lt;&gt;$B145,$B161&lt;&gt;$B146,$B162&lt;&gt;$B147,$B163&lt;&gt;$B148),IF($B155&lt;&gt;$B140,AH140/INDEX($C138:$AJ148,3,MATCH(IF('Data-solution'!$A$3="Maximize",MAX($C149:$AI149),MIN($C149:$AI149)),$C149:$AI149,0)),AH140-INDEX($C138:$AJ148,3,MATCH(IF('Data-solution'!$A$3="Maximize",MAX($C149:$AI149),MIN($C149:$AI149)),$C149:$AI149,0))*INDEX(AH138:$AJ148,MATCH(MIN($AK138:$AK148),$AK138:$AK148,0),1)/INDEX($C138:$AJ148,MATCH(MIN($AK138:$AK148),$AK138:$AK148,0),MATCH(IF('Data-solution'!$A$3="Maximize",MAX($C149:$AI149),MIN($C149:$AI149)),$C149:$AI149,0))),AH140)</f>
        <v>0</v>
      </c>
      <c r="AI155" s="1">
        <f>IF(OR($B153&lt;&gt;$B138,$B154&lt;&gt;$B139,$B155&lt;&gt;$B140,$B156&lt;&gt;$B141,$B157&lt;&gt;$B142,$B158&lt;&gt;$B143,$B159&lt;&gt;$B144,$B160&lt;&gt;$B145,$B161&lt;&gt;$B146,$B162&lt;&gt;$B147,$B163&lt;&gt;$B148),IF($B155&lt;&gt;$B140,AI140/INDEX($C138:$AJ148,3,MATCH(IF('Data-solution'!$A$3="Maximize",MAX($C149:$AI149),MIN($C149:$AI149)),$C149:$AI149,0)),AI140-INDEX($C138:$AJ148,3,MATCH(IF('Data-solution'!$A$3="Maximize",MAX($C149:$AI149),MIN($C149:$AI149)),$C149:$AI149,0))*INDEX(AI138:$AJ148,MATCH(MIN($AK138:$AK148),$AK138:$AK148,0),1)/INDEX($C138:$AJ148,MATCH(MIN($AK138:$AK148),$AK138:$AK148,0),MATCH(IF('Data-solution'!$A$3="Maximize",MAX($C149:$AI149),MIN($C149:$AI149)),$C149:$AI149,0))),AI140)</f>
        <v>0</v>
      </c>
      <c r="AJ155" s="1">
        <f>IF(OR($B153&lt;&gt;$B138,$B154&lt;&gt;$B139,$B155&lt;&gt;$B140,$B156&lt;&gt;$B141,$B157&lt;&gt;$B142,$B158&lt;&gt;$B143,$B159&lt;&gt;$B144,$B160&lt;&gt;$B145,$B161&lt;&gt;$B146,$B162&lt;&gt;$B147,$B163&lt;&gt;$B148),IF($B155&lt;&gt;$B140,AJ140/INDEX($C138:$AJ148,3,MATCH(IF('Data-solution'!$A$3="Maximize",MAX($C149:$AI149),MIN($C149:$AI149)),$C149:$AI149,0)),AJ140-INDEX($C138:$AJ148,3,MATCH(IF('Data-solution'!$A$3="Maximize",MAX($C149:$AI149),MIN($C149:$AI149)),$C149:$AI149,0))*INDEX(AJ138:$AJ148,MATCH(MIN($AK138:$AK148),$AK138:$AK148,0),1)/INDEX($C138:$AJ148,MATCH(MIN($AK138:$AK148),$AK138:$AK148,0),MATCH(IF('Data-solution'!$A$3="Maximize",MAX($C149:$AI149),MIN($C149:$AI149)),$C149:$AI149,0))),AJ140)</f>
        <v>300</v>
      </c>
      <c r="AK155" s="1" t="str">
        <f>IF(INDEX(C155:X155,1,MATCH(IF('Data-solution'!A$3="Maximize",MAX(C164:X164),MIN(C164:X164)),C164:X164,0))&gt;0,AJ155/INDEX(C155:X155,1,MATCH(IF('Data-solution'!A$3="Maximize",MAX(C164:X164),MIN(C164:X164)),C164:X164,0))," ")</f>
        <v xml:space="preserve"> </v>
      </c>
    </row>
    <row r="156" spans="1:37" ht="18" customHeight="1" x14ac:dyDescent="0.2">
      <c r="A156" s="1">
        <f t="shared" ref="A156" si="127">INDEX(C151:AI151,1,MATCH(B156,C152:AI152,0))</f>
        <v>150</v>
      </c>
      <c r="B156" s="2" t="str">
        <f>IF(AND('Data-solution'!A$3="Maximize",COUNTIF(C149:X149,"&gt;"&amp;0)&gt;0,AK141=MIN(AK138:AK148),COUNTIF(B153:B155,INDEX(C137:X137,1,MATCH(MAX(C149:X149),C149:X149,0)))=0),INDEX(C137:X137,1,MATCH(MAX(C149:X149),C149:X149,0)),IF(AND('Data-solution'!A$3="Minimize",COUNTIF(C149:X149,"&lt;"&amp;0)&gt;0,AK141=MIN(AK138:AK148),COUNTIF(B153:B155,INDEX(C137:X137,1,MATCH(MIN(C149:X149),C149:X149,0)))=0),INDEX(C137:X137,1,MATCH(MIN(C149:X149),C149:X149,0)),B141))</f>
        <v>X1</v>
      </c>
      <c r="C156" s="1">
        <f>IF(OR($B153&lt;&gt;$B138,$B154&lt;&gt;$B139,$B155&lt;&gt;$B140,$B156&lt;&gt;$B141,$B157&lt;&gt;$B142,$B158&lt;&gt;$B143,$B159&lt;&gt;$B144,$B160&lt;&gt;$B145,$B161&lt;&gt;$B146,$B162&lt;&gt;$B147,$B163&lt;&gt;$B148),IF($B156&lt;&gt;$B141,C141/INDEX($C138:$AJ148,4,MATCH(IF('Data-solution'!$A$3="Maximize",MAX($C149:$AI149),MIN($C149:$AI149)),$C149:$AI149,0)),C141-INDEX($C138:$AJ148,4,MATCH(IF('Data-solution'!$A$3="Maximize",MAX($C149:$AI149),MIN($C149:$AI149)),$C149:$AI149,0))*INDEX(C138:$AJ148,MATCH(MIN($AK138:$AK148),$AK138:$AK148,0),1)/INDEX($C138:$AJ148,MATCH(MIN($AK138:$AK148),$AK138:$AK148,0),MATCH(IF('Data-solution'!$A$3="Maximize",MAX($C149:$AI149),MIN($C149:$AI149)),$C149:$AI149,0))),C141)</f>
        <v>1</v>
      </c>
      <c r="D156" s="1">
        <f>IF(OR($B153&lt;&gt;$B138,$B154&lt;&gt;$B139,$B155&lt;&gt;$B140,$B156&lt;&gt;$B141,$B157&lt;&gt;$B142,$B158&lt;&gt;$B143,$B159&lt;&gt;$B144,$B160&lt;&gt;$B145,$B161&lt;&gt;$B146,$B162&lt;&gt;$B147,$B163&lt;&gt;$B148),IF($B156&lt;&gt;$B141,D141/INDEX($C138:$AJ148,4,MATCH(IF('Data-solution'!$A$3="Maximize",MAX($C149:$AI149),MIN($C149:$AI149)),$C149:$AI149,0)),D141-INDEX($C138:$AJ148,4,MATCH(IF('Data-solution'!$A$3="Maximize",MAX($C149:$AI149),MIN($C149:$AI149)),$C149:$AI149,0))*INDEX(D138:$AJ148,MATCH(MIN($AK138:$AK148),$AK138:$AK148,0),1)/INDEX($C138:$AJ148,MATCH(MIN($AK138:$AK148),$AK138:$AK148,0),MATCH(IF('Data-solution'!$A$3="Maximize",MAX($C149:$AI149),MIN($C149:$AI149)),$C149:$AI149,0))),D141)</f>
        <v>-1.25</v>
      </c>
      <c r="E156" s="1">
        <f>IF(OR($B153&lt;&gt;$B138,$B154&lt;&gt;$B139,$B155&lt;&gt;$B140,$B156&lt;&gt;$B141,$B157&lt;&gt;$B142,$B158&lt;&gt;$B143,$B159&lt;&gt;$B144,$B160&lt;&gt;$B145,$B161&lt;&gt;$B146,$B162&lt;&gt;$B147,$B163&lt;&gt;$B148),IF($B156&lt;&gt;$B141,E141/INDEX($C138:$AJ148,4,MATCH(IF('Data-solution'!$A$3="Maximize",MAX($C149:$AI149),MIN($C149:$AI149)),$C149:$AI149,0)),E141-INDEX($C138:$AJ148,4,MATCH(IF('Data-solution'!$A$3="Maximize",MAX($C149:$AI149),MIN($C149:$AI149)),$C149:$AI149,0))*INDEX(E138:$AJ148,MATCH(MIN($AK138:$AK148),$AK138:$AK148,0),1)/INDEX($C138:$AJ148,MATCH(MIN($AK138:$AK148),$AK138:$AK148,0),MATCH(IF('Data-solution'!$A$3="Maximize",MAX($C149:$AI149),MIN($C149:$AI149)),$C149:$AI149,0))),E141)</f>
        <v>0</v>
      </c>
      <c r="F156" s="1">
        <f>IF(OR($B153&lt;&gt;$B138,$B154&lt;&gt;$B139,$B155&lt;&gt;$B140,$B156&lt;&gt;$B141,$B157&lt;&gt;$B142,$B158&lt;&gt;$B143,$B159&lt;&gt;$B144,$B160&lt;&gt;$B145,$B161&lt;&gt;$B146,$B162&lt;&gt;$B147,$B163&lt;&gt;$B148),IF($B156&lt;&gt;$B141,F141/INDEX($C138:$AJ148,4,MATCH(IF('Data-solution'!$A$3="Maximize",MAX($C149:$AI149),MIN($C149:$AI149)),$C149:$AI149,0)),F141-INDEX($C138:$AJ148,4,MATCH(IF('Data-solution'!$A$3="Maximize",MAX($C149:$AI149),MIN($C149:$AI149)),$C149:$AI149,0))*INDEX(F138:$AJ148,MATCH(MIN($AK138:$AK148),$AK138:$AK148,0),1)/INDEX($C138:$AJ148,MATCH(MIN($AK138:$AK148),$AK138:$AK148,0),MATCH(IF('Data-solution'!$A$3="Maximize",MAX($C149:$AI149),MIN($C149:$AI149)),$C149:$AI149,0))),F141)</f>
        <v>0</v>
      </c>
      <c r="G156" s="1">
        <f>IF(OR($B153&lt;&gt;$B138,$B154&lt;&gt;$B139,$B155&lt;&gt;$B140,$B156&lt;&gt;$B141,$B157&lt;&gt;$B142,$B158&lt;&gt;$B143,$B159&lt;&gt;$B144,$B160&lt;&gt;$B145,$B161&lt;&gt;$B146,$B162&lt;&gt;$B147,$B163&lt;&gt;$B148),IF($B156&lt;&gt;$B141,G141/INDEX($C138:$AJ148,4,MATCH(IF('Data-solution'!$A$3="Maximize",MAX($C149:$AI149),MIN($C149:$AI149)),$C149:$AI149,0)),G141-INDEX($C138:$AJ148,4,MATCH(IF('Data-solution'!$A$3="Maximize",MAX($C149:$AI149),MIN($C149:$AI149)),$C149:$AI149,0))*INDEX(G138:$AJ148,MATCH(MIN($AK138:$AK148),$AK138:$AK148,0),1)/INDEX($C138:$AJ148,MATCH(MIN($AK138:$AK148),$AK138:$AK148,0),MATCH(IF('Data-solution'!$A$3="Maximize",MAX($C149:$AI149),MIN($C149:$AI149)),$C149:$AI149,0))),G141)</f>
        <v>0</v>
      </c>
      <c r="H156" s="1">
        <f>IF(OR($B153&lt;&gt;$B138,$B154&lt;&gt;$B139,$B155&lt;&gt;$B140,$B156&lt;&gt;$B141,$B157&lt;&gt;$B142,$B158&lt;&gt;$B143,$B159&lt;&gt;$B144,$B160&lt;&gt;$B145,$B161&lt;&gt;$B146,$B162&lt;&gt;$B147,$B163&lt;&gt;$B148),IF($B156&lt;&gt;$B141,H141/INDEX($C138:$AJ148,4,MATCH(IF('Data-solution'!$A$3="Maximize",MAX($C149:$AI149),MIN($C149:$AI149)),$C149:$AI149,0)),H141-INDEX($C138:$AJ148,4,MATCH(IF('Data-solution'!$A$3="Maximize",MAX($C149:$AI149),MIN($C149:$AI149)),$C149:$AI149,0))*INDEX(H138:$AJ148,MATCH(MIN($AK138:$AK148),$AK138:$AK148,0),1)/INDEX($C138:$AJ148,MATCH(MIN($AK138:$AK148),$AK138:$AK148,0),MATCH(IF('Data-solution'!$A$3="Maximize",MAX($C149:$AI149),MIN($C149:$AI149)),$C149:$AI149,0))),H141)</f>
        <v>0</v>
      </c>
      <c r="I156" s="1">
        <f>IF(OR($B153&lt;&gt;$B138,$B154&lt;&gt;$B139,$B155&lt;&gt;$B140,$B156&lt;&gt;$B141,$B157&lt;&gt;$B142,$B158&lt;&gt;$B143,$B159&lt;&gt;$B144,$B160&lt;&gt;$B145,$B161&lt;&gt;$B146,$B162&lt;&gt;$B147,$B163&lt;&gt;$B148),IF($B156&lt;&gt;$B141,I141/INDEX($C138:$AJ148,4,MATCH(IF('Data-solution'!$A$3="Maximize",MAX($C149:$AI149),MIN($C149:$AI149)),$C149:$AI149,0)),I141-INDEX($C138:$AJ148,4,MATCH(IF('Data-solution'!$A$3="Maximize",MAX($C149:$AI149),MIN($C149:$AI149)),$C149:$AI149,0))*INDEX(I138:$AJ148,MATCH(MIN($AK138:$AK148),$AK138:$AK148,0),1)/INDEX($C138:$AJ148,MATCH(MIN($AK138:$AK148),$AK138:$AK148,0),MATCH(IF('Data-solution'!$A$3="Maximize",MAX($C149:$AI149),MIN($C149:$AI149)),$C149:$AI149,0))),I141)</f>
        <v>0</v>
      </c>
      <c r="J156" s="1">
        <f>IF(OR($B153&lt;&gt;$B138,$B154&lt;&gt;$B139,$B155&lt;&gt;$B140,$B156&lt;&gt;$B141,$B157&lt;&gt;$B142,$B158&lt;&gt;$B143,$B159&lt;&gt;$B144,$B160&lt;&gt;$B145,$B161&lt;&gt;$B146,$B162&lt;&gt;$B147,$B163&lt;&gt;$B148),IF($B156&lt;&gt;$B141,J141/INDEX($C138:$AJ148,4,MATCH(IF('Data-solution'!$A$3="Maximize",MAX($C149:$AI149),MIN($C149:$AI149)),$C149:$AI149,0)),J141-INDEX($C138:$AJ148,4,MATCH(IF('Data-solution'!$A$3="Maximize",MAX($C149:$AI149),MIN($C149:$AI149)),$C149:$AI149,0))*INDEX(J138:$AJ148,MATCH(MIN($AK138:$AK148),$AK138:$AK148,0),1)/INDEX($C138:$AJ148,MATCH(MIN($AK138:$AK148),$AK138:$AK148,0),MATCH(IF('Data-solution'!$A$3="Maximize",MAX($C149:$AI149),MIN($C149:$AI149)),$C149:$AI149,0))),J141)</f>
        <v>0</v>
      </c>
      <c r="K156" s="1">
        <f>IF(OR($B153&lt;&gt;$B138,$B154&lt;&gt;$B139,$B155&lt;&gt;$B140,$B156&lt;&gt;$B141,$B157&lt;&gt;$B142,$B158&lt;&gt;$B143,$B159&lt;&gt;$B144,$B160&lt;&gt;$B145,$B161&lt;&gt;$B146,$B162&lt;&gt;$B147,$B163&lt;&gt;$B148),IF($B156&lt;&gt;$B141,K141/INDEX($C138:$AJ148,4,MATCH(IF('Data-solution'!$A$3="Maximize",MAX($C149:$AI149),MIN($C149:$AI149)),$C149:$AI149,0)),K141-INDEX($C138:$AJ148,4,MATCH(IF('Data-solution'!$A$3="Maximize",MAX($C149:$AI149),MIN($C149:$AI149)),$C149:$AI149,0))*INDEX(K138:$AJ148,MATCH(MIN($AK138:$AK148),$AK138:$AK148,0),1)/INDEX($C138:$AJ148,MATCH(MIN($AK138:$AK148),$AK138:$AK148,0),MATCH(IF('Data-solution'!$A$3="Maximize",MAX($C149:$AI149),MIN($C149:$AI149)),$C149:$AI149,0))),K141)</f>
        <v>0</v>
      </c>
      <c r="L156" s="1">
        <f>IF(OR($B153&lt;&gt;$B138,$B154&lt;&gt;$B139,$B155&lt;&gt;$B140,$B156&lt;&gt;$B141,$B157&lt;&gt;$B142,$B158&lt;&gt;$B143,$B159&lt;&gt;$B144,$B160&lt;&gt;$B145,$B161&lt;&gt;$B146,$B162&lt;&gt;$B147,$B163&lt;&gt;$B148),IF($B156&lt;&gt;$B141,L141/INDEX($C138:$AJ148,4,MATCH(IF('Data-solution'!$A$3="Maximize",MAX($C149:$AI149),MIN($C149:$AI149)),$C149:$AI149,0)),L141-INDEX($C138:$AJ148,4,MATCH(IF('Data-solution'!$A$3="Maximize",MAX($C149:$AI149),MIN($C149:$AI149)),$C149:$AI149,0))*INDEX(L138:$AJ148,MATCH(MIN($AK138:$AK148),$AK138:$AK148,0),1)/INDEX($C138:$AJ148,MATCH(MIN($AK138:$AK148),$AK138:$AK148,0),MATCH(IF('Data-solution'!$A$3="Maximize",MAX($C149:$AI149),MIN($C149:$AI149)),$C149:$AI149,0))),L141)</f>
        <v>0</v>
      </c>
      <c r="M156" s="1">
        <f>IF(OR($B153&lt;&gt;$B138,$B154&lt;&gt;$B139,$B155&lt;&gt;$B140,$B156&lt;&gt;$B141,$B157&lt;&gt;$B142,$B158&lt;&gt;$B143,$B159&lt;&gt;$B144,$B160&lt;&gt;$B145,$B161&lt;&gt;$B146,$B162&lt;&gt;$B147,$B163&lt;&gt;$B148),IF($B156&lt;&gt;$B141,M141/INDEX($C138:$AJ148,4,MATCH(IF('Data-solution'!$A$3="Maximize",MAX($C149:$AI149),MIN($C149:$AI149)),$C149:$AI149,0)),M141-INDEX($C138:$AJ148,4,MATCH(IF('Data-solution'!$A$3="Maximize",MAX($C149:$AI149),MIN($C149:$AI149)),$C149:$AI149,0))*INDEX(M138:$AJ148,MATCH(MIN($AK138:$AK148),$AK138:$AK148,0),1)/INDEX($C138:$AJ148,MATCH(MIN($AK138:$AK148),$AK138:$AK148,0),MATCH(IF('Data-solution'!$A$3="Maximize",MAX($C149:$AI149),MIN($C149:$AI149)),$C149:$AI149,0))),M141)</f>
        <v>0</v>
      </c>
      <c r="N156" s="1">
        <f>IF(OR($B153&lt;&gt;$B138,$B154&lt;&gt;$B139,$B155&lt;&gt;$B140,$B156&lt;&gt;$B141,$B157&lt;&gt;$B142,$B158&lt;&gt;$B143,$B159&lt;&gt;$B144,$B160&lt;&gt;$B145,$B161&lt;&gt;$B146,$B162&lt;&gt;$B147,$B163&lt;&gt;$B148),IF($B156&lt;&gt;$B141,N141/INDEX($C138:$AJ148,4,MATCH(IF('Data-solution'!$A$3="Maximize",MAX($C149:$AI149),MIN($C149:$AI149)),$C149:$AI149,0)),N141-INDEX($C138:$AJ148,4,MATCH(IF('Data-solution'!$A$3="Maximize",MAX($C149:$AI149),MIN($C149:$AI149)),$C149:$AI149,0))*INDEX(N138:$AJ148,MATCH(MIN($AK138:$AK148),$AK138:$AK148,0),1)/INDEX($C138:$AJ148,MATCH(MIN($AK138:$AK148),$AK138:$AK148,0),MATCH(IF('Data-solution'!$A$3="Maximize",MAX($C149:$AI149),MIN($C149:$AI149)),$C149:$AI149,0))),N141)</f>
        <v>0</v>
      </c>
      <c r="O156" s="1">
        <f>IF(OR($B153&lt;&gt;$B138,$B154&lt;&gt;$B139,$B155&lt;&gt;$B140,$B156&lt;&gt;$B141,$B157&lt;&gt;$B142,$B158&lt;&gt;$B143,$B159&lt;&gt;$B144,$B160&lt;&gt;$B145,$B161&lt;&gt;$B146,$B162&lt;&gt;$B147,$B163&lt;&gt;$B148),IF($B156&lt;&gt;$B141,O141/INDEX($C138:$AJ148,4,MATCH(IF('Data-solution'!$A$3="Maximize",MAX($C149:$AI149),MIN($C149:$AI149)),$C149:$AI149,0)),O141-INDEX($C138:$AJ148,4,MATCH(IF('Data-solution'!$A$3="Maximize",MAX($C149:$AI149),MIN($C149:$AI149)),$C149:$AI149,0))*INDEX(O138:$AJ148,MATCH(MIN($AK138:$AK148),$AK138:$AK148,0),1)/INDEX($C138:$AJ148,MATCH(MIN($AK138:$AK148),$AK138:$AK148,0),MATCH(IF('Data-solution'!$A$3="Maximize",MAX($C149:$AI149),MIN($C149:$AI149)),$C149:$AI149,0))),O141)</f>
        <v>0</v>
      </c>
      <c r="P156" s="1">
        <f>IF(OR($B153&lt;&gt;$B138,$B154&lt;&gt;$B139,$B155&lt;&gt;$B140,$B156&lt;&gt;$B141,$B157&lt;&gt;$B142,$B158&lt;&gt;$B143,$B159&lt;&gt;$B144,$B160&lt;&gt;$B145,$B161&lt;&gt;$B146,$B162&lt;&gt;$B147,$B163&lt;&gt;$B148),IF($B156&lt;&gt;$B141,P141/INDEX($C138:$AJ148,4,MATCH(IF('Data-solution'!$A$3="Maximize",MAX($C149:$AI149),MIN($C149:$AI149)),$C149:$AI149,0)),P141-INDEX($C138:$AJ148,4,MATCH(IF('Data-solution'!$A$3="Maximize",MAX($C149:$AI149),MIN($C149:$AI149)),$C149:$AI149,0))*INDEX(P138:$AJ148,MATCH(MIN($AK138:$AK148),$AK138:$AK148,0),1)/INDEX($C138:$AJ148,MATCH(MIN($AK138:$AK148),$AK138:$AK148,0),MATCH(IF('Data-solution'!$A$3="Maximize",MAX($C149:$AI149),MIN($C149:$AI149)),$C149:$AI149,0))),P141)</f>
        <v>-0.24999999999999994</v>
      </c>
      <c r="Q156" s="1">
        <f>IF(OR($B153&lt;&gt;$B138,$B154&lt;&gt;$B139,$B155&lt;&gt;$B140,$B156&lt;&gt;$B141,$B157&lt;&gt;$B142,$B158&lt;&gt;$B143,$B159&lt;&gt;$B144,$B160&lt;&gt;$B145,$B161&lt;&gt;$B146,$B162&lt;&gt;$B147,$B163&lt;&gt;$B148),IF($B156&lt;&gt;$B141,Q141/INDEX($C138:$AJ148,4,MATCH(IF('Data-solution'!$A$3="Maximize",MAX($C149:$AI149),MIN($C149:$AI149)),$C149:$AI149,0)),Q141-INDEX($C138:$AJ148,4,MATCH(IF('Data-solution'!$A$3="Maximize",MAX($C149:$AI149),MIN($C149:$AI149)),$C149:$AI149,0))*INDEX(Q138:$AJ148,MATCH(MIN($AK138:$AK148),$AK138:$AK148,0),1)/INDEX($C138:$AJ148,MATCH(MIN($AK138:$AK148),$AK138:$AK148,0),MATCH(IF('Data-solution'!$A$3="Maximize",MAX($C149:$AI149),MIN($C149:$AI149)),$C149:$AI149,0))),Q141)</f>
        <v>1.4999999999999998</v>
      </c>
      <c r="R156" s="1">
        <f>IF(OR($B153&lt;&gt;$B138,$B154&lt;&gt;$B139,$B155&lt;&gt;$B140,$B156&lt;&gt;$B141,$B157&lt;&gt;$B142,$B158&lt;&gt;$B143,$B159&lt;&gt;$B144,$B160&lt;&gt;$B145,$B161&lt;&gt;$B146,$B162&lt;&gt;$B147,$B163&lt;&gt;$B148),IF($B156&lt;&gt;$B141,R141/INDEX($C138:$AJ148,4,MATCH(IF('Data-solution'!$A$3="Maximize",MAX($C149:$AI149),MIN($C149:$AI149)),$C149:$AI149,0)),R141-INDEX($C138:$AJ148,4,MATCH(IF('Data-solution'!$A$3="Maximize",MAX($C149:$AI149),MIN($C149:$AI149)),$C149:$AI149,0))*INDEX(R138:$AJ148,MATCH(MIN($AK138:$AK148),$AK138:$AK148,0),1)/INDEX($C138:$AJ148,MATCH(MIN($AK138:$AK148),$AK138:$AK148,0),MATCH(IF('Data-solution'!$A$3="Maximize",MAX($C149:$AI149),MIN($C149:$AI149)),$C149:$AI149,0))),R141)</f>
        <v>0</v>
      </c>
      <c r="S156" s="1">
        <f>IF(OR($B153&lt;&gt;$B138,$B154&lt;&gt;$B139,$B155&lt;&gt;$B140,$B156&lt;&gt;$B141,$B157&lt;&gt;$B142,$B158&lt;&gt;$B143,$B159&lt;&gt;$B144,$B160&lt;&gt;$B145,$B161&lt;&gt;$B146,$B162&lt;&gt;$B147,$B163&lt;&gt;$B148),IF($B156&lt;&gt;$B141,S141/INDEX($C138:$AJ148,4,MATCH(IF('Data-solution'!$A$3="Maximize",MAX($C149:$AI149),MIN($C149:$AI149)),$C149:$AI149,0)),S141-INDEX($C138:$AJ148,4,MATCH(IF('Data-solution'!$A$3="Maximize",MAX($C149:$AI149),MIN($C149:$AI149)),$C149:$AI149,0))*INDEX(S138:$AJ148,MATCH(MIN($AK138:$AK148),$AK138:$AK148,0),1)/INDEX($C138:$AJ148,MATCH(MIN($AK138:$AK148),$AK138:$AK148,0),MATCH(IF('Data-solution'!$A$3="Maximize",MAX($C149:$AI149),MIN($C149:$AI149)),$C149:$AI149,0))),S141)</f>
        <v>0</v>
      </c>
      <c r="T156" s="1">
        <f>IF(OR($B153&lt;&gt;$B138,$B154&lt;&gt;$B139,$B155&lt;&gt;$B140,$B156&lt;&gt;$B141,$B157&lt;&gt;$B142,$B158&lt;&gt;$B143,$B159&lt;&gt;$B144,$B160&lt;&gt;$B145,$B161&lt;&gt;$B146,$B162&lt;&gt;$B147,$B163&lt;&gt;$B148),IF($B156&lt;&gt;$B141,T141/INDEX($C138:$AJ148,4,MATCH(IF('Data-solution'!$A$3="Maximize",MAX($C149:$AI149),MIN($C149:$AI149)),$C149:$AI149,0)),T141-INDEX($C138:$AJ148,4,MATCH(IF('Data-solution'!$A$3="Maximize",MAX($C149:$AI149),MIN($C149:$AI149)),$C149:$AI149,0))*INDEX(T138:$AJ148,MATCH(MIN($AK138:$AK148),$AK138:$AK148,0),1)/INDEX($C138:$AJ148,MATCH(MIN($AK138:$AK148),$AK138:$AK148,0),MATCH(IF('Data-solution'!$A$3="Maximize",MAX($C149:$AI149),MIN($C149:$AI149)),$C149:$AI149,0))),T141)</f>
        <v>0</v>
      </c>
      <c r="U156" s="1">
        <f>IF(OR($B153&lt;&gt;$B138,$B154&lt;&gt;$B139,$B155&lt;&gt;$B140,$B156&lt;&gt;$B141,$B157&lt;&gt;$B142,$B158&lt;&gt;$B143,$B159&lt;&gt;$B144,$B160&lt;&gt;$B145,$B161&lt;&gt;$B146,$B162&lt;&gt;$B147,$B163&lt;&gt;$B148),IF($B156&lt;&gt;$B141,U141/INDEX($C138:$AJ148,4,MATCH(IF('Data-solution'!$A$3="Maximize",MAX($C149:$AI149),MIN($C149:$AI149)),$C149:$AI149,0)),U141-INDEX($C138:$AJ148,4,MATCH(IF('Data-solution'!$A$3="Maximize",MAX($C149:$AI149),MIN($C149:$AI149)),$C149:$AI149,0))*INDEX(U138:$AJ148,MATCH(MIN($AK138:$AK148),$AK138:$AK148,0),1)/INDEX($C138:$AJ148,MATCH(MIN($AK138:$AK148),$AK138:$AK148,0),MATCH(IF('Data-solution'!$A$3="Maximize",MAX($C149:$AI149),MIN($C149:$AI149)),$C149:$AI149,0))),U141)</f>
        <v>0</v>
      </c>
      <c r="V156" s="1">
        <f>IF(OR($B153&lt;&gt;$B138,$B154&lt;&gt;$B139,$B155&lt;&gt;$B140,$B156&lt;&gt;$B141,$B157&lt;&gt;$B142,$B158&lt;&gt;$B143,$B159&lt;&gt;$B144,$B160&lt;&gt;$B145,$B161&lt;&gt;$B146,$B162&lt;&gt;$B147,$B163&lt;&gt;$B148),IF($B156&lt;&gt;$B141,V141/INDEX($C138:$AJ148,4,MATCH(IF('Data-solution'!$A$3="Maximize",MAX($C149:$AI149),MIN($C149:$AI149)),$C149:$AI149,0)),V141-INDEX($C138:$AJ148,4,MATCH(IF('Data-solution'!$A$3="Maximize",MAX($C149:$AI149),MIN($C149:$AI149)),$C149:$AI149,0))*INDEX(V138:$AJ148,MATCH(MIN($AK138:$AK148),$AK138:$AK148,0),1)/INDEX($C138:$AJ148,MATCH(MIN($AK138:$AK148),$AK138:$AK148,0),MATCH(IF('Data-solution'!$A$3="Maximize",MAX($C149:$AI149),MIN($C149:$AI149)),$C149:$AI149,0))),V141)</f>
        <v>0</v>
      </c>
      <c r="W156" s="1">
        <f>IF(OR($B153&lt;&gt;$B138,$B154&lt;&gt;$B139,$B155&lt;&gt;$B140,$B156&lt;&gt;$B141,$B157&lt;&gt;$B142,$B158&lt;&gt;$B143,$B159&lt;&gt;$B144,$B160&lt;&gt;$B145,$B161&lt;&gt;$B146,$B162&lt;&gt;$B147,$B163&lt;&gt;$B148),IF($B156&lt;&gt;$B141,W141/INDEX($C138:$AJ148,4,MATCH(IF('Data-solution'!$A$3="Maximize",MAX($C149:$AI149),MIN($C149:$AI149)),$C149:$AI149,0)),W141-INDEX($C138:$AJ148,4,MATCH(IF('Data-solution'!$A$3="Maximize",MAX($C149:$AI149),MIN($C149:$AI149)),$C149:$AI149,0))*INDEX(W138:$AJ148,MATCH(MIN($AK138:$AK148),$AK138:$AK148,0),1)/INDEX($C138:$AJ148,MATCH(MIN($AK138:$AK148),$AK138:$AK148,0),MATCH(IF('Data-solution'!$A$3="Maximize",MAX($C149:$AI149),MIN($C149:$AI149)),$C149:$AI149,0))),W141)</f>
        <v>0</v>
      </c>
      <c r="X156" s="1">
        <f>IF(OR($B153&lt;&gt;$B138,$B154&lt;&gt;$B139,$B155&lt;&gt;$B140,$B156&lt;&gt;$B141,$B157&lt;&gt;$B142,$B158&lt;&gt;$B143,$B159&lt;&gt;$B144,$B160&lt;&gt;$B145,$B161&lt;&gt;$B146,$B162&lt;&gt;$B147,$B163&lt;&gt;$B148),IF($B156&lt;&gt;$B141,X141/INDEX($C138:$AJ148,4,MATCH(IF('Data-solution'!$A$3="Maximize",MAX($C149:$AI149),MIN($C149:$AI149)),$C149:$AI149,0)),X141-INDEX($C138:$AJ148,4,MATCH(IF('Data-solution'!$A$3="Maximize",MAX($C149:$AI149),MIN($C149:$AI149)),$C149:$AI149,0))*INDEX(X138:$AJ148,MATCH(MIN($AK138:$AK148),$AK138:$AK148,0),1)/INDEX($C138:$AJ148,MATCH(MIN($AK138:$AK148),$AK138:$AK148,0),MATCH(IF('Data-solution'!$A$3="Maximize",MAX($C149:$AI149),MIN($C149:$AI149)),$C149:$AI149,0))),X141)</f>
        <v>0</v>
      </c>
      <c r="Y156" s="1">
        <f>IF(OR($B153&lt;&gt;$B138,$B154&lt;&gt;$B139,$B155&lt;&gt;$B140,$B156&lt;&gt;$B141,$B157&lt;&gt;$B142,$B158&lt;&gt;$B143,$B159&lt;&gt;$B144,$B160&lt;&gt;$B145,$B161&lt;&gt;$B146,$B162&lt;&gt;$B147,$B163&lt;&gt;$B148),IF($B156&lt;&gt;$B141,Y141/INDEX($C138:$AJ148,4,MATCH(IF('Data-solution'!$A$3="Maximize",MAX($C149:$AI149),MIN($C149:$AI149)),$C149:$AI149,0)),Y141-INDEX($C138:$AJ148,4,MATCH(IF('Data-solution'!$A$3="Maximize",MAX($C149:$AI149),MIN($C149:$AI149)),$C149:$AI149,0))*INDEX(Y138:$AJ148,MATCH(MIN($AK138:$AK148),$AK138:$AK148,0),1)/INDEX($C138:$AJ148,MATCH(MIN($AK138:$AK148),$AK138:$AK148,0),MATCH(IF('Data-solution'!$A$3="Maximize",MAX($C149:$AI149),MIN($C149:$AI149)),$C149:$AI149,0))),Y141)</f>
        <v>0</v>
      </c>
      <c r="Z156" s="1">
        <f>IF(OR($B153&lt;&gt;$B138,$B154&lt;&gt;$B139,$B155&lt;&gt;$B140,$B156&lt;&gt;$B141,$B157&lt;&gt;$B142,$B158&lt;&gt;$B143,$B159&lt;&gt;$B144,$B160&lt;&gt;$B145,$B161&lt;&gt;$B146,$B162&lt;&gt;$B147,$B163&lt;&gt;$B148),IF($B156&lt;&gt;$B141,Z141/INDEX($C138:$AJ148,4,MATCH(IF('Data-solution'!$A$3="Maximize",MAX($C149:$AI149),MIN($C149:$AI149)),$C149:$AI149,0)),Z141-INDEX($C138:$AJ148,4,MATCH(IF('Data-solution'!$A$3="Maximize",MAX($C149:$AI149),MIN($C149:$AI149)),$C149:$AI149,0))*INDEX(Z138:$AJ148,MATCH(MIN($AK138:$AK148),$AK138:$AK148,0),1)/INDEX($C138:$AJ148,MATCH(MIN($AK138:$AK148),$AK138:$AK148,0),MATCH(IF('Data-solution'!$A$3="Maximize",MAX($C149:$AI149),MIN($C149:$AI149)),$C149:$AI149,0))),Z141)</f>
        <v>0</v>
      </c>
      <c r="AA156" s="1">
        <f>IF(OR($B153&lt;&gt;$B138,$B154&lt;&gt;$B139,$B155&lt;&gt;$B140,$B156&lt;&gt;$B141,$B157&lt;&gt;$B142,$B158&lt;&gt;$B143,$B159&lt;&gt;$B144,$B160&lt;&gt;$B145,$B161&lt;&gt;$B146,$B162&lt;&gt;$B147,$B163&lt;&gt;$B148),IF($B156&lt;&gt;$B141,AA141/INDEX($C138:$AJ148,4,MATCH(IF('Data-solution'!$A$3="Maximize",MAX($C149:$AI149),MIN($C149:$AI149)),$C149:$AI149,0)),AA141-INDEX($C138:$AJ148,4,MATCH(IF('Data-solution'!$A$3="Maximize",MAX($C149:$AI149),MIN($C149:$AI149)),$C149:$AI149,0))*INDEX(AA138:$AJ148,MATCH(MIN($AK138:$AK148),$AK138:$AK148,0),1)/INDEX($C138:$AJ148,MATCH(MIN($AK138:$AK148),$AK138:$AK148,0),MATCH(IF('Data-solution'!$A$3="Maximize",MAX($C149:$AI149),MIN($C149:$AI149)),$C149:$AI149,0))),AA141)</f>
        <v>-0.24999999999999994</v>
      </c>
      <c r="AB156" s="1">
        <f>IF(OR($B153&lt;&gt;$B138,$B154&lt;&gt;$B139,$B155&lt;&gt;$B140,$B156&lt;&gt;$B141,$B157&lt;&gt;$B142,$B158&lt;&gt;$B143,$B159&lt;&gt;$B144,$B160&lt;&gt;$B145,$B161&lt;&gt;$B146,$B162&lt;&gt;$B147,$B163&lt;&gt;$B148),IF($B156&lt;&gt;$B141,AB141/INDEX($C138:$AJ148,4,MATCH(IF('Data-solution'!$A$3="Maximize",MAX($C149:$AI149),MIN($C149:$AI149)),$C149:$AI149,0)),AB141-INDEX($C138:$AJ148,4,MATCH(IF('Data-solution'!$A$3="Maximize",MAX($C149:$AI149),MIN($C149:$AI149)),$C149:$AI149,0))*INDEX(AB138:$AJ148,MATCH(MIN($AK138:$AK148),$AK138:$AK148,0),1)/INDEX($C138:$AJ148,MATCH(MIN($AK138:$AK148),$AK138:$AK148,0),MATCH(IF('Data-solution'!$A$3="Maximize",MAX($C149:$AI149),MIN($C149:$AI149)),$C149:$AI149,0))),AB141)</f>
        <v>1.4999999999999998</v>
      </c>
      <c r="AC156" s="1">
        <f>IF(OR($B153&lt;&gt;$B138,$B154&lt;&gt;$B139,$B155&lt;&gt;$B140,$B156&lt;&gt;$B141,$B157&lt;&gt;$B142,$B158&lt;&gt;$B143,$B159&lt;&gt;$B144,$B160&lt;&gt;$B145,$B161&lt;&gt;$B146,$B162&lt;&gt;$B147,$B163&lt;&gt;$B148),IF($B156&lt;&gt;$B141,AC141/INDEX($C138:$AJ148,4,MATCH(IF('Data-solution'!$A$3="Maximize",MAX($C149:$AI149),MIN($C149:$AI149)),$C149:$AI149,0)),AC141-INDEX($C138:$AJ148,4,MATCH(IF('Data-solution'!$A$3="Maximize",MAX($C149:$AI149),MIN($C149:$AI149)),$C149:$AI149,0))*INDEX(AC138:$AJ148,MATCH(MIN($AK138:$AK148),$AK138:$AK148,0),1)/INDEX($C138:$AJ148,MATCH(MIN($AK138:$AK148),$AK138:$AK148,0),MATCH(IF('Data-solution'!$A$3="Maximize",MAX($C149:$AI149),MIN($C149:$AI149)),$C149:$AI149,0))),AC141)</f>
        <v>0</v>
      </c>
      <c r="AD156" s="1">
        <f>IF(OR($B153&lt;&gt;$B138,$B154&lt;&gt;$B139,$B155&lt;&gt;$B140,$B156&lt;&gt;$B141,$B157&lt;&gt;$B142,$B158&lt;&gt;$B143,$B159&lt;&gt;$B144,$B160&lt;&gt;$B145,$B161&lt;&gt;$B146,$B162&lt;&gt;$B147,$B163&lt;&gt;$B148),IF($B156&lt;&gt;$B141,AD141/INDEX($C138:$AJ148,4,MATCH(IF('Data-solution'!$A$3="Maximize",MAX($C149:$AI149),MIN($C149:$AI149)),$C149:$AI149,0)),AD141-INDEX($C138:$AJ148,4,MATCH(IF('Data-solution'!$A$3="Maximize",MAX($C149:$AI149),MIN($C149:$AI149)),$C149:$AI149,0))*INDEX(AD138:$AJ148,MATCH(MIN($AK138:$AK148),$AK138:$AK148,0),1)/INDEX($C138:$AJ148,MATCH(MIN($AK138:$AK148),$AK138:$AK148,0),MATCH(IF('Data-solution'!$A$3="Maximize",MAX($C149:$AI149),MIN($C149:$AI149)),$C149:$AI149,0))),AD141)</f>
        <v>0</v>
      </c>
      <c r="AE156" s="1">
        <f>IF(OR($B153&lt;&gt;$B138,$B154&lt;&gt;$B139,$B155&lt;&gt;$B140,$B156&lt;&gt;$B141,$B157&lt;&gt;$B142,$B158&lt;&gt;$B143,$B159&lt;&gt;$B144,$B160&lt;&gt;$B145,$B161&lt;&gt;$B146,$B162&lt;&gt;$B147,$B163&lt;&gt;$B148),IF($B156&lt;&gt;$B141,AE141/INDEX($C138:$AJ148,4,MATCH(IF('Data-solution'!$A$3="Maximize",MAX($C149:$AI149),MIN($C149:$AI149)),$C149:$AI149,0)),AE141-INDEX($C138:$AJ148,4,MATCH(IF('Data-solution'!$A$3="Maximize",MAX($C149:$AI149),MIN($C149:$AI149)),$C149:$AI149,0))*INDEX(AE138:$AJ148,MATCH(MIN($AK138:$AK148),$AK138:$AK148,0),1)/INDEX($C138:$AJ148,MATCH(MIN($AK138:$AK148),$AK138:$AK148,0),MATCH(IF('Data-solution'!$A$3="Maximize",MAX($C149:$AI149),MIN($C149:$AI149)),$C149:$AI149,0))),AE141)</f>
        <v>0</v>
      </c>
      <c r="AF156" s="1">
        <f>IF(OR($B153&lt;&gt;$B138,$B154&lt;&gt;$B139,$B155&lt;&gt;$B140,$B156&lt;&gt;$B141,$B157&lt;&gt;$B142,$B158&lt;&gt;$B143,$B159&lt;&gt;$B144,$B160&lt;&gt;$B145,$B161&lt;&gt;$B146,$B162&lt;&gt;$B147,$B163&lt;&gt;$B148),IF($B156&lt;&gt;$B141,AF141/INDEX($C138:$AJ148,4,MATCH(IF('Data-solution'!$A$3="Maximize",MAX($C149:$AI149),MIN($C149:$AI149)),$C149:$AI149,0)),AF141-INDEX($C138:$AJ148,4,MATCH(IF('Data-solution'!$A$3="Maximize",MAX($C149:$AI149),MIN($C149:$AI149)),$C149:$AI149,0))*INDEX(AF138:$AJ148,MATCH(MIN($AK138:$AK148),$AK138:$AK148,0),1)/INDEX($C138:$AJ148,MATCH(MIN($AK138:$AK148),$AK138:$AK148,0),MATCH(IF('Data-solution'!$A$3="Maximize",MAX($C149:$AI149),MIN($C149:$AI149)),$C149:$AI149,0))),AF141)</f>
        <v>0</v>
      </c>
      <c r="AG156" s="1">
        <f>IF(OR($B153&lt;&gt;$B138,$B154&lt;&gt;$B139,$B155&lt;&gt;$B140,$B156&lt;&gt;$B141,$B157&lt;&gt;$B142,$B158&lt;&gt;$B143,$B159&lt;&gt;$B144,$B160&lt;&gt;$B145,$B161&lt;&gt;$B146,$B162&lt;&gt;$B147,$B163&lt;&gt;$B148),IF($B156&lt;&gt;$B141,AG141/INDEX($C138:$AJ148,4,MATCH(IF('Data-solution'!$A$3="Maximize",MAX($C149:$AI149),MIN($C149:$AI149)),$C149:$AI149,0)),AG141-INDEX($C138:$AJ148,4,MATCH(IF('Data-solution'!$A$3="Maximize",MAX($C149:$AI149),MIN($C149:$AI149)),$C149:$AI149,0))*INDEX(AG138:$AJ148,MATCH(MIN($AK138:$AK148),$AK138:$AK148,0),1)/INDEX($C138:$AJ148,MATCH(MIN($AK138:$AK148),$AK138:$AK148,0),MATCH(IF('Data-solution'!$A$3="Maximize",MAX($C149:$AI149),MIN($C149:$AI149)),$C149:$AI149,0))),AG141)</f>
        <v>0</v>
      </c>
      <c r="AH156" s="1">
        <f>IF(OR($B153&lt;&gt;$B138,$B154&lt;&gt;$B139,$B155&lt;&gt;$B140,$B156&lt;&gt;$B141,$B157&lt;&gt;$B142,$B158&lt;&gt;$B143,$B159&lt;&gt;$B144,$B160&lt;&gt;$B145,$B161&lt;&gt;$B146,$B162&lt;&gt;$B147,$B163&lt;&gt;$B148),IF($B156&lt;&gt;$B141,AH141/INDEX($C138:$AJ148,4,MATCH(IF('Data-solution'!$A$3="Maximize",MAX($C149:$AI149),MIN($C149:$AI149)),$C149:$AI149,0)),AH141-INDEX($C138:$AJ148,4,MATCH(IF('Data-solution'!$A$3="Maximize",MAX($C149:$AI149),MIN($C149:$AI149)),$C149:$AI149,0))*INDEX(AH138:$AJ148,MATCH(MIN($AK138:$AK148),$AK138:$AK148,0),1)/INDEX($C138:$AJ148,MATCH(MIN($AK138:$AK148),$AK138:$AK148,0),MATCH(IF('Data-solution'!$A$3="Maximize",MAX($C149:$AI149),MIN($C149:$AI149)),$C149:$AI149,0))),AH141)</f>
        <v>0</v>
      </c>
      <c r="AI156" s="1">
        <f>IF(OR($B153&lt;&gt;$B138,$B154&lt;&gt;$B139,$B155&lt;&gt;$B140,$B156&lt;&gt;$B141,$B157&lt;&gt;$B142,$B158&lt;&gt;$B143,$B159&lt;&gt;$B144,$B160&lt;&gt;$B145,$B161&lt;&gt;$B146,$B162&lt;&gt;$B147,$B163&lt;&gt;$B148),IF($B156&lt;&gt;$B141,AI141/INDEX($C138:$AJ148,4,MATCH(IF('Data-solution'!$A$3="Maximize",MAX($C149:$AI149),MIN($C149:$AI149)),$C149:$AI149,0)),AI141-INDEX($C138:$AJ148,4,MATCH(IF('Data-solution'!$A$3="Maximize",MAX($C149:$AI149),MIN($C149:$AI149)),$C149:$AI149,0))*INDEX(AI138:$AJ148,MATCH(MIN($AK138:$AK148),$AK138:$AK148,0),1)/INDEX($C138:$AJ148,MATCH(MIN($AK138:$AK148),$AK138:$AK148,0),MATCH(IF('Data-solution'!$A$3="Maximize",MAX($C149:$AI149),MIN($C149:$AI149)),$C149:$AI149,0))),AI141)</f>
        <v>0</v>
      </c>
      <c r="AJ156" s="1">
        <f>IF(OR($B153&lt;&gt;$B138,$B154&lt;&gt;$B139,$B155&lt;&gt;$B140,$B156&lt;&gt;$B141,$B157&lt;&gt;$B142,$B158&lt;&gt;$B143,$B159&lt;&gt;$B144,$B160&lt;&gt;$B145,$B161&lt;&gt;$B146,$B162&lt;&gt;$B147,$B163&lt;&gt;$B148),IF($B156&lt;&gt;$B141,AJ141/INDEX($C138:$AJ148,4,MATCH(IF('Data-solution'!$A$3="Maximize",MAX($C149:$AI149),MIN($C149:$AI149)),$C149:$AI149,0)),AJ141-INDEX($C138:$AJ148,4,MATCH(IF('Data-solution'!$A$3="Maximize",MAX($C149:$AI149),MIN($C149:$AI149)),$C149:$AI149,0))*INDEX(AJ138:$AJ148,MATCH(MIN($AK138:$AK148),$AK138:$AK148,0),1)/INDEX($C138:$AJ148,MATCH(MIN($AK138:$AK148),$AK138:$AK148,0),MATCH(IF('Data-solution'!$A$3="Maximize",MAX($C149:$AI149),MIN($C149:$AI149)),$C149:$AI149,0))),AJ141)</f>
        <v>100.00000000000001</v>
      </c>
      <c r="AK156" s="1">
        <f>IF(INDEX(C156:X156,1,MATCH(IF('Data-solution'!A$3="Maximize",MAX(C164:X164),MIN(C164:X164)),C164:X164,0))&gt;0,AJ156/INDEX(C156:X156,1,MATCH(IF('Data-solution'!A$3="Maximize",MAX(C164:X164),MIN(C164:X164)),C164:X164,0))," ")</f>
        <v>100.00000000000001</v>
      </c>
    </row>
    <row r="157" spans="1:37" ht="18" customHeight="1" x14ac:dyDescent="0.2">
      <c r="A157" s="1">
        <f t="shared" ref="A157" si="128">INDEX(C151:AI151,1,MATCH(B157,C152:AI152,0))</f>
        <v>0</v>
      </c>
      <c r="B157" s="2" t="str">
        <f>IF(AND('Data-solution'!A$3="Maximize",COUNTIF(C149:X149,"&gt;"&amp;0)&gt;0,AK142=MIN(AK138:AK148),COUNTIF(B153:B156,INDEX(C137:X137,1,MATCH(MAX(C149:X149),C149:X149,0)))=0),INDEX(C137:X137,1,MATCH(MAX(C149:X149),C149:X149,0)),IF(AND('Data-solution'!A$3="Minimize",COUNTIF(C149:X149,"&lt;"&amp;0)&gt;0,AK142=MIN(AK138:AK148),COUNTIF(B153:B156,INDEX(C137:X137,1,MATCH(MIN(C149:X149),C149:X149,0)))=0),INDEX(C137:X137,1,MATCH(MIN(C149:X149),C149:X149,0)),B142))</f>
        <v>S5</v>
      </c>
      <c r="C157" s="1">
        <f>IF(OR($B153&lt;&gt;$B138,$B154&lt;&gt;$B139,$B155&lt;&gt;$B140,$B156&lt;&gt;$B141,$B157&lt;&gt;$B142,$B158&lt;&gt;$B143,$B159&lt;&gt;$B144,$B160&lt;&gt;$B145,$B161&lt;&gt;$B146,$B162&lt;&gt;$B147,$B163&lt;&gt;$B148),IF($B157&lt;&gt;$B142,C142/INDEX($C138:$AJ148,5,MATCH(IF('Data-solution'!$A$3="Maximize",MAX($C149:$AI149),MIN($C149:$AI149)),$C149:$AI149,0)),C142-INDEX($C138:$AJ148,5,MATCH(IF('Data-solution'!$A$3="Maximize",MAX($C149:$AI149),MIN($C149:$AI149)),$C149:$AI149,0))*INDEX(C138:$AJ148,MATCH(MIN($AK138:$AK148),$AK138:$AK148,0),1)/INDEX($C138:$AJ148,MATCH(MIN($AK138:$AK148),$AK138:$AK148,0),MATCH(IF('Data-solution'!$A$3="Maximize",MAX($C149:$AI149),MIN($C149:$AI149)),$C149:$AI149,0))),C142)</f>
        <v>0</v>
      </c>
      <c r="D157" s="1">
        <f>IF(OR($B153&lt;&gt;$B138,$B154&lt;&gt;$B139,$B155&lt;&gt;$B140,$B156&lt;&gt;$B141,$B157&lt;&gt;$B142,$B158&lt;&gt;$B143,$B159&lt;&gt;$B144,$B160&lt;&gt;$B145,$B161&lt;&gt;$B146,$B162&lt;&gt;$B147,$B163&lt;&gt;$B148),IF($B157&lt;&gt;$B142,D142/INDEX($C138:$AJ148,5,MATCH(IF('Data-solution'!$A$3="Maximize",MAX($C149:$AI149),MIN($C149:$AI149)),$C149:$AI149,0)),D142-INDEX($C138:$AJ148,5,MATCH(IF('Data-solution'!$A$3="Maximize",MAX($C149:$AI149),MIN($C149:$AI149)),$C149:$AI149,0))*INDEX(D138:$AJ148,MATCH(MIN($AK138:$AK148),$AK138:$AK148,0),1)/INDEX($C138:$AJ148,MATCH(MIN($AK138:$AK148),$AK138:$AK148,0),MATCH(IF('Data-solution'!$A$3="Maximize",MAX($C149:$AI149),MIN($C149:$AI149)),$C149:$AI149,0))),D142)</f>
        <v>0</v>
      </c>
      <c r="E157" s="1">
        <f>IF(OR($B153&lt;&gt;$B138,$B154&lt;&gt;$B139,$B155&lt;&gt;$B140,$B156&lt;&gt;$B141,$B157&lt;&gt;$B142,$B158&lt;&gt;$B143,$B159&lt;&gt;$B144,$B160&lt;&gt;$B145,$B161&lt;&gt;$B146,$B162&lt;&gt;$B147,$B163&lt;&gt;$B148),IF($B157&lt;&gt;$B142,E142/INDEX($C138:$AJ148,5,MATCH(IF('Data-solution'!$A$3="Maximize",MAX($C149:$AI149),MIN($C149:$AI149)),$C149:$AI149,0)),E142-INDEX($C138:$AJ148,5,MATCH(IF('Data-solution'!$A$3="Maximize",MAX($C149:$AI149),MIN($C149:$AI149)),$C149:$AI149,0))*INDEX(E138:$AJ148,MATCH(MIN($AK138:$AK148),$AK138:$AK148,0),1)/INDEX($C138:$AJ148,MATCH(MIN($AK138:$AK148),$AK138:$AK148,0),MATCH(IF('Data-solution'!$A$3="Maximize",MAX($C149:$AI149),MIN($C149:$AI149)),$C149:$AI149,0))),E142)</f>
        <v>0</v>
      </c>
      <c r="F157" s="1">
        <f>IF(OR($B153&lt;&gt;$B138,$B154&lt;&gt;$B139,$B155&lt;&gt;$B140,$B156&lt;&gt;$B141,$B157&lt;&gt;$B142,$B158&lt;&gt;$B143,$B159&lt;&gt;$B144,$B160&lt;&gt;$B145,$B161&lt;&gt;$B146,$B162&lt;&gt;$B147,$B163&lt;&gt;$B148),IF($B157&lt;&gt;$B142,F142/INDEX($C138:$AJ148,5,MATCH(IF('Data-solution'!$A$3="Maximize",MAX($C149:$AI149),MIN($C149:$AI149)),$C149:$AI149,0)),F142-INDEX($C138:$AJ148,5,MATCH(IF('Data-solution'!$A$3="Maximize",MAX($C149:$AI149),MIN($C149:$AI149)),$C149:$AI149,0))*INDEX(F138:$AJ148,MATCH(MIN($AK138:$AK148),$AK138:$AK148,0),1)/INDEX($C138:$AJ148,MATCH(MIN($AK138:$AK148),$AK138:$AK148,0),MATCH(IF('Data-solution'!$A$3="Maximize",MAX($C149:$AI149),MIN($C149:$AI149)),$C149:$AI149,0))),F142)</f>
        <v>0</v>
      </c>
      <c r="G157" s="1">
        <f>IF(OR($B153&lt;&gt;$B138,$B154&lt;&gt;$B139,$B155&lt;&gt;$B140,$B156&lt;&gt;$B141,$B157&lt;&gt;$B142,$B158&lt;&gt;$B143,$B159&lt;&gt;$B144,$B160&lt;&gt;$B145,$B161&lt;&gt;$B146,$B162&lt;&gt;$B147,$B163&lt;&gt;$B148),IF($B157&lt;&gt;$B142,G142/INDEX($C138:$AJ148,5,MATCH(IF('Data-solution'!$A$3="Maximize",MAX($C149:$AI149),MIN($C149:$AI149)),$C149:$AI149,0)),G142-INDEX($C138:$AJ148,5,MATCH(IF('Data-solution'!$A$3="Maximize",MAX($C149:$AI149),MIN($C149:$AI149)),$C149:$AI149,0))*INDEX(G138:$AJ148,MATCH(MIN($AK138:$AK148),$AK138:$AK148,0),1)/INDEX($C138:$AJ148,MATCH(MIN($AK138:$AK148),$AK138:$AK148,0),MATCH(IF('Data-solution'!$A$3="Maximize",MAX($C149:$AI149),MIN($C149:$AI149)),$C149:$AI149,0))),G142)</f>
        <v>0</v>
      </c>
      <c r="H157" s="1">
        <f>IF(OR($B153&lt;&gt;$B138,$B154&lt;&gt;$B139,$B155&lt;&gt;$B140,$B156&lt;&gt;$B141,$B157&lt;&gt;$B142,$B158&lt;&gt;$B143,$B159&lt;&gt;$B144,$B160&lt;&gt;$B145,$B161&lt;&gt;$B146,$B162&lt;&gt;$B147,$B163&lt;&gt;$B148),IF($B157&lt;&gt;$B142,H142/INDEX($C138:$AJ148,5,MATCH(IF('Data-solution'!$A$3="Maximize",MAX($C149:$AI149),MIN($C149:$AI149)),$C149:$AI149,0)),H142-INDEX($C138:$AJ148,5,MATCH(IF('Data-solution'!$A$3="Maximize",MAX($C149:$AI149),MIN($C149:$AI149)),$C149:$AI149,0))*INDEX(H138:$AJ148,MATCH(MIN($AK138:$AK148),$AK138:$AK148,0),1)/INDEX($C138:$AJ148,MATCH(MIN($AK138:$AK148),$AK138:$AK148,0),MATCH(IF('Data-solution'!$A$3="Maximize",MAX($C149:$AI149),MIN($C149:$AI149)),$C149:$AI149,0))),H142)</f>
        <v>0</v>
      </c>
      <c r="I157" s="1">
        <f>IF(OR($B153&lt;&gt;$B138,$B154&lt;&gt;$B139,$B155&lt;&gt;$B140,$B156&lt;&gt;$B141,$B157&lt;&gt;$B142,$B158&lt;&gt;$B143,$B159&lt;&gt;$B144,$B160&lt;&gt;$B145,$B161&lt;&gt;$B146,$B162&lt;&gt;$B147,$B163&lt;&gt;$B148),IF($B157&lt;&gt;$B142,I142/INDEX($C138:$AJ148,5,MATCH(IF('Data-solution'!$A$3="Maximize",MAX($C149:$AI149),MIN($C149:$AI149)),$C149:$AI149,0)),I142-INDEX($C138:$AJ148,5,MATCH(IF('Data-solution'!$A$3="Maximize",MAX($C149:$AI149),MIN($C149:$AI149)),$C149:$AI149,0))*INDEX(I138:$AJ148,MATCH(MIN($AK138:$AK148),$AK138:$AK148,0),1)/INDEX($C138:$AJ148,MATCH(MIN($AK138:$AK148),$AK138:$AK148,0),MATCH(IF('Data-solution'!$A$3="Maximize",MAX($C149:$AI149),MIN($C149:$AI149)),$C149:$AI149,0))),I142)</f>
        <v>0</v>
      </c>
      <c r="J157" s="1">
        <f>IF(OR($B153&lt;&gt;$B138,$B154&lt;&gt;$B139,$B155&lt;&gt;$B140,$B156&lt;&gt;$B141,$B157&lt;&gt;$B142,$B158&lt;&gt;$B143,$B159&lt;&gt;$B144,$B160&lt;&gt;$B145,$B161&lt;&gt;$B146,$B162&lt;&gt;$B147,$B163&lt;&gt;$B148),IF($B157&lt;&gt;$B142,J142/INDEX($C138:$AJ148,5,MATCH(IF('Data-solution'!$A$3="Maximize",MAX($C149:$AI149),MIN($C149:$AI149)),$C149:$AI149,0)),J142-INDEX($C138:$AJ148,5,MATCH(IF('Data-solution'!$A$3="Maximize",MAX($C149:$AI149),MIN($C149:$AI149)),$C149:$AI149,0))*INDEX(J138:$AJ148,MATCH(MIN($AK138:$AK148),$AK138:$AK148,0),1)/INDEX($C138:$AJ148,MATCH(MIN($AK138:$AK148),$AK138:$AK148,0),MATCH(IF('Data-solution'!$A$3="Maximize",MAX($C149:$AI149),MIN($C149:$AI149)),$C149:$AI149,0))),J142)</f>
        <v>0</v>
      </c>
      <c r="K157" s="1">
        <f>IF(OR($B153&lt;&gt;$B138,$B154&lt;&gt;$B139,$B155&lt;&gt;$B140,$B156&lt;&gt;$B141,$B157&lt;&gt;$B142,$B158&lt;&gt;$B143,$B159&lt;&gt;$B144,$B160&lt;&gt;$B145,$B161&lt;&gt;$B146,$B162&lt;&gt;$B147,$B163&lt;&gt;$B148),IF($B157&lt;&gt;$B142,K142/INDEX($C138:$AJ148,5,MATCH(IF('Data-solution'!$A$3="Maximize",MAX($C149:$AI149),MIN($C149:$AI149)),$C149:$AI149,0)),K142-INDEX($C138:$AJ148,5,MATCH(IF('Data-solution'!$A$3="Maximize",MAX($C149:$AI149),MIN($C149:$AI149)),$C149:$AI149,0))*INDEX(K138:$AJ148,MATCH(MIN($AK138:$AK148),$AK138:$AK148,0),1)/INDEX($C138:$AJ148,MATCH(MIN($AK138:$AK148),$AK138:$AK148,0),MATCH(IF('Data-solution'!$A$3="Maximize",MAX($C149:$AI149),MIN($C149:$AI149)),$C149:$AI149,0))),K142)</f>
        <v>0</v>
      </c>
      <c r="L157" s="1">
        <f>IF(OR($B153&lt;&gt;$B138,$B154&lt;&gt;$B139,$B155&lt;&gt;$B140,$B156&lt;&gt;$B141,$B157&lt;&gt;$B142,$B158&lt;&gt;$B143,$B159&lt;&gt;$B144,$B160&lt;&gt;$B145,$B161&lt;&gt;$B146,$B162&lt;&gt;$B147,$B163&lt;&gt;$B148),IF($B157&lt;&gt;$B142,L142/INDEX($C138:$AJ148,5,MATCH(IF('Data-solution'!$A$3="Maximize",MAX($C149:$AI149),MIN($C149:$AI149)),$C149:$AI149,0)),L142-INDEX($C138:$AJ148,5,MATCH(IF('Data-solution'!$A$3="Maximize",MAX($C149:$AI149),MIN($C149:$AI149)),$C149:$AI149,0))*INDEX(L138:$AJ148,MATCH(MIN($AK138:$AK148),$AK138:$AK148,0),1)/INDEX($C138:$AJ148,MATCH(MIN($AK138:$AK148),$AK138:$AK148,0),MATCH(IF('Data-solution'!$A$3="Maximize",MAX($C149:$AI149),MIN($C149:$AI149)),$C149:$AI149,0))),L142)</f>
        <v>0</v>
      </c>
      <c r="M157" s="1">
        <f>IF(OR($B153&lt;&gt;$B138,$B154&lt;&gt;$B139,$B155&lt;&gt;$B140,$B156&lt;&gt;$B141,$B157&lt;&gt;$B142,$B158&lt;&gt;$B143,$B159&lt;&gt;$B144,$B160&lt;&gt;$B145,$B161&lt;&gt;$B146,$B162&lt;&gt;$B147,$B163&lt;&gt;$B148),IF($B157&lt;&gt;$B142,M142/INDEX($C138:$AJ148,5,MATCH(IF('Data-solution'!$A$3="Maximize",MAX($C149:$AI149),MIN($C149:$AI149)),$C149:$AI149,0)),M142-INDEX($C138:$AJ148,5,MATCH(IF('Data-solution'!$A$3="Maximize",MAX($C149:$AI149),MIN($C149:$AI149)),$C149:$AI149,0))*INDEX(M138:$AJ148,MATCH(MIN($AK138:$AK148),$AK138:$AK148,0),1)/INDEX($C138:$AJ148,MATCH(MIN($AK138:$AK148),$AK138:$AK148,0),MATCH(IF('Data-solution'!$A$3="Maximize",MAX($C149:$AI149),MIN($C149:$AI149)),$C149:$AI149,0))),M142)</f>
        <v>0</v>
      </c>
      <c r="N157" s="1">
        <f>IF(OR($B153&lt;&gt;$B138,$B154&lt;&gt;$B139,$B155&lt;&gt;$B140,$B156&lt;&gt;$B141,$B157&lt;&gt;$B142,$B158&lt;&gt;$B143,$B159&lt;&gt;$B144,$B160&lt;&gt;$B145,$B161&lt;&gt;$B146,$B162&lt;&gt;$B147,$B163&lt;&gt;$B148),IF($B157&lt;&gt;$B142,N142/INDEX($C138:$AJ148,5,MATCH(IF('Data-solution'!$A$3="Maximize",MAX($C149:$AI149),MIN($C149:$AI149)),$C149:$AI149,0)),N142-INDEX($C138:$AJ148,5,MATCH(IF('Data-solution'!$A$3="Maximize",MAX($C149:$AI149),MIN($C149:$AI149)),$C149:$AI149,0))*INDEX(N138:$AJ148,MATCH(MIN($AK138:$AK148),$AK138:$AK148,0),1)/INDEX($C138:$AJ148,MATCH(MIN($AK138:$AK148),$AK138:$AK148,0),MATCH(IF('Data-solution'!$A$3="Maximize",MAX($C149:$AI149),MIN($C149:$AI149)),$C149:$AI149,0))),N142)</f>
        <v>0</v>
      </c>
      <c r="O157" s="1">
        <f>IF(OR($B153&lt;&gt;$B138,$B154&lt;&gt;$B139,$B155&lt;&gt;$B140,$B156&lt;&gt;$B141,$B157&lt;&gt;$B142,$B158&lt;&gt;$B143,$B159&lt;&gt;$B144,$B160&lt;&gt;$B145,$B161&lt;&gt;$B146,$B162&lt;&gt;$B147,$B163&lt;&gt;$B148),IF($B157&lt;&gt;$B142,O142/INDEX($C138:$AJ148,5,MATCH(IF('Data-solution'!$A$3="Maximize",MAX($C149:$AI149),MIN($C149:$AI149)),$C149:$AI149,0)),O142-INDEX($C138:$AJ148,5,MATCH(IF('Data-solution'!$A$3="Maximize",MAX($C149:$AI149),MIN($C149:$AI149)),$C149:$AI149,0))*INDEX(O138:$AJ148,MATCH(MIN($AK138:$AK148),$AK138:$AK148,0),1)/INDEX($C138:$AJ148,MATCH(MIN($AK138:$AK148),$AK138:$AK148,0),MATCH(IF('Data-solution'!$A$3="Maximize",MAX($C149:$AI149),MIN($C149:$AI149)),$C149:$AI149,0))),O142)</f>
        <v>0</v>
      </c>
      <c r="P157" s="1">
        <f>IF(OR($B153&lt;&gt;$B138,$B154&lt;&gt;$B139,$B155&lt;&gt;$B140,$B156&lt;&gt;$B141,$B157&lt;&gt;$B142,$B158&lt;&gt;$B143,$B159&lt;&gt;$B144,$B160&lt;&gt;$B145,$B161&lt;&gt;$B146,$B162&lt;&gt;$B147,$B163&lt;&gt;$B148),IF($B157&lt;&gt;$B142,P142/INDEX($C138:$AJ148,5,MATCH(IF('Data-solution'!$A$3="Maximize",MAX($C149:$AI149),MIN($C149:$AI149)),$C149:$AI149,0)),P142-INDEX($C138:$AJ148,5,MATCH(IF('Data-solution'!$A$3="Maximize",MAX($C149:$AI149),MIN($C149:$AI149)),$C149:$AI149,0))*INDEX(P138:$AJ148,MATCH(MIN($AK138:$AK148),$AK138:$AK148,0),1)/INDEX($C138:$AJ148,MATCH(MIN($AK138:$AK148),$AK138:$AK148,0),MATCH(IF('Data-solution'!$A$3="Maximize",MAX($C149:$AI149),MIN($C149:$AI149)),$C149:$AI149,0))),P142)</f>
        <v>0</v>
      </c>
      <c r="Q157" s="1">
        <f>IF(OR($B153&lt;&gt;$B138,$B154&lt;&gt;$B139,$B155&lt;&gt;$B140,$B156&lt;&gt;$B141,$B157&lt;&gt;$B142,$B158&lt;&gt;$B143,$B159&lt;&gt;$B144,$B160&lt;&gt;$B145,$B161&lt;&gt;$B146,$B162&lt;&gt;$B147,$B163&lt;&gt;$B148),IF($B157&lt;&gt;$B142,Q142/INDEX($C138:$AJ148,5,MATCH(IF('Data-solution'!$A$3="Maximize",MAX($C149:$AI149),MIN($C149:$AI149)),$C149:$AI149,0)),Q142-INDEX($C138:$AJ148,5,MATCH(IF('Data-solution'!$A$3="Maximize",MAX($C149:$AI149),MIN($C149:$AI149)),$C149:$AI149,0))*INDEX(Q138:$AJ148,MATCH(MIN($AK138:$AK148),$AK138:$AK148,0),1)/INDEX($C138:$AJ148,MATCH(MIN($AK138:$AK148),$AK138:$AK148,0),MATCH(IF('Data-solution'!$A$3="Maximize",MAX($C149:$AI149),MIN($C149:$AI149)),$C149:$AI149,0))),Q142)</f>
        <v>0</v>
      </c>
      <c r="R157" s="1">
        <f>IF(OR($B153&lt;&gt;$B138,$B154&lt;&gt;$B139,$B155&lt;&gt;$B140,$B156&lt;&gt;$B141,$B157&lt;&gt;$B142,$B158&lt;&gt;$B143,$B159&lt;&gt;$B144,$B160&lt;&gt;$B145,$B161&lt;&gt;$B146,$B162&lt;&gt;$B147,$B163&lt;&gt;$B148),IF($B157&lt;&gt;$B142,R142/INDEX($C138:$AJ148,5,MATCH(IF('Data-solution'!$A$3="Maximize",MAX($C149:$AI149),MIN($C149:$AI149)),$C149:$AI149,0)),R142-INDEX($C138:$AJ148,5,MATCH(IF('Data-solution'!$A$3="Maximize",MAX($C149:$AI149),MIN($C149:$AI149)),$C149:$AI149,0))*INDEX(R138:$AJ148,MATCH(MIN($AK138:$AK148),$AK138:$AK148,0),1)/INDEX($C138:$AJ148,MATCH(MIN($AK138:$AK148),$AK138:$AK148,0),MATCH(IF('Data-solution'!$A$3="Maximize",MAX($C149:$AI149),MIN($C149:$AI149)),$C149:$AI149,0))),R142)</f>
        <v>1</v>
      </c>
      <c r="S157" s="1">
        <f>IF(OR($B153&lt;&gt;$B138,$B154&lt;&gt;$B139,$B155&lt;&gt;$B140,$B156&lt;&gt;$B141,$B157&lt;&gt;$B142,$B158&lt;&gt;$B143,$B159&lt;&gt;$B144,$B160&lt;&gt;$B145,$B161&lt;&gt;$B146,$B162&lt;&gt;$B147,$B163&lt;&gt;$B148),IF($B157&lt;&gt;$B142,S142/INDEX($C138:$AJ148,5,MATCH(IF('Data-solution'!$A$3="Maximize",MAX($C149:$AI149),MIN($C149:$AI149)),$C149:$AI149,0)),S142-INDEX($C138:$AJ148,5,MATCH(IF('Data-solution'!$A$3="Maximize",MAX($C149:$AI149),MIN($C149:$AI149)),$C149:$AI149,0))*INDEX(S138:$AJ148,MATCH(MIN($AK138:$AK148),$AK138:$AK148,0),1)/INDEX($C138:$AJ148,MATCH(MIN($AK138:$AK148),$AK138:$AK148,0),MATCH(IF('Data-solution'!$A$3="Maximize",MAX($C149:$AI149),MIN($C149:$AI149)),$C149:$AI149,0))),S142)</f>
        <v>0</v>
      </c>
      <c r="T157" s="1">
        <f>IF(OR($B153&lt;&gt;$B138,$B154&lt;&gt;$B139,$B155&lt;&gt;$B140,$B156&lt;&gt;$B141,$B157&lt;&gt;$B142,$B158&lt;&gt;$B143,$B159&lt;&gt;$B144,$B160&lt;&gt;$B145,$B161&lt;&gt;$B146,$B162&lt;&gt;$B147,$B163&lt;&gt;$B148),IF($B157&lt;&gt;$B142,T142/INDEX($C138:$AJ148,5,MATCH(IF('Data-solution'!$A$3="Maximize",MAX($C149:$AI149),MIN($C149:$AI149)),$C149:$AI149,0)),T142-INDEX($C138:$AJ148,5,MATCH(IF('Data-solution'!$A$3="Maximize",MAX($C149:$AI149),MIN($C149:$AI149)),$C149:$AI149,0))*INDEX(T138:$AJ148,MATCH(MIN($AK138:$AK148),$AK138:$AK148,0),1)/INDEX($C138:$AJ148,MATCH(MIN($AK138:$AK148),$AK138:$AK148,0),MATCH(IF('Data-solution'!$A$3="Maximize",MAX($C149:$AI149),MIN($C149:$AI149)),$C149:$AI149,0))),T142)</f>
        <v>0</v>
      </c>
      <c r="U157" s="1">
        <f>IF(OR($B153&lt;&gt;$B138,$B154&lt;&gt;$B139,$B155&lt;&gt;$B140,$B156&lt;&gt;$B141,$B157&lt;&gt;$B142,$B158&lt;&gt;$B143,$B159&lt;&gt;$B144,$B160&lt;&gt;$B145,$B161&lt;&gt;$B146,$B162&lt;&gt;$B147,$B163&lt;&gt;$B148),IF($B157&lt;&gt;$B142,U142/INDEX($C138:$AJ148,5,MATCH(IF('Data-solution'!$A$3="Maximize",MAX($C149:$AI149),MIN($C149:$AI149)),$C149:$AI149,0)),U142-INDEX($C138:$AJ148,5,MATCH(IF('Data-solution'!$A$3="Maximize",MAX($C149:$AI149),MIN($C149:$AI149)),$C149:$AI149,0))*INDEX(U138:$AJ148,MATCH(MIN($AK138:$AK148),$AK138:$AK148,0),1)/INDEX($C138:$AJ148,MATCH(MIN($AK138:$AK148),$AK138:$AK148,0),MATCH(IF('Data-solution'!$A$3="Maximize",MAX($C149:$AI149),MIN($C149:$AI149)),$C149:$AI149,0))),U142)</f>
        <v>0</v>
      </c>
      <c r="V157" s="1">
        <f>IF(OR($B153&lt;&gt;$B138,$B154&lt;&gt;$B139,$B155&lt;&gt;$B140,$B156&lt;&gt;$B141,$B157&lt;&gt;$B142,$B158&lt;&gt;$B143,$B159&lt;&gt;$B144,$B160&lt;&gt;$B145,$B161&lt;&gt;$B146,$B162&lt;&gt;$B147,$B163&lt;&gt;$B148),IF($B157&lt;&gt;$B142,V142/INDEX($C138:$AJ148,5,MATCH(IF('Data-solution'!$A$3="Maximize",MAX($C149:$AI149),MIN($C149:$AI149)),$C149:$AI149,0)),V142-INDEX($C138:$AJ148,5,MATCH(IF('Data-solution'!$A$3="Maximize",MAX($C149:$AI149),MIN($C149:$AI149)),$C149:$AI149,0))*INDEX(V138:$AJ148,MATCH(MIN($AK138:$AK148),$AK138:$AK148,0),1)/INDEX($C138:$AJ148,MATCH(MIN($AK138:$AK148),$AK138:$AK148,0),MATCH(IF('Data-solution'!$A$3="Maximize",MAX($C149:$AI149),MIN($C149:$AI149)),$C149:$AI149,0))),V142)</f>
        <v>0</v>
      </c>
      <c r="W157" s="1">
        <f>IF(OR($B153&lt;&gt;$B138,$B154&lt;&gt;$B139,$B155&lt;&gt;$B140,$B156&lt;&gt;$B141,$B157&lt;&gt;$B142,$B158&lt;&gt;$B143,$B159&lt;&gt;$B144,$B160&lt;&gt;$B145,$B161&lt;&gt;$B146,$B162&lt;&gt;$B147,$B163&lt;&gt;$B148),IF($B157&lt;&gt;$B142,W142/INDEX($C138:$AJ148,5,MATCH(IF('Data-solution'!$A$3="Maximize",MAX($C149:$AI149),MIN($C149:$AI149)),$C149:$AI149,0)),W142-INDEX($C138:$AJ148,5,MATCH(IF('Data-solution'!$A$3="Maximize",MAX($C149:$AI149),MIN($C149:$AI149)),$C149:$AI149,0))*INDEX(W138:$AJ148,MATCH(MIN($AK138:$AK148),$AK138:$AK148,0),1)/INDEX($C138:$AJ148,MATCH(MIN($AK138:$AK148),$AK138:$AK148,0),MATCH(IF('Data-solution'!$A$3="Maximize",MAX($C149:$AI149),MIN($C149:$AI149)),$C149:$AI149,0))),W142)</f>
        <v>0</v>
      </c>
      <c r="X157" s="1">
        <f>IF(OR($B153&lt;&gt;$B138,$B154&lt;&gt;$B139,$B155&lt;&gt;$B140,$B156&lt;&gt;$B141,$B157&lt;&gt;$B142,$B158&lt;&gt;$B143,$B159&lt;&gt;$B144,$B160&lt;&gt;$B145,$B161&lt;&gt;$B146,$B162&lt;&gt;$B147,$B163&lt;&gt;$B148),IF($B157&lt;&gt;$B142,X142/INDEX($C138:$AJ148,5,MATCH(IF('Data-solution'!$A$3="Maximize",MAX($C149:$AI149),MIN($C149:$AI149)),$C149:$AI149,0)),X142-INDEX($C138:$AJ148,5,MATCH(IF('Data-solution'!$A$3="Maximize",MAX($C149:$AI149),MIN($C149:$AI149)),$C149:$AI149,0))*INDEX(X138:$AJ148,MATCH(MIN($AK138:$AK148),$AK138:$AK148,0),1)/INDEX($C138:$AJ148,MATCH(MIN($AK138:$AK148),$AK138:$AK148,0),MATCH(IF('Data-solution'!$A$3="Maximize",MAX($C149:$AI149),MIN($C149:$AI149)),$C149:$AI149,0))),X142)</f>
        <v>0</v>
      </c>
      <c r="Y157" s="1">
        <f>IF(OR($B153&lt;&gt;$B138,$B154&lt;&gt;$B139,$B155&lt;&gt;$B140,$B156&lt;&gt;$B141,$B157&lt;&gt;$B142,$B158&lt;&gt;$B143,$B159&lt;&gt;$B144,$B160&lt;&gt;$B145,$B161&lt;&gt;$B146,$B162&lt;&gt;$B147,$B163&lt;&gt;$B148),IF($B157&lt;&gt;$B142,Y142/INDEX($C138:$AJ148,5,MATCH(IF('Data-solution'!$A$3="Maximize",MAX($C149:$AI149),MIN($C149:$AI149)),$C149:$AI149,0)),Y142-INDEX($C138:$AJ148,5,MATCH(IF('Data-solution'!$A$3="Maximize",MAX($C149:$AI149),MIN($C149:$AI149)),$C149:$AI149,0))*INDEX(Y138:$AJ148,MATCH(MIN($AK138:$AK148),$AK138:$AK148,0),1)/INDEX($C138:$AJ148,MATCH(MIN($AK138:$AK148),$AK138:$AK148,0),MATCH(IF('Data-solution'!$A$3="Maximize",MAX($C149:$AI149),MIN($C149:$AI149)),$C149:$AI149,0))),Y142)</f>
        <v>0</v>
      </c>
      <c r="Z157" s="1">
        <f>IF(OR($B153&lt;&gt;$B138,$B154&lt;&gt;$B139,$B155&lt;&gt;$B140,$B156&lt;&gt;$B141,$B157&lt;&gt;$B142,$B158&lt;&gt;$B143,$B159&lt;&gt;$B144,$B160&lt;&gt;$B145,$B161&lt;&gt;$B146,$B162&lt;&gt;$B147,$B163&lt;&gt;$B148),IF($B157&lt;&gt;$B142,Z142/INDEX($C138:$AJ148,5,MATCH(IF('Data-solution'!$A$3="Maximize",MAX($C149:$AI149),MIN($C149:$AI149)),$C149:$AI149,0)),Z142-INDEX($C138:$AJ148,5,MATCH(IF('Data-solution'!$A$3="Maximize",MAX($C149:$AI149),MIN($C149:$AI149)),$C149:$AI149,0))*INDEX(Z138:$AJ148,MATCH(MIN($AK138:$AK148),$AK138:$AK148,0),1)/INDEX($C138:$AJ148,MATCH(MIN($AK138:$AK148),$AK138:$AK148,0),MATCH(IF('Data-solution'!$A$3="Maximize",MAX($C149:$AI149),MIN($C149:$AI149)),$C149:$AI149,0))),Z142)</f>
        <v>0</v>
      </c>
      <c r="AA157" s="1">
        <f>IF(OR($B153&lt;&gt;$B138,$B154&lt;&gt;$B139,$B155&lt;&gt;$B140,$B156&lt;&gt;$B141,$B157&lt;&gt;$B142,$B158&lt;&gt;$B143,$B159&lt;&gt;$B144,$B160&lt;&gt;$B145,$B161&lt;&gt;$B146,$B162&lt;&gt;$B147,$B163&lt;&gt;$B148),IF($B157&lt;&gt;$B142,AA142/INDEX($C138:$AJ148,5,MATCH(IF('Data-solution'!$A$3="Maximize",MAX($C149:$AI149),MIN($C149:$AI149)),$C149:$AI149,0)),AA142-INDEX($C138:$AJ148,5,MATCH(IF('Data-solution'!$A$3="Maximize",MAX($C149:$AI149),MIN($C149:$AI149)),$C149:$AI149,0))*INDEX(AA138:$AJ148,MATCH(MIN($AK138:$AK148),$AK138:$AK148,0),1)/INDEX($C138:$AJ148,MATCH(MIN($AK138:$AK148),$AK138:$AK148,0),MATCH(IF('Data-solution'!$A$3="Maximize",MAX($C149:$AI149),MIN($C149:$AI149)),$C149:$AI149,0))),AA142)</f>
        <v>0</v>
      </c>
      <c r="AB157" s="1">
        <f>IF(OR($B153&lt;&gt;$B138,$B154&lt;&gt;$B139,$B155&lt;&gt;$B140,$B156&lt;&gt;$B141,$B157&lt;&gt;$B142,$B158&lt;&gt;$B143,$B159&lt;&gt;$B144,$B160&lt;&gt;$B145,$B161&lt;&gt;$B146,$B162&lt;&gt;$B147,$B163&lt;&gt;$B148),IF($B157&lt;&gt;$B142,AB142/INDEX($C138:$AJ148,5,MATCH(IF('Data-solution'!$A$3="Maximize",MAX($C149:$AI149),MIN($C149:$AI149)),$C149:$AI149,0)),AB142-INDEX($C138:$AJ148,5,MATCH(IF('Data-solution'!$A$3="Maximize",MAX($C149:$AI149),MIN($C149:$AI149)),$C149:$AI149,0))*INDEX(AB138:$AJ148,MATCH(MIN($AK138:$AK148),$AK138:$AK148,0),1)/INDEX($C138:$AJ148,MATCH(MIN($AK138:$AK148),$AK138:$AK148,0),MATCH(IF('Data-solution'!$A$3="Maximize",MAX($C149:$AI149),MIN($C149:$AI149)),$C149:$AI149,0))),AB142)</f>
        <v>0</v>
      </c>
      <c r="AC157" s="1">
        <f>IF(OR($B153&lt;&gt;$B138,$B154&lt;&gt;$B139,$B155&lt;&gt;$B140,$B156&lt;&gt;$B141,$B157&lt;&gt;$B142,$B158&lt;&gt;$B143,$B159&lt;&gt;$B144,$B160&lt;&gt;$B145,$B161&lt;&gt;$B146,$B162&lt;&gt;$B147,$B163&lt;&gt;$B148),IF($B157&lt;&gt;$B142,AC142/INDEX($C138:$AJ148,5,MATCH(IF('Data-solution'!$A$3="Maximize",MAX($C149:$AI149),MIN($C149:$AI149)),$C149:$AI149,0)),AC142-INDEX($C138:$AJ148,5,MATCH(IF('Data-solution'!$A$3="Maximize",MAX($C149:$AI149),MIN($C149:$AI149)),$C149:$AI149,0))*INDEX(AC138:$AJ148,MATCH(MIN($AK138:$AK148),$AK138:$AK148,0),1)/INDEX($C138:$AJ148,MATCH(MIN($AK138:$AK148),$AK138:$AK148,0),MATCH(IF('Data-solution'!$A$3="Maximize",MAX($C149:$AI149),MIN($C149:$AI149)),$C149:$AI149,0))),AC142)</f>
        <v>1</v>
      </c>
      <c r="AD157" s="1">
        <f>IF(OR($B153&lt;&gt;$B138,$B154&lt;&gt;$B139,$B155&lt;&gt;$B140,$B156&lt;&gt;$B141,$B157&lt;&gt;$B142,$B158&lt;&gt;$B143,$B159&lt;&gt;$B144,$B160&lt;&gt;$B145,$B161&lt;&gt;$B146,$B162&lt;&gt;$B147,$B163&lt;&gt;$B148),IF($B157&lt;&gt;$B142,AD142/INDEX($C138:$AJ148,5,MATCH(IF('Data-solution'!$A$3="Maximize",MAX($C149:$AI149),MIN($C149:$AI149)),$C149:$AI149,0)),AD142-INDEX($C138:$AJ148,5,MATCH(IF('Data-solution'!$A$3="Maximize",MAX($C149:$AI149),MIN($C149:$AI149)),$C149:$AI149,0))*INDEX(AD138:$AJ148,MATCH(MIN($AK138:$AK148),$AK138:$AK148,0),1)/INDEX($C138:$AJ148,MATCH(MIN($AK138:$AK148),$AK138:$AK148,0),MATCH(IF('Data-solution'!$A$3="Maximize",MAX($C149:$AI149),MIN($C149:$AI149)),$C149:$AI149,0))),AD142)</f>
        <v>0</v>
      </c>
      <c r="AE157" s="1">
        <f>IF(OR($B153&lt;&gt;$B138,$B154&lt;&gt;$B139,$B155&lt;&gt;$B140,$B156&lt;&gt;$B141,$B157&lt;&gt;$B142,$B158&lt;&gt;$B143,$B159&lt;&gt;$B144,$B160&lt;&gt;$B145,$B161&lt;&gt;$B146,$B162&lt;&gt;$B147,$B163&lt;&gt;$B148),IF($B157&lt;&gt;$B142,AE142/INDEX($C138:$AJ148,5,MATCH(IF('Data-solution'!$A$3="Maximize",MAX($C149:$AI149),MIN($C149:$AI149)),$C149:$AI149,0)),AE142-INDEX($C138:$AJ148,5,MATCH(IF('Data-solution'!$A$3="Maximize",MAX($C149:$AI149),MIN($C149:$AI149)),$C149:$AI149,0))*INDEX(AE138:$AJ148,MATCH(MIN($AK138:$AK148),$AK138:$AK148,0),1)/INDEX($C138:$AJ148,MATCH(MIN($AK138:$AK148),$AK138:$AK148,0),MATCH(IF('Data-solution'!$A$3="Maximize",MAX($C149:$AI149),MIN($C149:$AI149)),$C149:$AI149,0))),AE142)</f>
        <v>0</v>
      </c>
      <c r="AF157" s="1">
        <f>IF(OR($B153&lt;&gt;$B138,$B154&lt;&gt;$B139,$B155&lt;&gt;$B140,$B156&lt;&gt;$B141,$B157&lt;&gt;$B142,$B158&lt;&gt;$B143,$B159&lt;&gt;$B144,$B160&lt;&gt;$B145,$B161&lt;&gt;$B146,$B162&lt;&gt;$B147,$B163&lt;&gt;$B148),IF($B157&lt;&gt;$B142,AF142/INDEX($C138:$AJ148,5,MATCH(IF('Data-solution'!$A$3="Maximize",MAX($C149:$AI149),MIN($C149:$AI149)),$C149:$AI149,0)),AF142-INDEX($C138:$AJ148,5,MATCH(IF('Data-solution'!$A$3="Maximize",MAX($C149:$AI149),MIN($C149:$AI149)),$C149:$AI149,0))*INDEX(AF138:$AJ148,MATCH(MIN($AK138:$AK148),$AK138:$AK148,0),1)/INDEX($C138:$AJ148,MATCH(MIN($AK138:$AK148),$AK138:$AK148,0),MATCH(IF('Data-solution'!$A$3="Maximize",MAX($C149:$AI149),MIN($C149:$AI149)),$C149:$AI149,0))),AF142)</f>
        <v>0</v>
      </c>
      <c r="AG157" s="1">
        <f>IF(OR($B153&lt;&gt;$B138,$B154&lt;&gt;$B139,$B155&lt;&gt;$B140,$B156&lt;&gt;$B141,$B157&lt;&gt;$B142,$B158&lt;&gt;$B143,$B159&lt;&gt;$B144,$B160&lt;&gt;$B145,$B161&lt;&gt;$B146,$B162&lt;&gt;$B147,$B163&lt;&gt;$B148),IF($B157&lt;&gt;$B142,AG142/INDEX($C138:$AJ148,5,MATCH(IF('Data-solution'!$A$3="Maximize",MAX($C149:$AI149),MIN($C149:$AI149)),$C149:$AI149,0)),AG142-INDEX($C138:$AJ148,5,MATCH(IF('Data-solution'!$A$3="Maximize",MAX($C149:$AI149),MIN($C149:$AI149)),$C149:$AI149,0))*INDEX(AG138:$AJ148,MATCH(MIN($AK138:$AK148),$AK138:$AK148,0),1)/INDEX($C138:$AJ148,MATCH(MIN($AK138:$AK148),$AK138:$AK148,0),MATCH(IF('Data-solution'!$A$3="Maximize",MAX($C149:$AI149),MIN($C149:$AI149)),$C149:$AI149,0))),AG142)</f>
        <v>0</v>
      </c>
      <c r="AH157" s="1">
        <f>IF(OR($B153&lt;&gt;$B138,$B154&lt;&gt;$B139,$B155&lt;&gt;$B140,$B156&lt;&gt;$B141,$B157&lt;&gt;$B142,$B158&lt;&gt;$B143,$B159&lt;&gt;$B144,$B160&lt;&gt;$B145,$B161&lt;&gt;$B146,$B162&lt;&gt;$B147,$B163&lt;&gt;$B148),IF($B157&lt;&gt;$B142,AH142/INDEX($C138:$AJ148,5,MATCH(IF('Data-solution'!$A$3="Maximize",MAX($C149:$AI149),MIN($C149:$AI149)),$C149:$AI149,0)),AH142-INDEX($C138:$AJ148,5,MATCH(IF('Data-solution'!$A$3="Maximize",MAX($C149:$AI149),MIN($C149:$AI149)),$C149:$AI149,0))*INDEX(AH138:$AJ148,MATCH(MIN($AK138:$AK148),$AK138:$AK148,0),1)/INDEX($C138:$AJ148,MATCH(MIN($AK138:$AK148),$AK138:$AK148,0),MATCH(IF('Data-solution'!$A$3="Maximize",MAX($C149:$AI149),MIN($C149:$AI149)),$C149:$AI149,0))),AH142)</f>
        <v>0</v>
      </c>
      <c r="AI157" s="1">
        <f>IF(OR($B153&lt;&gt;$B138,$B154&lt;&gt;$B139,$B155&lt;&gt;$B140,$B156&lt;&gt;$B141,$B157&lt;&gt;$B142,$B158&lt;&gt;$B143,$B159&lt;&gt;$B144,$B160&lt;&gt;$B145,$B161&lt;&gt;$B146,$B162&lt;&gt;$B147,$B163&lt;&gt;$B148),IF($B157&lt;&gt;$B142,AI142/INDEX($C138:$AJ148,5,MATCH(IF('Data-solution'!$A$3="Maximize",MAX($C149:$AI149),MIN($C149:$AI149)),$C149:$AI149,0)),AI142-INDEX($C138:$AJ148,5,MATCH(IF('Data-solution'!$A$3="Maximize",MAX($C149:$AI149),MIN($C149:$AI149)),$C149:$AI149,0))*INDEX(AI138:$AJ148,MATCH(MIN($AK138:$AK148),$AK138:$AK148,0),1)/INDEX($C138:$AJ148,MATCH(MIN($AK138:$AK148),$AK138:$AK148,0),MATCH(IF('Data-solution'!$A$3="Maximize",MAX($C149:$AI149),MIN($C149:$AI149)),$C149:$AI149,0))),AI142)</f>
        <v>0</v>
      </c>
      <c r="AJ157" s="1">
        <f>IF(OR($B153&lt;&gt;$B138,$B154&lt;&gt;$B139,$B155&lt;&gt;$B140,$B156&lt;&gt;$B141,$B157&lt;&gt;$B142,$B158&lt;&gt;$B143,$B159&lt;&gt;$B144,$B160&lt;&gt;$B145,$B161&lt;&gt;$B146,$B162&lt;&gt;$B147,$B163&lt;&gt;$B148),IF($B157&lt;&gt;$B142,AJ142/INDEX($C138:$AJ148,5,MATCH(IF('Data-solution'!$A$3="Maximize",MAX($C149:$AI149),MIN($C149:$AI149)),$C149:$AI149,0)),AJ142-INDEX($C138:$AJ148,5,MATCH(IF('Data-solution'!$A$3="Maximize",MAX($C149:$AI149),MIN($C149:$AI149)),$C149:$AI149,0))*INDEX(AJ138:$AJ148,MATCH(MIN($AK138:$AK148),$AK138:$AK148,0),1)/INDEX($C138:$AJ148,MATCH(MIN($AK138:$AK148),$AK138:$AK148,0),MATCH(IF('Data-solution'!$A$3="Maximize",MAX($C149:$AI149),MIN($C149:$AI149)),$C149:$AI149,0))),AJ142)</f>
        <v>0</v>
      </c>
      <c r="AK157" s="1" t="str">
        <f>IF(INDEX(C157:X157,1,MATCH(IF('Data-solution'!A$3="Maximize",MAX(C164:X164),MIN(C164:X164)),C164:X164,0))&gt;0,AJ157/INDEX(C157:X157,1,MATCH(IF('Data-solution'!A$3="Maximize",MAX(C164:X164),MIN(C164:X164)),C164:X164,0))," ")</f>
        <v xml:space="preserve"> </v>
      </c>
    </row>
    <row r="158" spans="1:37" ht="18" customHeight="1" x14ac:dyDescent="0.2">
      <c r="A158" s="1">
        <f t="shared" ref="A158" si="129">INDEX(C151:AI151,1,MATCH(B158,C152:AI152,0))</f>
        <v>0</v>
      </c>
      <c r="B158" s="2" t="str">
        <f>IF(AND('Data-solution'!A$3="Maximize",COUNTIF(C149:X149,"&gt;"&amp;0)&gt;0,AK143=MIN(AK138:AK148),COUNTIF(B153:B157,INDEX(C137:X137,1,MATCH(MAX(C149:X149),C149:X149,0)))=0),INDEX(C137:X137,1,MATCH(MAX(C149:X149),C149:X149,0)),IF(AND('Data-solution'!A$3="Minimize",COUNTIF(C149:X149,"&lt;"&amp;0)&gt;0,AK143=MIN(AK138:AK148),COUNTIF(B153:B157,INDEX(C137:X137,1,MATCH(MIN(C149:X149),C149:X149,0)))=0),INDEX(C137:X137,1,MATCH(MIN(C149:X149),C149:X149,0)),B143))</f>
        <v>S6</v>
      </c>
      <c r="C158" s="1">
        <f>IF(OR($B153&lt;&gt;$B138,$B154&lt;&gt;$B139,$B155&lt;&gt;$B140,$B156&lt;&gt;$B141,$B157&lt;&gt;$B142,$B158&lt;&gt;$B143,$B159&lt;&gt;$B144,$B160&lt;&gt;$B145,$B161&lt;&gt;$B146,$B162&lt;&gt;$B147,$B163&lt;&gt;$B148),IF($B158&lt;&gt;$B143,C143/INDEX($C138:$AJ148,6,MATCH(IF('Data-solution'!$A$3="Maximize",MAX($C149:$AI149),MIN($C149:$AI149)),$C149:$AI149,0)),C143-INDEX($C138:$AJ148,6,MATCH(IF('Data-solution'!$A$3="Maximize",MAX($C149:$AI149),MIN($C149:$AI149)),$C149:$AI149,0))*INDEX(C138:$AJ148,MATCH(MIN($AK138:$AK148),$AK138:$AK148,0),1)/INDEX($C138:$AJ148,MATCH(MIN($AK138:$AK148),$AK138:$AK148,0),MATCH(IF('Data-solution'!$A$3="Maximize",MAX($C149:$AI149),MIN($C149:$AI149)),$C149:$AI149,0))),C143)</f>
        <v>0</v>
      </c>
      <c r="D158" s="1">
        <f>IF(OR($B153&lt;&gt;$B138,$B154&lt;&gt;$B139,$B155&lt;&gt;$B140,$B156&lt;&gt;$B141,$B157&lt;&gt;$B142,$B158&lt;&gt;$B143,$B159&lt;&gt;$B144,$B160&lt;&gt;$B145,$B161&lt;&gt;$B146,$B162&lt;&gt;$B147,$B163&lt;&gt;$B148),IF($B158&lt;&gt;$B143,D143/INDEX($C138:$AJ148,6,MATCH(IF('Data-solution'!$A$3="Maximize",MAX($C149:$AI149),MIN($C149:$AI149)),$C149:$AI149,0)),D143-INDEX($C138:$AJ148,6,MATCH(IF('Data-solution'!$A$3="Maximize",MAX($C149:$AI149),MIN($C149:$AI149)),$C149:$AI149,0))*INDEX(D138:$AJ148,MATCH(MIN($AK138:$AK148),$AK138:$AK148,0),1)/INDEX($C138:$AJ148,MATCH(MIN($AK138:$AK148),$AK138:$AK148,0),MATCH(IF('Data-solution'!$A$3="Maximize",MAX($C149:$AI149),MIN($C149:$AI149)),$C149:$AI149,0))),D143)</f>
        <v>0</v>
      </c>
      <c r="E158" s="1">
        <f>IF(OR($B153&lt;&gt;$B138,$B154&lt;&gt;$B139,$B155&lt;&gt;$B140,$B156&lt;&gt;$B141,$B157&lt;&gt;$B142,$B158&lt;&gt;$B143,$B159&lt;&gt;$B144,$B160&lt;&gt;$B145,$B161&lt;&gt;$B146,$B162&lt;&gt;$B147,$B163&lt;&gt;$B148),IF($B158&lt;&gt;$B143,E143/INDEX($C138:$AJ148,6,MATCH(IF('Data-solution'!$A$3="Maximize",MAX($C149:$AI149),MIN($C149:$AI149)),$C149:$AI149,0)),E143-INDEX($C138:$AJ148,6,MATCH(IF('Data-solution'!$A$3="Maximize",MAX($C149:$AI149),MIN($C149:$AI149)),$C149:$AI149,0))*INDEX(E138:$AJ148,MATCH(MIN($AK138:$AK148),$AK138:$AK148,0),1)/INDEX($C138:$AJ148,MATCH(MIN($AK138:$AK148),$AK138:$AK148,0),MATCH(IF('Data-solution'!$A$3="Maximize",MAX($C149:$AI149),MIN($C149:$AI149)),$C149:$AI149,0))),E143)</f>
        <v>0</v>
      </c>
      <c r="F158" s="1">
        <f>IF(OR($B153&lt;&gt;$B138,$B154&lt;&gt;$B139,$B155&lt;&gt;$B140,$B156&lt;&gt;$B141,$B157&lt;&gt;$B142,$B158&lt;&gt;$B143,$B159&lt;&gt;$B144,$B160&lt;&gt;$B145,$B161&lt;&gt;$B146,$B162&lt;&gt;$B147,$B163&lt;&gt;$B148),IF($B158&lt;&gt;$B143,F143/INDEX($C138:$AJ148,6,MATCH(IF('Data-solution'!$A$3="Maximize",MAX($C149:$AI149),MIN($C149:$AI149)),$C149:$AI149,0)),F143-INDEX($C138:$AJ148,6,MATCH(IF('Data-solution'!$A$3="Maximize",MAX($C149:$AI149),MIN($C149:$AI149)),$C149:$AI149,0))*INDEX(F138:$AJ148,MATCH(MIN($AK138:$AK148),$AK138:$AK148,0),1)/INDEX($C138:$AJ148,MATCH(MIN($AK138:$AK148),$AK138:$AK148,0),MATCH(IF('Data-solution'!$A$3="Maximize",MAX($C149:$AI149),MIN($C149:$AI149)),$C149:$AI149,0))),F143)</f>
        <v>0</v>
      </c>
      <c r="G158" s="1">
        <f>IF(OR($B153&lt;&gt;$B138,$B154&lt;&gt;$B139,$B155&lt;&gt;$B140,$B156&lt;&gt;$B141,$B157&lt;&gt;$B142,$B158&lt;&gt;$B143,$B159&lt;&gt;$B144,$B160&lt;&gt;$B145,$B161&lt;&gt;$B146,$B162&lt;&gt;$B147,$B163&lt;&gt;$B148),IF($B158&lt;&gt;$B143,G143/INDEX($C138:$AJ148,6,MATCH(IF('Data-solution'!$A$3="Maximize",MAX($C149:$AI149),MIN($C149:$AI149)),$C149:$AI149,0)),G143-INDEX($C138:$AJ148,6,MATCH(IF('Data-solution'!$A$3="Maximize",MAX($C149:$AI149),MIN($C149:$AI149)),$C149:$AI149,0))*INDEX(G138:$AJ148,MATCH(MIN($AK138:$AK148),$AK138:$AK148,0),1)/INDEX($C138:$AJ148,MATCH(MIN($AK138:$AK148),$AK138:$AK148,0),MATCH(IF('Data-solution'!$A$3="Maximize",MAX($C149:$AI149),MIN($C149:$AI149)),$C149:$AI149,0))),G143)</f>
        <v>0</v>
      </c>
      <c r="H158" s="1">
        <f>IF(OR($B153&lt;&gt;$B138,$B154&lt;&gt;$B139,$B155&lt;&gt;$B140,$B156&lt;&gt;$B141,$B157&lt;&gt;$B142,$B158&lt;&gt;$B143,$B159&lt;&gt;$B144,$B160&lt;&gt;$B145,$B161&lt;&gt;$B146,$B162&lt;&gt;$B147,$B163&lt;&gt;$B148),IF($B158&lt;&gt;$B143,H143/INDEX($C138:$AJ148,6,MATCH(IF('Data-solution'!$A$3="Maximize",MAX($C149:$AI149),MIN($C149:$AI149)),$C149:$AI149,0)),H143-INDEX($C138:$AJ148,6,MATCH(IF('Data-solution'!$A$3="Maximize",MAX($C149:$AI149),MIN($C149:$AI149)),$C149:$AI149,0))*INDEX(H138:$AJ148,MATCH(MIN($AK138:$AK148),$AK138:$AK148,0),1)/INDEX($C138:$AJ148,MATCH(MIN($AK138:$AK148),$AK138:$AK148,0),MATCH(IF('Data-solution'!$A$3="Maximize",MAX($C149:$AI149),MIN($C149:$AI149)),$C149:$AI149,0))),H143)</f>
        <v>0</v>
      </c>
      <c r="I158" s="1">
        <f>IF(OR($B153&lt;&gt;$B138,$B154&lt;&gt;$B139,$B155&lt;&gt;$B140,$B156&lt;&gt;$B141,$B157&lt;&gt;$B142,$B158&lt;&gt;$B143,$B159&lt;&gt;$B144,$B160&lt;&gt;$B145,$B161&lt;&gt;$B146,$B162&lt;&gt;$B147,$B163&lt;&gt;$B148),IF($B158&lt;&gt;$B143,I143/INDEX($C138:$AJ148,6,MATCH(IF('Data-solution'!$A$3="Maximize",MAX($C149:$AI149),MIN($C149:$AI149)),$C149:$AI149,0)),I143-INDEX($C138:$AJ148,6,MATCH(IF('Data-solution'!$A$3="Maximize",MAX($C149:$AI149),MIN($C149:$AI149)),$C149:$AI149,0))*INDEX(I138:$AJ148,MATCH(MIN($AK138:$AK148),$AK138:$AK148,0),1)/INDEX($C138:$AJ148,MATCH(MIN($AK138:$AK148),$AK138:$AK148,0),MATCH(IF('Data-solution'!$A$3="Maximize",MAX($C149:$AI149),MIN($C149:$AI149)),$C149:$AI149,0))),I143)</f>
        <v>0</v>
      </c>
      <c r="J158" s="1">
        <f>IF(OR($B153&lt;&gt;$B138,$B154&lt;&gt;$B139,$B155&lt;&gt;$B140,$B156&lt;&gt;$B141,$B157&lt;&gt;$B142,$B158&lt;&gt;$B143,$B159&lt;&gt;$B144,$B160&lt;&gt;$B145,$B161&lt;&gt;$B146,$B162&lt;&gt;$B147,$B163&lt;&gt;$B148),IF($B158&lt;&gt;$B143,J143/INDEX($C138:$AJ148,6,MATCH(IF('Data-solution'!$A$3="Maximize",MAX($C149:$AI149),MIN($C149:$AI149)),$C149:$AI149,0)),J143-INDEX($C138:$AJ148,6,MATCH(IF('Data-solution'!$A$3="Maximize",MAX($C149:$AI149),MIN($C149:$AI149)),$C149:$AI149,0))*INDEX(J138:$AJ148,MATCH(MIN($AK138:$AK148),$AK138:$AK148,0),1)/INDEX($C138:$AJ148,MATCH(MIN($AK138:$AK148),$AK138:$AK148,0),MATCH(IF('Data-solution'!$A$3="Maximize",MAX($C149:$AI149),MIN($C149:$AI149)),$C149:$AI149,0))),J143)</f>
        <v>0</v>
      </c>
      <c r="K158" s="1">
        <f>IF(OR($B153&lt;&gt;$B138,$B154&lt;&gt;$B139,$B155&lt;&gt;$B140,$B156&lt;&gt;$B141,$B157&lt;&gt;$B142,$B158&lt;&gt;$B143,$B159&lt;&gt;$B144,$B160&lt;&gt;$B145,$B161&lt;&gt;$B146,$B162&lt;&gt;$B147,$B163&lt;&gt;$B148),IF($B158&lt;&gt;$B143,K143/INDEX($C138:$AJ148,6,MATCH(IF('Data-solution'!$A$3="Maximize",MAX($C149:$AI149),MIN($C149:$AI149)),$C149:$AI149,0)),K143-INDEX($C138:$AJ148,6,MATCH(IF('Data-solution'!$A$3="Maximize",MAX($C149:$AI149),MIN($C149:$AI149)),$C149:$AI149,0))*INDEX(K138:$AJ148,MATCH(MIN($AK138:$AK148),$AK138:$AK148,0),1)/INDEX($C138:$AJ148,MATCH(MIN($AK138:$AK148),$AK138:$AK148,0),MATCH(IF('Data-solution'!$A$3="Maximize",MAX($C149:$AI149),MIN($C149:$AI149)),$C149:$AI149,0))),K143)</f>
        <v>0</v>
      </c>
      <c r="L158" s="1">
        <f>IF(OR($B153&lt;&gt;$B138,$B154&lt;&gt;$B139,$B155&lt;&gt;$B140,$B156&lt;&gt;$B141,$B157&lt;&gt;$B142,$B158&lt;&gt;$B143,$B159&lt;&gt;$B144,$B160&lt;&gt;$B145,$B161&lt;&gt;$B146,$B162&lt;&gt;$B147,$B163&lt;&gt;$B148),IF($B158&lt;&gt;$B143,L143/INDEX($C138:$AJ148,6,MATCH(IF('Data-solution'!$A$3="Maximize",MAX($C149:$AI149),MIN($C149:$AI149)),$C149:$AI149,0)),L143-INDEX($C138:$AJ148,6,MATCH(IF('Data-solution'!$A$3="Maximize",MAX($C149:$AI149),MIN($C149:$AI149)),$C149:$AI149,0))*INDEX(L138:$AJ148,MATCH(MIN($AK138:$AK148),$AK138:$AK148,0),1)/INDEX($C138:$AJ148,MATCH(MIN($AK138:$AK148),$AK138:$AK148,0),MATCH(IF('Data-solution'!$A$3="Maximize",MAX($C149:$AI149),MIN($C149:$AI149)),$C149:$AI149,0))),L143)</f>
        <v>0</v>
      </c>
      <c r="M158" s="1">
        <f>IF(OR($B153&lt;&gt;$B138,$B154&lt;&gt;$B139,$B155&lt;&gt;$B140,$B156&lt;&gt;$B141,$B157&lt;&gt;$B142,$B158&lt;&gt;$B143,$B159&lt;&gt;$B144,$B160&lt;&gt;$B145,$B161&lt;&gt;$B146,$B162&lt;&gt;$B147,$B163&lt;&gt;$B148),IF($B158&lt;&gt;$B143,M143/INDEX($C138:$AJ148,6,MATCH(IF('Data-solution'!$A$3="Maximize",MAX($C149:$AI149),MIN($C149:$AI149)),$C149:$AI149,0)),M143-INDEX($C138:$AJ148,6,MATCH(IF('Data-solution'!$A$3="Maximize",MAX($C149:$AI149),MIN($C149:$AI149)),$C149:$AI149,0))*INDEX(M138:$AJ148,MATCH(MIN($AK138:$AK148),$AK138:$AK148,0),1)/INDEX($C138:$AJ148,MATCH(MIN($AK138:$AK148),$AK138:$AK148,0),MATCH(IF('Data-solution'!$A$3="Maximize",MAX($C149:$AI149),MIN($C149:$AI149)),$C149:$AI149,0))),M143)</f>
        <v>0</v>
      </c>
      <c r="N158" s="1">
        <f>IF(OR($B153&lt;&gt;$B138,$B154&lt;&gt;$B139,$B155&lt;&gt;$B140,$B156&lt;&gt;$B141,$B157&lt;&gt;$B142,$B158&lt;&gt;$B143,$B159&lt;&gt;$B144,$B160&lt;&gt;$B145,$B161&lt;&gt;$B146,$B162&lt;&gt;$B147,$B163&lt;&gt;$B148),IF($B158&lt;&gt;$B143,N143/INDEX($C138:$AJ148,6,MATCH(IF('Data-solution'!$A$3="Maximize",MAX($C149:$AI149),MIN($C149:$AI149)),$C149:$AI149,0)),N143-INDEX($C138:$AJ148,6,MATCH(IF('Data-solution'!$A$3="Maximize",MAX($C149:$AI149),MIN($C149:$AI149)),$C149:$AI149,0))*INDEX(N138:$AJ148,MATCH(MIN($AK138:$AK148),$AK138:$AK148,0),1)/INDEX($C138:$AJ148,MATCH(MIN($AK138:$AK148),$AK138:$AK148,0),MATCH(IF('Data-solution'!$A$3="Maximize",MAX($C149:$AI149),MIN($C149:$AI149)),$C149:$AI149,0))),N143)</f>
        <v>0</v>
      </c>
      <c r="O158" s="1">
        <f>IF(OR($B153&lt;&gt;$B138,$B154&lt;&gt;$B139,$B155&lt;&gt;$B140,$B156&lt;&gt;$B141,$B157&lt;&gt;$B142,$B158&lt;&gt;$B143,$B159&lt;&gt;$B144,$B160&lt;&gt;$B145,$B161&lt;&gt;$B146,$B162&lt;&gt;$B147,$B163&lt;&gt;$B148),IF($B158&lt;&gt;$B143,O143/INDEX($C138:$AJ148,6,MATCH(IF('Data-solution'!$A$3="Maximize",MAX($C149:$AI149),MIN($C149:$AI149)),$C149:$AI149,0)),O143-INDEX($C138:$AJ148,6,MATCH(IF('Data-solution'!$A$3="Maximize",MAX($C149:$AI149),MIN($C149:$AI149)),$C149:$AI149,0))*INDEX(O138:$AJ148,MATCH(MIN($AK138:$AK148),$AK138:$AK148,0),1)/INDEX($C138:$AJ148,MATCH(MIN($AK138:$AK148),$AK138:$AK148,0),MATCH(IF('Data-solution'!$A$3="Maximize",MAX($C149:$AI149),MIN($C149:$AI149)),$C149:$AI149,0))),O143)</f>
        <v>0</v>
      </c>
      <c r="P158" s="1">
        <f>IF(OR($B153&lt;&gt;$B138,$B154&lt;&gt;$B139,$B155&lt;&gt;$B140,$B156&lt;&gt;$B141,$B157&lt;&gt;$B142,$B158&lt;&gt;$B143,$B159&lt;&gt;$B144,$B160&lt;&gt;$B145,$B161&lt;&gt;$B146,$B162&lt;&gt;$B147,$B163&lt;&gt;$B148),IF($B158&lt;&gt;$B143,P143/INDEX($C138:$AJ148,6,MATCH(IF('Data-solution'!$A$3="Maximize",MAX($C149:$AI149),MIN($C149:$AI149)),$C149:$AI149,0)),P143-INDEX($C138:$AJ148,6,MATCH(IF('Data-solution'!$A$3="Maximize",MAX($C149:$AI149),MIN($C149:$AI149)),$C149:$AI149,0))*INDEX(P138:$AJ148,MATCH(MIN($AK138:$AK148),$AK138:$AK148,0),1)/INDEX($C138:$AJ148,MATCH(MIN($AK138:$AK148),$AK138:$AK148,0),MATCH(IF('Data-solution'!$A$3="Maximize",MAX($C149:$AI149),MIN($C149:$AI149)),$C149:$AI149,0))),P143)</f>
        <v>0</v>
      </c>
      <c r="Q158" s="1">
        <f>IF(OR($B153&lt;&gt;$B138,$B154&lt;&gt;$B139,$B155&lt;&gt;$B140,$B156&lt;&gt;$B141,$B157&lt;&gt;$B142,$B158&lt;&gt;$B143,$B159&lt;&gt;$B144,$B160&lt;&gt;$B145,$B161&lt;&gt;$B146,$B162&lt;&gt;$B147,$B163&lt;&gt;$B148),IF($B158&lt;&gt;$B143,Q143/INDEX($C138:$AJ148,6,MATCH(IF('Data-solution'!$A$3="Maximize",MAX($C149:$AI149),MIN($C149:$AI149)),$C149:$AI149,0)),Q143-INDEX($C138:$AJ148,6,MATCH(IF('Data-solution'!$A$3="Maximize",MAX($C149:$AI149),MIN($C149:$AI149)),$C149:$AI149,0))*INDEX(Q138:$AJ148,MATCH(MIN($AK138:$AK148),$AK138:$AK148,0),1)/INDEX($C138:$AJ148,MATCH(MIN($AK138:$AK148),$AK138:$AK148,0),MATCH(IF('Data-solution'!$A$3="Maximize",MAX($C149:$AI149),MIN($C149:$AI149)),$C149:$AI149,0))),Q143)</f>
        <v>0</v>
      </c>
      <c r="R158" s="1">
        <f>IF(OR($B153&lt;&gt;$B138,$B154&lt;&gt;$B139,$B155&lt;&gt;$B140,$B156&lt;&gt;$B141,$B157&lt;&gt;$B142,$B158&lt;&gt;$B143,$B159&lt;&gt;$B144,$B160&lt;&gt;$B145,$B161&lt;&gt;$B146,$B162&lt;&gt;$B147,$B163&lt;&gt;$B148),IF($B158&lt;&gt;$B143,R143/INDEX($C138:$AJ148,6,MATCH(IF('Data-solution'!$A$3="Maximize",MAX($C149:$AI149),MIN($C149:$AI149)),$C149:$AI149,0)),R143-INDEX($C138:$AJ148,6,MATCH(IF('Data-solution'!$A$3="Maximize",MAX($C149:$AI149),MIN($C149:$AI149)),$C149:$AI149,0))*INDEX(R138:$AJ148,MATCH(MIN($AK138:$AK148),$AK138:$AK148,0),1)/INDEX($C138:$AJ148,MATCH(MIN($AK138:$AK148),$AK138:$AK148,0),MATCH(IF('Data-solution'!$A$3="Maximize",MAX($C149:$AI149),MIN($C149:$AI149)),$C149:$AI149,0))),R143)</f>
        <v>0</v>
      </c>
      <c r="S158" s="1">
        <f>IF(OR($B153&lt;&gt;$B138,$B154&lt;&gt;$B139,$B155&lt;&gt;$B140,$B156&lt;&gt;$B141,$B157&lt;&gt;$B142,$B158&lt;&gt;$B143,$B159&lt;&gt;$B144,$B160&lt;&gt;$B145,$B161&lt;&gt;$B146,$B162&lt;&gt;$B147,$B163&lt;&gt;$B148),IF($B158&lt;&gt;$B143,S143/INDEX($C138:$AJ148,6,MATCH(IF('Data-solution'!$A$3="Maximize",MAX($C149:$AI149),MIN($C149:$AI149)),$C149:$AI149,0)),S143-INDEX($C138:$AJ148,6,MATCH(IF('Data-solution'!$A$3="Maximize",MAX($C149:$AI149),MIN($C149:$AI149)),$C149:$AI149,0))*INDEX(S138:$AJ148,MATCH(MIN($AK138:$AK148),$AK138:$AK148,0),1)/INDEX($C138:$AJ148,MATCH(MIN($AK138:$AK148),$AK138:$AK148,0),MATCH(IF('Data-solution'!$A$3="Maximize",MAX($C149:$AI149),MIN($C149:$AI149)),$C149:$AI149,0))),S143)</f>
        <v>1</v>
      </c>
      <c r="T158" s="1">
        <f>IF(OR($B153&lt;&gt;$B138,$B154&lt;&gt;$B139,$B155&lt;&gt;$B140,$B156&lt;&gt;$B141,$B157&lt;&gt;$B142,$B158&lt;&gt;$B143,$B159&lt;&gt;$B144,$B160&lt;&gt;$B145,$B161&lt;&gt;$B146,$B162&lt;&gt;$B147,$B163&lt;&gt;$B148),IF($B158&lt;&gt;$B143,T143/INDEX($C138:$AJ148,6,MATCH(IF('Data-solution'!$A$3="Maximize",MAX($C149:$AI149),MIN($C149:$AI149)),$C149:$AI149,0)),T143-INDEX($C138:$AJ148,6,MATCH(IF('Data-solution'!$A$3="Maximize",MAX($C149:$AI149),MIN($C149:$AI149)),$C149:$AI149,0))*INDEX(T138:$AJ148,MATCH(MIN($AK138:$AK148),$AK138:$AK148,0),1)/INDEX($C138:$AJ148,MATCH(MIN($AK138:$AK148),$AK138:$AK148,0),MATCH(IF('Data-solution'!$A$3="Maximize",MAX($C149:$AI149),MIN($C149:$AI149)),$C149:$AI149,0))),T143)</f>
        <v>0</v>
      </c>
      <c r="U158" s="1">
        <f>IF(OR($B153&lt;&gt;$B138,$B154&lt;&gt;$B139,$B155&lt;&gt;$B140,$B156&lt;&gt;$B141,$B157&lt;&gt;$B142,$B158&lt;&gt;$B143,$B159&lt;&gt;$B144,$B160&lt;&gt;$B145,$B161&lt;&gt;$B146,$B162&lt;&gt;$B147,$B163&lt;&gt;$B148),IF($B158&lt;&gt;$B143,U143/INDEX($C138:$AJ148,6,MATCH(IF('Data-solution'!$A$3="Maximize",MAX($C149:$AI149),MIN($C149:$AI149)),$C149:$AI149,0)),U143-INDEX($C138:$AJ148,6,MATCH(IF('Data-solution'!$A$3="Maximize",MAX($C149:$AI149),MIN($C149:$AI149)),$C149:$AI149,0))*INDEX(U138:$AJ148,MATCH(MIN($AK138:$AK148),$AK138:$AK148,0),1)/INDEX($C138:$AJ148,MATCH(MIN($AK138:$AK148),$AK138:$AK148,0),MATCH(IF('Data-solution'!$A$3="Maximize",MAX($C149:$AI149),MIN($C149:$AI149)),$C149:$AI149,0))),U143)</f>
        <v>0</v>
      </c>
      <c r="V158" s="1">
        <f>IF(OR($B153&lt;&gt;$B138,$B154&lt;&gt;$B139,$B155&lt;&gt;$B140,$B156&lt;&gt;$B141,$B157&lt;&gt;$B142,$B158&lt;&gt;$B143,$B159&lt;&gt;$B144,$B160&lt;&gt;$B145,$B161&lt;&gt;$B146,$B162&lt;&gt;$B147,$B163&lt;&gt;$B148),IF($B158&lt;&gt;$B143,V143/INDEX($C138:$AJ148,6,MATCH(IF('Data-solution'!$A$3="Maximize",MAX($C149:$AI149),MIN($C149:$AI149)),$C149:$AI149,0)),V143-INDEX($C138:$AJ148,6,MATCH(IF('Data-solution'!$A$3="Maximize",MAX($C149:$AI149),MIN($C149:$AI149)),$C149:$AI149,0))*INDEX(V138:$AJ148,MATCH(MIN($AK138:$AK148),$AK138:$AK148,0),1)/INDEX($C138:$AJ148,MATCH(MIN($AK138:$AK148),$AK138:$AK148,0),MATCH(IF('Data-solution'!$A$3="Maximize",MAX($C149:$AI149),MIN($C149:$AI149)),$C149:$AI149,0))),V143)</f>
        <v>0</v>
      </c>
      <c r="W158" s="1">
        <f>IF(OR($B153&lt;&gt;$B138,$B154&lt;&gt;$B139,$B155&lt;&gt;$B140,$B156&lt;&gt;$B141,$B157&lt;&gt;$B142,$B158&lt;&gt;$B143,$B159&lt;&gt;$B144,$B160&lt;&gt;$B145,$B161&lt;&gt;$B146,$B162&lt;&gt;$B147,$B163&lt;&gt;$B148),IF($B158&lt;&gt;$B143,W143/INDEX($C138:$AJ148,6,MATCH(IF('Data-solution'!$A$3="Maximize",MAX($C149:$AI149),MIN($C149:$AI149)),$C149:$AI149,0)),W143-INDEX($C138:$AJ148,6,MATCH(IF('Data-solution'!$A$3="Maximize",MAX($C149:$AI149),MIN($C149:$AI149)),$C149:$AI149,0))*INDEX(W138:$AJ148,MATCH(MIN($AK138:$AK148),$AK138:$AK148,0),1)/INDEX($C138:$AJ148,MATCH(MIN($AK138:$AK148),$AK138:$AK148,0),MATCH(IF('Data-solution'!$A$3="Maximize",MAX($C149:$AI149),MIN($C149:$AI149)),$C149:$AI149,0))),W143)</f>
        <v>0</v>
      </c>
      <c r="X158" s="1">
        <f>IF(OR($B153&lt;&gt;$B138,$B154&lt;&gt;$B139,$B155&lt;&gt;$B140,$B156&lt;&gt;$B141,$B157&lt;&gt;$B142,$B158&lt;&gt;$B143,$B159&lt;&gt;$B144,$B160&lt;&gt;$B145,$B161&lt;&gt;$B146,$B162&lt;&gt;$B147,$B163&lt;&gt;$B148),IF($B158&lt;&gt;$B143,X143/INDEX($C138:$AJ148,6,MATCH(IF('Data-solution'!$A$3="Maximize",MAX($C149:$AI149),MIN($C149:$AI149)),$C149:$AI149,0)),X143-INDEX($C138:$AJ148,6,MATCH(IF('Data-solution'!$A$3="Maximize",MAX($C149:$AI149),MIN($C149:$AI149)),$C149:$AI149,0))*INDEX(X138:$AJ148,MATCH(MIN($AK138:$AK148),$AK138:$AK148,0),1)/INDEX($C138:$AJ148,MATCH(MIN($AK138:$AK148),$AK138:$AK148,0),MATCH(IF('Data-solution'!$A$3="Maximize",MAX($C149:$AI149),MIN($C149:$AI149)),$C149:$AI149,0))),X143)</f>
        <v>0</v>
      </c>
      <c r="Y158" s="1">
        <f>IF(OR($B153&lt;&gt;$B138,$B154&lt;&gt;$B139,$B155&lt;&gt;$B140,$B156&lt;&gt;$B141,$B157&lt;&gt;$B142,$B158&lt;&gt;$B143,$B159&lt;&gt;$B144,$B160&lt;&gt;$B145,$B161&lt;&gt;$B146,$B162&lt;&gt;$B147,$B163&lt;&gt;$B148),IF($B158&lt;&gt;$B143,Y143/INDEX($C138:$AJ148,6,MATCH(IF('Data-solution'!$A$3="Maximize",MAX($C149:$AI149),MIN($C149:$AI149)),$C149:$AI149,0)),Y143-INDEX($C138:$AJ148,6,MATCH(IF('Data-solution'!$A$3="Maximize",MAX($C149:$AI149),MIN($C149:$AI149)),$C149:$AI149,0))*INDEX(Y138:$AJ148,MATCH(MIN($AK138:$AK148),$AK138:$AK148,0),1)/INDEX($C138:$AJ148,MATCH(MIN($AK138:$AK148),$AK138:$AK148,0),MATCH(IF('Data-solution'!$A$3="Maximize",MAX($C149:$AI149),MIN($C149:$AI149)),$C149:$AI149,0))),Y143)</f>
        <v>0</v>
      </c>
      <c r="Z158" s="1">
        <f>IF(OR($B153&lt;&gt;$B138,$B154&lt;&gt;$B139,$B155&lt;&gt;$B140,$B156&lt;&gt;$B141,$B157&lt;&gt;$B142,$B158&lt;&gt;$B143,$B159&lt;&gt;$B144,$B160&lt;&gt;$B145,$B161&lt;&gt;$B146,$B162&lt;&gt;$B147,$B163&lt;&gt;$B148),IF($B158&lt;&gt;$B143,Z143/INDEX($C138:$AJ148,6,MATCH(IF('Data-solution'!$A$3="Maximize",MAX($C149:$AI149),MIN($C149:$AI149)),$C149:$AI149,0)),Z143-INDEX($C138:$AJ148,6,MATCH(IF('Data-solution'!$A$3="Maximize",MAX($C149:$AI149),MIN($C149:$AI149)),$C149:$AI149,0))*INDEX(Z138:$AJ148,MATCH(MIN($AK138:$AK148),$AK138:$AK148,0),1)/INDEX($C138:$AJ148,MATCH(MIN($AK138:$AK148),$AK138:$AK148,0),MATCH(IF('Data-solution'!$A$3="Maximize",MAX($C149:$AI149),MIN($C149:$AI149)),$C149:$AI149,0))),Z143)</f>
        <v>0</v>
      </c>
      <c r="AA158" s="1">
        <f>IF(OR($B153&lt;&gt;$B138,$B154&lt;&gt;$B139,$B155&lt;&gt;$B140,$B156&lt;&gt;$B141,$B157&lt;&gt;$B142,$B158&lt;&gt;$B143,$B159&lt;&gt;$B144,$B160&lt;&gt;$B145,$B161&lt;&gt;$B146,$B162&lt;&gt;$B147,$B163&lt;&gt;$B148),IF($B158&lt;&gt;$B143,AA143/INDEX($C138:$AJ148,6,MATCH(IF('Data-solution'!$A$3="Maximize",MAX($C149:$AI149),MIN($C149:$AI149)),$C149:$AI149,0)),AA143-INDEX($C138:$AJ148,6,MATCH(IF('Data-solution'!$A$3="Maximize",MAX($C149:$AI149),MIN($C149:$AI149)),$C149:$AI149,0))*INDEX(AA138:$AJ148,MATCH(MIN($AK138:$AK148),$AK138:$AK148,0),1)/INDEX($C138:$AJ148,MATCH(MIN($AK138:$AK148),$AK138:$AK148,0),MATCH(IF('Data-solution'!$A$3="Maximize",MAX($C149:$AI149),MIN($C149:$AI149)),$C149:$AI149,0))),AA143)</f>
        <v>0</v>
      </c>
      <c r="AB158" s="1">
        <f>IF(OR($B153&lt;&gt;$B138,$B154&lt;&gt;$B139,$B155&lt;&gt;$B140,$B156&lt;&gt;$B141,$B157&lt;&gt;$B142,$B158&lt;&gt;$B143,$B159&lt;&gt;$B144,$B160&lt;&gt;$B145,$B161&lt;&gt;$B146,$B162&lt;&gt;$B147,$B163&lt;&gt;$B148),IF($B158&lt;&gt;$B143,AB143/INDEX($C138:$AJ148,6,MATCH(IF('Data-solution'!$A$3="Maximize",MAX($C149:$AI149),MIN($C149:$AI149)),$C149:$AI149,0)),AB143-INDEX($C138:$AJ148,6,MATCH(IF('Data-solution'!$A$3="Maximize",MAX($C149:$AI149),MIN($C149:$AI149)),$C149:$AI149,0))*INDEX(AB138:$AJ148,MATCH(MIN($AK138:$AK148),$AK138:$AK148,0),1)/INDEX($C138:$AJ148,MATCH(MIN($AK138:$AK148),$AK138:$AK148,0),MATCH(IF('Data-solution'!$A$3="Maximize",MAX($C149:$AI149),MIN($C149:$AI149)),$C149:$AI149,0))),AB143)</f>
        <v>0</v>
      </c>
      <c r="AC158" s="1">
        <f>IF(OR($B153&lt;&gt;$B138,$B154&lt;&gt;$B139,$B155&lt;&gt;$B140,$B156&lt;&gt;$B141,$B157&lt;&gt;$B142,$B158&lt;&gt;$B143,$B159&lt;&gt;$B144,$B160&lt;&gt;$B145,$B161&lt;&gt;$B146,$B162&lt;&gt;$B147,$B163&lt;&gt;$B148),IF($B158&lt;&gt;$B143,AC143/INDEX($C138:$AJ148,6,MATCH(IF('Data-solution'!$A$3="Maximize",MAX($C149:$AI149),MIN($C149:$AI149)),$C149:$AI149,0)),AC143-INDEX($C138:$AJ148,6,MATCH(IF('Data-solution'!$A$3="Maximize",MAX($C149:$AI149),MIN($C149:$AI149)),$C149:$AI149,0))*INDEX(AC138:$AJ148,MATCH(MIN($AK138:$AK148),$AK138:$AK148,0),1)/INDEX($C138:$AJ148,MATCH(MIN($AK138:$AK148),$AK138:$AK148,0),MATCH(IF('Data-solution'!$A$3="Maximize",MAX($C149:$AI149),MIN($C149:$AI149)),$C149:$AI149,0))),AC143)</f>
        <v>0</v>
      </c>
      <c r="AD158" s="1">
        <f>IF(OR($B153&lt;&gt;$B138,$B154&lt;&gt;$B139,$B155&lt;&gt;$B140,$B156&lt;&gt;$B141,$B157&lt;&gt;$B142,$B158&lt;&gt;$B143,$B159&lt;&gt;$B144,$B160&lt;&gt;$B145,$B161&lt;&gt;$B146,$B162&lt;&gt;$B147,$B163&lt;&gt;$B148),IF($B158&lt;&gt;$B143,AD143/INDEX($C138:$AJ148,6,MATCH(IF('Data-solution'!$A$3="Maximize",MAX($C149:$AI149),MIN($C149:$AI149)),$C149:$AI149,0)),AD143-INDEX($C138:$AJ148,6,MATCH(IF('Data-solution'!$A$3="Maximize",MAX($C149:$AI149),MIN($C149:$AI149)),$C149:$AI149,0))*INDEX(AD138:$AJ148,MATCH(MIN($AK138:$AK148),$AK138:$AK148,0),1)/INDEX($C138:$AJ148,MATCH(MIN($AK138:$AK148),$AK138:$AK148,0),MATCH(IF('Data-solution'!$A$3="Maximize",MAX($C149:$AI149),MIN($C149:$AI149)),$C149:$AI149,0))),AD143)</f>
        <v>1</v>
      </c>
      <c r="AE158" s="1">
        <f>IF(OR($B153&lt;&gt;$B138,$B154&lt;&gt;$B139,$B155&lt;&gt;$B140,$B156&lt;&gt;$B141,$B157&lt;&gt;$B142,$B158&lt;&gt;$B143,$B159&lt;&gt;$B144,$B160&lt;&gt;$B145,$B161&lt;&gt;$B146,$B162&lt;&gt;$B147,$B163&lt;&gt;$B148),IF($B158&lt;&gt;$B143,AE143/INDEX($C138:$AJ148,6,MATCH(IF('Data-solution'!$A$3="Maximize",MAX($C149:$AI149),MIN($C149:$AI149)),$C149:$AI149,0)),AE143-INDEX($C138:$AJ148,6,MATCH(IF('Data-solution'!$A$3="Maximize",MAX($C149:$AI149),MIN($C149:$AI149)),$C149:$AI149,0))*INDEX(AE138:$AJ148,MATCH(MIN($AK138:$AK148),$AK138:$AK148,0),1)/INDEX($C138:$AJ148,MATCH(MIN($AK138:$AK148),$AK138:$AK148,0),MATCH(IF('Data-solution'!$A$3="Maximize",MAX($C149:$AI149),MIN($C149:$AI149)),$C149:$AI149,0))),AE143)</f>
        <v>0</v>
      </c>
      <c r="AF158" s="1">
        <f>IF(OR($B153&lt;&gt;$B138,$B154&lt;&gt;$B139,$B155&lt;&gt;$B140,$B156&lt;&gt;$B141,$B157&lt;&gt;$B142,$B158&lt;&gt;$B143,$B159&lt;&gt;$B144,$B160&lt;&gt;$B145,$B161&lt;&gt;$B146,$B162&lt;&gt;$B147,$B163&lt;&gt;$B148),IF($B158&lt;&gt;$B143,AF143/INDEX($C138:$AJ148,6,MATCH(IF('Data-solution'!$A$3="Maximize",MAX($C149:$AI149),MIN($C149:$AI149)),$C149:$AI149,0)),AF143-INDEX($C138:$AJ148,6,MATCH(IF('Data-solution'!$A$3="Maximize",MAX($C149:$AI149),MIN($C149:$AI149)),$C149:$AI149,0))*INDEX(AF138:$AJ148,MATCH(MIN($AK138:$AK148),$AK138:$AK148,0),1)/INDEX($C138:$AJ148,MATCH(MIN($AK138:$AK148),$AK138:$AK148,0),MATCH(IF('Data-solution'!$A$3="Maximize",MAX($C149:$AI149),MIN($C149:$AI149)),$C149:$AI149,0))),AF143)</f>
        <v>0</v>
      </c>
      <c r="AG158" s="1">
        <f>IF(OR($B153&lt;&gt;$B138,$B154&lt;&gt;$B139,$B155&lt;&gt;$B140,$B156&lt;&gt;$B141,$B157&lt;&gt;$B142,$B158&lt;&gt;$B143,$B159&lt;&gt;$B144,$B160&lt;&gt;$B145,$B161&lt;&gt;$B146,$B162&lt;&gt;$B147,$B163&lt;&gt;$B148),IF($B158&lt;&gt;$B143,AG143/INDEX($C138:$AJ148,6,MATCH(IF('Data-solution'!$A$3="Maximize",MAX($C149:$AI149),MIN($C149:$AI149)),$C149:$AI149,0)),AG143-INDEX($C138:$AJ148,6,MATCH(IF('Data-solution'!$A$3="Maximize",MAX($C149:$AI149),MIN($C149:$AI149)),$C149:$AI149,0))*INDEX(AG138:$AJ148,MATCH(MIN($AK138:$AK148),$AK138:$AK148,0),1)/INDEX($C138:$AJ148,MATCH(MIN($AK138:$AK148),$AK138:$AK148,0),MATCH(IF('Data-solution'!$A$3="Maximize",MAX($C149:$AI149),MIN($C149:$AI149)),$C149:$AI149,0))),AG143)</f>
        <v>0</v>
      </c>
      <c r="AH158" s="1">
        <f>IF(OR($B153&lt;&gt;$B138,$B154&lt;&gt;$B139,$B155&lt;&gt;$B140,$B156&lt;&gt;$B141,$B157&lt;&gt;$B142,$B158&lt;&gt;$B143,$B159&lt;&gt;$B144,$B160&lt;&gt;$B145,$B161&lt;&gt;$B146,$B162&lt;&gt;$B147,$B163&lt;&gt;$B148),IF($B158&lt;&gt;$B143,AH143/INDEX($C138:$AJ148,6,MATCH(IF('Data-solution'!$A$3="Maximize",MAX($C149:$AI149),MIN($C149:$AI149)),$C149:$AI149,0)),AH143-INDEX($C138:$AJ148,6,MATCH(IF('Data-solution'!$A$3="Maximize",MAX($C149:$AI149),MIN($C149:$AI149)),$C149:$AI149,0))*INDEX(AH138:$AJ148,MATCH(MIN($AK138:$AK148),$AK138:$AK148,0),1)/INDEX($C138:$AJ148,MATCH(MIN($AK138:$AK148),$AK138:$AK148,0),MATCH(IF('Data-solution'!$A$3="Maximize",MAX($C149:$AI149),MIN($C149:$AI149)),$C149:$AI149,0))),AH143)</f>
        <v>0</v>
      </c>
      <c r="AI158" s="1">
        <f>IF(OR($B153&lt;&gt;$B138,$B154&lt;&gt;$B139,$B155&lt;&gt;$B140,$B156&lt;&gt;$B141,$B157&lt;&gt;$B142,$B158&lt;&gt;$B143,$B159&lt;&gt;$B144,$B160&lt;&gt;$B145,$B161&lt;&gt;$B146,$B162&lt;&gt;$B147,$B163&lt;&gt;$B148),IF($B158&lt;&gt;$B143,AI143/INDEX($C138:$AJ148,6,MATCH(IF('Data-solution'!$A$3="Maximize",MAX($C149:$AI149),MIN($C149:$AI149)),$C149:$AI149,0)),AI143-INDEX($C138:$AJ148,6,MATCH(IF('Data-solution'!$A$3="Maximize",MAX($C149:$AI149),MIN($C149:$AI149)),$C149:$AI149,0))*INDEX(AI138:$AJ148,MATCH(MIN($AK138:$AK148),$AK138:$AK148,0),1)/INDEX($C138:$AJ148,MATCH(MIN($AK138:$AK148),$AK138:$AK148,0),MATCH(IF('Data-solution'!$A$3="Maximize",MAX($C149:$AI149),MIN($C149:$AI149)),$C149:$AI149,0))),AI143)</f>
        <v>0</v>
      </c>
      <c r="AJ158" s="1">
        <f>IF(OR($B153&lt;&gt;$B138,$B154&lt;&gt;$B139,$B155&lt;&gt;$B140,$B156&lt;&gt;$B141,$B157&lt;&gt;$B142,$B158&lt;&gt;$B143,$B159&lt;&gt;$B144,$B160&lt;&gt;$B145,$B161&lt;&gt;$B146,$B162&lt;&gt;$B147,$B163&lt;&gt;$B148),IF($B158&lt;&gt;$B143,AJ143/INDEX($C138:$AJ148,6,MATCH(IF('Data-solution'!$A$3="Maximize",MAX($C149:$AI149),MIN($C149:$AI149)),$C149:$AI149,0)),AJ143-INDEX($C138:$AJ148,6,MATCH(IF('Data-solution'!$A$3="Maximize",MAX($C149:$AI149),MIN($C149:$AI149)),$C149:$AI149,0))*INDEX(AJ138:$AJ148,MATCH(MIN($AK138:$AK148),$AK138:$AK148,0),1)/INDEX($C138:$AJ148,MATCH(MIN($AK138:$AK148),$AK138:$AK148,0),MATCH(IF('Data-solution'!$A$3="Maximize",MAX($C149:$AI149),MIN($C149:$AI149)),$C149:$AI149,0))),AJ143)</f>
        <v>0</v>
      </c>
      <c r="AK158" s="1" t="str">
        <f>IF(INDEX(C158:X158,1,MATCH(IF('Data-solution'!A$3="Maximize",MAX(C164:X164),MIN(C164:X164)),C164:X164,0))&gt;0,AJ158/INDEX(C158:X158,1,MATCH(IF('Data-solution'!A$3="Maximize",MAX(C164:X164),MIN(C164:X164)),C164:X164,0))," ")</f>
        <v xml:space="preserve"> </v>
      </c>
    </row>
    <row r="159" spans="1:37" ht="18" customHeight="1" x14ac:dyDescent="0.2">
      <c r="A159" s="1">
        <f t="shared" ref="A159" si="130">INDEX(C151:AI151,1,MATCH(B159,C152:AI152,0))</f>
        <v>0</v>
      </c>
      <c r="B159" s="2" t="str">
        <f>IF(AND('Data-solution'!A$3="Maximize",COUNTIF(C149:X149,"&gt;"&amp;0)&gt;0,AK144=MIN(AK138:AK148),COUNTIF(B153:B158,INDEX(C137:X137,1,MATCH(MAX(C149:X149),C149:X149,0)))=0),INDEX(C137:X137,1,MATCH(MAX(C149:X149),C149:X149,0)),IF(AND('Data-solution'!A$3="Minimize",COUNTIF(C149:X149,"&lt;"&amp;0)&gt;0,AK144=MIN(AK138:AK148),COUNTIF(B153:B158,INDEX(C137:X137,1,MATCH(MIN(C149:X149),C149:X149,0)))=0),INDEX(C137:X137,1,MATCH(MIN(C149:X149),C149:X149,0)),B144))</f>
        <v>S7</v>
      </c>
      <c r="C159" s="1">
        <f>IF(OR($B153&lt;&gt;$B138,$B154&lt;&gt;$B139,$B155&lt;&gt;$B140,$B156&lt;&gt;$B141,$B157&lt;&gt;$B142,$B158&lt;&gt;$B143,$B159&lt;&gt;$B144,$B160&lt;&gt;$B145,$B161&lt;&gt;$B146,$B162&lt;&gt;$B147,$B163&lt;&gt;$B148),IF($B159&lt;&gt;$B144,C144/INDEX($C138:$AJ148,7,MATCH(IF('Data-solution'!$A$3="Maximize",MAX($C149:$AI149),MIN($C149:$AI149)),$C149:$AI149,0)),C144-INDEX($C138:$AJ148,7,MATCH(IF('Data-solution'!$A$3="Maximize",MAX($C149:$AI149),MIN($C149:$AI149)),$C149:$AI149,0))*INDEX(C138:$AJ148,MATCH(MIN($AK138:$AK148),$AK138:$AK148,0),1)/INDEX($C138:$AJ148,MATCH(MIN($AK138:$AK148),$AK138:$AK148,0),MATCH(IF('Data-solution'!$A$3="Maximize",MAX($C149:$AI149),MIN($C149:$AI149)),$C149:$AI149,0))),C144)</f>
        <v>0</v>
      </c>
      <c r="D159" s="1">
        <f>IF(OR($B153&lt;&gt;$B138,$B154&lt;&gt;$B139,$B155&lt;&gt;$B140,$B156&lt;&gt;$B141,$B157&lt;&gt;$B142,$B158&lt;&gt;$B143,$B159&lt;&gt;$B144,$B160&lt;&gt;$B145,$B161&lt;&gt;$B146,$B162&lt;&gt;$B147,$B163&lt;&gt;$B148),IF($B159&lt;&gt;$B144,D144/INDEX($C138:$AJ148,7,MATCH(IF('Data-solution'!$A$3="Maximize",MAX($C149:$AI149),MIN($C149:$AI149)),$C149:$AI149,0)),D144-INDEX($C138:$AJ148,7,MATCH(IF('Data-solution'!$A$3="Maximize",MAX($C149:$AI149),MIN($C149:$AI149)),$C149:$AI149,0))*INDEX(D138:$AJ148,MATCH(MIN($AK138:$AK148),$AK138:$AK148,0),1)/INDEX($C138:$AJ148,MATCH(MIN($AK138:$AK148),$AK138:$AK148,0),MATCH(IF('Data-solution'!$A$3="Maximize",MAX($C149:$AI149),MIN($C149:$AI149)),$C149:$AI149,0))),D144)</f>
        <v>0</v>
      </c>
      <c r="E159" s="1">
        <f>IF(OR($B153&lt;&gt;$B138,$B154&lt;&gt;$B139,$B155&lt;&gt;$B140,$B156&lt;&gt;$B141,$B157&lt;&gt;$B142,$B158&lt;&gt;$B143,$B159&lt;&gt;$B144,$B160&lt;&gt;$B145,$B161&lt;&gt;$B146,$B162&lt;&gt;$B147,$B163&lt;&gt;$B148),IF($B159&lt;&gt;$B144,E144/INDEX($C138:$AJ148,7,MATCH(IF('Data-solution'!$A$3="Maximize",MAX($C149:$AI149),MIN($C149:$AI149)),$C149:$AI149,0)),E144-INDEX($C138:$AJ148,7,MATCH(IF('Data-solution'!$A$3="Maximize",MAX($C149:$AI149),MIN($C149:$AI149)),$C149:$AI149,0))*INDEX(E138:$AJ148,MATCH(MIN($AK138:$AK148),$AK138:$AK148,0),1)/INDEX($C138:$AJ148,MATCH(MIN($AK138:$AK148),$AK138:$AK148,0),MATCH(IF('Data-solution'!$A$3="Maximize",MAX($C149:$AI149),MIN($C149:$AI149)),$C149:$AI149,0))),E144)</f>
        <v>0</v>
      </c>
      <c r="F159" s="1">
        <f>IF(OR($B153&lt;&gt;$B138,$B154&lt;&gt;$B139,$B155&lt;&gt;$B140,$B156&lt;&gt;$B141,$B157&lt;&gt;$B142,$B158&lt;&gt;$B143,$B159&lt;&gt;$B144,$B160&lt;&gt;$B145,$B161&lt;&gt;$B146,$B162&lt;&gt;$B147,$B163&lt;&gt;$B148),IF($B159&lt;&gt;$B144,F144/INDEX($C138:$AJ148,7,MATCH(IF('Data-solution'!$A$3="Maximize",MAX($C149:$AI149),MIN($C149:$AI149)),$C149:$AI149,0)),F144-INDEX($C138:$AJ148,7,MATCH(IF('Data-solution'!$A$3="Maximize",MAX($C149:$AI149),MIN($C149:$AI149)),$C149:$AI149,0))*INDEX(F138:$AJ148,MATCH(MIN($AK138:$AK148),$AK138:$AK148,0),1)/INDEX($C138:$AJ148,MATCH(MIN($AK138:$AK148),$AK138:$AK148,0),MATCH(IF('Data-solution'!$A$3="Maximize",MAX($C149:$AI149),MIN($C149:$AI149)),$C149:$AI149,0))),F144)</f>
        <v>0</v>
      </c>
      <c r="G159" s="1">
        <f>IF(OR($B153&lt;&gt;$B138,$B154&lt;&gt;$B139,$B155&lt;&gt;$B140,$B156&lt;&gt;$B141,$B157&lt;&gt;$B142,$B158&lt;&gt;$B143,$B159&lt;&gt;$B144,$B160&lt;&gt;$B145,$B161&lt;&gt;$B146,$B162&lt;&gt;$B147,$B163&lt;&gt;$B148),IF($B159&lt;&gt;$B144,G144/INDEX($C138:$AJ148,7,MATCH(IF('Data-solution'!$A$3="Maximize",MAX($C149:$AI149),MIN($C149:$AI149)),$C149:$AI149,0)),G144-INDEX($C138:$AJ148,7,MATCH(IF('Data-solution'!$A$3="Maximize",MAX($C149:$AI149),MIN($C149:$AI149)),$C149:$AI149,0))*INDEX(G138:$AJ148,MATCH(MIN($AK138:$AK148),$AK138:$AK148,0),1)/INDEX($C138:$AJ148,MATCH(MIN($AK138:$AK148),$AK138:$AK148,0),MATCH(IF('Data-solution'!$A$3="Maximize",MAX($C149:$AI149),MIN($C149:$AI149)),$C149:$AI149,0))),G144)</f>
        <v>0</v>
      </c>
      <c r="H159" s="1">
        <f>IF(OR($B153&lt;&gt;$B138,$B154&lt;&gt;$B139,$B155&lt;&gt;$B140,$B156&lt;&gt;$B141,$B157&lt;&gt;$B142,$B158&lt;&gt;$B143,$B159&lt;&gt;$B144,$B160&lt;&gt;$B145,$B161&lt;&gt;$B146,$B162&lt;&gt;$B147,$B163&lt;&gt;$B148),IF($B159&lt;&gt;$B144,H144/INDEX($C138:$AJ148,7,MATCH(IF('Data-solution'!$A$3="Maximize",MAX($C149:$AI149),MIN($C149:$AI149)),$C149:$AI149,0)),H144-INDEX($C138:$AJ148,7,MATCH(IF('Data-solution'!$A$3="Maximize",MAX($C149:$AI149),MIN($C149:$AI149)),$C149:$AI149,0))*INDEX(H138:$AJ148,MATCH(MIN($AK138:$AK148),$AK138:$AK148,0),1)/INDEX($C138:$AJ148,MATCH(MIN($AK138:$AK148),$AK138:$AK148,0),MATCH(IF('Data-solution'!$A$3="Maximize",MAX($C149:$AI149),MIN($C149:$AI149)),$C149:$AI149,0))),H144)</f>
        <v>0</v>
      </c>
      <c r="I159" s="1">
        <f>IF(OR($B153&lt;&gt;$B138,$B154&lt;&gt;$B139,$B155&lt;&gt;$B140,$B156&lt;&gt;$B141,$B157&lt;&gt;$B142,$B158&lt;&gt;$B143,$B159&lt;&gt;$B144,$B160&lt;&gt;$B145,$B161&lt;&gt;$B146,$B162&lt;&gt;$B147,$B163&lt;&gt;$B148),IF($B159&lt;&gt;$B144,I144/INDEX($C138:$AJ148,7,MATCH(IF('Data-solution'!$A$3="Maximize",MAX($C149:$AI149),MIN($C149:$AI149)),$C149:$AI149,0)),I144-INDEX($C138:$AJ148,7,MATCH(IF('Data-solution'!$A$3="Maximize",MAX($C149:$AI149),MIN($C149:$AI149)),$C149:$AI149,0))*INDEX(I138:$AJ148,MATCH(MIN($AK138:$AK148),$AK138:$AK148,0),1)/INDEX($C138:$AJ148,MATCH(MIN($AK138:$AK148),$AK138:$AK148,0),MATCH(IF('Data-solution'!$A$3="Maximize",MAX($C149:$AI149),MIN($C149:$AI149)),$C149:$AI149,0))),I144)</f>
        <v>0</v>
      </c>
      <c r="J159" s="1">
        <f>IF(OR($B153&lt;&gt;$B138,$B154&lt;&gt;$B139,$B155&lt;&gt;$B140,$B156&lt;&gt;$B141,$B157&lt;&gt;$B142,$B158&lt;&gt;$B143,$B159&lt;&gt;$B144,$B160&lt;&gt;$B145,$B161&lt;&gt;$B146,$B162&lt;&gt;$B147,$B163&lt;&gt;$B148),IF($B159&lt;&gt;$B144,J144/INDEX($C138:$AJ148,7,MATCH(IF('Data-solution'!$A$3="Maximize",MAX($C149:$AI149),MIN($C149:$AI149)),$C149:$AI149,0)),J144-INDEX($C138:$AJ148,7,MATCH(IF('Data-solution'!$A$3="Maximize",MAX($C149:$AI149),MIN($C149:$AI149)),$C149:$AI149,0))*INDEX(J138:$AJ148,MATCH(MIN($AK138:$AK148),$AK138:$AK148,0),1)/INDEX($C138:$AJ148,MATCH(MIN($AK138:$AK148),$AK138:$AK148,0),MATCH(IF('Data-solution'!$A$3="Maximize",MAX($C149:$AI149),MIN($C149:$AI149)),$C149:$AI149,0))),J144)</f>
        <v>0</v>
      </c>
      <c r="K159" s="1">
        <f>IF(OR($B153&lt;&gt;$B138,$B154&lt;&gt;$B139,$B155&lt;&gt;$B140,$B156&lt;&gt;$B141,$B157&lt;&gt;$B142,$B158&lt;&gt;$B143,$B159&lt;&gt;$B144,$B160&lt;&gt;$B145,$B161&lt;&gt;$B146,$B162&lt;&gt;$B147,$B163&lt;&gt;$B148),IF($B159&lt;&gt;$B144,K144/INDEX($C138:$AJ148,7,MATCH(IF('Data-solution'!$A$3="Maximize",MAX($C149:$AI149),MIN($C149:$AI149)),$C149:$AI149,0)),K144-INDEX($C138:$AJ148,7,MATCH(IF('Data-solution'!$A$3="Maximize",MAX($C149:$AI149),MIN($C149:$AI149)),$C149:$AI149,0))*INDEX(K138:$AJ148,MATCH(MIN($AK138:$AK148),$AK138:$AK148,0),1)/INDEX($C138:$AJ148,MATCH(MIN($AK138:$AK148),$AK138:$AK148,0),MATCH(IF('Data-solution'!$A$3="Maximize",MAX($C149:$AI149),MIN($C149:$AI149)),$C149:$AI149,0))),K144)</f>
        <v>0</v>
      </c>
      <c r="L159" s="1">
        <f>IF(OR($B153&lt;&gt;$B138,$B154&lt;&gt;$B139,$B155&lt;&gt;$B140,$B156&lt;&gt;$B141,$B157&lt;&gt;$B142,$B158&lt;&gt;$B143,$B159&lt;&gt;$B144,$B160&lt;&gt;$B145,$B161&lt;&gt;$B146,$B162&lt;&gt;$B147,$B163&lt;&gt;$B148),IF($B159&lt;&gt;$B144,L144/INDEX($C138:$AJ148,7,MATCH(IF('Data-solution'!$A$3="Maximize",MAX($C149:$AI149),MIN($C149:$AI149)),$C149:$AI149,0)),L144-INDEX($C138:$AJ148,7,MATCH(IF('Data-solution'!$A$3="Maximize",MAX($C149:$AI149),MIN($C149:$AI149)),$C149:$AI149,0))*INDEX(L138:$AJ148,MATCH(MIN($AK138:$AK148),$AK138:$AK148,0),1)/INDEX($C138:$AJ148,MATCH(MIN($AK138:$AK148),$AK138:$AK148,0),MATCH(IF('Data-solution'!$A$3="Maximize",MAX($C149:$AI149),MIN($C149:$AI149)),$C149:$AI149,0))),L144)</f>
        <v>0</v>
      </c>
      <c r="M159" s="1">
        <f>IF(OR($B153&lt;&gt;$B138,$B154&lt;&gt;$B139,$B155&lt;&gt;$B140,$B156&lt;&gt;$B141,$B157&lt;&gt;$B142,$B158&lt;&gt;$B143,$B159&lt;&gt;$B144,$B160&lt;&gt;$B145,$B161&lt;&gt;$B146,$B162&lt;&gt;$B147,$B163&lt;&gt;$B148),IF($B159&lt;&gt;$B144,M144/INDEX($C138:$AJ148,7,MATCH(IF('Data-solution'!$A$3="Maximize",MAX($C149:$AI149),MIN($C149:$AI149)),$C149:$AI149,0)),M144-INDEX($C138:$AJ148,7,MATCH(IF('Data-solution'!$A$3="Maximize",MAX($C149:$AI149),MIN($C149:$AI149)),$C149:$AI149,0))*INDEX(M138:$AJ148,MATCH(MIN($AK138:$AK148),$AK138:$AK148,0),1)/INDEX($C138:$AJ148,MATCH(MIN($AK138:$AK148),$AK138:$AK148,0),MATCH(IF('Data-solution'!$A$3="Maximize",MAX($C149:$AI149),MIN($C149:$AI149)),$C149:$AI149,0))),M144)</f>
        <v>0</v>
      </c>
      <c r="N159" s="1">
        <f>IF(OR($B153&lt;&gt;$B138,$B154&lt;&gt;$B139,$B155&lt;&gt;$B140,$B156&lt;&gt;$B141,$B157&lt;&gt;$B142,$B158&lt;&gt;$B143,$B159&lt;&gt;$B144,$B160&lt;&gt;$B145,$B161&lt;&gt;$B146,$B162&lt;&gt;$B147,$B163&lt;&gt;$B148),IF($B159&lt;&gt;$B144,N144/INDEX($C138:$AJ148,7,MATCH(IF('Data-solution'!$A$3="Maximize",MAX($C149:$AI149),MIN($C149:$AI149)),$C149:$AI149,0)),N144-INDEX($C138:$AJ148,7,MATCH(IF('Data-solution'!$A$3="Maximize",MAX($C149:$AI149),MIN($C149:$AI149)),$C149:$AI149,0))*INDEX(N138:$AJ148,MATCH(MIN($AK138:$AK148),$AK138:$AK148,0),1)/INDEX($C138:$AJ148,MATCH(MIN($AK138:$AK148),$AK138:$AK148,0),MATCH(IF('Data-solution'!$A$3="Maximize",MAX($C149:$AI149),MIN($C149:$AI149)),$C149:$AI149,0))),N144)</f>
        <v>0</v>
      </c>
      <c r="O159" s="1">
        <f>IF(OR($B153&lt;&gt;$B138,$B154&lt;&gt;$B139,$B155&lt;&gt;$B140,$B156&lt;&gt;$B141,$B157&lt;&gt;$B142,$B158&lt;&gt;$B143,$B159&lt;&gt;$B144,$B160&lt;&gt;$B145,$B161&lt;&gt;$B146,$B162&lt;&gt;$B147,$B163&lt;&gt;$B148),IF($B159&lt;&gt;$B144,O144/INDEX($C138:$AJ148,7,MATCH(IF('Data-solution'!$A$3="Maximize",MAX($C149:$AI149),MIN($C149:$AI149)),$C149:$AI149,0)),O144-INDEX($C138:$AJ148,7,MATCH(IF('Data-solution'!$A$3="Maximize",MAX($C149:$AI149),MIN($C149:$AI149)),$C149:$AI149,0))*INDEX(O138:$AJ148,MATCH(MIN($AK138:$AK148),$AK138:$AK148,0),1)/INDEX($C138:$AJ148,MATCH(MIN($AK138:$AK148),$AK138:$AK148,0),MATCH(IF('Data-solution'!$A$3="Maximize",MAX($C149:$AI149),MIN($C149:$AI149)),$C149:$AI149,0))),O144)</f>
        <v>0</v>
      </c>
      <c r="P159" s="1">
        <f>IF(OR($B153&lt;&gt;$B138,$B154&lt;&gt;$B139,$B155&lt;&gt;$B140,$B156&lt;&gt;$B141,$B157&lt;&gt;$B142,$B158&lt;&gt;$B143,$B159&lt;&gt;$B144,$B160&lt;&gt;$B145,$B161&lt;&gt;$B146,$B162&lt;&gt;$B147,$B163&lt;&gt;$B148),IF($B159&lt;&gt;$B144,P144/INDEX($C138:$AJ148,7,MATCH(IF('Data-solution'!$A$3="Maximize",MAX($C149:$AI149),MIN($C149:$AI149)),$C149:$AI149,0)),P144-INDEX($C138:$AJ148,7,MATCH(IF('Data-solution'!$A$3="Maximize",MAX($C149:$AI149),MIN($C149:$AI149)),$C149:$AI149,0))*INDEX(P138:$AJ148,MATCH(MIN($AK138:$AK148),$AK138:$AK148,0),1)/INDEX($C138:$AJ148,MATCH(MIN($AK138:$AK148),$AK138:$AK148,0),MATCH(IF('Data-solution'!$A$3="Maximize",MAX($C149:$AI149),MIN($C149:$AI149)),$C149:$AI149,0))),P144)</f>
        <v>0</v>
      </c>
      <c r="Q159" s="1">
        <f>IF(OR($B153&lt;&gt;$B138,$B154&lt;&gt;$B139,$B155&lt;&gt;$B140,$B156&lt;&gt;$B141,$B157&lt;&gt;$B142,$B158&lt;&gt;$B143,$B159&lt;&gt;$B144,$B160&lt;&gt;$B145,$B161&lt;&gt;$B146,$B162&lt;&gt;$B147,$B163&lt;&gt;$B148),IF($B159&lt;&gt;$B144,Q144/INDEX($C138:$AJ148,7,MATCH(IF('Data-solution'!$A$3="Maximize",MAX($C149:$AI149),MIN($C149:$AI149)),$C149:$AI149,0)),Q144-INDEX($C138:$AJ148,7,MATCH(IF('Data-solution'!$A$3="Maximize",MAX($C149:$AI149),MIN($C149:$AI149)),$C149:$AI149,0))*INDEX(Q138:$AJ148,MATCH(MIN($AK138:$AK148),$AK138:$AK148,0),1)/INDEX($C138:$AJ148,MATCH(MIN($AK138:$AK148),$AK138:$AK148,0),MATCH(IF('Data-solution'!$A$3="Maximize",MAX($C149:$AI149),MIN($C149:$AI149)),$C149:$AI149,0))),Q144)</f>
        <v>0</v>
      </c>
      <c r="R159" s="1">
        <f>IF(OR($B153&lt;&gt;$B138,$B154&lt;&gt;$B139,$B155&lt;&gt;$B140,$B156&lt;&gt;$B141,$B157&lt;&gt;$B142,$B158&lt;&gt;$B143,$B159&lt;&gt;$B144,$B160&lt;&gt;$B145,$B161&lt;&gt;$B146,$B162&lt;&gt;$B147,$B163&lt;&gt;$B148),IF($B159&lt;&gt;$B144,R144/INDEX($C138:$AJ148,7,MATCH(IF('Data-solution'!$A$3="Maximize",MAX($C149:$AI149),MIN($C149:$AI149)),$C149:$AI149,0)),R144-INDEX($C138:$AJ148,7,MATCH(IF('Data-solution'!$A$3="Maximize",MAX($C149:$AI149),MIN($C149:$AI149)),$C149:$AI149,0))*INDEX(R138:$AJ148,MATCH(MIN($AK138:$AK148),$AK138:$AK148,0),1)/INDEX($C138:$AJ148,MATCH(MIN($AK138:$AK148),$AK138:$AK148,0),MATCH(IF('Data-solution'!$A$3="Maximize",MAX($C149:$AI149),MIN($C149:$AI149)),$C149:$AI149,0))),R144)</f>
        <v>0</v>
      </c>
      <c r="S159" s="1">
        <f>IF(OR($B153&lt;&gt;$B138,$B154&lt;&gt;$B139,$B155&lt;&gt;$B140,$B156&lt;&gt;$B141,$B157&lt;&gt;$B142,$B158&lt;&gt;$B143,$B159&lt;&gt;$B144,$B160&lt;&gt;$B145,$B161&lt;&gt;$B146,$B162&lt;&gt;$B147,$B163&lt;&gt;$B148),IF($B159&lt;&gt;$B144,S144/INDEX($C138:$AJ148,7,MATCH(IF('Data-solution'!$A$3="Maximize",MAX($C149:$AI149),MIN($C149:$AI149)),$C149:$AI149,0)),S144-INDEX($C138:$AJ148,7,MATCH(IF('Data-solution'!$A$3="Maximize",MAX($C149:$AI149),MIN($C149:$AI149)),$C149:$AI149,0))*INDEX(S138:$AJ148,MATCH(MIN($AK138:$AK148),$AK138:$AK148,0),1)/INDEX($C138:$AJ148,MATCH(MIN($AK138:$AK148),$AK138:$AK148,0),MATCH(IF('Data-solution'!$A$3="Maximize",MAX($C149:$AI149),MIN($C149:$AI149)),$C149:$AI149,0))),S144)</f>
        <v>0</v>
      </c>
      <c r="T159" s="1">
        <f>IF(OR($B153&lt;&gt;$B138,$B154&lt;&gt;$B139,$B155&lt;&gt;$B140,$B156&lt;&gt;$B141,$B157&lt;&gt;$B142,$B158&lt;&gt;$B143,$B159&lt;&gt;$B144,$B160&lt;&gt;$B145,$B161&lt;&gt;$B146,$B162&lt;&gt;$B147,$B163&lt;&gt;$B148),IF($B159&lt;&gt;$B144,T144/INDEX($C138:$AJ148,7,MATCH(IF('Data-solution'!$A$3="Maximize",MAX($C149:$AI149),MIN($C149:$AI149)),$C149:$AI149,0)),T144-INDEX($C138:$AJ148,7,MATCH(IF('Data-solution'!$A$3="Maximize",MAX($C149:$AI149),MIN($C149:$AI149)),$C149:$AI149,0))*INDEX(T138:$AJ148,MATCH(MIN($AK138:$AK148),$AK138:$AK148,0),1)/INDEX($C138:$AJ148,MATCH(MIN($AK138:$AK148),$AK138:$AK148,0),MATCH(IF('Data-solution'!$A$3="Maximize",MAX($C149:$AI149),MIN($C149:$AI149)),$C149:$AI149,0))),T144)</f>
        <v>1</v>
      </c>
      <c r="U159" s="1">
        <f>IF(OR($B153&lt;&gt;$B138,$B154&lt;&gt;$B139,$B155&lt;&gt;$B140,$B156&lt;&gt;$B141,$B157&lt;&gt;$B142,$B158&lt;&gt;$B143,$B159&lt;&gt;$B144,$B160&lt;&gt;$B145,$B161&lt;&gt;$B146,$B162&lt;&gt;$B147,$B163&lt;&gt;$B148),IF($B159&lt;&gt;$B144,U144/INDEX($C138:$AJ148,7,MATCH(IF('Data-solution'!$A$3="Maximize",MAX($C149:$AI149),MIN($C149:$AI149)),$C149:$AI149,0)),U144-INDEX($C138:$AJ148,7,MATCH(IF('Data-solution'!$A$3="Maximize",MAX($C149:$AI149),MIN($C149:$AI149)),$C149:$AI149,0))*INDEX(U138:$AJ148,MATCH(MIN($AK138:$AK148),$AK138:$AK148,0),1)/INDEX($C138:$AJ148,MATCH(MIN($AK138:$AK148),$AK138:$AK148,0),MATCH(IF('Data-solution'!$A$3="Maximize",MAX($C149:$AI149),MIN($C149:$AI149)),$C149:$AI149,0))),U144)</f>
        <v>0</v>
      </c>
      <c r="V159" s="1">
        <f>IF(OR($B153&lt;&gt;$B138,$B154&lt;&gt;$B139,$B155&lt;&gt;$B140,$B156&lt;&gt;$B141,$B157&lt;&gt;$B142,$B158&lt;&gt;$B143,$B159&lt;&gt;$B144,$B160&lt;&gt;$B145,$B161&lt;&gt;$B146,$B162&lt;&gt;$B147,$B163&lt;&gt;$B148),IF($B159&lt;&gt;$B144,V144/INDEX($C138:$AJ148,7,MATCH(IF('Data-solution'!$A$3="Maximize",MAX($C149:$AI149),MIN($C149:$AI149)),$C149:$AI149,0)),V144-INDEX($C138:$AJ148,7,MATCH(IF('Data-solution'!$A$3="Maximize",MAX($C149:$AI149),MIN($C149:$AI149)),$C149:$AI149,0))*INDEX(V138:$AJ148,MATCH(MIN($AK138:$AK148),$AK138:$AK148,0),1)/INDEX($C138:$AJ148,MATCH(MIN($AK138:$AK148),$AK138:$AK148,0),MATCH(IF('Data-solution'!$A$3="Maximize",MAX($C149:$AI149),MIN($C149:$AI149)),$C149:$AI149,0))),V144)</f>
        <v>0</v>
      </c>
      <c r="W159" s="1">
        <f>IF(OR($B153&lt;&gt;$B138,$B154&lt;&gt;$B139,$B155&lt;&gt;$B140,$B156&lt;&gt;$B141,$B157&lt;&gt;$B142,$B158&lt;&gt;$B143,$B159&lt;&gt;$B144,$B160&lt;&gt;$B145,$B161&lt;&gt;$B146,$B162&lt;&gt;$B147,$B163&lt;&gt;$B148),IF($B159&lt;&gt;$B144,W144/INDEX($C138:$AJ148,7,MATCH(IF('Data-solution'!$A$3="Maximize",MAX($C149:$AI149),MIN($C149:$AI149)),$C149:$AI149,0)),W144-INDEX($C138:$AJ148,7,MATCH(IF('Data-solution'!$A$3="Maximize",MAX($C149:$AI149),MIN($C149:$AI149)),$C149:$AI149,0))*INDEX(W138:$AJ148,MATCH(MIN($AK138:$AK148),$AK138:$AK148,0),1)/INDEX($C138:$AJ148,MATCH(MIN($AK138:$AK148),$AK138:$AK148,0),MATCH(IF('Data-solution'!$A$3="Maximize",MAX($C149:$AI149),MIN($C149:$AI149)),$C149:$AI149,0))),W144)</f>
        <v>0</v>
      </c>
      <c r="X159" s="1">
        <f>IF(OR($B153&lt;&gt;$B138,$B154&lt;&gt;$B139,$B155&lt;&gt;$B140,$B156&lt;&gt;$B141,$B157&lt;&gt;$B142,$B158&lt;&gt;$B143,$B159&lt;&gt;$B144,$B160&lt;&gt;$B145,$B161&lt;&gt;$B146,$B162&lt;&gt;$B147,$B163&lt;&gt;$B148),IF($B159&lt;&gt;$B144,X144/INDEX($C138:$AJ148,7,MATCH(IF('Data-solution'!$A$3="Maximize",MAX($C149:$AI149),MIN($C149:$AI149)),$C149:$AI149,0)),X144-INDEX($C138:$AJ148,7,MATCH(IF('Data-solution'!$A$3="Maximize",MAX($C149:$AI149),MIN($C149:$AI149)),$C149:$AI149,0))*INDEX(X138:$AJ148,MATCH(MIN($AK138:$AK148),$AK138:$AK148,0),1)/INDEX($C138:$AJ148,MATCH(MIN($AK138:$AK148),$AK138:$AK148,0),MATCH(IF('Data-solution'!$A$3="Maximize",MAX($C149:$AI149),MIN($C149:$AI149)),$C149:$AI149,0))),X144)</f>
        <v>0</v>
      </c>
      <c r="Y159" s="1">
        <f>IF(OR($B153&lt;&gt;$B138,$B154&lt;&gt;$B139,$B155&lt;&gt;$B140,$B156&lt;&gt;$B141,$B157&lt;&gt;$B142,$B158&lt;&gt;$B143,$B159&lt;&gt;$B144,$B160&lt;&gt;$B145,$B161&lt;&gt;$B146,$B162&lt;&gt;$B147,$B163&lt;&gt;$B148),IF($B159&lt;&gt;$B144,Y144/INDEX($C138:$AJ148,7,MATCH(IF('Data-solution'!$A$3="Maximize",MAX($C149:$AI149),MIN($C149:$AI149)),$C149:$AI149,0)),Y144-INDEX($C138:$AJ148,7,MATCH(IF('Data-solution'!$A$3="Maximize",MAX($C149:$AI149),MIN($C149:$AI149)),$C149:$AI149,0))*INDEX(Y138:$AJ148,MATCH(MIN($AK138:$AK148),$AK138:$AK148,0),1)/INDEX($C138:$AJ148,MATCH(MIN($AK138:$AK148),$AK138:$AK148,0),MATCH(IF('Data-solution'!$A$3="Maximize",MAX($C149:$AI149),MIN($C149:$AI149)),$C149:$AI149,0))),Y144)</f>
        <v>0</v>
      </c>
      <c r="Z159" s="1">
        <f>IF(OR($B153&lt;&gt;$B138,$B154&lt;&gt;$B139,$B155&lt;&gt;$B140,$B156&lt;&gt;$B141,$B157&lt;&gt;$B142,$B158&lt;&gt;$B143,$B159&lt;&gt;$B144,$B160&lt;&gt;$B145,$B161&lt;&gt;$B146,$B162&lt;&gt;$B147,$B163&lt;&gt;$B148),IF($B159&lt;&gt;$B144,Z144/INDEX($C138:$AJ148,7,MATCH(IF('Data-solution'!$A$3="Maximize",MAX($C149:$AI149),MIN($C149:$AI149)),$C149:$AI149,0)),Z144-INDEX($C138:$AJ148,7,MATCH(IF('Data-solution'!$A$3="Maximize",MAX($C149:$AI149),MIN($C149:$AI149)),$C149:$AI149,0))*INDEX(Z138:$AJ148,MATCH(MIN($AK138:$AK148),$AK138:$AK148,0),1)/INDEX($C138:$AJ148,MATCH(MIN($AK138:$AK148),$AK138:$AK148,0),MATCH(IF('Data-solution'!$A$3="Maximize",MAX($C149:$AI149),MIN($C149:$AI149)),$C149:$AI149,0))),Z144)</f>
        <v>0</v>
      </c>
      <c r="AA159" s="1">
        <f>IF(OR($B153&lt;&gt;$B138,$B154&lt;&gt;$B139,$B155&lt;&gt;$B140,$B156&lt;&gt;$B141,$B157&lt;&gt;$B142,$B158&lt;&gt;$B143,$B159&lt;&gt;$B144,$B160&lt;&gt;$B145,$B161&lt;&gt;$B146,$B162&lt;&gt;$B147,$B163&lt;&gt;$B148),IF($B159&lt;&gt;$B144,AA144/INDEX($C138:$AJ148,7,MATCH(IF('Data-solution'!$A$3="Maximize",MAX($C149:$AI149),MIN($C149:$AI149)),$C149:$AI149,0)),AA144-INDEX($C138:$AJ148,7,MATCH(IF('Data-solution'!$A$3="Maximize",MAX($C149:$AI149),MIN($C149:$AI149)),$C149:$AI149,0))*INDEX(AA138:$AJ148,MATCH(MIN($AK138:$AK148),$AK138:$AK148,0),1)/INDEX($C138:$AJ148,MATCH(MIN($AK138:$AK148),$AK138:$AK148,0),MATCH(IF('Data-solution'!$A$3="Maximize",MAX($C149:$AI149),MIN($C149:$AI149)),$C149:$AI149,0))),AA144)</f>
        <v>0</v>
      </c>
      <c r="AB159" s="1">
        <f>IF(OR($B153&lt;&gt;$B138,$B154&lt;&gt;$B139,$B155&lt;&gt;$B140,$B156&lt;&gt;$B141,$B157&lt;&gt;$B142,$B158&lt;&gt;$B143,$B159&lt;&gt;$B144,$B160&lt;&gt;$B145,$B161&lt;&gt;$B146,$B162&lt;&gt;$B147,$B163&lt;&gt;$B148),IF($B159&lt;&gt;$B144,AB144/INDEX($C138:$AJ148,7,MATCH(IF('Data-solution'!$A$3="Maximize",MAX($C149:$AI149),MIN($C149:$AI149)),$C149:$AI149,0)),AB144-INDEX($C138:$AJ148,7,MATCH(IF('Data-solution'!$A$3="Maximize",MAX($C149:$AI149),MIN($C149:$AI149)),$C149:$AI149,0))*INDEX(AB138:$AJ148,MATCH(MIN($AK138:$AK148),$AK138:$AK148,0),1)/INDEX($C138:$AJ148,MATCH(MIN($AK138:$AK148),$AK138:$AK148,0),MATCH(IF('Data-solution'!$A$3="Maximize",MAX($C149:$AI149),MIN($C149:$AI149)),$C149:$AI149,0))),AB144)</f>
        <v>0</v>
      </c>
      <c r="AC159" s="1">
        <f>IF(OR($B153&lt;&gt;$B138,$B154&lt;&gt;$B139,$B155&lt;&gt;$B140,$B156&lt;&gt;$B141,$B157&lt;&gt;$B142,$B158&lt;&gt;$B143,$B159&lt;&gt;$B144,$B160&lt;&gt;$B145,$B161&lt;&gt;$B146,$B162&lt;&gt;$B147,$B163&lt;&gt;$B148),IF($B159&lt;&gt;$B144,AC144/INDEX($C138:$AJ148,7,MATCH(IF('Data-solution'!$A$3="Maximize",MAX($C149:$AI149),MIN($C149:$AI149)),$C149:$AI149,0)),AC144-INDEX($C138:$AJ148,7,MATCH(IF('Data-solution'!$A$3="Maximize",MAX($C149:$AI149),MIN($C149:$AI149)),$C149:$AI149,0))*INDEX(AC138:$AJ148,MATCH(MIN($AK138:$AK148),$AK138:$AK148,0),1)/INDEX($C138:$AJ148,MATCH(MIN($AK138:$AK148),$AK138:$AK148,0),MATCH(IF('Data-solution'!$A$3="Maximize",MAX($C149:$AI149),MIN($C149:$AI149)),$C149:$AI149,0))),AC144)</f>
        <v>0</v>
      </c>
      <c r="AD159" s="1">
        <f>IF(OR($B153&lt;&gt;$B138,$B154&lt;&gt;$B139,$B155&lt;&gt;$B140,$B156&lt;&gt;$B141,$B157&lt;&gt;$B142,$B158&lt;&gt;$B143,$B159&lt;&gt;$B144,$B160&lt;&gt;$B145,$B161&lt;&gt;$B146,$B162&lt;&gt;$B147,$B163&lt;&gt;$B148),IF($B159&lt;&gt;$B144,AD144/INDEX($C138:$AJ148,7,MATCH(IF('Data-solution'!$A$3="Maximize",MAX($C149:$AI149),MIN($C149:$AI149)),$C149:$AI149,0)),AD144-INDEX($C138:$AJ148,7,MATCH(IF('Data-solution'!$A$3="Maximize",MAX($C149:$AI149),MIN($C149:$AI149)),$C149:$AI149,0))*INDEX(AD138:$AJ148,MATCH(MIN($AK138:$AK148),$AK138:$AK148,0),1)/INDEX($C138:$AJ148,MATCH(MIN($AK138:$AK148),$AK138:$AK148,0),MATCH(IF('Data-solution'!$A$3="Maximize",MAX($C149:$AI149),MIN($C149:$AI149)),$C149:$AI149,0))),AD144)</f>
        <v>0</v>
      </c>
      <c r="AE159" s="1">
        <f>IF(OR($B153&lt;&gt;$B138,$B154&lt;&gt;$B139,$B155&lt;&gt;$B140,$B156&lt;&gt;$B141,$B157&lt;&gt;$B142,$B158&lt;&gt;$B143,$B159&lt;&gt;$B144,$B160&lt;&gt;$B145,$B161&lt;&gt;$B146,$B162&lt;&gt;$B147,$B163&lt;&gt;$B148),IF($B159&lt;&gt;$B144,AE144/INDEX($C138:$AJ148,7,MATCH(IF('Data-solution'!$A$3="Maximize",MAX($C149:$AI149),MIN($C149:$AI149)),$C149:$AI149,0)),AE144-INDEX($C138:$AJ148,7,MATCH(IF('Data-solution'!$A$3="Maximize",MAX($C149:$AI149),MIN($C149:$AI149)),$C149:$AI149,0))*INDEX(AE138:$AJ148,MATCH(MIN($AK138:$AK148),$AK138:$AK148,0),1)/INDEX($C138:$AJ148,MATCH(MIN($AK138:$AK148),$AK138:$AK148,0),MATCH(IF('Data-solution'!$A$3="Maximize",MAX($C149:$AI149),MIN($C149:$AI149)),$C149:$AI149,0))),AE144)</f>
        <v>1</v>
      </c>
      <c r="AF159" s="1">
        <f>IF(OR($B153&lt;&gt;$B138,$B154&lt;&gt;$B139,$B155&lt;&gt;$B140,$B156&lt;&gt;$B141,$B157&lt;&gt;$B142,$B158&lt;&gt;$B143,$B159&lt;&gt;$B144,$B160&lt;&gt;$B145,$B161&lt;&gt;$B146,$B162&lt;&gt;$B147,$B163&lt;&gt;$B148),IF($B159&lt;&gt;$B144,AF144/INDEX($C138:$AJ148,7,MATCH(IF('Data-solution'!$A$3="Maximize",MAX($C149:$AI149),MIN($C149:$AI149)),$C149:$AI149,0)),AF144-INDEX($C138:$AJ148,7,MATCH(IF('Data-solution'!$A$3="Maximize",MAX($C149:$AI149),MIN($C149:$AI149)),$C149:$AI149,0))*INDEX(AF138:$AJ148,MATCH(MIN($AK138:$AK148),$AK138:$AK148,0),1)/INDEX($C138:$AJ148,MATCH(MIN($AK138:$AK148),$AK138:$AK148,0),MATCH(IF('Data-solution'!$A$3="Maximize",MAX($C149:$AI149),MIN($C149:$AI149)),$C149:$AI149,0))),AF144)</f>
        <v>0</v>
      </c>
      <c r="AG159" s="1">
        <f>IF(OR($B153&lt;&gt;$B138,$B154&lt;&gt;$B139,$B155&lt;&gt;$B140,$B156&lt;&gt;$B141,$B157&lt;&gt;$B142,$B158&lt;&gt;$B143,$B159&lt;&gt;$B144,$B160&lt;&gt;$B145,$B161&lt;&gt;$B146,$B162&lt;&gt;$B147,$B163&lt;&gt;$B148),IF($B159&lt;&gt;$B144,AG144/INDEX($C138:$AJ148,7,MATCH(IF('Data-solution'!$A$3="Maximize",MAX($C149:$AI149),MIN($C149:$AI149)),$C149:$AI149,0)),AG144-INDEX($C138:$AJ148,7,MATCH(IF('Data-solution'!$A$3="Maximize",MAX($C149:$AI149),MIN($C149:$AI149)),$C149:$AI149,0))*INDEX(AG138:$AJ148,MATCH(MIN($AK138:$AK148),$AK138:$AK148,0),1)/INDEX($C138:$AJ148,MATCH(MIN($AK138:$AK148),$AK138:$AK148,0),MATCH(IF('Data-solution'!$A$3="Maximize",MAX($C149:$AI149),MIN($C149:$AI149)),$C149:$AI149,0))),AG144)</f>
        <v>0</v>
      </c>
      <c r="AH159" s="1">
        <f>IF(OR($B153&lt;&gt;$B138,$B154&lt;&gt;$B139,$B155&lt;&gt;$B140,$B156&lt;&gt;$B141,$B157&lt;&gt;$B142,$B158&lt;&gt;$B143,$B159&lt;&gt;$B144,$B160&lt;&gt;$B145,$B161&lt;&gt;$B146,$B162&lt;&gt;$B147,$B163&lt;&gt;$B148),IF($B159&lt;&gt;$B144,AH144/INDEX($C138:$AJ148,7,MATCH(IF('Data-solution'!$A$3="Maximize",MAX($C149:$AI149),MIN($C149:$AI149)),$C149:$AI149,0)),AH144-INDEX($C138:$AJ148,7,MATCH(IF('Data-solution'!$A$3="Maximize",MAX($C149:$AI149),MIN($C149:$AI149)),$C149:$AI149,0))*INDEX(AH138:$AJ148,MATCH(MIN($AK138:$AK148),$AK138:$AK148,0),1)/INDEX($C138:$AJ148,MATCH(MIN($AK138:$AK148),$AK138:$AK148,0),MATCH(IF('Data-solution'!$A$3="Maximize",MAX($C149:$AI149),MIN($C149:$AI149)),$C149:$AI149,0))),AH144)</f>
        <v>0</v>
      </c>
      <c r="AI159" s="1">
        <f>IF(OR($B153&lt;&gt;$B138,$B154&lt;&gt;$B139,$B155&lt;&gt;$B140,$B156&lt;&gt;$B141,$B157&lt;&gt;$B142,$B158&lt;&gt;$B143,$B159&lt;&gt;$B144,$B160&lt;&gt;$B145,$B161&lt;&gt;$B146,$B162&lt;&gt;$B147,$B163&lt;&gt;$B148),IF($B159&lt;&gt;$B144,AI144/INDEX($C138:$AJ148,7,MATCH(IF('Data-solution'!$A$3="Maximize",MAX($C149:$AI149),MIN($C149:$AI149)),$C149:$AI149,0)),AI144-INDEX($C138:$AJ148,7,MATCH(IF('Data-solution'!$A$3="Maximize",MAX($C149:$AI149),MIN($C149:$AI149)),$C149:$AI149,0))*INDEX(AI138:$AJ148,MATCH(MIN($AK138:$AK148),$AK138:$AK148,0),1)/INDEX($C138:$AJ148,MATCH(MIN($AK138:$AK148),$AK138:$AK148,0),MATCH(IF('Data-solution'!$A$3="Maximize",MAX($C149:$AI149),MIN($C149:$AI149)),$C149:$AI149,0))),AI144)</f>
        <v>0</v>
      </c>
      <c r="AJ159" s="1">
        <f>IF(OR($B153&lt;&gt;$B138,$B154&lt;&gt;$B139,$B155&lt;&gt;$B140,$B156&lt;&gt;$B141,$B157&lt;&gt;$B142,$B158&lt;&gt;$B143,$B159&lt;&gt;$B144,$B160&lt;&gt;$B145,$B161&lt;&gt;$B146,$B162&lt;&gt;$B147,$B163&lt;&gt;$B148),IF($B159&lt;&gt;$B144,AJ144/INDEX($C138:$AJ148,7,MATCH(IF('Data-solution'!$A$3="Maximize",MAX($C149:$AI149),MIN($C149:$AI149)),$C149:$AI149,0)),AJ144-INDEX($C138:$AJ148,7,MATCH(IF('Data-solution'!$A$3="Maximize",MAX($C149:$AI149),MIN($C149:$AI149)),$C149:$AI149,0))*INDEX(AJ138:$AJ148,MATCH(MIN($AK138:$AK148),$AK138:$AK148,0),1)/INDEX($C138:$AJ148,MATCH(MIN($AK138:$AK148),$AK138:$AK148,0),MATCH(IF('Data-solution'!$A$3="Maximize",MAX($C149:$AI149),MIN($C149:$AI149)),$C149:$AI149,0))),AJ144)</f>
        <v>0</v>
      </c>
      <c r="AK159" s="1" t="str">
        <f>IF(INDEX(C159:X159,1,MATCH(IF('Data-solution'!A$3="Maximize",MAX(C164:X164),MIN(C164:X164)),C164:X164,0))&gt;0,AJ159/INDEX(C159:X159,1,MATCH(IF('Data-solution'!A$3="Maximize",MAX(C164:X164),MIN(C164:X164)),C164:X164,0))," ")</f>
        <v xml:space="preserve"> </v>
      </c>
    </row>
    <row r="160" spans="1:37" ht="18" customHeight="1" x14ac:dyDescent="0.2">
      <c r="A160" s="1">
        <f t="shared" ref="A160" si="131">INDEX(C151:AI151,1,MATCH(B160,C152:AI152,0))</f>
        <v>0</v>
      </c>
      <c r="B160" s="2" t="str">
        <f>IF(AND('Data-solution'!A$3="Maximize",COUNTIF(C149:X149,"&gt;"&amp;0)&gt;0,AK145=MIN(AK138:AK148),COUNTIF(B153:B159,INDEX(C137:X137,1,MATCH(MAX(C149:X149),C149:X149,0)))=0),INDEX(C137:X137,1,MATCH(MAX(C149:X149),C149:X149,0)),IF(AND('Data-solution'!A$3="Minimize",COUNTIF(C149:X149,"&lt;"&amp;0)&gt;0,AK145=MIN(AK138:AK148),COUNTIF(B153:B159,INDEX(C137:X137,1,MATCH(MIN(C149:X149),C149:X149,0)))=0),INDEX(C137:X137,1,MATCH(MIN(C149:X149),C149:X149,0)),B145))</f>
        <v>S8</v>
      </c>
      <c r="C160" s="1">
        <f>IF(OR($B153&lt;&gt;$B138,$B154&lt;&gt;$B139,$B155&lt;&gt;$B140,$B156&lt;&gt;$B141,$B157&lt;&gt;$B142,$B158&lt;&gt;$B143,$B159&lt;&gt;$B144,$B160&lt;&gt;$B145,$B161&lt;&gt;$B146,$B162&lt;&gt;$B147,$B163&lt;&gt;$B148),IF($B160&lt;&gt;$B145,C145/INDEX($C138:$AJ148,8,MATCH(IF('Data-solution'!$A$3="Maximize",MAX($C149:$AI149),MIN($C149:$AI149)),$C149:$AI149,0)),C145-INDEX($C138:$AJ148,8,MATCH(IF('Data-solution'!$A$3="Maximize",MAX($C149:$AI149),MIN($C149:$AI149)),$C149:$AI149,0))*INDEX(C138:$AJ148,MATCH(MIN($AK138:$AK148),$AK138:$AK148,0),1)/INDEX($C138:$AJ148,MATCH(MIN($AK138:$AK148),$AK138:$AK148,0),MATCH(IF('Data-solution'!$A$3="Maximize",MAX($C149:$AI149),MIN($C149:$AI149)),$C149:$AI149,0))),C145)</f>
        <v>0</v>
      </c>
      <c r="D160" s="1">
        <f>IF(OR($B153&lt;&gt;$B138,$B154&lt;&gt;$B139,$B155&lt;&gt;$B140,$B156&lt;&gt;$B141,$B157&lt;&gt;$B142,$B158&lt;&gt;$B143,$B159&lt;&gt;$B144,$B160&lt;&gt;$B145,$B161&lt;&gt;$B146,$B162&lt;&gt;$B147,$B163&lt;&gt;$B148),IF($B160&lt;&gt;$B145,D145/INDEX($C138:$AJ148,8,MATCH(IF('Data-solution'!$A$3="Maximize",MAX($C149:$AI149),MIN($C149:$AI149)),$C149:$AI149,0)),D145-INDEX($C138:$AJ148,8,MATCH(IF('Data-solution'!$A$3="Maximize",MAX($C149:$AI149),MIN($C149:$AI149)),$C149:$AI149,0))*INDEX(D138:$AJ148,MATCH(MIN($AK138:$AK148),$AK138:$AK148,0),1)/INDEX($C138:$AJ148,MATCH(MIN($AK138:$AK148),$AK138:$AK148,0),MATCH(IF('Data-solution'!$A$3="Maximize",MAX($C149:$AI149),MIN($C149:$AI149)),$C149:$AI149,0))),D145)</f>
        <v>0</v>
      </c>
      <c r="E160" s="1">
        <f>IF(OR($B153&lt;&gt;$B138,$B154&lt;&gt;$B139,$B155&lt;&gt;$B140,$B156&lt;&gt;$B141,$B157&lt;&gt;$B142,$B158&lt;&gt;$B143,$B159&lt;&gt;$B144,$B160&lt;&gt;$B145,$B161&lt;&gt;$B146,$B162&lt;&gt;$B147,$B163&lt;&gt;$B148),IF($B160&lt;&gt;$B145,E145/INDEX($C138:$AJ148,8,MATCH(IF('Data-solution'!$A$3="Maximize",MAX($C149:$AI149),MIN($C149:$AI149)),$C149:$AI149,0)),E145-INDEX($C138:$AJ148,8,MATCH(IF('Data-solution'!$A$3="Maximize",MAX($C149:$AI149),MIN($C149:$AI149)),$C149:$AI149,0))*INDEX(E138:$AJ148,MATCH(MIN($AK138:$AK148),$AK138:$AK148,0),1)/INDEX($C138:$AJ148,MATCH(MIN($AK138:$AK148),$AK138:$AK148,0),MATCH(IF('Data-solution'!$A$3="Maximize",MAX($C149:$AI149),MIN($C149:$AI149)),$C149:$AI149,0))),E145)</f>
        <v>0</v>
      </c>
      <c r="F160" s="1">
        <f>IF(OR($B153&lt;&gt;$B138,$B154&lt;&gt;$B139,$B155&lt;&gt;$B140,$B156&lt;&gt;$B141,$B157&lt;&gt;$B142,$B158&lt;&gt;$B143,$B159&lt;&gt;$B144,$B160&lt;&gt;$B145,$B161&lt;&gt;$B146,$B162&lt;&gt;$B147,$B163&lt;&gt;$B148),IF($B160&lt;&gt;$B145,F145/INDEX($C138:$AJ148,8,MATCH(IF('Data-solution'!$A$3="Maximize",MAX($C149:$AI149),MIN($C149:$AI149)),$C149:$AI149,0)),F145-INDEX($C138:$AJ148,8,MATCH(IF('Data-solution'!$A$3="Maximize",MAX($C149:$AI149),MIN($C149:$AI149)),$C149:$AI149,0))*INDEX(F138:$AJ148,MATCH(MIN($AK138:$AK148),$AK138:$AK148,0),1)/INDEX($C138:$AJ148,MATCH(MIN($AK138:$AK148),$AK138:$AK148,0),MATCH(IF('Data-solution'!$A$3="Maximize",MAX($C149:$AI149),MIN($C149:$AI149)),$C149:$AI149,0))),F145)</f>
        <v>0</v>
      </c>
      <c r="G160" s="1">
        <f>IF(OR($B153&lt;&gt;$B138,$B154&lt;&gt;$B139,$B155&lt;&gt;$B140,$B156&lt;&gt;$B141,$B157&lt;&gt;$B142,$B158&lt;&gt;$B143,$B159&lt;&gt;$B144,$B160&lt;&gt;$B145,$B161&lt;&gt;$B146,$B162&lt;&gt;$B147,$B163&lt;&gt;$B148),IF($B160&lt;&gt;$B145,G145/INDEX($C138:$AJ148,8,MATCH(IF('Data-solution'!$A$3="Maximize",MAX($C149:$AI149),MIN($C149:$AI149)),$C149:$AI149,0)),G145-INDEX($C138:$AJ148,8,MATCH(IF('Data-solution'!$A$3="Maximize",MAX($C149:$AI149),MIN($C149:$AI149)),$C149:$AI149,0))*INDEX(G138:$AJ148,MATCH(MIN($AK138:$AK148),$AK138:$AK148,0),1)/INDEX($C138:$AJ148,MATCH(MIN($AK138:$AK148),$AK138:$AK148,0),MATCH(IF('Data-solution'!$A$3="Maximize",MAX($C149:$AI149),MIN($C149:$AI149)),$C149:$AI149,0))),G145)</f>
        <v>0</v>
      </c>
      <c r="H160" s="1">
        <f>IF(OR($B153&lt;&gt;$B138,$B154&lt;&gt;$B139,$B155&lt;&gt;$B140,$B156&lt;&gt;$B141,$B157&lt;&gt;$B142,$B158&lt;&gt;$B143,$B159&lt;&gt;$B144,$B160&lt;&gt;$B145,$B161&lt;&gt;$B146,$B162&lt;&gt;$B147,$B163&lt;&gt;$B148),IF($B160&lt;&gt;$B145,H145/INDEX($C138:$AJ148,8,MATCH(IF('Data-solution'!$A$3="Maximize",MAX($C149:$AI149),MIN($C149:$AI149)),$C149:$AI149,0)),H145-INDEX($C138:$AJ148,8,MATCH(IF('Data-solution'!$A$3="Maximize",MAX($C149:$AI149),MIN($C149:$AI149)),$C149:$AI149,0))*INDEX(H138:$AJ148,MATCH(MIN($AK138:$AK148),$AK138:$AK148,0),1)/INDEX($C138:$AJ148,MATCH(MIN($AK138:$AK148),$AK138:$AK148,0),MATCH(IF('Data-solution'!$A$3="Maximize",MAX($C149:$AI149),MIN($C149:$AI149)),$C149:$AI149,0))),H145)</f>
        <v>0</v>
      </c>
      <c r="I160" s="1">
        <f>IF(OR($B153&lt;&gt;$B138,$B154&lt;&gt;$B139,$B155&lt;&gt;$B140,$B156&lt;&gt;$B141,$B157&lt;&gt;$B142,$B158&lt;&gt;$B143,$B159&lt;&gt;$B144,$B160&lt;&gt;$B145,$B161&lt;&gt;$B146,$B162&lt;&gt;$B147,$B163&lt;&gt;$B148),IF($B160&lt;&gt;$B145,I145/INDEX($C138:$AJ148,8,MATCH(IF('Data-solution'!$A$3="Maximize",MAX($C149:$AI149),MIN($C149:$AI149)),$C149:$AI149,0)),I145-INDEX($C138:$AJ148,8,MATCH(IF('Data-solution'!$A$3="Maximize",MAX($C149:$AI149),MIN($C149:$AI149)),$C149:$AI149,0))*INDEX(I138:$AJ148,MATCH(MIN($AK138:$AK148),$AK138:$AK148,0),1)/INDEX($C138:$AJ148,MATCH(MIN($AK138:$AK148),$AK138:$AK148,0),MATCH(IF('Data-solution'!$A$3="Maximize",MAX($C149:$AI149),MIN($C149:$AI149)),$C149:$AI149,0))),I145)</f>
        <v>0</v>
      </c>
      <c r="J160" s="1">
        <f>IF(OR($B153&lt;&gt;$B138,$B154&lt;&gt;$B139,$B155&lt;&gt;$B140,$B156&lt;&gt;$B141,$B157&lt;&gt;$B142,$B158&lt;&gt;$B143,$B159&lt;&gt;$B144,$B160&lt;&gt;$B145,$B161&lt;&gt;$B146,$B162&lt;&gt;$B147,$B163&lt;&gt;$B148),IF($B160&lt;&gt;$B145,J145/INDEX($C138:$AJ148,8,MATCH(IF('Data-solution'!$A$3="Maximize",MAX($C149:$AI149),MIN($C149:$AI149)),$C149:$AI149,0)),J145-INDEX($C138:$AJ148,8,MATCH(IF('Data-solution'!$A$3="Maximize",MAX($C149:$AI149),MIN($C149:$AI149)),$C149:$AI149,0))*INDEX(J138:$AJ148,MATCH(MIN($AK138:$AK148),$AK138:$AK148,0),1)/INDEX($C138:$AJ148,MATCH(MIN($AK138:$AK148),$AK138:$AK148,0),MATCH(IF('Data-solution'!$A$3="Maximize",MAX($C149:$AI149),MIN($C149:$AI149)),$C149:$AI149,0))),J145)</f>
        <v>0</v>
      </c>
      <c r="K160" s="1">
        <f>IF(OR($B153&lt;&gt;$B138,$B154&lt;&gt;$B139,$B155&lt;&gt;$B140,$B156&lt;&gt;$B141,$B157&lt;&gt;$B142,$B158&lt;&gt;$B143,$B159&lt;&gt;$B144,$B160&lt;&gt;$B145,$B161&lt;&gt;$B146,$B162&lt;&gt;$B147,$B163&lt;&gt;$B148),IF($B160&lt;&gt;$B145,K145/INDEX($C138:$AJ148,8,MATCH(IF('Data-solution'!$A$3="Maximize",MAX($C149:$AI149),MIN($C149:$AI149)),$C149:$AI149,0)),K145-INDEX($C138:$AJ148,8,MATCH(IF('Data-solution'!$A$3="Maximize",MAX($C149:$AI149),MIN($C149:$AI149)),$C149:$AI149,0))*INDEX(K138:$AJ148,MATCH(MIN($AK138:$AK148),$AK138:$AK148,0),1)/INDEX($C138:$AJ148,MATCH(MIN($AK138:$AK148),$AK138:$AK148,0),MATCH(IF('Data-solution'!$A$3="Maximize",MAX($C149:$AI149),MIN($C149:$AI149)),$C149:$AI149,0))),K145)</f>
        <v>0</v>
      </c>
      <c r="L160" s="1">
        <f>IF(OR($B153&lt;&gt;$B138,$B154&lt;&gt;$B139,$B155&lt;&gt;$B140,$B156&lt;&gt;$B141,$B157&lt;&gt;$B142,$B158&lt;&gt;$B143,$B159&lt;&gt;$B144,$B160&lt;&gt;$B145,$B161&lt;&gt;$B146,$B162&lt;&gt;$B147,$B163&lt;&gt;$B148),IF($B160&lt;&gt;$B145,L145/INDEX($C138:$AJ148,8,MATCH(IF('Data-solution'!$A$3="Maximize",MAX($C149:$AI149),MIN($C149:$AI149)),$C149:$AI149,0)),L145-INDEX($C138:$AJ148,8,MATCH(IF('Data-solution'!$A$3="Maximize",MAX($C149:$AI149),MIN($C149:$AI149)),$C149:$AI149,0))*INDEX(L138:$AJ148,MATCH(MIN($AK138:$AK148),$AK138:$AK148,0),1)/INDEX($C138:$AJ148,MATCH(MIN($AK138:$AK148),$AK138:$AK148,0),MATCH(IF('Data-solution'!$A$3="Maximize",MAX($C149:$AI149),MIN($C149:$AI149)),$C149:$AI149,0))),L145)</f>
        <v>0</v>
      </c>
      <c r="M160" s="1">
        <f>IF(OR($B153&lt;&gt;$B138,$B154&lt;&gt;$B139,$B155&lt;&gt;$B140,$B156&lt;&gt;$B141,$B157&lt;&gt;$B142,$B158&lt;&gt;$B143,$B159&lt;&gt;$B144,$B160&lt;&gt;$B145,$B161&lt;&gt;$B146,$B162&lt;&gt;$B147,$B163&lt;&gt;$B148),IF($B160&lt;&gt;$B145,M145/INDEX($C138:$AJ148,8,MATCH(IF('Data-solution'!$A$3="Maximize",MAX($C149:$AI149),MIN($C149:$AI149)),$C149:$AI149,0)),M145-INDEX($C138:$AJ148,8,MATCH(IF('Data-solution'!$A$3="Maximize",MAX($C149:$AI149),MIN($C149:$AI149)),$C149:$AI149,0))*INDEX(M138:$AJ148,MATCH(MIN($AK138:$AK148),$AK138:$AK148,0),1)/INDEX($C138:$AJ148,MATCH(MIN($AK138:$AK148),$AK138:$AK148,0),MATCH(IF('Data-solution'!$A$3="Maximize",MAX($C149:$AI149),MIN($C149:$AI149)),$C149:$AI149,0))),M145)</f>
        <v>0</v>
      </c>
      <c r="N160" s="1">
        <f>IF(OR($B153&lt;&gt;$B138,$B154&lt;&gt;$B139,$B155&lt;&gt;$B140,$B156&lt;&gt;$B141,$B157&lt;&gt;$B142,$B158&lt;&gt;$B143,$B159&lt;&gt;$B144,$B160&lt;&gt;$B145,$B161&lt;&gt;$B146,$B162&lt;&gt;$B147,$B163&lt;&gt;$B148),IF($B160&lt;&gt;$B145,N145/INDEX($C138:$AJ148,8,MATCH(IF('Data-solution'!$A$3="Maximize",MAX($C149:$AI149),MIN($C149:$AI149)),$C149:$AI149,0)),N145-INDEX($C138:$AJ148,8,MATCH(IF('Data-solution'!$A$3="Maximize",MAX($C149:$AI149),MIN($C149:$AI149)),$C149:$AI149,0))*INDEX(N138:$AJ148,MATCH(MIN($AK138:$AK148),$AK138:$AK148,0),1)/INDEX($C138:$AJ148,MATCH(MIN($AK138:$AK148),$AK138:$AK148,0),MATCH(IF('Data-solution'!$A$3="Maximize",MAX($C149:$AI149),MIN($C149:$AI149)),$C149:$AI149,0))),N145)</f>
        <v>0</v>
      </c>
      <c r="O160" s="1">
        <f>IF(OR($B153&lt;&gt;$B138,$B154&lt;&gt;$B139,$B155&lt;&gt;$B140,$B156&lt;&gt;$B141,$B157&lt;&gt;$B142,$B158&lt;&gt;$B143,$B159&lt;&gt;$B144,$B160&lt;&gt;$B145,$B161&lt;&gt;$B146,$B162&lt;&gt;$B147,$B163&lt;&gt;$B148),IF($B160&lt;&gt;$B145,O145/INDEX($C138:$AJ148,8,MATCH(IF('Data-solution'!$A$3="Maximize",MAX($C149:$AI149),MIN($C149:$AI149)),$C149:$AI149,0)),O145-INDEX($C138:$AJ148,8,MATCH(IF('Data-solution'!$A$3="Maximize",MAX($C149:$AI149),MIN($C149:$AI149)),$C149:$AI149,0))*INDEX(O138:$AJ148,MATCH(MIN($AK138:$AK148),$AK138:$AK148,0),1)/INDEX($C138:$AJ148,MATCH(MIN($AK138:$AK148),$AK138:$AK148,0),MATCH(IF('Data-solution'!$A$3="Maximize",MAX($C149:$AI149),MIN($C149:$AI149)),$C149:$AI149,0))),O145)</f>
        <v>0</v>
      </c>
      <c r="P160" s="1">
        <f>IF(OR($B153&lt;&gt;$B138,$B154&lt;&gt;$B139,$B155&lt;&gt;$B140,$B156&lt;&gt;$B141,$B157&lt;&gt;$B142,$B158&lt;&gt;$B143,$B159&lt;&gt;$B144,$B160&lt;&gt;$B145,$B161&lt;&gt;$B146,$B162&lt;&gt;$B147,$B163&lt;&gt;$B148),IF($B160&lt;&gt;$B145,P145/INDEX($C138:$AJ148,8,MATCH(IF('Data-solution'!$A$3="Maximize",MAX($C149:$AI149),MIN($C149:$AI149)),$C149:$AI149,0)),P145-INDEX($C138:$AJ148,8,MATCH(IF('Data-solution'!$A$3="Maximize",MAX($C149:$AI149),MIN($C149:$AI149)),$C149:$AI149,0))*INDEX(P138:$AJ148,MATCH(MIN($AK138:$AK148),$AK138:$AK148,0),1)/INDEX($C138:$AJ148,MATCH(MIN($AK138:$AK148),$AK138:$AK148,0),MATCH(IF('Data-solution'!$A$3="Maximize",MAX($C149:$AI149),MIN($C149:$AI149)),$C149:$AI149,0))),P145)</f>
        <v>0</v>
      </c>
      <c r="Q160" s="1">
        <f>IF(OR($B153&lt;&gt;$B138,$B154&lt;&gt;$B139,$B155&lt;&gt;$B140,$B156&lt;&gt;$B141,$B157&lt;&gt;$B142,$B158&lt;&gt;$B143,$B159&lt;&gt;$B144,$B160&lt;&gt;$B145,$B161&lt;&gt;$B146,$B162&lt;&gt;$B147,$B163&lt;&gt;$B148),IF($B160&lt;&gt;$B145,Q145/INDEX($C138:$AJ148,8,MATCH(IF('Data-solution'!$A$3="Maximize",MAX($C149:$AI149),MIN($C149:$AI149)),$C149:$AI149,0)),Q145-INDEX($C138:$AJ148,8,MATCH(IF('Data-solution'!$A$3="Maximize",MAX($C149:$AI149),MIN($C149:$AI149)),$C149:$AI149,0))*INDEX(Q138:$AJ148,MATCH(MIN($AK138:$AK148),$AK138:$AK148,0),1)/INDEX($C138:$AJ148,MATCH(MIN($AK138:$AK148),$AK138:$AK148,0),MATCH(IF('Data-solution'!$A$3="Maximize",MAX($C149:$AI149),MIN($C149:$AI149)),$C149:$AI149,0))),Q145)</f>
        <v>0</v>
      </c>
      <c r="R160" s="1">
        <f>IF(OR($B153&lt;&gt;$B138,$B154&lt;&gt;$B139,$B155&lt;&gt;$B140,$B156&lt;&gt;$B141,$B157&lt;&gt;$B142,$B158&lt;&gt;$B143,$B159&lt;&gt;$B144,$B160&lt;&gt;$B145,$B161&lt;&gt;$B146,$B162&lt;&gt;$B147,$B163&lt;&gt;$B148),IF($B160&lt;&gt;$B145,R145/INDEX($C138:$AJ148,8,MATCH(IF('Data-solution'!$A$3="Maximize",MAX($C149:$AI149),MIN($C149:$AI149)),$C149:$AI149,0)),R145-INDEX($C138:$AJ148,8,MATCH(IF('Data-solution'!$A$3="Maximize",MAX($C149:$AI149),MIN($C149:$AI149)),$C149:$AI149,0))*INDEX(R138:$AJ148,MATCH(MIN($AK138:$AK148),$AK138:$AK148,0),1)/INDEX($C138:$AJ148,MATCH(MIN($AK138:$AK148),$AK138:$AK148,0),MATCH(IF('Data-solution'!$A$3="Maximize",MAX($C149:$AI149),MIN($C149:$AI149)),$C149:$AI149,0))),R145)</f>
        <v>0</v>
      </c>
      <c r="S160" s="1">
        <f>IF(OR($B153&lt;&gt;$B138,$B154&lt;&gt;$B139,$B155&lt;&gt;$B140,$B156&lt;&gt;$B141,$B157&lt;&gt;$B142,$B158&lt;&gt;$B143,$B159&lt;&gt;$B144,$B160&lt;&gt;$B145,$B161&lt;&gt;$B146,$B162&lt;&gt;$B147,$B163&lt;&gt;$B148),IF($B160&lt;&gt;$B145,S145/INDEX($C138:$AJ148,8,MATCH(IF('Data-solution'!$A$3="Maximize",MAX($C149:$AI149),MIN($C149:$AI149)),$C149:$AI149,0)),S145-INDEX($C138:$AJ148,8,MATCH(IF('Data-solution'!$A$3="Maximize",MAX($C149:$AI149),MIN($C149:$AI149)),$C149:$AI149,0))*INDEX(S138:$AJ148,MATCH(MIN($AK138:$AK148),$AK138:$AK148,0),1)/INDEX($C138:$AJ148,MATCH(MIN($AK138:$AK148),$AK138:$AK148,0),MATCH(IF('Data-solution'!$A$3="Maximize",MAX($C149:$AI149),MIN($C149:$AI149)),$C149:$AI149,0))),S145)</f>
        <v>0</v>
      </c>
      <c r="T160" s="1">
        <f>IF(OR($B153&lt;&gt;$B138,$B154&lt;&gt;$B139,$B155&lt;&gt;$B140,$B156&lt;&gt;$B141,$B157&lt;&gt;$B142,$B158&lt;&gt;$B143,$B159&lt;&gt;$B144,$B160&lt;&gt;$B145,$B161&lt;&gt;$B146,$B162&lt;&gt;$B147,$B163&lt;&gt;$B148),IF($B160&lt;&gt;$B145,T145/INDEX($C138:$AJ148,8,MATCH(IF('Data-solution'!$A$3="Maximize",MAX($C149:$AI149),MIN($C149:$AI149)),$C149:$AI149,0)),T145-INDEX($C138:$AJ148,8,MATCH(IF('Data-solution'!$A$3="Maximize",MAX($C149:$AI149),MIN($C149:$AI149)),$C149:$AI149,0))*INDEX(T138:$AJ148,MATCH(MIN($AK138:$AK148),$AK138:$AK148,0),1)/INDEX($C138:$AJ148,MATCH(MIN($AK138:$AK148),$AK138:$AK148,0),MATCH(IF('Data-solution'!$A$3="Maximize",MAX($C149:$AI149),MIN($C149:$AI149)),$C149:$AI149,0))),T145)</f>
        <v>0</v>
      </c>
      <c r="U160" s="1">
        <f>IF(OR($B153&lt;&gt;$B138,$B154&lt;&gt;$B139,$B155&lt;&gt;$B140,$B156&lt;&gt;$B141,$B157&lt;&gt;$B142,$B158&lt;&gt;$B143,$B159&lt;&gt;$B144,$B160&lt;&gt;$B145,$B161&lt;&gt;$B146,$B162&lt;&gt;$B147,$B163&lt;&gt;$B148),IF($B160&lt;&gt;$B145,U145/INDEX($C138:$AJ148,8,MATCH(IF('Data-solution'!$A$3="Maximize",MAX($C149:$AI149),MIN($C149:$AI149)),$C149:$AI149,0)),U145-INDEX($C138:$AJ148,8,MATCH(IF('Data-solution'!$A$3="Maximize",MAX($C149:$AI149),MIN($C149:$AI149)),$C149:$AI149,0))*INDEX(U138:$AJ148,MATCH(MIN($AK138:$AK148),$AK138:$AK148,0),1)/INDEX($C138:$AJ148,MATCH(MIN($AK138:$AK148),$AK138:$AK148,0),MATCH(IF('Data-solution'!$A$3="Maximize",MAX($C149:$AI149),MIN($C149:$AI149)),$C149:$AI149,0))),U145)</f>
        <v>1</v>
      </c>
      <c r="V160" s="1">
        <f>IF(OR($B153&lt;&gt;$B138,$B154&lt;&gt;$B139,$B155&lt;&gt;$B140,$B156&lt;&gt;$B141,$B157&lt;&gt;$B142,$B158&lt;&gt;$B143,$B159&lt;&gt;$B144,$B160&lt;&gt;$B145,$B161&lt;&gt;$B146,$B162&lt;&gt;$B147,$B163&lt;&gt;$B148),IF($B160&lt;&gt;$B145,V145/INDEX($C138:$AJ148,8,MATCH(IF('Data-solution'!$A$3="Maximize",MAX($C149:$AI149),MIN($C149:$AI149)),$C149:$AI149,0)),V145-INDEX($C138:$AJ148,8,MATCH(IF('Data-solution'!$A$3="Maximize",MAX($C149:$AI149),MIN($C149:$AI149)),$C149:$AI149,0))*INDEX(V138:$AJ148,MATCH(MIN($AK138:$AK148),$AK138:$AK148,0),1)/INDEX($C138:$AJ148,MATCH(MIN($AK138:$AK148),$AK138:$AK148,0),MATCH(IF('Data-solution'!$A$3="Maximize",MAX($C149:$AI149),MIN($C149:$AI149)),$C149:$AI149,0))),V145)</f>
        <v>0</v>
      </c>
      <c r="W160" s="1">
        <f>IF(OR($B153&lt;&gt;$B138,$B154&lt;&gt;$B139,$B155&lt;&gt;$B140,$B156&lt;&gt;$B141,$B157&lt;&gt;$B142,$B158&lt;&gt;$B143,$B159&lt;&gt;$B144,$B160&lt;&gt;$B145,$B161&lt;&gt;$B146,$B162&lt;&gt;$B147,$B163&lt;&gt;$B148),IF($B160&lt;&gt;$B145,W145/INDEX($C138:$AJ148,8,MATCH(IF('Data-solution'!$A$3="Maximize",MAX($C149:$AI149),MIN($C149:$AI149)),$C149:$AI149,0)),W145-INDEX($C138:$AJ148,8,MATCH(IF('Data-solution'!$A$3="Maximize",MAX($C149:$AI149),MIN($C149:$AI149)),$C149:$AI149,0))*INDEX(W138:$AJ148,MATCH(MIN($AK138:$AK148),$AK138:$AK148,0),1)/INDEX($C138:$AJ148,MATCH(MIN($AK138:$AK148),$AK138:$AK148,0),MATCH(IF('Data-solution'!$A$3="Maximize",MAX($C149:$AI149),MIN($C149:$AI149)),$C149:$AI149,0))),W145)</f>
        <v>0</v>
      </c>
      <c r="X160" s="1">
        <f>IF(OR($B153&lt;&gt;$B138,$B154&lt;&gt;$B139,$B155&lt;&gt;$B140,$B156&lt;&gt;$B141,$B157&lt;&gt;$B142,$B158&lt;&gt;$B143,$B159&lt;&gt;$B144,$B160&lt;&gt;$B145,$B161&lt;&gt;$B146,$B162&lt;&gt;$B147,$B163&lt;&gt;$B148),IF($B160&lt;&gt;$B145,X145/INDEX($C138:$AJ148,8,MATCH(IF('Data-solution'!$A$3="Maximize",MAX($C149:$AI149),MIN($C149:$AI149)),$C149:$AI149,0)),X145-INDEX($C138:$AJ148,8,MATCH(IF('Data-solution'!$A$3="Maximize",MAX($C149:$AI149),MIN($C149:$AI149)),$C149:$AI149,0))*INDEX(X138:$AJ148,MATCH(MIN($AK138:$AK148),$AK138:$AK148,0),1)/INDEX($C138:$AJ148,MATCH(MIN($AK138:$AK148),$AK138:$AK148,0),MATCH(IF('Data-solution'!$A$3="Maximize",MAX($C149:$AI149),MIN($C149:$AI149)),$C149:$AI149,0))),X145)</f>
        <v>0</v>
      </c>
      <c r="Y160" s="1">
        <f>IF(OR($B153&lt;&gt;$B138,$B154&lt;&gt;$B139,$B155&lt;&gt;$B140,$B156&lt;&gt;$B141,$B157&lt;&gt;$B142,$B158&lt;&gt;$B143,$B159&lt;&gt;$B144,$B160&lt;&gt;$B145,$B161&lt;&gt;$B146,$B162&lt;&gt;$B147,$B163&lt;&gt;$B148),IF($B160&lt;&gt;$B145,Y145/INDEX($C138:$AJ148,8,MATCH(IF('Data-solution'!$A$3="Maximize",MAX($C149:$AI149),MIN($C149:$AI149)),$C149:$AI149,0)),Y145-INDEX($C138:$AJ148,8,MATCH(IF('Data-solution'!$A$3="Maximize",MAX($C149:$AI149),MIN($C149:$AI149)),$C149:$AI149,0))*INDEX(Y138:$AJ148,MATCH(MIN($AK138:$AK148),$AK138:$AK148,0),1)/INDEX($C138:$AJ148,MATCH(MIN($AK138:$AK148),$AK138:$AK148,0),MATCH(IF('Data-solution'!$A$3="Maximize",MAX($C149:$AI149),MIN($C149:$AI149)),$C149:$AI149,0))),Y145)</f>
        <v>0</v>
      </c>
      <c r="Z160" s="1">
        <f>IF(OR($B153&lt;&gt;$B138,$B154&lt;&gt;$B139,$B155&lt;&gt;$B140,$B156&lt;&gt;$B141,$B157&lt;&gt;$B142,$B158&lt;&gt;$B143,$B159&lt;&gt;$B144,$B160&lt;&gt;$B145,$B161&lt;&gt;$B146,$B162&lt;&gt;$B147,$B163&lt;&gt;$B148),IF($B160&lt;&gt;$B145,Z145/INDEX($C138:$AJ148,8,MATCH(IF('Data-solution'!$A$3="Maximize",MAX($C149:$AI149),MIN($C149:$AI149)),$C149:$AI149,0)),Z145-INDEX($C138:$AJ148,8,MATCH(IF('Data-solution'!$A$3="Maximize",MAX($C149:$AI149),MIN($C149:$AI149)),$C149:$AI149,0))*INDEX(Z138:$AJ148,MATCH(MIN($AK138:$AK148),$AK138:$AK148,0),1)/INDEX($C138:$AJ148,MATCH(MIN($AK138:$AK148),$AK138:$AK148,0),MATCH(IF('Data-solution'!$A$3="Maximize",MAX($C149:$AI149),MIN($C149:$AI149)),$C149:$AI149,0))),Z145)</f>
        <v>0</v>
      </c>
      <c r="AA160" s="1">
        <f>IF(OR($B153&lt;&gt;$B138,$B154&lt;&gt;$B139,$B155&lt;&gt;$B140,$B156&lt;&gt;$B141,$B157&lt;&gt;$B142,$B158&lt;&gt;$B143,$B159&lt;&gt;$B144,$B160&lt;&gt;$B145,$B161&lt;&gt;$B146,$B162&lt;&gt;$B147,$B163&lt;&gt;$B148),IF($B160&lt;&gt;$B145,AA145/INDEX($C138:$AJ148,8,MATCH(IF('Data-solution'!$A$3="Maximize",MAX($C149:$AI149),MIN($C149:$AI149)),$C149:$AI149,0)),AA145-INDEX($C138:$AJ148,8,MATCH(IF('Data-solution'!$A$3="Maximize",MAX($C149:$AI149),MIN($C149:$AI149)),$C149:$AI149,0))*INDEX(AA138:$AJ148,MATCH(MIN($AK138:$AK148),$AK138:$AK148,0),1)/INDEX($C138:$AJ148,MATCH(MIN($AK138:$AK148),$AK138:$AK148,0),MATCH(IF('Data-solution'!$A$3="Maximize",MAX($C149:$AI149),MIN($C149:$AI149)),$C149:$AI149,0))),AA145)</f>
        <v>0</v>
      </c>
      <c r="AB160" s="1">
        <f>IF(OR($B153&lt;&gt;$B138,$B154&lt;&gt;$B139,$B155&lt;&gt;$B140,$B156&lt;&gt;$B141,$B157&lt;&gt;$B142,$B158&lt;&gt;$B143,$B159&lt;&gt;$B144,$B160&lt;&gt;$B145,$B161&lt;&gt;$B146,$B162&lt;&gt;$B147,$B163&lt;&gt;$B148),IF($B160&lt;&gt;$B145,AB145/INDEX($C138:$AJ148,8,MATCH(IF('Data-solution'!$A$3="Maximize",MAX($C149:$AI149),MIN($C149:$AI149)),$C149:$AI149,0)),AB145-INDEX($C138:$AJ148,8,MATCH(IF('Data-solution'!$A$3="Maximize",MAX($C149:$AI149),MIN($C149:$AI149)),$C149:$AI149,0))*INDEX(AB138:$AJ148,MATCH(MIN($AK138:$AK148),$AK138:$AK148,0),1)/INDEX($C138:$AJ148,MATCH(MIN($AK138:$AK148),$AK138:$AK148,0),MATCH(IF('Data-solution'!$A$3="Maximize",MAX($C149:$AI149),MIN($C149:$AI149)),$C149:$AI149,0))),AB145)</f>
        <v>0</v>
      </c>
      <c r="AC160" s="1">
        <f>IF(OR($B153&lt;&gt;$B138,$B154&lt;&gt;$B139,$B155&lt;&gt;$B140,$B156&lt;&gt;$B141,$B157&lt;&gt;$B142,$B158&lt;&gt;$B143,$B159&lt;&gt;$B144,$B160&lt;&gt;$B145,$B161&lt;&gt;$B146,$B162&lt;&gt;$B147,$B163&lt;&gt;$B148),IF($B160&lt;&gt;$B145,AC145/INDEX($C138:$AJ148,8,MATCH(IF('Data-solution'!$A$3="Maximize",MAX($C149:$AI149),MIN($C149:$AI149)),$C149:$AI149,0)),AC145-INDEX($C138:$AJ148,8,MATCH(IF('Data-solution'!$A$3="Maximize",MAX($C149:$AI149),MIN($C149:$AI149)),$C149:$AI149,0))*INDEX(AC138:$AJ148,MATCH(MIN($AK138:$AK148),$AK138:$AK148,0),1)/INDEX($C138:$AJ148,MATCH(MIN($AK138:$AK148),$AK138:$AK148,0),MATCH(IF('Data-solution'!$A$3="Maximize",MAX($C149:$AI149),MIN($C149:$AI149)),$C149:$AI149,0))),AC145)</f>
        <v>0</v>
      </c>
      <c r="AD160" s="1">
        <f>IF(OR($B153&lt;&gt;$B138,$B154&lt;&gt;$B139,$B155&lt;&gt;$B140,$B156&lt;&gt;$B141,$B157&lt;&gt;$B142,$B158&lt;&gt;$B143,$B159&lt;&gt;$B144,$B160&lt;&gt;$B145,$B161&lt;&gt;$B146,$B162&lt;&gt;$B147,$B163&lt;&gt;$B148),IF($B160&lt;&gt;$B145,AD145/INDEX($C138:$AJ148,8,MATCH(IF('Data-solution'!$A$3="Maximize",MAX($C149:$AI149),MIN($C149:$AI149)),$C149:$AI149,0)),AD145-INDEX($C138:$AJ148,8,MATCH(IF('Data-solution'!$A$3="Maximize",MAX($C149:$AI149),MIN($C149:$AI149)),$C149:$AI149,0))*INDEX(AD138:$AJ148,MATCH(MIN($AK138:$AK148),$AK138:$AK148,0),1)/INDEX($C138:$AJ148,MATCH(MIN($AK138:$AK148),$AK138:$AK148,0),MATCH(IF('Data-solution'!$A$3="Maximize",MAX($C149:$AI149),MIN($C149:$AI149)),$C149:$AI149,0))),AD145)</f>
        <v>0</v>
      </c>
      <c r="AE160" s="1">
        <f>IF(OR($B153&lt;&gt;$B138,$B154&lt;&gt;$B139,$B155&lt;&gt;$B140,$B156&lt;&gt;$B141,$B157&lt;&gt;$B142,$B158&lt;&gt;$B143,$B159&lt;&gt;$B144,$B160&lt;&gt;$B145,$B161&lt;&gt;$B146,$B162&lt;&gt;$B147,$B163&lt;&gt;$B148),IF($B160&lt;&gt;$B145,AE145/INDEX($C138:$AJ148,8,MATCH(IF('Data-solution'!$A$3="Maximize",MAX($C149:$AI149),MIN($C149:$AI149)),$C149:$AI149,0)),AE145-INDEX($C138:$AJ148,8,MATCH(IF('Data-solution'!$A$3="Maximize",MAX($C149:$AI149),MIN($C149:$AI149)),$C149:$AI149,0))*INDEX(AE138:$AJ148,MATCH(MIN($AK138:$AK148),$AK138:$AK148,0),1)/INDEX($C138:$AJ148,MATCH(MIN($AK138:$AK148),$AK138:$AK148,0),MATCH(IF('Data-solution'!$A$3="Maximize",MAX($C149:$AI149),MIN($C149:$AI149)),$C149:$AI149,0))),AE145)</f>
        <v>0</v>
      </c>
      <c r="AF160" s="1">
        <f>IF(OR($B153&lt;&gt;$B138,$B154&lt;&gt;$B139,$B155&lt;&gt;$B140,$B156&lt;&gt;$B141,$B157&lt;&gt;$B142,$B158&lt;&gt;$B143,$B159&lt;&gt;$B144,$B160&lt;&gt;$B145,$B161&lt;&gt;$B146,$B162&lt;&gt;$B147,$B163&lt;&gt;$B148),IF($B160&lt;&gt;$B145,AF145/INDEX($C138:$AJ148,8,MATCH(IF('Data-solution'!$A$3="Maximize",MAX($C149:$AI149),MIN($C149:$AI149)),$C149:$AI149,0)),AF145-INDEX($C138:$AJ148,8,MATCH(IF('Data-solution'!$A$3="Maximize",MAX($C149:$AI149),MIN($C149:$AI149)),$C149:$AI149,0))*INDEX(AF138:$AJ148,MATCH(MIN($AK138:$AK148),$AK138:$AK148,0),1)/INDEX($C138:$AJ148,MATCH(MIN($AK138:$AK148),$AK138:$AK148,0),MATCH(IF('Data-solution'!$A$3="Maximize",MAX($C149:$AI149),MIN($C149:$AI149)),$C149:$AI149,0))),AF145)</f>
        <v>1</v>
      </c>
      <c r="AG160" s="1">
        <f>IF(OR($B153&lt;&gt;$B138,$B154&lt;&gt;$B139,$B155&lt;&gt;$B140,$B156&lt;&gt;$B141,$B157&lt;&gt;$B142,$B158&lt;&gt;$B143,$B159&lt;&gt;$B144,$B160&lt;&gt;$B145,$B161&lt;&gt;$B146,$B162&lt;&gt;$B147,$B163&lt;&gt;$B148),IF($B160&lt;&gt;$B145,AG145/INDEX($C138:$AJ148,8,MATCH(IF('Data-solution'!$A$3="Maximize",MAX($C149:$AI149),MIN($C149:$AI149)),$C149:$AI149,0)),AG145-INDEX($C138:$AJ148,8,MATCH(IF('Data-solution'!$A$3="Maximize",MAX($C149:$AI149),MIN($C149:$AI149)),$C149:$AI149,0))*INDEX(AG138:$AJ148,MATCH(MIN($AK138:$AK148),$AK138:$AK148,0),1)/INDEX($C138:$AJ148,MATCH(MIN($AK138:$AK148),$AK138:$AK148,0),MATCH(IF('Data-solution'!$A$3="Maximize",MAX($C149:$AI149),MIN($C149:$AI149)),$C149:$AI149,0))),AG145)</f>
        <v>0</v>
      </c>
      <c r="AH160" s="1">
        <f>IF(OR($B153&lt;&gt;$B138,$B154&lt;&gt;$B139,$B155&lt;&gt;$B140,$B156&lt;&gt;$B141,$B157&lt;&gt;$B142,$B158&lt;&gt;$B143,$B159&lt;&gt;$B144,$B160&lt;&gt;$B145,$B161&lt;&gt;$B146,$B162&lt;&gt;$B147,$B163&lt;&gt;$B148),IF($B160&lt;&gt;$B145,AH145/INDEX($C138:$AJ148,8,MATCH(IF('Data-solution'!$A$3="Maximize",MAX($C149:$AI149),MIN($C149:$AI149)),$C149:$AI149,0)),AH145-INDEX($C138:$AJ148,8,MATCH(IF('Data-solution'!$A$3="Maximize",MAX($C149:$AI149),MIN($C149:$AI149)),$C149:$AI149,0))*INDEX(AH138:$AJ148,MATCH(MIN($AK138:$AK148),$AK138:$AK148,0),1)/INDEX($C138:$AJ148,MATCH(MIN($AK138:$AK148),$AK138:$AK148,0),MATCH(IF('Data-solution'!$A$3="Maximize",MAX($C149:$AI149),MIN($C149:$AI149)),$C149:$AI149,0))),AH145)</f>
        <v>0</v>
      </c>
      <c r="AI160" s="1">
        <f>IF(OR($B153&lt;&gt;$B138,$B154&lt;&gt;$B139,$B155&lt;&gt;$B140,$B156&lt;&gt;$B141,$B157&lt;&gt;$B142,$B158&lt;&gt;$B143,$B159&lt;&gt;$B144,$B160&lt;&gt;$B145,$B161&lt;&gt;$B146,$B162&lt;&gt;$B147,$B163&lt;&gt;$B148),IF($B160&lt;&gt;$B145,AI145/INDEX($C138:$AJ148,8,MATCH(IF('Data-solution'!$A$3="Maximize",MAX($C149:$AI149),MIN($C149:$AI149)),$C149:$AI149,0)),AI145-INDEX($C138:$AJ148,8,MATCH(IF('Data-solution'!$A$3="Maximize",MAX($C149:$AI149),MIN($C149:$AI149)),$C149:$AI149,0))*INDEX(AI138:$AJ148,MATCH(MIN($AK138:$AK148),$AK138:$AK148,0),1)/INDEX($C138:$AJ148,MATCH(MIN($AK138:$AK148),$AK138:$AK148,0),MATCH(IF('Data-solution'!$A$3="Maximize",MAX($C149:$AI149),MIN($C149:$AI149)),$C149:$AI149,0))),AI145)</f>
        <v>0</v>
      </c>
      <c r="AJ160" s="1">
        <f>IF(OR($B153&lt;&gt;$B138,$B154&lt;&gt;$B139,$B155&lt;&gt;$B140,$B156&lt;&gt;$B141,$B157&lt;&gt;$B142,$B158&lt;&gt;$B143,$B159&lt;&gt;$B144,$B160&lt;&gt;$B145,$B161&lt;&gt;$B146,$B162&lt;&gt;$B147,$B163&lt;&gt;$B148),IF($B160&lt;&gt;$B145,AJ145/INDEX($C138:$AJ148,8,MATCH(IF('Data-solution'!$A$3="Maximize",MAX($C149:$AI149),MIN($C149:$AI149)),$C149:$AI149,0)),AJ145-INDEX($C138:$AJ148,8,MATCH(IF('Data-solution'!$A$3="Maximize",MAX($C149:$AI149),MIN($C149:$AI149)),$C149:$AI149,0))*INDEX(AJ138:$AJ148,MATCH(MIN($AK138:$AK148),$AK138:$AK148,0),1)/INDEX($C138:$AJ148,MATCH(MIN($AK138:$AK148),$AK138:$AK148,0),MATCH(IF('Data-solution'!$A$3="Maximize",MAX($C149:$AI149),MIN($C149:$AI149)),$C149:$AI149,0))),AJ145)</f>
        <v>0</v>
      </c>
      <c r="AK160" s="1" t="str">
        <f>IF(INDEX(C160:X160,1,MATCH(IF('Data-solution'!A$3="Maximize",MAX(C164:X164),MIN(C164:X164)),C164:X164,0))&gt;0,AJ160/INDEX(C160:X160,1,MATCH(IF('Data-solution'!A$3="Maximize",MAX(C164:X164),MIN(C164:X164)),C164:X164,0))," ")</f>
        <v xml:space="preserve"> </v>
      </c>
    </row>
    <row r="161" spans="1:37" ht="18" customHeight="1" x14ac:dyDescent="0.2">
      <c r="A161" s="1">
        <f t="shared" ref="A161" si="132">INDEX(C151:AI151,1,MATCH(B161,C152:AI152,0))</f>
        <v>0</v>
      </c>
      <c r="B161" s="2" t="str">
        <f>IF(AND('Data-solution'!A$3="Maximize",COUNTIF(C149:X149,"&gt;"&amp;0)&gt;0,AK146=MIN(AK138:AK148),COUNTIF(B153:B160,INDEX(C137:X137,1,MATCH(MAX(C149:X149),C149:X149,0)))=0),INDEX(C137:X137,1,MATCH(MAX(C149:X149),C149:X149,0)),IF(AND('Data-solution'!A$3="Minimize",COUNTIF(C149:X149,"&lt;"&amp;0)&gt;0,AK146=MIN(AK138:AK148),COUNTIF(B153:B160,INDEX(C137:X137,1,MATCH(MIN(C149:X149),C149:X149,0)))=0),INDEX(C137:X137,1,MATCH(MIN(C149:X149),C149:X149,0)),B146))</f>
        <v>S9</v>
      </c>
      <c r="C161" s="1">
        <f>IF(OR($B153&lt;&gt;$B138,$B154&lt;&gt;$B139,$B155&lt;&gt;$B140,$B156&lt;&gt;$B141,$B157&lt;&gt;$B142,$B158&lt;&gt;$B143,$B159&lt;&gt;$B144,$B160&lt;&gt;$B145,$B161&lt;&gt;$B146,$B162&lt;&gt;$B147,$B163&lt;&gt;$B148),IF($B161&lt;&gt;$B146,C146/INDEX($C138:$AJ148,9,MATCH(IF('Data-solution'!$A$3="Maximize",MAX($C149:$AI149),MIN($C149:$AI149)),$C149:$AI149,0)),C146-INDEX($C138:$AJ148,9,MATCH(IF('Data-solution'!$A$3="Maximize",MAX($C149:$AI149),MIN($C149:$AI149)),$C149:$AI149,0))*INDEX(C138:$AJ148,MATCH(MIN($AK138:$AK148),$AK138:$AK148,0),1)/INDEX($C138:$AJ148,MATCH(MIN($AK138:$AK148),$AK138:$AK148,0),MATCH(IF('Data-solution'!$A$3="Maximize",MAX($C149:$AI149),MIN($C149:$AI149)),$C149:$AI149,0))),C146)</f>
        <v>0</v>
      </c>
      <c r="D161" s="1">
        <f>IF(OR($B153&lt;&gt;$B138,$B154&lt;&gt;$B139,$B155&lt;&gt;$B140,$B156&lt;&gt;$B141,$B157&lt;&gt;$B142,$B158&lt;&gt;$B143,$B159&lt;&gt;$B144,$B160&lt;&gt;$B145,$B161&lt;&gt;$B146,$B162&lt;&gt;$B147,$B163&lt;&gt;$B148),IF($B161&lt;&gt;$B146,D146/INDEX($C138:$AJ148,9,MATCH(IF('Data-solution'!$A$3="Maximize",MAX($C149:$AI149),MIN($C149:$AI149)),$C149:$AI149,0)),D146-INDEX($C138:$AJ148,9,MATCH(IF('Data-solution'!$A$3="Maximize",MAX($C149:$AI149),MIN($C149:$AI149)),$C149:$AI149,0))*INDEX(D138:$AJ148,MATCH(MIN($AK138:$AK148),$AK138:$AK148,0),1)/INDEX($C138:$AJ148,MATCH(MIN($AK138:$AK148),$AK138:$AK148,0),MATCH(IF('Data-solution'!$A$3="Maximize",MAX($C149:$AI149),MIN($C149:$AI149)),$C149:$AI149,0))),D146)</f>
        <v>0</v>
      </c>
      <c r="E161" s="1">
        <f>IF(OR($B153&lt;&gt;$B138,$B154&lt;&gt;$B139,$B155&lt;&gt;$B140,$B156&lt;&gt;$B141,$B157&lt;&gt;$B142,$B158&lt;&gt;$B143,$B159&lt;&gt;$B144,$B160&lt;&gt;$B145,$B161&lt;&gt;$B146,$B162&lt;&gt;$B147,$B163&lt;&gt;$B148),IF($B161&lt;&gt;$B146,E146/INDEX($C138:$AJ148,9,MATCH(IF('Data-solution'!$A$3="Maximize",MAX($C149:$AI149),MIN($C149:$AI149)),$C149:$AI149,0)),E146-INDEX($C138:$AJ148,9,MATCH(IF('Data-solution'!$A$3="Maximize",MAX($C149:$AI149),MIN($C149:$AI149)),$C149:$AI149,0))*INDEX(E138:$AJ148,MATCH(MIN($AK138:$AK148),$AK138:$AK148,0),1)/INDEX($C138:$AJ148,MATCH(MIN($AK138:$AK148),$AK138:$AK148,0),MATCH(IF('Data-solution'!$A$3="Maximize",MAX($C149:$AI149),MIN($C149:$AI149)),$C149:$AI149,0))),E146)</f>
        <v>0</v>
      </c>
      <c r="F161" s="1">
        <f>IF(OR($B153&lt;&gt;$B138,$B154&lt;&gt;$B139,$B155&lt;&gt;$B140,$B156&lt;&gt;$B141,$B157&lt;&gt;$B142,$B158&lt;&gt;$B143,$B159&lt;&gt;$B144,$B160&lt;&gt;$B145,$B161&lt;&gt;$B146,$B162&lt;&gt;$B147,$B163&lt;&gt;$B148),IF($B161&lt;&gt;$B146,F146/INDEX($C138:$AJ148,9,MATCH(IF('Data-solution'!$A$3="Maximize",MAX($C149:$AI149),MIN($C149:$AI149)),$C149:$AI149,0)),F146-INDEX($C138:$AJ148,9,MATCH(IF('Data-solution'!$A$3="Maximize",MAX($C149:$AI149),MIN($C149:$AI149)),$C149:$AI149,0))*INDEX(F138:$AJ148,MATCH(MIN($AK138:$AK148),$AK138:$AK148,0),1)/INDEX($C138:$AJ148,MATCH(MIN($AK138:$AK148),$AK138:$AK148,0),MATCH(IF('Data-solution'!$A$3="Maximize",MAX($C149:$AI149),MIN($C149:$AI149)),$C149:$AI149,0))),F146)</f>
        <v>0</v>
      </c>
      <c r="G161" s="1">
        <f>IF(OR($B153&lt;&gt;$B138,$B154&lt;&gt;$B139,$B155&lt;&gt;$B140,$B156&lt;&gt;$B141,$B157&lt;&gt;$B142,$B158&lt;&gt;$B143,$B159&lt;&gt;$B144,$B160&lt;&gt;$B145,$B161&lt;&gt;$B146,$B162&lt;&gt;$B147,$B163&lt;&gt;$B148),IF($B161&lt;&gt;$B146,G146/INDEX($C138:$AJ148,9,MATCH(IF('Data-solution'!$A$3="Maximize",MAX($C149:$AI149),MIN($C149:$AI149)),$C149:$AI149,0)),G146-INDEX($C138:$AJ148,9,MATCH(IF('Data-solution'!$A$3="Maximize",MAX($C149:$AI149),MIN($C149:$AI149)),$C149:$AI149,0))*INDEX(G138:$AJ148,MATCH(MIN($AK138:$AK148),$AK138:$AK148,0),1)/INDEX($C138:$AJ148,MATCH(MIN($AK138:$AK148),$AK138:$AK148,0),MATCH(IF('Data-solution'!$A$3="Maximize",MAX($C149:$AI149),MIN($C149:$AI149)),$C149:$AI149,0))),G146)</f>
        <v>0</v>
      </c>
      <c r="H161" s="1">
        <f>IF(OR($B153&lt;&gt;$B138,$B154&lt;&gt;$B139,$B155&lt;&gt;$B140,$B156&lt;&gt;$B141,$B157&lt;&gt;$B142,$B158&lt;&gt;$B143,$B159&lt;&gt;$B144,$B160&lt;&gt;$B145,$B161&lt;&gt;$B146,$B162&lt;&gt;$B147,$B163&lt;&gt;$B148),IF($B161&lt;&gt;$B146,H146/INDEX($C138:$AJ148,9,MATCH(IF('Data-solution'!$A$3="Maximize",MAX($C149:$AI149),MIN($C149:$AI149)),$C149:$AI149,0)),H146-INDEX($C138:$AJ148,9,MATCH(IF('Data-solution'!$A$3="Maximize",MAX($C149:$AI149),MIN($C149:$AI149)),$C149:$AI149,0))*INDEX(H138:$AJ148,MATCH(MIN($AK138:$AK148),$AK138:$AK148,0),1)/INDEX($C138:$AJ148,MATCH(MIN($AK138:$AK148),$AK138:$AK148,0),MATCH(IF('Data-solution'!$A$3="Maximize",MAX($C149:$AI149),MIN($C149:$AI149)),$C149:$AI149,0))),H146)</f>
        <v>0</v>
      </c>
      <c r="I161" s="1">
        <f>IF(OR($B153&lt;&gt;$B138,$B154&lt;&gt;$B139,$B155&lt;&gt;$B140,$B156&lt;&gt;$B141,$B157&lt;&gt;$B142,$B158&lt;&gt;$B143,$B159&lt;&gt;$B144,$B160&lt;&gt;$B145,$B161&lt;&gt;$B146,$B162&lt;&gt;$B147,$B163&lt;&gt;$B148),IF($B161&lt;&gt;$B146,I146/INDEX($C138:$AJ148,9,MATCH(IF('Data-solution'!$A$3="Maximize",MAX($C149:$AI149),MIN($C149:$AI149)),$C149:$AI149,0)),I146-INDEX($C138:$AJ148,9,MATCH(IF('Data-solution'!$A$3="Maximize",MAX($C149:$AI149),MIN($C149:$AI149)),$C149:$AI149,0))*INDEX(I138:$AJ148,MATCH(MIN($AK138:$AK148),$AK138:$AK148,0),1)/INDEX($C138:$AJ148,MATCH(MIN($AK138:$AK148),$AK138:$AK148,0),MATCH(IF('Data-solution'!$A$3="Maximize",MAX($C149:$AI149),MIN($C149:$AI149)),$C149:$AI149,0))),I146)</f>
        <v>0</v>
      </c>
      <c r="J161" s="1">
        <f>IF(OR($B153&lt;&gt;$B138,$B154&lt;&gt;$B139,$B155&lt;&gt;$B140,$B156&lt;&gt;$B141,$B157&lt;&gt;$B142,$B158&lt;&gt;$B143,$B159&lt;&gt;$B144,$B160&lt;&gt;$B145,$B161&lt;&gt;$B146,$B162&lt;&gt;$B147,$B163&lt;&gt;$B148),IF($B161&lt;&gt;$B146,J146/INDEX($C138:$AJ148,9,MATCH(IF('Data-solution'!$A$3="Maximize",MAX($C149:$AI149),MIN($C149:$AI149)),$C149:$AI149,0)),J146-INDEX($C138:$AJ148,9,MATCH(IF('Data-solution'!$A$3="Maximize",MAX($C149:$AI149),MIN($C149:$AI149)),$C149:$AI149,0))*INDEX(J138:$AJ148,MATCH(MIN($AK138:$AK148),$AK138:$AK148,0),1)/INDEX($C138:$AJ148,MATCH(MIN($AK138:$AK148),$AK138:$AK148,0),MATCH(IF('Data-solution'!$A$3="Maximize",MAX($C149:$AI149),MIN($C149:$AI149)),$C149:$AI149,0))),J146)</f>
        <v>0</v>
      </c>
      <c r="K161" s="1">
        <f>IF(OR($B153&lt;&gt;$B138,$B154&lt;&gt;$B139,$B155&lt;&gt;$B140,$B156&lt;&gt;$B141,$B157&lt;&gt;$B142,$B158&lt;&gt;$B143,$B159&lt;&gt;$B144,$B160&lt;&gt;$B145,$B161&lt;&gt;$B146,$B162&lt;&gt;$B147,$B163&lt;&gt;$B148),IF($B161&lt;&gt;$B146,K146/INDEX($C138:$AJ148,9,MATCH(IF('Data-solution'!$A$3="Maximize",MAX($C149:$AI149),MIN($C149:$AI149)),$C149:$AI149,0)),K146-INDEX($C138:$AJ148,9,MATCH(IF('Data-solution'!$A$3="Maximize",MAX($C149:$AI149),MIN($C149:$AI149)),$C149:$AI149,0))*INDEX(K138:$AJ148,MATCH(MIN($AK138:$AK148),$AK138:$AK148,0),1)/INDEX($C138:$AJ148,MATCH(MIN($AK138:$AK148),$AK138:$AK148,0),MATCH(IF('Data-solution'!$A$3="Maximize",MAX($C149:$AI149),MIN($C149:$AI149)),$C149:$AI149,0))),K146)</f>
        <v>0</v>
      </c>
      <c r="L161" s="1">
        <f>IF(OR($B153&lt;&gt;$B138,$B154&lt;&gt;$B139,$B155&lt;&gt;$B140,$B156&lt;&gt;$B141,$B157&lt;&gt;$B142,$B158&lt;&gt;$B143,$B159&lt;&gt;$B144,$B160&lt;&gt;$B145,$B161&lt;&gt;$B146,$B162&lt;&gt;$B147,$B163&lt;&gt;$B148),IF($B161&lt;&gt;$B146,L146/INDEX($C138:$AJ148,9,MATCH(IF('Data-solution'!$A$3="Maximize",MAX($C149:$AI149),MIN($C149:$AI149)),$C149:$AI149,0)),L146-INDEX($C138:$AJ148,9,MATCH(IF('Data-solution'!$A$3="Maximize",MAX($C149:$AI149),MIN($C149:$AI149)),$C149:$AI149,0))*INDEX(L138:$AJ148,MATCH(MIN($AK138:$AK148),$AK138:$AK148,0),1)/INDEX($C138:$AJ148,MATCH(MIN($AK138:$AK148),$AK138:$AK148,0),MATCH(IF('Data-solution'!$A$3="Maximize",MAX($C149:$AI149),MIN($C149:$AI149)),$C149:$AI149,0))),L146)</f>
        <v>0</v>
      </c>
      <c r="M161" s="1">
        <f>IF(OR($B153&lt;&gt;$B138,$B154&lt;&gt;$B139,$B155&lt;&gt;$B140,$B156&lt;&gt;$B141,$B157&lt;&gt;$B142,$B158&lt;&gt;$B143,$B159&lt;&gt;$B144,$B160&lt;&gt;$B145,$B161&lt;&gt;$B146,$B162&lt;&gt;$B147,$B163&lt;&gt;$B148),IF($B161&lt;&gt;$B146,M146/INDEX($C138:$AJ148,9,MATCH(IF('Data-solution'!$A$3="Maximize",MAX($C149:$AI149),MIN($C149:$AI149)),$C149:$AI149,0)),M146-INDEX($C138:$AJ148,9,MATCH(IF('Data-solution'!$A$3="Maximize",MAX($C149:$AI149),MIN($C149:$AI149)),$C149:$AI149,0))*INDEX(M138:$AJ148,MATCH(MIN($AK138:$AK148),$AK138:$AK148,0),1)/INDEX($C138:$AJ148,MATCH(MIN($AK138:$AK148),$AK138:$AK148,0),MATCH(IF('Data-solution'!$A$3="Maximize",MAX($C149:$AI149),MIN($C149:$AI149)),$C149:$AI149,0))),M146)</f>
        <v>0</v>
      </c>
      <c r="N161" s="1">
        <f>IF(OR($B153&lt;&gt;$B138,$B154&lt;&gt;$B139,$B155&lt;&gt;$B140,$B156&lt;&gt;$B141,$B157&lt;&gt;$B142,$B158&lt;&gt;$B143,$B159&lt;&gt;$B144,$B160&lt;&gt;$B145,$B161&lt;&gt;$B146,$B162&lt;&gt;$B147,$B163&lt;&gt;$B148),IF($B161&lt;&gt;$B146,N146/INDEX($C138:$AJ148,9,MATCH(IF('Data-solution'!$A$3="Maximize",MAX($C149:$AI149),MIN($C149:$AI149)),$C149:$AI149,0)),N146-INDEX($C138:$AJ148,9,MATCH(IF('Data-solution'!$A$3="Maximize",MAX($C149:$AI149),MIN($C149:$AI149)),$C149:$AI149,0))*INDEX(N138:$AJ148,MATCH(MIN($AK138:$AK148),$AK138:$AK148,0),1)/INDEX($C138:$AJ148,MATCH(MIN($AK138:$AK148),$AK138:$AK148,0),MATCH(IF('Data-solution'!$A$3="Maximize",MAX($C149:$AI149),MIN($C149:$AI149)),$C149:$AI149,0))),N146)</f>
        <v>0</v>
      </c>
      <c r="O161" s="1">
        <f>IF(OR($B153&lt;&gt;$B138,$B154&lt;&gt;$B139,$B155&lt;&gt;$B140,$B156&lt;&gt;$B141,$B157&lt;&gt;$B142,$B158&lt;&gt;$B143,$B159&lt;&gt;$B144,$B160&lt;&gt;$B145,$B161&lt;&gt;$B146,$B162&lt;&gt;$B147,$B163&lt;&gt;$B148),IF($B161&lt;&gt;$B146,O146/INDEX($C138:$AJ148,9,MATCH(IF('Data-solution'!$A$3="Maximize",MAX($C149:$AI149),MIN($C149:$AI149)),$C149:$AI149,0)),O146-INDEX($C138:$AJ148,9,MATCH(IF('Data-solution'!$A$3="Maximize",MAX($C149:$AI149),MIN($C149:$AI149)),$C149:$AI149,0))*INDEX(O138:$AJ148,MATCH(MIN($AK138:$AK148),$AK138:$AK148,0),1)/INDEX($C138:$AJ148,MATCH(MIN($AK138:$AK148),$AK138:$AK148,0),MATCH(IF('Data-solution'!$A$3="Maximize",MAX($C149:$AI149),MIN($C149:$AI149)),$C149:$AI149,0))),O146)</f>
        <v>0</v>
      </c>
      <c r="P161" s="1">
        <f>IF(OR($B153&lt;&gt;$B138,$B154&lt;&gt;$B139,$B155&lt;&gt;$B140,$B156&lt;&gt;$B141,$B157&lt;&gt;$B142,$B158&lt;&gt;$B143,$B159&lt;&gt;$B144,$B160&lt;&gt;$B145,$B161&lt;&gt;$B146,$B162&lt;&gt;$B147,$B163&lt;&gt;$B148),IF($B161&lt;&gt;$B146,P146/INDEX($C138:$AJ148,9,MATCH(IF('Data-solution'!$A$3="Maximize",MAX($C149:$AI149),MIN($C149:$AI149)),$C149:$AI149,0)),P146-INDEX($C138:$AJ148,9,MATCH(IF('Data-solution'!$A$3="Maximize",MAX($C149:$AI149),MIN($C149:$AI149)),$C149:$AI149,0))*INDEX(P138:$AJ148,MATCH(MIN($AK138:$AK148),$AK138:$AK148,0),1)/INDEX($C138:$AJ148,MATCH(MIN($AK138:$AK148),$AK138:$AK148,0),MATCH(IF('Data-solution'!$A$3="Maximize",MAX($C149:$AI149),MIN($C149:$AI149)),$C149:$AI149,0))),P146)</f>
        <v>0</v>
      </c>
      <c r="Q161" s="1">
        <f>IF(OR($B153&lt;&gt;$B138,$B154&lt;&gt;$B139,$B155&lt;&gt;$B140,$B156&lt;&gt;$B141,$B157&lt;&gt;$B142,$B158&lt;&gt;$B143,$B159&lt;&gt;$B144,$B160&lt;&gt;$B145,$B161&lt;&gt;$B146,$B162&lt;&gt;$B147,$B163&lt;&gt;$B148),IF($B161&lt;&gt;$B146,Q146/INDEX($C138:$AJ148,9,MATCH(IF('Data-solution'!$A$3="Maximize",MAX($C149:$AI149),MIN($C149:$AI149)),$C149:$AI149,0)),Q146-INDEX($C138:$AJ148,9,MATCH(IF('Data-solution'!$A$3="Maximize",MAX($C149:$AI149),MIN($C149:$AI149)),$C149:$AI149,0))*INDEX(Q138:$AJ148,MATCH(MIN($AK138:$AK148),$AK138:$AK148,0),1)/INDEX($C138:$AJ148,MATCH(MIN($AK138:$AK148),$AK138:$AK148,0),MATCH(IF('Data-solution'!$A$3="Maximize",MAX($C149:$AI149),MIN($C149:$AI149)),$C149:$AI149,0))),Q146)</f>
        <v>0</v>
      </c>
      <c r="R161" s="1">
        <f>IF(OR($B153&lt;&gt;$B138,$B154&lt;&gt;$B139,$B155&lt;&gt;$B140,$B156&lt;&gt;$B141,$B157&lt;&gt;$B142,$B158&lt;&gt;$B143,$B159&lt;&gt;$B144,$B160&lt;&gt;$B145,$B161&lt;&gt;$B146,$B162&lt;&gt;$B147,$B163&lt;&gt;$B148),IF($B161&lt;&gt;$B146,R146/INDEX($C138:$AJ148,9,MATCH(IF('Data-solution'!$A$3="Maximize",MAX($C149:$AI149),MIN($C149:$AI149)),$C149:$AI149,0)),R146-INDEX($C138:$AJ148,9,MATCH(IF('Data-solution'!$A$3="Maximize",MAX($C149:$AI149),MIN($C149:$AI149)),$C149:$AI149,0))*INDEX(R138:$AJ148,MATCH(MIN($AK138:$AK148),$AK138:$AK148,0),1)/INDEX($C138:$AJ148,MATCH(MIN($AK138:$AK148),$AK138:$AK148,0),MATCH(IF('Data-solution'!$A$3="Maximize",MAX($C149:$AI149),MIN($C149:$AI149)),$C149:$AI149,0))),R146)</f>
        <v>0</v>
      </c>
      <c r="S161" s="1">
        <f>IF(OR($B153&lt;&gt;$B138,$B154&lt;&gt;$B139,$B155&lt;&gt;$B140,$B156&lt;&gt;$B141,$B157&lt;&gt;$B142,$B158&lt;&gt;$B143,$B159&lt;&gt;$B144,$B160&lt;&gt;$B145,$B161&lt;&gt;$B146,$B162&lt;&gt;$B147,$B163&lt;&gt;$B148),IF($B161&lt;&gt;$B146,S146/INDEX($C138:$AJ148,9,MATCH(IF('Data-solution'!$A$3="Maximize",MAX($C149:$AI149),MIN($C149:$AI149)),$C149:$AI149,0)),S146-INDEX($C138:$AJ148,9,MATCH(IF('Data-solution'!$A$3="Maximize",MAX($C149:$AI149),MIN($C149:$AI149)),$C149:$AI149,0))*INDEX(S138:$AJ148,MATCH(MIN($AK138:$AK148),$AK138:$AK148,0),1)/INDEX($C138:$AJ148,MATCH(MIN($AK138:$AK148),$AK138:$AK148,0),MATCH(IF('Data-solution'!$A$3="Maximize",MAX($C149:$AI149),MIN($C149:$AI149)),$C149:$AI149,0))),S146)</f>
        <v>0</v>
      </c>
      <c r="T161" s="1">
        <f>IF(OR($B153&lt;&gt;$B138,$B154&lt;&gt;$B139,$B155&lt;&gt;$B140,$B156&lt;&gt;$B141,$B157&lt;&gt;$B142,$B158&lt;&gt;$B143,$B159&lt;&gt;$B144,$B160&lt;&gt;$B145,$B161&lt;&gt;$B146,$B162&lt;&gt;$B147,$B163&lt;&gt;$B148),IF($B161&lt;&gt;$B146,T146/INDEX($C138:$AJ148,9,MATCH(IF('Data-solution'!$A$3="Maximize",MAX($C149:$AI149),MIN($C149:$AI149)),$C149:$AI149,0)),T146-INDEX($C138:$AJ148,9,MATCH(IF('Data-solution'!$A$3="Maximize",MAX($C149:$AI149),MIN($C149:$AI149)),$C149:$AI149,0))*INDEX(T138:$AJ148,MATCH(MIN($AK138:$AK148),$AK138:$AK148,0),1)/INDEX($C138:$AJ148,MATCH(MIN($AK138:$AK148),$AK138:$AK148,0),MATCH(IF('Data-solution'!$A$3="Maximize",MAX($C149:$AI149),MIN($C149:$AI149)),$C149:$AI149,0))),T146)</f>
        <v>0</v>
      </c>
      <c r="U161" s="1">
        <f>IF(OR($B153&lt;&gt;$B138,$B154&lt;&gt;$B139,$B155&lt;&gt;$B140,$B156&lt;&gt;$B141,$B157&lt;&gt;$B142,$B158&lt;&gt;$B143,$B159&lt;&gt;$B144,$B160&lt;&gt;$B145,$B161&lt;&gt;$B146,$B162&lt;&gt;$B147,$B163&lt;&gt;$B148),IF($B161&lt;&gt;$B146,U146/INDEX($C138:$AJ148,9,MATCH(IF('Data-solution'!$A$3="Maximize",MAX($C149:$AI149),MIN($C149:$AI149)),$C149:$AI149,0)),U146-INDEX($C138:$AJ148,9,MATCH(IF('Data-solution'!$A$3="Maximize",MAX($C149:$AI149),MIN($C149:$AI149)),$C149:$AI149,0))*INDEX(U138:$AJ148,MATCH(MIN($AK138:$AK148),$AK138:$AK148,0),1)/INDEX($C138:$AJ148,MATCH(MIN($AK138:$AK148),$AK138:$AK148,0),MATCH(IF('Data-solution'!$A$3="Maximize",MAX($C149:$AI149),MIN($C149:$AI149)),$C149:$AI149,0))),U146)</f>
        <v>0</v>
      </c>
      <c r="V161" s="1">
        <f>IF(OR($B153&lt;&gt;$B138,$B154&lt;&gt;$B139,$B155&lt;&gt;$B140,$B156&lt;&gt;$B141,$B157&lt;&gt;$B142,$B158&lt;&gt;$B143,$B159&lt;&gt;$B144,$B160&lt;&gt;$B145,$B161&lt;&gt;$B146,$B162&lt;&gt;$B147,$B163&lt;&gt;$B148),IF($B161&lt;&gt;$B146,V146/INDEX($C138:$AJ148,9,MATCH(IF('Data-solution'!$A$3="Maximize",MAX($C149:$AI149),MIN($C149:$AI149)),$C149:$AI149,0)),V146-INDEX($C138:$AJ148,9,MATCH(IF('Data-solution'!$A$3="Maximize",MAX($C149:$AI149),MIN($C149:$AI149)),$C149:$AI149,0))*INDEX(V138:$AJ148,MATCH(MIN($AK138:$AK148),$AK138:$AK148,0),1)/INDEX($C138:$AJ148,MATCH(MIN($AK138:$AK148),$AK138:$AK148,0),MATCH(IF('Data-solution'!$A$3="Maximize",MAX($C149:$AI149),MIN($C149:$AI149)),$C149:$AI149,0))),V146)</f>
        <v>1</v>
      </c>
      <c r="W161" s="1">
        <f>IF(OR($B153&lt;&gt;$B138,$B154&lt;&gt;$B139,$B155&lt;&gt;$B140,$B156&lt;&gt;$B141,$B157&lt;&gt;$B142,$B158&lt;&gt;$B143,$B159&lt;&gt;$B144,$B160&lt;&gt;$B145,$B161&lt;&gt;$B146,$B162&lt;&gt;$B147,$B163&lt;&gt;$B148),IF($B161&lt;&gt;$B146,W146/INDEX($C138:$AJ148,9,MATCH(IF('Data-solution'!$A$3="Maximize",MAX($C149:$AI149),MIN($C149:$AI149)),$C149:$AI149,0)),W146-INDEX($C138:$AJ148,9,MATCH(IF('Data-solution'!$A$3="Maximize",MAX($C149:$AI149),MIN($C149:$AI149)),$C149:$AI149,0))*INDEX(W138:$AJ148,MATCH(MIN($AK138:$AK148),$AK138:$AK148,0),1)/INDEX($C138:$AJ148,MATCH(MIN($AK138:$AK148),$AK138:$AK148,0),MATCH(IF('Data-solution'!$A$3="Maximize",MAX($C149:$AI149),MIN($C149:$AI149)),$C149:$AI149,0))),W146)</f>
        <v>0</v>
      </c>
      <c r="X161" s="1">
        <f>IF(OR($B153&lt;&gt;$B138,$B154&lt;&gt;$B139,$B155&lt;&gt;$B140,$B156&lt;&gt;$B141,$B157&lt;&gt;$B142,$B158&lt;&gt;$B143,$B159&lt;&gt;$B144,$B160&lt;&gt;$B145,$B161&lt;&gt;$B146,$B162&lt;&gt;$B147,$B163&lt;&gt;$B148),IF($B161&lt;&gt;$B146,X146/INDEX($C138:$AJ148,9,MATCH(IF('Data-solution'!$A$3="Maximize",MAX($C149:$AI149),MIN($C149:$AI149)),$C149:$AI149,0)),X146-INDEX($C138:$AJ148,9,MATCH(IF('Data-solution'!$A$3="Maximize",MAX($C149:$AI149),MIN($C149:$AI149)),$C149:$AI149,0))*INDEX(X138:$AJ148,MATCH(MIN($AK138:$AK148),$AK138:$AK148,0),1)/INDEX($C138:$AJ148,MATCH(MIN($AK138:$AK148),$AK138:$AK148,0),MATCH(IF('Data-solution'!$A$3="Maximize",MAX($C149:$AI149),MIN($C149:$AI149)),$C149:$AI149,0))),X146)</f>
        <v>0</v>
      </c>
      <c r="Y161" s="1">
        <f>IF(OR($B153&lt;&gt;$B138,$B154&lt;&gt;$B139,$B155&lt;&gt;$B140,$B156&lt;&gt;$B141,$B157&lt;&gt;$B142,$B158&lt;&gt;$B143,$B159&lt;&gt;$B144,$B160&lt;&gt;$B145,$B161&lt;&gt;$B146,$B162&lt;&gt;$B147,$B163&lt;&gt;$B148),IF($B161&lt;&gt;$B146,Y146/INDEX($C138:$AJ148,9,MATCH(IF('Data-solution'!$A$3="Maximize",MAX($C149:$AI149),MIN($C149:$AI149)),$C149:$AI149,0)),Y146-INDEX($C138:$AJ148,9,MATCH(IF('Data-solution'!$A$3="Maximize",MAX($C149:$AI149),MIN($C149:$AI149)),$C149:$AI149,0))*INDEX(Y138:$AJ148,MATCH(MIN($AK138:$AK148),$AK138:$AK148,0),1)/INDEX($C138:$AJ148,MATCH(MIN($AK138:$AK148),$AK138:$AK148,0),MATCH(IF('Data-solution'!$A$3="Maximize",MAX($C149:$AI149),MIN($C149:$AI149)),$C149:$AI149,0))),Y146)</f>
        <v>0</v>
      </c>
      <c r="Z161" s="1">
        <f>IF(OR($B153&lt;&gt;$B138,$B154&lt;&gt;$B139,$B155&lt;&gt;$B140,$B156&lt;&gt;$B141,$B157&lt;&gt;$B142,$B158&lt;&gt;$B143,$B159&lt;&gt;$B144,$B160&lt;&gt;$B145,$B161&lt;&gt;$B146,$B162&lt;&gt;$B147,$B163&lt;&gt;$B148),IF($B161&lt;&gt;$B146,Z146/INDEX($C138:$AJ148,9,MATCH(IF('Data-solution'!$A$3="Maximize",MAX($C149:$AI149),MIN($C149:$AI149)),$C149:$AI149,0)),Z146-INDEX($C138:$AJ148,9,MATCH(IF('Data-solution'!$A$3="Maximize",MAX($C149:$AI149),MIN($C149:$AI149)),$C149:$AI149,0))*INDEX(Z138:$AJ148,MATCH(MIN($AK138:$AK148),$AK138:$AK148,0),1)/INDEX($C138:$AJ148,MATCH(MIN($AK138:$AK148),$AK138:$AK148,0),MATCH(IF('Data-solution'!$A$3="Maximize",MAX($C149:$AI149),MIN($C149:$AI149)),$C149:$AI149,0))),Z146)</f>
        <v>0</v>
      </c>
      <c r="AA161" s="1">
        <f>IF(OR($B153&lt;&gt;$B138,$B154&lt;&gt;$B139,$B155&lt;&gt;$B140,$B156&lt;&gt;$B141,$B157&lt;&gt;$B142,$B158&lt;&gt;$B143,$B159&lt;&gt;$B144,$B160&lt;&gt;$B145,$B161&lt;&gt;$B146,$B162&lt;&gt;$B147,$B163&lt;&gt;$B148),IF($B161&lt;&gt;$B146,AA146/INDEX($C138:$AJ148,9,MATCH(IF('Data-solution'!$A$3="Maximize",MAX($C149:$AI149),MIN($C149:$AI149)),$C149:$AI149,0)),AA146-INDEX($C138:$AJ148,9,MATCH(IF('Data-solution'!$A$3="Maximize",MAX($C149:$AI149),MIN($C149:$AI149)),$C149:$AI149,0))*INDEX(AA138:$AJ148,MATCH(MIN($AK138:$AK148),$AK138:$AK148,0),1)/INDEX($C138:$AJ148,MATCH(MIN($AK138:$AK148),$AK138:$AK148,0),MATCH(IF('Data-solution'!$A$3="Maximize",MAX($C149:$AI149),MIN($C149:$AI149)),$C149:$AI149,0))),AA146)</f>
        <v>0</v>
      </c>
      <c r="AB161" s="1">
        <f>IF(OR($B153&lt;&gt;$B138,$B154&lt;&gt;$B139,$B155&lt;&gt;$B140,$B156&lt;&gt;$B141,$B157&lt;&gt;$B142,$B158&lt;&gt;$B143,$B159&lt;&gt;$B144,$B160&lt;&gt;$B145,$B161&lt;&gt;$B146,$B162&lt;&gt;$B147,$B163&lt;&gt;$B148),IF($B161&lt;&gt;$B146,AB146/INDEX($C138:$AJ148,9,MATCH(IF('Data-solution'!$A$3="Maximize",MAX($C149:$AI149),MIN($C149:$AI149)),$C149:$AI149,0)),AB146-INDEX($C138:$AJ148,9,MATCH(IF('Data-solution'!$A$3="Maximize",MAX($C149:$AI149),MIN($C149:$AI149)),$C149:$AI149,0))*INDEX(AB138:$AJ148,MATCH(MIN($AK138:$AK148),$AK138:$AK148,0),1)/INDEX($C138:$AJ148,MATCH(MIN($AK138:$AK148),$AK138:$AK148,0),MATCH(IF('Data-solution'!$A$3="Maximize",MAX($C149:$AI149),MIN($C149:$AI149)),$C149:$AI149,0))),AB146)</f>
        <v>0</v>
      </c>
      <c r="AC161" s="1">
        <f>IF(OR($B153&lt;&gt;$B138,$B154&lt;&gt;$B139,$B155&lt;&gt;$B140,$B156&lt;&gt;$B141,$B157&lt;&gt;$B142,$B158&lt;&gt;$B143,$B159&lt;&gt;$B144,$B160&lt;&gt;$B145,$B161&lt;&gt;$B146,$B162&lt;&gt;$B147,$B163&lt;&gt;$B148),IF($B161&lt;&gt;$B146,AC146/INDEX($C138:$AJ148,9,MATCH(IF('Data-solution'!$A$3="Maximize",MAX($C149:$AI149),MIN($C149:$AI149)),$C149:$AI149,0)),AC146-INDEX($C138:$AJ148,9,MATCH(IF('Data-solution'!$A$3="Maximize",MAX($C149:$AI149),MIN($C149:$AI149)),$C149:$AI149,0))*INDEX(AC138:$AJ148,MATCH(MIN($AK138:$AK148),$AK138:$AK148,0),1)/INDEX($C138:$AJ148,MATCH(MIN($AK138:$AK148),$AK138:$AK148,0),MATCH(IF('Data-solution'!$A$3="Maximize",MAX($C149:$AI149),MIN($C149:$AI149)),$C149:$AI149,0))),AC146)</f>
        <v>0</v>
      </c>
      <c r="AD161" s="1">
        <f>IF(OR($B153&lt;&gt;$B138,$B154&lt;&gt;$B139,$B155&lt;&gt;$B140,$B156&lt;&gt;$B141,$B157&lt;&gt;$B142,$B158&lt;&gt;$B143,$B159&lt;&gt;$B144,$B160&lt;&gt;$B145,$B161&lt;&gt;$B146,$B162&lt;&gt;$B147,$B163&lt;&gt;$B148),IF($B161&lt;&gt;$B146,AD146/INDEX($C138:$AJ148,9,MATCH(IF('Data-solution'!$A$3="Maximize",MAX($C149:$AI149),MIN($C149:$AI149)),$C149:$AI149,0)),AD146-INDEX($C138:$AJ148,9,MATCH(IF('Data-solution'!$A$3="Maximize",MAX($C149:$AI149),MIN($C149:$AI149)),$C149:$AI149,0))*INDEX(AD138:$AJ148,MATCH(MIN($AK138:$AK148),$AK138:$AK148,0),1)/INDEX($C138:$AJ148,MATCH(MIN($AK138:$AK148),$AK138:$AK148,0),MATCH(IF('Data-solution'!$A$3="Maximize",MAX($C149:$AI149),MIN($C149:$AI149)),$C149:$AI149,0))),AD146)</f>
        <v>0</v>
      </c>
      <c r="AE161" s="1">
        <f>IF(OR($B153&lt;&gt;$B138,$B154&lt;&gt;$B139,$B155&lt;&gt;$B140,$B156&lt;&gt;$B141,$B157&lt;&gt;$B142,$B158&lt;&gt;$B143,$B159&lt;&gt;$B144,$B160&lt;&gt;$B145,$B161&lt;&gt;$B146,$B162&lt;&gt;$B147,$B163&lt;&gt;$B148),IF($B161&lt;&gt;$B146,AE146/INDEX($C138:$AJ148,9,MATCH(IF('Data-solution'!$A$3="Maximize",MAX($C149:$AI149),MIN($C149:$AI149)),$C149:$AI149,0)),AE146-INDEX($C138:$AJ148,9,MATCH(IF('Data-solution'!$A$3="Maximize",MAX($C149:$AI149),MIN($C149:$AI149)),$C149:$AI149,0))*INDEX(AE138:$AJ148,MATCH(MIN($AK138:$AK148),$AK138:$AK148,0),1)/INDEX($C138:$AJ148,MATCH(MIN($AK138:$AK148),$AK138:$AK148,0),MATCH(IF('Data-solution'!$A$3="Maximize",MAX($C149:$AI149),MIN($C149:$AI149)),$C149:$AI149,0))),AE146)</f>
        <v>0</v>
      </c>
      <c r="AF161" s="1">
        <f>IF(OR($B153&lt;&gt;$B138,$B154&lt;&gt;$B139,$B155&lt;&gt;$B140,$B156&lt;&gt;$B141,$B157&lt;&gt;$B142,$B158&lt;&gt;$B143,$B159&lt;&gt;$B144,$B160&lt;&gt;$B145,$B161&lt;&gt;$B146,$B162&lt;&gt;$B147,$B163&lt;&gt;$B148),IF($B161&lt;&gt;$B146,AF146/INDEX($C138:$AJ148,9,MATCH(IF('Data-solution'!$A$3="Maximize",MAX($C149:$AI149),MIN($C149:$AI149)),$C149:$AI149,0)),AF146-INDEX($C138:$AJ148,9,MATCH(IF('Data-solution'!$A$3="Maximize",MAX($C149:$AI149),MIN($C149:$AI149)),$C149:$AI149,0))*INDEX(AF138:$AJ148,MATCH(MIN($AK138:$AK148),$AK138:$AK148,0),1)/INDEX($C138:$AJ148,MATCH(MIN($AK138:$AK148),$AK138:$AK148,0),MATCH(IF('Data-solution'!$A$3="Maximize",MAX($C149:$AI149),MIN($C149:$AI149)),$C149:$AI149,0))),AF146)</f>
        <v>0</v>
      </c>
      <c r="AG161" s="1">
        <f>IF(OR($B153&lt;&gt;$B138,$B154&lt;&gt;$B139,$B155&lt;&gt;$B140,$B156&lt;&gt;$B141,$B157&lt;&gt;$B142,$B158&lt;&gt;$B143,$B159&lt;&gt;$B144,$B160&lt;&gt;$B145,$B161&lt;&gt;$B146,$B162&lt;&gt;$B147,$B163&lt;&gt;$B148),IF($B161&lt;&gt;$B146,AG146/INDEX($C138:$AJ148,9,MATCH(IF('Data-solution'!$A$3="Maximize",MAX($C149:$AI149),MIN($C149:$AI149)),$C149:$AI149,0)),AG146-INDEX($C138:$AJ148,9,MATCH(IF('Data-solution'!$A$3="Maximize",MAX($C149:$AI149),MIN($C149:$AI149)),$C149:$AI149,0))*INDEX(AG138:$AJ148,MATCH(MIN($AK138:$AK148),$AK138:$AK148,0),1)/INDEX($C138:$AJ148,MATCH(MIN($AK138:$AK148),$AK138:$AK148,0),MATCH(IF('Data-solution'!$A$3="Maximize",MAX($C149:$AI149),MIN($C149:$AI149)),$C149:$AI149,0))),AG146)</f>
        <v>1</v>
      </c>
      <c r="AH161" s="1">
        <f>IF(OR($B153&lt;&gt;$B138,$B154&lt;&gt;$B139,$B155&lt;&gt;$B140,$B156&lt;&gt;$B141,$B157&lt;&gt;$B142,$B158&lt;&gt;$B143,$B159&lt;&gt;$B144,$B160&lt;&gt;$B145,$B161&lt;&gt;$B146,$B162&lt;&gt;$B147,$B163&lt;&gt;$B148),IF($B161&lt;&gt;$B146,AH146/INDEX($C138:$AJ148,9,MATCH(IF('Data-solution'!$A$3="Maximize",MAX($C149:$AI149),MIN($C149:$AI149)),$C149:$AI149,0)),AH146-INDEX($C138:$AJ148,9,MATCH(IF('Data-solution'!$A$3="Maximize",MAX($C149:$AI149),MIN($C149:$AI149)),$C149:$AI149,0))*INDEX(AH138:$AJ148,MATCH(MIN($AK138:$AK148),$AK138:$AK148,0),1)/INDEX($C138:$AJ148,MATCH(MIN($AK138:$AK148),$AK138:$AK148,0),MATCH(IF('Data-solution'!$A$3="Maximize",MAX($C149:$AI149),MIN($C149:$AI149)),$C149:$AI149,0))),AH146)</f>
        <v>0</v>
      </c>
      <c r="AI161" s="1">
        <f>IF(OR($B153&lt;&gt;$B138,$B154&lt;&gt;$B139,$B155&lt;&gt;$B140,$B156&lt;&gt;$B141,$B157&lt;&gt;$B142,$B158&lt;&gt;$B143,$B159&lt;&gt;$B144,$B160&lt;&gt;$B145,$B161&lt;&gt;$B146,$B162&lt;&gt;$B147,$B163&lt;&gt;$B148),IF($B161&lt;&gt;$B146,AI146/INDEX($C138:$AJ148,9,MATCH(IF('Data-solution'!$A$3="Maximize",MAX($C149:$AI149),MIN($C149:$AI149)),$C149:$AI149,0)),AI146-INDEX($C138:$AJ148,9,MATCH(IF('Data-solution'!$A$3="Maximize",MAX($C149:$AI149),MIN($C149:$AI149)),$C149:$AI149,0))*INDEX(AI138:$AJ148,MATCH(MIN($AK138:$AK148),$AK138:$AK148,0),1)/INDEX($C138:$AJ148,MATCH(MIN($AK138:$AK148),$AK138:$AK148,0),MATCH(IF('Data-solution'!$A$3="Maximize",MAX($C149:$AI149),MIN($C149:$AI149)),$C149:$AI149,0))),AI146)</f>
        <v>0</v>
      </c>
      <c r="AJ161" s="1">
        <f>IF(OR($B153&lt;&gt;$B138,$B154&lt;&gt;$B139,$B155&lt;&gt;$B140,$B156&lt;&gt;$B141,$B157&lt;&gt;$B142,$B158&lt;&gt;$B143,$B159&lt;&gt;$B144,$B160&lt;&gt;$B145,$B161&lt;&gt;$B146,$B162&lt;&gt;$B147,$B163&lt;&gt;$B148),IF($B161&lt;&gt;$B146,AJ146/INDEX($C138:$AJ148,9,MATCH(IF('Data-solution'!$A$3="Maximize",MAX($C149:$AI149),MIN($C149:$AI149)),$C149:$AI149,0)),AJ146-INDEX($C138:$AJ148,9,MATCH(IF('Data-solution'!$A$3="Maximize",MAX($C149:$AI149),MIN($C149:$AI149)),$C149:$AI149,0))*INDEX(AJ138:$AJ148,MATCH(MIN($AK138:$AK148),$AK138:$AK148,0),1)/INDEX($C138:$AJ148,MATCH(MIN($AK138:$AK148),$AK138:$AK148,0),MATCH(IF('Data-solution'!$A$3="Maximize",MAX($C149:$AI149),MIN($C149:$AI149)),$C149:$AI149,0))),AJ146)</f>
        <v>0</v>
      </c>
      <c r="AK161" s="1" t="str">
        <f>IF(INDEX(C161:X161,1,MATCH(IF('Data-solution'!A$3="Maximize",MAX(C164:X164),MIN(C164:X164)),C164:X164,0))&gt;0,AJ161/INDEX(C161:X161,1,MATCH(IF('Data-solution'!A$3="Maximize",MAX(C164:X164),MIN(C164:X164)),C164:X164,0))," ")</f>
        <v xml:space="preserve"> </v>
      </c>
    </row>
    <row r="162" spans="1:37" ht="18" customHeight="1" x14ac:dyDescent="0.2">
      <c r="A162" s="1">
        <f t="shared" ref="A162" si="133">INDEX(C151:AI151,1,MATCH(B162,C152:AI152,0))</f>
        <v>0</v>
      </c>
      <c r="B162" s="2" t="str">
        <f>IF(AND('Data-solution'!A$3="Maximize",COUNTIF(C149:X149,"&gt;"&amp;0)&gt;0,AK147=MIN(AK138:AK148),COUNTIF(B153:B161,INDEX(C137:X137,1,MATCH(MAX(C149:X149),C149:X149,0)))=0),INDEX(C137:X137,1,MATCH(MAX(C149:X149),C149:X149,0)),IF(AND('Data-solution'!A$3="Minimize",COUNTIF(C149:X149,"&lt;"&amp;0)&gt;0,AK147=MIN(AK138:AK148),COUNTIF(B153:B161,INDEX(C137:X137,1,MATCH(MIN(C149:X149),C149:X149,0)))=0),INDEX(C137:X137,1,MATCH(MIN(C149:X149),C149:X149,0)),B147))</f>
        <v>S10</v>
      </c>
      <c r="C162" s="1">
        <f>IF(OR($B153&lt;&gt;$B138,$B154&lt;&gt;$B139,$B155&lt;&gt;$B140,$B156&lt;&gt;$B141,$B157&lt;&gt;$B142,$B158&lt;&gt;$B143,$B159&lt;&gt;$B144,$B160&lt;&gt;$B145,$B161&lt;&gt;$B146,$B162&lt;&gt;$B147,$B163&lt;&gt;$B148),IF($B162&lt;&gt;$B147,C147/INDEX($C138:$AJ148,10,MATCH(IF('Data-solution'!$A$3="Maximize",MAX($C149:$AI149),MIN($C149:$AI149)),$C149:$AI149,0)),C147-INDEX($C138:$AJ148,10,MATCH(IF('Data-solution'!$A$3="Maximize",MAX($C149:$AI149),MIN($C149:$AI149)),$C149:$AI149,0))*INDEX(C138:$AJ148,MATCH(MIN($AK138:$AK148),$AK138:$AK148,0),1)/INDEX($C138:$AJ148,MATCH(MIN($AK138:$AK148),$AK138:$AK148,0),MATCH(IF('Data-solution'!$A$3="Maximize",MAX($C149:$AI149),MIN($C149:$AI149)),$C149:$AI149,0))),C147)</f>
        <v>0</v>
      </c>
      <c r="D162" s="1">
        <f>IF(OR($B153&lt;&gt;$B138,$B154&lt;&gt;$B139,$B155&lt;&gt;$B140,$B156&lt;&gt;$B141,$B157&lt;&gt;$B142,$B158&lt;&gt;$B143,$B159&lt;&gt;$B144,$B160&lt;&gt;$B145,$B161&lt;&gt;$B146,$B162&lt;&gt;$B147,$B163&lt;&gt;$B148),IF($B162&lt;&gt;$B147,D147/INDEX($C138:$AJ148,10,MATCH(IF('Data-solution'!$A$3="Maximize",MAX($C149:$AI149),MIN($C149:$AI149)),$C149:$AI149,0)),D147-INDEX($C138:$AJ148,10,MATCH(IF('Data-solution'!$A$3="Maximize",MAX($C149:$AI149),MIN($C149:$AI149)),$C149:$AI149,0))*INDEX(D138:$AJ148,MATCH(MIN($AK138:$AK148),$AK138:$AK148,0),1)/INDEX($C138:$AJ148,MATCH(MIN($AK138:$AK148),$AK138:$AK148,0),MATCH(IF('Data-solution'!$A$3="Maximize",MAX($C149:$AI149),MIN($C149:$AI149)),$C149:$AI149,0))),D147)</f>
        <v>0</v>
      </c>
      <c r="E162" s="1">
        <f>IF(OR($B153&lt;&gt;$B138,$B154&lt;&gt;$B139,$B155&lt;&gt;$B140,$B156&lt;&gt;$B141,$B157&lt;&gt;$B142,$B158&lt;&gt;$B143,$B159&lt;&gt;$B144,$B160&lt;&gt;$B145,$B161&lt;&gt;$B146,$B162&lt;&gt;$B147,$B163&lt;&gt;$B148),IF($B162&lt;&gt;$B147,E147/INDEX($C138:$AJ148,10,MATCH(IF('Data-solution'!$A$3="Maximize",MAX($C149:$AI149),MIN($C149:$AI149)),$C149:$AI149,0)),E147-INDEX($C138:$AJ148,10,MATCH(IF('Data-solution'!$A$3="Maximize",MAX($C149:$AI149),MIN($C149:$AI149)),$C149:$AI149,0))*INDEX(E138:$AJ148,MATCH(MIN($AK138:$AK148),$AK138:$AK148,0),1)/INDEX($C138:$AJ148,MATCH(MIN($AK138:$AK148),$AK138:$AK148,0),MATCH(IF('Data-solution'!$A$3="Maximize",MAX($C149:$AI149),MIN($C149:$AI149)),$C149:$AI149,0))),E147)</f>
        <v>0</v>
      </c>
      <c r="F162" s="1">
        <f>IF(OR($B153&lt;&gt;$B138,$B154&lt;&gt;$B139,$B155&lt;&gt;$B140,$B156&lt;&gt;$B141,$B157&lt;&gt;$B142,$B158&lt;&gt;$B143,$B159&lt;&gt;$B144,$B160&lt;&gt;$B145,$B161&lt;&gt;$B146,$B162&lt;&gt;$B147,$B163&lt;&gt;$B148),IF($B162&lt;&gt;$B147,F147/INDEX($C138:$AJ148,10,MATCH(IF('Data-solution'!$A$3="Maximize",MAX($C149:$AI149),MIN($C149:$AI149)),$C149:$AI149,0)),F147-INDEX($C138:$AJ148,10,MATCH(IF('Data-solution'!$A$3="Maximize",MAX($C149:$AI149),MIN($C149:$AI149)),$C149:$AI149,0))*INDEX(F138:$AJ148,MATCH(MIN($AK138:$AK148),$AK138:$AK148,0),1)/INDEX($C138:$AJ148,MATCH(MIN($AK138:$AK148),$AK138:$AK148,0),MATCH(IF('Data-solution'!$A$3="Maximize",MAX($C149:$AI149),MIN($C149:$AI149)),$C149:$AI149,0))),F147)</f>
        <v>0</v>
      </c>
      <c r="G162" s="1">
        <f>IF(OR($B153&lt;&gt;$B138,$B154&lt;&gt;$B139,$B155&lt;&gt;$B140,$B156&lt;&gt;$B141,$B157&lt;&gt;$B142,$B158&lt;&gt;$B143,$B159&lt;&gt;$B144,$B160&lt;&gt;$B145,$B161&lt;&gt;$B146,$B162&lt;&gt;$B147,$B163&lt;&gt;$B148),IF($B162&lt;&gt;$B147,G147/INDEX($C138:$AJ148,10,MATCH(IF('Data-solution'!$A$3="Maximize",MAX($C149:$AI149),MIN($C149:$AI149)),$C149:$AI149,0)),G147-INDEX($C138:$AJ148,10,MATCH(IF('Data-solution'!$A$3="Maximize",MAX($C149:$AI149),MIN($C149:$AI149)),$C149:$AI149,0))*INDEX(G138:$AJ148,MATCH(MIN($AK138:$AK148),$AK138:$AK148,0),1)/INDEX($C138:$AJ148,MATCH(MIN($AK138:$AK148),$AK138:$AK148,0),MATCH(IF('Data-solution'!$A$3="Maximize",MAX($C149:$AI149),MIN($C149:$AI149)),$C149:$AI149,0))),G147)</f>
        <v>0</v>
      </c>
      <c r="H162" s="1">
        <f>IF(OR($B153&lt;&gt;$B138,$B154&lt;&gt;$B139,$B155&lt;&gt;$B140,$B156&lt;&gt;$B141,$B157&lt;&gt;$B142,$B158&lt;&gt;$B143,$B159&lt;&gt;$B144,$B160&lt;&gt;$B145,$B161&lt;&gt;$B146,$B162&lt;&gt;$B147,$B163&lt;&gt;$B148),IF($B162&lt;&gt;$B147,H147/INDEX($C138:$AJ148,10,MATCH(IF('Data-solution'!$A$3="Maximize",MAX($C149:$AI149),MIN($C149:$AI149)),$C149:$AI149,0)),H147-INDEX($C138:$AJ148,10,MATCH(IF('Data-solution'!$A$3="Maximize",MAX($C149:$AI149),MIN($C149:$AI149)),$C149:$AI149,0))*INDEX(H138:$AJ148,MATCH(MIN($AK138:$AK148),$AK138:$AK148,0),1)/INDEX($C138:$AJ148,MATCH(MIN($AK138:$AK148),$AK138:$AK148,0),MATCH(IF('Data-solution'!$A$3="Maximize",MAX($C149:$AI149),MIN($C149:$AI149)),$C149:$AI149,0))),H147)</f>
        <v>0</v>
      </c>
      <c r="I162" s="1">
        <f>IF(OR($B153&lt;&gt;$B138,$B154&lt;&gt;$B139,$B155&lt;&gt;$B140,$B156&lt;&gt;$B141,$B157&lt;&gt;$B142,$B158&lt;&gt;$B143,$B159&lt;&gt;$B144,$B160&lt;&gt;$B145,$B161&lt;&gt;$B146,$B162&lt;&gt;$B147,$B163&lt;&gt;$B148),IF($B162&lt;&gt;$B147,I147/INDEX($C138:$AJ148,10,MATCH(IF('Data-solution'!$A$3="Maximize",MAX($C149:$AI149),MIN($C149:$AI149)),$C149:$AI149,0)),I147-INDEX($C138:$AJ148,10,MATCH(IF('Data-solution'!$A$3="Maximize",MAX($C149:$AI149),MIN($C149:$AI149)),$C149:$AI149,0))*INDEX(I138:$AJ148,MATCH(MIN($AK138:$AK148),$AK138:$AK148,0),1)/INDEX($C138:$AJ148,MATCH(MIN($AK138:$AK148),$AK138:$AK148,0),MATCH(IF('Data-solution'!$A$3="Maximize",MAX($C149:$AI149),MIN($C149:$AI149)),$C149:$AI149,0))),I147)</f>
        <v>0</v>
      </c>
      <c r="J162" s="1">
        <f>IF(OR($B153&lt;&gt;$B138,$B154&lt;&gt;$B139,$B155&lt;&gt;$B140,$B156&lt;&gt;$B141,$B157&lt;&gt;$B142,$B158&lt;&gt;$B143,$B159&lt;&gt;$B144,$B160&lt;&gt;$B145,$B161&lt;&gt;$B146,$B162&lt;&gt;$B147,$B163&lt;&gt;$B148),IF($B162&lt;&gt;$B147,J147/INDEX($C138:$AJ148,10,MATCH(IF('Data-solution'!$A$3="Maximize",MAX($C149:$AI149),MIN($C149:$AI149)),$C149:$AI149,0)),J147-INDEX($C138:$AJ148,10,MATCH(IF('Data-solution'!$A$3="Maximize",MAX($C149:$AI149),MIN($C149:$AI149)),$C149:$AI149,0))*INDEX(J138:$AJ148,MATCH(MIN($AK138:$AK148),$AK138:$AK148,0),1)/INDEX($C138:$AJ148,MATCH(MIN($AK138:$AK148),$AK138:$AK148,0),MATCH(IF('Data-solution'!$A$3="Maximize",MAX($C149:$AI149),MIN($C149:$AI149)),$C149:$AI149,0))),J147)</f>
        <v>0</v>
      </c>
      <c r="K162" s="1">
        <f>IF(OR($B153&lt;&gt;$B138,$B154&lt;&gt;$B139,$B155&lt;&gt;$B140,$B156&lt;&gt;$B141,$B157&lt;&gt;$B142,$B158&lt;&gt;$B143,$B159&lt;&gt;$B144,$B160&lt;&gt;$B145,$B161&lt;&gt;$B146,$B162&lt;&gt;$B147,$B163&lt;&gt;$B148),IF($B162&lt;&gt;$B147,K147/INDEX($C138:$AJ148,10,MATCH(IF('Data-solution'!$A$3="Maximize",MAX($C149:$AI149),MIN($C149:$AI149)),$C149:$AI149,0)),K147-INDEX($C138:$AJ148,10,MATCH(IF('Data-solution'!$A$3="Maximize",MAX($C149:$AI149),MIN($C149:$AI149)),$C149:$AI149,0))*INDEX(K138:$AJ148,MATCH(MIN($AK138:$AK148),$AK138:$AK148,0),1)/INDEX($C138:$AJ148,MATCH(MIN($AK138:$AK148),$AK138:$AK148,0),MATCH(IF('Data-solution'!$A$3="Maximize",MAX($C149:$AI149),MIN($C149:$AI149)),$C149:$AI149,0))),K147)</f>
        <v>0</v>
      </c>
      <c r="L162" s="1">
        <f>IF(OR($B153&lt;&gt;$B138,$B154&lt;&gt;$B139,$B155&lt;&gt;$B140,$B156&lt;&gt;$B141,$B157&lt;&gt;$B142,$B158&lt;&gt;$B143,$B159&lt;&gt;$B144,$B160&lt;&gt;$B145,$B161&lt;&gt;$B146,$B162&lt;&gt;$B147,$B163&lt;&gt;$B148),IF($B162&lt;&gt;$B147,L147/INDEX($C138:$AJ148,10,MATCH(IF('Data-solution'!$A$3="Maximize",MAX($C149:$AI149),MIN($C149:$AI149)),$C149:$AI149,0)),L147-INDEX($C138:$AJ148,10,MATCH(IF('Data-solution'!$A$3="Maximize",MAX($C149:$AI149),MIN($C149:$AI149)),$C149:$AI149,0))*INDEX(L138:$AJ148,MATCH(MIN($AK138:$AK148),$AK138:$AK148,0),1)/INDEX($C138:$AJ148,MATCH(MIN($AK138:$AK148),$AK138:$AK148,0),MATCH(IF('Data-solution'!$A$3="Maximize",MAX($C149:$AI149),MIN($C149:$AI149)),$C149:$AI149,0))),L147)</f>
        <v>0</v>
      </c>
      <c r="M162" s="1">
        <f>IF(OR($B153&lt;&gt;$B138,$B154&lt;&gt;$B139,$B155&lt;&gt;$B140,$B156&lt;&gt;$B141,$B157&lt;&gt;$B142,$B158&lt;&gt;$B143,$B159&lt;&gt;$B144,$B160&lt;&gt;$B145,$B161&lt;&gt;$B146,$B162&lt;&gt;$B147,$B163&lt;&gt;$B148),IF($B162&lt;&gt;$B147,M147/INDEX($C138:$AJ148,10,MATCH(IF('Data-solution'!$A$3="Maximize",MAX($C149:$AI149),MIN($C149:$AI149)),$C149:$AI149,0)),M147-INDEX($C138:$AJ148,10,MATCH(IF('Data-solution'!$A$3="Maximize",MAX($C149:$AI149),MIN($C149:$AI149)),$C149:$AI149,0))*INDEX(M138:$AJ148,MATCH(MIN($AK138:$AK148),$AK138:$AK148,0),1)/INDEX($C138:$AJ148,MATCH(MIN($AK138:$AK148),$AK138:$AK148,0),MATCH(IF('Data-solution'!$A$3="Maximize",MAX($C149:$AI149),MIN($C149:$AI149)),$C149:$AI149,0))),M147)</f>
        <v>0</v>
      </c>
      <c r="N162" s="1">
        <f>IF(OR($B153&lt;&gt;$B138,$B154&lt;&gt;$B139,$B155&lt;&gt;$B140,$B156&lt;&gt;$B141,$B157&lt;&gt;$B142,$B158&lt;&gt;$B143,$B159&lt;&gt;$B144,$B160&lt;&gt;$B145,$B161&lt;&gt;$B146,$B162&lt;&gt;$B147,$B163&lt;&gt;$B148),IF($B162&lt;&gt;$B147,N147/INDEX($C138:$AJ148,10,MATCH(IF('Data-solution'!$A$3="Maximize",MAX($C149:$AI149),MIN($C149:$AI149)),$C149:$AI149,0)),N147-INDEX($C138:$AJ148,10,MATCH(IF('Data-solution'!$A$3="Maximize",MAX($C149:$AI149),MIN($C149:$AI149)),$C149:$AI149,0))*INDEX(N138:$AJ148,MATCH(MIN($AK138:$AK148),$AK138:$AK148,0),1)/INDEX($C138:$AJ148,MATCH(MIN($AK138:$AK148),$AK138:$AK148,0),MATCH(IF('Data-solution'!$A$3="Maximize",MAX($C149:$AI149),MIN($C149:$AI149)),$C149:$AI149,0))),N147)</f>
        <v>0</v>
      </c>
      <c r="O162" s="1">
        <f>IF(OR($B153&lt;&gt;$B138,$B154&lt;&gt;$B139,$B155&lt;&gt;$B140,$B156&lt;&gt;$B141,$B157&lt;&gt;$B142,$B158&lt;&gt;$B143,$B159&lt;&gt;$B144,$B160&lt;&gt;$B145,$B161&lt;&gt;$B146,$B162&lt;&gt;$B147,$B163&lt;&gt;$B148),IF($B162&lt;&gt;$B147,O147/INDEX($C138:$AJ148,10,MATCH(IF('Data-solution'!$A$3="Maximize",MAX($C149:$AI149),MIN($C149:$AI149)),$C149:$AI149,0)),O147-INDEX($C138:$AJ148,10,MATCH(IF('Data-solution'!$A$3="Maximize",MAX($C149:$AI149),MIN($C149:$AI149)),$C149:$AI149,0))*INDEX(O138:$AJ148,MATCH(MIN($AK138:$AK148),$AK138:$AK148,0),1)/INDEX($C138:$AJ148,MATCH(MIN($AK138:$AK148),$AK138:$AK148,0),MATCH(IF('Data-solution'!$A$3="Maximize",MAX($C149:$AI149),MIN($C149:$AI149)),$C149:$AI149,0))),O147)</f>
        <v>0</v>
      </c>
      <c r="P162" s="1">
        <f>IF(OR($B153&lt;&gt;$B138,$B154&lt;&gt;$B139,$B155&lt;&gt;$B140,$B156&lt;&gt;$B141,$B157&lt;&gt;$B142,$B158&lt;&gt;$B143,$B159&lt;&gt;$B144,$B160&lt;&gt;$B145,$B161&lt;&gt;$B146,$B162&lt;&gt;$B147,$B163&lt;&gt;$B148),IF($B162&lt;&gt;$B147,P147/INDEX($C138:$AJ148,10,MATCH(IF('Data-solution'!$A$3="Maximize",MAX($C149:$AI149),MIN($C149:$AI149)),$C149:$AI149,0)),P147-INDEX($C138:$AJ148,10,MATCH(IF('Data-solution'!$A$3="Maximize",MAX($C149:$AI149),MIN($C149:$AI149)),$C149:$AI149,0))*INDEX(P138:$AJ148,MATCH(MIN($AK138:$AK148),$AK138:$AK148,0),1)/INDEX($C138:$AJ148,MATCH(MIN($AK138:$AK148),$AK138:$AK148,0),MATCH(IF('Data-solution'!$A$3="Maximize",MAX($C149:$AI149),MIN($C149:$AI149)),$C149:$AI149,0))),P147)</f>
        <v>0</v>
      </c>
      <c r="Q162" s="1">
        <f>IF(OR($B153&lt;&gt;$B138,$B154&lt;&gt;$B139,$B155&lt;&gt;$B140,$B156&lt;&gt;$B141,$B157&lt;&gt;$B142,$B158&lt;&gt;$B143,$B159&lt;&gt;$B144,$B160&lt;&gt;$B145,$B161&lt;&gt;$B146,$B162&lt;&gt;$B147,$B163&lt;&gt;$B148),IF($B162&lt;&gt;$B147,Q147/INDEX($C138:$AJ148,10,MATCH(IF('Data-solution'!$A$3="Maximize",MAX($C149:$AI149),MIN($C149:$AI149)),$C149:$AI149,0)),Q147-INDEX($C138:$AJ148,10,MATCH(IF('Data-solution'!$A$3="Maximize",MAX($C149:$AI149),MIN($C149:$AI149)),$C149:$AI149,0))*INDEX(Q138:$AJ148,MATCH(MIN($AK138:$AK148),$AK138:$AK148,0),1)/INDEX($C138:$AJ148,MATCH(MIN($AK138:$AK148),$AK138:$AK148,0),MATCH(IF('Data-solution'!$A$3="Maximize",MAX($C149:$AI149),MIN($C149:$AI149)),$C149:$AI149,0))),Q147)</f>
        <v>0</v>
      </c>
      <c r="R162" s="1">
        <f>IF(OR($B153&lt;&gt;$B138,$B154&lt;&gt;$B139,$B155&lt;&gt;$B140,$B156&lt;&gt;$B141,$B157&lt;&gt;$B142,$B158&lt;&gt;$B143,$B159&lt;&gt;$B144,$B160&lt;&gt;$B145,$B161&lt;&gt;$B146,$B162&lt;&gt;$B147,$B163&lt;&gt;$B148),IF($B162&lt;&gt;$B147,R147/INDEX($C138:$AJ148,10,MATCH(IF('Data-solution'!$A$3="Maximize",MAX($C149:$AI149),MIN($C149:$AI149)),$C149:$AI149,0)),R147-INDEX($C138:$AJ148,10,MATCH(IF('Data-solution'!$A$3="Maximize",MAX($C149:$AI149),MIN($C149:$AI149)),$C149:$AI149,0))*INDEX(R138:$AJ148,MATCH(MIN($AK138:$AK148),$AK138:$AK148,0),1)/INDEX($C138:$AJ148,MATCH(MIN($AK138:$AK148),$AK138:$AK148,0),MATCH(IF('Data-solution'!$A$3="Maximize",MAX($C149:$AI149),MIN($C149:$AI149)),$C149:$AI149,0))),R147)</f>
        <v>0</v>
      </c>
      <c r="S162" s="1">
        <f>IF(OR($B153&lt;&gt;$B138,$B154&lt;&gt;$B139,$B155&lt;&gt;$B140,$B156&lt;&gt;$B141,$B157&lt;&gt;$B142,$B158&lt;&gt;$B143,$B159&lt;&gt;$B144,$B160&lt;&gt;$B145,$B161&lt;&gt;$B146,$B162&lt;&gt;$B147,$B163&lt;&gt;$B148),IF($B162&lt;&gt;$B147,S147/INDEX($C138:$AJ148,10,MATCH(IF('Data-solution'!$A$3="Maximize",MAX($C149:$AI149),MIN($C149:$AI149)),$C149:$AI149,0)),S147-INDEX($C138:$AJ148,10,MATCH(IF('Data-solution'!$A$3="Maximize",MAX($C149:$AI149),MIN($C149:$AI149)),$C149:$AI149,0))*INDEX(S138:$AJ148,MATCH(MIN($AK138:$AK148),$AK138:$AK148,0),1)/INDEX($C138:$AJ148,MATCH(MIN($AK138:$AK148),$AK138:$AK148,0),MATCH(IF('Data-solution'!$A$3="Maximize",MAX($C149:$AI149),MIN($C149:$AI149)),$C149:$AI149,0))),S147)</f>
        <v>0</v>
      </c>
      <c r="T162" s="1">
        <f>IF(OR($B153&lt;&gt;$B138,$B154&lt;&gt;$B139,$B155&lt;&gt;$B140,$B156&lt;&gt;$B141,$B157&lt;&gt;$B142,$B158&lt;&gt;$B143,$B159&lt;&gt;$B144,$B160&lt;&gt;$B145,$B161&lt;&gt;$B146,$B162&lt;&gt;$B147,$B163&lt;&gt;$B148),IF($B162&lt;&gt;$B147,T147/INDEX($C138:$AJ148,10,MATCH(IF('Data-solution'!$A$3="Maximize",MAX($C149:$AI149),MIN($C149:$AI149)),$C149:$AI149,0)),T147-INDEX($C138:$AJ148,10,MATCH(IF('Data-solution'!$A$3="Maximize",MAX($C149:$AI149),MIN($C149:$AI149)),$C149:$AI149,0))*INDEX(T138:$AJ148,MATCH(MIN($AK138:$AK148),$AK138:$AK148,0),1)/INDEX($C138:$AJ148,MATCH(MIN($AK138:$AK148),$AK138:$AK148,0),MATCH(IF('Data-solution'!$A$3="Maximize",MAX($C149:$AI149),MIN($C149:$AI149)),$C149:$AI149,0))),T147)</f>
        <v>0</v>
      </c>
      <c r="U162" s="1">
        <f>IF(OR($B153&lt;&gt;$B138,$B154&lt;&gt;$B139,$B155&lt;&gt;$B140,$B156&lt;&gt;$B141,$B157&lt;&gt;$B142,$B158&lt;&gt;$B143,$B159&lt;&gt;$B144,$B160&lt;&gt;$B145,$B161&lt;&gt;$B146,$B162&lt;&gt;$B147,$B163&lt;&gt;$B148),IF($B162&lt;&gt;$B147,U147/INDEX($C138:$AJ148,10,MATCH(IF('Data-solution'!$A$3="Maximize",MAX($C149:$AI149),MIN($C149:$AI149)),$C149:$AI149,0)),U147-INDEX($C138:$AJ148,10,MATCH(IF('Data-solution'!$A$3="Maximize",MAX($C149:$AI149),MIN($C149:$AI149)),$C149:$AI149,0))*INDEX(U138:$AJ148,MATCH(MIN($AK138:$AK148),$AK138:$AK148,0),1)/INDEX($C138:$AJ148,MATCH(MIN($AK138:$AK148),$AK138:$AK148,0),MATCH(IF('Data-solution'!$A$3="Maximize",MAX($C149:$AI149),MIN($C149:$AI149)),$C149:$AI149,0))),U147)</f>
        <v>0</v>
      </c>
      <c r="V162" s="1">
        <f>IF(OR($B153&lt;&gt;$B138,$B154&lt;&gt;$B139,$B155&lt;&gt;$B140,$B156&lt;&gt;$B141,$B157&lt;&gt;$B142,$B158&lt;&gt;$B143,$B159&lt;&gt;$B144,$B160&lt;&gt;$B145,$B161&lt;&gt;$B146,$B162&lt;&gt;$B147,$B163&lt;&gt;$B148),IF($B162&lt;&gt;$B147,V147/INDEX($C138:$AJ148,10,MATCH(IF('Data-solution'!$A$3="Maximize",MAX($C149:$AI149),MIN($C149:$AI149)),$C149:$AI149,0)),V147-INDEX($C138:$AJ148,10,MATCH(IF('Data-solution'!$A$3="Maximize",MAX($C149:$AI149),MIN($C149:$AI149)),$C149:$AI149,0))*INDEX(V138:$AJ148,MATCH(MIN($AK138:$AK148),$AK138:$AK148,0),1)/INDEX($C138:$AJ148,MATCH(MIN($AK138:$AK148),$AK138:$AK148,0),MATCH(IF('Data-solution'!$A$3="Maximize",MAX($C149:$AI149),MIN($C149:$AI149)),$C149:$AI149,0))),V147)</f>
        <v>0</v>
      </c>
      <c r="W162" s="1">
        <f>IF(OR($B153&lt;&gt;$B138,$B154&lt;&gt;$B139,$B155&lt;&gt;$B140,$B156&lt;&gt;$B141,$B157&lt;&gt;$B142,$B158&lt;&gt;$B143,$B159&lt;&gt;$B144,$B160&lt;&gt;$B145,$B161&lt;&gt;$B146,$B162&lt;&gt;$B147,$B163&lt;&gt;$B148),IF($B162&lt;&gt;$B147,W147/INDEX($C138:$AJ148,10,MATCH(IF('Data-solution'!$A$3="Maximize",MAX($C149:$AI149),MIN($C149:$AI149)),$C149:$AI149,0)),W147-INDEX($C138:$AJ148,10,MATCH(IF('Data-solution'!$A$3="Maximize",MAX($C149:$AI149),MIN($C149:$AI149)),$C149:$AI149,0))*INDEX(W138:$AJ148,MATCH(MIN($AK138:$AK148),$AK138:$AK148,0),1)/INDEX($C138:$AJ148,MATCH(MIN($AK138:$AK148),$AK138:$AK148,0),MATCH(IF('Data-solution'!$A$3="Maximize",MAX($C149:$AI149),MIN($C149:$AI149)),$C149:$AI149,0))),W147)</f>
        <v>1</v>
      </c>
      <c r="X162" s="1">
        <f>IF(OR($B153&lt;&gt;$B138,$B154&lt;&gt;$B139,$B155&lt;&gt;$B140,$B156&lt;&gt;$B141,$B157&lt;&gt;$B142,$B158&lt;&gt;$B143,$B159&lt;&gt;$B144,$B160&lt;&gt;$B145,$B161&lt;&gt;$B146,$B162&lt;&gt;$B147,$B163&lt;&gt;$B148),IF($B162&lt;&gt;$B147,X147/INDEX($C138:$AJ148,10,MATCH(IF('Data-solution'!$A$3="Maximize",MAX($C149:$AI149),MIN($C149:$AI149)),$C149:$AI149,0)),X147-INDEX($C138:$AJ148,10,MATCH(IF('Data-solution'!$A$3="Maximize",MAX($C149:$AI149),MIN($C149:$AI149)),$C149:$AI149,0))*INDEX(X138:$AJ148,MATCH(MIN($AK138:$AK148),$AK138:$AK148,0),1)/INDEX($C138:$AJ148,MATCH(MIN($AK138:$AK148),$AK138:$AK148,0),MATCH(IF('Data-solution'!$A$3="Maximize",MAX($C149:$AI149),MIN($C149:$AI149)),$C149:$AI149,0))),X147)</f>
        <v>0</v>
      </c>
      <c r="Y162" s="1">
        <f>IF(OR($B153&lt;&gt;$B138,$B154&lt;&gt;$B139,$B155&lt;&gt;$B140,$B156&lt;&gt;$B141,$B157&lt;&gt;$B142,$B158&lt;&gt;$B143,$B159&lt;&gt;$B144,$B160&lt;&gt;$B145,$B161&lt;&gt;$B146,$B162&lt;&gt;$B147,$B163&lt;&gt;$B148),IF($B162&lt;&gt;$B147,Y147/INDEX($C138:$AJ148,10,MATCH(IF('Data-solution'!$A$3="Maximize",MAX($C149:$AI149),MIN($C149:$AI149)),$C149:$AI149,0)),Y147-INDEX($C138:$AJ148,10,MATCH(IF('Data-solution'!$A$3="Maximize",MAX($C149:$AI149),MIN($C149:$AI149)),$C149:$AI149,0))*INDEX(Y138:$AJ148,MATCH(MIN($AK138:$AK148),$AK138:$AK148,0),1)/INDEX($C138:$AJ148,MATCH(MIN($AK138:$AK148),$AK138:$AK148,0),MATCH(IF('Data-solution'!$A$3="Maximize",MAX($C149:$AI149),MIN($C149:$AI149)),$C149:$AI149,0))),Y147)</f>
        <v>0</v>
      </c>
      <c r="Z162" s="1">
        <f>IF(OR($B153&lt;&gt;$B138,$B154&lt;&gt;$B139,$B155&lt;&gt;$B140,$B156&lt;&gt;$B141,$B157&lt;&gt;$B142,$B158&lt;&gt;$B143,$B159&lt;&gt;$B144,$B160&lt;&gt;$B145,$B161&lt;&gt;$B146,$B162&lt;&gt;$B147,$B163&lt;&gt;$B148),IF($B162&lt;&gt;$B147,Z147/INDEX($C138:$AJ148,10,MATCH(IF('Data-solution'!$A$3="Maximize",MAX($C149:$AI149),MIN($C149:$AI149)),$C149:$AI149,0)),Z147-INDEX($C138:$AJ148,10,MATCH(IF('Data-solution'!$A$3="Maximize",MAX($C149:$AI149),MIN($C149:$AI149)),$C149:$AI149,0))*INDEX(Z138:$AJ148,MATCH(MIN($AK138:$AK148),$AK138:$AK148,0),1)/INDEX($C138:$AJ148,MATCH(MIN($AK138:$AK148),$AK138:$AK148,0),MATCH(IF('Data-solution'!$A$3="Maximize",MAX($C149:$AI149),MIN($C149:$AI149)),$C149:$AI149,0))),Z147)</f>
        <v>0</v>
      </c>
      <c r="AA162" s="1">
        <f>IF(OR($B153&lt;&gt;$B138,$B154&lt;&gt;$B139,$B155&lt;&gt;$B140,$B156&lt;&gt;$B141,$B157&lt;&gt;$B142,$B158&lt;&gt;$B143,$B159&lt;&gt;$B144,$B160&lt;&gt;$B145,$B161&lt;&gt;$B146,$B162&lt;&gt;$B147,$B163&lt;&gt;$B148),IF($B162&lt;&gt;$B147,AA147/INDEX($C138:$AJ148,10,MATCH(IF('Data-solution'!$A$3="Maximize",MAX($C149:$AI149),MIN($C149:$AI149)),$C149:$AI149,0)),AA147-INDEX($C138:$AJ148,10,MATCH(IF('Data-solution'!$A$3="Maximize",MAX($C149:$AI149),MIN($C149:$AI149)),$C149:$AI149,0))*INDEX(AA138:$AJ148,MATCH(MIN($AK138:$AK148),$AK138:$AK148,0),1)/INDEX($C138:$AJ148,MATCH(MIN($AK138:$AK148),$AK138:$AK148,0),MATCH(IF('Data-solution'!$A$3="Maximize",MAX($C149:$AI149),MIN($C149:$AI149)),$C149:$AI149,0))),AA147)</f>
        <v>0</v>
      </c>
      <c r="AB162" s="1">
        <f>IF(OR($B153&lt;&gt;$B138,$B154&lt;&gt;$B139,$B155&lt;&gt;$B140,$B156&lt;&gt;$B141,$B157&lt;&gt;$B142,$B158&lt;&gt;$B143,$B159&lt;&gt;$B144,$B160&lt;&gt;$B145,$B161&lt;&gt;$B146,$B162&lt;&gt;$B147,$B163&lt;&gt;$B148),IF($B162&lt;&gt;$B147,AB147/INDEX($C138:$AJ148,10,MATCH(IF('Data-solution'!$A$3="Maximize",MAX($C149:$AI149),MIN($C149:$AI149)),$C149:$AI149,0)),AB147-INDEX($C138:$AJ148,10,MATCH(IF('Data-solution'!$A$3="Maximize",MAX($C149:$AI149),MIN($C149:$AI149)),$C149:$AI149,0))*INDEX(AB138:$AJ148,MATCH(MIN($AK138:$AK148),$AK138:$AK148,0),1)/INDEX($C138:$AJ148,MATCH(MIN($AK138:$AK148),$AK138:$AK148,0),MATCH(IF('Data-solution'!$A$3="Maximize",MAX($C149:$AI149),MIN($C149:$AI149)),$C149:$AI149,0))),AB147)</f>
        <v>0</v>
      </c>
      <c r="AC162" s="1">
        <f>IF(OR($B153&lt;&gt;$B138,$B154&lt;&gt;$B139,$B155&lt;&gt;$B140,$B156&lt;&gt;$B141,$B157&lt;&gt;$B142,$B158&lt;&gt;$B143,$B159&lt;&gt;$B144,$B160&lt;&gt;$B145,$B161&lt;&gt;$B146,$B162&lt;&gt;$B147,$B163&lt;&gt;$B148),IF($B162&lt;&gt;$B147,AC147/INDEX($C138:$AJ148,10,MATCH(IF('Data-solution'!$A$3="Maximize",MAX($C149:$AI149),MIN($C149:$AI149)),$C149:$AI149,0)),AC147-INDEX($C138:$AJ148,10,MATCH(IF('Data-solution'!$A$3="Maximize",MAX($C149:$AI149),MIN($C149:$AI149)),$C149:$AI149,0))*INDEX(AC138:$AJ148,MATCH(MIN($AK138:$AK148),$AK138:$AK148,0),1)/INDEX($C138:$AJ148,MATCH(MIN($AK138:$AK148),$AK138:$AK148,0),MATCH(IF('Data-solution'!$A$3="Maximize",MAX($C149:$AI149),MIN($C149:$AI149)),$C149:$AI149,0))),AC147)</f>
        <v>0</v>
      </c>
      <c r="AD162" s="1">
        <f>IF(OR($B153&lt;&gt;$B138,$B154&lt;&gt;$B139,$B155&lt;&gt;$B140,$B156&lt;&gt;$B141,$B157&lt;&gt;$B142,$B158&lt;&gt;$B143,$B159&lt;&gt;$B144,$B160&lt;&gt;$B145,$B161&lt;&gt;$B146,$B162&lt;&gt;$B147,$B163&lt;&gt;$B148),IF($B162&lt;&gt;$B147,AD147/INDEX($C138:$AJ148,10,MATCH(IF('Data-solution'!$A$3="Maximize",MAX($C149:$AI149),MIN($C149:$AI149)),$C149:$AI149,0)),AD147-INDEX($C138:$AJ148,10,MATCH(IF('Data-solution'!$A$3="Maximize",MAX($C149:$AI149),MIN($C149:$AI149)),$C149:$AI149,0))*INDEX(AD138:$AJ148,MATCH(MIN($AK138:$AK148),$AK138:$AK148,0),1)/INDEX($C138:$AJ148,MATCH(MIN($AK138:$AK148),$AK138:$AK148,0),MATCH(IF('Data-solution'!$A$3="Maximize",MAX($C149:$AI149),MIN($C149:$AI149)),$C149:$AI149,0))),AD147)</f>
        <v>0</v>
      </c>
      <c r="AE162" s="1">
        <f>IF(OR($B153&lt;&gt;$B138,$B154&lt;&gt;$B139,$B155&lt;&gt;$B140,$B156&lt;&gt;$B141,$B157&lt;&gt;$B142,$B158&lt;&gt;$B143,$B159&lt;&gt;$B144,$B160&lt;&gt;$B145,$B161&lt;&gt;$B146,$B162&lt;&gt;$B147,$B163&lt;&gt;$B148),IF($B162&lt;&gt;$B147,AE147/INDEX($C138:$AJ148,10,MATCH(IF('Data-solution'!$A$3="Maximize",MAX($C149:$AI149),MIN($C149:$AI149)),$C149:$AI149,0)),AE147-INDEX($C138:$AJ148,10,MATCH(IF('Data-solution'!$A$3="Maximize",MAX($C149:$AI149),MIN($C149:$AI149)),$C149:$AI149,0))*INDEX(AE138:$AJ148,MATCH(MIN($AK138:$AK148),$AK138:$AK148,0),1)/INDEX($C138:$AJ148,MATCH(MIN($AK138:$AK148),$AK138:$AK148,0),MATCH(IF('Data-solution'!$A$3="Maximize",MAX($C149:$AI149),MIN($C149:$AI149)),$C149:$AI149,0))),AE147)</f>
        <v>0</v>
      </c>
      <c r="AF162" s="1">
        <f>IF(OR($B153&lt;&gt;$B138,$B154&lt;&gt;$B139,$B155&lt;&gt;$B140,$B156&lt;&gt;$B141,$B157&lt;&gt;$B142,$B158&lt;&gt;$B143,$B159&lt;&gt;$B144,$B160&lt;&gt;$B145,$B161&lt;&gt;$B146,$B162&lt;&gt;$B147,$B163&lt;&gt;$B148),IF($B162&lt;&gt;$B147,AF147/INDEX($C138:$AJ148,10,MATCH(IF('Data-solution'!$A$3="Maximize",MAX($C149:$AI149),MIN($C149:$AI149)),$C149:$AI149,0)),AF147-INDEX($C138:$AJ148,10,MATCH(IF('Data-solution'!$A$3="Maximize",MAX($C149:$AI149),MIN($C149:$AI149)),$C149:$AI149,0))*INDEX(AF138:$AJ148,MATCH(MIN($AK138:$AK148),$AK138:$AK148,0),1)/INDEX($C138:$AJ148,MATCH(MIN($AK138:$AK148),$AK138:$AK148,0),MATCH(IF('Data-solution'!$A$3="Maximize",MAX($C149:$AI149),MIN($C149:$AI149)),$C149:$AI149,0))),AF147)</f>
        <v>0</v>
      </c>
      <c r="AG162" s="1">
        <f>IF(OR($B153&lt;&gt;$B138,$B154&lt;&gt;$B139,$B155&lt;&gt;$B140,$B156&lt;&gt;$B141,$B157&lt;&gt;$B142,$B158&lt;&gt;$B143,$B159&lt;&gt;$B144,$B160&lt;&gt;$B145,$B161&lt;&gt;$B146,$B162&lt;&gt;$B147,$B163&lt;&gt;$B148),IF($B162&lt;&gt;$B147,AG147/INDEX($C138:$AJ148,10,MATCH(IF('Data-solution'!$A$3="Maximize",MAX($C149:$AI149),MIN($C149:$AI149)),$C149:$AI149,0)),AG147-INDEX($C138:$AJ148,10,MATCH(IF('Data-solution'!$A$3="Maximize",MAX($C149:$AI149),MIN($C149:$AI149)),$C149:$AI149,0))*INDEX(AG138:$AJ148,MATCH(MIN($AK138:$AK148),$AK138:$AK148,0),1)/INDEX($C138:$AJ148,MATCH(MIN($AK138:$AK148),$AK138:$AK148,0),MATCH(IF('Data-solution'!$A$3="Maximize",MAX($C149:$AI149),MIN($C149:$AI149)),$C149:$AI149,0))),AG147)</f>
        <v>0</v>
      </c>
      <c r="AH162" s="1">
        <f>IF(OR($B153&lt;&gt;$B138,$B154&lt;&gt;$B139,$B155&lt;&gt;$B140,$B156&lt;&gt;$B141,$B157&lt;&gt;$B142,$B158&lt;&gt;$B143,$B159&lt;&gt;$B144,$B160&lt;&gt;$B145,$B161&lt;&gt;$B146,$B162&lt;&gt;$B147,$B163&lt;&gt;$B148),IF($B162&lt;&gt;$B147,AH147/INDEX($C138:$AJ148,10,MATCH(IF('Data-solution'!$A$3="Maximize",MAX($C149:$AI149),MIN($C149:$AI149)),$C149:$AI149,0)),AH147-INDEX($C138:$AJ148,10,MATCH(IF('Data-solution'!$A$3="Maximize",MAX($C149:$AI149),MIN($C149:$AI149)),$C149:$AI149,0))*INDEX(AH138:$AJ148,MATCH(MIN($AK138:$AK148),$AK138:$AK148,0),1)/INDEX($C138:$AJ148,MATCH(MIN($AK138:$AK148),$AK138:$AK148,0),MATCH(IF('Data-solution'!$A$3="Maximize",MAX($C149:$AI149),MIN($C149:$AI149)),$C149:$AI149,0))),AH147)</f>
        <v>1</v>
      </c>
      <c r="AI162" s="1">
        <f>IF(OR($B153&lt;&gt;$B138,$B154&lt;&gt;$B139,$B155&lt;&gt;$B140,$B156&lt;&gt;$B141,$B157&lt;&gt;$B142,$B158&lt;&gt;$B143,$B159&lt;&gt;$B144,$B160&lt;&gt;$B145,$B161&lt;&gt;$B146,$B162&lt;&gt;$B147,$B163&lt;&gt;$B148),IF($B162&lt;&gt;$B147,AI147/INDEX($C138:$AJ148,10,MATCH(IF('Data-solution'!$A$3="Maximize",MAX($C149:$AI149),MIN($C149:$AI149)),$C149:$AI149,0)),AI147-INDEX($C138:$AJ148,10,MATCH(IF('Data-solution'!$A$3="Maximize",MAX($C149:$AI149),MIN($C149:$AI149)),$C149:$AI149,0))*INDEX(AI138:$AJ148,MATCH(MIN($AK138:$AK148),$AK138:$AK148,0),1)/INDEX($C138:$AJ148,MATCH(MIN($AK138:$AK148),$AK138:$AK148,0),MATCH(IF('Data-solution'!$A$3="Maximize",MAX($C149:$AI149),MIN($C149:$AI149)),$C149:$AI149,0))),AI147)</f>
        <v>0</v>
      </c>
      <c r="AJ162" s="1">
        <f>IF(OR($B153&lt;&gt;$B138,$B154&lt;&gt;$B139,$B155&lt;&gt;$B140,$B156&lt;&gt;$B141,$B157&lt;&gt;$B142,$B158&lt;&gt;$B143,$B159&lt;&gt;$B144,$B160&lt;&gt;$B145,$B161&lt;&gt;$B146,$B162&lt;&gt;$B147,$B163&lt;&gt;$B148),IF($B162&lt;&gt;$B147,AJ147/INDEX($C138:$AJ148,10,MATCH(IF('Data-solution'!$A$3="Maximize",MAX($C149:$AI149),MIN($C149:$AI149)),$C149:$AI149,0)),AJ147-INDEX($C138:$AJ148,10,MATCH(IF('Data-solution'!$A$3="Maximize",MAX($C149:$AI149),MIN($C149:$AI149)),$C149:$AI149,0))*INDEX(AJ138:$AJ148,MATCH(MIN($AK138:$AK148),$AK138:$AK148,0),1)/INDEX($C138:$AJ148,MATCH(MIN($AK138:$AK148),$AK138:$AK148,0),MATCH(IF('Data-solution'!$A$3="Maximize",MAX($C149:$AI149),MIN($C149:$AI149)),$C149:$AI149,0))),AJ147)</f>
        <v>0</v>
      </c>
      <c r="AK162" s="1" t="str">
        <f>IF(INDEX(C162:X162,1,MATCH(IF('Data-solution'!A$3="Maximize",MAX(C164:X164),MIN(C164:X164)),C164:X164,0))&gt;0,AJ162/INDEX(C162:X162,1,MATCH(IF('Data-solution'!A$3="Maximize",MAX(C164:X164),MIN(C164:X164)),C164:X164,0))," ")</f>
        <v xml:space="preserve"> </v>
      </c>
    </row>
    <row r="163" spans="1:37" ht="18" customHeight="1" x14ac:dyDescent="0.2">
      <c r="A163" s="1">
        <f t="shared" ref="A163" si="134">INDEX(C151:AI151,1,MATCH(B163,C152:AI152,0))</f>
        <v>0</v>
      </c>
      <c r="B163" s="2" t="str">
        <f>IF(AND('Data-solution'!A$3="Maximize",COUNTIF(C149:X149,"&gt;"&amp;0)&gt;0,AK148=MIN(AK138:AK148),COUNTIF(B153:B162,INDEX(C137:X137,1,MATCH(MAX(C149:X149),C149:X149,0)))=0),INDEX(C137:X137,1,MATCH(MAX(C149:X149),C149:X149,0)),IF(AND('Data-solution'!A$3="Minimize",COUNTIF(C149:X149,"&lt;"&amp;0)&gt;0,AK148=MIN(AK138:AK148),COUNTIF(B153:B162,INDEX(C137:X137,1,MATCH(MIN(C149:X149),C149:X149,0)))=0),INDEX(C137:X137,1,MATCH(MIN(C149:X149),C149:X149,0)),B148))</f>
        <v>S11</v>
      </c>
      <c r="C163" s="1">
        <f>IF(OR($B153&lt;&gt;$B138,$B154&lt;&gt;$B139,$B155&lt;&gt;$B140,$B156&lt;&gt;$B141,$B157&lt;&gt;$B142,$B158&lt;&gt;$B143,$B159&lt;&gt;$B144,$B160&lt;&gt;$B145,$B161&lt;&gt;$B146,$B162&lt;&gt;$B147,$B163&lt;&gt;$B148),IF($B163&lt;&gt;$B148,C148/INDEX($C138:$AJ148,11,MATCH(IF('Data-solution'!$A$3="Maximize",MAX($C149:$AI149),MIN($C149:$AI149)),$C149:$AI149,0)),C148-INDEX($C138:$AJ148,11,MATCH(IF('Data-solution'!$A$3="Maximize",MAX($C149:$AI149),MIN($C149:$AI149)),$C149:$AI149,0))*INDEX(C138:$AJ148,MATCH(MIN($AK138:$AK148),$AK138:$AK148,0),1)/INDEX($C138:$AJ148,MATCH(MIN($AK138:$AK148),$AK138:$AK148,0),MATCH(IF('Data-solution'!$A$3="Maximize",MAX($C149:$AI149),MIN($C149:$AI149)),$C149:$AI149,0))),C148)</f>
        <v>0</v>
      </c>
      <c r="D163" s="1">
        <f>IF(OR($B153&lt;&gt;$B138,$B154&lt;&gt;$B139,$B155&lt;&gt;$B140,$B156&lt;&gt;$B141,$B157&lt;&gt;$B142,$B158&lt;&gt;$B143,$B159&lt;&gt;$B144,$B160&lt;&gt;$B145,$B161&lt;&gt;$B146,$B162&lt;&gt;$B147,$B163&lt;&gt;$B148),IF($B163&lt;&gt;$B148,D148/INDEX($C138:$AJ148,11,MATCH(IF('Data-solution'!$A$3="Maximize",MAX($C149:$AI149),MIN($C149:$AI149)),$C149:$AI149,0)),D148-INDEX($C138:$AJ148,11,MATCH(IF('Data-solution'!$A$3="Maximize",MAX($C149:$AI149),MIN($C149:$AI149)),$C149:$AI149,0))*INDEX(D138:$AJ148,MATCH(MIN($AK138:$AK148),$AK138:$AK148,0),1)/INDEX($C138:$AJ148,MATCH(MIN($AK138:$AK148),$AK138:$AK148,0),MATCH(IF('Data-solution'!$A$3="Maximize",MAX($C149:$AI149),MIN($C149:$AI149)),$C149:$AI149,0))),D148)</f>
        <v>0</v>
      </c>
      <c r="E163" s="1">
        <f>IF(OR($B153&lt;&gt;$B138,$B154&lt;&gt;$B139,$B155&lt;&gt;$B140,$B156&lt;&gt;$B141,$B157&lt;&gt;$B142,$B158&lt;&gt;$B143,$B159&lt;&gt;$B144,$B160&lt;&gt;$B145,$B161&lt;&gt;$B146,$B162&lt;&gt;$B147,$B163&lt;&gt;$B148),IF($B163&lt;&gt;$B148,E148/INDEX($C138:$AJ148,11,MATCH(IF('Data-solution'!$A$3="Maximize",MAX($C149:$AI149),MIN($C149:$AI149)),$C149:$AI149,0)),E148-INDEX($C138:$AJ148,11,MATCH(IF('Data-solution'!$A$3="Maximize",MAX($C149:$AI149),MIN($C149:$AI149)),$C149:$AI149,0))*INDEX(E138:$AJ148,MATCH(MIN($AK138:$AK148),$AK138:$AK148,0),1)/INDEX($C138:$AJ148,MATCH(MIN($AK138:$AK148),$AK138:$AK148,0),MATCH(IF('Data-solution'!$A$3="Maximize",MAX($C149:$AI149),MIN($C149:$AI149)),$C149:$AI149,0))),E148)</f>
        <v>0</v>
      </c>
      <c r="F163" s="1">
        <f>IF(OR($B153&lt;&gt;$B138,$B154&lt;&gt;$B139,$B155&lt;&gt;$B140,$B156&lt;&gt;$B141,$B157&lt;&gt;$B142,$B158&lt;&gt;$B143,$B159&lt;&gt;$B144,$B160&lt;&gt;$B145,$B161&lt;&gt;$B146,$B162&lt;&gt;$B147,$B163&lt;&gt;$B148),IF($B163&lt;&gt;$B148,F148/INDEX($C138:$AJ148,11,MATCH(IF('Data-solution'!$A$3="Maximize",MAX($C149:$AI149),MIN($C149:$AI149)),$C149:$AI149,0)),F148-INDEX($C138:$AJ148,11,MATCH(IF('Data-solution'!$A$3="Maximize",MAX($C149:$AI149),MIN($C149:$AI149)),$C149:$AI149,0))*INDEX(F138:$AJ148,MATCH(MIN($AK138:$AK148),$AK138:$AK148,0),1)/INDEX($C138:$AJ148,MATCH(MIN($AK138:$AK148),$AK138:$AK148,0),MATCH(IF('Data-solution'!$A$3="Maximize",MAX($C149:$AI149),MIN($C149:$AI149)),$C149:$AI149,0))),F148)</f>
        <v>0</v>
      </c>
      <c r="G163" s="1">
        <f>IF(OR($B153&lt;&gt;$B138,$B154&lt;&gt;$B139,$B155&lt;&gt;$B140,$B156&lt;&gt;$B141,$B157&lt;&gt;$B142,$B158&lt;&gt;$B143,$B159&lt;&gt;$B144,$B160&lt;&gt;$B145,$B161&lt;&gt;$B146,$B162&lt;&gt;$B147,$B163&lt;&gt;$B148),IF($B163&lt;&gt;$B148,G148/INDEX($C138:$AJ148,11,MATCH(IF('Data-solution'!$A$3="Maximize",MAX($C149:$AI149),MIN($C149:$AI149)),$C149:$AI149,0)),G148-INDEX($C138:$AJ148,11,MATCH(IF('Data-solution'!$A$3="Maximize",MAX($C149:$AI149),MIN($C149:$AI149)),$C149:$AI149,0))*INDEX(G138:$AJ148,MATCH(MIN($AK138:$AK148),$AK138:$AK148,0),1)/INDEX($C138:$AJ148,MATCH(MIN($AK138:$AK148),$AK138:$AK148,0),MATCH(IF('Data-solution'!$A$3="Maximize",MAX($C149:$AI149),MIN($C149:$AI149)),$C149:$AI149,0))),G148)</f>
        <v>0</v>
      </c>
      <c r="H163" s="1">
        <f>IF(OR($B153&lt;&gt;$B138,$B154&lt;&gt;$B139,$B155&lt;&gt;$B140,$B156&lt;&gt;$B141,$B157&lt;&gt;$B142,$B158&lt;&gt;$B143,$B159&lt;&gt;$B144,$B160&lt;&gt;$B145,$B161&lt;&gt;$B146,$B162&lt;&gt;$B147,$B163&lt;&gt;$B148),IF($B163&lt;&gt;$B148,H148/INDEX($C138:$AJ148,11,MATCH(IF('Data-solution'!$A$3="Maximize",MAX($C149:$AI149),MIN($C149:$AI149)),$C149:$AI149,0)),H148-INDEX($C138:$AJ148,11,MATCH(IF('Data-solution'!$A$3="Maximize",MAX($C149:$AI149),MIN($C149:$AI149)),$C149:$AI149,0))*INDEX(H138:$AJ148,MATCH(MIN($AK138:$AK148),$AK138:$AK148,0),1)/INDEX($C138:$AJ148,MATCH(MIN($AK138:$AK148),$AK138:$AK148,0),MATCH(IF('Data-solution'!$A$3="Maximize",MAX($C149:$AI149),MIN($C149:$AI149)),$C149:$AI149,0))),H148)</f>
        <v>0</v>
      </c>
      <c r="I163" s="1">
        <f>IF(OR($B153&lt;&gt;$B138,$B154&lt;&gt;$B139,$B155&lt;&gt;$B140,$B156&lt;&gt;$B141,$B157&lt;&gt;$B142,$B158&lt;&gt;$B143,$B159&lt;&gt;$B144,$B160&lt;&gt;$B145,$B161&lt;&gt;$B146,$B162&lt;&gt;$B147,$B163&lt;&gt;$B148),IF($B163&lt;&gt;$B148,I148/INDEX($C138:$AJ148,11,MATCH(IF('Data-solution'!$A$3="Maximize",MAX($C149:$AI149),MIN($C149:$AI149)),$C149:$AI149,0)),I148-INDEX($C138:$AJ148,11,MATCH(IF('Data-solution'!$A$3="Maximize",MAX($C149:$AI149),MIN($C149:$AI149)),$C149:$AI149,0))*INDEX(I138:$AJ148,MATCH(MIN($AK138:$AK148),$AK138:$AK148,0),1)/INDEX($C138:$AJ148,MATCH(MIN($AK138:$AK148),$AK138:$AK148,0),MATCH(IF('Data-solution'!$A$3="Maximize",MAX($C149:$AI149),MIN($C149:$AI149)),$C149:$AI149,0))),I148)</f>
        <v>0</v>
      </c>
      <c r="J163" s="1">
        <f>IF(OR($B153&lt;&gt;$B138,$B154&lt;&gt;$B139,$B155&lt;&gt;$B140,$B156&lt;&gt;$B141,$B157&lt;&gt;$B142,$B158&lt;&gt;$B143,$B159&lt;&gt;$B144,$B160&lt;&gt;$B145,$B161&lt;&gt;$B146,$B162&lt;&gt;$B147,$B163&lt;&gt;$B148),IF($B163&lt;&gt;$B148,J148/INDEX($C138:$AJ148,11,MATCH(IF('Data-solution'!$A$3="Maximize",MAX($C149:$AI149),MIN($C149:$AI149)),$C149:$AI149,0)),J148-INDEX($C138:$AJ148,11,MATCH(IF('Data-solution'!$A$3="Maximize",MAX($C149:$AI149),MIN($C149:$AI149)),$C149:$AI149,0))*INDEX(J138:$AJ148,MATCH(MIN($AK138:$AK148),$AK138:$AK148,0),1)/INDEX($C138:$AJ148,MATCH(MIN($AK138:$AK148),$AK138:$AK148,0),MATCH(IF('Data-solution'!$A$3="Maximize",MAX($C149:$AI149),MIN($C149:$AI149)),$C149:$AI149,0))),J148)</f>
        <v>0</v>
      </c>
      <c r="K163" s="1">
        <f>IF(OR($B153&lt;&gt;$B138,$B154&lt;&gt;$B139,$B155&lt;&gt;$B140,$B156&lt;&gt;$B141,$B157&lt;&gt;$B142,$B158&lt;&gt;$B143,$B159&lt;&gt;$B144,$B160&lt;&gt;$B145,$B161&lt;&gt;$B146,$B162&lt;&gt;$B147,$B163&lt;&gt;$B148),IF($B163&lt;&gt;$B148,K148/INDEX($C138:$AJ148,11,MATCH(IF('Data-solution'!$A$3="Maximize",MAX($C149:$AI149),MIN($C149:$AI149)),$C149:$AI149,0)),K148-INDEX($C138:$AJ148,11,MATCH(IF('Data-solution'!$A$3="Maximize",MAX($C149:$AI149),MIN($C149:$AI149)),$C149:$AI149,0))*INDEX(K138:$AJ148,MATCH(MIN($AK138:$AK148),$AK138:$AK148,0),1)/INDEX($C138:$AJ148,MATCH(MIN($AK138:$AK148),$AK138:$AK148,0),MATCH(IF('Data-solution'!$A$3="Maximize",MAX($C149:$AI149),MIN($C149:$AI149)),$C149:$AI149,0))),K148)</f>
        <v>0</v>
      </c>
      <c r="L163" s="1">
        <f>IF(OR($B153&lt;&gt;$B138,$B154&lt;&gt;$B139,$B155&lt;&gt;$B140,$B156&lt;&gt;$B141,$B157&lt;&gt;$B142,$B158&lt;&gt;$B143,$B159&lt;&gt;$B144,$B160&lt;&gt;$B145,$B161&lt;&gt;$B146,$B162&lt;&gt;$B147,$B163&lt;&gt;$B148),IF($B163&lt;&gt;$B148,L148/INDEX($C138:$AJ148,11,MATCH(IF('Data-solution'!$A$3="Maximize",MAX($C149:$AI149),MIN($C149:$AI149)),$C149:$AI149,0)),L148-INDEX($C138:$AJ148,11,MATCH(IF('Data-solution'!$A$3="Maximize",MAX($C149:$AI149),MIN($C149:$AI149)),$C149:$AI149,0))*INDEX(L138:$AJ148,MATCH(MIN($AK138:$AK148),$AK138:$AK148,0),1)/INDEX($C138:$AJ148,MATCH(MIN($AK138:$AK148),$AK138:$AK148,0),MATCH(IF('Data-solution'!$A$3="Maximize",MAX($C149:$AI149),MIN($C149:$AI149)),$C149:$AI149,0))),L148)</f>
        <v>0</v>
      </c>
      <c r="M163" s="1">
        <f>IF(OR($B153&lt;&gt;$B138,$B154&lt;&gt;$B139,$B155&lt;&gt;$B140,$B156&lt;&gt;$B141,$B157&lt;&gt;$B142,$B158&lt;&gt;$B143,$B159&lt;&gt;$B144,$B160&lt;&gt;$B145,$B161&lt;&gt;$B146,$B162&lt;&gt;$B147,$B163&lt;&gt;$B148),IF($B163&lt;&gt;$B148,M148/INDEX($C138:$AJ148,11,MATCH(IF('Data-solution'!$A$3="Maximize",MAX($C149:$AI149),MIN($C149:$AI149)),$C149:$AI149,0)),M148-INDEX($C138:$AJ148,11,MATCH(IF('Data-solution'!$A$3="Maximize",MAX($C149:$AI149),MIN($C149:$AI149)),$C149:$AI149,0))*INDEX(M138:$AJ148,MATCH(MIN($AK138:$AK148),$AK138:$AK148,0),1)/INDEX($C138:$AJ148,MATCH(MIN($AK138:$AK148),$AK138:$AK148,0),MATCH(IF('Data-solution'!$A$3="Maximize",MAX($C149:$AI149),MIN($C149:$AI149)),$C149:$AI149,0))),M148)</f>
        <v>0</v>
      </c>
      <c r="N163" s="1">
        <f>IF(OR($B153&lt;&gt;$B138,$B154&lt;&gt;$B139,$B155&lt;&gt;$B140,$B156&lt;&gt;$B141,$B157&lt;&gt;$B142,$B158&lt;&gt;$B143,$B159&lt;&gt;$B144,$B160&lt;&gt;$B145,$B161&lt;&gt;$B146,$B162&lt;&gt;$B147,$B163&lt;&gt;$B148),IF($B163&lt;&gt;$B148,N148/INDEX($C138:$AJ148,11,MATCH(IF('Data-solution'!$A$3="Maximize",MAX($C149:$AI149),MIN($C149:$AI149)),$C149:$AI149,0)),N148-INDEX($C138:$AJ148,11,MATCH(IF('Data-solution'!$A$3="Maximize",MAX($C149:$AI149),MIN($C149:$AI149)),$C149:$AI149,0))*INDEX(N138:$AJ148,MATCH(MIN($AK138:$AK148),$AK138:$AK148,0),1)/INDEX($C138:$AJ148,MATCH(MIN($AK138:$AK148),$AK138:$AK148,0),MATCH(IF('Data-solution'!$A$3="Maximize",MAX($C149:$AI149),MIN($C149:$AI149)),$C149:$AI149,0))),N148)</f>
        <v>0</v>
      </c>
      <c r="O163" s="1">
        <f>IF(OR($B153&lt;&gt;$B138,$B154&lt;&gt;$B139,$B155&lt;&gt;$B140,$B156&lt;&gt;$B141,$B157&lt;&gt;$B142,$B158&lt;&gt;$B143,$B159&lt;&gt;$B144,$B160&lt;&gt;$B145,$B161&lt;&gt;$B146,$B162&lt;&gt;$B147,$B163&lt;&gt;$B148),IF($B163&lt;&gt;$B148,O148/INDEX($C138:$AJ148,11,MATCH(IF('Data-solution'!$A$3="Maximize",MAX($C149:$AI149),MIN($C149:$AI149)),$C149:$AI149,0)),O148-INDEX($C138:$AJ148,11,MATCH(IF('Data-solution'!$A$3="Maximize",MAX($C149:$AI149),MIN($C149:$AI149)),$C149:$AI149,0))*INDEX(O138:$AJ148,MATCH(MIN($AK138:$AK148),$AK138:$AK148,0),1)/INDEX($C138:$AJ148,MATCH(MIN($AK138:$AK148),$AK138:$AK148,0),MATCH(IF('Data-solution'!$A$3="Maximize",MAX($C149:$AI149),MIN($C149:$AI149)),$C149:$AI149,0))),O148)</f>
        <v>0</v>
      </c>
      <c r="P163" s="1">
        <f>IF(OR($B153&lt;&gt;$B138,$B154&lt;&gt;$B139,$B155&lt;&gt;$B140,$B156&lt;&gt;$B141,$B157&lt;&gt;$B142,$B158&lt;&gt;$B143,$B159&lt;&gt;$B144,$B160&lt;&gt;$B145,$B161&lt;&gt;$B146,$B162&lt;&gt;$B147,$B163&lt;&gt;$B148),IF($B163&lt;&gt;$B148,P148/INDEX($C138:$AJ148,11,MATCH(IF('Data-solution'!$A$3="Maximize",MAX($C149:$AI149),MIN($C149:$AI149)),$C149:$AI149,0)),P148-INDEX($C138:$AJ148,11,MATCH(IF('Data-solution'!$A$3="Maximize",MAX($C149:$AI149),MIN($C149:$AI149)),$C149:$AI149,0))*INDEX(P138:$AJ148,MATCH(MIN($AK138:$AK148),$AK138:$AK148,0),1)/INDEX($C138:$AJ148,MATCH(MIN($AK138:$AK148),$AK138:$AK148,0),MATCH(IF('Data-solution'!$A$3="Maximize",MAX($C149:$AI149),MIN($C149:$AI149)),$C149:$AI149,0))),P148)</f>
        <v>0</v>
      </c>
      <c r="Q163" s="1">
        <f>IF(OR($B153&lt;&gt;$B138,$B154&lt;&gt;$B139,$B155&lt;&gt;$B140,$B156&lt;&gt;$B141,$B157&lt;&gt;$B142,$B158&lt;&gt;$B143,$B159&lt;&gt;$B144,$B160&lt;&gt;$B145,$B161&lt;&gt;$B146,$B162&lt;&gt;$B147,$B163&lt;&gt;$B148),IF($B163&lt;&gt;$B148,Q148/INDEX($C138:$AJ148,11,MATCH(IF('Data-solution'!$A$3="Maximize",MAX($C149:$AI149),MIN($C149:$AI149)),$C149:$AI149,0)),Q148-INDEX($C138:$AJ148,11,MATCH(IF('Data-solution'!$A$3="Maximize",MAX($C149:$AI149),MIN($C149:$AI149)),$C149:$AI149,0))*INDEX(Q138:$AJ148,MATCH(MIN($AK138:$AK148),$AK138:$AK148,0),1)/INDEX($C138:$AJ148,MATCH(MIN($AK138:$AK148),$AK138:$AK148,0),MATCH(IF('Data-solution'!$A$3="Maximize",MAX($C149:$AI149),MIN($C149:$AI149)),$C149:$AI149,0))),Q148)</f>
        <v>0</v>
      </c>
      <c r="R163" s="1">
        <f>IF(OR($B153&lt;&gt;$B138,$B154&lt;&gt;$B139,$B155&lt;&gt;$B140,$B156&lt;&gt;$B141,$B157&lt;&gt;$B142,$B158&lt;&gt;$B143,$B159&lt;&gt;$B144,$B160&lt;&gt;$B145,$B161&lt;&gt;$B146,$B162&lt;&gt;$B147,$B163&lt;&gt;$B148),IF($B163&lt;&gt;$B148,R148/INDEX($C138:$AJ148,11,MATCH(IF('Data-solution'!$A$3="Maximize",MAX($C149:$AI149),MIN($C149:$AI149)),$C149:$AI149,0)),R148-INDEX($C138:$AJ148,11,MATCH(IF('Data-solution'!$A$3="Maximize",MAX($C149:$AI149),MIN($C149:$AI149)),$C149:$AI149,0))*INDEX(R138:$AJ148,MATCH(MIN($AK138:$AK148),$AK138:$AK148,0),1)/INDEX($C138:$AJ148,MATCH(MIN($AK138:$AK148),$AK138:$AK148,0),MATCH(IF('Data-solution'!$A$3="Maximize",MAX($C149:$AI149),MIN($C149:$AI149)),$C149:$AI149,0))),R148)</f>
        <v>0</v>
      </c>
      <c r="S163" s="1">
        <f>IF(OR($B153&lt;&gt;$B138,$B154&lt;&gt;$B139,$B155&lt;&gt;$B140,$B156&lt;&gt;$B141,$B157&lt;&gt;$B142,$B158&lt;&gt;$B143,$B159&lt;&gt;$B144,$B160&lt;&gt;$B145,$B161&lt;&gt;$B146,$B162&lt;&gt;$B147,$B163&lt;&gt;$B148),IF($B163&lt;&gt;$B148,S148/INDEX($C138:$AJ148,11,MATCH(IF('Data-solution'!$A$3="Maximize",MAX($C149:$AI149),MIN($C149:$AI149)),$C149:$AI149,0)),S148-INDEX($C138:$AJ148,11,MATCH(IF('Data-solution'!$A$3="Maximize",MAX($C149:$AI149),MIN($C149:$AI149)),$C149:$AI149,0))*INDEX(S138:$AJ148,MATCH(MIN($AK138:$AK148),$AK138:$AK148,0),1)/INDEX($C138:$AJ148,MATCH(MIN($AK138:$AK148),$AK138:$AK148,0),MATCH(IF('Data-solution'!$A$3="Maximize",MAX($C149:$AI149),MIN($C149:$AI149)),$C149:$AI149,0))),S148)</f>
        <v>0</v>
      </c>
      <c r="T163" s="1">
        <f>IF(OR($B153&lt;&gt;$B138,$B154&lt;&gt;$B139,$B155&lt;&gt;$B140,$B156&lt;&gt;$B141,$B157&lt;&gt;$B142,$B158&lt;&gt;$B143,$B159&lt;&gt;$B144,$B160&lt;&gt;$B145,$B161&lt;&gt;$B146,$B162&lt;&gt;$B147,$B163&lt;&gt;$B148),IF($B163&lt;&gt;$B148,T148/INDEX($C138:$AJ148,11,MATCH(IF('Data-solution'!$A$3="Maximize",MAX($C149:$AI149),MIN($C149:$AI149)),$C149:$AI149,0)),T148-INDEX($C138:$AJ148,11,MATCH(IF('Data-solution'!$A$3="Maximize",MAX($C149:$AI149),MIN($C149:$AI149)),$C149:$AI149,0))*INDEX(T138:$AJ148,MATCH(MIN($AK138:$AK148),$AK138:$AK148,0),1)/INDEX($C138:$AJ148,MATCH(MIN($AK138:$AK148),$AK138:$AK148,0),MATCH(IF('Data-solution'!$A$3="Maximize",MAX($C149:$AI149),MIN($C149:$AI149)),$C149:$AI149,0))),T148)</f>
        <v>0</v>
      </c>
      <c r="U163" s="1">
        <f>IF(OR($B153&lt;&gt;$B138,$B154&lt;&gt;$B139,$B155&lt;&gt;$B140,$B156&lt;&gt;$B141,$B157&lt;&gt;$B142,$B158&lt;&gt;$B143,$B159&lt;&gt;$B144,$B160&lt;&gt;$B145,$B161&lt;&gt;$B146,$B162&lt;&gt;$B147,$B163&lt;&gt;$B148),IF($B163&lt;&gt;$B148,U148/INDEX($C138:$AJ148,11,MATCH(IF('Data-solution'!$A$3="Maximize",MAX($C149:$AI149),MIN($C149:$AI149)),$C149:$AI149,0)),U148-INDEX($C138:$AJ148,11,MATCH(IF('Data-solution'!$A$3="Maximize",MAX($C149:$AI149),MIN($C149:$AI149)),$C149:$AI149,0))*INDEX(U138:$AJ148,MATCH(MIN($AK138:$AK148),$AK138:$AK148,0),1)/INDEX($C138:$AJ148,MATCH(MIN($AK138:$AK148),$AK138:$AK148,0),MATCH(IF('Data-solution'!$A$3="Maximize",MAX($C149:$AI149),MIN($C149:$AI149)),$C149:$AI149,0))),U148)</f>
        <v>0</v>
      </c>
      <c r="V163" s="1">
        <f>IF(OR($B153&lt;&gt;$B138,$B154&lt;&gt;$B139,$B155&lt;&gt;$B140,$B156&lt;&gt;$B141,$B157&lt;&gt;$B142,$B158&lt;&gt;$B143,$B159&lt;&gt;$B144,$B160&lt;&gt;$B145,$B161&lt;&gt;$B146,$B162&lt;&gt;$B147,$B163&lt;&gt;$B148),IF($B163&lt;&gt;$B148,V148/INDEX($C138:$AJ148,11,MATCH(IF('Data-solution'!$A$3="Maximize",MAX($C149:$AI149),MIN($C149:$AI149)),$C149:$AI149,0)),V148-INDEX($C138:$AJ148,11,MATCH(IF('Data-solution'!$A$3="Maximize",MAX($C149:$AI149),MIN($C149:$AI149)),$C149:$AI149,0))*INDEX(V138:$AJ148,MATCH(MIN($AK138:$AK148),$AK138:$AK148,0),1)/INDEX($C138:$AJ148,MATCH(MIN($AK138:$AK148),$AK138:$AK148,0),MATCH(IF('Data-solution'!$A$3="Maximize",MAX($C149:$AI149),MIN($C149:$AI149)),$C149:$AI149,0))),V148)</f>
        <v>0</v>
      </c>
      <c r="W163" s="1">
        <f>IF(OR($B153&lt;&gt;$B138,$B154&lt;&gt;$B139,$B155&lt;&gt;$B140,$B156&lt;&gt;$B141,$B157&lt;&gt;$B142,$B158&lt;&gt;$B143,$B159&lt;&gt;$B144,$B160&lt;&gt;$B145,$B161&lt;&gt;$B146,$B162&lt;&gt;$B147,$B163&lt;&gt;$B148),IF($B163&lt;&gt;$B148,W148/INDEX($C138:$AJ148,11,MATCH(IF('Data-solution'!$A$3="Maximize",MAX($C149:$AI149),MIN($C149:$AI149)),$C149:$AI149,0)),W148-INDEX($C138:$AJ148,11,MATCH(IF('Data-solution'!$A$3="Maximize",MAX($C149:$AI149),MIN($C149:$AI149)),$C149:$AI149,0))*INDEX(W138:$AJ148,MATCH(MIN($AK138:$AK148),$AK138:$AK148,0),1)/INDEX($C138:$AJ148,MATCH(MIN($AK138:$AK148),$AK138:$AK148,0),MATCH(IF('Data-solution'!$A$3="Maximize",MAX($C149:$AI149),MIN($C149:$AI149)),$C149:$AI149,0))),W148)</f>
        <v>0</v>
      </c>
      <c r="X163" s="1">
        <f>IF(OR($B153&lt;&gt;$B138,$B154&lt;&gt;$B139,$B155&lt;&gt;$B140,$B156&lt;&gt;$B141,$B157&lt;&gt;$B142,$B158&lt;&gt;$B143,$B159&lt;&gt;$B144,$B160&lt;&gt;$B145,$B161&lt;&gt;$B146,$B162&lt;&gt;$B147,$B163&lt;&gt;$B148),IF($B163&lt;&gt;$B148,X148/INDEX($C138:$AJ148,11,MATCH(IF('Data-solution'!$A$3="Maximize",MAX($C149:$AI149),MIN($C149:$AI149)),$C149:$AI149,0)),X148-INDEX($C138:$AJ148,11,MATCH(IF('Data-solution'!$A$3="Maximize",MAX($C149:$AI149),MIN($C149:$AI149)),$C149:$AI149,0))*INDEX(X138:$AJ148,MATCH(MIN($AK138:$AK148),$AK138:$AK148,0),1)/INDEX($C138:$AJ148,MATCH(MIN($AK138:$AK148),$AK138:$AK148,0),MATCH(IF('Data-solution'!$A$3="Maximize",MAX($C149:$AI149),MIN($C149:$AI149)),$C149:$AI149,0))),X148)</f>
        <v>1</v>
      </c>
      <c r="Y163" s="1">
        <f>IF(OR($B153&lt;&gt;$B138,$B154&lt;&gt;$B139,$B155&lt;&gt;$B140,$B156&lt;&gt;$B141,$B157&lt;&gt;$B142,$B158&lt;&gt;$B143,$B159&lt;&gt;$B144,$B160&lt;&gt;$B145,$B161&lt;&gt;$B146,$B162&lt;&gt;$B147,$B163&lt;&gt;$B148),IF($B163&lt;&gt;$B148,Y148/INDEX($C138:$AJ148,11,MATCH(IF('Data-solution'!$A$3="Maximize",MAX($C149:$AI149),MIN($C149:$AI149)),$C149:$AI149,0)),Y148-INDEX($C138:$AJ148,11,MATCH(IF('Data-solution'!$A$3="Maximize",MAX($C149:$AI149),MIN($C149:$AI149)),$C149:$AI149,0))*INDEX(Y138:$AJ148,MATCH(MIN($AK138:$AK148),$AK138:$AK148,0),1)/INDEX($C138:$AJ148,MATCH(MIN($AK138:$AK148),$AK138:$AK148,0),MATCH(IF('Data-solution'!$A$3="Maximize",MAX($C149:$AI149),MIN($C149:$AI149)),$C149:$AI149,0))),Y148)</f>
        <v>0</v>
      </c>
      <c r="Z163" s="1">
        <f>IF(OR($B153&lt;&gt;$B138,$B154&lt;&gt;$B139,$B155&lt;&gt;$B140,$B156&lt;&gt;$B141,$B157&lt;&gt;$B142,$B158&lt;&gt;$B143,$B159&lt;&gt;$B144,$B160&lt;&gt;$B145,$B161&lt;&gt;$B146,$B162&lt;&gt;$B147,$B163&lt;&gt;$B148),IF($B163&lt;&gt;$B148,Z148/INDEX($C138:$AJ148,11,MATCH(IF('Data-solution'!$A$3="Maximize",MAX($C149:$AI149),MIN($C149:$AI149)),$C149:$AI149,0)),Z148-INDEX($C138:$AJ148,11,MATCH(IF('Data-solution'!$A$3="Maximize",MAX($C149:$AI149),MIN($C149:$AI149)),$C149:$AI149,0))*INDEX(Z138:$AJ148,MATCH(MIN($AK138:$AK148),$AK138:$AK148,0),1)/INDEX($C138:$AJ148,MATCH(MIN($AK138:$AK148),$AK138:$AK148,0),MATCH(IF('Data-solution'!$A$3="Maximize",MAX($C149:$AI149),MIN($C149:$AI149)),$C149:$AI149,0))),Z148)</f>
        <v>0</v>
      </c>
      <c r="AA163" s="1">
        <f>IF(OR($B153&lt;&gt;$B138,$B154&lt;&gt;$B139,$B155&lt;&gt;$B140,$B156&lt;&gt;$B141,$B157&lt;&gt;$B142,$B158&lt;&gt;$B143,$B159&lt;&gt;$B144,$B160&lt;&gt;$B145,$B161&lt;&gt;$B146,$B162&lt;&gt;$B147,$B163&lt;&gt;$B148),IF($B163&lt;&gt;$B148,AA148/INDEX($C138:$AJ148,11,MATCH(IF('Data-solution'!$A$3="Maximize",MAX($C149:$AI149),MIN($C149:$AI149)),$C149:$AI149,0)),AA148-INDEX($C138:$AJ148,11,MATCH(IF('Data-solution'!$A$3="Maximize",MAX($C149:$AI149),MIN($C149:$AI149)),$C149:$AI149,0))*INDEX(AA138:$AJ148,MATCH(MIN($AK138:$AK148),$AK138:$AK148,0),1)/INDEX($C138:$AJ148,MATCH(MIN($AK138:$AK148),$AK138:$AK148,0),MATCH(IF('Data-solution'!$A$3="Maximize",MAX($C149:$AI149),MIN($C149:$AI149)),$C149:$AI149,0))),AA148)</f>
        <v>0</v>
      </c>
      <c r="AB163" s="1">
        <f>IF(OR($B153&lt;&gt;$B138,$B154&lt;&gt;$B139,$B155&lt;&gt;$B140,$B156&lt;&gt;$B141,$B157&lt;&gt;$B142,$B158&lt;&gt;$B143,$B159&lt;&gt;$B144,$B160&lt;&gt;$B145,$B161&lt;&gt;$B146,$B162&lt;&gt;$B147,$B163&lt;&gt;$B148),IF($B163&lt;&gt;$B148,AB148/INDEX($C138:$AJ148,11,MATCH(IF('Data-solution'!$A$3="Maximize",MAX($C149:$AI149),MIN($C149:$AI149)),$C149:$AI149,0)),AB148-INDEX($C138:$AJ148,11,MATCH(IF('Data-solution'!$A$3="Maximize",MAX($C149:$AI149),MIN($C149:$AI149)),$C149:$AI149,0))*INDEX(AB138:$AJ148,MATCH(MIN($AK138:$AK148),$AK138:$AK148,0),1)/INDEX($C138:$AJ148,MATCH(MIN($AK138:$AK148),$AK138:$AK148,0),MATCH(IF('Data-solution'!$A$3="Maximize",MAX($C149:$AI149),MIN($C149:$AI149)),$C149:$AI149,0))),AB148)</f>
        <v>0</v>
      </c>
      <c r="AC163" s="1">
        <f>IF(OR($B153&lt;&gt;$B138,$B154&lt;&gt;$B139,$B155&lt;&gt;$B140,$B156&lt;&gt;$B141,$B157&lt;&gt;$B142,$B158&lt;&gt;$B143,$B159&lt;&gt;$B144,$B160&lt;&gt;$B145,$B161&lt;&gt;$B146,$B162&lt;&gt;$B147,$B163&lt;&gt;$B148),IF($B163&lt;&gt;$B148,AC148/INDEX($C138:$AJ148,11,MATCH(IF('Data-solution'!$A$3="Maximize",MAX($C149:$AI149),MIN($C149:$AI149)),$C149:$AI149,0)),AC148-INDEX($C138:$AJ148,11,MATCH(IF('Data-solution'!$A$3="Maximize",MAX($C149:$AI149),MIN($C149:$AI149)),$C149:$AI149,0))*INDEX(AC138:$AJ148,MATCH(MIN($AK138:$AK148),$AK138:$AK148,0),1)/INDEX($C138:$AJ148,MATCH(MIN($AK138:$AK148),$AK138:$AK148,0),MATCH(IF('Data-solution'!$A$3="Maximize",MAX($C149:$AI149),MIN($C149:$AI149)),$C149:$AI149,0))),AC148)</f>
        <v>0</v>
      </c>
      <c r="AD163" s="1">
        <f>IF(OR($B153&lt;&gt;$B138,$B154&lt;&gt;$B139,$B155&lt;&gt;$B140,$B156&lt;&gt;$B141,$B157&lt;&gt;$B142,$B158&lt;&gt;$B143,$B159&lt;&gt;$B144,$B160&lt;&gt;$B145,$B161&lt;&gt;$B146,$B162&lt;&gt;$B147,$B163&lt;&gt;$B148),IF($B163&lt;&gt;$B148,AD148/INDEX($C138:$AJ148,11,MATCH(IF('Data-solution'!$A$3="Maximize",MAX($C149:$AI149),MIN($C149:$AI149)),$C149:$AI149,0)),AD148-INDEX($C138:$AJ148,11,MATCH(IF('Data-solution'!$A$3="Maximize",MAX($C149:$AI149),MIN($C149:$AI149)),$C149:$AI149,0))*INDEX(AD138:$AJ148,MATCH(MIN($AK138:$AK148),$AK138:$AK148,0),1)/INDEX($C138:$AJ148,MATCH(MIN($AK138:$AK148),$AK138:$AK148,0),MATCH(IF('Data-solution'!$A$3="Maximize",MAX($C149:$AI149),MIN($C149:$AI149)),$C149:$AI149,0))),AD148)</f>
        <v>0</v>
      </c>
      <c r="AE163" s="1">
        <f>IF(OR($B153&lt;&gt;$B138,$B154&lt;&gt;$B139,$B155&lt;&gt;$B140,$B156&lt;&gt;$B141,$B157&lt;&gt;$B142,$B158&lt;&gt;$B143,$B159&lt;&gt;$B144,$B160&lt;&gt;$B145,$B161&lt;&gt;$B146,$B162&lt;&gt;$B147,$B163&lt;&gt;$B148),IF($B163&lt;&gt;$B148,AE148/INDEX($C138:$AJ148,11,MATCH(IF('Data-solution'!$A$3="Maximize",MAX($C149:$AI149),MIN($C149:$AI149)),$C149:$AI149,0)),AE148-INDEX($C138:$AJ148,11,MATCH(IF('Data-solution'!$A$3="Maximize",MAX($C149:$AI149),MIN($C149:$AI149)),$C149:$AI149,0))*INDEX(AE138:$AJ148,MATCH(MIN($AK138:$AK148),$AK138:$AK148,0),1)/INDEX($C138:$AJ148,MATCH(MIN($AK138:$AK148),$AK138:$AK148,0),MATCH(IF('Data-solution'!$A$3="Maximize",MAX($C149:$AI149),MIN($C149:$AI149)),$C149:$AI149,0))),AE148)</f>
        <v>0</v>
      </c>
      <c r="AF163" s="1">
        <f>IF(OR($B153&lt;&gt;$B138,$B154&lt;&gt;$B139,$B155&lt;&gt;$B140,$B156&lt;&gt;$B141,$B157&lt;&gt;$B142,$B158&lt;&gt;$B143,$B159&lt;&gt;$B144,$B160&lt;&gt;$B145,$B161&lt;&gt;$B146,$B162&lt;&gt;$B147,$B163&lt;&gt;$B148),IF($B163&lt;&gt;$B148,AF148/INDEX($C138:$AJ148,11,MATCH(IF('Data-solution'!$A$3="Maximize",MAX($C149:$AI149),MIN($C149:$AI149)),$C149:$AI149,0)),AF148-INDEX($C138:$AJ148,11,MATCH(IF('Data-solution'!$A$3="Maximize",MAX($C149:$AI149),MIN($C149:$AI149)),$C149:$AI149,0))*INDEX(AF138:$AJ148,MATCH(MIN($AK138:$AK148),$AK138:$AK148,0),1)/INDEX($C138:$AJ148,MATCH(MIN($AK138:$AK148),$AK138:$AK148,0),MATCH(IF('Data-solution'!$A$3="Maximize",MAX($C149:$AI149),MIN($C149:$AI149)),$C149:$AI149,0))),AF148)</f>
        <v>0</v>
      </c>
      <c r="AG163" s="1">
        <f>IF(OR($B153&lt;&gt;$B138,$B154&lt;&gt;$B139,$B155&lt;&gt;$B140,$B156&lt;&gt;$B141,$B157&lt;&gt;$B142,$B158&lt;&gt;$B143,$B159&lt;&gt;$B144,$B160&lt;&gt;$B145,$B161&lt;&gt;$B146,$B162&lt;&gt;$B147,$B163&lt;&gt;$B148),IF($B163&lt;&gt;$B148,AG148/INDEX($C138:$AJ148,11,MATCH(IF('Data-solution'!$A$3="Maximize",MAX($C149:$AI149),MIN($C149:$AI149)),$C149:$AI149,0)),AG148-INDEX($C138:$AJ148,11,MATCH(IF('Data-solution'!$A$3="Maximize",MAX($C149:$AI149),MIN($C149:$AI149)),$C149:$AI149,0))*INDEX(AG138:$AJ148,MATCH(MIN($AK138:$AK148),$AK138:$AK148,0),1)/INDEX($C138:$AJ148,MATCH(MIN($AK138:$AK148),$AK138:$AK148,0),MATCH(IF('Data-solution'!$A$3="Maximize",MAX($C149:$AI149),MIN($C149:$AI149)),$C149:$AI149,0))),AG148)</f>
        <v>0</v>
      </c>
      <c r="AH163" s="1">
        <f>IF(OR($B153&lt;&gt;$B138,$B154&lt;&gt;$B139,$B155&lt;&gt;$B140,$B156&lt;&gt;$B141,$B157&lt;&gt;$B142,$B158&lt;&gt;$B143,$B159&lt;&gt;$B144,$B160&lt;&gt;$B145,$B161&lt;&gt;$B146,$B162&lt;&gt;$B147,$B163&lt;&gt;$B148),IF($B163&lt;&gt;$B148,AH148/INDEX($C138:$AJ148,11,MATCH(IF('Data-solution'!$A$3="Maximize",MAX($C149:$AI149),MIN($C149:$AI149)),$C149:$AI149,0)),AH148-INDEX($C138:$AJ148,11,MATCH(IF('Data-solution'!$A$3="Maximize",MAX($C149:$AI149),MIN($C149:$AI149)),$C149:$AI149,0))*INDEX(AH138:$AJ148,MATCH(MIN($AK138:$AK148),$AK138:$AK148,0),1)/INDEX($C138:$AJ148,MATCH(MIN($AK138:$AK148),$AK138:$AK148,0),MATCH(IF('Data-solution'!$A$3="Maximize",MAX($C149:$AI149),MIN($C149:$AI149)),$C149:$AI149,0))),AH148)</f>
        <v>0</v>
      </c>
      <c r="AI163" s="1">
        <f>IF(OR($B153&lt;&gt;$B138,$B154&lt;&gt;$B139,$B155&lt;&gt;$B140,$B156&lt;&gt;$B141,$B157&lt;&gt;$B142,$B158&lt;&gt;$B143,$B159&lt;&gt;$B144,$B160&lt;&gt;$B145,$B161&lt;&gt;$B146,$B162&lt;&gt;$B147,$B163&lt;&gt;$B148),IF($B163&lt;&gt;$B148,AI148/INDEX($C138:$AJ148,11,MATCH(IF('Data-solution'!$A$3="Maximize",MAX($C149:$AI149),MIN($C149:$AI149)),$C149:$AI149,0)),AI148-INDEX($C138:$AJ148,11,MATCH(IF('Data-solution'!$A$3="Maximize",MAX($C149:$AI149),MIN($C149:$AI149)),$C149:$AI149,0))*INDEX(AI138:$AJ148,MATCH(MIN($AK138:$AK148),$AK138:$AK148,0),1)/INDEX($C138:$AJ148,MATCH(MIN($AK138:$AK148),$AK138:$AK148,0),MATCH(IF('Data-solution'!$A$3="Maximize",MAX($C149:$AI149),MIN($C149:$AI149)),$C149:$AI149,0))),AI148)</f>
        <v>1</v>
      </c>
      <c r="AJ163" s="1">
        <f>IF(OR($B153&lt;&gt;$B138,$B154&lt;&gt;$B139,$B155&lt;&gt;$B140,$B156&lt;&gt;$B141,$B157&lt;&gt;$B142,$B158&lt;&gt;$B143,$B159&lt;&gt;$B144,$B160&lt;&gt;$B145,$B161&lt;&gt;$B146,$B162&lt;&gt;$B147,$B163&lt;&gt;$B148),IF($B163&lt;&gt;$B148,AJ148/INDEX($C138:$AJ148,11,MATCH(IF('Data-solution'!$A$3="Maximize",MAX($C149:$AI149),MIN($C149:$AI149)),$C149:$AI149,0)),AJ148-INDEX($C138:$AJ148,11,MATCH(IF('Data-solution'!$A$3="Maximize",MAX($C149:$AI149),MIN($C149:$AI149)),$C149:$AI149,0))*INDEX(AJ138:$AJ148,MATCH(MIN($AK138:$AK148),$AK138:$AK148,0),1)/INDEX($C138:$AJ148,MATCH(MIN($AK138:$AK148),$AK138:$AK148,0),MATCH(IF('Data-solution'!$A$3="Maximize",MAX($C149:$AI149),MIN($C149:$AI149)),$C149:$AI149,0))),AJ148)</f>
        <v>0</v>
      </c>
      <c r="AK163" s="1" t="str">
        <f>IF(INDEX(C163:X163,1,MATCH(IF('Data-solution'!A$3="Maximize",MAX(C164:X164),MIN(C164:X164)),C164:X164,0))&gt;0,AJ163/INDEX(C163:X163,1,MATCH(IF('Data-solution'!A$3="Maximize",MAX(C164:X164),MIN(C164:X164)),C164:X164,0))," ")</f>
        <v xml:space="preserve"> </v>
      </c>
    </row>
    <row r="164" spans="1:37" ht="18" customHeight="1" x14ac:dyDescent="0.2">
      <c r="B164" s="2" t="s">
        <v>5</v>
      </c>
      <c r="C164" s="1">
        <f>IF(SUM(COUNTIF($B153:$B163,$Y152),COUNTIF($B153:$B163,$Z152),COUNTIF($B153:$B163,$AA152),COUNTIF($B153:$B163,$AB152),COUNTIF($B153:$B163,$AC152),COUNTIF($B153:$B163,$AD152),COUNTIF($B153:$B163,$AE152),COUNTIF($B153:$B163,$AF152),COUNTIF($B153:$B163,$AG152),COUNTIF($B153:$B163,$AH152),COUNTIF($B153:$B163,$AI152))=0,C151-SUMPRODUCT($A153:$A163,C153:C163),IF('Data-solution'!$A$3="Maximize",1,-1)*SUM(SUMIF($B153:$B163,$Y152,C153:C163),SUMIF($B153:$B163,$Z152,C153:C163),SUMIF($B153:$B163,$AA152,C153:C163),SUMIF($B153:$B163,$AB152,C153:C163),SUMIF($B153:$B163,$AC152,C153:C163),SUMIF($B153:$B163,$AD152,C153:C163),SUMIF($B153:$B163,$AE152,C153:C163),SUMIF($B153:$B163,$AF152,C153:C163),SUMIF($B153:$B163,$AG152,C153:C163),SUMIF($B153:$B163,$AH152,C153:C163),SUMIF($B153:$B163,$AI152,C153:C163)))</f>
        <v>0</v>
      </c>
      <c r="D164" s="1">
        <f>IF(SUM(COUNTIF($B153:$B163,$Y152),COUNTIF($B153:$B163,$Z152),COUNTIF($B153:$B163,$AA152),COUNTIF($B153:$B163,$AB152),COUNTIF($B153:$B163,$AC152),COUNTIF($B153:$B163,$AD152),COUNTIF($B153:$B163,$AE152),COUNTIF($B153:$B163,$AF152),COUNTIF($B153:$B163,$AG152),COUNTIF($B153:$B163,$AH152),COUNTIF($B153:$B163,$AI152))=0,D151-SUMPRODUCT($A153:$A163,D153:D163),IF('Data-solution'!$A$3="Maximize",1,-1)*SUM(SUMIF($B153:$B163,$Y152,D153:D163),SUMIF($B153:$B163,$Z152,D153:D163),SUMIF($B153:$B163,$AA152,D153:D163),SUMIF($B153:$B163,$AB152,D153:D163),SUMIF($B153:$B163,$AC152,D153:D163),SUMIF($B153:$B163,$AD152,D153:D163),SUMIF($B153:$B163,$AE152,D153:D163),SUMIF($B153:$B163,$AF152,D153:D163),SUMIF($B153:$B163,$AG152,D153:D163),SUMIF($B153:$B163,$AH152,D153:D163),SUMIF($B153:$B163,$AI152,D153:D163)))</f>
        <v>-50</v>
      </c>
      <c r="E164" s="1">
        <f>IF(SUM(COUNTIF($B153:$B163,$Y152),COUNTIF($B153:$B163,$Z152),COUNTIF($B153:$B163,$AA152),COUNTIF($B153:$B163,$AB152),COUNTIF($B153:$B163,$AC152),COUNTIF($B153:$B163,$AD152),COUNTIF($B153:$B163,$AE152),COUNTIF($B153:$B163,$AF152),COUNTIF($B153:$B163,$AG152),COUNTIF($B153:$B163,$AH152),COUNTIF($B153:$B163,$AI152))=0,E151-SUMPRODUCT($A153:$A163,E153:E163),IF('Data-solution'!$A$3="Maximize",1,-1)*SUM(SUMIF($B153:$B163,$Y152,E153:E163),SUMIF($B153:$B163,$Z152,E153:E163),SUMIF($B153:$B163,$AA152,E153:E163),SUMIF($B153:$B163,$AB152,E153:E163),SUMIF($B153:$B163,$AC152,E153:E163),SUMIF($B153:$B163,$AD152,E153:E163),SUMIF($B153:$B163,$AE152,E153:E163),SUMIF($B153:$B163,$AF152,E153:E163),SUMIF($B153:$B163,$AG152,E153:E163),SUMIF($B153:$B163,$AH152,E153:E163),SUMIF($B153:$B163,$AI152,E153:E163)))</f>
        <v>0</v>
      </c>
      <c r="F164" s="1">
        <f>IF(SUM(COUNTIF($B153:$B163,$Y152),COUNTIF($B153:$B163,$Z152),COUNTIF($B153:$B163,$AA152),COUNTIF($B153:$B163,$AB152),COUNTIF($B153:$B163,$AC152),COUNTIF($B153:$B163,$AD152),COUNTIF($B153:$B163,$AE152),COUNTIF($B153:$B163,$AF152),COUNTIF($B153:$B163,$AG152),COUNTIF($B153:$B163,$AH152),COUNTIF($B153:$B163,$AI152))=0,F151-SUMPRODUCT($A153:$A163,F153:F163),IF('Data-solution'!$A$3="Maximize",1,-1)*SUM(SUMIF($B153:$B163,$Y152,F153:F163),SUMIF($B153:$B163,$Z152,F153:F163),SUMIF($B153:$B163,$AA152,F153:F163),SUMIF($B153:$B163,$AB152,F153:F163),SUMIF($B153:$B163,$AC152,F153:F163),SUMIF($B153:$B163,$AD152,F153:F163),SUMIF($B153:$B163,$AE152,F153:F163),SUMIF($B153:$B163,$AF152,F153:F163),SUMIF($B153:$B163,$AG152,F153:F163),SUMIF($B153:$B163,$AH152,F153:F163),SUMIF($B153:$B163,$AI152,F153:F163)))</f>
        <v>0</v>
      </c>
      <c r="G164" s="1">
        <f>IF(SUM(COUNTIF($B153:$B163,$Y152),COUNTIF($B153:$B163,$Z152),COUNTIF($B153:$B163,$AA152),COUNTIF($B153:$B163,$AB152),COUNTIF($B153:$B163,$AC152),COUNTIF($B153:$B163,$AD152),COUNTIF($B153:$B163,$AE152),COUNTIF($B153:$B163,$AF152),COUNTIF($B153:$B163,$AG152),COUNTIF($B153:$B163,$AH152),COUNTIF($B153:$B163,$AI152))=0,G151-SUMPRODUCT($A153:$A163,G153:G163),IF('Data-solution'!$A$3="Maximize",1,-1)*SUM(SUMIF($B153:$B163,$Y152,G153:G163),SUMIF($B153:$B163,$Z152,G153:G163),SUMIF($B153:$B163,$AA152,G153:G163),SUMIF($B153:$B163,$AB152,G153:G163),SUMIF($B153:$B163,$AC152,G153:G163),SUMIF($B153:$B163,$AD152,G153:G163),SUMIF($B153:$B163,$AE152,G153:G163),SUMIF($B153:$B163,$AF152,G153:G163),SUMIF($B153:$B163,$AG152,G153:G163),SUMIF($B153:$B163,$AH152,G153:G163),SUMIF($B153:$B163,$AI152,G153:G163)))</f>
        <v>0</v>
      </c>
      <c r="H164" s="1">
        <f>IF(SUM(COUNTIF($B153:$B163,$Y152),COUNTIF($B153:$B163,$Z152),COUNTIF($B153:$B163,$AA152),COUNTIF($B153:$B163,$AB152),COUNTIF($B153:$B163,$AC152),COUNTIF($B153:$B163,$AD152),COUNTIF($B153:$B163,$AE152),COUNTIF($B153:$B163,$AF152),COUNTIF($B153:$B163,$AG152),COUNTIF($B153:$B163,$AH152),COUNTIF($B153:$B163,$AI152))=0,H151-SUMPRODUCT($A153:$A163,H153:H163),IF('Data-solution'!$A$3="Maximize",1,-1)*SUM(SUMIF($B153:$B163,$Y152,H153:H163),SUMIF($B153:$B163,$Z152,H153:H163),SUMIF($B153:$B163,$AA152,H153:H163),SUMIF($B153:$B163,$AB152,H153:H163),SUMIF($B153:$B163,$AC152,H153:H163),SUMIF($B153:$B163,$AD152,H153:H163),SUMIF($B153:$B163,$AE152,H153:H163),SUMIF($B153:$B163,$AF152,H153:H163),SUMIF($B153:$B163,$AG152,H153:H163),SUMIF($B153:$B163,$AH152,H153:H163),SUMIF($B153:$B163,$AI152,H153:H163)))</f>
        <v>0</v>
      </c>
      <c r="I164" s="1">
        <f>IF(SUM(COUNTIF($B153:$B163,$Y152),COUNTIF($B153:$B163,$Z152),COUNTIF($B153:$B163,$AA152),COUNTIF($B153:$B163,$AB152),COUNTIF($B153:$B163,$AC152),COUNTIF($B153:$B163,$AD152),COUNTIF($B153:$B163,$AE152),COUNTIF($B153:$B163,$AF152),COUNTIF($B153:$B163,$AG152),COUNTIF($B153:$B163,$AH152),COUNTIF($B153:$B163,$AI152))=0,I151-SUMPRODUCT($A153:$A163,I153:I163),IF('Data-solution'!$A$3="Maximize",1,-1)*SUM(SUMIF($B153:$B163,$Y152,I153:I163),SUMIF($B153:$B163,$Z152,I153:I163),SUMIF($B153:$B163,$AA152,I153:I163),SUMIF($B153:$B163,$AB152,I153:I163),SUMIF($B153:$B163,$AC152,I153:I163),SUMIF($B153:$B163,$AD152,I153:I163),SUMIF($B153:$B163,$AE152,I153:I163),SUMIF($B153:$B163,$AF152,I153:I163),SUMIF($B153:$B163,$AG152,I153:I163),SUMIF($B153:$B163,$AH152,I153:I163),SUMIF($B153:$B163,$AI152,I153:I163)))</f>
        <v>0</v>
      </c>
      <c r="J164" s="1">
        <f>IF(SUM(COUNTIF($B153:$B163,$Y152),COUNTIF($B153:$B163,$Z152),COUNTIF($B153:$B163,$AA152),COUNTIF($B153:$B163,$AB152),COUNTIF($B153:$B163,$AC152),COUNTIF($B153:$B163,$AD152),COUNTIF($B153:$B163,$AE152),COUNTIF($B153:$B163,$AF152),COUNTIF($B153:$B163,$AG152),COUNTIF($B153:$B163,$AH152),COUNTIF($B153:$B163,$AI152))=0,J151-SUMPRODUCT($A153:$A163,J153:J163),IF('Data-solution'!$A$3="Maximize",1,-1)*SUM(SUMIF($B153:$B163,$Y152,J153:J163),SUMIF($B153:$B163,$Z152,J153:J163),SUMIF($B153:$B163,$AA152,J153:J163),SUMIF($B153:$B163,$AB152,J153:J163),SUMIF($B153:$B163,$AC152,J153:J163),SUMIF($B153:$B163,$AD152,J153:J163),SUMIF($B153:$B163,$AE152,J153:J163),SUMIF($B153:$B163,$AF152,J153:J163),SUMIF($B153:$B163,$AG152,J153:J163),SUMIF($B153:$B163,$AH152,J153:J163),SUMIF($B153:$B163,$AI152,J153:J163)))</f>
        <v>0</v>
      </c>
      <c r="K164" s="1">
        <f>IF(SUM(COUNTIF($B153:$B163,$Y152),COUNTIF($B153:$B163,$Z152),COUNTIF($B153:$B163,$AA152),COUNTIF($B153:$B163,$AB152),COUNTIF($B153:$B163,$AC152),COUNTIF($B153:$B163,$AD152),COUNTIF($B153:$B163,$AE152),COUNTIF($B153:$B163,$AF152),COUNTIF($B153:$B163,$AG152),COUNTIF($B153:$B163,$AH152),COUNTIF($B153:$B163,$AI152))=0,K151-SUMPRODUCT($A153:$A163,K153:K163),IF('Data-solution'!$A$3="Maximize",1,-1)*SUM(SUMIF($B153:$B163,$Y152,K153:K163),SUMIF($B153:$B163,$Z152,K153:K163),SUMIF($B153:$B163,$AA152,K153:K163),SUMIF($B153:$B163,$AB152,K153:K163),SUMIF($B153:$B163,$AC152,K153:K163),SUMIF($B153:$B163,$AD152,K153:K163),SUMIF($B153:$B163,$AE152,K153:K163),SUMIF($B153:$B163,$AF152,K153:K163),SUMIF($B153:$B163,$AG152,K153:K163),SUMIF($B153:$B163,$AH152,K153:K163),SUMIF($B153:$B163,$AI152,K153:K163)))</f>
        <v>0</v>
      </c>
      <c r="L164" s="1">
        <f>IF(SUM(COUNTIF($B153:$B163,$Y152),COUNTIF($B153:$B163,$Z152),COUNTIF($B153:$B163,$AA152),COUNTIF($B153:$B163,$AB152),COUNTIF($B153:$B163,$AC152),COUNTIF($B153:$B163,$AD152),COUNTIF($B153:$B163,$AE152),COUNTIF($B153:$B163,$AF152),COUNTIF($B153:$B163,$AG152),COUNTIF($B153:$B163,$AH152),COUNTIF($B153:$B163,$AI152))=0,L151-SUMPRODUCT($A153:$A163,L153:L163),IF('Data-solution'!$A$3="Maximize",1,-1)*SUM(SUMIF($B153:$B163,$Y152,L153:L163),SUMIF($B153:$B163,$Z152,L153:L163),SUMIF($B153:$B163,$AA152,L153:L163),SUMIF($B153:$B163,$AB152,L153:L163),SUMIF($B153:$B163,$AC152,L153:L163),SUMIF($B153:$B163,$AD152,L153:L163),SUMIF($B153:$B163,$AE152,L153:L163),SUMIF($B153:$B163,$AF152,L153:L163),SUMIF($B153:$B163,$AG152,L153:L163),SUMIF($B153:$B163,$AH152,L153:L163),SUMIF($B153:$B163,$AI152,L153:L163)))</f>
        <v>0</v>
      </c>
      <c r="M164" s="1">
        <f>IF(SUM(COUNTIF($B153:$B163,$Y152),COUNTIF($B153:$B163,$Z152),COUNTIF($B153:$B163,$AA152),COUNTIF($B153:$B163,$AB152),COUNTIF($B153:$B163,$AC152),COUNTIF($B153:$B163,$AD152),COUNTIF($B153:$B163,$AE152),COUNTIF($B153:$B163,$AF152),COUNTIF($B153:$B163,$AG152),COUNTIF($B153:$B163,$AH152),COUNTIF($B153:$B163,$AI152))=0,M151-SUMPRODUCT($A153:$A163,M153:M163),IF('Data-solution'!$A$3="Maximize",1,-1)*SUM(SUMIF($B153:$B163,$Y152,M153:M163),SUMIF($B153:$B163,$Z152,M153:M163),SUMIF($B153:$B163,$AA152,M153:M163),SUMIF($B153:$B163,$AB152,M153:M163),SUMIF($B153:$B163,$AC152,M153:M163),SUMIF($B153:$B163,$AD152,M153:M163),SUMIF($B153:$B163,$AE152,M153:M163),SUMIF($B153:$B163,$AF152,M153:M163),SUMIF($B153:$B163,$AG152,M153:M163),SUMIF($B153:$B163,$AH152,M153:M163),SUMIF($B153:$B163,$AI152,M153:M163)))</f>
        <v>0</v>
      </c>
      <c r="N164" s="1">
        <f>IF(SUM(COUNTIF($B153:$B163,$Y152),COUNTIF($B153:$B163,$Z152),COUNTIF($B153:$B163,$AA152),COUNTIF($B153:$B163,$AB152),COUNTIF($B153:$B163,$AC152),COUNTIF($B153:$B163,$AD152),COUNTIF($B153:$B163,$AE152),COUNTIF($B153:$B163,$AF152),COUNTIF($B153:$B163,$AG152),COUNTIF($B153:$B163,$AH152),COUNTIF($B153:$B163,$AI152))=0,N151-SUMPRODUCT($A153:$A163,N153:N163),IF('Data-solution'!$A$3="Maximize",1,-1)*SUM(SUMIF($B153:$B163,$Y152,N153:N163),SUMIF($B153:$B163,$Z152,N153:N163),SUMIF($B153:$B163,$AA152,N153:N163),SUMIF($B153:$B163,$AB152,N153:N163),SUMIF($B153:$B163,$AC152,N153:N163),SUMIF($B153:$B163,$AD152,N153:N163),SUMIF($B153:$B163,$AE152,N153:N163),SUMIF($B153:$B163,$AF152,N153:N163),SUMIF($B153:$B163,$AG152,N153:N163),SUMIF($B153:$B163,$AH152,N153:N163),SUMIF($B153:$B163,$AI152,N153:N163)))</f>
        <v>0</v>
      </c>
      <c r="O164" s="1">
        <f>IF(SUM(COUNTIF($B153:$B163,$Y152),COUNTIF($B153:$B163,$Z152),COUNTIF($B153:$B163,$AA152),COUNTIF($B153:$B163,$AB152),COUNTIF($B153:$B163,$AC152),COUNTIF($B153:$B163,$AD152),COUNTIF($B153:$B163,$AE152),COUNTIF($B153:$B163,$AF152),COUNTIF($B153:$B163,$AG152),COUNTIF($B153:$B163,$AH152),COUNTIF($B153:$B163,$AI152))=0,O151-SUMPRODUCT($A153:$A163,O153:O163),IF('Data-solution'!$A$3="Maximize",1,-1)*SUM(SUMIF($B153:$B163,$Y152,O153:O163),SUMIF($B153:$B163,$Z152,O153:O163),SUMIF($B153:$B163,$AA152,O153:O163),SUMIF($B153:$B163,$AB152,O153:O163),SUMIF($B153:$B163,$AC152,O153:O163),SUMIF($B153:$B163,$AD152,O153:O163),SUMIF($B153:$B163,$AE152,O153:O163),SUMIF($B153:$B163,$AF152,O153:O163),SUMIF($B153:$B163,$AG152,O153:O163),SUMIF($B153:$B163,$AH152,O153:O163),SUMIF($B153:$B163,$AI152,O153:O163)))</f>
        <v>0</v>
      </c>
      <c r="P164" s="1">
        <f>IF(SUM(COUNTIF($B153:$B163,$Y152),COUNTIF($B153:$B163,$Z152),COUNTIF($B153:$B163,$AA152),COUNTIF($B153:$B163,$AB152),COUNTIF($B153:$B163,$AC152),COUNTIF($B153:$B163,$AD152),COUNTIF($B153:$B163,$AE152),COUNTIF($B153:$B163,$AF152),COUNTIF($B153:$B163,$AG152),COUNTIF($B153:$B163,$AH152),COUNTIF($B153:$B163,$AI152))=0,P151-SUMPRODUCT($A153:$A163,P153:P163),IF('Data-solution'!$A$3="Maximize",1,-1)*SUM(SUMIF($B153:$B163,$Y152,P153:P163),SUMIF($B153:$B163,$Z152,P153:P163),SUMIF($B153:$B163,$AA152,P153:P163),SUMIF($B153:$B163,$AB152,P153:P163),SUMIF($B153:$B163,$AC152,P153:P163),SUMIF($B153:$B163,$AD152,P153:P163),SUMIF($B153:$B163,$AE152,P153:P163),SUMIF($B153:$B163,$AF152,P153:P163),SUMIF($B153:$B163,$AG152,P153:P163),SUMIF($B153:$B163,$AH152,P153:P163),SUMIF($B153:$B163,$AI152,P153:P163)))</f>
        <v>-49.999999999999993</v>
      </c>
      <c r="Q164" s="1">
        <f>IF(SUM(COUNTIF($B153:$B163,$Y152),COUNTIF($B153:$B163,$Z152),COUNTIF($B153:$B163,$AA152),COUNTIF($B153:$B163,$AB152),COUNTIF($B153:$B163,$AC152),COUNTIF($B153:$B163,$AD152),COUNTIF($B153:$B163,$AE152),COUNTIF($B153:$B163,$AF152),COUNTIF($B153:$B163,$AG152),COUNTIF($B153:$B163,$AH152),COUNTIF($B153:$B163,$AI152))=0,Q151-SUMPRODUCT($A153:$A163,Q153:Q163),IF('Data-solution'!$A$3="Maximize",1,-1)*SUM(SUMIF($B153:$B163,$Y152,Q153:Q163),SUMIF($B153:$B163,$Z152,Q153:Q163),SUMIF($B153:$B163,$AA152,Q153:Q163),SUMIF($B153:$B163,$AB152,Q153:Q163),SUMIF($B153:$B163,$AC152,Q153:Q163),SUMIF($B153:$B163,$AD152,Q153:Q163),SUMIF($B153:$B163,$AE152,Q153:Q163),SUMIF($B153:$B163,$AF152,Q153:Q163),SUMIF($B153:$B163,$AG152,Q153:Q163),SUMIF($B153:$B163,$AH152,Q153:Q163),SUMIF($B153:$B163,$AI152,Q153:Q163)))</f>
        <v>-50</v>
      </c>
      <c r="R164" s="1">
        <f>IF(SUM(COUNTIF($B153:$B163,$Y152),COUNTIF($B153:$B163,$Z152),COUNTIF($B153:$B163,$AA152),COUNTIF($B153:$B163,$AB152),COUNTIF($B153:$B163,$AC152),COUNTIF($B153:$B163,$AD152),COUNTIF($B153:$B163,$AE152),COUNTIF($B153:$B163,$AF152),COUNTIF($B153:$B163,$AG152),COUNTIF($B153:$B163,$AH152),COUNTIF($B153:$B163,$AI152))=0,R151-SUMPRODUCT($A153:$A163,R153:R163),IF('Data-solution'!$A$3="Maximize",1,-1)*SUM(SUMIF($B153:$B163,$Y152,R153:R163),SUMIF($B153:$B163,$Z152,R153:R163),SUMIF($B153:$B163,$AA152,R153:R163),SUMIF($B153:$B163,$AB152,R153:R163),SUMIF($B153:$B163,$AC152,R153:R163),SUMIF($B153:$B163,$AD152,R153:R163),SUMIF($B153:$B163,$AE152,R153:R163),SUMIF($B153:$B163,$AF152,R153:R163),SUMIF($B153:$B163,$AG152,R153:R163),SUMIF($B153:$B163,$AH152,R153:R163),SUMIF($B153:$B163,$AI152,R153:R163)))</f>
        <v>0</v>
      </c>
      <c r="S164" s="1">
        <f>IF(SUM(COUNTIF($B153:$B163,$Y152),COUNTIF($B153:$B163,$Z152),COUNTIF($B153:$B163,$AA152),COUNTIF($B153:$B163,$AB152),COUNTIF($B153:$B163,$AC152),COUNTIF($B153:$B163,$AD152),COUNTIF($B153:$B163,$AE152),COUNTIF($B153:$B163,$AF152),COUNTIF($B153:$B163,$AG152),COUNTIF($B153:$B163,$AH152),COUNTIF($B153:$B163,$AI152))=0,S151-SUMPRODUCT($A153:$A163,S153:S163),IF('Data-solution'!$A$3="Maximize",1,-1)*SUM(SUMIF($B153:$B163,$Y152,S153:S163),SUMIF($B153:$B163,$Z152,S153:S163),SUMIF($B153:$B163,$AA152,S153:S163),SUMIF($B153:$B163,$AB152,S153:S163),SUMIF($B153:$B163,$AC152,S153:S163),SUMIF($B153:$B163,$AD152,S153:S163),SUMIF($B153:$B163,$AE152,S153:S163),SUMIF($B153:$B163,$AF152,S153:S163),SUMIF($B153:$B163,$AG152,S153:S163),SUMIF($B153:$B163,$AH152,S153:S163),SUMIF($B153:$B163,$AI152,S153:S163)))</f>
        <v>0</v>
      </c>
      <c r="T164" s="1">
        <f>IF(SUM(COUNTIF($B153:$B163,$Y152),COUNTIF($B153:$B163,$Z152),COUNTIF($B153:$B163,$AA152),COUNTIF($B153:$B163,$AB152),COUNTIF($B153:$B163,$AC152),COUNTIF($B153:$B163,$AD152),COUNTIF($B153:$B163,$AE152),COUNTIF($B153:$B163,$AF152),COUNTIF($B153:$B163,$AG152),COUNTIF($B153:$B163,$AH152),COUNTIF($B153:$B163,$AI152))=0,T151-SUMPRODUCT($A153:$A163,T153:T163),IF('Data-solution'!$A$3="Maximize",1,-1)*SUM(SUMIF($B153:$B163,$Y152,T153:T163),SUMIF($B153:$B163,$Z152,T153:T163),SUMIF($B153:$B163,$AA152,T153:T163),SUMIF($B153:$B163,$AB152,T153:T163),SUMIF($B153:$B163,$AC152,T153:T163),SUMIF($B153:$B163,$AD152,T153:T163),SUMIF($B153:$B163,$AE152,T153:T163),SUMIF($B153:$B163,$AF152,T153:T163),SUMIF($B153:$B163,$AG152,T153:T163),SUMIF($B153:$B163,$AH152,T153:T163),SUMIF($B153:$B163,$AI152,T153:T163)))</f>
        <v>0</v>
      </c>
      <c r="U164" s="1">
        <f>IF(SUM(COUNTIF($B153:$B163,$Y152),COUNTIF($B153:$B163,$Z152),COUNTIF($B153:$B163,$AA152),COUNTIF($B153:$B163,$AB152),COUNTIF($B153:$B163,$AC152),COUNTIF($B153:$B163,$AD152),COUNTIF($B153:$B163,$AE152),COUNTIF($B153:$B163,$AF152),COUNTIF($B153:$B163,$AG152),COUNTIF($B153:$B163,$AH152),COUNTIF($B153:$B163,$AI152))=0,U151-SUMPRODUCT($A153:$A163,U153:U163),IF('Data-solution'!$A$3="Maximize",1,-1)*SUM(SUMIF($B153:$B163,$Y152,U153:U163),SUMIF($B153:$B163,$Z152,U153:U163),SUMIF($B153:$B163,$AA152,U153:U163),SUMIF($B153:$B163,$AB152,U153:U163),SUMIF($B153:$B163,$AC152,U153:U163),SUMIF($B153:$B163,$AD152,U153:U163),SUMIF($B153:$B163,$AE152,U153:U163),SUMIF($B153:$B163,$AF152,U153:U163),SUMIF($B153:$B163,$AG152,U153:U163),SUMIF($B153:$B163,$AH152,U153:U163),SUMIF($B153:$B163,$AI152,U153:U163)))</f>
        <v>0</v>
      </c>
      <c r="V164" s="1">
        <f>IF(SUM(COUNTIF($B153:$B163,$Y152),COUNTIF($B153:$B163,$Z152),COUNTIF($B153:$B163,$AA152),COUNTIF($B153:$B163,$AB152),COUNTIF($B153:$B163,$AC152),COUNTIF($B153:$B163,$AD152),COUNTIF($B153:$B163,$AE152),COUNTIF($B153:$B163,$AF152),COUNTIF($B153:$B163,$AG152),COUNTIF($B153:$B163,$AH152),COUNTIF($B153:$B163,$AI152))=0,V151-SUMPRODUCT($A153:$A163,V153:V163),IF('Data-solution'!$A$3="Maximize",1,-1)*SUM(SUMIF($B153:$B163,$Y152,V153:V163),SUMIF($B153:$B163,$Z152,V153:V163),SUMIF($B153:$B163,$AA152,V153:V163),SUMIF($B153:$B163,$AB152,V153:V163),SUMIF($B153:$B163,$AC152,V153:V163),SUMIF($B153:$B163,$AD152,V153:V163),SUMIF($B153:$B163,$AE152,V153:V163),SUMIF($B153:$B163,$AF152,V153:V163),SUMIF($B153:$B163,$AG152,V153:V163),SUMIF($B153:$B163,$AH152,V153:V163),SUMIF($B153:$B163,$AI152,V153:V163)))</f>
        <v>0</v>
      </c>
      <c r="W164" s="1">
        <f>IF(SUM(COUNTIF($B153:$B163,$Y152),COUNTIF($B153:$B163,$Z152),COUNTIF($B153:$B163,$AA152),COUNTIF($B153:$B163,$AB152),COUNTIF($B153:$B163,$AC152),COUNTIF($B153:$B163,$AD152),COUNTIF($B153:$B163,$AE152),COUNTIF($B153:$B163,$AF152),COUNTIF($B153:$B163,$AG152),COUNTIF($B153:$B163,$AH152),COUNTIF($B153:$B163,$AI152))=0,W151-SUMPRODUCT($A153:$A163,W153:W163),IF('Data-solution'!$A$3="Maximize",1,-1)*SUM(SUMIF($B153:$B163,$Y152,W153:W163),SUMIF($B153:$B163,$Z152,W153:W163),SUMIF($B153:$B163,$AA152,W153:W163),SUMIF($B153:$B163,$AB152,W153:W163),SUMIF($B153:$B163,$AC152,W153:W163),SUMIF($B153:$B163,$AD152,W153:W163),SUMIF($B153:$B163,$AE152,W153:W163),SUMIF($B153:$B163,$AF152,W153:W163),SUMIF($B153:$B163,$AG152,W153:W163),SUMIF($B153:$B163,$AH152,W153:W163),SUMIF($B153:$B163,$AI152,W153:W163)))</f>
        <v>0</v>
      </c>
      <c r="X164" s="1">
        <f>IF(SUM(COUNTIF($B153:$B163,$Y152),COUNTIF($B153:$B163,$Z152),COUNTIF($B153:$B163,$AA152),COUNTIF($B153:$B163,$AB152),COUNTIF($B153:$B163,$AC152),COUNTIF($B153:$B163,$AD152),COUNTIF($B153:$B163,$AE152),COUNTIF($B153:$B163,$AF152),COUNTIF($B153:$B163,$AG152),COUNTIF($B153:$B163,$AH152),COUNTIF($B153:$B163,$AI152))=0,X151-SUMPRODUCT($A153:$A163,X153:X163),IF('Data-solution'!$A$3="Maximize",1,-1)*SUM(SUMIF($B153:$B163,$Y152,X153:X163),SUMIF($B153:$B163,$Z152,X153:X163),SUMIF($B153:$B163,$AA152,X153:X163),SUMIF($B153:$B163,$AB152,X153:X163),SUMIF($B153:$B163,$AC152,X153:X163),SUMIF($B153:$B163,$AD152,X153:X163),SUMIF($B153:$B163,$AE152,X153:X163),SUMIF($B153:$B163,$AF152,X153:X163),SUMIF($B153:$B163,$AG152,X153:X163),SUMIF($B153:$B163,$AH152,X153:X163),SUMIF($B153:$B163,$AI152,X153:X163)))</f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2">
        <f t="shared" ref="AJ164" si="135">IF(SUMPRODUCT(A153:A163,AJ153:AJ163)&gt;=0,SUMPRODUCT(A153:A163,AJ153:AJ163),0)</f>
        <v>120000</v>
      </c>
    </row>
    <row r="166" spans="1:37" ht="18" customHeight="1" x14ac:dyDescent="0.2">
      <c r="A166" s="1" t="s">
        <v>71</v>
      </c>
      <c r="B166" s="2" t="s">
        <v>4</v>
      </c>
      <c r="C166" s="1">
        <f t="shared" ref="C166" si="136">C$1</f>
        <v>150</v>
      </c>
      <c r="D166" s="1">
        <f t="shared" si="78"/>
        <v>200</v>
      </c>
      <c r="E166" s="1">
        <f t="shared" si="78"/>
        <v>350</v>
      </c>
      <c r="F166" s="1">
        <f t="shared" si="78"/>
        <v>0</v>
      </c>
      <c r="G166" s="1">
        <f t="shared" si="78"/>
        <v>0</v>
      </c>
      <c r="H166" s="1">
        <f t="shared" si="78"/>
        <v>0</v>
      </c>
      <c r="I166" s="1">
        <f t="shared" si="78"/>
        <v>0</v>
      </c>
      <c r="J166" s="1">
        <f t="shared" si="78"/>
        <v>0</v>
      </c>
      <c r="K166" s="1">
        <f t="shared" si="78"/>
        <v>0</v>
      </c>
      <c r="L166" s="1">
        <f t="shared" si="78"/>
        <v>0</v>
      </c>
      <c r="M166" s="1">
        <f t="shared" si="78"/>
        <v>0</v>
      </c>
      <c r="N166" s="1">
        <f t="shared" si="78"/>
        <v>0</v>
      </c>
      <c r="O166" s="1">
        <f t="shared" si="78"/>
        <v>0</v>
      </c>
      <c r="P166" s="1">
        <f t="shared" si="78"/>
        <v>0</v>
      </c>
      <c r="Q166" s="1">
        <f t="shared" si="78"/>
        <v>0</v>
      </c>
      <c r="R166" s="1">
        <f t="shared" si="78"/>
        <v>0</v>
      </c>
      <c r="S166" s="1">
        <f t="shared" si="78"/>
        <v>0</v>
      </c>
      <c r="T166" s="1">
        <f t="shared" si="78"/>
        <v>0</v>
      </c>
      <c r="U166" s="1">
        <f t="shared" si="78"/>
        <v>0</v>
      </c>
      <c r="V166" s="1">
        <f t="shared" si="78"/>
        <v>0</v>
      </c>
      <c r="W166" s="1">
        <f t="shared" si="78"/>
        <v>0</v>
      </c>
      <c r="X166" s="1">
        <f t="shared" si="78"/>
        <v>0</v>
      </c>
      <c r="Y166" s="1">
        <f t="shared" si="78"/>
        <v>-999999</v>
      </c>
      <c r="Z166" s="1">
        <f t="shared" si="78"/>
        <v>-999999</v>
      </c>
      <c r="AA166" s="1">
        <f t="shared" si="78"/>
        <v>-999999</v>
      </c>
      <c r="AB166" s="1">
        <f t="shared" si="78"/>
        <v>-999999</v>
      </c>
      <c r="AC166" s="1">
        <f t="shared" si="78"/>
        <v>-999999</v>
      </c>
      <c r="AD166" s="1">
        <f t="shared" si="78"/>
        <v>-999999</v>
      </c>
      <c r="AE166" s="1">
        <f t="shared" si="78"/>
        <v>-999999</v>
      </c>
      <c r="AF166" s="1">
        <f t="shared" si="78"/>
        <v>-999999</v>
      </c>
      <c r="AG166" s="1">
        <f t="shared" si="78"/>
        <v>-999999</v>
      </c>
      <c r="AH166" s="1">
        <f t="shared" si="78"/>
        <v>-999999</v>
      </c>
      <c r="AI166" s="1">
        <f t="shared" si="78"/>
        <v>-999999</v>
      </c>
    </row>
    <row r="167" spans="1:37" ht="18" customHeight="1" x14ac:dyDescent="0.2">
      <c r="A167" s="2" t="s">
        <v>3</v>
      </c>
      <c r="B167" s="2" t="s">
        <v>1</v>
      </c>
      <c r="C167" s="2" t="str">
        <f t="shared" ref="C167" si="137">C$2</f>
        <v>X1</v>
      </c>
      <c r="D167" s="2" t="str">
        <f t="shared" si="81"/>
        <v>X2</v>
      </c>
      <c r="E167" s="2" t="str">
        <f t="shared" si="81"/>
        <v>X3</v>
      </c>
      <c r="F167" s="2" t="str">
        <f t="shared" si="81"/>
        <v>X4</v>
      </c>
      <c r="G167" s="2" t="str">
        <f t="shared" si="81"/>
        <v>X5</v>
      </c>
      <c r="H167" s="2" t="str">
        <f t="shared" si="81"/>
        <v>X6</v>
      </c>
      <c r="I167" s="2" t="str">
        <f t="shared" si="81"/>
        <v>X7</v>
      </c>
      <c r="J167" s="2" t="str">
        <f t="shared" si="81"/>
        <v>X8</v>
      </c>
      <c r="K167" s="2" t="str">
        <f t="shared" si="81"/>
        <v>X9</v>
      </c>
      <c r="L167" s="2" t="str">
        <f t="shared" si="81"/>
        <v>X10</v>
      </c>
      <c r="M167" s="2" t="str">
        <f t="shared" si="81"/>
        <v>X11</v>
      </c>
      <c r="N167" s="2" t="str">
        <f t="shared" si="81"/>
        <v>S1</v>
      </c>
      <c r="O167" s="2" t="str">
        <f t="shared" si="81"/>
        <v>S2</v>
      </c>
      <c r="P167" s="2" t="str">
        <f t="shared" si="81"/>
        <v>S3</v>
      </c>
      <c r="Q167" s="2" t="str">
        <f t="shared" si="81"/>
        <v>S4</v>
      </c>
      <c r="R167" s="2" t="str">
        <f t="shared" si="81"/>
        <v>S5</v>
      </c>
      <c r="S167" s="2" t="str">
        <f t="shared" si="81"/>
        <v>S6</v>
      </c>
      <c r="T167" s="2" t="str">
        <f t="shared" si="81"/>
        <v>S7</v>
      </c>
      <c r="U167" s="2" t="str">
        <f t="shared" si="81"/>
        <v>S8</v>
      </c>
      <c r="V167" s="2" t="str">
        <f t="shared" si="81"/>
        <v>S9</v>
      </c>
      <c r="W167" s="2" t="str">
        <f t="shared" si="81"/>
        <v>S10</v>
      </c>
      <c r="X167" s="2" t="str">
        <f t="shared" si="81"/>
        <v>S11</v>
      </c>
      <c r="Y167" s="2" t="str">
        <f t="shared" si="81"/>
        <v xml:space="preserve"> </v>
      </c>
      <c r="Z167" s="2" t="str">
        <f t="shared" si="81"/>
        <v xml:space="preserve"> </v>
      </c>
      <c r="AA167" s="2" t="str">
        <f t="shared" si="81"/>
        <v xml:space="preserve"> </v>
      </c>
      <c r="AB167" s="2" t="str">
        <f t="shared" si="81"/>
        <v xml:space="preserve"> </v>
      </c>
      <c r="AC167" s="2" t="str">
        <f t="shared" si="81"/>
        <v xml:space="preserve"> </v>
      </c>
      <c r="AD167" s="2" t="str">
        <f t="shared" si="81"/>
        <v xml:space="preserve"> </v>
      </c>
      <c r="AE167" s="2" t="str">
        <f t="shared" si="81"/>
        <v xml:space="preserve"> </v>
      </c>
      <c r="AF167" s="2" t="str">
        <f t="shared" si="81"/>
        <v xml:space="preserve"> </v>
      </c>
      <c r="AG167" s="2" t="str">
        <f t="shared" si="81"/>
        <v xml:space="preserve"> </v>
      </c>
      <c r="AH167" s="2" t="str">
        <f t="shared" si="81"/>
        <v xml:space="preserve"> </v>
      </c>
      <c r="AI167" s="2" t="str">
        <f t="shared" si="81"/>
        <v xml:space="preserve"> </v>
      </c>
      <c r="AJ167" s="2" t="s">
        <v>9</v>
      </c>
      <c r="AK167" s="2" t="s">
        <v>10</v>
      </c>
    </row>
    <row r="168" spans="1:37" ht="18" customHeight="1" x14ac:dyDescent="0.2">
      <c r="A168" s="1">
        <f t="shared" ref="A168" si="138">INDEX(C166:AI166,1,MATCH(B168,C167:AI167,0))</f>
        <v>0</v>
      </c>
      <c r="B168" s="2" t="str">
        <f>IF(AND('Data-solution'!A$3="Maximize",COUNTIF(C164:X164,"&gt;"&amp;0)&gt;0,AK153=MIN(AK153:AK163)),INDEX(C152:X152,1,MATCH(MAX(C164:X164),C164:X164,0)),IF(AND('Data-solution'!A$3="Minimize",COUNTIF(C164:X164,"&lt;"&amp;0)&gt;0,AK153=MIN(AK153:AK163)),INDEX(C152:X152,1,MATCH(MIN(C164:X164),C164:X164,0)),B153))</f>
        <v>S1</v>
      </c>
      <c r="C168" s="1">
        <f>IF(OR($B168&lt;&gt;$B153,$B169&lt;&gt;$B154,$B170&lt;&gt;$B155,$B171&lt;&gt;$B156,$B172&lt;&gt;$B157,$B173&lt;&gt;$B158,$B174&lt;&gt;$B159,$B175&lt;&gt;$B160,$B176&lt;&gt;$B161,$B177&lt;&gt;$B162,$B178&lt;&gt;$B163),IF($B168&lt;&gt;$B153,C153/INDEX($C153:$AJ163,1,MATCH(IF('Data-solution'!$A$3="Maximize",MAX($C164:$AI164),MIN($C164:$AI164)),$C164:$AI164,0)),C153-INDEX($C153:$AJ163,1,MATCH(IF('Data-solution'!$A$3="Maximize",MAX($C164:$AI164),MIN($C164:$AI164)),$C164:$AI164,0))*INDEX(C153:$AJ163,MATCH(MIN($AK153:$AK163),$AK153:$AK163,0),1)/INDEX($C153:$AJ163,MATCH(MIN($AK153:$AK163),$AK153:$AK163,0),MATCH(IF('Data-solution'!$A$3="Maximize",MAX($C164:$AI164),MIN($C164:$AI164)),$C164:$AI164,0))),C153)</f>
        <v>0</v>
      </c>
      <c r="D168" s="1">
        <f>IF(OR($B168&lt;&gt;$B153,$B169&lt;&gt;$B154,$B170&lt;&gt;$B155,$B171&lt;&gt;$B156,$B172&lt;&gt;$B157,$B173&lt;&gt;$B158,$B174&lt;&gt;$B159,$B175&lt;&gt;$B160,$B176&lt;&gt;$B161,$B177&lt;&gt;$B162,$B178&lt;&gt;$B163),IF($B168&lt;&gt;$B153,D153/INDEX($C153:$AJ163,1,MATCH(IF('Data-solution'!$A$3="Maximize",MAX($C164:$AI164),MIN($C164:$AI164)),$C164:$AI164,0)),D153-INDEX($C153:$AJ163,1,MATCH(IF('Data-solution'!$A$3="Maximize",MAX($C164:$AI164),MIN($C164:$AI164)),$C164:$AI164,0))*INDEX(D153:$AJ163,MATCH(MIN($AK153:$AK163),$AK153:$AK163,0),1)/INDEX($C153:$AJ163,MATCH(MIN($AK153:$AK163),$AK153:$AK163,0),MATCH(IF('Data-solution'!$A$3="Maximize",MAX($C164:$AI164),MIN($C164:$AI164)),$C164:$AI164,0))),D153)</f>
        <v>1</v>
      </c>
      <c r="E168" s="1">
        <f>IF(OR($B168&lt;&gt;$B153,$B169&lt;&gt;$B154,$B170&lt;&gt;$B155,$B171&lt;&gt;$B156,$B172&lt;&gt;$B157,$B173&lt;&gt;$B158,$B174&lt;&gt;$B159,$B175&lt;&gt;$B160,$B176&lt;&gt;$B161,$B177&lt;&gt;$B162,$B178&lt;&gt;$B163),IF($B168&lt;&gt;$B153,E153/INDEX($C153:$AJ163,1,MATCH(IF('Data-solution'!$A$3="Maximize",MAX($C164:$AI164),MIN($C164:$AI164)),$C164:$AI164,0)),E153-INDEX($C153:$AJ163,1,MATCH(IF('Data-solution'!$A$3="Maximize",MAX($C164:$AI164),MIN($C164:$AI164)),$C164:$AI164,0))*INDEX(E153:$AJ163,MATCH(MIN($AK153:$AK163),$AK153:$AK163,0),1)/INDEX($C153:$AJ163,MATCH(MIN($AK153:$AK163),$AK153:$AK163,0),MATCH(IF('Data-solution'!$A$3="Maximize",MAX($C164:$AI164),MIN($C164:$AI164)),$C164:$AI164,0))),E153)</f>
        <v>0</v>
      </c>
      <c r="F168" s="1">
        <f>IF(OR($B168&lt;&gt;$B153,$B169&lt;&gt;$B154,$B170&lt;&gt;$B155,$B171&lt;&gt;$B156,$B172&lt;&gt;$B157,$B173&lt;&gt;$B158,$B174&lt;&gt;$B159,$B175&lt;&gt;$B160,$B176&lt;&gt;$B161,$B177&lt;&gt;$B162,$B178&lt;&gt;$B163),IF($B168&lt;&gt;$B153,F153/INDEX($C153:$AJ163,1,MATCH(IF('Data-solution'!$A$3="Maximize",MAX($C164:$AI164),MIN($C164:$AI164)),$C164:$AI164,0)),F153-INDEX($C153:$AJ163,1,MATCH(IF('Data-solution'!$A$3="Maximize",MAX($C164:$AI164),MIN($C164:$AI164)),$C164:$AI164,0))*INDEX(F153:$AJ163,MATCH(MIN($AK153:$AK163),$AK153:$AK163,0),1)/INDEX($C153:$AJ163,MATCH(MIN($AK153:$AK163),$AK153:$AK163,0),MATCH(IF('Data-solution'!$A$3="Maximize",MAX($C164:$AI164),MIN($C164:$AI164)),$C164:$AI164,0))),F153)</f>
        <v>0</v>
      </c>
      <c r="G168" s="1">
        <f>IF(OR($B168&lt;&gt;$B153,$B169&lt;&gt;$B154,$B170&lt;&gt;$B155,$B171&lt;&gt;$B156,$B172&lt;&gt;$B157,$B173&lt;&gt;$B158,$B174&lt;&gt;$B159,$B175&lt;&gt;$B160,$B176&lt;&gt;$B161,$B177&lt;&gt;$B162,$B178&lt;&gt;$B163),IF($B168&lt;&gt;$B153,G153/INDEX($C153:$AJ163,1,MATCH(IF('Data-solution'!$A$3="Maximize",MAX($C164:$AI164),MIN($C164:$AI164)),$C164:$AI164,0)),G153-INDEX($C153:$AJ163,1,MATCH(IF('Data-solution'!$A$3="Maximize",MAX($C164:$AI164),MIN($C164:$AI164)),$C164:$AI164,0))*INDEX(G153:$AJ163,MATCH(MIN($AK153:$AK163),$AK153:$AK163,0),1)/INDEX($C153:$AJ163,MATCH(MIN($AK153:$AK163),$AK153:$AK163,0),MATCH(IF('Data-solution'!$A$3="Maximize",MAX($C164:$AI164),MIN($C164:$AI164)),$C164:$AI164,0))),G153)</f>
        <v>0</v>
      </c>
      <c r="H168" s="1">
        <f>IF(OR($B168&lt;&gt;$B153,$B169&lt;&gt;$B154,$B170&lt;&gt;$B155,$B171&lt;&gt;$B156,$B172&lt;&gt;$B157,$B173&lt;&gt;$B158,$B174&lt;&gt;$B159,$B175&lt;&gt;$B160,$B176&lt;&gt;$B161,$B177&lt;&gt;$B162,$B178&lt;&gt;$B163),IF($B168&lt;&gt;$B153,H153/INDEX($C153:$AJ163,1,MATCH(IF('Data-solution'!$A$3="Maximize",MAX($C164:$AI164),MIN($C164:$AI164)),$C164:$AI164,0)),H153-INDEX($C153:$AJ163,1,MATCH(IF('Data-solution'!$A$3="Maximize",MAX($C164:$AI164),MIN($C164:$AI164)),$C164:$AI164,0))*INDEX(H153:$AJ163,MATCH(MIN($AK153:$AK163),$AK153:$AK163,0),1)/INDEX($C153:$AJ163,MATCH(MIN($AK153:$AK163),$AK153:$AK163,0),MATCH(IF('Data-solution'!$A$3="Maximize",MAX($C164:$AI164),MIN($C164:$AI164)),$C164:$AI164,0))),H153)</f>
        <v>0</v>
      </c>
      <c r="I168" s="1">
        <f>IF(OR($B168&lt;&gt;$B153,$B169&lt;&gt;$B154,$B170&lt;&gt;$B155,$B171&lt;&gt;$B156,$B172&lt;&gt;$B157,$B173&lt;&gt;$B158,$B174&lt;&gt;$B159,$B175&lt;&gt;$B160,$B176&lt;&gt;$B161,$B177&lt;&gt;$B162,$B178&lt;&gt;$B163),IF($B168&lt;&gt;$B153,I153/INDEX($C153:$AJ163,1,MATCH(IF('Data-solution'!$A$3="Maximize",MAX($C164:$AI164),MIN($C164:$AI164)),$C164:$AI164,0)),I153-INDEX($C153:$AJ163,1,MATCH(IF('Data-solution'!$A$3="Maximize",MAX($C164:$AI164),MIN($C164:$AI164)),$C164:$AI164,0))*INDEX(I153:$AJ163,MATCH(MIN($AK153:$AK163),$AK153:$AK163,0),1)/INDEX($C153:$AJ163,MATCH(MIN($AK153:$AK163),$AK153:$AK163,0),MATCH(IF('Data-solution'!$A$3="Maximize",MAX($C164:$AI164),MIN($C164:$AI164)),$C164:$AI164,0))),I153)</f>
        <v>0</v>
      </c>
      <c r="J168" s="1">
        <f>IF(OR($B168&lt;&gt;$B153,$B169&lt;&gt;$B154,$B170&lt;&gt;$B155,$B171&lt;&gt;$B156,$B172&lt;&gt;$B157,$B173&lt;&gt;$B158,$B174&lt;&gt;$B159,$B175&lt;&gt;$B160,$B176&lt;&gt;$B161,$B177&lt;&gt;$B162,$B178&lt;&gt;$B163),IF($B168&lt;&gt;$B153,J153/INDEX($C153:$AJ163,1,MATCH(IF('Data-solution'!$A$3="Maximize",MAX($C164:$AI164),MIN($C164:$AI164)),$C164:$AI164,0)),J153-INDEX($C153:$AJ163,1,MATCH(IF('Data-solution'!$A$3="Maximize",MAX($C164:$AI164),MIN($C164:$AI164)),$C164:$AI164,0))*INDEX(J153:$AJ163,MATCH(MIN($AK153:$AK163),$AK153:$AK163,0),1)/INDEX($C153:$AJ163,MATCH(MIN($AK153:$AK163),$AK153:$AK163,0),MATCH(IF('Data-solution'!$A$3="Maximize",MAX($C164:$AI164),MIN($C164:$AI164)),$C164:$AI164,0))),J153)</f>
        <v>0</v>
      </c>
      <c r="K168" s="1">
        <f>IF(OR($B168&lt;&gt;$B153,$B169&lt;&gt;$B154,$B170&lt;&gt;$B155,$B171&lt;&gt;$B156,$B172&lt;&gt;$B157,$B173&lt;&gt;$B158,$B174&lt;&gt;$B159,$B175&lt;&gt;$B160,$B176&lt;&gt;$B161,$B177&lt;&gt;$B162,$B178&lt;&gt;$B163),IF($B168&lt;&gt;$B153,K153/INDEX($C153:$AJ163,1,MATCH(IF('Data-solution'!$A$3="Maximize",MAX($C164:$AI164),MIN($C164:$AI164)),$C164:$AI164,0)),K153-INDEX($C153:$AJ163,1,MATCH(IF('Data-solution'!$A$3="Maximize",MAX($C164:$AI164),MIN($C164:$AI164)),$C164:$AI164,0))*INDEX(K153:$AJ163,MATCH(MIN($AK153:$AK163),$AK153:$AK163,0),1)/INDEX($C153:$AJ163,MATCH(MIN($AK153:$AK163),$AK153:$AK163,0),MATCH(IF('Data-solution'!$A$3="Maximize",MAX($C164:$AI164),MIN($C164:$AI164)),$C164:$AI164,0))),K153)</f>
        <v>0</v>
      </c>
      <c r="L168" s="1">
        <f>IF(OR($B168&lt;&gt;$B153,$B169&lt;&gt;$B154,$B170&lt;&gt;$B155,$B171&lt;&gt;$B156,$B172&lt;&gt;$B157,$B173&lt;&gt;$B158,$B174&lt;&gt;$B159,$B175&lt;&gt;$B160,$B176&lt;&gt;$B161,$B177&lt;&gt;$B162,$B178&lt;&gt;$B163),IF($B168&lt;&gt;$B153,L153/INDEX($C153:$AJ163,1,MATCH(IF('Data-solution'!$A$3="Maximize",MAX($C164:$AI164),MIN($C164:$AI164)),$C164:$AI164,0)),L153-INDEX($C153:$AJ163,1,MATCH(IF('Data-solution'!$A$3="Maximize",MAX($C164:$AI164),MIN($C164:$AI164)),$C164:$AI164,0))*INDEX(L153:$AJ163,MATCH(MIN($AK153:$AK163),$AK153:$AK163,0),1)/INDEX($C153:$AJ163,MATCH(MIN($AK153:$AK163),$AK153:$AK163,0),MATCH(IF('Data-solution'!$A$3="Maximize",MAX($C164:$AI164),MIN($C164:$AI164)),$C164:$AI164,0))),L153)</f>
        <v>0</v>
      </c>
      <c r="M168" s="1">
        <f>IF(OR($B168&lt;&gt;$B153,$B169&lt;&gt;$B154,$B170&lt;&gt;$B155,$B171&lt;&gt;$B156,$B172&lt;&gt;$B157,$B173&lt;&gt;$B158,$B174&lt;&gt;$B159,$B175&lt;&gt;$B160,$B176&lt;&gt;$B161,$B177&lt;&gt;$B162,$B178&lt;&gt;$B163),IF($B168&lt;&gt;$B153,M153/INDEX($C153:$AJ163,1,MATCH(IF('Data-solution'!$A$3="Maximize",MAX($C164:$AI164),MIN($C164:$AI164)),$C164:$AI164,0)),M153-INDEX($C153:$AJ163,1,MATCH(IF('Data-solution'!$A$3="Maximize",MAX($C164:$AI164),MIN($C164:$AI164)),$C164:$AI164,0))*INDEX(M153:$AJ163,MATCH(MIN($AK153:$AK163),$AK153:$AK163,0),1)/INDEX($C153:$AJ163,MATCH(MIN($AK153:$AK163),$AK153:$AK163,0),MATCH(IF('Data-solution'!$A$3="Maximize",MAX($C164:$AI164),MIN($C164:$AI164)),$C164:$AI164,0))),M153)</f>
        <v>0</v>
      </c>
      <c r="N168" s="1">
        <f>IF(OR($B168&lt;&gt;$B153,$B169&lt;&gt;$B154,$B170&lt;&gt;$B155,$B171&lt;&gt;$B156,$B172&lt;&gt;$B157,$B173&lt;&gt;$B158,$B174&lt;&gt;$B159,$B175&lt;&gt;$B160,$B176&lt;&gt;$B161,$B177&lt;&gt;$B162,$B178&lt;&gt;$B163),IF($B168&lt;&gt;$B153,N153/INDEX($C153:$AJ163,1,MATCH(IF('Data-solution'!$A$3="Maximize",MAX($C164:$AI164),MIN($C164:$AI164)),$C164:$AI164,0)),N153-INDEX($C153:$AJ163,1,MATCH(IF('Data-solution'!$A$3="Maximize",MAX($C164:$AI164),MIN($C164:$AI164)),$C164:$AI164,0))*INDEX(N153:$AJ163,MATCH(MIN($AK153:$AK163),$AK153:$AK163,0),1)/INDEX($C153:$AJ163,MATCH(MIN($AK153:$AK163),$AK153:$AK163,0),MATCH(IF('Data-solution'!$A$3="Maximize",MAX($C164:$AI164),MIN($C164:$AI164)),$C164:$AI164,0))),N153)</f>
        <v>1</v>
      </c>
      <c r="O168" s="1">
        <f>IF(OR($B168&lt;&gt;$B153,$B169&lt;&gt;$B154,$B170&lt;&gt;$B155,$B171&lt;&gt;$B156,$B172&lt;&gt;$B157,$B173&lt;&gt;$B158,$B174&lt;&gt;$B159,$B175&lt;&gt;$B160,$B176&lt;&gt;$B161,$B177&lt;&gt;$B162,$B178&lt;&gt;$B163),IF($B168&lt;&gt;$B153,O153/INDEX($C153:$AJ163,1,MATCH(IF('Data-solution'!$A$3="Maximize",MAX($C164:$AI164),MIN($C164:$AI164)),$C164:$AI164,0)),O153-INDEX($C153:$AJ163,1,MATCH(IF('Data-solution'!$A$3="Maximize",MAX($C164:$AI164),MIN($C164:$AI164)),$C164:$AI164,0))*INDEX(O153:$AJ163,MATCH(MIN($AK153:$AK163),$AK153:$AK163,0),1)/INDEX($C153:$AJ163,MATCH(MIN($AK153:$AK163),$AK153:$AK163,0),MATCH(IF('Data-solution'!$A$3="Maximize",MAX($C164:$AI164),MIN($C164:$AI164)),$C164:$AI164,0))),O153)</f>
        <v>0</v>
      </c>
      <c r="P168" s="1">
        <f>IF(OR($B168&lt;&gt;$B153,$B169&lt;&gt;$B154,$B170&lt;&gt;$B155,$B171&lt;&gt;$B156,$B172&lt;&gt;$B157,$B173&lt;&gt;$B158,$B174&lt;&gt;$B159,$B175&lt;&gt;$B160,$B176&lt;&gt;$B161,$B177&lt;&gt;$B162,$B178&lt;&gt;$B163),IF($B168&lt;&gt;$B153,P153/INDEX($C153:$AJ163,1,MATCH(IF('Data-solution'!$A$3="Maximize",MAX($C164:$AI164),MIN($C164:$AI164)),$C164:$AI164,0)),P153-INDEX($C153:$AJ163,1,MATCH(IF('Data-solution'!$A$3="Maximize",MAX($C164:$AI164),MIN($C164:$AI164)),$C164:$AI164,0))*INDEX(P153:$AJ163,MATCH(MIN($AK153:$AK163),$AK153:$AK163,0),1)/INDEX($C153:$AJ163,MATCH(MIN($AK153:$AK163),$AK153:$AK163,0),MATCH(IF('Data-solution'!$A$3="Maximize",MAX($C164:$AI164),MIN($C164:$AI164)),$C164:$AI164,0))),P153)</f>
        <v>0</v>
      </c>
      <c r="Q168" s="1">
        <f>IF(OR($B168&lt;&gt;$B153,$B169&lt;&gt;$B154,$B170&lt;&gt;$B155,$B171&lt;&gt;$B156,$B172&lt;&gt;$B157,$B173&lt;&gt;$B158,$B174&lt;&gt;$B159,$B175&lt;&gt;$B160,$B176&lt;&gt;$B161,$B177&lt;&gt;$B162,$B178&lt;&gt;$B163),IF($B168&lt;&gt;$B153,Q153/INDEX($C153:$AJ163,1,MATCH(IF('Data-solution'!$A$3="Maximize",MAX($C164:$AI164),MIN($C164:$AI164)),$C164:$AI164,0)),Q153-INDEX($C153:$AJ163,1,MATCH(IF('Data-solution'!$A$3="Maximize",MAX($C164:$AI164),MIN($C164:$AI164)),$C164:$AI164,0))*INDEX(Q153:$AJ163,MATCH(MIN($AK153:$AK163),$AK153:$AK163,0),1)/INDEX($C153:$AJ163,MATCH(MIN($AK153:$AK163),$AK153:$AK163,0),MATCH(IF('Data-solution'!$A$3="Maximize",MAX($C164:$AI164),MIN($C164:$AI164)),$C164:$AI164,0))),Q153)</f>
        <v>-1</v>
      </c>
      <c r="R168" s="1">
        <f>IF(OR($B168&lt;&gt;$B153,$B169&lt;&gt;$B154,$B170&lt;&gt;$B155,$B171&lt;&gt;$B156,$B172&lt;&gt;$B157,$B173&lt;&gt;$B158,$B174&lt;&gt;$B159,$B175&lt;&gt;$B160,$B176&lt;&gt;$B161,$B177&lt;&gt;$B162,$B178&lt;&gt;$B163),IF($B168&lt;&gt;$B153,R153/INDEX($C153:$AJ163,1,MATCH(IF('Data-solution'!$A$3="Maximize",MAX($C164:$AI164),MIN($C164:$AI164)),$C164:$AI164,0)),R153-INDEX($C153:$AJ163,1,MATCH(IF('Data-solution'!$A$3="Maximize",MAX($C164:$AI164),MIN($C164:$AI164)),$C164:$AI164,0))*INDEX(R153:$AJ163,MATCH(MIN($AK153:$AK163),$AK153:$AK163,0),1)/INDEX($C153:$AJ163,MATCH(MIN($AK153:$AK163),$AK153:$AK163,0),MATCH(IF('Data-solution'!$A$3="Maximize",MAX($C164:$AI164),MIN($C164:$AI164)),$C164:$AI164,0))),R153)</f>
        <v>0</v>
      </c>
      <c r="S168" s="1">
        <f>IF(OR($B168&lt;&gt;$B153,$B169&lt;&gt;$B154,$B170&lt;&gt;$B155,$B171&lt;&gt;$B156,$B172&lt;&gt;$B157,$B173&lt;&gt;$B158,$B174&lt;&gt;$B159,$B175&lt;&gt;$B160,$B176&lt;&gt;$B161,$B177&lt;&gt;$B162,$B178&lt;&gt;$B163),IF($B168&lt;&gt;$B153,S153/INDEX($C153:$AJ163,1,MATCH(IF('Data-solution'!$A$3="Maximize",MAX($C164:$AI164),MIN($C164:$AI164)),$C164:$AI164,0)),S153-INDEX($C153:$AJ163,1,MATCH(IF('Data-solution'!$A$3="Maximize",MAX($C164:$AI164),MIN($C164:$AI164)),$C164:$AI164,0))*INDEX(S153:$AJ163,MATCH(MIN($AK153:$AK163),$AK153:$AK163,0),1)/INDEX($C153:$AJ163,MATCH(MIN($AK153:$AK163),$AK153:$AK163,0),MATCH(IF('Data-solution'!$A$3="Maximize",MAX($C164:$AI164),MIN($C164:$AI164)),$C164:$AI164,0))),S153)</f>
        <v>0</v>
      </c>
      <c r="T168" s="1">
        <f>IF(OR($B168&lt;&gt;$B153,$B169&lt;&gt;$B154,$B170&lt;&gt;$B155,$B171&lt;&gt;$B156,$B172&lt;&gt;$B157,$B173&lt;&gt;$B158,$B174&lt;&gt;$B159,$B175&lt;&gt;$B160,$B176&lt;&gt;$B161,$B177&lt;&gt;$B162,$B178&lt;&gt;$B163),IF($B168&lt;&gt;$B153,T153/INDEX($C153:$AJ163,1,MATCH(IF('Data-solution'!$A$3="Maximize",MAX($C164:$AI164),MIN($C164:$AI164)),$C164:$AI164,0)),T153-INDEX($C153:$AJ163,1,MATCH(IF('Data-solution'!$A$3="Maximize",MAX($C164:$AI164),MIN($C164:$AI164)),$C164:$AI164,0))*INDEX(T153:$AJ163,MATCH(MIN($AK153:$AK163),$AK153:$AK163,0),1)/INDEX($C153:$AJ163,MATCH(MIN($AK153:$AK163),$AK153:$AK163,0),MATCH(IF('Data-solution'!$A$3="Maximize",MAX($C164:$AI164),MIN($C164:$AI164)),$C164:$AI164,0))),T153)</f>
        <v>0</v>
      </c>
      <c r="U168" s="1">
        <f>IF(OR($B168&lt;&gt;$B153,$B169&lt;&gt;$B154,$B170&lt;&gt;$B155,$B171&lt;&gt;$B156,$B172&lt;&gt;$B157,$B173&lt;&gt;$B158,$B174&lt;&gt;$B159,$B175&lt;&gt;$B160,$B176&lt;&gt;$B161,$B177&lt;&gt;$B162,$B178&lt;&gt;$B163),IF($B168&lt;&gt;$B153,U153/INDEX($C153:$AJ163,1,MATCH(IF('Data-solution'!$A$3="Maximize",MAX($C164:$AI164),MIN($C164:$AI164)),$C164:$AI164,0)),U153-INDEX($C153:$AJ163,1,MATCH(IF('Data-solution'!$A$3="Maximize",MAX($C164:$AI164),MIN($C164:$AI164)),$C164:$AI164,0))*INDEX(U153:$AJ163,MATCH(MIN($AK153:$AK163),$AK153:$AK163,0),1)/INDEX($C153:$AJ163,MATCH(MIN($AK153:$AK163),$AK153:$AK163,0),MATCH(IF('Data-solution'!$A$3="Maximize",MAX($C164:$AI164),MIN($C164:$AI164)),$C164:$AI164,0))),U153)</f>
        <v>0</v>
      </c>
      <c r="V168" s="1">
        <f>IF(OR($B168&lt;&gt;$B153,$B169&lt;&gt;$B154,$B170&lt;&gt;$B155,$B171&lt;&gt;$B156,$B172&lt;&gt;$B157,$B173&lt;&gt;$B158,$B174&lt;&gt;$B159,$B175&lt;&gt;$B160,$B176&lt;&gt;$B161,$B177&lt;&gt;$B162,$B178&lt;&gt;$B163),IF($B168&lt;&gt;$B153,V153/INDEX($C153:$AJ163,1,MATCH(IF('Data-solution'!$A$3="Maximize",MAX($C164:$AI164),MIN($C164:$AI164)),$C164:$AI164,0)),V153-INDEX($C153:$AJ163,1,MATCH(IF('Data-solution'!$A$3="Maximize",MAX($C164:$AI164),MIN($C164:$AI164)),$C164:$AI164,0))*INDEX(V153:$AJ163,MATCH(MIN($AK153:$AK163),$AK153:$AK163,0),1)/INDEX($C153:$AJ163,MATCH(MIN($AK153:$AK163),$AK153:$AK163,0),MATCH(IF('Data-solution'!$A$3="Maximize",MAX($C164:$AI164),MIN($C164:$AI164)),$C164:$AI164,0))),V153)</f>
        <v>0</v>
      </c>
      <c r="W168" s="1">
        <f>IF(OR($B168&lt;&gt;$B153,$B169&lt;&gt;$B154,$B170&lt;&gt;$B155,$B171&lt;&gt;$B156,$B172&lt;&gt;$B157,$B173&lt;&gt;$B158,$B174&lt;&gt;$B159,$B175&lt;&gt;$B160,$B176&lt;&gt;$B161,$B177&lt;&gt;$B162,$B178&lt;&gt;$B163),IF($B168&lt;&gt;$B153,W153/INDEX($C153:$AJ163,1,MATCH(IF('Data-solution'!$A$3="Maximize",MAX($C164:$AI164),MIN($C164:$AI164)),$C164:$AI164,0)),W153-INDEX($C153:$AJ163,1,MATCH(IF('Data-solution'!$A$3="Maximize",MAX($C164:$AI164),MIN($C164:$AI164)),$C164:$AI164,0))*INDEX(W153:$AJ163,MATCH(MIN($AK153:$AK163),$AK153:$AK163,0),1)/INDEX($C153:$AJ163,MATCH(MIN($AK153:$AK163),$AK153:$AK163,0),MATCH(IF('Data-solution'!$A$3="Maximize",MAX($C164:$AI164),MIN($C164:$AI164)),$C164:$AI164,0))),W153)</f>
        <v>0</v>
      </c>
      <c r="X168" s="1">
        <f>IF(OR($B168&lt;&gt;$B153,$B169&lt;&gt;$B154,$B170&lt;&gt;$B155,$B171&lt;&gt;$B156,$B172&lt;&gt;$B157,$B173&lt;&gt;$B158,$B174&lt;&gt;$B159,$B175&lt;&gt;$B160,$B176&lt;&gt;$B161,$B177&lt;&gt;$B162,$B178&lt;&gt;$B163),IF($B168&lt;&gt;$B153,X153/INDEX($C153:$AJ163,1,MATCH(IF('Data-solution'!$A$3="Maximize",MAX($C164:$AI164),MIN($C164:$AI164)),$C164:$AI164,0)),X153-INDEX($C153:$AJ163,1,MATCH(IF('Data-solution'!$A$3="Maximize",MAX($C164:$AI164),MIN($C164:$AI164)),$C164:$AI164,0))*INDEX(X153:$AJ163,MATCH(MIN($AK153:$AK163),$AK153:$AK163,0),1)/INDEX($C153:$AJ163,MATCH(MIN($AK153:$AK163),$AK153:$AK163,0),MATCH(IF('Data-solution'!$A$3="Maximize",MAX($C164:$AI164),MIN($C164:$AI164)),$C164:$AI164,0))),X153)</f>
        <v>0</v>
      </c>
      <c r="Y168" s="1">
        <f>IF(OR($B168&lt;&gt;$B153,$B169&lt;&gt;$B154,$B170&lt;&gt;$B155,$B171&lt;&gt;$B156,$B172&lt;&gt;$B157,$B173&lt;&gt;$B158,$B174&lt;&gt;$B159,$B175&lt;&gt;$B160,$B176&lt;&gt;$B161,$B177&lt;&gt;$B162,$B178&lt;&gt;$B163),IF($B168&lt;&gt;$B153,Y153/INDEX($C153:$AJ163,1,MATCH(IF('Data-solution'!$A$3="Maximize",MAX($C164:$AI164),MIN($C164:$AI164)),$C164:$AI164,0)),Y153-INDEX($C153:$AJ163,1,MATCH(IF('Data-solution'!$A$3="Maximize",MAX($C164:$AI164),MIN($C164:$AI164)),$C164:$AI164,0))*INDEX(Y153:$AJ163,MATCH(MIN($AK153:$AK163),$AK153:$AK163,0),1)/INDEX($C153:$AJ163,MATCH(MIN($AK153:$AK163),$AK153:$AK163,0),MATCH(IF('Data-solution'!$A$3="Maximize",MAX($C164:$AI164),MIN($C164:$AI164)),$C164:$AI164,0))),Y153)</f>
        <v>1</v>
      </c>
      <c r="Z168" s="1">
        <f>IF(OR($B168&lt;&gt;$B153,$B169&lt;&gt;$B154,$B170&lt;&gt;$B155,$B171&lt;&gt;$B156,$B172&lt;&gt;$B157,$B173&lt;&gt;$B158,$B174&lt;&gt;$B159,$B175&lt;&gt;$B160,$B176&lt;&gt;$B161,$B177&lt;&gt;$B162,$B178&lt;&gt;$B163),IF($B168&lt;&gt;$B153,Z153/INDEX($C153:$AJ163,1,MATCH(IF('Data-solution'!$A$3="Maximize",MAX($C164:$AI164),MIN($C164:$AI164)),$C164:$AI164,0)),Z153-INDEX($C153:$AJ163,1,MATCH(IF('Data-solution'!$A$3="Maximize",MAX($C164:$AI164),MIN($C164:$AI164)),$C164:$AI164,0))*INDEX(Z153:$AJ163,MATCH(MIN($AK153:$AK163),$AK153:$AK163,0),1)/INDEX($C153:$AJ163,MATCH(MIN($AK153:$AK163),$AK153:$AK163,0),MATCH(IF('Data-solution'!$A$3="Maximize",MAX($C164:$AI164),MIN($C164:$AI164)),$C164:$AI164,0))),Z153)</f>
        <v>0</v>
      </c>
      <c r="AA168" s="1">
        <f>IF(OR($B168&lt;&gt;$B153,$B169&lt;&gt;$B154,$B170&lt;&gt;$B155,$B171&lt;&gt;$B156,$B172&lt;&gt;$B157,$B173&lt;&gt;$B158,$B174&lt;&gt;$B159,$B175&lt;&gt;$B160,$B176&lt;&gt;$B161,$B177&lt;&gt;$B162,$B178&lt;&gt;$B163),IF($B168&lt;&gt;$B153,AA153/INDEX($C153:$AJ163,1,MATCH(IF('Data-solution'!$A$3="Maximize",MAX($C164:$AI164),MIN($C164:$AI164)),$C164:$AI164,0)),AA153-INDEX($C153:$AJ163,1,MATCH(IF('Data-solution'!$A$3="Maximize",MAX($C164:$AI164),MIN($C164:$AI164)),$C164:$AI164,0))*INDEX(AA153:$AJ163,MATCH(MIN($AK153:$AK163),$AK153:$AK163,0),1)/INDEX($C153:$AJ163,MATCH(MIN($AK153:$AK163),$AK153:$AK163,0),MATCH(IF('Data-solution'!$A$3="Maximize",MAX($C164:$AI164),MIN($C164:$AI164)),$C164:$AI164,0))),AA153)</f>
        <v>0</v>
      </c>
      <c r="AB168" s="1">
        <f>IF(OR($B168&lt;&gt;$B153,$B169&lt;&gt;$B154,$B170&lt;&gt;$B155,$B171&lt;&gt;$B156,$B172&lt;&gt;$B157,$B173&lt;&gt;$B158,$B174&lt;&gt;$B159,$B175&lt;&gt;$B160,$B176&lt;&gt;$B161,$B177&lt;&gt;$B162,$B178&lt;&gt;$B163),IF($B168&lt;&gt;$B153,AB153/INDEX($C153:$AJ163,1,MATCH(IF('Data-solution'!$A$3="Maximize",MAX($C164:$AI164),MIN($C164:$AI164)),$C164:$AI164,0)),AB153-INDEX($C153:$AJ163,1,MATCH(IF('Data-solution'!$A$3="Maximize",MAX($C164:$AI164),MIN($C164:$AI164)),$C164:$AI164,0))*INDEX(AB153:$AJ163,MATCH(MIN($AK153:$AK163),$AK153:$AK163,0),1)/INDEX($C153:$AJ163,MATCH(MIN($AK153:$AK163),$AK153:$AK163,0),MATCH(IF('Data-solution'!$A$3="Maximize",MAX($C164:$AI164),MIN($C164:$AI164)),$C164:$AI164,0))),AB153)</f>
        <v>-1</v>
      </c>
      <c r="AC168" s="1">
        <f>IF(OR($B168&lt;&gt;$B153,$B169&lt;&gt;$B154,$B170&lt;&gt;$B155,$B171&lt;&gt;$B156,$B172&lt;&gt;$B157,$B173&lt;&gt;$B158,$B174&lt;&gt;$B159,$B175&lt;&gt;$B160,$B176&lt;&gt;$B161,$B177&lt;&gt;$B162,$B178&lt;&gt;$B163),IF($B168&lt;&gt;$B153,AC153/INDEX($C153:$AJ163,1,MATCH(IF('Data-solution'!$A$3="Maximize",MAX($C164:$AI164),MIN($C164:$AI164)),$C164:$AI164,0)),AC153-INDEX($C153:$AJ163,1,MATCH(IF('Data-solution'!$A$3="Maximize",MAX($C164:$AI164),MIN($C164:$AI164)),$C164:$AI164,0))*INDEX(AC153:$AJ163,MATCH(MIN($AK153:$AK163),$AK153:$AK163,0),1)/INDEX($C153:$AJ163,MATCH(MIN($AK153:$AK163),$AK153:$AK163,0),MATCH(IF('Data-solution'!$A$3="Maximize",MAX($C164:$AI164),MIN($C164:$AI164)),$C164:$AI164,0))),AC153)</f>
        <v>0</v>
      </c>
      <c r="AD168" s="1">
        <f>IF(OR($B168&lt;&gt;$B153,$B169&lt;&gt;$B154,$B170&lt;&gt;$B155,$B171&lt;&gt;$B156,$B172&lt;&gt;$B157,$B173&lt;&gt;$B158,$B174&lt;&gt;$B159,$B175&lt;&gt;$B160,$B176&lt;&gt;$B161,$B177&lt;&gt;$B162,$B178&lt;&gt;$B163),IF($B168&lt;&gt;$B153,AD153/INDEX($C153:$AJ163,1,MATCH(IF('Data-solution'!$A$3="Maximize",MAX($C164:$AI164),MIN($C164:$AI164)),$C164:$AI164,0)),AD153-INDEX($C153:$AJ163,1,MATCH(IF('Data-solution'!$A$3="Maximize",MAX($C164:$AI164),MIN($C164:$AI164)),$C164:$AI164,0))*INDEX(AD153:$AJ163,MATCH(MIN($AK153:$AK163),$AK153:$AK163,0),1)/INDEX($C153:$AJ163,MATCH(MIN($AK153:$AK163),$AK153:$AK163,0),MATCH(IF('Data-solution'!$A$3="Maximize",MAX($C164:$AI164),MIN($C164:$AI164)),$C164:$AI164,0))),AD153)</f>
        <v>0</v>
      </c>
      <c r="AE168" s="1">
        <f>IF(OR($B168&lt;&gt;$B153,$B169&lt;&gt;$B154,$B170&lt;&gt;$B155,$B171&lt;&gt;$B156,$B172&lt;&gt;$B157,$B173&lt;&gt;$B158,$B174&lt;&gt;$B159,$B175&lt;&gt;$B160,$B176&lt;&gt;$B161,$B177&lt;&gt;$B162,$B178&lt;&gt;$B163),IF($B168&lt;&gt;$B153,AE153/INDEX($C153:$AJ163,1,MATCH(IF('Data-solution'!$A$3="Maximize",MAX($C164:$AI164),MIN($C164:$AI164)),$C164:$AI164,0)),AE153-INDEX($C153:$AJ163,1,MATCH(IF('Data-solution'!$A$3="Maximize",MAX($C164:$AI164),MIN($C164:$AI164)),$C164:$AI164,0))*INDEX(AE153:$AJ163,MATCH(MIN($AK153:$AK163),$AK153:$AK163,0),1)/INDEX($C153:$AJ163,MATCH(MIN($AK153:$AK163),$AK153:$AK163,0),MATCH(IF('Data-solution'!$A$3="Maximize",MAX($C164:$AI164),MIN($C164:$AI164)),$C164:$AI164,0))),AE153)</f>
        <v>0</v>
      </c>
      <c r="AF168" s="1">
        <f>IF(OR($B168&lt;&gt;$B153,$B169&lt;&gt;$B154,$B170&lt;&gt;$B155,$B171&lt;&gt;$B156,$B172&lt;&gt;$B157,$B173&lt;&gt;$B158,$B174&lt;&gt;$B159,$B175&lt;&gt;$B160,$B176&lt;&gt;$B161,$B177&lt;&gt;$B162,$B178&lt;&gt;$B163),IF($B168&lt;&gt;$B153,AF153/INDEX($C153:$AJ163,1,MATCH(IF('Data-solution'!$A$3="Maximize",MAX($C164:$AI164),MIN($C164:$AI164)),$C164:$AI164,0)),AF153-INDEX($C153:$AJ163,1,MATCH(IF('Data-solution'!$A$3="Maximize",MAX($C164:$AI164),MIN($C164:$AI164)),$C164:$AI164,0))*INDEX(AF153:$AJ163,MATCH(MIN($AK153:$AK163),$AK153:$AK163,0),1)/INDEX($C153:$AJ163,MATCH(MIN($AK153:$AK163),$AK153:$AK163,0),MATCH(IF('Data-solution'!$A$3="Maximize",MAX($C164:$AI164),MIN($C164:$AI164)),$C164:$AI164,0))),AF153)</f>
        <v>0</v>
      </c>
      <c r="AG168" s="1">
        <f>IF(OR($B168&lt;&gt;$B153,$B169&lt;&gt;$B154,$B170&lt;&gt;$B155,$B171&lt;&gt;$B156,$B172&lt;&gt;$B157,$B173&lt;&gt;$B158,$B174&lt;&gt;$B159,$B175&lt;&gt;$B160,$B176&lt;&gt;$B161,$B177&lt;&gt;$B162,$B178&lt;&gt;$B163),IF($B168&lt;&gt;$B153,AG153/INDEX($C153:$AJ163,1,MATCH(IF('Data-solution'!$A$3="Maximize",MAX($C164:$AI164),MIN($C164:$AI164)),$C164:$AI164,0)),AG153-INDEX($C153:$AJ163,1,MATCH(IF('Data-solution'!$A$3="Maximize",MAX($C164:$AI164),MIN($C164:$AI164)),$C164:$AI164,0))*INDEX(AG153:$AJ163,MATCH(MIN($AK153:$AK163),$AK153:$AK163,0),1)/INDEX($C153:$AJ163,MATCH(MIN($AK153:$AK163),$AK153:$AK163,0),MATCH(IF('Data-solution'!$A$3="Maximize",MAX($C164:$AI164),MIN($C164:$AI164)),$C164:$AI164,0))),AG153)</f>
        <v>0</v>
      </c>
      <c r="AH168" s="1">
        <f>IF(OR($B168&lt;&gt;$B153,$B169&lt;&gt;$B154,$B170&lt;&gt;$B155,$B171&lt;&gt;$B156,$B172&lt;&gt;$B157,$B173&lt;&gt;$B158,$B174&lt;&gt;$B159,$B175&lt;&gt;$B160,$B176&lt;&gt;$B161,$B177&lt;&gt;$B162,$B178&lt;&gt;$B163),IF($B168&lt;&gt;$B153,AH153/INDEX($C153:$AJ163,1,MATCH(IF('Data-solution'!$A$3="Maximize",MAX($C164:$AI164),MIN($C164:$AI164)),$C164:$AI164,0)),AH153-INDEX($C153:$AJ163,1,MATCH(IF('Data-solution'!$A$3="Maximize",MAX($C164:$AI164),MIN($C164:$AI164)),$C164:$AI164,0))*INDEX(AH153:$AJ163,MATCH(MIN($AK153:$AK163),$AK153:$AK163,0),1)/INDEX($C153:$AJ163,MATCH(MIN($AK153:$AK163),$AK153:$AK163,0),MATCH(IF('Data-solution'!$A$3="Maximize",MAX($C164:$AI164),MIN($C164:$AI164)),$C164:$AI164,0))),AH153)</f>
        <v>0</v>
      </c>
      <c r="AI168" s="1">
        <f>IF(OR($B168&lt;&gt;$B153,$B169&lt;&gt;$B154,$B170&lt;&gt;$B155,$B171&lt;&gt;$B156,$B172&lt;&gt;$B157,$B173&lt;&gt;$B158,$B174&lt;&gt;$B159,$B175&lt;&gt;$B160,$B176&lt;&gt;$B161,$B177&lt;&gt;$B162,$B178&lt;&gt;$B163),IF($B168&lt;&gt;$B153,AI153/INDEX($C153:$AJ163,1,MATCH(IF('Data-solution'!$A$3="Maximize",MAX($C164:$AI164),MIN($C164:$AI164)),$C164:$AI164,0)),AI153-INDEX($C153:$AJ163,1,MATCH(IF('Data-solution'!$A$3="Maximize",MAX($C164:$AI164),MIN($C164:$AI164)),$C164:$AI164,0))*INDEX(AI153:$AJ163,MATCH(MIN($AK153:$AK163),$AK153:$AK163,0),1)/INDEX($C153:$AJ163,MATCH(MIN($AK153:$AK163),$AK153:$AK163,0),MATCH(IF('Data-solution'!$A$3="Maximize",MAX($C164:$AI164),MIN($C164:$AI164)),$C164:$AI164,0))),AI153)</f>
        <v>0</v>
      </c>
      <c r="AJ168" s="1">
        <f>IF(OR($B168&lt;&gt;$B153,$B169&lt;&gt;$B154,$B170&lt;&gt;$B155,$B171&lt;&gt;$B156,$B172&lt;&gt;$B157,$B173&lt;&gt;$B158,$B174&lt;&gt;$B159,$B175&lt;&gt;$B160,$B176&lt;&gt;$B161,$B177&lt;&gt;$B162,$B178&lt;&gt;$B163),IF($B168&lt;&gt;$B153,AJ153/INDEX($C153:$AJ163,1,MATCH(IF('Data-solution'!$A$3="Maximize",MAX($C164:$AI164),MIN($C164:$AI164)),$C164:$AI164,0)),AJ153-INDEX($C153:$AJ163,1,MATCH(IF('Data-solution'!$A$3="Maximize",MAX($C164:$AI164),MIN($C164:$AI164)),$C164:$AI164,0))*INDEX(AJ153:$AJ163,MATCH(MIN($AK153:$AK163),$AK153:$AK163,0),1)/INDEX($C153:$AJ163,MATCH(MIN($AK153:$AK163),$AK153:$AK163,0),MATCH(IF('Data-solution'!$A$3="Maximize",MAX($C164:$AI164),MIN($C164:$AI164)),$C164:$AI164,0))),AJ153)</f>
        <v>150</v>
      </c>
      <c r="AK168" s="1" t="str">
        <f>IF(INDEX(C168:X168,1,MATCH(IF('Data-solution'!A$3="Maximize",MAX(C179:X179),MIN(C179:X179)),C179:X179,0))&gt;0,AJ168/INDEX(C168:X168,1,MATCH(IF('Data-solution'!A$3="Maximize",MAX(C179:X179),MIN(C179:X179)),C179:X179,0))," ")</f>
        <v xml:space="preserve"> </v>
      </c>
    </row>
    <row r="169" spans="1:37" ht="18" customHeight="1" x14ac:dyDescent="0.2">
      <c r="A169" s="1">
        <f t="shared" ref="A169" si="139">INDEX(C166:AI166,1,MATCH(B169,C167:AI167,0))</f>
        <v>0</v>
      </c>
      <c r="B169" s="2" t="str">
        <f>IF(AND('Data-solution'!A$3="Maximize",COUNTIF(C164:X164,"&gt;"&amp;0)&gt;0,AK154=MIN(AK153:AK163),COUNTIF(B168,INDEX(C152:X152,1,MATCH(MAX(C164:X164),C164:X164,0)))=0),INDEX(C152:X152,1,MATCH(MAX(C164:X164),C164:X164,0)),IF(AND('Data-solution'!A$3="Minimize",COUNTIF(C164:X164,"&lt;"&amp;0)&gt;0,AK154=MIN(AK153:AK163),COUNTIF(B168,INDEX(C152:X152,1,MATCH(MIN(C164:X164),C164:X164,0)))=0),INDEX(C152:X152,1,MATCH(MIN(C164:X164),C164:X164,0)),B154))</f>
        <v>S2</v>
      </c>
      <c r="C169" s="1">
        <f>IF(OR($B168&lt;&gt;$B153,$B169&lt;&gt;$B154,$B170&lt;&gt;$B155,$B171&lt;&gt;$B156,$B172&lt;&gt;$B157,$B173&lt;&gt;$B158,$B174&lt;&gt;$B159,$B175&lt;&gt;$B160,$B176&lt;&gt;$B161,$B177&lt;&gt;$B162,$B178&lt;&gt;$B163),IF($B169&lt;&gt;$B154,C154/INDEX($C153:$AJ163,2,MATCH(IF('Data-solution'!$A$3="Maximize",MAX($C164:$AI164),MIN($C164:$AI164)),$C164:$AI164,0)),C154-INDEX($C153:$AJ163,2,MATCH(IF('Data-solution'!$A$3="Maximize",MAX($C164:$AI164),MIN($C164:$AI164)),$C164:$AI164,0))*INDEX(C153:$AJ163,MATCH(MIN($AK153:$AK163),$AK153:$AK163,0),1)/INDEX($C153:$AJ163,MATCH(MIN($AK153:$AK163),$AK153:$AK163,0),MATCH(IF('Data-solution'!$A$3="Maximize",MAX($C164:$AI164),MIN($C164:$AI164)),$C164:$AI164,0))),C154)</f>
        <v>0</v>
      </c>
      <c r="D169" s="1">
        <f>IF(OR($B168&lt;&gt;$B153,$B169&lt;&gt;$B154,$B170&lt;&gt;$B155,$B171&lt;&gt;$B156,$B172&lt;&gt;$B157,$B173&lt;&gt;$B158,$B174&lt;&gt;$B159,$B175&lt;&gt;$B160,$B176&lt;&gt;$B161,$B177&lt;&gt;$B162,$B178&lt;&gt;$B163),IF($B169&lt;&gt;$B154,D154/INDEX($C153:$AJ163,2,MATCH(IF('Data-solution'!$A$3="Maximize",MAX($C164:$AI164),MIN($C164:$AI164)),$C164:$AI164,0)),D154-INDEX($C153:$AJ163,2,MATCH(IF('Data-solution'!$A$3="Maximize",MAX($C164:$AI164),MIN($C164:$AI164)),$C164:$AI164,0))*INDEX(D153:$AJ163,MATCH(MIN($AK153:$AK163),$AK153:$AK163,0),1)/INDEX($C153:$AJ163,MATCH(MIN($AK153:$AK163),$AK153:$AK163,0),MATCH(IF('Data-solution'!$A$3="Maximize",MAX($C164:$AI164),MIN($C164:$AI164)),$C164:$AI164,0))),D154)</f>
        <v>1.75</v>
      </c>
      <c r="E169" s="1">
        <f>IF(OR($B168&lt;&gt;$B153,$B169&lt;&gt;$B154,$B170&lt;&gt;$B155,$B171&lt;&gt;$B156,$B172&lt;&gt;$B157,$B173&lt;&gt;$B158,$B174&lt;&gt;$B159,$B175&lt;&gt;$B160,$B176&lt;&gt;$B161,$B177&lt;&gt;$B162,$B178&lt;&gt;$B163),IF($B169&lt;&gt;$B154,E154/INDEX($C153:$AJ163,2,MATCH(IF('Data-solution'!$A$3="Maximize",MAX($C164:$AI164),MIN($C164:$AI164)),$C164:$AI164,0)),E154-INDEX($C153:$AJ163,2,MATCH(IF('Data-solution'!$A$3="Maximize",MAX($C164:$AI164),MIN($C164:$AI164)),$C164:$AI164,0))*INDEX(E153:$AJ163,MATCH(MIN($AK153:$AK163),$AK153:$AK163,0),1)/INDEX($C153:$AJ163,MATCH(MIN($AK153:$AK163),$AK153:$AK163,0),MATCH(IF('Data-solution'!$A$3="Maximize",MAX($C164:$AI164),MIN($C164:$AI164)),$C164:$AI164,0))),E154)</f>
        <v>0</v>
      </c>
      <c r="F169" s="1">
        <f>IF(OR($B168&lt;&gt;$B153,$B169&lt;&gt;$B154,$B170&lt;&gt;$B155,$B171&lt;&gt;$B156,$B172&lt;&gt;$B157,$B173&lt;&gt;$B158,$B174&lt;&gt;$B159,$B175&lt;&gt;$B160,$B176&lt;&gt;$B161,$B177&lt;&gt;$B162,$B178&lt;&gt;$B163),IF($B169&lt;&gt;$B154,F154/INDEX($C153:$AJ163,2,MATCH(IF('Data-solution'!$A$3="Maximize",MAX($C164:$AI164),MIN($C164:$AI164)),$C164:$AI164,0)),F154-INDEX($C153:$AJ163,2,MATCH(IF('Data-solution'!$A$3="Maximize",MAX($C164:$AI164),MIN($C164:$AI164)),$C164:$AI164,0))*INDEX(F153:$AJ163,MATCH(MIN($AK153:$AK163),$AK153:$AK163,0),1)/INDEX($C153:$AJ163,MATCH(MIN($AK153:$AK163),$AK153:$AK163,0),MATCH(IF('Data-solution'!$A$3="Maximize",MAX($C164:$AI164),MIN($C164:$AI164)),$C164:$AI164,0))),F154)</f>
        <v>0</v>
      </c>
      <c r="G169" s="1">
        <f>IF(OR($B168&lt;&gt;$B153,$B169&lt;&gt;$B154,$B170&lt;&gt;$B155,$B171&lt;&gt;$B156,$B172&lt;&gt;$B157,$B173&lt;&gt;$B158,$B174&lt;&gt;$B159,$B175&lt;&gt;$B160,$B176&lt;&gt;$B161,$B177&lt;&gt;$B162,$B178&lt;&gt;$B163),IF($B169&lt;&gt;$B154,G154/INDEX($C153:$AJ163,2,MATCH(IF('Data-solution'!$A$3="Maximize",MAX($C164:$AI164),MIN($C164:$AI164)),$C164:$AI164,0)),G154-INDEX($C153:$AJ163,2,MATCH(IF('Data-solution'!$A$3="Maximize",MAX($C164:$AI164),MIN($C164:$AI164)),$C164:$AI164,0))*INDEX(G153:$AJ163,MATCH(MIN($AK153:$AK163),$AK153:$AK163,0),1)/INDEX($C153:$AJ163,MATCH(MIN($AK153:$AK163),$AK153:$AK163,0),MATCH(IF('Data-solution'!$A$3="Maximize",MAX($C164:$AI164),MIN($C164:$AI164)),$C164:$AI164,0))),G154)</f>
        <v>0</v>
      </c>
      <c r="H169" s="1">
        <f>IF(OR($B168&lt;&gt;$B153,$B169&lt;&gt;$B154,$B170&lt;&gt;$B155,$B171&lt;&gt;$B156,$B172&lt;&gt;$B157,$B173&lt;&gt;$B158,$B174&lt;&gt;$B159,$B175&lt;&gt;$B160,$B176&lt;&gt;$B161,$B177&lt;&gt;$B162,$B178&lt;&gt;$B163),IF($B169&lt;&gt;$B154,H154/INDEX($C153:$AJ163,2,MATCH(IF('Data-solution'!$A$3="Maximize",MAX($C164:$AI164),MIN($C164:$AI164)),$C164:$AI164,0)),H154-INDEX($C153:$AJ163,2,MATCH(IF('Data-solution'!$A$3="Maximize",MAX($C164:$AI164),MIN($C164:$AI164)),$C164:$AI164,0))*INDEX(H153:$AJ163,MATCH(MIN($AK153:$AK163),$AK153:$AK163,0),1)/INDEX($C153:$AJ163,MATCH(MIN($AK153:$AK163),$AK153:$AK163,0),MATCH(IF('Data-solution'!$A$3="Maximize",MAX($C164:$AI164),MIN($C164:$AI164)),$C164:$AI164,0))),H154)</f>
        <v>0</v>
      </c>
      <c r="I169" s="1">
        <f>IF(OR($B168&lt;&gt;$B153,$B169&lt;&gt;$B154,$B170&lt;&gt;$B155,$B171&lt;&gt;$B156,$B172&lt;&gt;$B157,$B173&lt;&gt;$B158,$B174&lt;&gt;$B159,$B175&lt;&gt;$B160,$B176&lt;&gt;$B161,$B177&lt;&gt;$B162,$B178&lt;&gt;$B163),IF($B169&lt;&gt;$B154,I154/INDEX($C153:$AJ163,2,MATCH(IF('Data-solution'!$A$3="Maximize",MAX($C164:$AI164),MIN($C164:$AI164)),$C164:$AI164,0)),I154-INDEX($C153:$AJ163,2,MATCH(IF('Data-solution'!$A$3="Maximize",MAX($C164:$AI164),MIN($C164:$AI164)),$C164:$AI164,0))*INDEX(I153:$AJ163,MATCH(MIN($AK153:$AK163),$AK153:$AK163,0),1)/INDEX($C153:$AJ163,MATCH(MIN($AK153:$AK163),$AK153:$AK163,0),MATCH(IF('Data-solution'!$A$3="Maximize",MAX($C164:$AI164),MIN($C164:$AI164)),$C164:$AI164,0))),I154)</f>
        <v>0</v>
      </c>
      <c r="J169" s="1">
        <f>IF(OR($B168&lt;&gt;$B153,$B169&lt;&gt;$B154,$B170&lt;&gt;$B155,$B171&lt;&gt;$B156,$B172&lt;&gt;$B157,$B173&lt;&gt;$B158,$B174&lt;&gt;$B159,$B175&lt;&gt;$B160,$B176&lt;&gt;$B161,$B177&lt;&gt;$B162,$B178&lt;&gt;$B163),IF($B169&lt;&gt;$B154,J154/INDEX($C153:$AJ163,2,MATCH(IF('Data-solution'!$A$3="Maximize",MAX($C164:$AI164),MIN($C164:$AI164)),$C164:$AI164,0)),J154-INDEX($C153:$AJ163,2,MATCH(IF('Data-solution'!$A$3="Maximize",MAX($C164:$AI164),MIN($C164:$AI164)),$C164:$AI164,0))*INDEX(J153:$AJ163,MATCH(MIN($AK153:$AK163),$AK153:$AK163,0),1)/INDEX($C153:$AJ163,MATCH(MIN($AK153:$AK163),$AK153:$AK163,0),MATCH(IF('Data-solution'!$A$3="Maximize",MAX($C164:$AI164),MIN($C164:$AI164)),$C164:$AI164,0))),J154)</f>
        <v>0</v>
      </c>
      <c r="K169" s="1">
        <f>IF(OR($B168&lt;&gt;$B153,$B169&lt;&gt;$B154,$B170&lt;&gt;$B155,$B171&lt;&gt;$B156,$B172&lt;&gt;$B157,$B173&lt;&gt;$B158,$B174&lt;&gt;$B159,$B175&lt;&gt;$B160,$B176&lt;&gt;$B161,$B177&lt;&gt;$B162,$B178&lt;&gt;$B163),IF($B169&lt;&gt;$B154,K154/INDEX($C153:$AJ163,2,MATCH(IF('Data-solution'!$A$3="Maximize",MAX($C164:$AI164),MIN($C164:$AI164)),$C164:$AI164,0)),K154-INDEX($C153:$AJ163,2,MATCH(IF('Data-solution'!$A$3="Maximize",MAX($C164:$AI164),MIN($C164:$AI164)),$C164:$AI164,0))*INDEX(K153:$AJ163,MATCH(MIN($AK153:$AK163),$AK153:$AK163,0),1)/INDEX($C153:$AJ163,MATCH(MIN($AK153:$AK163),$AK153:$AK163,0),MATCH(IF('Data-solution'!$A$3="Maximize",MAX($C164:$AI164),MIN($C164:$AI164)),$C164:$AI164,0))),K154)</f>
        <v>0</v>
      </c>
      <c r="L169" s="1">
        <f>IF(OR($B168&lt;&gt;$B153,$B169&lt;&gt;$B154,$B170&lt;&gt;$B155,$B171&lt;&gt;$B156,$B172&lt;&gt;$B157,$B173&lt;&gt;$B158,$B174&lt;&gt;$B159,$B175&lt;&gt;$B160,$B176&lt;&gt;$B161,$B177&lt;&gt;$B162,$B178&lt;&gt;$B163),IF($B169&lt;&gt;$B154,L154/INDEX($C153:$AJ163,2,MATCH(IF('Data-solution'!$A$3="Maximize",MAX($C164:$AI164),MIN($C164:$AI164)),$C164:$AI164,0)),L154-INDEX($C153:$AJ163,2,MATCH(IF('Data-solution'!$A$3="Maximize",MAX($C164:$AI164),MIN($C164:$AI164)),$C164:$AI164,0))*INDEX(L153:$AJ163,MATCH(MIN($AK153:$AK163),$AK153:$AK163,0),1)/INDEX($C153:$AJ163,MATCH(MIN($AK153:$AK163),$AK153:$AK163,0),MATCH(IF('Data-solution'!$A$3="Maximize",MAX($C164:$AI164),MIN($C164:$AI164)),$C164:$AI164,0))),L154)</f>
        <v>0</v>
      </c>
      <c r="M169" s="1">
        <f>IF(OR($B168&lt;&gt;$B153,$B169&lt;&gt;$B154,$B170&lt;&gt;$B155,$B171&lt;&gt;$B156,$B172&lt;&gt;$B157,$B173&lt;&gt;$B158,$B174&lt;&gt;$B159,$B175&lt;&gt;$B160,$B176&lt;&gt;$B161,$B177&lt;&gt;$B162,$B178&lt;&gt;$B163),IF($B169&lt;&gt;$B154,M154/INDEX($C153:$AJ163,2,MATCH(IF('Data-solution'!$A$3="Maximize",MAX($C164:$AI164),MIN($C164:$AI164)),$C164:$AI164,0)),M154-INDEX($C153:$AJ163,2,MATCH(IF('Data-solution'!$A$3="Maximize",MAX($C164:$AI164),MIN($C164:$AI164)),$C164:$AI164,0))*INDEX(M153:$AJ163,MATCH(MIN($AK153:$AK163),$AK153:$AK163,0),1)/INDEX($C153:$AJ163,MATCH(MIN($AK153:$AK163),$AK153:$AK163,0),MATCH(IF('Data-solution'!$A$3="Maximize",MAX($C164:$AI164),MIN($C164:$AI164)),$C164:$AI164,0))),M154)</f>
        <v>0</v>
      </c>
      <c r="N169" s="1">
        <f>IF(OR($B168&lt;&gt;$B153,$B169&lt;&gt;$B154,$B170&lt;&gt;$B155,$B171&lt;&gt;$B156,$B172&lt;&gt;$B157,$B173&lt;&gt;$B158,$B174&lt;&gt;$B159,$B175&lt;&gt;$B160,$B176&lt;&gt;$B161,$B177&lt;&gt;$B162,$B178&lt;&gt;$B163),IF($B169&lt;&gt;$B154,N154/INDEX($C153:$AJ163,2,MATCH(IF('Data-solution'!$A$3="Maximize",MAX($C164:$AI164),MIN($C164:$AI164)),$C164:$AI164,0)),N154-INDEX($C153:$AJ163,2,MATCH(IF('Data-solution'!$A$3="Maximize",MAX($C164:$AI164),MIN($C164:$AI164)),$C164:$AI164,0))*INDEX(N153:$AJ163,MATCH(MIN($AK153:$AK163),$AK153:$AK163,0),1)/INDEX($C153:$AJ163,MATCH(MIN($AK153:$AK163),$AK153:$AK163,0),MATCH(IF('Data-solution'!$A$3="Maximize",MAX($C164:$AI164),MIN($C164:$AI164)),$C164:$AI164,0))),N154)</f>
        <v>0</v>
      </c>
      <c r="O169" s="1">
        <f>IF(OR($B168&lt;&gt;$B153,$B169&lt;&gt;$B154,$B170&lt;&gt;$B155,$B171&lt;&gt;$B156,$B172&lt;&gt;$B157,$B173&lt;&gt;$B158,$B174&lt;&gt;$B159,$B175&lt;&gt;$B160,$B176&lt;&gt;$B161,$B177&lt;&gt;$B162,$B178&lt;&gt;$B163),IF($B169&lt;&gt;$B154,O154/INDEX($C153:$AJ163,2,MATCH(IF('Data-solution'!$A$3="Maximize",MAX($C164:$AI164),MIN($C164:$AI164)),$C164:$AI164,0)),O154-INDEX($C153:$AJ163,2,MATCH(IF('Data-solution'!$A$3="Maximize",MAX($C164:$AI164),MIN($C164:$AI164)),$C164:$AI164,0))*INDEX(O153:$AJ163,MATCH(MIN($AK153:$AK163),$AK153:$AK163,0),1)/INDEX($C153:$AJ163,MATCH(MIN($AK153:$AK163),$AK153:$AK163,0),MATCH(IF('Data-solution'!$A$3="Maximize",MAX($C164:$AI164),MIN($C164:$AI164)),$C164:$AI164,0))),O154)</f>
        <v>1</v>
      </c>
      <c r="P169" s="1">
        <f>IF(OR($B168&lt;&gt;$B153,$B169&lt;&gt;$B154,$B170&lt;&gt;$B155,$B171&lt;&gt;$B156,$B172&lt;&gt;$B157,$B173&lt;&gt;$B158,$B174&lt;&gt;$B159,$B175&lt;&gt;$B160,$B176&lt;&gt;$B161,$B177&lt;&gt;$B162,$B178&lt;&gt;$B163),IF($B169&lt;&gt;$B154,P154/INDEX($C153:$AJ163,2,MATCH(IF('Data-solution'!$A$3="Maximize",MAX($C164:$AI164),MIN($C164:$AI164)),$C164:$AI164,0)),P154-INDEX($C153:$AJ163,2,MATCH(IF('Data-solution'!$A$3="Maximize",MAX($C164:$AI164),MIN($C164:$AI164)),$C164:$AI164,0))*INDEX(P153:$AJ163,MATCH(MIN($AK153:$AK163),$AK153:$AK163,0),1)/INDEX($C153:$AJ163,MATCH(MIN($AK153:$AK163),$AK153:$AK163,0),MATCH(IF('Data-solution'!$A$3="Maximize",MAX($C164:$AI164),MIN($C164:$AI164)),$C164:$AI164,0))),P154)</f>
        <v>-0.25</v>
      </c>
      <c r="Q169" s="1">
        <f>IF(OR($B168&lt;&gt;$B153,$B169&lt;&gt;$B154,$B170&lt;&gt;$B155,$B171&lt;&gt;$B156,$B172&lt;&gt;$B157,$B173&lt;&gt;$B158,$B174&lt;&gt;$B159,$B175&lt;&gt;$B160,$B176&lt;&gt;$B161,$B177&lt;&gt;$B162,$B178&lt;&gt;$B163),IF($B169&lt;&gt;$B154,Q154/INDEX($C153:$AJ163,2,MATCH(IF('Data-solution'!$A$3="Maximize",MAX($C164:$AI164),MIN($C164:$AI164)),$C164:$AI164,0)),Q154-INDEX($C153:$AJ163,2,MATCH(IF('Data-solution'!$A$3="Maximize",MAX($C164:$AI164),MIN($C164:$AI164)),$C164:$AI164,0))*INDEX(Q153:$AJ163,MATCH(MIN($AK153:$AK163),$AK153:$AK163,0),1)/INDEX($C153:$AJ163,MATCH(MIN($AK153:$AK163),$AK153:$AK163,0),MATCH(IF('Data-solution'!$A$3="Maximize",MAX($C164:$AI164),MIN($C164:$AI164)),$C164:$AI164,0))),Q154)</f>
        <v>-0.5</v>
      </c>
      <c r="R169" s="1">
        <f>IF(OR($B168&lt;&gt;$B153,$B169&lt;&gt;$B154,$B170&lt;&gt;$B155,$B171&lt;&gt;$B156,$B172&lt;&gt;$B157,$B173&lt;&gt;$B158,$B174&lt;&gt;$B159,$B175&lt;&gt;$B160,$B176&lt;&gt;$B161,$B177&lt;&gt;$B162,$B178&lt;&gt;$B163),IF($B169&lt;&gt;$B154,R154/INDEX($C153:$AJ163,2,MATCH(IF('Data-solution'!$A$3="Maximize",MAX($C164:$AI164),MIN($C164:$AI164)),$C164:$AI164,0)),R154-INDEX($C153:$AJ163,2,MATCH(IF('Data-solution'!$A$3="Maximize",MAX($C164:$AI164),MIN($C164:$AI164)),$C164:$AI164,0))*INDEX(R153:$AJ163,MATCH(MIN($AK153:$AK163),$AK153:$AK163,0),1)/INDEX($C153:$AJ163,MATCH(MIN($AK153:$AK163),$AK153:$AK163,0),MATCH(IF('Data-solution'!$A$3="Maximize",MAX($C164:$AI164),MIN($C164:$AI164)),$C164:$AI164,0))),R154)</f>
        <v>0</v>
      </c>
      <c r="S169" s="1">
        <f>IF(OR($B168&lt;&gt;$B153,$B169&lt;&gt;$B154,$B170&lt;&gt;$B155,$B171&lt;&gt;$B156,$B172&lt;&gt;$B157,$B173&lt;&gt;$B158,$B174&lt;&gt;$B159,$B175&lt;&gt;$B160,$B176&lt;&gt;$B161,$B177&lt;&gt;$B162,$B178&lt;&gt;$B163),IF($B169&lt;&gt;$B154,S154/INDEX($C153:$AJ163,2,MATCH(IF('Data-solution'!$A$3="Maximize",MAX($C164:$AI164),MIN($C164:$AI164)),$C164:$AI164,0)),S154-INDEX($C153:$AJ163,2,MATCH(IF('Data-solution'!$A$3="Maximize",MAX($C164:$AI164),MIN($C164:$AI164)),$C164:$AI164,0))*INDEX(S153:$AJ163,MATCH(MIN($AK153:$AK163),$AK153:$AK163,0),1)/INDEX($C153:$AJ163,MATCH(MIN($AK153:$AK163),$AK153:$AK163,0),MATCH(IF('Data-solution'!$A$3="Maximize",MAX($C164:$AI164),MIN($C164:$AI164)),$C164:$AI164,0))),S154)</f>
        <v>0</v>
      </c>
      <c r="T169" s="1">
        <f>IF(OR($B168&lt;&gt;$B153,$B169&lt;&gt;$B154,$B170&lt;&gt;$B155,$B171&lt;&gt;$B156,$B172&lt;&gt;$B157,$B173&lt;&gt;$B158,$B174&lt;&gt;$B159,$B175&lt;&gt;$B160,$B176&lt;&gt;$B161,$B177&lt;&gt;$B162,$B178&lt;&gt;$B163),IF($B169&lt;&gt;$B154,T154/INDEX($C153:$AJ163,2,MATCH(IF('Data-solution'!$A$3="Maximize",MAX($C164:$AI164),MIN($C164:$AI164)),$C164:$AI164,0)),T154-INDEX($C153:$AJ163,2,MATCH(IF('Data-solution'!$A$3="Maximize",MAX($C164:$AI164),MIN($C164:$AI164)),$C164:$AI164,0))*INDEX(T153:$AJ163,MATCH(MIN($AK153:$AK163),$AK153:$AK163,0),1)/INDEX($C153:$AJ163,MATCH(MIN($AK153:$AK163),$AK153:$AK163,0),MATCH(IF('Data-solution'!$A$3="Maximize",MAX($C164:$AI164),MIN($C164:$AI164)),$C164:$AI164,0))),T154)</f>
        <v>0</v>
      </c>
      <c r="U169" s="1">
        <f>IF(OR($B168&lt;&gt;$B153,$B169&lt;&gt;$B154,$B170&lt;&gt;$B155,$B171&lt;&gt;$B156,$B172&lt;&gt;$B157,$B173&lt;&gt;$B158,$B174&lt;&gt;$B159,$B175&lt;&gt;$B160,$B176&lt;&gt;$B161,$B177&lt;&gt;$B162,$B178&lt;&gt;$B163),IF($B169&lt;&gt;$B154,U154/INDEX($C153:$AJ163,2,MATCH(IF('Data-solution'!$A$3="Maximize",MAX($C164:$AI164),MIN($C164:$AI164)),$C164:$AI164,0)),U154-INDEX($C153:$AJ163,2,MATCH(IF('Data-solution'!$A$3="Maximize",MAX($C164:$AI164),MIN($C164:$AI164)),$C164:$AI164,0))*INDEX(U153:$AJ163,MATCH(MIN($AK153:$AK163),$AK153:$AK163,0),1)/INDEX($C153:$AJ163,MATCH(MIN($AK153:$AK163),$AK153:$AK163,0),MATCH(IF('Data-solution'!$A$3="Maximize",MAX($C164:$AI164),MIN($C164:$AI164)),$C164:$AI164,0))),U154)</f>
        <v>0</v>
      </c>
      <c r="V169" s="1">
        <f>IF(OR($B168&lt;&gt;$B153,$B169&lt;&gt;$B154,$B170&lt;&gt;$B155,$B171&lt;&gt;$B156,$B172&lt;&gt;$B157,$B173&lt;&gt;$B158,$B174&lt;&gt;$B159,$B175&lt;&gt;$B160,$B176&lt;&gt;$B161,$B177&lt;&gt;$B162,$B178&lt;&gt;$B163),IF($B169&lt;&gt;$B154,V154/INDEX($C153:$AJ163,2,MATCH(IF('Data-solution'!$A$3="Maximize",MAX($C164:$AI164),MIN($C164:$AI164)),$C164:$AI164,0)),V154-INDEX($C153:$AJ163,2,MATCH(IF('Data-solution'!$A$3="Maximize",MAX($C164:$AI164),MIN($C164:$AI164)),$C164:$AI164,0))*INDEX(V153:$AJ163,MATCH(MIN($AK153:$AK163),$AK153:$AK163,0),1)/INDEX($C153:$AJ163,MATCH(MIN($AK153:$AK163),$AK153:$AK163,0),MATCH(IF('Data-solution'!$A$3="Maximize",MAX($C164:$AI164),MIN($C164:$AI164)),$C164:$AI164,0))),V154)</f>
        <v>0</v>
      </c>
      <c r="W169" s="1">
        <f>IF(OR($B168&lt;&gt;$B153,$B169&lt;&gt;$B154,$B170&lt;&gt;$B155,$B171&lt;&gt;$B156,$B172&lt;&gt;$B157,$B173&lt;&gt;$B158,$B174&lt;&gt;$B159,$B175&lt;&gt;$B160,$B176&lt;&gt;$B161,$B177&lt;&gt;$B162,$B178&lt;&gt;$B163),IF($B169&lt;&gt;$B154,W154/INDEX($C153:$AJ163,2,MATCH(IF('Data-solution'!$A$3="Maximize",MAX($C164:$AI164),MIN($C164:$AI164)),$C164:$AI164,0)),W154-INDEX($C153:$AJ163,2,MATCH(IF('Data-solution'!$A$3="Maximize",MAX($C164:$AI164),MIN($C164:$AI164)),$C164:$AI164,0))*INDEX(W153:$AJ163,MATCH(MIN($AK153:$AK163),$AK153:$AK163,0),1)/INDEX($C153:$AJ163,MATCH(MIN($AK153:$AK163),$AK153:$AK163,0),MATCH(IF('Data-solution'!$A$3="Maximize",MAX($C164:$AI164),MIN($C164:$AI164)),$C164:$AI164,0))),W154)</f>
        <v>0</v>
      </c>
      <c r="X169" s="1">
        <f>IF(OR($B168&lt;&gt;$B153,$B169&lt;&gt;$B154,$B170&lt;&gt;$B155,$B171&lt;&gt;$B156,$B172&lt;&gt;$B157,$B173&lt;&gt;$B158,$B174&lt;&gt;$B159,$B175&lt;&gt;$B160,$B176&lt;&gt;$B161,$B177&lt;&gt;$B162,$B178&lt;&gt;$B163),IF($B169&lt;&gt;$B154,X154/INDEX($C153:$AJ163,2,MATCH(IF('Data-solution'!$A$3="Maximize",MAX($C164:$AI164),MIN($C164:$AI164)),$C164:$AI164,0)),X154-INDEX($C153:$AJ163,2,MATCH(IF('Data-solution'!$A$3="Maximize",MAX($C164:$AI164),MIN($C164:$AI164)),$C164:$AI164,0))*INDEX(X153:$AJ163,MATCH(MIN($AK153:$AK163),$AK153:$AK163,0),1)/INDEX($C153:$AJ163,MATCH(MIN($AK153:$AK163),$AK153:$AK163,0),MATCH(IF('Data-solution'!$A$3="Maximize",MAX($C164:$AI164),MIN($C164:$AI164)),$C164:$AI164,0))),X154)</f>
        <v>0</v>
      </c>
      <c r="Y169" s="1">
        <f>IF(OR($B168&lt;&gt;$B153,$B169&lt;&gt;$B154,$B170&lt;&gt;$B155,$B171&lt;&gt;$B156,$B172&lt;&gt;$B157,$B173&lt;&gt;$B158,$B174&lt;&gt;$B159,$B175&lt;&gt;$B160,$B176&lt;&gt;$B161,$B177&lt;&gt;$B162,$B178&lt;&gt;$B163),IF($B169&lt;&gt;$B154,Y154/INDEX($C153:$AJ163,2,MATCH(IF('Data-solution'!$A$3="Maximize",MAX($C164:$AI164),MIN($C164:$AI164)),$C164:$AI164,0)),Y154-INDEX($C153:$AJ163,2,MATCH(IF('Data-solution'!$A$3="Maximize",MAX($C164:$AI164),MIN($C164:$AI164)),$C164:$AI164,0))*INDEX(Y153:$AJ163,MATCH(MIN($AK153:$AK163),$AK153:$AK163,0),1)/INDEX($C153:$AJ163,MATCH(MIN($AK153:$AK163),$AK153:$AK163,0),MATCH(IF('Data-solution'!$A$3="Maximize",MAX($C164:$AI164),MIN($C164:$AI164)),$C164:$AI164,0))),Y154)</f>
        <v>0</v>
      </c>
      <c r="Z169" s="1">
        <f>IF(OR($B168&lt;&gt;$B153,$B169&lt;&gt;$B154,$B170&lt;&gt;$B155,$B171&lt;&gt;$B156,$B172&lt;&gt;$B157,$B173&lt;&gt;$B158,$B174&lt;&gt;$B159,$B175&lt;&gt;$B160,$B176&lt;&gt;$B161,$B177&lt;&gt;$B162,$B178&lt;&gt;$B163),IF($B169&lt;&gt;$B154,Z154/INDEX($C153:$AJ163,2,MATCH(IF('Data-solution'!$A$3="Maximize",MAX($C164:$AI164),MIN($C164:$AI164)),$C164:$AI164,0)),Z154-INDEX($C153:$AJ163,2,MATCH(IF('Data-solution'!$A$3="Maximize",MAX($C164:$AI164),MIN($C164:$AI164)),$C164:$AI164,0))*INDEX(Z153:$AJ163,MATCH(MIN($AK153:$AK163),$AK153:$AK163,0),1)/INDEX($C153:$AJ163,MATCH(MIN($AK153:$AK163),$AK153:$AK163,0),MATCH(IF('Data-solution'!$A$3="Maximize",MAX($C164:$AI164),MIN($C164:$AI164)),$C164:$AI164,0))),Z154)</f>
        <v>1</v>
      </c>
      <c r="AA169" s="1">
        <f>IF(OR($B168&lt;&gt;$B153,$B169&lt;&gt;$B154,$B170&lt;&gt;$B155,$B171&lt;&gt;$B156,$B172&lt;&gt;$B157,$B173&lt;&gt;$B158,$B174&lt;&gt;$B159,$B175&lt;&gt;$B160,$B176&lt;&gt;$B161,$B177&lt;&gt;$B162,$B178&lt;&gt;$B163),IF($B169&lt;&gt;$B154,AA154/INDEX($C153:$AJ163,2,MATCH(IF('Data-solution'!$A$3="Maximize",MAX($C164:$AI164),MIN($C164:$AI164)),$C164:$AI164,0)),AA154-INDEX($C153:$AJ163,2,MATCH(IF('Data-solution'!$A$3="Maximize",MAX($C164:$AI164),MIN($C164:$AI164)),$C164:$AI164,0))*INDEX(AA153:$AJ163,MATCH(MIN($AK153:$AK163),$AK153:$AK163,0),1)/INDEX($C153:$AJ163,MATCH(MIN($AK153:$AK163),$AK153:$AK163,0),MATCH(IF('Data-solution'!$A$3="Maximize",MAX($C164:$AI164),MIN($C164:$AI164)),$C164:$AI164,0))),AA154)</f>
        <v>-0.25</v>
      </c>
      <c r="AB169" s="1">
        <f>IF(OR($B168&lt;&gt;$B153,$B169&lt;&gt;$B154,$B170&lt;&gt;$B155,$B171&lt;&gt;$B156,$B172&lt;&gt;$B157,$B173&lt;&gt;$B158,$B174&lt;&gt;$B159,$B175&lt;&gt;$B160,$B176&lt;&gt;$B161,$B177&lt;&gt;$B162,$B178&lt;&gt;$B163),IF($B169&lt;&gt;$B154,AB154/INDEX($C153:$AJ163,2,MATCH(IF('Data-solution'!$A$3="Maximize",MAX($C164:$AI164),MIN($C164:$AI164)),$C164:$AI164,0)),AB154-INDEX($C153:$AJ163,2,MATCH(IF('Data-solution'!$A$3="Maximize",MAX($C164:$AI164),MIN($C164:$AI164)),$C164:$AI164,0))*INDEX(AB153:$AJ163,MATCH(MIN($AK153:$AK163),$AK153:$AK163,0),1)/INDEX($C153:$AJ163,MATCH(MIN($AK153:$AK163),$AK153:$AK163,0),MATCH(IF('Data-solution'!$A$3="Maximize",MAX($C164:$AI164),MIN($C164:$AI164)),$C164:$AI164,0))),AB154)</f>
        <v>-0.5</v>
      </c>
      <c r="AC169" s="1">
        <f>IF(OR($B168&lt;&gt;$B153,$B169&lt;&gt;$B154,$B170&lt;&gt;$B155,$B171&lt;&gt;$B156,$B172&lt;&gt;$B157,$B173&lt;&gt;$B158,$B174&lt;&gt;$B159,$B175&lt;&gt;$B160,$B176&lt;&gt;$B161,$B177&lt;&gt;$B162,$B178&lt;&gt;$B163),IF($B169&lt;&gt;$B154,AC154/INDEX($C153:$AJ163,2,MATCH(IF('Data-solution'!$A$3="Maximize",MAX($C164:$AI164),MIN($C164:$AI164)),$C164:$AI164,0)),AC154-INDEX($C153:$AJ163,2,MATCH(IF('Data-solution'!$A$3="Maximize",MAX($C164:$AI164),MIN($C164:$AI164)),$C164:$AI164,0))*INDEX(AC153:$AJ163,MATCH(MIN($AK153:$AK163),$AK153:$AK163,0),1)/INDEX($C153:$AJ163,MATCH(MIN($AK153:$AK163),$AK153:$AK163,0),MATCH(IF('Data-solution'!$A$3="Maximize",MAX($C164:$AI164),MIN($C164:$AI164)),$C164:$AI164,0))),AC154)</f>
        <v>0</v>
      </c>
      <c r="AD169" s="1">
        <f>IF(OR($B168&lt;&gt;$B153,$B169&lt;&gt;$B154,$B170&lt;&gt;$B155,$B171&lt;&gt;$B156,$B172&lt;&gt;$B157,$B173&lt;&gt;$B158,$B174&lt;&gt;$B159,$B175&lt;&gt;$B160,$B176&lt;&gt;$B161,$B177&lt;&gt;$B162,$B178&lt;&gt;$B163),IF($B169&lt;&gt;$B154,AD154/INDEX($C153:$AJ163,2,MATCH(IF('Data-solution'!$A$3="Maximize",MAX($C164:$AI164),MIN($C164:$AI164)),$C164:$AI164,0)),AD154-INDEX($C153:$AJ163,2,MATCH(IF('Data-solution'!$A$3="Maximize",MAX($C164:$AI164),MIN($C164:$AI164)),$C164:$AI164,0))*INDEX(AD153:$AJ163,MATCH(MIN($AK153:$AK163),$AK153:$AK163,0),1)/INDEX($C153:$AJ163,MATCH(MIN($AK153:$AK163),$AK153:$AK163,0),MATCH(IF('Data-solution'!$A$3="Maximize",MAX($C164:$AI164),MIN($C164:$AI164)),$C164:$AI164,0))),AD154)</f>
        <v>0</v>
      </c>
      <c r="AE169" s="1">
        <f>IF(OR($B168&lt;&gt;$B153,$B169&lt;&gt;$B154,$B170&lt;&gt;$B155,$B171&lt;&gt;$B156,$B172&lt;&gt;$B157,$B173&lt;&gt;$B158,$B174&lt;&gt;$B159,$B175&lt;&gt;$B160,$B176&lt;&gt;$B161,$B177&lt;&gt;$B162,$B178&lt;&gt;$B163),IF($B169&lt;&gt;$B154,AE154/INDEX($C153:$AJ163,2,MATCH(IF('Data-solution'!$A$3="Maximize",MAX($C164:$AI164),MIN($C164:$AI164)),$C164:$AI164,0)),AE154-INDEX($C153:$AJ163,2,MATCH(IF('Data-solution'!$A$3="Maximize",MAX($C164:$AI164),MIN($C164:$AI164)),$C164:$AI164,0))*INDEX(AE153:$AJ163,MATCH(MIN($AK153:$AK163),$AK153:$AK163,0),1)/INDEX($C153:$AJ163,MATCH(MIN($AK153:$AK163),$AK153:$AK163,0),MATCH(IF('Data-solution'!$A$3="Maximize",MAX($C164:$AI164),MIN($C164:$AI164)),$C164:$AI164,0))),AE154)</f>
        <v>0</v>
      </c>
      <c r="AF169" s="1">
        <f>IF(OR($B168&lt;&gt;$B153,$B169&lt;&gt;$B154,$B170&lt;&gt;$B155,$B171&lt;&gt;$B156,$B172&lt;&gt;$B157,$B173&lt;&gt;$B158,$B174&lt;&gt;$B159,$B175&lt;&gt;$B160,$B176&lt;&gt;$B161,$B177&lt;&gt;$B162,$B178&lt;&gt;$B163),IF($B169&lt;&gt;$B154,AF154/INDEX($C153:$AJ163,2,MATCH(IF('Data-solution'!$A$3="Maximize",MAX($C164:$AI164),MIN($C164:$AI164)),$C164:$AI164,0)),AF154-INDEX($C153:$AJ163,2,MATCH(IF('Data-solution'!$A$3="Maximize",MAX($C164:$AI164),MIN($C164:$AI164)),$C164:$AI164,0))*INDEX(AF153:$AJ163,MATCH(MIN($AK153:$AK163),$AK153:$AK163,0),1)/INDEX($C153:$AJ163,MATCH(MIN($AK153:$AK163),$AK153:$AK163,0),MATCH(IF('Data-solution'!$A$3="Maximize",MAX($C164:$AI164),MIN($C164:$AI164)),$C164:$AI164,0))),AF154)</f>
        <v>0</v>
      </c>
      <c r="AG169" s="1">
        <f>IF(OR($B168&lt;&gt;$B153,$B169&lt;&gt;$B154,$B170&lt;&gt;$B155,$B171&lt;&gt;$B156,$B172&lt;&gt;$B157,$B173&lt;&gt;$B158,$B174&lt;&gt;$B159,$B175&lt;&gt;$B160,$B176&lt;&gt;$B161,$B177&lt;&gt;$B162,$B178&lt;&gt;$B163),IF($B169&lt;&gt;$B154,AG154/INDEX($C153:$AJ163,2,MATCH(IF('Data-solution'!$A$3="Maximize",MAX($C164:$AI164),MIN($C164:$AI164)),$C164:$AI164,0)),AG154-INDEX($C153:$AJ163,2,MATCH(IF('Data-solution'!$A$3="Maximize",MAX($C164:$AI164),MIN($C164:$AI164)),$C164:$AI164,0))*INDEX(AG153:$AJ163,MATCH(MIN($AK153:$AK163),$AK153:$AK163,0),1)/INDEX($C153:$AJ163,MATCH(MIN($AK153:$AK163),$AK153:$AK163,0),MATCH(IF('Data-solution'!$A$3="Maximize",MAX($C164:$AI164),MIN($C164:$AI164)),$C164:$AI164,0))),AG154)</f>
        <v>0</v>
      </c>
      <c r="AH169" s="1">
        <f>IF(OR($B168&lt;&gt;$B153,$B169&lt;&gt;$B154,$B170&lt;&gt;$B155,$B171&lt;&gt;$B156,$B172&lt;&gt;$B157,$B173&lt;&gt;$B158,$B174&lt;&gt;$B159,$B175&lt;&gt;$B160,$B176&lt;&gt;$B161,$B177&lt;&gt;$B162,$B178&lt;&gt;$B163),IF($B169&lt;&gt;$B154,AH154/INDEX($C153:$AJ163,2,MATCH(IF('Data-solution'!$A$3="Maximize",MAX($C164:$AI164),MIN($C164:$AI164)),$C164:$AI164,0)),AH154-INDEX($C153:$AJ163,2,MATCH(IF('Data-solution'!$A$3="Maximize",MAX($C164:$AI164),MIN($C164:$AI164)),$C164:$AI164,0))*INDEX(AH153:$AJ163,MATCH(MIN($AK153:$AK163),$AK153:$AK163,0),1)/INDEX($C153:$AJ163,MATCH(MIN($AK153:$AK163),$AK153:$AK163,0),MATCH(IF('Data-solution'!$A$3="Maximize",MAX($C164:$AI164),MIN($C164:$AI164)),$C164:$AI164,0))),AH154)</f>
        <v>0</v>
      </c>
      <c r="AI169" s="1">
        <f>IF(OR($B168&lt;&gt;$B153,$B169&lt;&gt;$B154,$B170&lt;&gt;$B155,$B171&lt;&gt;$B156,$B172&lt;&gt;$B157,$B173&lt;&gt;$B158,$B174&lt;&gt;$B159,$B175&lt;&gt;$B160,$B176&lt;&gt;$B161,$B177&lt;&gt;$B162,$B178&lt;&gt;$B163),IF($B169&lt;&gt;$B154,AI154/INDEX($C153:$AJ163,2,MATCH(IF('Data-solution'!$A$3="Maximize",MAX($C164:$AI164),MIN($C164:$AI164)),$C164:$AI164,0)),AI154-INDEX($C153:$AJ163,2,MATCH(IF('Data-solution'!$A$3="Maximize",MAX($C164:$AI164),MIN($C164:$AI164)),$C164:$AI164,0))*INDEX(AI153:$AJ163,MATCH(MIN($AK153:$AK163),$AK153:$AK163,0),1)/INDEX($C153:$AJ163,MATCH(MIN($AK153:$AK163),$AK153:$AK163,0),MATCH(IF('Data-solution'!$A$3="Maximize",MAX($C164:$AI164),MIN($C164:$AI164)),$C164:$AI164,0))),AI154)</f>
        <v>0</v>
      </c>
      <c r="AJ169" s="1">
        <f>IF(OR($B168&lt;&gt;$B153,$B169&lt;&gt;$B154,$B170&lt;&gt;$B155,$B171&lt;&gt;$B156,$B172&lt;&gt;$B157,$B173&lt;&gt;$B158,$B174&lt;&gt;$B159,$B175&lt;&gt;$B160,$B176&lt;&gt;$B161,$B177&lt;&gt;$B162,$B178&lt;&gt;$B163),IF($B169&lt;&gt;$B154,AJ154/INDEX($C153:$AJ163,2,MATCH(IF('Data-solution'!$A$3="Maximize",MAX($C164:$AI164),MIN($C164:$AI164)),$C164:$AI164,0)),AJ154-INDEX($C153:$AJ163,2,MATCH(IF('Data-solution'!$A$3="Maximize",MAX($C164:$AI164),MIN($C164:$AI164)),$C164:$AI164,0))*INDEX(AJ153:$AJ163,MATCH(MIN($AK153:$AK163),$AK153:$AK163,0),1)/INDEX($C153:$AJ163,MATCH(MIN($AK153:$AK163),$AK153:$AK163,0),MATCH(IF('Data-solution'!$A$3="Maximize",MAX($C164:$AI164),MIN($C164:$AI164)),$C164:$AI164,0))),AJ154)</f>
        <v>300</v>
      </c>
      <c r="AK169" s="1" t="str">
        <f>IF(INDEX(C169:X169,1,MATCH(IF('Data-solution'!A$3="Maximize",MAX(C179:X179),MIN(C179:X179)),C179:X179,0))&gt;0,AJ169/INDEX(C169:X169,1,MATCH(IF('Data-solution'!A$3="Maximize",MAX(C179:X179),MIN(C179:X179)),C179:X179,0))," ")</f>
        <v xml:space="preserve"> </v>
      </c>
    </row>
    <row r="170" spans="1:37" ht="18" customHeight="1" x14ac:dyDescent="0.2">
      <c r="A170" s="1">
        <f t="shared" ref="A170" si="140">INDEX(C166:AI166,1,MATCH(B170,C167:AI167,0))</f>
        <v>350</v>
      </c>
      <c r="B170" s="2" t="str">
        <f>IF(AND('Data-solution'!A$3="Maximize",COUNTIF(C164:X164,"&gt;"&amp;0)&gt;0,AK155=MIN(AK153:AK163),COUNTIF(B168:B169,INDEX(C152:X152,1,MATCH(MAX(C164:X164),C164:X164,0)))=0),INDEX(C152:X152,1,MATCH(MAX(C164:X164),C164:X164,0)),IF(AND('Data-solution'!A$3="Minimize",COUNTIF(C164:X164,"&lt;"&amp;0)&gt;0,AK155=MIN(AK153:AK163),COUNTIF(B168:B169,INDEX(C152:X152,1,MATCH(MIN(C164:X164),C164:X164,0)))=0),INDEX(C152:X152,1,MATCH(MIN(C164:X164),C164:X164,0)),B155))</f>
        <v>X3</v>
      </c>
      <c r="C170" s="1">
        <f>IF(OR($B168&lt;&gt;$B153,$B169&lt;&gt;$B154,$B170&lt;&gt;$B155,$B171&lt;&gt;$B156,$B172&lt;&gt;$B157,$B173&lt;&gt;$B158,$B174&lt;&gt;$B159,$B175&lt;&gt;$B160,$B176&lt;&gt;$B161,$B177&lt;&gt;$B162,$B178&lt;&gt;$B163),IF($B170&lt;&gt;$B155,C155/INDEX($C153:$AJ163,3,MATCH(IF('Data-solution'!$A$3="Maximize",MAX($C164:$AI164),MIN($C164:$AI164)),$C164:$AI164,0)),C155-INDEX($C153:$AJ163,3,MATCH(IF('Data-solution'!$A$3="Maximize",MAX($C164:$AI164),MIN($C164:$AI164)),$C164:$AI164,0))*INDEX(C153:$AJ163,MATCH(MIN($AK153:$AK163),$AK153:$AK163,0),1)/INDEX($C153:$AJ163,MATCH(MIN($AK153:$AK163),$AK153:$AK163,0),MATCH(IF('Data-solution'!$A$3="Maximize",MAX($C164:$AI164),MIN($C164:$AI164)),$C164:$AI164,0))),C155)</f>
        <v>0</v>
      </c>
      <c r="D170" s="1">
        <f>IF(OR($B168&lt;&gt;$B153,$B169&lt;&gt;$B154,$B170&lt;&gt;$B155,$B171&lt;&gt;$B156,$B172&lt;&gt;$B157,$B173&lt;&gt;$B158,$B174&lt;&gt;$B159,$B175&lt;&gt;$B160,$B176&lt;&gt;$B161,$B177&lt;&gt;$B162,$B178&lt;&gt;$B163),IF($B170&lt;&gt;$B155,D155/INDEX($C153:$AJ163,3,MATCH(IF('Data-solution'!$A$3="Maximize",MAX($C164:$AI164),MIN($C164:$AI164)),$C164:$AI164,0)),D155-INDEX($C153:$AJ163,3,MATCH(IF('Data-solution'!$A$3="Maximize",MAX($C164:$AI164),MIN($C164:$AI164)),$C164:$AI164,0))*INDEX(D153:$AJ163,MATCH(MIN($AK153:$AK163),$AK153:$AK163,0),1)/INDEX($C153:$AJ163,MATCH(MIN($AK153:$AK163),$AK153:$AK163,0),MATCH(IF('Data-solution'!$A$3="Maximize",MAX($C164:$AI164),MIN($C164:$AI164)),$C164:$AI164,0))),D155)</f>
        <v>1.25</v>
      </c>
      <c r="E170" s="1">
        <f>IF(OR($B168&lt;&gt;$B153,$B169&lt;&gt;$B154,$B170&lt;&gt;$B155,$B171&lt;&gt;$B156,$B172&lt;&gt;$B157,$B173&lt;&gt;$B158,$B174&lt;&gt;$B159,$B175&lt;&gt;$B160,$B176&lt;&gt;$B161,$B177&lt;&gt;$B162,$B178&lt;&gt;$B163),IF($B170&lt;&gt;$B155,E155/INDEX($C153:$AJ163,3,MATCH(IF('Data-solution'!$A$3="Maximize",MAX($C164:$AI164),MIN($C164:$AI164)),$C164:$AI164,0)),E155-INDEX($C153:$AJ163,3,MATCH(IF('Data-solution'!$A$3="Maximize",MAX($C164:$AI164),MIN($C164:$AI164)),$C164:$AI164,0))*INDEX(E153:$AJ163,MATCH(MIN($AK153:$AK163),$AK153:$AK163,0),1)/INDEX($C153:$AJ163,MATCH(MIN($AK153:$AK163),$AK153:$AK163,0),MATCH(IF('Data-solution'!$A$3="Maximize",MAX($C164:$AI164),MIN($C164:$AI164)),$C164:$AI164,0))),E155)</f>
        <v>1</v>
      </c>
      <c r="F170" s="1">
        <f>IF(OR($B168&lt;&gt;$B153,$B169&lt;&gt;$B154,$B170&lt;&gt;$B155,$B171&lt;&gt;$B156,$B172&lt;&gt;$B157,$B173&lt;&gt;$B158,$B174&lt;&gt;$B159,$B175&lt;&gt;$B160,$B176&lt;&gt;$B161,$B177&lt;&gt;$B162,$B178&lt;&gt;$B163),IF($B170&lt;&gt;$B155,F155/INDEX($C153:$AJ163,3,MATCH(IF('Data-solution'!$A$3="Maximize",MAX($C164:$AI164),MIN($C164:$AI164)),$C164:$AI164,0)),F155-INDEX($C153:$AJ163,3,MATCH(IF('Data-solution'!$A$3="Maximize",MAX($C164:$AI164),MIN($C164:$AI164)),$C164:$AI164,0))*INDEX(F153:$AJ163,MATCH(MIN($AK153:$AK163),$AK153:$AK163,0),1)/INDEX($C153:$AJ163,MATCH(MIN($AK153:$AK163),$AK153:$AK163,0),MATCH(IF('Data-solution'!$A$3="Maximize",MAX($C164:$AI164),MIN($C164:$AI164)),$C164:$AI164,0))),F155)</f>
        <v>0</v>
      </c>
      <c r="G170" s="1">
        <f>IF(OR($B168&lt;&gt;$B153,$B169&lt;&gt;$B154,$B170&lt;&gt;$B155,$B171&lt;&gt;$B156,$B172&lt;&gt;$B157,$B173&lt;&gt;$B158,$B174&lt;&gt;$B159,$B175&lt;&gt;$B160,$B176&lt;&gt;$B161,$B177&lt;&gt;$B162,$B178&lt;&gt;$B163),IF($B170&lt;&gt;$B155,G155/INDEX($C153:$AJ163,3,MATCH(IF('Data-solution'!$A$3="Maximize",MAX($C164:$AI164),MIN($C164:$AI164)),$C164:$AI164,0)),G155-INDEX($C153:$AJ163,3,MATCH(IF('Data-solution'!$A$3="Maximize",MAX($C164:$AI164),MIN($C164:$AI164)),$C164:$AI164,0))*INDEX(G153:$AJ163,MATCH(MIN($AK153:$AK163),$AK153:$AK163,0),1)/INDEX($C153:$AJ163,MATCH(MIN($AK153:$AK163),$AK153:$AK163,0),MATCH(IF('Data-solution'!$A$3="Maximize",MAX($C164:$AI164),MIN($C164:$AI164)),$C164:$AI164,0))),G155)</f>
        <v>0</v>
      </c>
      <c r="H170" s="1">
        <f>IF(OR($B168&lt;&gt;$B153,$B169&lt;&gt;$B154,$B170&lt;&gt;$B155,$B171&lt;&gt;$B156,$B172&lt;&gt;$B157,$B173&lt;&gt;$B158,$B174&lt;&gt;$B159,$B175&lt;&gt;$B160,$B176&lt;&gt;$B161,$B177&lt;&gt;$B162,$B178&lt;&gt;$B163),IF($B170&lt;&gt;$B155,H155/INDEX($C153:$AJ163,3,MATCH(IF('Data-solution'!$A$3="Maximize",MAX($C164:$AI164),MIN($C164:$AI164)),$C164:$AI164,0)),H155-INDEX($C153:$AJ163,3,MATCH(IF('Data-solution'!$A$3="Maximize",MAX($C164:$AI164),MIN($C164:$AI164)),$C164:$AI164,0))*INDEX(H153:$AJ163,MATCH(MIN($AK153:$AK163),$AK153:$AK163,0),1)/INDEX($C153:$AJ163,MATCH(MIN($AK153:$AK163),$AK153:$AK163,0),MATCH(IF('Data-solution'!$A$3="Maximize",MAX($C164:$AI164),MIN($C164:$AI164)),$C164:$AI164,0))),H155)</f>
        <v>0</v>
      </c>
      <c r="I170" s="1">
        <f>IF(OR($B168&lt;&gt;$B153,$B169&lt;&gt;$B154,$B170&lt;&gt;$B155,$B171&lt;&gt;$B156,$B172&lt;&gt;$B157,$B173&lt;&gt;$B158,$B174&lt;&gt;$B159,$B175&lt;&gt;$B160,$B176&lt;&gt;$B161,$B177&lt;&gt;$B162,$B178&lt;&gt;$B163),IF($B170&lt;&gt;$B155,I155/INDEX($C153:$AJ163,3,MATCH(IF('Data-solution'!$A$3="Maximize",MAX($C164:$AI164),MIN($C164:$AI164)),$C164:$AI164,0)),I155-INDEX($C153:$AJ163,3,MATCH(IF('Data-solution'!$A$3="Maximize",MAX($C164:$AI164),MIN($C164:$AI164)),$C164:$AI164,0))*INDEX(I153:$AJ163,MATCH(MIN($AK153:$AK163),$AK153:$AK163,0),1)/INDEX($C153:$AJ163,MATCH(MIN($AK153:$AK163),$AK153:$AK163,0),MATCH(IF('Data-solution'!$A$3="Maximize",MAX($C164:$AI164),MIN($C164:$AI164)),$C164:$AI164,0))),I155)</f>
        <v>0</v>
      </c>
      <c r="J170" s="1">
        <f>IF(OR($B168&lt;&gt;$B153,$B169&lt;&gt;$B154,$B170&lt;&gt;$B155,$B171&lt;&gt;$B156,$B172&lt;&gt;$B157,$B173&lt;&gt;$B158,$B174&lt;&gt;$B159,$B175&lt;&gt;$B160,$B176&lt;&gt;$B161,$B177&lt;&gt;$B162,$B178&lt;&gt;$B163),IF($B170&lt;&gt;$B155,J155/INDEX($C153:$AJ163,3,MATCH(IF('Data-solution'!$A$3="Maximize",MAX($C164:$AI164),MIN($C164:$AI164)),$C164:$AI164,0)),J155-INDEX($C153:$AJ163,3,MATCH(IF('Data-solution'!$A$3="Maximize",MAX($C164:$AI164),MIN($C164:$AI164)),$C164:$AI164,0))*INDEX(J153:$AJ163,MATCH(MIN($AK153:$AK163),$AK153:$AK163,0),1)/INDEX($C153:$AJ163,MATCH(MIN($AK153:$AK163),$AK153:$AK163,0),MATCH(IF('Data-solution'!$A$3="Maximize",MAX($C164:$AI164),MIN($C164:$AI164)),$C164:$AI164,0))),J155)</f>
        <v>0</v>
      </c>
      <c r="K170" s="1">
        <f>IF(OR($B168&lt;&gt;$B153,$B169&lt;&gt;$B154,$B170&lt;&gt;$B155,$B171&lt;&gt;$B156,$B172&lt;&gt;$B157,$B173&lt;&gt;$B158,$B174&lt;&gt;$B159,$B175&lt;&gt;$B160,$B176&lt;&gt;$B161,$B177&lt;&gt;$B162,$B178&lt;&gt;$B163),IF($B170&lt;&gt;$B155,K155/INDEX($C153:$AJ163,3,MATCH(IF('Data-solution'!$A$3="Maximize",MAX($C164:$AI164),MIN($C164:$AI164)),$C164:$AI164,0)),K155-INDEX($C153:$AJ163,3,MATCH(IF('Data-solution'!$A$3="Maximize",MAX($C164:$AI164),MIN($C164:$AI164)),$C164:$AI164,0))*INDEX(K153:$AJ163,MATCH(MIN($AK153:$AK163),$AK153:$AK163,0),1)/INDEX($C153:$AJ163,MATCH(MIN($AK153:$AK163),$AK153:$AK163,0),MATCH(IF('Data-solution'!$A$3="Maximize",MAX($C164:$AI164),MIN($C164:$AI164)),$C164:$AI164,0))),K155)</f>
        <v>0</v>
      </c>
      <c r="L170" s="1">
        <f>IF(OR($B168&lt;&gt;$B153,$B169&lt;&gt;$B154,$B170&lt;&gt;$B155,$B171&lt;&gt;$B156,$B172&lt;&gt;$B157,$B173&lt;&gt;$B158,$B174&lt;&gt;$B159,$B175&lt;&gt;$B160,$B176&lt;&gt;$B161,$B177&lt;&gt;$B162,$B178&lt;&gt;$B163),IF($B170&lt;&gt;$B155,L155/INDEX($C153:$AJ163,3,MATCH(IF('Data-solution'!$A$3="Maximize",MAX($C164:$AI164),MIN($C164:$AI164)),$C164:$AI164,0)),L155-INDEX($C153:$AJ163,3,MATCH(IF('Data-solution'!$A$3="Maximize",MAX($C164:$AI164),MIN($C164:$AI164)),$C164:$AI164,0))*INDEX(L153:$AJ163,MATCH(MIN($AK153:$AK163),$AK153:$AK163,0),1)/INDEX($C153:$AJ163,MATCH(MIN($AK153:$AK163),$AK153:$AK163,0),MATCH(IF('Data-solution'!$A$3="Maximize",MAX($C164:$AI164),MIN($C164:$AI164)),$C164:$AI164,0))),L155)</f>
        <v>0</v>
      </c>
      <c r="M170" s="1">
        <f>IF(OR($B168&lt;&gt;$B153,$B169&lt;&gt;$B154,$B170&lt;&gt;$B155,$B171&lt;&gt;$B156,$B172&lt;&gt;$B157,$B173&lt;&gt;$B158,$B174&lt;&gt;$B159,$B175&lt;&gt;$B160,$B176&lt;&gt;$B161,$B177&lt;&gt;$B162,$B178&lt;&gt;$B163),IF($B170&lt;&gt;$B155,M155/INDEX($C153:$AJ163,3,MATCH(IF('Data-solution'!$A$3="Maximize",MAX($C164:$AI164),MIN($C164:$AI164)),$C164:$AI164,0)),M155-INDEX($C153:$AJ163,3,MATCH(IF('Data-solution'!$A$3="Maximize",MAX($C164:$AI164),MIN($C164:$AI164)),$C164:$AI164,0))*INDEX(M153:$AJ163,MATCH(MIN($AK153:$AK163),$AK153:$AK163,0),1)/INDEX($C153:$AJ163,MATCH(MIN($AK153:$AK163),$AK153:$AK163,0),MATCH(IF('Data-solution'!$A$3="Maximize",MAX($C164:$AI164),MIN($C164:$AI164)),$C164:$AI164,0))),M155)</f>
        <v>0</v>
      </c>
      <c r="N170" s="1">
        <f>IF(OR($B168&lt;&gt;$B153,$B169&lt;&gt;$B154,$B170&lt;&gt;$B155,$B171&lt;&gt;$B156,$B172&lt;&gt;$B157,$B173&lt;&gt;$B158,$B174&lt;&gt;$B159,$B175&lt;&gt;$B160,$B176&lt;&gt;$B161,$B177&lt;&gt;$B162,$B178&lt;&gt;$B163),IF($B170&lt;&gt;$B155,N155/INDEX($C153:$AJ163,3,MATCH(IF('Data-solution'!$A$3="Maximize",MAX($C164:$AI164),MIN($C164:$AI164)),$C164:$AI164,0)),N155-INDEX($C153:$AJ163,3,MATCH(IF('Data-solution'!$A$3="Maximize",MAX($C164:$AI164),MIN($C164:$AI164)),$C164:$AI164,0))*INDEX(N153:$AJ163,MATCH(MIN($AK153:$AK163),$AK153:$AK163,0),1)/INDEX($C153:$AJ163,MATCH(MIN($AK153:$AK163),$AK153:$AK163,0),MATCH(IF('Data-solution'!$A$3="Maximize",MAX($C164:$AI164),MIN($C164:$AI164)),$C164:$AI164,0))),N155)</f>
        <v>0</v>
      </c>
      <c r="O170" s="1">
        <f>IF(OR($B168&lt;&gt;$B153,$B169&lt;&gt;$B154,$B170&lt;&gt;$B155,$B171&lt;&gt;$B156,$B172&lt;&gt;$B157,$B173&lt;&gt;$B158,$B174&lt;&gt;$B159,$B175&lt;&gt;$B160,$B176&lt;&gt;$B161,$B177&lt;&gt;$B162,$B178&lt;&gt;$B163),IF($B170&lt;&gt;$B155,O155/INDEX($C153:$AJ163,3,MATCH(IF('Data-solution'!$A$3="Maximize",MAX($C164:$AI164),MIN($C164:$AI164)),$C164:$AI164,0)),O155-INDEX($C153:$AJ163,3,MATCH(IF('Data-solution'!$A$3="Maximize",MAX($C164:$AI164),MIN($C164:$AI164)),$C164:$AI164,0))*INDEX(O153:$AJ163,MATCH(MIN($AK153:$AK163),$AK153:$AK163,0),1)/INDEX($C153:$AJ163,MATCH(MIN($AK153:$AK163),$AK153:$AK163,0),MATCH(IF('Data-solution'!$A$3="Maximize",MAX($C164:$AI164),MIN($C164:$AI164)),$C164:$AI164,0))),O155)</f>
        <v>0</v>
      </c>
      <c r="P170" s="1">
        <f>IF(OR($B168&lt;&gt;$B153,$B169&lt;&gt;$B154,$B170&lt;&gt;$B155,$B171&lt;&gt;$B156,$B172&lt;&gt;$B157,$B173&lt;&gt;$B158,$B174&lt;&gt;$B159,$B175&lt;&gt;$B160,$B176&lt;&gt;$B161,$B177&lt;&gt;$B162,$B178&lt;&gt;$B163),IF($B170&lt;&gt;$B155,P155/INDEX($C153:$AJ163,3,MATCH(IF('Data-solution'!$A$3="Maximize",MAX($C164:$AI164),MIN($C164:$AI164)),$C164:$AI164,0)),P155-INDEX($C153:$AJ163,3,MATCH(IF('Data-solution'!$A$3="Maximize",MAX($C164:$AI164),MIN($C164:$AI164)),$C164:$AI164,0))*INDEX(P153:$AJ163,MATCH(MIN($AK153:$AK163),$AK153:$AK163,0),1)/INDEX($C153:$AJ163,MATCH(MIN($AK153:$AK163),$AK153:$AK163,0),MATCH(IF('Data-solution'!$A$3="Maximize",MAX($C164:$AI164),MIN($C164:$AI164)),$C164:$AI164,0))),P155)</f>
        <v>0.24999999999999997</v>
      </c>
      <c r="Q170" s="1">
        <f>IF(OR($B168&lt;&gt;$B153,$B169&lt;&gt;$B154,$B170&lt;&gt;$B155,$B171&lt;&gt;$B156,$B172&lt;&gt;$B157,$B173&lt;&gt;$B158,$B174&lt;&gt;$B159,$B175&lt;&gt;$B160,$B176&lt;&gt;$B161,$B177&lt;&gt;$B162,$B178&lt;&gt;$B163),IF($B170&lt;&gt;$B155,Q155/INDEX($C153:$AJ163,3,MATCH(IF('Data-solution'!$A$3="Maximize",MAX($C164:$AI164),MIN($C164:$AI164)),$C164:$AI164,0)),Q155-INDEX($C153:$AJ163,3,MATCH(IF('Data-solution'!$A$3="Maximize",MAX($C164:$AI164),MIN($C164:$AI164)),$C164:$AI164,0))*INDEX(Q153:$AJ163,MATCH(MIN($AK153:$AK163),$AK153:$AK163,0),1)/INDEX($C153:$AJ163,MATCH(MIN($AK153:$AK163),$AK153:$AK163,0),MATCH(IF('Data-solution'!$A$3="Maximize",MAX($C164:$AI164),MIN($C164:$AI164)),$C164:$AI164,0))),Q155)</f>
        <v>-0.49999999999999989</v>
      </c>
      <c r="R170" s="1">
        <f>IF(OR($B168&lt;&gt;$B153,$B169&lt;&gt;$B154,$B170&lt;&gt;$B155,$B171&lt;&gt;$B156,$B172&lt;&gt;$B157,$B173&lt;&gt;$B158,$B174&lt;&gt;$B159,$B175&lt;&gt;$B160,$B176&lt;&gt;$B161,$B177&lt;&gt;$B162,$B178&lt;&gt;$B163),IF($B170&lt;&gt;$B155,R155/INDEX($C153:$AJ163,3,MATCH(IF('Data-solution'!$A$3="Maximize",MAX($C164:$AI164),MIN($C164:$AI164)),$C164:$AI164,0)),R155-INDEX($C153:$AJ163,3,MATCH(IF('Data-solution'!$A$3="Maximize",MAX($C164:$AI164),MIN($C164:$AI164)),$C164:$AI164,0))*INDEX(R153:$AJ163,MATCH(MIN($AK153:$AK163),$AK153:$AK163,0),1)/INDEX($C153:$AJ163,MATCH(MIN($AK153:$AK163),$AK153:$AK163,0),MATCH(IF('Data-solution'!$A$3="Maximize",MAX($C164:$AI164),MIN($C164:$AI164)),$C164:$AI164,0))),R155)</f>
        <v>0</v>
      </c>
      <c r="S170" s="1">
        <f>IF(OR($B168&lt;&gt;$B153,$B169&lt;&gt;$B154,$B170&lt;&gt;$B155,$B171&lt;&gt;$B156,$B172&lt;&gt;$B157,$B173&lt;&gt;$B158,$B174&lt;&gt;$B159,$B175&lt;&gt;$B160,$B176&lt;&gt;$B161,$B177&lt;&gt;$B162,$B178&lt;&gt;$B163),IF($B170&lt;&gt;$B155,S155/INDEX($C153:$AJ163,3,MATCH(IF('Data-solution'!$A$3="Maximize",MAX($C164:$AI164),MIN($C164:$AI164)),$C164:$AI164,0)),S155-INDEX($C153:$AJ163,3,MATCH(IF('Data-solution'!$A$3="Maximize",MAX($C164:$AI164),MIN($C164:$AI164)),$C164:$AI164,0))*INDEX(S153:$AJ163,MATCH(MIN($AK153:$AK163),$AK153:$AK163,0),1)/INDEX($C153:$AJ163,MATCH(MIN($AK153:$AK163),$AK153:$AK163,0),MATCH(IF('Data-solution'!$A$3="Maximize",MAX($C164:$AI164),MIN($C164:$AI164)),$C164:$AI164,0))),S155)</f>
        <v>0</v>
      </c>
      <c r="T170" s="1">
        <f>IF(OR($B168&lt;&gt;$B153,$B169&lt;&gt;$B154,$B170&lt;&gt;$B155,$B171&lt;&gt;$B156,$B172&lt;&gt;$B157,$B173&lt;&gt;$B158,$B174&lt;&gt;$B159,$B175&lt;&gt;$B160,$B176&lt;&gt;$B161,$B177&lt;&gt;$B162,$B178&lt;&gt;$B163),IF($B170&lt;&gt;$B155,T155/INDEX($C153:$AJ163,3,MATCH(IF('Data-solution'!$A$3="Maximize",MAX($C164:$AI164),MIN($C164:$AI164)),$C164:$AI164,0)),T155-INDEX($C153:$AJ163,3,MATCH(IF('Data-solution'!$A$3="Maximize",MAX($C164:$AI164),MIN($C164:$AI164)),$C164:$AI164,0))*INDEX(T153:$AJ163,MATCH(MIN($AK153:$AK163),$AK153:$AK163,0),1)/INDEX($C153:$AJ163,MATCH(MIN($AK153:$AK163),$AK153:$AK163,0),MATCH(IF('Data-solution'!$A$3="Maximize",MAX($C164:$AI164),MIN($C164:$AI164)),$C164:$AI164,0))),T155)</f>
        <v>0</v>
      </c>
      <c r="U170" s="1">
        <f>IF(OR($B168&lt;&gt;$B153,$B169&lt;&gt;$B154,$B170&lt;&gt;$B155,$B171&lt;&gt;$B156,$B172&lt;&gt;$B157,$B173&lt;&gt;$B158,$B174&lt;&gt;$B159,$B175&lt;&gt;$B160,$B176&lt;&gt;$B161,$B177&lt;&gt;$B162,$B178&lt;&gt;$B163),IF($B170&lt;&gt;$B155,U155/INDEX($C153:$AJ163,3,MATCH(IF('Data-solution'!$A$3="Maximize",MAX($C164:$AI164),MIN($C164:$AI164)),$C164:$AI164,0)),U155-INDEX($C153:$AJ163,3,MATCH(IF('Data-solution'!$A$3="Maximize",MAX($C164:$AI164),MIN($C164:$AI164)),$C164:$AI164,0))*INDEX(U153:$AJ163,MATCH(MIN($AK153:$AK163),$AK153:$AK163,0),1)/INDEX($C153:$AJ163,MATCH(MIN($AK153:$AK163),$AK153:$AK163,0),MATCH(IF('Data-solution'!$A$3="Maximize",MAX($C164:$AI164),MIN($C164:$AI164)),$C164:$AI164,0))),U155)</f>
        <v>0</v>
      </c>
      <c r="V170" s="1">
        <f>IF(OR($B168&lt;&gt;$B153,$B169&lt;&gt;$B154,$B170&lt;&gt;$B155,$B171&lt;&gt;$B156,$B172&lt;&gt;$B157,$B173&lt;&gt;$B158,$B174&lt;&gt;$B159,$B175&lt;&gt;$B160,$B176&lt;&gt;$B161,$B177&lt;&gt;$B162,$B178&lt;&gt;$B163),IF($B170&lt;&gt;$B155,V155/INDEX($C153:$AJ163,3,MATCH(IF('Data-solution'!$A$3="Maximize",MAX($C164:$AI164),MIN($C164:$AI164)),$C164:$AI164,0)),V155-INDEX($C153:$AJ163,3,MATCH(IF('Data-solution'!$A$3="Maximize",MAX($C164:$AI164),MIN($C164:$AI164)),$C164:$AI164,0))*INDEX(V153:$AJ163,MATCH(MIN($AK153:$AK163),$AK153:$AK163,0),1)/INDEX($C153:$AJ163,MATCH(MIN($AK153:$AK163),$AK153:$AK163,0),MATCH(IF('Data-solution'!$A$3="Maximize",MAX($C164:$AI164),MIN($C164:$AI164)),$C164:$AI164,0))),V155)</f>
        <v>0</v>
      </c>
      <c r="W170" s="1">
        <f>IF(OR($B168&lt;&gt;$B153,$B169&lt;&gt;$B154,$B170&lt;&gt;$B155,$B171&lt;&gt;$B156,$B172&lt;&gt;$B157,$B173&lt;&gt;$B158,$B174&lt;&gt;$B159,$B175&lt;&gt;$B160,$B176&lt;&gt;$B161,$B177&lt;&gt;$B162,$B178&lt;&gt;$B163),IF($B170&lt;&gt;$B155,W155/INDEX($C153:$AJ163,3,MATCH(IF('Data-solution'!$A$3="Maximize",MAX($C164:$AI164),MIN($C164:$AI164)),$C164:$AI164,0)),W155-INDEX($C153:$AJ163,3,MATCH(IF('Data-solution'!$A$3="Maximize",MAX($C164:$AI164),MIN($C164:$AI164)),$C164:$AI164,0))*INDEX(W153:$AJ163,MATCH(MIN($AK153:$AK163),$AK153:$AK163,0),1)/INDEX($C153:$AJ163,MATCH(MIN($AK153:$AK163),$AK153:$AK163,0),MATCH(IF('Data-solution'!$A$3="Maximize",MAX($C164:$AI164),MIN($C164:$AI164)),$C164:$AI164,0))),W155)</f>
        <v>0</v>
      </c>
      <c r="X170" s="1">
        <f>IF(OR($B168&lt;&gt;$B153,$B169&lt;&gt;$B154,$B170&lt;&gt;$B155,$B171&lt;&gt;$B156,$B172&lt;&gt;$B157,$B173&lt;&gt;$B158,$B174&lt;&gt;$B159,$B175&lt;&gt;$B160,$B176&lt;&gt;$B161,$B177&lt;&gt;$B162,$B178&lt;&gt;$B163),IF($B170&lt;&gt;$B155,X155/INDEX($C153:$AJ163,3,MATCH(IF('Data-solution'!$A$3="Maximize",MAX($C164:$AI164),MIN($C164:$AI164)),$C164:$AI164,0)),X155-INDEX($C153:$AJ163,3,MATCH(IF('Data-solution'!$A$3="Maximize",MAX($C164:$AI164),MIN($C164:$AI164)),$C164:$AI164,0))*INDEX(X153:$AJ163,MATCH(MIN($AK153:$AK163),$AK153:$AK163,0),1)/INDEX($C153:$AJ163,MATCH(MIN($AK153:$AK163),$AK153:$AK163,0),MATCH(IF('Data-solution'!$A$3="Maximize",MAX($C164:$AI164),MIN($C164:$AI164)),$C164:$AI164,0))),X155)</f>
        <v>0</v>
      </c>
      <c r="Y170" s="1">
        <f>IF(OR($B168&lt;&gt;$B153,$B169&lt;&gt;$B154,$B170&lt;&gt;$B155,$B171&lt;&gt;$B156,$B172&lt;&gt;$B157,$B173&lt;&gt;$B158,$B174&lt;&gt;$B159,$B175&lt;&gt;$B160,$B176&lt;&gt;$B161,$B177&lt;&gt;$B162,$B178&lt;&gt;$B163),IF($B170&lt;&gt;$B155,Y155/INDEX($C153:$AJ163,3,MATCH(IF('Data-solution'!$A$3="Maximize",MAX($C164:$AI164),MIN($C164:$AI164)),$C164:$AI164,0)),Y155-INDEX($C153:$AJ163,3,MATCH(IF('Data-solution'!$A$3="Maximize",MAX($C164:$AI164),MIN($C164:$AI164)),$C164:$AI164,0))*INDEX(Y153:$AJ163,MATCH(MIN($AK153:$AK163),$AK153:$AK163,0),1)/INDEX($C153:$AJ163,MATCH(MIN($AK153:$AK163),$AK153:$AK163,0),MATCH(IF('Data-solution'!$A$3="Maximize",MAX($C164:$AI164),MIN($C164:$AI164)),$C164:$AI164,0))),Y155)</f>
        <v>0</v>
      </c>
      <c r="Z170" s="1">
        <f>IF(OR($B168&lt;&gt;$B153,$B169&lt;&gt;$B154,$B170&lt;&gt;$B155,$B171&lt;&gt;$B156,$B172&lt;&gt;$B157,$B173&lt;&gt;$B158,$B174&lt;&gt;$B159,$B175&lt;&gt;$B160,$B176&lt;&gt;$B161,$B177&lt;&gt;$B162,$B178&lt;&gt;$B163),IF($B170&lt;&gt;$B155,Z155/INDEX($C153:$AJ163,3,MATCH(IF('Data-solution'!$A$3="Maximize",MAX($C164:$AI164),MIN($C164:$AI164)),$C164:$AI164,0)),Z155-INDEX($C153:$AJ163,3,MATCH(IF('Data-solution'!$A$3="Maximize",MAX($C164:$AI164),MIN($C164:$AI164)),$C164:$AI164,0))*INDEX(Z153:$AJ163,MATCH(MIN($AK153:$AK163),$AK153:$AK163,0),1)/INDEX($C153:$AJ163,MATCH(MIN($AK153:$AK163),$AK153:$AK163,0),MATCH(IF('Data-solution'!$A$3="Maximize",MAX($C164:$AI164),MIN($C164:$AI164)),$C164:$AI164,0))),Z155)</f>
        <v>0</v>
      </c>
      <c r="AA170" s="1">
        <f>IF(OR($B168&lt;&gt;$B153,$B169&lt;&gt;$B154,$B170&lt;&gt;$B155,$B171&lt;&gt;$B156,$B172&lt;&gt;$B157,$B173&lt;&gt;$B158,$B174&lt;&gt;$B159,$B175&lt;&gt;$B160,$B176&lt;&gt;$B161,$B177&lt;&gt;$B162,$B178&lt;&gt;$B163),IF($B170&lt;&gt;$B155,AA155/INDEX($C153:$AJ163,3,MATCH(IF('Data-solution'!$A$3="Maximize",MAX($C164:$AI164),MIN($C164:$AI164)),$C164:$AI164,0)),AA155-INDEX($C153:$AJ163,3,MATCH(IF('Data-solution'!$A$3="Maximize",MAX($C164:$AI164),MIN($C164:$AI164)),$C164:$AI164,0))*INDEX(AA153:$AJ163,MATCH(MIN($AK153:$AK163),$AK153:$AK163,0),1)/INDEX($C153:$AJ163,MATCH(MIN($AK153:$AK163),$AK153:$AK163,0),MATCH(IF('Data-solution'!$A$3="Maximize",MAX($C164:$AI164),MIN($C164:$AI164)),$C164:$AI164,0))),AA155)</f>
        <v>0.24999999999999997</v>
      </c>
      <c r="AB170" s="1">
        <f>IF(OR($B168&lt;&gt;$B153,$B169&lt;&gt;$B154,$B170&lt;&gt;$B155,$B171&lt;&gt;$B156,$B172&lt;&gt;$B157,$B173&lt;&gt;$B158,$B174&lt;&gt;$B159,$B175&lt;&gt;$B160,$B176&lt;&gt;$B161,$B177&lt;&gt;$B162,$B178&lt;&gt;$B163),IF($B170&lt;&gt;$B155,AB155/INDEX($C153:$AJ163,3,MATCH(IF('Data-solution'!$A$3="Maximize",MAX($C164:$AI164),MIN($C164:$AI164)),$C164:$AI164,0)),AB155-INDEX($C153:$AJ163,3,MATCH(IF('Data-solution'!$A$3="Maximize",MAX($C164:$AI164),MIN($C164:$AI164)),$C164:$AI164,0))*INDEX(AB153:$AJ163,MATCH(MIN($AK153:$AK163),$AK153:$AK163,0),1)/INDEX($C153:$AJ163,MATCH(MIN($AK153:$AK163),$AK153:$AK163,0),MATCH(IF('Data-solution'!$A$3="Maximize",MAX($C164:$AI164),MIN($C164:$AI164)),$C164:$AI164,0))),AB155)</f>
        <v>-0.49999999999999989</v>
      </c>
      <c r="AC170" s="1">
        <f>IF(OR($B168&lt;&gt;$B153,$B169&lt;&gt;$B154,$B170&lt;&gt;$B155,$B171&lt;&gt;$B156,$B172&lt;&gt;$B157,$B173&lt;&gt;$B158,$B174&lt;&gt;$B159,$B175&lt;&gt;$B160,$B176&lt;&gt;$B161,$B177&lt;&gt;$B162,$B178&lt;&gt;$B163),IF($B170&lt;&gt;$B155,AC155/INDEX($C153:$AJ163,3,MATCH(IF('Data-solution'!$A$3="Maximize",MAX($C164:$AI164),MIN($C164:$AI164)),$C164:$AI164,0)),AC155-INDEX($C153:$AJ163,3,MATCH(IF('Data-solution'!$A$3="Maximize",MAX($C164:$AI164),MIN($C164:$AI164)),$C164:$AI164,0))*INDEX(AC153:$AJ163,MATCH(MIN($AK153:$AK163),$AK153:$AK163,0),1)/INDEX($C153:$AJ163,MATCH(MIN($AK153:$AK163),$AK153:$AK163,0),MATCH(IF('Data-solution'!$A$3="Maximize",MAX($C164:$AI164),MIN($C164:$AI164)),$C164:$AI164,0))),AC155)</f>
        <v>0</v>
      </c>
      <c r="AD170" s="1">
        <f>IF(OR($B168&lt;&gt;$B153,$B169&lt;&gt;$B154,$B170&lt;&gt;$B155,$B171&lt;&gt;$B156,$B172&lt;&gt;$B157,$B173&lt;&gt;$B158,$B174&lt;&gt;$B159,$B175&lt;&gt;$B160,$B176&lt;&gt;$B161,$B177&lt;&gt;$B162,$B178&lt;&gt;$B163),IF($B170&lt;&gt;$B155,AD155/INDEX($C153:$AJ163,3,MATCH(IF('Data-solution'!$A$3="Maximize",MAX($C164:$AI164),MIN($C164:$AI164)),$C164:$AI164,0)),AD155-INDEX($C153:$AJ163,3,MATCH(IF('Data-solution'!$A$3="Maximize",MAX($C164:$AI164),MIN($C164:$AI164)),$C164:$AI164,0))*INDEX(AD153:$AJ163,MATCH(MIN($AK153:$AK163),$AK153:$AK163,0),1)/INDEX($C153:$AJ163,MATCH(MIN($AK153:$AK163),$AK153:$AK163,0),MATCH(IF('Data-solution'!$A$3="Maximize",MAX($C164:$AI164),MIN($C164:$AI164)),$C164:$AI164,0))),AD155)</f>
        <v>0</v>
      </c>
      <c r="AE170" s="1">
        <f>IF(OR($B168&lt;&gt;$B153,$B169&lt;&gt;$B154,$B170&lt;&gt;$B155,$B171&lt;&gt;$B156,$B172&lt;&gt;$B157,$B173&lt;&gt;$B158,$B174&lt;&gt;$B159,$B175&lt;&gt;$B160,$B176&lt;&gt;$B161,$B177&lt;&gt;$B162,$B178&lt;&gt;$B163),IF($B170&lt;&gt;$B155,AE155/INDEX($C153:$AJ163,3,MATCH(IF('Data-solution'!$A$3="Maximize",MAX($C164:$AI164),MIN($C164:$AI164)),$C164:$AI164,0)),AE155-INDEX($C153:$AJ163,3,MATCH(IF('Data-solution'!$A$3="Maximize",MAX($C164:$AI164),MIN($C164:$AI164)),$C164:$AI164,0))*INDEX(AE153:$AJ163,MATCH(MIN($AK153:$AK163),$AK153:$AK163,0),1)/INDEX($C153:$AJ163,MATCH(MIN($AK153:$AK163),$AK153:$AK163,0),MATCH(IF('Data-solution'!$A$3="Maximize",MAX($C164:$AI164),MIN($C164:$AI164)),$C164:$AI164,0))),AE155)</f>
        <v>0</v>
      </c>
      <c r="AF170" s="1">
        <f>IF(OR($B168&lt;&gt;$B153,$B169&lt;&gt;$B154,$B170&lt;&gt;$B155,$B171&lt;&gt;$B156,$B172&lt;&gt;$B157,$B173&lt;&gt;$B158,$B174&lt;&gt;$B159,$B175&lt;&gt;$B160,$B176&lt;&gt;$B161,$B177&lt;&gt;$B162,$B178&lt;&gt;$B163),IF($B170&lt;&gt;$B155,AF155/INDEX($C153:$AJ163,3,MATCH(IF('Data-solution'!$A$3="Maximize",MAX($C164:$AI164),MIN($C164:$AI164)),$C164:$AI164,0)),AF155-INDEX($C153:$AJ163,3,MATCH(IF('Data-solution'!$A$3="Maximize",MAX($C164:$AI164),MIN($C164:$AI164)),$C164:$AI164,0))*INDEX(AF153:$AJ163,MATCH(MIN($AK153:$AK163),$AK153:$AK163,0),1)/INDEX($C153:$AJ163,MATCH(MIN($AK153:$AK163),$AK153:$AK163,0),MATCH(IF('Data-solution'!$A$3="Maximize",MAX($C164:$AI164),MIN($C164:$AI164)),$C164:$AI164,0))),AF155)</f>
        <v>0</v>
      </c>
      <c r="AG170" s="1">
        <f>IF(OR($B168&lt;&gt;$B153,$B169&lt;&gt;$B154,$B170&lt;&gt;$B155,$B171&lt;&gt;$B156,$B172&lt;&gt;$B157,$B173&lt;&gt;$B158,$B174&lt;&gt;$B159,$B175&lt;&gt;$B160,$B176&lt;&gt;$B161,$B177&lt;&gt;$B162,$B178&lt;&gt;$B163),IF($B170&lt;&gt;$B155,AG155/INDEX($C153:$AJ163,3,MATCH(IF('Data-solution'!$A$3="Maximize",MAX($C164:$AI164),MIN($C164:$AI164)),$C164:$AI164,0)),AG155-INDEX($C153:$AJ163,3,MATCH(IF('Data-solution'!$A$3="Maximize",MAX($C164:$AI164),MIN($C164:$AI164)),$C164:$AI164,0))*INDEX(AG153:$AJ163,MATCH(MIN($AK153:$AK163),$AK153:$AK163,0),1)/INDEX($C153:$AJ163,MATCH(MIN($AK153:$AK163),$AK153:$AK163,0),MATCH(IF('Data-solution'!$A$3="Maximize",MAX($C164:$AI164),MIN($C164:$AI164)),$C164:$AI164,0))),AG155)</f>
        <v>0</v>
      </c>
      <c r="AH170" s="1">
        <f>IF(OR($B168&lt;&gt;$B153,$B169&lt;&gt;$B154,$B170&lt;&gt;$B155,$B171&lt;&gt;$B156,$B172&lt;&gt;$B157,$B173&lt;&gt;$B158,$B174&lt;&gt;$B159,$B175&lt;&gt;$B160,$B176&lt;&gt;$B161,$B177&lt;&gt;$B162,$B178&lt;&gt;$B163),IF($B170&lt;&gt;$B155,AH155/INDEX($C153:$AJ163,3,MATCH(IF('Data-solution'!$A$3="Maximize",MAX($C164:$AI164),MIN($C164:$AI164)),$C164:$AI164,0)),AH155-INDEX($C153:$AJ163,3,MATCH(IF('Data-solution'!$A$3="Maximize",MAX($C164:$AI164),MIN($C164:$AI164)),$C164:$AI164,0))*INDEX(AH153:$AJ163,MATCH(MIN($AK153:$AK163),$AK153:$AK163,0),1)/INDEX($C153:$AJ163,MATCH(MIN($AK153:$AK163),$AK153:$AK163,0),MATCH(IF('Data-solution'!$A$3="Maximize",MAX($C164:$AI164),MIN($C164:$AI164)),$C164:$AI164,0))),AH155)</f>
        <v>0</v>
      </c>
      <c r="AI170" s="1">
        <f>IF(OR($B168&lt;&gt;$B153,$B169&lt;&gt;$B154,$B170&lt;&gt;$B155,$B171&lt;&gt;$B156,$B172&lt;&gt;$B157,$B173&lt;&gt;$B158,$B174&lt;&gt;$B159,$B175&lt;&gt;$B160,$B176&lt;&gt;$B161,$B177&lt;&gt;$B162,$B178&lt;&gt;$B163),IF($B170&lt;&gt;$B155,AI155/INDEX($C153:$AJ163,3,MATCH(IF('Data-solution'!$A$3="Maximize",MAX($C164:$AI164),MIN($C164:$AI164)),$C164:$AI164,0)),AI155-INDEX($C153:$AJ163,3,MATCH(IF('Data-solution'!$A$3="Maximize",MAX($C164:$AI164),MIN($C164:$AI164)),$C164:$AI164,0))*INDEX(AI153:$AJ163,MATCH(MIN($AK153:$AK163),$AK153:$AK163,0),1)/INDEX($C153:$AJ163,MATCH(MIN($AK153:$AK163),$AK153:$AK163,0),MATCH(IF('Data-solution'!$A$3="Maximize",MAX($C164:$AI164),MIN($C164:$AI164)),$C164:$AI164,0))),AI155)</f>
        <v>0</v>
      </c>
      <c r="AJ170" s="1">
        <f>IF(OR($B168&lt;&gt;$B153,$B169&lt;&gt;$B154,$B170&lt;&gt;$B155,$B171&lt;&gt;$B156,$B172&lt;&gt;$B157,$B173&lt;&gt;$B158,$B174&lt;&gt;$B159,$B175&lt;&gt;$B160,$B176&lt;&gt;$B161,$B177&lt;&gt;$B162,$B178&lt;&gt;$B163),IF($B170&lt;&gt;$B155,AJ155/INDEX($C153:$AJ163,3,MATCH(IF('Data-solution'!$A$3="Maximize",MAX($C164:$AI164),MIN($C164:$AI164)),$C164:$AI164,0)),AJ155-INDEX($C153:$AJ163,3,MATCH(IF('Data-solution'!$A$3="Maximize",MAX($C164:$AI164),MIN($C164:$AI164)),$C164:$AI164,0))*INDEX(AJ153:$AJ163,MATCH(MIN($AK153:$AK163),$AK153:$AK163,0),1)/INDEX($C153:$AJ163,MATCH(MIN($AK153:$AK163),$AK153:$AK163,0),MATCH(IF('Data-solution'!$A$3="Maximize",MAX($C164:$AI164),MIN($C164:$AI164)),$C164:$AI164,0))),AJ155)</f>
        <v>300</v>
      </c>
      <c r="AK170" s="1" t="str">
        <f>IF(INDEX(C170:X170,1,MATCH(IF('Data-solution'!A$3="Maximize",MAX(C179:X179),MIN(C179:X179)),C179:X179,0))&gt;0,AJ170/INDEX(C170:X170,1,MATCH(IF('Data-solution'!A$3="Maximize",MAX(C179:X179),MIN(C179:X179)),C179:X179,0))," ")</f>
        <v xml:space="preserve"> </v>
      </c>
    </row>
    <row r="171" spans="1:37" ht="18" customHeight="1" x14ac:dyDescent="0.2">
      <c r="A171" s="1">
        <f t="shared" ref="A171" si="141">INDEX(C166:AI166,1,MATCH(B171,C167:AI167,0))</f>
        <v>150</v>
      </c>
      <c r="B171" s="2" t="str">
        <f>IF(AND('Data-solution'!A$3="Maximize",COUNTIF(C164:X164,"&gt;"&amp;0)&gt;0,AK156=MIN(AK153:AK163),COUNTIF(B168:B170,INDEX(C152:X152,1,MATCH(MAX(C164:X164),C164:X164,0)))=0),INDEX(C152:X152,1,MATCH(MAX(C164:X164),C164:X164,0)),IF(AND('Data-solution'!A$3="Minimize",COUNTIF(C164:X164,"&lt;"&amp;0)&gt;0,AK156=MIN(AK153:AK163),COUNTIF(B168:B170,INDEX(C152:X152,1,MATCH(MIN(C164:X164),C164:X164,0)))=0),INDEX(C152:X152,1,MATCH(MIN(C164:X164),C164:X164,0)),B156))</f>
        <v>X1</v>
      </c>
      <c r="C171" s="1">
        <f>IF(OR($B168&lt;&gt;$B153,$B169&lt;&gt;$B154,$B170&lt;&gt;$B155,$B171&lt;&gt;$B156,$B172&lt;&gt;$B157,$B173&lt;&gt;$B158,$B174&lt;&gt;$B159,$B175&lt;&gt;$B160,$B176&lt;&gt;$B161,$B177&lt;&gt;$B162,$B178&lt;&gt;$B163),IF($B171&lt;&gt;$B156,C156/INDEX($C153:$AJ163,4,MATCH(IF('Data-solution'!$A$3="Maximize",MAX($C164:$AI164),MIN($C164:$AI164)),$C164:$AI164,0)),C156-INDEX($C153:$AJ163,4,MATCH(IF('Data-solution'!$A$3="Maximize",MAX($C164:$AI164),MIN($C164:$AI164)),$C164:$AI164,0))*INDEX(C153:$AJ163,MATCH(MIN($AK153:$AK163),$AK153:$AK163,0),1)/INDEX($C153:$AJ163,MATCH(MIN($AK153:$AK163),$AK153:$AK163,0),MATCH(IF('Data-solution'!$A$3="Maximize",MAX($C164:$AI164),MIN($C164:$AI164)),$C164:$AI164,0))),C156)</f>
        <v>1</v>
      </c>
      <c r="D171" s="1">
        <f>IF(OR($B168&lt;&gt;$B153,$B169&lt;&gt;$B154,$B170&lt;&gt;$B155,$B171&lt;&gt;$B156,$B172&lt;&gt;$B157,$B173&lt;&gt;$B158,$B174&lt;&gt;$B159,$B175&lt;&gt;$B160,$B176&lt;&gt;$B161,$B177&lt;&gt;$B162,$B178&lt;&gt;$B163),IF($B171&lt;&gt;$B156,D156/INDEX($C153:$AJ163,4,MATCH(IF('Data-solution'!$A$3="Maximize",MAX($C164:$AI164),MIN($C164:$AI164)),$C164:$AI164,0)),D156-INDEX($C153:$AJ163,4,MATCH(IF('Data-solution'!$A$3="Maximize",MAX($C164:$AI164),MIN($C164:$AI164)),$C164:$AI164,0))*INDEX(D153:$AJ163,MATCH(MIN($AK153:$AK163),$AK153:$AK163,0),1)/INDEX($C153:$AJ163,MATCH(MIN($AK153:$AK163),$AK153:$AK163,0),MATCH(IF('Data-solution'!$A$3="Maximize",MAX($C164:$AI164),MIN($C164:$AI164)),$C164:$AI164,0))),D156)</f>
        <v>-1.25</v>
      </c>
      <c r="E171" s="1">
        <f>IF(OR($B168&lt;&gt;$B153,$B169&lt;&gt;$B154,$B170&lt;&gt;$B155,$B171&lt;&gt;$B156,$B172&lt;&gt;$B157,$B173&lt;&gt;$B158,$B174&lt;&gt;$B159,$B175&lt;&gt;$B160,$B176&lt;&gt;$B161,$B177&lt;&gt;$B162,$B178&lt;&gt;$B163),IF($B171&lt;&gt;$B156,E156/INDEX($C153:$AJ163,4,MATCH(IF('Data-solution'!$A$3="Maximize",MAX($C164:$AI164),MIN($C164:$AI164)),$C164:$AI164,0)),E156-INDEX($C153:$AJ163,4,MATCH(IF('Data-solution'!$A$3="Maximize",MAX($C164:$AI164),MIN($C164:$AI164)),$C164:$AI164,0))*INDEX(E153:$AJ163,MATCH(MIN($AK153:$AK163),$AK153:$AK163,0),1)/INDEX($C153:$AJ163,MATCH(MIN($AK153:$AK163),$AK153:$AK163,0),MATCH(IF('Data-solution'!$A$3="Maximize",MAX($C164:$AI164),MIN($C164:$AI164)),$C164:$AI164,0))),E156)</f>
        <v>0</v>
      </c>
      <c r="F171" s="1">
        <f>IF(OR($B168&lt;&gt;$B153,$B169&lt;&gt;$B154,$B170&lt;&gt;$B155,$B171&lt;&gt;$B156,$B172&lt;&gt;$B157,$B173&lt;&gt;$B158,$B174&lt;&gt;$B159,$B175&lt;&gt;$B160,$B176&lt;&gt;$B161,$B177&lt;&gt;$B162,$B178&lt;&gt;$B163),IF($B171&lt;&gt;$B156,F156/INDEX($C153:$AJ163,4,MATCH(IF('Data-solution'!$A$3="Maximize",MAX($C164:$AI164),MIN($C164:$AI164)),$C164:$AI164,0)),F156-INDEX($C153:$AJ163,4,MATCH(IF('Data-solution'!$A$3="Maximize",MAX($C164:$AI164),MIN($C164:$AI164)),$C164:$AI164,0))*INDEX(F153:$AJ163,MATCH(MIN($AK153:$AK163),$AK153:$AK163,0),1)/INDEX($C153:$AJ163,MATCH(MIN($AK153:$AK163),$AK153:$AK163,0),MATCH(IF('Data-solution'!$A$3="Maximize",MAX($C164:$AI164),MIN($C164:$AI164)),$C164:$AI164,0))),F156)</f>
        <v>0</v>
      </c>
      <c r="G171" s="1">
        <f>IF(OR($B168&lt;&gt;$B153,$B169&lt;&gt;$B154,$B170&lt;&gt;$B155,$B171&lt;&gt;$B156,$B172&lt;&gt;$B157,$B173&lt;&gt;$B158,$B174&lt;&gt;$B159,$B175&lt;&gt;$B160,$B176&lt;&gt;$B161,$B177&lt;&gt;$B162,$B178&lt;&gt;$B163),IF($B171&lt;&gt;$B156,G156/INDEX($C153:$AJ163,4,MATCH(IF('Data-solution'!$A$3="Maximize",MAX($C164:$AI164),MIN($C164:$AI164)),$C164:$AI164,0)),G156-INDEX($C153:$AJ163,4,MATCH(IF('Data-solution'!$A$3="Maximize",MAX($C164:$AI164),MIN($C164:$AI164)),$C164:$AI164,0))*INDEX(G153:$AJ163,MATCH(MIN($AK153:$AK163),$AK153:$AK163,0),1)/INDEX($C153:$AJ163,MATCH(MIN($AK153:$AK163),$AK153:$AK163,0),MATCH(IF('Data-solution'!$A$3="Maximize",MAX($C164:$AI164),MIN($C164:$AI164)),$C164:$AI164,0))),G156)</f>
        <v>0</v>
      </c>
      <c r="H171" s="1">
        <f>IF(OR($B168&lt;&gt;$B153,$B169&lt;&gt;$B154,$B170&lt;&gt;$B155,$B171&lt;&gt;$B156,$B172&lt;&gt;$B157,$B173&lt;&gt;$B158,$B174&lt;&gt;$B159,$B175&lt;&gt;$B160,$B176&lt;&gt;$B161,$B177&lt;&gt;$B162,$B178&lt;&gt;$B163),IF($B171&lt;&gt;$B156,H156/INDEX($C153:$AJ163,4,MATCH(IF('Data-solution'!$A$3="Maximize",MAX($C164:$AI164),MIN($C164:$AI164)),$C164:$AI164,0)),H156-INDEX($C153:$AJ163,4,MATCH(IF('Data-solution'!$A$3="Maximize",MAX($C164:$AI164),MIN($C164:$AI164)),$C164:$AI164,0))*INDEX(H153:$AJ163,MATCH(MIN($AK153:$AK163),$AK153:$AK163,0),1)/INDEX($C153:$AJ163,MATCH(MIN($AK153:$AK163),$AK153:$AK163,0),MATCH(IF('Data-solution'!$A$3="Maximize",MAX($C164:$AI164),MIN($C164:$AI164)),$C164:$AI164,0))),H156)</f>
        <v>0</v>
      </c>
      <c r="I171" s="1">
        <f>IF(OR($B168&lt;&gt;$B153,$B169&lt;&gt;$B154,$B170&lt;&gt;$B155,$B171&lt;&gt;$B156,$B172&lt;&gt;$B157,$B173&lt;&gt;$B158,$B174&lt;&gt;$B159,$B175&lt;&gt;$B160,$B176&lt;&gt;$B161,$B177&lt;&gt;$B162,$B178&lt;&gt;$B163),IF($B171&lt;&gt;$B156,I156/INDEX($C153:$AJ163,4,MATCH(IF('Data-solution'!$A$3="Maximize",MAX($C164:$AI164),MIN($C164:$AI164)),$C164:$AI164,0)),I156-INDEX($C153:$AJ163,4,MATCH(IF('Data-solution'!$A$3="Maximize",MAX($C164:$AI164),MIN($C164:$AI164)),$C164:$AI164,0))*INDEX(I153:$AJ163,MATCH(MIN($AK153:$AK163),$AK153:$AK163,0),1)/INDEX($C153:$AJ163,MATCH(MIN($AK153:$AK163),$AK153:$AK163,0),MATCH(IF('Data-solution'!$A$3="Maximize",MAX($C164:$AI164),MIN($C164:$AI164)),$C164:$AI164,0))),I156)</f>
        <v>0</v>
      </c>
      <c r="J171" s="1">
        <f>IF(OR($B168&lt;&gt;$B153,$B169&lt;&gt;$B154,$B170&lt;&gt;$B155,$B171&lt;&gt;$B156,$B172&lt;&gt;$B157,$B173&lt;&gt;$B158,$B174&lt;&gt;$B159,$B175&lt;&gt;$B160,$B176&lt;&gt;$B161,$B177&lt;&gt;$B162,$B178&lt;&gt;$B163),IF($B171&lt;&gt;$B156,J156/INDEX($C153:$AJ163,4,MATCH(IF('Data-solution'!$A$3="Maximize",MAX($C164:$AI164),MIN($C164:$AI164)),$C164:$AI164,0)),J156-INDEX($C153:$AJ163,4,MATCH(IF('Data-solution'!$A$3="Maximize",MAX($C164:$AI164),MIN($C164:$AI164)),$C164:$AI164,0))*INDEX(J153:$AJ163,MATCH(MIN($AK153:$AK163),$AK153:$AK163,0),1)/INDEX($C153:$AJ163,MATCH(MIN($AK153:$AK163),$AK153:$AK163,0),MATCH(IF('Data-solution'!$A$3="Maximize",MAX($C164:$AI164),MIN($C164:$AI164)),$C164:$AI164,0))),J156)</f>
        <v>0</v>
      </c>
      <c r="K171" s="1">
        <f>IF(OR($B168&lt;&gt;$B153,$B169&lt;&gt;$B154,$B170&lt;&gt;$B155,$B171&lt;&gt;$B156,$B172&lt;&gt;$B157,$B173&lt;&gt;$B158,$B174&lt;&gt;$B159,$B175&lt;&gt;$B160,$B176&lt;&gt;$B161,$B177&lt;&gt;$B162,$B178&lt;&gt;$B163),IF($B171&lt;&gt;$B156,K156/INDEX($C153:$AJ163,4,MATCH(IF('Data-solution'!$A$3="Maximize",MAX($C164:$AI164),MIN($C164:$AI164)),$C164:$AI164,0)),K156-INDEX($C153:$AJ163,4,MATCH(IF('Data-solution'!$A$3="Maximize",MAX($C164:$AI164),MIN($C164:$AI164)),$C164:$AI164,0))*INDEX(K153:$AJ163,MATCH(MIN($AK153:$AK163),$AK153:$AK163,0),1)/INDEX($C153:$AJ163,MATCH(MIN($AK153:$AK163),$AK153:$AK163,0),MATCH(IF('Data-solution'!$A$3="Maximize",MAX($C164:$AI164),MIN($C164:$AI164)),$C164:$AI164,0))),K156)</f>
        <v>0</v>
      </c>
      <c r="L171" s="1">
        <f>IF(OR($B168&lt;&gt;$B153,$B169&lt;&gt;$B154,$B170&lt;&gt;$B155,$B171&lt;&gt;$B156,$B172&lt;&gt;$B157,$B173&lt;&gt;$B158,$B174&lt;&gt;$B159,$B175&lt;&gt;$B160,$B176&lt;&gt;$B161,$B177&lt;&gt;$B162,$B178&lt;&gt;$B163),IF($B171&lt;&gt;$B156,L156/INDEX($C153:$AJ163,4,MATCH(IF('Data-solution'!$A$3="Maximize",MAX($C164:$AI164),MIN($C164:$AI164)),$C164:$AI164,0)),L156-INDEX($C153:$AJ163,4,MATCH(IF('Data-solution'!$A$3="Maximize",MAX($C164:$AI164),MIN($C164:$AI164)),$C164:$AI164,0))*INDEX(L153:$AJ163,MATCH(MIN($AK153:$AK163),$AK153:$AK163,0),1)/INDEX($C153:$AJ163,MATCH(MIN($AK153:$AK163),$AK153:$AK163,0),MATCH(IF('Data-solution'!$A$3="Maximize",MAX($C164:$AI164),MIN($C164:$AI164)),$C164:$AI164,0))),L156)</f>
        <v>0</v>
      </c>
      <c r="M171" s="1">
        <f>IF(OR($B168&lt;&gt;$B153,$B169&lt;&gt;$B154,$B170&lt;&gt;$B155,$B171&lt;&gt;$B156,$B172&lt;&gt;$B157,$B173&lt;&gt;$B158,$B174&lt;&gt;$B159,$B175&lt;&gt;$B160,$B176&lt;&gt;$B161,$B177&lt;&gt;$B162,$B178&lt;&gt;$B163),IF($B171&lt;&gt;$B156,M156/INDEX($C153:$AJ163,4,MATCH(IF('Data-solution'!$A$3="Maximize",MAX($C164:$AI164),MIN($C164:$AI164)),$C164:$AI164,0)),M156-INDEX($C153:$AJ163,4,MATCH(IF('Data-solution'!$A$3="Maximize",MAX($C164:$AI164),MIN($C164:$AI164)),$C164:$AI164,0))*INDEX(M153:$AJ163,MATCH(MIN($AK153:$AK163),$AK153:$AK163,0),1)/INDEX($C153:$AJ163,MATCH(MIN($AK153:$AK163),$AK153:$AK163,0),MATCH(IF('Data-solution'!$A$3="Maximize",MAX($C164:$AI164),MIN($C164:$AI164)),$C164:$AI164,0))),M156)</f>
        <v>0</v>
      </c>
      <c r="N171" s="1">
        <f>IF(OR($B168&lt;&gt;$B153,$B169&lt;&gt;$B154,$B170&lt;&gt;$B155,$B171&lt;&gt;$B156,$B172&lt;&gt;$B157,$B173&lt;&gt;$B158,$B174&lt;&gt;$B159,$B175&lt;&gt;$B160,$B176&lt;&gt;$B161,$B177&lt;&gt;$B162,$B178&lt;&gt;$B163),IF($B171&lt;&gt;$B156,N156/INDEX($C153:$AJ163,4,MATCH(IF('Data-solution'!$A$3="Maximize",MAX($C164:$AI164),MIN($C164:$AI164)),$C164:$AI164,0)),N156-INDEX($C153:$AJ163,4,MATCH(IF('Data-solution'!$A$3="Maximize",MAX($C164:$AI164),MIN($C164:$AI164)),$C164:$AI164,0))*INDEX(N153:$AJ163,MATCH(MIN($AK153:$AK163),$AK153:$AK163,0),1)/INDEX($C153:$AJ163,MATCH(MIN($AK153:$AK163),$AK153:$AK163,0),MATCH(IF('Data-solution'!$A$3="Maximize",MAX($C164:$AI164),MIN($C164:$AI164)),$C164:$AI164,0))),N156)</f>
        <v>0</v>
      </c>
      <c r="O171" s="1">
        <f>IF(OR($B168&lt;&gt;$B153,$B169&lt;&gt;$B154,$B170&lt;&gt;$B155,$B171&lt;&gt;$B156,$B172&lt;&gt;$B157,$B173&lt;&gt;$B158,$B174&lt;&gt;$B159,$B175&lt;&gt;$B160,$B176&lt;&gt;$B161,$B177&lt;&gt;$B162,$B178&lt;&gt;$B163),IF($B171&lt;&gt;$B156,O156/INDEX($C153:$AJ163,4,MATCH(IF('Data-solution'!$A$3="Maximize",MAX($C164:$AI164),MIN($C164:$AI164)),$C164:$AI164,0)),O156-INDEX($C153:$AJ163,4,MATCH(IF('Data-solution'!$A$3="Maximize",MAX($C164:$AI164),MIN($C164:$AI164)),$C164:$AI164,0))*INDEX(O153:$AJ163,MATCH(MIN($AK153:$AK163),$AK153:$AK163,0),1)/INDEX($C153:$AJ163,MATCH(MIN($AK153:$AK163),$AK153:$AK163,0),MATCH(IF('Data-solution'!$A$3="Maximize",MAX($C164:$AI164),MIN($C164:$AI164)),$C164:$AI164,0))),O156)</f>
        <v>0</v>
      </c>
      <c r="P171" s="1">
        <f>IF(OR($B168&lt;&gt;$B153,$B169&lt;&gt;$B154,$B170&lt;&gt;$B155,$B171&lt;&gt;$B156,$B172&lt;&gt;$B157,$B173&lt;&gt;$B158,$B174&lt;&gt;$B159,$B175&lt;&gt;$B160,$B176&lt;&gt;$B161,$B177&lt;&gt;$B162,$B178&lt;&gt;$B163),IF($B171&lt;&gt;$B156,P156/INDEX($C153:$AJ163,4,MATCH(IF('Data-solution'!$A$3="Maximize",MAX($C164:$AI164),MIN($C164:$AI164)),$C164:$AI164,0)),P156-INDEX($C153:$AJ163,4,MATCH(IF('Data-solution'!$A$3="Maximize",MAX($C164:$AI164),MIN($C164:$AI164)),$C164:$AI164,0))*INDEX(P153:$AJ163,MATCH(MIN($AK153:$AK163),$AK153:$AK163,0),1)/INDEX($C153:$AJ163,MATCH(MIN($AK153:$AK163),$AK153:$AK163,0),MATCH(IF('Data-solution'!$A$3="Maximize",MAX($C164:$AI164),MIN($C164:$AI164)),$C164:$AI164,0))),P156)</f>
        <v>-0.24999999999999994</v>
      </c>
      <c r="Q171" s="1">
        <f>IF(OR($B168&lt;&gt;$B153,$B169&lt;&gt;$B154,$B170&lt;&gt;$B155,$B171&lt;&gt;$B156,$B172&lt;&gt;$B157,$B173&lt;&gt;$B158,$B174&lt;&gt;$B159,$B175&lt;&gt;$B160,$B176&lt;&gt;$B161,$B177&lt;&gt;$B162,$B178&lt;&gt;$B163),IF($B171&lt;&gt;$B156,Q156/INDEX($C153:$AJ163,4,MATCH(IF('Data-solution'!$A$3="Maximize",MAX($C164:$AI164),MIN($C164:$AI164)),$C164:$AI164,0)),Q156-INDEX($C153:$AJ163,4,MATCH(IF('Data-solution'!$A$3="Maximize",MAX($C164:$AI164),MIN($C164:$AI164)),$C164:$AI164,0))*INDEX(Q153:$AJ163,MATCH(MIN($AK153:$AK163),$AK153:$AK163,0),1)/INDEX($C153:$AJ163,MATCH(MIN($AK153:$AK163),$AK153:$AK163,0),MATCH(IF('Data-solution'!$A$3="Maximize",MAX($C164:$AI164),MIN($C164:$AI164)),$C164:$AI164,0))),Q156)</f>
        <v>1.4999999999999998</v>
      </c>
      <c r="R171" s="1">
        <f>IF(OR($B168&lt;&gt;$B153,$B169&lt;&gt;$B154,$B170&lt;&gt;$B155,$B171&lt;&gt;$B156,$B172&lt;&gt;$B157,$B173&lt;&gt;$B158,$B174&lt;&gt;$B159,$B175&lt;&gt;$B160,$B176&lt;&gt;$B161,$B177&lt;&gt;$B162,$B178&lt;&gt;$B163),IF($B171&lt;&gt;$B156,R156/INDEX($C153:$AJ163,4,MATCH(IF('Data-solution'!$A$3="Maximize",MAX($C164:$AI164),MIN($C164:$AI164)),$C164:$AI164,0)),R156-INDEX($C153:$AJ163,4,MATCH(IF('Data-solution'!$A$3="Maximize",MAX($C164:$AI164),MIN($C164:$AI164)),$C164:$AI164,0))*INDEX(R153:$AJ163,MATCH(MIN($AK153:$AK163),$AK153:$AK163,0),1)/INDEX($C153:$AJ163,MATCH(MIN($AK153:$AK163),$AK153:$AK163,0),MATCH(IF('Data-solution'!$A$3="Maximize",MAX($C164:$AI164),MIN($C164:$AI164)),$C164:$AI164,0))),R156)</f>
        <v>0</v>
      </c>
      <c r="S171" s="1">
        <f>IF(OR($B168&lt;&gt;$B153,$B169&lt;&gt;$B154,$B170&lt;&gt;$B155,$B171&lt;&gt;$B156,$B172&lt;&gt;$B157,$B173&lt;&gt;$B158,$B174&lt;&gt;$B159,$B175&lt;&gt;$B160,$B176&lt;&gt;$B161,$B177&lt;&gt;$B162,$B178&lt;&gt;$B163),IF($B171&lt;&gt;$B156,S156/INDEX($C153:$AJ163,4,MATCH(IF('Data-solution'!$A$3="Maximize",MAX($C164:$AI164),MIN($C164:$AI164)),$C164:$AI164,0)),S156-INDEX($C153:$AJ163,4,MATCH(IF('Data-solution'!$A$3="Maximize",MAX($C164:$AI164),MIN($C164:$AI164)),$C164:$AI164,0))*INDEX(S153:$AJ163,MATCH(MIN($AK153:$AK163),$AK153:$AK163,0),1)/INDEX($C153:$AJ163,MATCH(MIN($AK153:$AK163),$AK153:$AK163,0),MATCH(IF('Data-solution'!$A$3="Maximize",MAX($C164:$AI164),MIN($C164:$AI164)),$C164:$AI164,0))),S156)</f>
        <v>0</v>
      </c>
      <c r="T171" s="1">
        <f>IF(OR($B168&lt;&gt;$B153,$B169&lt;&gt;$B154,$B170&lt;&gt;$B155,$B171&lt;&gt;$B156,$B172&lt;&gt;$B157,$B173&lt;&gt;$B158,$B174&lt;&gt;$B159,$B175&lt;&gt;$B160,$B176&lt;&gt;$B161,$B177&lt;&gt;$B162,$B178&lt;&gt;$B163),IF($B171&lt;&gt;$B156,T156/INDEX($C153:$AJ163,4,MATCH(IF('Data-solution'!$A$3="Maximize",MAX($C164:$AI164),MIN($C164:$AI164)),$C164:$AI164,0)),T156-INDEX($C153:$AJ163,4,MATCH(IF('Data-solution'!$A$3="Maximize",MAX($C164:$AI164),MIN($C164:$AI164)),$C164:$AI164,0))*INDEX(T153:$AJ163,MATCH(MIN($AK153:$AK163),$AK153:$AK163,0),1)/INDEX($C153:$AJ163,MATCH(MIN($AK153:$AK163),$AK153:$AK163,0),MATCH(IF('Data-solution'!$A$3="Maximize",MAX($C164:$AI164),MIN($C164:$AI164)),$C164:$AI164,0))),T156)</f>
        <v>0</v>
      </c>
      <c r="U171" s="1">
        <f>IF(OR($B168&lt;&gt;$B153,$B169&lt;&gt;$B154,$B170&lt;&gt;$B155,$B171&lt;&gt;$B156,$B172&lt;&gt;$B157,$B173&lt;&gt;$B158,$B174&lt;&gt;$B159,$B175&lt;&gt;$B160,$B176&lt;&gt;$B161,$B177&lt;&gt;$B162,$B178&lt;&gt;$B163),IF($B171&lt;&gt;$B156,U156/INDEX($C153:$AJ163,4,MATCH(IF('Data-solution'!$A$3="Maximize",MAX($C164:$AI164),MIN($C164:$AI164)),$C164:$AI164,0)),U156-INDEX($C153:$AJ163,4,MATCH(IF('Data-solution'!$A$3="Maximize",MAX($C164:$AI164),MIN($C164:$AI164)),$C164:$AI164,0))*INDEX(U153:$AJ163,MATCH(MIN($AK153:$AK163),$AK153:$AK163,0),1)/INDEX($C153:$AJ163,MATCH(MIN($AK153:$AK163),$AK153:$AK163,0),MATCH(IF('Data-solution'!$A$3="Maximize",MAX($C164:$AI164),MIN($C164:$AI164)),$C164:$AI164,0))),U156)</f>
        <v>0</v>
      </c>
      <c r="V171" s="1">
        <f>IF(OR($B168&lt;&gt;$B153,$B169&lt;&gt;$B154,$B170&lt;&gt;$B155,$B171&lt;&gt;$B156,$B172&lt;&gt;$B157,$B173&lt;&gt;$B158,$B174&lt;&gt;$B159,$B175&lt;&gt;$B160,$B176&lt;&gt;$B161,$B177&lt;&gt;$B162,$B178&lt;&gt;$B163),IF($B171&lt;&gt;$B156,V156/INDEX($C153:$AJ163,4,MATCH(IF('Data-solution'!$A$3="Maximize",MAX($C164:$AI164),MIN($C164:$AI164)),$C164:$AI164,0)),V156-INDEX($C153:$AJ163,4,MATCH(IF('Data-solution'!$A$3="Maximize",MAX($C164:$AI164),MIN($C164:$AI164)),$C164:$AI164,0))*INDEX(V153:$AJ163,MATCH(MIN($AK153:$AK163),$AK153:$AK163,0),1)/INDEX($C153:$AJ163,MATCH(MIN($AK153:$AK163),$AK153:$AK163,0),MATCH(IF('Data-solution'!$A$3="Maximize",MAX($C164:$AI164),MIN($C164:$AI164)),$C164:$AI164,0))),V156)</f>
        <v>0</v>
      </c>
      <c r="W171" s="1">
        <f>IF(OR($B168&lt;&gt;$B153,$B169&lt;&gt;$B154,$B170&lt;&gt;$B155,$B171&lt;&gt;$B156,$B172&lt;&gt;$B157,$B173&lt;&gt;$B158,$B174&lt;&gt;$B159,$B175&lt;&gt;$B160,$B176&lt;&gt;$B161,$B177&lt;&gt;$B162,$B178&lt;&gt;$B163),IF($B171&lt;&gt;$B156,W156/INDEX($C153:$AJ163,4,MATCH(IF('Data-solution'!$A$3="Maximize",MAX($C164:$AI164),MIN($C164:$AI164)),$C164:$AI164,0)),W156-INDEX($C153:$AJ163,4,MATCH(IF('Data-solution'!$A$3="Maximize",MAX($C164:$AI164),MIN($C164:$AI164)),$C164:$AI164,0))*INDEX(W153:$AJ163,MATCH(MIN($AK153:$AK163),$AK153:$AK163,0),1)/INDEX($C153:$AJ163,MATCH(MIN($AK153:$AK163),$AK153:$AK163,0),MATCH(IF('Data-solution'!$A$3="Maximize",MAX($C164:$AI164),MIN($C164:$AI164)),$C164:$AI164,0))),W156)</f>
        <v>0</v>
      </c>
      <c r="X171" s="1">
        <f>IF(OR($B168&lt;&gt;$B153,$B169&lt;&gt;$B154,$B170&lt;&gt;$B155,$B171&lt;&gt;$B156,$B172&lt;&gt;$B157,$B173&lt;&gt;$B158,$B174&lt;&gt;$B159,$B175&lt;&gt;$B160,$B176&lt;&gt;$B161,$B177&lt;&gt;$B162,$B178&lt;&gt;$B163),IF($B171&lt;&gt;$B156,X156/INDEX($C153:$AJ163,4,MATCH(IF('Data-solution'!$A$3="Maximize",MAX($C164:$AI164),MIN($C164:$AI164)),$C164:$AI164,0)),X156-INDEX($C153:$AJ163,4,MATCH(IF('Data-solution'!$A$3="Maximize",MAX($C164:$AI164),MIN($C164:$AI164)),$C164:$AI164,0))*INDEX(X153:$AJ163,MATCH(MIN($AK153:$AK163),$AK153:$AK163,0),1)/INDEX($C153:$AJ163,MATCH(MIN($AK153:$AK163),$AK153:$AK163,0),MATCH(IF('Data-solution'!$A$3="Maximize",MAX($C164:$AI164),MIN($C164:$AI164)),$C164:$AI164,0))),X156)</f>
        <v>0</v>
      </c>
      <c r="Y171" s="1">
        <f>IF(OR($B168&lt;&gt;$B153,$B169&lt;&gt;$B154,$B170&lt;&gt;$B155,$B171&lt;&gt;$B156,$B172&lt;&gt;$B157,$B173&lt;&gt;$B158,$B174&lt;&gt;$B159,$B175&lt;&gt;$B160,$B176&lt;&gt;$B161,$B177&lt;&gt;$B162,$B178&lt;&gt;$B163),IF($B171&lt;&gt;$B156,Y156/INDEX($C153:$AJ163,4,MATCH(IF('Data-solution'!$A$3="Maximize",MAX($C164:$AI164),MIN($C164:$AI164)),$C164:$AI164,0)),Y156-INDEX($C153:$AJ163,4,MATCH(IF('Data-solution'!$A$3="Maximize",MAX($C164:$AI164),MIN($C164:$AI164)),$C164:$AI164,0))*INDEX(Y153:$AJ163,MATCH(MIN($AK153:$AK163),$AK153:$AK163,0),1)/INDEX($C153:$AJ163,MATCH(MIN($AK153:$AK163),$AK153:$AK163,0),MATCH(IF('Data-solution'!$A$3="Maximize",MAX($C164:$AI164),MIN($C164:$AI164)),$C164:$AI164,0))),Y156)</f>
        <v>0</v>
      </c>
      <c r="Z171" s="1">
        <f>IF(OR($B168&lt;&gt;$B153,$B169&lt;&gt;$B154,$B170&lt;&gt;$B155,$B171&lt;&gt;$B156,$B172&lt;&gt;$B157,$B173&lt;&gt;$B158,$B174&lt;&gt;$B159,$B175&lt;&gt;$B160,$B176&lt;&gt;$B161,$B177&lt;&gt;$B162,$B178&lt;&gt;$B163),IF($B171&lt;&gt;$B156,Z156/INDEX($C153:$AJ163,4,MATCH(IF('Data-solution'!$A$3="Maximize",MAX($C164:$AI164),MIN($C164:$AI164)),$C164:$AI164,0)),Z156-INDEX($C153:$AJ163,4,MATCH(IF('Data-solution'!$A$3="Maximize",MAX($C164:$AI164),MIN($C164:$AI164)),$C164:$AI164,0))*INDEX(Z153:$AJ163,MATCH(MIN($AK153:$AK163),$AK153:$AK163,0),1)/INDEX($C153:$AJ163,MATCH(MIN($AK153:$AK163),$AK153:$AK163,0),MATCH(IF('Data-solution'!$A$3="Maximize",MAX($C164:$AI164),MIN($C164:$AI164)),$C164:$AI164,0))),Z156)</f>
        <v>0</v>
      </c>
      <c r="AA171" s="1">
        <f>IF(OR($B168&lt;&gt;$B153,$B169&lt;&gt;$B154,$B170&lt;&gt;$B155,$B171&lt;&gt;$B156,$B172&lt;&gt;$B157,$B173&lt;&gt;$B158,$B174&lt;&gt;$B159,$B175&lt;&gt;$B160,$B176&lt;&gt;$B161,$B177&lt;&gt;$B162,$B178&lt;&gt;$B163),IF($B171&lt;&gt;$B156,AA156/INDEX($C153:$AJ163,4,MATCH(IF('Data-solution'!$A$3="Maximize",MAX($C164:$AI164),MIN($C164:$AI164)),$C164:$AI164,0)),AA156-INDEX($C153:$AJ163,4,MATCH(IF('Data-solution'!$A$3="Maximize",MAX($C164:$AI164),MIN($C164:$AI164)),$C164:$AI164,0))*INDEX(AA153:$AJ163,MATCH(MIN($AK153:$AK163),$AK153:$AK163,0),1)/INDEX($C153:$AJ163,MATCH(MIN($AK153:$AK163),$AK153:$AK163,0),MATCH(IF('Data-solution'!$A$3="Maximize",MAX($C164:$AI164),MIN($C164:$AI164)),$C164:$AI164,0))),AA156)</f>
        <v>-0.24999999999999994</v>
      </c>
      <c r="AB171" s="1">
        <f>IF(OR($B168&lt;&gt;$B153,$B169&lt;&gt;$B154,$B170&lt;&gt;$B155,$B171&lt;&gt;$B156,$B172&lt;&gt;$B157,$B173&lt;&gt;$B158,$B174&lt;&gt;$B159,$B175&lt;&gt;$B160,$B176&lt;&gt;$B161,$B177&lt;&gt;$B162,$B178&lt;&gt;$B163),IF($B171&lt;&gt;$B156,AB156/INDEX($C153:$AJ163,4,MATCH(IF('Data-solution'!$A$3="Maximize",MAX($C164:$AI164),MIN($C164:$AI164)),$C164:$AI164,0)),AB156-INDEX($C153:$AJ163,4,MATCH(IF('Data-solution'!$A$3="Maximize",MAX($C164:$AI164),MIN($C164:$AI164)),$C164:$AI164,0))*INDEX(AB153:$AJ163,MATCH(MIN($AK153:$AK163),$AK153:$AK163,0),1)/INDEX($C153:$AJ163,MATCH(MIN($AK153:$AK163),$AK153:$AK163,0),MATCH(IF('Data-solution'!$A$3="Maximize",MAX($C164:$AI164),MIN($C164:$AI164)),$C164:$AI164,0))),AB156)</f>
        <v>1.4999999999999998</v>
      </c>
      <c r="AC171" s="1">
        <f>IF(OR($B168&lt;&gt;$B153,$B169&lt;&gt;$B154,$B170&lt;&gt;$B155,$B171&lt;&gt;$B156,$B172&lt;&gt;$B157,$B173&lt;&gt;$B158,$B174&lt;&gt;$B159,$B175&lt;&gt;$B160,$B176&lt;&gt;$B161,$B177&lt;&gt;$B162,$B178&lt;&gt;$B163),IF($B171&lt;&gt;$B156,AC156/INDEX($C153:$AJ163,4,MATCH(IF('Data-solution'!$A$3="Maximize",MAX($C164:$AI164),MIN($C164:$AI164)),$C164:$AI164,0)),AC156-INDEX($C153:$AJ163,4,MATCH(IF('Data-solution'!$A$3="Maximize",MAX($C164:$AI164),MIN($C164:$AI164)),$C164:$AI164,0))*INDEX(AC153:$AJ163,MATCH(MIN($AK153:$AK163),$AK153:$AK163,0),1)/INDEX($C153:$AJ163,MATCH(MIN($AK153:$AK163),$AK153:$AK163,0),MATCH(IF('Data-solution'!$A$3="Maximize",MAX($C164:$AI164),MIN($C164:$AI164)),$C164:$AI164,0))),AC156)</f>
        <v>0</v>
      </c>
      <c r="AD171" s="1">
        <f>IF(OR($B168&lt;&gt;$B153,$B169&lt;&gt;$B154,$B170&lt;&gt;$B155,$B171&lt;&gt;$B156,$B172&lt;&gt;$B157,$B173&lt;&gt;$B158,$B174&lt;&gt;$B159,$B175&lt;&gt;$B160,$B176&lt;&gt;$B161,$B177&lt;&gt;$B162,$B178&lt;&gt;$B163),IF($B171&lt;&gt;$B156,AD156/INDEX($C153:$AJ163,4,MATCH(IF('Data-solution'!$A$3="Maximize",MAX($C164:$AI164),MIN($C164:$AI164)),$C164:$AI164,0)),AD156-INDEX($C153:$AJ163,4,MATCH(IF('Data-solution'!$A$3="Maximize",MAX($C164:$AI164),MIN($C164:$AI164)),$C164:$AI164,0))*INDEX(AD153:$AJ163,MATCH(MIN($AK153:$AK163),$AK153:$AK163,0),1)/INDEX($C153:$AJ163,MATCH(MIN($AK153:$AK163),$AK153:$AK163,0),MATCH(IF('Data-solution'!$A$3="Maximize",MAX($C164:$AI164),MIN($C164:$AI164)),$C164:$AI164,0))),AD156)</f>
        <v>0</v>
      </c>
      <c r="AE171" s="1">
        <f>IF(OR($B168&lt;&gt;$B153,$B169&lt;&gt;$B154,$B170&lt;&gt;$B155,$B171&lt;&gt;$B156,$B172&lt;&gt;$B157,$B173&lt;&gt;$B158,$B174&lt;&gt;$B159,$B175&lt;&gt;$B160,$B176&lt;&gt;$B161,$B177&lt;&gt;$B162,$B178&lt;&gt;$B163),IF($B171&lt;&gt;$B156,AE156/INDEX($C153:$AJ163,4,MATCH(IF('Data-solution'!$A$3="Maximize",MAX($C164:$AI164),MIN($C164:$AI164)),$C164:$AI164,0)),AE156-INDEX($C153:$AJ163,4,MATCH(IF('Data-solution'!$A$3="Maximize",MAX($C164:$AI164),MIN($C164:$AI164)),$C164:$AI164,0))*INDEX(AE153:$AJ163,MATCH(MIN($AK153:$AK163),$AK153:$AK163,0),1)/INDEX($C153:$AJ163,MATCH(MIN($AK153:$AK163),$AK153:$AK163,0),MATCH(IF('Data-solution'!$A$3="Maximize",MAX($C164:$AI164),MIN($C164:$AI164)),$C164:$AI164,0))),AE156)</f>
        <v>0</v>
      </c>
      <c r="AF171" s="1">
        <f>IF(OR($B168&lt;&gt;$B153,$B169&lt;&gt;$B154,$B170&lt;&gt;$B155,$B171&lt;&gt;$B156,$B172&lt;&gt;$B157,$B173&lt;&gt;$B158,$B174&lt;&gt;$B159,$B175&lt;&gt;$B160,$B176&lt;&gt;$B161,$B177&lt;&gt;$B162,$B178&lt;&gt;$B163),IF($B171&lt;&gt;$B156,AF156/INDEX($C153:$AJ163,4,MATCH(IF('Data-solution'!$A$3="Maximize",MAX($C164:$AI164),MIN($C164:$AI164)),$C164:$AI164,0)),AF156-INDEX($C153:$AJ163,4,MATCH(IF('Data-solution'!$A$3="Maximize",MAX($C164:$AI164),MIN($C164:$AI164)),$C164:$AI164,0))*INDEX(AF153:$AJ163,MATCH(MIN($AK153:$AK163),$AK153:$AK163,0),1)/INDEX($C153:$AJ163,MATCH(MIN($AK153:$AK163),$AK153:$AK163,0),MATCH(IF('Data-solution'!$A$3="Maximize",MAX($C164:$AI164),MIN($C164:$AI164)),$C164:$AI164,0))),AF156)</f>
        <v>0</v>
      </c>
      <c r="AG171" s="1">
        <f>IF(OR($B168&lt;&gt;$B153,$B169&lt;&gt;$B154,$B170&lt;&gt;$B155,$B171&lt;&gt;$B156,$B172&lt;&gt;$B157,$B173&lt;&gt;$B158,$B174&lt;&gt;$B159,$B175&lt;&gt;$B160,$B176&lt;&gt;$B161,$B177&lt;&gt;$B162,$B178&lt;&gt;$B163),IF($B171&lt;&gt;$B156,AG156/INDEX($C153:$AJ163,4,MATCH(IF('Data-solution'!$A$3="Maximize",MAX($C164:$AI164),MIN($C164:$AI164)),$C164:$AI164,0)),AG156-INDEX($C153:$AJ163,4,MATCH(IF('Data-solution'!$A$3="Maximize",MAX($C164:$AI164),MIN($C164:$AI164)),$C164:$AI164,0))*INDEX(AG153:$AJ163,MATCH(MIN($AK153:$AK163),$AK153:$AK163,0),1)/INDEX($C153:$AJ163,MATCH(MIN($AK153:$AK163),$AK153:$AK163,0),MATCH(IF('Data-solution'!$A$3="Maximize",MAX($C164:$AI164),MIN($C164:$AI164)),$C164:$AI164,0))),AG156)</f>
        <v>0</v>
      </c>
      <c r="AH171" s="1">
        <f>IF(OR($B168&lt;&gt;$B153,$B169&lt;&gt;$B154,$B170&lt;&gt;$B155,$B171&lt;&gt;$B156,$B172&lt;&gt;$B157,$B173&lt;&gt;$B158,$B174&lt;&gt;$B159,$B175&lt;&gt;$B160,$B176&lt;&gt;$B161,$B177&lt;&gt;$B162,$B178&lt;&gt;$B163),IF($B171&lt;&gt;$B156,AH156/INDEX($C153:$AJ163,4,MATCH(IF('Data-solution'!$A$3="Maximize",MAX($C164:$AI164),MIN($C164:$AI164)),$C164:$AI164,0)),AH156-INDEX($C153:$AJ163,4,MATCH(IF('Data-solution'!$A$3="Maximize",MAX($C164:$AI164),MIN($C164:$AI164)),$C164:$AI164,0))*INDEX(AH153:$AJ163,MATCH(MIN($AK153:$AK163),$AK153:$AK163,0),1)/INDEX($C153:$AJ163,MATCH(MIN($AK153:$AK163),$AK153:$AK163,0),MATCH(IF('Data-solution'!$A$3="Maximize",MAX($C164:$AI164),MIN($C164:$AI164)),$C164:$AI164,0))),AH156)</f>
        <v>0</v>
      </c>
      <c r="AI171" s="1">
        <f>IF(OR($B168&lt;&gt;$B153,$B169&lt;&gt;$B154,$B170&lt;&gt;$B155,$B171&lt;&gt;$B156,$B172&lt;&gt;$B157,$B173&lt;&gt;$B158,$B174&lt;&gt;$B159,$B175&lt;&gt;$B160,$B176&lt;&gt;$B161,$B177&lt;&gt;$B162,$B178&lt;&gt;$B163),IF($B171&lt;&gt;$B156,AI156/INDEX($C153:$AJ163,4,MATCH(IF('Data-solution'!$A$3="Maximize",MAX($C164:$AI164),MIN($C164:$AI164)),$C164:$AI164,0)),AI156-INDEX($C153:$AJ163,4,MATCH(IF('Data-solution'!$A$3="Maximize",MAX($C164:$AI164),MIN($C164:$AI164)),$C164:$AI164,0))*INDEX(AI153:$AJ163,MATCH(MIN($AK153:$AK163),$AK153:$AK163,0),1)/INDEX($C153:$AJ163,MATCH(MIN($AK153:$AK163),$AK153:$AK163,0),MATCH(IF('Data-solution'!$A$3="Maximize",MAX($C164:$AI164),MIN($C164:$AI164)),$C164:$AI164,0))),AI156)</f>
        <v>0</v>
      </c>
      <c r="AJ171" s="1">
        <f>IF(OR($B168&lt;&gt;$B153,$B169&lt;&gt;$B154,$B170&lt;&gt;$B155,$B171&lt;&gt;$B156,$B172&lt;&gt;$B157,$B173&lt;&gt;$B158,$B174&lt;&gt;$B159,$B175&lt;&gt;$B160,$B176&lt;&gt;$B161,$B177&lt;&gt;$B162,$B178&lt;&gt;$B163),IF($B171&lt;&gt;$B156,AJ156/INDEX($C153:$AJ163,4,MATCH(IF('Data-solution'!$A$3="Maximize",MAX($C164:$AI164),MIN($C164:$AI164)),$C164:$AI164,0)),AJ156-INDEX($C153:$AJ163,4,MATCH(IF('Data-solution'!$A$3="Maximize",MAX($C164:$AI164),MIN($C164:$AI164)),$C164:$AI164,0))*INDEX(AJ153:$AJ163,MATCH(MIN($AK153:$AK163),$AK153:$AK163,0),1)/INDEX($C153:$AJ163,MATCH(MIN($AK153:$AK163),$AK153:$AK163,0),MATCH(IF('Data-solution'!$A$3="Maximize",MAX($C164:$AI164),MIN($C164:$AI164)),$C164:$AI164,0))),AJ156)</f>
        <v>100.00000000000001</v>
      </c>
      <c r="AK171" s="1">
        <f>IF(INDEX(C171:X171,1,MATCH(IF('Data-solution'!A$3="Maximize",MAX(C179:X179),MIN(C179:X179)),C179:X179,0))&gt;0,AJ171/INDEX(C171:X171,1,MATCH(IF('Data-solution'!A$3="Maximize",MAX(C179:X179),MIN(C179:X179)),C179:X179,0))," ")</f>
        <v>100.00000000000001</v>
      </c>
    </row>
    <row r="172" spans="1:37" ht="18" customHeight="1" x14ac:dyDescent="0.2">
      <c r="A172" s="1">
        <f t="shared" ref="A172" si="142">INDEX(C166:AI166,1,MATCH(B172,C167:AI167,0))</f>
        <v>0</v>
      </c>
      <c r="B172" s="2" t="str">
        <f>IF(AND('Data-solution'!A$3="Maximize",COUNTIF(C164:X164,"&gt;"&amp;0)&gt;0,AK157=MIN(AK153:AK163),COUNTIF(B168:B171,INDEX(C152:X152,1,MATCH(MAX(C164:X164),C164:X164,0)))=0),INDEX(C152:X152,1,MATCH(MAX(C164:X164),C164:X164,0)),IF(AND('Data-solution'!A$3="Minimize",COUNTIF(C164:X164,"&lt;"&amp;0)&gt;0,AK157=MIN(AK153:AK163),COUNTIF(B168:B171,INDEX(C152:X152,1,MATCH(MIN(C164:X164),C164:X164,0)))=0),INDEX(C152:X152,1,MATCH(MIN(C164:X164),C164:X164,0)),B157))</f>
        <v>S5</v>
      </c>
      <c r="C172" s="1">
        <f>IF(OR($B168&lt;&gt;$B153,$B169&lt;&gt;$B154,$B170&lt;&gt;$B155,$B171&lt;&gt;$B156,$B172&lt;&gt;$B157,$B173&lt;&gt;$B158,$B174&lt;&gt;$B159,$B175&lt;&gt;$B160,$B176&lt;&gt;$B161,$B177&lt;&gt;$B162,$B178&lt;&gt;$B163),IF($B172&lt;&gt;$B157,C157/INDEX($C153:$AJ163,5,MATCH(IF('Data-solution'!$A$3="Maximize",MAX($C164:$AI164),MIN($C164:$AI164)),$C164:$AI164,0)),C157-INDEX($C153:$AJ163,5,MATCH(IF('Data-solution'!$A$3="Maximize",MAX($C164:$AI164),MIN($C164:$AI164)),$C164:$AI164,0))*INDEX(C153:$AJ163,MATCH(MIN($AK153:$AK163),$AK153:$AK163,0),1)/INDEX($C153:$AJ163,MATCH(MIN($AK153:$AK163),$AK153:$AK163,0),MATCH(IF('Data-solution'!$A$3="Maximize",MAX($C164:$AI164),MIN($C164:$AI164)),$C164:$AI164,0))),C157)</f>
        <v>0</v>
      </c>
      <c r="D172" s="1">
        <f>IF(OR($B168&lt;&gt;$B153,$B169&lt;&gt;$B154,$B170&lt;&gt;$B155,$B171&lt;&gt;$B156,$B172&lt;&gt;$B157,$B173&lt;&gt;$B158,$B174&lt;&gt;$B159,$B175&lt;&gt;$B160,$B176&lt;&gt;$B161,$B177&lt;&gt;$B162,$B178&lt;&gt;$B163),IF($B172&lt;&gt;$B157,D157/INDEX($C153:$AJ163,5,MATCH(IF('Data-solution'!$A$3="Maximize",MAX($C164:$AI164),MIN($C164:$AI164)),$C164:$AI164,0)),D157-INDEX($C153:$AJ163,5,MATCH(IF('Data-solution'!$A$3="Maximize",MAX($C164:$AI164),MIN($C164:$AI164)),$C164:$AI164,0))*INDEX(D153:$AJ163,MATCH(MIN($AK153:$AK163),$AK153:$AK163,0),1)/INDEX($C153:$AJ163,MATCH(MIN($AK153:$AK163),$AK153:$AK163,0),MATCH(IF('Data-solution'!$A$3="Maximize",MAX($C164:$AI164),MIN($C164:$AI164)),$C164:$AI164,0))),D157)</f>
        <v>0</v>
      </c>
      <c r="E172" s="1">
        <f>IF(OR($B168&lt;&gt;$B153,$B169&lt;&gt;$B154,$B170&lt;&gt;$B155,$B171&lt;&gt;$B156,$B172&lt;&gt;$B157,$B173&lt;&gt;$B158,$B174&lt;&gt;$B159,$B175&lt;&gt;$B160,$B176&lt;&gt;$B161,$B177&lt;&gt;$B162,$B178&lt;&gt;$B163),IF($B172&lt;&gt;$B157,E157/INDEX($C153:$AJ163,5,MATCH(IF('Data-solution'!$A$3="Maximize",MAX($C164:$AI164),MIN($C164:$AI164)),$C164:$AI164,0)),E157-INDEX($C153:$AJ163,5,MATCH(IF('Data-solution'!$A$3="Maximize",MAX($C164:$AI164),MIN($C164:$AI164)),$C164:$AI164,0))*INDEX(E153:$AJ163,MATCH(MIN($AK153:$AK163),$AK153:$AK163,0),1)/INDEX($C153:$AJ163,MATCH(MIN($AK153:$AK163),$AK153:$AK163,0),MATCH(IF('Data-solution'!$A$3="Maximize",MAX($C164:$AI164),MIN($C164:$AI164)),$C164:$AI164,0))),E157)</f>
        <v>0</v>
      </c>
      <c r="F172" s="1">
        <f>IF(OR($B168&lt;&gt;$B153,$B169&lt;&gt;$B154,$B170&lt;&gt;$B155,$B171&lt;&gt;$B156,$B172&lt;&gt;$B157,$B173&lt;&gt;$B158,$B174&lt;&gt;$B159,$B175&lt;&gt;$B160,$B176&lt;&gt;$B161,$B177&lt;&gt;$B162,$B178&lt;&gt;$B163),IF($B172&lt;&gt;$B157,F157/INDEX($C153:$AJ163,5,MATCH(IF('Data-solution'!$A$3="Maximize",MAX($C164:$AI164),MIN($C164:$AI164)),$C164:$AI164,0)),F157-INDEX($C153:$AJ163,5,MATCH(IF('Data-solution'!$A$3="Maximize",MAX($C164:$AI164),MIN($C164:$AI164)),$C164:$AI164,0))*INDEX(F153:$AJ163,MATCH(MIN($AK153:$AK163),$AK153:$AK163,0),1)/INDEX($C153:$AJ163,MATCH(MIN($AK153:$AK163),$AK153:$AK163,0),MATCH(IF('Data-solution'!$A$3="Maximize",MAX($C164:$AI164),MIN($C164:$AI164)),$C164:$AI164,0))),F157)</f>
        <v>0</v>
      </c>
      <c r="G172" s="1">
        <f>IF(OR($B168&lt;&gt;$B153,$B169&lt;&gt;$B154,$B170&lt;&gt;$B155,$B171&lt;&gt;$B156,$B172&lt;&gt;$B157,$B173&lt;&gt;$B158,$B174&lt;&gt;$B159,$B175&lt;&gt;$B160,$B176&lt;&gt;$B161,$B177&lt;&gt;$B162,$B178&lt;&gt;$B163),IF($B172&lt;&gt;$B157,G157/INDEX($C153:$AJ163,5,MATCH(IF('Data-solution'!$A$3="Maximize",MAX($C164:$AI164),MIN($C164:$AI164)),$C164:$AI164,0)),G157-INDEX($C153:$AJ163,5,MATCH(IF('Data-solution'!$A$3="Maximize",MAX($C164:$AI164),MIN($C164:$AI164)),$C164:$AI164,0))*INDEX(G153:$AJ163,MATCH(MIN($AK153:$AK163),$AK153:$AK163,0),1)/INDEX($C153:$AJ163,MATCH(MIN($AK153:$AK163),$AK153:$AK163,0),MATCH(IF('Data-solution'!$A$3="Maximize",MAX($C164:$AI164),MIN($C164:$AI164)),$C164:$AI164,0))),G157)</f>
        <v>0</v>
      </c>
      <c r="H172" s="1">
        <f>IF(OR($B168&lt;&gt;$B153,$B169&lt;&gt;$B154,$B170&lt;&gt;$B155,$B171&lt;&gt;$B156,$B172&lt;&gt;$B157,$B173&lt;&gt;$B158,$B174&lt;&gt;$B159,$B175&lt;&gt;$B160,$B176&lt;&gt;$B161,$B177&lt;&gt;$B162,$B178&lt;&gt;$B163),IF($B172&lt;&gt;$B157,H157/INDEX($C153:$AJ163,5,MATCH(IF('Data-solution'!$A$3="Maximize",MAX($C164:$AI164),MIN($C164:$AI164)),$C164:$AI164,0)),H157-INDEX($C153:$AJ163,5,MATCH(IF('Data-solution'!$A$3="Maximize",MAX($C164:$AI164),MIN($C164:$AI164)),$C164:$AI164,0))*INDEX(H153:$AJ163,MATCH(MIN($AK153:$AK163),$AK153:$AK163,0),1)/INDEX($C153:$AJ163,MATCH(MIN($AK153:$AK163),$AK153:$AK163,0),MATCH(IF('Data-solution'!$A$3="Maximize",MAX($C164:$AI164),MIN($C164:$AI164)),$C164:$AI164,0))),H157)</f>
        <v>0</v>
      </c>
      <c r="I172" s="1">
        <f>IF(OR($B168&lt;&gt;$B153,$B169&lt;&gt;$B154,$B170&lt;&gt;$B155,$B171&lt;&gt;$B156,$B172&lt;&gt;$B157,$B173&lt;&gt;$B158,$B174&lt;&gt;$B159,$B175&lt;&gt;$B160,$B176&lt;&gt;$B161,$B177&lt;&gt;$B162,$B178&lt;&gt;$B163),IF($B172&lt;&gt;$B157,I157/INDEX($C153:$AJ163,5,MATCH(IF('Data-solution'!$A$3="Maximize",MAX($C164:$AI164),MIN($C164:$AI164)),$C164:$AI164,0)),I157-INDEX($C153:$AJ163,5,MATCH(IF('Data-solution'!$A$3="Maximize",MAX($C164:$AI164),MIN($C164:$AI164)),$C164:$AI164,0))*INDEX(I153:$AJ163,MATCH(MIN($AK153:$AK163),$AK153:$AK163,0),1)/INDEX($C153:$AJ163,MATCH(MIN($AK153:$AK163),$AK153:$AK163,0),MATCH(IF('Data-solution'!$A$3="Maximize",MAX($C164:$AI164),MIN($C164:$AI164)),$C164:$AI164,0))),I157)</f>
        <v>0</v>
      </c>
      <c r="J172" s="1">
        <f>IF(OR($B168&lt;&gt;$B153,$B169&lt;&gt;$B154,$B170&lt;&gt;$B155,$B171&lt;&gt;$B156,$B172&lt;&gt;$B157,$B173&lt;&gt;$B158,$B174&lt;&gt;$B159,$B175&lt;&gt;$B160,$B176&lt;&gt;$B161,$B177&lt;&gt;$B162,$B178&lt;&gt;$B163),IF($B172&lt;&gt;$B157,J157/INDEX($C153:$AJ163,5,MATCH(IF('Data-solution'!$A$3="Maximize",MAX($C164:$AI164),MIN($C164:$AI164)),$C164:$AI164,0)),J157-INDEX($C153:$AJ163,5,MATCH(IF('Data-solution'!$A$3="Maximize",MAX($C164:$AI164),MIN($C164:$AI164)),$C164:$AI164,0))*INDEX(J153:$AJ163,MATCH(MIN($AK153:$AK163),$AK153:$AK163,0),1)/INDEX($C153:$AJ163,MATCH(MIN($AK153:$AK163),$AK153:$AK163,0),MATCH(IF('Data-solution'!$A$3="Maximize",MAX($C164:$AI164),MIN($C164:$AI164)),$C164:$AI164,0))),J157)</f>
        <v>0</v>
      </c>
      <c r="K172" s="1">
        <f>IF(OR($B168&lt;&gt;$B153,$B169&lt;&gt;$B154,$B170&lt;&gt;$B155,$B171&lt;&gt;$B156,$B172&lt;&gt;$B157,$B173&lt;&gt;$B158,$B174&lt;&gt;$B159,$B175&lt;&gt;$B160,$B176&lt;&gt;$B161,$B177&lt;&gt;$B162,$B178&lt;&gt;$B163),IF($B172&lt;&gt;$B157,K157/INDEX($C153:$AJ163,5,MATCH(IF('Data-solution'!$A$3="Maximize",MAX($C164:$AI164),MIN($C164:$AI164)),$C164:$AI164,0)),K157-INDEX($C153:$AJ163,5,MATCH(IF('Data-solution'!$A$3="Maximize",MAX($C164:$AI164),MIN($C164:$AI164)),$C164:$AI164,0))*INDEX(K153:$AJ163,MATCH(MIN($AK153:$AK163),$AK153:$AK163,0),1)/INDEX($C153:$AJ163,MATCH(MIN($AK153:$AK163),$AK153:$AK163,0),MATCH(IF('Data-solution'!$A$3="Maximize",MAX($C164:$AI164),MIN($C164:$AI164)),$C164:$AI164,0))),K157)</f>
        <v>0</v>
      </c>
      <c r="L172" s="1">
        <f>IF(OR($B168&lt;&gt;$B153,$B169&lt;&gt;$B154,$B170&lt;&gt;$B155,$B171&lt;&gt;$B156,$B172&lt;&gt;$B157,$B173&lt;&gt;$B158,$B174&lt;&gt;$B159,$B175&lt;&gt;$B160,$B176&lt;&gt;$B161,$B177&lt;&gt;$B162,$B178&lt;&gt;$B163),IF($B172&lt;&gt;$B157,L157/INDEX($C153:$AJ163,5,MATCH(IF('Data-solution'!$A$3="Maximize",MAX($C164:$AI164),MIN($C164:$AI164)),$C164:$AI164,0)),L157-INDEX($C153:$AJ163,5,MATCH(IF('Data-solution'!$A$3="Maximize",MAX($C164:$AI164),MIN($C164:$AI164)),$C164:$AI164,0))*INDEX(L153:$AJ163,MATCH(MIN($AK153:$AK163),$AK153:$AK163,0),1)/INDEX($C153:$AJ163,MATCH(MIN($AK153:$AK163),$AK153:$AK163,0),MATCH(IF('Data-solution'!$A$3="Maximize",MAX($C164:$AI164),MIN($C164:$AI164)),$C164:$AI164,0))),L157)</f>
        <v>0</v>
      </c>
      <c r="M172" s="1">
        <f>IF(OR($B168&lt;&gt;$B153,$B169&lt;&gt;$B154,$B170&lt;&gt;$B155,$B171&lt;&gt;$B156,$B172&lt;&gt;$B157,$B173&lt;&gt;$B158,$B174&lt;&gt;$B159,$B175&lt;&gt;$B160,$B176&lt;&gt;$B161,$B177&lt;&gt;$B162,$B178&lt;&gt;$B163),IF($B172&lt;&gt;$B157,M157/INDEX($C153:$AJ163,5,MATCH(IF('Data-solution'!$A$3="Maximize",MAX($C164:$AI164),MIN($C164:$AI164)),$C164:$AI164,0)),M157-INDEX($C153:$AJ163,5,MATCH(IF('Data-solution'!$A$3="Maximize",MAX($C164:$AI164),MIN($C164:$AI164)),$C164:$AI164,0))*INDEX(M153:$AJ163,MATCH(MIN($AK153:$AK163),$AK153:$AK163,0),1)/INDEX($C153:$AJ163,MATCH(MIN($AK153:$AK163),$AK153:$AK163,0),MATCH(IF('Data-solution'!$A$3="Maximize",MAX($C164:$AI164),MIN($C164:$AI164)),$C164:$AI164,0))),M157)</f>
        <v>0</v>
      </c>
      <c r="N172" s="1">
        <f>IF(OR($B168&lt;&gt;$B153,$B169&lt;&gt;$B154,$B170&lt;&gt;$B155,$B171&lt;&gt;$B156,$B172&lt;&gt;$B157,$B173&lt;&gt;$B158,$B174&lt;&gt;$B159,$B175&lt;&gt;$B160,$B176&lt;&gt;$B161,$B177&lt;&gt;$B162,$B178&lt;&gt;$B163),IF($B172&lt;&gt;$B157,N157/INDEX($C153:$AJ163,5,MATCH(IF('Data-solution'!$A$3="Maximize",MAX($C164:$AI164),MIN($C164:$AI164)),$C164:$AI164,0)),N157-INDEX($C153:$AJ163,5,MATCH(IF('Data-solution'!$A$3="Maximize",MAX($C164:$AI164),MIN($C164:$AI164)),$C164:$AI164,0))*INDEX(N153:$AJ163,MATCH(MIN($AK153:$AK163),$AK153:$AK163,0),1)/INDEX($C153:$AJ163,MATCH(MIN($AK153:$AK163),$AK153:$AK163,0),MATCH(IF('Data-solution'!$A$3="Maximize",MAX($C164:$AI164),MIN($C164:$AI164)),$C164:$AI164,0))),N157)</f>
        <v>0</v>
      </c>
      <c r="O172" s="1">
        <f>IF(OR($B168&lt;&gt;$B153,$B169&lt;&gt;$B154,$B170&lt;&gt;$B155,$B171&lt;&gt;$B156,$B172&lt;&gt;$B157,$B173&lt;&gt;$B158,$B174&lt;&gt;$B159,$B175&lt;&gt;$B160,$B176&lt;&gt;$B161,$B177&lt;&gt;$B162,$B178&lt;&gt;$B163),IF($B172&lt;&gt;$B157,O157/INDEX($C153:$AJ163,5,MATCH(IF('Data-solution'!$A$3="Maximize",MAX($C164:$AI164),MIN($C164:$AI164)),$C164:$AI164,0)),O157-INDEX($C153:$AJ163,5,MATCH(IF('Data-solution'!$A$3="Maximize",MAX($C164:$AI164),MIN($C164:$AI164)),$C164:$AI164,0))*INDEX(O153:$AJ163,MATCH(MIN($AK153:$AK163),$AK153:$AK163,0),1)/INDEX($C153:$AJ163,MATCH(MIN($AK153:$AK163),$AK153:$AK163,0),MATCH(IF('Data-solution'!$A$3="Maximize",MAX($C164:$AI164),MIN($C164:$AI164)),$C164:$AI164,0))),O157)</f>
        <v>0</v>
      </c>
      <c r="P172" s="1">
        <f>IF(OR($B168&lt;&gt;$B153,$B169&lt;&gt;$B154,$B170&lt;&gt;$B155,$B171&lt;&gt;$B156,$B172&lt;&gt;$B157,$B173&lt;&gt;$B158,$B174&lt;&gt;$B159,$B175&lt;&gt;$B160,$B176&lt;&gt;$B161,$B177&lt;&gt;$B162,$B178&lt;&gt;$B163),IF($B172&lt;&gt;$B157,P157/INDEX($C153:$AJ163,5,MATCH(IF('Data-solution'!$A$3="Maximize",MAX($C164:$AI164),MIN($C164:$AI164)),$C164:$AI164,0)),P157-INDEX($C153:$AJ163,5,MATCH(IF('Data-solution'!$A$3="Maximize",MAX($C164:$AI164),MIN($C164:$AI164)),$C164:$AI164,0))*INDEX(P153:$AJ163,MATCH(MIN($AK153:$AK163),$AK153:$AK163,0),1)/INDEX($C153:$AJ163,MATCH(MIN($AK153:$AK163),$AK153:$AK163,0),MATCH(IF('Data-solution'!$A$3="Maximize",MAX($C164:$AI164),MIN($C164:$AI164)),$C164:$AI164,0))),P157)</f>
        <v>0</v>
      </c>
      <c r="Q172" s="1">
        <f>IF(OR($B168&lt;&gt;$B153,$B169&lt;&gt;$B154,$B170&lt;&gt;$B155,$B171&lt;&gt;$B156,$B172&lt;&gt;$B157,$B173&lt;&gt;$B158,$B174&lt;&gt;$B159,$B175&lt;&gt;$B160,$B176&lt;&gt;$B161,$B177&lt;&gt;$B162,$B178&lt;&gt;$B163),IF($B172&lt;&gt;$B157,Q157/INDEX($C153:$AJ163,5,MATCH(IF('Data-solution'!$A$3="Maximize",MAX($C164:$AI164),MIN($C164:$AI164)),$C164:$AI164,0)),Q157-INDEX($C153:$AJ163,5,MATCH(IF('Data-solution'!$A$3="Maximize",MAX($C164:$AI164),MIN($C164:$AI164)),$C164:$AI164,0))*INDEX(Q153:$AJ163,MATCH(MIN($AK153:$AK163),$AK153:$AK163,0),1)/INDEX($C153:$AJ163,MATCH(MIN($AK153:$AK163),$AK153:$AK163,0),MATCH(IF('Data-solution'!$A$3="Maximize",MAX($C164:$AI164),MIN($C164:$AI164)),$C164:$AI164,0))),Q157)</f>
        <v>0</v>
      </c>
      <c r="R172" s="1">
        <f>IF(OR($B168&lt;&gt;$B153,$B169&lt;&gt;$B154,$B170&lt;&gt;$B155,$B171&lt;&gt;$B156,$B172&lt;&gt;$B157,$B173&lt;&gt;$B158,$B174&lt;&gt;$B159,$B175&lt;&gt;$B160,$B176&lt;&gt;$B161,$B177&lt;&gt;$B162,$B178&lt;&gt;$B163),IF($B172&lt;&gt;$B157,R157/INDEX($C153:$AJ163,5,MATCH(IF('Data-solution'!$A$3="Maximize",MAX($C164:$AI164),MIN($C164:$AI164)),$C164:$AI164,0)),R157-INDEX($C153:$AJ163,5,MATCH(IF('Data-solution'!$A$3="Maximize",MAX($C164:$AI164),MIN($C164:$AI164)),$C164:$AI164,0))*INDEX(R153:$AJ163,MATCH(MIN($AK153:$AK163),$AK153:$AK163,0),1)/INDEX($C153:$AJ163,MATCH(MIN($AK153:$AK163),$AK153:$AK163,0),MATCH(IF('Data-solution'!$A$3="Maximize",MAX($C164:$AI164),MIN($C164:$AI164)),$C164:$AI164,0))),R157)</f>
        <v>1</v>
      </c>
      <c r="S172" s="1">
        <f>IF(OR($B168&lt;&gt;$B153,$B169&lt;&gt;$B154,$B170&lt;&gt;$B155,$B171&lt;&gt;$B156,$B172&lt;&gt;$B157,$B173&lt;&gt;$B158,$B174&lt;&gt;$B159,$B175&lt;&gt;$B160,$B176&lt;&gt;$B161,$B177&lt;&gt;$B162,$B178&lt;&gt;$B163),IF($B172&lt;&gt;$B157,S157/INDEX($C153:$AJ163,5,MATCH(IF('Data-solution'!$A$3="Maximize",MAX($C164:$AI164),MIN($C164:$AI164)),$C164:$AI164,0)),S157-INDEX($C153:$AJ163,5,MATCH(IF('Data-solution'!$A$3="Maximize",MAX($C164:$AI164),MIN($C164:$AI164)),$C164:$AI164,0))*INDEX(S153:$AJ163,MATCH(MIN($AK153:$AK163),$AK153:$AK163,0),1)/INDEX($C153:$AJ163,MATCH(MIN($AK153:$AK163),$AK153:$AK163,0),MATCH(IF('Data-solution'!$A$3="Maximize",MAX($C164:$AI164),MIN($C164:$AI164)),$C164:$AI164,0))),S157)</f>
        <v>0</v>
      </c>
      <c r="T172" s="1">
        <f>IF(OR($B168&lt;&gt;$B153,$B169&lt;&gt;$B154,$B170&lt;&gt;$B155,$B171&lt;&gt;$B156,$B172&lt;&gt;$B157,$B173&lt;&gt;$B158,$B174&lt;&gt;$B159,$B175&lt;&gt;$B160,$B176&lt;&gt;$B161,$B177&lt;&gt;$B162,$B178&lt;&gt;$B163),IF($B172&lt;&gt;$B157,T157/INDEX($C153:$AJ163,5,MATCH(IF('Data-solution'!$A$3="Maximize",MAX($C164:$AI164),MIN($C164:$AI164)),$C164:$AI164,0)),T157-INDEX($C153:$AJ163,5,MATCH(IF('Data-solution'!$A$3="Maximize",MAX($C164:$AI164),MIN($C164:$AI164)),$C164:$AI164,0))*INDEX(T153:$AJ163,MATCH(MIN($AK153:$AK163),$AK153:$AK163,0),1)/INDEX($C153:$AJ163,MATCH(MIN($AK153:$AK163),$AK153:$AK163,0),MATCH(IF('Data-solution'!$A$3="Maximize",MAX($C164:$AI164),MIN($C164:$AI164)),$C164:$AI164,0))),T157)</f>
        <v>0</v>
      </c>
      <c r="U172" s="1">
        <f>IF(OR($B168&lt;&gt;$B153,$B169&lt;&gt;$B154,$B170&lt;&gt;$B155,$B171&lt;&gt;$B156,$B172&lt;&gt;$B157,$B173&lt;&gt;$B158,$B174&lt;&gt;$B159,$B175&lt;&gt;$B160,$B176&lt;&gt;$B161,$B177&lt;&gt;$B162,$B178&lt;&gt;$B163),IF($B172&lt;&gt;$B157,U157/INDEX($C153:$AJ163,5,MATCH(IF('Data-solution'!$A$3="Maximize",MAX($C164:$AI164),MIN($C164:$AI164)),$C164:$AI164,0)),U157-INDEX($C153:$AJ163,5,MATCH(IF('Data-solution'!$A$3="Maximize",MAX($C164:$AI164),MIN($C164:$AI164)),$C164:$AI164,0))*INDEX(U153:$AJ163,MATCH(MIN($AK153:$AK163),$AK153:$AK163,0),1)/INDEX($C153:$AJ163,MATCH(MIN($AK153:$AK163),$AK153:$AK163,0),MATCH(IF('Data-solution'!$A$3="Maximize",MAX($C164:$AI164),MIN($C164:$AI164)),$C164:$AI164,0))),U157)</f>
        <v>0</v>
      </c>
      <c r="V172" s="1">
        <f>IF(OR($B168&lt;&gt;$B153,$B169&lt;&gt;$B154,$B170&lt;&gt;$B155,$B171&lt;&gt;$B156,$B172&lt;&gt;$B157,$B173&lt;&gt;$B158,$B174&lt;&gt;$B159,$B175&lt;&gt;$B160,$B176&lt;&gt;$B161,$B177&lt;&gt;$B162,$B178&lt;&gt;$B163),IF($B172&lt;&gt;$B157,V157/INDEX($C153:$AJ163,5,MATCH(IF('Data-solution'!$A$3="Maximize",MAX($C164:$AI164),MIN($C164:$AI164)),$C164:$AI164,0)),V157-INDEX($C153:$AJ163,5,MATCH(IF('Data-solution'!$A$3="Maximize",MAX($C164:$AI164),MIN($C164:$AI164)),$C164:$AI164,0))*INDEX(V153:$AJ163,MATCH(MIN($AK153:$AK163),$AK153:$AK163,0),1)/INDEX($C153:$AJ163,MATCH(MIN($AK153:$AK163),$AK153:$AK163,0),MATCH(IF('Data-solution'!$A$3="Maximize",MAX($C164:$AI164),MIN($C164:$AI164)),$C164:$AI164,0))),V157)</f>
        <v>0</v>
      </c>
      <c r="W172" s="1">
        <f>IF(OR($B168&lt;&gt;$B153,$B169&lt;&gt;$B154,$B170&lt;&gt;$B155,$B171&lt;&gt;$B156,$B172&lt;&gt;$B157,$B173&lt;&gt;$B158,$B174&lt;&gt;$B159,$B175&lt;&gt;$B160,$B176&lt;&gt;$B161,$B177&lt;&gt;$B162,$B178&lt;&gt;$B163),IF($B172&lt;&gt;$B157,W157/INDEX($C153:$AJ163,5,MATCH(IF('Data-solution'!$A$3="Maximize",MAX($C164:$AI164),MIN($C164:$AI164)),$C164:$AI164,0)),W157-INDEX($C153:$AJ163,5,MATCH(IF('Data-solution'!$A$3="Maximize",MAX($C164:$AI164),MIN($C164:$AI164)),$C164:$AI164,0))*INDEX(W153:$AJ163,MATCH(MIN($AK153:$AK163),$AK153:$AK163,0),1)/INDEX($C153:$AJ163,MATCH(MIN($AK153:$AK163),$AK153:$AK163,0),MATCH(IF('Data-solution'!$A$3="Maximize",MAX($C164:$AI164),MIN($C164:$AI164)),$C164:$AI164,0))),W157)</f>
        <v>0</v>
      </c>
      <c r="X172" s="1">
        <f>IF(OR($B168&lt;&gt;$B153,$B169&lt;&gt;$B154,$B170&lt;&gt;$B155,$B171&lt;&gt;$B156,$B172&lt;&gt;$B157,$B173&lt;&gt;$B158,$B174&lt;&gt;$B159,$B175&lt;&gt;$B160,$B176&lt;&gt;$B161,$B177&lt;&gt;$B162,$B178&lt;&gt;$B163),IF($B172&lt;&gt;$B157,X157/INDEX($C153:$AJ163,5,MATCH(IF('Data-solution'!$A$3="Maximize",MAX($C164:$AI164),MIN($C164:$AI164)),$C164:$AI164,0)),X157-INDEX($C153:$AJ163,5,MATCH(IF('Data-solution'!$A$3="Maximize",MAX($C164:$AI164),MIN($C164:$AI164)),$C164:$AI164,0))*INDEX(X153:$AJ163,MATCH(MIN($AK153:$AK163),$AK153:$AK163,0),1)/INDEX($C153:$AJ163,MATCH(MIN($AK153:$AK163),$AK153:$AK163,0),MATCH(IF('Data-solution'!$A$3="Maximize",MAX($C164:$AI164),MIN($C164:$AI164)),$C164:$AI164,0))),X157)</f>
        <v>0</v>
      </c>
      <c r="Y172" s="1">
        <f>IF(OR($B168&lt;&gt;$B153,$B169&lt;&gt;$B154,$B170&lt;&gt;$B155,$B171&lt;&gt;$B156,$B172&lt;&gt;$B157,$B173&lt;&gt;$B158,$B174&lt;&gt;$B159,$B175&lt;&gt;$B160,$B176&lt;&gt;$B161,$B177&lt;&gt;$B162,$B178&lt;&gt;$B163),IF($B172&lt;&gt;$B157,Y157/INDEX($C153:$AJ163,5,MATCH(IF('Data-solution'!$A$3="Maximize",MAX($C164:$AI164),MIN($C164:$AI164)),$C164:$AI164,0)),Y157-INDEX($C153:$AJ163,5,MATCH(IF('Data-solution'!$A$3="Maximize",MAX($C164:$AI164),MIN($C164:$AI164)),$C164:$AI164,0))*INDEX(Y153:$AJ163,MATCH(MIN($AK153:$AK163),$AK153:$AK163,0),1)/INDEX($C153:$AJ163,MATCH(MIN($AK153:$AK163),$AK153:$AK163,0),MATCH(IF('Data-solution'!$A$3="Maximize",MAX($C164:$AI164),MIN($C164:$AI164)),$C164:$AI164,0))),Y157)</f>
        <v>0</v>
      </c>
      <c r="Z172" s="1">
        <f>IF(OR($B168&lt;&gt;$B153,$B169&lt;&gt;$B154,$B170&lt;&gt;$B155,$B171&lt;&gt;$B156,$B172&lt;&gt;$B157,$B173&lt;&gt;$B158,$B174&lt;&gt;$B159,$B175&lt;&gt;$B160,$B176&lt;&gt;$B161,$B177&lt;&gt;$B162,$B178&lt;&gt;$B163),IF($B172&lt;&gt;$B157,Z157/INDEX($C153:$AJ163,5,MATCH(IF('Data-solution'!$A$3="Maximize",MAX($C164:$AI164),MIN($C164:$AI164)),$C164:$AI164,0)),Z157-INDEX($C153:$AJ163,5,MATCH(IF('Data-solution'!$A$3="Maximize",MAX($C164:$AI164),MIN($C164:$AI164)),$C164:$AI164,0))*INDEX(Z153:$AJ163,MATCH(MIN($AK153:$AK163),$AK153:$AK163,0),1)/INDEX($C153:$AJ163,MATCH(MIN($AK153:$AK163),$AK153:$AK163,0),MATCH(IF('Data-solution'!$A$3="Maximize",MAX($C164:$AI164),MIN($C164:$AI164)),$C164:$AI164,0))),Z157)</f>
        <v>0</v>
      </c>
      <c r="AA172" s="1">
        <f>IF(OR($B168&lt;&gt;$B153,$B169&lt;&gt;$B154,$B170&lt;&gt;$B155,$B171&lt;&gt;$B156,$B172&lt;&gt;$B157,$B173&lt;&gt;$B158,$B174&lt;&gt;$B159,$B175&lt;&gt;$B160,$B176&lt;&gt;$B161,$B177&lt;&gt;$B162,$B178&lt;&gt;$B163),IF($B172&lt;&gt;$B157,AA157/INDEX($C153:$AJ163,5,MATCH(IF('Data-solution'!$A$3="Maximize",MAX($C164:$AI164),MIN($C164:$AI164)),$C164:$AI164,0)),AA157-INDEX($C153:$AJ163,5,MATCH(IF('Data-solution'!$A$3="Maximize",MAX($C164:$AI164),MIN($C164:$AI164)),$C164:$AI164,0))*INDEX(AA153:$AJ163,MATCH(MIN($AK153:$AK163),$AK153:$AK163,0),1)/INDEX($C153:$AJ163,MATCH(MIN($AK153:$AK163),$AK153:$AK163,0),MATCH(IF('Data-solution'!$A$3="Maximize",MAX($C164:$AI164),MIN($C164:$AI164)),$C164:$AI164,0))),AA157)</f>
        <v>0</v>
      </c>
      <c r="AB172" s="1">
        <f>IF(OR($B168&lt;&gt;$B153,$B169&lt;&gt;$B154,$B170&lt;&gt;$B155,$B171&lt;&gt;$B156,$B172&lt;&gt;$B157,$B173&lt;&gt;$B158,$B174&lt;&gt;$B159,$B175&lt;&gt;$B160,$B176&lt;&gt;$B161,$B177&lt;&gt;$B162,$B178&lt;&gt;$B163),IF($B172&lt;&gt;$B157,AB157/INDEX($C153:$AJ163,5,MATCH(IF('Data-solution'!$A$3="Maximize",MAX($C164:$AI164),MIN($C164:$AI164)),$C164:$AI164,0)),AB157-INDEX($C153:$AJ163,5,MATCH(IF('Data-solution'!$A$3="Maximize",MAX($C164:$AI164),MIN($C164:$AI164)),$C164:$AI164,0))*INDEX(AB153:$AJ163,MATCH(MIN($AK153:$AK163),$AK153:$AK163,0),1)/INDEX($C153:$AJ163,MATCH(MIN($AK153:$AK163),$AK153:$AK163,0),MATCH(IF('Data-solution'!$A$3="Maximize",MAX($C164:$AI164),MIN($C164:$AI164)),$C164:$AI164,0))),AB157)</f>
        <v>0</v>
      </c>
      <c r="AC172" s="1">
        <f>IF(OR($B168&lt;&gt;$B153,$B169&lt;&gt;$B154,$B170&lt;&gt;$B155,$B171&lt;&gt;$B156,$B172&lt;&gt;$B157,$B173&lt;&gt;$B158,$B174&lt;&gt;$B159,$B175&lt;&gt;$B160,$B176&lt;&gt;$B161,$B177&lt;&gt;$B162,$B178&lt;&gt;$B163),IF($B172&lt;&gt;$B157,AC157/INDEX($C153:$AJ163,5,MATCH(IF('Data-solution'!$A$3="Maximize",MAX($C164:$AI164),MIN($C164:$AI164)),$C164:$AI164,0)),AC157-INDEX($C153:$AJ163,5,MATCH(IF('Data-solution'!$A$3="Maximize",MAX($C164:$AI164),MIN($C164:$AI164)),$C164:$AI164,0))*INDEX(AC153:$AJ163,MATCH(MIN($AK153:$AK163),$AK153:$AK163,0),1)/INDEX($C153:$AJ163,MATCH(MIN($AK153:$AK163),$AK153:$AK163,0),MATCH(IF('Data-solution'!$A$3="Maximize",MAX($C164:$AI164),MIN($C164:$AI164)),$C164:$AI164,0))),AC157)</f>
        <v>1</v>
      </c>
      <c r="AD172" s="1">
        <f>IF(OR($B168&lt;&gt;$B153,$B169&lt;&gt;$B154,$B170&lt;&gt;$B155,$B171&lt;&gt;$B156,$B172&lt;&gt;$B157,$B173&lt;&gt;$B158,$B174&lt;&gt;$B159,$B175&lt;&gt;$B160,$B176&lt;&gt;$B161,$B177&lt;&gt;$B162,$B178&lt;&gt;$B163),IF($B172&lt;&gt;$B157,AD157/INDEX($C153:$AJ163,5,MATCH(IF('Data-solution'!$A$3="Maximize",MAX($C164:$AI164),MIN($C164:$AI164)),$C164:$AI164,0)),AD157-INDEX($C153:$AJ163,5,MATCH(IF('Data-solution'!$A$3="Maximize",MAX($C164:$AI164),MIN($C164:$AI164)),$C164:$AI164,0))*INDEX(AD153:$AJ163,MATCH(MIN($AK153:$AK163),$AK153:$AK163,0),1)/INDEX($C153:$AJ163,MATCH(MIN($AK153:$AK163),$AK153:$AK163,0),MATCH(IF('Data-solution'!$A$3="Maximize",MAX($C164:$AI164),MIN($C164:$AI164)),$C164:$AI164,0))),AD157)</f>
        <v>0</v>
      </c>
      <c r="AE172" s="1">
        <f>IF(OR($B168&lt;&gt;$B153,$B169&lt;&gt;$B154,$B170&lt;&gt;$B155,$B171&lt;&gt;$B156,$B172&lt;&gt;$B157,$B173&lt;&gt;$B158,$B174&lt;&gt;$B159,$B175&lt;&gt;$B160,$B176&lt;&gt;$B161,$B177&lt;&gt;$B162,$B178&lt;&gt;$B163),IF($B172&lt;&gt;$B157,AE157/INDEX($C153:$AJ163,5,MATCH(IF('Data-solution'!$A$3="Maximize",MAX($C164:$AI164),MIN($C164:$AI164)),$C164:$AI164,0)),AE157-INDEX($C153:$AJ163,5,MATCH(IF('Data-solution'!$A$3="Maximize",MAX($C164:$AI164),MIN($C164:$AI164)),$C164:$AI164,0))*INDEX(AE153:$AJ163,MATCH(MIN($AK153:$AK163),$AK153:$AK163,0),1)/INDEX($C153:$AJ163,MATCH(MIN($AK153:$AK163),$AK153:$AK163,0),MATCH(IF('Data-solution'!$A$3="Maximize",MAX($C164:$AI164),MIN($C164:$AI164)),$C164:$AI164,0))),AE157)</f>
        <v>0</v>
      </c>
      <c r="AF172" s="1">
        <f>IF(OR($B168&lt;&gt;$B153,$B169&lt;&gt;$B154,$B170&lt;&gt;$B155,$B171&lt;&gt;$B156,$B172&lt;&gt;$B157,$B173&lt;&gt;$B158,$B174&lt;&gt;$B159,$B175&lt;&gt;$B160,$B176&lt;&gt;$B161,$B177&lt;&gt;$B162,$B178&lt;&gt;$B163),IF($B172&lt;&gt;$B157,AF157/INDEX($C153:$AJ163,5,MATCH(IF('Data-solution'!$A$3="Maximize",MAX($C164:$AI164),MIN($C164:$AI164)),$C164:$AI164,0)),AF157-INDEX($C153:$AJ163,5,MATCH(IF('Data-solution'!$A$3="Maximize",MAX($C164:$AI164),MIN($C164:$AI164)),$C164:$AI164,0))*INDEX(AF153:$AJ163,MATCH(MIN($AK153:$AK163),$AK153:$AK163,0),1)/INDEX($C153:$AJ163,MATCH(MIN($AK153:$AK163),$AK153:$AK163,0),MATCH(IF('Data-solution'!$A$3="Maximize",MAX($C164:$AI164),MIN($C164:$AI164)),$C164:$AI164,0))),AF157)</f>
        <v>0</v>
      </c>
      <c r="AG172" s="1">
        <f>IF(OR($B168&lt;&gt;$B153,$B169&lt;&gt;$B154,$B170&lt;&gt;$B155,$B171&lt;&gt;$B156,$B172&lt;&gt;$B157,$B173&lt;&gt;$B158,$B174&lt;&gt;$B159,$B175&lt;&gt;$B160,$B176&lt;&gt;$B161,$B177&lt;&gt;$B162,$B178&lt;&gt;$B163),IF($B172&lt;&gt;$B157,AG157/INDEX($C153:$AJ163,5,MATCH(IF('Data-solution'!$A$3="Maximize",MAX($C164:$AI164),MIN($C164:$AI164)),$C164:$AI164,0)),AG157-INDEX($C153:$AJ163,5,MATCH(IF('Data-solution'!$A$3="Maximize",MAX($C164:$AI164),MIN($C164:$AI164)),$C164:$AI164,0))*INDEX(AG153:$AJ163,MATCH(MIN($AK153:$AK163),$AK153:$AK163,0),1)/INDEX($C153:$AJ163,MATCH(MIN($AK153:$AK163),$AK153:$AK163,0),MATCH(IF('Data-solution'!$A$3="Maximize",MAX($C164:$AI164),MIN($C164:$AI164)),$C164:$AI164,0))),AG157)</f>
        <v>0</v>
      </c>
      <c r="AH172" s="1">
        <f>IF(OR($B168&lt;&gt;$B153,$B169&lt;&gt;$B154,$B170&lt;&gt;$B155,$B171&lt;&gt;$B156,$B172&lt;&gt;$B157,$B173&lt;&gt;$B158,$B174&lt;&gt;$B159,$B175&lt;&gt;$B160,$B176&lt;&gt;$B161,$B177&lt;&gt;$B162,$B178&lt;&gt;$B163),IF($B172&lt;&gt;$B157,AH157/INDEX($C153:$AJ163,5,MATCH(IF('Data-solution'!$A$3="Maximize",MAX($C164:$AI164),MIN($C164:$AI164)),$C164:$AI164,0)),AH157-INDEX($C153:$AJ163,5,MATCH(IF('Data-solution'!$A$3="Maximize",MAX($C164:$AI164),MIN($C164:$AI164)),$C164:$AI164,0))*INDEX(AH153:$AJ163,MATCH(MIN($AK153:$AK163),$AK153:$AK163,0),1)/INDEX($C153:$AJ163,MATCH(MIN($AK153:$AK163),$AK153:$AK163,0),MATCH(IF('Data-solution'!$A$3="Maximize",MAX($C164:$AI164),MIN($C164:$AI164)),$C164:$AI164,0))),AH157)</f>
        <v>0</v>
      </c>
      <c r="AI172" s="1">
        <f>IF(OR($B168&lt;&gt;$B153,$B169&lt;&gt;$B154,$B170&lt;&gt;$B155,$B171&lt;&gt;$B156,$B172&lt;&gt;$B157,$B173&lt;&gt;$B158,$B174&lt;&gt;$B159,$B175&lt;&gt;$B160,$B176&lt;&gt;$B161,$B177&lt;&gt;$B162,$B178&lt;&gt;$B163),IF($B172&lt;&gt;$B157,AI157/INDEX($C153:$AJ163,5,MATCH(IF('Data-solution'!$A$3="Maximize",MAX($C164:$AI164),MIN($C164:$AI164)),$C164:$AI164,0)),AI157-INDEX($C153:$AJ163,5,MATCH(IF('Data-solution'!$A$3="Maximize",MAX($C164:$AI164),MIN($C164:$AI164)),$C164:$AI164,0))*INDEX(AI153:$AJ163,MATCH(MIN($AK153:$AK163),$AK153:$AK163,0),1)/INDEX($C153:$AJ163,MATCH(MIN($AK153:$AK163),$AK153:$AK163,0),MATCH(IF('Data-solution'!$A$3="Maximize",MAX($C164:$AI164),MIN($C164:$AI164)),$C164:$AI164,0))),AI157)</f>
        <v>0</v>
      </c>
      <c r="AJ172" s="1">
        <f>IF(OR($B168&lt;&gt;$B153,$B169&lt;&gt;$B154,$B170&lt;&gt;$B155,$B171&lt;&gt;$B156,$B172&lt;&gt;$B157,$B173&lt;&gt;$B158,$B174&lt;&gt;$B159,$B175&lt;&gt;$B160,$B176&lt;&gt;$B161,$B177&lt;&gt;$B162,$B178&lt;&gt;$B163),IF($B172&lt;&gt;$B157,AJ157/INDEX($C153:$AJ163,5,MATCH(IF('Data-solution'!$A$3="Maximize",MAX($C164:$AI164),MIN($C164:$AI164)),$C164:$AI164,0)),AJ157-INDEX($C153:$AJ163,5,MATCH(IF('Data-solution'!$A$3="Maximize",MAX($C164:$AI164),MIN($C164:$AI164)),$C164:$AI164,0))*INDEX(AJ153:$AJ163,MATCH(MIN($AK153:$AK163),$AK153:$AK163,0),1)/INDEX($C153:$AJ163,MATCH(MIN($AK153:$AK163),$AK153:$AK163,0),MATCH(IF('Data-solution'!$A$3="Maximize",MAX($C164:$AI164),MIN($C164:$AI164)),$C164:$AI164,0))),AJ157)</f>
        <v>0</v>
      </c>
      <c r="AK172" s="1" t="str">
        <f>IF(INDEX(C172:X172,1,MATCH(IF('Data-solution'!A$3="Maximize",MAX(C179:X179),MIN(C179:X179)),C179:X179,0))&gt;0,AJ172/INDEX(C172:X172,1,MATCH(IF('Data-solution'!A$3="Maximize",MAX(C179:X179),MIN(C179:X179)),C179:X179,0))," ")</f>
        <v xml:space="preserve"> </v>
      </c>
    </row>
    <row r="173" spans="1:37" ht="18" customHeight="1" x14ac:dyDescent="0.2">
      <c r="A173" s="1">
        <f t="shared" ref="A173" si="143">INDEX(C166:AI166,1,MATCH(B173,C167:AI167,0))</f>
        <v>0</v>
      </c>
      <c r="B173" s="2" t="str">
        <f>IF(AND('Data-solution'!A$3="Maximize",COUNTIF(C164:X164,"&gt;"&amp;0)&gt;0,AK158=MIN(AK153:AK163),COUNTIF(B168:B172,INDEX(C152:X152,1,MATCH(MAX(C164:X164),C164:X164,0)))=0),INDEX(C152:X152,1,MATCH(MAX(C164:X164),C164:X164,0)),IF(AND('Data-solution'!A$3="Minimize",COUNTIF(C164:X164,"&lt;"&amp;0)&gt;0,AK158=MIN(AK153:AK163),COUNTIF(B168:B172,INDEX(C152:X152,1,MATCH(MIN(C164:X164),C164:X164,0)))=0),INDEX(C152:X152,1,MATCH(MIN(C164:X164),C164:X164,0)),B158))</f>
        <v>S6</v>
      </c>
      <c r="C173" s="1">
        <f>IF(OR($B168&lt;&gt;$B153,$B169&lt;&gt;$B154,$B170&lt;&gt;$B155,$B171&lt;&gt;$B156,$B172&lt;&gt;$B157,$B173&lt;&gt;$B158,$B174&lt;&gt;$B159,$B175&lt;&gt;$B160,$B176&lt;&gt;$B161,$B177&lt;&gt;$B162,$B178&lt;&gt;$B163),IF($B173&lt;&gt;$B158,C158/INDEX($C153:$AJ163,6,MATCH(IF('Data-solution'!$A$3="Maximize",MAX($C164:$AI164),MIN($C164:$AI164)),$C164:$AI164,0)),C158-INDEX($C153:$AJ163,6,MATCH(IF('Data-solution'!$A$3="Maximize",MAX($C164:$AI164),MIN($C164:$AI164)),$C164:$AI164,0))*INDEX(C153:$AJ163,MATCH(MIN($AK153:$AK163),$AK153:$AK163,0),1)/INDEX($C153:$AJ163,MATCH(MIN($AK153:$AK163),$AK153:$AK163,0),MATCH(IF('Data-solution'!$A$3="Maximize",MAX($C164:$AI164),MIN($C164:$AI164)),$C164:$AI164,0))),C158)</f>
        <v>0</v>
      </c>
      <c r="D173" s="1">
        <f>IF(OR($B168&lt;&gt;$B153,$B169&lt;&gt;$B154,$B170&lt;&gt;$B155,$B171&lt;&gt;$B156,$B172&lt;&gt;$B157,$B173&lt;&gt;$B158,$B174&lt;&gt;$B159,$B175&lt;&gt;$B160,$B176&lt;&gt;$B161,$B177&lt;&gt;$B162,$B178&lt;&gt;$B163),IF($B173&lt;&gt;$B158,D158/INDEX($C153:$AJ163,6,MATCH(IF('Data-solution'!$A$3="Maximize",MAX($C164:$AI164),MIN($C164:$AI164)),$C164:$AI164,0)),D158-INDEX($C153:$AJ163,6,MATCH(IF('Data-solution'!$A$3="Maximize",MAX($C164:$AI164),MIN($C164:$AI164)),$C164:$AI164,0))*INDEX(D153:$AJ163,MATCH(MIN($AK153:$AK163),$AK153:$AK163,0),1)/INDEX($C153:$AJ163,MATCH(MIN($AK153:$AK163),$AK153:$AK163,0),MATCH(IF('Data-solution'!$A$3="Maximize",MAX($C164:$AI164),MIN($C164:$AI164)),$C164:$AI164,0))),D158)</f>
        <v>0</v>
      </c>
      <c r="E173" s="1">
        <f>IF(OR($B168&lt;&gt;$B153,$B169&lt;&gt;$B154,$B170&lt;&gt;$B155,$B171&lt;&gt;$B156,$B172&lt;&gt;$B157,$B173&lt;&gt;$B158,$B174&lt;&gt;$B159,$B175&lt;&gt;$B160,$B176&lt;&gt;$B161,$B177&lt;&gt;$B162,$B178&lt;&gt;$B163),IF($B173&lt;&gt;$B158,E158/INDEX($C153:$AJ163,6,MATCH(IF('Data-solution'!$A$3="Maximize",MAX($C164:$AI164),MIN($C164:$AI164)),$C164:$AI164,0)),E158-INDEX($C153:$AJ163,6,MATCH(IF('Data-solution'!$A$3="Maximize",MAX($C164:$AI164),MIN($C164:$AI164)),$C164:$AI164,0))*INDEX(E153:$AJ163,MATCH(MIN($AK153:$AK163),$AK153:$AK163,0),1)/INDEX($C153:$AJ163,MATCH(MIN($AK153:$AK163),$AK153:$AK163,0),MATCH(IF('Data-solution'!$A$3="Maximize",MAX($C164:$AI164),MIN($C164:$AI164)),$C164:$AI164,0))),E158)</f>
        <v>0</v>
      </c>
      <c r="F173" s="1">
        <f>IF(OR($B168&lt;&gt;$B153,$B169&lt;&gt;$B154,$B170&lt;&gt;$B155,$B171&lt;&gt;$B156,$B172&lt;&gt;$B157,$B173&lt;&gt;$B158,$B174&lt;&gt;$B159,$B175&lt;&gt;$B160,$B176&lt;&gt;$B161,$B177&lt;&gt;$B162,$B178&lt;&gt;$B163),IF($B173&lt;&gt;$B158,F158/INDEX($C153:$AJ163,6,MATCH(IF('Data-solution'!$A$3="Maximize",MAX($C164:$AI164),MIN($C164:$AI164)),$C164:$AI164,0)),F158-INDEX($C153:$AJ163,6,MATCH(IF('Data-solution'!$A$3="Maximize",MAX($C164:$AI164),MIN($C164:$AI164)),$C164:$AI164,0))*INDEX(F153:$AJ163,MATCH(MIN($AK153:$AK163),$AK153:$AK163,0),1)/INDEX($C153:$AJ163,MATCH(MIN($AK153:$AK163),$AK153:$AK163,0),MATCH(IF('Data-solution'!$A$3="Maximize",MAX($C164:$AI164),MIN($C164:$AI164)),$C164:$AI164,0))),F158)</f>
        <v>0</v>
      </c>
      <c r="G173" s="1">
        <f>IF(OR($B168&lt;&gt;$B153,$B169&lt;&gt;$B154,$B170&lt;&gt;$B155,$B171&lt;&gt;$B156,$B172&lt;&gt;$B157,$B173&lt;&gt;$B158,$B174&lt;&gt;$B159,$B175&lt;&gt;$B160,$B176&lt;&gt;$B161,$B177&lt;&gt;$B162,$B178&lt;&gt;$B163),IF($B173&lt;&gt;$B158,G158/INDEX($C153:$AJ163,6,MATCH(IF('Data-solution'!$A$3="Maximize",MAX($C164:$AI164),MIN($C164:$AI164)),$C164:$AI164,0)),G158-INDEX($C153:$AJ163,6,MATCH(IF('Data-solution'!$A$3="Maximize",MAX($C164:$AI164),MIN($C164:$AI164)),$C164:$AI164,0))*INDEX(G153:$AJ163,MATCH(MIN($AK153:$AK163),$AK153:$AK163,0),1)/INDEX($C153:$AJ163,MATCH(MIN($AK153:$AK163),$AK153:$AK163,0),MATCH(IF('Data-solution'!$A$3="Maximize",MAX($C164:$AI164),MIN($C164:$AI164)),$C164:$AI164,0))),G158)</f>
        <v>0</v>
      </c>
      <c r="H173" s="1">
        <f>IF(OR($B168&lt;&gt;$B153,$B169&lt;&gt;$B154,$B170&lt;&gt;$B155,$B171&lt;&gt;$B156,$B172&lt;&gt;$B157,$B173&lt;&gt;$B158,$B174&lt;&gt;$B159,$B175&lt;&gt;$B160,$B176&lt;&gt;$B161,$B177&lt;&gt;$B162,$B178&lt;&gt;$B163),IF($B173&lt;&gt;$B158,H158/INDEX($C153:$AJ163,6,MATCH(IF('Data-solution'!$A$3="Maximize",MAX($C164:$AI164),MIN($C164:$AI164)),$C164:$AI164,0)),H158-INDEX($C153:$AJ163,6,MATCH(IF('Data-solution'!$A$3="Maximize",MAX($C164:$AI164),MIN($C164:$AI164)),$C164:$AI164,0))*INDEX(H153:$AJ163,MATCH(MIN($AK153:$AK163),$AK153:$AK163,0),1)/INDEX($C153:$AJ163,MATCH(MIN($AK153:$AK163),$AK153:$AK163,0),MATCH(IF('Data-solution'!$A$3="Maximize",MAX($C164:$AI164),MIN($C164:$AI164)),$C164:$AI164,0))),H158)</f>
        <v>0</v>
      </c>
      <c r="I173" s="1">
        <f>IF(OR($B168&lt;&gt;$B153,$B169&lt;&gt;$B154,$B170&lt;&gt;$B155,$B171&lt;&gt;$B156,$B172&lt;&gt;$B157,$B173&lt;&gt;$B158,$B174&lt;&gt;$B159,$B175&lt;&gt;$B160,$B176&lt;&gt;$B161,$B177&lt;&gt;$B162,$B178&lt;&gt;$B163),IF($B173&lt;&gt;$B158,I158/INDEX($C153:$AJ163,6,MATCH(IF('Data-solution'!$A$3="Maximize",MAX($C164:$AI164),MIN($C164:$AI164)),$C164:$AI164,0)),I158-INDEX($C153:$AJ163,6,MATCH(IF('Data-solution'!$A$3="Maximize",MAX($C164:$AI164),MIN($C164:$AI164)),$C164:$AI164,0))*INDEX(I153:$AJ163,MATCH(MIN($AK153:$AK163),$AK153:$AK163,0),1)/INDEX($C153:$AJ163,MATCH(MIN($AK153:$AK163),$AK153:$AK163,0),MATCH(IF('Data-solution'!$A$3="Maximize",MAX($C164:$AI164),MIN($C164:$AI164)),$C164:$AI164,0))),I158)</f>
        <v>0</v>
      </c>
      <c r="J173" s="1">
        <f>IF(OR($B168&lt;&gt;$B153,$B169&lt;&gt;$B154,$B170&lt;&gt;$B155,$B171&lt;&gt;$B156,$B172&lt;&gt;$B157,$B173&lt;&gt;$B158,$B174&lt;&gt;$B159,$B175&lt;&gt;$B160,$B176&lt;&gt;$B161,$B177&lt;&gt;$B162,$B178&lt;&gt;$B163),IF($B173&lt;&gt;$B158,J158/INDEX($C153:$AJ163,6,MATCH(IF('Data-solution'!$A$3="Maximize",MAX($C164:$AI164),MIN($C164:$AI164)),$C164:$AI164,0)),J158-INDEX($C153:$AJ163,6,MATCH(IF('Data-solution'!$A$3="Maximize",MAX($C164:$AI164),MIN($C164:$AI164)),$C164:$AI164,0))*INDEX(J153:$AJ163,MATCH(MIN($AK153:$AK163),$AK153:$AK163,0),1)/INDEX($C153:$AJ163,MATCH(MIN($AK153:$AK163),$AK153:$AK163,0),MATCH(IF('Data-solution'!$A$3="Maximize",MAX($C164:$AI164),MIN($C164:$AI164)),$C164:$AI164,0))),J158)</f>
        <v>0</v>
      </c>
      <c r="K173" s="1">
        <f>IF(OR($B168&lt;&gt;$B153,$B169&lt;&gt;$B154,$B170&lt;&gt;$B155,$B171&lt;&gt;$B156,$B172&lt;&gt;$B157,$B173&lt;&gt;$B158,$B174&lt;&gt;$B159,$B175&lt;&gt;$B160,$B176&lt;&gt;$B161,$B177&lt;&gt;$B162,$B178&lt;&gt;$B163),IF($B173&lt;&gt;$B158,K158/INDEX($C153:$AJ163,6,MATCH(IF('Data-solution'!$A$3="Maximize",MAX($C164:$AI164),MIN($C164:$AI164)),$C164:$AI164,0)),K158-INDEX($C153:$AJ163,6,MATCH(IF('Data-solution'!$A$3="Maximize",MAX($C164:$AI164),MIN($C164:$AI164)),$C164:$AI164,0))*INDEX(K153:$AJ163,MATCH(MIN($AK153:$AK163),$AK153:$AK163,0),1)/INDEX($C153:$AJ163,MATCH(MIN($AK153:$AK163),$AK153:$AK163,0),MATCH(IF('Data-solution'!$A$3="Maximize",MAX($C164:$AI164),MIN($C164:$AI164)),$C164:$AI164,0))),K158)</f>
        <v>0</v>
      </c>
      <c r="L173" s="1">
        <f>IF(OR($B168&lt;&gt;$B153,$B169&lt;&gt;$B154,$B170&lt;&gt;$B155,$B171&lt;&gt;$B156,$B172&lt;&gt;$B157,$B173&lt;&gt;$B158,$B174&lt;&gt;$B159,$B175&lt;&gt;$B160,$B176&lt;&gt;$B161,$B177&lt;&gt;$B162,$B178&lt;&gt;$B163),IF($B173&lt;&gt;$B158,L158/INDEX($C153:$AJ163,6,MATCH(IF('Data-solution'!$A$3="Maximize",MAX($C164:$AI164),MIN($C164:$AI164)),$C164:$AI164,0)),L158-INDEX($C153:$AJ163,6,MATCH(IF('Data-solution'!$A$3="Maximize",MAX($C164:$AI164),MIN($C164:$AI164)),$C164:$AI164,0))*INDEX(L153:$AJ163,MATCH(MIN($AK153:$AK163),$AK153:$AK163,0),1)/INDEX($C153:$AJ163,MATCH(MIN($AK153:$AK163),$AK153:$AK163,0),MATCH(IF('Data-solution'!$A$3="Maximize",MAX($C164:$AI164),MIN($C164:$AI164)),$C164:$AI164,0))),L158)</f>
        <v>0</v>
      </c>
      <c r="M173" s="1">
        <f>IF(OR($B168&lt;&gt;$B153,$B169&lt;&gt;$B154,$B170&lt;&gt;$B155,$B171&lt;&gt;$B156,$B172&lt;&gt;$B157,$B173&lt;&gt;$B158,$B174&lt;&gt;$B159,$B175&lt;&gt;$B160,$B176&lt;&gt;$B161,$B177&lt;&gt;$B162,$B178&lt;&gt;$B163),IF($B173&lt;&gt;$B158,M158/INDEX($C153:$AJ163,6,MATCH(IF('Data-solution'!$A$3="Maximize",MAX($C164:$AI164),MIN($C164:$AI164)),$C164:$AI164,0)),M158-INDEX($C153:$AJ163,6,MATCH(IF('Data-solution'!$A$3="Maximize",MAX($C164:$AI164),MIN($C164:$AI164)),$C164:$AI164,0))*INDEX(M153:$AJ163,MATCH(MIN($AK153:$AK163),$AK153:$AK163,0),1)/INDEX($C153:$AJ163,MATCH(MIN($AK153:$AK163),$AK153:$AK163,0),MATCH(IF('Data-solution'!$A$3="Maximize",MAX($C164:$AI164),MIN($C164:$AI164)),$C164:$AI164,0))),M158)</f>
        <v>0</v>
      </c>
      <c r="N173" s="1">
        <f>IF(OR($B168&lt;&gt;$B153,$B169&lt;&gt;$B154,$B170&lt;&gt;$B155,$B171&lt;&gt;$B156,$B172&lt;&gt;$B157,$B173&lt;&gt;$B158,$B174&lt;&gt;$B159,$B175&lt;&gt;$B160,$B176&lt;&gt;$B161,$B177&lt;&gt;$B162,$B178&lt;&gt;$B163),IF($B173&lt;&gt;$B158,N158/INDEX($C153:$AJ163,6,MATCH(IF('Data-solution'!$A$3="Maximize",MAX($C164:$AI164),MIN($C164:$AI164)),$C164:$AI164,0)),N158-INDEX($C153:$AJ163,6,MATCH(IF('Data-solution'!$A$3="Maximize",MAX($C164:$AI164),MIN($C164:$AI164)),$C164:$AI164,0))*INDEX(N153:$AJ163,MATCH(MIN($AK153:$AK163),$AK153:$AK163,0),1)/INDEX($C153:$AJ163,MATCH(MIN($AK153:$AK163),$AK153:$AK163,0),MATCH(IF('Data-solution'!$A$3="Maximize",MAX($C164:$AI164),MIN($C164:$AI164)),$C164:$AI164,0))),N158)</f>
        <v>0</v>
      </c>
      <c r="O173" s="1">
        <f>IF(OR($B168&lt;&gt;$B153,$B169&lt;&gt;$B154,$B170&lt;&gt;$B155,$B171&lt;&gt;$B156,$B172&lt;&gt;$B157,$B173&lt;&gt;$B158,$B174&lt;&gt;$B159,$B175&lt;&gt;$B160,$B176&lt;&gt;$B161,$B177&lt;&gt;$B162,$B178&lt;&gt;$B163),IF($B173&lt;&gt;$B158,O158/INDEX($C153:$AJ163,6,MATCH(IF('Data-solution'!$A$3="Maximize",MAX($C164:$AI164),MIN($C164:$AI164)),$C164:$AI164,0)),O158-INDEX($C153:$AJ163,6,MATCH(IF('Data-solution'!$A$3="Maximize",MAX($C164:$AI164),MIN($C164:$AI164)),$C164:$AI164,0))*INDEX(O153:$AJ163,MATCH(MIN($AK153:$AK163),$AK153:$AK163,0),1)/INDEX($C153:$AJ163,MATCH(MIN($AK153:$AK163),$AK153:$AK163,0),MATCH(IF('Data-solution'!$A$3="Maximize",MAX($C164:$AI164),MIN($C164:$AI164)),$C164:$AI164,0))),O158)</f>
        <v>0</v>
      </c>
      <c r="P173" s="1">
        <f>IF(OR($B168&lt;&gt;$B153,$B169&lt;&gt;$B154,$B170&lt;&gt;$B155,$B171&lt;&gt;$B156,$B172&lt;&gt;$B157,$B173&lt;&gt;$B158,$B174&lt;&gt;$B159,$B175&lt;&gt;$B160,$B176&lt;&gt;$B161,$B177&lt;&gt;$B162,$B178&lt;&gt;$B163),IF($B173&lt;&gt;$B158,P158/INDEX($C153:$AJ163,6,MATCH(IF('Data-solution'!$A$3="Maximize",MAX($C164:$AI164),MIN($C164:$AI164)),$C164:$AI164,0)),P158-INDEX($C153:$AJ163,6,MATCH(IF('Data-solution'!$A$3="Maximize",MAX($C164:$AI164),MIN($C164:$AI164)),$C164:$AI164,0))*INDEX(P153:$AJ163,MATCH(MIN($AK153:$AK163),$AK153:$AK163,0),1)/INDEX($C153:$AJ163,MATCH(MIN($AK153:$AK163),$AK153:$AK163,0),MATCH(IF('Data-solution'!$A$3="Maximize",MAX($C164:$AI164),MIN($C164:$AI164)),$C164:$AI164,0))),P158)</f>
        <v>0</v>
      </c>
      <c r="Q173" s="1">
        <f>IF(OR($B168&lt;&gt;$B153,$B169&lt;&gt;$B154,$B170&lt;&gt;$B155,$B171&lt;&gt;$B156,$B172&lt;&gt;$B157,$B173&lt;&gt;$B158,$B174&lt;&gt;$B159,$B175&lt;&gt;$B160,$B176&lt;&gt;$B161,$B177&lt;&gt;$B162,$B178&lt;&gt;$B163),IF($B173&lt;&gt;$B158,Q158/INDEX($C153:$AJ163,6,MATCH(IF('Data-solution'!$A$3="Maximize",MAX($C164:$AI164),MIN($C164:$AI164)),$C164:$AI164,0)),Q158-INDEX($C153:$AJ163,6,MATCH(IF('Data-solution'!$A$3="Maximize",MAX($C164:$AI164),MIN($C164:$AI164)),$C164:$AI164,0))*INDEX(Q153:$AJ163,MATCH(MIN($AK153:$AK163),$AK153:$AK163,0),1)/INDEX($C153:$AJ163,MATCH(MIN($AK153:$AK163),$AK153:$AK163,0),MATCH(IF('Data-solution'!$A$3="Maximize",MAX($C164:$AI164),MIN($C164:$AI164)),$C164:$AI164,0))),Q158)</f>
        <v>0</v>
      </c>
      <c r="R173" s="1">
        <f>IF(OR($B168&lt;&gt;$B153,$B169&lt;&gt;$B154,$B170&lt;&gt;$B155,$B171&lt;&gt;$B156,$B172&lt;&gt;$B157,$B173&lt;&gt;$B158,$B174&lt;&gt;$B159,$B175&lt;&gt;$B160,$B176&lt;&gt;$B161,$B177&lt;&gt;$B162,$B178&lt;&gt;$B163),IF($B173&lt;&gt;$B158,R158/INDEX($C153:$AJ163,6,MATCH(IF('Data-solution'!$A$3="Maximize",MAX($C164:$AI164),MIN($C164:$AI164)),$C164:$AI164,0)),R158-INDEX($C153:$AJ163,6,MATCH(IF('Data-solution'!$A$3="Maximize",MAX($C164:$AI164),MIN($C164:$AI164)),$C164:$AI164,0))*INDEX(R153:$AJ163,MATCH(MIN($AK153:$AK163),$AK153:$AK163,0),1)/INDEX($C153:$AJ163,MATCH(MIN($AK153:$AK163),$AK153:$AK163,0),MATCH(IF('Data-solution'!$A$3="Maximize",MAX($C164:$AI164),MIN($C164:$AI164)),$C164:$AI164,0))),R158)</f>
        <v>0</v>
      </c>
      <c r="S173" s="1">
        <f>IF(OR($B168&lt;&gt;$B153,$B169&lt;&gt;$B154,$B170&lt;&gt;$B155,$B171&lt;&gt;$B156,$B172&lt;&gt;$B157,$B173&lt;&gt;$B158,$B174&lt;&gt;$B159,$B175&lt;&gt;$B160,$B176&lt;&gt;$B161,$B177&lt;&gt;$B162,$B178&lt;&gt;$B163),IF($B173&lt;&gt;$B158,S158/INDEX($C153:$AJ163,6,MATCH(IF('Data-solution'!$A$3="Maximize",MAX($C164:$AI164),MIN($C164:$AI164)),$C164:$AI164,0)),S158-INDEX($C153:$AJ163,6,MATCH(IF('Data-solution'!$A$3="Maximize",MAX($C164:$AI164),MIN($C164:$AI164)),$C164:$AI164,0))*INDEX(S153:$AJ163,MATCH(MIN($AK153:$AK163),$AK153:$AK163,0),1)/INDEX($C153:$AJ163,MATCH(MIN($AK153:$AK163),$AK153:$AK163,0),MATCH(IF('Data-solution'!$A$3="Maximize",MAX($C164:$AI164),MIN($C164:$AI164)),$C164:$AI164,0))),S158)</f>
        <v>1</v>
      </c>
      <c r="T173" s="1">
        <f>IF(OR($B168&lt;&gt;$B153,$B169&lt;&gt;$B154,$B170&lt;&gt;$B155,$B171&lt;&gt;$B156,$B172&lt;&gt;$B157,$B173&lt;&gt;$B158,$B174&lt;&gt;$B159,$B175&lt;&gt;$B160,$B176&lt;&gt;$B161,$B177&lt;&gt;$B162,$B178&lt;&gt;$B163),IF($B173&lt;&gt;$B158,T158/INDEX($C153:$AJ163,6,MATCH(IF('Data-solution'!$A$3="Maximize",MAX($C164:$AI164),MIN($C164:$AI164)),$C164:$AI164,0)),T158-INDEX($C153:$AJ163,6,MATCH(IF('Data-solution'!$A$3="Maximize",MAX($C164:$AI164),MIN($C164:$AI164)),$C164:$AI164,0))*INDEX(T153:$AJ163,MATCH(MIN($AK153:$AK163),$AK153:$AK163,0),1)/INDEX($C153:$AJ163,MATCH(MIN($AK153:$AK163),$AK153:$AK163,0),MATCH(IF('Data-solution'!$A$3="Maximize",MAX($C164:$AI164),MIN($C164:$AI164)),$C164:$AI164,0))),T158)</f>
        <v>0</v>
      </c>
      <c r="U173" s="1">
        <f>IF(OR($B168&lt;&gt;$B153,$B169&lt;&gt;$B154,$B170&lt;&gt;$B155,$B171&lt;&gt;$B156,$B172&lt;&gt;$B157,$B173&lt;&gt;$B158,$B174&lt;&gt;$B159,$B175&lt;&gt;$B160,$B176&lt;&gt;$B161,$B177&lt;&gt;$B162,$B178&lt;&gt;$B163),IF($B173&lt;&gt;$B158,U158/INDEX($C153:$AJ163,6,MATCH(IF('Data-solution'!$A$3="Maximize",MAX($C164:$AI164),MIN($C164:$AI164)),$C164:$AI164,0)),U158-INDEX($C153:$AJ163,6,MATCH(IF('Data-solution'!$A$3="Maximize",MAX($C164:$AI164),MIN($C164:$AI164)),$C164:$AI164,0))*INDEX(U153:$AJ163,MATCH(MIN($AK153:$AK163),$AK153:$AK163,0),1)/INDEX($C153:$AJ163,MATCH(MIN($AK153:$AK163),$AK153:$AK163,0),MATCH(IF('Data-solution'!$A$3="Maximize",MAX($C164:$AI164),MIN($C164:$AI164)),$C164:$AI164,0))),U158)</f>
        <v>0</v>
      </c>
      <c r="V173" s="1">
        <f>IF(OR($B168&lt;&gt;$B153,$B169&lt;&gt;$B154,$B170&lt;&gt;$B155,$B171&lt;&gt;$B156,$B172&lt;&gt;$B157,$B173&lt;&gt;$B158,$B174&lt;&gt;$B159,$B175&lt;&gt;$B160,$B176&lt;&gt;$B161,$B177&lt;&gt;$B162,$B178&lt;&gt;$B163),IF($B173&lt;&gt;$B158,V158/INDEX($C153:$AJ163,6,MATCH(IF('Data-solution'!$A$3="Maximize",MAX($C164:$AI164),MIN($C164:$AI164)),$C164:$AI164,0)),V158-INDEX($C153:$AJ163,6,MATCH(IF('Data-solution'!$A$3="Maximize",MAX($C164:$AI164),MIN($C164:$AI164)),$C164:$AI164,0))*INDEX(V153:$AJ163,MATCH(MIN($AK153:$AK163),$AK153:$AK163,0),1)/INDEX($C153:$AJ163,MATCH(MIN($AK153:$AK163),$AK153:$AK163,0),MATCH(IF('Data-solution'!$A$3="Maximize",MAX($C164:$AI164),MIN($C164:$AI164)),$C164:$AI164,0))),V158)</f>
        <v>0</v>
      </c>
      <c r="W173" s="1">
        <f>IF(OR($B168&lt;&gt;$B153,$B169&lt;&gt;$B154,$B170&lt;&gt;$B155,$B171&lt;&gt;$B156,$B172&lt;&gt;$B157,$B173&lt;&gt;$B158,$B174&lt;&gt;$B159,$B175&lt;&gt;$B160,$B176&lt;&gt;$B161,$B177&lt;&gt;$B162,$B178&lt;&gt;$B163),IF($B173&lt;&gt;$B158,W158/INDEX($C153:$AJ163,6,MATCH(IF('Data-solution'!$A$3="Maximize",MAX($C164:$AI164),MIN($C164:$AI164)),$C164:$AI164,0)),W158-INDEX($C153:$AJ163,6,MATCH(IF('Data-solution'!$A$3="Maximize",MAX($C164:$AI164),MIN($C164:$AI164)),$C164:$AI164,0))*INDEX(W153:$AJ163,MATCH(MIN($AK153:$AK163),$AK153:$AK163,0),1)/INDEX($C153:$AJ163,MATCH(MIN($AK153:$AK163),$AK153:$AK163,0),MATCH(IF('Data-solution'!$A$3="Maximize",MAX($C164:$AI164),MIN($C164:$AI164)),$C164:$AI164,0))),W158)</f>
        <v>0</v>
      </c>
      <c r="X173" s="1">
        <f>IF(OR($B168&lt;&gt;$B153,$B169&lt;&gt;$B154,$B170&lt;&gt;$B155,$B171&lt;&gt;$B156,$B172&lt;&gt;$B157,$B173&lt;&gt;$B158,$B174&lt;&gt;$B159,$B175&lt;&gt;$B160,$B176&lt;&gt;$B161,$B177&lt;&gt;$B162,$B178&lt;&gt;$B163),IF($B173&lt;&gt;$B158,X158/INDEX($C153:$AJ163,6,MATCH(IF('Data-solution'!$A$3="Maximize",MAX($C164:$AI164),MIN($C164:$AI164)),$C164:$AI164,0)),X158-INDEX($C153:$AJ163,6,MATCH(IF('Data-solution'!$A$3="Maximize",MAX($C164:$AI164),MIN($C164:$AI164)),$C164:$AI164,0))*INDEX(X153:$AJ163,MATCH(MIN($AK153:$AK163),$AK153:$AK163,0),1)/INDEX($C153:$AJ163,MATCH(MIN($AK153:$AK163),$AK153:$AK163,0),MATCH(IF('Data-solution'!$A$3="Maximize",MAX($C164:$AI164),MIN($C164:$AI164)),$C164:$AI164,0))),X158)</f>
        <v>0</v>
      </c>
      <c r="Y173" s="1">
        <f>IF(OR($B168&lt;&gt;$B153,$B169&lt;&gt;$B154,$B170&lt;&gt;$B155,$B171&lt;&gt;$B156,$B172&lt;&gt;$B157,$B173&lt;&gt;$B158,$B174&lt;&gt;$B159,$B175&lt;&gt;$B160,$B176&lt;&gt;$B161,$B177&lt;&gt;$B162,$B178&lt;&gt;$B163),IF($B173&lt;&gt;$B158,Y158/INDEX($C153:$AJ163,6,MATCH(IF('Data-solution'!$A$3="Maximize",MAX($C164:$AI164),MIN($C164:$AI164)),$C164:$AI164,0)),Y158-INDEX($C153:$AJ163,6,MATCH(IF('Data-solution'!$A$3="Maximize",MAX($C164:$AI164),MIN($C164:$AI164)),$C164:$AI164,0))*INDEX(Y153:$AJ163,MATCH(MIN($AK153:$AK163),$AK153:$AK163,0),1)/INDEX($C153:$AJ163,MATCH(MIN($AK153:$AK163),$AK153:$AK163,0),MATCH(IF('Data-solution'!$A$3="Maximize",MAX($C164:$AI164),MIN($C164:$AI164)),$C164:$AI164,0))),Y158)</f>
        <v>0</v>
      </c>
      <c r="Z173" s="1">
        <f>IF(OR($B168&lt;&gt;$B153,$B169&lt;&gt;$B154,$B170&lt;&gt;$B155,$B171&lt;&gt;$B156,$B172&lt;&gt;$B157,$B173&lt;&gt;$B158,$B174&lt;&gt;$B159,$B175&lt;&gt;$B160,$B176&lt;&gt;$B161,$B177&lt;&gt;$B162,$B178&lt;&gt;$B163),IF($B173&lt;&gt;$B158,Z158/INDEX($C153:$AJ163,6,MATCH(IF('Data-solution'!$A$3="Maximize",MAX($C164:$AI164),MIN($C164:$AI164)),$C164:$AI164,0)),Z158-INDEX($C153:$AJ163,6,MATCH(IF('Data-solution'!$A$3="Maximize",MAX($C164:$AI164),MIN($C164:$AI164)),$C164:$AI164,0))*INDEX(Z153:$AJ163,MATCH(MIN($AK153:$AK163),$AK153:$AK163,0),1)/INDEX($C153:$AJ163,MATCH(MIN($AK153:$AK163),$AK153:$AK163,0),MATCH(IF('Data-solution'!$A$3="Maximize",MAX($C164:$AI164),MIN($C164:$AI164)),$C164:$AI164,0))),Z158)</f>
        <v>0</v>
      </c>
      <c r="AA173" s="1">
        <f>IF(OR($B168&lt;&gt;$B153,$B169&lt;&gt;$B154,$B170&lt;&gt;$B155,$B171&lt;&gt;$B156,$B172&lt;&gt;$B157,$B173&lt;&gt;$B158,$B174&lt;&gt;$B159,$B175&lt;&gt;$B160,$B176&lt;&gt;$B161,$B177&lt;&gt;$B162,$B178&lt;&gt;$B163),IF($B173&lt;&gt;$B158,AA158/INDEX($C153:$AJ163,6,MATCH(IF('Data-solution'!$A$3="Maximize",MAX($C164:$AI164),MIN($C164:$AI164)),$C164:$AI164,0)),AA158-INDEX($C153:$AJ163,6,MATCH(IF('Data-solution'!$A$3="Maximize",MAX($C164:$AI164),MIN($C164:$AI164)),$C164:$AI164,0))*INDEX(AA153:$AJ163,MATCH(MIN($AK153:$AK163),$AK153:$AK163,0),1)/INDEX($C153:$AJ163,MATCH(MIN($AK153:$AK163),$AK153:$AK163,0),MATCH(IF('Data-solution'!$A$3="Maximize",MAX($C164:$AI164),MIN($C164:$AI164)),$C164:$AI164,0))),AA158)</f>
        <v>0</v>
      </c>
      <c r="AB173" s="1">
        <f>IF(OR($B168&lt;&gt;$B153,$B169&lt;&gt;$B154,$B170&lt;&gt;$B155,$B171&lt;&gt;$B156,$B172&lt;&gt;$B157,$B173&lt;&gt;$B158,$B174&lt;&gt;$B159,$B175&lt;&gt;$B160,$B176&lt;&gt;$B161,$B177&lt;&gt;$B162,$B178&lt;&gt;$B163),IF($B173&lt;&gt;$B158,AB158/INDEX($C153:$AJ163,6,MATCH(IF('Data-solution'!$A$3="Maximize",MAX($C164:$AI164),MIN($C164:$AI164)),$C164:$AI164,0)),AB158-INDEX($C153:$AJ163,6,MATCH(IF('Data-solution'!$A$3="Maximize",MAX($C164:$AI164),MIN($C164:$AI164)),$C164:$AI164,0))*INDEX(AB153:$AJ163,MATCH(MIN($AK153:$AK163),$AK153:$AK163,0),1)/INDEX($C153:$AJ163,MATCH(MIN($AK153:$AK163),$AK153:$AK163,0),MATCH(IF('Data-solution'!$A$3="Maximize",MAX($C164:$AI164),MIN($C164:$AI164)),$C164:$AI164,0))),AB158)</f>
        <v>0</v>
      </c>
      <c r="AC173" s="1">
        <f>IF(OR($B168&lt;&gt;$B153,$B169&lt;&gt;$B154,$B170&lt;&gt;$B155,$B171&lt;&gt;$B156,$B172&lt;&gt;$B157,$B173&lt;&gt;$B158,$B174&lt;&gt;$B159,$B175&lt;&gt;$B160,$B176&lt;&gt;$B161,$B177&lt;&gt;$B162,$B178&lt;&gt;$B163),IF($B173&lt;&gt;$B158,AC158/INDEX($C153:$AJ163,6,MATCH(IF('Data-solution'!$A$3="Maximize",MAX($C164:$AI164),MIN($C164:$AI164)),$C164:$AI164,0)),AC158-INDEX($C153:$AJ163,6,MATCH(IF('Data-solution'!$A$3="Maximize",MAX($C164:$AI164),MIN($C164:$AI164)),$C164:$AI164,0))*INDEX(AC153:$AJ163,MATCH(MIN($AK153:$AK163),$AK153:$AK163,0),1)/INDEX($C153:$AJ163,MATCH(MIN($AK153:$AK163),$AK153:$AK163,0),MATCH(IF('Data-solution'!$A$3="Maximize",MAX($C164:$AI164),MIN($C164:$AI164)),$C164:$AI164,0))),AC158)</f>
        <v>0</v>
      </c>
      <c r="AD173" s="1">
        <f>IF(OR($B168&lt;&gt;$B153,$B169&lt;&gt;$B154,$B170&lt;&gt;$B155,$B171&lt;&gt;$B156,$B172&lt;&gt;$B157,$B173&lt;&gt;$B158,$B174&lt;&gt;$B159,$B175&lt;&gt;$B160,$B176&lt;&gt;$B161,$B177&lt;&gt;$B162,$B178&lt;&gt;$B163),IF($B173&lt;&gt;$B158,AD158/INDEX($C153:$AJ163,6,MATCH(IF('Data-solution'!$A$3="Maximize",MAX($C164:$AI164),MIN($C164:$AI164)),$C164:$AI164,0)),AD158-INDEX($C153:$AJ163,6,MATCH(IF('Data-solution'!$A$3="Maximize",MAX($C164:$AI164),MIN($C164:$AI164)),$C164:$AI164,0))*INDEX(AD153:$AJ163,MATCH(MIN($AK153:$AK163),$AK153:$AK163,0),1)/INDEX($C153:$AJ163,MATCH(MIN($AK153:$AK163),$AK153:$AK163,0),MATCH(IF('Data-solution'!$A$3="Maximize",MAX($C164:$AI164),MIN($C164:$AI164)),$C164:$AI164,0))),AD158)</f>
        <v>1</v>
      </c>
      <c r="AE173" s="1">
        <f>IF(OR($B168&lt;&gt;$B153,$B169&lt;&gt;$B154,$B170&lt;&gt;$B155,$B171&lt;&gt;$B156,$B172&lt;&gt;$B157,$B173&lt;&gt;$B158,$B174&lt;&gt;$B159,$B175&lt;&gt;$B160,$B176&lt;&gt;$B161,$B177&lt;&gt;$B162,$B178&lt;&gt;$B163),IF($B173&lt;&gt;$B158,AE158/INDEX($C153:$AJ163,6,MATCH(IF('Data-solution'!$A$3="Maximize",MAX($C164:$AI164),MIN($C164:$AI164)),$C164:$AI164,0)),AE158-INDEX($C153:$AJ163,6,MATCH(IF('Data-solution'!$A$3="Maximize",MAX($C164:$AI164),MIN($C164:$AI164)),$C164:$AI164,0))*INDEX(AE153:$AJ163,MATCH(MIN($AK153:$AK163),$AK153:$AK163,0),1)/INDEX($C153:$AJ163,MATCH(MIN($AK153:$AK163),$AK153:$AK163,0),MATCH(IF('Data-solution'!$A$3="Maximize",MAX($C164:$AI164),MIN($C164:$AI164)),$C164:$AI164,0))),AE158)</f>
        <v>0</v>
      </c>
      <c r="AF173" s="1">
        <f>IF(OR($B168&lt;&gt;$B153,$B169&lt;&gt;$B154,$B170&lt;&gt;$B155,$B171&lt;&gt;$B156,$B172&lt;&gt;$B157,$B173&lt;&gt;$B158,$B174&lt;&gt;$B159,$B175&lt;&gt;$B160,$B176&lt;&gt;$B161,$B177&lt;&gt;$B162,$B178&lt;&gt;$B163),IF($B173&lt;&gt;$B158,AF158/INDEX($C153:$AJ163,6,MATCH(IF('Data-solution'!$A$3="Maximize",MAX($C164:$AI164),MIN($C164:$AI164)),$C164:$AI164,0)),AF158-INDEX($C153:$AJ163,6,MATCH(IF('Data-solution'!$A$3="Maximize",MAX($C164:$AI164),MIN($C164:$AI164)),$C164:$AI164,0))*INDEX(AF153:$AJ163,MATCH(MIN($AK153:$AK163),$AK153:$AK163,0),1)/INDEX($C153:$AJ163,MATCH(MIN($AK153:$AK163),$AK153:$AK163,0),MATCH(IF('Data-solution'!$A$3="Maximize",MAX($C164:$AI164),MIN($C164:$AI164)),$C164:$AI164,0))),AF158)</f>
        <v>0</v>
      </c>
      <c r="AG173" s="1">
        <f>IF(OR($B168&lt;&gt;$B153,$B169&lt;&gt;$B154,$B170&lt;&gt;$B155,$B171&lt;&gt;$B156,$B172&lt;&gt;$B157,$B173&lt;&gt;$B158,$B174&lt;&gt;$B159,$B175&lt;&gt;$B160,$B176&lt;&gt;$B161,$B177&lt;&gt;$B162,$B178&lt;&gt;$B163),IF($B173&lt;&gt;$B158,AG158/INDEX($C153:$AJ163,6,MATCH(IF('Data-solution'!$A$3="Maximize",MAX($C164:$AI164),MIN($C164:$AI164)),$C164:$AI164,0)),AG158-INDEX($C153:$AJ163,6,MATCH(IF('Data-solution'!$A$3="Maximize",MAX($C164:$AI164),MIN($C164:$AI164)),$C164:$AI164,0))*INDEX(AG153:$AJ163,MATCH(MIN($AK153:$AK163),$AK153:$AK163,0),1)/INDEX($C153:$AJ163,MATCH(MIN($AK153:$AK163),$AK153:$AK163,0),MATCH(IF('Data-solution'!$A$3="Maximize",MAX($C164:$AI164),MIN($C164:$AI164)),$C164:$AI164,0))),AG158)</f>
        <v>0</v>
      </c>
      <c r="AH173" s="1">
        <f>IF(OR($B168&lt;&gt;$B153,$B169&lt;&gt;$B154,$B170&lt;&gt;$B155,$B171&lt;&gt;$B156,$B172&lt;&gt;$B157,$B173&lt;&gt;$B158,$B174&lt;&gt;$B159,$B175&lt;&gt;$B160,$B176&lt;&gt;$B161,$B177&lt;&gt;$B162,$B178&lt;&gt;$B163),IF($B173&lt;&gt;$B158,AH158/INDEX($C153:$AJ163,6,MATCH(IF('Data-solution'!$A$3="Maximize",MAX($C164:$AI164),MIN($C164:$AI164)),$C164:$AI164,0)),AH158-INDEX($C153:$AJ163,6,MATCH(IF('Data-solution'!$A$3="Maximize",MAX($C164:$AI164),MIN($C164:$AI164)),$C164:$AI164,0))*INDEX(AH153:$AJ163,MATCH(MIN($AK153:$AK163),$AK153:$AK163,0),1)/INDEX($C153:$AJ163,MATCH(MIN($AK153:$AK163),$AK153:$AK163,0),MATCH(IF('Data-solution'!$A$3="Maximize",MAX($C164:$AI164),MIN($C164:$AI164)),$C164:$AI164,0))),AH158)</f>
        <v>0</v>
      </c>
      <c r="AI173" s="1">
        <f>IF(OR($B168&lt;&gt;$B153,$B169&lt;&gt;$B154,$B170&lt;&gt;$B155,$B171&lt;&gt;$B156,$B172&lt;&gt;$B157,$B173&lt;&gt;$B158,$B174&lt;&gt;$B159,$B175&lt;&gt;$B160,$B176&lt;&gt;$B161,$B177&lt;&gt;$B162,$B178&lt;&gt;$B163),IF($B173&lt;&gt;$B158,AI158/INDEX($C153:$AJ163,6,MATCH(IF('Data-solution'!$A$3="Maximize",MAX($C164:$AI164),MIN($C164:$AI164)),$C164:$AI164,0)),AI158-INDEX($C153:$AJ163,6,MATCH(IF('Data-solution'!$A$3="Maximize",MAX($C164:$AI164),MIN($C164:$AI164)),$C164:$AI164,0))*INDEX(AI153:$AJ163,MATCH(MIN($AK153:$AK163),$AK153:$AK163,0),1)/INDEX($C153:$AJ163,MATCH(MIN($AK153:$AK163),$AK153:$AK163,0),MATCH(IF('Data-solution'!$A$3="Maximize",MAX($C164:$AI164),MIN($C164:$AI164)),$C164:$AI164,0))),AI158)</f>
        <v>0</v>
      </c>
      <c r="AJ173" s="1">
        <f>IF(OR($B168&lt;&gt;$B153,$B169&lt;&gt;$B154,$B170&lt;&gt;$B155,$B171&lt;&gt;$B156,$B172&lt;&gt;$B157,$B173&lt;&gt;$B158,$B174&lt;&gt;$B159,$B175&lt;&gt;$B160,$B176&lt;&gt;$B161,$B177&lt;&gt;$B162,$B178&lt;&gt;$B163),IF($B173&lt;&gt;$B158,AJ158/INDEX($C153:$AJ163,6,MATCH(IF('Data-solution'!$A$3="Maximize",MAX($C164:$AI164),MIN($C164:$AI164)),$C164:$AI164,0)),AJ158-INDEX($C153:$AJ163,6,MATCH(IF('Data-solution'!$A$3="Maximize",MAX($C164:$AI164),MIN($C164:$AI164)),$C164:$AI164,0))*INDEX(AJ153:$AJ163,MATCH(MIN($AK153:$AK163),$AK153:$AK163,0),1)/INDEX($C153:$AJ163,MATCH(MIN($AK153:$AK163),$AK153:$AK163,0),MATCH(IF('Data-solution'!$A$3="Maximize",MAX($C164:$AI164),MIN($C164:$AI164)),$C164:$AI164,0))),AJ158)</f>
        <v>0</v>
      </c>
      <c r="AK173" s="1" t="str">
        <f>IF(INDEX(C173:X173,1,MATCH(IF('Data-solution'!A$3="Maximize",MAX(C179:X179),MIN(C179:X179)),C179:X179,0))&gt;0,AJ173/INDEX(C173:X173,1,MATCH(IF('Data-solution'!A$3="Maximize",MAX(C179:X179),MIN(C179:X179)),C179:X179,0))," ")</f>
        <v xml:space="preserve"> </v>
      </c>
    </row>
    <row r="174" spans="1:37" ht="18" customHeight="1" x14ac:dyDescent="0.2">
      <c r="A174" s="1">
        <f t="shared" ref="A174" si="144">INDEX(C166:AI166,1,MATCH(B174,C167:AI167,0))</f>
        <v>0</v>
      </c>
      <c r="B174" s="2" t="str">
        <f>IF(AND('Data-solution'!A$3="Maximize",COUNTIF(C164:X164,"&gt;"&amp;0)&gt;0,AK159=MIN(AK153:AK163),COUNTIF(B168:B173,INDEX(C152:X152,1,MATCH(MAX(C164:X164),C164:X164,0)))=0),INDEX(C152:X152,1,MATCH(MAX(C164:X164),C164:X164,0)),IF(AND('Data-solution'!A$3="Minimize",COUNTIF(C164:X164,"&lt;"&amp;0)&gt;0,AK159=MIN(AK153:AK163),COUNTIF(B168:B173,INDEX(C152:X152,1,MATCH(MIN(C164:X164),C164:X164,0)))=0),INDEX(C152:X152,1,MATCH(MIN(C164:X164),C164:X164,0)),B159))</f>
        <v>S7</v>
      </c>
      <c r="C174" s="1">
        <f>IF(OR($B168&lt;&gt;$B153,$B169&lt;&gt;$B154,$B170&lt;&gt;$B155,$B171&lt;&gt;$B156,$B172&lt;&gt;$B157,$B173&lt;&gt;$B158,$B174&lt;&gt;$B159,$B175&lt;&gt;$B160,$B176&lt;&gt;$B161,$B177&lt;&gt;$B162,$B178&lt;&gt;$B163),IF($B174&lt;&gt;$B159,C159/INDEX($C153:$AJ163,7,MATCH(IF('Data-solution'!$A$3="Maximize",MAX($C164:$AI164),MIN($C164:$AI164)),$C164:$AI164,0)),C159-INDEX($C153:$AJ163,7,MATCH(IF('Data-solution'!$A$3="Maximize",MAX($C164:$AI164),MIN($C164:$AI164)),$C164:$AI164,0))*INDEX(C153:$AJ163,MATCH(MIN($AK153:$AK163),$AK153:$AK163,0),1)/INDEX($C153:$AJ163,MATCH(MIN($AK153:$AK163),$AK153:$AK163,0),MATCH(IF('Data-solution'!$A$3="Maximize",MAX($C164:$AI164),MIN($C164:$AI164)),$C164:$AI164,0))),C159)</f>
        <v>0</v>
      </c>
      <c r="D174" s="1">
        <f>IF(OR($B168&lt;&gt;$B153,$B169&lt;&gt;$B154,$B170&lt;&gt;$B155,$B171&lt;&gt;$B156,$B172&lt;&gt;$B157,$B173&lt;&gt;$B158,$B174&lt;&gt;$B159,$B175&lt;&gt;$B160,$B176&lt;&gt;$B161,$B177&lt;&gt;$B162,$B178&lt;&gt;$B163),IF($B174&lt;&gt;$B159,D159/INDEX($C153:$AJ163,7,MATCH(IF('Data-solution'!$A$3="Maximize",MAX($C164:$AI164),MIN($C164:$AI164)),$C164:$AI164,0)),D159-INDEX($C153:$AJ163,7,MATCH(IF('Data-solution'!$A$3="Maximize",MAX($C164:$AI164),MIN($C164:$AI164)),$C164:$AI164,0))*INDEX(D153:$AJ163,MATCH(MIN($AK153:$AK163),$AK153:$AK163,0),1)/INDEX($C153:$AJ163,MATCH(MIN($AK153:$AK163),$AK153:$AK163,0),MATCH(IF('Data-solution'!$A$3="Maximize",MAX($C164:$AI164),MIN($C164:$AI164)),$C164:$AI164,0))),D159)</f>
        <v>0</v>
      </c>
      <c r="E174" s="1">
        <f>IF(OR($B168&lt;&gt;$B153,$B169&lt;&gt;$B154,$B170&lt;&gt;$B155,$B171&lt;&gt;$B156,$B172&lt;&gt;$B157,$B173&lt;&gt;$B158,$B174&lt;&gt;$B159,$B175&lt;&gt;$B160,$B176&lt;&gt;$B161,$B177&lt;&gt;$B162,$B178&lt;&gt;$B163),IF($B174&lt;&gt;$B159,E159/INDEX($C153:$AJ163,7,MATCH(IF('Data-solution'!$A$3="Maximize",MAX($C164:$AI164),MIN($C164:$AI164)),$C164:$AI164,0)),E159-INDEX($C153:$AJ163,7,MATCH(IF('Data-solution'!$A$3="Maximize",MAX($C164:$AI164),MIN($C164:$AI164)),$C164:$AI164,0))*INDEX(E153:$AJ163,MATCH(MIN($AK153:$AK163),$AK153:$AK163,0),1)/INDEX($C153:$AJ163,MATCH(MIN($AK153:$AK163),$AK153:$AK163,0),MATCH(IF('Data-solution'!$A$3="Maximize",MAX($C164:$AI164),MIN($C164:$AI164)),$C164:$AI164,0))),E159)</f>
        <v>0</v>
      </c>
      <c r="F174" s="1">
        <f>IF(OR($B168&lt;&gt;$B153,$B169&lt;&gt;$B154,$B170&lt;&gt;$B155,$B171&lt;&gt;$B156,$B172&lt;&gt;$B157,$B173&lt;&gt;$B158,$B174&lt;&gt;$B159,$B175&lt;&gt;$B160,$B176&lt;&gt;$B161,$B177&lt;&gt;$B162,$B178&lt;&gt;$B163),IF($B174&lt;&gt;$B159,F159/INDEX($C153:$AJ163,7,MATCH(IF('Data-solution'!$A$3="Maximize",MAX($C164:$AI164),MIN($C164:$AI164)),$C164:$AI164,0)),F159-INDEX($C153:$AJ163,7,MATCH(IF('Data-solution'!$A$3="Maximize",MAX($C164:$AI164),MIN($C164:$AI164)),$C164:$AI164,0))*INDEX(F153:$AJ163,MATCH(MIN($AK153:$AK163),$AK153:$AK163,0),1)/INDEX($C153:$AJ163,MATCH(MIN($AK153:$AK163),$AK153:$AK163,0),MATCH(IF('Data-solution'!$A$3="Maximize",MAX($C164:$AI164),MIN($C164:$AI164)),$C164:$AI164,0))),F159)</f>
        <v>0</v>
      </c>
      <c r="G174" s="1">
        <f>IF(OR($B168&lt;&gt;$B153,$B169&lt;&gt;$B154,$B170&lt;&gt;$B155,$B171&lt;&gt;$B156,$B172&lt;&gt;$B157,$B173&lt;&gt;$B158,$B174&lt;&gt;$B159,$B175&lt;&gt;$B160,$B176&lt;&gt;$B161,$B177&lt;&gt;$B162,$B178&lt;&gt;$B163),IF($B174&lt;&gt;$B159,G159/INDEX($C153:$AJ163,7,MATCH(IF('Data-solution'!$A$3="Maximize",MAX($C164:$AI164),MIN($C164:$AI164)),$C164:$AI164,0)),G159-INDEX($C153:$AJ163,7,MATCH(IF('Data-solution'!$A$3="Maximize",MAX($C164:$AI164),MIN($C164:$AI164)),$C164:$AI164,0))*INDEX(G153:$AJ163,MATCH(MIN($AK153:$AK163),$AK153:$AK163,0),1)/INDEX($C153:$AJ163,MATCH(MIN($AK153:$AK163),$AK153:$AK163,0),MATCH(IF('Data-solution'!$A$3="Maximize",MAX($C164:$AI164),MIN($C164:$AI164)),$C164:$AI164,0))),G159)</f>
        <v>0</v>
      </c>
      <c r="H174" s="1">
        <f>IF(OR($B168&lt;&gt;$B153,$B169&lt;&gt;$B154,$B170&lt;&gt;$B155,$B171&lt;&gt;$B156,$B172&lt;&gt;$B157,$B173&lt;&gt;$B158,$B174&lt;&gt;$B159,$B175&lt;&gt;$B160,$B176&lt;&gt;$B161,$B177&lt;&gt;$B162,$B178&lt;&gt;$B163),IF($B174&lt;&gt;$B159,H159/INDEX($C153:$AJ163,7,MATCH(IF('Data-solution'!$A$3="Maximize",MAX($C164:$AI164),MIN($C164:$AI164)),$C164:$AI164,0)),H159-INDEX($C153:$AJ163,7,MATCH(IF('Data-solution'!$A$3="Maximize",MAX($C164:$AI164),MIN($C164:$AI164)),$C164:$AI164,0))*INDEX(H153:$AJ163,MATCH(MIN($AK153:$AK163),$AK153:$AK163,0),1)/INDEX($C153:$AJ163,MATCH(MIN($AK153:$AK163),$AK153:$AK163,0),MATCH(IF('Data-solution'!$A$3="Maximize",MAX($C164:$AI164),MIN($C164:$AI164)),$C164:$AI164,0))),H159)</f>
        <v>0</v>
      </c>
      <c r="I174" s="1">
        <f>IF(OR($B168&lt;&gt;$B153,$B169&lt;&gt;$B154,$B170&lt;&gt;$B155,$B171&lt;&gt;$B156,$B172&lt;&gt;$B157,$B173&lt;&gt;$B158,$B174&lt;&gt;$B159,$B175&lt;&gt;$B160,$B176&lt;&gt;$B161,$B177&lt;&gt;$B162,$B178&lt;&gt;$B163),IF($B174&lt;&gt;$B159,I159/INDEX($C153:$AJ163,7,MATCH(IF('Data-solution'!$A$3="Maximize",MAX($C164:$AI164),MIN($C164:$AI164)),$C164:$AI164,0)),I159-INDEX($C153:$AJ163,7,MATCH(IF('Data-solution'!$A$3="Maximize",MAX($C164:$AI164),MIN($C164:$AI164)),$C164:$AI164,0))*INDEX(I153:$AJ163,MATCH(MIN($AK153:$AK163),$AK153:$AK163,0),1)/INDEX($C153:$AJ163,MATCH(MIN($AK153:$AK163),$AK153:$AK163,0),MATCH(IF('Data-solution'!$A$3="Maximize",MAX($C164:$AI164),MIN($C164:$AI164)),$C164:$AI164,0))),I159)</f>
        <v>0</v>
      </c>
      <c r="J174" s="1">
        <f>IF(OR($B168&lt;&gt;$B153,$B169&lt;&gt;$B154,$B170&lt;&gt;$B155,$B171&lt;&gt;$B156,$B172&lt;&gt;$B157,$B173&lt;&gt;$B158,$B174&lt;&gt;$B159,$B175&lt;&gt;$B160,$B176&lt;&gt;$B161,$B177&lt;&gt;$B162,$B178&lt;&gt;$B163),IF($B174&lt;&gt;$B159,J159/INDEX($C153:$AJ163,7,MATCH(IF('Data-solution'!$A$3="Maximize",MAX($C164:$AI164),MIN($C164:$AI164)),$C164:$AI164,0)),J159-INDEX($C153:$AJ163,7,MATCH(IF('Data-solution'!$A$3="Maximize",MAX($C164:$AI164),MIN($C164:$AI164)),$C164:$AI164,0))*INDEX(J153:$AJ163,MATCH(MIN($AK153:$AK163),$AK153:$AK163,0),1)/INDEX($C153:$AJ163,MATCH(MIN($AK153:$AK163),$AK153:$AK163,0),MATCH(IF('Data-solution'!$A$3="Maximize",MAX($C164:$AI164),MIN($C164:$AI164)),$C164:$AI164,0))),J159)</f>
        <v>0</v>
      </c>
      <c r="K174" s="1">
        <f>IF(OR($B168&lt;&gt;$B153,$B169&lt;&gt;$B154,$B170&lt;&gt;$B155,$B171&lt;&gt;$B156,$B172&lt;&gt;$B157,$B173&lt;&gt;$B158,$B174&lt;&gt;$B159,$B175&lt;&gt;$B160,$B176&lt;&gt;$B161,$B177&lt;&gt;$B162,$B178&lt;&gt;$B163),IF($B174&lt;&gt;$B159,K159/INDEX($C153:$AJ163,7,MATCH(IF('Data-solution'!$A$3="Maximize",MAX($C164:$AI164),MIN($C164:$AI164)),$C164:$AI164,0)),K159-INDEX($C153:$AJ163,7,MATCH(IF('Data-solution'!$A$3="Maximize",MAX($C164:$AI164),MIN($C164:$AI164)),$C164:$AI164,0))*INDEX(K153:$AJ163,MATCH(MIN($AK153:$AK163),$AK153:$AK163,0),1)/INDEX($C153:$AJ163,MATCH(MIN($AK153:$AK163),$AK153:$AK163,0),MATCH(IF('Data-solution'!$A$3="Maximize",MAX($C164:$AI164),MIN($C164:$AI164)),$C164:$AI164,0))),K159)</f>
        <v>0</v>
      </c>
      <c r="L174" s="1">
        <f>IF(OR($B168&lt;&gt;$B153,$B169&lt;&gt;$B154,$B170&lt;&gt;$B155,$B171&lt;&gt;$B156,$B172&lt;&gt;$B157,$B173&lt;&gt;$B158,$B174&lt;&gt;$B159,$B175&lt;&gt;$B160,$B176&lt;&gt;$B161,$B177&lt;&gt;$B162,$B178&lt;&gt;$B163),IF($B174&lt;&gt;$B159,L159/INDEX($C153:$AJ163,7,MATCH(IF('Data-solution'!$A$3="Maximize",MAX($C164:$AI164),MIN($C164:$AI164)),$C164:$AI164,0)),L159-INDEX($C153:$AJ163,7,MATCH(IF('Data-solution'!$A$3="Maximize",MAX($C164:$AI164),MIN($C164:$AI164)),$C164:$AI164,0))*INDEX(L153:$AJ163,MATCH(MIN($AK153:$AK163),$AK153:$AK163,0),1)/INDEX($C153:$AJ163,MATCH(MIN($AK153:$AK163),$AK153:$AK163,0),MATCH(IF('Data-solution'!$A$3="Maximize",MAX($C164:$AI164),MIN($C164:$AI164)),$C164:$AI164,0))),L159)</f>
        <v>0</v>
      </c>
      <c r="M174" s="1">
        <f>IF(OR($B168&lt;&gt;$B153,$B169&lt;&gt;$B154,$B170&lt;&gt;$B155,$B171&lt;&gt;$B156,$B172&lt;&gt;$B157,$B173&lt;&gt;$B158,$B174&lt;&gt;$B159,$B175&lt;&gt;$B160,$B176&lt;&gt;$B161,$B177&lt;&gt;$B162,$B178&lt;&gt;$B163),IF($B174&lt;&gt;$B159,M159/INDEX($C153:$AJ163,7,MATCH(IF('Data-solution'!$A$3="Maximize",MAX($C164:$AI164),MIN($C164:$AI164)),$C164:$AI164,0)),M159-INDEX($C153:$AJ163,7,MATCH(IF('Data-solution'!$A$3="Maximize",MAX($C164:$AI164),MIN($C164:$AI164)),$C164:$AI164,0))*INDEX(M153:$AJ163,MATCH(MIN($AK153:$AK163),$AK153:$AK163,0),1)/INDEX($C153:$AJ163,MATCH(MIN($AK153:$AK163),$AK153:$AK163,0),MATCH(IF('Data-solution'!$A$3="Maximize",MAX($C164:$AI164),MIN($C164:$AI164)),$C164:$AI164,0))),M159)</f>
        <v>0</v>
      </c>
      <c r="N174" s="1">
        <f>IF(OR($B168&lt;&gt;$B153,$B169&lt;&gt;$B154,$B170&lt;&gt;$B155,$B171&lt;&gt;$B156,$B172&lt;&gt;$B157,$B173&lt;&gt;$B158,$B174&lt;&gt;$B159,$B175&lt;&gt;$B160,$B176&lt;&gt;$B161,$B177&lt;&gt;$B162,$B178&lt;&gt;$B163),IF($B174&lt;&gt;$B159,N159/INDEX($C153:$AJ163,7,MATCH(IF('Data-solution'!$A$3="Maximize",MAX($C164:$AI164),MIN($C164:$AI164)),$C164:$AI164,0)),N159-INDEX($C153:$AJ163,7,MATCH(IF('Data-solution'!$A$3="Maximize",MAX($C164:$AI164),MIN($C164:$AI164)),$C164:$AI164,0))*INDEX(N153:$AJ163,MATCH(MIN($AK153:$AK163),$AK153:$AK163,0),1)/INDEX($C153:$AJ163,MATCH(MIN($AK153:$AK163),$AK153:$AK163,0),MATCH(IF('Data-solution'!$A$3="Maximize",MAX($C164:$AI164),MIN($C164:$AI164)),$C164:$AI164,0))),N159)</f>
        <v>0</v>
      </c>
      <c r="O174" s="1">
        <f>IF(OR($B168&lt;&gt;$B153,$B169&lt;&gt;$B154,$B170&lt;&gt;$B155,$B171&lt;&gt;$B156,$B172&lt;&gt;$B157,$B173&lt;&gt;$B158,$B174&lt;&gt;$B159,$B175&lt;&gt;$B160,$B176&lt;&gt;$B161,$B177&lt;&gt;$B162,$B178&lt;&gt;$B163),IF($B174&lt;&gt;$B159,O159/INDEX($C153:$AJ163,7,MATCH(IF('Data-solution'!$A$3="Maximize",MAX($C164:$AI164),MIN($C164:$AI164)),$C164:$AI164,0)),O159-INDEX($C153:$AJ163,7,MATCH(IF('Data-solution'!$A$3="Maximize",MAX($C164:$AI164),MIN($C164:$AI164)),$C164:$AI164,0))*INDEX(O153:$AJ163,MATCH(MIN($AK153:$AK163),$AK153:$AK163,0),1)/INDEX($C153:$AJ163,MATCH(MIN($AK153:$AK163),$AK153:$AK163,0),MATCH(IF('Data-solution'!$A$3="Maximize",MAX($C164:$AI164),MIN($C164:$AI164)),$C164:$AI164,0))),O159)</f>
        <v>0</v>
      </c>
      <c r="P174" s="1">
        <f>IF(OR($B168&lt;&gt;$B153,$B169&lt;&gt;$B154,$B170&lt;&gt;$B155,$B171&lt;&gt;$B156,$B172&lt;&gt;$B157,$B173&lt;&gt;$B158,$B174&lt;&gt;$B159,$B175&lt;&gt;$B160,$B176&lt;&gt;$B161,$B177&lt;&gt;$B162,$B178&lt;&gt;$B163),IF($B174&lt;&gt;$B159,P159/INDEX($C153:$AJ163,7,MATCH(IF('Data-solution'!$A$3="Maximize",MAX($C164:$AI164),MIN($C164:$AI164)),$C164:$AI164,0)),P159-INDEX($C153:$AJ163,7,MATCH(IF('Data-solution'!$A$3="Maximize",MAX($C164:$AI164),MIN($C164:$AI164)),$C164:$AI164,0))*INDEX(P153:$AJ163,MATCH(MIN($AK153:$AK163),$AK153:$AK163,0),1)/INDEX($C153:$AJ163,MATCH(MIN($AK153:$AK163),$AK153:$AK163,0),MATCH(IF('Data-solution'!$A$3="Maximize",MAX($C164:$AI164),MIN($C164:$AI164)),$C164:$AI164,0))),P159)</f>
        <v>0</v>
      </c>
      <c r="Q174" s="1">
        <f>IF(OR($B168&lt;&gt;$B153,$B169&lt;&gt;$B154,$B170&lt;&gt;$B155,$B171&lt;&gt;$B156,$B172&lt;&gt;$B157,$B173&lt;&gt;$B158,$B174&lt;&gt;$B159,$B175&lt;&gt;$B160,$B176&lt;&gt;$B161,$B177&lt;&gt;$B162,$B178&lt;&gt;$B163),IF($B174&lt;&gt;$B159,Q159/INDEX($C153:$AJ163,7,MATCH(IF('Data-solution'!$A$3="Maximize",MAX($C164:$AI164),MIN($C164:$AI164)),$C164:$AI164,0)),Q159-INDEX($C153:$AJ163,7,MATCH(IF('Data-solution'!$A$3="Maximize",MAX($C164:$AI164),MIN($C164:$AI164)),$C164:$AI164,0))*INDEX(Q153:$AJ163,MATCH(MIN($AK153:$AK163),$AK153:$AK163,0),1)/INDEX($C153:$AJ163,MATCH(MIN($AK153:$AK163),$AK153:$AK163,0),MATCH(IF('Data-solution'!$A$3="Maximize",MAX($C164:$AI164),MIN($C164:$AI164)),$C164:$AI164,0))),Q159)</f>
        <v>0</v>
      </c>
      <c r="R174" s="1">
        <f>IF(OR($B168&lt;&gt;$B153,$B169&lt;&gt;$B154,$B170&lt;&gt;$B155,$B171&lt;&gt;$B156,$B172&lt;&gt;$B157,$B173&lt;&gt;$B158,$B174&lt;&gt;$B159,$B175&lt;&gt;$B160,$B176&lt;&gt;$B161,$B177&lt;&gt;$B162,$B178&lt;&gt;$B163),IF($B174&lt;&gt;$B159,R159/INDEX($C153:$AJ163,7,MATCH(IF('Data-solution'!$A$3="Maximize",MAX($C164:$AI164),MIN($C164:$AI164)),$C164:$AI164,0)),R159-INDEX($C153:$AJ163,7,MATCH(IF('Data-solution'!$A$3="Maximize",MAX($C164:$AI164),MIN($C164:$AI164)),$C164:$AI164,0))*INDEX(R153:$AJ163,MATCH(MIN($AK153:$AK163),$AK153:$AK163,0),1)/INDEX($C153:$AJ163,MATCH(MIN($AK153:$AK163),$AK153:$AK163,0),MATCH(IF('Data-solution'!$A$3="Maximize",MAX($C164:$AI164),MIN($C164:$AI164)),$C164:$AI164,0))),R159)</f>
        <v>0</v>
      </c>
      <c r="S174" s="1">
        <f>IF(OR($B168&lt;&gt;$B153,$B169&lt;&gt;$B154,$B170&lt;&gt;$B155,$B171&lt;&gt;$B156,$B172&lt;&gt;$B157,$B173&lt;&gt;$B158,$B174&lt;&gt;$B159,$B175&lt;&gt;$B160,$B176&lt;&gt;$B161,$B177&lt;&gt;$B162,$B178&lt;&gt;$B163),IF($B174&lt;&gt;$B159,S159/INDEX($C153:$AJ163,7,MATCH(IF('Data-solution'!$A$3="Maximize",MAX($C164:$AI164),MIN($C164:$AI164)),$C164:$AI164,0)),S159-INDEX($C153:$AJ163,7,MATCH(IF('Data-solution'!$A$3="Maximize",MAX($C164:$AI164),MIN($C164:$AI164)),$C164:$AI164,0))*INDEX(S153:$AJ163,MATCH(MIN($AK153:$AK163),$AK153:$AK163,0),1)/INDEX($C153:$AJ163,MATCH(MIN($AK153:$AK163),$AK153:$AK163,0),MATCH(IF('Data-solution'!$A$3="Maximize",MAX($C164:$AI164),MIN($C164:$AI164)),$C164:$AI164,0))),S159)</f>
        <v>0</v>
      </c>
      <c r="T174" s="1">
        <f>IF(OR($B168&lt;&gt;$B153,$B169&lt;&gt;$B154,$B170&lt;&gt;$B155,$B171&lt;&gt;$B156,$B172&lt;&gt;$B157,$B173&lt;&gt;$B158,$B174&lt;&gt;$B159,$B175&lt;&gt;$B160,$B176&lt;&gt;$B161,$B177&lt;&gt;$B162,$B178&lt;&gt;$B163),IF($B174&lt;&gt;$B159,T159/INDEX($C153:$AJ163,7,MATCH(IF('Data-solution'!$A$3="Maximize",MAX($C164:$AI164),MIN($C164:$AI164)),$C164:$AI164,0)),T159-INDEX($C153:$AJ163,7,MATCH(IF('Data-solution'!$A$3="Maximize",MAX($C164:$AI164),MIN($C164:$AI164)),$C164:$AI164,0))*INDEX(T153:$AJ163,MATCH(MIN($AK153:$AK163),$AK153:$AK163,0),1)/INDEX($C153:$AJ163,MATCH(MIN($AK153:$AK163),$AK153:$AK163,0),MATCH(IF('Data-solution'!$A$3="Maximize",MAX($C164:$AI164),MIN($C164:$AI164)),$C164:$AI164,0))),T159)</f>
        <v>1</v>
      </c>
      <c r="U174" s="1">
        <f>IF(OR($B168&lt;&gt;$B153,$B169&lt;&gt;$B154,$B170&lt;&gt;$B155,$B171&lt;&gt;$B156,$B172&lt;&gt;$B157,$B173&lt;&gt;$B158,$B174&lt;&gt;$B159,$B175&lt;&gt;$B160,$B176&lt;&gt;$B161,$B177&lt;&gt;$B162,$B178&lt;&gt;$B163),IF($B174&lt;&gt;$B159,U159/INDEX($C153:$AJ163,7,MATCH(IF('Data-solution'!$A$3="Maximize",MAX($C164:$AI164),MIN($C164:$AI164)),$C164:$AI164,0)),U159-INDEX($C153:$AJ163,7,MATCH(IF('Data-solution'!$A$3="Maximize",MAX($C164:$AI164),MIN($C164:$AI164)),$C164:$AI164,0))*INDEX(U153:$AJ163,MATCH(MIN($AK153:$AK163),$AK153:$AK163,0),1)/INDEX($C153:$AJ163,MATCH(MIN($AK153:$AK163),$AK153:$AK163,0),MATCH(IF('Data-solution'!$A$3="Maximize",MAX($C164:$AI164),MIN($C164:$AI164)),$C164:$AI164,0))),U159)</f>
        <v>0</v>
      </c>
      <c r="V174" s="1">
        <f>IF(OR($B168&lt;&gt;$B153,$B169&lt;&gt;$B154,$B170&lt;&gt;$B155,$B171&lt;&gt;$B156,$B172&lt;&gt;$B157,$B173&lt;&gt;$B158,$B174&lt;&gt;$B159,$B175&lt;&gt;$B160,$B176&lt;&gt;$B161,$B177&lt;&gt;$B162,$B178&lt;&gt;$B163),IF($B174&lt;&gt;$B159,V159/INDEX($C153:$AJ163,7,MATCH(IF('Data-solution'!$A$3="Maximize",MAX($C164:$AI164),MIN($C164:$AI164)),$C164:$AI164,0)),V159-INDEX($C153:$AJ163,7,MATCH(IF('Data-solution'!$A$3="Maximize",MAX($C164:$AI164),MIN($C164:$AI164)),$C164:$AI164,0))*INDEX(V153:$AJ163,MATCH(MIN($AK153:$AK163),$AK153:$AK163,0),1)/INDEX($C153:$AJ163,MATCH(MIN($AK153:$AK163),$AK153:$AK163,0),MATCH(IF('Data-solution'!$A$3="Maximize",MAX($C164:$AI164),MIN($C164:$AI164)),$C164:$AI164,0))),V159)</f>
        <v>0</v>
      </c>
      <c r="W174" s="1">
        <f>IF(OR($B168&lt;&gt;$B153,$B169&lt;&gt;$B154,$B170&lt;&gt;$B155,$B171&lt;&gt;$B156,$B172&lt;&gt;$B157,$B173&lt;&gt;$B158,$B174&lt;&gt;$B159,$B175&lt;&gt;$B160,$B176&lt;&gt;$B161,$B177&lt;&gt;$B162,$B178&lt;&gt;$B163),IF($B174&lt;&gt;$B159,W159/INDEX($C153:$AJ163,7,MATCH(IF('Data-solution'!$A$3="Maximize",MAX($C164:$AI164),MIN($C164:$AI164)),$C164:$AI164,0)),W159-INDEX($C153:$AJ163,7,MATCH(IF('Data-solution'!$A$3="Maximize",MAX($C164:$AI164),MIN($C164:$AI164)),$C164:$AI164,0))*INDEX(W153:$AJ163,MATCH(MIN($AK153:$AK163),$AK153:$AK163,0),1)/INDEX($C153:$AJ163,MATCH(MIN($AK153:$AK163),$AK153:$AK163,0),MATCH(IF('Data-solution'!$A$3="Maximize",MAX($C164:$AI164),MIN($C164:$AI164)),$C164:$AI164,0))),W159)</f>
        <v>0</v>
      </c>
      <c r="X174" s="1">
        <f>IF(OR($B168&lt;&gt;$B153,$B169&lt;&gt;$B154,$B170&lt;&gt;$B155,$B171&lt;&gt;$B156,$B172&lt;&gt;$B157,$B173&lt;&gt;$B158,$B174&lt;&gt;$B159,$B175&lt;&gt;$B160,$B176&lt;&gt;$B161,$B177&lt;&gt;$B162,$B178&lt;&gt;$B163),IF($B174&lt;&gt;$B159,X159/INDEX($C153:$AJ163,7,MATCH(IF('Data-solution'!$A$3="Maximize",MAX($C164:$AI164),MIN($C164:$AI164)),$C164:$AI164,0)),X159-INDEX($C153:$AJ163,7,MATCH(IF('Data-solution'!$A$3="Maximize",MAX($C164:$AI164),MIN($C164:$AI164)),$C164:$AI164,0))*INDEX(X153:$AJ163,MATCH(MIN($AK153:$AK163),$AK153:$AK163,0),1)/INDEX($C153:$AJ163,MATCH(MIN($AK153:$AK163),$AK153:$AK163,0),MATCH(IF('Data-solution'!$A$3="Maximize",MAX($C164:$AI164),MIN($C164:$AI164)),$C164:$AI164,0))),X159)</f>
        <v>0</v>
      </c>
      <c r="Y174" s="1">
        <f>IF(OR($B168&lt;&gt;$B153,$B169&lt;&gt;$B154,$B170&lt;&gt;$B155,$B171&lt;&gt;$B156,$B172&lt;&gt;$B157,$B173&lt;&gt;$B158,$B174&lt;&gt;$B159,$B175&lt;&gt;$B160,$B176&lt;&gt;$B161,$B177&lt;&gt;$B162,$B178&lt;&gt;$B163),IF($B174&lt;&gt;$B159,Y159/INDEX($C153:$AJ163,7,MATCH(IF('Data-solution'!$A$3="Maximize",MAX($C164:$AI164),MIN($C164:$AI164)),$C164:$AI164,0)),Y159-INDEX($C153:$AJ163,7,MATCH(IF('Data-solution'!$A$3="Maximize",MAX($C164:$AI164),MIN($C164:$AI164)),$C164:$AI164,0))*INDEX(Y153:$AJ163,MATCH(MIN($AK153:$AK163),$AK153:$AK163,0),1)/INDEX($C153:$AJ163,MATCH(MIN($AK153:$AK163),$AK153:$AK163,0),MATCH(IF('Data-solution'!$A$3="Maximize",MAX($C164:$AI164),MIN($C164:$AI164)),$C164:$AI164,0))),Y159)</f>
        <v>0</v>
      </c>
      <c r="Z174" s="1">
        <f>IF(OR($B168&lt;&gt;$B153,$B169&lt;&gt;$B154,$B170&lt;&gt;$B155,$B171&lt;&gt;$B156,$B172&lt;&gt;$B157,$B173&lt;&gt;$B158,$B174&lt;&gt;$B159,$B175&lt;&gt;$B160,$B176&lt;&gt;$B161,$B177&lt;&gt;$B162,$B178&lt;&gt;$B163),IF($B174&lt;&gt;$B159,Z159/INDEX($C153:$AJ163,7,MATCH(IF('Data-solution'!$A$3="Maximize",MAX($C164:$AI164),MIN($C164:$AI164)),$C164:$AI164,0)),Z159-INDEX($C153:$AJ163,7,MATCH(IF('Data-solution'!$A$3="Maximize",MAX($C164:$AI164),MIN($C164:$AI164)),$C164:$AI164,0))*INDEX(Z153:$AJ163,MATCH(MIN($AK153:$AK163),$AK153:$AK163,0),1)/INDEX($C153:$AJ163,MATCH(MIN($AK153:$AK163),$AK153:$AK163,0),MATCH(IF('Data-solution'!$A$3="Maximize",MAX($C164:$AI164),MIN($C164:$AI164)),$C164:$AI164,0))),Z159)</f>
        <v>0</v>
      </c>
      <c r="AA174" s="1">
        <f>IF(OR($B168&lt;&gt;$B153,$B169&lt;&gt;$B154,$B170&lt;&gt;$B155,$B171&lt;&gt;$B156,$B172&lt;&gt;$B157,$B173&lt;&gt;$B158,$B174&lt;&gt;$B159,$B175&lt;&gt;$B160,$B176&lt;&gt;$B161,$B177&lt;&gt;$B162,$B178&lt;&gt;$B163),IF($B174&lt;&gt;$B159,AA159/INDEX($C153:$AJ163,7,MATCH(IF('Data-solution'!$A$3="Maximize",MAX($C164:$AI164),MIN($C164:$AI164)),$C164:$AI164,0)),AA159-INDEX($C153:$AJ163,7,MATCH(IF('Data-solution'!$A$3="Maximize",MAX($C164:$AI164),MIN($C164:$AI164)),$C164:$AI164,0))*INDEX(AA153:$AJ163,MATCH(MIN($AK153:$AK163),$AK153:$AK163,0),1)/INDEX($C153:$AJ163,MATCH(MIN($AK153:$AK163),$AK153:$AK163,0),MATCH(IF('Data-solution'!$A$3="Maximize",MAX($C164:$AI164),MIN($C164:$AI164)),$C164:$AI164,0))),AA159)</f>
        <v>0</v>
      </c>
      <c r="AB174" s="1">
        <f>IF(OR($B168&lt;&gt;$B153,$B169&lt;&gt;$B154,$B170&lt;&gt;$B155,$B171&lt;&gt;$B156,$B172&lt;&gt;$B157,$B173&lt;&gt;$B158,$B174&lt;&gt;$B159,$B175&lt;&gt;$B160,$B176&lt;&gt;$B161,$B177&lt;&gt;$B162,$B178&lt;&gt;$B163),IF($B174&lt;&gt;$B159,AB159/INDEX($C153:$AJ163,7,MATCH(IF('Data-solution'!$A$3="Maximize",MAX($C164:$AI164),MIN($C164:$AI164)),$C164:$AI164,0)),AB159-INDEX($C153:$AJ163,7,MATCH(IF('Data-solution'!$A$3="Maximize",MAX($C164:$AI164),MIN($C164:$AI164)),$C164:$AI164,0))*INDEX(AB153:$AJ163,MATCH(MIN($AK153:$AK163),$AK153:$AK163,0),1)/INDEX($C153:$AJ163,MATCH(MIN($AK153:$AK163),$AK153:$AK163,0),MATCH(IF('Data-solution'!$A$3="Maximize",MAX($C164:$AI164),MIN($C164:$AI164)),$C164:$AI164,0))),AB159)</f>
        <v>0</v>
      </c>
      <c r="AC174" s="1">
        <f>IF(OR($B168&lt;&gt;$B153,$B169&lt;&gt;$B154,$B170&lt;&gt;$B155,$B171&lt;&gt;$B156,$B172&lt;&gt;$B157,$B173&lt;&gt;$B158,$B174&lt;&gt;$B159,$B175&lt;&gt;$B160,$B176&lt;&gt;$B161,$B177&lt;&gt;$B162,$B178&lt;&gt;$B163),IF($B174&lt;&gt;$B159,AC159/INDEX($C153:$AJ163,7,MATCH(IF('Data-solution'!$A$3="Maximize",MAX($C164:$AI164),MIN($C164:$AI164)),$C164:$AI164,0)),AC159-INDEX($C153:$AJ163,7,MATCH(IF('Data-solution'!$A$3="Maximize",MAX($C164:$AI164),MIN($C164:$AI164)),$C164:$AI164,0))*INDEX(AC153:$AJ163,MATCH(MIN($AK153:$AK163),$AK153:$AK163,0),1)/INDEX($C153:$AJ163,MATCH(MIN($AK153:$AK163),$AK153:$AK163,0),MATCH(IF('Data-solution'!$A$3="Maximize",MAX($C164:$AI164),MIN($C164:$AI164)),$C164:$AI164,0))),AC159)</f>
        <v>0</v>
      </c>
      <c r="AD174" s="1">
        <f>IF(OR($B168&lt;&gt;$B153,$B169&lt;&gt;$B154,$B170&lt;&gt;$B155,$B171&lt;&gt;$B156,$B172&lt;&gt;$B157,$B173&lt;&gt;$B158,$B174&lt;&gt;$B159,$B175&lt;&gt;$B160,$B176&lt;&gt;$B161,$B177&lt;&gt;$B162,$B178&lt;&gt;$B163),IF($B174&lt;&gt;$B159,AD159/INDEX($C153:$AJ163,7,MATCH(IF('Data-solution'!$A$3="Maximize",MAX($C164:$AI164),MIN($C164:$AI164)),$C164:$AI164,0)),AD159-INDEX($C153:$AJ163,7,MATCH(IF('Data-solution'!$A$3="Maximize",MAX($C164:$AI164),MIN($C164:$AI164)),$C164:$AI164,0))*INDEX(AD153:$AJ163,MATCH(MIN($AK153:$AK163),$AK153:$AK163,0),1)/INDEX($C153:$AJ163,MATCH(MIN($AK153:$AK163),$AK153:$AK163,0),MATCH(IF('Data-solution'!$A$3="Maximize",MAX($C164:$AI164),MIN($C164:$AI164)),$C164:$AI164,0))),AD159)</f>
        <v>0</v>
      </c>
      <c r="AE174" s="1">
        <f>IF(OR($B168&lt;&gt;$B153,$B169&lt;&gt;$B154,$B170&lt;&gt;$B155,$B171&lt;&gt;$B156,$B172&lt;&gt;$B157,$B173&lt;&gt;$B158,$B174&lt;&gt;$B159,$B175&lt;&gt;$B160,$B176&lt;&gt;$B161,$B177&lt;&gt;$B162,$B178&lt;&gt;$B163),IF($B174&lt;&gt;$B159,AE159/INDEX($C153:$AJ163,7,MATCH(IF('Data-solution'!$A$3="Maximize",MAX($C164:$AI164),MIN($C164:$AI164)),$C164:$AI164,0)),AE159-INDEX($C153:$AJ163,7,MATCH(IF('Data-solution'!$A$3="Maximize",MAX($C164:$AI164),MIN($C164:$AI164)),$C164:$AI164,0))*INDEX(AE153:$AJ163,MATCH(MIN($AK153:$AK163),$AK153:$AK163,0),1)/INDEX($C153:$AJ163,MATCH(MIN($AK153:$AK163),$AK153:$AK163,0),MATCH(IF('Data-solution'!$A$3="Maximize",MAX($C164:$AI164),MIN($C164:$AI164)),$C164:$AI164,0))),AE159)</f>
        <v>1</v>
      </c>
      <c r="AF174" s="1">
        <f>IF(OR($B168&lt;&gt;$B153,$B169&lt;&gt;$B154,$B170&lt;&gt;$B155,$B171&lt;&gt;$B156,$B172&lt;&gt;$B157,$B173&lt;&gt;$B158,$B174&lt;&gt;$B159,$B175&lt;&gt;$B160,$B176&lt;&gt;$B161,$B177&lt;&gt;$B162,$B178&lt;&gt;$B163),IF($B174&lt;&gt;$B159,AF159/INDEX($C153:$AJ163,7,MATCH(IF('Data-solution'!$A$3="Maximize",MAX($C164:$AI164),MIN($C164:$AI164)),$C164:$AI164,0)),AF159-INDEX($C153:$AJ163,7,MATCH(IF('Data-solution'!$A$3="Maximize",MAX($C164:$AI164),MIN($C164:$AI164)),$C164:$AI164,0))*INDEX(AF153:$AJ163,MATCH(MIN($AK153:$AK163),$AK153:$AK163,0),1)/INDEX($C153:$AJ163,MATCH(MIN($AK153:$AK163),$AK153:$AK163,0),MATCH(IF('Data-solution'!$A$3="Maximize",MAX($C164:$AI164),MIN($C164:$AI164)),$C164:$AI164,0))),AF159)</f>
        <v>0</v>
      </c>
      <c r="AG174" s="1">
        <f>IF(OR($B168&lt;&gt;$B153,$B169&lt;&gt;$B154,$B170&lt;&gt;$B155,$B171&lt;&gt;$B156,$B172&lt;&gt;$B157,$B173&lt;&gt;$B158,$B174&lt;&gt;$B159,$B175&lt;&gt;$B160,$B176&lt;&gt;$B161,$B177&lt;&gt;$B162,$B178&lt;&gt;$B163),IF($B174&lt;&gt;$B159,AG159/INDEX($C153:$AJ163,7,MATCH(IF('Data-solution'!$A$3="Maximize",MAX($C164:$AI164),MIN($C164:$AI164)),$C164:$AI164,0)),AG159-INDEX($C153:$AJ163,7,MATCH(IF('Data-solution'!$A$3="Maximize",MAX($C164:$AI164),MIN($C164:$AI164)),$C164:$AI164,0))*INDEX(AG153:$AJ163,MATCH(MIN($AK153:$AK163),$AK153:$AK163,0),1)/INDEX($C153:$AJ163,MATCH(MIN($AK153:$AK163),$AK153:$AK163,0),MATCH(IF('Data-solution'!$A$3="Maximize",MAX($C164:$AI164),MIN($C164:$AI164)),$C164:$AI164,0))),AG159)</f>
        <v>0</v>
      </c>
      <c r="AH174" s="1">
        <f>IF(OR($B168&lt;&gt;$B153,$B169&lt;&gt;$B154,$B170&lt;&gt;$B155,$B171&lt;&gt;$B156,$B172&lt;&gt;$B157,$B173&lt;&gt;$B158,$B174&lt;&gt;$B159,$B175&lt;&gt;$B160,$B176&lt;&gt;$B161,$B177&lt;&gt;$B162,$B178&lt;&gt;$B163),IF($B174&lt;&gt;$B159,AH159/INDEX($C153:$AJ163,7,MATCH(IF('Data-solution'!$A$3="Maximize",MAX($C164:$AI164),MIN($C164:$AI164)),$C164:$AI164,0)),AH159-INDEX($C153:$AJ163,7,MATCH(IF('Data-solution'!$A$3="Maximize",MAX($C164:$AI164),MIN($C164:$AI164)),$C164:$AI164,0))*INDEX(AH153:$AJ163,MATCH(MIN($AK153:$AK163),$AK153:$AK163,0),1)/INDEX($C153:$AJ163,MATCH(MIN($AK153:$AK163),$AK153:$AK163,0),MATCH(IF('Data-solution'!$A$3="Maximize",MAX($C164:$AI164),MIN($C164:$AI164)),$C164:$AI164,0))),AH159)</f>
        <v>0</v>
      </c>
      <c r="AI174" s="1">
        <f>IF(OR($B168&lt;&gt;$B153,$B169&lt;&gt;$B154,$B170&lt;&gt;$B155,$B171&lt;&gt;$B156,$B172&lt;&gt;$B157,$B173&lt;&gt;$B158,$B174&lt;&gt;$B159,$B175&lt;&gt;$B160,$B176&lt;&gt;$B161,$B177&lt;&gt;$B162,$B178&lt;&gt;$B163),IF($B174&lt;&gt;$B159,AI159/INDEX($C153:$AJ163,7,MATCH(IF('Data-solution'!$A$3="Maximize",MAX($C164:$AI164),MIN($C164:$AI164)),$C164:$AI164,0)),AI159-INDEX($C153:$AJ163,7,MATCH(IF('Data-solution'!$A$3="Maximize",MAX($C164:$AI164),MIN($C164:$AI164)),$C164:$AI164,0))*INDEX(AI153:$AJ163,MATCH(MIN($AK153:$AK163),$AK153:$AK163,0),1)/INDEX($C153:$AJ163,MATCH(MIN($AK153:$AK163),$AK153:$AK163,0),MATCH(IF('Data-solution'!$A$3="Maximize",MAX($C164:$AI164),MIN($C164:$AI164)),$C164:$AI164,0))),AI159)</f>
        <v>0</v>
      </c>
      <c r="AJ174" s="1">
        <f>IF(OR($B168&lt;&gt;$B153,$B169&lt;&gt;$B154,$B170&lt;&gt;$B155,$B171&lt;&gt;$B156,$B172&lt;&gt;$B157,$B173&lt;&gt;$B158,$B174&lt;&gt;$B159,$B175&lt;&gt;$B160,$B176&lt;&gt;$B161,$B177&lt;&gt;$B162,$B178&lt;&gt;$B163),IF($B174&lt;&gt;$B159,AJ159/INDEX($C153:$AJ163,7,MATCH(IF('Data-solution'!$A$3="Maximize",MAX($C164:$AI164),MIN($C164:$AI164)),$C164:$AI164,0)),AJ159-INDEX($C153:$AJ163,7,MATCH(IF('Data-solution'!$A$3="Maximize",MAX($C164:$AI164),MIN($C164:$AI164)),$C164:$AI164,0))*INDEX(AJ153:$AJ163,MATCH(MIN($AK153:$AK163),$AK153:$AK163,0),1)/INDEX($C153:$AJ163,MATCH(MIN($AK153:$AK163),$AK153:$AK163,0),MATCH(IF('Data-solution'!$A$3="Maximize",MAX($C164:$AI164),MIN($C164:$AI164)),$C164:$AI164,0))),AJ159)</f>
        <v>0</v>
      </c>
      <c r="AK174" s="1" t="str">
        <f>IF(INDEX(C174:X174,1,MATCH(IF('Data-solution'!A$3="Maximize",MAX(C179:X179),MIN(C179:X179)),C179:X179,0))&gt;0,AJ174/INDEX(C174:X174,1,MATCH(IF('Data-solution'!A$3="Maximize",MAX(C179:X179),MIN(C179:X179)),C179:X179,0))," ")</f>
        <v xml:space="preserve"> </v>
      </c>
    </row>
    <row r="175" spans="1:37" ht="18" customHeight="1" x14ac:dyDescent="0.2">
      <c r="A175" s="1">
        <f t="shared" ref="A175" si="145">INDEX(C166:AI166,1,MATCH(B175,C167:AI167,0))</f>
        <v>0</v>
      </c>
      <c r="B175" s="2" t="str">
        <f>IF(AND('Data-solution'!A$3="Maximize",COUNTIF(C164:X164,"&gt;"&amp;0)&gt;0,AK160=MIN(AK153:AK163),COUNTIF(B168:B174,INDEX(C152:X152,1,MATCH(MAX(C164:X164),C164:X164,0)))=0),INDEX(C152:X152,1,MATCH(MAX(C164:X164),C164:X164,0)),IF(AND('Data-solution'!A$3="Minimize",COUNTIF(C164:X164,"&lt;"&amp;0)&gt;0,AK160=MIN(AK153:AK163),COUNTIF(B168:B174,INDEX(C152:X152,1,MATCH(MIN(C164:X164),C164:X164,0)))=0),INDEX(C152:X152,1,MATCH(MIN(C164:X164),C164:X164,0)),B160))</f>
        <v>S8</v>
      </c>
      <c r="C175" s="1">
        <f>IF(OR($B168&lt;&gt;$B153,$B169&lt;&gt;$B154,$B170&lt;&gt;$B155,$B171&lt;&gt;$B156,$B172&lt;&gt;$B157,$B173&lt;&gt;$B158,$B174&lt;&gt;$B159,$B175&lt;&gt;$B160,$B176&lt;&gt;$B161,$B177&lt;&gt;$B162,$B178&lt;&gt;$B163),IF($B175&lt;&gt;$B160,C160/INDEX($C153:$AJ163,8,MATCH(IF('Data-solution'!$A$3="Maximize",MAX($C164:$AI164),MIN($C164:$AI164)),$C164:$AI164,0)),C160-INDEX($C153:$AJ163,8,MATCH(IF('Data-solution'!$A$3="Maximize",MAX($C164:$AI164),MIN($C164:$AI164)),$C164:$AI164,0))*INDEX(C153:$AJ163,MATCH(MIN($AK153:$AK163),$AK153:$AK163,0),1)/INDEX($C153:$AJ163,MATCH(MIN($AK153:$AK163),$AK153:$AK163,0),MATCH(IF('Data-solution'!$A$3="Maximize",MAX($C164:$AI164),MIN($C164:$AI164)),$C164:$AI164,0))),C160)</f>
        <v>0</v>
      </c>
      <c r="D175" s="1">
        <f>IF(OR($B168&lt;&gt;$B153,$B169&lt;&gt;$B154,$B170&lt;&gt;$B155,$B171&lt;&gt;$B156,$B172&lt;&gt;$B157,$B173&lt;&gt;$B158,$B174&lt;&gt;$B159,$B175&lt;&gt;$B160,$B176&lt;&gt;$B161,$B177&lt;&gt;$B162,$B178&lt;&gt;$B163),IF($B175&lt;&gt;$B160,D160/INDEX($C153:$AJ163,8,MATCH(IF('Data-solution'!$A$3="Maximize",MAX($C164:$AI164),MIN($C164:$AI164)),$C164:$AI164,0)),D160-INDEX($C153:$AJ163,8,MATCH(IF('Data-solution'!$A$3="Maximize",MAX($C164:$AI164),MIN($C164:$AI164)),$C164:$AI164,0))*INDEX(D153:$AJ163,MATCH(MIN($AK153:$AK163),$AK153:$AK163,0),1)/INDEX($C153:$AJ163,MATCH(MIN($AK153:$AK163),$AK153:$AK163,0),MATCH(IF('Data-solution'!$A$3="Maximize",MAX($C164:$AI164),MIN($C164:$AI164)),$C164:$AI164,0))),D160)</f>
        <v>0</v>
      </c>
      <c r="E175" s="1">
        <f>IF(OR($B168&lt;&gt;$B153,$B169&lt;&gt;$B154,$B170&lt;&gt;$B155,$B171&lt;&gt;$B156,$B172&lt;&gt;$B157,$B173&lt;&gt;$B158,$B174&lt;&gt;$B159,$B175&lt;&gt;$B160,$B176&lt;&gt;$B161,$B177&lt;&gt;$B162,$B178&lt;&gt;$B163),IF($B175&lt;&gt;$B160,E160/INDEX($C153:$AJ163,8,MATCH(IF('Data-solution'!$A$3="Maximize",MAX($C164:$AI164),MIN($C164:$AI164)),$C164:$AI164,0)),E160-INDEX($C153:$AJ163,8,MATCH(IF('Data-solution'!$A$3="Maximize",MAX($C164:$AI164),MIN($C164:$AI164)),$C164:$AI164,0))*INDEX(E153:$AJ163,MATCH(MIN($AK153:$AK163),$AK153:$AK163,0),1)/INDEX($C153:$AJ163,MATCH(MIN($AK153:$AK163),$AK153:$AK163,0),MATCH(IF('Data-solution'!$A$3="Maximize",MAX($C164:$AI164),MIN($C164:$AI164)),$C164:$AI164,0))),E160)</f>
        <v>0</v>
      </c>
      <c r="F175" s="1">
        <f>IF(OR($B168&lt;&gt;$B153,$B169&lt;&gt;$B154,$B170&lt;&gt;$B155,$B171&lt;&gt;$B156,$B172&lt;&gt;$B157,$B173&lt;&gt;$B158,$B174&lt;&gt;$B159,$B175&lt;&gt;$B160,$B176&lt;&gt;$B161,$B177&lt;&gt;$B162,$B178&lt;&gt;$B163),IF($B175&lt;&gt;$B160,F160/INDEX($C153:$AJ163,8,MATCH(IF('Data-solution'!$A$3="Maximize",MAX($C164:$AI164),MIN($C164:$AI164)),$C164:$AI164,0)),F160-INDEX($C153:$AJ163,8,MATCH(IF('Data-solution'!$A$3="Maximize",MAX($C164:$AI164),MIN($C164:$AI164)),$C164:$AI164,0))*INDEX(F153:$AJ163,MATCH(MIN($AK153:$AK163),$AK153:$AK163,0),1)/INDEX($C153:$AJ163,MATCH(MIN($AK153:$AK163),$AK153:$AK163,0),MATCH(IF('Data-solution'!$A$3="Maximize",MAX($C164:$AI164),MIN($C164:$AI164)),$C164:$AI164,0))),F160)</f>
        <v>0</v>
      </c>
      <c r="G175" s="1">
        <f>IF(OR($B168&lt;&gt;$B153,$B169&lt;&gt;$B154,$B170&lt;&gt;$B155,$B171&lt;&gt;$B156,$B172&lt;&gt;$B157,$B173&lt;&gt;$B158,$B174&lt;&gt;$B159,$B175&lt;&gt;$B160,$B176&lt;&gt;$B161,$B177&lt;&gt;$B162,$B178&lt;&gt;$B163),IF($B175&lt;&gt;$B160,G160/INDEX($C153:$AJ163,8,MATCH(IF('Data-solution'!$A$3="Maximize",MAX($C164:$AI164),MIN($C164:$AI164)),$C164:$AI164,0)),G160-INDEX($C153:$AJ163,8,MATCH(IF('Data-solution'!$A$3="Maximize",MAX($C164:$AI164),MIN($C164:$AI164)),$C164:$AI164,0))*INDEX(G153:$AJ163,MATCH(MIN($AK153:$AK163),$AK153:$AK163,0),1)/INDEX($C153:$AJ163,MATCH(MIN($AK153:$AK163),$AK153:$AK163,0),MATCH(IF('Data-solution'!$A$3="Maximize",MAX($C164:$AI164),MIN($C164:$AI164)),$C164:$AI164,0))),G160)</f>
        <v>0</v>
      </c>
      <c r="H175" s="1">
        <f>IF(OR($B168&lt;&gt;$B153,$B169&lt;&gt;$B154,$B170&lt;&gt;$B155,$B171&lt;&gt;$B156,$B172&lt;&gt;$B157,$B173&lt;&gt;$B158,$B174&lt;&gt;$B159,$B175&lt;&gt;$B160,$B176&lt;&gt;$B161,$B177&lt;&gt;$B162,$B178&lt;&gt;$B163),IF($B175&lt;&gt;$B160,H160/INDEX($C153:$AJ163,8,MATCH(IF('Data-solution'!$A$3="Maximize",MAX($C164:$AI164),MIN($C164:$AI164)),$C164:$AI164,0)),H160-INDEX($C153:$AJ163,8,MATCH(IF('Data-solution'!$A$3="Maximize",MAX($C164:$AI164),MIN($C164:$AI164)),$C164:$AI164,0))*INDEX(H153:$AJ163,MATCH(MIN($AK153:$AK163),$AK153:$AK163,0),1)/INDEX($C153:$AJ163,MATCH(MIN($AK153:$AK163),$AK153:$AK163,0),MATCH(IF('Data-solution'!$A$3="Maximize",MAX($C164:$AI164),MIN($C164:$AI164)),$C164:$AI164,0))),H160)</f>
        <v>0</v>
      </c>
      <c r="I175" s="1">
        <f>IF(OR($B168&lt;&gt;$B153,$B169&lt;&gt;$B154,$B170&lt;&gt;$B155,$B171&lt;&gt;$B156,$B172&lt;&gt;$B157,$B173&lt;&gt;$B158,$B174&lt;&gt;$B159,$B175&lt;&gt;$B160,$B176&lt;&gt;$B161,$B177&lt;&gt;$B162,$B178&lt;&gt;$B163),IF($B175&lt;&gt;$B160,I160/INDEX($C153:$AJ163,8,MATCH(IF('Data-solution'!$A$3="Maximize",MAX($C164:$AI164),MIN($C164:$AI164)),$C164:$AI164,0)),I160-INDEX($C153:$AJ163,8,MATCH(IF('Data-solution'!$A$3="Maximize",MAX($C164:$AI164),MIN($C164:$AI164)),$C164:$AI164,0))*INDEX(I153:$AJ163,MATCH(MIN($AK153:$AK163),$AK153:$AK163,0),1)/INDEX($C153:$AJ163,MATCH(MIN($AK153:$AK163),$AK153:$AK163,0),MATCH(IF('Data-solution'!$A$3="Maximize",MAX($C164:$AI164),MIN($C164:$AI164)),$C164:$AI164,0))),I160)</f>
        <v>0</v>
      </c>
      <c r="J175" s="1">
        <f>IF(OR($B168&lt;&gt;$B153,$B169&lt;&gt;$B154,$B170&lt;&gt;$B155,$B171&lt;&gt;$B156,$B172&lt;&gt;$B157,$B173&lt;&gt;$B158,$B174&lt;&gt;$B159,$B175&lt;&gt;$B160,$B176&lt;&gt;$B161,$B177&lt;&gt;$B162,$B178&lt;&gt;$B163),IF($B175&lt;&gt;$B160,J160/INDEX($C153:$AJ163,8,MATCH(IF('Data-solution'!$A$3="Maximize",MAX($C164:$AI164),MIN($C164:$AI164)),$C164:$AI164,0)),J160-INDEX($C153:$AJ163,8,MATCH(IF('Data-solution'!$A$3="Maximize",MAX($C164:$AI164),MIN($C164:$AI164)),$C164:$AI164,0))*INDEX(J153:$AJ163,MATCH(MIN($AK153:$AK163),$AK153:$AK163,0),1)/INDEX($C153:$AJ163,MATCH(MIN($AK153:$AK163),$AK153:$AK163,0),MATCH(IF('Data-solution'!$A$3="Maximize",MAX($C164:$AI164),MIN($C164:$AI164)),$C164:$AI164,0))),J160)</f>
        <v>0</v>
      </c>
      <c r="K175" s="1">
        <f>IF(OR($B168&lt;&gt;$B153,$B169&lt;&gt;$B154,$B170&lt;&gt;$B155,$B171&lt;&gt;$B156,$B172&lt;&gt;$B157,$B173&lt;&gt;$B158,$B174&lt;&gt;$B159,$B175&lt;&gt;$B160,$B176&lt;&gt;$B161,$B177&lt;&gt;$B162,$B178&lt;&gt;$B163),IF($B175&lt;&gt;$B160,K160/INDEX($C153:$AJ163,8,MATCH(IF('Data-solution'!$A$3="Maximize",MAX($C164:$AI164),MIN($C164:$AI164)),$C164:$AI164,0)),K160-INDEX($C153:$AJ163,8,MATCH(IF('Data-solution'!$A$3="Maximize",MAX($C164:$AI164),MIN($C164:$AI164)),$C164:$AI164,0))*INDEX(K153:$AJ163,MATCH(MIN($AK153:$AK163),$AK153:$AK163,0),1)/INDEX($C153:$AJ163,MATCH(MIN($AK153:$AK163),$AK153:$AK163,0),MATCH(IF('Data-solution'!$A$3="Maximize",MAX($C164:$AI164),MIN($C164:$AI164)),$C164:$AI164,0))),K160)</f>
        <v>0</v>
      </c>
      <c r="L175" s="1">
        <f>IF(OR($B168&lt;&gt;$B153,$B169&lt;&gt;$B154,$B170&lt;&gt;$B155,$B171&lt;&gt;$B156,$B172&lt;&gt;$B157,$B173&lt;&gt;$B158,$B174&lt;&gt;$B159,$B175&lt;&gt;$B160,$B176&lt;&gt;$B161,$B177&lt;&gt;$B162,$B178&lt;&gt;$B163),IF($B175&lt;&gt;$B160,L160/INDEX($C153:$AJ163,8,MATCH(IF('Data-solution'!$A$3="Maximize",MAX($C164:$AI164),MIN($C164:$AI164)),$C164:$AI164,0)),L160-INDEX($C153:$AJ163,8,MATCH(IF('Data-solution'!$A$3="Maximize",MAX($C164:$AI164),MIN($C164:$AI164)),$C164:$AI164,0))*INDEX(L153:$AJ163,MATCH(MIN($AK153:$AK163),$AK153:$AK163,0),1)/INDEX($C153:$AJ163,MATCH(MIN($AK153:$AK163),$AK153:$AK163,0),MATCH(IF('Data-solution'!$A$3="Maximize",MAX($C164:$AI164),MIN($C164:$AI164)),$C164:$AI164,0))),L160)</f>
        <v>0</v>
      </c>
      <c r="M175" s="1">
        <f>IF(OR($B168&lt;&gt;$B153,$B169&lt;&gt;$B154,$B170&lt;&gt;$B155,$B171&lt;&gt;$B156,$B172&lt;&gt;$B157,$B173&lt;&gt;$B158,$B174&lt;&gt;$B159,$B175&lt;&gt;$B160,$B176&lt;&gt;$B161,$B177&lt;&gt;$B162,$B178&lt;&gt;$B163),IF($B175&lt;&gt;$B160,M160/INDEX($C153:$AJ163,8,MATCH(IF('Data-solution'!$A$3="Maximize",MAX($C164:$AI164),MIN($C164:$AI164)),$C164:$AI164,0)),M160-INDEX($C153:$AJ163,8,MATCH(IF('Data-solution'!$A$3="Maximize",MAX($C164:$AI164),MIN($C164:$AI164)),$C164:$AI164,0))*INDEX(M153:$AJ163,MATCH(MIN($AK153:$AK163),$AK153:$AK163,0),1)/INDEX($C153:$AJ163,MATCH(MIN($AK153:$AK163),$AK153:$AK163,0),MATCH(IF('Data-solution'!$A$3="Maximize",MAX($C164:$AI164),MIN($C164:$AI164)),$C164:$AI164,0))),M160)</f>
        <v>0</v>
      </c>
      <c r="N175" s="1">
        <f>IF(OR($B168&lt;&gt;$B153,$B169&lt;&gt;$B154,$B170&lt;&gt;$B155,$B171&lt;&gt;$B156,$B172&lt;&gt;$B157,$B173&lt;&gt;$B158,$B174&lt;&gt;$B159,$B175&lt;&gt;$B160,$B176&lt;&gt;$B161,$B177&lt;&gt;$B162,$B178&lt;&gt;$B163),IF($B175&lt;&gt;$B160,N160/INDEX($C153:$AJ163,8,MATCH(IF('Data-solution'!$A$3="Maximize",MAX($C164:$AI164),MIN($C164:$AI164)),$C164:$AI164,0)),N160-INDEX($C153:$AJ163,8,MATCH(IF('Data-solution'!$A$3="Maximize",MAX($C164:$AI164),MIN($C164:$AI164)),$C164:$AI164,0))*INDEX(N153:$AJ163,MATCH(MIN($AK153:$AK163),$AK153:$AK163,0),1)/INDEX($C153:$AJ163,MATCH(MIN($AK153:$AK163),$AK153:$AK163,0),MATCH(IF('Data-solution'!$A$3="Maximize",MAX($C164:$AI164),MIN($C164:$AI164)),$C164:$AI164,0))),N160)</f>
        <v>0</v>
      </c>
      <c r="O175" s="1">
        <f>IF(OR($B168&lt;&gt;$B153,$B169&lt;&gt;$B154,$B170&lt;&gt;$B155,$B171&lt;&gt;$B156,$B172&lt;&gt;$B157,$B173&lt;&gt;$B158,$B174&lt;&gt;$B159,$B175&lt;&gt;$B160,$B176&lt;&gt;$B161,$B177&lt;&gt;$B162,$B178&lt;&gt;$B163),IF($B175&lt;&gt;$B160,O160/INDEX($C153:$AJ163,8,MATCH(IF('Data-solution'!$A$3="Maximize",MAX($C164:$AI164),MIN($C164:$AI164)),$C164:$AI164,0)),O160-INDEX($C153:$AJ163,8,MATCH(IF('Data-solution'!$A$3="Maximize",MAX($C164:$AI164),MIN($C164:$AI164)),$C164:$AI164,0))*INDEX(O153:$AJ163,MATCH(MIN($AK153:$AK163),$AK153:$AK163,0),1)/INDEX($C153:$AJ163,MATCH(MIN($AK153:$AK163),$AK153:$AK163,0),MATCH(IF('Data-solution'!$A$3="Maximize",MAX($C164:$AI164),MIN($C164:$AI164)),$C164:$AI164,0))),O160)</f>
        <v>0</v>
      </c>
      <c r="P175" s="1">
        <f>IF(OR($B168&lt;&gt;$B153,$B169&lt;&gt;$B154,$B170&lt;&gt;$B155,$B171&lt;&gt;$B156,$B172&lt;&gt;$B157,$B173&lt;&gt;$B158,$B174&lt;&gt;$B159,$B175&lt;&gt;$B160,$B176&lt;&gt;$B161,$B177&lt;&gt;$B162,$B178&lt;&gt;$B163),IF($B175&lt;&gt;$B160,P160/INDEX($C153:$AJ163,8,MATCH(IF('Data-solution'!$A$3="Maximize",MAX($C164:$AI164),MIN($C164:$AI164)),$C164:$AI164,0)),P160-INDEX($C153:$AJ163,8,MATCH(IF('Data-solution'!$A$3="Maximize",MAX($C164:$AI164),MIN($C164:$AI164)),$C164:$AI164,0))*INDEX(P153:$AJ163,MATCH(MIN($AK153:$AK163),$AK153:$AK163,0),1)/INDEX($C153:$AJ163,MATCH(MIN($AK153:$AK163),$AK153:$AK163,0),MATCH(IF('Data-solution'!$A$3="Maximize",MAX($C164:$AI164),MIN($C164:$AI164)),$C164:$AI164,0))),P160)</f>
        <v>0</v>
      </c>
      <c r="Q175" s="1">
        <f>IF(OR($B168&lt;&gt;$B153,$B169&lt;&gt;$B154,$B170&lt;&gt;$B155,$B171&lt;&gt;$B156,$B172&lt;&gt;$B157,$B173&lt;&gt;$B158,$B174&lt;&gt;$B159,$B175&lt;&gt;$B160,$B176&lt;&gt;$B161,$B177&lt;&gt;$B162,$B178&lt;&gt;$B163),IF($B175&lt;&gt;$B160,Q160/INDEX($C153:$AJ163,8,MATCH(IF('Data-solution'!$A$3="Maximize",MAX($C164:$AI164),MIN($C164:$AI164)),$C164:$AI164,0)),Q160-INDEX($C153:$AJ163,8,MATCH(IF('Data-solution'!$A$3="Maximize",MAX($C164:$AI164),MIN($C164:$AI164)),$C164:$AI164,0))*INDEX(Q153:$AJ163,MATCH(MIN($AK153:$AK163),$AK153:$AK163,0),1)/INDEX($C153:$AJ163,MATCH(MIN($AK153:$AK163),$AK153:$AK163,0),MATCH(IF('Data-solution'!$A$3="Maximize",MAX($C164:$AI164),MIN($C164:$AI164)),$C164:$AI164,0))),Q160)</f>
        <v>0</v>
      </c>
      <c r="R175" s="1">
        <f>IF(OR($B168&lt;&gt;$B153,$B169&lt;&gt;$B154,$B170&lt;&gt;$B155,$B171&lt;&gt;$B156,$B172&lt;&gt;$B157,$B173&lt;&gt;$B158,$B174&lt;&gt;$B159,$B175&lt;&gt;$B160,$B176&lt;&gt;$B161,$B177&lt;&gt;$B162,$B178&lt;&gt;$B163),IF($B175&lt;&gt;$B160,R160/INDEX($C153:$AJ163,8,MATCH(IF('Data-solution'!$A$3="Maximize",MAX($C164:$AI164),MIN($C164:$AI164)),$C164:$AI164,0)),R160-INDEX($C153:$AJ163,8,MATCH(IF('Data-solution'!$A$3="Maximize",MAX($C164:$AI164),MIN($C164:$AI164)),$C164:$AI164,0))*INDEX(R153:$AJ163,MATCH(MIN($AK153:$AK163),$AK153:$AK163,0),1)/INDEX($C153:$AJ163,MATCH(MIN($AK153:$AK163),$AK153:$AK163,0),MATCH(IF('Data-solution'!$A$3="Maximize",MAX($C164:$AI164),MIN($C164:$AI164)),$C164:$AI164,0))),R160)</f>
        <v>0</v>
      </c>
      <c r="S175" s="1">
        <f>IF(OR($B168&lt;&gt;$B153,$B169&lt;&gt;$B154,$B170&lt;&gt;$B155,$B171&lt;&gt;$B156,$B172&lt;&gt;$B157,$B173&lt;&gt;$B158,$B174&lt;&gt;$B159,$B175&lt;&gt;$B160,$B176&lt;&gt;$B161,$B177&lt;&gt;$B162,$B178&lt;&gt;$B163),IF($B175&lt;&gt;$B160,S160/INDEX($C153:$AJ163,8,MATCH(IF('Data-solution'!$A$3="Maximize",MAX($C164:$AI164),MIN($C164:$AI164)),$C164:$AI164,0)),S160-INDEX($C153:$AJ163,8,MATCH(IF('Data-solution'!$A$3="Maximize",MAX($C164:$AI164),MIN($C164:$AI164)),$C164:$AI164,0))*INDEX(S153:$AJ163,MATCH(MIN($AK153:$AK163),$AK153:$AK163,0),1)/INDEX($C153:$AJ163,MATCH(MIN($AK153:$AK163),$AK153:$AK163,0),MATCH(IF('Data-solution'!$A$3="Maximize",MAX($C164:$AI164),MIN($C164:$AI164)),$C164:$AI164,0))),S160)</f>
        <v>0</v>
      </c>
      <c r="T175" s="1">
        <f>IF(OR($B168&lt;&gt;$B153,$B169&lt;&gt;$B154,$B170&lt;&gt;$B155,$B171&lt;&gt;$B156,$B172&lt;&gt;$B157,$B173&lt;&gt;$B158,$B174&lt;&gt;$B159,$B175&lt;&gt;$B160,$B176&lt;&gt;$B161,$B177&lt;&gt;$B162,$B178&lt;&gt;$B163),IF($B175&lt;&gt;$B160,T160/INDEX($C153:$AJ163,8,MATCH(IF('Data-solution'!$A$3="Maximize",MAX($C164:$AI164),MIN($C164:$AI164)),$C164:$AI164,0)),T160-INDEX($C153:$AJ163,8,MATCH(IF('Data-solution'!$A$3="Maximize",MAX($C164:$AI164),MIN($C164:$AI164)),$C164:$AI164,0))*INDEX(T153:$AJ163,MATCH(MIN($AK153:$AK163),$AK153:$AK163,0),1)/INDEX($C153:$AJ163,MATCH(MIN($AK153:$AK163),$AK153:$AK163,0),MATCH(IF('Data-solution'!$A$3="Maximize",MAX($C164:$AI164),MIN($C164:$AI164)),$C164:$AI164,0))),T160)</f>
        <v>0</v>
      </c>
      <c r="U175" s="1">
        <f>IF(OR($B168&lt;&gt;$B153,$B169&lt;&gt;$B154,$B170&lt;&gt;$B155,$B171&lt;&gt;$B156,$B172&lt;&gt;$B157,$B173&lt;&gt;$B158,$B174&lt;&gt;$B159,$B175&lt;&gt;$B160,$B176&lt;&gt;$B161,$B177&lt;&gt;$B162,$B178&lt;&gt;$B163),IF($B175&lt;&gt;$B160,U160/INDEX($C153:$AJ163,8,MATCH(IF('Data-solution'!$A$3="Maximize",MAX($C164:$AI164),MIN($C164:$AI164)),$C164:$AI164,0)),U160-INDEX($C153:$AJ163,8,MATCH(IF('Data-solution'!$A$3="Maximize",MAX($C164:$AI164),MIN($C164:$AI164)),$C164:$AI164,0))*INDEX(U153:$AJ163,MATCH(MIN($AK153:$AK163),$AK153:$AK163,0),1)/INDEX($C153:$AJ163,MATCH(MIN($AK153:$AK163),$AK153:$AK163,0),MATCH(IF('Data-solution'!$A$3="Maximize",MAX($C164:$AI164),MIN($C164:$AI164)),$C164:$AI164,0))),U160)</f>
        <v>1</v>
      </c>
      <c r="V175" s="1">
        <f>IF(OR($B168&lt;&gt;$B153,$B169&lt;&gt;$B154,$B170&lt;&gt;$B155,$B171&lt;&gt;$B156,$B172&lt;&gt;$B157,$B173&lt;&gt;$B158,$B174&lt;&gt;$B159,$B175&lt;&gt;$B160,$B176&lt;&gt;$B161,$B177&lt;&gt;$B162,$B178&lt;&gt;$B163),IF($B175&lt;&gt;$B160,V160/INDEX($C153:$AJ163,8,MATCH(IF('Data-solution'!$A$3="Maximize",MAX($C164:$AI164),MIN($C164:$AI164)),$C164:$AI164,0)),V160-INDEX($C153:$AJ163,8,MATCH(IF('Data-solution'!$A$3="Maximize",MAX($C164:$AI164),MIN($C164:$AI164)),$C164:$AI164,0))*INDEX(V153:$AJ163,MATCH(MIN($AK153:$AK163),$AK153:$AK163,0),1)/INDEX($C153:$AJ163,MATCH(MIN($AK153:$AK163),$AK153:$AK163,0),MATCH(IF('Data-solution'!$A$3="Maximize",MAX($C164:$AI164),MIN($C164:$AI164)),$C164:$AI164,0))),V160)</f>
        <v>0</v>
      </c>
      <c r="W175" s="1">
        <f>IF(OR($B168&lt;&gt;$B153,$B169&lt;&gt;$B154,$B170&lt;&gt;$B155,$B171&lt;&gt;$B156,$B172&lt;&gt;$B157,$B173&lt;&gt;$B158,$B174&lt;&gt;$B159,$B175&lt;&gt;$B160,$B176&lt;&gt;$B161,$B177&lt;&gt;$B162,$B178&lt;&gt;$B163),IF($B175&lt;&gt;$B160,W160/INDEX($C153:$AJ163,8,MATCH(IF('Data-solution'!$A$3="Maximize",MAX($C164:$AI164),MIN($C164:$AI164)),$C164:$AI164,0)),W160-INDEX($C153:$AJ163,8,MATCH(IF('Data-solution'!$A$3="Maximize",MAX($C164:$AI164),MIN($C164:$AI164)),$C164:$AI164,0))*INDEX(W153:$AJ163,MATCH(MIN($AK153:$AK163),$AK153:$AK163,0),1)/INDEX($C153:$AJ163,MATCH(MIN($AK153:$AK163),$AK153:$AK163,0),MATCH(IF('Data-solution'!$A$3="Maximize",MAX($C164:$AI164),MIN($C164:$AI164)),$C164:$AI164,0))),W160)</f>
        <v>0</v>
      </c>
      <c r="X175" s="1">
        <f>IF(OR($B168&lt;&gt;$B153,$B169&lt;&gt;$B154,$B170&lt;&gt;$B155,$B171&lt;&gt;$B156,$B172&lt;&gt;$B157,$B173&lt;&gt;$B158,$B174&lt;&gt;$B159,$B175&lt;&gt;$B160,$B176&lt;&gt;$B161,$B177&lt;&gt;$B162,$B178&lt;&gt;$B163),IF($B175&lt;&gt;$B160,X160/INDEX($C153:$AJ163,8,MATCH(IF('Data-solution'!$A$3="Maximize",MAX($C164:$AI164),MIN($C164:$AI164)),$C164:$AI164,0)),X160-INDEX($C153:$AJ163,8,MATCH(IF('Data-solution'!$A$3="Maximize",MAX($C164:$AI164),MIN($C164:$AI164)),$C164:$AI164,0))*INDEX(X153:$AJ163,MATCH(MIN($AK153:$AK163),$AK153:$AK163,0),1)/INDEX($C153:$AJ163,MATCH(MIN($AK153:$AK163),$AK153:$AK163,0),MATCH(IF('Data-solution'!$A$3="Maximize",MAX($C164:$AI164),MIN($C164:$AI164)),$C164:$AI164,0))),X160)</f>
        <v>0</v>
      </c>
      <c r="Y175" s="1">
        <f>IF(OR($B168&lt;&gt;$B153,$B169&lt;&gt;$B154,$B170&lt;&gt;$B155,$B171&lt;&gt;$B156,$B172&lt;&gt;$B157,$B173&lt;&gt;$B158,$B174&lt;&gt;$B159,$B175&lt;&gt;$B160,$B176&lt;&gt;$B161,$B177&lt;&gt;$B162,$B178&lt;&gt;$B163),IF($B175&lt;&gt;$B160,Y160/INDEX($C153:$AJ163,8,MATCH(IF('Data-solution'!$A$3="Maximize",MAX($C164:$AI164),MIN($C164:$AI164)),$C164:$AI164,0)),Y160-INDEX($C153:$AJ163,8,MATCH(IF('Data-solution'!$A$3="Maximize",MAX($C164:$AI164),MIN($C164:$AI164)),$C164:$AI164,0))*INDEX(Y153:$AJ163,MATCH(MIN($AK153:$AK163),$AK153:$AK163,0),1)/INDEX($C153:$AJ163,MATCH(MIN($AK153:$AK163),$AK153:$AK163,0),MATCH(IF('Data-solution'!$A$3="Maximize",MAX($C164:$AI164),MIN($C164:$AI164)),$C164:$AI164,0))),Y160)</f>
        <v>0</v>
      </c>
      <c r="Z175" s="1">
        <f>IF(OR($B168&lt;&gt;$B153,$B169&lt;&gt;$B154,$B170&lt;&gt;$B155,$B171&lt;&gt;$B156,$B172&lt;&gt;$B157,$B173&lt;&gt;$B158,$B174&lt;&gt;$B159,$B175&lt;&gt;$B160,$B176&lt;&gt;$B161,$B177&lt;&gt;$B162,$B178&lt;&gt;$B163),IF($B175&lt;&gt;$B160,Z160/INDEX($C153:$AJ163,8,MATCH(IF('Data-solution'!$A$3="Maximize",MAX($C164:$AI164),MIN($C164:$AI164)),$C164:$AI164,0)),Z160-INDEX($C153:$AJ163,8,MATCH(IF('Data-solution'!$A$3="Maximize",MAX($C164:$AI164),MIN($C164:$AI164)),$C164:$AI164,0))*INDEX(Z153:$AJ163,MATCH(MIN($AK153:$AK163),$AK153:$AK163,0),1)/INDEX($C153:$AJ163,MATCH(MIN($AK153:$AK163),$AK153:$AK163,0),MATCH(IF('Data-solution'!$A$3="Maximize",MAX($C164:$AI164),MIN($C164:$AI164)),$C164:$AI164,0))),Z160)</f>
        <v>0</v>
      </c>
      <c r="AA175" s="1">
        <f>IF(OR($B168&lt;&gt;$B153,$B169&lt;&gt;$B154,$B170&lt;&gt;$B155,$B171&lt;&gt;$B156,$B172&lt;&gt;$B157,$B173&lt;&gt;$B158,$B174&lt;&gt;$B159,$B175&lt;&gt;$B160,$B176&lt;&gt;$B161,$B177&lt;&gt;$B162,$B178&lt;&gt;$B163),IF($B175&lt;&gt;$B160,AA160/INDEX($C153:$AJ163,8,MATCH(IF('Data-solution'!$A$3="Maximize",MAX($C164:$AI164),MIN($C164:$AI164)),$C164:$AI164,0)),AA160-INDEX($C153:$AJ163,8,MATCH(IF('Data-solution'!$A$3="Maximize",MAX($C164:$AI164),MIN($C164:$AI164)),$C164:$AI164,0))*INDEX(AA153:$AJ163,MATCH(MIN($AK153:$AK163),$AK153:$AK163,0),1)/INDEX($C153:$AJ163,MATCH(MIN($AK153:$AK163),$AK153:$AK163,0),MATCH(IF('Data-solution'!$A$3="Maximize",MAX($C164:$AI164),MIN($C164:$AI164)),$C164:$AI164,0))),AA160)</f>
        <v>0</v>
      </c>
      <c r="AB175" s="1">
        <f>IF(OR($B168&lt;&gt;$B153,$B169&lt;&gt;$B154,$B170&lt;&gt;$B155,$B171&lt;&gt;$B156,$B172&lt;&gt;$B157,$B173&lt;&gt;$B158,$B174&lt;&gt;$B159,$B175&lt;&gt;$B160,$B176&lt;&gt;$B161,$B177&lt;&gt;$B162,$B178&lt;&gt;$B163),IF($B175&lt;&gt;$B160,AB160/INDEX($C153:$AJ163,8,MATCH(IF('Data-solution'!$A$3="Maximize",MAX($C164:$AI164),MIN($C164:$AI164)),$C164:$AI164,0)),AB160-INDEX($C153:$AJ163,8,MATCH(IF('Data-solution'!$A$3="Maximize",MAX($C164:$AI164),MIN($C164:$AI164)),$C164:$AI164,0))*INDEX(AB153:$AJ163,MATCH(MIN($AK153:$AK163),$AK153:$AK163,0),1)/INDEX($C153:$AJ163,MATCH(MIN($AK153:$AK163),$AK153:$AK163,0),MATCH(IF('Data-solution'!$A$3="Maximize",MAX($C164:$AI164),MIN($C164:$AI164)),$C164:$AI164,0))),AB160)</f>
        <v>0</v>
      </c>
      <c r="AC175" s="1">
        <f>IF(OR($B168&lt;&gt;$B153,$B169&lt;&gt;$B154,$B170&lt;&gt;$B155,$B171&lt;&gt;$B156,$B172&lt;&gt;$B157,$B173&lt;&gt;$B158,$B174&lt;&gt;$B159,$B175&lt;&gt;$B160,$B176&lt;&gt;$B161,$B177&lt;&gt;$B162,$B178&lt;&gt;$B163),IF($B175&lt;&gt;$B160,AC160/INDEX($C153:$AJ163,8,MATCH(IF('Data-solution'!$A$3="Maximize",MAX($C164:$AI164),MIN($C164:$AI164)),$C164:$AI164,0)),AC160-INDEX($C153:$AJ163,8,MATCH(IF('Data-solution'!$A$3="Maximize",MAX($C164:$AI164),MIN($C164:$AI164)),$C164:$AI164,0))*INDEX(AC153:$AJ163,MATCH(MIN($AK153:$AK163),$AK153:$AK163,0),1)/INDEX($C153:$AJ163,MATCH(MIN($AK153:$AK163),$AK153:$AK163,0),MATCH(IF('Data-solution'!$A$3="Maximize",MAX($C164:$AI164),MIN($C164:$AI164)),$C164:$AI164,0))),AC160)</f>
        <v>0</v>
      </c>
      <c r="AD175" s="1">
        <f>IF(OR($B168&lt;&gt;$B153,$B169&lt;&gt;$B154,$B170&lt;&gt;$B155,$B171&lt;&gt;$B156,$B172&lt;&gt;$B157,$B173&lt;&gt;$B158,$B174&lt;&gt;$B159,$B175&lt;&gt;$B160,$B176&lt;&gt;$B161,$B177&lt;&gt;$B162,$B178&lt;&gt;$B163),IF($B175&lt;&gt;$B160,AD160/INDEX($C153:$AJ163,8,MATCH(IF('Data-solution'!$A$3="Maximize",MAX($C164:$AI164),MIN($C164:$AI164)),$C164:$AI164,0)),AD160-INDEX($C153:$AJ163,8,MATCH(IF('Data-solution'!$A$3="Maximize",MAX($C164:$AI164),MIN($C164:$AI164)),$C164:$AI164,0))*INDEX(AD153:$AJ163,MATCH(MIN($AK153:$AK163),$AK153:$AK163,0),1)/INDEX($C153:$AJ163,MATCH(MIN($AK153:$AK163),$AK153:$AK163,0),MATCH(IF('Data-solution'!$A$3="Maximize",MAX($C164:$AI164),MIN($C164:$AI164)),$C164:$AI164,0))),AD160)</f>
        <v>0</v>
      </c>
      <c r="AE175" s="1">
        <f>IF(OR($B168&lt;&gt;$B153,$B169&lt;&gt;$B154,$B170&lt;&gt;$B155,$B171&lt;&gt;$B156,$B172&lt;&gt;$B157,$B173&lt;&gt;$B158,$B174&lt;&gt;$B159,$B175&lt;&gt;$B160,$B176&lt;&gt;$B161,$B177&lt;&gt;$B162,$B178&lt;&gt;$B163),IF($B175&lt;&gt;$B160,AE160/INDEX($C153:$AJ163,8,MATCH(IF('Data-solution'!$A$3="Maximize",MAX($C164:$AI164),MIN($C164:$AI164)),$C164:$AI164,0)),AE160-INDEX($C153:$AJ163,8,MATCH(IF('Data-solution'!$A$3="Maximize",MAX($C164:$AI164),MIN($C164:$AI164)),$C164:$AI164,0))*INDEX(AE153:$AJ163,MATCH(MIN($AK153:$AK163),$AK153:$AK163,0),1)/INDEX($C153:$AJ163,MATCH(MIN($AK153:$AK163),$AK153:$AK163,0),MATCH(IF('Data-solution'!$A$3="Maximize",MAX($C164:$AI164),MIN($C164:$AI164)),$C164:$AI164,0))),AE160)</f>
        <v>0</v>
      </c>
      <c r="AF175" s="1">
        <f>IF(OR($B168&lt;&gt;$B153,$B169&lt;&gt;$B154,$B170&lt;&gt;$B155,$B171&lt;&gt;$B156,$B172&lt;&gt;$B157,$B173&lt;&gt;$B158,$B174&lt;&gt;$B159,$B175&lt;&gt;$B160,$B176&lt;&gt;$B161,$B177&lt;&gt;$B162,$B178&lt;&gt;$B163),IF($B175&lt;&gt;$B160,AF160/INDEX($C153:$AJ163,8,MATCH(IF('Data-solution'!$A$3="Maximize",MAX($C164:$AI164),MIN($C164:$AI164)),$C164:$AI164,0)),AF160-INDEX($C153:$AJ163,8,MATCH(IF('Data-solution'!$A$3="Maximize",MAX($C164:$AI164),MIN($C164:$AI164)),$C164:$AI164,0))*INDEX(AF153:$AJ163,MATCH(MIN($AK153:$AK163),$AK153:$AK163,0),1)/INDEX($C153:$AJ163,MATCH(MIN($AK153:$AK163),$AK153:$AK163,0),MATCH(IF('Data-solution'!$A$3="Maximize",MAX($C164:$AI164),MIN($C164:$AI164)),$C164:$AI164,0))),AF160)</f>
        <v>1</v>
      </c>
      <c r="AG175" s="1">
        <f>IF(OR($B168&lt;&gt;$B153,$B169&lt;&gt;$B154,$B170&lt;&gt;$B155,$B171&lt;&gt;$B156,$B172&lt;&gt;$B157,$B173&lt;&gt;$B158,$B174&lt;&gt;$B159,$B175&lt;&gt;$B160,$B176&lt;&gt;$B161,$B177&lt;&gt;$B162,$B178&lt;&gt;$B163),IF($B175&lt;&gt;$B160,AG160/INDEX($C153:$AJ163,8,MATCH(IF('Data-solution'!$A$3="Maximize",MAX($C164:$AI164),MIN($C164:$AI164)),$C164:$AI164,0)),AG160-INDEX($C153:$AJ163,8,MATCH(IF('Data-solution'!$A$3="Maximize",MAX($C164:$AI164),MIN($C164:$AI164)),$C164:$AI164,0))*INDEX(AG153:$AJ163,MATCH(MIN($AK153:$AK163),$AK153:$AK163,0),1)/INDEX($C153:$AJ163,MATCH(MIN($AK153:$AK163),$AK153:$AK163,0),MATCH(IF('Data-solution'!$A$3="Maximize",MAX($C164:$AI164),MIN($C164:$AI164)),$C164:$AI164,0))),AG160)</f>
        <v>0</v>
      </c>
      <c r="AH175" s="1">
        <f>IF(OR($B168&lt;&gt;$B153,$B169&lt;&gt;$B154,$B170&lt;&gt;$B155,$B171&lt;&gt;$B156,$B172&lt;&gt;$B157,$B173&lt;&gt;$B158,$B174&lt;&gt;$B159,$B175&lt;&gt;$B160,$B176&lt;&gt;$B161,$B177&lt;&gt;$B162,$B178&lt;&gt;$B163),IF($B175&lt;&gt;$B160,AH160/INDEX($C153:$AJ163,8,MATCH(IF('Data-solution'!$A$3="Maximize",MAX($C164:$AI164),MIN($C164:$AI164)),$C164:$AI164,0)),AH160-INDEX($C153:$AJ163,8,MATCH(IF('Data-solution'!$A$3="Maximize",MAX($C164:$AI164),MIN($C164:$AI164)),$C164:$AI164,0))*INDEX(AH153:$AJ163,MATCH(MIN($AK153:$AK163),$AK153:$AK163,0),1)/INDEX($C153:$AJ163,MATCH(MIN($AK153:$AK163),$AK153:$AK163,0),MATCH(IF('Data-solution'!$A$3="Maximize",MAX($C164:$AI164),MIN($C164:$AI164)),$C164:$AI164,0))),AH160)</f>
        <v>0</v>
      </c>
      <c r="AI175" s="1">
        <f>IF(OR($B168&lt;&gt;$B153,$B169&lt;&gt;$B154,$B170&lt;&gt;$B155,$B171&lt;&gt;$B156,$B172&lt;&gt;$B157,$B173&lt;&gt;$B158,$B174&lt;&gt;$B159,$B175&lt;&gt;$B160,$B176&lt;&gt;$B161,$B177&lt;&gt;$B162,$B178&lt;&gt;$B163),IF($B175&lt;&gt;$B160,AI160/INDEX($C153:$AJ163,8,MATCH(IF('Data-solution'!$A$3="Maximize",MAX($C164:$AI164),MIN($C164:$AI164)),$C164:$AI164,0)),AI160-INDEX($C153:$AJ163,8,MATCH(IF('Data-solution'!$A$3="Maximize",MAX($C164:$AI164),MIN($C164:$AI164)),$C164:$AI164,0))*INDEX(AI153:$AJ163,MATCH(MIN($AK153:$AK163),$AK153:$AK163,0),1)/INDEX($C153:$AJ163,MATCH(MIN($AK153:$AK163),$AK153:$AK163,0),MATCH(IF('Data-solution'!$A$3="Maximize",MAX($C164:$AI164),MIN($C164:$AI164)),$C164:$AI164,0))),AI160)</f>
        <v>0</v>
      </c>
      <c r="AJ175" s="1">
        <f>IF(OR($B168&lt;&gt;$B153,$B169&lt;&gt;$B154,$B170&lt;&gt;$B155,$B171&lt;&gt;$B156,$B172&lt;&gt;$B157,$B173&lt;&gt;$B158,$B174&lt;&gt;$B159,$B175&lt;&gt;$B160,$B176&lt;&gt;$B161,$B177&lt;&gt;$B162,$B178&lt;&gt;$B163),IF($B175&lt;&gt;$B160,AJ160/INDEX($C153:$AJ163,8,MATCH(IF('Data-solution'!$A$3="Maximize",MAX($C164:$AI164),MIN($C164:$AI164)),$C164:$AI164,0)),AJ160-INDEX($C153:$AJ163,8,MATCH(IF('Data-solution'!$A$3="Maximize",MAX($C164:$AI164),MIN($C164:$AI164)),$C164:$AI164,0))*INDEX(AJ153:$AJ163,MATCH(MIN($AK153:$AK163),$AK153:$AK163,0),1)/INDEX($C153:$AJ163,MATCH(MIN($AK153:$AK163),$AK153:$AK163,0),MATCH(IF('Data-solution'!$A$3="Maximize",MAX($C164:$AI164),MIN($C164:$AI164)),$C164:$AI164,0))),AJ160)</f>
        <v>0</v>
      </c>
      <c r="AK175" s="1" t="str">
        <f>IF(INDEX(C175:X175,1,MATCH(IF('Data-solution'!A$3="Maximize",MAX(C179:X179),MIN(C179:X179)),C179:X179,0))&gt;0,AJ175/INDEX(C175:X175,1,MATCH(IF('Data-solution'!A$3="Maximize",MAX(C179:X179),MIN(C179:X179)),C179:X179,0))," ")</f>
        <v xml:space="preserve"> </v>
      </c>
    </row>
    <row r="176" spans="1:37" ht="18" customHeight="1" x14ac:dyDescent="0.2">
      <c r="A176" s="1">
        <f t="shared" ref="A176" si="146">INDEX(C166:AI166,1,MATCH(B176,C167:AI167,0))</f>
        <v>0</v>
      </c>
      <c r="B176" s="2" t="str">
        <f>IF(AND('Data-solution'!A$3="Maximize",COUNTIF(C164:X164,"&gt;"&amp;0)&gt;0,AK161=MIN(AK153:AK163),COUNTIF(B168:B175,INDEX(C152:X152,1,MATCH(MAX(C164:X164),C164:X164,0)))=0),INDEX(C152:X152,1,MATCH(MAX(C164:X164),C164:X164,0)),IF(AND('Data-solution'!A$3="Minimize",COUNTIF(C164:X164,"&lt;"&amp;0)&gt;0,AK161=MIN(AK153:AK163),COUNTIF(B168:B175,INDEX(C152:X152,1,MATCH(MIN(C164:X164),C164:X164,0)))=0),INDEX(C152:X152,1,MATCH(MIN(C164:X164),C164:X164,0)),B161))</f>
        <v>S9</v>
      </c>
      <c r="C176" s="1">
        <f>IF(OR($B168&lt;&gt;$B153,$B169&lt;&gt;$B154,$B170&lt;&gt;$B155,$B171&lt;&gt;$B156,$B172&lt;&gt;$B157,$B173&lt;&gt;$B158,$B174&lt;&gt;$B159,$B175&lt;&gt;$B160,$B176&lt;&gt;$B161,$B177&lt;&gt;$B162,$B178&lt;&gt;$B163),IF($B176&lt;&gt;$B161,C161/INDEX($C153:$AJ163,9,MATCH(IF('Data-solution'!$A$3="Maximize",MAX($C164:$AI164),MIN($C164:$AI164)),$C164:$AI164,0)),C161-INDEX($C153:$AJ163,9,MATCH(IF('Data-solution'!$A$3="Maximize",MAX($C164:$AI164),MIN($C164:$AI164)),$C164:$AI164,0))*INDEX(C153:$AJ163,MATCH(MIN($AK153:$AK163),$AK153:$AK163,0),1)/INDEX($C153:$AJ163,MATCH(MIN($AK153:$AK163),$AK153:$AK163,0),MATCH(IF('Data-solution'!$A$3="Maximize",MAX($C164:$AI164),MIN($C164:$AI164)),$C164:$AI164,0))),C161)</f>
        <v>0</v>
      </c>
      <c r="D176" s="1">
        <f>IF(OR($B168&lt;&gt;$B153,$B169&lt;&gt;$B154,$B170&lt;&gt;$B155,$B171&lt;&gt;$B156,$B172&lt;&gt;$B157,$B173&lt;&gt;$B158,$B174&lt;&gt;$B159,$B175&lt;&gt;$B160,$B176&lt;&gt;$B161,$B177&lt;&gt;$B162,$B178&lt;&gt;$B163),IF($B176&lt;&gt;$B161,D161/INDEX($C153:$AJ163,9,MATCH(IF('Data-solution'!$A$3="Maximize",MAX($C164:$AI164),MIN($C164:$AI164)),$C164:$AI164,0)),D161-INDEX($C153:$AJ163,9,MATCH(IF('Data-solution'!$A$3="Maximize",MAX($C164:$AI164),MIN($C164:$AI164)),$C164:$AI164,0))*INDEX(D153:$AJ163,MATCH(MIN($AK153:$AK163),$AK153:$AK163,0),1)/INDEX($C153:$AJ163,MATCH(MIN($AK153:$AK163),$AK153:$AK163,0),MATCH(IF('Data-solution'!$A$3="Maximize",MAX($C164:$AI164),MIN($C164:$AI164)),$C164:$AI164,0))),D161)</f>
        <v>0</v>
      </c>
      <c r="E176" s="1">
        <f>IF(OR($B168&lt;&gt;$B153,$B169&lt;&gt;$B154,$B170&lt;&gt;$B155,$B171&lt;&gt;$B156,$B172&lt;&gt;$B157,$B173&lt;&gt;$B158,$B174&lt;&gt;$B159,$B175&lt;&gt;$B160,$B176&lt;&gt;$B161,$B177&lt;&gt;$B162,$B178&lt;&gt;$B163),IF($B176&lt;&gt;$B161,E161/INDEX($C153:$AJ163,9,MATCH(IF('Data-solution'!$A$3="Maximize",MAX($C164:$AI164),MIN($C164:$AI164)),$C164:$AI164,0)),E161-INDEX($C153:$AJ163,9,MATCH(IF('Data-solution'!$A$3="Maximize",MAX($C164:$AI164),MIN($C164:$AI164)),$C164:$AI164,0))*INDEX(E153:$AJ163,MATCH(MIN($AK153:$AK163),$AK153:$AK163,0),1)/INDEX($C153:$AJ163,MATCH(MIN($AK153:$AK163),$AK153:$AK163,0),MATCH(IF('Data-solution'!$A$3="Maximize",MAX($C164:$AI164),MIN($C164:$AI164)),$C164:$AI164,0))),E161)</f>
        <v>0</v>
      </c>
      <c r="F176" s="1">
        <f>IF(OR($B168&lt;&gt;$B153,$B169&lt;&gt;$B154,$B170&lt;&gt;$B155,$B171&lt;&gt;$B156,$B172&lt;&gt;$B157,$B173&lt;&gt;$B158,$B174&lt;&gt;$B159,$B175&lt;&gt;$B160,$B176&lt;&gt;$B161,$B177&lt;&gt;$B162,$B178&lt;&gt;$B163),IF($B176&lt;&gt;$B161,F161/INDEX($C153:$AJ163,9,MATCH(IF('Data-solution'!$A$3="Maximize",MAX($C164:$AI164),MIN($C164:$AI164)),$C164:$AI164,0)),F161-INDEX($C153:$AJ163,9,MATCH(IF('Data-solution'!$A$3="Maximize",MAX($C164:$AI164),MIN($C164:$AI164)),$C164:$AI164,0))*INDEX(F153:$AJ163,MATCH(MIN($AK153:$AK163),$AK153:$AK163,0),1)/INDEX($C153:$AJ163,MATCH(MIN($AK153:$AK163),$AK153:$AK163,0),MATCH(IF('Data-solution'!$A$3="Maximize",MAX($C164:$AI164),MIN($C164:$AI164)),$C164:$AI164,0))),F161)</f>
        <v>0</v>
      </c>
      <c r="G176" s="1">
        <f>IF(OR($B168&lt;&gt;$B153,$B169&lt;&gt;$B154,$B170&lt;&gt;$B155,$B171&lt;&gt;$B156,$B172&lt;&gt;$B157,$B173&lt;&gt;$B158,$B174&lt;&gt;$B159,$B175&lt;&gt;$B160,$B176&lt;&gt;$B161,$B177&lt;&gt;$B162,$B178&lt;&gt;$B163),IF($B176&lt;&gt;$B161,G161/INDEX($C153:$AJ163,9,MATCH(IF('Data-solution'!$A$3="Maximize",MAX($C164:$AI164),MIN($C164:$AI164)),$C164:$AI164,0)),G161-INDEX($C153:$AJ163,9,MATCH(IF('Data-solution'!$A$3="Maximize",MAX($C164:$AI164),MIN($C164:$AI164)),$C164:$AI164,0))*INDEX(G153:$AJ163,MATCH(MIN($AK153:$AK163),$AK153:$AK163,0),1)/INDEX($C153:$AJ163,MATCH(MIN($AK153:$AK163),$AK153:$AK163,0),MATCH(IF('Data-solution'!$A$3="Maximize",MAX($C164:$AI164),MIN($C164:$AI164)),$C164:$AI164,0))),G161)</f>
        <v>0</v>
      </c>
      <c r="H176" s="1">
        <f>IF(OR($B168&lt;&gt;$B153,$B169&lt;&gt;$B154,$B170&lt;&gt;$B155,$B171&lt;&gt;$B156,$B172&lt;&gt;$B157,$B173&lt;&gt;$B158,$B174&lt;&gt;$B159,$B175&lt;&gt;$B160,$B176&lt;&gt;$B161,$B177&lt;&gt;$B162,$B178&lt;&gt;$B163),IF($B176&lt;&gt;$B161,H161/INDEX($C153:$AJ163,9,MATCH(IF('Data-solution'!$A$3="Maximize",MAX($C164:$AI164),MIN($C164:$AI164)),$C164:$AI164,0)),H161-INDEX($C153:$AJ163,9,MATCH(IF('Data-solution'!$A$3="Maximize",MAX($C164:$AI164),MIN($C164:$AI164)),$C164:$AI164,0))*INDEX(H153:$AJ163,MATCH(MIN($AK153:$AK163),$AK153:$AK163,0),1)/INDEX($C153:$AJ163,MATCH(MIN($AK153:$AK163),$AK153:$AK163,0),MATCH(IF('Data-solution'!$A$3="Maximize",MAX($C164:$AI164),MIN($C164:$AI164)),$C164:$AI164,0))),H161)</f>
        <v>0</v>
      </c>
      <c r="I176" s="1">
        <f>IF(OR($B168&lt;&gt;$B153,$B169&lt;&gt;$B154,$B170&lt;&gt;$B155,$B171&lt;&gt;$B156,$B172&lt;&gt;$B157,$B173&lt;&gt;$B158,$B174&lt;&gt;$B159,$B175&lt;&gt;$B160,$B176&lt;&gt;$B161,$B177&lt;&gt;$B162,$B178&lt;&gt;$B163),IF($B176&lt;&gt;$B161,I161/INDEX($C153:$AJ163,9,MATCH(IF('Data-solution'!$A$3="Maximize",MAX($C164:$AI164),MIN($C164:$AI164)),$C164:$AI164,0)),I161-INDEX($C153:$AJ163,9,MATCH(IF('Data-solution'!$A$3="Maximize",MAX($C164:$AI164),MIN($C164:$AI164)),$C164:$AI164,0))*INDEX(I153:$AJ163,MATCH(MIN($AK153:$AK163),$AK153:$AK163,0),1)/INDEX($C153:$AJ163,MATCH(MIN($AK153:$AK163),$AK153:$AK163,0),MATCH(IF('Data-solution'!$A$3="Maximize",MAX($C164:$AI164),MIN($C164:$AI164)),$C164:$AI164,0))),I161)</f>
        <v>0</v>
      </c>
      <c r="J176" s="1">
        <f>IF(OR($B168&lt;&gt;$B153,$B169&lt;&gt;$B154,$B170&lt;&gt;$B155,$B171&lt;&gt;$B156,$B172&lt;&gt;$B157,$B173&lt;&gt;$B158,$B174&lt;&gt;$B159,$B175&lt;&gt;$B160,$B176&lt;&gt;$B161,$B177&lt;&gt;$B162,$B178&lt;&gt;$B163),IF($B176&lt;&gt;$B161,J161/INDEX($C153:$AJ163,9,MATCH(IF('Data-solution'!$A$3="Maximize",MAX($C164:$AI164),MIN($C164:$AI164)),$C164:$AI164,0)),J161-INDEX($C153:$AJ163,9,MATCH(IF('Data-solution'!$A$3="Maximize",MAX($C164:$AI164),MIN($C164:$AI164)),$C164:$AI164,0))*INDEX(J153:$AJ163,MATCH(MIN($AK153:$AK163),$AK153:$AK163,0),1)/INDEX($C153:$AJ163,MATCH(MIN($AK153:$AK163),$AK153:$AK163,0),MATCH(IF('Data-solution'!$A$3="Maximize",MAX($C164:$AI164),MIN($C164:$AI164)),$C164:$AI164,0))),J161)</f>
        <v>0</v>
      </c>
      <c r="K176" s="1">
        <f>IF(OR($B168&lt;&gt;$B153,$B169&lt;&gt;$B154,$B170&lt;&gt;$B155,$B171&lt;&gt;$B156,$B172&lt;&gt;$B157,$B173&lt;&gt;$B158,$B174&lt;&gt;$B159,$B175&lt;&gt;$B160,$B176&lt;&gt;$B161,$B177&lt;&gt;$B162,$B178&lt;&gt;$B163),IF($B176&lt;&gt;$B161,K161/INDEX($C153:$AJ163,9,MATCH(IF('Data-solution'!$A$3="Maximize",MAX($C164:$AI164),MIN($C164:$AI164)),$C164:$AI164,0)),K161-INDEX($C153:$AJ163,9,MATCH(IF('Data-solution'!$A$3="Maximize",MAX($C164:$AI164),MIN($C164:$AI164)),$C164:$AI164,0))*INDEX(K153:$AJ163,MATCH(MIN($AK153:$AK163),$AK153:$AK163,0),1)/INDEX($C153:$AJ163,MATCH(MIN($AK153:$AK163),$AK153:$AK163,0),MATCH(IF('Data-solution'!$A$3="Maximize",MAX($C164:$AI164),MIN($C164:$AI164)),$C164:$AI164,0))),K161)</f>
        <v>0</v>
      </c>
      <c r="L176" s="1">
        <f>IF(OR($B168&lt;&gt;$B153,$B169&lt;&gt;$B154,$B170&lt;&gt;$B155,$B171&lt;&gt;$B156,$B172&lt;&gt;$B157,$B173&lt;&gt;$B158,$B174&lt;&gt;$B159,$B175&lt;&gt;$B160,$B176&lt;&gt;$B161,$B177&lt;&gt;$B162,$B178&lt;&gt;$B163),IF($B176&lt;&gt;$B161,L161/INDEX($C153:$AJ163,9,MATCH(IF('Data-solution'!$A$3="Maximize",MAX($C164:$AI164),MIN($C164:$AI164)),$C164:$AI164,0)),L161-INDEX($C153:$AJ163,9,MATCH(IF('Data-solution'!$A$3="Maximize",MAX($C164:$AI164),MIN($C164:$AI164)),$C164:$AI164,0))*INDEX(L153:$AJ163,MATCH(MIN($AK153:$AK163),$AK153:$AK163,0),1)/INDEX($C153:$AJ163,MATCH(MIN($AK153:$AK163),$AK153:$AK163,0),MATCH(IF('Data-solution'!$A$3="Maximize",MAX($C164:$AI164),MIN($C164:$AI164)),$C164:$AI164,0))),L161)</f>
        <v>0</v>
      </c>
      <c r="M176" s="1">
        <f>IF(OR($B168&lt;&gt;$B153,$B169&lt;&gt;$B154,$B170&lt;&gt;$B155,$B171&lt;&gt;$B156,$B172&lt;&gt;$B157,$B173&lt;&gt;$B158,$B174&lt;&gt;$B159,$B175&lt;&gt;$B160,$B176&lt;&gt;$B161,$B177&lt;&gt;$B162,$B178&lt;&gt;$B163),IF($B176&lt;&gt;$B161,M161/INDEX($C153:$AJ163,9,MATCH(IF('Data-solution'!$A$3="Maximize",MAX($C164:$AI164),MIN($C164:$AI164)),$C164:$AI164,0)),M161-INDEX($C153:$AJ163,9,MATCH(IF('Data-solution'!$A$3="Maximize",MAX($C164:$AI164),MIN($C164:$AI164)),$C164:$AI164,0))*INDEX(M153:$AJ163,MATCH(MIN($AK153:$AK163),$AK153:$AK163,0),1)/INDEX($C153:$AJ163,MATCH(MIN($AK153:$AK163),$AK153:$AK163,0),MATCH(IF('Data-solution'!$A$3="Maximize",MAX($C164:$AI164),MIN($C164:$AI164)),$C164:$AI164,0))),M161)</f>
        <v>0</v>
      </c>
      <c r="N176" s="1">
        <f>IF(OR($B168&lt;&gt;$B153,$B169&lt;&gt;$B154,$B170&lt;&gt;$B155,$B171&lt;&gt;$B156,$B172&lt;&gt;$B157,$B173&lt;&gt;$B158,$B174&lt;&gt;$B159,$B175&lt;&gt;$B160,$B176&lt;&gt;$B161,$B177&lt;&gt;$B162,$B178&lt;&gt;$B163),IF($B176&lt;&gt;$B161,N161/INDEX($C153:$AJ163,9,MATCH(IF('Data-solution'!$A$3="Maximize",MAX($C164:$AI164),MIN($C164:$AI164)),$C164:$AI164,0)),N161-INDEX($C153:$AJ163,9,MATCH(IF('Data-solution'!$A$3="Maximize",MAX($C164:$AI164),MIN($C164:$AI164)),$C164:$AI164,0))*INDEX(N153:$AJ163,MATCH(MIN($AK153:$AK163),$AK153:$AK163,0),1)/INDEX($C153:$AJ163,MATCH(MIN($AK153:$AK163),$AK153:$AK163,0),MATCH(IF('Data-solution'!$A$3="Maximize",MAX($C164:$AI164),MIN($C164:$AI164)),$C164:$AI164,0))),N161)</f>
        <v>0</v>
      </c>
      <c r="O176" s="1">
        <f>IF(OR($B168&lt;&gt;$B153,$B169&lt;&gt;$B154,$B170&lt;&gt;$B155,$B171&lt;&gt;$B156,$B172&lt;&gt;$B157,$B173&lt;&gt;$B158,$B174&lt;&gt;$B159,$B175&lt;&gt;$B160,$B176&lt;&gt;$B161,$B177&lt;&gt;$B162,$B178&lt;&gt;$B163),IF($B176&lt;&gt;$B161,O161/INDEX($C153:$AJ163,9,MATCH(IF('Data-solution'!$A$3="Maximize",MAX($C164:$AI164),MIN($C164:$AI164)),$C164:$AI164,0)),O161-INDEX($C153:$AJ163,9,MATCH(IF('Data-solution'!$A$3="Maximize",MAX($C164:$AI164),MIN($C164:$AI164)),$C164:$AI164,0))*INDEX(O153:$AJ163,MATCH(MIN($AK153:$AK163),$AK153:$AK163,0),1)/INDEX($C153:$AJ163,MATCH(MIN($AK153:$AK163),$AK153:$AK163,0),MATCH(IF('Data-solution'!$A$3="Maximize",MAX($C164:$AI164),MIN($C164:$AI164)),$C164:$AI164,0))),O161)</f>
        <v>0</v>
      </c>
      <c r="P176" s="1">
        <f>IF(OR($B168&lt;&gt;$B153,$B169&lt;&gt;$B154,$B170&lt;&gt;$B155,$B171&lt;&gt;$B156,$B172&lt;&gt;$B157,$B173&lt;&gt;$B158,$B174&lt;&gt;$B159,$B175&lt;&gt;$B160,$B176&lt;&gt;$B161,$B177&lt;&gt;$B162,$B178&lt;&gt;$B163),IF($B176&lt;&gt;$B161,P161/INDEX($C153:$AJ163,9,MATCH(IF('Data-solution'!$A$3="Maximize",MAX($C164:$AI164),MIN($C164:$AI164)),$C164:$AI164,0)),P161-INDEX($C153:$AJ163,9,MATCH(IF('Data-solution'!$A$3="Maximize",MAX($C164:$AI164),MIN($C164:$AI164)),$C164:$AI164,0))*INDEX(P153:$AJ163,MATCH(MIN($AK153:$AK163),$AK153:$AK163,0),1)/INDEX($C153:$AJ163,MATCH(MIN($AK153:$AK163),$AK153:$AK163,0),MATCH(IF('Data-solution'!$A$3="Maximize",MAX($C164:$AI164),MIN($C164:$AI164)),$C164:$AI164,0))),P161)</f>
        <v>0</v>
      </c>
      <c r="Q176" s="1">
        <f>IF(OR($B168&lt;&gt;$B153,$B169&lt;&gt;$B154,$B170&lt;&gt;$B155,$B171&lt;&gt;$B156,$B172&lt;&gt;$B157,$B173&lt;&gt;$B158,$B174&lt;&gt;$B159,$B175&lt;&gt;$B160,$B176&lt;&gt;$B161,$B177&lt;&gt;$B162,$B178&lt;&gt;$B163),IF($B176&lt;&gt;$B161,Q161/INDEX($C153:$AJ163,9,MATCH(IF('Data-solution'!$A$3="Maximize",MAX($C164:$AI164),MIN($C164:$AI164)),$C164:$AI164,0)),Q161-INDEX($C153:$AJ163,9,MATCH(IF('Data-solution'!$A$3="Maximize",MAX($C164:$AI164),MIN($C164:$AI164)),$C164:$AI164,0))*INDEX(Q153:$AJ163,MATCH(MIN($AK153:$AK163),$AK153:$AK163,0),1)/INDEX($C153:$AJ163,MATCH(MIN($AK153:$AK163),$AK153:$AK163,0),MATCH(IF('Data-solution'!$A$3="Maximize",MAX($C164:$AI164),MIN($C164:$AI164)),$C164:$AI164,0))),Q161)</f>
        <v>0</v>
      </c>
      <c r="R176" s="1">
        <f>IF(OR($B168&lt;&gt;$B153,$B169&lt;&gt;$B154,$B170&lt;&gt;$B155,$B171&lt;&gt;$B156,$B172&lt;&gt;$B157,$B173&lt;&gt;$B158,$B174&lt;&gt;$B159,$B175&lt;&gt;$B160,$B176&lt;&gt;$B161,$B177&lt;&gt;$B162,$B178&lt;&gt;$B163),IF($B176&lt;&gt;$B161,R161/INDEX($C153:$AJ163,9,MATCH(IF('Data-solution'!$A$3="Maximize",MAX($C164:$AI164),MIN($C164:$AI164)),$C164:$AI164,0)),R161-INDEX($C153:$AJ163,9,MATCH(IF('Data-solution'!$A$3="Maximize",MAX($C164:$AI164),MIN($C164:$AI164)),$C164:$AI164,0))*INDEX(R153:$AJ163,MATCH(MIN($AK153:$AK163),$AK153:$AK163,0),1)/INDEX($C153:$AJ163,MATCH(MIN($AK153:$AK163),$AK153:$AK163,0),MATCH(IF('Data-solution'!$A$3="Maximize",MAX($C164:$AI164),MIN($C164:$AI164)),$C164:$AI164,0))),R161)</f>
        <v>0</v>
      </c>
      <c r="S176" s="1">
        <f>IF(OR($B168&lt;&gt;$B153,$B169&lt;&gt;$B154,$B170&lt;&gt;$B155,$B171&lt;&gt;$B156,$B172&lt;&gt;$B157,$B173&lt;&gt;$B158,$B174&lt;&gt;$B159,$B175&lt;&gt;$B160,$B176&lt;&gt;$B161,$B177&lt;&gt;$B162,$B178&lt;&gt;$B163),IF($B176&lt;&gt;$B161,S161/INDEX($C153:$AJ163,9,MATCH(IF('Data-solution'!$A$3="Maximize",MAX($C164:$AI164),MIN($C164:$AI164)),$C164:$AI164,0)),S161-INDEX($C153:$AJ163,9,MATCH(IF('Data-solution'!$A$3="Maximize",MAX($C164:$AI164),MIN($C164:$AI164)),$C164:$AI164,0))*INDEX(S153:$AJ163,MATCH(MIN($AK153:$AK163),$AK153:$AK163,0),1)/INDEX($C153:$AJ163,MATCH(MIN($AK153:$AK163),$AK153:$AK163,0),MATCH(IF('Data-solution'!$A$3="Maximize",MAX($C164:$AI164),MIN($C164:$AI164)),$C164:$AI164,0))),S161)</f>
        <v>0</v>
      </c>
      <c r="T176" s="1">
        <f>IF(OR($B168&lt;&gt;$B153,$B169&lt;&gt;$B154,$B170&lt;&gt;$B155,$B171&lt;&gt;$B156,$B172&lt;&gt;$B157,$B173&lt;&gt;$B158,$B174&lt;&gt;$B159,$B175&lt;&gt;$B160,$B176&lt;&gt;$B161,$B177&lt;&gt;$B162,$B178&lt;&gt;$B163),IF($B176&lt;&gt;$B161,T161/INDEX($C153:$AJ163,9,MATCH(IF('Data-solution'!$A$3="Maximize",MAX($C164:$AI164),MIN($C164:$AI164)),$C164:$AI164,0)),T161-INDEX($C153:$AJ163,9,MATCH(IF('Data-solution'!$A$3="Maximize",MAX($C164:$AI164),MIN($C164:$AI164)),$C164:$AI164,0))*INDEX(T153:$AJ163,MATCH(MIN($AK153:$AK163),$AK153:$AK163,0),1)/INDEX($C153:$AJ163,MATCH(MIN($AK153:$AK163),$AK153:$AK163,0),MATCH(IF('Data-solution'!$A$3="Maximize",MAX($C164:$AI164),MIN($C164:$AI164)),$C164:$AI164,0))),T161)</f>
        <v>0</v>
      </c>
      <c r="U176" s="1">
        <f>IF(OR($B168&lt;&gt;$B153,$B169&lt;&gt;$B154,$B170&lt;&gt;$B155,$B171&lt;&gt;$B156,$B172&lt;&gt;$B157,$B173&lt;&gt;$B158,$B174&lt;&gt;$B159,$B175&lt;&gt;$B160,$B176&lt;&gt;$B161,$B177&lt;&gt;$B162,$B178&lt;&gt;$B163),IF($B176&lt;&gt;$B161,U161/INDEX($C153:$AJ163,9,MATCH(IF('Data-solution'!$A$3="Maximize",MAX($C164:$AI164),MIN($C164:$AI164)),$C164:$AI164,0)),U161-INDEX($C153:$AJ163,9,MATCH(IF('Data-solution'!$A$3="Maximize",MAX($C164:$AI164),MIN($C164:$AI164)),$C164:$AI164,0))*INDEX(U153:$AJ163,MATCH(MIN($AK153:$AK163),$AK153:$AK163,0),1)/INDEX($C153:$AJ163,MATCH(MIN($AK153:$AK163),$AK153:$AK163,0),MATCH(IF('Data-solution'!$A$3="Maximize",MAX($C164:$AI164),MIN($C164:$AI164)),$C164:$AI164,0))),U161)</f>
        <v>0</v>
      </c>
      <c r="V176" s="1">
        <f>IF(OR($B168&lt;&gt;$B153,$B169&lt;&gt;$B154,$B170&lt;&gt;$B155,$B171&lt;&gt;$B156,$B172&lt;&gt;$B157,$B173&lt;&gt;$B158,$B174&lt;&gt;$B159,$B175&lt;&gt;$B160,$B176&lt;&gt;$B161,$B177&lt;&gt;$B162,$B178&lt;&gt;$B163),IF($B176&lt;&gt;$B161,V161/INDEX($C153:$AJ163,9,MATCH(IF('Data-solution'!$A$3="Maximize",MAX($C164:$AI164),MIN($C164:$AI164)),$C164:$AI164,0)),V161-INDEX($C153:$AJ163,9,MATCH(IF('Data-solution'!$A$3="Maximize",MAX($C164:$AI164),MIN($C164:$AI164)),$C164:$AI164,0))*INDEX(V153:$AJ163,MATCH(MIN($AK153:$AK163),$AK153:$AK163,0),1)/INDEX($C153:$AJ163,MATCH(MIN($AK153:$AK163),$AK153:$AK163,0),MATCH(IF('Data-solution'!$A$3="Maximize",MAX($C164:$AI164),MIN($C164:$AI164)),$C164:$AI164,0))),V161)</f>
        <v>1</v>
      </c>
      <c r="W176" s="1">
        <f>IF(OR($B168&lt;&gt;$B153,$B169&lt;&gt;$B154,$B170&lt;&gt;$B155,$B171&lt;&gt;$B156,$B172&lt;&gt;$B157,$B173&lt;&gt;$B158,$B174&lt;&gt;$B159,$B175&lt;&gt;$B160,$B176&lt;&gt;$B161,$B177&lt;&gt;$B162,$B178&lt;&gt;$B163),IF($B176&lt;&gt;$B161,W161/INDEX($C153:$AJ163,9,MATCH(IF('Data-solution'!$A$3="Maximize",MAX($C164:$AI164),MIN($C164:$AI164)),$C164:$AI164,0)),W161-INDEX($C153:$AJ163,9,MATCH(IF('Data-solution'!$A$3="Maximize",MAX($C164:$AI164),MIN($C164:$AI164)),$C164:$AI164,0))*INDEX(W153:$AJ163,MATCH(MIN($AK153:$AK163),$AK153:$AK163,0),1)/INDEX($C153:$AJ163,MATCH(MIN($AK153:$AK163),$AK153:$AK163,0),MATCH(IF('Data-solution'!$A$3="Maximize",MAX($C164:$AI164),MIN($C164:$AI164)),$C164:$AI164,0))),W161)</f>
        <v>0</v>
      </c>
      <c r="X176" s="1">
        <f>IF(OR($B168&lt;&gt;$B153,$B169&lt;&gt;$B154,$B170&lt;&gt;$B155,$B171&lt;&gt;$B156,$B172&lt;&gt;$B157,$B173&lt;&gt;$B158,$B174&lt;&gt;$B159,$B175&lt;&gt;$B160,$B176&lt;&gt;$B161,$B177&lt;&gt;$B162,$B178&lt;&gt;$B163),IF($B176&lt;&gt;$B161,X161/INDEX($C153:$AJ163,9,MATCH(IF('Data-solution'!$A$3="Maximize",MAX($C164:$AI164),MIN($C164:$AI164)),$C164:$AI164,0)),X161-INDEX($C153:$AJ163,9,MATCH(IF('Data-solution'!$A$3="Maximize",MAX($C164:$AI164),MIN($C164:$AI164)),$C164:$AI164,0))*INDEX(X153:$AJ163,MATCH(MIN($AK153:$AK163),$AK153:$AK163,0),1)/INDEX($C153:$AJ163,MATCH(MIN($AK153:$AK163),$AK153:$AK163,0),MATCH(IF('Data-solution'!$A$3="Maximize",MAX($C164:$AI164),MIN($C164:$AI164)),$C164:$AI164,0))),X161)</f>
        <v>0</v>
      </c>
      <c r="Y176" s="1">
        <f>IF(OR($B168&lt;&gt;$B153,$B169&lt;&gt;$B154,$B170&lt;&gt;$B155,$B171&lt;&gt;$B156,$B172&lt;&gt;$B157,$B173&lt;&gt;$B158,$B174&lt;&gt;$B159,$B175&lt;&gt;$B160,$B176&lt;&gt;$B161,$B177&lt;&gt;$B162,$B178&lt;&gt;$B163),IF($B176&lt;&gt;$B161,Y161/INDEX($C153:$AJ163,9,MATCH(IF('Data-solution'!$A$3="Maximize",MAX($C164:$AI164),MIN($C164:$AI164)),$C164:$AI164,0)),Y161-INDEX($C153:$AJ163,9,MATCH(IF('Data-solution'!$A$3="Maximize",MAX($C164:$AI164),MIN($C164:$AI164)),$C164:$AI164,0))*INDEX(Y153:$AJ163,MATCH(MIN($AK153:$AK163),$AK153:$AK163,0),1)/INDEX($C153:$AJ163,MATCH(MIN($AK153:$AK163),$AK153:$AK163,0),MATCH(IF('Data-solution'!$A$3="Maximize",MAX($C164:$AI164),MIN($C164:$AI164)),$C164:$AI164,0))),Y161)</f>
        <v>0</v>
      </c>
      <c r="Z176" s="1">
        <f>IF(OR($B168&lt;&gt;$B153,$B169&lt;&gt;$B154,$B170&lt;&gt;$B155,$B171&lt;&gt;$B156,$B172&lt;&gt;$B157,$B173&lt;&gt;$B158,$B174&lt;&gt;$B159,$B175&lt;&gt;$B160,$B176&lt;&gt;$B161,$B177&lt;&gt;$B162,$B178&lt;&gt;$B163),IF($B176&lt;&gt;$B161,Z161/INDEX($C153:$AJ163,9,MATCH(IF('Data-solution'!$A$3="Maximize",MAX($C164:$AI164),MIN($C164:$AI164)),$C164:$AI164,0)),Z161-INDEX($C153:$AJ163,9,MATCH(IF('Data-solution'!$A$3="Maximize",MAX($C164:$AI164),MIN($C164:$AI164)),$C164:$AI164,0))*INDEX(Z153:$AJ163,MATCH(MIN($AK153:$AK163),$AK153:$AK163,0),1)/INDEX($C153:$AJ163,MATCH(MIN($AK153:$AK163),$AK153:$AK163,0),MATCH(IF('Data-solution'!$A$3="Maximize",MAX($C164:$AI164),MIN($C164:$AI164)),$C164:$AI164,0))),Z161)</f>
        <v>0</v>
      </c>
      <c r="AA176" s="1">
        <f>IF(OR($B168&lt;&gt;$B153,$B169&lt;&gt;$B154,$B170&lt;&gt;$B155,$B171&lt;&gt;$B156,$B172&lt;&gt;$B157,$B173&lt;&gt;$B158,$B174&lt;&gt;$B159,$B175&lt;&gt;$B160,$B176&lt;&gt;$B161,$B177&lt;&gt;$B162,$B178&lt;&gt;$B163),IF($B176&lt;&gt;$B161,AA161/INDEX($C153:$AJ163,9,MATCH(IF('Data-solution'!$A$3="Maximize",MAX($C164:$AI164),MIN($C164:$AI164)),$C164:$AI164,0)),AA161-INDEX($C153:$AJ163,9,MATCH(IF('Data-solution'!$A$3="Maximize",MAX($C164:$AI164),MIN($C164:$AI164)),$C164:$AI164,0))*INDEX(AA153:$AJ163,MATCH(MIN($AK153:$AK163),$AK153:$AK163,0),1)/INDEX($C153:$AJ163,MATCH(MIN($AK153:$AK163),$AK153:$AK163,0),MATCH(IF('Data-solution'!$A$3="Maximize",MAX($C164:$AI164),MIN($C164:$AI164)),$C164:$AI164,0))),AA161)</f>
        <v>0</v>
      </c>
      <c r="AB176" s="1">
        <f>IF(OR($B168&lt;&gt;$B153,$B169&lt;&gt;$B154,$B170&lt;&gt;$B155,$B171&lt;&gt;$B156,$B172&lt;&gt;$B157,$B173&lt;&gt;$B158,$B174&lt;&gt;$B159,$B175&lt;&gt;$B160,$B176&lt;&gt;$B161,$B177&lt;&gt;$B162,$B178&lt;&gt;$B163),IF($B176&lt;&gt;$B161,AB161/INDEX($C153:$AJ163,9,MATCH(IF('Data-solution'!$A$3="Maximize",MAX($C164:$AI164),MIN($C164:$AI164)),$C164:$AI164,0)),AB161-INDEX($C153:$AJ163,9,MATCH(IF('Data-solution'!$A$3="Maximize",MAX($C164:$AI164),MIN($C164:$AI164)),$C164:$AI164,0))*INDEX(AB153:$AJ163,MATCH(MIN($AK153:$AK163),$AK153:$AK163,0),1)/INDEX($C153:$AJ163,MATCH(MIN($AK153:$AK163),$AK153:$AK163,0),MATCH(IF('Data-solution'!$A$3="Maximize",MAX($C164:$AI164),MIN($C164:$AI164)),$C164:$AI164,0))),AB161)</f>
        <v>0</v>
      </c>
      <c r="AC176" s="1">
        <f>IF(OR($B168&lt;&gt;$B153,$B169&lt;&gt;$B154,$B170&lt;&gt;$B155,$B171&lt;&gt;$B156,$B172&lt;&gt;$B157,$B173&lt;&gt;$B158,$B174&lt;&gt;$B159,$B175&lt;&gt;$B160,$B176&lt;&gt;$B161,$B177&lt;&gt;$B162,$B178&lt;&gt;$B163),IF($B176&lt;&gt;$B161,AC161/INDEX($C153:$AJ163,9,MATCH(IF('Data-solution'!$A$3="Maximize",MAX($C164:$AI164),MIN($C164:$AI164)),$C164:$AI164,0)),AC161-INDEX($C153:$AJ163,9,MATCH(IF('Data-solution'!$A$3="Maximize",MAX($C164:$AI164),MIN($C164:$AI164)),$C164:$AI164,0))*INDEX(AC153:$AJ163,MATCH(MIN($AK153:$AK163),$AK153:$AK163,0),1)/INDEX($C153:$AJ163,MATCH(MIN($AK153:$AK163),$AK153:$AK163,0),MATCH(IF('Data-solution'!$A$3="Maximize",MAX($C164:$AI164),MIN($C164:$AI164)),$C164:$AI164,0))),AC161)</f>
        <v>0</v>
      </c>
      <c r="AD176" s="1">
        <f>IF(OR($B168&lt;&gt;$B153,$B169&lt;&gt;$B154,$B170&lt;&gt;$B155,$B171&lt;&gt;$B156,$B172&lt;&gt;$B157,$B173&lt;&gt;$B158,$B174&lt;&gt;$B159,$B175&lt;&gt;$B160,$B176&lt;&gt;$B161,$B177&lt;&gt;$B162,$B178&lt;&gt;$B163),IF($B176&lt;&gt;$B161,AD161/INDEX($C153:$AJ163,9,MATCH(IF('Data-solution'!$A$3="Maximize",MAX($C164:$AI164),MIN($C164:$AI164)),$C164:$AI164,0)),AD161-INDEX($C153:$AJ163,9,MATCH(IF('Data-solution'!$A$3="Maximize",MAX($C164:$AI164),MIN($C164:$AI164)),$C164:$AI164,0))*INDEX(AD153:$AJ163,MATCH(MIN($AK153:$AK163),$AK153:$AK163,0),1)/INDEX($C153:$AJ163,MATCH(MIN($AK153:$AK163),$AK153:$AK163,0),MATCH(IF('Data-solution'!$A$3="Maximize",MAX($C164:$AI164),MIN($C164:$AI164)),$C164:$AI164,0))),AD161)</f>
        <v>0</v>
      </c>
      <c r="AE176" s="1">
        <f>IF(OR($B168&lt;&gt;$B153,$B169&lt;&gt;$B154,$B170&lt;&gt;$B155,$B171&lt;&gt;$B156,$B172&lt;&gt;$B157,$B173&lt;&gt;$B158,$B174&lt;&gt;$B159,$B175&lt;&gt;$B160,$B176&lt;&gt;$B161,$B177&lt;&gt;$B162,$B178&lt;&gt;$B163),IF($B176&lt;&gt;$B161,AE161/INDEX($C153:$AJ163,9,MATCH(IF('Data-solution'!$A$3="Maximize",MAX($C164:$AI164),MIN($C164:$AI164)),$C164:$AI164,0)),AE161-INDEX($C153:$AJ163,9,MATCH(IF('Data-solution'!$A$3="Maximize",MAX($C164:$AI164),MIN($C164:$AI164)),$C164:$AI164,0))*INDEX(AE153:$AJ163,MATCH(MIN($AK153:$AK163),$AK153:$AK163,0),1)/INDEX($C153:$AJ163,MATCH(MIN($AK153:$AK163),$AK153:$AK163,0),MATCH(IF('Data-solution'!$A$3="Maximize",MAX($C164:$AI164),MIN($C164:$AI164)),$C164:$AI164,0))),AE161)</f>
        <v>0</v>
      </c>
      <c r="AF176" s="1">
        <f>IF(OR($B168&lt;&gt;$B153,$B169&lt;&gt;$B154,$B170&lt;&gt;$B155,$B171&lt;&gt;$B156,$B172&lt;&gt;$B157,$B173&lt;&gt;$B158,$B174&lt;&gt;$B159,$B175&lt;&gt;$B160,$B176&lt;&gt;$B161,$B177&lt;&gt;$B162,$B178&lt;&gt;$B163),IF($B176&lt;&gt;$B161,AF161/INDEX($C153:$AJ163,9,MATCH(IF('Data-solution'!$A$3="Maximize",MAX($C164:$AI164),MIN($C164:$AI164)),$C164:$AI164,0)),AF161-INDEX($C153:$AJ163,9,MATCH(IF('Data-solution'!$A$3="Maximize",MAX($C164:$AI164),MIN($C164:$AI164)),$C164:$AI164,0))*INDEX(AF153:$AJ163,MATCH(MIN($AK153:$AK163),$AK153:$AK163,0),1)/INDEX($C153:$AJ163,MATCH(MIN($AK153:$AK163),$AK153:$AK163,0),MATCH(IF('Data-solution'!$A$3="Maximize",MAX($C164:$AI164),MIN($C164:$AI164)),$C164:$AI164,0))),AF161)</f>
        <v>0</v>
      </c>
      <c r="AG176" s="1">
        <f>IF(OR($B168&lt;&gt;$B153,$B169&lt;&gt;$B154,$B170&lt;&gt;$B155,$B171&lt;&gt;$B156,$B172&lt;&gt;$B157,$B173&lt;&gt;$B158,$B174&lt;&gt;$B159,$B175&lt;&gt;$B160,$B176&lt;&gt;$B161,$B177&lt;&gt;$B162,$B178&lt;&gt;$B163),IF($B176&lt;&gt;$B161,AG161/INDEX($C153:$AJ163,9,MATCH(IF('Data-solution'!$A$3="Maximize",MAX($C164:$AI164),MIN($C164:$AI164)),$C164:$AI164,0)),AG161-INDEX($C153:$AJ163,9,MATCH(IF('Data-solution'!$A$3="Maximize",MAX($C164:$AI164),MIN($C164:$AI164)),$C164:$AI164,0))*INDEX(AG153:$AJ163,MATCH(MIN($AK153:$AK163),$AK153:$AK163,0),1)/INDEX($C153:$AJ163,MATCH(MIN($AK153:$AK163),$AK153:$AK163,0),MATCH(IF('Data-solution'!$A$3="Maximize",MAX($C164:$AI164),MIN($C164:$AI164)),$C164:$AI164,0))),AG161)</f>
        <v>1</v>
      </c>
      <c r="AH176" s="1">
        <f>IF(OR($B168&lt;&gt;$B153,$B169&lt;&gt;$B154,$B170&lt;&gt;$B155,$B171&lt;&gt;$B156,$B172&lt;&gt;$B157,$B173&lt;&gt;$B158,$B174&lt;&gt;$B159,$B175&lt;&gt;$B160,$B176&lt;&gt;$B161,$B177&lt;&gt;$B162,$B178&lt;&gt;$B163),IF($B176&lt;&gt;$B161,AH161/INDEX($C153:$AJ163,9,MATCH(IF('Data-solution'!$A$3="Maximize",MAX($C164:$AI164),MIN($C164:$AI164)),$C164:$AI164,0)),AH161-INDEX($C153:$AJ163,9,MATCH(IF('Data-solution'!$A$3="Maximize",MAX($C164:$AI164),MIN($C164:$AI164)),$C164:$AI164,0))*INDEX(AH153:$AJ163,MATCH(MIN($AK153:$AK163),$AK153:$AK163,0),1)/INDEX($C153:$AJ163,MATCH(MIN($AK153:$AK163),$AK153:$AK163,0),MATCH(IF('Data-solution'!$A$3="Maximize",MAX($C164:$AI164),MIN($C164:$AI164)),$C164:$AI164,0))),AH161)</f>
        <v>0</v>
      </c>
      <c r="AI176" s="1">
        <f>IF(OR($B168&lt;&gt;$B153,$B169&lt;&gt;$B154,$B170&lt;&gt;$B155,$B171&lt;&gt;$B156,$B172&lt;&gt;$B157,$B173&lt;&gt;$B158,$B174&lt;&gt;$B159,$B175&lt;&gt;$B160,$B176&lt;&gt;$B161,$B177&lt;&gt;$B162,$B178&lt;&gt;$B163),IF($B176&lt;&gt;$B161,AI161/INDEX($C153:$AJ163,9,MATCH(IF('Data-solution'!$A$3="Maximize",MAX($C164:$AI164),MIN($C164:$AI164)),$C164:$AI164,0)),AI161-INDEX($C153:$AJ163,9,MATCH(IF('Data-solution'!$A$3="Maximize",MAX($C164:$AI164),MIN($C164:$AI164)),$C164:$AI164,0))*INDEX(AI153:$AJ163,MATCH(MIN($AK153:$AK163),$AK153:$AK163,0),1)/INDEX($C153:$AJ163,MATCH(MIN($AK153:$AK163),$AK153:$AK163,0),MATCH(IF('Data-solution'!$A$3="Maximize",MAX($C164:$AI164),MIN($C164:$AI164)),$C164:$AI164,0))),AI161)</f>
        <v>0</v>
      </c>
      <c r="AJ176" s="1">
        <f>IF(OR($B168&lt;&gt;$B153,$B169&lt;&gt;$B154,$B170&lt;&gt;$B155,$B171&lt;&gt;$B156,$B172&lt;&gt;$B157,$B173&lt;&gt;$B158,$B174&lt;&gt;$B159,$B175&lt;&gt;$B160,$B176&lt;&gt;$B161,$B177&lt;&gt;$B162,$B178&lt;&gt;$B163),IF($B176&lt;&gt;$B161,AJ161/INDEX($C153:$AJ163,9,MATCH(IF('Data-solution'!$A$3="Maximize",MAX($C164:$AI164),MIN($C164:$AI164)),$C164:$AI164,0)),AJ161-INDEX($C153:$AJ163,9,MATCH(IF('Data-solution'!$A$3="Maximize",MAX($C164:$AI164),MIN($C164:$AI164)),$C164:$AI164,0))*INDEX(AJ153:$AJ163,MATCH(MIN($AK153:$AK163),$AK153:$AK163,0),1)/INDEX($C153:$AJ163,MATCH(MIN($AK153:$AK163),$AK153:$AK163,0),MATCH(IF('Data-solution'!$A$3="Maximize",MAX($C164:$AI164),MIN($C164:$AI164)),$C164:$AI164,0))),AJ161)</f>
        <v>0</v>
      </c>
      <c r="AK176" s="1" t="str">
        <f>IF(INDEX(C176:X176,1,MATCH(IF('Data-solution'!A$3="Maximize",MAX(C179:X179),MIN(C179:X179)),C179:X179,0))&gt;0,AJ176/INDEX(C176:X176,1,MATCH(IF('Data-solution'!A$3="Maximize",MAX(C179:X179),MIN(C179:X179)),C179:X179,0))," ")</f>
        <v xml:space="preserve"> </v>
      </c>
    </row>
    <row r="177" spans="1:37" ht="18" customHeight="1" x14ac:dyDescent="0.2">
      <c r="A177" s="1">
        <f t="shared" ref="A177" si="147">INDEX(C166:AI166,1,MATCH(B177,C167:AI167,0))</f>
        <v>0</v>
      </c>
      <c r="B177" s="2" t="str">
        <f>IF(AND('Data-solution'!A$3="Maximize",COUNTIF(C164:X164,"&gt;"&amp;0)&gt;0,AK162=MIN(AK153:AK163),COUNTIF(B168:B176,INDEX(C152:X152,1,MATCH(MAX(C164:X164),C164:X164,0)))=0),INDEX(C152:X152,1,MATCH(MAX(C164:X164),C164:X164,0)),IF(AND('Data-solution'!A$3="Minimize",COUNTIF(C164:X164,"&lt;"&amp;0)&gt;0,AK162=MIN(AK153:AK163),COUNTIF(B168:B176,INDEX(C152:X152,1,MATCH(MIN(C164:X164),C164:X164,0)))=0),INDEX(C152:X152,1,MATCH(MIN(C164:X164),C164:X164,0)),B162))</f>
        <v>S10</v>
      </c>
      <c r="C177" s="1">
        <f>IF(OR($B168&lt;&gt;$B153,$B169&lt;&gt;$B154,$B170&lt;&gt;$B155,$B171&lt;&gt;$B156,$B172&lt;&gt;$B157,$B173&lt;&gt;$B158,$B174&lt;&gt;$B159,$B175&lt;&gt;$B160,$B176&lt;&gt;$B161,$B177&lt;&gt;$B162,$B178&lt;&gt;$B163),IF($B177&lt;&gt;$B162,C162/INDEX($C153:$AJ163,10,MATCH(IF('Data-solution'!$A$3="Maximize",MAX($C164:$AI164),MIN($C164:$AI164)),$C164:$AI164,0)),C162-INDEX($C153:$AJ163,10,MATCH(IF('Data-solution'!$A$3="Maximize",MAX($C164:$AI164),MIN($C164:$AI164)),$C164:$AI164,0))*INDEX(C153:$AJ163,MATCH(MIN($AK153:$AK163),$AK153:$AK163,0),1)/INDEX($C153:$AJ163,MATCH(MIN($AK153:$AK163),$AK153:$AK163,0),MATCH(IF('Data-solution'!$A$3="Maximize",MAX($C164:$AI164),MIN($C164:$AI164)),$C164:$AI164,0))),C162)</f>
        <v>0</v>
      </c>
      <c r="D177" s="1">
        <f>IF(OR($B168&lt;&gt;$B153,$B169&lt;&gt;$B154,$B170&lt;&gt;$B155,$B171&lt;&gt;$B156,$B172&lt;&gt;$B157,$B173&lt;&gt;$B158,$B174&lt;&gt;$B159,$B175&lt;&gt;$B160,$B176&lt;&gt;$B161,$B177&lt;&gt;$B162,$B178&lt;&gt;$B163),IF($B177&lt;&gt;$B162,D162/INDEX($C153:$AJ163,10,MATCH(IF('Data-solution'!$A$3="Maximize",MAX($C164:$AI164),MIN($C164:$AI164)),$C164:$AI164,0)),D162-INDEX($C153:$AJ163,10,MATCH(IF('Data-solution'!$A$3="Maximize",MAX($C164:$AI164),MIN($C164:$AI164)),$C164:$AI164,0))*INDEX(D153:$AJ163,MATCH(MIN($AK153:$AK163),$AK153:$AK163,0),1)/INDEX($C153:$AJ163,MATCH(MIN($AK153:$AK163),$AK153:$AK163,0),MATCH(IF('Data-solution'!$A$3="Maximize",MAX($C164:$AI164),MIN($C164:$AI164)),$C164:$AI164,0))),D162)</f>
        <v>0</v>
      </c>
      <c r="E177" s="1">
        <f>IF(OR($B168&lt;&gt;$B153,$B169&lt;&gt;$B154,$B170&lt;&gt;$B155,$B171&lt;&gt;$B156,$B172&lt;&gt;$B157,$B173&lt;&gt;$B158,$B174&lt;&gt;$B159,$B175&lt;&gt;$B160,$B176&lt;&gt;$B161,$B177&lt;&gt;$B162,$B178&lt;&gt;$B163),IF($B177&lt;&gt;$B162,E162/INDEX($C153:$AJ163,10,MATCH(IF('Data-solution'!$A$3="Maximize",MAX($C164:$AI164),MIN($C164:$AI164)),$C164:$AI164,0)),E162-INDEX($C153:$AJ163,10,MATCH(IF('Data-solution'!$A$3="Maximize",MAX($C164:$AI164),MIN($C164:$AI164)),$C164:$AI164,0))*INDEX(E153:$AJ163,MATCH(MIN($AK153:$AK163),$AK153:$AK163,0),1)/INDEX($C153:$AJ163,MATCH(MIN($AK153:$AK163),$AK153:$AK163,0),MATCH(IF('Data-solution'!$A$3="Maximize",MAX($C164:$AI164),MIN($C164:$AI164)),$C164:$AI164,0))),E162)</f>
        <v>0</v>
      </c>
      <c r="F177" s="1">
        <f>IF(OR($B168&lt;&gt;$B153,$B169&lt;&gt;$B154,$B170&lt;&gt;$B155,$B171&lt;&gt;$B156,$B172&lt;&gt;$B157,$B173&lt;&gt;$B158,$B174&lt;&gt;$B159,$B175&lt;&gt;$B160,$B176&lt;&gt;$B161,$B177&lt;&gt;$B162,$B178&lt;&gt;$B163),IF($B177&lt;&gt;$B162,F162/INDEX($C153:$AJ163,10,MATCH(IF('Data-solution'!$A$3="Maximize",MAX($C164:$AI164),MIN($C164:$AI164)),$C164:$AI164,0)),F162-INDEX($C153:$AJ163,10,MATCH(IF('Data-solution'!$A$3="Maximize",MAX($C164:$AI164),MIN($C164:$AI164)),$C164:$AI164,0))*INDEX(F153:$AJ163,MATCH(MIN($AK153:$AK163),$AK153:$AK163,0),1)/INDEX($C153:$AJ163,MATCH(MIN($AK153:$AK163),$AK153:$AK163,0),MATCH(IF('Data-solution'!$A$3="Maximize",MAX($C164:$AI164),MIN($C164:$AI164)),$C164:$AI164,0))),F162)</f>
        <v>0</v>
      </c>
      <c r="G177" s="1">
        <f>IF(OR($B168&lt;&gt;$B153,$B169&lt;&gt;$B154,$B170&lt;&gt;$B155,$B171&lt;&gt;$B156,$B172&lt;&gt;$B157,$B173&lt;&gt;$B158,$B174&lt;&gt;$B159,$B175&lt;&gt;$B160,$B176&lt;&gt;$B161,$B177&lt;&gt;$B162,$B178&lt;&gt;$B163),IF($B177&lt;&gt;$B162,G162/INDEX($C153:$AJ163,10,MATCH(IF('Data-solution'!$A$3="Maximize",MAX($C164:$AI164),MIN($C164:$AI164)),$C164:$AI164,0)),G162-INDEX($C153:$AJ163,10,MATCH(IF('Data-solution'!$A$3="Maximize",MAX($C164:$AI164),MIN($C164:$AI164)),$C164:$AI164,0))*INDEX(G153:$AJ163,MATCH(MIN($AK153:$AK163),$AK153:$AK163,0),1)/INDEX($C153:$AJ163,MATCH(MIN($AK153:$AK163),$AK153:$AK163,0),MATCH(IF('Data-solution'!$A$3="Maximize",MAX($C164:$AI164),MIN($C164:$AI164)),$C164:$AI164,0))),G162)</f>
        <v>0</v>
      </c>
      <c r="H177" s="1">
        <f>IF(OR($B168&lt;&gt;$B153,$B169&lt;&gt;$B154,$B170&lt;&gt;$B155,$B171&lt;&gt;$B156,$B172&lt;&gt;$B157,$B173&lt;&gt;$B158,$B174&lt;&gt;$B159,$B175&lt;&gt;$B160,$B176&lt;&gt;$B161,$B177&lt;&gt;$B162,$B178&lt;&gt;$B163),IF($B177&lt;&gt;$B162,H162/INDEX($C153:$AJ163,10,MATCH(IF('Data-solution'!$A$3="Maximize",MAX($C164:$AI164),MIN($C164:$AI164)),$C164:$AI164,0)),H162-INDEX($C153:$AJ163,10,MATCH(IF('Data-solution'!$A$3="Maximize",MAX($C164:$AI164),MIN($C164:$AI164)),$C164:$AI164,0))*INDEX(H153:$AJ163,MATCH(MIN($AK153:$AK163),$AK153:$AK163,0),1)/INDEX($C153:$AJ163,MATCH(MIN($AK153:$AK163),$AK153:$AK163,0),MATCH(IF('Data-solution'!$A$3="Maximize",MAX($C164:$AI164),MIN($C164:$AI164)),$C164:$AI164,0))),H162)</f>
        <v>0</v>
      </c>
      <c r="I177" s="1">
        <f>IF(OR($B168&lt;&gt;$B153,$B169&lt;&gt;$B154,$B170&lt;&gt;$B155,$B171&lt;&gt;$B156,$B172&lt;&gt;$B157,$B173&lt;&gt;$B158,$B174&lt;&gt;$B159,$B175&lt;&gt;$B160,$B176&lt;&gt;$B161,$B177&lt;&gt;$B162,$B178&lt;&gt;$B163),IF($B177&lt;&gt;$B162,I162/INDEX($C153:$AJ163,10,MATCH(IF('Data-solution'!$A$3="Maximize",MAX($C164:$AI164),MIN($C164:$AI164)),$C164:$AI164,0)),I162-INDEX($C153:$AJ163,10,MATCH(IF('Data-solution'!$A$3="Maximize",MAX($C164:$AI164),MIN($C164:$AI164)),$C164:$AI164,0))*INDEX(I153:$AJ163,MATCH(MIN($AK153:$AK163),$AK153:$AK163,0),1)/INDEX($C153:$AJ163,MATCH(MIN($AK153:$AK163),$AK153:$AK163,0),MATCH(IF('Data-solution'!$A$3="Maximize",MAX($C164:$AI164),MIN($C164:$AI164)),$C164:$AI164,0))),I162)</f>
        <v>0</v>
      </c>
      <c r="J177" s="1">
        <f>IF(OR($B168&lt;&gt;$B153,$B169&lt;&gt;$B154,$B170&lt;&gt;$B155,$B171&lt;&gt;$B156,$B172&lt;&gt;$B157,$B173&lt;&gt;$B158,$B174&lt;&gt;$B159,$B175&lt;&gt;$B160,$B176&lt;&gt;$B161,$B177&lt;&gt;$B162,$B178&lt;&gt;$B163),IF($B177&lt;&gt;$B162,J162/INDEX($C153:$AJ163,10,MATCH(IF('Data-solution'!$A$3="Maximize",MAX($C164:$AI164),MIN($C164:$AI164)),$C164:$AI164,0)),J162-INDEX($C153:$AJ163,10,MATCH(IF('Data-solution'!$A$3="Maximize",MAX($C164:$AI164),MIN($C164:$AI164)),$C164:$AI164,0))*INDEX(J153:$AJ163,MATCH(MIN($AK153:$AK163),$AK153:$AK163,0),1)/INDEX($C153:$AJ163,MATCH(MIN($AK153:$AK163),$AK153:$AK163,0),MATCH(IF('Data-solution'!$A$3="Maximize",MAX($C164:$AI164),MIN($C164:$AI164)),$C164:$AI164,0))),J162)</f>
        <v>0</v>
      </c>
      <c r="K177" s="1">
        <f>IF(OR($B168&lt;&gt;$B153,$B169&lt;&gt;$B154,$B170&lt;&gt;$B155,$B171&lt;&gt;$B156,$B172&lt;&gt;$B157,$B173&lt;&gt;$B158,$B174&lt;&gt;$B159,$B175&lt;&gt;$B160,$B176&lt;&gt;$B161,$B177&lt;&gt;$B162,$B178&lt;&gt;$B163),IF($B177&lt;&gt;$B162,K162/INDEX($C153:$AJ163,10,MATCH(IF('Data-solution'!$A$3="Maximize",MAX($C164:$AI164),MIN($C164:$AI164)),$C164:$AI164,0)),K162-INDEX($C153:$AJ163,10,MATCH(IF('Data-solution'!$A$3="Maximize",MAX($C164:$AI164),MIN($C164:$AI164)),$C164:$AI164,0))*INDEX(K153:$AJ163,MATCH(MIN($AK153:$AK163),$AK153:$AK163,0),1)/INDEX($C153:$AJ163,MATCH(MIN($AK153:$AK163),$AK153:$AK163,0),MATCH(IF('Data-solution'!$A$3="Maximize",MAX($C164:$AI164),MIN($C164:$AI164)),$C164:$AI164,0))),K162)</f>
        <v>0</v>
      </c>
      <c r="L177" s="1">
        <f>IF(OR($B168&lt;&gt;$B153,$B169&lt;&gt;$B154,$B170&lt;&gt;$B155,$B171&lt;&gt;$B156,$B172&lt;&gt;$B157,$B173&lt;&gt;$B158,$B174&lt;&gt;$B159,$B175&lt;&gt;$B160,$B176&lt;&gt;$B161,$B177&lt;&gt;$B162,$B178&lt;&gt;$B163),IF($B177&lt;&gt;$B162,L162/INDEX($C153:$AJ163,10,MATCH(IF('Data-solution'!$A$3="Maximize",MAX($C164:$AI164),MIN($C164:$AI164)),$C164:$AI164,0)),L162-INDEX($C153:$AJ163,10,MATCH(IF('Data-solution'!$A$3="Maximize",MAX($C164:$AI164),MIN($C164:$AI164)),$C164:$AI164,0))*INDEX(L153:$AJ163,MATCH(MIN($AK153:$AK163),$AK153:$AK163,0),1)/INDEX($C153:$AJ163,MATCH(MIN($AK153:$AK163),$AK153:$AK163,0),MATCH(IF('Data-solution'!$A$3="Maximize",MAX($C164:$AI164),MIN($C164:$AI164)),$C164:$AI164,0))),L162)</f>
        <v>0</v>
      </c>
      <c r="M177" s="1">
        <f>IF(OR($B168&lt;&gt;$B153,$B169&lt;&gt;$B154,$B170&lt;&gt;$B155,$B171&lt;&gt;$B156,$B172&lt;&gt;$B157,$B173&lt;&gt;$B158,$B174&lt;&gt;$B159,$B175&lt;&gt;$B160,$B176&lt;&gt;$B161,$B177&lt;&gt;$B162,$B178&lt;&gt;$B163),IF($B177&lt;&gt;$B162,M162/INDEX($C153:$AJ163,10,MATCH(IF('Data-solution'!$A$3="Maximize",MAX($C164:$AI164),MIN($C164:$AI164)),$C164:$AI164,0)),M162-INDEX($C153:$AJ163,10,MATCH(IF('Data-solution'!$A$3="Maximize",MAX($C164:$AI164),MIN($C164:$AI164)),$C164:$AI164,0))*INDEX(M153:$AJ163,MATCH(MIN($AK153:$AK163),$AK153:$AK163,0),1)/INDEX($C153:$AJ163,MATCH(MIN($AK153:$AK163),$AK153:$AK163,0),MATCH(IF('Data-solution'!$A$3="Maximize",MAX($C164:$AI164),MIN($C164:$AI164)),$C164:$AI164,0))),M162)</f>
        <v>0</v>
      </c>
      <c r="N177" s="1">
        <f>IF(OR($B168&lt;&gt;$B153,$B169&lt;&gt;$B154,$B170&lt;&gt;$B155,$B171&lt;&gt;$B156,$B172&lt;&gt;$B157,$B173&lt;&gt;$B158,$B174&lt;&gt;$B159,$B175&lt;&gt;$B160,$B176&lt;&gt;$B161,$B177&lt;&gt;$B162,$B178&lt;&gt;$B163),IF($B177&lt;&gt;$B162,N162/INDEX($C153:$AJ163,10,MATCH(IF('Data-solution'!$A$3="Maximize",MAX($C164:$AI164),MIN($C164:$AI164)),$C164:$AI164,0)),N162-INDEX($C153:$AJ163,10,MATCH(IF('Data-solution'!$A$3="Maximize",MAX($C164:$AI164),MIN($C164:$AI164)),$C164:$AI164,0))*INDEX(N153:$AJ163,MATCH(MIN($AK153:$AK163),$AK153:$AK163,0),1)/INDEX($C153:$AJ163,MATCH(MIN($AK153:$AK163),$AK153:$AK163,0),MATCH(IF('Data-solution'!$A$3="Maximize",MAX($C164:$AI164),MIN($C164:$AI164)),$C164:$AI164,0))),N162)</f>
        <v>0</v>
      </c>
      <c r="O177" s="1">
        <f>IF(OR($B168&lt;&gt;$B153,$B169&lt;&gt;$B154,$B170&lt;&gt;$B155,$B171&lt;&gt;$B156,$B172&lt;&gt;$B157,$B173&lt;&gt;$B158,$B174&lt;&gt;$B159,$B175&lt;&gt;$B160,$B176&lt;&gt;$B161,$B177&lt;&gt;$B162,$B178&lt;&gt;$B163),IF($B177&lt;&gt;$B162,O162/INDEX($C153:$AJ163,10,MATCH(IF('Data-solution'!$A$3="Maximize",MAX($C164:$AI164),MIN($C164:$AI164)),$C164:$AI164,0)),O162-INDEX($C153:$AJ163,10,MATCH(IF('Data-solution'!$A$3="Maximize",MAX($C164:$AI164),MIN($C164:$AI164)),$C164:$AI164,0))*INDEX(O153:$AJ163,MATCH(MIN($AK153:$AK163),$AK153:$AK163,0),1)/INDEX($C153:$AJ163,MATCH(MIN($AK153:$AK163),$AK153:$AK163,0),MATCH(IF('Data-solution'!$A$3="Maximize",MAX($C164:$AI164),MIN($C164:$AI164)),$C164:$AI164,0))),O162)</f>
        <v>0</v>
      </c>
      <c r="P177" s="1">
        <f>IF(OR($B168&lt;&gt;$B153,$B169&lt;&gt;$B154,$B170&lt;&gt;$B155,$B171&lt;&gt;$B156,$B172&lt;&gt;$B157,$B173&lt;&gt;$B158,$B174&lt;&gt;$B159,$B175&lt;&gt;$B160,$B176&lt;&gt;$B161,$B177&lt;&gt;$B162,$B178&lt;&gt;$B163),IF($B177&lt;&gt;$B162,P162/INDEX($C153:$AJ163,10,MATCH(IF('Data-solution'!$A$3="Maximize",MAX($C164:$AI164),MIN($C164:$AI164)),$C164:$AI164,0)),P162-INDEX($C153:$AJ163,10,MATCH(IF('Data-solution'!$A$3="Maximize",MAX($C164:$AI164),MIN($C164:$AI164)),$C164:$AI164,0))*INDEX(P153:$AJ163,MATCH(MIN($AK153:$AK163),$AK153:$AK163,0),1)/INDEX($C153:$AJ163,MATCH(MIN($AK153:$AK163),$AK153:$AK163,0),MATCH(IF('Data-solution'!$A$3="Maximize",MAX($C164:$AI164),MIN($C164:$AI164)),$C164:$AI164,0))),P162)</f>
        <v>0</v>
      </c>
      <c r="Q177" s="1">
        <f>IF(OR($B168&lt;&gt;$B153,$B169&lt;&gt;$B154,$B170&lt;&gt;$B155,$B171&lt;&gt;$B156,$B172&lt;&gt;$B157,$B173&lt;&gt;$B158,$B174&lt;&gt;$B159,$B175&lt;&gt;$B160,$B176&lt;&gt;$B161,$B177&lt;&gt;$B162,$B178&lt;&gt;$B163),IF($B177&lt;&gt;$B162,Q162/INDEX($C153:$AJ163,10,MATCH(IF('Data-solution'!$A$3="Maximize",MAX($C164:$AI164),MIN($C164:$AI164)),$C164:$AI164,0)),Q162-INDEX($C153:$AJ163,10,MATCH(IF('Data-solution'!$A$3="Maximize",MAX($C164:$AI164),MIN($C164:$AI164)),$C164:$AI164,0))*INDEX(Q153:$AJ163,MATCH(MIN($AK153:$AK163),$AK153:$AK163,0),1)/INDEX($C153:$AJ163,MATCH(MIN($AK153:$AK163),$AK153:$AK163,0),MATCH(IF('Data-solution'!$A$3="Maximize",MAX($C164:$AI164),MIN($C164:$AI164)),$C164:$AI164,0))),Q162)</f>
        <v>0</v>
      </c>
      <c r="R177" s="1">
        <f>IF(OR($B168&lt;&gt;$B153,$B169&lt;&gt;$B154,$B170&lt;&gt;$B155,$B171&lt;&gt;$B156,$B172&lt;&gt;$B157,$B173&lt;&gt;$B158,$B174&lt;&gt;$B159,$B175&lt;&gt;$B160,$B176&lt;&gt;$B161,$B177&lt;&gt;$B162,$B178&lt;&gt;$B163),IF($B177&lt;&gt;$B162,R162/INDEX($C153:$AJ163,10,MATCH(IF('Data-solution'!$A$3="Maximize",MAX($C164:$AI164),MIN($C164:$AI164)),$C164:$AI164,0)),R162-INDEX($C153:$AJ163,10,MATCH(IF('Data-solution'!$A$3="Maximize",MAX($C164:$AI164),MIN($C164:$AI164)),$C164:$AI164,0))*INDEX(R153:$AJ163,MATCH(MIN($AK153:$AK163),$AK153:$AK163,0),1)/INDEX($C153:$AJ163,MATCH(MIN($AK153:$AK163),$AK153:$AK163,0),MATCH(IF('Data-solution'!$A$3="Maximize",MAX($C164:$AI164),MIN($C164:$AI164)),$C164:$AI164,0))),R162)</f>
        <v>0</v>
      </c>
      <c r="S177" s="1">
        <f>IF(OR($B168&lt;&gt;$B153,$B169&lt;&gt;$B154,$B170&lt;&gt;$B155,$B171&lt;&gt;$B156,$B172&lt;&gt;$B157,$B173&lt;&gt;$B158,$B174&lt;&gt;$B159,$B175&lt;&gt;$B160,$B176&lt;&gt;$B161,$B177&lt;&gt;$B162,$B178&lt;&gt;$B163),IF($B177&lt;&gt;$B162,S162/INDEX($C153:$AJ163,10,MATCH(IF('Data-solution'!$A$3="Maximize",MAX($C164:$AI164),MIN($C164:$AI164)),$C164:$AI164,0)),S162-INDEX($C153:$AJ163,10,MATCH(IF('Data-solution'!$A$3="Maximize",MAX($C164:$AI164),MIN($C164:$AI164)),$C164:$AI164,0))*INDEX(S153:$AJ163,MATCH(MIN($AK153:$AK163),$AK153:$AK163,0),1)/INDEX($C153:$AJ163,MATCH(MIN($AK153:$AK163),$AK153:$AK163,0),MATCH(IF('Data-solution'!$A$3="Maximize",MAX($C164:$AI164),MIN($C164:$AI164)),$C164:$AI164,0))),S162)</f>
        <v>0</v>
      </c>
      <c r="T177" s="1">
        <f>IF(OR($B168&lt;&gt;$B153,$B169&lt;&gt;$B154,$B170&lt;&gt;$B155,$B171&lt;&gt;$B156,$B172&lt;&gt;$B157,$B173&lt;&gt;$B158,$B174&lt;&gt;$B159,$B175&lt;&gt;$B160,$B176&lt;&gt;$B161,$B177&lt;&gt;$B162,$B178&lt;&gt;$B163),IF($B177&lt;&gt;$B162,T162/INDEX($C153:$AJ163,10,MATCH(IF('Data-solution'!$A$3="Maximize",MAX($C164:$AI164),MIN($C164:$AI164)),$C164:$AI164,0)),T162-INDEX($C153:$AJ163,10,MATCH(IF('Data-solution'!$A$3="Maximize",MAX($C164:$AI164),MIN($C164:$AI164)),$C164:$AI164,0))*INDEX(T153:$AJ163,MATCH(MIN($AK153:$AK163),$AK153:$AK163,0),1)/INDEX($C153:$AJ163,MATCH(MIN($AK153:$AK163),$AK153:$AK163,0),MATCH(IF('Data-solution'!$A$3="Maximize",MAX($C164:$AI164),MIN($C164:$AI164)),$C164:$AI164,0))),T162)</f>
        <v>0</v>
      </c>
      <c r="U177" s="1">
        <f>IF(OR($B168&lt;&gt;$B153,$B169&lt;&gt;$B154,$B170&lt;&gt;$B155,$B171&lt;&gt;$B156,$B172&lt;&gt;$B157,$B173&lt;&gt;$B158,$B174&lt;&gt;$B159,$B175&lt;&gt;$B160,$B176&lt;&gt;$B161,$B177&lt;&gt;$B162,$B178&lt;&gt;$B163),IF($B177&lt;&gt;$B162,U162/INDEX($C153:$AJ163,10,MATCH(IF('Data-solution'!$A$3="Maximize",MAX($C164:$AI164),MIN($C164:$AI164)),$C164:$AI164,0)),U162-INDEX($C153:$AJ163,10,MATCH(IF('Data-solution'!$A$3="Maximize",MAX($C164:$AI164),MIN($C164:$AI164)),$C164:$AI164,0))*INDEX(U153:$AJ163,MATCH(MIN($AK153:$AK163),$AK153:$AK163,0),1)/INDEX($C153:$AJ163,MATCH(MIN($AK153:$AK163),$AK153:$AK163,0),MATCH(IF('Data-solution'!$A$3="Maximize",MAX($C164:$AI164),MIN($C164:$AI164)),$C164:$AI164,0))),U162)</f>
        <v>0</v>
      </c>
      <c r="V177" s="1">
        <f>IF(OR($B168&lt;&gt;$B153,$B169&lt;&gt;$B154,$B170&lt;&gt;$B155,$B171&lt;&gt;$B156,$B172&lt;&gt;$B157,$B173&lt;&gt;$B158,$B174&lt;&gt;$B159,$B175&lt;&gt;$B160,$B176&lt;&gt;$B161,$B177&lt;&gt;$B162,$B178&lt;&gt;$B163),IF($B177&lt;&gt;$B162,V162/INDEX($C153:$AJ163,10,MATCH(IF('Data-solution'!$A$3="Maximize",MAX($C164:$AI164),MIN($C164:$AI164)),$C164:$AI164,0)),V162-INDEX($C153:$AJ163,10,MATCH(IF('Data-solution'!$A$3="Maximize",MAX($C164:$AI164),MIN($C164:$AI164)),$C164:$AI164,0))*INDEX(V153:$AJ163,MATCH(MIN($AK153:$AK163),$AK153:$AK163,0),1)/INDEX($C153:$AJ163,MATCH(MIN($AK153:$AK163),$AK153:$AK163,0),MATCH(IF('Data-solution'!$A$3="Maximize",MAX($C164:$AI164),MIN($C164:$AI164)),$C164:$AI164,0))),V162)</f>
        <v>0</v>
      </c>
      <c r="W177" s="1">
        <f>IF(OR($B168&lt;&gt;$B153,$B169&lt;&gt;$B154,$B170&lt;&gt;$B155,$B171&lt;&gt;$B156,$B172&lt;&gt;$B157,$B173&lt;&gt;$B158,$B174&lt;&gt;$B159,$B175&lt;&gt;$B160,$B176&lt;&gt;$B161,$B177&lt;&gt;$B162,$B178&lt;&gt;$B163),IF($B177&lt;&gt;$B162,W162/INDEX($C153:$AJ163,10,MATCH(IF('Data-solution'!$A$3="Maximize",MAX($C164:$AI164),MIN($C164:$AI164)),$C164:$AI164,0)),W162-INDEX($C153:$AJ163,10,MATCH(IF('Data-solution'!$A$3="Maximize",MAX($C164:$AI164),MIN($C164:$AI164)),$C164:$AI164,0))*INDEX(W153:$AJ163,MATCH(MIN($AK153:$AK163),$AK153:$AK163,0),1)/INDEX($C153:$AJ163,MATCH(MIN($AK153:$AK163),$AK153:$AK163,0),MATCH(IF('Data-solution'!$A$3="Maximize",MAX($C164:$AI164),MIN($C164:$AI164)),$C164:$AI164,0))),W162)</f>
        <v>1</v>
      </c>
      <c r="X177" s="1">
        <f>IF(OR($B168&lt;&gt;$B153,$B169&lt;&gt;$B154,$B170&lt;&gt;$B155,$B171&lt;&gt;$B156,$B172&lt;&gt;$B157,$B173&lt;&gt;$B158,$B174&lt;&gt;$B159,$B175&lt;&gt;$B160,$B176&lt;&gt;$B161,$B177&lt;&gt;$B162,$B178&lt;&gt;$B163),IF($B177&lt;&gt;$B162,X162/INDEX($C153:$AJ163,10,MATCH(IF('Data-solution'!$A$3="Maximize",MAX($C164:$AI164),MIN($C164:$AI164)),$C164:$AI164,0)),X162-INDEX($C153:$AJ163,10,MATCH(IF('Data-solution'!$A$3="Maximize",MAX($C164:$AI164),MIN($C164:$AI164)),$C164:$AI164,0))*INDEX(X153:$AJ163,MATCH(MIN($AK153:$AK163),$AK153:$AK163,0),1)/INDEX($C153:$AJ163,MATCH(MIN($AK153:$AK163),$AK153:$AK163,0),MATCH(IF('Data-solution'!$A$3="Maximize",MAX($C164:$AI164),MIN($C164:$AI164)),$C164:$AI164,0))),X162)</f>
        <v>0</v>
      </c>
      <c r="Y177" s="1">
        <f>IF(OR($B168&lt;&gt;$B153,$B169&lt;&gt;$B154,$B170&lt;&gt;$B155,$B171&lt;&gt;$B156,$B172&lt;&gt;$B157,$B173&lt;&gt;$B158,$B174&lt;&gt;$B159,$B175&lt;&gt;$B160,$B176&lt;&gt;$B161,$B177&lt;&gt;$B162,$B178&lt;&gt;$B163),IF($B177&lt;&gt;$B162,Y162/INDEX($C153:$AJ163,10,MATCH(IF('Data-solution'!$A$3="Maximize",MAX($C164:$AI164),MIN($C164:$AI164)),$C164:$AI164,0)),Y162-INDEX($C153:$AJ163,10,MATCH(IF('Data-solution'!$A$3="Maximize",MAX($C164:$AI164),MIN($C164:$AI164)),$C164:$AI164,0))*INDEX(Y153:$AJ163,MATCH(MIN($AK153:$AK163),$AK153:$AK163,0),1)/INDEX($C153:$AJ163,MATCH(MIN($AK153:$AK163),$AK153:$AK163,0),MATCH(IF('Data-solution'!$A$3="Maximize",MAX($C164:$AI164),MIN($C164:$AI164)),$C164:$AI164,0))),Y162)</f>
        <v>0</v>
      </c>
      <c r="Z177" s="1">
        <f>IF(OR($B168&lt;&gt;$B153,$B169&lt;&gt;$B154,$B170&lt;&gt;$B155,$B171&lt;&gt;$B156,$B172&lt;&gt;$B157,$B173&lt;&gt;$B158,$B174&lt;&gt;$B159,$B175&lt;&gt;$B160,$B176&lt;&gt;$B161,$B177&lt;&gt;$B162,$B178&lt;&gt;$B163),IF($B177&lt;&gt;$B162,Z162/INDEX($C153:$AJ163,10,MATCH(IF('Data-solution'!$A$3="Maximize",MAX($C164:$AI164),MIN($C164:$AI164)),$C164:$AI164,0)),Z162-INDEX($C153:$AJ163,10,MATCH(IF('Data-solution'!$A$3="Maximize",MAX($C164:$AI164),MIN($C164:$AI164)),$C164:$AI164,0))*INDEX(Z153:$AJ163,MATCH(MIN($AK153:$AK163),$AK153:$AK163,0),1)/INDEX($C153:$AJ163,MATCH(MIN($AK153:$AK163),$AK153:$AK163,0),MATCH(IF('Data-solution'!$A$3="Maximize",MAX($C164:$AI164),MIN($C164:$AI164)),$C164:$AI164,0))),Z162)</f>
        <v>0</v>
      </c>
      <c r="AA177" s="1">
        <f>IF(OR($B168&lt;&gt;$B153,$B169&lt;&gt;$B154,$B170&lt;&gt;$B155,$B171&lt;&gt;$B156,$B172&lt;&gt;$B157,$B173&lt;&gt;$B158,$B174&lt;&gt;$B159,$B175&lt;&gt;$B160,$B176&lt;&gt;$B161,$B177&lt;&gt;$B162,$B178&lt;&gt;$B163),IF($B177&lt;&gt;$B162,AA162/INDEX($C153:$AJ163,10,MATCH(IF('Data-solution'!$A$3="Maximize",MAX($C164:$AI164),MIN($C164:$AI164)),$C164:$AI164,0)),AA162-INDEX($C153:$AJ163,10,MATCH(IF('Data-solution'!$A$3="Maximize",MAX($C164:$AI164),MIN($C164:$AI164)),$C164:$AI164,0))*INDEX(AA153:$AJ163,MATCH(MIN($AK153:$AK163),$AK153:$AK163,0),1)/INDEX($C153:$AJ163,MATCH(MIN($AK153:$AK163),$AK153:$AK163,0),MATCH(IF('Data-solution'!$A$3="Maximize",MAX($C164:$AI164),MIN($C164:$AI164)),$C164:$AI164,0))),AA162)</f>
        <v>0</v>
      </c>
      <c r="AB177" s="1">
        <f>IF(OR($B168&lt;&gt;$B153,$B169&lt;&gt;$B154,$B170&lt;&gt;$B155,$B171&lt;&gt;$B156,$B172&lt;&gt;$B157,$B173&lt;&gt;$B158,$B174&lt;&gt;$B159,$B175&lt;&gt;$B160,$B176&lt;&gt;$B161,$B177&lt;&gt;$B162,$B178&lt;&gt;$B163),IF($B177&lt;&gt;$B162,AB162/INDEX($C153:$AJ163,10,MATCH(IF('Data-solution'!$A$3="Maximize",MAX($C164:$AI164),MIN($C164:$AI164)),$C164:$AI164,0)),AB162-INDEX($C153:$AJ163,10,MATCH(IF('Data-solution'!$A$3="Maximize",MAX($C164:$AI164),MIN($C164:$AI164)),$C164:$AI164,0))*INDEX(AB153:$AJ163,MATCH(MIN($AK153:$AK163),$AK153:$AK163,0),1)/INDEX($C153:$AJ163,MATCH(MIN($AK153:$AK163),$AK153:$AK163,0),MATCH(IF('Data-solution'!$A$3="Maximize",MAX($C164:$AI164),MIN($C164:$AI164)),$C164:$AI164,0))),AB162)</f>
        <v>0</v>
      </c>
      <c r="AC177" s="1">
        <f>IF(OR($B168&lt;&gt;$B153,$B169&lt;&gt;$B154,$B170&lt;&gt;$B155,$B171&lt;&gt;$B156,$B172&lt;&gt;$B157,$B173&lt;&gt;$B158,$B174&lt;&gt;$B159,$B175&lt;&gt;$B160,$B176&lt;&gt;$B161,$B177&lt;&gt;$B162,$B178&lt;&gt;$B163),IF($B177&lt;&gt;$B162,AC162/INDEX($C153:$AJ163,10,MATCH(IF('Data-solution'!$A$3="Maximize",MAX($C164:$AI164),MIN($C164:$AI164)),$C164:$AI164,0)),AC162-INDEX($C153:$AJ163,10,MATCH(IF('Data-solution'!$A$3="Maximize",MAX($C164:$AI164),MIN($C164:$AI164)),$C164:$AI164,0))*INDEX(AC153:$AJ163,MATCH(MIN($AK153:$AK163),$AK153:$AK163,0),1)/INDEX($C153:$AJ163,MATCH(MIN($AK153:$AK163),$AK153:$AK163,0),MATCH(IF('Data-solution'!$A$3="Maximize",MAX($C164:$AI164),MIN($C164:$AI164)),$C164:$AI164,0))),AC162)</f>
        <v>0</v>
      </c>
      <c r="AD177" s="1">
        <f>IF(OR($B168&lt;&gt;$B153,$B169&lt;&gt;$B154,$B170&lt;&gt;$B155,$B171&lt;&gt;$B156,$B172&lt;&gt;$B157,$B173&lt;&gt;$B158,$B174&lt;&gt;$B159,$B175&lt;&gt;$B160,$B176&lt;&gt;$B161,$B177&lt;&gt;$B162,$B178&lt;&gt;$B163),IF($B177&lt;&gt;$B162,AD162/INDEX($C153:$AJ163,10,MATCH(IF('Data-solution'!$A$3="Maximize",MAX($C164:$AI164),MIN($C164:$AI164)),$C164:$AI164,0)),AD162-INDEX($C153:$AJ163,10,MATCH(IF('Data-solution'!$A$3="Maximize",MAX($C164:$AI164),MIN($C164:$AI164)),$C164:$AI164,0))*INDEX(AD153:$AJ163,MATCH(MIN($AK153:$AK163),$AK153:$AK163,0),1)/INDEX($C153:$AJ163,MATCH(MIN($AK153:$AK163),$AK153:$AK163,0),MATCH(IF('Data-solution'!$A$3="Maximize",MAX($C164:$AI164),MIN($C164:$AI164)),$C164:$AI164,0))),AD162)</f>
        <v>0</v>
      </c>
      <c r="AE177" s="1">
        <f>IF(OR($B168&lt;&gt;$B153,$B169&lt;&gt;$B154,$B170&lt;&gt;$B155,$B171&lt;&gt;$B156,$B172&lt;&gt;$B157,$B173&lt;&gt;$B158,$B174&lt;&gt;$B159,$B175&lt;&gt;$B160,$B176&lt;&gt;$B161,$B177&lt;&gt;$B162,$B178&lt;&gt;$B163),IF($B177&lt;&gt;$B162,AE162/INDEX($C153:$AJ163,10,MATCH(IF('Data-solution'!$A$3="Maximize",MAX($C164:$AI164),MIN($C164:$AI164)),$C164:$AI164,0)),AE162-INDEX($C153:$AJ163,10,MATCH(IF('Data-solution'!$A$3="Maximize",MAX($C164:$AI164),MIN($C164:$AI164)),$C164:$AI164,0))*INDEX(AE153:$AJ163,MATCH(MIN($AK153:$AK163),$AK153:$AK163,0),1)/INDEX($C153:$AJ163,MATCH(MIN($AK153:$AK163),$AK153:$AK163,0),MATCH(IF('Data-solution'!$A$3="Maximize",MAX($C164:$AI164),MIN($C164:$AI164)),$C164:$AI164,0))),AE162)</f>
        <v>0</v>
      </c>
      <c r="AF177" s="1">
        <f>IF(OR($B168&lt;&gt;$B153,$B169&lt;&gt;$B154,$B170&lt;&gt;$B155,$B171&lt;&gt;$B156,$B172&lt;&gt;$B157,$B173&lt;&gt;$B158,$B174&lt;&gt;$B159,$B175&lt;&gt;$B160,$B176&lt;&gt;$B161,$B177&lt;&gt;$B162,$B178&lt;&gt;$B163),IF($B177&lt;&gt;$B162,AF162/INDEX($C153:$AJ163,10,MATCH(IF('Data-solution'!$A$3="Maximize",MAX($C164:$AI164),MIN($C164:$AI164)),$C164:$AI164,0)),AF162-INDEX($C153:$AJ163,10,MATCH(IF('Data-solution'!$A$3="Maximize",MAX($C164:$AI164),MIN($C164:$AI164)),$C164:$AI164,0))*INDEX(AF153:$AJ163,MATCH(MIN($AK153:$AK163),$AK153:$AK163,0),1)/INDEX($C153:$AJ163,MATCH(MIN($AK153:$AK163),$AK153:$AK163,0),MATCH(IF('Data-solution'!$A$3="Maximize",MAX($C164:$AI164),MIN($C164:$AI164)),$C164:$AI164,0))),AF162)</f>
        <v>0</v>
      </c>
      <c r="AG177" s="1">
        <f>IF(OR($B168&lt;&gt;$B153,$B169&lt;&gt;$B154,$B170&lt;&gt;$B155,$B171&lt;&gt;$B156,$B172&lt;&gt;$B157,$B173&lt;&gt;$B158,$B174&lt;&gt;$B159,$B175&lt;&gt;$B160,$B176&lt;&gt;$B161,$B177&lt;&gt;$B162,$B178&lt;&gt;$B163),IF($B177&lt;&gt;$B162,AG162/INDEX($C153:$AJ163,10,MATCH(IF('Data-solution'!$A$3="Maximize",MAX($C164:$AI164),MIN($C164:$AI164)),$C164:$AI164,0)),AG162-INDEX($C153:$AJ163,10,MATCH(IF('Data-solution'!$A$3="Maximize",MAX($C164:$AI164),MIN($C164:$AI164)),$C164:$AI164,0))*INDEX(AG153:$AJ163,MATCH(MIN($AK153:$AK163),$AK153:$AK163,0),1)/INDEX($C153:$AJ163,MATCH(MIN($AK153:$AK163),$AK153:$AK163,0),MATCH(IF('Data-solution'!$A$3="Maximize",MAX($C164:$AI164),MIN($C164:$AI164)),$C164:$AI164,0))),AG162)</f>
        <v>0</v>
      </c>
      <c r="AH177" s="1">
        <f>IF(OR($B168&lt;&gt;$B153,$B169&lt;&gt;$B154,$B170&lt;&gt;$B155,$B171&lt;&gt;$B156,$B172&lt;&gt;$B157,$B173&lt;&gt;$B158,$B174&lt;&gt;$B159,$B175&lt;&gt;$B160,$B176&lt;&gt;$B161,$B177&lt;&gt;$B162,$B178&lt;&gt;$B163),IF($B177&lt;&gt;$B162,AH162/INDEX($C153:$AJ163,10,MATCH(IF('Data-solution'!$A$3="Maximize",MAX($C164:$AI164),MIN($C164:$AI164)),$C164:$AI164,0)),AH162-INDEX($C153:$AJ163,10,MATCH(IF('Data-solution'!$A$3="Maximize",MAX($C164:$AI164),MIN($C164:$AI164)),$C164:$AI164,0))*INDEX(AH153:$AJ163,MATCH(MIN($AK153:$AK163),$AK153:$AK163,0),1)/INDEX($C153:$AJ163,MATCH(MIN($AK153:$AK163),$AK153:$AK163,0),MATCH(IF('Data-solution'!$A$3="Maximize",MAX($C164:$AI164),MIN($C164:$AI164)),$C164:$AI164,0))),AH162)</f>
        <v>1</v>
      </c>
      <c r="AI177" s="1">
        <f>IF(OR($B168&lt;&gt;$B153,$B169&lt;&gt;$B154,$B170&lt;&gt;$B155,$B171&lt;&gt;$B156,$B172&lt;&gt;$B157,$B173&lt;&gt;$B158,$B174&lt;&gt;$B159,$B175&lt;&gt;$B160,$B176&lt;&gt;$B161,$B177&lt;&gt;$B162,$B178&lt;&gt;$B163),IF($B177&lt;&gt;$B162,AI162/INDEX($C153:$AJ163,10,MATCH(IF('Data-solution'!$A$3="Maximize",MAX($C164:$AI164),MIN($C164:$AI164)),$C164:$AI164,0)),AI162-INDEX($C153:$AJ163,10,MATCH(IF('Data-solution'!$A$3="Maximize",MAX($C164:$AI164),MIN($C164:$AI164)),$C164:$AI164,0))*INDEX(AI153:$AJ163,MATCH(MIN($AK153:$AK163),$AK153:$AK163,0),1)/INDEX($C153:$AJ163,MATCH(MIN($AK153:$AK163),$AK153:$AK163,0),MATCH(IF('Data-solution'!$A$3="Maximize",MAX($C164:$AI164),MIN($C164:$AI164)),$C164:$AI164,0))),AI162)</f>
        <v>0</v>
      </c>
      <c r="AJ177" s="1">
        <f>IF(OR($B168&lt;&gt;$B153,$B169&lt;&gt;$B154,$B170&lt;&gt;$B155,$B171&lt;&gt;$B156,$B172&lt;&gt;$B157,$B173&lt;&gt;$B158,$B174&lt;&gt;$B159,$B175&lt;&gt;$B160,$B176&lt;&gt;$B161,$B177&lt;&gt;$B162,$B178&lt;&gt;$B163),IF($B177&lt;&gt;$B162,AJ162/INDEX($C153:$AJ163,10,MATCH(IF('Data-solution'!$A$3="Maximize",MAX($C164:$AI164),MIN($C164:$AI164)),$C164:$AI164,0)),AJ162-INDEX($C153:$AJ163,10,MATCH(IF('Data-solution'!$A$3="Maximize",MAX($C164:$AI164),MIN($C164:$AI164)),$C164:$AI164,0))*INDEX(AJ153:$AJ163,MATCH(MIN($AK153:$AK163),$AK153:$AK163,0),1)/INDEX($C153:$AJ163,MATCH(MIN($AK153:$AK163),$AK153:$AK163,0),MATCH(IF('Data-solution'!$A$3="Maximize",MAX($C164:$AI164),MIN($C164:$AI164)),$C164:$AI164,0))),AJ162)</f>
        <v>0</v>
      </c>
      <c r="AK177" s="1" t="str">
        <f>IF(INDEX(C177:X177,1,MATCH(IF('Data-solution'!A$3="Maximize",MAX(C179:X179),MIN(C179:X179)),C179:X179,0))&gt;0,AJ177/INDEX(C177:X177,1,MATCH(IF('Data-solution'!A$3="Maximize",MAX(C179:X179),MIN(C179:X179)),C179:X179,0))," ")</f>
        <v xml:space="preserve"> </v>
      </c>
    </row>
    <row r="178" spans="1:37" ht="18" customHeight="1" x14ac:dyDescent="0.2">
      <c r="A178" s="1">
        <f t="shared" ref="A178" si="148">INDEX(C166:AI166,1,MATCH(B178,C167:AI167,0))</f>
        <v>0</v>
      </c>
      <c r="B178" s="2" t="str">
        <f>IF(AND('Data-solution'!A$3="Maximize",COUNTIF(C164:X164,"&gt;"&amp;0)&gt;0,AK163=MIN(AK153:AK163),COUNTIF(B168:B177,INDEX(C152:X152,1,MATCH(MAX(C164:X164),C164:X164,0)))=0),INDEX(C152:X152,1,MATCH(MAX(C164:X164),C164:X164,0)),IF(AND('Data-solution'!A$3="Minimize",COUNTIF(C164:X164,"&lt;"&amp;0)&gt;0,AK163=MIN(AK153:AK163),COUNTIF(B168:B177,INDEX(C152:X152,1,MATCH(MIN(C164:X164),C164:X164,0)))=0),INDEX(C152:X152,1,MATCH(MIN(C164:X164),C164:X164,0)),B163))</f>
        <v>S11</v>
      </c>
      <c r="C178" s="1">
        <f>IF(OR($B168&lt;&gt;$B153,$B169&lt;&gt;$B154,$B170&lt;&gt;$B155,$B171&lt;&gt;$B156,$B172&lt;&gt;$B157,$B173&lt;&gt;$B158,$B174&lt;&gt;$B159,$B175&lt;&gt;$B160,$B176&lt;&gt;$B161,$B177&lt;&gt;$B162,$B178&lt;&gt;$B163),IF($B178&lt;&gt;$B163,C163/INDEX($C153:$AJ163,11,MATCH(IF('Data-solution'!$A$3="Maximize",MAX($C164:$AI164),MIN($C164:$AI164)),$C164:$AI164,0)),C163-INDEX($C153:$AJ163,11,MATCH(IF('Data-solution'!$A$3="Maximize",MAX($C164:$AI164),MIN($C164:$AI164)),$C164:$AI164,0))*INDEX(C153:$AJ163,MATCH(MIN($AK153:$AK163),$AK153:$AK163,0),1)/INDEX($C153:$AJ163,MATCH(MIN($AK153:$AK163),$AK153:$AK163,0),MATCH(IF('Data-solution'!$A$3="Maximize",MAX($C164:$AI164),MIN($C164:$AI164)),$C164:$AI164,0))),C163)</f>
        <v>0</v>
      </c>
      <c r="D178" s="1">
        <f>IF(OR($B168&lt;&gt;$B153,$B169&lt;&gt;$B154,$B170&lt;&gt;$B155,$B171&lt;&gt;$B156,$B172&lt;&gt;$B157,$B173&lt;&gt;$B158,$B174&lt;&gt;$B159,$B175&lt;&gt;$B160,$B176&lt;&gt;$B161,$B177&lt;&gt;$B162,$B178&lt;&gt;$B163),IF($B178&lt;&gt;$B163,D163/INDEX($C153:$AJ163,11,MATCH(IF('Data-solution'!$A$3="Maximize",MAX($C164:$AI164),MIN($C164:$AI164)),$C164:$AI164,0)),D163-INDEX($C153:$AJ163,11,MATCH(IF('Data-solution'!$A$3="Maximize",MAX($C164:$AI164),MIN($C164:$AI164)),$C164:$AI164,0))*INDEX(D153:$AJ163,MATCH(MIN($AK153:$AK163),$AK153:$AK163,0),1)/INDEX($C153:$AJ163,MATCH(MIN($AK153:$AK163),$AK153:$AK163,0),MATCH(IF('Data-solution'!$A$3="Maximize",MAX($C164:$AI164),MIN($C164:$AI164)),$C164:$AI164,0))),D163)</f>
        <v>0</v>
      </c>
      <c r="E178" s="1">
        <f>IF(OR($B168&lt;&gt;$B153,$B169&lt;&gt;$B154,$B170&lt;&gt;$B155,$B171&lt;&gt;$B156,$B172&lt;&gt;$B157,$B173&lt;&gt;$B158,$B174&lt;&gt;$B159,$B175&lt;&gt;$B160,$B176&lt;&gt;$B161,$B177&lt;&gt;$B162,$B178&lt;&gt;$B163),IF($B178&lt;&gt;$B163,E163/INDEX($C153:$AJ163,11,MATCH(IF('Data-solution'!$A$3="Maximize",MAX($C164:$AI164),MIN($C164:$AI164)),$C164:$AI164,0)),E163-INDEX($C153:$AJ163,11,MATCH(IF('Data-solution'!$A$3="Maximize",MAX($C164:$AI164),MIN($C164:$AI164)),$C164:$AI164,0))*INDEX(E153:$AJ163,MATCH(MIN($AK153:$AK163),$AK153:$AK163,0),1)/INDEX($C153:$AJ163,MATCH(MIN($AK153:$AK163),$AK153:$AK163,0),MATCH(IF('Data-solution'!$A$3="Maximize",MAX($C164:$AI164),MIN($C164:$AI164)),$C164:$AI164,0))),E163)</f>
        <v>0</v>
      </c>
      <c r="F178" s="1">
        <f>IF(OR($B168&lt;&gt;$B153,$B169&lt;&gt;$B154,$B170&lt;&gt;$B155,$B171&lt;&gt;$B156,$B172&lt;&gt;$B157,$B173&lt;&gt;$B158,$B174&lt;&gt;$B159,$B175&lt;&gt;$B160,$B176&lt;&gt;$B161,$B177&lt;&gt;$B162,$B178&lt;&gt;$B163),IF($B178&lt;&gt;$B163,F163/INDEX($C153:$AJ163,11,MATCH(IF('Data-solution'!$A$3="Maximize",MAX($C164:$AI164),MIN($C164:$AI164)),$C164:$AI164,0)),F163-INDEX($C153:$AJ163,11,MATCH(IF('Data-solution'!$A$3="Maximize",MAX($C164:$AI164),MIN($C164:$AI164)),$C164:$AI164,0))*INDEX(F153:$AJ163,MATCH(MIN($AK153:$AK163),$AK153:$AK163,0),1)/INDEX($C153:$AJ163,MATCH(MIN($AK153:$AK163),$AK153:$AK163,0),MATCH(IF('Data-solution'!$A$3="Maximize",MAX($C164:$AI164),MIN($C164:$AI164)),$C164:$AI164,0))),F163)</f>
        <v>0</v>
      </c>
      <c r="G178" s="1">
        <f>IF(OR($B168&lt;&gt;$B153,$B169&lt;&gt;$B154,$B170&lt;&gt;$B155,$B171&lt;&gt;$B156,$B172&lt;&gt;$B157,$B173&lt;&gt;$B158,$B174&lt;&gt;$B159,$B175&lt;&gt;$B160,$B176&lt;&gt;$B161,$B177&lt;&gt;$B162,$B178&lt;&gt;$B163),IF($B178&lt;&gt;$B163,G163/INDEX($C153:$AJ163,11,MATCH(IF('Data-solution'!$A$3="Maximize",MAX($C164:$AI164),MIN($C164:$AI164)),$C164:$AI164,0)),G163-INDEX($C153:$AJ163,11,MATCH(IF('Data-solution'!$A$3="Maximize",MAX($C164:$AI164),MIN($C164:$AI164)),$C164:$AI164,0))*INDEX(G153:$AJ163,MATCH(MIN($AK153:$AK163),$AK153:$AK163,0),1)/INDEX($C153:$AJ163,MATCH(MIN($AK153:$AK163),$AK153:$AK163,0),MATCH(IF('Data-solution'!$A$3="Maximize",MAX($C164:$AI164),MIN($C164:$AI164)),$C164:$AI164,0))),G163)</f>
        <v>0</v>
      </c>
      <c r="H178" s="1">
        <f>IF(OR($B168&lt;&gt;$B153,$B169&lt;&gt;$B154,$B170&lt;&gt;$B155,$B171&lt;&gt;$B156,$B172&lt;&gt;$B157,$B173&lt;&gt;$B158,$B174&lt;&gt;$B159,$B175&lt;&gt;$B160,$B176&lt;&gt;$B161,$B177&lt;&gt;$B162,$B178&lt;&gt;$B163),IF($B178&lt;&gt;$B163,H163/INDEX($C153:$AJ163,11,MATCH(IF('Data-solution'!$A$3="Maximize",MAX($C164:$AI164),MIN($C164:$AI164)),$C164:$AI164,0)),H163-INDEX($C153:$AJ163,11,MATCH(IF('Data-solution'!$A$3="Maximize",MAX($C164:$AI164),MIN($C164:$AI164)),$C164:$AI164,0))*INDEX(H153:$AJ163,MATCH(MIN($AK153:$AK163),$AK153:$AK163,0),1)/INDEX($C153:$AJ163,MATCH(MIN($AK153:$AK163),$AK153:$AK163,0),MATCH(IF('Data-solution'!$A$3="Maximize",MAX($C164:$AI164),MIN($C164:$AI164)),$C164:$AI164,0))),H163)</f>
        <v>0</v>
      </c>
      <c r="I178" s="1">
        <f>IF(OR($B168&lt;&gt;$B153,$B169&lt;&gt;$B154,$B170&lt;&gt;$B155,$B171&lt;&gt;$B156,$B172&lt;&gt;$B157,$B173&lt;&gt;$B158,$B174&lt;&gt;$B159,$B175&lt;&gt;$B160,$B176&lt;&gt;$B161,$B177&lt;&gt;$B162,$B178&lt;&gt;$B163),IF($B178&lt;&gt;$B163,I163/INDEX($C153:$AJ163,11,MATCH(IF('Data-solution'!$A$3="Maximize",MAX($C164:$AI164),MIN($C164:$AI164)),$C164:$AI164,0)),I163-INDEX($C153:$AJ163,11,MATCH(IF('Data-solution'!$A$3="Maximize",MAX($C164:$AI164),MIN($C164:$AI164)),$C164:$AI164,0))*INDEX(I153:$AJ163,MATCH(MIN($AK153:$AK163),$AK153:$AK163,0),1)/INDEX($C153:$AJ163,MATCH(MIN($AK153:$AK163),$AK153:$AK163,0),MATCH(IF('Data-solution'!$A$3="Maximize",MAX($C164:$AI164),MIN($C164:$AI164)),$C164:$AI164,0))),I163)</f>
        <v>0</v>
      </c>
      <c r="J178" s="1">
        <f>IF(OR($B168&lt;&gt;$B153,$B169&lt;&gt;$B154,$B170&lt;&gt;$B155,$B171&lt;&gt;$B156,$B172&lt;&gt;$B157,$B173&lt;&gt;$B158,$B174&lt;&gt;$B159,$B175&lt;&gt;$B160,$B176&lt;&gt;$B161,$B177&lt;&gt;$B162,$B178&lt;&gt;$B163),IF($B178&lt;&gt;$B163,J163/INDEX($C153:$AJ163,11,MATCH(IF('Data-solution'!$A$3="Maximize",MAX($C164:$AI164),MIN($C164:$AI164)),$C164:$AI164,0)),J163-INDEX($C153:$AJ163,11,MATCH(IF('Data-solution'!$A$3="Maximize",MAX($C164:$AI164),MIN($C164:$AI164)),$C164:$AI164,0))*INDEX(J153:$AJ163,MATCH(MIN($AK153:$AK163),$AK153:$AK163,0),1)/INDEX($C153:$AJ163,MATCH(MIN($AK153:$AK163),$AK153:$AK163,0),MATCH(IF('Data-solution'!$A$3="Maximize",MAX($C164:$AI164),MIN($C164:$AI164)),$C164:$AI164,0))),J163)</f>
        <v>0</v>
      </c>
      <c r="K178" s="1">
        <f>IF(OR($B168&lt;&gt;$B153,$B169&lt;&gt;$B154,$B170&lt;&gt;$B155,$B171&lt;&gt;$B156,$B172&lt;&gt;$B157,$B173&lt;&gt;$B158,$B174&lt;&gt;$B159,$B175&lt;&gt;$B160,$B176&lt;&gt;$B161,$B177&lt;&gt;$B162,$B178&lt;&gt;$B163),IF($B178&lt;&gt;$B163,K163/INDEX($C153:$AJ163,11,MATCH(IF('Data-solution'!$A$3="Maximize",MAX($C164:$AI164),MIN($C164:$AI164)),$C164:$AI164,0)),K163-INDEX($C153:$AJ163,11,MATCH(IF('Data-solution'!$A$3="Maximize",MAX($C164:$AI164),MIN($C164:$AI164)),$C164:$AI164,0))*INDEX(K153:$AJ163,MATCH(MIN($AK153:$AK163),$AK153:$AK163,0),1)/INDEX($C153:$AJ163,MATCH(MIN($AK153:$AK163),$AK153:$AK163,0),MATCH(IF('Data-solution'!$A$3="Maximize",MAX($C164:$AI164),MIN($C164:$AI164)),$C164:$AI164,0))),K163)</f>
        <v>0</v>
      </c>
      <c r="L178" s="1">
        <f>IF(OR($B168&lt;&gt;$B153,$B169&lt;&gt;$B154,$B170&lt;&gt;$B155,$B171&lt;&gt;$B156,$B172&lt;&gt;$B157,$B173&lt;&gt;$B158,$B174&lt;&gt;$B159,$B175&lt;&gt;$B160,$B176&lt;&gt;$B161,$B177&lt;&gt;$B162,$B178&lt;&gt;$B163),IF($B178&lt;&gt;$B163,L163/INDEX($C153:$AJ163,11,MATCH(IF('Data-solution'!$A$3="Maximize",MAX($C164:$AI164),MIN($C164:$AI164)),$C164:$AI164,0)),L163-INDEX($C153:$AJ163,11,MATCH(IF('Data-solution'!$A$3="Maximize",MAX($C164:$AI164),MIN($C164:$AI164)),$C164:$AI164,0))*INDEX(L153:$AJ163,MATCH(MIN($AK153:$AK163),$AK153:$AK163,0),1)/INDEX($C153:$AJ163,MATCH(MIN($AK153:$AK163),$AK153:$AK163,0),MATCH(IF('Data-solution'!$A$3="Maximize",MAX($C164:$AI164),MIN($C164:$AI164)),$C164:$AI164,0))),L163)</f>
        <v>0</v>
      </c>
      <c r="M178" s="1">
        <f>IF(OR($B168&lt;&gt;$B153,$B169&lt;&gt;$B154,$B170&lt;&gt;$B155,$B171&lt;&gt;$B156,$B172&lt;&gt;$B157,$B173&lt;&gt;$B158,$B174&lt;&gt;$B159,$B175&lt;&gt;$B160,$B176&lt;&gt;$B161,$B177&lt;&gt;$B162,$B178&lt;&gt;$B163),IF($B178&lt;&gt;$B163,M163/INDEX($C153:$AJ163,11,MATCH(IF('Data-solution'!$A$3="Maximize",MAX($C164:$AI164),MIN($C164:$AI164)),$C164:$AI164,0)),M163-INDEX($C153:$AJ163,11,MATCH(IF('Data-solution'!$A$3="Maximize",MAX($C164:$AI164),MIN($C164:$AI164)),$C164:$AI164,0))*INDEX(M153:$AJ163,MATCH(MIN($AK153:$AK163),$AK153:$AK163,0),1)/INDEX($C153:$AJ163,MATCH(MIN($AK153:$AK163),$AK153:$AK163,0),MATCH(IF('Data-solution'!$A$3="Maximize",MAX($C164:$AI164),MIN($C164:$AI164)),$C164:$AI164,0))),M163)</f>
        <v>0</v>
      </c>
      <c r="N178" s="1">
        <f>IF(OR($B168&lt;&gt;$B153,$B169&lt;&gt;$B154,$B170&lt;&gt;$B155,$B171&lt;&gt;$B156,$B172&lt;&gt;$B157,$B173&lt;&gt;$B158,$B174&lt;&gt;$B159,$B175&lt;&gt;$B160,$B176&lt;&gt;$B161,$B177&lt;&gt;$B162,$B178&lt;&gt;$B163),IF($B178&lt;&gt;$B163,N163/INDEX($C153:$AJ163,11,MATCH(IF('Data-solution'!$A$3="Maximize",MAX($C164:$AI164),MIN($C164:$AI164)),$C164:$AI164,0)),N163-INDEX($C153:$AJ163,11,MATCH(IF('Data-solution'!$A$3="Maximize",MAX($C164:$AI164),MIN($C164:$AI164)),$C164:$AI164,0))*INDEX(N153:$AJ163,MATCH(MIN($AK153:$AK163),$AK153:$AK163,0),1)/INDEX($C153:$AJ163,MATCH(MIN($AK153:$AK163),$AK153:$AK163,0),MATCH(IF('Data-solution'!$A$3="Maximize",MAX($C164:$AI164),MIN($C164:$AI164)),$C164:$AI164,0))),N163)</f>
        <v>0</v>
      </c>
      <c r="O178" s="1">
        <f>IF(OR($B168&lt;&gt;$B153,$B169&lt;&gt;$B154,$B170&lt;&gt;$B155,$B171&lt;&gt;$B156,$B172&lt;&gt;$B157,$B173&lt;&gt;$B158,$B174&lt;&gt;$B159,$B175&lt;&gt;$B160,$B176&lt;&gt;$B161,$B177&lt;&gt;$B162,$B178&lt;&gt;$B163),IF($B178&lt;&gt;$B163,O163/INDEX($C153:$AJ163,11,MATCH(IF('Data-solution'!$A$3="Maximize",MAX($C164:$AI164),MIN($C164:$AI164)),$C164:$AI164,0)),O163-INDEX($C153:$AJ163,11,MATCH(IF('Data-solution'!$A$3="Maximize",MAX($C164:$AI164),MIN($C164:$AI164)),$C164:$AI164,0))*INDEX(O153:$AJ163,MATCH(MIN($AK153:$AK163),$AK153:$AK163,0),1)/INDEX($C153:$AJ163,MATCH(MIN($AK153:$AK163),$AK153:$AK163,0),MATCH(IF('Data-solution'!$A$3="Maximize",MAX($C164:$AI164),MIN($C164:$AI164)),$C164:$AI164,0))),O163)</f>
        <v>0</v>
      </c>
      <c r="P178" s="1">
        <f>IF(OR($B168&lt;&gt;$B153,$B169&lt;&gt;$B154,$B170&lt;&gt;$B155,$B171&lt;&gt;$B156,$B172&lt;&gt;$B157,$B173&lt;&gt;$B158,$B174&lt;&gt;$B159,$B175&lt;&gt;$B160,$B176&lt;&gt;$B161,$B177&lt;&gt;$B162,$B178&lt;&gt;$B163),IF($B178&lt;&gt;$B163,P163/INDEX($C153:$AJ163,11,MATCH(IF('Data-solution'!$A$3="Maximize",MAX($C164:$AI164),MIN($C164:$AI164)),$C164:$AI164,0)),P163-INDEX($C153:$AJ163,11,MATCH(IF('Data-solution'!$A$3="Maximize",MAX($C164:$AI164),MIN($C164:$AI164)),$C164:$AI164,0))*INDEX(P153:$AJ163,MATCH(MIN($AK153:$AK163),$AK153:$AK163,0),1)/INDEX($C153:$AJ163,MATCH(MIN($AK153:$AK163),$AK153:$AK163,0),MATCH(IF('Data-solution'!$A$3="Maximize",MAX($C164:$AI164),MIN($C164:$AI164)),$C164:$AI164,0))),P163)</f>
        <v>0</v>
      </c>
      <c r="Q178" s="1">
        <f>IF(OR($B168&lt;&gt;$B153,$B169&lt;&gt;$B154,$B170&lt;&gt;$B155,$B171&lt;&gt;$B156,$B172&lt;&gt;$B157,$B173&lt;&gt;$B158,$B174&lt;&gt;$B159,$B175&lt;&gt;$B160,$B176&lt;&gt;$B161,$B177&lt;&gt;$B162,$B178&lt;&gt;$B163),IF($B178&lt;&gt;$B163,Q163/INDEX($C153:$AJ163,11,MATCH(IF('Data-solution'!$A$3="Maximize",MAX($C164:$AI164),MIN($C164:$AI164)),$C164:$AI164,0)),Q163-INDEX($C153:$AJ163,11,MATCH(IF('Data-solution'!$A$3="Maximize",MAX($C164:$AI164),MIN($C164:$AI164)),$C164:$AI164,0))*INDEX(Q153:$AJ163,MATCH(MIN($AK153:$AK163),$AK153:$AK163,0),1)/INDEX($C153:$AJ163,MATCH(MIN($AK153:$AK163),$AK153:$AK163,0),MATCH(IF('Data-solution'!$A$3="Maximize",MAX($C164:$AI164),MIN($C164:$AI164)),$C164:$AI164,0))),Q163)</f>
        <v>0</v>
      </c>
      <c r="R178" s="1">
        <f>IF(OR($B168&lt;&gt;$B153,$B169&lt;&gt;$B154,$B170&lt;&gt;$B155,$B171&lt;&gt;$B156,$B172&lt;&gt;$B157,$B173&lt;&gt;$B158,$B174&lt;&gt;$B159,$B175&lt;&gt;$B160,$B176&lt;&gt;$B161,$B177&lt;&gt;$B162,$B178&lt;&gt;$B163),IF($B178&lt;&gt;$B163,R163/INDEX($C153:$AJ163,11,MATCH(IF('Data-solution'!$A$3="Maximize",MAX($C164:$AI164),MIN($C164:$AI164)),$C164:$AI164,0)),R163-INDEX($C153:$AJ163,11,MATCH(IF('Data-solution'!$A$3="Maximize",MAX($C164:$AI164),MIN($C164:$AI164)),$C164:$AI164,0))*INDEX(R153:$AJ163,MATCH(MIN($AK153:$AK163),$AK153:$AK163,0),1)/INDEX($C153:$AJ163,MATCH(MIN($AK153:$AK163),$AK153:$AK163,0),MATCH(IF('Data-solution'!$A$3="Maximize",MAX($C164:$AI164),MIN($C164:$AI164)),$C164:$AI164,0))),R163)</f>
        <v>0</v>
      </c>
      <c r="S178" s="1">
        <f>IF(OR($B168&lt;&gt;$B153,$B169&lt;&gt;$B154,$B170&lt;&gt;$B155,$B171&lt;&gt;$B156,$B172&lt;&gt;$B157,$B173&lt;&gt;$B158,$B174&lt;&gt;$B159,$B175&lt;&gt;$B160,$B176&lt;&gt;$B161,$B177&lt;&gt;$B162,$B178&lt;&gt;$B163),IF($B178&lt;&gt;$B163,S163/INDEX($C153:$AJ163,11,MATCH(IF('Data-solution'!$A$3="Maximize",MAX($C164:$AI164),MIN($C164:$AI164)),$C164:$AI164,0)),S163-INDEX($C153:$AJ163,11,MATCH(IF('Data-solution'!$A$3="Maximize",MAX($C164:$AI164),MIN($C164:$AI164)),$C164:$AI164,0))*INDEX(S153:$AJ163,MATCH(MIN($AK153:$AK163),$AK153:$AK163,0),1)/INDEX($C153:$AJ163,MATCH(MIN($AK153:$AK163),$AK153:$AK163,0),MATCH(IF('Data-solution'!$A$3="Maximize",MAX($C164:$AI164),MIN($C164:$AI164)),$C164:$AI164,0))),S163)</f>
        <v>0</v>
      </c>
      <c r="T178" s="1">
        <f>IF(OR($B168&lt;&gt;$B153,$B169&lt;&gt;$B154,$B170&lt;&gt;$B155,$B171&lt;&gt;$B156,$B172&lt;&gt;$B157,$B173&lt;&gt;$B158,$B174&lt;&gt;$B159,$B175&lt;&gt;$B160,$B176&lt;&gt;$B161,$B177&lt;&gt;$B162,$B178&lt;&gt;$B163),IF($B178&lt;&gt;$B163,T163/INDEX($C153:$AJ163,11,MATCH(IF('Data-solution'!$A$3="Maximize",MAX($C164:$AI164),MIN($C164:$AI164)),$C164:$AI164,0)),T163-INDEX($C153:$AJ163,11,MATCH(IF('Data-solution'!$A$3="Maximize",MAX($C164:$AI164),MIN($C164:$AI164)),$C164:$AI164,0))*INDEX(T153:$AJ163,MATCH(MIN($AK153:$AK163),$AK153:$AK163,0),1)/INDEX($C153:$AJ163,MATCH(MIN($AK153:$AK163),$AK153:$AK163,0),MATCH(IF('Data-solution'!$A$3="Maximize",MAX($C164:$AI164),MIN($C164:$AI164)),$C164:$AI164,0))),T163)</f>
        <v>0</v>
      </c>
      <c r="U178" s="1">
        <f>IF(OR($B168&lt;&gt;$B153,$B169&lt;&gt;$B154,$B170&lt;&gt;$B155,$B171&lt;&gt;$B156,$B172&lt;&gt;$B157,$B173&lt;&gt;$B158,$B174&lt;&gt;$B159,$B175&lt;&gt;$B160,$B176&lt;&gt;$B161,$B177&lt;&gt;$B162,$B178&lt;&gt;$B163),IF($B178&lt;&gt;$B163,U163/INDEX($C153:$AJ163,11,MATCH(IF('Data-solution'!$A$3="Maximize",MAX($C164:$AI164),MIN($C164:$AI164)),$C164:$AI164,0)),U163-INDEX($C153:$AJ163,11,MATCH(IF('Data-solution'!$A$3="Maximize",MAX($C164:$AI164),MIN($C164:$AI164)),$C164:$AI164,0))*INDEX(U153:$AJ163,MATCH(MIN($AK153:$AK163),$AK153:$AK163,0),1)/INDEX($C153:$AJ163,MATCH(MIN($AK153:$AK163),$AK153:$AK163,0),MATCH(IF('Data-solution'!$A$3="Maximize",MAX($C164:$AI164),MIN($C164:$AI164)),$C164:$AI164,0))),U163)</f>
        <v>0</v>
      </c>
      <c r="V178" s="1">
        <f>IF(OR($B168&lt;&gt;$B153,$B169&lt;&gt;$B154,$B170&lt;&gt;$B155,$B171&lt;&gt;$B156,$B172&lt;&gt;$B157,$B173&lt;&gt;$B158,$B174&lt;&gt;$B159,$B175&lt;&gt;$B160,$B176&lt;&gt;$B161,$B177&lt;&gt;$B162,$B178&lt;&gt;$B163),IF($B178&lt;&gt;$B163,V163/INDEX($C153:$AJ163,11,MATCH(IF('Data-solution'!$A$3="Maximize",MAX($C164:$AI164),MIN($C164:$AI164)),$C164:$AI164,0)),V163-INDEX($C153:$AJ163,11,MATCH(IF('Data-solution'!$A$3="Maximize",MAX($C164:$AI164),MIN($C164:$AI164)),$C164:$AI164,0))*INDEX(V153:$AJ163,MATCH(MIN($AK153:$AK163),$AK153:$AK163,0),1)/INDEX($C153:$AJ163,MATCH(MIN($AK153:$AK163),$AK153:$AK163,0),MATCH(IF('Data-solution'!$A$3="Maximize",MAX($C164:$AI164),MIN($C164:$AI164)),$C164:$AI164,0))),V163)</f>
        <v>0</v>
      </c>
      <c r="W178" s="1">
        <f>IF(OR($B168&lt;&gt;$B153,$B169&lt;&gt;$B154,$B170&lt;&gt;$B155,$B171&lt;&gt;$B156,$B172&lt;&gt;$B157,$B173&lt;&gt;$B158,$B174&lt;&gt;$B159,$B175&lt;&gt;$B160,$B176&lt;&gt;$B161,$B177&lt;&gt;$B162,$B178&lt;&gt;$B163),IF($B178&lt;&gt;$B163,W163/INDEX($C153:$AJ163,11,MATCH(IF('Data-solution'!$A$3="Maximize",MAX($C164:$AI164),MIN($C164:$AI164)),$C164:$AI164,0)),W163-INDEX($C153:$AJ163,11,MATCH(IF('Data-solution'!$A$3="Maximize",MAX($C164:$AI164),MIN($C164:$AI164)),$C164:$AI164,0))*INDEX(W153:$AJ163,MATCH(MIN($AK153:$AK163),$AK153:$AK163,0),1)/INDEX($C153:$AJ163,MATCH(MIN($AK153:$AK163),$AK153:$AK163,0),MATCH(IF('Data-solution'!$A$3="Maximize",MAX($C164:$AI164),MIN($C164:$AI164)),$C164:$AI164,0))),W163)</f>
        <v>0</v>
      </c>
      <c r="X178" s="1">
        <f>IF(OR($B168&lt;&gt;$B153,$B169&lt;&gt;$B154,$B170&lt;&gt;$B155,$B171&lt;&gt;$B156,$B172&lt;&gt;$B157,$B173&lt;&gt;$B158,$B174&lt;&gt;$B159,$B175&lt;&gt;$B160,$B176&lt;&gt;$B161,$B177&lt;&gt;$B162,$B178&lt;&gt;$B163),IF($B178&lt;&gt;$B163,X163/INDEX($C153:$AJ163,11,MATCH(IF('Data-solution'!$A$3="Maximize",MAX($C164:$AI164),MIN($C164:$AI164)),$C164:$AI164,0)),X163-INDEX($C153:$AJ163,11,MATCH(IF('Data-solution'!$A$3="Maximize",MAX($C164:$AI164),MIN($C164:$AI164)),$C164:$AI164,0))*INDEX(X153:$AJ163,MATCH(MIN($AK153:$AK163),$AK153:$AK163,0),1)/INDEX($C153:$AJ163,MATCH(MIN($AK153:$AK163),$AK153:$AK163,0),MATCH(IF('Data-solution'!$A$3="Maximize",MAX($C164:$AI164),MIN($C164:$AI164)),$C164:$AI164,0))),X163)</f>
        <v>1</v>
      </c>
      <c r="Y178" s="1">
        <f>IF(OR($B168&lt;&gt;$B153,$B169&lt;&gt;$B154,$B170&lt;&gt;$B155,$B171&lt;&gt;$B156,$B172&lt;&gt;$B157,$B173&lt;&gt;$B158,$B174&lt;&gt;$B159,$B175&lt;&gt;$B160,$B176&lt;&gt;$B161,$B177&lt;&gt;$B162,$B178&lt;&gt;$B163),IF($B178&lt;&gt;$B163,Y163/INDEX($C153:$AJ163,11,MATCH(IF('Data-solution'!$A$3="Maximize",MAX($C164:$AI164),MIN($C164:$AI164)),$C164:$AI164,0)),Y163-INDEX($C153:$AJ163,11,MATCH(IF('Data-solution'!$A$3="Maximize",MAX($C164:$AI164),MIN($C164:$AI164)),$C164:$AI164,0))*INDEX(Y153:$AJ163,MATCH(MIN($AK153:$AK163),$AK153:$AK163,0),1)/INDEX($C153:$AJ163,MATCH(MIN($AK153:$AK163),$AK153:$AK163,0),MATCH(IF('Data-solution'!$A$3="Maximize",MAX($C164:$AI164),MIN($C164:$AI164)),$C164:$AI164,0))),Y163)</f>
        <v>0</v>
      </c>
      <c r="Z178" s="1">
        <f>IF(OR($B168&lt;&gt;$B153,$B169&lt;&gt;$B154,$B170&lt;&gt;$B155,$B171&lt;&gt;$B156,$B172&lt;&gt;$B157,$B173&lt;&gt;$B158,$B174&lt;&gt;$B159,$B175&lt;&gt;$B160,$B176&lt;&gt;$B161,$B177&lt;&gt;$B162,$B178&lt;&gt;$B163),IF($B178&lt;&gt;$B163,Z163/INDEX($C153:$AJ163,11,MATCH(IF('Data-solution'!$A$3="Maximize",MAX($C164:$AI164),MIN($C164:$AI164)),$C164:$AI164,0)),Z163-INDEX($C153:$AJ163,11,MATCH(IF('Data-solution'!$A$3="Maximize",MAX($C164:$AI164),MIN($C164:$AI164)),$C164:$AI164,0))*INDEX(Z153:$AJ163,MATCH(MIN($AK153:$AK163),$AK153:$AK163,0),1)/INDEX($C153:$AJ163,MATCH(MIN($AK153:$AK163),$AK153:$AK163,0),MATCH(IF('Data-solution'!$A$3="Maximize",MAX($C164:$AI164),MIN($C164:$AI164)),$C164:$AI164,0))),Z163)</f>
        <v>0</v>
      </c>
      <c r="AA178" s="1">
        <f>IF(OR($B168&lt;&gt;$B153,$B169&lt;&gt;$B154,$B170&lt;&gt;$B155,$B171&lt;&gt;$B156,$B172&lt;&gt;$B157,$B173&lt;&gt;$B158,$B174&lt;&gt;$B159,$B175&lt;&gt;$B160,$B176&lt;&gt;$B161,$B177&lt;&gt;$B162,$B178&lt;&gt;$B163),IF($B178&lt;&gt;$B163,AA163/INDEX($C153:$AJ163,11,MATCH(IF('Data-solution'!$A$3="Maximize",MAX($C164:$AI164),MIN($C164:$AI164)),$C164:$AI164,0)),AA163-INDEX($C153:$AJ163,11,MATCH(IF('Data-solution'!$A$3="Maximize",MAX($C164:$AI164),MIN($C164:$AI164)),$C164:$AI164,0))*INDEX(AA153:$AJ163,MATCH(MIN($AK153:$AK163),$AK153:$AK163,0),1)/INDEX($C153:$AJ163,MATCH(MIN($AK153:$AK163),$AK153:$AK163,0),MATCH(IF('Data-solution'!$A$3="Maximize",MAX($C164:$AI164),MIN($C164:$AI164)),$C164:$AI164,0))),AA163)</f>
        <v>0</v>
      </c>
      <c r="AB178" s="1">
        <f>IF(OR($B168&lt;&gt;$B153,$B169&lt;&gt;$B154,$B170&lt;&gt;$B155,$B171&lt;&gt;$B156,$B172&lt;&gt;$B157,$B173&lt;&gt;$B158,$B174&lt;&gt;$B159,$B175&lt;&gt;$B160,$B176&lt;&gt;$B161,$B177&lt;&gt;$B162,$B178&lt;&gt;$B163),IF($B178&lt;&gt;$B163,AB163/INDEX($C153:$AJ163,11,MATCH(IF('Data-solution'!$A$3="Maximize",MAX($C164:$AI164),MIN($C164:$AI164)),$C164:$AI164,0)),AB163-INDEX($C153:$AJ163,11,MATCH(IF('Data-solution'!$A$3="Maximize",MAX($C164:$AI164),MIN($C164:$AI164)),$C164:$AI164,0))*INDEX(AB153:$AJ163,MATCH(MIN($AK153:$AK163),$AK153:$AK163,0),1)/INDEX($C153:$AJ163,MATCH(MIN($AK153:$AK163),$AK153:$AK163,0),MATCH(IF('Data-solution'!$A$3="Maximize",MAX($C164:$AI164),MIN($C164:$AI164)),$C164:$AI164,0))),AB163)</f>
        <v>0</v>
      </c>
      <c r="AC178" s="1">
        <f>IF(OR($B168&lt;&gt;$B153,$B169&lt;&gt;$B154,$B170&lt;&gt;$B155,$B171&lt;&gt;$B156,$B172&lt;&gt;$B157,$B173&lt;&gt;$B158,$B174&lt;&gt;$B159,$B175&lt;&gt;$B160,$B176&lt;&gt;$B161,$B177&lt;&gt;$B162,$B178&lt;&gt;$B163),IF($B178&lt;&gt;$B163,AC163/INDEX($C153:$AJ163,11,MATCH(IF('Data-solution'!$A$3="Maximize",MAX($C164:$AI164),MIN($C164:$AI164)),$C164:$AI164,0)),AC163-INDEX($C153:$AJ163,11,MATCH(IF('Data-solution'!$A$3="Maximize",MAX($C164:$AI164),MIN($C164:$AI164)),$C164:$AI164,0))*INDEX(AC153:$AJ163,MATCH(MIN($AK153:$AK163),$AK153:$AK163,0),1)/INDEX($C153:$AJ163,MATCH(MIN($AK153:$AK163),$AK153:$AK163,0),MATCH(IF('Data-solution'!$A$3="Maximize",MAX($C164:$AI164),MIN($C164:$AI164)),$C164:$AI164,0))),AC163)</f>
        <v>0</v>
      </c>
      <c r="AD178" s="1">
        <f>IF(OR($B168&lt;&gt;$B153,$B169&lt;&gt;$B154,$B170&lt;&gt;$B155,$B171&lt;&gt;$B156,$B172&lt;&gt;$B157,$B173&lt;&gt;$B158,$B174&lt;&gt;$B159,$B175&lt;&gt;$B160,$B176&lt;&gt;$B161,$B177&lt;&gt;$B162,$B178&lt;&gt;$B163),IF($B178&lt;&gt;$B163,AD163/INDEX($C153:$AJ163,11,MATCH(IF('Data-solution'!$A$3="Maximize",MAX($C164:$AI164),MIN($C164:$AI164)),$C164:$AI164,0)),AD163-INDEX($C153:$AJ163,11,MATCH(IF('Data-solution'!$A$3="Maximize",MAX($C164:$AI164),MIN($C164:$AI164)),$C164:$AI164,0))*INDEX(AD153:$AJ163,MATCH(MIN($AK153:$AK163),$AK153:$AK163,0),1)/INDEX($C153:$AJ163,MATCH(MIN($AK153:$AK163),$AK153:$AK163,0),MATCH(IF('Data-solution'!$A$3="Maximize",MAX($C164:$AI164),MIN($C164:$AI164)),$C164:$AI164,0))),AD163)</f>
        <v>0</v>
      </c>
      <c r="AE178" s="1">
        <f>IF(OR($B168&lt;&gt;$B153,$B169&lt;&gt;$B154,$B170&lt;&gt;$B155,$B171&lt;&gt;$B156,$B172&lt;&gt;$B157,$B173&lt;&gt;$B158,$B174&lt;&gt;$B159,$B175&lt;&gt;$B160,$B176&lt;&gt;$B161,$B177&lt;&gt;$B162,$B178&lt;&gt;$B163),IF($B178&lt;&gt;$B163,AE163/INDEX($C153:$AJ163,11,MATCH(IF('Data-solution'!$A$3="Maximize",MAX($C164:$AI164),MIN($C164:$AI164)),$C164:$AI164,0)),AE163-INDEX($C153:$AJ163,11,MATCH(IF('Data-solution'!$A$3="Maximize",MAX($C164:$AI164),MIN($C164:$AI164)),$C164:$AI164,0))*INDEX(AE153:$AJ163,MATCH(MIN($AK153:$AK163),$AK153:$AK163,0),1)/INDEX($C153:$AJ163,MATCH(MIN($AK153:$AK163),$AK153:$AK163,0),MATCH(IF('Data-solution'!$A$3="Maximize",MAX($C164:$AI164),MIN($C164:$AI164)),$C164:$AI164,0))),AE163)</f>
        <v>0</v>
      </c>
      <c r="AF178" s="1">
        <f>IF(OR($B168&lt;&gt;$B153,$B169&lt;&gt;$B154,$B170&lt;&gt;$B155,$B171&lt;&gt;$B156,$B172&lt;&gt;$B157,$B173&lt;&gt;$B158,$B174&lt;&gt;$B159,$B175&lt;&gt;$B160,$B176&lt;&gt;$B161,$B177&lt;&gt;$B162,$B178&lt;&gt;$B163),IF($B178&lt;&gt;$B163,AF163/INDEX($C153:$AJ163,11,MATCH(IF('Data-solution'!$A$3="Maximize",MAX($C164:$AI164),MIN($C164:$AI164)),$C164:$AI164,0)),AF163-INDEX($C153:$AJ163,11,MATCH(IF('Data-solution'!$A$3="Maximize",MAX($C164:$AI164),MIN($C164:$AI164)),$C164:$AI164,0))*INDEX(AF153:$AJ163,MATCH(MIN($AK153:$AK163),$AK153:$AK163,0),1)/INDEX($C153:$AJ163,MATCH(MIN($AK153:$AK163),$AK153:$AK163,0),MATCH(IF('Data-solution'!$A$3="Maximize",MAX($C164:$AI164),MIN($C164:$AI164)),$C164:$AI164,0))),AF163)</f>
        <v>0</v>
      </c>
      <c r="AG178" s="1">
        <f>IF(OR($B168&lt;&gt;$B153,$B169&lt;&gt;$B154,$B170&lt;&gt;$B155,$B171&lt;&gt;$B156,$B172&lt;&gt;$B157,$B173&lt;&gt;$B158,$B174&lt;&gt;$B159,$B175&lt;&gt;$B160,$B176&lt;&gt;$B161,$B177&lt;&gt;$B162,$B178&lt;&gt;$B163),IF($B178&lt;&gt;$B163,AG163/INDEX($C153:$AJ163,11,MATCH(IF('Data-solution'!$A$3="Maximize",MAX($C164:$AI164),MIN($C164:$AI164)),$C164:$AI164,0)),AG163-INDEX($C153:$AJ163,11,MATCH(IF('Data-solution'!$A$3="Maximize",MAX($C164:$AI164),MIN($C164:$AI164)),$C164:$AI164,0))*INDEX(AG153:$AJ163,MATCH(MIN($AK153:$AK163),$AK153:$AK163,0),1)/INDEX($C153:$AJ163,MATCH(MIN($AK153:$AK163),$AK153:$AK163,0),MATCH(IF('Data-solution'!$A$3="Maximize",MAX($C164:$AI164),MIN($C164:$AI164)),$C164:$AI164,0))),AG163)</f>
        <v>0</v>
      </c>
      <c r="AH178" s="1">
        <f>IF(OR($B168&lt;&gt;$B153,$B169&lt;&gt;$B154,$B170&lt;&gt;$B155,$B171&lt;&gt;$B156,$B172&lt;&gt;$B157,$B173&lt;&gt;$B158,$B174&lt;&gt;$B159,$B175&lt;&gt;$B160,$B176&lt;&gt;$B161,$B177&lt;&gt;$B162,$B178&lt;&gt;$B163),IF($B178&lt;&gt;$B163,AH163/INDEX($C153:$AJ163,11,MATCH(IF('Data-solution'!$A$3="Maximize",MAX($C164:$AI164),MIN($C164:$AI164)),$C164:$AI164,0)),AH163-INDEX($C153:$AJ163,11,MATCH(IF('Data-solution'!$A$3="Maximize",MAX($C164:$AI164),MIN($C164:$AI164)),$C164:$AI164,0))*INDEX(AH153:$AJ163,MATCH(MIN($AK153:$AK163),$AK153:$AK163,0),1)/INDEX($C153:$AJ163,MATCH(MIN($AK153:$AK163),$AK153:$AK163,0),MATCH(IF('Data-solution'!$A$3="Maximize",MAX($C164:$AI164),MIN($C164:$AI164)),$C164:$AI164,0))),AH163)</f>
        <v>0</v>
      </c>
      <c r="AI178" s="1">
        <f>IF(OR($B168&lt;&gt;$B153,$B169&lt;&gt;$B154,$B170&lt;&gt;$B155,$B171&lt;&gt;$B156,$B172&lt;&gt;$B157,$B173&lt;&gt;$B158,$B174&lt;&gt;$B159,$B175&lt;&gt;$B160,$B176&lt;&gt;$B161,$B177&lt;&gt;$B162,$B178&lt;&gt;$B163),IF($B178&lt;&gt;$B163,AI163/INDEX($C153:$AJ163,11,MATCH(IF('Data-solution'!$A$3="Maximize",MAX($C164:$AI164),MIN($C164:$AI164)),$C164:$AI164,0)),AI163-INDEX($C153:$AJ163,11,MATCH(IF('Data-solution'!$A$3="Maximize",MAX($C164:$AI164),MIN($C164:$AI164)),$C164:$AI164,0))*INDEX(AI153:$AJ163,MATCH(MIN($AK153:$AK163),$AK153:$AK163,0),1)/INDEX($C153:$AJ163,MATCH(MIN($AK153:$AK163),$AK153:$AK163,0),MATCH(IF('Data-solution'!$A$3="Maximize",MAX($C164:$AI164),MIN($C164:$AI164)),$C164:$AI164,0))),AI163)</f>
        <v>1</v>
      </c>
      <c r="AJ178" s="1">
        <f>IF(OR($B168&lt;&gt;$B153,$B169&lt;&gt;$B154,$B170&lt;&gt;$B155,$B171&lt;&gt;$B156,$B172&lt;&gt;$B157,$B173&lt;&gt;$B158,$B174&lt;&gt;$B159,$B175&lt;&gt;$B160,$B176&lt;&gt;$B161,$B177&lt;&gt;$B162,$B178&lt;&gt;$B163),IF($B178&lt;&gt;$B163,AJ163/INDEX($C153:$AJ163,11,MATCH(IF('Data-solution'!$A$3="Maximize",MAX($C164:$AI164),MIN($C164:$AI164)),$C164:$AI164,0)),AJ163-INDEX($C153:$AJ163,11,MATCH(IF('Data-solution'!$A$3="Maximize",MAX($C164:$AI164),MIN($C164:$AI164)),$C164:$AI164,0))*INDEX(AJ153:$AJ163,MATCH(MIN($AK153:$AK163),$AK153:$AK163,0),1)/INDEX($C153:$AJ163,MATCH(MIN($AK153:$AK163),$AK153:$AK163,0),MATCH(IF('Data-solution'!$A$3="Maximize",MAX($C164:$AI164),MIN($C164:$AI164)),$C164:$AI164,0))),AJ163)</f>
        <v>0</v>
      </c>
      <c r="AK178" s="1" t="str">
        <f>IF(INDEX(C178:X178,1,MATCH(IF('Data-solution'!A$3="Maximize",MAX(C179:X179),MIN(C179:X179)),C179:X179,0))&gt;0,AJ178/INDEX(C178:X178,1,MATCH(IF('Data-solution'!A$3="Maximize",MAX(C179:X179),MIN(C179:X179)),C179:X179,0))," ")</f>
        <v xml:space="preserve"> </v>
      </c>
    </row>
    <row r="179" spans="1:37" ht="18" customHeight="1" x14ac:dyDescent="0.2">
      <c r="B179" s="2" t="s">
        <v>5</v>
      </c>
      <c r="C179" s="1">
        <f>IF(SUM(COUNTIF($B168:$B178,$Y167),COUNTIF($B168:$B178,$Z167),COUNTIF($B168:$B178,$AA167),COUNTIF($B168:$B178,$AB167),COUNTIF($B168:$B178,$AC167),COUNTIF($B168:$B178,$AD167),COUNTIF($B168:$B178,$AE167),COUNTIF($B168:$B178,$AF167),COUNTIF($B168:$B178,$AG167),COUNTIF($B168:$B178,$AH167),COUNTIF($B168:$B178,$AI167))=0,C166-SUMPRODUCT($A168:$A178,C168:C178),IF('Data-solution'!$A$3="Maximize",1,-1)*SUM(SUMIF($B168:$B178,$Y167,C168:C178),SUMIF($B168:$B178,$Z167,C168:C178),SUMIF($B168:$B178,$AA167,C168:C178),SUMIF($B168:$B178,$AB167,C168:C178),SUMIF($B168:$B178,$AC167,C168:C178),SUMIF($B168:$B178,$AD167,C168:C178),SUMIF($B168:$B178,$AE167,C168:C178),SUMIF($B168:$B178,$AF167,C168:C178),SUMIF($B168:$B178,$AG167,C168:C178),SUMIF($B168:$B178,$AH167,C168:C178),SUMIF($B168:$B178,$AI167,C168:C178)))</f>
        <v>0</v>
      </c>
      <c r="D179" s="1">
        <f>IF(SUM(COUNTIF($B168:$B178,$Y167),COUNTIF($B168:$B178,$Z167),COUNTIF($B168:$B178,$AA167),COUNTIF($B168:$B178,$AB167),COUNTIF($B168:$B178,$AC167),COUNTIF($B168:$B178,$AD167),COUNTIF($B168:$B178,$AE167),COUNTIF($B168:$B178,$AF167),COUNTIF($B168:$B178,$AG167),COUNTIF($B168:$B178,$AH167),COUNTIF($B168:$B178,$AI167))=0,D166-SUMPRODUCT($A168:$A178,D168:D178),IF('Data-solution'!$A$3="Maximize",1,-1)*SUM(SUMIF($B168:$B178,$Y167,D168:D178),SUMIF($B168:$B178,$Z167,D168:D178),SUMIF($B168:$B178,$AA167,D168:D178),SUMIF($B168:$B178,$AB167,D168:D178),SUMIF($B168:$B178,$AC167,D168:D178),SUMIF($B168:$B178,$AD167,D168:D178),SUMIF($B168:$B178,$AE167,D168:D178),SUMIF($B168:$B178,$AF167,D168:D178),SUMIF($B168:$B178,$AG167,D168:D178),SUMIF($B168:$B178,$AH167,D168:D178),SUMIF($B168:$B178,$AI167,D168:D178)))</f>
        <v>-50</v>
      </c>
      <c r="E179" s="1">
        <f>IF(SUM(COUNTIF($B168:$B178,$Y167),COUNTIF($B168:$B178,$Z167),COUNTIF($B168:$B178,$AA167),COUNTIF($B168:$B178,$AB167),COUNTIF($B168:$B178,$AC167),COUNTIF($B168:$B178,$AD167),COUNTIF($B168:$B178,$AE167),COUNTIF($B168:$B178,$AF167),COUNTIF($B168:$B178,$AG167),COUNTIF($B168:$B178,$AH167),COUNTIF($B168:$B178,$AI167))=0,E166-SUMPRODUCT($A168:$A178,E168:E178),IF('Data-solution'!$A$3="Maximize",1,-1)*SUM(SUMIF($B168:$B178,$Y167,E168:E178),SUMIF($B168:$B178,$Z167,E168:E178),SUMIF($B168:$B178,$AA167,E168:E178),SUMIF($B168:$B178,$AB167,E168:E178),SUMIF($B168:$B178,$AC167,E168:E178),SUMIF($B168:$B178,$AD167,E168:E178),SUMIF($B168:$B178,$AE167,E168:E178),SUMIF($B168:$B178,$AF167,E168:E178),SUMIF($B168:$B178,$AG167,E168:E178),SUMIF($B168:$B178,$AH167,E168:E178),SUMIF($B168:$B178,$AI167,E168:E178)))</f>
        <v>0</v>
      </c>
      <c r="F179" s="1">
        <f>IF(SUM(COUNTIF($B168:$B178,$Y167),COUNTIF($B168:$B178,$Z167),COUNTIF($B168:$B178,$AA167),COUNTIF($B168:$B178,$AB167),COUNTIF($B168:$B178,$AC167),COUNTIF($B168:$B178,$AD167),COUNTIF($B168:$B178,$AE167),COUNTIF($B168:$B178,$AF167),COUNTIF($B168:$B178,$AG167),COUNTIF($B168:$B178,$AH167),COUNTIF($B168:$B178,$AI167))=0,F166-SUMPRODUCT($A168:$A178,F168:F178),IF('Data-solution'!$A$3="Maximize",1,-1)*SUM(SUMIF($B168:$B178,$Y167,F168:F178),SUMIF($B168:$B178,$Z167,F168:F178),SUMIF($B168:$B178,$AA167,F168:F178),SUMIF($B168:$B178,$AB167,F168:F178),SUMIF($B168:$B178,$AC167,F168:F178),SUMIF($B168:$B178,$AD167,F168:F178),SUMIF($B168:$B178,$AE167,F168:F178),SUMIF($B168:$B178,$AF167,F168:F178),SUMIF($B168:$B178,$AG167,F168:F178),SUMIF($B168:$B178,$AH167,F168:F178),SUMIF($B168:$B178,$AI167,F168:F178)))</f>
        <v>0</v>
      </c>
      <c r="G179" s="1">
        <f>IF(SUM(COUNTIF($B168:$B178,$Y167),COUNTIF($B168:$B178,$Z167),COUNTIF($B168:$B178,$AA167),COUNTIF($B168:$B178,$AB167),COUNTIF($B168:$B178,$AC167),COUNTIF($B168:$B178,$AD167),COUNTIF($B168:$B178,$AE167),COUNTIF($B168:$B178,$AF167),COUNTIF($B168:$B178,$AG167),COUNTIF($B168:$B178,$AH167),COUNTIF($B168:$B178,$AI167))=0,G166-SUMPRODUCT($A168:$A178,G168:G178),IF('Data-solution'!$A$3="Maximize",1,-1)*SUM(SUMIF($B168:$B178,$Y167,G168:G178),SUMIF($B168:$B178,$Z167,G168:G178),SUMIF($B168:$B178,$AA167,G168:G178),SUMIF($B168:$B178,$AB167,G168:G178),SUMIF($B168:$B178,$AC167,G168:G178),SUMIF($B168:$B178,$AD167,G168:G178),SUMIF($B168:$B178,$AE167,G168:G178),SUMIF($B168:$B178,$AF167,G168:G178),SUMIF($B168:$B178,$AG167,G168:G178),SUMIF($B168:$B178,$AH167,G168:G178),SUMIF($B168:$B178,$AI167,G168:G178)))</f>
        <v>0</v>
      </c>
      <c r="H179" s="1">
        <f>IF(SUM(COUNTIF($B168:$B178,$Y167),COUNTIF($B168:$B178,$Z167),COUNTIF($B168:$B178,$AA167),COUNTIF($B168:$B178,$AB167),COUNTIF($B168:$B178,$AC167),COUNTIF($B168:$B178,$AD167),COUNTIF($B168:$B178,$AE167),COUNTIF($B168:$B178,$AF167),COUNTIF($B168:$B178,$AG167),COUNTIF($B168:$B178,$AH167),COUNTIF($B168:$B178,$AI167))=0,H166-SUMPRODUCT($A168:$A178,H168:H178),IF('Data-solution'!$A$3="Maximize",1,-1)*SUM(SUMIF($B168:$B178,$Y167,H168:H178),SUMIF($B168:$B178,$Z167,H168:H178),SUMIF($B168:$B178,$AA167,H168:H178),SUMIF($B168:$B178,$AB167,H168:H178),SUMIF($B168:$B178,$AC167,H168:H178),SUMIF($B168:$B178,$AD167,H168:H178),SUMIF($B168:$B178,$AE167,H168:H178),SUMIF($B168:$B178,$AF167,H168:H178),SUMIF($B168:$B178,$AG167,H168:H178),SUMIF($B168:$B178,$AH167,H168:H178),SUMIF($B168:$B178,$AI167,H168:H178)))</f>
        <v>0</v>
      </c>
      <c r="I179" s="1">
        <f>IF(SUM(COUNTIF($B168:$B178,$Y167),COUNTIF($B168:$B178,$Z167),COUNTIF($B168:$B178,$AA167),COUNTIF($B168:$B178,$AB167),COUNTIF($B168:$B178,$AC167),COUNTIF($B168:$B178,$AD167),COUNTIF($B168:$B178,$AE167),COUNTIF($B168:$B178,$AF167),COUNTIF($B168:$B178,$AG167),COUNTIF($B168:$B178,$AH167),COUNTIF($B168:$B178,$AI167))=0,I166-SUMPRODUCT($A168:$A178,I168:I178),IF('Data-solution'!$A$3="Maximize",1,-1)*SUM(SUMIF($B168:$B178,$Y167,I168:I178),SUMIF($B168:$B178,$Z167,I168:I178),SUMIF($B168:$B178,$AA167,I168:I178),SUMIF($B168:$B178,$AB167,I168:I178),SUMIF($B168:$B178,$AC167,I168:I178),SUMIF($B168:$B178,$AD167,I168:I178),SUMIF($B168:$B178,$AE167,I168:I178),SUMIF($B168:$B178,$AF167,I168:I178),SUMIF($B168:$B178,$AG167,I168:I178),SUMIF($B168:$B178,$AH167,I168:I178),SUMIF($B168:$B178,$AI167,I168:I178)))</f>
        <v>0</v>
      </c>
      <c r="J179" s="1">
        <f>IF(SUM(COUNTIF($B168:$B178,$Y167),COUNTIF($B168:$B178,$Z167),COUNTIF($B168:$B178,$AA167),COUNTIF($B168:$B178,$AB167),COUNTIF($B168:$B178,$AC167),COUNTIF($B168:$B178,$AD167),COUNTIF($B168:$B178,$AE167),COUNTIF($B168:$B178,$AF167),COUNTIF($B168:$B178,$AG167),COUNTIF($B168:$B178,$AH167),COUNTIF($B168:$B178,$AI167))=0,J166-SUMPRODUCT($A168:$A178,J168:J178),IF('Data-solution'!$A$3="Maximize",1,-1)*SUM(SUMIF($B168:$B178,$Y167,J168:J178),SUMIF($B168:$B178,$Z167,J168:J178),SUMIF($B168:$B178,$AA167,J168:J178),SUMIF($B168:$B178,$AB167,J168:J178),SUMIF($B168:$B178,$AC167,J168:J178),SUMIF($B168:$B178,$AD167,J168:J178),SUMIF($B168:$B178,$AE167,J168:J178),SUMIF($B168:$B178,$AF167,J168:J178),SUMIF($B168:$B178,$AG167,J168:J178),SUMIF($B168:$B178,$AH167,J168:J178),SUMIF($B168:$B178,$AI167,J168:J178)))</f>
        <v>0</v>
      </c>
      <c r="K179" s="1">
        <f>IF(SUM(COUNTIF($B168:$B178,$Y167),COUNTIF($B168:$B178,$Z167),COUNTIF($B168:$B178,$AA167),COUNTIF($B168:$B178,$AB167),COUNTIF($B168:$B178,$AC167),COUNTIF($B168:$B178,$AD167),COUNTIF($B168:$B178,$AE167),COUNTIF($B168:$B178,$AF167),COUNTIF($B168:$B178,$AG167),COUNTIF($B168:$B178,$AH167),COUNTIF($B168:$B178,$AI167))=0,K166-SUMPRODUCT($A168:$A178,K168:K178),IF('Data-solution'!$A$3="Maximize",1,-1)*SUM(SUMIF($B168:$B178,$Y167,K168:K178),SUMIF($B168:$B178,$Z167,K168:K178),SUMIF($B168:$B178,$AA167,K168:K178),SUMIF($B168:$B178,$AB167,K168:K178),SUMIF($B168:$B178,$AC167,K168:K178),SUMIF($B168:$B178,$AD167,K168:K178),SUMIF($B168:$B178,$AE167,K168:K178),SUMIF($B168:$B178,$AF167,K168:K178),SUMIF($B168:$B178,$AG167,K168:K178),SUMIF($B168:$B178,$AH167,K168:K178),SUMIF($B168:$B178,$AI167,K168:K178)))</f>
        <v>0</v>
      </c>
      <c r="L179" s="1">
        <f>IF(SUM(COUNTIF($B168:$B178,$Y167),COUNTIF($B168:$B178,$Z167),COUNTIF($B168:$B178,$AA167),COUNTIF($B168:$B178,$AB167),COUNTIF($B168:$B178,$AC167),COUNTIF($B168:$B178,$AD167),COUNTIF($B168:$B178,$AE167),COUNTIF($B168:$B178,$AF167),COUNTIF($B168:$B178,$AG167),COUNTIF($B168:$B178,$AH167),COUNTIF($B168:$B178,$AI167))=0,L166-SUMPRODUCT($A168:$A178,L168:L178),IF('Data-solution'!$A$3="Maximize",1,-1)*SUM(SUMIF($B168:$B178,$Y167,L168:L178),SUMIF($B168:$B178,$Z167,L168:L178),SUMIF($B168:$B178,$AA167,L168:L178),SUMIF($B168:$B178,$AB167,L168:L178),SUMIF($B168:$B178,$AC167,L168:L178),SUMIF($B168:$B178,$AD167,L168:L178),SUMIF($B168:$B178,$AE167,L168:L178),SUMIF($B168:$B178,$AF167,L168:L178),SUMIF($B168:$B178,$AG167,L168:L178),SUMIF($B168:$B178,$AH167,L168:L178),SUMIF($B168:$B178,$AI167,L168:L178)))</f>
        <v>0</v>
      </c>
      <c r="M179" s="1">
        <f>IF(SUM(COUNTIF($B168:$B178,$Y167),COUNTIF($B168:$B178,$Z167),COUNTIF($B168:$B178,$AA167),COUNTIF($B168:$B178,$AB167),COUNTIF($B168:$B178,$AC167),COUNTIF($B168:$B178,$AD167),COUNTIF($B168:$B178,$AE167),COUNTIF($B168:$B178,$AF167),COUNTIF($B168:$B178,$AG167),COUNTIF($B168:$B178,$AH167),COUNTIF($B168:$B178,$AI167))=0,M166-SUMPRODUCT($A168:$A178,M168:M178),IF('Data-solution'!$A$3="Maximize",1,-1)*SUM(SUMIF($B168:$B178,$Y167,M168:M178),SUMIF($B168:$B178,$Z167,M168:M178),SUMIF($B168:$B178,$AA167,M168:M178),SUMIF($B168:$B178,$AB167,M168:M178),SUMIF($B168:$B178,$AC167,M168:M178),SUMIF($B168:$B178,$AD167,M168:M178),SUMIF($B168:$B178,$AE167,M168:M178),SUMIF($B168:$B178,$AF167,M168:M178),SUMIF($B168:$B178,$AG167,M168:M178),SUMIF($B168:$B178,$AH167,M168:M178),SUMIF($B168:$B178,$AI167,M168:M178)))</f>
        <v>0</v>
      </c>
      <c r="N179" s="1">
        <f>IF(SUM(COUNTIF($B168:$B178,$Y167),COUNTIF($B168:$B178,$Z167),COUNTIF($B168:$B178,$AA167),COUNTIF($B168:$B178,$AB167),COUNTIF($B168:$B178,$AC167),COUNTIF($B168:$B178,$AD167),COUNTIF($B168:$B178,$AE167),COUNTIF($B168:$B178,$AF167),COUNTIF($B168:$B178,$AG167),COUNTIF($B168:$B178,$AH167),COUNTIF($B168:$B178,$AI167))=0,N166-SUMPRODUCT($A168:$A178,N168:N178),IF('Data-solution'!$A$3="Maximize",1,-1)*SUM(SUMIF($B168:$B178,$Y167,N168:N178),SUMIF($B168:$B178,$Z167,N168:N178),SUMIF($B168:$B178,$AA167,N168:N178),SUMIF($B168:$B178,$AB167,N168:N178),SUMIF($B168:$B178,$AC167,N168:N178),SUMIF($B168:$B178,$AD167,N168:N178),SUMIF($B168:$B178,$AE167,N168:N178),SUMIF($B168:$B178,$AF167,N168:N178),SUMIF($B168:$B178,$AG167,N168:N178),SUMIF($B168:$B178,$AH167,N168:N178),SUMIF($B168:$B178,$AI167,N168:N178)))</f>
        <v>0</v>
      </c>
      <c r="O179" s="1">
        <f>IF(SUM(COUNTIF($B168:$B178,$Y167),COUNTIF($B168:$B178,$Z167),COUNTIF($B168:$B178,$AA167),COUNTIF($B168:$B178,$AB167),COUNTIF($B168:$B178,$AC167),COUNTIF($B168:$B178,$AD167),COUNTIF($B168:$B178,$AE167),COUNTIF($B168:$B178,$AF167),COUNTIF($B168:$B178,$AG167),COUNTIF($B168:$B178,$AH167),COUNTIF($B168:$B178,$AI167))=0,O166-SUMPRODUCT($A168:$A178,O168:O178),IF('Data-solution'!$A$3="Maximize",1,-1)*SUM(SUMIF($B168:$B178,$Y167,O168:O178),SUMIF($B168:$B178,$Z167,O168:O178),SUMIF($B168:$B178,$AA167,O168:O178),SUMIF($B168:$B178,$AB167,O168:O178),SUMIF($B168:$B178,$AC167,O168:O178),SUMIF($B168:$B178,$AD167,O168:O178),SUMIF($B168:$B178,$AE167,O168:O178),SUMIF($B168:$B178,$AF167,O168:O178),SUMIF($B168:$B178,$AG167,O168:O178),SUMIF($B168:$B178,$AH167,O168:O178),SUMIF($B168:$B178,$AI167,O168:O178)))</f>
        <v>0</v>
      </c>
      <c r="P179" s="1">
        <f>IF(SUM(COUNTIF($B168:$B178,$Y167),COUNTIF($B168:$B178,$Z167),COUNTIF($B168:$B178,$AA167),COUNTIF($B168:$B178,$AB167),COUNTIF($B168:$B178,$AC167),COUNTIF($B168:$B178,$AD167),COUNTIF($B168:$B178,$AE167),COUNTIF($B168:$B178,$AF167),COUNTIF($B168:$B178,$AG167),COUNTIF($B168:$B178,$AH167),COUNTIF($B168:$B178,$AI167))=0,P166-SUMPRODUCT($A168:$A178,P168:P178),IF('Data-solution'!$A$3="Maximize",1,-1)*SUM(SUMIF($B168:$B178,$Y167,P168:P178),SUMIF($B168:$B178,$Z167,P168:P178),SUMIF($B168:$B178,$AA167,P168:P178),SUMIF($B168:$B178,$AB167,P168:P178),SUMIF($B168:$B178,$AC167,P168:P178),SUMIF($B168:$B178,$AD167,P168:P178),SUMIF($B168:$B178,$AE167,P168:P178),SUMIF($B168:$B178,$AF167,P168:P178),SUMIF($B168:$B178,$AG167,P168:P178),SUMIF($B168:$B178,$AH167,P168:P178),SUMIF($B168:$B178,$AI167,P168:P178)))</f>
        <v>-49.999999999999993</v>
      </c>
      <c r="Q179" s="1">
        <f>IF(SUM(COUNTIF($B168:$B178,$Y167),COUNTIF($B168:$B178,$Z167),COUNTIF($B168:$B178,$AA167),COUNTIF($B168:$B178,$AB167),COUNTIF($B168:$B178,$AC167),COUNTIF($B168:$B178,$AD167),COUNTIF($B168:$B178,$AE167),COUNTIF($B168:$B178,$AF167),COUNTIF($B168:$B178,$AG167),COUNTIF($B168:$B178,$AH167),COUNTIF($B168:$B178,$AI167))=0,Q166-SUMPRODUCT($A168:$A178,Q168:Q178),IF('Data-solution'!$A$3="Maximize",1,-1)*SUM(SUMIF($B168:$B178,$Y167,Q168:Q178),SUMIF($B168:$B178,$Z167,Q168:Q178),SUMIF($B168:$B178,$AA167,Q168:Q178),SUMIF($B168:$B178,$AB167,Q168:Q178),SUMIF($B168:$B178,$AC167,Q168:Q178),SUMIF($B168:$B178,$AD167,Q168:Q178),SUMIF($B168:$B178,$AE167,Q168:Q178),SUMIF($B168:$B178,$AF167,Q168:Q178),SUMIF($B168:$B178,$AG167,Q168:Q178),SUMIF($B168:$B178,$AH167,Q168:Q178),SUMIF($B168:$B178,$AI167,Q168:Q178)))</f>
        <v>-50</v>
      </c>
      <c r="R179" s="1">
        <f>IF(SUM(COUNTIF($B168:$B178,$Y167),COUNTIF($B168:$B178,$Z167),COUNTIF($B168:$B178,$AA167),COUNTIF($B168:$B178,$AB167),COUNTIF($B168:$B178,$AC167),COUNTIF($B168:$B178,$AD167),COUNTIF($B168:$B178,$AE167),COUNTIF($B168:$B178,$AF167),COUNTIF($B168:$B178,$AG167),COUNTIF($B168:$B178,$AH167),COUNTIF($B168:$B178,$AI167))=0,R166-SUMPRODUCT($A168:$A178,R168:R178),IF('Data-solution'!$A$3="Maximize",1,-1)*SUM(SUMIF($B168:$B178,$Y167,R168:R178),SUMIF($B168:$B178,$Z167,R168:R178),SUMIF($B168:$B178,$AA167,R168:R178),SUMIF($B168:$B178,$AB167,R168:R178),SUMIF($B168:$B178,$AC167,R168:R178),SUMIF($B168:$B178,$AD167,R168:R178),SUMIF($B168:$B178,$AE167,R168:R178),SUMIF($B168:$B178,$AF167,R168:R178),SUMIF($B168:$B178,$AG167,R168:R178),SUMIF($B168:$B178,$AH167,R168:R178),SUMIF($B168:$B178,$AI167,R168:R178)))</f>
        <v>0</v>
      </c>
      <c r="S179" s="1">
        <f>IF(SUM(COUNTIF($B168:$B178,$Y167),COUNTIF($B168:$B178,$Z167),COUNTIF($B168:$B178,$AA167),COUNTIF($B168:$B178,$AB167),COUNTIF($B168:$B178,$AC167),COUNTIF($B168:$B178,$AD167),COUNTIF($B168:$B178,$AE167),COUNTIF($B168:$B178,$AF167),COUNTIF($B168:$B178,$AG167),COUNTIF($B168:$B178,$AH167),COUNTIF($B168:$B178,$AI167))=0,S166-SUMPRODUCT($A168:$A178,S168:S178),IF('Data-solution'!$A$3="Maximize",1,-1)*SUM(SUMIF($B168:$B178,$Y167,S168:S178),SUMIF($B168:$B178,$Z167,S168:S178),SUMIF($B168:$B178,$AA167,S168:S178),SUMIF($B168:$B178,$AB167,S168:S178),SUMIF($B168:$B178,$AC167,S168:S178),SUMIF($B168:$B178,$AD167,S168:S178),SUMIF($B168:$B178,$AE167,S168:S178),SUMIF($B168:$B178,$AF167,S168:S178),SUMIF($B168:$B178,$AG167,S168:S178),SUMIF($B168:$B178,$AH167,S168:S178),SUMIF($B168:$B178,$AI167,S168:S178)))</f>
        <v>0</v>
      </c>
      <c r="T179" s="1">
        <f>IF(SUM(COUNTIF($B168:$B178,$Y167),COUNTIF($B168:$B178,$Z167),COUNTIF($B168:$B178,$AA167),COUNTIF($B168:$B178,$AB167),COUNTIF($B168:$B178,$AC167),COUNTIF($B168:$B178,$AD167),COUNTIF($B168:$B178,$AE167),COUNTIF($B168:$B178,$AF167),COUNTIF($B168:$B178,$AG167),COUNTIF($B168:$B178,$AH167),COUNTIF($B168:$B178,$AI167))=0,T166-SUMPRODUCT($A168:$A178,T168:T178),IF('Data-solution'!$A$3="Maximize",1,-1)*SUM(SUMIF($B168:$B178,$Y167,T168:T178),SUMIF($B168:$B178,$Z167,T168:T178),SUMIF($B168:$B178,$AA167,T168:T178),SUMIF($B168:$B178,$AB167,T168:T178),SUMIF($B168:$B178,$AC167,T168:T178),SUMIF($B168:$B178,$AD167,T168:T178),SUMIF($B168:$B178,$AE167,T168:T178),SUMIF($B168:$B178,$AF167,T168:T178),SUMIF($B168:$B178,$AG167,T168:T178),SUMIF($B168:$B178,$AH167,T168:T178),SUMIF($B168:$B178,$AI167,T168:T178)))</f>
        <v>0</v>
      </c>
      <c r="U179" s="1">
        <f>IF(SUM(COUNTIF($B168:$B178,$Y167),COUNTIF($B168:$B178,$Z167),COUNTIF($B168:$B178,$AA167),COUNTIF($B168:$B178,$AB167),COUNTIF($B168:$B178,$AC167),COUNTIF($B168:$B178,$AD167),COUNTIF($B168:$B178,$AE167),COUNTIF($B168:$B178,$AF167),COUNTIF($B168:$B178,$AG167),COUNTIF($B168:$B178,$AH167),COUNTIF($B168:$B178,$AI167))=0,U166-SUMPRODUCT($A168:$A178,U168:U178),IF('Data-solution'!$A$3="Maximize",1,-1)*SUM(SUMIF($B168:$B178,$Y167,U168:U178),SUMIF($B168:$B178,$Z167,U168:U178),SUMIF($B168:$B178,$AA167,U168:U178),SUMIF($B168:$B178,$AB167,U168:U178),SUMIF($B168:$B178,$AC167,U168:U178),SUMIF($B168:$B178,$AD167,U168:U178),SUMIF($B168:$B178,$AE167,U168:U178),SUMIF($B168:$B178,$AF167,U168:U178),SUMIF($B168:$B178,$AG167,U168:U178),SUMIF($B168:$B178,$AH167,U168:U178),SUMIF($B168:$B178,$AI167,U168:U178)))</f>
        <v>0</v>
      </c>
      <c r="V179" s="1">
        <f>IF(SUM(COUNTIF($B168:$B178,$Y167),COUNTIF($B168:$B178,$Z167),COUNTIF($B168:$B178,$AA167),COUNTIF($B168:$B178,$AB167),COUNTIF($B168:$B178,$AC167),COUNTIF($B168:$B178,$AD167),COUNTIF($B168:$B178,$AE167),COUNTIF($B168:$B178,$AF167),COUNTIF($B168:$B178,$AG167),COUNTIF($B168:$B178,$AH167),COUNTIF($B168:$B178,$AI167))=0,V166-SUMPRODUCT($A168:$A178,V168:V178),IF('Data-solution'!$A$3="Maximize",1,-1)*SUM(SUMIF($B168:$B178,$Y167,V168:V178),SUMIF($B168:$B178,$Z167,V168:V178),SUMIF($B168:$B178,$AA167,V168:V178),SUMIF($B168:$B178,$AB167,V168:V178),SUMIF($B168:$B178,$AC167,V168:V178),SUMIF($B168:$B178,$AD167,V168:V178),SUMIF($B168:$B178,$AE167,V168:V178),SUMIF($B168:$B178,$AF167,V168:V178),SUMIF($B168:$B178,$AG167,V168:V178),SUMIF($B168:$B178,$AH167,V168:V178),SUMIF($B168:$B178,$AI167,V168:V178)))</f>
        <v>0</v>
      </c>
      <c r="W179" s="1">
        <f>IF(SUM(COUNTIF($B168:$B178,$Y167),COUNTIF($B168:$B178,$Z167),COUNTIF($B168:$B178,$AA167),COUNTIF($B168:$B178,$AB167),COUNTIF($B168:$B178,$AC167),COUNTIF($B168:$B178,$AD167),COUNTIF($B168:$B178,$AE167),COUNTIF($B168:$B178,$AF167),COUNTIF($B168:$B178,$AG167),COUNTIF($B168:$B178,$AH167),COUNTIF($B168:$B178,$AI167))=0,W166-SUMPRODUCT($A168:$A178,W168:W178),IF('Data-solution'!$A$3="Maximize",1,-1)*SUM(SUMIF($B168:$B178,$Y167,W168:W178),SUMIF($B168:$B178,$Z167,W168:W178),SUMIF($B168:$B178,$AA167,W168:W178),SUMIF($B168:$B178,$AB167,W168:W178),SUMIF($B168:$B178,$AC167,W168:W178),SUMIF($B168:$B178,$AD167,W168:W178),SUMIF($B168:$B178,$AE167,W168:W178),SUMIF($B168:$B178,$AF167,W168:W178),SUMIF($B168:$B178,$AG167,W168:W178),SUMIF($B168:$B178,$AH167,W168:W178),SUMIF($B168:$B178,$AI167,W168:W178)))</f>
        <v>0</v>
      </c>
      <c r="X179" s="1">
        <f>IF(SUM(COUNTIF($B168:$B178,$Y167),COUNTIF($B168:$B178,$Z167),COUNTIF($B168:$B178,$AA167),COUNTIF($B168:$B178,$AB167),COUNTIF($B168:$B178,$AC167),COUNTIF($B168:$B178,$AD167),COUNTIF($B168:$B178,$AE167),COUNTIF($B168:$B178,$AF167),COUNTIF($B168:$B178,$AG167),COUNTIF($B168:$B178,$AH167),COUNTIF($B168:$B178,$AI167))=0,X166-SUMPRODUCT($A168:$A178,X168:X178),IF('Data-solution'!$A$3="Maximize",1,-1)*SUM(SUMIF($B168:$B178,$Y167,X168:X178),SUMIF($B168:$B178,$Z167,X168:X178),SUMIF($B168:$B178,$AA167,X168:X178),SUMIF($B168:$B178,$AB167,X168:X178),SUMIF($B168:$B178,$AC167,X168:X178),SUMIF($B168:$B178,$AD167,X168:X178),SUMIF($B168:$B178,$AE167,X168:X178),SUMIF($B168:$B178,$AF167,X168:X178),SUMIF($B168:$B178,$AG167,X168:X178),SUMIF($B168:$B178,$AH167,X168:X178),SUMIF($B168:$B178,$AI167,X168:X178)))</f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2">
        <f t="shared" ref="AJ179" si="149">IF(SUMPRODUCT(A168:A178,AJ168:AJ178)&gt;=0,SUMPRODUCT(A168:A178,AJ168:AJ178),0)</f>
        <v>120000</v>
      </c>
    </row>
    <row r="181" spans="1:37" ht="18" customHeight="1" x14ac:dyDescent="0.2">
      <c r="A181" s="1" t="s">
        <v>72</v>
      </c>
      <c r="B181" s="2" t="s">
        <v>4</v>
      </c>
      <c r="C181" s="1">
        <f t="shared" ref="C181:R181" si="150">C$1</f>
        <v>150</v>
      </c>
      <c r="D181" s="1">
        <f t="shared" si="150"/>
        <v>200</v>
      </c>
      <c r="E181" s="1">
        <f t="shared" si="150"/>
        <v>350</v>
      </c>
      <c r="F181" s="1">
        <f t="shared" si="150"/>
        <v>0</v>
      </c>
      <c r="G181" s="1">
        <f t="shared" si="150"/>
        <v>0</v>
      </c>
      <c r="H181" s="1">
        <f t="shared" si="150"/>
        <v>0</v>
      </c>
      <c r="I181" s="1">
        <f t="shared" si="150"/>
        <v>0</v>
      </c>
      <c r="J181" s="1">
        <f t="shared" si="150"/>
        <v>0</v>
      </c>
      <c r="K181" s="1">
        <f t="shared" si="150"/>
        <v>0</v>
      </c>
      <c r="L181" s="1">
        <f t="shared" si="150"/>
        <v>0</v>
      </c>
      <c r="M181" s="1">
        <f t="shared" si="150"/>
        <v>0</v>
      </c>
      <c r="N181" s="1">
        <f t="shared" si="150"/>
        <v>0</v>
      </c>
      <c r="O181" s="1">
        <f t="shared" si="150"/>
        <v>0</v>
      </c>
      <c r="P181" s="1">
        <f t="shared" si="150"/>
        <v>0</v>
      </c>
      <c r="Q181" s="1">
        <f t="shared" si="150"/>
        <v>0</v>
      </c>
      <c r="R181" s="1">
        <f t="shared" si="150"/>
        <v>0</v>
      </c>
      <c r="S181" s="1">
        <f t="shared" ref="S181:AH181" si="151">S$1</f>
        <v>0</v>
      </c>
      <c r="T181" s="1">
        <f t="shared" si="151"/>
        <v>0</v>
      </c>
      <c r="U181" s="1">
        <f t="shared" si="151"/>
        <v>0</v>
      </c>
      <c r="V181" s="1">
        <f t="shared" si="151"/>
        <v>0</v>
      </c>
      <c r="W181" s="1">
        <f t="shared" si="151"/>
        <v>0</v>
      </c>
      <c r="X181" s="1">
        <f t="shared" si="151"/>
        <v>0</v>
      </c>
      <c r="Y181" s="1">
        <f t="shared" si="151"/>
        <v>-999999</v>
      </c>
      <c r="Z181" s="1">
        <f t="shared" si="151"/>
        <v>-999999</v>
      </c>
      <c r="AA181" s="1">
        <f t="shared" si="151"/>
        <v>-999999</v>
      </c>
      <c r="AB181" s="1">
        <f t="shared" si="151"/>
        <v>-999999</v>
      </c>
      <c r="AC181" s="1">
        <f t="shared" si="151"/>
        <v>-999999</v>
      </c>
      <c r="AD181" s="1">
        <f t="shared" si="151"/>
        <v>-999999</v>
      </c>
      <c r="AE181" s="1">
        <f t="shared" si="151"/>
        <v>-999999</v>
      </c>
      <c r="AF181" s="1">
        <f t="shared" si="151"/>
        <v>-999999</v>
      </c>
      <c r="AG181" s="1">
        <f t="shared" si="151"/>
        <v>-999999</v>
      </c>
      <c r="AH181" s="1">
        <f t="shared" si="151"/>
        <v>-999999</v>
      </c>
      <c r="AI181" s="1">
        <f t="shared" ref="D181:AI241" si="152">AI$1</f>
        <v>-999999</v>
      </c>
    </row>
    <row r="182" spans="1:37" ht="18" customHeight="1" x14ac:dyDescent="0.2">
      <c r="A182" s="2" t="s">
        <v>3</v>
      </c>
      <c r="B182" s="2" t="s">
        <v>1</v>
      </c>
      <c r="C182" s="2" t="str">
        <f t="shared" ref="C182:R182" si="153">C$2</f>
        <v>X1</v>
      </c>
      <c r="D182" s="2" t="str">
        <f t="shared" si="153"/>
        <v>X2</v>
      </c>
      <c r="E182" s="2" t="str">
        <f t="shared" si="153"/>
        <v>X3</v>
      </c>
      <c r="F182" s="2" t="str">
        <f t="shared" si="153"/>
        <v>X4</v>
      </c>
      <c r="G182" s="2" t="str">
        <f t="shared" si="153"/>
        <v>X5</v>
      </c>
      <c r="H182" s="2" t="str">
        <f t="shared" si="153"/>
        <v>X6</v>
      </c>
      <c r="I182" s="2" t="str">
        <f t="shared" si="153"/>
        <v>X7</v>
      </c>
      <c r="J182" s="2" t="str">
        <f t="shared" si="153"/>
        <v>X8</v>
      </c>
      <c r="K182" s="2" t="str">
        <f t="shared" si="153"/>
        <v>X9</v>
      </c>
      <c r="L182" s="2" t="str">
        <f t="shared" si="153"/>
        <v>X10</v>
      </c>
      <c r="M182" s="2" t="str">
        <f t="shared" si="153"/>
        <v>X11</v>
      </c>
      <c r="N182" s="2" t="str">
        <f t="shared" si="153"/>
        <v>S1</v>
      </c>
      <c r="O182" s="2" t="str">
        <f t="shared" si="153"/>
        <v>S2</v>
      </c>
      <c r="P182" s="2" t="str">
        <f t="shared" si="153"/>
        <v>S3</v>
      </c>
      <c r="Q182" s="2" t="str">
        <f t="shared" si="153"/>
        <v>S4</v>
      </c>
      <c r="R182" s="2" t="str">
        <f t="shared" si="153"/>
        <v>S5</v>
      </c>
      <c r="S182" s="2" t="str">
        <f t="shared" ref="S182:AH182" si="154">S$2</f>
        <v>S6</v>
      </c>
      <c r="T182" s="2" t="str">
        <f t="shared" si="154"/>
        <v>S7</v>
      </c>
      <c r="U182" s="2" t="str">
        <f t="shared" si="154"/>
        <v>S8</v>
      </c>
      <c r="V182" s="2" t="str">
        <f t="shared" si="154"/>
        <v>S9</v>
      </c>
      <c r="W182" s="2" t="str">
        <f t="shared" si="154"/>
        <v>S10</v>
      </c>
      <c r="X182" s="2" t="str">
        <f t="shared" si="154"/>
        <v>S11</v>
      </c>
      <c r="Y182" s="2" t="str">
        <f t="shared" si="154"/>
        <v xml:space="preserve"> </v>
      </c>
      <c r="Z182" s="2" t="str">
        <f t="shared" si="154"/>
        <v xml:space="preserve"> </v>
      </c>
      <c r="AA182" s="2" t="str">
        <f t="shared" si="154"/>
        <v xml:space="preserve"> </v>
      </c>
      <c r="AB182" s="2" t="str">
        <f t="shared" si="154"/>
        <v xml:space="preserve"> </v>
      </c>
      <c r="AC182" s="2" t="str">
        <f t="shared" si="154"/>
        <v xml:space="preserve"> </v>
      </c>
      <c r="AD182" s="2" t="str">
        <f t="shared" si="154"/>
        <v xml:space="preserve"> </v>
      </c>
      <c r="AE182" s="2" t="str">
        <f t="shared" si="154"/>
        <v xml:space="preserve"> </v>
      </c>
      <c r="AF182" s="2" t="str">
        <f t="shared" si="154"/>
        <v xml:space="preserve"> </v>
      </c>
      <c r="AG182" s="2" t="str">
        <f t="shared" si="154"/>
        <v xml:space="preserve"> </v>
      </c>
      <c r="AH182" s="2" t="str">
        <f t="shared" si="154"/>
        <v xml:space="preserve"> </v>
      </c>
      <c r="AI182" s="2" t="str">
        <f t="shared" ref="D182:AI242" si="155">AI$2</f>
        <v xml:space="preserve"> </v>
      </c>
      <c r="AJ182" s="2" t="s">
        <v>9</v>
      </c>
      <c r="AK182" s="2" t="s">
        <v>10</v>
      </c>
    </row>
    <row r="183" spans="1:37" ht="18" customHeight="1" x14ac:dyDescent="0.2">
      <c r="A183" s="1">
        <f t="shared" ref="A183" si="156">INDEX(C181:AI181,1,MATCH(B183,C182:AI182,0))</f>
        <v>0</v>
      </c>
      <c r="B183" s="2" t="str">
        <f>IF(AND('Data-solution'!A$3="Maximize",COUNTIF(C179:X179,"&gt;"&amp;0)&gt;0,AK168=MIN(AK168:AK178)),INDEX(C167:X167,1,MATCH(MAX(C179:X179),C179:X179,0)),IF(AND('Data-solution'!A$3="Minimize",COUNTIF(C179:X179,"&lt;"&amp;0)&gt;0,AK168=MIN(AK168:AK178)),INDEX(C167:X167,1,MATCH(MIN(C179:X179),C179:X179,0)),B168))</f>
        <v>S1</v>
      </c>
      <c r="C183" s="1">
        <f>IF(OR($B183&lt;&gt;$B168,$B184&lt;&gt;$B169,$B185&lt;&gt;$B170,$B186&lt;&gt;$B171,$B187&lt;&gt;$B172,$B188&lt;&gt;$B173,$B189&lt;&gt;$B174,$B190&lt;&gt;$B175,$B191&lt;&gt;$B176,$B192&lt;&gt;$B177,$B193&lt;&gt;$B178),IF($B183&lt;&gt;$B168,C168/INDEX($C168:$AJ178,1,MATCH(IF('Data-solution'!$A$3="Maximize",MAX($C179:$AI179),MIN($C179:$AI179)),$C179:$AI179,0)),C168-INDEX($C168:$AJ178,1,MATCH(IF('Data-solution'!$A$3="Maximize",MAX($C179:$AI179),MIN($C179:$AI179)),$C179:$AI179,0))*INDEX(C168:$AJ178,MATCH(MIN($AK168:$AK178),$AK168:$AK178,0),1)/INDEX($C168:$AJ178,MATCH(MIN($AK168:$AK178),$AK168:$AK178,0),MATCH(IF('Data-solution'!$A$3="Maximize",MAX($C179:$AI179),MIN($C179:$AI179)),$C179:$AI179,0))),C168)</f>
        <v>0</v>
      </c>
      <c r="D183" s="1">
        <f>IF(OR($B183&lt;&gt;$B168,$B184&lt;&gt;$B169,$B185&lt;&gt;$B170,$B186&lt;&gt;$B171,$B187&lt;&gt;$B172,$B188&lt;&gt;$B173,$B189&lt;&gt;$B174,$B190&lt;&gt;$B175,$B191&lt;&gt;$B176,$B192&lt;&gt;$B177,$B193&lt;&gt;$B178),IF($B183&lt;&gt;$B168,D168/INDEX($C168:$AJ178,1,MATCH(IF('Data-solution'!$A$3="Maximize",MAX($C179:$AI179),MIN($C179:$AI179)),$C179:$AI179,0)),D168-INDEX($C168:$AJ178,1,MATCH(IF('Data-solution'!$A$3="Maximize",MAX($C179:$AI179),MIN($C179:$AI179)),$C179:$AI179,0))*INDEX(D168:$AJ178,MATCH(MIN($AK168:$AK178),$AK168:$AK178,0),1)/INDEX($C168:$AJ178,MATCH(MIN($AK168:$AK178),$AK168:$AK178,0),MATCH(IF('Data-solution'!$A$3="Maximize",MAX($C179:$AI179),MIN($C179:$AI179)),$C179:$AI179,0))),D168)</f>
        <v>1</v>
      </c>
      <c r="E183" s="1">
        <f>IF(OR($B183&lt;&gt;$B168,$B184&lt;&gt;$B169,$B185&lt;&gt;$B170,$B186&lt;&gt;$B171,$B187&lt;&gt;$B172,$B188&lt;&gt;$B173,$B189&lt;&gt;$B174,$B190&lt;&gt;$B175,$B191&lt;&gt;$B176,$B192&lt;&gt;$B177,$B193&lt;&gt;$B178),IF($B183&lt;&gt;$B168,E168/INDEX($C168:$AJ178,1,MATCH(IF('Data-solution'!$A$3="Maximize",MAX($C179:$AI179),MIN($C179:$AI179)),$C179:$AI179,0)),E168-INDEX($C168:$AJ178,1,MATCH(IF('Data-solution'!$A$3="Maximize",MAX($C179:$AI179),MIN($C179:$AI179)),$C179:$AI179,0))*INDEX(E168:$AJ178,MATCH(MIN($AK168:$AK178),$AK168:$AK178,0),1)/INDEX($C168:$AJ178,MATCH(MIN($AK168:$AK178),$AK168:$AK178,0),MATCH(IF('Data-solution'!$A$3="Maximize",MAX($C179:$AI179),MIN($C179:$AI179)),$C179:$AI179,0))),E168)</f>
        <v>0</v>
      </c>
      <c r="F183" s="1">
        <f>IF(OR($B183&lt;&gt;$B168,$B184&lt;&gt;$B169,$B185&lt;&gt;$B170,$B186&lt;&gt;$B171,$B187&lt;&gt;$B172,$B188&lt;&gt;$B173,$B189&lt;&gt;$B174,$B190&lt;&gt;$B175,$B191&lt;&gt;$B176,$B192&lt;&gt;$B177,$B193&lt;&gt;$B178),IF($B183&lt;&gt;$B168,F168/INDEX($C168:$AJ178,1,MATCH(IF('Data-solution'!$A$3="Maximize",MAX($C179:$AI179),MIN($C179:$AI179)),$C179:$AI179,0)),F168-INDEX($C168:$AJ178,1,MATCH(IF('Data-solution'!$A$3="Maximize",MAX($C179:$AI179),MIN($C179:$AI179)),$C179:$AI179,0))*INDEX(F168:$AJ178,MATCH(MIN($AK168:$AK178),$AK168:$AK178,0),1)/INDEX($C168:$AJ178,MATCH(MIN($AK168:$AK178),$AK168:$AK178,0),MATCH(IF('Data-solution'!$A$3="Maximize",MAX($C179:$AI179),MIN($C179:$AI179)),$C179:$AI179,0))),F168)</f>
        <v>0</v>
      </c>
      <c r="G183" s="1">
        <f>IF(OR($B183&lt;&gt;$B168,$B184&lt;&gt;$B169,$B185&lt;&gt;$B170,$B186&lt;&gt;$B171,$B187&lt;&gt;$B172,$B188&lt;&gt;$B173,$B189&lt;&gt;$B174,$B190&lt;&gt;$B175,$B191&lt;&gt;$B176,$B192&lt;&gt;$B177,$B193&lt;&gt;$B178),IF($B183&lt;&gt;$B168,G168/INDEX($C168:$AJ178,1,MATCH(IF('Data-solution'!$A$3="Maximize",MAX($C179:$AI179),MIN($C179:$AI179)),$C179:$AI179,0)),G168-INDEX($C168:$AJ178,1,MATCH(IF('Data-solution'!$A$3="Maximize",MAX($C179:$AI179),MIN($C179:$AI179)),$C179:$AI179,0))*INDEX(G168:$AJ178,MATCH(MIN($AK168:$AK178),$AK168:$AK178,0),1)/INDEX($C168:$AJ178,MATCH(MIN($AK168:$AK178),$AK168:$AK178,0),MATCH(IF('Data-solution'!$A$3="Maximize",MAX($C179:$AI179),MIN($C179:$AI179)),$C179:$AI179,0))),G168)</f>
        <v>0</v>
      </c>
      <c r="H183" s="1">
        <f>IF(OR($B183&lt;&gt;$B168,$B184&lt;&gt;$B169,$B185&lt;&gt;$B170,$B186&lt;&gt;$B171,$B187&lt;&gt;$B172,$B188&lt;&gt;$B173,$B189&lt;&gt;$B174,$B190&lt;&gt;$B175,$B191&lt;&gt;$B176,$B192&lt;&gt;$B177,$B193&lt;&gt;$B178),IF($B183&lt;&gt;$B168,H168/INDEX($C168:$AJ178,1,MATCH(IF('Data-solution'!$A$3="Maximize",MAX($C179:$AI179),MIN($C179:$AI179)),$C179:$AI179,0)),H168-INDEX($C168:$AJ178,1,MATCH(IF('Data-solution'!$A$3="Maximize",MAX($C179:$AI179),MIN($C179:$AI179)),$C179:$AI179,0))*INDEX(H168:$AJ178,MATCH(MIN($AK168:$AK178),$AK168:$AK178,0),1)/INDEX($C168:$AJ178,MATCH(MIN($AK168:$AK178),$AK168:$AK178,0),MATCH(IF('Data-solution'!$A$3="Maximize",MAX($C179:$AI179),MIN($C179:$AI179)),$C179:$AI179,0))),H168)</f>
        <v>0</v>
      </c>
      <c r="I183" s="1">
        <f>IF(OR($B183&lt;&gt;$B168,$B184&lt;&gt;$B169,$B185&lt;&gt;$B170,$B186&lt;&gt;$B171,$B187&lt;&gt;$B172,$B188&lt;&gt;$B173,$B189&lt;&gt;$B174,$B190&lt;&gt;$B175,$B191&lt;&gt;$B176,$B192&lt;&gt;$B177,$B193&lt;&gt;$B178),IF($B183&lt;&gt;$B168,I168/INDEX($C168:$AJ178,1,MATCH(IF('Data-solution'!$A$3="Maximize",MAX($C179:$AI179),MIN($C179:$AI179)),$C179:$AI179,0)),I168-INDEX($C168:$AJ178,1,MATCH(IF('Data-solution'!$A$3="Maximize",MAX($C179:$AI179),MIN($C179:$AI179)),$C179:$AI179,0))*INDEX(I168:$AJ178,MATCH(MIN($AK168:$AK178),$AK168:$AK178,0),1)/INDEX($C168:$AJ178,MATCH(MIN($AK168:$AK178),$AK168:$AK178,0),MATCH(IF('Data-solution'!$A$3="Maximize",MAX($C179:$AI179),MIN($C179:$AI179)),$C179:$AI179,0))),I168)</f>
        <v>0</v>
      </c>
      <c r="J183" s="1">
        <f>IF(OR($B183&lt;&gt;$B168,$B184&lt;&gt;$B169,$B185&lt;&gt;$B170,$B186&lt;&gt;$B171,$B187&lt;&gt;$B172,$B188&lt;&gt;$B173,$B189&lt;&gt;$B174,$B190&lt;&gt;$B175,$B191&lt;&gt;$B176,$B192&lt;&gt;$B177,$B193&lt;&gt;$B178),IF($B183&lt;&gt;$B168,J168/INDEX($C168:$AJ178,1,MATCH(IF('Data-solution'!$A$3="Maximize",MAX($C179:$AI179),MIN($C179:$AI179)),$C179:$AI179,0)),J168-INDEX($C168:$AJ178,1,MATCH(IF('Data-solution'!$A$3="Maximize",MAX($C179:$AI179),MIN($C179:$AI179)),$C179:$AI179,0))*INDEX(J168:$AJ178,MATCH(MIN($AK168:$AK178),$AK168:$AK178,0),1)/INDEX($C168:$AJ178,MATCH(MIN($AK168:$AK178),$AK168:$AK178,0),MATCH(IF('Data-solution'!$A$3="Maximize",MAX($C179:$AI179),MIN($C179:$AI179)),$C179:$AI179,0))),J168)</f>
        <v>0</v>
      </c>
      <c r="K183" s="1">
        <f>IF(OR($B183&lt;&gt;$B168,$B184&lt;&gt;$B169,$B185&lt;&gt;$B170,$B186&lt;&gt;$B171,$B187&lt;&gt;$B172,$B188&lt;&gt;$B173,$B189&lt;&gt;$B174,$B190&lt;&gt;$B175,$B191&lt;&gt;$B176,$B192&lt;&gt;$B177,$B193&lt;&gt;$B178),IF($B183&lt;&gt;$B168,K168/INDEX($C168:$AJ178,1,MATCH(IF('Data-solution'!$A$3="Maximize",MAX($C179:$AI179),MIN($C179:$AI179)),$C179:$AI179,0)),K168-INDEX($C168:$AJ178,1,MATCH(IF('Data-solution'!$A$3="Maximize",MAX($C179:$AI179),MIN($C179:$AI179)),$C179:$AI179,0))*INDEX(K168:$AJ178,MATCH(MIN($AK168:$AK178),$AK168:$AK178,0),1)/INDEX($C168:$AJ178,MATCH(MIN($AK168:$AK178),$AK168:$AK178,0),MATCH(IF('Data-solution'!$A$3="Maximize",MAX($C179:$AI179),MIN($C179:$AI179)),$C179:$AI179,0))),K168)</f>
        <v>0</v>
      </c>
      <c r="L183" s="1">
        <f>IF(OR($B183&lt;&gt;$B168,$B184&lt;&gt;$B169,$B185&lt;&gt;$B170,$B186&lt;&gt;$B171,$B187&lt;&gt;$B172,$B188&lt;&gt;$B173,$B189&lt;&gt;$B174,$B190&lt;&gt;$B175,$B191&lt;&gt;$B176,$B192&lt;&gt;$B177,$B193&lt;&gt;$B178),IF($B183&lt;&gt;$B168,L168/INDEX($C168:$AJ178,1,MATCH(IF('Data-solution'!$A$3="Maximize",MAX($C179:$AI179),MIN($C179:$AI179)),$C179:$AI179,0)),L168-INDEX($C168:$AJ178,1,MATCH(IF('Data-solution'!$A$3="Maximize",MAX($C179:$AI179),MIN($C179:$AI179)),$C179:$AI179,0))*INDEX(L168:$AJ178,MATCH(MIN($AK168:$AK178),$AK168:$AK178,0),1)/INDEX($C168:$AJ178,MATCH(MIN($AK168:$AK178),$AK168:$AK178,0),MATCH(IF('Data-solution'!$A$3="Maximize",MAX($C179:$AI179),MIN($C179:$AI179)),$C179:$AI179,0))),L168)</f>
        <v>0</v>
      </c>
      <c r="M183" s="1">
        <f>IF(OR($B183&lt;&gt;$B168,$B184&lt;&gt;$B169,$B185&lt;&gt;$B170,$B186&lt;&gt;$B171,$B187&lt;&gt;$B172,$B188&lt;&gt;$B173,$B189&lt;&gt;$B174,$B190&lt;&gt;$B175,$B191&lt;&gt;$B176,$B192&lt;&gt;$B177,$B193&lt;&gt;$B178),IF($B183&lt;&gt;$B168,M168/INDEX($C168:$AJ178,1,MATCH(IF('Data-solution'!$A$3="Maximize",MAX($C179:$AI179),MIN($C179:$AI179)),$C179:$AI179,0)),M168-INDEX($C168:$AJ178,1,MATCH(IF('Data-solution'!$A$3="Maximize",MAX($C179:$AI179),MIN($C179:$AI179)),$C179:$AI179,0))*INDEX(M168:$AJ178,MATCH(MIN($AK168:$AK178),$AK168:$AK178,0),1)/INDEX($C168:$AJ178,MATCH(MIN($AK168:$AK178),$AK168:$AK178,0),MATCH(IF('Data-solution'!$A$3="Maximize",MAX($C179:$AI179),MIN($C179:$AI179)),$C179:$AI179,0))),M168)</f>
        <v>0</v>
      </c>
      <c r="N183" s="1">
        <f>IF(OR($B183&lt;&gt;$B168,$B184&lt;&gt;$B169,$B185&lt;&gt;$B170,$B186&lt;&gt;$B171,$B187&lt;&gt;$B172,$B188&lt;&gt;$B173,$B189&lt;&gt;$B174,$B190&lt;&gt;$B175,$B191&lt;&gt;$B176,$B192&lt;&gt;$B177,$B193&lt;&gt;$B178),IF($B183&lt;&gt;$B168,N168/INDEX($C168:$AJ178,1,MATCH(IF('Data-solution'!$A$3="Maximize",MAX($C179:$AI179),MIN($C179:$AI179)),$C179:$AI179,0)),N168-INDEX($C168:$AJ178,1,MATCH(IF('Data-solution'!$A$3="Maximize",MAX($C179:$AI179),MIN($C179:$AI179)),$C179:$AI179,0))*INDEX(N168:$AJ178,MATCH(MIN($AK168:$AK178),$AK168:$AK178,0),1)/INDEX($C168:$AJ178,MATCH(MIN($AK168:$AK178),$AK168:$AK178,0),MATCH(IF('Data-solution'!$A$3="Maximize",MAX($C179:$AI179),MIN($C179:$AI179)),$C179:$AI179,0))),N168)</f>
        <v>1</v>
      </c>
      <c r="O183" s="1">
        <f>IF(OR($B183&lt;&gt;$B168,$B184&lt;&gt;$B169,$B185&lt;&gt;$B170,$B186&lt;&gt;$B171,$B187&lt;&gt;$B172,$B188&lt;&gt;$B173,$B189&lt;&gt;$B174,$B190&lt;&gt;$B175,$B191&lt;&gt;$B176,$B192&lt;&gt;$B177,$B193&lt;&gt;$B178),IF($B183&lt;&gt;$B168,O168/INDEX($C168:$AJ178,1,MATCH(IF('Data-solution'!$A$3="Maximize",MAX($C179:$AI179),MIN($C179:$AI179)),$C179:$AI179,0)),O168-INDEX($C168:$AJ178,1,MATCH(IF('Data-solution'!$A$3="Maximize",MAX($C179:$AI179),MIN($C179:$AI179)),$C179:$AI179,0))*INDEX(O168:$AJ178,MATCH(MIN($AK168:$AK178),$AK168:$AK178,0),1)/INDEX($C168:$AJ178,MATCH(MIN($AK168:$AK178),$AK168:$AK178,0),MATCH(IF('Data-solution'!$A$3="Maximize",MAX($C179:$AI179),MIN($C179:$AI179)),$C179:$AI179,0))),O168)</f>
        <v>0</v>
      </c>
      <c r="P183" s="1">
        <f>IF(OR($B183&lt;&gt;$B168,$B184&lt;&gt;$B169,$B185&lt;&gt;$B170,$B186&lt;&gt;$B171,$B187&lt;&gt;$B172,$B188&lt;&gt;$B173,$B189&lt;&gt;$B174,$B190&lt;&gt;$B175,$B191&lt;&gt;$B176,$B192&lt;&gt;$B177,$B193&lt;&gt;$B178),IF($B183&lt;&gt;$B168,P168/INDEX($C168:$AJ178,1,MATCH(IF('Data-solution'!$A$3="Maximize",MAX($C179:$AI179),MIN($C179:$AI179)),$C179:$AI179,0)),P168-INDEX($C168:$AJ178,1,MATCH(IF('Data-solution'!$A$3="Maximize",MAX($C179:$AI179),MIN($C179:$AI179)),$C179:$AI179,0))*INDEX(P168:$AJ178,MATCH(MIN($AK168:$AK178),$AK168:$AK178,0),1)/INDEX($C168:$AJ178,MATCH(MIN($AK168:$AK178),$AK168:$AK178,0),MATCH(IF('Data-solution'!$A$3="Maximize",MAX($C179:$AI179),MIN($C179:$AI179)),$C179:$AI179,0))),P168)</f>
        <v>0</v>
      </c>
      <c r="Q183" s="1">
        <f>IF(OR($B183&lt;&gt;$B168,$B184&lt;&gt;$B169,$B185&lt;&gt;$B170,$B186&lt;&gt;$B171,$B187&lt;&gt;$B172,$B188&lt;&gt;$B173,$B189&lt;&gt;$B174,$B190&lt;&gt;$B175,$B191&lt;&gt;$B176,$B192&lt;&gt;$B177,$B193&lt;&gt;$B178),IF($B183&lt;&gt;$B168,Q168/INDEX($C168:$AJ178,1,MATCH(IF('Data-solution'!$A$3="Maximize",MAX($C179:$AI179),MIN($C179:$AI179)),$C179:$AI179,0)),Q168-INDEX($C168:$AJ178,1,MATCH(IF('Data-solution'!$A$3="Maximize",MAX($C179:$AI179),MIN($C179:$AI179)),$C179:$AI179,0))*INDEX(Q168:$AJ178,MATCH(MIN($AK168:$AK178),$AK168:$AK178,0),1)/INDEX($C168:$AJ178,MATCH(MIN($AK168:$AK178),$AK168:$AK178,0),MATCH(IF('Data-solution'!$A$3="Maximize",MAX($C179:$AI179),MIN($C179:$AI179)),$C179:$AI179,0))),Q168)</f>
        <v>-1</v>
      </c>
      <c r="R183" s="1">
        <f>IF(OR($B183&lt;&gt;$B168,$B184&lt;&gt;$B169,$B185&lt;&gt;$B170,$B186&lt;&gt;$B171,$B187&lt;&gt;$B172,$B188&lt;&gt;$B173,$B189&lt;&gt;$B174,$B190&lt;&gt;$B175,$B191&lt;&gt;$B176,$B192&lt;&gt;$B177,$B193&lt;&gt;$B178),IF($B183&lt;&gt;$B168,R168/INDEX($C168:$AJ178,1,MATCH(IF('Data-solution'!$A$3="Maximize",MAX($C179:$AI179),MIN($C179:$AI179)),$C179:$AI179,0)),R168-INDEX($C168:$AJ178,1,MATCH(IF('Data-solution'!$A$3="Maximize",MAX($C179:$AI179),MIN($C179:$AI179)),$C179:$AI179,0))*INDEX(R168:$AJ178,MATCH(MIN($AK168:$AK178),$AK168:$AK178,0),1)/INDEX($C168:$AJ178,MATCH(MIN($AK168:$AK178),$AK168:$AK178,0),MATCH(IF('Data-solution'!$A$3="Maximize",MAX($C179:$AI179),MIN($C179:$AI179)),$C179:$AI179,0))),R168)</f>
        <v>0</v>
      </c>
      <c r="S183" s="1">
        <f>IF(OR($B183&lt;&gt;$B168,$B184&lt;&gt;$B169,$B185&lt;&gt;$B170,$B186&lt;&gt;$B171,$B187&lt;&gt;$B172,$B188&lt;&gt;$B173,$B189&lt;&gt;$B174,$B190&lt;&gt;$B175,$B191&lt;&gt;$B176,$B192&lt;&gt;$B177,$B193&lt;&gt;$B178),IF($B183&lt;&gt;$B168,S168/INDEX($C168:$AJ178,1,MATCH(IF('Data-solution'!$A$3="Maximize",MAX($C179:$AI179),MIN($C179:$AI179)),$C179:$AI179,0)),S168-INDEX($C168:$AJ178,1,MATCH(IF('Data-solution'!$A$3="Maximize",MAX($C179:$AI179),MIN($C179:$AI179)),$C179:$AI179,0))*INDEX(S168:$AJ178,MATCH(MIN($AK168:$AK178),$AK168:$AK178,0),1)/INDEX($C168:$AJ178,MATCH(MIN($AK168:$AK178),$AK168:$AK178,0),MATCH(IF('Data-solution'!$A$3="Maximize",MAX($C179:$AI179),MIN($C179:$AI179)),$C179:$AI179,0))),S168)</f>
        <v>0</v>
      </c>
      <c r="T183" s="1">
        <f>IF(OR($B183&lt;&gt;$B168,$B184&lt;&gt;$B169,$B185&lt;&gt;$B170,$B186&lt;&gt;$B171,$B187&lt;&gt;$B172,$B188&lt;&gt;$B173,$B189&lt;&gt;$B174,$B190&lt;&gt;$B175,$B191&lt;&gt;$B176,$B192&lt;&gt;$B177,$B193&lt;&gt;$B178),IF($B183&lt;&gt;$B168,T168/INDEX($C168:$AJ178,1,MATCH(IF('Data-solution'!$A$3="Maximize",MAX($C179:$AI179),MIN($C179:$AI179)),$C179:$AI179,0)),T168-INDEX($C168:$AJ178,1,MATCH(IF('Data-solution'!$A$3="Maximize",MAX($C179:$AI179),MIN($C179:$AI179)),$C179:$AI179,0))*INDEX(T168:$AJ178,MATCH(MIN($AK168:$AK178),$AK168:$AK178,0),1)/INDEX($C168:$AJ178,MATCH(MIN($AK168:$AK178),$AK168:$AK178,0),MATCH(IF('Data-solution'!$A$3="Maximize",MAX($C179:$AI179),MIN($C179:$AI179)),$C179:$AI179,0))),T168)</f>
        <v>0</v>
      </c>
      <c r="U183" s="1">
        <f>IF(OR($B183&lt;&gt;$B168,$B184&lt;&gt;$B169,$B185&lt;&gt;$B170,$B186&lt;&gt;$B171,$B187&lt;&gt;$B172,$B188&lt;&gt;$B173,$B189&lt;&gt;$B174,$B190&lt;&gt;$B175,$B191&lt;&gt;$B176,$B192&lt;&gt;$B177,$B193&lt;&gt;$B178),IF($B183&lt;&gt;$B168,U168/INDEX($C168:$AJ178,1,MATCH(IF('Data-solution'!$A$3="Maximize",MAX($C179:$AI179),MIN($C179:$AI179)),$C179:$AI179,0)),U168-INDEX($C168:$AJ178,1,MATCH(IF('Data-solution'!$A$3="Maximize",MAX($C179:$AI179),MIN($C179:$AI179)),$C179:$AI179,0))*INDEX(U168:$AJ178,MATCH(MIN($AK168:$AK178),$AK168:$AK178,0),1)/INDEX($C168:$AJ178,MATCH(MIN($AK168:$AK178),$AK168:$AK178,0),MATCH(IF('Data-solution'!$A$3="Maximize",MAX($C179:$AI179),MIN($C179:$AI179)),$C179:$AI179,0))),U168)</f>
        <v>0</v>
      </c>
      <c r="V183" s="1">
        <f>IF(OR($B183&lt;&gt;$B168,$B184&lt;&gt;$B169,$B185&lt;&gt;$B170,$B186&lt;&gt;$B171,$B187&lt;&gt;$B172,$B188&lt;&gt;$B173,$B189&lt;&gt;$B174,$B190&lt;&gt;$B175,$B191&lt;&gt;$B176,$B192&lt;&gt;$B177,$B193&lt;&gt;$B178),IF($B183&lt;&gt;$B168,V168/INDEX($C168:$AJ178,1,MATCH(IF('Data-solution'!$A$3="Maximize",MAX($C179:$AI179),MIN($C179:$AI179)),$C179:$AI179,0)),V168-INDEX($C168:$AJ178,1,MATCH(IF('Data-solution'!$A$3="Maximize",MAX($C179:$AI179),MIN($C179:$AI179)),$C179:$AI179,0))*INDEX(V168:$AJ178,MATCH(MIN($AK168:$AK178),$AK168:$AK178,0),1)/INDEX($C168:$AJ178,MATCH(MIN($AK168:$AK178),$AK168:$AK178,0),MATCH(IF('Data-solution'!$A$3="Maximize",MAX($C179:$AI179),MIN($C179:$AI179)),$C179:$AI179,0))),V168)</f>
        <v>0</v>
      </c>
      <c r="W183" s="1">
        <f>IF(OR($B183&lt;&gt;$B168,$B184&lt;&gt;$B169,$B185&lt;&gt;$B170,$B186&lt;&gt;$B171,$B187&lt;&gt;$B172,$B188&lt;&gt;$B173,$B189&lt;&gt;$B174,$B190&lt;&gt;$B175,$B191&lt;&gt;$B176,$B192&lt;&gt;$B177,$B193&lt;&gt;$B178),IF($B183&lt;&gt;$B168,W168/INDEX($C168:$AJ178,1,MATCH(IF('Data-solution'!$A$3="Maximize",MAX($C179:$AI179),MIN($C179:$AI179)),$C179:$AI179,0)),W168-INDEX($C168:$AJ178,1,MATCH(IF('Data-solution'!$A$3="Maximize",MAX($C179:$AI179),MIN($C179:$AI179)),$C179:$AI179,0))*INDEX(W168:$AJ178,MATCH(MIN($AK168:$AK178),$AK168:$AK178,0),1)/INDEX($C168:$AJ178,MATCH(MIN($AK168:$AK178),$AK168:$AK178,0),MATCH(IF('Data-solution'!$A$3="Maximize",MAX($C179:$AI179),MIN($C179:$AI179)),$C179:$AI179,0))),W168)</f>
        <v>0</v>
      </c>
      <c r="X183" s="1">
        <f>IF(OR($B183&lt;&gt;$B168,$B184&lt;&gt;$B169,$B185&lt;&gt;$B170,$B186&lt;&gt;$B171,$B187&lt;&gt;$B172,$B188&lt;&gt;$B173,$B189&lt;&gt;$B174,$B190&lt;&gt;$B175,$B191&lt;&gt;$B176,$B192&lt;&gt;$B177,$B193&lt;&gt;$B178),IF($B183&lt;&gt;$B168,X168/INDEX($C168:$AJ178,1,MATCH(IF('Data-solution'!$A$3="Maximize",MAX($C179:$AI179),MIN($C179:$AI179)),$C179:$AI179,0)),X168-INDEX($C168:$AJ178,1,MATCH(IF('Data-solution'!$A$3="Maximize",MAX($C179:$AI179),MIN($C179:$AI179)),$C179:$AI179,0))*INDEX(X168:$AJ178,MATCH(MIN($AK168:$AK178),$AK168:$AK178,0),1)/INDEX($C168:$AJ178,MATCH(MIN($AK168:$AK178),$AK168:$AK178,0),MATCH(IF('Data-solution'!$A$3="Maximize",MAX($C179:$AI179),MIN($C179:$AI179)),$C179:$AI179,0))),X168)</f>
        <v>0</v>
      </c>
      <c r="Y183" s="1">
        <f>IF(OR($B183&lt;&gt;$B168,$B184&lt;&gt;$B169,$B185&lt;&gt;$B170,$B186&lt;&gt;$B171,$B187&lt;&gt;$B172,$B188&lt;&gt;$B173,$B189&lt;&gt;$B174,$B190&lt;&gt;$B175,$B191&lt;&gt;$B176,$B192&lt;&gt;$B177,$B193&lt;&gt;$B178),IF($B183&lt;&gt;$B168,Y168/INDEX($C168:$AJ178,1,MATCH(IF('Data-solution'!$A$3="Maximize",MAX($C179:$AI179),MIN($C179:$AI179)),$C179:$AI179,0)),Y168-INDEX($C168:$AJ178,1,MATCH(IF('Data-solution'!$A$3="Maximize",MAX($C179:$AI179),MIN($C179:$AI179)),$C179:$AI179,0))*INDEX(Y168:$AJ178,MATCH(MIN($AK168:$AK178),$AK168:$AK178,0),1)/INDEX($C168:$AJ178,MATCH(MIN($AK168:$AK178),$AK168:$AK178,0),MATCH(IF('Data-solution'!$A$3="Maximize",MAX($C179:$AI179),MIN($C179:$AI179)),$C179:$AI179,0))),Y168)</f>
        <v>1</v>
      </c>
      <c r="Z183" s="1">
        <f>IF(OR($B183&lt;&gt;$B168,$B184&lt;&gt;$B169,$B185&lt;&gt;$B170,$B186&lt;&gt;$B171,$B187&lt;&gt;$B172,$B188&lt;&gt;$B173,$B189&lt;&gt;$B174,$B190&lt;&gt;$B175,$B191&lt;&gt;$B176,$B192&lt;&gt;$B177,$B193&lt;&gt;$B178),IF($B183&lt;&gt;$B168,Z168/INDEX($C168:$AJ178,1,MATCH(IF('Data-solution'!$A$3="Maximize",MAX($C179:$AI179),MIN($C179:$AI179)),$C179:$AI179,0)),Z168-INDEX($C168:$AJ178,1,MATCH(IF('Data-solution'!$A$3="Maximize",MAX($C179:$AI179),MIN($C179:$AI179)),$C179:$AI179,0))*INDEX(Z168:$AJ178,MATCH(MIN($AK168:$AK178),$AK168:$AK178,0),1)/INDEX($C168:$AJ178,MATCH(MIN($AK168:$AK178),$AK168:$AK178,0),MATCH(IF('Data-solution'!$A$3="Maximize",MAX($C179:$AI179),MIN($C179:$AI179)),$C179:$AI179,0))),Z168)</f>
        <v>0</v>
      </c>
      <c r="AA183" s="1">
        <f>IF(OR($B183&lt;&gt;$B168,$B184&lt;&gt;$B169,$B185&lt;&gt;$B170,$B186&lt;&gt;$B171,$B187&lt;&gt;$B172,$B188&lt;&gt;$B173,$B189&lt;&gt;$B174,$B190&lt;&gt;$B175,$B191&lt;&gt;$B176,$B192&lt;&gt;$B177,$B193&lt;&gt;$B178),IF($B183&lt;&gt;$B168,AA168/INDEX($C168:$AJ178,1,MATCH(IF('Data-solution'!$A$3="Maximize",MAX($C179:$AI179),MIN($C179:$AI179)),$C179:$AI179,0)),AA168-INDEX($C168:$AJ178,1,MATCH(IF('Data-solution'!$A$3="Maximize",MAX($C179:$AI179),MIN($C179:$AI179)),$C179:$AI179,0))*INDEX(AA168:$AJ178,MATCH(MIN($AK168:$AK178),$AK168:$AK178,0),1)/INDEX($C168:$AJ178,MATCH(MIN($AK168:$AK178),$AK168:$AK178,0),MATCH(IF('Data-solution'!$A$3="Maximize",MAX($C179:$AI179),MIN($C179:$AI179)),$C179:$AI179,0))),AA168)</f>
        <v>0</v>
      </c>
      <c r="AB183" s="1">
        <f>IF(OR($B183&lt;&gt;$B168,$B184&lt;&gt;$B169,$B185&lt;&gt;$B170,$B186&lt;&gt;$B171,$B187&lt;&gt;$B172,$B188&lt;&gt;$B173,$B189&lt;&gt;$B174,$B190&lt;&gt;$B175,$B191&lt;&gt;$B176,$B192&lt;&gt;$B177,$B193&lt;&gt;$B178),IF($B183&lt;&gt;$B168,AB168/INDEX($C168:$AJ178,1,MATCH(IF('Data-solution'!$A$3="Maximize",MAX($C179:$AI179),MIN($C179:$AI179)),$C179:$AI179,0)),AB168-INDEX($C168:$AJ178,1,MATCH(IF('Data-solution'!$A$3="Maximize",MAX($C179:$AI179),MIN($C179:$AI179)),$C179:$AI179,0))*INDEX(AB168:$AJ178,MATCH(MIN($AK168:$AK178),$AK168:$AK178,0),1)/INDEX($C168:$AJ178,MATCH(MIN($AK168:$AK178),$AK168:$AK178,0),MATCH(IF('Data-solution'!$A$3="Maximize",MAX($C179:$AI179),MIN($C179:$AI179)),$C179:$AI179,0))),AB168)</f>
        <v>-1</v>
      </c>
      <c r="AC183" s="1">
        <f>IF(OR($B183&lt;&gt;$B168,$B184&lt;&gt;$B169,$B185&lt;&gt;$B170,$B186&lt;&gt;$B171,$B187&lt;&gt;$B172,$B188&lt;&gt;$B173,$B189&lt;&gt;$B174,$B190&lt;&gt;$B175,$B191&lt;&gt;$B176,$B192&lt;&gt;$B177,$B193&lt;&gt;$B178),IF($B183&lt;&gt;$B168,AC168/INDEX($C168:$AJ178,1,MATCH(IF('Data-solution'!$A$3="Maximize",MAX($C179:$AI179),MIN($C179:$AI179)),$C179:$AI179,0)),AC168-INDEX($C168:$AJ178,1,MATCH(IF('Data-solution'!$A$3="Maximize",MAX($C179:$AI179),MIN($C179:$AI179)),$C179:$AI179,0))*INDEX(AC168:$AJ178,MATCH(MIN($AK168:$AK178),$AK168:$AK178,0),1)/INDEX($C168:$AJ178,MATCH(MIN($AK168:$AK178),$AK168:$AK178,0),MATCH(IF('Data-solution'!$A$3="Maximize",MAX($C179:$AI179),MIN($C179:$AI179)),$C179:$AI179,0))),AC168)</f>
        <v>0</v>
      </c>
      <c r="AD183" s="1">
        <f>IF(OR($B183&lt;&gt;$B168,$B184&lt;&gt;$B169,$B185&lt;&gt;$B170,$B186&lt;&gt;$B171,$B187&lt;&gt;$B172,$B188&lt;&gt;$B173,$B189&lt;&gt;$B174,$B190&lt;&gt;$B175,$B191&lt;&gt;$B176,$B192&lt;&gt;$B177,$B193&lt;&gt;$B178),IF($B183&lt;&gt;$B168,AD168/INDEX($C168:$AJ178,1,MATCH(IF('Data-solution'!$A$3="Maximize",MAX($C179:$AI179),MIN($C179:$AI179)),$C179:$AI179,0)),AD168-INDEX($C168:$AJ178,1,MATCH(IF('Data-solution'!$A$3="Maximize",MAX($C179:$AI179),MIN($C179:$AI179)),$C179:$AI179,0))*INDEX(AD168:$AJ178,MATCH(MIN($AK168:$AK178),$AK168:$AK178,0),1)/INDEX($C168:$AJ178,MATCH(MIN($AK168:$AK178),$AK168:$AK178,0),MATCH(IF('Data-solution'!$A$3="Maximize",MAX($C179:$AI179),MIN($C179:$AI179)),$C179:$AI179,0))),AD168)</f>
        <v>0</v>
      </c>
      <c r="AE183" s="1">
        <f>IF(OR($B183&lt;&gt;$B168,$B184&lt;&gt;$B169,$B185&lt;&gt;$B170,$B186&lt;&gt;$B171,$B187&lt;&gt;$B172,$B188&lt;&gt;$B173,$B189&lt;&gt;$B174,$B190&lt;&gt;$B175,$B191&lt;&gt;$B176,$B192&lt;&gt;$B177,$B193&lt;&gt;$B178),IF($B183&lt;&gt;$B168,AE168/INDEX($C168:$AJ178,1,MATCH(IF('Data-solution'!$A$3="Maximize",MAX($C179:$AI179),MIN($C179:$AI179)),$C179:$AI179,0)),AE168-INDEX($C168:$AJ178,1,MATCH(IF('Data-solution'!$A$3="Maximize",MAX($C179:$AI179),MIN($C179:$AI179)),$C179:$AI179,0))*INDEX(AE168:$AJ178,MATCH(MIN($AK168:$AK178),$AK168:$AK178,0),1)/INDEX($C168:$AJ178,MATCH(MIN($AK168:$AK178),$AK168:$AK178,0),MATCH(IF('Data-solution'!$A$3="Maximize",MAX($C179:$AI179),MIN($C179:$AI179)),$C179:$AI179,0))),AE168)</f>
        <v>0</v>
      </c>
      <c r="AF183" s="1">
        <f>IF(OR($B183&lt;&gt;$B168,$B184&lt;&gt;$B169,$B185&lt;&gt;$B170,$B186&lt;&gt;$B171,$B187&lt;&gt;$B172,$B188&lt;&gt;$B173,$B189&lt;&gt;$B174,$B190&lt;&gt;$B175,$B191&lt;&gt;$B176,$B192&lt;&gt;$B177,$B193&lt;&gt;$B178),IF($B183&lt;&gt;$B168,AF168/INDEX($C168:$AJ178,1,MATCH(IF('Data-solution'!$A$3="Maximize",MAX($C179:$AI179),MIN($C179:$AI179)),$C179:$AI179,0)),AF168-INDEX($C168:$AJ178,1,MATCH(IF('Data-solution'!$A$3="Maximize",MAX($C179:$AI179),MIN($C179:$AI179)),$C179:$AI179,0))*INDEX(AF168:$AJ178,MATCH(MIN($AK168:$AK178),$AK168:$AK178,0),1)/INDEX($C168:$AJ178,MATCH(MIN($AK168:$AK178),$AK168:$AK178,0),MATCH(IF('Data-solution'!$A$3="Maximize",MAX($C179:$AI179),MIN($C179:$AI179)),$C179:$AI179,0))),AF168)</f>
        <v>0</v>
      </c>
      <c r="AG183" s="1">
        <f>IF(OR($B183&lt;&gt;$B168,$B184&lt;&gt;$B169,$B185&lt;&gt;$B170,$B186&lt;&gt;$B171,$B187&lt;&gt;$B172,$B188&lt;&gt;$B173,$B189&lt;&gt;$B174,$B190&lt;&gt;$B175,$B191&lt;&gt;$B176,$B192&lt;&gt;$B177,$B193&lt;&gt;$B178),IF($B183&lt;&gt;$B168,AG168/INDEX($C168:$AJ178,1,MATCH(IF('Data-solution'!$A$3="Maximize",MAX($C179:$AI179),MIN($C179:$AI179)),$C179:$AI179,0)),AG168-INDEX($C168:$AJ178,1,MATCH(IF('Data-solution'!$A$3="Maximize",MAX($C179:$AI179),MIN($C179:$AI179)),$C179:$AI179,0))*INDEX(AG168:$AJ178,MATCH(MIN($AK168:$AK178),$AK168:$AK178,0),1)/INDEX($C168:$AJ178,MATCH(MIN($AK168:$AK178),$AK168:$AK178,0),MATCH(IF('Data-solution'!$A$3="Maximize",MAX($C179:$AI179),MIN($C179:$AI179)),$C179:$AI179,0))),AG168)</f>
        <v>0</v>
      </c>
      <c r="AH183" s="1">
        <f>IF(OR($B183&lt;&gt;$B168,$B184&lt;&gt;$B169,$B185&lt;&gt;$B170,$B186&lt;&gt;$B171,$B187&lt;&gt;$B172,$B188&lt;&gt;$B173,$B189&lt;&gt;$B174,$B190&lt;&gt;$B175,$B191&lt;&gt;$B176,$B192&lt;&gt;$B177,$B193&lt;&gt;$B178),IF($B183&lt;&gt;$B168,AH168/INDEX($C168:$AJ178,1,MATCH(IF('Data-solution'!$A$3="Maximize",MAX($C179:$AI179),MIN($C179:$AI179)),$C179:$AI179,0)),AH168-INDEX($C168:$AJ178,1,MATCH(IF('Data-solution'!$A$3="Maximize",MAX($C179:$AI179),MIN($C179:$AI179)),$C179:$AI179,0))*INDEX(AH168:$AJ178,MATCH(MIN($AK168:$AK178),$AK168:$AK178,0),1)/INDEX($C168:$AJ178,MATCH(MIN($AK168:$AK178),$AK168:$AK178,0),MATCH(IF('Data-solution'!$A$3="Maximize",MAX($C179:$AI179),MIN($C179:$AI179)),$C179:$AI179,0))),AH168)</f>
        <v>0</v>
      </c>
      <c r="AI183" s="1">
        <f>IF(OR($B183&lt;&gt;$B168,$B184&lt;&gt;$B169,$B185&lt;&gt;$B170,$B186&lt;&gt;$B171,$B187&lt;&gt;$B172,$B188&lt;&gt;$B173,$B189&lt;&gt;$B174,$B190&lt;&gt;$B175,$B191&lt;&gt;$B176,$B192&lt;&gt;$B177,$B193&lt;&gt;$B178),IF($B183&lt;&gt;$B168,AI168/INDEX($C168:$AJ178,1,MATCH(IF('Data-solution'!$A$3="Maximize",MAX($C179:$AI179),MIN($C179:$AI179)),$C179:$AI179,0)),AI168-INDEX($C168:$AJ178,1,MATCH(IF('Data-solution'!$A$3="Maximize",MAX($C179:$AI179),MIN($C179:$AI179)),$C179:$AI179,0))*INDEX(AI168:$AJ178,MATCH(MIN($AK168:$AK178),$AK168:$AK178,0),1)/INDEX($C168:$AJ178,MATCH(MIN($AK168:$AK178),$AK168:$AK178,0),MATCH(IF('Data-solution'!$A$3="Maximize",MAX($C179:$AI179),MIN($C179:$AI179)),$C179:$AI179,0))),AI168)</f>
        <v>0</v>
      </c>
      <c r="AJ183" s="1">
        <f>IF(OR($B183&lt;&gt;$B168,$B184&lt;&gt;$B169,$B185&lt;&gt;$B170,$B186&lt;&gt;$B171,$B187&lt;&gt;$B172,$B188&lt;&gt;$B173,$B189&lt;&gt;$B174,$B190&lt;&gt;$B175,$B191&lt;&gt;$B176,$B192&lt;&gt;$B177,$B193&lt;&gt;$B178),IF($B183&lt;&gt;$B168,AJ168/INDEX($C168:$AJ178,1,MATCH(IF('Data-solution'!$A$3="Maximize",MAX($C179:$AI179),MIN($C179:$AI179)),$C179:$AI179,0)),AJ168-INDEX($C168:$AJ178,1,MATCH(IF('Data-solution'!$A$3="Maximize",MAX($C179:$AI179),MIN($C179:$AI179)),$C179:$AI179,0))*INDEX(AJ168:$AJ178,MATCH(MIN($AK168:$AK178),$AK168:$AK178,0),1)/INDEX($C168:$AJ178,MATCH(MIN($AK168:$AK178),$AK168:$AK178,0),MATCH(IF('Data-solution'!$A$3="Maximize",MAX($C179:$AI179),MIN($C179:$AI179)),$C179:$AI179,0))),AJ168)</f>
        <v>150</v>
      </c>
      <c r="AK183" s="1" t="str">
        <f>IF(INDEX(C183:X183,1,MATCH(IF('Data-solution'!A$3="Maximize",MAX(C194:X194),MIN(C194:X194)),C194:X194,0))&gt;0,AJ183/INDEX(C183:X183,1,MATCH(IF('Data-solution'!A$3="Maximize",MAX(C194:X194),MIN(C194:X194)),C194:X194,0))," ")</f>
        <v xml:space="preserve"> </v>
      </c>
    </row>
    <row r="184" spans="1:37" ht="18" customHeight="1" x14ac:dyDescent="0.2">
      <c r="A184" s="1">
        <f t="shared" ref="A184" si="157">INDEX(C181:AI181,1,MATCH(B184,C182:AI182,0))</f>
        <v>0</v>
      </c>
      <c r="B184" s="2" t="str">
        <f>IF(AND('Data-solution'!A$3="Maximize",COUNTIF(C179:X179,"&gt;"&amp;0)&gt;0,AK169=MIN(AK168:AK178),COUNTIF(B183,INDEX(C167:X167,1,MATCH(MAX(C179:X179),C179:X179,0)))=0),INDEX(C167:X167,1,MATCH(MAX(C179:X179),C179:X179,0)),IF(AND('Data-solution'!A$3="Minimize",COUNTIF(C179:X179,"&lt;"&amp;0)&gt;0,AK169=MIN(AK168:AK178),COUNTIF(B183,INDEX(C167:X167,1,MATCH(MIN(C179:X179),C179:X179,0)))=0),INDEX(C167:X167,1,MATCH(MIN(C179:X179),C179:X179,0)),B169))</f>
        <v>S2</v>
      </c>
      <c r="C184" s="1">
        <f>IF(OR($B183&lt;&gt;$B168,$B184&lt;&gt;$B169,$B185&lt;&gt;$B170,$B186&lt;&gt;$B171,$B187&lt;&gt;$B172,$B188&lt;&gt;$B173,$B189&lt;&gt;$B174,$B190&lt;&gt;$B175,$B191&lt;&gt;$B176,$B192&lt;&gt;$B177,$B193&lt;&gt;$B178),IF($B184&lt;&gt;$B169,C169/INDEX($C168:$AJ178,2,MATCH(IF('Data-solution'!$A$3="Maximize",MAX($C179:$AI179),MIN($C179:$AI179)),$C179:$AI179,0)),C169-INDEX($C168:$AJ178,2,MATCH(IF('Data-solution'!$A$3="Maximize",MAX($C179:$AI179),MIN($C179:$AI179)),$C179:$AI179,0))*INDEX(C168:$AJ178,MATCH(MIN($AK168:$AK178),$AK168:$AK178,0),1)/INDEX($C168:$AJ178,MATCH(MIN($AK168:$AK178),$AK168:$AK178,0),MATCH(IF('Data-solution'!$A$3="Maximize",MAX($C179:$AI179),MIN($C179:$AI179)),$C179:$AI179,0))),C169)</f>
        <v>0</v>
      </c>
      <c r="D184" s="1">
        <f>IF(OR($B183&lt;&gt;$B168,$B184&lt;&gt;$B169,$B185&lt;&gt;$B170,$B186&lt;&gt;$B171,$B187&lt;&gt;$B172,$B188&lt;&gt;$B173,$B189&lt;&gt;$B174,$B190&lt;&gt;$B175,$B191&lt;&gt;$B176,$B192&lt;&gt;$B177,$B193&lt;&gt;$B178),IF($B184&lt;&gt;$B169,D169/INDEX($C168:$AJ178,2,MATCH(IF('Data-solution'!$A$3="Maximize",MAX($C179:$AI179),MIN($C179:$AI179)),$C179:$AI179,0)),D169-INDEX($C168:$AJ178,2,MATCH(IF('Data-solution'!$A$3="Maximize",MAX($C179:$AI179),MIN($C179:$AI179)),$C179:$AI179,0))*INDEX(D168:$AJ178,MATCH(MIN($AK168:$AK178),$AK168:$AK178,0),1)/INDEX($C168:$AJ178,MATCH(MIN($AK168:$AK178),$AK168:$AK178,0),MATCH(IF('Data-solution'!$A$3="Maximize",MAX($C179:$AI179),MIN($C179:$AI179)),$C179:$AI179,0))),D169)</f>
        <v>1.75</v>
      </c>
      <c r="E184" s="1">
        <f>IF(OR($B183&lt;&gt;$B168,$B184&lt;&gt;$B169,$B185&lt;&gt;$B170,$B186&lt;&gt;$B171,$B187&lt;&gt;$B172,$B188&lt;&gt;$B173,$B189&lt;&gt;$B174,$B190&lt;&gt;$B175,$B191&lt;&gt;$B176,$B192&lt;&gt;$B177,$B193&lt;&gt;$B178),IF($B184&lt;&gt;$B169,E169/INDEX($C168:$AJ178,2,MATCH(IF('Data-solution'!$A$3="Maximize",MAX($C179:$AI179),MIN($C179:$AI179)),$C179:$AI179,0)),E169-INDEX($C168:$AJ178,2,MATCH(IF('Data-solution'!$A$3="Maximize",MAX($C179:$AI179),MIN($C179:$AI179)),$C179:$AI179,0))*INDEX(E168:$AJ178,MATCH(MIN($AK168:$AK178),$AK168:$AK178,0),1)/INDEX($C168:$AJ178,MATCH(MIN($AK168:$AK178),$AK168:$AK178,0),MATCH(IF('Data-solution'!$A$3="Maximize",MAX($C179:$AI179),MIN($C179:$AI179)),$C179:$AI179,0))),E169)</f>
        <v>0</v>
      </c>
      <c r="F184" s="1">
        <f>IF(OR($B183&lt;&gt;$B168,$B184&lt;&gt;$B169,$B185&lt;&gt;$B170,$B186&lt;&gt;$B171,$B187&lt;&gt;$B172,$B188&lt;&gt;$B173,$B189&lt;&gt;$B174,$B190&lt;&gt;$B175,$B191&lt;&gt;$B176,$B192&lt;&gt;$B177,$B193&lt;&gt;$B178),IF($B184&lt;&gt;$B169,F169/INDEX($C168:$AJ178,2,MATCH(IF('Data-solution'!$A$3="Maximize",MAX($C179:$AI179),MIN($C179:$AI179)),$C179:$AI179,0)),F169-INDEX($C168:$AJ178,2,MATCH(IF('Data-solution'!$A$3="Maximize",MAX($C179:$AI179),MIN($C179:$AI179)),$C179:$AI179,0))*INDEX(F168:$AJ178,MATCH(MIN($AK168:$AK178),$AK168:$AK178,0),1)/INDEX($C168:$AJ178,MATCH(MIN($AK168:$AK178),$AK168:$AK178,0),MATCH(IF('Data-solution'!$A$3="Maximize",MAX($C179:$AI179),MIN($C179:$AI179)),$C179:$AI179,0))),F169)</f>
        <v>0</v>
      </c>
      <c r="G184" s="1">
        <f>IF(OR($B183&lt;&gt;$B168,$B184&lt;&gt;$B169,$B185&lt;&gt;$B170,$B186&lt;&gt;$B171,$B187&lt;&gt;$B172,$B188&lt;&gt;$B173,$B189&lt;&gt;$B174,$B190&lt;&gt;$B175,$B191&lt;&gt;$B176,$B192&lt;&gt;$B177,$B193&lt;&gt;$B178),IF($B184&lt;&gt;$B169,G169/INDEX($C168:$AJ178,2,MATCH(IF('Data-solution'!$A$3="Maximize",MAX($C179:$AI179),MIN($C179:$AI179)),$C179:$AI179,0)),G169-INDEX($C168:$AJ178,2,MATCH(IF('Data-solution'!$A$3="Maximize",MAX($C179:$AI179),MIN($C179:$AI179)),$C179:$AI179,0))*INDEX(G168:$AJ178,MATCH(MIN($AK168:$AK178),$AK168:$AK178,0),1)/INDEX($C168:$AJ178,MATCH(MIN($AK168:$AK178),$AK168:$AK178,0),MATCH(IF('Data-solution'!$A$3="Maximize",MAX($C179:$AI179),MIN($C179:$AI179)),$C179:$AI179,0))),G169)</f>
        <v>0</v>
      </c>
      <c r="H184" s="1">
        <f>IF(OR($B183&lt;&gt;$B168,$B184&lt;&gt;$B169,$B185&lt;&gt;$B170,$B186&lt;&gt;$B171,$B187&lt;&gt;$B172,$B188&lt;&gt;$B173,$B189&lt;&gt;$B174,$B190&lt;&gt;$B175,$B191&lt;&gt;$B176,$B192&lt;&gt;$B177,$B193&lt;&gt;$B178),IF($B184&lt;&gt;$B169,H169/INDEX($C168:$AJ178,2,MATCH(IF('Data-solution'!$A$3="Maximize",MAX($C179:$AI179),MIN($C179:$AI179)),$C179:$AI179,0)),H169-INDEX($C168:$AJ178,2,MATCH(IF('Data-solution'!$A$3="Maximize",MAX($C179:$AI179),MIN($C179:$AI179)),$C179:$AI179,0))*INDEX(H168:$AJ178,MATCH(MIN($AK168:$AK178),$AK168:$AK178,0),1)/INDEX($C168:$AJ178,MATCH(MIN($AK168:$AK178),$AK168:$AK178,0),MATCH(IF('Data-solution'!$A$3="Maximize",MAX($C179:$AI179),MIN($C179:$AI179)),$C179:$AI179,0))),H169)</f>
        <v>0</v>
      </c>
      <c r="I184" s="1">
        <f>IF(OR($B183&lt;&gt;$B168,$B184&lt;&gt;$B169,$B185&lt;&gt;$B170,$B186&lt;&gt;$B171,$B187&lt;&gt;$B172,$B188&lt;&gt;$B173,$B189&lt;&gt;$B174,$B190&lt;&gt;$B175,$B191&lt;&gt;$B176,$B192&lt;&gt;$B177,$B193&lt;&gt;$B178),IF($B184&lt;&gt;$B169,I169/INDEX($C168:$AJ178,2,MATCH(IF('Data-solution'!$A$3="Maximize",MAX($C179:$AI179),MIN($C179:$AI179)),$C179:$AI179,0)),I169-INDEX($C168:$AJ178,2,MATCH(IF('Data-solution'!$A$3="Maximize",MAX($C179:$AI179),MIN($C179:$AI179)),$C179:$AI179,0))*INDEX(I168:$AJ178,MATCH(MIN($AK168:$AK178),$AK168:$AK178,0),1)/INDEX($C168:$AJ178,MATCH(MIN($AK168:$AK178),$AK168:$AK178,0),MATCH(IF('Data-solution'!$A$3="Maximize",MAX($C179:$AI179),MIN($C179:$AI179)),$C179:$AI179,0))),I169)</f>
        <v>0</v>
      </c>
      <c r="J184" s="1">
        <f>IF(OR($B183&lt;&gt;$B168,$B184&lt;&gt;$B169,$B185&lt;&gt;$B170,$B186&lt;&gt;$B171,$B187&lt;&gt;$B172,$B188&lt;&gt;$B173,$B189&lt;&gt;$B174,$B190&lt;&gt;$B175,$B191&lt;&gt;$B176,$B192&lt;&gt;$B177,$B193&lt;&gt;$B178),IF($B184&lt;&gt;$B169,J169/INDEX($C168:$AJ178,2,MATCH(IF('Data-solution'!$A$3="Maximize",MAX($C179:$AI179),MIN($C179:$AI179)),$C179:$AI179,0)),J169-INDEX($C168:$AJ178,2,MATCH(IF('Data-solution'!$A$3="Maximize",MAX($C179:$AI179),MIN($C179:$AI179)),$C179:$AI179,0))*INDEX(J168:$AJ178,MATCH(MIN($AK168:$AK178),$AK168:$AK178,0),1)/INDEX($C168:$AJ178,MATCH(MIN($AK168:$AK178),$AK168:$AK178,0),MATCH(IF('Data-solution'!$A$3="Maximize",MAX($C179:$AI179),MIN($C179:$AI179)),$C179:$AI179,0))),J169)</f>
        <v>0</v>
      </c>
      <c r="K184" s="1">
        <f>IF(OR($B183&lt;&gt;$B168,$B184&lt;&gt;$B169,$B185&lt;&gt;$B170,$B186&lt;&gt;$B171,$B187&lt;&gt;$B172,$B188&lt;&gt;$B173,$B189&lt;&gt;$B174,$B190&lt;&gt;$B175,$B191&lt;&gt;$B176,$B192&lt;&gt;$B177,$B193&lt;&gt;$B178),IF($B184&lt;&gt;$B169,K169/INDEX($C168:$AJ178,2,MATCH(IF('Data-solution'!$A$3="Maximize",MAX($C179:$AI179),MIN($C179:$AI179)),$C179:$AI179,0)),K169-INDEX($C168:$AJ178,2,MATCH(IF('Data-solution'!$A$3="Maximize",MAX($C179:$AI179),MIN($C179:$AI179)),$C179:$AI179,0))*INDEX(K168:$AJ178,MATCH(MIN($AK168:$AK178),$AK168:$AK178,0),1)/INDEX($C168:$AJ178,MATCH(MIN($AK168:$AK178),$AK168:$AK178,0),MATCH(IF('Data-solution'!$A$3="Maximize",MAX($C179:$AI179),MIN($C179:$AI179)),$C179:$AI179,0))),K169)</f>
        <v>0</v>
      </c>
      <c r="L184" s="1">
        <f>IF(OR($B183&lt;&gt;$B168,$B184&lt;&gt;$B169,$B185&lt;&gt;$B170,$B186&lt;&gt;$B171,$B187&lt;&gt;$B172,$B188&lt;&gt;$B173,$B189&lt;&gt;$B174,$B190&lt;&gt;$B175,$B191&lt;&gt;$B176,$B192&lt;&gt;$B177,$B193&lt;&gt;$B178),IF($B184&lt;&gt;$B169,L169/INDEX($C168:$AJ178,2,MATCH(IF('Data-solution'!$A$3="Maximize",MAX($C179:$AI179),MIN($C179:$AI179)),$C179:$AI179,0)),L169-INDEX($C168:$AJ178,2,MATCH(IF('Data-solution'!$A$3="Maximize",MAX($C179:$AI179),MIN($C179:$AI179)),$C179:$AI179,0))*INDEX(L168:$AJ178,MATCH(MIN($AK168:$AK178),$AK168:$AK178,0),1)/INDEX($C168:$AJ178,MATCH(MIN($AK168:$AK178),$AK168:$AK178,0),MATCH(IF('Data-solution'!$A$3="Maximize",MAX($C179:$AI179),MIN($C179:$AI179)),$C179:$AI179,0))),L169)</f>
        <v>0</v>
      </c>
      <c r="M184" s="1">
        <f>IF(OR($B183&lt;&gt;$B168,$B184&lt;&gt;$B169,$B185&lt;&gt;$B170,$B186&lt;&gt;$B171,$B187&lt;&gt;$B172,$B188&lt;&gt;$B173,$B189&lt;&gt;$B174,$B190&lt;&gt;$B175,$B191&lt;&gt;$B176,$B192&lt;&gt;$B177,$B193&lt;&gt;$B178),IF($B184&lt;&gt;$B169,M169/INDEX($C168:$AJ178,2,MATCH(IF('Data-solution'!$A$3="Maximize",MAX($C179:$AI179),MIN($C179:$AI179)),$C179:$AI179,0)),M169-INDEX($C168:$AJ178,2,MATCH(IF('Data-solution'!$A$3="Maximize",MAX($C179:$AI179),MIN($C179:$AI179)),$C179:$AI179,0))*INDEX(M168:$AJ178,MATCH(MIN($AK168:$AK178),$AK168:$AK178,0),1)/INDEX($C168:$AJ178,MATCH(MIN($AK168:$AK178),$AK168:$AK178,0),MATCH(IF('Data-solution'!$A$3="Maximize",MAX($C179:$AI179),MIN($C179:$AI179)),$C179:$AI179,0))),M169)</f>
        <v>0</v>
      </c>
      <c r="N184" s="1">
        <f>IF(OR($B183&lt;&gt;$B168,$B184&lt;&gt;$B169,$B185&lt;&gt;$B170,$B186&lt;&gt;$B171,$B187&lt;&gt;$B172,$B188&lt;&gt;$B173,$B189&lt;&gt;$B174,$B190&lt;&gt;$B175,$B191&lt;&gt;$B176,$B192&lt;&gt;$B177,$B193&lt;&gt;$B178),IF($B184&lt;&gt;$B169,N169/INDEX($C168:$AJ178,2,MATCH(IF('Data-solution'!$A$3="Maximize",MAX($C179:$AI179),MIN($C179:$AI179)),$C179:$AI179,0)),N169-INDEX($C168:$AJ178,2,MATCH(IF('Data-solution'!$A$3="Maximize",MAX($C179:$AI179),MIN($C179:$AI179)),$C179:$AI179,0))*INDEX(N168:$AJ178,MATCH(MIN($AK168:$AK178),$AK168:$AK178,0),1)/INDEX($C168:$AJ178,MATCH(MIN($AK168:$AK178),$AK168:$AK178,0),MATCH(IF('Data-solution'!$A$3="Maximize",MAX($C179:$AI179),MIN($C179:$AI179)),$C179:$AI179,0))),N169)</f>
        <v>0</v>
      </c>
      <c r="O184" s="1">
        <f>IF(OR($B183&lt;&gt;$B168,$B184&lt;&gt;$B169,$B185&lt;&gt;$B170,$B186&lt;&gt;$B171,$B187&lt;&gt;$B172,$B188&lt;&gt;$B173,$B189&lt;&gt;$B174,$B190&lt;&gt;$B175,$B191&lt;&gt;$B176,$B192&lt;&gt;$B177,$B193&lt;&gt;$B178),IF($B184&lt;&gt;$B169,O169/INDEX($C168:$AJ178,2,MATCH(IF('Data-solution'!$A$3="Maximize",MAX($C179:$AI179),MIN($C179:$AI179)),$C179:$AI179,0)),O169-INDEX($C168:$AJ178,2,MATCH(IF('Data-solution'!$A$3="Maximize",MAX($C179:$AI179),MIN($C179:$AI179)),$C179:$AI179,0))*INDEX(O168:$AJ178,MATCH(MIN($AK168:$AK178),$AK168:$AK178,0),1)/INDEX($C168:$AJ178,MATCH(MIN($AK168:$AK178),$AK168:$AK178,0),MATCH(IF('Data-solution'!$A$3="Maximize",MAX($C179:$AI179),MIN($C179:$AI179)),$C179:$AI179,0))),O169)</f>
        <v>1</v>
      </c>
      <c r="P184" s="1">
        <f>IF(OR($B183&lt;&gt;$B168,$B184&lt;&gt;$B169,$B185&lt;&gt;$B170,$B186&lt;&gt;$B171,$B187&lt;&gt;$B172,$B188&lt;&gt;$B173,$B189&lt;&gt;$B174,$B190&lt;&gt;$B175,$B191&lt;&gt;$B176,$B192&lt;&gt;$B177,$B193&lt;&gt;$B178),IF($B184&lt;&gt;$B169,P169/INDEX($C168:$AJ178,2,MATCH(IF('Data-solution'!$A$3="Maximize",MAX($C179:$AI179),MIN($C179:$AI179)),$C179:$AI179,0)),P169-INDEX($C168:$AJ178,2,MATCH(IF('Data-solution'!$A$3="Maximize",MAX($C179:$AI179),MIN($C179:$AI179)),$C179:$AI179,0))*INDEX(P168:$AJ178,MATCH(MIN($AK168:$AK178),$AK168:$AK178,0),1)/INDEX($C168:$AJ178,MATCH(MIN($AK168:$AK178),$AK168:$AK178,0),MATCH(IF('Data-solution'!$A$3="Maximize",MAX($C179:$AI179),MIN($C179:$AI179)),$C179:$AI179,0))),P169)</f>
        <v>-0.25</v>
      </c>
      <c r="Q184" s="1">
        <f>IF(OR($B183&lt;&gt;$B168,$B184&lt;&gt;$B169,$B185&lt;&gt;$B170,$B186&lt;&gt;$B171,$B187&lt;&gt;$B172,$B188&lt;&gt;$B173,$B189&lt;&gt;$B174,$B190&lt;&gt;$B175,$B191&lt;&gt;$B176,$B192&lt;&gt;$B177,$B193&lt;&gt;$B178),IF($B184&lt;&gt;$B169,Q169/INDEX($C168:$AJ178,2,MATCH(IF('Data-solution'!$A$3="Maximize",MAX($C179:$AI179),MIN($C179:$AI179)),$C179:$AI179,0)),Q169-INDEX($C168:$AJ178,2,MATCH(IF('Data-solution'!$A$3="Maximize",MAX($C179:$AI179),MIN($C179:$AI179)),$C179:$AI179,0))*INDEX(Q168:$AJ178,MATCH(MIN($AK168:$AK178),$AK168:$AK178,0),1)/INDEX($C168:$AJ178,MATCH(MIN($AK168:$AK178),$AK168:$AK178,0),MATCH(IF('Data-solution'!$A$3="Maximize",MAX($C179:$AI179),MIN($C179:$AI179)),$C179:$AI179,0))),Q169)</f>
        <v>-0.5</v>
      </c>
      <c r="R184" s="1">
        <f>IF(OR($B183&lt;&gt;$B168,$B184&lt;&gt;$B169,$B185&lt;&gt;$B170,$B186&lt;&gt;$B171,$B187&lt;&gt;$B172,$B188&lt;&gt;$B173,$B189&lt;&gt;$B174,$B190&lt;&gt;$B175,$B191&lt;&gt;$B176,$B192&lt;&gt;$B177,$B193&lt;&gt;$B178),IF($B184&lt;&gt;$B169,R169/INDEX($C168:$AJ178,2,MATCH(IF('Data-solution'!$A$3="Maximize",MAX($C179:$AI179),MIN($C179:$AI179)),$C179:$AI179,0)),R169-INDEX($C168:$AJ178,2,MATCH(IF('Data-solution'!$A$3="Maximize",MAX($C179:$AI179),MIN($C179:$AI179)),$C179:$AI179,0))*INDEX(R168:$AJ178,MATCH(MIN($AK168:$AK178),$AK168:$AK178,0),1)/INDEX($C168:$AJ178,MATCH(MIN($AK168:$AK178),$AK168:$AK178,0),MATCH(IF('Data-solution'!$A$3="Maximize",MAX($C179:$AI179),MIN($C179:$AI179)),$C179:$AI179,0))),R169)</f>
        <v>0</v>
      </c>
      <c r="S184" s="1">
        <f>IF(OR($B183&lt;&gt;$B168,$B184&lt;&gt;$B169,$B185&lt;&gt;$B170,$B186&lt;&gt;$B171,$B187&lt;&gt;$B172,$B188&lt;&gt;$B173,$B189&lt;&gt;$B174,$B190&lt;&gt;$B175,$B191&lt;&gt;$B176,$B192&lt;&gt;$B177,$B193&lt;&gt;$B178),IF($B184&lt;&gt;$B169,S169/INDEX($C168:$AJ178,2,MATCH(IF('Data-solution'!$A$3="Maximize",MAX($C179:$AI179),MIN($C179:$AI179)),$C179:$AI179,0)),S169-INDEX($C168:$AJ178,2,MATCH(IF('Data-solution'!$A$3="Maximize",MAX($C179:$AI179),MIN($C179:$AI179)),$C179:$AI179,0))*INDEX(S168:$AJ178,MATCH(MIN($AK168:$AK178),$AK168:$AK178,0),1)/INDEX($C168:$AJ178,MATCH(MIN($AK168:$AK178),$AK168:$AK178,0),MATCH(IF('Data-solution'!$A$3="Maximize",MAX($C179:$AI179),MIN($C179:$AI179)),$C179:$AI179,0))),S169)</f>
        <v>0</v>
      </c>
      <c r="T184" s="1">
        <f>IF(OR($B183&lt;&gt;$B168,$B184&lt;&gt;$B169,$B185&lt;&gt;$B170,$B186&lt;&gt;$B171,$B187&lt;&gt;$B172,$B188&lt;&gt;$B173,$B189&lt;&gt;$B174,$B190&lt;&gt;$B175,$B191&lt;&gt;$B176,$B192&lt;&gt;$B177,$B193&lt;&gt;$B178),IF($B184&lt;&gt;$B169,T169/INDEX($C168:$AJ178,2,MATCH(IF('Data-solution'!$A$3="Maximize",MAX($C179:$AI179),MIN($C179:$AI179)),$C179:$AI179,0)),T169-INDEX($C168:$AJ178,2,MATCH(IF('Data-solution'!$A$3="Maximize",MAX($C179:$AI179),MIN($C179:$AI179)),$C179:$AI179,0))*INDEX(T168:$AJ178,MATCH(MIN($AK168:$AK178),$AK168:$AK178,0),1)/INDEX($C168:$AJ178,MATCH(MIN($AK168:$AK178),$AK168:$AK178,0),MATCH(IF('Data-solution'!$A$3="Maximize",MAX($C179:$AI179),MIN($C179:$AI179)),$C179:$AI179,0))),T169)</f>
        <v>0</v>
      </c>
      <c r="U184" s="1">
        <f>IF(OR($B183&lt;&gt;$B168,$B184&lt;&gt;$B169,$B185&lt;&gt;$B170,$B186&lt;&gt;$B171,$B187&lt;&gt;$B172,$B188&lt;&gt;$B173,$B189&lt;&gt;$B174,$B190&lt;&gt;$B175,$B191&lt;&gt;$B176,$B192&lt;&gt;$B177,$B193&lt;&gt;$B178),IF($B184&lt;&gt;$B169,U169/INDEX($C168:$AJ178,2,MATCH(IF('Data-solution'!$A$3="Maximize",MAX($C179:$AI179),MIN($C179:$AI179)),$C179:$AI179,0)),U169-INDEX($C168:$AJ178,2,MATCH(IF('Data-solution'!$A$3="Maximize",MAX($C179:$AI179),MIN($C179:$AI179)),$C179:$AI179,0))*INDEX(U168:$AJ178,MATCH(MIN($AK168:$AK178),$AK168:$AK178,0),1)/INDEX($C168:$AJ178,MATCH(MIN($AK168:$AK178),$AK168:$AK178,0),MATCH(IF('Data-solution'!$A$3="Maximize",MAX($C179:$AI179),MIN($C179:$AI179)),$C179:$AI179,0))),U169)</f>
        <v>0</v>
      </c>
      <c r="V184" s="1">
        <f>IF(OR($B183&lt;&gt;$B168,$B184&lt;&gt;$B169,$B185&lt;&gt;$B170,$B186&lt;&gt;$B171,$B187&lt;&gt;$B172,$B188&lt;&gt;$B173,$B189&lt;&gt;$B174,$B190&lt;&gt;$B175,$B191&lt;&gt;$B176,$B192&lt;&gt;$B177,$B193&lt;&gt;$B178),IF($B184&lt;&gt;$B169,V169/INDEX($C168:$AJ178,2,MATCH(IF('Data-solution'!$A$3="Maximize",MAX($C179:$AI179),MIN($C179:$AI179)),$C179:$AI179,0)),V169-INDEX($C168:$AJ178,2,MATCH(IF('Data-solution'!$A$3="Maximize",MAX($C179:$AI179),MIN($C179:$AI179)),$C179:$AI179,0))*INDEX(V168:$AJ178,MATCH(MIN($AK168:$AK178),$AK168:$AK178,0),1)/INDEX($C168:$AJ178,MATCH(MIN($AK168:$AK178),$AK168:$AK178,0),MATCH(IF('Data-solution'!$A$3="Maximize",MAX($C179:$AI179),MIN($C179:$AI179)),$C179:$AI179,0))),V169)</f>
        <v>0</v>
      </c>
      <c r="W184" s="1">
        <f>IF(OR($B183&lt;&gt;$B168,$B184&lt;&gt;$B169,$B185&lt;&gt;$B170,$B186&lt;&gt;$B171,$B187&lt;&gt;$B172,$B188&lt;&gt;$B173,$B189&lt;&gt;$B174,$B190&lt;&gt;$B175,$B191&lt;&gt;$B176,$B192&lt;&gt;$B177,$B193&lt;&gt;$B178),IF($B184&lt;&gt;$B169,W169/INDEX($C168:$AJ178,2,MATCH(IF('Data-solution'!$A$3="Maximize",MAX($C179:$AI179),MIN($C179:$AI179)),$C179:$AI179,0)),W169-INDEX($C168:$AJ178,2,MATCH(IF('Data-solution'!$A$3="Maximize",MAX($C179:$AI179),MIN($C179:$AI179)),$C179:$AI179,0))*INDEX(W168:$AJ178,MATCH(MIN($AK168:$AK178),$AK168:$AK178,0),1)/INDEX($C168:$AJ178,MATCH(MIN($AK168:$AK178),$AK168:$AK178,0),MATCH(IF('Data-solution'!$A$3="Maximize",MAX($C179:$AI179),MIN($C179:$AI179)),$C179:$AI179,0))),W169)</f>
        <v>0</v>
      </c>
      <c r="X184" s="1">
        <f>IF(OR($B183&lt;&gt;$B168,$B184&lt;&gt;$B169,$B185&lt;&gt;$B170,$B186&lt;&gt;$B171,$B187&lt;&gt;$B172,$B188&lt;&gt;$B173,$B189&lt;&gt;$B174,$B190&lt;&gt;$B175,$B191&lt;&gt;$B176,$B192&lt;&gt;$B177,$B193&lt;&gt;$B178),IF($B184&lt;&gt;$B169,X169/INDEX($C168:$AJ178,2,MATCH(IF('Data-solution'!$A$3="Maximize",MAX($C179:$AI179),MIN($C179:$AI179)),$C179:$AI179,0)),X169-INDEX($C168:$AJ178,2,MATCH(IF('Data-solution'!$A$3="Maximize",MAX($C179:$AI179),MIN($C179:$AI179)),$C179:$AI179,0))*INDEX(X168:$AJ178,MATCH(MIN($AK168:$AK178),$AK168:$AK178,0),1)/INDEX($C168:$AJ178,MATCH(MIN($AK168:$AK178),$AK168:$AK178,0),MATCH(IF('Data-solution'!$A$3="Maximize",MAX($C179:$AI179),MIN($C179:$AI179)),$C179:$AI179,0))),X169)</f>
        <v>0</v>
      </c>
      <c r="Y184" s="1">
        <f>IF(OR($B183&lt;&gt;$B168,$B184&lt;&gt;$B169,$B185&lt;&gt;$B170,$B186&lt;&gt;$B171,$B187&lt;&gt;$B172,$B188&lt;&gt;$B173,$B189&lt;&gt;$B174,$B190&lt;&gt;$B175,$B191&lt;&gt;$B176,$B192&lt;&gt;$B177,$B193&lt;&gt;$B178),IF($B184&lt;&gt;$B169,Y169/INDEX($C168:$AJ178,2,MATCH(IF('Data-solution'!$A$3="Maximize",MAX($C179:$AI179),MIN($C179:$AI179)),$C179:$AI179,0)),Y169-INDEX($C168:$AJ178,2,MATCH(IF('Data-solution'!$A$3="Maximize",MAX($C179:$AI179),MIN($C179:$AI179)),$C179:$AI179,0))*INDEX(Y168:$AJ178,MATCH(MIN($AK168:$AK178),$AK168:$AK178,0),1)/INDEX($C168:$AJ178,MATCH(MIN($AK168:$AK178),$AK168:$AK178,0),MATCH(IF('Data-solution'!$A$3="Maximize",MAX($C179:$AI179),MIN($C179:$AI179)),$C179:$AI179,0))),Y169)</f>
        <v>0</v>
      </c>
      <c r="Z184" s="1">
        <f>IF(OR($B183&lt;&gt;$B168,$B184&lt;&gt;$B169,$B185&lt;&gt;$B170,$B186&lt;&gt;$B171,$B187&lt;&gt;$B172,$B188&lt;&gt;$B173,$B189&lt;&gt;$B174,$B190&lt;&gt;$B175,$B191&lt;&gt;$B176,$B192&lt;&gt;$B177,$B193&lt;&gt;$B178),IF($B184&lt;&gt;$B169,Z169/INDEX($C168:$AJ178,2,MATCH(IF('Data-solution'!$A$3="Maximize",MAX($C179:$AI179),MIN($C179:$AI179)),$C179:$AI179,0)),Z169-INDEX($C168:$AJ178,2,MATCH(IF('Data-solution'!$A$3="Maximize",MAX($C179:$AI179),MIN($C179:$AI179)),$C179:$AI179,0))*INDEX(Z168:$AJ178,MATCH(MIN($AK168:$AK178),$AK168:$AK178,0),1)/INDEX($C168:$AJ178,MATCH(MIN($AK168:$AK178),$AK168:$AK178,0),MATCH(IF('Data-solution'!$A$3="Maximize",MAX($C179:$AI179),MIN($C179:$AI179)),$C179:$AI179,0))),Z169)</f>
        <v>1</v>
      </c>
      <c r="AA184" s="1">
        <f>IF(OR($B183&lt;&gt;$B168,$B184&lt;&gt;$B169,$B185&lt;&gt;$B170,$B186&lt;&gt;$B171,$B187&lt;&gt;$B172,$B188&lt;&gt;$B173,$B189&lt;&gt;$B174,$B190&lt;&gt;$B175,$B191&lt;&gt;$B176,$B192&lt;&gt;$B177,$B193&lt;&gt;$B178),IF($B184&lt;&gt;$B169,AA169/INDEX($C168:$AJ178,2,MATCH(IF('Data-solution'!$A$3="Maximize",MAX($C179:$AI179),MIN($C179:$AI179)),$C179:$AI179,0)),AA169-INDEX($C168:$AJ178,2,MATCH(IF('Data-solution'!$A$3="Maximize",MAX($C179:$AI179),MIN($C179:$AI179)),$C179:$AI179,0))*INDEX(AA168:$AJ178,MATCH(MIN($AK168:$AK178),$AK168:$AK178,0),1)/INDEX($C168:$AJ178,MATCH(MIN($AK168:$AK178),$AK168:$AK178,0),MATCH(IF('Data-solution'!$A$3="Maximize",MAX($C179:$AI179),MIN($C179:$AI179)),$C179:$AI179,0))),AA169)</f>
        <v>-0.25</v>
      </c>
      <c r="AB184" s="1">
        <f>IF(OR($B183&lt;&gt;$B168,$B184&lt;&gt;$B169,$B185&lt;&gt;$B170,$B186&lt;&gt;$B171,$B187&lt;&gt;$B172,$B188&lt;&gt;$B173,$B189&lt;&gt;$B174,$B190&lt;&gt;$B175,$B191&lt;&gt;$B176,$B192&lt;&gt;$B177,$B193&lt;&gt;$B178),IF($B184&lt;&gt;$B169,AB169/INDEX($C168:$AJ178,2,MATCH(IF('Data-solution'!$A$3="Maximize",MAX($C179:$AI179),MIN($C179:$AI179)),$C179:$AI179,0)),AB169-INDEX($C168:$AJ178,2,MATCH(IF('Data-solution'!$A$3="Maximize",MAX($C179:$AI179),MIN($C179:$AI179)),$C179:$AI179,0))*INDEX(AB168:$AJ178,MATCH(MIN($AK168:$AK178),$AK168:$AK178,0),1)/INDEX($C168:$AJ178,MATCH(MIN($AK168:$AK178),$AK168:$AK178,0),MATCH(IF('Data-solution'!$A$3="Maximize",MAX($C179:$AI179),MIN($C179:$AI179)),$C179:$AI179,0))),AB169)</f>
        <v>-0.5</v>
      </c>
      <c r="AC184" s="1">
        <f>IF(OR($B183&lt;&gt;$B168,$B184&lt;&gt;$B169,$B185&lt;&gt;$B170,$B186&lt;&gt;$B171,$B187&lt;&gt;$B172,$B188&lt;&gt;$B173,$B189&lt;&gt;$B174,$B190&lt;&gt;$B175,$B191&lt;&gt;$B176,$B192&lt;&gt;$B177,$B193&lt;&gt;$B178),IF($B184&lt;&gt;$B169,AC169/INDEX($C168:$AJ178,2,MATCH(IF('Data-solution'!$A$3="Maximize",MAX($C179:$AI179),MIN($C179:$AI179)),$C179:$AI179,0)),AC169-INDEX($C168:$AJ178,2,MATCH(IF('Data-solution'!$A$3="Maximize",MAX($C179:$AI179),MIN($C179:$AI179)),$C179:$AI179,0))*INDEX(AC168:$AJ178,MATCH(MIN($AK168:$AK178),$AK168:$AK178,0),1)/INDEX($C168:$AJ178,MATCH(MIN($AK168:$AK178),$AK168:$AK178,0),MATCH(IF('Data-solution'!$A$3="Maximize",MAX($C179:$AI179),MIN($C179:$AI179)),$C179:$AI179,0))),AC169)</f>
        <v>0</v>
      </c>
      <c r="AD184" s="1">
        <f>IF(OR($B183&lt;&gt;$B168,$B184&lt;&gt;$B169,$B185&lt;&gt;$B170,$B186&lt;&gt;$B171,$B187&lt;&gt;$B172,$B188&lt;&gt;$B173,$B189&lt;&gt;$B174,$B190&lt;&gt;$B175,$B191&lt;&gt;$B176,$B192&lt;&gt;$B177,$B193&lt;&gt;$B178),IF($B184&lt;&gt;$B169,AD169/INDEX($C168:$AJ178,2,MATCH(IF('Data-solution'!$A$3="Maximize",MAX($C179:$AI179),MIN($C179:$AI179)),$C179:$AI179,0)),AD169-INDEX($C168:$AJ178,2,MATCH(IF('Data-solution'!$A$3="Maximize",MAX($C179:$AI179),MIN($C179:$AI179)),$C179:$AI179,0))*INDEX(AD168:$AJ178,MATCH(MIN($AK168:$AK178),$AK168:$AK178,0),1)/INDEX($C168:$AJ178,MATCH(MIN($AK168:$AK178),$AK168:$AK178,0),MATCH(IF('Data-solution'!$A$3="Maximize",MAX($C179:$AI179),MIN($C179:$AI179)),$C179:$AI179,0))),AD169)</f>
        <v>0</v>
      </c>
      <c r="AE184" s="1">
        <f>IF(OR($B183&lt;&gt;$B168,$B184&lt;&gt;$B169,$B185&lt;&gt;$B170,$B186&lt;&gt;$B171,$B187&lt;&gt;$B172,$B188&lt;&gt;$B173,$B189&lt;&gt;$B174,$B190&lt;&gt;$B175,$B191&lt;&gt;$B176,$B192&lt;&gt;$B177,$B193&lt;&gt;$B178),IF($B184&lt;&gt;$B169,AE169/INDEX($C168:$AJ178,2,MATCH(IF('Data-solution'!$A$3="Maximize",MAX($C179:$AI179),MIN($C179:$AI179)),$C179:$AI179,0)),AE169-INDEX($C168:$AJ178,2,MATCH(IF('Data-solution'!$A$3="Maximize",MAX($C179:$AI179),MIN($C179:$AI179)),$C179:$AI179,0))*INDEX(AE168:$AJ178,MATCH(MIN($AK168:$AK178),$AK168:$AK178,0),1)/INDEX($C168:$AJ178,MATCH(MIN($AK168:$AK178),$AK168:$AK178,0),MATCH(IF('Data-solution'!$A$3="Maximize",MAX($C179:$AI179),MIN($C179:$AI179)),$C179:$AI179,0))),AE169)</f>
        <v>0</v>
      </c>
      <c r="AF184" s="1">
        <f>IF(OR($B183&lt;&gt;$B168,$B184&lt;&gt;$B169,$B185&lt;&gt;$B170,$B186&lt;&gt;$B171,$B187&lt;&gt;$B172,$B188&lt;&gt;$B173,$B189&lt;&gt;$B174,$B190&lt;&gt;$B175,$B191&lt;&gt;$B176,$B192&lt;&gt;$B177,$B193&lt;&gt;$B178),IF($B184&lt;&gt;$B169,AF169/INDEX($C168:$AJ178,2,MATCH(IF('Data-solution'!$A$3="Maximize",MAX($C179:$AI179),MIN($C179:$AI179)),$C179:$AI179,0)),AF169-INDEX($C168:$AJ178,2,MATCH(IF('Data-solution'!$A$3="Maximize",MAX($C179:$AI179),MIN($C179:$AI179)),$C179:$AI179,0))*INDEX(AF168:$AJ178,MATCH(MIN($AK168:$AK178),$AK168:$AK178,0),1)/INDEX($C168:$AJ178,MATCH(MIN($AK168:$AK178),$AK168:$AK178,0),MATCH(IF('Data-solution'!$A$3="Maximize",MAX($C179:$AI179),MIN($C179:$AI179)),$C179:$AI179,0))),AF169)</f>
        <v>0</v>
      </c>
      <c r="AG184" s="1">
        <f>IF(OR($B183&lt;&gt;$B168,$B184&lt;&gt;$B169,$B185&lt;&gt;$B170,$B186&lt;&gt;$B171,$B187&lt;&gt;$B172,$B188&lt;&gt;$B173,$B189&lt;&gt;$B174,$B190&lt;&gt;$B175,$B191&lt;&gt;$B176,$B192&lt;&gt;$B177,$B193&lt;&gt;$B178),IF($B184&lt;&gt;$B169,AG169/INDEX($C168:$AJ178,2,MATCH(IF('Data-solution'!$A$3="Maximize",MAX($C179:$AI179),MIN($C179:$AI179)),$C179:$AI179,0)),AG169-INDEX($C168:$AJ178,2,MATCH(IF('Data-solution'!$A$3="Maximize",MAX($C179:$AI179),MIN($C179:$AI179)),$C179:$AI179,0))*INDEX(AG168:$AJ178,MATCH(MIN($AK168:$AK178),$AK168:$AK178,0),1)/INDEX($C168:$AJ178,MATCH(MIN($AK168:$AK178),$AK168:$AK178,0),MATCH(IF('Data-solution'!$A$3="Maximize",MAX($C179:$AI179),MIN($C179:$AI179)),$C179:$AI179,0))),AG169)</f>
        <v>0</v>
      </c>
      <c r="AH184" s="1">
        <f>IF(OR($B183&lt;&gt;$B168,$B184&lt;&gt;$B169,$B185&lt;&gt;$B170,$B186&lt;&gt;$B171,$B187&lt;&gt;$B172,$B188&lt;&gt;$B173,$B189&lt;&gt;$B174,$B190&lt;&gt;$B175,$B191&lt;&gt;$B176,$B192&lt;&gt;$B177,$B193&lt;&gt;$B178),IF($B184&lt;&gt;$B169,AH169/INDEX($C168:$AJ178,2,MATCH(IF('Data-solution'!$A$3="Maximize",MAX($C179:$AI179),MIN($C179:$AI179)),$C179:$AI179,0)),AH169-INDEX($C168:$AJ178,2,MATCH(IF('Data-solution'!$A$3="Maximize",MAX($C179:$AI179),MIN($C179:$AI179)),$C179:$AI179,0))*INDEX(AH168:$AJ178,MATCH(MIN($AK168:$AK178),$AK168:$AK178,0),1)/INDEX($C168:$AJ178,MATCH(MIN($AK168:$AK178),$AK168:$AK178,0),MATCH(IF('Data-solution'!$A$3="Maximize",MAX($C179:$AI179),MIN($C179:$AI179)),$C179:$AI179,0))),AH169)</f>
        <v>0</v>
      </c>
      <c r="AI184" s="1">
        <f>IF(OR($B183&lt;&gt;$B168,$B184&lt;&gt;$B169,$B185&lt;&gt;$B170,$B186&lt;&gt;$B171,$B187&lt;&gt;$B172,$B188&lt;&gt;$B173,$B189&lt;&gt;$B174,$B190&lt;&gt;$B175,$B191&lt;&gt;$B176,$B192&lt;&gt;$B177,$B193&lt;&gt;$B178),IF($B184&lt;&gt;$B169,AI169/INDEX($C168:$AJ178,2,MATCH(IF('Data-solution'!$A$3="Maximize",MAX($C179:$AI179),MIN($C179:$AI179)),$C179:$AI179,0)),AI169-INDEX($C168:$AJ178,2,MATCH(IF('Data-solution'!$A$3="Maximize",MAX($C179:$AI179),MIN($C179:$AI179)),$C179:$AI179,0))*INDEX(AI168:$AJ178,MATCH(MIN($AK168:$AK178),$AK168:$AK178,0),1)/INDEX($C168:$AJ178,MATCH(MIN($AK168:$AK178),$AK168:$AK178,0),MATCH(IF('Data-solution'!$A$3="Maximize",MAX($C179:$AI179),MIN($C179:$AI179)),$C179:$AI179,0))),AI169)</f>
        <v>0</v>
      </c>
      <c r="AJ184" s="1">
        <f>IF(OR($B183&lt;&gt;$B168,$B184&lt;&gt;$B169,$B185&lt;&gt;$B170,$B186&lt;&gt;$B171,$B187&lt;&gt;$B172,$B188&lt;&gt;$B173,$B189&lt;&gt;$B174,$B190&lt;&gt;$B175,$B191&lt;&gt;$B176,$B192&lt;&gt;$B177,$B193&lt;&gt;$B178),IF($B184&lt;&gt;$B169,AJ169/INDEX($C168:$AJ178,2,MATCH(IF('Data-solution'!$A$3="Maximize",MAX($C179:$AI179),MIN($C179:$AI179)),$C179:$AI179,0)),AJ169-INDEX($C168:$AJ178,2,MATCH(IF('Data-solution'!$A$3="Maximize",MAX($C179:$AI179),MIN($C179:$AI179)),$C179:$AI179,0))*INDEX(AJ168:$AJ178,MATCH(MIN($AK168:$AK178),$AK168:$AK178,0),1)/INDEX($C168:$AJ178,MATCH(MIN($AK168:$AK178),$AK168:$AK178,0),MATCH(IF('Data-solution'!$A$3="Maximize",MAX($C179:$AI179),MIN($C179:$AI179)),$C179:$AI179,0))),AJ169)</f>
        <v>300</v>
      </c>
      <c r="AK184" s="1" t="str">
        <f>IF(INDEX(C184:X184,1,MATCH(IF('Data-solution'!A$3="Maximize",MAX(C194:X194),MIN(C194:X194)),C194:X194,0))&gt;0,AJ184/INDEX(C184:X184,1,MATCH(IF('Data-solution'!A$3="Maximize",MAX(C194:X194),MIN(C194:X194)),C194:X194,0))," ")</f>
        <v xml:space="preserve"> </v>
      </c>
    </row>
    <row r="185" spans="1:37" ht="18" customHeight="1" x14ac:dyDescent="0.2">
      <c r="A185" s="1">
        <f t="shared" ref="A185" si="158">INDEX(C181:AI181,1,MATCH(B185,C182:AI182,0))</f>
        <v>350</v>
      </c>
      <c r="B185" s="2" t="str">
        <f>IF(AND('Data-solution'!A$3="Maximize",COUNTIF(C179:X179,"&gt;"&amp;0)&gt;0,AK170=MIN(AK168:AK178),COUNTIF(B183:B184,INDEX(C167:X167,1,MATCH(MAX(C179:X179),C179:X179,0)))=0),INDEX(C167:X167,1,MATCH(MAX(C179:X179),C179:X179,0)),IF(AND('Data-solution'!A$3="Minimize",COUNTIF(C179:X179,"&lt;"&amp;0)&gt;0,AK170=MIN(AK168:AK178),COUNTIF(B183:B184,INDEX(C167:X167,1,MATCH(MIN(C179:X179),C179:X179,0)))=0),INDEX(C167:X167,1,MATCH(MIN(C179:X179),C179:X179,0)),B170))</f>
        <v>X3</v>
      </c>
      <c r="C185" s="1">
        <f>IF(OR($B183&lt;&gt;$B168,$B184&lt;&gt;$B169,$B185&lt;&gt;$B170,$B186&lt;&gt;$B171,$B187&lt;&gt;$B172,$B188&lt;&gt;$B173,$B189&lt;&gt;$B174,$B190&lt;&gt;$B175,$B191&lt;&gt;$B176,$B192&lt;&gt;$B177,$B193&lt;&gt;$B178),IF($B185&lt;&gt;$B170,C170/INDEX($C168:$AJ178,3,MATCH(IF('Data-solution'!$A$3="Maximize",MAX($C179:$AI179),MIN($C179:$AI179)),$C179:$AI179,0)),C170-INDEX($C168:$AJ178,3,MATCH(IF('Data-solution'!$A$3="Maximize",MAX($C179:$AI179),MIN($C179:$AI179)),$C179:$AI179,0))*INDEX(C168:$AJ178,MATCH(MIN($AK168:$AK178),$AK168:$AK178,0),1)/INDEX($C168:$AJ178,MATCH(MIN($AK168:$AK178),$AK168:$AK178,0),MATCH(IF('Data-solution'!$A$3="Maximize",MAX($C179:$AI179),MIN($C179:$AI179)),$C179:$AI179,0))),C170)</f>
        <v>0</v>
      </c>
      <c r="D185" s="1">
        <f>IF(OR($B183&lt;&gt;$B168,$B184&lt;&gt;$B169,$B185&lt;&gt;$B170,$B186&lt;&gt;$B171,$B187&lt;&gt;$B172,$B188&lt;&gt;$B173,$B189&lt;&gt;$B174,$B190&lt;&gt;$B175,$B191&lt;&gt;$B176,$B192&lt;&gt;$B177,$B193&lt;&gt;$B178),IF($B185&lt;&gt;$B170,D170/INDEX($C168:$AJ178,3,MATCH(IF('Data-solution'!$A$3="Maximize",MAX($C179:$AI179),MIN($C179:$AI179)),$C179:$AI179,0)),D170-INDEX($C168:$AJ178,3,MATCH(IF('Data-solution'!$A$3="Maximize",MAX($C179:$AI179),MIN($C179:$AI179)),$C179:$AI179,0))*INDEX(D168:$AJ178,MATCH(MIN($AK168:$AK178),$AK168:$AK178,0),1)/INDEX($C168:$AJ178,MATCH(MIN($AK168:$AK178),$AK168:$AK178,0),MATCH(IF('Data-solution'!$A$3="Maximize",MAX($C179:$AI179),MIN($C179:$AI179)),$C179:$AI179,0))),D170)</f>
        <v>1.25</v>
      </c>
      <c r="E185" s="1">
        <f>IF(OR($B183&lt;&gt;$B168,$B184&lt;&gt;$B169,$B185&lt;&gt;$B170,$B186&lt;&gt;$B171,$B187&lt;&gt;$B172,$B188&lt;&gt;$B173,$B189&lt;&gt;$B174,$B190&lt;&gt;$B175,$B191&lt;&gt;$B176,$B192&lt;&gt;$B177,$B193&lt;&gt;$B178),IF($B185&lt;&gt;$B170,E170/INDEX($C168:$AJ178,3,MATCH(IF('Data-solution'!$A$3="Maximize",MAX($C179:$AI179),MIN($C179:$AI179)),$C179:$AI179,0)),E170-INDEX($C168:$AJ178,3,MATCH(IF('Data-solution'!$A$3="Maximize",MAX($C179:$AI179),MIN($C179:$AI179)),$C179:$AI179,0))*INDEX(E168:$AJ178,MATCH(MIN($AK168:$AK178),$AK168:$AK178,0),1)/INDEX($C168:$AJ178,MATCH(MIN($AK168:$AK178),$AK168:$AK178,0),MATCH(IF('Data-solution'!$A$3="Maximize",MAX($C179:$AI179),MIN($C179:$AI179)),$C179:$AI179,0))),E170)</f>
        <v>1</v>
      </c>
      <c r="F185" s="1">
        <f>IF(OR($B183&lt;&gt;$B168,$B184&lt;&gt;$B169,$B185&lt;&gt;$B170,$B186&lt;&gt;$B171,$B187&lt;&gt;$B172,$B188&lt;&gt;$B173,$B189&lt;&gt;$B174,$B190&lt;&gt;$B175,$B191&lt;&gt;$B176,$B192&lt;&gt;$B177,$B193&lt;&gt;$B178),IF($B185&lt;&gt;$B170,F170/INDEX($C168:$AJ178,3,MATCH(IF('Data-solution'!$A$3="Maximize",MAX($C179:$AI179),MIN($C179:$AI179)),$C179:$AI179,0)),F170-INDEX($C168:$AJ178,3,MATCH(IF('Data-solution'!$A$3="Maximize",MAX($C179:$AI179),MIN($C179:$AI179)),$C179:$AI179,0))*INDEX(F168:$AJ178,MATCH(MIN($AK168:$AK178),$AK168:$AK178,0),1)/INDEX($C168:$AJ178,MATCH(MIN($AK168:$AK178),$AK168:$AK178,0),MATCH(IF('Data-solution'!$A$3="Maximize",MAX($C179:$AI179),MIN($C179:$AI179)),$C179:$AI179,0))),F170)</f>
        <v>0</v>
      </c>
      <c r="G185" s="1">
        <f>IF(OR($B183&lt;&gt;$B168,$B184&lt;&gt;$B169,$B185&lt;&gt;$B170,$B186&lt;&gt;$B171,$B187&lt;&gt;$B172,$B188&lt;&gt;$B173,$B189&lt;&gt;$B174,$B190&lt;&gt;$B175,$B191&lt;&gt;$B176,$B192&lt;&gt;$B177,$B193&lt;&gt;$B178),IF($B185&lt;&gt;$B170,G170/INDEX($C168:$AJ178,3,MATCH(IF('Data-solution'!$A$3="Maximize",MAX($C179:$AI179),MIN($C179:$AI179)),$C179:$AI179,0)),G170-INDEX($C168:$AJ178,3,MATCH(IF('Data-solution'!$A$3="Maximize",MAX($C179:$AI179),MIN($C179:$AI179)),$C179:$AI179,0))*INDEX(G168:$AJ178,MATCH(MIN($AK168:$AK178),$AK168:$AK178,0),1)/INDEX($C168:$AJ178,MATCH(MIN($AK168:$AK178),$AK168:$AK178,0),MATCH(IF('Data-solution'!$A$3="Maximize",MAX($C179:$AI179),MIN($C179:$AI179)),$C179:$AI179,0))),G170)</f>
        <v>0</v>
      </c>
      <c r="H185" s="1">
        <f>IF(OR($B183&lt;&gt;$B168,$B184&lt;&gt;$B169,$B185&lt;&gt;$B170,$B186&lt;&gt;$B171,$B187&lt;&gt;$B172,$B188&lt;&gt;$B173,$B189&lt;&gt;$B174,$B190&lt;&gt;$B175,$B191&lt;&gt;$B176,$B192&lt;&gt;$B177,$B193&lt;&gt;$B178),IF($B185&lt;&gt;$B170,H170/INDEX($C168:$AJ178,3,MATCH(IF('Data-solution'!$A$3="Maximize",MAX($C179:$AI179),MIN($C179:$AI179)),$C179:$AI179,0)),H170-INDEX($C168:$AJ178,3,MATCH(IF('Data-solution'!$A$3="Maximize",MAX($C179:$AI179),MIN($C179:$AI179)),$C179:$AI179,0))*INDEX(H168:$AJ178,MATCH(MIN($AK168:$AK178),$AK168:$AK178,0),1)/INDEX($C168:$AJ178,MATCH(MIN($AK168:$AK178),$AK168:$AK178,0),MATCH(IF('Data-solution'!$A$3="Maximize",MAX($C179:$AI179),MIN($C179:$AI179)),$C179:$AI179,0))),H170)</f>
        <v>0</v>
      </c>
      <c r="I185" s="1">
        <f>IF(OR($B183&lt;&gt;$B168,$B184&lt;&gt;$B169,$B185&lt;&gt;$B170,$B186&lt;&gt;$B171,$B187&lt;&gt;$B172,$B188&lt;&gt;$B173,$B189&lt;&gt;$B174,$B190&lt;&gt;$B175,$B191&lt;&gt;$B176,$B192&lt;&gt;$B177,$B193&lt;&gt;$B178),IF($B185&lt;&gt;$B170,I170/INDEX($C168:$AJ178,3,MATCH(IF('Data-solution'!$A$3="Maximize",MAX($C179:$AI179),MIN($C179:$AI179)),$C179:$AI179,0)),I170-INDEX($C168:$AJ178,3,MATCH(IF('Data-solution'!$A$3="Maximize",MAX($C179:$AI179),MIN($C179:$AI179)),$C179:$AI179,0))*INDEX(I168:$AJ178,MATCH(MIN($AK168:$AK178),$AK168:$AK178,0),1)/INDEX($C168:$AJ178,MATCH(MIN($AK168:$AK178),$AK168:$AK178,0),MATCH(IF('Data-solution'!$A$3="Maximize",MAX($C179:$AI179),MIN($C179:$AI179)),$C179:$AI179,0))),I170)</f>
        <v>0</v>
      </c>
      <c r="J185" s="1">
        <f>IF(OR($B183&lt;&gt;$B168,$B184&lt;&gt;$B169,$B185&lt;&gt;$B170,$B186&lt;&gt;$B171,$B187&lt;&gt;$B172,$B188&lt;&gt;$B173,$B189&lt;&gt;$B174,$B190&lt;&gt;$B175,$B191&lt;&gt;$B176,$B192&lt;&gt;$B177,$B193&lt;&gt;$B178),IF($B185&lt;&gt;$B170,J170/INDEX($C168:$AJ178,3,MATCH(IF('Data-solution'!$A$3="Maximize",MAX($C179:$AI179),MIN($C179:$AI179)),$C179:$AI179,0)),J170-INDEX($C168:$AJ178,3,MATCH(IF('Data-solution'!$A$3="Maximize",MAX($C179:$AI179),MIN($C179:$AI179)),$C179:$AI179,0))*INDEX(J168:$AJ178,MATCH(MIN($AK168:$AK178),$AK168:$AK178,0),1)/INDEX($C168:$AJ178,MATCH(MIN($AK168:$AK178),$AK168:$AK178,0),MATCH(IF('Data-solution'!$A$3="Maximize",MAX($C179:$AI179),MIN($C179:$AI179)),$C179:$AI179,0))),J170)</f>
        <v>0</v>
      </c>
      <c r="K185" s="1">
        <f>IF(OR($B183&lt;&gt;$B168,$B184&lt;&gt;$B169,$B185&lt;&gt;$B170,$B186&lt;&gt;$B171,$B187&lt;&gt;$B172,$B188&lt;&gt;$B173,$B189&lt;&gt;$B174,$B190&lt;&gt;$B175,$B191&lt;&gt;$B176,$B192&lt;&gt;$B177,$B193&lt;&gt;$B178),IF($B185&lt;&gt;$B170,K170/INDEX($C168:$AJ178,3,MATCH(IF('Data-solution'!$A$3="Maximize",MAX($C179:$AI179),MIN($C179:$AI179)),$C179:$AI179,0)),K170-INDEX($C168:$AJ178,3,MATCH(IF('Data-solution'!$A$3="Maximize",MAX($C179:$AI179),MIN($C179:$AI179)),$C179:$AI179,0))*INDEX(K168:$AJ178,MATCH(MIN($AK168:$AK178),$AK168:$AK178,0),1)/INDEX($C168:$AJ178,MATCH(MIN($AK168:$AK178),$AK168:$AK178,0),MATCH(IF('Data-solution'!$A$3="Maximize",MAX($C179:$AI179),MIN($C179:$AI179)),$C179:$AI179,0))),K170)</f>
        <v>0</v>
      </c>
      <c r="L185" s="1">
        <f>IF(OR($B183&lt;&gt;$B168,$B184&lt;&gt;$B169,$B185&lt;&gt;$B170,$B186&lt;&gt;$B171,$B187&lt;&gt;$B172,$B188&lt;&gt;$B173,$B189&lt;&gt;$B174,$B190&lt;&gt;$B175,$B191&lt;&gt;$B176,$B192&lt;&gt;$B177,$B193&lt;&gt;$B178),IF($B185&lt;&gt;$B170,L170/INDEX($C168:$AJ178,3,MATCH(IF('Data-solution'!$A$3="Maximize",MAX($C179:$AI179),MIN($C179:$AI179)),$C179:$AI179,0)),L170-INDEX($C168:$AJ178,3,MATCH(IF('Data-solution'!$A$3="Maximize",MAX($C179:$AI179),MIN($C179:$AI179)),$C179:$AI179,0))*INDEX(L168:$AJ178,MATCH(MIN($AK168:$AK178),$AK168:$AK178,0),1)/INDEX($C168:$AJ178,MATCH(MIN($AK168:$AK178),$AK168:$AK178,0),MATCH(IF('Data-solution'!$A$3="Maximize",MAX($C179:$AI179),MIN($C179:$AI179)),$C179:$AI179,0))),L170)</f>
        <v>0</v>
      </c>
      <c r="M185" s="1">
        <f>IF(OR($B183&lt;&gt;$B168,$B184&lt;&gt;$B169,$B185&lt;&gt;$B170,$B186&lt;&gt;$B171,$B187&lt;&gt;$B172,$B188&lt;&gt;$B173,$B189&lt;&gt;$B174,$B190&lt;&gt;$B175,$B191&lt;&gt;$B176,$B192&lt;&gt;$B177,$B193&lt;&gt;$B178),IF($B185&lt;&gt;$B170,M170/INDEX($C168:$AJ178,3,MATCH(IF('Data-solution'!$A$3="Maximize",MAX($C179:$AI179),MIN($C179:$AI179)),$C179:$AI179,0)),M170-INDEX($C168:$AJ178,3,MATCH(IF('Data-solution'!$A$3="Maximize",MAX($C179:$AI179),MIN($C179:$AI179)),$C179:$AI179,0))*INDEX(M168:$AJ178,MATCH(MIN($AK168:$AK178),$AK168:$AK178,0),1)/INDEX($C168:$AJ178,MATCH(MIN($AK168:$AK178),$AK168:$AK178,0),MATCH(IF('Data-solution'!$A$3="Maximize",MAX($C179:$AI179),MIN($C179:$AI179)),$C179:$AI179,0))),M170)</f>
        <v>0</v>
      </c>
      <c r="N185" s="1">
        <f>IF(OR($B183&lt;&gt;$B168,$B184&lt;&gt;$B169,$B185&lt;&gt;$B170,$B186&lt;&gt;$B171,$B187&lt;&gt;$B172,$B188&lt;&gt;$B173,$B189&lt;&gt;$B174,$B190&lt;&gt;$B175,$B191&lt;&gt;$B176,$B192&lt;&gt;$B177,$B193&lt;&gt;$B178),IF($B185&lt;&gt;$B170,N170/INDEX($C168:$AJ178,3,MATCH(IF('Data-solution'!$A$3="Maximize",MAX($C179:$AI179),MIN($C179:$AI179)),$C179:$AI179,0)),N170-INDEX($C168:$AJ178,3,MATCH(IF('Data-solution'!$A$3="Maximize",MAX($C179:$AI179),MIN($C179:$AI179)),$C179:$AI179,0))*INDEX(N168:$AJ178,MATCH(MIN($AK168:$AK178),$AK168:$AK178,0),1)/INDEX($C168:$AJ178,MATCH(MIN($AK168:$AK178),$AK168:$AK178,0),MATCH(IF('Data-solution'!$A$3="Maximize",MAX($C179:$AI179),MIN($C179:$AI179)),$C179:$AI179,0))),N170)</f>
        <v>0</v>
      </c>
      <c r="O185" s="1">
        <f>IF(OR($B183&lt;&gt;$B168,$B184&lt;&gt;$B169,$B185&lt;&gt;$B170,$B186&lt;&gt;$B171,$B187&lt;&gt;$B172,$B188&lt;&gt;$B173,$B189&lt;&gt;$B174,$B190&lt;&gt;$B175,$B191&lt;&gt;$B176,$B192&lt;&gt;$B177,$B193&lt;&gt;$B178),IF($B185&lt;&gt;$B170,O170/INDEX($C168:$AJ178,3,MATCH(IF('Data-solution'!$A$3="Maximize",MAX($C179:$AI179),MIN($C179:$AI179)),$C179:$AI179,0)),O170-INDEX($C168:$AJ178,3,MATCH(IF('Data-solution'!$A$3="Maximize",MAX($C179:$AI179),MIN($C179:$AI179)),$C179:$AI179,0))*INDEX(O168:$AJ178,MATCH(MIN($AK168:$AK178),$AK168:$AK178,0),1)/INDEX($C168:$AJ178,MATCH(MIN($AK168:$AK178),$AK168:$AK178,0),MATCH(IF('Data-solution'!$A$3="Maximize",MAX($C179:$AI179),MIN($C179:$AI179)),$C179:$AI179,0))),O170)</f>
        <v>0</v>
      </c>
      <c r="P185" s="1">
        <f>IF(OR($B183&lt;&gt;$B168,$B184&lt;&gt;$B169,$B185&lt;&gt;$B170,$B186&lt;&gt;$B171,$B187&lt;&gt;$B172,$B188&lt;&gt;$B173,$B189&lt;&gt;$B174,$B190&lt;&gt;$B175,$B191&lt;&gt;$B176,$B192&lt;&gt;$B177,$B193&lt;&gt;$B178),IF($B185&lt;&gt;$B170,P170/INDEX($C168:$AJ178,3,MATCH(IF('Data-solution'!$A$3="Maximize",MAX($C179:$AI179),MIN($C179:$AI179)),$C179:$AI179,0)),P170-INDEX($C168:$AJ178,3,MATCH(IF('Data-solution'!$A$3="Maximize",MAX($C179:$AI179),MIN($C179:$AI179)),$C179:$AI179,0))*INDEX(P168:$AJ178,MATCH(MIN($AK168:$AK178),$AK168:$AK178,0),1)/INDEX($C168:$AJ178,MATCH(MIN($AK168:$AK178),$AK168:$AK178,0),MATCH(IF('Data-solution'!$A$3="Maximize",MAX($C179:$AI179),MIN($C179:$AI179)),$C179:$AI179,0))),P170)</f>
        <v>0.24999999999999997</v>
      </c>
      <c r="Q185" s="1">
        <f>IF(OR($B183&lt;&gt;$B168,$B184&lt;&gt;$B169,$B185&lt;&gt;$B170,$B186&lt;&gt;$B171,$B187&lt;&gt;$B172,$B188&lt;&gt;$B173,$B189&lt;&gt;$B174,$B190&lt;&gt;$B175,$B191&lt;&gt;$B176,$B192&lt;&gt;$B177,$B193&lt;&gt;$B178),IF($B185&lt;&gt;$B170,Q170/INDEX($C168:$AJ178,3,MATCH(IF('Data-solution'!$A$3="Maximize",MAX($C179:$AI179),MIN($C179:$AI179)),$C179:$AI179,0)),Q170-INDEX($C168:$AJ178,3,MATCH(IF('Data-solution'!$A$3="Maximize",MAX($C179:$AI179),MIN($C179:$AI179)),$C179:$AI179,0))*INDEX(Q168:$AJ178,MATCH(MIN($AK168:$AK178),$AK168:$AK178,0),1)/INDEX($C168:$AJ178,MATCH(MIN($AK168:$AK178),$AK168:$AK178,0),MATCH(IF('Data-solution'!$A$3="Maximize",MAX($C179:$AI179),MIN($C179:$AI179)),$C179:$AI179,0))),Q170)</f>
        <v>-0.49999999999999989</v>
      </c>
      <c r="R185" s="1">
        <f>IF(OR($B183&lt;&gt;$B168,$B184&lt;&gt;$B169,$B185&lt;&gt;$B170,$B186&lt;&gt;$B171,$B187&lt;&gt;$B172,$B188&lt;&gt;$B173,$B189&lt;&gt;$B174,$B190&lt;&gt;$B175,$B191&lt;&gt;$B176,$B192&lt;&gt;$B177,$B193&lt;&gt;$B178),IF($B185&lt;&gt;$B170,R170/INDEX($C168:$AJ178,3,MATCH(IF('Data-solution'!$A$3="Maximize",MAX($C179:$AI179),MIN($C179:$AI179)),$C179:$AI179,0)),R170-INDEX($C168:$AJ178,3,MATCH(IF('Data-solution'!$A$3="Maximize",MAX($C179:$AI179),MIN($C179:$AI179)),$C179:$AI179,0))*INDEX(R168:$AJ178,MATCH(MIN($AK168:$AK178),$AK168:$AK178,0),1)/INDEX($C168:$AJ178,MATCH(MIN($AK168:$AK178),$AK168:$AK178,0),MATCH(IF('Data-solution'!$A$3="Maximize",MAX($C179:$AI179),MIN($C179:$AI179)),$C179:$AI179,0))),R170)</f>
        <v>0</v>
      </c>
      <c r="S185" s="1">
        <f>IF(OR($B183&lt;&gt;$B168,$B184&lt;&gt;$B169,$B185&lt;&gt;$B170,$B186&lt;&gt;$B171,$B187&lt;&gt;$B172,$B188&lt;&gt;$B173,$B189&lt;&gt;$B174,$B190&lt;&gt;$B175,$B191&lt;&gt;$B176,$B192&lt;&gt;$B177,$B193&lt;&gt;$B178),IF($B185&lt;&gt;$B170,S170/INDEX($C168:$AJ178,3,MATCH(IF('Data-solution'!$A$3="Maximize",MAX($C179:$AI179),MIN($C179:$AI179)),$C179:$AI179,0)),S170-INDEX($C168:$AJ178,3,MATCH(IF('Data-solution'!$A$3="Maximize",MAX($C179:$AI179),MIN($C179:$AI179)),$C179:$AI179,0))*INDEX(S168:$AJ178,MATCH(MIN($AK168:$AK178),$AK168:$AK178,0),1)/INDEX($C168:$AJ178,MATCH(MIN($AK168:$AK178),$AK168:$AK178,0),MATCH(IF('Data-solution'!$A$3="Maximize",MAX($C179:$AI179),MIN($C179:$AI179)),$C179:$AI179,0))),S170)</f>
        <v>0</v>
      </c>
      <c r="T185" s="1">
        <f>IF(OR($B183&lt;&gt;$B168,$B184&lt;&gt;$B169,$B185&lt;&gt;$B170,$B186&lt;&gt;$B171,$B187&lt;&gt;$B172,$B188&lt;&gt;$B173,$B189&lt;&gt;$B174,$B190&lt;&gt;$B175,$B191&lt;&gt;$B176,$B192&lt;&gt;$B177,$B193&lt;&gt;$B178),IF($B185&lt;&gt;$B170,T170/INDEX($C168:$AJ178,3,MATCH(IF('Data-solution'!$A$3="Maximize",MAX($C179:$AI179),MIN($C179:$AI179)),$C179:$AI179,0)),T170-INDEX($C168:$AJ178,3,MATCH(IF('Data-solution'!$A$3="Maximize",MAX($C179:$AI179),MIN($C179:$AI179)),$C179:$AI179,0))*INDEX(T168:$AJ178,MATCH(MIN($AK168:$AK178),$AK168:$AK178,0),1)/INDEX($C168:$AJ178,MATCH(MIN($AK168:$AK178),$AK168:$AK178,0),MATCH(IF('Data-solution'!$A$3="Maximize",MAX($C179:$AI179),MIN($C179:$AI179)),$C179:$AI179,0))),T170)</f>
        <v>0</v>
      </c>
      <c r="U185" s="1">
        <f>IF(OR($B183&lt;&gt;$B168,$B184&lt;&gt;$B169,$B185&lt;&gt;$B170,$B186&lt;&gt;$B171,$B187&lt;&gt;$B172,$B188&lt;&gt;$B173,$B189&lt;&gt;$B174,$B190&lt;&gt;$B175,$B191&lt;&gt;$B176,$B192&lt;&gt;$B177,$B193&lt;&gt;$B178),IF($B185&lt;&gt;$B170,U170/INDEX($C168:$AJ178,3,MATCH(IF('Data-solution'!$A$3="Maximize",MAX($C179:$AI179),MIN($C179:$AI179)),$C179:$AI179,0)),U170-INDEX($C168:$AJ178,3,MATCH(IF('Data-solution'!$A$3="Maximize",MAX($C179:$AI179),MIN($C179:$AI179)),$C179:$AI179,0))*INDEX(U168:$AJ178,MATCH(MIN($AK168:$AK178),$AK168:$AK178,0),1)/INDEX($C168:$AJ178,MATCH(MIN($AK168:$AK178),$AK168:$AK178,0),MATCH(IF('Data-solution'!$A$3="Maximize",MAX($C179:$AI179),MIN($C179:$AI179)),$C179:$AI179,0))),U170)</f>
        <v>0</v>
      </c>
      <c r="V185" s="1">
        <f>IF(OR($B183&lt;&gt;$B168,$B184&lt;&gt;$B169,$B185&lt;&gt;$B170,$B186&lt;&gt;$B171,$B187&lt;&gt;$B172,$B188&lt;&gt;$B173,$B189&lt;&gt;$B174,$B190&lt;&gt;$B175,$B191&lt;&gt;$B176,$B192&lt;&gt;$B177,$B193&lt;&gt;$B178),IF($B185&lt;&gt;$B170,V170/INDEX($C168:$AJ178,3,MATCH(IF('Data-solution'!$A$3="Maximize",MAX($C179:$AI179),MIN($C179:$AI179)),$C179:$AI179,0)),V170-INDEX($C168:$AJ178,3,MATCH(IF('Data-solution'!$A$3="Maximize",MAX($C179:$AI179),MIN($C179:$AI179)),$C179:$AI179,0))*INDEX(V168:$AJ178,MATCH(MIN($AK168:$AK178),$AK168:$AK178,0),1)/INDEX($C168:$AJ178,MATCH(MIN($AK168:$AK178),$AK168:$AK178,0),MATCH(IF('Data-solution'!$A$3="Maximize",MAX($C179:$AI179),MIN($C179:$AI179)),$C179:$AI179,0))),V170)</f>
        <v>0</v>
      </c>
      <c r="W185" s="1">
        <f>IF(OR($B183&lt;&gt;$B168,$B184&lt;&gt;$B169,$B185&lt;&gt;$B170,$B186&lt;&gt;$B171,$B187&lt;&gt;$B172,$B188&lt;&gt;$B173,$B189&lt;&gt;$B174,$B190&lt;&gt;$B175,$B191&lt;&gt;$B176,$B192&lt;&gt;$B177,$B193&lt;&gt;$B178),IF($B185&lt;&gt;$B170,W170/INDEX($C168:$AJ178,3,MATCH(IF('Data-solution'!$A$3="Maximize",MAX($C179:$AI179),MIN($C179:$AI179)),$C179:$AI179,0)),W170-INDEX($C168:$AJ178,3,MATCH(IF('Data-solution'!$A$3="Maximize",MAX($C179:$AI179),MIN($C179:$AI179)),$C179:$AI179,0))*INDEX(W168:$AJ178,MATCH(MIN($AK168:$AK178),$AK168:$AK178,0),1)/INDEX($C168:$AJ178,MATCH(MIN($AK168:$AK178),$AK168:$AK178,0),MATCH(IF('Data-solution'!$A$3="Maximize",MAX($C179:$AI179),MIN($C179:$AI179)),$C179:$AI179,0))),W170)</f>
        <v>0</v>
      </c>
      <c r="X185" s="1">
        <f>IF(OR($B183&lt;&gt;$B168,$B184&lt;&gt;$B169,$B185&lt;&gt;$B170,$B186&lt;&gt;$B171,$B187&lt;&gt;$B172,$B188&lt;&gt;$B173,$B189&lt;&gt;$B174,$B190&lt;&gt;$B175,$B191&lt;&gt;$B176,$B192&lt;&gt;$B177,$B193&lt;&gt;$B178),IF($B185&lt;&gt;$B170,X170/INDEX($C168:$AJ178,3,MATCH(IF('Data-solution'!$A$3="Maximize",MAX($C179:$AI179),MIN($C179:$AI179)),$C179:$AI179,0)),X170-INDEX($C168:$AJ178,3,MATCH(IF('Data-solution'!$A$3="Maximize",MAX($C179:$AI179),MIN($C179:$AI179)),$C179:$AI179,0))*INDEX(X168:$AJ178,MATCH(MIN($AK168:$AK178),$AK168:$AK178,0),1)/INDEX($C168:$AJ178,MATCH(MIN($AK168:$AK178),$AK168:$AK178,0),MATCH(IF('Data-solution'!$A$3="Maximize",MAX($C179:$AI179),MIN($C179:$AI179)),$C179:$AI179,0))),X170)</f>
        <v>0</v>
      </c>
      <c r="Y185" s="1">
        <f>IF(OR($B183&lt;&gt;$B168,$B184&lt;&gt;$B169,$B185&lt;&gt;$B170,$B186&lt;&gt;$B171,$B187&lt;&gt;$B172,$B188&lt;&gt;$B173,$B189&lt;&gt;$B174,$B190&lt;&gt;$B175,$B191&lt;&gt;$B176,$B192&lt;&gt;$B177,$B193&lt;&gt;$B178),IF($B185&lt;&gt;$B170,Y170/INDEX($C168:$AJ178,3,MATCH(IF('Data-solution'!$A$3="Maximize",MAX($C179:$AI179),MIN($C179:$AI179)),$C179:$AI179,0)),Y170-INDEX($C168:$AJ178,3,MATCH(IF('Data-solution'!$A$3="Maximize",MAX($C179:$AI179),MIN($C179:$AI179)),$C179:$AI179,0))*INDEX(Y168:$AJ178,MATCH(MIN($AK168:$AK178),$AK168:$AK178,0),1)/INDEX($C168:$AJ178,MATCH(MIN($AK168:$AK178),$AK168:$AK178,0),MATCH(IF('Data-solution'!$A$3="Maximize",MAX($C179:$AI179),MIN($C179:$AI179)),$C179:$AI179,0))),Y170)</f>
        <v>0</v>
      </c>
      <c r="Z185" s="1">
        <f>IF(OR($B183&lt;&gt;$B168,$B184&lt;&gt;$B169,$B185&lt;&gt;$B170,$B186&lt;&gt;$B171,$B187&lt;&gt;$B172,$B188&lt;&gt;$B173,$B189&lt;&gt;$B174,$B190&lt;&gt;$B175,$B191&lt;&gt;$B176,$B192&lt;&gt;$B177,$B193&lt;&gt;$B178),IF($B185&lt;&gt;$B170,Z170/INDEX($C168:$AJ178,3,MATCH(IF('Data-solution'!$A$3="Maximize",MAX($C179:$AI179),MIN($C179:$AI179)),$C179:$AI179,0)),Z170-INDEX($C168:$AJ178,3,MATCH(IF('Data-solution'!$A$3="Maximize",MAX($C179:$AI179),MIN($C179:$AI179)),$C179:$AI179,0))*INDEX(Z168:$AJ178,MATCH(MIN($AK168:$AK178),$AK168:$AK178,0),1)/INDEX($C168:$AJ178,MATCH(MIN($AK168:$AK178),$AK168:$AK178,0),MATCH(IF('Data-solution'!$A$3="Maximize",MAX($C179:$AI179),MIN($C179:$AI179)),$C179:$AI179,0))),Z170)</f>
        <v>0</v>
      </c>
      <c r="AA185" s="1">
        <f>IF(OR($B183&lt;&gt;$B168,$B184&lt;&gt;$B169,$B185&lt;&gt;$B170,$B186&lt;&gt;$B171,$B187&lt;&gt;$B172,$B188&lt;&gt;$B173,$B189&lt;&gt;$B174,$B190&lt;&gt;$B175,$B191&lt;&gt;$B176,$B192&lt;&gt;$B177,$B193&lt;&gt;$B178),IF($B185&lt;&gt;$B170,AA170/INDEX($C168:$AJ178,3,MATCH(IF('Data-solution'!$A$3="Maximize",MAX($C179:$AI179),MIN($C179:$AI179)),$C179:$AI179,0)),AA170-INDEX($C168:$AJ178,3,MATCH(IF('Data-solution'!$A$3="Maximize",MAX($C179:$AI179),MIN($C179:$AI179)),$C179:$AI179,0))*INDEX(AA168:$AJ178,MATCH(MIN($AK168:$AK178),$AK168:$AK178,0),1)/INDEX($C168:$AJ178,MATCH(MIN($AK168:$AK178),$AK168:$AK178,0),MATCH(IF('Data-solution'!$A$3="Maximize",MAX($C179:$AI179),MIN($C179:$AI179)),$C179:$AI179,0))),AA170)</f>
        <v>0.24999999999999997</v>
      </c>
      <c r="AB185" s="1">
        <f>IF(OR($B183&lt;&gt;$B168,$B184&lt;&gt;$B169,$B185&lt;&gt;$B170,$B186&lt;&gt;$B171,$B187&lt;&gt;$B172,$B188&lt;&gt;$B173,$B189&lt;&gt;$B174,$B190&lt;&gt;$B175,$B191&lt;&gt;$B176,$B192&lt;&gt;$B177,$B193&lt;&gt;$B178),IF($B185&lt;&gt;$B170,AB170/INDEX($C168:$AJ178,3,MATCH(IF('Data-solution'!$A$3="Maximize",MAX($C179:$AI179),MIN($C179:$AI179)),$C179:$AI179,0)),AB170-INDEX($C168:$AJ178,3,MATCH(IF('Data-solution'!$A$3="Maximize",MAX($C179:$AI179),MIN($C179:$AI179)),$C179:$AI179,0))*INDEX(AB168:$AJ178,MATCH(MIN($AK168:$AK178),$AK168:$AK178,0),1)/INDEX($C168:$AJ178,MATCH(MIN($AK168:$AK178),$AK168:$AK178,0),MATCH(IF('Data-solution'!$A$3="Maximize",MAX($C179:$AI179),MIN($C179:$AI179)),$C179:$AI179,0))),AB170)</f>
        <v>-0.49999999999999989</v>
      </c>
      <c r="AC185" s="1">
        <f>IF(OR($B183&lt;&gt;$B168,$B184&lt;&gt;$B169,$B185&lt;&gt;$B170,$B186&lt;&gt;$B171,$B187&lt;&gt;$B172,$B188&lt;&gt;$B173,$B189&lt;&gt;$B174,$B190&lt;&gt;$B175,$B191&lt;&gt;$B176,$B192&lt;&gt;$B177,$B193&lt;&gt;$B178),IF($B185&lt;&gt;$B170,AC170/INDEX($C168:$AJ178,3,MATCH(IF('Data-solution'!$A$3="Maximize",MAX($C179:$AI179),MIN($C179:$AI179)),$C179:$AI179,0)),AC170-INDEX($C168:$AJ178,3,MATCH(IF('Data-solution'!$A$3="Maximize",MAX($C179:$AI179),MIN($C179:$AI179)),$C179:$AI179,0))*INDEX(AC168:$AJ178,MATCH(MIN($AK168:$AK178),$AK168:$AK178,0),1)/INDEX($C168:$AJ178,MATCH(MIN($AK168:$AK178),$AK168:$AK178,0),MATCH(IF('Data-solution'!$A$3="Maximize",MAX($C179:$AI179),MIN($C179:$AI179)),$C179:$AI179,0))),AC170)</f>
        <v>0</v>
      </c>
      <c r="AD185" s="1">
        <f>IF(OR($B183&lt;&gt;$B168,$B184&lt;&gt;$B169,$B185&lt;&gt;$B170,$B186&lt;&gt;$B171,$B187&lt;&gt;$B172,$B188&lt;&gt;$B173,$B189&lt;&gt;$B174,$B190&lt;&gt;$B175,$B191&lt;&gt;$B176,$B192&lt;&gt;$B177,$B193&lt;&gt;$B178),IF($B185&lt;&gt;$B170,AD170/INDEX($C168:$AJ178,3,MATCH(IF('Data-solution'!$A$3="Maximize",MAX($C179:$AI179),MIN($C179:$AI179)),$C179:$AI179,0)),AD170-INDEX($C168:$AJ178,3,MATCH(IF('Data-solution'!$A$3="Maximize",MAX($C179:$AI179),MIN($C179:$AI179)),$C179:$AI179,0))*INDEX(AD168:$AJ178,MATCH(MIN($AK168:$AK178),$AK168:$AK178,0),1)/INDEX($C168:$AJ178,MATCH(MIN($AK168:$AK178),$AK168:$AK178,0),MATCH(IF('Data-solution'!$A$3="Maximize",MAX($C179:$AI179),MIN($C179:$AI179)),$C179:$AI179,0))),AD170)</f>
        <v>0</v>
      </c>
      <c r="AE185" s="1">
        <f>IF(OR($B183&lt;&gt;$B168,$B184&lt;&gt;$B169,$B185&lt;&gt;$B170,$B186&lt;&gt;$B171,$B187&lt;&gt;$B172,$B188&lt;&gt;$B173,$B189&lt;&gt;$B174,$B190&lt;&gt;$B175,$B191&lt;&gt;$B176,$B192&lt;&gt;$B177,$B193&lt;&gt;$B178),IF($B185&lt;&gt;$B170,AE170/INDEX($C168:$AJ178,3,MATCH(IF('Data-solution'!$A$3="Maximize",MAX($C179:$AI179),MIN($C179:$AI179)),$C179:$AI179,0)),AE170-INDEX($C168:$AJ178,3,MATCH(IF('Data-solution'!$A$3="Maximize",MAX($C179:$AI179),MIN($C179:$AI179)),$C179:$AI179,0))*INDEX(AE168:$AJ178,MATCH(MIN($AK168:$AK178),$AK168:$AK178,0),1)/INDEX($C168:$AJ178,MATCH(MIN($AK168:$AK178),$AK168:$AK178,0),MATCH(IF('Data-solution'!$A$3="Maximize",MAX($C179:$AI179),MIN($C179:$AI179)),$C179:$AI179,0))),AE170)</f>
        <v>0</v>
      </c>
      <c r="AF185" s="1">
        <f>IF(OR($B183&lt;&gt;$B168,$B184&lt;&gt;$B169,$B185&lt;&gt;$B170,$B186&lt;&gt;$B171,$B187&lt;&gt;$B172,$B188&lt;&gt;$B173,$B189&lt;&gt;$B174,$B190&lt;&gt;$B175,$B191&lt;&gt;$B176,$B192&lt;&gt;$B177,$B193&lt;&gt;$B178),IF($B185&lt;&gt;$B170,AF170/INDEX($C168:$AJ178,3,MATCH(IF('Data-solution'!$A$3="Maximize",MAX($C179:$AI179),MIN($C179:$AI179)),$C179:$AI179,0)),AF170-INDEX($C168:$AJ178,3,MATCH(IF('Data-solution'!$A$3="Maximize",MAX($C179:$AI179),MIN($C179:$AI179)),$C179:$AI179,0))*INDEX(AF168:$AJ178,MATCH(MIN($AK168:$AK178),$AK168:$AK178,0),1)/INDEX($C168:$AJ178,MATCH(MIN($AK168:$AK178),$AK168:$AK178,0),MATCH(IF('Data-solution'!$A$3="Maximize",MAX($C179:$AI179),MIN($C179:$AI179)),$C179:$AI179,0))),AF170)</f>
        <v>0</v>
      </c>
      <c r="AG185" s="1">
        <f>IF(OR($B183&lt;&gt;$B168,$B184&lt;&gt;$B169,$B185&lt;&gt;$B170,$B186&lt;&gt;$B171,$B187&lt;&gt;$B172,$B188&lt;&gt;$B173,$B189&lt;&gt;$B174,$B190&lt;&gt;$B175,$B191&lt;&gt;$B176,$B192&lt;&gt;$B177,$B193&lt;&gt;$B178),IF($B185&lt;&gt;$B170,AG170/INDEX($C168:$AJ178,3,MATCH(IF('Data-solution'!$A$3="Maximize",MAX($C179:$AI179),MIN($C179:$AI179)),$C179:$AI179,0)),AG170-INDEX($C168:$AJ178,3,MATCH(IF('Data-solution'!$A$3="Maximize",MAX($C179:$AI179),MIN($C179:$AI179)),$C179:$AI179,0))*INDEX(AG168:$AJ178,MATCH(MIN($AK168:$AK178),$AK168:$AK178,0),1)/INDEX($C168:$AJ178,MATCH(MIN($AK168:$AK178),$AK168:$AK178,0),MATCH(IF('Data-solution'!$A$3="Maximize",MAX($C179:$AI179),MIN($C179:$AI179)),$C179:$AI179,0))),AG170)</f>
        <v>0</v>
      </c>
      <c r="AH185" s="1">
        <f>IF(OR($B183&lt;&gt;$B168,$B184&lt;&gt;$B169,$B185&lt;&gt;$B170,$B186&lt;&gt;$B171,$B187&lt;&gt;$B172,$B188&lt;&gt;$B173,$B189&lt;&gt;$B174,$B190&lt;&gt;$B175,$B191&lt;&gt;$B176,$B192&lt;&gt;$B177,$B193&lt;&gt;$B178),IF($B185&lt;&gt;$B170,AH170/INDEX($C168:$AJ178,3,MATCH(IF('Data-solution'!$A$3="Maximize",MAX($C179:$AI179),MIN($C179:$AI179)),$C179:$AI179,0)),AH170-INDEX($C168:$AJ178,3,MATCH(IF('Data-solution'!$A$3="Maximize",MAX($C179:$AI179),MIN($C179:$AI179)),$C179:$AI179,0))*INDEX(AH168:$AJ178,MATCH(MIN($AK168:$AK178),$AK168:$AK178,0),1)/INDEX($C168:$AJ178,MATCH(MIN($AK168:$AK178),$AK168:$AK178,0),MATCH(IF('Data-solution'!$A$3="Maximize",MAX($C179:$AI179),MIN($C179:$AI179)),$C179:$AI179,0))),AH170)</f>
        <v>0</v>
      </c>
      <c r="AI185" s="1">
        <f>IF(OR($B183&lt;&gt;$B168,$B184&lt;&gt;$B169,$B185&lt;&gt;$B170,$B186&lt;&gt;$B171,$B187&lt;&gt;$B172,$B188&lt;&gt;$B173,$B189&lt;&gt;$B174,$B190&lt;&gt;$B175,$B191&lt;&gt;$B176,$B192&lt;&gt;$B177,$B193&lt;&gt;$B178),IF($B185&lt;&gt;$B170,AI170/INDEX($C168:$AJ178,3,MATCH(IF('Data-solution'!$A$3="Maximize",MAX($C179:$AI179),MIN($C179:$AI179)),$C179:$AI179,0)),AI170-INDEX($C168:$AJ178,3,MATCH(IF('Data-solution'!$A$3="Maximize",MAX($C179:$AI179),MIN($C179:$AI179)),$C179:$AI179,0))*INDEX(AI168:$AJ178,MATCH(MIN($AK168:$AK178),$AK168:$AK178,0),1)/INDEX($C168:$AJ178,MATCH(MIN($AK168:$AK178),$AK168:$AK178,0),MATCH(IF('Data-solution'!$A$3="Maximize",MAX($C179:$AI179),MIN($C179:$AI179)),$C179:$AI179,0))),AI170)</f>
        <v>0</v>
      </c>
      <c r="AJ185" s="1">
        <f>IF(OR($B183&lt;&gt;$B168,$B184&lt;&gt;$B169,$B185&lt;&gt;$B170,$B186&lt;&gt;$B171,$B187&lt;&gt;$B172,$B188&lt;&gt;$B173,$B189&lt;&gt;$B174,$B190&lt;&gt;$B175,$B191&lt;&gt;$B176,$B192&lt;&gt;$B177,$B193&lt;&gt;$B178),IF($B185&lt;&gt;$B170,AJ170/INDEX($C168:$AJ178,3,MATCH(IF('Data-solution'!$A$3="Maximize",MAX($C179:$AI179),MIN($C179:$AI179)),$C179:$AI179,0)),AJ170-INDEX($C168:$AJ178,3,MATCH(IF('Data-solution'!$A$3="Maximize",MAX($C179:$AI179),MIN($C179:$AI179)),$C179:$AI179,0))*INDEX(AJ168:$AJ178,MATCH(MIN($AK168:$AK178),$AK168:$AK178,0),1)/INDEX($C168:$AJ178,MATCH(MIN($AK168:$AK178),$AK168:$AK178,0),MATCH(IF('Data-solution'!$A$3="Maximize",MAX($C179:$AI179),MIN($C179:$AI179)),$C179:$AI179,0))),AJ170)</f>
        <v>300</v>
      </c>
      <c r="AK185" s="1" t="str">
        <f>IF(INDEX(C185:X185,1,MATCH(IF('Data-solution'!A$3="Maximize",MAX(C194:X194),MIN(C194:X194)),C194:X194,0))&gt;0,AJ185/INDEX(C185:X185,1,MATCH(IF('Data-solution'!A$3="Maximize",MAX(C194:X194),MIN(C194:X194)),C194:X194,0))," ")</f>
        <v xml:space="preserve"> </v>
      </c>
    </row>
    <row r="186" spans="1:37" ht="18" customHeight="1" x14ac:dyDescent="0.2">
      <c r="A186" s="1">
        <f t="shared" ref="A186" si="159">INDEX(C181:AI181,1,MATCH(B186,C182:AI182,0))</f>
        <v>150</v>
      </c>
      <c r="B186" s="2" t="str">
        <f>IF(AND('Data-solution'!A$3="Maximize",COUNTIF(C179:X179,"&gt;"&amp;0)&gt;0,AK171=MIN(AK168:AK178),COUNTIF(B183:B185,INDEX(C167:X167,1,MATCH(MAX(C179:X179),C179:X179,0)))=0),INDEX(C167:X167,1,MATCH(MAX(C179:X179),C179:X179,0)),IF(AND('Data-solution'!A$3="Minimize",COUNTIF(C179:X179,"&lt;"&amp;0)&gt;0,AK171=MIN(AK168:AK178),COUNTIF(B183:B185,INDEX(C167:X167,1,MATCH(MIN(C179:X179),C179:X179,0)))=0),INDEX(C167:X167,1,MATCH(MIN(C179:X179),C179:X179,0)),B171))</f>
        <v>X1</v>
      </c>
      <c r="C186" s="1">
        <f>IF(OR($B183&lt;&gt;$B168,$B184&lt;&gt;$B169,$B185&lt;&gt;$B170,$B186&lt;&gt;$B171,$B187&lt;&gt;$B172,$B188&lt;&gt;$B173,$B189&lt;&gt;$B174,$B190&lt;&gt;$B175,$B191&lt;&gt;$B176,$B192&lt;&gt;$B177,$B193&lt;&gt;$B178),IF($B186&lt;&gt;$B171,C171/INDEX($C168:$AJ178,4,MATCH(IF('Data-solution'!$A$3="Maximize",MAX($C179:$AI179),MIN($C179:$AI179)),$C179:$AI179,0)),C171-INDEX($C168:$AJ178,4,MATCH(IF('Data-solution'!$A$3="Maximize",MAX($C179:$AI179),MIN($C179:$AI179)),$C179:$AI179,0))*INDEX(C168:$AJ178,MATCH(MIN($AK168:$AK178),$AK168:$AK178,0),1)/INDEX($C168:$AJ178,MATCH(MIN($AK168:$AK178),$AK168:$AK178,0),MATCH(IF('Data-solution'!$A$3="Maximize",MAX($C179:$AI179),MIN($C179:$AI179)),$C179:$AI179,0))),C171)</f>
        <v>1</v>
      </c>
      <c r="D186" s="1">
        <f>IF(OR($B183&lt;&gt;$B168,$B184&lt;&gt;$B169,$B185&lt;&gt;$B170,$B186&lt;&gt;$B171,$B187&lt;&gt;$B172,$B188&lt;&gt;$B173,$B189&lt;&gt;$B174,$B190&lt;&gt;$B175,$B191&lt;&gt;$B176,$B192&lt;&gt;$B177,$B193&lt;&gt;$B178),IF($B186&lt;&gt;$B171,D171/INDEX($C168:$AJ178,4,MATCH(IF('Data-solution'!$A$3="Maximize",MAX($C179:$AI179),MIN($C179:$AI179)),$C179:$AI179,0)),D171-INDEX($C168:$AJ178,4,MATCH(IF('Data-solution'!$A$3="Maximize",MAX($C179:$AI179),MIN($C179:$AI179)),$C179:$AI179,0))*INDEX(D168:$AJ178,MATCH(MIN($AK168:$AK178),$AK168:$AK178,0),1)/INDEX($C168:$AJ178,MATCH(MIN($AK168:$AK178),$AK168:$AK178,0),MATCH(IF('Data-solution'!$A$3="Maximize",MAX($C179:$AI179),MIN($C179:$AI179)),$C179:$AI179,0))),D171)</f>
        <v>-1.25</v>
      </c>
      <c r="E186" s="1">
        <f>IF(OR($B183&lt;&gt;$B168,$B184&lt;&gt;$B169,$B185&lt;&gt;$B170,$B186&lt;&gt;$B171,$B187&lt;&gt;$B172,$B188&lt;&gt;$B173,$B189&lt;&gt;$B174,$B190&lt;&gt;$B175,$B191&lt;&gt;$B176,$B192&lt;&gt;$B177,$B193&lt;&gt;$B178),IF($B186&lt;&gt;$B171,E171/INDEX($C168:$AJ178,4,MATCH(IF('Data-solution'!$A$3="Maximize",MAX($C179:$AI179),MIN($C179:$AI179)),$C179:$AI179,0)),E171-INDEX($C168:$AJ178,4,MATCH(IF('Data-solution'!$A$3="Maximize",MAX($C179:$AI179),MIN($C179:$AI179)),$C179:$AI179,0))*INDEX(E168:$AJ178,MATCH(MIN($AK168:$AK178),$AK168:$AK178,0),1)/INDEX($C168:$AJ178,MATCH(MIN($AK168:$AK178),$AK168:$AK178,0),MATCH(IF('Data-solution'!$A$3="Maximize",MAX($C179:$AI179),MIN($C179:$AI179)),$C179:$AI179,0))),E171)</f>
        <v>0</v>
      </c>
      <c r="F186" s="1">
        <f>IF(OR($B183&lt;&gt;$B168,$B184&lt;&gt;$B169,$B185&lt;&gt;$B170,$B186&lt;&gt;$B171,$B187&lt;&gt;$B172,$B188&lt;&gt;$B173,$B189&lt;&gt;$B174,$B190&lt;&gt;$B175,$B191&lt;&gt;$B176,$B192&lt;&gt;$B177,$B193&lt;&gt;$B178),IF($B186&lt;&gt;$B171,F171/INDEX($C168:$AJ178,4,MATCH(IF('Data-solution'!$A$3="Maximize",MAX($C179:$AI179),MIN($C179:$AI179)),$C179:$AI179,0)),F171-INDEX($C168:$AJ178,4,MATCH(IF('Data-solution'!$A$3="Maximize",MAX($C179:$AI179),MIN($C179:$AI179)),$C179:$AI179,0))*INDEX(F168:$AJ178,MATCH(MIN($AK168:$AK178),$AK168:$AK178,0),1)/INDEX($C168:$AJ178,MATCH(MIN($AK168:$AK178),$AK168:$AK178,0),MATCH(IF('Data-solution'!$A$3="Maximize",MAX($C179:$AI179),MIN($C179:$AI179)),$C179:$AI179,0))),F171)</f>
        <v>0</v>
      </c>
      <c r="G186" s="1">
        <f>IF(OR($B183&lt;&gt;$B168,$B184&lt;&gt;$B169,$B185&lt;&gt;$B170,$B186&lt;&gt;$B171,$B187&lt;&gt;$B172,$B188&lt;&gt;$B173,$B189&lt;&gt;$B174,$B190&lt;&gt;$B175,$B191&lt;&gt;$B176,$B192&lt;&gt;$B177,$B193&lt;&gt;$B178),IF($B186&lt;&gt;$B171,G171/INDEX($C168:$AJ178,4,MATCH(IF('Data-solution'!$A$3="Maximize",MAX($C179:$AI179),MIN($C179:$AI179)),$C179:$AI179,0)),G171-INDEX($C168:$AJ178,4,MATCH(IF('Data-solution'!$A$3="Maximize",MAX($C179:$AI179),MIN($C179:$AI179)),$C179:$AI179,0))*INDEX(G168:$AJ178,MATCH(MIN($AK168:$AK178),$AK168:$AK178,0),1)/INDEX($C168:$AJ178,MATCH(MIN($AK168:$AK178),$AK168:$AK178,0),MATCH(IF('Data-solution'!$A$3="Maximize",MAX($C179:$AI179),MIN($C179:$AI179)),$C179:$AI179,0))),G171)</f>
        <v>0</v>
      </c>
      <c r="H186" s="1">
        <f>IF(OR($B183&lt;&gt;$B168,$B184&lt;&gt;$B169,$B185&lt;&gt;$B170,$B186&lt;&gt;$B171,$B187&lt;&gt;$B172,$B188&lt;&gt;$B173,$B189&lt;&gt;$B174,$B190&lt;&gt;$B175,$B191&lt;&gt;$B176,$B192&lt;&gt;$B177,$B193&lt;&gt;$B178),IF($B186&lt;&gt;$B171,H171/INDEX($C168:$AJ178,4,MATCH(IF('Data-solution'!$A$3="Maximize",MAX($C179:$AI179),MIN($C179:$AI179)),$C179:$AI179,0)),H171-INDEX($C168:$AJ178,4,MATCH(IF('Data-solution'!$A$3="Maximize",MAX($C179:$AI179),MIN($C179:$AI179)),$C179:$AI179,0))*INDEX(H168:$AJ178,MATCH(MIN($AK168:$AK178),$AK168:$AK178,0),1)/INDEX($C168:$AJ178,MATCH(MIN($AK168:$AK178),$AK168:$AK178,0),MATCH(IF('Data-solution'!$A$3="Maximize",MAX($C179:$AI179),MIN($C179:$AI179)),$C179:$AI179,0))),H171)</f>
        <v>0</v>
      </c>
      <c r="I186" s="1">
        <f>IF(OR($B183&lt;&gt;$B168,$B184&lt;&gt;$B169,$B185&lt;&gt;$B170,$B186&lt;&gt;$B171,$B187&lt;&gt;$B172,$B188&lt;&gt;$B173,$B189&lt;&gt;$B174,$B190&lt;&gt;$B175,$B191&lt;&gt;$B176,$B192&lt;&gt;$B177,$B193&lt;&gt;$B178),IF($B186&lt;&gt;$B171,I171/INDEX($C168:$AJ178,4,MATCH(IF('Data-solution'!$A$3="Maximize",MAX($C179:$AI179),MIN($C179:$AI179)),$C179:$AI179,0)),I171-INDEX($C168:$AJ178,4,MATCH(IF('Data-solution'!$A$3="Maximize",MAX($C179:$AI179),MIN($C179:$AI179)),$C179:$AI179,0))*INDEX(I168:$AJ178,MATCH(MIN($AK168:$AK178),$AK168:$AK178,0),1)/INDEX($C168:$AJ178,MATCH(MIN($AK168:$AK178),$AK168:$AK178,0),MATCH(IF('Data-solution'!$A$3="Maximize",MAX($C179:$AI179),MIN($C179:$AI179)),$C179:$AI179,0))),I171)</f>
        <v>0</v>
      </c>
      <c r="J186" s="1">
        <f>IF(OR($B183&lt;&gt;$B168,$B184&lt;&gt;$B169,$B185&lt;&gt;$B170,$B186&lt;&gt;$B171,$B187&lt;&gt;$B172,$B188&lt;&gt;$B173,$B189&lt;&gt;$B174,$B190&lt;&gt;$B175,$B191&lt;&gt;$B176,$B192&lt;&gt;$B177,$B193&lt;&gt;$B178),IF($B186&lt;&gt;$B171,J171/INDEX($C168:$AJ178,4,MATCH(IF('Data-solution'!$A$3="Maximize",MAX($C179:$AI179),MIN($C179:$AI179)),$C179:$AI179,0)),J171-INDEX($C168:$AJ178,4,MATCH(IF('Data-solution'!$A$3="Maximize",MAX($C179:$AI179),MIN($C179:$AI179)),$C179:$AI179,0))*INDEX(J168:$AJ178,MATCH(MIN($AK168:$AK178),$AK168:$AK178,0),1)/INDEX($C168:$AJ178,MATCH(MIN($AK168:$AK178),$AK168:$AK178,0),MATCH(IF('Data-solution'!$A$3="Maximize",MAX($C179:$AI179),MIN($C179:$AI179)),$C179:$AI179,0))),J171)</f>
        <v>0</v>
      </c>
      <c r="K186" s="1">
        <f>IF(OR($B183&lt;&gt;$B168,$B184&lt;&gt;$B169,$B185&lt;&gt;$B170,$B186&lt;&gt;$B171,$B187&lt;&gt;$B172,$B188&lt;&gt;$B173,$B189&lt;&gt;$B174,$B190&lt;&gt;$B175,$B191&lt;&gt;$B176,$B192&lt;&gt;$B177,$B193&lt;&gt;$B178),IF($B186&lt;&gt;$B171,K171/INDEX($C168:$AJ178,4,MATCH(IF('Data-solution'!$A$3="Maximize",MAX($C179:$AI179),MIN($C179:$AI179)),$C179:$AI179,0)),K171-INDEX($C168:$AJ178,4,MATCH(IF('Data-solution'!$A$3="Maximize",MAX($C179:$AI179),MIN($C179:$AI179)),$C179:$AI179,0))*INDEX(K168:$AJ178,MATCH(MIN($AK168:$AK178),$AK168:$AK178,0),1)/INDEX($C168:$AJ178,MATCH(MIN($AK168:$AK178),$AK168:$AK178,0),MATCH(IF('Data-solution'!$A$3="Maximize",MAX($C179:$AI179),MIN($C179:$AI179)),$C179:$AI179,0))),K171)</f>
        <v>0</v>
      </c>
      <c r="L186" s="1">
        <f>IF(OR($B183&lt;&gt;$B168,$B184&lt;&gt;$B169,$B185&lt;&gt;$B170,$B186&lt;&gt;$B171,$B187&lt;&gt;$B172,$B188&lt;&gt;$B173,$B189&lt;&gt;$B174,$B190&lt;&gt;$B175,$B191&lt;&gt;$B176,$B192&lt;&gt;$B177,$B193&lt;&gt;$B178),IF($B186&lt;&gt;$B171,L171/INDEX($C168:$AJ178,4,MATCH(IF('Data-solution'!$A$3="Maximize",MAX($C179:$AI179),MIN($C179:$AI179)),$C179:$AI179,0)),L171-INDEX($C168:$AJ178,4,MATCH(IF('Data-solution'!$A$3="Maximize",MAX($C179:$AI179),MIN($C179:$AI179)),$C179:$AI179,0))*INDEX(L168:$AJ178,MATCH(MIN($AK168:$AK178),$AK168:$AK178,0),1)/INDEX($C168:$AJ178,MATCH(MIN($AK168:$AK178),$AK168:$AK178,0),MATCH(IF('Data-solution'!$A$3="Maximize",MAX($C179:$AI179),MIN($C179:$AI179)),$C179:$AI179,0))),L171)</f>
        <v>0</v>
      </c>
      <c r="M186" s="1">
        <f>IF(OR($B183&lt;&gt;$B168,$B184&lt;&gt;$B169,$B185&lt;&gt;$B170,$B186&lt;&gt;$B171,$B187&lt;&gt;$B172,$B188&lt;&gt;$B173,$B189&lt;&gt;$B174,$B190&lt;&gt;$B175,$B191&lt;&gt;$B176,$B192&lt;&gt;$B177,$B193&lt;&gt;$B178),IF($B186&lt;&gt;$B171,M171/INDEX($C168:$AJ178,4,MATCH(IF('Data-solution'!$A$3="Maximize",MAX($C179:$AI179),MIN($C179:$AI179)),$C179:$AI179,0)),M171-INDEX($C168:$AJ178,4,MATCH(IF('Data-solution'!$A$3="Maximize",MAX($C179:$AI179),MIN($C179:$AI179)),$C179:$AI179,0))*INDEX(M168:$AJ178,MATCH(MIN($AK168:$AK178),$AK168:$AK178,0),1)/INDEX($C168:$AJ178,MATCH(MIN($AK168:$AK178),$AK168:$AK178,0),MATCH(IF('Data-solution'!$A$3="Maximize",MAX($C179:$AI179),MIN($C179:$AI179)),$C179:$AI179,0))),M171)</f>
        <v>0</v>
      </c>
      <c r="N186" s="1">
        <f>IF(OR($B183&lt;&gt;$B168,$B184&lt;&gt;$B169,$B185&lt;&gt;$B170,$B186&lt;&gt;$B171,$B187&lt;&gt;$B172,$B188&lt;&gt;$B173,$B189&lt;&gt;$B174,$B190&lt;&gt;$B175,$B191&lt;&gt;$B176,$B192&lt;&gt;$B177,$B193&lt;&gt;$B178),IF($B186&lt;&gt;$B171,N171/INDEX($C168:$AJ178,4,MATCH(IF('Data-solution'!$A$3="Maximize",MAX($C179:$AI179),MIN($C179:$AI179)),$C179:$AI179,0)),N171-INDEX($C168:$AJ178,4,MATCH(IF('Data-solution'!$A$3="Maximize",MAX($C179:$AI179),MIN($C179:$AI179)),$C179:$AI179,0))*INDEX(N168:$AJ178,MATCH(MIN($AK168:$AK178),$AK168:$AK178,0),1)/INDEX($C168:$AJ178,MATCH(MIN($AK168:$AK178),$AK168:$AK178,0),MATCH(IF('Data-solution'!$A$3="Maximize",MAX($C179:$AI179),MIN($C179:$AI179)),$C179:$AI179,0))),N171)</f>
        <v>0</v>
      </c>
      <c r="O186" s="1">
        <f>IF(OR($B183&lt;&gt;$B168,$B184&lt;&gt;$B169,$B185&lt;&gt;$B170,$B186&lt;&gt;$B171,$B187&lt;&gt;$B172,$B188&lt;&gt;$B173,$B189&lt;&gt;$B174,$B190&lt;&gt;$B175,$B191&lt;&gt;$B176,$B192&lt;&gt;$B177,$B193&lt;&gt;$B178),IF($B186&lt;&gt;$B171,O171/INDEX($C168:$AJ178,4,MATCH(IF('Data-solution'!$A$3="Maximize",MAX($C179:$AI179),MIN($C179:$AI179)),$C179:$AI179,0)),O171-INDEX($C168:$AJ178,4,MATCH(IF('Data-solution'!$A$3="Maximize",MAX($C179:$AI179),MIN($C179:$AI179)),$C179:$AI179,0))*INDEX(O168:$AJ178,MATCH(MIN($AK168:$AK178),$AK168:$AK178,0),1)/INDEX($C168:$AJ178,MATCH(MIN($AK168:$AK178),$AK168:$AK178,0),MATCH(IF('Data-solution'!$A$3="Maximize",MAX($C179:$AI179),MIN($C179:$AI179)),$C179:$AI179,0))),O171)</f>
        <v>0</v>
      </c>
      <c r="P186" s="1">
        <f>IF(OR($B183&lt;&gt;$B168,$B184&lt;&gt;$B169,$B185&lt;&gt;$B170,$B186&lt;&gt;$B171,$B187&lt;&gt;$B172,$B188&lt;&gt;$B173,$B189&lt;&gt;$B174,$B190&lt;&gt;$B175,$B191&lt;&gt;$B176,$B192&lt;&gt;$B177,$B193&lt;&gt;$B178),IF($B186&lt;&gt;$B171,P171/INDEX($C168:$AJ178,4,MATCH(IF('Data-solution'!$A$3="Maximize",MAX($C179:$AI179),MIN($C179:$AI179)),$C179:$AI179,0)),P171-INDEX($C168:$AJ178,4,MATCH(IF('Data-solution'!$A$3="Maximize",MAX($C179:$AI179),MIN($C179:$AI179)),$C179:$AI179,0))*INDEX(P168:$AJ178,MATCH(MIN($AK168:$AK178),$AK168:$AK178,0),1)/INDEX($C168:$AJ178,MATCH(MIN($AK168:$AK178),$AK168:$AK178,0),MATCH(IF('Data-solution'!$A$3="Maximize",MAX($C179:$AI179),MIN($C179:$AI179)),$C179:$AI179,0))),P171)</f>
        <v>-0.24999999999999994</v>
      </c>
      <c r="Q186" s="1">
        <f>IF(OR($B183&lt;&gt;$B168,$B184&lt;&gt;$B169,$B185&lt;&gt;$B170,$B186&lt;&gt;$B171,$B187&lt;&gt;$B172,$B188&lt;&gt;$B173,$B189&lt;&gt;$B174,$B190&lt;&gt;$B175,$B191&lt;&gt;$B176,$B192&lt;&gt;$B177,$B193&lt;&gt;$B178),IF($B186&lt;&gt;$B171,Q171/INDEX($C168:$AJ178,4,MATCH(IF('Data-solution'!$A$3="Maximize",MAX($C179:$AI179),MIN($C179:$AI179)),$C179:$AI179,0)),Q171-INDEX($C168:$AJ178,4,MATCH(IF('Data-solution'!$A$3="Maximize",MAX($C179:$AI179),MIN($C179:$AI179)),$C179:$AI179,0))*INDEX(Q168:$AJ178,MATCH(MIN($AK168:$AK178),$AK168:$AK178,0),1)/INDEX($C168:$AJ178,MATCH(MIN($AK168:$AK178),$AK168:$AK178,0),MATCH(IF('Data-solution'!$A$3="Maximize",MAX($C179:$AI179),MIN($C179:$AI179)),$C179:$AI179,0))),Q171)</f>
        <v>1.4999999999999998</v>
      </c>
      <c r="R186" s="1">
        <f>IF(OR($B183&lt;&gt;$B168,$B184&lt;&gt;$B169,$B185&lt;&gt;$B170,$B186&lt;&gt;$B171,$B187&lt;&gt;$B172,$B188&lt;&gt;$B173,$B189&lt;&gt;$B174,$B190&lt;&gt;$B175,$B191&lt;&gt;$B176,$B192&lt;&gt;$B177,$B193&lt;&gt;$B178),IF($B186&lt;&gt;$B171,R171/INDEX($C168:$AJ178,4,MATCH(IF('Data-solution'!$A$3="Maximize",MAX($C179:$AI179),MIN($C179:$AI179)),$C179:$AI179,0)),R171-INDEX($C168:$AJ178,4,MATCH(IF('Data-solution'!$A$3="Maximize",MAX($C179:$AI179),MIN($C179:$AI179)),$C179:$AI179,0))*INDEX(R168:$AJ178,MATCH(MIN($AK168:$AK178),$AK168:$AK178,0),1)/INDEX($C168:$AJ178,MATCH(MIN($AK168:$AK178),$AK168:$AK178,0),MATCH(IF('Data-solution'!$A$3="Maximize",MAX($C179:$AI179),MIN($C179:$AI179)),$C179:$AI179,0))),R171)</f>
        <v>0</v>
      </c>
      <c r="S186" s="1">
        <f>IF(OR($B183&lt;&gt;$B168,$B184&lt;&gt;$B169,$B185&lt;&gt;$B170,$B186&lt;&gt;$B171,$B187&lt;&gt;$B172,$B188&lt;&gt;$B173,$B189&lt;&gt;$B174,$B190&lt;&gt;$B175,$B191&lt;&gt;$B176,$B192&lt;&gt;$B177,$B193&lt;&gt;$B178),IF($B186&lt;&gt;$B171,S171/INDEX($C168:$AJ178,4,MATCH(IF('Data-solution'!$A$3="Maximize",MAX($C179:$AI179),MIN($C179:$AI179)),$C179:$AI179,0)),S171-INDEX($C168:$AJ178,4,MATCH(IF('Data-solution'!$A$3="Maximize",MAX($C179:$AI179),MIN($C179:$AI179)),$C179:$AI179,0))*INDEX(S168:$AJ178,MATCH(MIN($AK168:$AK178),$AK168:$AK178,0),1)/INDEX($C168:$AJ178,MATCH(MIN($AK168:$AK178),$AK168:$AK178,0),MATCH(IF('Data-solution'!$A$3="Maximize",MAX($C179:$AI179),MIN($C179:$AI179)),$C179:$AI179,0))),S171)</f>
        <v>0</v>
      </c>
      <c r="T186" s="1">
        <f>IF(OR($B183&lt;&gt;$B168,$B184&lt;&gt;$B169,$B185&lt;&gt;$B170,$B186&lt;&gt;$B171,$B187&lt;&gt;$B172,$B188&lt;&gt;$B173,$B189&lt;&gt;$B174,$B190&lt;&gt;$B175,$B191&lt;&gt;$B176,$B192&lt;&gt;$B177,$B193&lt;&gt;$B178),IF($B186&lt;&gt;$B171,T171/INDEX($C168:$AJ178,4,MATCH(IF('Data-solution'!$A$3="Maximize",MAX($C179:$AI179),MIN($C179:$AI179)),$C179:$AI179,0)),T171-INDEX($C168:$AJ178,4,MATCH(IF('Data-solution'!$A$3="Maximize",MAX($C179:$AI179),MIN($C179:$AI179)),$C179:$AI179,0))*INDEX(T168:$AJ178,MATCH(MIN($AK168:$AK178),$AK168:$AK178,0),1)/INDEX($C168:$AJ178,MATCH(MIN($AK168:$AK178),$AK168:$AK178,0),MATCH(IF('Data-solution'!$A$3="Maximize",MAX($C179:$AI179),MIN($C179:$AI179)),$C179:$AI179,0))),T171)</f>
        <v>0</v>
      </c>
      <c r="U186" s="1">
        <f>IF(OR($B183&lt;&gt;$B168,$B184&lt;&gt;$B169,$B185&lt;&gt;$B170,$B186&lt;&gt;$B171,$B187&lt;&gt;$B172,$B188&lt;&gt;$B173,$B189&lt;&gt;$B174,$B190&lt;&gt;$B175,$B191&lt;&gt;$B176,$B192&lt;&gt;$B177,$B193&lt;&gt;$B178),IF($B186&lt;&gt;$B171,U171/INDEX($C168:$AJ178,4,MATCH(IF('Data-solution'!$A$3="Maximize",MAX($C179:$AI179),MIN($C179:$AI179)),$C179:$AI179,0)),U171-INDEX($C168:$AJ178,4,MATCH(IF('Data-solution'!$A$3="Maximize",MAX($C179:$AI179),MIN($C179:$AI179)),$C179:$AI179,0))*INDEX(U168:$AJ178,MATCH(MIN($AK168:$AK178),$AK168:$AK178,0),1)/INDEX($C168:$AJ178,MATCH(MIN($AK168:$AK178),$AK168:$AK178,0),MATCH(IF('Data-solution'!$A$3="Maximize",MAX($C179:$AI179),MIN($C179:$AI179)),$C179:$AI179,0))),U171)</f>
        <v>0</v>
      </c>
      <c r="V186" s="1">
        <f>IF(OR($B183&lt;&gt;$B168,$B184&lt;&gt;$B169,$B185&lt;&gt;$B170,$B186&lt;&gt;$B171,$B187&lt;&gt;$B172,$B188&lt;&gt;$B173,$B189&lt;&gt;$B174,$B190&lt;&gt;$B175,$B191&lt;&gt;$B176,$B192&lt;&gt;$B177,$B193&lt;&gt;$B178),IF($B186&lt;&gt;$B171,V171/INDEX($C168:$AJ178,4,MATCH(IF('Data-solution'!$A$3="Maximize",MAX($C179:$AI179),MIN($C179:$AI179)),$C179:$AI179,0)),V171-INDEX($C168:$AJ178,4,MATCH(IF('Data-solution'!$A$3="Maximize",MAX($C179:$AI179),MIN($C179:$AI179)),$C179:$AI179,0))*INDEX(V168:$AJ178,MATCH(MIN($AK168:$AK178),$AK168:$AK178,0),1)/INDEX($C168:$AJ178,MATCH(MIN($AK168:$AK178),$AK168:$AK178,0),MATCH(IF('Data-solution'!$A$3="Maximize",MAX($C179:$AI179),MIN($C179:$AI179)),$C179:$AI179,0))),V171)</f>
        <v>0</v>
      </c>
      <c r="W186" s="1">
        <f>IF(OR($B183&lt;&gt;$B168,$B184&lt;&gt;$B169,$B185&lt;&gt;$B170,$B186&lt;&gt;$B171,$B187&lt;&gt;$B172,$B188&lt;&gt;$B173,$B189&lt;&gt;$B174,$B190&lt;&gt;$B175,$B191&lt;&gt;$B176,$B192&lt;&gt;$B177,$B193&lt;&gt;$B178),IF($B186&lt;&gt;$B171,W171/INDEX($C168:$AJ178,4,MATCH(IF('Data-solution'!$A$3="Maximize",MAX($C179:$AI179),MIN($C179:$AI179)),$C179:$AI179,0)),W171-INDEX($C168:$AJ178,4,MATCH(IF('Data-solution'!$A$3="Maximize",MAX($C179:$AI179),MIN($C179:$AI179)),$C179:$AI179,0))*INDEX(W168:$AJ178,MATCH(MIN($AK168:$AK178),$AK168:$AK178,0),1)/INDEX($C168:$AJ178,MATCH(MIN($AK168:$AK178),$AK168:$AK178,0),MATCH(IF('Data-solution'!$A$3="Maximize",MAX($C179:$AI179),MIN($C179:$AI179)),$C179:$AI179,0))),W171)</f>
        <v>0</v>
      </c>
      <c r="X186" s="1">
        <f>IF(OR($B183&lt;&gt;$B168,$B184&lt;&gt;$B169,$B185&lt;&gt;$B170,$B186&lt;&gt;$B171,$B187&lt;&gt;$B172,$B188&lt;&gt;$B173,$B189&lt;&gt;$B174,$B190&lt;&gt;$B175,$B191&lt;&gt;$B176,$B192&lt;&gt;$B177,$B193&lt;&gt;$B178),IF($B186&lt;&gt;$B171,X171/INDEX($C168:$AJ178,4,MATCH(IF('Data-solution'!$A$3="Maximize",MAX($C179:$AI179),MIN($C179:$AI179)),$C179:$AI179,0)),X171-INDEX($C168:$AJ178,4,MATCH(IF('Data-solution'!$A$3="Maximize",MAX($C179:$AI179),MIN($C179:$AI179)),$C179:$AI179,0))*INDEX(X168:$AJ178,MATCH(MIN($AK168:$AK178),$AK168:$AK178,0),1)/INDEX($C168:$AJ178,MATCH(MIN($AK168:$AK178),$AK168:$AK178,0),MATCH(IF('Data-solution'!$A$3="Maximize",MAX($C179:$AI179),MIN($C179:$AI179)),$C179:$AI179,0))),X171)</f>
        <v>0</v>
      </c>
      <c r="Y186" s="1">
        <f>IF(OR($B183&lt;&gt;$B168,$B184&lt;&gt;$B169,$B185&lt;&gt;$B170,$B186&lt;&gt;$B171,$B187&lt;&gt;$B172,$B188&lt;&gt;$B173,$B189&lt;&gt;$B174,$B190&lt;&gt;$B175,$B191&lt;&gt;$B176,$B192&lt;&gt;$B177,$B193&lt;&gt;$B178),IF($B186&lt;&gt;$B171,Y171/INDEX($C168:$AJ178,4,MATCH(IF('Data-solution'!$A$3="Maximize",MAX($C179:$AI179),MIN($C179:$AI179)),$C179:$AI179,0)),Y171-INDEX($C168:$AJ178,4,MATCH(IF('Data-solution'!$A$3="Maximize",MAX($C179:$AI179),MIN($C179:$AI179)),$C179:$AI179,0))*INDEX(Y168:$AJ178,MATCH(MIN($AK168:$AK178),$AK168:$AK178,0),1)/INDEX($C168:$AJ178,MATCH(MIN($AK168:$AK178),$AK168:$AK178,0),MATCH(IF('Data-solution'!$A$3="Maximize",MAX($C179:$AI179),MIN($C179:$AI179)),$C179:$AI179,0))),Y171)</f>
        <v>0</v>
      </c>
      <c r="Z186" s="1">
        <f>IF(OR($B183&lt;&gt;$B168,$B184&lt;&gt;$B169,$B185&lt;&gt;$B170,$B186&lt;&gt;$B171,$B187&lt;&gt;$B172,$B188&lt;&gt;$B173,$B189&lt;&gt;$B174,$B190&lt;&gt;$B175,$B191&lt;&gt;$B176,$B192&lt;&gt;$B177,$B193&lt;&gt;$B178),IF($B186&lt;&gt;$B171,Z171/INDEX($C168:$AJ178,4,MATCH(IF('Data-solution'!$A$3="Maximize",MAX($C179:$AI179),MIN($C179:$AI179)),$C179:$AI179,0)),Z171-INDEX($C168:$AJ178,4,MATCH(IF('Data-solution'!$A$3="Maximize",MAX($C179:$AI179),MIN($C179:$AI179)),$C179:$AI179,0))*INDEX(Z168:$AJ178,MATCH(MIN($AK168:$AK178),$AK168:$AK178,0),1)/INDEX($C168:$AJ178,MATCH(MIN($AK168:$AK178),$AK168:$AK178,0),MATCH(IF('Data-solution'!$A$3="Maximize",MAX($C179:$AI179),MIN($C179:$AI179)),$C179:$AI179,0))),Z171)</f>
        <v>0</v>
      </c>
      <c r="AA186" s="1">
        <f>IF(OR($B183&lt;&gt;$B168,$B184&lt;&gt;$B169,$B185&lt;&gt;$B170,$B186&lt;&gt;$B171,$B187&lt;&gt;$B172,$B188&lt;&gt;$B173,$B189&lt;&gt;$B174,$B190&lt;&gt;$B175,$B191&lt;&gt;$B176,$B192&lt;&gt;$B177,$B193&lt;&gt;$B178),IF($B186&lt;&gt;$B171,AA171/INDEX($C168:$AJ178,4,MATCH(IF('Data-solution'!$A$3="Maximize",MAX($C179:$AI179),MIN($C179:$AI179)),$C179:$AI179,0)),AA171-INDEX($C168:$AJ178,4,MATCH(IF('Data-solution'!$A$3="Maximize",MAX($C179:$AI179),MIN($C179:$AI179)),$C179:$AI179,0))*INDEX(AA168:$AJ178,MATCH(MIN($AK168:$AK178),$AK168:$AK178,0),1)/INDEX($C168:$AJ178,MATCH(MIN($AK168:$AK178),$AK168:$AK178,0),MATCH(IF('Data-solution'!$A$3="Maximize",MAX($C179:$AI179),MIN($C179:$AI179)),$C179:$AI179,0))),AA171)</f>
        <v>-0.24999999999999994</v>
      </c>
      <c r="AB186" s="1">
        <f>IF(OR($B183&lt;&gt;$B168,$B184&lt;&gt;$B169,$B185&lt;&gt;$B170,$B186&lt;&gt;$B171,$B187&lt;&gt;$B172,$B188&lt;&gt;$B173,$B189&lt;&gt;$B174,$B190&lt;&gt;$B175,$B191&lt;&gt;$B176,$B192&lt;&gt;$B177,$B193&lt;&gt;$B178),IF($B186&lt;&gt;$B171,AB171/INDEX($C168:$AJ178,4,MATCH(IF('Data-solution'!$A$3="Maximize",MAX($C179:$AI179),MIN($C179:$AI179)),$C179:$AI179,0)),AB171-INDEX($C168:$AJ178,4,MATCH(IF('Data-solution'!$A$3="Maximize",MAX($C179:$AI179),MIN($C179:$AI179)),$C179:$AI179,0))*INDEX(AB168:$AJ178,MATCH(MIN($AK168:$AK178),$AK168:$AK178,0),1)/INDEX($C168:$AJ178,MATCH(MIN($AK168:$AK178),$AK168:$AK178,0),MATCH(IF('Data-solution'!$A$3="Maximize",MAX($C179:$AI179),MIN($C179:$AI179)),$C179:$AI179,0))),AB171)</f>
        <v>1.4999999999999998</v>
      </c>
      <c r="AC186" s="1">
        <f>IF(OR($B183&lt;&gt;$B168,$B184&lt;&gt;$B169,$B185&lt;&gt;$B170,$B186&lt;&gt;$B171,$B187&lt;&gt;$B172,$B188&lt;&gt;$B173,$B189&lt;&gt;$B174,$B190&lt;&gt;$B175,$B191&lt;&gt;$B176,$B192&lt;&gt;$B177,$B193&lt;&gt;$B178),IF($B186&lt;&gt;$B171,AC171/INDEX($C168:$AJ178,4,MATCH(IF('Data-solution'!$A$3="Maximize",MAX($C179:$AI179),MIN($C179:$AI179)),$C179:$AI179,0)),AC171-INDEX($C168:$AJ178,4,MATCH(IF('Data-solution'!$A$3="Maximize",MAX($C179:$AI179),MIN($C179:$AI179)),$C179:$AI179,0))*INDEX(AC168:$AJ178,MATCH(MIN($AK168:$AK178),$AK168:$AK178,0),1)/INDEX($C168:$AJ178,MATCH(MIN($AK168:$AK178),$AK168:$AK178,0),MATCH(IF('Data-solution'!$A$3="Maximize",MAX($C179:$AI179),MIN($C179:$AI179)),$C179:$AI179,0))),AC171)</f>
        <v>0</v>
      </c>
      <c r="AD186" s="1">
        <f>IF(OR($B183&lt;&gt;$B168,$B184&lt;&gt;$B169,$B185&lt;&gt;$B170,$B186&lt;&gt;$B171,$B187&lt;&gt;$B172,$B188&lt;&gt;$B173,$B189&lt;&gt;$B174,$B190&lt;&gt;$B175,$B191&lt;&gt;$B176,$B192&lt;&gt;$B177,$B193&lt;&gt;$B178),IF($B186&lt;&gt;$B171,AD171/INDEX($C168:$AJ178,4,MATCH(IF('Data-solution'!$A$3="Maximize",MAX($C179:$AI179),MIN($C179:$AI179)),$C179:$AI179,0)),AD171-INDEX($C168:$AJ178,4,MATCH(IF('Data-solution'!$A$3="Maximize",MAX($C179:$AI179),MIN($C179:$AI179)),$C179:$AI179,0))*INDEX(AD168:$AJ178,MATCH(MIN($AK168:$AK178),$AK168:$AK178,0),1)/INDEX($C168:$AJ178,MATCH(MIN($AK168:$AK178),$AK168:$AK178,0),MATCH(IF('Data-solution'!$A$3="Maximize",MAX($C179:$AI179),MIN($C179:$AI179)),$C179:$AI179,0))),AD171)</f>
        <v>0</v>
      </c>
      <c r="AE186" s="1">
        <f>IF(OR($B183&lt;&gt;$B168,$B184&lt;&gt;$B169,$B185&lt;&gt;$B170,$B186&lt;&gt;$B171,$B187&lt;&gt;$B172,$B188&lt;&gt;$B173,$B189&lt;&gt;$B174,$B190&lt;&gt;$B175,$B191&lt;&gt;$B176,$B192&lt;&gt;$B177,$B193&lt;&gt;$B178),IF($B186&lt;&gt;$B171,AE171/INDEX($C168:$AJ178,4,MATCH(IF('Data-solution'!$A$3="Maximize",MAX($C179:$AI179),MIN($C179:$AI179)),$C179:$AI179,0)),AE171-INDEX($C168:$AJ178,4,MATCH(IF('Data-solution'!$A$3="Maximize",MAX($C179:$AI179),MIN($C179:$AI179)),$C179:$AI179,0))*INDEX(AE168:$AJ178,MATCH(MIN($AK168:$AK178),$AK168:$AK178,0),1)/INDEX($C168:$AJ178,MATCH(MIN($AK168:$AK178),$AK168:$AK178,0),MATCH(IF('Data-solution'!$A$3="Maximize",MAX($C179:$AI179),MIN($C179:$AI179)),$C179:$AI179,0))),AE171)</f>
        <v>0</v>
      </c>
      <c r="AF186" s="1">
        <f>IF(OR($B183&lt;&gt;$B168,$B184&lt;&gt;$B169,$B185&lt;&gt;$B170,$B186&lt;&gt;$B171,$B187&lt;&gt;$B172,$B188&lt;&gt;$B173,$B189&lt;&gt;$B174,$B190&lt;&gt;$B175,$B191&lt;&gt;$B176,$B192&lt;&gt;$B177,$B193&lt;&gt;$B178),IF($B186&lt;&gt;$B171,AF171/INDEX($C168:$AJ178,4,MATCH(IF('Data-solution'!$A$3="Maximize",MAX($C179:$AI179),MIN($C179:$AI179)),$C179:$AI179,0)),AF171-INDEX($C168:$AJ178,4,MATCH(IF('Data-solution'!$A$3="Maximize",MAX($C179:$AI179),MIN($C179:$AI179)),$C179:$AI179,0))*INDEX(AF168:$AJ178,MATCH(MIN($AK168:$AK178),$AK168:$AK178,0),1)/INDEX($C168:$AJ178,MATCH(MIN($AK168:$AK178),$AK168:$AK178,0),MATCH(IF('Data-solution'!$A$3="Maximize",MAX($C179:$AI179),MIN($C179:$AI179)),$C179:$AI179,0))),AF171)</f>
        <v>0</v>
      </c>
      <c r="AG186" s="1">
        <f>IF(OR($B183&lt;&gt;$B168,$B184&lt;&gt;$B169,$B185&lt;&gt;$B170,$B186&lt;&gt;$B171,$B187&lt;&gt;$B172,$B188&lt;&gt;$B173,$B189&lt;&gt;$B174,$B190&lt;&gt;$B175,$B191&lt;&gt;$B176,$B192&lt;&gt;$B177,$B193&lt;&gt;$B178),IF($B186&lt;&gt;$B171,AG171/INDEX($C168:$AJ178,4,MATCH(IF('Data-solution'!$A$3="Maximize",MAX($C179:$AI179),MIN($C179:$AI179)),$C179:$AI179,0)),AG171-INDEX($C168:$AJ178,4,MATCH(IF('Data-solution'!$A$3="Maximize",MAX($C179:$AI179),MIN($C179:$AI179)),$C179:$AI179,0))*INDEX(AG168:$AJ178,MATCH(MIN($AK168:$AK178),$AK168:$AK178,0),1)/INDEX($C168:$AJ178,MATCH(MIN($AK168:$AK178),$AK168:$AK178,0),MATCH(IF('Data-solution'!$A$3="Maximize",MAX($C179:$AI179),MIN($C179:$AI179)),$C179:$AI179,0))),AG171)</f>
        <v>0</v>
      </c>
      <c r="AH186" s="1">
        <f>IF(OR($B183&lt;&gt;$B168,$B184&lt;&gt;$B169,$B185&lt;&gt;$B170,$B186&lt;&gt;$B171,$B187&lt;&gt;$B172,$B188&lt;&gt;$B173,$B189&lt;&gt;$B174,$B190&lt;&gt;$B175,$B191&lt;&gt;$B176,$B192&lt;&gt;$B177,$B193&lt;&gt;$B178),IF($B186&lt;&gt;$B171,AH171/INDEX($C168:$AJ178,4,MATCH(IF('Data-solution'!$A$3="Maximize",MAX($C179:$AI179),MIN($C179:$AI179)),$C179:$AI179,0)),AH171-INDEX($C168:$AJ178,4,MATCH(IF('Data-solution'!$A$3="Maximize",MAX($C179:$AI179),MIN($C179:$AI179)),$C179:$AI179,0))*INDEX(AH168:$AJ178,MATCH(MIN($AK168:$AK178),$AK168:$AK178,0),1)/INDEX($C168:$AJ178,MATCH(MIN($AK168:$AK178),$AK168:$AK178,0),MATCH(IF('Data-solution'!$A$3="Maximize",MAX($C179:$AI179),MIN($C179:$AI179)),$C179:$AI179,0))),AH171)</f>
        <v>0</v>
      </c>
      <c r="AI186" s="1">
        <f>IF(OR($B183&lt;&gt;$B168,$B184&lt;&gt;$B169,$B185&lt;&gt;$B170,$B186&lt;&gt;$B171,$B187&lt;&gt;$B172,$B188&lt;&gt;$B173,$B189&lt;&gt;$B174,$B190&lt;&gt;$B175,$B191&lt;&gt;$B176,$B192&lt;&gt;$B177,$B193&lt;&gt;$B178),IF($B186&lt;&gt;$B171,AI171/INDEX($C168:$AJ178,4,MATCH(IF('Data-solution'!$A$3="Maximize",MAX($C179:$AI179),MIN($C179:$AI179)),$C179:$AI179,0)),AI171-INDEX($C168:$AJ178,4,MATCH(IF('Data-solution'!$A$3="Maximize",MAX($C179:$AI179),MIN($C179:$AI179)),$C179:$AI179,0))*INDEX(AI168:$AJ178,MATCH(MIN($AK168:$AK178),$AK168:$AK178,0),1)/INDEX($C168:$AJ178,MATCH(MIN($AK168:$AK178),$AK168:$AK178,0),MATCH(IF('Data-solution'!$A$3="Maximize",MAX($C179:$AI179),MIN($C179:$AI179)),$C179:$AI179,0))),AI171)</f>
        <v>0</v>
      </c>
      <c r="AJ186" s="1">
        <f>IF(OR($B183&lt;&gt;$B168,$B184&lt;&gt;$B169,$B185&lt;&gt;$B170,$B186&lt;&gt;$B171,$B187&lt;&gt;$B172,$B188&lt;&gt;$B173,$B189&lt;&gt;$B174,$B190&lt;&gt;$B175,$B191&lt;&gt;$B176,$B192&lt;&gt;$B177,$B193&lt;&gt;$B178),IF($B186&lt;&gt;$B171,AJ171/INDEX($C168:$AJ178,4,MATCH(IF('Data-solution'!$A$3="Maximize",MAX($C179:$AI179),MIN($C179:$AI179)),$C179:$AI179,0)),AJ171-INDEX($C168:$AJ178,4,MATCH(IF('Data-solution'!$A$3="Maximize",MAX($C179:$AI179),MIN($C179:$AI179)),$C179:$AI179,0))*INDEX(AJ168:$AJ178,MATCH(MIN($AK168:$AK178),$AK168:$AK178,0),1)/INDEX($C168:$AJ178,MATCH(MIN($AK168:$AK178),$AK168:$AK178,0),MATCH(IF('Data-solution'!$A$3="Maximize",MAX($C179:$AI179),MIN($C179:$AI179)),$C179:$AI179,0))),AJ171)</f>
        <v>100.00000000000001</v>
      </c>
      <c r="AK186" s="1">
        <f>IF(INDEX(C186:X186,1,MATCH(IF('Data-solution'!A$3="Maximize",MAX(C194:X194),MIN(C194:X194)),C194:X194,0))&gt;0,AJ186/INDEX(C186:X186,1,MATCH(IF('Data-solution'!A$3="Maximize",MAX(C194:X194),MIN(C194:X194)),C194:X194,0))," ")</f>
        <v>100.00000000000001</v>
      </c>
    </row>
    <row r="187" spans="1:37" ht="18" customHeight="1" x14ac:dyDescent="0.2">
      <c r="A187" s="1">
        <f t="shared" ref="A187" si="160">INDEX(C181:AI181,1,MATCH(B187,C182:AI182,0))</f>
        <v>0</v>
      </c>
      <c r="B187" s="2" t="str">
        <f>IF(AND('Data-solution'!A$3="Maximize",COUNTIF(C179:X179,"&gt;"&amp;0)&gt;0,AK172=MIN(AK168:AK178),COUNTIF(B183:B186,INDEX(C167:X167,1,MATCH(MAX(C179:X179),C179:X179,0)))=0),INDEX(C167:X167,1,MATCH(MAX(C179:X179),C179:X179,0)),IF(AND('Data-solution'!A$3="Minimize",COUNTIF(C179:X179,"&lt;"&amp;0)&gt;0,AK172=MIN(AK168:AK178),COUNTIF(B183:B186,INDEX(C167:X167,1,MATCH(MIN(C179:X179),C179:X179,0)))=0),INDEX(C167:X167,1,MATCH(MIN(C179:X179),C179:X179,0)),B172))</f>
        <v>S5</v>
      </c>
      <c r="C187" s="1">
        <f>IF(OR($B183&lt;&gt;$B168,$B184&lt;&gt;$B169,$B185&lt;&gt;$B170,$B186&lt;&gt;$B171,$B187&lt;&gt;$B172,$B188&lt;&gt;$B173,$B189&lt;&gt;$B174,$B190&lt;&gt;$B175,$B191&lt;&gt;$B176,$B192&lt;&gt;$B177,$B193&lt;&gt;$B178),IF($B187&lt;&gt;$B172,C172/INDEX($C168:$AJ178,5,MATCH(IF('Data-solution'!$A$3="Maximize",MAX($C179:$AI179),MIN($C179:$AI179)),$C179:$AI179,0)),C172-INDEX($C168:$AJ178,5,MATCH(IF('Data-solution'!$A$3="Maximize",MAX($C179:$AI179),MIN($C179:$AI179)),$C179:$AI179,0))*INDEX(C168:$AJ178,MATCH(MIN($AK168:$AK178),$AK168:$AK178,0),1)/INDEX($C168:$AJ178,MATCH(MIN($AK168:$AK178),$AK168:$AK178,0),MATCH(IF('Data-solution'!$A$3="Maximize",MAX($C179:$AI179),MIN($C179:$AI179)),$C179:$AI179,0))),C172)</f>
        <v>0</v>
      </c>
      <c r="D187" s="1">
        <f>IF(OR($B183&lt;&gt;$B168,$B184&lt;&gt;$B169,$B185&lt;&gt;$B170,$B186&lt;&gt;$B171,$B187&lt;&gt;$B172,$B188&lt;&gt;$B173,$B189&lt;&gt;$B174,$B190&lt;&gt;$B175,$B191&lt;&gt;$B176,$B192&lt;&gt;$B177,$B193&lt;&gt;$B178),IF($B187&lt;&gt;$B172,D172/INDEX($C168:$AJ178,5,MATCH(IF('Data-solution'!$A$3="Maximize",MAX($C179:$AI179),MIN($C179:$AI179)),$C179:$AI179,0)),D172-INDEX($C168:$AJ178,5,MATCH(IF('Data-solution'!$A$3="Maximize",MAX($C179:$AI179),MIN($C179:$AI179)),$C179:$AI179,0))*INDEX(D168:$AJ178,MATCH(MIN($AK168:$AK178),$AK168:$AK178,0),1)/INDEX($C168:$AJ178,MATCH(MIN($AK168:$AK178),$AK168:$AK178,0),MATCH(IF('Data-solution'!$A$3="Maximize",MAX($C179:$AI179),MIN($C179:$AI179)),$C179:$AI179,0))),D172)</f>
        <v>0</v>
      </c>
      <c r="E187" s="1">
        <f>IF(OR($B183&lt;&gt;$B168,$B184&lt;&gt;$B169,$B185&lt;&gt;$B170,$B186&lt;&gt;$B171,$B187&lt;&gt;$B172,$B188&lt;&gt;$B173,$B189&lt;&gt;$B174,$B190&lt;&gt;$B175,$B191&lt;&gt;$B176,$B192&lt;&gt;$B177,$B193&lt;&gt;$B178),IF($B187&lt;&gt;$B172,E172/INDEX($C168:$AJ178,5,MATCH(IF('Data-solution'!$A$3="Maximize",MAX($C179:$AI179),MIN($C179:$AI179)),$C179:$AI179,0)),E172-INDEX($C168:$AJ178,5,MATCH(IF('Data-solution'!$A$3="Maximize",MAX($C179:$AI179),MIN($C179:$AI179)),$C179:$AI179,0))*INDEX(E168:$AJ178,MATCH(MIN($AK168:$AK178),$AK168:$AK178,0),1)/INDEX($C168:$AJ178,MATCH(MIN($AK168:$AK178),$AK168:$AK178,0),MATCH(IF('Data-solution'!$A$3="Maximize",MAX($C179:$AI179),MIN($C179:$AI179)),$C179:$AI179,0))),E172)</f>
        <v>0</v>
      </c>
      <c r="F187" s="1">
        <f>IF(OR($B183&lt;&gt;$B168,$B184&lt;&gt;$B169,$B185&lt;&gt;$B170,$B186&lt;&gt;$B171,$B187&lt;&gt;$B172,$B188&lt;&gt;$B173,$B189&lt;&gt;$B174,$B190&lt;&gt;$B175,$B191&lt;&gt;$B176,$B192&lt;&gt;$B177,$B193&lt;&gt;$B178),IF($B187&lt;&gt;$B172,F172/INDEX($C168:$AJ178,5,MATCH(IF('Data-solution'!$A$3="Maximize",MAX($C179:$AI179),MIN($C179:$AI179)),$C179:$AI179,0)),F172-INDEX($C168:$AJ178,5,MATCH(IF('Data-solution'!$A$3="Maximize",MAX($C179:$AI179),MIN($C179:$AI179)),$C179:$AI179,0))*INDEX(F168:$AJ178,MATCH(MIN($AK168:$AK178),$AK168:$AK178,0),1)/INDEX($C168:$AJ178,MATCH(MIN($AK168:$AK178),$AK168:$AK178,0),MATCH(IF('Data-solution'!$A$3="Maximize",MAX($C179:$AI179),MIN($C179:$AI179)),$C179:$AI179,0))),F172)</f>
        <v>0</v>
      </c>
      <c r="G187" s="1">
        <f>IF(OR($B183&lt;&gt;$B168,$B184&lt;&gt;$B169,$B185&lt;&gt;$B170,$B186&lt;&gt;$B171,$B187&lt;&gt;$B172,$B188&lt;&gt;$B173,$B189&lt;&gt;$B174,$B190&lt;&gt;$B175,$B191&lt;&gt;$B176,$B192&lt;&gt;$B177,$B193&lt;&gt;$B178),IF($B187&lt;&gt;$B172,G172/INDEX($C168:$AJ178,5,MATCH(IF('Data-solution'!$A$3="Maximize",MAX($C179:$AI179),MIN($C179:$AI179)),$C179:$AI179,0)),G172-INDEX($C168:$AJ178,5,MATCH(IF('Data-solution'!$A$3="Maximize",MAX($C179:$AI179),MIN($C179:$AI179)),$C179:$AI179,0))*INDEX(G168:$AJ178,MATCH(MIN($AK168:$AK178),$AK168:$AK178,0),1)/INDEX($C168:$AJ178,MATCH(MIN($AK168:$AK178),$AK168:$AK178,0),MATCH(IF('Data-solution'!$A$3="Maximize",MAX($C179:$AI179),MIN($C179:$AI179)),$C179:$AI179,0))),G172)</f>
        <v>0</v>
      </c>
      <c r="H187" s="1">
        <f>IF(OR($B183&lt;&gt;$B168,$B184&lt;&gt;$B169,$B185&lt;&gt;$B170,$B186&lt;&gt;$B171,$B187&lt;&gt;$B172,$B188&lt;&gt;$B173,$B189&lt;&gt;$B174,$B190&lt;&gt;$B175,$B191&lt;&gt;$B176,$B192&lt;&gt;$B177,$B193&lt;&gt;$B178),IF($B187&lt;&gt;$B172,H172/INDEX($C168:$AJ178,5,MATCH(IF('Data-solution'!$A$3="Maximize",MAX($C179:$AI179),MIN($C179:$AI179)),$C179:$AI179,0)),H172-INDEX($C168:$AJ178,5,MATCH(IF('Data-solution'!$A$3="Maximize",MAX($C179:$AI179),MIN($C179:$AI179)),$C179:$AI179,0))*INDEX(H168:$AJ178,MATCH(MIN($AK168:$AK178),$AK168:$AK178,0),1)/INDEX($C168:$AJ178,MATCH(MIN($AK168:$AK178),$AK168:$AK178,0),MATCH(IF('Data-solution'!$A$3="Maximize",MAX($C179:$AI179),MIN($C179:$AI179)),$C179:$AI179,0))),H172)</f>
        <v>0</v>
      </c>
      <c r="I187" s="1">
        <f>IF(OR($B183&lt;&gt;$B168,$B184&lt;&gt;$B169,$B185&lt;&gt;$B170,$B186&lt;&gt;$B171,$B187&lt;&gt;$B172,$B188&lt;&gt;$B173,$B189&lt;&gt;$B174,$B190&lt;&gt;$B175,$B191&lt;&gt;$B176,$B192&lt;&gt;$B177,$B193&lt;&gt;$B178),IF($B187&lt;&gt;$B172,I172/INDEX($C168:$AJ178,5,MATCH(IF('Data-solution'!$A$3="Maximize",MAX($C179:$AI179),MIN($C179:$AI179)),$C179:$AI179,0)),I172-INDEX($C168:$AJ178,5,MATCH(IF('Data-solution'!$A$3="Maximize",MAX($C179:$AI179),MIN($C179:$AI179)),$C179:$AI179,0))*INDEX(I168:$AJ178,MATCH(MIN($AK168:$AK178),$AK168:$AK178,0),1)/INDEX($C168:$AJ178,MATCH(MIN($AK168:$AK178),$AK168:$AK178,0),MATCH(IF('Data-solution'!$A$3="Maximize",MAX($C179:$AI179),MIN($C179:$AI179)),$C179:$AI179,0))),I172)</f>
        <v>0</v>
      </c>
      <c r="J187" s="1">
        <f>IF(OR($B183&lt;&gt;$B168,$B184&lt;&gt;$B169,$B185&lt;&gt;$B170,$B186&lt;&gt;$B171,$B187&lt;&gt;$B172,$B188&lt;&gt;$B173,$B189&lt;&gt;$B174,$B190&lt;&gt;$B175,$B191&lt;&gt;$B176,$B192&lt;&gt;$B177,$B193&lt;&gt;$B178),IF($B187&lt;&gt;$B172,J172/INDEX($C168:$AJ178,5,MATCH(IF('Data-solution'!$A$3="Maximize",MAX($C179:$AI179),MIN($C179:$AI179)),$C179:$AI179,0)),J172-INDEX($C168:$AJ178,5,MATCH(IF('Data-solution'!$A$3="Maximize",MAX($C179:$AI179),MIN($C179:$AI179)),$C179:$AI179,0))*INDEX(J168:$AJ178,MATCH(MIN($AK168:$AK178),$AK168:$AK178,0),1)/INDEX($C168:$AJ178,MATCH(MIN($AK168:$AK178),$AK168:$AK178,0),MATCH(IF('Data-solution'!$A$3="Maximize",MAX($C179:$AI179),MIN($C179:$AI179)),$C179:$AI179,0))),J172)</f>
        <v>0</v>
      </c>
      <c r="K187" s="1">
        <f>IF(OR($B183&lt;&gt;$B168,$B184&lt;&gt;$B169,$B185&lt;&gt;$B170,$B186&lt;&gt;$B171,$B187&lt;&gt;$B172,$B188&lt;&gt;$B173,$B189&lt;&gt;$B174,$B190&lt;&gt;$B175,$B191&lt;&gt;$B176,$B192&lt;&gt;$B177,$B193&lt;&gt;$B178),IF($B187&lt;&gt;$B172,K172/INDEX($C168:$AJ178,5,MATCH(IF('Data-solution'!$A$3="Maximize",MAX($C179:$AI179),MIN($C179:$AI179)),$C179:$AI179,0)),K172-INDEX($C168:$AJ178,5,MATCH(IF('Data-solution'!$A$3="Maximize",MAX($C179:$AI179),MIN($C179:$AI179)),$C179:$AI179,0))*INDEX(K168:$AJ178,MATCH(MIN($AK168:$AK178),$AK168:$AK178,0),1)/INDEX($C168:$AJ178,MATCH(MIN($AK168:$AK178),$AK168:$AK178,0),MATCH(IF('Data-solution'!$A$3="Maximize",MAX($C179:$AI179),MIN($C179:$AI179)),$C179:$AI179,0))),K172)</f>
        <v>0</v>
      </c>
      <c r="L187" s="1">
        <f>IF(OR($B183&lt;&gt;$B168,$B184&lt;&gt;$B169,$B185&lt;&gt;$B170,$B186&lt;&gt;$B171,$B187&lt;&gt;$B172,$B188&lt;&gt;$B173,$B189&lt;&gt;$B174,$B190&lt;&gt;$B175,$B191&lt;&gt;$B176,$B192&lt;&gt;$B177,$B193&lt;&gt;$B178),IF($B187&lt;&gt;$B172,L172/INDEX($C168:$AJ178,5,MATCH(IF('Data-solution'!$A$3="Maximize",MAX($C179:$AI179),MIN($C179:$AI179)),$C179:$AI179,0)),L172-INDEX($C168:$AJ178,5,MATCH(IF('Data-solution'!$A$3="Maximize",MAX($C179:$AI179),MIN($C179:$AI179)),$C179:$AI179,0))*INDEX(L168:$AJ178,MATCH(MIN($AK168:$AK178),$AK168:$AK178,0),1)/INDEX($C168:$AJ178,MATCH(MIN($AK168:$AK178),$AK168:$AK178,0),MATCH(IF('Data-solution'!$A$3="Maximize",MAX($C179:$AI179),MIN($C179:$AI179)),$C179:$AI179,0))),L172)</f>
        <v>0</v>
      </c>
      <c r="M187" s="1">
        <f>IF(OR($B183&lt;&gt;$B168,$B184&lt;&gt;$B169,$B185&lt;&gt;$B170,$B186&lt;&gt;$B171,$B187&lt;&gt;$B172,$B188&lt;&gt;$B173,$B189&lt;&gt;$B174,$B190&lt;&gt;$B175,$B191&lt;&gt;$B176,$B192&lt;&gt;$B177,$B193&lt;&gt;$B178),IF($B187&lt;&gt;$B172,M172/INDEX($C168:$AJ178,5,MATCH(IF('Data-solution'!$A$3="Maximize",MAX($C179:$AI179),MIN($C179:$AI179)),$C179:$AI179,0)),M172-INDEX($C168:$AJ178,5,MATCH(IF('Data-solution'!$A$3="Maximize",MAX($C179:$AI179),MIN($C179:$AI179)),$C179:$AI179,0))*INDEX(M168:$AJ178,MATCH(MIN($AK168:$AK178),$AK168:$AK178,0),1)/INDEX($C168:$AJ178,MATCH(MIN($AK168:$AK178),$AK168:$AK178,0),MATCH(IF('Data-solution'!$A$3="Maximize",MAX($C179:$AI179),MIN($C179:$AI179)),$C179:$AI179,0))),M172)</f>
        <v>0</v>
      </c>
      <c r="N187" s="1">
        <f>IF(OR($B183&lt;&gt;$B168,$B184&lt;&gt;$B169,$B185&lt;&gt;$B170,$B186&lt;&gt;$B171,$B187&lt;&gt;$B172,$B188&lt;&gt;$B173,$B189&lt;&gt;$B174,$B190&lt;&gt;$B175,$B191&lt;&gt;$B176,$B192&lt;&gt;$B177,$B193&lt;&gt;$B178),IF($B187&lt;&gt;$B172,N172/INDEX($C168:$AJ178,5,MATCH(IF('Data-solution'!$A$3="Maximize",MAX($C179:$AI179),MIN($C179:$AI179)),$C179:$AI179,0)),N172-INDEX($C168:$AJ178,5,MATCH(IF('Data-solution'!$A$3="Maximize",MAX($C179:$AI179),MIN($C179:$AI179)),$C179:$AI179,0))*INDEX(N168:$AJ178,MATCH(MIN($AK168:$AK178),$AK168:$AK178,0),1)/INDEX($C168:$AJ178,MATCH(MIN($AK168:$AK178),$AK168:$AK178,0),MATCH(IF('Data-solution'!$A$3="Maximize",MAX($C179:$AI179),MIN($C179:$AI179)),$C179:$AI179,0))),N172)</f>
        <v>0</v>
      </c>
      <c r="O187" s="1">
        <f>IF(OR($B183&lt;&gt;$B168,$B184&lt;&gt;$B169,$B185&lt;&gt;$B170,$B186&lt;&gt;$B171,$B187&lt;&gt;$B172,$B188&lt;&gt;$B173,$B189&lt;&gt;$B174,$B190&lt;&gt;$B175,$B191&lt;&gt;$B176,$B192&lt;&gt;$B177,$B193&lt;&gt;$B178),IF($B187&lt;&gt;$B172,O172/INDEX($C168:$AJ178,5,MATCH(IF('Data-solution'!$A$3="Maximize",MAX($C179:$AI179),MIN($C179:$AI179)),$C179:$AI179,0)),O172-INDEX($C168:$AJ178,5,MATCH(IF('Data-solution'!$A$3="Maximize",MAX($C179:$AI179),MIN($C179:$AI179)),$C179:$AI179,0))*INDEX(O168:$AJ178,MATCH(MIN($AK168:$AK178),$AK168:$AK178,0),1)/INDEX($C168:$AJ178,MATCH(MIN($AK168:$AK178),$AK168:$AK178,0),MATCH(IF('Data-solution'!$A$3="Maximize",MAX($C179:$AI179),MIN($C179:$AI179)),$C179:$AI179,0))),O172)</f>
        <v>0</v>
      </c>
      <c r="P187" s="1">
        <f>IF(OR($B183&lt;&gt;$B168,$B184&lt;&gt;$B169,$B185&lt;&gt;$B170,$B186&lt;&gt;$B171,$B187&lt;&gt;$B172,$B188&lt;&gt;$B173,$B189&lt;&gt;$B174,$B190&lt;&gt;$B175,$B191&lt;&gt;$B176,$B192&lt;&gt;$B177,$B193&lt;&gt;$B178),IF($B187&lt;&gt;$B172,P172/INDEX($C168:$AJ178,5,MATCH(IF('Data-solution'!$A$3="Maximize",MAX($C179:$AI179),MIN($C179:$AI179)),$C179:$AI179,0)),P172-INDEX($C168:$AJ178,5,MATCH(IF('Data-solution'!$A$3="Maximize",MAX($C179:$AI179),MIN($C179:$AI179)),$C179:$AI179,0))*INDEX(P168:$AJ178,MATCH(MIN($AK168:$AK178),$AK168:$AK178,0),1)/INDEX($C168:$AJ178,MATCH(MIN($AK168:$AK178),$AK168:$AK178,0),MATCH(IF('Data-solution'!$A$3="Maximize",MAX($C179:$AI179),MIN($C179:$AI179)),$C179:$AI179,0))),P172)</f>
        <v>0</v>
      </c>
      <c r="Q187" s="1">
        <f>IF(OR($B183&lt;&gt;$B168,$B184&lt;&gt;$B169,$B185&lt;&gt;$B170,$B186&lt;&gt;$B171,$B187&lt;&gt;$B172,$B188&lt;&gt;$B173,$B189&lt;&gt;$B174,$B190&lt;&gt;$B175,$B191&lt;&gt;$B176,$B192&lt;&gt;$B177,$B193&lt;&gt;$B178),IF($B187&lt;&gt;$B172,Q172/INDEX($C168:$AJ178,5,MATCH(IF('Data-solution'!$A$3="Maximize",MAX($C179:$AI179),MIN($C179:$AI179)),$C179:$AI179,0)),Q172-INDEX($C168:$AJ178,5,MATCH(IF('Data-solution'!$A$3="Maximize",MAX($C179:$AI179),MIN($C179:$AI179)),$C179:$AI179,0))*INDEX(Q168:$AJ178,MATCH(MIN($AK168:$AK178),$AK168:$AK178,0),1)/INDEX($C168:$AJ178,MATCH(MIN($AK168:$AK178),$AK168:$AK178,0),MATCH(IF('Data-solution'!$A$3="Maximize",MAX($C179:$AI179),MIN($C179:$AI179)),$C179:$AI179,0))),Q172)</f>
        <v>0</v>
      </c>
      <c r="R187" s="1">
        <f>IF(OR($B183&lt;&gt;$B168,$B184&lt;&gt;$B169,$B185&lt;&gt;$B170,$B186&lt;&gt;$B171,$B187&lt;&gt;$B172,$B188&lt;&gt;$B173,$B189&lt;&gt;$B174,$B190&lt;&gt;$B175,$B191&lt;&gt;$B176,$B192&lt;&gt;$B177,$B193&lt;&gt;$B178),IF($B187&lt;&gt;$B172,R172/INDEX($C168:$AJ178,5,MATCH(IF('Data-solution'!$A$3="Maximize",MAX($C179:$AI179),MIN($C179:$AI179)),$C179:$AI179,0)),R172-INDEX($C168:$AJ178,5,MATCH(IF('Data-solution'!$A$3="Maximize",MAX($C179:$AI179),MIN($C179:$AI179)),$C179:$AI179,0))*INDEX(R168:$AJ178,MATCH(MIN($AK168:$AK178),$AK168:$AK178,0),1)/INDEX($C168:$AJ178,MATCH(MIN($AK168:$AK178),$AK168:$AK178,0),MATCH(IF('Data-solution'!$A$3="Maximize",MAX($C179:$AI179),MIN($C179:$AI179)),$C179:$AI179,0))),R172)</f>
        <v>1</v>
      </c>
      <c r="S187" s="1">
        <f>IF(OR($B183&lt;&gt;$B168,$B184&lt;&gt;$B169,$B185&lt;&gt;$B170,$B186&lt;&gt;$B171,$B187&lt;&gt;$B172,$B188&lt;&gt;$B173,$B189&lt;&gt;$B174,$B190&lt;&gt;$B175,$B191&lt;&gt;$B176,$B192&lt;&gt;$B177,$B193&lt;&gt;$B178),IF($B187&lt;&gt;$B172,S172/INDEX($C168:$AJ178,5,MATCH(IF('Data-solution'!$A$3="Maximize",MAX($C179:$AI179),MIN($C179:$AI179)),$C179:$AI179,0)),S172-INDEX($C168:$AJ178,5,MATCH(IF('Data-solution'!$A$3="Maximize",MAX($C179:$AI179),MIN($C179:$AI179)),$C179:$AI179,0))*INDEX(S168:$AJ178,MATCH(MIN($AK168:$AK178),$AK168:$AK178,0),1)/INDEX($C168:$AJ178,MATCH(MIN($AK168:$AK178),$AK168:$AK178,0),MATCH(IF('Data-solution'!$A$3="Maximize",MAX($C179:$AI179),MIN($C179:$AI179)),$C179:$AI179,0))),S172)</f>
        <v>0</v>
      </c>
      <c r="T187" s="1">
        <f>IF(OR($B183&lt;&gt;$B168,$B184&lt;&gt;$B169,$B185&lt;&gt;$B170,$B186&lt;&gt;$B171,$B187&lt;&gt;$B172,$B188&lt;&gt;$B173,$B189&lt;&gt;$B174,$B190&lt;&gt;$B175,$B191&lt;&gt;$B176,$B192&lt;&gt;$B177,$B193&lt;&gt;$B178),IF($B187&lt;&gt;$B172,T172/INDEX($C168:$AJ178,5,MATCH(IF('Data-solution'!$A$3="Maximize",MAX($C179:$AI179),MIN($C179:$AI179)),$C179:$AI179,0)),T172-INDEX($C168:$AJ178,5,MATCH(IF('Data-solution'!$A$3="Maximize",MAX($C179:$AI179),MIN($C179:$AI179)),$C179:$AI179,0))*INDEX(T168:$AJ178,MATCH(MIN($AK168:$AK178),$AK168:$AK178,0),1)/INDEX($C168:$AJ178,MATCH(MIN($AK168:$AK178),$AK168:$AK178,0),MATCH(IF('Data-solution'!$A$3="Maximize",MAX($C179:$AI179),MIN($C179:$AI179)),$C179:$AI179,0))),T172)</f>
        <v>0</v>
      </c>
      <c r="U187" s="1">
        <f>IF(OR($B183&lt;&gt;$B168,$B184&lt;&gt;$B169,$B185&lt;&gt;$B170,$B186&lt;&gt;$B171,$B187&lt;&gt;$B172,$B188&lt;&gt;$B173,$B189&lt;&gt;$B174,$B190&lt;&gt;$B175,$B191&lt;&gt;$B176,$B192&lt;&gt;$B177,$B193&lt;&gt;$B178),IF($B187&lt;&gt;$B172,U172/INDEX($C168:$AJ178,5,MATCH(IF('Data-solution'!$A$3="Maximize",MAX($C179:$AI179),MIN($C179:$AI179)),$C179:$AI179,0)),U172-INDEX($C168:$AJ178,5,MATCH(IF('Data-solution'!$A$3="Maximize",MAX($C179:$AI179),MIN($C179:$AI179)),$C179:$AI179,0))*INDEX(U168:$AJ178,MATCH(MIN($AK168:$AK178),$AK168:$AK178,0),1)/INDEX($C168:$AJ178,MATCH(MIN($AK168:$AK178),$AK168:$AK178,0),MATCH(IF('Data-solution'!$A$3="Maximize",MAX($C179:$AI179),MIN($C179:$AI179)),$C179:$AI179,0))),U172)</f>
        <v>0</v>
      </c>
      <c r="V187" s="1">
        <f>IF(OR($B183&lt;&gt;$B168,$B184&lt;&gt;$B169,$B185&lt;&gt;$B170,$B186&lt;&gt;$B171,$B187&lt;&gt;$B172,$B188&lt;&gt;$B173,$B189&lt;&gt;$B174,$B190&lt;&gt;$B175,$B191&lt;&gt;$B176,$B192&lt;&gt;$B177,$B193&lt;&gt;$B178),IF($B187&lt;&gt;$B172,V172/INDEX($C168:$AJ178,5,MATCH(IF('Data-solution'!$A$3="Maximize",MAX($C179:$AI179),MIN($C179:$AI179)),$C179:$AI179,0)),V172-INDEX($C168:$AJ178,5,MATCH(IF('Data-solution'!$A$3="Maximize",MAX($C179:$AI179),MIN($C179:$AI179)),$C179:$AI179,0))*INDEX(V168:$AJ178,MATCH(MIN($AK168:$AK178),$AK168:$AK178,0),1)/INDEX($C168:$AJ178,MATCH(MIN($AK168:$AK178),$AK168:$AK178,0),MATCH(IF('Data-solution'!$A$3="Maximize",MAX($C179:$AI179),MIN($C179:$AI179)),$C179:$AI179,0))),V172)</f>
        <v>0</v>
      </c>
      <c r="W187" s="1">
        <f>IF(OR($B183&lt;&gt;$B168,$B184&lt;&gt;$B169,$B185&lt;&gt;$B170,$B186&lt;&gt;$B171,$B187&lt;&gt;$B172,$B188&lt;&gt;$B173,$B189&lt;&gt;$B174,$B190&lt;&gt;$B175,$B191&lt;&gt;$B176,$B192&lt;&gt;$B177,$B193&lt;&gt;$B178),IF($B187&lt;&gt;$B172,W172/INDEX($C168:$AJ178,5,MATCH(IF('Data-solution'!$A$3="Maximize",MAX($C179:$AI179),MIN($C179:$AI179)),$C179:$AI179,0)),W172-INDEX($C168:$AJ178,5,MATCH(IF('Data-solution'!$A$3="Maximize",MAX($C179:$AI179),MIN($C179:$AI179)),$C179:$AI179,0))*INDEX(W168:$AJ178,MATCH(MIN($AK168:$AK178),$AK168:$AK178,0),1)/INDEX($C168:$AJ178,MATCH(MIN($AK168:$AK178),$AK168:$AK178,0),MATCH(IF('Data-solution'!$A$3="Maximize",MAX($C179:$AI179),MIN($C179:$AI179)),$C179:$AI179,0))),W172)</f>
        <v>0</v>
      </c>
      <c r="X187" s="1">
        <f>IF(OR($B183&lt;&gt;$B168,$B184&lt;&gt;$B169,$B185&lt;&gt;$B170,$B186&lt;&gt;$B171,$B187&lt;&gt;$B172,$B188&lt;&gt;$B173,$B189&lt;&gt;$B174,$B190&lt;&gt;$B175,$B191&lt;&gt;$B176,$B192&lt;&gt;$B177,$B193&lt;&gt;$B178),IF($B187&lt;&gt;$B172,X172/INDEX($C168:$AJ178,5,MATCH(IF('Data-solution'!$A$3="Maximize",MAX($C179:$AI179),MIN($C179:$AI179)),$C179:$AI179,0)),X172-INDEX($C168:$AJ178,5,MATCH(IF('Data-solution'!$A$3="Maximize",MAX($C179:$AI179),MIN($C179:$AI179)),$C179:$AI179,0))*INDEX(X168:$AJ178,MATCH(MIN($AK168:$AK178),$AK168:$AK178,0),1)/INDEX($C168:$AJ178,MATCH(MIN($AK168:$AK178),$AK168:$AK178,0),MATCH(IF('Data-solution'!$A$3="Maximize",MAX($C179:$AI179),MIN($C179:$AI179)),$C179:$AI179,0))),X172)</f>
        <v>0</v>
      </c>
      <c r="Y187" s="1">
        <f>IF(OR($B183&lt;&gt;$B168,$B184&lt;&gt;$B169,$B185&lt;&gt;$B170,$B186&lt;&gt;$B171,$B187&lt;&gt;$B172,$B188&lt;&gt;$B173,$B189&lt;&gt;$B174,$B190&lt;&gt;$B175,$B191&lt;&gt;$B176,$B192&lt;&gt;$B177,$B193&lt;&gt;$B178),IF($B187&lt;&gt;$B172,Y172/INDEX($C168:$AJ178,5,MATCH(IF('Data-solution'!$A$3="Maximize",MAX($C179:$AI179),MIN($C179:$AI179)),$C179:$AI179,0)),Y172-INDEX($C168:$AJ178,5,MATCH(IF('Data-solution'!$A$3="Maximize",MAX($C179:$AI179),MIN($C179:$AI179)),$C179:$AI179,0))*INDEX(Y168:$AJ178,MATCH(MIN($AK168:$AK178),$AK168:$AK178,0),1)/INDEX($C168:$AJ178,MATCH(MIN($AK168:$AK178),$AK168:$AK178,0),MATCH(IF('Data-solution'!$A$3="Maximize",MAX($C179:$AI179),MIN($C179:$AI179)),$C179:$AI179,0))),Y172)</f>
        <v>0</v>
      </c>
      <c r="Z187" s="1">
        <f>IF(OR($B183&lt;&gt;$B168,$B184&lt;&gt;$B169,$B185&lt;&gt;$B170,$B186&lt;&gt;$B171,$B187&lt;&gt;$B172,$B188&lt;&gt;$B173,$B189&lt;&gt;$B174,$B190&lt;&gt;$B175,$B191&lt;&gt;$B176,$B192&lt;&gt;$B177,$B193&lt;&gt;$B178),IF($B187&lt;&gt;$B172,Z172/INDEX($C168:$AJ178,5,MATCH(IF('Data-solution'!$A$3="Maximize",MAX($C179:$AI179),MIN($C179:$AI179)),$C179:$AI179,0)),Z172-INDEX($C168:$AJ178,5,MATCH(IF('Data-solution'!$A$3="Maximize",MAX($C179:$AI179),MIN($C179:$AI179)),$C179:$AI179,0))*INDEX(Z168:$AJ178,MATCH(MIN($AK168:$AK178),$AK168:$AK178,0),1)/INDEX($C168:$AJ178,MATCH(MIN($AK168:$AK178),$AK168:$AK178,0),MATCH(IF('Data-solution'!$A$3="Maximize",MAX($C179:$AI179),MIN($C179:$AI179)),$C179:$AI179,0))),Z172)</f>
        <v>0</v>
      </c>
      <c r="AA187" s="1">
        <f>IF(OR($B183&lt;&gt;$B168,$B184&lt;&gt;$B169,$B185&lt;&gt;$B170,$B186&lt;&gt;$B171,$B187&lt;&gt;$B172,$B188&lt;&gt;$B173,$B189&lt;&gt;$B174,$B190&lt;&gt;$B175,$B191&lt;&gt;$B176,$B192&lt;&gt;$B177,$B193&lt;&gt;$B178),IF($B187&lt;&gt;$B172,AA172/INDEX($C168:$AJ178,5,MATCH(IF('Data-solution'!$A$3="Maximize",MAX($C179:$AI179),MIN($C179:$AI179)),$C179:$AI179,0)),AA172-INDEX($C168:$AJ178,5,MATCH(IF('Data-solution'!$A$3="Maximize",MAX($C179:$AI179),MIN($C179:$AI179)),$C179:$AI179,0))*INDEX(AA168:$AJ178,MATCH(MIN($AK168:$AK178),$AK168:$AK178,0),1)/INDEX($C168:$AJ178,MATCH(MIN($AK168:$AK178),$AK168:$AK178,0),MATCH(IF('Data-solution'!$A$3="Maximize",MAX($C179:$AI179),MIN($C179:$AI179)),$C179:$AI179,0))),AA172)</f>
        <v>0</v>
      </c>
      <c r="AB187" s="1">
        <f>IF(OR($B183&lt;&gt;$B168,$B184&lt;&gt;$B169,$B185&lt;&gt;$B170,$B186&lt;&gt;$B171,$B187&lt;&gt;$B172,$B188&lt;&gt;$B173,$B189&lt;&gt;$B174,$B190&lt;&gt;$B175,$B191&lt;&gt;$B176,$B192&lt;&gt;$B177,$B193&lt;&gt;$B178),IF($B187&lt;&gt;$B172,AB172/INDEX($C168:$AJ178,5,MATCH(IF('Data-solution'!$A$3="Maximize",MAX($C179:$AI179),MIN($C179:$AI179)),$C179:$AI179,0)),AB172-INDEX($C168:$AJ178,5,MATCH(IF('Data-solution'!$A$3="Maximize",MAX($C179:$AI179),MIN($C179:$AI179)),$C179:$AI179,0))*INDEX(AB168:$AJ178,MATCH(MIN($AK168:$AK178),$AK168:$AK178,0),1)/INDEX($C168:$AJ178,MATCH(MIN($AK168:$AK178),$AK168:$AK178,0),MATCH(IF('Data-solution'!$A$3="Maximize",MAX($C179:$AI179),MIN($C179:$AI179)),$C179:$AI179,0))),AB172)</f>
        <v>0</v>
      </c>
      <c r="AC187" s="1">
        <f>IF(OR($B183&lt;&gt;$B168,$B184&lt;&gt;$B169,$B185&lt;&gt;$B170,$B186&lt;&gt;$B171,$B187&lt;&gt;$B172,$B188&lt;&gt;$B173,$B189&lt;&gt;$B174,$B190&lt;&gt;$B175,$B191&lt;&gt;$B176,$B192&lt;&gt;$B177,$B193&lt;&gt;$B178),IF($B187&lt;&gt;$B172,AC172/INDEX($C168:$AJ178,5,MATCH(IF('Data-solution'!$A$3="Maximize",MAX($C179:$AI179),MIN($C179:$AI179)),$C179:$AI179,0)),AC172-INDEX($C168:$AJ178,5,MATCH(IF('Data-solution'!$A$3="Maximize",MAX($C179:$AI179),MIN($C179:$AI179)),$C179:$AI179,0))*INDEX(AC168:$AJ178,MATCH(MIN($AK168:$AK178),$AK168:$AK178,0),1)/INDEX($C168:$AJ178,MATCH(MIN($AK168:$AK178),$AK168:$AK178,0),MATCH(IF('Data-solution'!$A$3="Maximize",MAX($C179:$AI179),MIN($C179:$AI179)),$C179:$AI179,0))),AC172)</f>
        <v>1</v>
      </c>
      <c r="AD187" s="1">
        <f>IF(OR($B183&lt;&gt;$B168,$B184&lt;&gt;$B169,$B185&lt;&gt;$B170,$B186&lt;&gt;$B171,$B187&lt;&gt;$B172,$B188&lt;&gt;$B173,$B189&lt;&gt;$B174,$B190&lt;&gt;$B175,$B191&lt;&gt;$B176,$B192&lt;&gt;$B177,$B193&lt;&gt;$B178),IF($B187&lt;&gt;$B172,AD172/INDEX($C168:$AJ178,5,MATCH(IF('Data-solution'!$A$3="Maximize",MAX($C179:$AI179),MIN($C179:$AI179)),$C179:$AI179,0)),AD172-INDEX($C168:$AJ178,5,MATCH(IF('Data-solution'!$A$3="Maximize",MAX($C179:$AI179),MIN($C179:$AI179)),$C179:$AI179,0))*INDEX(AD168:$AJ178,MATCH(MIN($AK168:$AK178),$AK168:$AK178,0),1)/INDEX($C168:$AJ178,MATCH(MIN($AK168:$AK178),$AK168:$AK178,0),MATCH(IF('Data-solution'!$A$3="Maximize",MAX($C179:$AI179),MIN($C179:$AI179)),$C179:$AI179,0))),AD172)</f>
        <v>0</v>
      </c>
      <c r="AE187" s="1">
        <f>IF(OR($B183&lt;&gt;$B168,$B184&lt;&gt;$B169,$B185&lt;&gt;$B170,$B186&lt;&gt;$B171,$B187&lt;&gt;$B172,$B188&lt;&gt;$B173,$B189&lt;&gt;$B174,$B190&lt;&gt;$B175,$B191&lt;&gt;$B176,$B192&lt;&gt;$B177,$B193&lt;&gt;$B178),IF($B187&lt;&gt;$B172,AE172/INDEX($C168:$AJ178,5,MATCH(IF('Data-solution'!$A$3="Maximize",MAX($C179:$AI179),MIN($C179:$AI179)),$C179:$AI179,0)),AE172-INDEX($C168:$AJ178,5,MATCH(IF('Data-solution'!$A$3="Maximize",MAX($C179:$AI179),MIN($C179:$AI179)),$C179:$AI179,0))*INDEX(AE168:$AJ178,MATCH(MIN($AK168:$AK178),$AK168:$AK178,0),1)/INDEX($C168:$AJ178,MATCH(MIN($AK168:$AK178),$AK168:$AK178,0),MATCH(IF('Data-solution'!$A$3="Maximize",MAX($C179:$AI179),MIN($C179:$AI179)),$C179:$AI179,0))),AE172)</f>
        <v>0</v>
      </c>
      <c r="AF187" s="1">
        <f>IF(OR($B183&lt;&gt;$B168,$B184&lt;&gt;$B169,$B185&lt;&gt;$B170,$B186&lt;&gt;$B171,$B187&lt;&gt;$B172,$B188&lt;&gt;$B173,$B189&lt;&gt;$B174,$B190&lt;&gt;$B175,$B191&lt;&gt;$B176,$B192&lt;&gt;$B177,$B193&lt;&gt;$B178),IF($B187&lt;&gt;$B172,AF172/INDEX($C168:$AJ178,5,MATCH(IF('Data-solution'!$A$3="Maximize",MAX($C179:$AI179),MIN($C179:$AI179)),$C179:$AI179,0)),AF172-INDEX($C168:$AJ178,5,MATCH(IF('Data-solution'!$A$3="Maximize",MAX($C179:$AI179),MIN($C179:$AI179)),$C179:$AI179,0))*INDEX(AF168:$AJ178,MATCH(MIN($AK168:$AK178),$AK168:$AK178,0),1)/INDEX($C168:$AJ178,MATCH(MIN($AK168:$AK178),$AK168:$AK178,0),MATCH(IF('Data-solution'!$A$3="Maximize",MAX($C179:$AI179),MIN($C179:$AI179)),$C179:$AI179,0))),AF172)</f>
        <v>0</v>
      </c>
      <c r="AG187" s="1">
        <f>IF(OR($B183&lt;&gt;$B168,$B184&lt;&gt;$B169,$B185&lt;&gt;$B170,$B186&lt;&gt;$B171,$B187&lt;&gt;$B172,$B188&lt;&gt;$B173,$B189&lt;&gt;$B174,$B190&lt;&gt;$B175,$B191&lt;&gt;$B176,$B192&lt;&gt;$B177,$B193&lt;&gt;$B178),IF($B187&lt;&gt;$B172,AG172/INDEX($C168:$AJ178,5,MATCH(IF('Data-solution'!$A$3="Maximize",MAX($C179:$AI179),MIN($C179:$AI179)),$C179:$AI179,0)),AG172-INDEX($C168:$AJ178,5,MATCH(IF('Data-solution'!$A$3="Maximize",MAX($C179:$AI179),MIN($C179:$AI179)),$C179:$AI179,0))*INDEX(AG168:$AJ178,MATCH(MIN($AK168:$AK178),$AK168:$AK178,0),1)/INDEX($C168:$AJ178,MATCH(MIN($AK168:$AK178),$AK168:$AK178,0),MATCH(IF('Data-solution'!$A$3="Maximize",MAX($C179:$AI179),MIN($C179:$AI179)),$C179:$AI179,0))),AG172)</f>
        <v>0</v>
      </c>
      <c r="AH187" s="1">
        <f>IF(OR($B183&lt;&gt;$B168,$B184&lt;&gt;$B169,$B185&lt;&gt;$B170,$B186&lt;&gt;$B171,$B187&lt;&gt;$B172,$B188&lt;&gt;$B173,$B189&lt;&gt;$B174,$B190&lt;&gt;$B175,$B191&lt;&gt;$B176,$B192&lt;&gt;$B177,$B193&lt;&gt;$B178),IF($B187&lt;&gt;$B172,AH172/INDEX($C168:$AJ178,5,MATCH(IF('Data-solution'!$A$3="Maximize",MAX($C179:$AI179),MIN($C179:$AI179)),$C179:$AI179,0)),AH172-INDEX($C168:$AJ178,5,MATCH(IF('Data-solution'!$A$3="Maximize",MAX($C179:$AI179),MIN($C179:$AI179)),$C179:$AI179,0))*INDEX(AH168:$AJ178,MATCH(MIN($AK168:$AK178),$AK168:$AK178,0),1)/INDEX($C168:$AJ178,MATCH(MIN($AK168:$AK178),$AK168:$AK178,0),MATCH(IF('Data-solution'!$A$3="Maximize",MAX($C179:$AI179),MIN($C179:$AI179)),$C179:$AI179,0))),AH172)</f>
        <v>0</v>
      </c>
      <c r="AI187" s="1">
        <f>IF(OR($B183&lt;&gt;$B168,$B184&lt;&gt;$B169,$B185&lt;&gt;$B170,$B186&lt;&gt;$B171,$B187&lt;&gt;$B172,$B188&lt;&gt;$B173,$B189&lt;&gt;$B174,$B190&lt;&gt;$B175,$B191&lt;&gt;$B176,$B192&lt;&gt;$B177,$B193&lt;&gt;$B178),IF($B187&lt;&gt;$B172,AI172/INDEX($C168:$AJ178,5,MATCH(IF('Data-solution'!$A$3="Maximize",MAX($C179:$AI179),MIN($C179:$AI179)),$C179:$AI179,0)),AI172-INDEX($C168:$AJ178,5,MATCH(IF('Data-solution'!$A$3="Maximize",MAX($C179:$AI179),MIN($C179:$AI179)),$C179:$AI179,0))*INDEX(AI168:$AJ178,MATCH(MIN($AK168:$AK178),$AK168:$AK178,0),1)/INDEX($C168:$AJ178,MATCH(MIN($AK168:$AK178),$AK168:$AK178,0),MATCH(IF('Data-solution'!$A$3="Maximize",MAX($C179:$AI179),MIN($C179:$AI179)),$C179:$AI179,0))),AI172)</f>
        <v>0</v>
      </c>
      <c r="AJ187" s="1">
        <f>IF(OR($B183&lt;&gt;$B168,$B184&lt;&gt;$B169,$B185&lt;&gt;$B170,$B186&lt;&gt;$B171,$B187&lt;&gt;$B172,$B188&lt;&gt;$B173,$B189&lt;&gt;$B174,$B190&lt;&gt;$B175,$B191&lt;&gt;$B176,$B192&lt;&gt;$B177,$B193&lt;&gt;$B178),IF($B187&lt;&gt;$B172,AJ172/INDEX($C168:$AJ178,5,MATCH(IF('Data-solution'!$A$3="Maximize",MAX($C179:$AI179),MIN($C179:$AI179)),$C179:$AI179,0)),AJ172-INDEX($C168:$AJ178,5,MATCH(IF('Data-solution'!$A$3="Maximize",MAX($C179:$AI179),MIN($C179:$AI179)),$C179:$AI179,0))*INDEX(AJ168:$AJ178,MATCH(MIN($AK168:$AK178),$AK168:$AK178,0),1)/INDEX($C168:$AJ178,MATCH(MIN($AK168:$AK178),$AK168:$AK178,0),MATCH(IF('Data-solution'!$A$3="Maximize",MAX($C179:$AI179),MIN($C179:$AI179)),$C179:$AI179,0))),AJ172)</f>
        <v>0</v>
      </c>
      <c r="AK187" s="1" t="str">
        <f>IF(INDEX(C187:X187,1,MATCH(IF('Data-solution'!A$3="Maximize",MAX(C194:X194),MIN(C194:X194)),C194:X194,0))&gt;0,AJ187/INDEX(C187:X187,1,MATCH(IF('Data-solution'!A$3="Maximize",MAX(C194:X194),MIN(C194:X194)),C194:X194,0))," ")</f>
        <v xml:space="preserve"> </v>
      </c>
    </row>
    <row r="188" spans="1:37" ht="18" customHeight="1" x14ac:dyDescent="0.2">
      <c r="A188" s="1">
        <f t="shared" ref="A188" si="161">INDEX(C181:AI181,1,MATCH(B188,C182:AI182,0))</f>
        <v>0</v>
      </c>
      <c r="B188" s="2" t="str">
        <f>IF(AND('Data-solution'!A$3="Maximize",COUNTIF(C179:X179,"&gt;"&amp;0)&gt;0,AK173=MIN(AK168:AK178),COUNTIF(B183:B187,INDEX(C167:X167,1,MATCH(MAX(C179:X179),C179:X179,0)))=0),INDEX(C167:X167,1,MATCH(MAX(C179:X179),C179:X179,0)),IF(AND('Data-solution'!A$3="Minimize",COUNTIF(C179:X179,"&lt;"&amp;0)&gt;0,AK173=MIN(AK168:AK178),COUNTIF(B183:B187,INDEX(C167:X167,1,MATCH(MIN(C179:X179),C179:X179,0)))=0),INDEX(C167:X167,1,MATCH(MIN(C179:X179),C179:X179,0)),B173))</f>
        <v>S6</v>
      </c>
      <c r="C188" s="1">
        <f>IF(OR($B183&lt;&gt;$B168,$B184&lt;&gt;$B169,$B185&lt;&gt;$B170,$B186&lt;&gt;$B171,$B187&lt;&gt;$B172,$B188&lt;&gt;$B173,$B189&lt;&gt;$B174,$B190&lt;&gt;$B175,$B191&lt;&gt;$B176,$B192&lt;&gt;$B177,$B193&lt;&gt;$B178),IF($B188&lt;&gt;$B173,C173/INDEX($C168:$AJ178,6,MATCH(IF('Data-solution'!$A$3="Maximize",MAX($C179:$AI179),MIN($C179:$AI179)),$C179:$AI179,0)),C173-INDEX($C168:$AJ178,6,MATCH(IF('Data-solution'!$A$3="Maximize",MAX($C179:$AI179),MIN($C179:$AI179)),$C179:$AI179,0))*INDEX(C168:$AJ178,MATCH(MIN($AK168:$AK178),$AK168:$AK178,0),1)/INDEX($C168:$AJ178,MATCH(MIN($AK168:$AK178),$AK168:$AK178,0),MATCH(IF('Data-solution'!$A$3="Maximize",MAX($C179:$AI179),MIN($C179:$AI179)),$C179:$AI179,0))),C173)</f>
        <v>0</v>
      </c>
      <c r="D188" s="1">
        <f>IF(OR($B183&lt;&gt;$B168,$B184&lt;&gt;$B169,$B185&lt;&gt;$B170,$B186&lt;&gt;$B171,$B187&lt;&gt;$B172,$B188&lt;&gt;$B173,$B189&lt;&gt;$B174,$B190&lt;&gt;$B175,$B191&lt;&gt;$B176,$B192&lt;&gt;$B177,$B193&lt;&gt;$B178),IF($B188&lt;&gt;$B173,D173/INDEX($C168:$AJ178,6,MATCH(IF('Data-solution'!$A$3="Maximize",MAX($C179:$AI179),MIN($C179:$AI179)),$C179:$AI179,0)),D173-INDEX($C168:$AJ178,6,MATCH(IF('Data-solution'!$A$3="Maximize",MAX($C179:$AI179),MIN($C179:$AI179)),$C179:$AI179,0))*INDEX(D168:$AJ178,MATCH(MIN($AK168:$AK178),$AK168:$AK178,0),1)/INDEX($C168:$AJ178,MATCH(MIN($AK168:$AK178),$AK168:$AK178,0),MATCH(IF('Data-solution'!$A$3="Maximize",MAX($C179:$AI179),MIN($C179:$AI179)),$C179:$AI179,0))),D173)</f>
        <v>0</v>
      </c>
      <c r="E188" s="1">
        <f>IF(OR($B183&lt;&gt;$B168,$B184&lt;&gt;$B169,$B185&lt;&gt;$B170,$B186&lt;&gt;$B171,$B187&lt;&gt;$B172,$B188&lt;&gt;$B173,$B189&lt;&gt;$B174,$B190&lt;&gt;$B175,$B191&lt;&gt;$B176,$B192&lt;&gt;$B177,$B193&lt;&gt;$B178),IF($B188&lt;&gt;$B173,E173/INDEX($C168:$AJ178,6,MATCH(IF('Data-solution'!$A$3="Maximize",MAX($C179:$AI179),MIN($C179:$AI179)),$C179:$AI179,0)),E173-INDEX($C168:$AJ178,6,MATCH(IF('Data-solution'!$A$3="Maximize",MAX($C179:$AI179),MIN($C179:$AI179)),$C179:$AI179,0))*INDEX(E168:$AJ178,MATCH(MIN($AK168:$AK178),$AK168:$AK178,0),1)/INDEX($C168:$AJ178,MATCH(MIN($AK168:$AK178),$AK168:$AK178,0),MATCH(IF('Data-solution'!$A$3="Maximize",MAX($C179:$AI179),MIN($C179:$AI179)),$C179:$AI179,0))),E173)</f>
        <v>0</v>
      </c>
      <c r="F188" s="1">
        <f>IF(OR($B183&lt;&gt;$B168,$B184&lt;&gt;$B169,$B185&lt;&gt;$B170,$B186&lt;&gt;$B171,$B187&lt;&gt;$B172,$B188&lt;&gt;$B173,$B189&lt;&gt;$B174,$B190&lt;&gt;$B175,$B191&lt;&gt;$B176,$B192&lt;&gt;$B177,$B193&lt;&gt;$B178),IF($B188&lt;&gt;$B173,F173/INDEX($C168:$AJ178,6,MATCH(IF('Data-solution'!$A$3="Maximize",MAX($C179:$AI179),MIN($C179:$AI179)),$C179:$AI179,0)),F173-INDEX($C168:$AJ178,6,MATCH(IF('Data-solution'!$A$3="Maximize",MAX($C179:$AI179),MIN($C179:$AI179)),$C179:$AI179,0))*INDEX(F168:$AJ178,MATCH(MIN($AK168:$AK178),$AK168:$AK178,0),1)/INDEX($C168:$AJ178,MATCH(MIN($AK168:$AK178),$AK168:$AK178,0),MATCH(IF('Data-solution'!$A$3="Maximize",MAX($C179:$AI179),MIN($C179:$AI179)),$C179:$AI179,0))),F173)</f>
        <v>0</v>
      </c>
      <c r="G188" s="1">
        <f>IF(OR($B183&lt;&gt;$B168,$B184&lt;&gt;$B169,$B185&lt;&gt;$B170,$B186&lt;&gt;$B171,$B187&lt;&gt;$B172,$B188&lt;&gt;$B173,$B189&lt;&gt;$B174,$B190&lt;&gt;$B175,$B191&lt;&gt;$B176,$B192&lt;&gt;$B177,$B193&lt;&gt;$B178),IF($B188&lt;&gt;$B173,G173/INDEX($C168:$AJ178,6,MATCH(IF('Data-solution'!$A$3="Maximize",MAX($C179:$AI179),MIN($C179:$AI179)),$C179:$AI179,0)),G173-INDEX($C168:$AJ178,6,MATCH(IF('Data-solution'!$A$3="Maximize",MAX($C179:$AI179),MIN($C179:$AI179)),$C179:$AI179,0))*INDEX(G168:$AJ178,MATCH(MIN($AK168:$AK178),$AK168:$AK178,0),1)/INDEX($C168:$AJ178,MATCH(MIN($AK168:$AK178),$AK168:$AK178,0),MATCH(IF('Data-solution'!$A$3="Maximize",MAX($C179:$AI179),MIN($C179:$AI179)),$C179:$AI179,0))),G173)</f>
        <v>0</v>
      </c>
      <c r="H188" s="1">
        <f>IF(OR($B183&lt;&gt;$B168,$B184&lt;&gt;$B169,$B185&lt;&gt;$B170,$B186&lt;&gt;$B171,$B187&lt;&gt;$B172,$B188&lt;&gt;$B173,$B189&lt;&gt;$B174,$B190&lt;&gt;$B175,$B191&lt;&gt;$B176,$B192&lt;&gt;$B177,$B193&lt;&gt;$B178),IF($B188&lt;&gt;$B173,H173/INDEX($C168:$AJ178,6,MATCH(IF('Data-solution'!$A$3="Maximize",MAX($C179:$AI179),MIN($C179:$AI179)),$C179:$AI179,0)),H173-INDEX($C168:$AJ178,6,MATCH(IF('Data-solution'!$A$3="Maximize",MAX($C179:$AI179),MIN($C179:$AI179)),$C179:$AI179,0))*INDEX(H168:$AJ178,MATCH(MIN($AK168:$AK178),$AK168:$AK178,0),1)/INDEX($C168:$AJ178,MATCH(MIN($AK168:$AK178),$AK168:$AK178,0),MATCH(IF('Data-solution'!$A$3="Maximize",MAX($C179:$AI179),MIN($C179:$AI179)),$C179:$AI179,0))),H173)</f>
        <v>0</v>
      </c>
      <c r="I188" s="1">
        <f>IF(OR($B183&lt;&gt;$B168,$B184&lt;&gt;$B169,$B185&lt;&gt;$B170,$B186&lt;&gt;$B171,$B187&lt;&gt;$B172,$B188&lt;&gt;$B173,$B189&lt;&gt;$B174,$B190&lt;&gt;$B175,$B191&lt;&gt;$B176,$B192&lt;&gt;$B177,$B193&lt;&gt;$B178),IF($B188&lt;&gt;$B173,I173/INDEX($C168:$AJ178,6,MATCH(IF('Data-solution'!$A$3="Maximize",MAX($C179:$AI179),MIN($C179:$AI179)),$C179:$AI179,0)),I173-INDEX($C168:$AJ178,6,MATCH(IF('Data-solution'!$A$3="Maximize",MAX($C179:$AI179),MIN($C179:$AI179)),$C179:$AI179,0))*INDEX(I168:$AJ178,MATCH(MIN($AK168:$AK178),$AK168:$AK178,0),1)/INDEX($C168:$AJ178,MATCH(MIN($AK168:$AK178),$AK168:$AK178,0),MATCH(IF('Data-solution'!$A$3="Maximize",MAX($C179:$AI179),MIN($C179:$AI179)),$C179:$AI179,0))),I173)</f>
        <v>0</v>
      </c>
      <c r="J188" s="1">
        <f>IF(OR($B183&lt;&gt;$B168,$B184&lt;&gt;$B169,$B185&lt;&gt;$B170,$B186&lt;&gt;$B171,$B187&lt;&gt;$B172,$B188&lt;&gt;$B173,$B189&lt;&gt;$B174,$B190&lt;&gt;$B175,$B191&lt;&gt;$B176,$B192&lt;&gt;$B177,$B193&lt;&gt;$B178),IF($B188&lt;&gt;$B173,J173/INDEX($C168:$AJ178,6,MATCH(IF('Data-solution'!$A$3="Maximize",MAX($C179:$AI179),MIN($C179:$AI179)),$C179:$AI179,0)),J173-INDEX($C168:$AJ178,6,MATCH(IF('Data-solution'!$A$3="Maximize",MAX($C179:$AI179),MIN($C179:$AI179)),$C179:$AI179,0))*INDEX(J168:$AJ178,MATCH(MIN($AK168:$AK178),$AK168:$AK178,0),1)/INDEX($C168:$AJ178,MATCH(MIN($AK168:$AK178),$AK168:$AK178,0),MATCH(IF('Data-solution'!$A$3="Maximize",MAX($C179:$AI179),MIN($C179:$AI179)),$C179:$AI179,0))),J173)</f>
        <v>0</v>
      </c>
      <c r="K188" s="1">
        <f>IF(OR($B183&lt;&gt;$B168,$B184&lt;&gt;$B169,$B185&lt;&gt;$B170,$B186&lt;&gt;$B171,$B187&lt;&gt;$B172,$B188&lt;&gt;$B173,$B189&lt;&gt;$B174,$B190&lt;&gt;$B175,$B191&lt;&gt;$B176,$B192&lt;&gt;$B177,$B193&lt;&gt;$B178),IF($B188&lt;&gt;$B173,K173/INDEX($C168:$AJ178,6,MATCH(IF('Data-solution'!$A$3="Maximize",MAX($C179:$AI179),MIN($C179:$AI179)),$C179:$AI179,0)),K173-INDEX($C168:$AJ178,6,MATCH(IF('Data-solution'!$A$3="Maximize",MAX($C179:$AI179),MIN($C179:$AI179)),$C179:$AI179,0))*INDEX(K168:$AJ178,MATCH(MIN($AK168:$AK178),$AK168:$AK178,0),1)/INDEX($C168:$AJ178,MATCH(MIN($AK168:$AK178),$AK168:$AK178,0),MATCH(IF('Data-solution'!$A$3="Maximize",MAX($C179:$AI179),MIN($C179:$AI179)),$C179:$AI179,0))),K173)</f>
        <v>0</v>
      </c>
      <c r="L188" s="1">
        <f>IF(OR($B183&lt;&gt;$B168,$B184&lt;&gt;$B169,$B185&lt;&gt;$B170,$B186&lt;&gt;$B171,$B187&lt;&gt;$B172,$B188&lt;&gt;$B173,$B189&lt;&gt;$B174,$B190&lt;&gt;$B175,$B191&lt;&gt;$B176,$B192&lt;&gt;$B177,$B193&lt;&gt;$B178),IF($B188&lt;&gt;$B173,L173/INDEX($C168:$AJ178,6,MATCH(IF('Data-solution'!$A$3="Maximize",MAX($C179:$AI179),MIN($C179:$AI179)),$C179:$AI179,0)),L173-INDEX($C168:$AJ178,6,MATCH(IF('Data-solution'!$A$3="Maximize",MAX($C179:$AI179),MIN($C179:$AI179)),$C179:$AI179,0))*INDEX(L168:$AJ178,MATCH(MIN($AK168:$AK178),$AK168:$AK178,0),1)/INDEX($C168:$AJ178,MATCH(MIN($AK168:$AK178),$AK168:$AK178,0),MATCH(IF('Data-solution'!$A$3="Maximize",MAX($C179:$AI179),MIN($C179:$AI179)),$C179:$AI179,0))),L173)</f>
        <v>0</v>
      </c>
      <c r="M188" s="1">
        <f>IF(OR($B183&lt;&gt;$B168,$B184&lt;&gt;$B169,$B185&lt;&gt;$B170,$B186&lt;&gt;$B171,$B187&lt;&gt;$B172,$B188&lt;&gt;$B173,$B189&lt;&gt;$B174,$B190&lt;&gt;$B175,$B191&lt;&gt;$B176,$B192&lt;&gt;$B177,$B193&lt;&gt;$B178),IF($B188&lt;&gt;$B173,M173/INDEX($C168:$AJ178,6,MATCH(IF('Data-solution'!$A$3="Maximize",MAX($C179:$AI179),MIN($C179:$AI179)),$C179:$AI179,0)),M173-INDEX($C168:$AJ178,6,MATCH(IF('Data-solution'!$A$3="Maximize",MAX($C179:$AI179),MIN($C179:$AI179)),$C179:$AI179,0))*INDEX(M168:$AJ178,MATCH(MIN($AK168:$AK178),$AK168:$AK178,0),1)/INDEX($C168:$AJ178,MATCH(MIN($AK168:$AK178),$AK168:$AK178,0),MATCH(IF('Data-solution'!$A$3="Maximize",MAX($C179:$AI179),MIN($C179:$AI179)),$C179:$AI179,0))),M173)</f>
        <v>0</v>
      </c>
      <c r="N188" s="1">
        <f>IF(OR($B183&lt;&gt;$B168,$B184&lt;&gt;$B169,$B185&lt;&gt;$B170,$B186&lt;&gt;$B171,$B187&lt;&gt;$B172,$B188&lt;&gt;$B173,$B189&lt;&gt;$B174,$B190&lt;&gt;$B175,$B191&lt;&gt;$B176,$B192&lt;&gt;$B177,$B193&lt;&gt;$B178),IF($B188&lt;&gt;$B173,N173/INDEX($C168:$AJ178,6,MATCH(IF('Data-solution'!$A$3="Maximize",MAX($C179:$AI179),MIN($C179:$AI179)),$C179:$AI179,0)),N173-INDEX($C168:$AJ178,6,MATCH(IF('Data-solution'!$A$3="Maximize",MAX($C179:$AI179),MIN($C179:$AI179)),$C179:$AI179,0))*INDEX(N168:$AJ178,MATCH(MIN($AK168:$AK178),$AK168:$AK178,0),1)/INDEX($C168:$AJ178,MATCH(MIN($AK168:$AK178),$AK168:$AK178,0),MATCH(IF('Data-solution'!$A$3="Maximize",MAX($C179:$AI179),MIN($C179:$AI179)),$C179:$AI179,0))),N173)</f>
        <v>0</v>
      </c>
      <c r="O188" s="1">
        <f>IF(OR($B183&lt;&gt;$B168,$B184&lt;&gt;$B169,$B185&lt;&gt;$B170,$B186&lt;&gt;$B171,$B187&lt;&gt;$B172,$B188&lt;&gt;$B173,$B189&lt;&gt;$B174,$B190&lt;&gt;$B175,$B191&lt;&gt;$B176,$B192&lt;&gt;$B177,$B193&lt;&gt;$B178),IF($B188&lt;&gt;$B173,O173/INDEX($C168:$AJ178,6,MATCH(IF('Data-solution'!$A$3="Maximize",MAX($C179:$AI179),MIN($C179:$AI179)),$C179:$AI179,0)),O173-INDEX($C168:$AJ178,6,MATCH(IF('Data-solution'!$A$3="Maximize",MAX($C179:$AI179),MIN($C179:$AI179)),$C179:$AI179,0))*INDEX(O168:$AJ178,MATCH(MIN($AK168:$AK178),$AK168:$AK178,0),1)/INDEX($C168:$AJ178,MATCH(MIN($AK168:$AK178),$AK168:$AK178,0),MATCH(IF('Data-solution'!$A$3="Maximize",MAX($C179:$AI179),MIN($C179:$AI179)),$C179:$AI179,0))),O173)</f>
        <v>0</v>
      </c>
      <c r="P188" s="1">
        <f>IF(OR($B183&lt;&gt;$B168,$B184&lt;&gt;$B169,$B185&lt;&gt;$B170,$B186&lt;&gt;$B171,$B187&lt;&gt;$B172,$B188&lt;&gt;$B173,$B189&lt;&gt;$B174,$B190&lt;&gt;$B175,$B191&lt;&gt;$B176,$B192&lt;&gt;$B177,$B193&lt;&gt;$B178),IF($B188&lt;&gt;$B173,P173/INDEX($C168:$AJ178,6,MATCH(IF('Data-solution'!$A$3="Maximize",MAX($C179:$AI179),MIN($C179:$AI179)),$C179:$AI179,0)),P173-INDEX($C168:$AJ178,6,MATCH(IF('Data-solution'!$A$3="Maximize",MAX($C179:$AI179),MIN($C179:$AI179)),$C179:$AI179,0))*INDEX(P168:$AJ178,MATCH(MIN($AK168:$AK178),$AK168:$AK178,0),1)/INDEX($C168:$AJ178,MATCH(MIN($AK168:$AK178),$AK168:$AK178,0),MATCH(IF('Data-solution'!$A$3="Maximize",MAX($C179:$AI179),MIN($C179:$AI179)),$C179:$AI179,0))),P173)</f>
        <v>0</v>
      </c>
      <c r="Q188" s="1">
        <f>IF(OR($B183&lt;&gt;$B168,$B184&lt;&gt;$B169,$B185&lt;&gt;$B170,$B186&lt;&gt;$B171,$B187&lt;&gt;$B172,$B188&lt;&gt;$B173,$B189&lt;&gt;$B174,$B190&lt;&gt;$B175,$B191&lt;&gt;$B176,$B192&lt;&gt;$B177,$B193&lt;&gt;$B178),IF($B188&lt;&gt;$B173,Q173/INDEX($C168:$AJ178,6,MATCH(IF('Data-solution'!$A$3="Maximize",MAX($C179:$AI179),MIN($C179:$AI179)),$C179:$AI179,0)),Q173-INDEX($C168:$AJ178,6,MATCH(IF('Data-solution'!$A$3="Maximize",MAX($C179:$AI179),MIN($C179:$AI179)),$C179:$AI179,0))*INDEX(Q168:$AJ178,MATCH(MIN($AK168:$AK178),$AK168:$AK178,0),1)/INDEX($C168:$AJ178,MATCH(MIN($AK168:$AK178),$AK168:$AK178,0),MATCH(IF('Data-solution'!$A$3="Maximize",MAX($C179:$AI179),MIN($C179:$AI179)),$C179:$AI179,0))),Q173)</f>
        <v>0</v>
      </c>
      <c r="R188" s="1">
        <f>IF(OR($B183&lt;&gt;$B168,$B184&lt;&gt;$B169,$B185&lt;&gt;$B170,$B186&lt;&gt;$B171,$B187&lt;&gt;$B172,$B188&lt;&gt;$B173,$B189&lt;&gt;$B174,$B190&lt;&gt;$B175,$B191&lt;&gt;$B176,$B192&lt;&gt;$B177,$B193&lt;&gt;$B178),IF($B188&lt;&gt;$B173,R173/INDEX($C168:$AJ178,6,MATCH(IF('Data-solution'!$A$3="Maximize",MAX($C179:$AI179),MIN($C179:$AI179)),$C179:$AI179,0)),R173-INDEX($C168:$AJ178,6,MATCH(IF('Data-solution'!$A$3="Maximize",MAX($C179:$AI179),MIN($C179:$AI179)),$C179:$AI179,0))*INDEX(R168:$AJ178,MATCH(MIN($AK168:$AK178),$AK168:$AK178,0),1)/INDEX($C168:$AJ178,MATCH(MIN($AK168:$AK178),$AK168:$AK178,0),MATCH(IF('Data-solution'!$A$3="Maximize",MAX($C179:$AI179),MIN($C179:$AI179)),$C179:$AI179,0))),R173)</f>
        <v>0</v>
      </c>
      <c r="S188" s="1">
        <f>IF(OR($B183&lt;&gt;$B168,$B184&lt;&gt;$B169,$B185&lt;&gt;$B170,$B186&lt;&gt;$B171,$B187&lt;&gt;$B172,$B188&lt;&gt;$B173,$B189&lt;&gt;$B174,$B190&lt;&gt;$B175,$B191&lt;&gt;$B176,$B192&lt;&gt;$B177,$B193&lt;&gt;$B178),IF($B188&lt;&gt;$B173,S173/INDEX($C168:$AJ178,6,MATCH(IF('Data-solution'!$A$3="Maximize",MAX($C179:$AI179),MIN($C179:$AI179)),$C179:$AI179,0)),S173-INDEX($C168:$AJ178,6,MATCH(IF('Data-solution'!$A$3="Maximize",MAX($C179:$AI179),MIN($C179:$AI179)),$C179:$AI179,0))*INDEX(S168:$AJ178,MATCH(MIN($AK168:$AK178),$AK168:$AK178,0),1)/INDEX($C168:$AJ178,MATCH(MIN($AK168:$AK178),$AK168:$AK178,0),MATCH(IF('Data-solution'!$A$3="Maximize",MAX($C179:$AI179),MIN($C179:$AI179)),$C179:$AI179,0))),S173)</f>
        <v>1</v>
      </c>
      <c r="T188" s="1">
        <f>IF(OR($B183&lt;&gt;$B168,$B184&lt;&gt;$B169,$B185&lt;&gt;$B170,$B186&lt;&gt;$B171,$B187&lt;&gt;$B172,$B188&lt;&gt;$B173,$B189&lt;&gt;$B174,$B190&lt;&gt;$B175,$B191&lt;&gt;$B176,$B192&lt;&gt;$B177,$B193&lt;&gt;$B178),IF($B188&lt;&gt;$B173,T173/INDEX($C168:$AJ178,6,MATCH(IF('Data-solution'!$A$3="Maximize",MAX($C179:$AI179),MIN($C179:$AI179)),$C179:$AI179,0)),T173-INDEX($C168:$AJ178,6,MATCH(IF('Data-solution'!$A$3="Maximize",MAX($C179:$AI179),MIN($C179:$AI179)),$C179:$AI179,0))*INDEX(T168:$AJ178,MATCH(MIN($AK168:$AK178),$AK168:$AK178,0),1)/INDEX($C168:$AJ178,MATCH(MIN($AK168:$AK178),$AK168:$AK178,0),MATCH(IF('Data-solution'!$A$3="Maximize",MAX($C179:$AI179),MIN($C179:$AI179)),$C179:$AI179,0))),T173)</f>
        <v>0</v>
      </c>
      <c r="U188" s="1">
        <f>IF(OR($B183&lt;&gt;$B168,$B184&lt;&gt;$B169,$B185&lt;&gt;$B170,$B186&lt;&gt;$B171,$B187&lt;&gt;$B172,$B188&lt;&gt;$B173,$B189&lt;&gt;$B174,$B190&lt;&gt;$B175,$B191&lt;&gt;$B176,$B192&lt;&gt;$B177,$B193&lt;&gt;$B178),IF($B188&lt;&gt;$B173,U173/INDEX($C168:$AJ178,6,MATCH(IF('Data-solution'!$A$3="Maximize",MAX($C179:$AI179),MIN($C179:$AI179)),$C179:$AI179,0)),U173-INDEX($C168:$AJ178,6,MATCH(IF('Data-solution'!$A$3="Maximize",MAX($C179:$AI179),MIN($C179:$AI179)),$C179:$AI179,0))*INDEX(U168:$AJ178,MATCH(MIN($AK168:$AK178),$AK168:$AK178,0),1)/INDEX($C168:$AJ178,MATCH(MIN($AK168:$AK178),$AK168:$AK178,0),MATCH(IF('Data-solution'!$A$3="Maximize",MAX($C179:$AI179),MIN($C179:$AI179)),$C179:$AI179,0))),U173)</f>
        <v>0</v>
      </c>
      <c r="V188" s="1">
        <f>IF(OR($B183&lt;&gt;$B168,$B184&lt;&gt;$B169,$B185&lt;&gt;$B170,$B186&lt;&gt;$B171,$B187&lt;&gt;$B172,$B188&lt;&gt;$B173,$B189&lt;&gt;$B174,$B190&lt;&gt;$B175,$B191&lt;&gt;$B176,$B192&lt;&gt;$B177,$B193&lt;&gt;$B178),IF($B188&lt;&gt;$B173,V173/INDEX($C168:$AJ178,6,MATCH(IF('Data-solution'!$A$3="Maximize",MAX($C179:$AI179),MIN($C179:$AI179)),$C179:$AI179,0)),V173-INDEX($C168:$AJ178,6,MATCH(IF('Data-solution'!$A$3="Maximize",MAX($C179:$AI179),MIN($C179:$AI179)),$C179:$AI179,0))*INDEX(V168:$AJ178,MATCH(MIN($AK168:$AK178),$AK168:$AK178,0),1)/INDEX($C168:$AJ178,MATCH(MIN($AK168:$AK178),$AK168:$AK178,0),MATCH(IF('Data-solution'!$A$3="Maximize",MAX($C179:$AI179),MIN($C179:$AI179)),$C179:$AI179,0))),V173)</f>
        <v>0</v>
      </c>
      <c r="W188" s="1">
        <f>IF(OR($B183&lt;&gt;$B168,$B184&lt;&gt;$B169,$B185&lt;&gt;$B170,$B186&lt;&gt;$B171,$B187&lt;&gt;$B172,$B188&lt;&gt;$B173,$B189&lt;&gt;$B174,$B190&lt;&gt;$B175,$B191&lt;&gt;$B176,$B192&lt;&gt;$B177,$B193&lt;&gt;$B178),IF($B188&lt;&gt;$B173,W173/INDEX($C168:$AJ178,6,MATCH(IF('Data-solution'!$A$3="Maximize",MAX($C179:$AI179),MIN($C179:$AI179)),$C179:$AI179,0)),W173-INDEX($C168:$AJ178,6,MATCH(IF('Data-solution'!$A$3="Maximize",MAX($C179:$AI179),MIN($C179:$AI179)),$C179:$AI179,0))*INDEX(W168:$AJ178,MATCH(MIN($AK168:$AK178),$AK168:$AK178,0),1)/INDEX($C168:$AJ178,MATCH(MIN($AK168:$AK178),$AK168:$AK178,0),MATCH(IF('Data-solution'!$A$3="Maximize",MAX($C179:$AI179),MIN($C179:$AI179)),$C179:$AI179,0))),W173)</f>
        <v>0</v>
      </c>
      <c r="X188" s="1">
        <f>IF(OR($B183&lt;&gt;$B168,$B184&lt;&gt;$B169,$B185&lt;&gt;$B170,$B186&lt;&gt;$B171,$B187&lt;&gt;$B172,$B188&lt;&gt;$B173,$B189&lt;&gt;$B174,$B190&lt;&gt;$B175,$B191&lt;&gt;$B176,$B192&lt;&gt;$B177,$B193&lt;&gt;$B178),IF($B188&lt;&gt;$B173,X173/INDEX($C168:$AJ178,6,MATCH(IF('Data-solution'!$A$3="Maximize",MAX($C179:$AI179),MIN($C179:$AI179)),$C179:$AI179,0)),X173-INDEX($C168:$AJ178,6,MATCH(IF('Data-solution'!$A$3="Maximize",MAX($C179:$AI179),MIN($C179:$AI179)),$C179:$AI179,0))*INDEX(X168:$AJ178,MATCH(MIN($AK168:$AK178),$AK168:$AK178,0),1)/INDEX($C168:$AJ178,MATCH(MIN($AK168:$AK178),$AK168:$AK178,0),MATCH(IF('Data-solution'!$A$3="Maximize",MAX($C179:$AI179),MIN($C179:$AI179)),$C179:$AI179,0))),X173)</f>
        <v>0</v>
      </c>
      <c r="Y188" s="1">
        <f>IF(OR($B183&lt;&gt;$B168,$B184&lt;&gt;$B169,$B185&lt;&gt;$B170,$B186&lt;&gt;$B171,$B187&lt;&gt;$B172,$B188&lt;&gt;$B173,$B189&lt;&gt;$B174,$B190&lt;&gt;$B175,$B191&lt;&gt;$B176,$B192&lt;&gt;$B177,$B193&lt;&gt;$B178),IF($B188&lt;&gt;$B173,Y173/INDEX($C168:$AJ178,6,MATCH(IF('Data-solution'!$A$3="Maximize",MAX($C179:$AI179),MIN($C179:$AI179)),$C179:$AI179,0)),Y173-INDEX($C168:$AJ178,6,MATCH(IF('Data-solution'!$A$3="Maximize",MAX($C179:$AI179),MIN($C179:$AI179)),$C179:$AI179,0))*INDEX(Y168:$AJ178,MATCH(MIN($AK168:$AK178),$AK168:$AK178,0),1)/INDEX($C168:$AJ178,MATCH(MIN($AK168:$AK178),$AK168:$AK178,0),MATCH(IF('Data-solution'!$A$3="Maximize",MAX($C179:$AI179),MIN($C179:$AI179)),$C179:$AI179,0))),Y173)</f>
        <v>0</v>
      </c>
      <c r="Z188" s="1">
        <f>IF(OR($B183&lt;&gt;$B168,$B184&lt;&gt;$B169,$B185&lt;&gt;$B170,$B186&lt;&gt;$B171,$B187&lt;&gt;$B172,$B188&lt;&gt;$B173,$B189&lt;&gt;$B174,$B190&lt;&gt;$B175,$B191&lt;&gt;$B176,$B192&lt;&gt;$B177,$B193&lt;&gt;$B178),IF($B188&lt;&gt;$B173,Z173/INDEX($C168:$AJ178,6,MATCH(IF('Data-solution'!$A$3="Maximize",MAX($C179:$AI179),MIN($C179:$AI179)),$C179:$AI179,0)),Z173-INDEX($C168:$AJ178,6,MATCH(IF('Data-solution'!$A$3="Maximize",MAX($C179:$AI179),MIN($C179:$AI179)),$C179:$AI179,0))*INDEX(Z168:$AJ178,MATCH(MIN($AK168:$AK178),$AK168:$AK178,0),1)/INDEX($C168:$AJ178,MATCH(MIN($AK168:$AK178),$AK168:$AK178,0),MATCH(IF('Data-solution'!$A$3="Maximize",MAX($C179:$AI179),MIN($C179:$AI179)),$C179:$AI179,0))),Z173)</f>
        <v>0</v>
      </c>
      <c r="AA188" s="1">
        <f>IF(OR($B183&lt;&gt;$B168,$B184&lt;&gt;$B169,$B185&lt;&gt;$B170,$B186&lt;&gt;$B171,$B187&lt;&gt;$B172,$B188&lt;&gt;$B173,$B189&lt;&gt;$B174,$B190&lt;&gt;$B175,$B191&lt;&gt;$B176,$B192&lt;&gt;$B177,$B193&lt;&gt;$B178),IF($B188&lt;&gt;$B173,AA173/INDEX($C168:$AJ178,6,MATCH(IF('Data-solution'!$A$3="Maximize",MAX($C179:$AI179),MIN($C179:$AI179)),$C179:$AI179,0)),AA173-INDEX($C168:$AJ178,6,MATCH(IF('Data-solution'!$A$3="Maximize",MAX($C179:$AI179),MIN($C179:$AI179)),$C179:$AI179,0))*INDEX(AA168:$AJ178,MATCH(MIN($AK168:$AK178),$AK168:$AK178,0),1)/INDEX($C168:$AJ178,MATCH(MIN($AK168:$AK178),$AK168:$AK178,0),MATCH(IF('Data-solution'!$A$3="Maximize",MAX($C179:$AI179),MIN($C179:$AI179)),$C179:$AI179,0))),AA173)</f>
        <v>0</v>
      </c>
      <c r="AB188" s="1">
        <f>IF(OR($B183&lt;&gt;$B168,$B184&lt;&gt;$B169,$B185&lt;&gt;$B170,$B186&lt;&gt;$B171,$B187&lt;&gt;$B172,$B188&lt;&gt;$B173,$B189&lt;&gt;$B174,$B190&lt;&gt;$B175,$B191&lt;&gt;$B176,$B192&lt;&gt;$B177,$B193&lt;&gt;$B178),IF($B188&lt;&gt;$B173,AB173/INDEX($C168:$AJ178,6,MATCH(IF('Data-solution'!$A$3="Maximize",MAX($C179:$AI179),MIN($C179:$AI179)),$C179:$AI179,0)),AB173-INDEX($C168:$AJ178,6,MATCH(IF('Data-solution'!$A$3="Maximize",MAX($C179:$AI179),MIN($C179:$AI179)),$C179:$AI179,0))*INDEX(AB168:$AJ178,MATCH(MIN($AK168:$AK178),$AK168:$AK178,0),1)/INDEX($C168:$AJ178,MATCH(MIN($AK168:$AK178),$AK168:$AK178,0),MATCH(IF('Data-solution'!$A$3="Maximize",MAX($C179:$AI179),MIN($C179:$AI179)),$C179:$AI179,0))),AB173)</f>
        <v>0</v>
      </c>
      <c r="AC188" s="1">
        <f>IF(OR($B183&lt;&gt;$B168,$B184&lt;&gt;$B169,$B185&lt;&gt;$B170,$B186&lt;&gt;$B171,$B187&lt;&gt;$B172,$B188&lt;&gt;$B173,$B189&lt;&gt;$B174,$B190&lt;&gt;$B175,$B191&lt;&gt;$B176,$B192&lt;&gt;$B177,$B193&lt;&gt;$B178),IF($B188&lt;&gt;$B173,AC173/INDEX($C168:$AJ178,6,MATCH(IF('Data-solution'!$A$3="Maximize",MAX($C179:$AI179),MIN($C179:$AI179)),$C179:$AI179,0)),AC173-INDEX($C168:$AJ178,6,MATCH(IF('Data-solution'!$A$3="Maximize",MAX($C179:$AI179),MIN($C179:$AI179)),$C179:$AI179,0))*INDEX(AC168:$AJ178,MATCH(MIN($AK168:$AK178),$AK168:$AK178,0),1)/INDEX($C168:$AJ178,MATCH(MIN($AK168:$AK178),$AK168:$AK178,0),MATCH(IF('Data-solution'!$A$3="Maximize",MAX($C179:$AI179),MIN($C179:$AI179)),$C179:$AI179,0))),AC173)</f>
        <v>0</v>
      </c>
      <c r="AD188" s="1">
        <f>IF(OR($B183&lt;&gt;$B168,$B184&lt;&gt;$B169,$B185&lt;&gt;$B170,$B186&lt;&gt;$B171,$B187&lt;&gt;$B172,$B188&lt;&gt;$B173,$B189&lt;&gt;$B174,$B190&lt;&gt;$B175,$B191&lt;&gt;$B176,$B192&lt;&gt;$B177,$B193&lt;&gt;$B178),IF($B188&lt;&gt;$B173,AD173/INDEX($C168:$AJ178,6,MATCH(IF('Data-solution'!$A$3="Maximize",MAX($C179:$AI179),MIN($C179:$AI179)),$C179:$AI179,0)),AD173-INDEX($C168:$AJ178,6,MATCH(IF('Data-solution'!$A$3="Maximize",MAX($C179:$AI179),MIN($C179:$AI179)),$C179:$AI179,0))*INDEX(AD168:$AJ178,MATCH(MIN($AK168:$AK178),$AK168:$AK178,0),1)/INDEX($C168:$AJ178,MATCH(MIN($AK168:$AK178),$AK168:$AK178,0),MATCH(IF('Data-solution'!$A$3="Maximize",MAX($C179:$AI179),MIN($C179:$AI179)),$C179:$AI179,0))),AD173)</f>
        <v>1</v>
      </c>
      <c r="AE188" s="1">
        <f>IF(OR($B183&lt;&gt;$B168,$B184&lt;&gt;$B169,$B185&lt;&gt;$B170,$B186&lt;&gt;$B171,$B187&lt;&gt;$B172,$B188&lt;&gt;$B173,$B189&lt;&gt;$B174,$B190&lt;&gt;$B175,$B191&lt;&gt;$B176,$B192&lt;&gt;$B177,$B193&lt;&gt;$B178),IF($B188&lt;&gt;$B173,AE173/INDEX($C168:$AJ178,6,MATCH(IF('Data-solution'!$A$3="Maximize",MAX($C179:$AI179),MIN($C179:$AI179)),$C179:$AI179,0)),AE173-INDEX($C168:$AJ178,6,MATCH(IF('Data-solution'!$A$3="Maximize",MAX($C179:$AI179),MIN($C179:$AI179)),$C179:$AI179,0))*INDEX(AE168:$AJ178,MATCH(MIN($AK168:$AK178),$AK168:$AK178,0),1)/INDEX($C168:$AJ178,MATCH(MIN($AK168:$AK178),$AK168:$AK178,0),MATCH(IF('Data-solution'!$A$3="Maximize",MAX($C179:$AI179),MIN($C179:$AI179)),$C179:$AI179,0))),AE173)</f>
        <v>0</v>
      </c>
      <c r="AF188" s="1">
        <f>IF(OR($B183&lt;&gt;$B168,$B184&lt;&gt;$B169,$B185&lt;&gt;$B170,$B186&lt;&gt;$B171,$B187&lt;&gt;$B172,$B188&lt;&gt;$B173,$B189&lt;&gt;$B174,$B190&lt;&gt;$B175,$B191&lt;&gt;$B176,$B192&lt;&gt;$B177,$B193&lt;&gt;$B178),IF($B188&lt;&gt;$B173,AF173/INDEX($C168:$AJ178,6,MATCH(IF('Data-solution'!$A$3="Maximize",MAX($C179:$AI179),MIN($C179:$AI179)),$C179:$AI179,0)),AF173-INDEX($C168:$AJ178,6,MATCH(IF('Data-solution'!$A$3="Maximize",MAX($C179:$AI179),MIN($C179:$AI179)),$C179:$AI179,0))*INDEX(AF168:$AJ178,MATCH(MIN($AK168:$AK178),$AK168:$AK178,0),1)/INDEX($C168:$AJ178,MATCH(MIN($AK168:$AK178),$AK168:$AK178,0),MATCH(IF('Data-solution'!$A$3="Maximize",MAX($C179:$AI179),MIN($C179:$AI179)),$C179:$AI179,0))),AF173)</f>
        <v>0</v>
      </c>
      <c r="AG188" s="1">
        <f>IF(OR($B183&lt;&gt;$B168,$B184&lt;&gt;$B169,$B185&lt;&gt;$B170,$B186&lt;&gt;$B171,$B187&lt;&gt;$B172,$B188&lt;&gt;$B173,$B189&lt;&gt;$B174,$B190&lt;&gt;$B175,$B191&lt;&gt;$B176,$B192&lt;&gt;$B177,$B193&lt;&gt;$B178),IF($B188&lt;&gt;$B173,AG173/INDEX($C168:$AJ178,6,MATCH(IF('Data-solution'!$A$3="Maximize",MAX($C179:$AI179),MIN($C179:$AI179)),$C179:$AI179,0)),AG173-INDEX($C168:$AJ178,6,MATCH(IF('Data-solution'!$A$3="Maximize",MAX($C179:$AI179),MIN($C179:$AI179)),$C179:$AI179,0))*INDEX(AG168:$AJ178,MATCH(MIN($AK168:$AK178),$AK168:$AK178,0),1)/INDEX($C168:$AJ178,MATCH(MIN($AK168:$AK178),$AK168:$AK178,0),MATCH(IF('Data-solution'!$A$3="Maximize",MAX($C179:$AI179),MIN($C179:$AI179)),$C179:$AI179,0))),AG173)</f>
        <v>0</v>
      </c>
      <c r="AH188" s="1">
        <f>IF(OR($B183&lt;&gt;$B168,$B184&lt;&gt;$B169,$B185&lt;&gt;$B170,$B186&lt;&gt;$B171,$B187&lt;&gt;$B172,$B188&lt;&gt;$B173,$B189&lt;&gt;$B174,$B190&lt;&gt;$B175,$B191&lt;&gt;$B176,$B192&lt;&gt;$B177,$B193&lt;&gt;$B178),IF($B188&lt;&gt;$B173,AH173/INDEX($C168:$AJ178,6,MATCH(IF('Data-solution'!$A$3="Maximize",MAX($C179:$AI179),MIN($C179:$AI179)),$C179:$AI179,0)),AH173-INDEX($C168:$AJ178,6,MATCH(IF('Data-solution'!$A$3="Maximize",MAX($C179:$AI179),MIN($C179:$AI179)),$C179:$AI179,0))*INDEX(AH168:$AJ178,MATCH(MIN($AK168:$AK178),$AK168:$AK178,0),1)/INDEX($C168:$AJ178,MATCH(MIN($AK168:$AK178),$AK168:$AK178,0),MATCH(IF('Data-solution'!$A$3="Maximize",MAX($C179:$AI179),MIN($C179:$AI179)),$C179:$AI179,0))),AH173)</f>
        <v>0</v>
      </c>
      <c r="AI188" s="1">
        <f>IF(OR($B183&lt;&gt;$B168,$B184&lt;&gt;$B169,$B185&lt;&gt;$B170,$B186&lt;&gt;$B171,$B187&lt;&gt;$B172,$B188&lt;&gt;$B173,$B189&lt;&gt;$B174,$B190&lt;&gt;$B175,$B191&lt;&gt;$B176,$B192&lt;&gt;$B177,$B193&lt;&gt;$B178),IF($B188&lt;&gt;$B173,AI173/INDEX($C168:$AJ178,6,MATCH(IF('Data-solution'!$A$3="Maximize",MAX($C179:$AI179),MIN($C179:$AI179)),$C179:$AI179,0)),AI173-INDEX($C168:$AJ178,6,MATCH(IF('Data-solution'!$A$3="Maximize",MAX($C179:$AI179),MIN($C179:$AI179)),$C179:$AI179,0))*INDEX(AI168:$AJ178,MATCH(MIN($AK168:$AK178),$AK168:$AK178,0),1)/INDEX($C168:$AJ178,MATCH(MIN($AK168:$AK178),$AK168:$AK178,0),MATCH(IF('Data-solution'!$A$3="Maximize",MAX($C179:$AI179),MIN($C179:$AI179)),$C179:$AI179,0))),AI173)</f>
        <v>0</v>
      </c>
      <c r="AJ188" s="1">
        <f>IF(OR($B183&lt;&gt;$B168,$B184&lt;&gt;$B169,$B185&lt;&gt;$B170,$B186&lt;&gt;$B171,$B187&lt;&gt;$B172,$B188&lt;&gt;$B173,$B189&lt;&gt;$B174,$B190&lt;&gt;$B175,$B191&lt;&gt;$B176,$B192&lt;&gt;$B177,$B193&lt;&gt;$B178),IF($B188&lt;&gt;$B173,AJ173/INDEX($C168:$AJ178,6,MATCH(IF('Data-solution'!$A$3="Maximize",MAX($C179:$AI179),MIN($C179:$AI179)),$C179:$AI179,0)),AJ173-INDEX($C168:$AJ178,6,MATCH(IF('Data-solution'!$A$3="Maximize",MAX($C179:$AI179),MIN($C179:$AI179)),$C179:$AI179,0))*INDEX(AJ168:$AJ178,MATCH(MIN($AK168:$AK178),$AK168:$AK178,0),1)/INDEX($C168:$AJ178,MATCH(MIN($AK168:$AK178),$AK168:$AK178,0),MATCH(IF('Data-solution'!$A$3="Maximize",MAX($C179:$AI179),MIN($C179:$AI179)),$C179:$AI179,0))),AJ173)</f>
        <v>0</v>
      </c>
      <c r="AK188" s="1" t="str">
        <f>IF(INDEX(C188:X188,1,MATCH(IF('Data-solution'!A$3="Maximize",MAX(C194:X194),MIN(C194:X194)),C194:X194,0))&gt;0,AJ188/INDEX(C188:X188,1,MATCH(IF('Data-solution'!A$3="Maximize",MAX(C194:X194),MIN(C194:X194)),C194:X194,0))," ")</f>
        <v xml:space="preserve"> </v>
      </c>
    </row>
    <row r="189" spans="1:37" ht="18" customHeight="1" x14ac:dyDescent="0.2">
      <c r="A189" s="1">
        <f t="shared" ref="A189" si="162">INDEX(C181:AI181,1,MATCH(B189,C182:AI182,0))</f>
        <v>0</v>
      </c>
      <c r="B189" s="2" t="str">
        <f>IF(AND('Data-solution'!A$3="Maximize",COUNTIF(C179:X179,"&gt;"&amp;0)&gt;0,AK174=MIN(AK168:AK178),COUNTIF(B183:B188,INDEX(C167:X167,1,MATCH(MAX(C179:X179),C179:X179,0)))=0),INDEX(C167:X167,1,MATCH(MAX(C179:X179),C179:X179,0)),IF(AND('Data-solution'!A$3="Minimize",COUNTIF(C179:X179,"&lt;"&amp;0)&gt;0,AK174=MIN(AK168:AK178),COUNTIF(B183:B188,INDEX(C167:X167,1,MATCH(MIN(C179:X179),C179:X179,0)))=0),INDEX(C167:X167,1,MATCH(MIN(C179:X179),C179:X179,0)),B174))</f>
        <v>S7</v>
      </c>
      <c r="C189" s="1">
        <f>IF(OR($B183&lt;&gt;$B168,$B184&lt;&gt;$B169,$B185&lt;&gt;$B170,$B186&lt;&gt;$B171,$B187&lt;&gt;$B172,$B188&lt;&gt;$B173,$B189&lt;&gt;$B174,$B190&lt;&gt;$B175,$B191&lt;&gt;$B176,$B192&lt;&gt;$B177,$B193&lt;&gt;$B178),IF($B189&lt;&gt;$B174,C174/INDEX($C168:$AJ178,7,MATCH(IF('Data-solution'!$A$3="Maximize",MAX($C179:$AI179),MIN($C179:$AI179)),$C179:$AI179,0)),C174-INDEX($C168:$AJ178,7,MATCH(IF('Data-solution'!$A$3="Maximize",MAX($C179:$AI179),MIN($C179:$AI179)),$C179:$AI179,0))*INDEX(C168:$AJ178,MATCH(MIN($AK168:$AK178),$AK168:$AK178,0),1)/INDEX($C168:$AJ178,MATCH(MIN($AK168:$AK178),$AK168:$AK178,0),MATCH(IF('Data-solution'!$A$3="Maximize",MAX($C179:$AI179),MIN($C179:$AI179)),$C179:$AI179,0))),C174)</f>
        <v>0</v>
      </c>
      <c r="D189" s="1">
        <f>IF(OR($B183&lt;&gt;$B168,$B184&lt;&gt;$B169,$B185&lt;&gt;$B170,$B186&lt;&gt;$B171,$B187&lt;&gt;$B172,$B188&lt;&gt;$B173,$B189&lt;&gt;$B174,$B190&lt;&gt;$B175,$B191&lt;&gt;$B176,$B192&lt;&gt;$B177,$B193&lt;&gt;$B178),IF($B189&lt;&gt;$B174,D174/INDEX($C168:$AJ178,7,MATCH(IF('Data-solution'!$A$3="Maximize",MAX($C179:$AI179),MIN($C179:$AI179)),$C179:$AI179,0)),D174-INDEX($C168:$AJ178,7,MATCH(IF('Data-solution'!$A$3="Maximize",MAX($C179:$AI179),MIN($C179:$AI179)),$C179:$AI179,0))*INDEX(D168:$AJ178,MATCH(MIN($AK168:$AK178),$AK168:$AK178,0),1)/INDEX($C168:$AJ178,MATCH(MIN($AK168:$AK178),$AK168:$AK178,0),MATCH(IF('Data-solution'!$A$3="Maximize",MAX($C179:$AI179),MIN($C179:$AI179)),$C179:$AI179,0))),D174)</f>
        <v>0</v>
      </c>
      <c r="E189" s="1">
        <f>IF(OR($B183&lt;&gt;$B168,$B184&lt;&gt;$B169,$B185&lt;&gt;$B170,$B186&lt;&gt;$B171,$B187&lt;&gt;$B172,$B188&lt;&gt;$B173,$B189&lt;&gt;$B174,$B190&lt;&gt;$B175,$B191&lt;&gt;$B176,$B192&lt;&gt;$B177,$B193&lt;&gt;$B178),IF($B189&lt;&gt;$B174,E174/INDEX($C168:$AJ178,7,MATCH(IF('Data-solution'!$A$3="Maximize",MAX($C179:$AI179),MIN($C179:$AI179)),$C179:$AI179,0)),E174-INDEX($C168:$AJ178,7,MATCH(IF('Data-solution'!$A$3="Maximize",MAX($C179:$AI179),MIN($C179:$AI179)),$C179:$AI179,0))*INDEX(E168:$AJ178,MATCH(MIN($AK168:$AK178),$AK168:$AK178,0),1)/INDEX($C168:$AJ178,MATCH(MIN($AK168:$AK178),$AK168:$AK178,0),MATCH(IF('Data-solution'!$A$3="Maximize",MAX($C179:$AI179),MIN($C179:$AI179)),$C179:$AI179,0))),E174)</f>
        <v>0</v>
      </c>
      <c r="F189" s="1">
        <f>IF(OR($B183&lt;&gt;$B168,$B184&lt;&gt;$B169,$B185&lt;&gt;$B170,$B186&lt;&gt;$B171,$B187&lt;&gt;$B172,$B188&lt;&gt;$B173,$B189&lt;&gt;$B174,$B190&lt;&gt;$B175,$B191&lt;&gt;$B176,$B192&lt;&gt;$B177,$B193&lt;&gt;$B178),IF($B189&lt;&gt;$B174,F174/INDEX($C168:$AJ178,7,MATCH(IF('Data-solution'!$A$3="Maximize",MAX($C179:$AI179),MIN($C179:$AI179)),$C179:$AI179,0)),F174-INDEX($C168:$AJ178,7,MATCH(IF('Data-solution'!$A$3="Maximize",MAX($C179:$AI179),MIN($C179:$AI179)),$C179:$AI179,0))*INDEX(F168:$AJ178,MATCH(MIN($AK168:$AK178),$AK168:$AK178,0),1)/INDEX($C168:$AJ178,MATCH(MIN($AK168:$AK178),$AK168:$AK178,0),MATCH(IF('Data-solution'!$A$3="Maximize",MAX($C179:$AI179),MIN($C179:$AI179)),$C179:$AI179,0))),F174)</f>
        <v>0</v>
      </c>
      <c r="G189" s="1">
        <f>IF(OR($B183&lt;&gt;$B168,$B184&lt;&gt;$B169,$B185&lt;&gt;$B170,$B186&lt;&gt;$B171,$B187&lt;&gt;$B172,$B188&lt;&gt;$B173,$B189&lt;&gt;$B174,$B190&lt;&gt;$B175,$B191&lt;&gt;$B176,$B192&lt;&gt;$B177,$B193&lt;&gt;$B178),IF($B189&lt;&gt;$B174,G174/INDEX($C168:$AJ178,7,MATCH(IF('Data-solution'!$A$3="Maximize",MAX($C179:$AI179),MIN($C179:$AI179)),$C179:$AI179,0)),G174-INDEX($C168:$AJ178,7,MATCH(IF('Data-solution'!$A$3="Maximize",MAX($C179:$AI179),MIN($C179:$AI179)),$C179:$AI179,0))*INDEX(G168:$AJ178,MATCH(MIN($AK168:$AK178),$AK168:$AK178,0),1)/INDEX($C168:$AJ178,MATCH(MIN($AK168:$AK178),$AK168:$AK178,0),MATCH(IF('Data-solution'!$A$3="Maximize",MAX($C179:$AI179),MIN($C179:$AI179)),$C179:$AI179,0))),G174)</f>
        <v>0</v>
      </c>
      <c r="H189" s="1">
        <f>IF(OR($B183&lt;&gt;$B168,$B184&lt;&gt;$B169,$B185&lt;&gt;$B170,$B186&lt;&gt;$B171,$B187&lt;&gt;$B172,$B188&lt;&gt;$B173,$B189&lt;&gt;$B174,$B190&lt;&gt;$B175,$B191&lt;&gt;$B176,$B192&lt;&gt;$B177,$B193&lt;&gt;$B178),IF($B189&lt;&gt;$B174,H174/INDEX($C168:$AJ178,7,MATCH(IF('Data-solution'!$A$3="Maximize",MAX($C179:$AI179),MIN($C179:$AI179)),$C179:$AI179,0)),H174-INDEX($C168:$AJ178,7,MATCH(IF('Data-solution'!$A$3="Maximize",MAX($C179:$AI179),MIN($C179:$AI179)),$C179:$AI179,0))*INDEX(H168:$AJ178,MATCH(MIN($AK168:$AK178),$AK168:$AK178,0),1)/INDEX($C168:$AJ178,MATCH(MIN($AK168:$AK178),$AK168:$AK178,0),MATCH(IF('Data-solution'!$A$3="Maximize",MAX($C179:$AI179),MIN($C179:$AI179)),$C179:$AI179,0))),H174)</f>
        <v>0</v>
      </c>
      <c r="I189" s="1">
        <f>IF(OR($B183&lt;&gt;$B168,$B184&lt;&gt;$B169,$B185&lt;&gt;$B170,$B186&lt;&gt;$B171,$B187&lt;&gt;$B172,$B188&lt;&gt;$B173,$B189&lt;&gt;$B174,$B190&lt;&gt;$B175,$B191&lt;&gt;$B176,$B192&lt;&gt;$B177,$B193&lt;&gt;$B178),IF($B189&lt;&gt;$B174,I174/INDEX($C168:$AJ178,7,MATCH(IF('Data-solution'!$A$3="Maximize",MAX($C179:$AI179),MIN($C179:$AI179)),$C179:$AI179,0)),I174-INDEX($C168:$AJ178,7,MATCH(IF('Data-solution'!$A$3="Maximize",MAX($C179:$AI179),MIN($C179:$AI179)),$C179:$AI179,0))*INDEX(I168:$AJ178,MATCH(MIN($AK168:$AK178),$AK168:$AK178,0),1)/INDEX($C168:$AJ178,MATCH(MIN($AK168:$AK178),$AK168:$AK178,0),MATCH(IF('Data-solution'!$A$3="Maximize",MAX($C179:$AI179),MIN($C179:$AI179)),$C179:$AI179,0))),I174)</f>
        <v>0</v>
      </c>
      <c r="J189" s="1">
        <f>IF(OR($B183&lt;&gt;$B168,$B184&lt;&gt;$B169,$B185&lt;&gt;$B170,$B186&lt;&gt;$B171,$B187&lt;&gt;$B172,$B188&lt;&gt;$B173,$B189&lt;&gt;$B174,$B190&lt;&gt;$B175,$B191&lt;&gt;$B176,$B192&lt;&gt;$B177,$B193&lt;&gt;$B178),IF($B189&lt;&gt;$B174,J174/INDEX($C168:$AJ178,7,MATCH(IF('Data-solution'!$A$3="Maximize",MAX($C179:$AI179),MIN($C179:$AI179)),$C179:$AI179,0)),J174-INDEX($C168:$AJ178,7,MATCH(IF('Data-solution'!$A$3="Maximize",MAX($C179:$AI179),MIN($C179:$AI179)),$C179:$AI179,0))*INDEX(J168:$AJ178,MATCH(MIN($AK168:$AK178),$AK168:$AK178,0),1)/INDEX($C168:$AJ178,MATCH(MIN($AK168:$AK178),$AK168:$AK178,0),MATCH(IF('Data-solution'!$A$3="Maximize",MAX($C179:$AI179),MIN($C179:$AI179)),$C179:$AI179,0))),J174)</f>
        <v>0</v>
      </c>
      <c r="K189" s="1">
        <f>IF(OR($B183&lt;&gt;$B168,$B184&lt;&gt;$B169,$B185&lt;&gt;$B170,$B186&lt;&gt;$B171,$B187&lt;&gt;$B172,$B188&lt;&gt;$B173,$B189&lt;&gt;$B174,$B190&lt;&gt;$B175,$B191&lt;&gt;$B176,$B192&lt;&gt;$B177,$B193&lt;&gt;$B178),IF($B189&lt;&gt;$B174,K174/INDEX($C168:$AJ178,7,MATCH(IF('Data-solution'!$A$3="Maximize",MAX($C179:$AI179),MIN($C179:$AI179)),$C179:$AI179,0)),K174-INDEX($C168:$AJ178,7,MATCH(IF('Data-solution'!$A$3="Maximize",MAX($C179:$AI179),MIN($C179:$AI179)),$C179:$AI179,0))*INDEX(K168:$AJ178,MATCH(MIN($AK168:$AK178),$AK168:$AK178,0),1)/INDEX($C168:$AJ178,MATCH(MIN($AK168:$AK178),$AK168:$AK178,0),MATCH(IF('Data-solution'!$A$3="Maximize",MAX($C179:$AI179),MIN($C179:$AI179)),$C179:$AI179,0))),K174)</f>
        <v>0</v>
      </c>
      <c r="L189" s="1">
        <f>IF(OR($B183&lt;&gt;$B168,$B184&lt;&gt;$B169,$B185&lt;&gt;$B170,$B186&lt;&gt;$B171,$B187&lt;&gt;$B172,$B188&lt;&gt;$B173,$B189&lt;&gt;$B174,$B190&lt;&gt;$B175,$B191&lt;&gt;$B176,$B192&lt;&gt;$B177,$B193&lt;&gt;$B178),IF($B189&lt;&gt;$B174,L174/INDEX($C168:$AJ178,7,MATCH(IF('Data-solution'!$A$3="Maximize",MAX($C179:$AI179),MIN($C179:$AI179)),$C179:$AI179,0)),L174-INDEX($C168:$AJ178,7,MATCH(IF('Data-solution'!$A$3="Maximize",MAX($C179:$AI179),MIN($C179:$AI179)),$C179:$AI179,0))*INDEX(L168:$AJ178,MATCH(MIN($AK168:$AK178),$AK168:$AK178,0),1)/INDEX($C168:$AJ178,MATCH(MIN($AK168:$AK178),$AK168:$AK178,0),MATCH(IF('Data-solution'!$A$3="Maximize",MAX($C179:$AI179),MIN($C179:$AI179)),$C179:$AI179,0))),L174)</f>
        <v>0</v>
      </c>
      <c r="M189" s="1">
        <f>IF(OR($B183&lt;&gt;$B168,$B184&lt;&gt;$B169,$B185&lt;&gt;$B170,$B186&lt;&gt;$B171,$B187&lt;&gt;$B172,$B188&lt;&gt;$B173,$B189&lt;&gt;$B174,$B190&lt;&gt;$B175,$B191&lt;&gt;$B176,$B192&lt;&gt;$B177,$B193&lt;&gt;$B178),IF($B189&lt;&gt;$B174,M174/INDEX($C168:$AJ178,7,MATCH(IF('Data-solution'!$A$3="Maximize",MAX($C179:$AI179),MIN($C179:$AI179)),$C179:$AI179,0)),M174-INDEX($C168:$AJ178,7,MATCH(IF('Data-solution'!$A$3="Maximize",MAX($C179:$AI179),MIN($C179:$AI179)),$C179:$AI179,0))*INDEX(M168:$AJ178,MATCH(MIN($AK168:$AK178),$AK168:$AK178,0),1)/INDEX($C168:$AJ178,MATCH(MIN($AK168:$AK178),$AK168:$AK178,0),MATCH(IF('Data-solution'!$A$3="Maximize",MAX($C179:$AI179),MIN($C179:$AI179)),$C179:$AI179,0))),M174)</f>
        <v>0</v>
      </c>
      <c r="N189" s="1">
        <f>IF(OR($B183&lt;&gt;$B168,$B184&lt;&gt;$B169,$B185&lt;&gt;$B170,$B186&lt;&gt;$B171,$B187&lt;&gt;$B172,$B188&lt;&gt;$B173,$B189&lt;&gt;$B174,$B190&lt;&gt;$B175,$B191&lt;&gt;$B176,$B192&lt;&gt;$B177,$B193&lt;&gt;$B178),IF($B189&lt;&gt;$B174,N174/INDEX($C168:$AJ178,7,MATCH(IF('Data-solution'!$A$3="Maximize",MAX($C179:$AI179),MIN($C179:$AI179)),$C179:$AI179,0)),N174-INDEX($C168:$AJ178,7,MATCH(IF('Data-solution'!$A$3="Maximize",MAX($C179:$AI179),MIN($C179:$AI179)),$C179:$AI179,0))*INDEX(N168:$AJ178,MATCH(MIN($AK168:$AK178),$AK168:$AK178,0),1)/INDEX($C168:$AJ178,MATCH(MIN($AK168:$AK178),$AK168:$AK178,0),MATCH(IF('Data-solution'!$A$3="Maximize",MAX($C179:$AI179),MIN($C179:$AI179)),$C179:$AI179,0))),N174)</f>
        <v>0</v>
      </c>
      <c r="O189" s="1">
        <f>IF(OR($B183&lt;&gt;$B168,$B184&lt;&gt;$B169,$B185&lt;&gt;$B170,$B186&lt;&gt;$B171,$B187&lt;&gt;$B172,$B188&lt;&gt;$B173,$B189&lt;&gt;$B174,$B190&lt;&gt;$B175,$B191&lt;&gt;$B176,$B192&lt;&gt;$B177,$B193&lt;&gt;$B178),IF($B189&lt;&gt;$B174,O174/INDEX($C168:$AJ178,7,MATCH(IF('Data-solution'!$A$3="Maximize",MAX($C179:$AI179),MIN($C179:$AI179)),$C179:$AI179,0)),O174-INDEX($C168:$AJ178,7,MATCH(IF('Data-solution'!$A$3="Maximize",MAX($C179:$AI179),MIN($C179:$AI179)),$C179:$AI179,0))*INDEX(O168:$AJ178,MATCH(MIN($AK168:$AK178),$AK168:$AK178,0),1)/INDEX($C168:$AJ178,MATCH(MIN($AK168:$AK178),$AK168:$AK178,0),MATCH(IF('Data-solution'!$A$3="Maximize",MAX($C179:$AI179),MIN($C179:$AI179)),$C179:$AI179,0))),O174)</f>
        <v>0</v>
      </c>
      <c r="P189" s="1">
        <f>IF(OR($B183&lt;&gt;$B168,$B184&lt;&gt;$B169,$B185&lt;&gt;$B170,$B186&lt;&gt;$B171,$B187&lt;&gt;$B172,$B188&lt;&gt;$B173,$B189&lt;&gt;$B174,$B190&lt;&gt;$B175,$B191&lt;&gt;$B176,$B192&lt;&gt;$B177,$B193&lt;&gt;$B178),IF($B189&lt;&gt;$B174,P174/INDEX($C168:$AJ178,7,MATCH(IF('Data-solution'!$A$3="Maximize",MAX($C179:$AI179),MIN($C179:$AI179)),$C179:$AI179,0)),P174-INDEX($C168:$AJ178,7,MATCH(IF('Data-solution'!$A$3="Maximize",MAX($C179:$AI179),MIN($C179:$AI179)),$C179:$AI179,0))*INDEX(P168:$AJ178,MATCH(MIN($AK168:$AK178),$AK168:$AK178,0),1)/INDEX($C168:$AJ178,MATCH(MIN($AK168:$AK178),$AK168:$AK178,0),MATCH(IF('Data-solution'!$A$3="Maximize",MAX($C179:$AI179),MIN($C179:$AI179)),$C179:$AI179,0))),P174)</f>
        <v>0</v>
      </c>
      <c r="Q189" s="1">
        <f>IF(OR($B183&lt;&gt;$B168,$B184&lt;&gt;$B169,$B185&lt;&gt;$B170,$B186&lt;&gt;$B171,$B187&lt;&gt;$B172,$B188&lt;&gt;$B173,$B189&lt;&gt;$B174,$B190&lt;&gt;$B175,$B191&lt;&gt;$B176,$B192&lt;&gt;$B177,$B193&lt;&gt;$B178),IF($B189&lt;&gt;$B174,Q174/INDEX($C168:$AJ178,7,MATCH(IF('Data-solution'!$A$3="Maximize",MAX($C179:$AI179),MIN($C179:$AI179)),$C179:$AI179,0)),Q174-INDEX($C168:$AJ178,7,MATCH(IF('Data-solution'!$A$3="Maximize",MAX($C179:$AI179),MIN($C179:$AI179)),$C179:$AI179,0))*INDEX(Q168:$AJ178,MATCH(MIN($AK168:$AK178),$AK168:$AK178,0),1)/INDEX($C168:$AJ178,MATCH(MIN($AK168:$AK178),$AK168:$AK178,0),MATCH(IF('Data-solution'!$A$3="Maximize",MAX($C179:$AI179),MIN($C179:$AI179)),$C179:$AI179,0))),Q174)</f>
        <v>0</v>
      </c>
      <c r="R189" s="1">
        <f>IF(OR($B183&lt;&gt;$B168,$B184&lt;&gt;$B169,$B185&lt;&gt;$B170,$B186&lt;&gt;$B171,$B187&lt;&gt;$B172,$B188&lt;&gt;$B173,$B189&lt;&gt;$B174,$B190&lt;&gt;$B175,$B191&lt;&gt;$B176,$B192&lt;&gt;$B177,$B193&lt;&gt;$B178),IF($B189&lt;&gt;$B174,R174/INDEX($C168:$AJ178,7,MATCH(IF('Data-solution'!$A$3="Maximize",MAX($C179:$AI179),MIN($C179:$AI179)),$C179:$AI179,0)),R174-INDEX($C168:$AJ178,7,MATCH(IF('Data-solution'!$A$3="Maximize",MAX($C179:$AI179),MIN($C179:$AI179)),$C179:$AI179,0))*INDEX(R168:$AJ178,MATCH(MIN($AK168:$AK178),$AK168:$AK178,0),1)/INDEX($C168:$AJ178,MATCH(MIN($AK168:$AK178),$AK168:$AK178,0),MATCH(IF('Data-solution'!$A$3="Maximize",MAX($C179:$AI179),MIN($C179:$AI179)),$C179:$AI179,0))),R174)</f>
        <v>0</v>
      </c>
      <c r="S189" s="1">
        <f>IF(OR($B183&lt;&gt;$B168,$B184&lt;&gt;$B169,$B185&lt;&gt;$B170,$B186&lt;&gt;$B171,$B187&lt;&gt;$B172,$B188&lt;&gt;$B173,$B189&lt;&gt;$B174,$B190&lt;&gt;$B175,$B191&lt;&gt;$B176,$B192&lt;&gt;$B177,$B193&lt;&gt;$B178),IF($B189&lt;&gt;$B174,S174/INDEX($C168:$AJ178,7,MATCH(IF('Data-solution'!$A$3="Maximize",MAX($C179:$AI179),MIN($C179:$AI179)),$C179:$AI179,0)),S174-INDEX($C168:$AJ178,7,MATCH(IF('Data-solution'!$A$3="Maximize",MAX($C179:$AI179),MIN($C179:$AI179)),$C179:$AI179,0))*INDEX(S168:$AJ178,MATCH(MIN($AK168:$AK178),$AK168:$AK178,0),1)/INDEX($C168:$AJ178,MATCH(MIN($AK168:$AK178),$AK168:$AK178,0),MATCH(IF('Data-solution'!$A$3="Maximize",MAX($C179:$AI179),MIN($C179:$AI179)),$C179:$AI179,0))),S174)</f>
        <v>0</v>
      </c>
      <c r="T189" s="1">
        <f>IF(OR($B183&lt;&gt;$B168,$B184&lt;&gt;$B169,$B185&lt;&gt;$B170,$B186&lt;&gt;$B171,$B187&lt;&gt;$B172,$B188&lt;&gt;$B173,$B189&lt;&gt;$B174,$B190&lt;&gt;$B175,$B191&lt;&gt;$B176,$B192&lt;&gt;$B177,$B193&lt;&gt;$B178),IF($B189&lt;&gt;$B174,T174/INDEX($C168:$AJ178,7,MATCH(IF('Data-solution'!$A$3="Maximize",MAX($C179:$AI179),MIN($C179:$AI179)),$C179:$AI179,0)),T174-INDEX($C168:$AJ178,7,MATCH(IF('Data-solution'!$A$3="Maximize",MAX($C179:$AI179),MIN($C179:$AI179)),$C179:$AI179,0))*INDEX(T168:$AJ178,MATCH(MIN($AK168:$AK178),$AK168:$AK178,0),1)/INDEX($C168:$AJ178,MATCH(MIN($AK168:$AK178),$AK168:$AK178,0),MATCH(IF('Data-solution'!$A$3="Maximize",MAX($C179:$AI179),MIN($C179:$AI179)),$C179:$AI179,0))),T174)</f>
        <v>1</v>
      </c>
      <c r="U189" s="1">
        <f>IF(OR($B183&lt;&gt;$B168,$B184&lt;&gt;$B169,$B185&lt;&gt;$B170,$B186&lt;&gt;$B171,$B187&lt;&gt;$B172,$B188&lt;&gt;$B173,$B189&lt;&gt;$B174,$B190&lt;&gt;$B175,$B191&lt;&gt;$B176,$B192&lt;&gt;$B177,$B193&lt;&gt;$B178),IF($B189&lt;&gt;$B174,U174/INDEX($C168:$AJ178,7,MATCH(IF('Data-solution'!$A$3="Maximize",MAX($C179:$AI179),MIN($C179:$AI179)),$C179:$AI179,0)),U174-INDEX($C168:$AJ178,7,MATCH(IF('Data-solution'!$A$3="Maximize",MAX($C179:$AI179),MIN($C179:$AI179)),$C179:$AI179,0))*INDEX(U168:$AJ178,MATCH(MIN($AK168:$AK178),$AK168:$AK178,0),1)/INDEX($C168:$AJ178,MATCH(MIN($AK168:$AK178),$AK168:$AK178,0),MATCH(IF('Data-solution'!$A$3="Maximize",MAX($C179:$AI179),MIN($C179:$AI179)),$C179:$AI179,0))),U174)</f>
        <v>0</v>
      </c>
      <c r="V189" s="1">
        <f>IF(OR($B183&lt;&gt;$B168,$B184&lt;&gt;$B169,$B185&lt;&gt;$B170,$B186&lt;&gt;$B171,$B187&lt;&gt;$B172,$B188&lt;&gt;$B173,$B189&lt;&gt;$B174,$B190&lt;&gt;$B175,$B191&lt;&gt;$B176,$B192&lt;&gt;$B177,$B193&lt;&gt;$B178),IF($B189&lt;&gt;$B174,V174/INDEX($C168:$AJ178,7,MATCH(IF('Data-solution'!$A$3="Maximize",MAX($C179:$AI179),MIN($C179:$AI179)),$C179:$AI179,0)),V174-INDEX($C168:$AJ178,7,MATCH(IF('Data-solution'!$A$3="Maximize",MAX($C179:$AI179),MIN($C179:$AI179)),$C179:$AI179,0))*INDEX(V168:$AJ178,MATCH(MIN($AK168:$AK178),$AK168:$AK178,0),1)/INDEX($C168:$AJ178,MATCH(MIN($AK168:$AK178),$AK168:$AK178,0),MATCH(IF('Data-solution'!$A$3="Maximize",MAX($C179:$AI179),MIN($C179:$AI179)),$C179:$AI179,0))),V174)</f>
        <v>0</v>
      </c>
      <c r="W189" s="1">
        <f>IF(OR($B183&lt;&gt;$B168,$B184&lt;&gt;$B169,$B185&lt;&gt;$B170,$B186&lt;&gt;$B171,$B187&lt;&gt;$B172,$B188&lt;&gt;$B173,$B189&lt;&gt;$B174,$B190&lt;&gt;$B175,$B191&lt;&gt;$B176,$B192&lt;&gt;$B177,$B193&lt;&gt;$B178),IF($B189&lt;&gt;$B174,W174/INDEX($C168:$AJ178,7,MATCH(IF('Data-solution'!$A$3="Maximize",MAX($C179:$AI179),MIN($C179:$AI179)),$C179:$AI179,0)),W174-INDEX($C168:$AJ178,7,MATCH(IF('Data-solution'!$A$3="Maximize",MAX($C179:$AI179),MIN($C179:$AI179)),$C179:$AI179,0))*INDEX(W168:$AJ178,MATCH(MIN($AK168:$AK178),$AK168:$AK178,0),1)/INDEX($C168:$AJ178,MATCH(MIN($AK168:$AK178),$AK168:$AK178,0),MATCH(IF('Data-solution'!$A$3="Maximize",MAX($C179:$AI179),MIN($C179:$AI179)),$C179:$AI179,0))),W174)</f>
        <v>0</v>
      </c>
      <c r="X189" s="1">
        <f>IF(OR($B183&lt;&gt;$B168,$B184&lt;&gt;$B169,$B185&lt;&gt;$B170,$B186&lt;&gt;$B171,$B187&lt;&gt;$B172,$B188&lt;&gt;$B173,$B189&lt;&gt;$B174,$B190&lt;&gt;$B175,$B191&lt;&gt;$B176,$B192&lt;&gt;$B177,$B193&lt;&gt;$B178),IF($B189&lt;&gt;$B174,X174/INDEX($C168:$AJ178,7,MATCH(IF('Data-solution'!$A$3="Maximize",MAX($C179:$AI179),MIN($C179:$AI179)),$C179:$AI179,0)),X174-INDEX($C168:$AJ178,7,MATCH(IF('Data-solution'!$A$3="Maximize",MAX($C179:$AI179),MIN($C179:$AI179)),$C179:$AI179,0))*INDEX(X168:$AJ178,MATCH(MIN($AK168:$AK178),$AK168:$AK178,0),1)/INDEX($C168:$AJ178,MATCH(MIN($AK168:$AK178),$AK168:$AK178,0),MATCH(IF('Data-solution'!$A$3="Maximize",MAX($C179:$AI179),MIN($C179:$AI179)),$C179:$AI179,0))),X174)</f>
        <v>0</v>
      </c>
      <c r="Y189" s="1">
        <f>IF(OR($B183&lt;&gt;$B168,$B184&lt;&gt;$B169,$B185&lt;&gt;$B170,$B186&lt;&gt;$B171,$B187&lt;&gt;$B172,$B188&lt;&gt;$B173,$B189&lt;&gt;$B174,$B190&lt;&gt;$B175,$B191&lt;&gt;$B176,$B192&lt;&gt;$B177,$B193&lt;&gt;$B178),IF($B189&lt;&gt;$B174,Y174/INDEX($C168:$AJ178,7,MATCH(IF('Data-solution'!$A$3="Maximize",MAX($C179:$AI179),MIN($C179:$AI179)),$C179:$AI179,0)),Y174-INDEX($C168:$AJ178,7,MATCH(IF('Data-solution'!$A$3="Maximize",MAX($C179:$AI179),MIN($C179:$AI179)),$C179:$AI179,0))*INDEX(Y168:$AJ178,MATCH(MIN($AK168:$AK178),$AK168:$AK178,0),1)/INDEX($C168:$AJ178,MATCH(MIN($AK168:$AK178),$AK168:$AK178,0),MATCH(IF('Data-solution'!$A$3="Maximize",MAX($C179:$AI179),MIN($C179:$AI179)),$C179:$AI179,0))),Y174)</f>
        <v>0</v>
      </c>
      <c r="Z189" s="1">
        <f>IF(OR($B183&lt;&gt;$B168,$B184&lt;&gt;$B169,$B185&lt;&gt;$B170,$B186&lt;&gt;$B171,$B187&lt;&gt;$B172,$B188&lt;&gt;$B173,$B189&lt;&gt;$B174,$B190&lt;&gt;$B175,$B191&lt;&gt;$B176,$B192&lt;&gt;$B177,$B193&lt;&gt;$B178),IF($B189&lt;&gt;$B174,Z174/INDEX($C168:$AJ178,7,MATCH(IF('Data-solution'!$A$3="Maximize",MAX($C179:$AI179),MIN($C179:$AI179)),$C179:$AI179,0)),Z174-INDEX($C168:$AJ178,7,MATCH(IF('Data-solution'!$A$3="Maximize",MAX($C179:$AI179),MIN($C179:$AI179)),$C179:$AI179,0))*INDEX(Z168:$AJ178,MATCH(MIN($AK168:$AK178),$AK168:$AK178,0),1)/INDEX($C168:$AJ178,MATCH(MIN($AK168:$AK178),$AK168:$AK178,0),MATCH(IF('Data-solution'!$A$3="Maximize",MAX($C179:$AI179),MIN($C179:$AI179)),$C179:$AI179,0))),Z174)</f>
        <v>0</v>
      </c>
      <c r="AA189" s="1">
        <f>IF(OR($B183&lt;&gt;$B168,$B184&lt;&gt;$B169,$B185&lt;&gt;$B170,$B186&lt;&gt;$B171,$B187&lt;&gt;$B172,$B188&lt;&gt;$B173,$B189&lt;&gt;$B174,$B190&lt;&gt;$B175,$B191&lt;&gt;$B176,$B192&lt;&gt;$B177,$B193&lt;&gt;$B178),IF($B189&lt;&gt;$B174,AA174/INDEX($C168:$AJ178,7,MATCH(IF('Data-solution'!$A$3="Maximize",MAX($C179:$AI179),MIN($C179:$AI179)),$C179:$AI179,0)),AA174-INDEX($C168:$AJ178,7,MATCH(IF('Data-solution'!$A$3="Maximize",MAX($C179:$AI179),MIN($C179:$AI179)),$C179:$AI179,0))*INDEX(AA168:$AJ178,MATCH(MIN($AK168:$AK178),$AK168:$AK178,0),1)/INDEX($C168:$AJ178,MATCH(MIN($AK168:$AK178),$AK168:$AK178,0),MATCH(IF('Data-solution'!$A$3="Maximize",MAX($C179:$AI179),MIN($C179:$AI179)),$C179:$AI179,0))),AA174)</f>
        <v>0</v>
      </c>
      <c r="AB189" s="1">
        <f>IF(OR($B183&lt;&gt;$B168,$B184&lt;&gt;$B169,$B185&lt;&gt;$B170,$B186&lt;&gt;$B171,$B187&lt;&gt;$B172,$B188&lt;&gt;$B173,$B189&lt;&gt;$B174,$B190&lt;&gt;$B175,$B191&lt;&gt;$B176,$B192&lt;&gt;$B177,$B193&lt;&gt;$B178),IF($B189&lt;&gt;$B174,AB174/INDEX($C168:$AJ178,7,MATCH(IF('Data-solution'!$A$3="Maximize",MAX($C179:$AI179),MIN($C179:$AI179)),$C179:$AI179,0)),AB174-INDEX($C168:$AJ178,7,MATCH(IF('Data-solution'!$A$3="Maximize",MAX($C179:$AI179),MIN($C179:$AI179)),$C179:$AI179,0))*INDEX(AB168:$AJ178,MATCH(MIN($AK168:$AK178),$AK168:$AK178,0),1)/INDEX($C168:$AJ178,MATCH(MIN($AK168:$AK178),$AK168:$AK178,0),MATCH(IF('Data-solution'!$A$3="Maximize",MAX($C179:$AI179),MIN($C179:$AI179)),$C179:$AI179,0))),AB174)</f>
        <v>0</v>
      </c>
      <c r="AC189" s="1">
        <f>IF(OR($B183&lt;&gt;$B168,$B184&lt;&gt;$B169,$B185&lt;&gt;$B170,$B186&lt;&gt;$B171,$B187&lt;&gt;$B172,$B188&lt;&gt;$B173,$B189&lt;&gt;$B174,$B190&lt;&gt;$B175,$B191&lt;&gt;$B176,$B192&lt;&gt;$B177,$B193&lt;&gt;$B178),IF($B189&lt;&gt;$B174,AC174/INDEX($C168:$AJ178,7,MATCH(IF('Data-solution'!$A$3="Maximize",MAX($C179:$AI179),MIN($C179:$AI179)),$C179:$AI179,0)),AC174-INDEX($C168:$AJ178,7,MATCH(IF('Data-solution'!$A$3="Maximize",MAX($C179:$AI179),MIN($C179:$AI179)),$C179:$AI179,0))*INDEX(AC168:$AJ178,MATCH(MIN($AK168:$AK178),$AK168:$AK178,0),1)/INDEX($C168:$AJ178,MATCH(MIN($AK168:$AK178),$AK168:$AK178,0),MATCH(IF('Data-solution'!$A$3="Maximize",MAX($C179:$AI179),MIN($C179:$AI179)),$C179:$AI179,0))),AC174)</f>
        <v>0</v>
      </c>
      <c r="AD189" s="1">
        <f>IF(OR($B183&lt;&gt;$B168,$B184&lt;&gt;$B169,$B185&lt;&gt;$B170,$B186&lt;&gt;$B171,$B187&lt;&gt;$B172,$B188&lt;&gt;$B173,$B189&lt;&gt;$B174,$B190&lt;&gt;$B175,$B191&lt;&gt;$B176,$B192&lt;&gt;$B177,$B193&lt;&gt;$B178),IF($B189&lt;&gt;$B174,AD174/INDEX($C168:$AJ178,7,MATCH(IF('Data-solution'!$A$3="Maximize",MAX($C179:$AI179),MIN($C179:$AI179)),$C179:$AI179,0)),AD174-INDEX($C168:$AJ178,7,MATCH(IF('Data-solution'!$A$3="Maximize",MAX($C179:$AI179),MIN($C179:$AI179)),$C179:$AI179,0))*INDEX(AD168:$AJ178,MATCH(MIN($AK168:$AK178),$AK168:$AK178,0),1)/INDEX($C168:$AJ178,MATCH(MIN($AK168:$AK178),$AK168:$AK178,0),MATCH(IF('Data-solution'!$A$3="Maximize",MAX($C179:$AI179),MIN($C179:$AI179)),$C179:$AI179,0))),AD174)</f>
        <v>0</v>
      </c>
      <c r="AE189" s="1">
        <f>IF(OR($B183&lt;&gt;$B168,$B184&lt;&gt;$B169,$B185&lt;&gt;$B170,$B186&lt;&gt;$B171,$B187&lt;&gt;$B172,$B188&lt;&gt;$B173,$B189&lt;&gt;$B174,$B190&lt;&gt;$B175,$B191&lt;&gt;$B176,$B192&lt;&gt;$B177,$B193&lt;&gt;$B178),IF($B189&lt;&gt;$B174,AE174/INDEX($C168:$AJ178,7,MATCH(IF('Data-solution'!$A$3="Maximize",MAX($C179:$AI179),MIN($C179:$AI179)),$C179:$AI179,0)),AE174-INDEX($C168:$AJ178,7,MATCH(IF('Data-solution'!$A$3="Maximize",MAX($C179:$AI179),MIN($C179:$AI179)),$C179:$AI179,0))*INDEX(AE168:$AJ178,MATCH(MIN($AK168:$AK178),$AK168:$AK178,0),1)/INDEX($C168:$AJ178,MATCH(MIN($AK168:$AK178),$AK168:$AK178,0),MATCH(IF('Data-solution'!$A$3="Maximize",MAX($C179:$AI179),MIN($C179:$AI179)),$C179:$AI179,0))),AE174)</f>
        <v>1</v>
      </c>
      <c r="AF189" s="1">
        <f>IF(OR($B183&lt;&gt;$B168,$B184&lt;&gt;$B169,$B185&lt;&gt;$B170,$B186&lt;&gt;$B171,$B187&lt;&gt;$B172,$B188&lt;&gt;$B173,$B189&lt;&gt;$B174,$B190&lt;&gt;$B175,$B191&lt;&gt;$B176,$B192&lt;&gt;$B177,$B193&lt;&gt;$B178),IF($B189&lt;&gt;$B174,AF174/INDEX($C168:$AJ178,7,MATCH(IF('Data-solution'!$A$3="Maximize",MAX($C179:$AI179),MIN($C179:$AI179)),$C179:$AI179,0)),AF174-INDEX($C168:$AJ178,7,MATCH(IF('Data-solution'!$A$3="Maximize",MAX($C179:$AI179),MIN($C179:$AI179)),$C179:$AI179,0))*INDEX(AF168:$AJ178,MATCH(MIN($AK168:$AK178),$AK168:$AK178,0),1)/INDEX($C168:$AJ178,MATCH(MIN($AK168:$AK178),$AK168:$AK178,0),MATCH(IF('Data-solution'!$A$3="Maximize",MAX($C179:$AI179),MIN($C179:$AI179)),$C179:$AI179,0))),AF174)</f>
        <v>0</v>
      </c>
      <c r="AG189" s="1">
        <f>IF(OR($B183&lt;&gt;$B168,$B184&lt;&gt;$B169,$B185&lt;&gt;$B170,$B186&lt;&gt;$B171,$B187&lt;&gt;$B172,$B188&lt;&gt;$B173,$B189&lt;&gt;$B174,$B190&lt;&gt;$B175,$B191&lt;&gt;$B176,$B192&lt;&gt;$B177,$B193&lt;&gt;$B178),IF($B189&lt;&gt;$B174,AG174/INDEX($C168:$AJ178,7,MATCH(IF('Data-solution'!$A$3="Maximize",MAX($C179:$AI179),MIN($C179:$AI179)),$C179:$AI179,0)),AG174-INDEX($C168:$AJ178,7,MATCH(IF('Data-solution'!$A$3="Maximize",MAX($C179:$AI179),MIN($C179:$AI179)),$C179:$AI179,0))*INDEX(AG168:$AJ178,MATCH(MIN($AK168:$AK178),$AK168:$AK178,0),1)/INDEX($C168:$AJ178,MATCH(MIN($AK168:$AK178),$AK168:$AK178,0),MATCH(IF('Data-solution'!$A$3="Maximize",MAX($C179:$AI179),MIN($C179:$AI179)),$C179:$AI179,0))),AG174)</f>
        <v>0</v>
      </c>
      <c r="AH189" s="1">
        <f>IF(OR($B183&lt;&gt;$B168,$B184&lt;&gt;$B169,$B185&lt;&gt;$B170,$B186&lt;&gt;$B171,$B187&lt;&gt;$B172,$B188&lt;&gt;$B173,$B189&lt;&gt;$B174,$B190&lt;&gt;$B175,$B191&lt;&gt;$B176,$B192&lt;&gt;$B177,$B193&lt;&gt;$B178),IF($B189&lt;&gt;$B174,AH174/INDEX($C168:$AJ178,7,MATCH(IF('Data-solution'!$A$3="Maximize",MAX($C179:$AI179),MIN($C179:$AI179)),$C179:$AI179,0)),AH174-INDEX($C168:$AJ178,7,MATCH(IF('Data-solution'!$A$3="Maximize",MAX($C179:$AI179),MIN($C179:$AI179)),$C179:$AI179,0))*INDEX(AH168:$AJ178,MATCH(MIN($AK168:$AK178),$AK168:$AK178,0),1)/INDEX($C168:$AJ178,MATCH(MIN($AK168:$AK178),$AK168:$AK178,0),MATCH(IF('Data-solution'!$A$3="Maximize",MAX($C179:$AI179),MIN($C179:$AI179)),$C179:$AI179,0))),AH174)</f>
        <v>0</v>
      </c>
      <c r="AI189" s="1">
        <f>IF(OR($B183&lt;&gt;$B168,$B184&lt;&gt;$B169,$B185&lt;&gt;$B170,$B186&lt;&gt;$B171,$B187&lt;&gt;$B172,$B188&lt;&gt;$B173,$B189&lt;&gt;$B174,$B190&lt;&gt;$B175,$B191&lt;&gt;$B176,$B192&lt;&gt;$B177,$B193&lt;&gt;$B178),IF($B189&lt;&gt;$B174,AI174/INDEX($C168:$AJ178,7,MATCH(IF('Data-solution'!$A$3="Maximize",MAX($C179:$AI179),MIN($C179:$AI179)),$C179:$AI179,0)),AI174-INDEX($C168:$AJ178,7,MATCH(IF('Data-solution'!$A$3="Maximize",MAX($C179:$AI179),MIN($C179:$AI179)),$C179:$AI179,0))*INDEX(AI168:$AJ178,MATCH(MIN($AK168:$AK178),$AK168:$AK178,0),1)/INDEX($C168:$AJ178,MATCH(MIN($AK168:$AK178),$AK168:$AK178,0),MATCH(IF('Data-solution'!$A$3="Maximize",MAX($C179:$AI179),MIN($C179:$AI179)),$C179:$AI179,0))),AI174)</f>
        <v>0</v>
      </c>
      <c r="AJ189" s="1">
        <f>IF(OR($B183&lt;&gt;$B168,$B184&lt;&gt;$B169,$B185&lt;&gt;$B170,$B186&lt;&gt;$B171,$B187&lt;&gt;$B172,$B188&lt;&gt;$B173,$B189&lt;&gt;$B174,$B190&lt;&gt;$B175,$B191&lt;&gt;$B176,$B192&lt;&gt;$B177,$B193&lt;&gt;$B178),IF($B189&lt;&gt;$B174,AJ174/INDEX($C168:$AJ178,7,MATCH(IF('Data-solution'!$A$3="Maximize",MAX($C179:$AI179),MIN($C179:$AI179)),$C179:$AI179,0)),AJ174-INDEX($C168:$AJ178,7,MATCH(IF('Data-solution'!$A$3="Maximize",MAX($C179:$AI179),MIN($C179:$AI179)),$C179:$AI179,0))*INDEX(AJ168:$AJ178,MATCH(MIN($AK168:$AK178),$AK168:$AK178,0),1)/INDEX($C168:$AJ178,MATCH(MIN($AK168:$AK178),$AK168:$AK178,0),MATCH(IF('Data-solution'!$A$3="Maximize",MAX($C179:$AI179),MIN($C179:$AI179)),$C179:$AI179,0))),AJ174)</f>
        <v>0</v>
      </c>
      <c r="AK189" s="1" t="str">
        <f>IF(INDEX(C189:X189,1,MATCH(IF('Data-solution'!A$3="Maximize",MAX(C194:X194),MIN(C194:X194)),C194:X194,0))&gt;0,AJ189/INDEX(C189:X189,1,MATCH(IF('Data-solution'!A$3="Maximize",MAX(C194:X194),MIN(C194:X194)),C194:X194,0))," ")</f>
        <v xml:space="preserve"> </v>
      </c>
    </row>
    <row r="190" spans="1:37" ht="18" customHeight="1" x14ac:dyDescent="0.2">
      <c r="A190" s="1">
        <f t="shared" ref="A190" si="163">INDEX(C181:AI181,1,MATCH(B190,C182:AI182,0))</f>
        <v>0</v>
      </c>
      <c r="B190" s="2" t="str">
        <f>IF(AND('Data-solution'!A$3="Maximize",COUNTIF(C179:X179,"&gt;"&amp;0)&gt;0,AK175=MIN(AK168:AK178),COUNTIF(B183:B189,INDEX(C167:X167,1,MATCH(MAX(C179:X179),C179:X179,0)))=0),INDEX(C167:X167,1,MATCH(MAX(C179:X179),C179:X179,0)),IF(AND('Data-solution'!A$3="Minimize",COUNTIF(C179:X179,"&lt;"&amp;0)&gt;0,AK175=MIN(AK168:AK178),COUNTIF(B183:B189,INDEX(C167:X167,1,MATCH(MIN(C179:X179),C179:X179,0)))=0),INDEX(C167:X167,1,MATCH(MIN(C179:X179),C179:X179,0)),B175))</f>
        <v>S8</v>
      </c>
      <c r="C190" s="1">
        <f>IF(OR($B183&lt;&gt;$B168,$B184&lt;&gt;$B169,$B185&lt;&gt;$B170,$B186&lt;&gt;$B171,$B187&lt;&gt;$B172,$B188&lt;&gt;$B173,$B189&lt;&gt;$B174,$B190&lt;&gt;$B175,$B191&lt;&gt;$B176,$B192&lt;&gt;$B177,$B193&lt;&gt;$B178),IF($B190&lt;&gt;$B175,C175/INDEX($C168:$AJ178,8,MATCH(IF('Data-solution'!$A$3="Maximize",MAX($C179:$AI179),MIN($C179:$AI179)),$C179:$AI179,0)),C175-INDEX($C168:$AJ178,8,MATCH(IF('Data-solution'!$A$3="Maximize",MAX($C179:$AI179),MIN($C179:$AI179)),$C179:$AI179,0))*INDEX(C168:$AJ178,MATCH(MIN($AK168:$AK178),$AK168:$AK178,0),1)/INDEX($C168:$AJ178,MATCH(MIN($AK168:$AK178),$AK168:$AK178,0),MATCH(IF('Data-solution'!$A$3="Maximize",MAX($C179:$AI179),MIN($C179:$AI179)),$C179:$AI179,0))),C175)</f>
        <v>0</v>
      </c>
      <c r="D190" s="1">
        <f>IF(OR($B183&lt;&gt;$B168,$B184&lt;&gt;$B169,$B185&lt;&gt;$B170,$B186&lt;&gt;$B171,$B187&lt;&gt;$B172,$B188&lt;&gt;$B173,$B189&lt;&gt;$B174,$B190&lt;&gt;$B175,$B191&lt;&gt;$B176,$B192&lt;&gt;$B177,$B193&lt;&gt;$B178),IF($B190&lt;&gt;$B175,D175/INDEX($C168:$AJ178,8,MATCH(IF('Data-solution'!$A$3="Maximize",MAX($C179:$AI179),MIN($C179:$AI179)),$C179:$AI179,0)),D175-INDEX($C168:$AJ178,8,MATCH(IF('Data-solution'!$A$3="Maximize",MAX($C179:$AI179),MIN($C179:$AI179)),$C179:$AI179,0))*INDEX(D168:$AJ178,MATCH(MIN($AK168:$AK178),$AK168:$AK178,0),1)/INDEX($C168:$AJ178,MATCH(MIN($AK168:$AK178),$AK168:$AK178,0),MATCH(IF('Data-solution'!$A$3="Maximize",MAX($C179:$AI179),MIN($C179:$AI179)),$C179:$AI179,0))),D175)</f>
        <v>0</v>
      </c>
      <c r="E190" s="1">
        <f>IF(OR($B183&lt;&gt;$B168,$B184&lt;&gt;$B169,$B185&lt;&gt;$B170,$B186&lt;&gt;$B171,$B187&lt;&gt;$B172,$B188&lt;&gt;$B173,$B189&lt;&gt;$B174,$B190&lt;&gt;$B175,$B191&lt;&gt;$B176,$B192&lt;&gt;$B177,$B193&lt;&gt;$B178),IF($B190&lt;&gt;$B175,E175/INDEX($C168:$AJ178,8,MATCH(IF('Data-solution'!$A$3="Maximize",MAX($C179:$AI179),MIN($C179:$AI179)),$C179:$AI179,0)),E175-INDEX($C168:$AJ178,8,MATCH(IF('Data-solution'!$A$3="Maximize",MAX($C179:$AI179),MIN($C179:$AI179)),$C179:$AI179,0))*INDEX(E168:$AJ178,MATCH(MIN($AK168:$AK178),$AK168:$AK178,0),1)/INDEX($C168:$AJ178,MATCH(MIN($AK168:$AK178),$AK168:$AK178,0),MATCH(IF('Data-solution'!$A$3="Maximize",MAX($C179:$AI179),MIN($C179:$AI179)),$C179:$AI179,0))),E175)</f>
        <v>0</v>
      </c>
      <c r="F190" s="1">
        <f>IF(OR($B183&lt;&gt;$B168,$B184&lt;&gt;$B169,$B185&lt;&gt;$B170,$B186&lt;&gt;$B171,$B187&lt;&gt;$B172,$B188&lt;&gt;$B173,$B189&lt;&gt;$B174,$B190&lt;&gt;$B175,$B191&lt;&gt;$B176,$B192&lt;&gt;$B177,$B193&lt;&gt;$B178),IF($B190&lt;&gt;$B175,F175/INDEX($C168:$AJ178,8,MATCH(IF('Data-solution'!$A$3="Maximize",MAX($C179:$AI179),MIN($C179:$AI179)),$C179:$AI179,0)),F175-INDEX($C168:$AJ178,8,MATCH(IF('Data-solution'!$A$3="Maximize",MAX($C179:$AI179),MIN($C179:$AI179)),$C179:$AI179,0))*INDEX(F168:$AJ178,MATCH(MIN($AK168:$AK178),$AK168:$AK178,0),1)/INDEX($C168:$AJ178,MATCH(MIN($AK168:$AK178),$AK168:$AK178,0),MATCH(IF('Data-solution'!$A$3="Maximize",MAX($C179:$AI179),MIN($C179:$AI179)),$C179:$AI179,0))),F175)</f>
        <v>0</v>
      </c>
      <c r="G190" s="1">
        <f>IF(OR($B183&lt;&gt;$B168,$B184&lt;&gt;$B169,$B185&lt;&gt;$B170,$B186&lt;&gt;$B171,$B187&lt;&gt;$B172,$B188&lt;&gt;$B173,$B189&lt;&gt;$B174,$B190&lt;&gt;$B175,$B191&lt;&gt;$B176,$B192&lt;&gt;$B177,$B193&lt;&gt;$B178),IF($B190&lt;&gt;$B175,G175/INDEX($C168:$AJ178,8,MATCH(IF('Data-solution'!$A$3="Maximize",MAX($C179:$AI179),MIN($C179:$AI179)),$C179:$AI179,0)),G175-INDEX($C168:$AJ178,8,MATCH(IF('Data-solution'!$A$3="Maximize",MAX($C179:$AI179),MIN($C179:$AI179)),$C179:$AI179,0))*INDEX(G168:$AJ178,MATCH(MIN($AK168:$AK178),$AK168:$AK178,0),1)/INDEX($C168:$AJ178,MATCH(MIN($AK168:$AK178),$AK168:$AK178,0),MATCH(IF('Data-solution'!$A$3="Maximize",MAX($C179:$AI179),MIN($C179:$AI179)),$C179:$AI179,0))),G175)</f>
        <v>0</v>
      </c>
      <c r="H190" s="1">
        <f>IF(OR($B183&lt;&gt;$B168,$B184&lt;&gt;$B169,$B185&lt;&gt;$B170,$B186&lt;&gt;$B171,$B187&lt;&gt;$B172,$B188&lt;&gt;$B173,$B189&lt;&gt;$B174,$B190&lt;&gt;$B175,$B191&lt;&gt;$B176,$B192&lt;&gt;$B177,$B193&lt;&gt;$B178),IF($B190&lt;&gt;$B175,H175/INDEX($C168:$AJ178,8,MATCH(IF('Data-solution'!$A$3="Maximize",MAX($C179:$AI179),MIN($C179:$AI179)),$C179:$AI179,0)),H175-INDEX($C168:$AJ178,8,MATCH(IF('Data-solution'!$A$3="Maximize",MAX($C179:$AI179),MIN($C179:$AI179)),$C179:$AI179,0))*INDEX(H168:$AJ178,MATCH(MIN($AK168:$AK178),$AK168:$AK178,0),1)/INDEX($C168:$AJ178,MATCH(MIN($AK168:$AK178),$AK168:$AK178,0),MATCH(IF('Data-solution'!$A$3="Maximize",MAX($C179:$AI179),MIN($C179:$AI179)),$C179:$AI179,0))),H175)</f>
        <v>0</v>
      </c>
      <c r="I190" s="1">
        <f>IF(OR($B183&lt;&gt;$B168,$B184&lt;&gt;$B169,$B185&lt;&gt;$B170,$B186&lt;&gt;$B171,$B187&lt;&gt;$B172,$B188&lt;&gt;$B173,$B189&lt;&gt;$B174,$B190&lt;&gt;$B175,$B191&lt;&gt;$B176,$B192&lt;&gt;$B177,$B193&lt;&gt;$B178),IF($B190&lt;&gt;$B175,I175/INDEX($C168:$AJ178,8,MATCH(IF('Data-solution'!$A$3="Maximize",MAX($C179:$AI179),MIN($C179:$AI179)),$C179:$AI179,0)),I175-INDEX($C168:$AJ178,8,MATCH(IF('Data-solution'!$A$3="Maximize",MAX($C179:$AI179),MIN($C179:$AI179)),$C179:$AI179,0))*INDEX(I168:$AJ178,MATCH(MIN($AK168:$AK178),$AK168:$AK178,0),1)/INDEX($C168:$AJ178,MATCH(MIN($AK168:$AK178),$AK168:$AK178,0),MATCH(IF('Data-solution'!$A$3="Maximize",MAX($C179:$AI179),MIN($C179:$AI179)),$C179:$AI179,0))),I175)</f>
        <v>0</v>
      </c>
      <c r="J190" s="1">
        <f>IF(OR($B183&lt;&gt;$B168,$B184&lt;&gt;$B169,$B185&lt;&gt;$B170,$B186&lt;&gt;$B171,$B187&lt;&gt;$B172,$B188&lt;&gt;$B173,$B189&lt;&gt;$B174,$B190&lt;&gt;$B175,$B191&lt;&gt;$B176,$B192&lt;&gt;$B177,$B193&lt;&gt;$B178),IF($B190&lt;&gt;$B175,J175/INDEX($C168:$AJ178,8,MATCH(IF('Data-solution'!$A$3="Maximize",MAX($C179:$AI179),MIN($C179:$AI179)),$C179:$AI179,0)),J175-INDEX($C168:$AJ178,8,MATCH(IF('Data-solution'!$A$3="Maximize",MAX($C179:$AI179),MIN($C179:$AI179)),$C179:$AI179,0))*INDEX(J168:$AJ178,MATCH(MIN($AK168:$AK178),$AK168:$AK178,0),1)/INDEX($C168:$AJ178,MATCH(MIN($AK168:$AK178),$AK168:$AK178,0),MATCH(IF('Data-solution'!$A$3="Maximize",MAX($C179:$AI179),MIN($C179:$AI179)),$C179:$AI179,0))),J175)</f>
        <v>0</v>
      </c>
      <c r="K190" s="1">
        <f>IF(OR($B183&lt;&gt;$B168,$B184&lt;&gt;$B169,$B185&lt;&gt;$B170,$B186&lt;&gt;$B171,$B187&lt;&gt;$B172,$B188&lt;&gt;$B173,$B189&lt;&gt;$B174,$B190&lt;&gt;$B175,$B191&lt;&gt;$B176,$B192&lt;&gt;$B177,$B193&lt;&gt;$B178),IF($B190&lt;&gt;$B175,K175/INDEX($C168:$AJ178,8,MATCH(IF('Data-solution'!$A$3="Maximize",MAX($C179:$AI179),MIN($C179:$AI179)),$C179:$AI179,0)),K175-INDEX($C168:$AJ178,8,MATCH(IF('Data-solution'!$A$3="Maximize",MAX($C179:$AI179),MIN($C179:$AI179)),$C179:$AI179,0))*INDEX(K168:$AJ178,MATCH(MIN($AK168:$AK178),$AK168:$AK178,0),1)/INDEX($C168:$AJ178,MATCH(MIN($AK168:$AK178),$AK168:$AK178,0),MATCH(IF('Data-solution'!$A$3="Maximize",MAX($C179:$AI179),MIN($C179:$AI179)),$C179:$AI179,0))),K175)</f>
        <v>0</v>
      </c>
      <c r="L190" s="1">
        <f>IF(OR($B183&lt;&gt;$B168,$B184&lt;&gt;$B169,$B185&lt;&gt;$B170,$B186&lt;&gt;$B171,$B187&lt;&gt;$B172,$B188&lt;&gt;$B173,$B189&lt;&gt;$B174,$B190&lt;&gt;$B175,$B191&lt;&gt;$B176,$B192&lt;&gt;$B177,$B193&lt;&gt;$B178),IF($B190&lt;&gt;$B175,L175/INDEX($C168:$AJ178,8,MATCH(IF('Data-solution'!$A$3="Maximize",MAX($C179:$AI179),MIN($C179:$AI179)),$C179:$AI179,0)),L175-INDEX($C168:$AJ178,8,MATCH(IF('Data-solution'!$A$3="Maximize",MAX($C179:$AI179),MIN($C179:$AI179)),$C179:$AI179,0))*INDEX(L168:$AJ178,MATCH(MIN($AK168:$AK178),$AK168:$AK178,0),1)/INDEX($C168:$AJ178,MATCH(MIN($AK168:$AK178),$AK168:$AK178,0),MATCH(IF('Data-solution'!$A$3="Maximize",MAX($C179:$AI179),MIN($C179:$AI179)),$C179:$AI179,0))),L175)</f>
        <v>0</v>
      </c>
      <c r="M190" s="1">
        <f>IF(OR($B183&lt;&gt;$B168,$B184&lt;&gt;$B169,$B185&lt;&gt;$B170,$B186&lt;&gt;$B171,$B187&lt;&gt;$B172,$B188&lt;&gt;$B173,$B189&lt;&gt;$B174,$B190&lt;&gt;$B175,$B191&lt;&gt;$B176,$B192&lt;&gt;$B177,$B193&lt;&gt;$B178),IF($B190&lt;&gt;$B175,M175/INDEX($C168:$AJ178,8,MATCH(IF('Data-solution'!$A$3="Maximize",MAX($C179:$AI179),MIN($C179:$AI179)),$C179:$AI179,0)),M175-INDEX($C168:$AJ178,8,MATCH(IF('Data-solution'!$A$3="Maximize",MAX($C179:$AI179),MIN($C179:$AI179)),$C179:$AI179,0))*INDEX(M168:$AJ178,MATCH(MIN($AK168:$AK178),$AK168:$AK178,0),1)/INDEX($C168:$AJ178,MATCH(MIN($AK168:$AK178),$AK168:$AK178,0),MATCH(IF('Data-solution'!$A$3="Maximize",MAX($C179:$AI179),MIN($C179:$AI179)),$C179:$AI179,0))),M175)</f>
        <v>0</v>
      </c>
      <c r="N190" s="1">
        <f>IF(OR($B183&lt;&gt;$B168,$B184&lt;&gt;$B169,$B185&lt;&gt;$B170,$B186&lt;&gt;$B171,$B187&lt;&gt;$B172,$B188&lt;&gt;$B173,$B189&lt;&gt;$B174,$B190&lt;&gt;$B175,$B191&lt;&gt;$B176,$B192&lt;&gt;$B177,$B193&lt;&gt;$B178),IF($B190&lt;&gt;$B175,N175/INDEX($C168:$AJ178,8,MATCH(IF('Data-solution'!$A$3="Maximize",MAX($C179:$AI179),MIN($C179:$AI179)),$C179:$AI179,0)),N175-INDEX($C168:$AJ178,8,MATCH(IF('Data-solution'!$A$3="Maximize",MAX($C179:$AI179),MIN($C179:$AI179)),$C179:$AI179,0))*INDEX(N168:$AJ178,MATCH(MIN($AK168:$AK178),$AK168:$AK178,0),1)/INDEX($C168:$AJ178,MATCH(MIN($AK168:$AK178),$AK168:$AK178,0),MATCH(IF('Data-solution'!$A$3="Maximize",MAX($C179:$AI179),MIN($C179:$AI179)),$C179:$AI179,0))),N175)</f>
        <v>0</v>
      </c>
      <c r="O190" s="1">
        <f>IF(OR($B183&lt;&gt;$B168,$B184&lt;&gt;$B169,$B185&lt;&gt;$B170,$B186&lt;&gt;$B171,$B187&lt;&gt;$B172,$B188&lt;&gt;$B173,$B189&lt;&gt;$B174,$B190&lt;&gt;$B175,$B191&lt;&gt;$B176,$B192&lt;&gt;$B177,$B193&lt;&gt;$B178),IF($B190&lt;&gt;$B175,O175/INDEX($C168:$AJ178,8,MATCH(IF('Data-solution'!$A$3="Maximize",MAX($C179:$AI179),MIN($C179:$AI179)),$C179:$AI179,0)),O175-INDEX($C168:$AJ178,8,MATCH(IF('Data-solution'!$A$3="Maximize",MAX($C179:$AI179),MIN($C179:$AI179)),$C179:$AI179,0))*INDEX(O168:$AJ178,MATCH(MIN($AK168:$AK178),$AK168:$AK178,0),1)/INDEX($C168:$AJ178,MATCH(MIN($AK168:$AK178),$AK168:$AK178,0),MATCH(IF('Data-solution'!$A$3="Maximize",MAX($C179:$AI179),MIN($C179:$AI179)),$C179:$AI179,0))),O175)</f>
        <v>0</v>
      </c>
      <c r="P190" s="1">
        <f>IF(OR($B183&lt;&gt;$B168,$B184&lt;&gt;$B169,$B185&lt;&gt;$B170,$B186&lt;&gt;$B171,$B187&lt;&gt;$B172,$B188&lt;&gt;$B173,$B189&lt;&gt;$B174,$B190&lt;&gt;$B175,$B191&lt;&gt;$B176,$B192&lt;&gt;$B177,$B193&lt;&gt;$B178),IF($B190&lt;&gt;$B175,P175/INDEX($C168:$AJ178,8,MATCH(IF('Data-solution'!$A$3="Maximize",MAX($C179:$AI179),MIN($C179:$AI179)),$C179:$AI179,0)),P175-INDEX($C168:$AJ178,8,MATCH(IF('Data-solution'!$A$3="Maximize",MAX($C179:$AI179),MIN($C179:$AI179)),$C179:$AI179,0))*INDEX(P168:$AJ178,MATCH(MIN($AK168:$AK178),$AK168:$AK178,0),1)/INDEX($C168:$AJ178,MATCH(MIN($AK168:$AK178),$AK168:$AK178,0),MATCH(IF('Data-solution'!$A$3="Maximize",MAX($C179:$AI179),MIN($C179:$AI179)),$C179:$AI179,0))),P175)</f>
        <v>0</v>
      </c>
      <c r="Q190" s="1">
        <f>IF(OR($B183&lt;&gt;$B168,$B184&lt;&gt;$B169,$B185&lt;&gt;$B170,$B186&lt;&gt;$B171,$B187&lt;&gt;$B172,$B188&lt;&gt;$B173,$B189&lt;&gt;$B174,$B190&lt;&gt;$B175,$B191&lt;&gt;$B176,$B192&lt;&gt;$B177,$B193&lt;&gt;$B178),IF($B190&lt;&gt;$B175,Q175/INDEX($C168:$AJ178,8,MATCH(IF('Data-solution'!$A$3="Maximize",MAX($C179:$AI179),MIN($C179:$AI179)),$C179:$AI179,0)),Q175-INDEX($C168:$AJ178,8,MATCH(IF('Data-solution'!$A$3="Maximize",MAX($C179:$AI179),MIN($C179:$AI179)),$C179:$AI179,0))*INDEX(Q168:$AJ178,MATCH(MIN($AK168:$AK178),$AK168:$AK178,0),1)/INDEX($C168:$AJ178,MATCH(MIN($AK168:$AK178),$AK168:$AK178,0),MATCH(IF('Data-solution'!$A$3="Maximize",MAX($C179:$AI179),MIN($C179:$AI179)),$C179:$AI179,0))),Q175)</f>
        <v>0</v>
      </c>
      <c r="R190" s="1">
        <f>IF(OR($B183&lt;&gt;$B168,$B184&lt;&gt;$B169,$B185&lt;&gt;$B170,$B186&lt;&gt;$B171,$B187&lt;&gt;$B172,$B188&lt;&gt;$B173,$B189&lt;&gt;$B174,$B190&lt;&gt;$B175,$B191&lt;&gt;$B176,$B192&lt;&gt;$B177,$B193&lt;&gt;$B178),IF($B190&lt;&gt;$B175,R175/INDEX($C168:$AJ178,8,MATCH(IF('Data-solution'!$A$3="Maximize",MAX($C179:$AI179),MIN($C179:$AI179)),$C179:$AI179,0)),R175-INDEX($C168:$AJ178,8,MATCH(IF('Data-solution'!$A$3="Maximize",MAX($C179:$AI179),MIN($C179:$AI179)),$C179:$AI179,0))*INDEX(R168:$AJ178,MATCH(MIN($AK168:$AK178),$AK168:$AK178,0),1)/INDEX($C168:$AJ178,MATCH(MIN($AK168:$AK178),$AK168:$AK178,0),MATCH(IF('Data-solution'!$A$3="Maximize",MAX($C179:$AI179),MIN($C179:$AI179)),$C179:$AI179,0))),R175)</f>
        <v>0</v>
      </c>
      <c r="S190" s="1">
        <f>IF(OR($B183&lt;&gt;$B168,$B184&lt;&gt;$B169,$B185&lt;&gt;$B170,$B186&lt;&gt;$B171,$B187&lt;&gt;$B172,$B188&lt;&gt;$B173,$B189&lt;&gt;$B174,$B190&lt;&gt;$B175,$B191&lt;&gt;$B176,$B192&lt;&gt;$B177,$B193&lt;&gt;$B178),IF($B190&lt;&gt;$B175,S175/INDEX($C168:$AJ178,8,MATCH(IF('Data-solution'!$A$3="Maximize",MAX($C179:$AI179),MIN($C179:$AI179)),$C179:$AI179,0)),S175-INDEX($C168:$AJ178,8,MATCH(IF('Data-solution'!$A$3="Maximize",MAX($C179:$AI179),MIN($C179:$AI179)),$C179:$AI179,0))*INDEX(S168:$AJ178,MATCH(MIN($AK168:$AK178),$AK168:$AK178,0),1)/INDEX($C168:$AJ178,MATCH(MIN($AK168:$AK178),$AK168:$AK178,0),MATCH(IF('Data-solution'!$A$3="Maximize",MAX($C179:$AI179),MIN($C179:$AI179)),$C179:$AI179,0))),S175)</f>
        <v>0</v>
      </c>
      <c r="T190" s="1">
        <f>IF(OR($B183&lt;&gt;$B168,$B184&lt;&gt;$B169,$B185&lt;&gt;$B170,$B186&lt;&gt;$B171,$B187&lt;&gt;$B172,$B188&lt;&gt;$B173,$B189&lt;&gt;$B174,$B190&lt;&gt;$B175,$B191&lt;&gt;$B176,$B192&lt;&gt;$B177,$B193&lt;&gt;$B178),IF($B190&lt;&gt;$B175,T175/INDEX($C168:$AJ178,8,MATCH(IF('Data-solution'!$A$3="Maximize",MAX($C179:$AI179),MIN($C179:$AI179)),$C179:$AI179,0)),T175-INDEX($C168:$AJ178,8,MATCH(IF('Data-solution'!$A$3="Maximize",MAX($C179:$AI179),MIN($C179:$AI179)),$C179:$AI179,0))*INDEX(T168:$AJ178,MATCH(MIN($AK168:$AK178),$AK168:$AK178,0),1)/INDEX($C168:$AJ178,MATCH(MIN($AK168:$AK178),$AK168:$AK178,0),MATCH(IF('Data-solution'!$A$3="Maximize",MAX($C179:$AI179),MIN($C179:$AI179)),$C179:$AI179,0))),T175)</f>
        <v>0</v>
      </c>
      <c r="U190" s="1">
        <f>IF(OR($B183&lt;&gt;$B168,$B184&lt;&gt;$B169,$B185&lt;&gt;$B170,$B186&lt;&gt;$B171,$B187&lt;&gt;$B172,$B188&lt;&gt;$B173,$B189&lt;&gt;$B174,$B190&lt;&gt;$B175,$B191&lt;&gt;$B176,$B192&lt;&gt;$B177,$B193&lt;&gt;$B178),IF($B190&lt;&gt;$B175,U175/INDEX($C168:$AJ178,8,MATCH(IF('Data-solution'!$A$3="Maximize",MAX($C179:$AI179),MIN($C179:$AI179)),$C179:$AI179,0)),U175-INDEX($C168:$AJ178,8,MATCH(IF('Data-solution'!$A$3="Maximize",MAX($C179:$AI179),MIN($C179:$AI179)),$C179:$AI179,0))*INDEX(U168:$AJ178,MATCH(MIN($AK168:$AK178),$AK168:$AK178,0),1)/INDEX($C168:$AJ178,MATCH(MIN($AK168:$AK178),$AK168:$AK178,0),MATCH(IF('Data-solution'!$A$3="Maximize",MAX($C179:$AI179),MIN($C179:$AI179)),$C179:$AI179,0))),U175)</f>
        <v>1</v>
      </c>
      <c r="V190" s="1">
        <f>IF(OR($B183&lt;&gt;$B168,$B184&lt;&gt;$B169,$B185&lt;&gt;$B170,$B186&lt;&gt;$B171,$B187&lt;&gt;$B172,$B188&lt;&gt;$B173,$B189&lt;&gt;$B174,$B190&lt;&gt;$B175,$B191&lt;&gt;$B176,$B192&lt;&gt;$B177,$B193&lt;&gt;$B178),IF($B190&lt;&gt;$B175,V175/INDEX($C168:$AJ178,8,MATCH(IF('Data-solution'!$A$3="Maximize",MAX($C179:$AI179),MIN($C179:$AI179)),$C179:$AI179,0)),V175-INDEX($C168:$AJ178,8,MATCH(IF('Data-solution'!$A$3="Maximize",MAX($C179:$AI179),MIN($C179:$AI179)),$C179:$AI179,0))*INDEX(V168:$AJ178,MATCH(MIN($AK168:$AK178),$AK168:$AK178,0),1)/INDEX($C168:$AJ178,MATCH(MIN($AK168:$AK178),$AK168:$AK178,0),MATCH(IF('Data-solution'!$A$3="Maximize",MAX($C179:$AI179),MIN($C179:$AI179)),$C179:$AI179,0))),V175)</f>
        <v>0</v>
      </c>
      <c r="W190" s="1">
        <f>IF(OR($B183&lt;&gt;$B168,$B184&lt;&gt;$B169,$B185&lt;&gt;$B170,$B186&lt;&gt;$B171,$B187&lt;&gt;$B172,$B188&lt;&gt;$B173,$B189&lt;&gt;$B174,$B190&lt;&gt;$B175,$B191&lt;&gt;$B176,$B192&lt;&gt;$B177,$B193&lt;&gt;$B178),IF($B190&lt;&gt;$B175,W175/INDEX($C168:$AJ178,8,MATCH(IF('Data-solution'!$A$3="Maximize",MAX($C179:$AI179),MIN($C179:$AI179)),$C179:$AI179,0)),W175-INDEX($C168:$AJ178,8,MATCH(IF('Data-solution'!$A$3="Maximize",MAX($C179:$AI179),MIN($C179:$AI179)),$C179:$AI179,0))*INDEX(W168:$AJ178,MATCH(MIN($AK168:$AK178),$AK168:$AK178,0),1)/INDEX($C168:$AJ178,MATCH(MIN($AK168:$AK178),$AK168:$AK178,0),MATCH(IF('Data-solution'!$A$3="Maximize",MAX($C179:$AI179),MIN($C179:$AI179)),$C179:$AI179,0))),W175)</f>
        <v>0</v>
      </c>
      <c r="X190" s="1">
        <f>IF(OR($B183&lt;&gt;$B168,$B184&lt;&gt;$B169,$B185&lt;&gt;$B170,$B186&lt;&gt;$B171,$B187&lt;&gt;$B172,$B188&lt;&gt;$B173,$B189&lt;&gt;$B174,$B190&lt;&gt;$B175,$B191&lt;&gt;$B176,$B192&lt;&gt;$B177,$B193&lt;&gt;$B178),IF($B190&lt;&gt;$B175,X175/INDEX($C168:$AJ178,8,MATCH(IF('Data-solution'!$A$3="Maximize",MAX($C179:$AI179),MIN($C179:$AI179)),$C179:$AI179,0)),X175-INDEX($C168:$AJ178,8,MATCH(IF('Data-solution'!$A$3="Maximize",MAX($C179:$AI179),MIN($C179:$AI179)),$C179:$AI179,0))*INDEX(X168:$AJ178,MATCH(MIN($AK168:$AK178),$AK168:$AK178,0),1)/INDEX($C168:$AJ178,MATCH(MIN($AK168:$AK178),$AK168:$AK178,0),MATCH(IF('Data-solution'!$A$3="Maximize",MAX($C179:$AI179),MIN($C179:$AI179)),$C179:$AI179,0))),X175)</f>
        <v>0</v>
      </c>
      <c r="Y190" s="1">
        <f>IF(OR($B183&lt;&gt;$B168,$B184&lt;&gt;$B169,$B185&lt;&gt;$B170,$B186&lt;&gt;$B171,$B187&lt;&gt;$B172,$B188&lt;&gt;$B173,$B189&lt;&gt;$B174,$B190&lt;&gt;$B175,$B191&lt;&gt;$B176,$B192&lt;&gt;$B177,$B193&lt;&gt;$B178),IF($B190&lt;&gt;$B175,Y175/INDEX($C168:$AJ178,8,MATCH(IF('Data-solution'!$A$3="Maximize",MAX($C179:$AI179),MIN($C179:$AI179)),$C179:$AI179,0)),Y175-INDEX($C168:$AJ178,8,MATCH(IF('Data-solution'!$A$3="Maximize",MAX($C179:$AI179),MIN($C179:$AI179)),$C179:$AI179,0))*INDEX(Y168:$AJ178,MATCH(MIN($AK168:$AK178),$AK168:$AK178,0),1)/INDEX($C168:$AJ178,MATCH(MIN($AK168:$AK178),$AK168:$AK178,0),MATCH(IF('Data-solution'!$A$3="Maximize",MAX($C179:$AI179),MIN($C179:$AI179)),$C179:$AI179,0))),Y175)</f>
        <v>0</v>
      </c>
      <c r="Z190" s="1">
        <f>IF(OR($B183&lt;&gt;$B168,$B184&lt;&gt;$B169,$B185&lt;&gt;$B170,$B186&lt;&gt;$B171,$B187&lt;&gt;$B172,$B188&lt;&gt;$B173,$B189&lt;&gt;$B174,$B190&lt;&gt;$B175,$B191&lt;&gt;$B176,$B192&lt;&gt;$B177,$B193&lt;&gt;$B178),IF($B190&lt;&gt;$B175,Z175/INDEX($C168:$AJ178,8,MATCH(IF('Data-solution'!$A$3="Maximize",MAX($C179:$AI179),MIN($C179:$AI179)),$C179:$AI179,0)),Z175-INDEX($C168:$AJ178,8,MATCH(IF('Data-solution'!$A$3="Maximize",MAX($C179:$AI179),MIN($C179:$AI179)),$C179:$AI179,0))*INDEX(Z168:$AJ178,MATCH(MIN($AK168:$AK178),$AK168:$AK178,0),1)/INDEX($C168:$AJ178,MATCH(MIN($AK168:$AK178),$AK168:$AK178,0),MATCH(IF('Data-solution'!$A$3="Maximize",MAX($C179:$AI179),MIN($C179:$AI179)),$C179:$AI179,0))),Z175)</f>
        <v>0</v>
      </c>
      <c r="AA190" s="1">
        <f>IF(OR($B183&lt;&gt;$B168,$B184&lt;&gt;$B169,$B185&lt;&gt;$B170,$B186&lt;&gt;$B171,$B187&lt;&gt;$B172,$B188&lt;&gt;$B173,$B189&lt;&gt;$B174,$B190&lt;&gt;$B175,$B191&lt;&gt;$B176,$B192&lt;&gt;$B177,$B193&lt;&gt;$B178),IF($B190&lt;&gt;$B175,AA175/INDEX($C168:$AJ178,8,MATCH(IF('Data-solution'!$A$3="Maximize",MAX($C179:$AI179),MIN($C179:$AI179)),$C179:$AI179,0)),AA175-INDEX($C168:$AJ178,8,MATCH(IF('Data-solution'!$A$3="Maximize",MAX($C179:$AI179),MIN($C179:$AI179)),$C179:$AI179,0))*INDEX(AA168:$AJ178,MATCH(MIN($AK168:$AK178),$AK168:$AK178,0),1)/INDEX($C168:$AJ178,MATCH(MIN($AK168:$AK178),$AK168:$AK178,0),MATCH(IF('Data-solution'!$A$3="Maximize",MAX($C179:$AI179),MIN($C179:$AI179)),$C179:$AI179,0))),AA175)</f>
        <v>0</v>
      </c>
      <c r="AB190" s="1">
        <f>IF(OR($B183&lt;&gt;$B168,$B184&lt;&gt;$B169,$B185&lt;&gt;$B170,$B186&lt;&gt;$B171,$B187&lt;&gt;$B172,$B188&lt;&gt;$B173,$B189&lt;&gt;$B174,$B190&lt;&gt;$B175,$B191&lt;&gt;$B176,$B192&lt;&gt;$B177,$B193&lt;&gt;$B178),IF($B190&lt;&gt;$B175,AB175/INDEX($C168:$AJ178,8,MATCH(IF('Data-solution'!$A$3="Maximize",MAX($C179:$AI179),MIN($C179:$AI179)),$C179:$AI179,0)),AB175-INDEX($C168:$AJ178,8,MATCH(IF('Data-solution'!$A$3="Maximize",MAX($C179:$AI179),MIN($C179:$AI179)),$C179:$AI179,0))*INDEX(AB168:$AJ178,MATCH(MIN($AK168:$AK178),$AK168:$AK178,0),1)/INDEX($C168:$AJ178,MATCH(MIN($AK168:$AK178),$AK168:$AK178,0),MATCH(IF('Data-solution'!$A$3="Maximize",MAX($C179:$AI179),MIN($C179:$AI179)),$C179:$AI179,0))),AB175)</f>
        <v>0</v>
      </c>
      <c r="AC190" s="1">
        <f>IF(OR($B183&lt;&gt;$B168,$B184&lt;&gt;$B169,$B185&lt;&gt;$B170,$B186&lt;&gt;$B171,$B187&lt;&gt;$B172,$B188&lt;&gt;$B173,$B189&lt;&gt;$B174,$B190&lt;&gt;$B175,$B191&lt;&gt;$B176,$B192&lt;&gt;$B177,$B193&lt;&gt;$B178),IF($B190&lt;&gt;$B175,AC175/INDEX($C168:$AJ178,8,MATCH(IF('Data-solution'!$A$3="Maximize",MAX($C179:$AI179),MIN($C179:$AI179)),$C179:$AI179,0)),AC175-INDEX($C168:$AJ178,8,MATCH(IF('Data-solution'!$A$3="Maximize",MAX($C179:$AI179),MIN($C179:$AI179)),$C179:$AI179,0))*INDEX(AC168:$AJ178,MATCH(MIN($AK168:$AK178),$AK168:$AK178,0),1)/INDEX($C168:$AJ178,MATCH(MIN($AK168:$AK178),$AK168:$AK178,0),MATCH(IF('Data-solution'!$A$3="Maximize",MAX($C179:$AI179),MIN($C179:$AI179)),$C179:$AI179,0))),AC175)</f>
        <v>0</v>
      </c>
      <c r="AD190" s="1">
        <f>IF(OR($B183&lt;&gt;$B168,$B184&lt;&gt;$B169,$B185&lt;&gt;$B170,$B186&lt;&gt;$B171,$B187&lt;&gt;$B172,$B188&lt;&gt;$B173,$B189&lt;&gt;$B174,$B190&lt;&gt;$B175,$B191&lt;&gt;$B176,$B192&lt;&gt;$B177,$B193&lt;&gt;$B178),IF($B190&lt;&gt;$B175,AD175/INDEX($C168:$AJ178,8,MATCH(IF('Data-solution'!$A$3="Maximize",MAX($C179:$AI179),MIN($C179:$AI179)),$C179:$AI179,0)),AD175-INDEX($C168:$AJ178,8,MATCH(IF('Data-solution'!$A$3="Maximize",MAX($C179:$AI179),MIN($C179:$AI179)),$C179:$AI179,0))*INDEX(AD168:$AJ178,MATCH(MIN($AK168:$AK178),$AK168:$AK178,0),1)/INDEX($C168:$AJ178,MATCH(MIN($AK168:$AK178),$AK168:$AK178,0),MATCH(IF('Data-solution'!$A$3="Maximize",MAX($C179:$AI179),MIN($C179:$AI179)),$C179:$AI179,0))),AD175)</f>
        <v>0</v>
      </c>
      <c r="AE190" s="1">
        <f>IF(OR($B183&lt;&gt;$B168,$B184&lt;&gt;$B169,$B185&lt;&gt;$B170,$B186&lt;&gt;$B171,$B187&lt;&gt;$B172,$B188&lt;&gt;$B173,$B189&lt;&gt;$B174,$B190&lt;&gt;$B175,$B191&lt;&gt;$B176,$B192&lt;&gt;$B177,$B193&lt;&gt;$B178),IF($B190&lt;&gt;$B175,AE175/INDEX($C168:$AJ178,8,MATCH(IF('Data-solution'!$A$3="Maximize",MAX($C179:$AI179),MIN($C179:$AI179)),$C179:$AI179,0)),AE175-INDEX($C168:$AJ178,8,MATCH(IF('Data-solution'!$A$3="Maximize",MAX($C179:$AI179),MIN($C179:$AI179)),$C179:$AI179,0))*INDEX(AE168:$AJ178,MATCH(MIN($AK168:$AK178),$AK168:$AK178,0),1)/INDEX($C168:$AJ178,MATCH(MIN($AK168:$AK178),$AK168:$AK178,0),MATCH(IF('Data-solution'!$A$3="Maximize",MAX($C179:$AI179),MIN($C179:$AI179)),$C179:$AI179,0))),AE175)</f>
        <v>0</v>
      </c>
      <c r="AF190" s="1">
        <f>IF(OR($B183&lt;&gt;$B168,$B184&lt;&gt;$B169,$B185&lt;&gt;$B170,$B186&lt;&gt;$B171,$B187&lt;&gt;$B172,$B188&lt;&gt;$B173,$B189&lt;&gt;$B174,$B190&lt;&gt;$B175,$B191&lt;&gt;$B176,$B192&lt;&gt;$B177,$B193&lt;&gt;$B178),IF($B190&lt;&gt;$B175,AF175/INDEX($C168:$AJ178,8,MATCH(IF('Data-solution'!$A$3="Maximize",MAX($C179:$AI179),MIN($C179:$AI179)),$C179:$AI179,0)),AF175-INDEX($C168:$AJ178,8,MATCH(IF('Data-solution'!$A$3="Maximize",MAX($C179:$AI179),MIN($C179:$AI179)),$C179:$AI179,0))*INDEX(AF168:$AJ178,MATCH(MIN($AK168:$AK178),$AK168:$AK178,0),1)/INDEX($C168:$AJ178,MATCH(MIN($AK168:$AK178),$AK168:$AK178,0),MATCH(IF('Data-solution'!$A$3="Maximize",MAX($C179:$AI179),MIN($C179:$AI179)),$C179:$AI179,0))),AF175)</f>
        <v>1</v>
      </c>
      <c r="AG190" s="1">
        <f>IF(OR($B183&lt;&gt;$B168,$B184&lt;&gt;$B169,$B185&lt;&gt;$B170,$B186&lt;&gt;$B171,$B187&lt;&gt;$B172,$B188&lt;&gt;$B173,$B189&lt;&gt;$B174,$B190&lt;&gt;$B175,$B191&lt;&gt;$B176,$B192&lt;&gt;$B177,$B193&lt;&gt;$B178),IF($B190&lt;&gt;$B175,AG175/INDEX($C168:$AJ178,8,MATCH(IF('Data-solution'!$A$3="Maximize",MAX($C179:$AI179),MIN($C179:$AI179)),$C179:$AI179,0)),AG175-INDEX($C168:$AJ178,8,MATCH(IF('Data-solution'!$A$3="Maximize",MAX($C179:$AI179),MIN($C179:$AI179)),$C179:$AI179,0))*INDEX(AG168:$AJ178,MATCH(MIN($AK168:$AK178),$AK168:$AK178,0),1)/INDEX($C168:$AJ178,MATCH(MIN($AK168:$AK178),$AK168:$AK178,0),MATCH(IF('Data-solution'!$A$3="Maximize",MAX($C179:$AI179),MIN($C179:$AI179)),$C179:$AI179,0))),AG175)</f>
        <v>0</v>
      </c>
      <c r="AH190" s="1">
        <f>IF(OR($B183&lt;&gt;$B168,$B184&lt;&gt;$B169,$B185&lt;&gt;$B170,$B186&lt;&gt;$B171,$B187&lt;&gt;$B172,$B188&lt;&gt;$B173,$B189&lt;&gt;$B174,$B190&lt;&gt;$B175,$B191&lt;&gt;$B176,$B192&lt;&gt;$B177,$B193&lt;&gt;$B178),IF($B190&lt;&gt;$B175,AH175/INDEX($C168:$AJ178,8,MATCH(IF('Data-solution'!$A$3="Maximize",MAX($C179:$AI179),MIN($C179:$AI179)),$C179:$AI179,0)),AH175-INDEX($C168:$AJ178,8,MATCH(IF('Data-solution'!$A$3="Maximize",MAX($C179:$AI179),MIN($C179:$AI179)),$C179:$AI179,0))*INDEX(AH168:$AJ178,MATCH(MIN($AK168:$AK178),$AK168:$AK178,0),1)/INDEX($C168:$AJ178,MATCH(MIN($AK168:$AK178),$AK168:$AK178,0),MATCH(IF('Data-solution'!$A$3="Maximize",MAX($C179:$AI179),MIN($C179:$AI179)),$C179:$AI179,0))),AH175)</f>
        <v>0</v>
      </c>
      <c r="AI190" s="1">
        <f>IF(OR($B183&lt;&gt;$B168,$B184&lt;&gt;$B169,$B185&lt;&gt;$B170,$B186&lt;&gt;$B171,$B187&lt;&gt;$B172,$B188&lt;&gt;$B173,$B189&lt;&gt;$B174,$B190&lt;&gt;$B175,$B191&lt;&gt;$B176,$B192&lt;&gt;$B177,$B193&lt;&gt;$B178),IF($B190&lt;&gt;$B175,AI175/INDEX($C168:$AJ178,8,MATCH(IF('Data-solution'!$A$3="Maximize",MAX($C179:$AI179),MIN($C179:$AI179)),$C179:$AI179,0)),AI175-INDEX($C168:$AJ178,8,MATCH(IF('Data-solution'!$A$3="Maximize",MAX($C179:$AI179),MIN($C179:$AI179)),$C179:$AI179,0))*INDEX(AI168:$AJ178,MATCH(MIN($AK168:$AK178),$AK168:$AK178,0),1)/INDEX($C168:$AJ178,MATCH(MIN($AK168:$AK178),$AK168:$AK178,0),MATCH(IF('Data-solution'!$A$3="Maximize",MAX($C179:$AI179),MIN($C179:$AI179)),$C179:$AI179,0))),AI175)</f>
        <v>0</v>
      </c>
      <c r="AJ190" s="1">
        <f>IF(OR($B183&lt;&gt;$B168,$B184&lt;&gt;$B169,$B185&lt;&gt;$B170,$B186&lt;&gt;$B171,$B187&lt;&gt;$B172,$B188&lt;&gt;$B173,$B189&lt;&gt;$B174,$B190&lt;&gt;$B175,$B191&lt;&gt;$B176,$B192&lt;&gt;$B177,$B193&lt;&gt;$B178),IF($B190&lt;&gt;$B175,AJ175/INDEX($C168:$AJ178,8,MATCH(IF('Data-solution'!$A$3="Maximize",MAX($C179:$AI179),MIN($C179:$AI179)),$C179:$AI179,0)),AJ175-INDEX($C168:$AJ178,8,MATCH(IF('Data-solution'!$A$3="Maximize",MAX($C179:$AI179),MIN($C179:$AI179)),$C179:$AI179,0))*INDEX(AJ168:$AJ178,MATCH(MIN($AK168:$AK178),$AK168:$AK178,0),1)/INDEX($C168:$AJ178,MATCH(MIN($AK168:$AK178),$AK168:$AK178,0),MATCH(IF('Data-solution'!$A$3="Maximize",MAX($C179:$AI179),MIN($C179:$AI179)),$C179:$AI179,0))),AJ175)</f>
        <v>0</v>
      </c>
      <c r="AK190" s="1" t="str">
        <f>IF(INDEX(C190:X190,1,MATCH(IF('Data-solution'!A$3="Maximize",MAX(C194:X194),MIN(C194:X194)),C194:X194,0))&gt;0,AJ190/INDEX(C190:X190,1,MATCH(IF('Data-solution'!A$3="Maximize",MAX(C194:X194),MIN(C194:X194)),C194:X194,0))," ")</f>
        <v xml:space="preserve"> </v>
      </c>
    </row>
    <row r="191" spans="1:37" ht="18" customHeight="1" x14ac:dyDescent="0.2">
      <c r="A191" s="1">
        <f t="shared" ref="A191" si="164">INDEX(C181:AI181,1,MATCH(B191,C182:AI182,0))</f>
        <v>0</v>
      </c>
      <c r="B191" s="2" t="str">
        <f>IF(AND('Data-solution'!A$3="Maximize",COUNTIF(C179:X179,"&gt;"&amp;0)&gt;0,AK176=MIN(AK168:AK178),COUNTIF(B183:B190,INDEX(C167:X167,1,MATCH(MAX(C179:X179),C179:X179,0)))=0),INDEX(C167:X167,1,MATCH(MAX(C179:X179),C179:X179,0)),IF(AND('Data-solution'!A$3="Minimize",COUNTIF(C179:X179,"&lt;"&amp;0)&gt;0,AK176=MIN(AK168:AK178),COUNTIF(B183:B190,INDEX(C167:X167,1,MATCH(MIN(C179:X179),C179:X179,0)))=0),INDEX(C167:X167,1,MATCH(MIN(C179:X179),C179:X179,0)),B176))</f>
        <v>S9</v>
      </c>
      <c r="C191" s="1">
        <f>IF(OR($B183&lt;&gt;$B168,$B184&lt;&gt;$B169,$B185&lt;&gt;$B170,$B186&lt;&gt;$B171,$B187&lt;&gt;$B172,$B188&lt;&gt;$B173,$B189&lt;&gt;$B174,$B190&lt;&gt;$B175,$B191&lt;&gt;$B176,$B192&lt;&gt;$B177,$B193&lt;&gt;$B178),IF($B191&lt;&gt;$B176,C176/INDEX($C168:$AJ178,9,MATCH(IF('Data-solution'!$A$3="Maximize",MAX($C179:$AI179),MIN($C179:$AI179)),$C179:$AI179,0)),C176-INDEX($C168:$AJ178,9,MATCH(IF('Data-solution'!$A$3="Maximize",MAX($C179:$AI179),MIN($C179:$AI179)),$C179:$AI179,0))*INDEX(C168:$AJ178,MATCH(MIN($AK168:$AK178),$AK168:$AK178,0),1)/INDEX($C168:$AJ178,MATCH(MIN($AK168:$AK178),$AK168:$AK178,0),MATCH(IF('Data-solution'!$A$3="Maximize",MAX($C179:$AI179),MIN($C179:$AI179)),$C179:$AI179,0))),C176)</f>
        <v>0</v>
      </c>
      <c r="D191" s="1">
        <f>IF(OR($B183&lt;&gt;$B168,$B184&lt;&gt;$B169,$B185&lt;&gt;$B170,$B186&lt;&gt;$B171,$B187&lt;&gt;$B172,$B188&lt;&gt;$B173,$B189&lt;&gt;$B174,$B190&lt;&gt;$B175,$B191&lt;&gt;$B176,$B192&lt;&gt;$B177,$B193&lt;&gt;$B178),IF($B191&lt;&gt;$B176,D176/INDEX($C168:$AJ178,9,MATCH(IF('Data-solution'!$A$3="Maximize",MAX($C179:$AI179),MIN($C179:$AI179)),$C179:$AI179,0)),D176-INDEX($C168:$AJ178,9,MATCH(IF('Data-solution'!$A$3="Maximize",MAX($C179:$AI179),MIN($C179:$AI179)),$C179:$AI179,0))*INDEX(D168:$AJ178,MATCH(MIN($AK168:$AK178),$AK168:$AK178,0),1)/INDEX($C168:$AJ178,MATCH(MIN($AK168:$AK178),$AK168:$AK178,0),MATCH(IF('Data-solution'!$A$3="Maximize",MAX($C179:$AI179),MIN($C179:$AI179)),$C179:$AI179,0))),D176)</f>
        <v>0</v>
      </c>
      <c r="E191" s="1">
        <f>IF(OR($B183&lt;&gt;$B168,$B184&lt;&gt;$B169,$B185&lt;&gt;$B170,$B186&lt;&gt;$B171,$B187&lt;&gt;$B172,$B188&lt;&gt;$B173,$B189&lt;&gt;$B174,$B190&lt;&gt;$B175,$B191&lt;&gt;$B176,$B192&lt;&gt;$B177,$B193&lt;&gt;$B178),IF($B191&lt;&gt;$B176,E176/INDEX($C168:$AJ178,9,MATCH(IF('Data-solution'!$A$3="Maximize",MAX($C179:$AI179),MIN($C179:$AI179)),$C179:$AI179,0)),E176-INDEX($C168:$AJ178,9,MATCH(IF('Data-solution'!$A$3="Maximize",MAX($C179:$AI179),MIN($C179:$AI179)),$C179:$AI179,0))*INDEX(E168:$AJ178,MATCH(MIN($AK168:$AK178),$AK168:$AK178,0),1)/INDEX($C168:$AJ178,MATCH(MIN($AK168:$AK178),$AK168:$AK178,0),MATCH(IF('Data-solution'!$A$3="Maximize",MAX($C179:$AI179),MIN($C179:$AI179)),$C179:$AI179,0))),E176)</f>
        <v>0</v>
      </c>
      <c r="F191" s="1">
        <f>IF(OR($B183&lt;&gt;$B168,$B184&lt;&gt;$B169,$B185&lt;&gt;$B170,$B186&lt;&gt;$B171,$B187&lt;&gt;$B172,$B188&lt;&gt;$B173,$B189&lt;&gt;$B174,$B190&lt;&gt;$B175,$B191&lt;&gt;$B176,$B192&lt;&gt;$B177,$B193&lt;&gt;$B178),IF($B191&lt;&gt;$B176,F176/INDEX($C168:$AJ178,9,MATCH(IF('Data-solution'!$A$3="Maximize",MAX($C179:$AI179),MIN($C179:$AI179)),$C179:$AI179,0)),F176-INDEX($C168:$AJ178,9,MATCH(IF('Data-solution'!$A$3="Maximize",MAX($C179:$AI179),MIN($C179:$AI179)),$C179:$AI179,0))*INDEX(F168:$AJ178,MATCH(MIN($AK168:$AK178),$AK168:$AK178,0),1)/INDEX($C168:$AJ178,MATCH(MIN($AK168:$AK178),$AK168:$AK178,0),MATCH(IF('Data-solution'!$A$3="Maximize",MAX($C179:$AI179),MIN($C179:$AI179)),$C179:$AI179,0))),F176)</f>
        <v>0</v>
      </c>
      <c r="G191" s="1">
        <f>IF(OR($B183&lt;&gt;$B168,$B184&lt;&gt;$B169,$B185&lt;&gt;$B170,$B186&lt;&gt;$B171,$B187&lt;&gt;$B172,$B188&lt;&gt;$B173,$B189&lt;&gt;$B174,$B190&lt;&gt;$B175,$B191&lt;&gt;$B176,$B192&lt;&gt;$B177,$B193&lt;&gt;$B178),IF($B191&lt;&gt;$B176,G176/INDEX($C168:$AJ178,9,MATCH(IF('Data-solution'!$A$3="Maximize",MAX($C179:$AI179),MIN($C179:$AI179)),$C179:$AI179,0)),G176-INDEX($C168:$AJ178,9,MATCH(IF('Data-solution'!$A$3="Maximize",MAX($C179:$AI179),MIN($C179:$AI179)),$C179:$AI179,0))*INDEX(G168:$AJ178,MATCH(MIN($AK168:$AK178),$AK168:$AK178,0),1)/INDEX($C168:$AJ178,MATCH(MIN($AK168:$AK178),$AK168:$AK178,0),MATCH(IF('Data-solution'!$A$3="Maximize",MAX($C179:$AI179),MIN($C179:$AI179)),$C179:$AI179,0))),G176)</f>
        <v>0</v>
      </c>
      <c r="H191" s="1">
        <f>IF(OR($B183&lt;&gt;$B168,$B184&lt;&gt;$B169,$B185&lt;&gt;$B170,$B186&lt;&gt;$B171,$B187&lt;&gt;$B172,$B188&lt;&gt;$B173,$B189&lt;&gt;$B174,$B190&lt;&gt;$B175,$B191&lt;&gt;$B176,$B192&lt;&gt;$B177,$B193&lt;&gt;$B178),IF($B191&lt;&gt;$B176,H176/INDEX($C168:$AJ178,9,MATCH(IF('Data-solution'!$A$3="Maximize",MAX($C179:$AI179),MIN($C179:$AI179)),$C179:$AI179,0)),H176-INDEX($C168:$AJ178,9,MATCH(IF('Data-solution'!$A$3="Maximize",MAX($C179:$AI179),MIN($C179:$AI179)),$C179:$AI179,0))*INDEX(H168:$AJ178,MATCH(MIN($AK168:$AK178),$AK168:$AK178,0),1)/INDEX($C168:$AJ178,MATCH(MIN($AK168:$AK178),$AK168:$AK178,0),MATCH(IF('Data-solution'!$A$3="Maximize",MAX($C179:$AI179),MIN($C179:$AI179)),$C179:$AI179,0))),H176)</f>
        <v>0</v>
      </c>
      <c r="I191" s="1">
        <f>IF(OR($B183&lt;&gt;$B168,$B184&lt;&gt;$B169,$B185&lt;&gt;$B170,$B186&lt;&gt;$B171,$B187&lt;&gt;$B172,$B188&lt;&gt;$B173,$B189&lt;&gt;$B174,$B190&lt;&gt;$B175,$B191&lt;&gt;$B176,$B192&lt;&gt;$B177,$B193&lt;&gt;$B178),IF($B191&lt;&gt;$B176,I176/INDEX($C168:$AJ178,9,MATCH(IF('Data-solution'!$A$3="Maximize",MAX($C179:$AI179),MIN($C179:$AI179)),$C179:$AI179,0)),I176-INDEX($C168:$AJ178,9,MATCH(IF('Data-solution'!$A$3="Maximize",MAX($C179:$AI179),MIN($C179:$AI179)),$C179:$AI179,0))*INDEX(I168:$AJ178,MATCH(MIN($AK168:$AK178),$AK168:$AK178,0),1)/INDEX($C168:$AJ178,MATCH(MIN($AK168:$AK178),$AK168:$AK178,0),MATCH(IF('Data-solution'!$A$3="Maximize",MAX($C179:$AI179),MIN($C179:$AI179)),$C179:$AI179,0))),I176)</f>
        <v>0</v>
      </c>
      <c r="J191" s="1">
        <f>IF(OR($B183&lt;&gt;$B168,$B184&lt;&gt;$B169,$B185&lt;&gt;$B170,$B186&lt;&gt;$B171,$B187&lt;&gt;$B172,$B188&lt;&gt;$B173,$B189&lt;&gt;$B174,$B190&lt;&gt;$B175,$B191&lt;&gt;$B176,$B192&lt;&gt;$B177,$B193&lt;&gt;$B178),IF($B191&lt;&gt;$B176,J176/INDEX($C168:$AJ178,9,MATCH(IF('Data-solution'!$A$3="Maximize",MAX($C179:$AI179),MIN($C179:$AI179)),$C179:$AI179,0)),J176-INDEX($C168:$AJ178,9,MATCH(IF('Data-solution'!$A$3="Maximize",MAX($C179:$AI179),MIN($C179:$AI179)),$C179:$AI179,0))*INDEX(J168:$AJ178,MATCH(MIN($AK168:$AK178),$AK168:$AK178,0),1)/INDEX($C168:$AJ178,MATCH(MIN($AK168:$AK178),$AK168:$AK178,0),MATCH(IF('Data-solution'!$A$3="Maximize",MAX($C179:$AI179),MIN($C179:$AI179)),$C179:$AI179,0))),J176)</f>
        <v>0</v>
      </c>
      <c r="K191" s="1">
        <f>IF(OR($B183&lt;&gt;$B168,$B184&lt;&gt;$B169,$B185&lt;&gt;$B170,$B186&lt;&gt;$B171,$B187&lt;&gt;$B172,$B188&lt;&gt;$B173,$B189&lt;&gt;$B174,$B190&lt;&gt;$B175,$B191&lt;&gt;$B176,$B192&lt;&gt;$B177,$B193&lt;&gt;$B178),IF($B191&lt;&gt;$B176,K176/INDEX($C168:$AJ178,9,MATCH(IF('Data-solution'!$A$3="Maximize",MAX($C179:$AI179),MIN($C179:$AI179)),$C179:$AI179,0)),K176-INDEX($C168:$AJ178,9,MATCH(IF('Data-solution'!$A$3="Maximize",MAX($C179:$AI179),MIN($C179:$AI179)),$C179:$AI179,0))*INDEX(K168:$AJ178,MATCH(MIN($AK168:$AK178),$AK168:$AK178,0),1)/INDEX($C168:$AJ178,MATCH(MIN($AK168:$AK178),$AK168:$AK178,0),MATCH(IF('Data-solution'!$A$3="Maximize",MAX($C179:$AI179),MIN($C179:$AI179)),$C179:$AI179,0))),K176)</f>
        <v>0</v>
      </c>
      <c r="L191" s="1">
        <f>IF(OR($B183&lt;&gt;$B168,$B184&lt;&gt;$B169,$B185&lt;&gt;$B170,$B186&lt;&gt;$B171,$B187&lt;&gt;$B172,$B188&lt;&gt;$B173,$B189&lt;&gt;$B174,$B190&lt;&gt;$B175,$B191&lt;&gt;$B176,$B192&lt;&gt;$B177,$B193&lt;&gt;$B178),IF($B191&lt;&gt;$B176,L176/INDEX($C168:$AJ178,9,MATCH(IF('Data-solution'!$A$3="Maximize",MAX($C179:$AI179),MIN($C179:$AI179)),$C179:$AI179,0)),L176-INDEX($C168:$AJ178,9,MATCH(IF('Data-solution'!$A$3="Maximize",MAX($C179:$AI179),MIN($C179:$AI179)),$C179:$AI179,0))*INDEX(L168:$AJ178,MATCH(MIN($AK168:$AK178),$AK168:$AK178,0),1)/INDEX($C168:$AJ178,MATCH(MIN($AK168:$AK178),$AK168:$AK178,0),MATCH(IF('Data-solution'!$A$3="Maximize",MAX($C179:$AI179),MIN($C179:$AI179)),$C179:$AI179,0))),L176)</f>
        <v>0</v>
      </c>
      <c r="M191" s="1">
        <f>IF(OR($B183&lt;&gt;$B168,$B184&lt;&gt;$B169,$B185&lt;&gt;$B170,$B186&lt;&gt;$B171,$B187&lt;&gt;$B172,$B188&lt;&gt;$B173,$B189&lt;&gt;$B174,$B190&lt;&gt;$B175,$B191&lt;&gt;$B176,$B192&lt;&gt;$B177,$B193&lt;&gt;$B178),IF($B191&lt;&gt;$B176,M176/INDEX($C168:$AJ178,9,MATCH(IF('Data-solution'!$A$3="Maximize",MAX($C179:$AI179),MIN($C179:$AI179)),$C179:$AI179,0)),M176-INDEX($C168:$AJ178,9,MATCH(IF('Data-solution'!$A$3="Maximize",MAX($C179:$AI179),MIN($C179:$AI179)),$C179:$AI179,0))*INDEX(M168:$AJ178,MATCH(MIN($AK168:$AK178),$AK168:$AK178,0),1)/INDEX($C168:$AJ178,MATCH(MIN($AK168:$AK178),$AK168:$AK178,0),MATCH(IF('Data-solution'!$A$3="Maximize",MAX($C179:$AI179),MIN($C179:$AI179)),$C179:$AI179,0))),M176)</f>
        <v>0</v>
      </c>
      <c r="N191" s="1">
        <f>IF(OR($B183&lt;&gt;$B168,$B184&lt;&gt;$B169,$B185&lt;&gt;$B170,$B186&lt;&gt;$B171,$B187&lt;&gt;$B172,$B188&lt;&gt;$B173,$B189&lt;&gt;$B174,$B190&lt;&gt;$B175,$B191&lt;&gt;$B176,$B192&lt;&gt;$B177,$B193&lt;&gt;$B178),IF($B191&lt;&gt;$B176,N176/INDEX($C168:$AJ178,9,MATCH(IF('Data-solution'!$A$3="Maximize",MAX($C179:$AI179),MIN($C179:$AI179)),$C179:$AI179,0)),N176-INDEX($C168:$AJ178,9,MATCH(IF('Data-solution'!$A$3="Maximize",MAX($C179:$AI179),MIN($C179:$AI179)),$C179:$AI179,0))*INDEX(N168:$AJ178,MATCH(MIN($AK168:$AK178),$AK168:$AK178,0),1)/INDEX($C168:$AJ178,MATCH(MIN($AK168:$AK178),$AK168:$AK178,0),MATCH(IF('Data-solution'!$A$3="Maximize",MAX($C179:$AI179),MIN($C179:$AI179)),$C179:$AI179,0))),N176)</f>
        <v>0</v>
      </c>
      <c r="O191" s="1">
        <f>IF(OR($B183&lt;&gt;$B168,$B184&lt;&gt;$B169,$B185&lt;&gt;$B170,$B186&lt;&gt;$B171,$B187&lt;&gt;$B172,$B188&lt;&gt;$B173,$B189&lt;&gt;$B174,$B190&lt;&gt;$B175,$B191&lt;&gt;$B176,$B192&lt;&gt;$B177,$B193&lt;&gt;$B178),IF($B191&lt;&gt;$B176,O176/INDEX($C168:$AJ178,9,MATCH(IF('Data-solution'!$A$3="Maximize",MAX($C179:$AI179),MIN($C179:$AI179)),$C179:$AI179,0)),O176-INDEX($C168:$AJ178,9,MATCH(IF('Data-solution'!$A$3="Maximize",MAX($C179:$AI179),MIN($C179:$AI179)),$C179:$AI179,0))*INDEX(O168:$AJ178,MATCH(MIN($AK168:$AK178),$AK168:$AK178,0),1)/INDEX($C168:$AJ178,MATCH(MIN($AK168:$AK178),$AK168:$AK178,0),MATCH(IF('Data-solution'!$A$3="Maximize",MAX($C179:$AI179),MIN($C179:$AI179)),$C179:$AI179,0))),O176)</f>
        <v>0</v>
      </c>
      <c r="P191" s="1">
        <f>IF(OR($B183&lt;&gt;$B168,$B184&lt;&gt;$B169,$B185&lt;&gt;$B170,$B186&lt;&gt;$B171,$B187&lt;&gt;$B172,$B188&lt;&gt;$B173,$B189&lt;&gt;$B174,$B190&lt;&gt;$B175,$B191&lt;&gt;$B176,$B192&lt;&gt;$B177,$B193&lt;&gt;$B178),IF($B191&lt;&gt;$B176,P176/INDEX($C168:$AJ178,9,MATCH(IF('Data-solution'!$A$3="Maximize",MAX($C179:$AI179),MIN($C179:$AI179)),$C179:$AI179,0)),P176-INDEX($C168:$AJ178,9,MATCH(IF('Data-solution'!$A$3="Maximize",MAX($C179:$AI179),MIN($C179:$AI179)),$C179:$AI179,0))*INDEX(P168:$AJ178,MATCH(MIN($AK168:$AK178),$AK168:$AK178,0),1)/INDEX($C168:$AJ178,MATCH(MIN($AK168:$AK178),$AK168:$AK178,0),MATCH(IF('Data-solution'!$A$3="Maximize",MAX($C179:$AI179),MIN($C179:$AI179)),$C179:$AI179,0))),P176)</f>
        <v>0</v>
      </c>
      <c r="Q191" s="1">
        <f>IF(OR($B183&lt;&gt;$B168,$B184&lt;&gt;$B169,$B185&lt;&gt;$B170,$B186&lt;&gt;$B171,$B187&lt;&gt;$B172,$B188&lt;&gt;$B173,$B189&lt;&gt;$B174,$B190&lt;&gt;$B175,$B191&lt;&gt;$B176,$B192&lt;&gt;$B177,$B193&lt;&gt;$B178),IF($B191&lt;&gt;$B176,Q176/INDEX($C168:$AJ178,9,MATCH(IF('Data-solution'!$A$3="Maximize",MAX($C179:$AI179),MIN($C179:$AI179)),$C179:$AI179,0)),Q176-INDEX($C168:$AJ178,9,MATCH(IF('Data-solution'!$A$3="Maximize",MAX($C179:$AI179),MIN($C179:$AI179)),$C179:$AI179,0))*INDEX(Q168:$AJ178,MATCH(MIN($AK168:$AK178),$AK168:$AK178,0),1)/INDEX($C168:$AJ178,MATCH(MIN($AK168:$AK178),$AK168:$AK178,0),MATCH(IF('Data-solution'!$A$3="Maximize",MAX($C179:$AI179),MIN($C179:$AI179)),$C179:$AI179,0))),Q176)</f>
        <v>0</v>
      </c>
      <c r="R191" s="1">
        <f>IF(OR($B183&lt;&gt;$B168,$B184&lt;&gt;$B169,$B185&lt;&gt;$B170,$B186&lt;&gt;$B171,$B187&lt;&gt;$B172,$B188&lt;&gt;$B173,$B189&lt;&gt;$B174,$B190&lt;&gt;$B175,$B191&lt;&gt;$B176,$B192&lt;&gt;$B177,$B193&lt;&gt;$B178),IF($B191&lt;&gt;$B176,R176/INDEX($C168:$AJ178,9,MATCH(IF('Data-solution'!$A$3="Maximize",MAX($C179:$AI179),MIN($C179:$AI179)),$C179:$AI179,0)),R176-INDEX($C168:$AJ178,9,MATCH(IF('Data-solution'!$A$3="Maximize",MAX($C179:$AI179),MIN($C179:$AI179)),$C179:$AI179,0))*INDEX(R168:$AJ178,MATCH(MIN($AK168:$AK178),$AK168:$AK178,0),1)/INDEX($C168:$AJ178,MATCH(MIN($AK168:$AK178),$AK168:$AK178,0),MATCH(IF('Data-solution'!$A$3="Maximize",MAX($C179:$AI179),MIN($C179:$AI179)),$C179:$AI179,0))),R176)</f>
        <v>0</v>
      </c>
      <c r="S191" s="1">
        <f>IF(OR($B183&lt;&gt;$B168,$B184&lt;&gt;$B169,$B185&lt;&gt;$B170,$B186&lt;&gt;$B171,$B187&lt;&gt;$B172,$B188&lt;&gt;$B173,$B189&lt;&gt;$B174,$B190&lt;&gt;$B175,$B191&lt;&gt;$B176,$B192&lt;&gt;$B177,$B193&lt;&gt;$B178),IF($B191&lt;&gt;$B176,S176/INDEX($C168:$AJ178,9,MATCH(IF('Data-solution'!$A$3="Maximize",MAX($C179:$AI179),MIN($C179:$AI179)),$C179:$AI179,0)),S176-INDEX($C168:$AJ178,9,MATCH(IF('Data-solution'!$A$3="Maximize",MAX($C179:$AI179),MIN($C179:$AI179)),$C179:$AI179,0))*INDEX(S168:$AJ178,MATCH(MIN($AK168:$AK178),$AK168:$AK178,0),1)/INDEX($C168:$AJ178,MATCH(MIN($AK168:$AK178),$AK168:$AK178,0),MATCH(IF('Data-solution'!$A$3="Maximize",MAX($C179:$AI179),MIN($C179:$AI179)),$C179:$AI179,0))),S176)</f>
        <v>0</v>
      </c>
      <c r="T191" s="1">
        <f>IF(OR($B183&lt;&gt;$B168,$B184&lt;&gt;$B169,$B185&lt;&gt;$B170,$B186&lt;&gt;$B171,$B187&lt;&gt;$B172,$B188&lt;&gt;$B173,$B189&lt;&gt;$B174,$B190&lt;&gt;$B175,$B191&lt;&gt;$B176,$B192&lt;&gt;$B177,$B193&lt;&gt;$B178),IF($B191&lt;&gt;$B176,T176/INDEX($C168:$AJ178,9,MATCH(IF('Data-solution'!$A$3="Maximize",MAX($C179:$AI179),MIN($C179:$AI179)),$C179:$AI179,0)),T176-INDEX($C168:$AJ178,9,MATCH(IF('Data-solution'!$A$3="Maximize",MAX($C179:$AI179),MIN($C179:$AI179)),$C179:$AI179,0))*INDEX(T168:$AJ178,MATCH(MIN($AK168:$AK178),$AK168:$AK178,0),1)/INDEX($C168:$AJ178,MATCH(MIN($AK168:$AK178),$AK168:$AK178,0),MATCH(IF('Data-solution'!$A$3="Maximize",MAX($C179:$AI179),MIN($C179:$AI179)),$C179:$AI179,0))),T176)</f>
        <v>0</v>
      </c>
      <c r="U191" s="1">
        <f>IF(OR($B183&lt;&gt;$B168,$B184&lt;&gt;$B169,$B185&lt;&gt;$B170,$B186&lt;&gt;$B171,$B187&lt;&gt;$B172,$B188&lt;&gt;$B173,$B189&lt;&gt;$B174,$B190&lt;&gt;$B175,$B191&lt;&gt;$B176,$B192&lt;&gt;$B177,$B193&lt;&gt;$B178),IF($B191&lt;&gt;$B176,U176/INDEX($C168:$AJ178,9,MATCH(IF('Data-solution'!$A$3="Maximize",MAX($C179:$AI179),MIN($C179:$AI179)),$C179:$AI179,0)),U176-INDEX($C168:$AJ178,9,MATCH(IF('Data-solution'!$A$3="Maximize",MAX($C179:$AI179),MIN($C179:$AI179)),$C179:$AI179,0))*INDEX(U168:$AJ178,MATCH(MIN($AK168:$AK178),$AK168:$AK178,0),1)/INDEX($C168:$AJ178,MATCH(MIN($AK168:$AK178),$AK168:$AK178,0),MATCH(IF('Data-solution'!$A$3="Maximize",MAX($C179:$AI179),MIN($C179:$AI179)),$C179:$AI179,0))),U176)</f>
        <v>0</v>
      </c>
      <c r="V191" s="1">
        <f>IF(OR($B183&lt;&gt;$B168,$B184&lt;&gt;$B169,$B185&lt;&gt;$B170,$B186&lt;&gt;$B171,$B187&lt;&gt;$B172,$B188&lt;&gt;$B173,$B189&lt;&gt;$B174,$B190&lt;&gt;$B175,$B191&lt;&gt;$B176,$B192&lt;&gt;$B177,$B193&lt;&gt;$B178),IF($B191&lt;&gt;$B176,V176/INDEX($C168:$AJ178,9,MATCH(IF('Data-solution'!$A$3="Maximize",MAX($C179:$AI179),MIN($C179:$AI179)),$C179:$AI179,0)),V176-INDEX($C168:$AJ178,9,MATCH(IF('Data-solution'!$A$3="Maximize",MAX($C179:$AI179),MIN($C179:$AI179)),$C179:$AI179,0))*INDEX(V168:$AJ178,MATCH(MIN($AK168:$AK178),$AK168:$AK178,0),1)/INDEX($C168:$AJ178,MATCH(MIN($AK168:$AK178),$AK168:$AK178,0),MATCH(IF('Data-solution'!$A$3="Maximize",MAX($C179:$AI179),MIN($C179:$AI179)),$C179:$AI179,0))),V176)</f>
        <v>1</v>
      </c>
      <c r="W191" s="1">
        <f>IF(OR($B183&lt;&gt;$B168,$B184&lt;&gt;$B169,$B185&lt;&gt;$B170,$B186&lt;&gt;$B171,$B187&lt;&gt;$B172,$B188&lt;&gt;$B173,$B189&lt;&gt;$B174,$B190&lt;&gt;$B175,$B191&lt;&gt;$B176,$B192&lt;&gt;$B177,$B193&lt;&gt;$B178),IF($B191&lt;&gt;$B176,W176/INDEX($C168:$AJ178,9,MATCH(IF('Data-solution'!$A$3="Maximize",MAX($C179:$AI179),MIN($C179:$AI179)),$C179:$AI179,0)),W176-INDEX($C168:$AJ178,9,MATCH(IF('Data-solution'!$A$3="Maximize",MAX($C179:$AI179),MIN($C179:$AI179)),$C179:$AI179,0))*INDEX(W168:$AJ178,MATCH(MIN($AK168:$AK178),$AK168:$AK178,0),1)/INDEX($C168:$AJ178,MATCH(MIN($AK168:$AK178),$AK168:$AK178,0),MATCH(IF('Data-solution'!$A$3="Maximize",MAX($C179:$AI179),MIN($C179:$AI179)),$C179:$AI179,0))),W176)</f>
        <v>0</v>
      </c>
      <c r="X191" s="1">
        <f>IF(OR($B183&lt;&gt;$B168,$B184&lt;&gt;$B169,$B185&lt;&gt;$B170,$B186&lt;&gt;$B171,$B187&lt;&gt;$B172,$B188&lt;&gt;$B173,$B189&lt;&gt;$B174,$B190&lt;&gt;$B175,$B191&lt;&gt;$B176,$B192&lt;&gt;$B177,$B193&lt;&gt;$B178),IF($B191&lt;&gt;$B176,X176/INDEX($C168:$AJ178,9,MATCH(IF('Data-solution'!$A$3="Maximize",MAX($C179:$AI179),MIN($C179:$AI179)),$C179:$AI179,0)),X176-INDEX($C168:$AJ178,9,MATCH(IF('Data-solution'!$A$3="Maximize",MAX($C179:$AI179),MIN($C179:$AI179)),$C179:$AI179,0))*INDEX(X168:$AJ178,MATCH(MIN($AK168:$AK178),$AK168:$AK178,0),1)/INDEX($C168:$AJ178,MATCH(MIN($AK168:$AK178),$AK168:$AK178,0),MATCH(IF('Data-solution'!$A$3="Maximize",MAX($C179:$AI179),MIN($C179:$AI179)),$C179:$AI179,0))),X176)</f>
        <v>0</v>
      </c>
      <c r="Y191" s="1">
        <f>IF(OR($B183&lt;&gt;$B168,$B184&lt;&gt;$B169,$B185&lt;&gt;$B170,$B186&lt;&gt;$B171,$B187&lt;&gt;$B172,$B188&lt;&gt;$B173,$B189&lt;&gt;$B174,$B190&lt;&gt;$B175,$B191&lt;&gt;$B176,$B192&lt;&gt;$B177,$B193&lt;&gt;$B178),IF($B191&lt;&gt;$B176,Y176/INDEX($C168:$AJ178,9,MATCH(IF('Data-solution'!$A$3="Maximize",MAX($C179:$AI179),MIN($C179:$AI179)),$C179:$AI179,0)),Y176-INDEX($C168:$AJ178,9,MATCH(IF('Data-solution'!$A$3="Maximize",MAX($C179:$AI179),MIN($C179:$AI179)),$C179:$AI179,0))*INDEX(Y168:$AJ178,MATCH(MIN($AK168:$AK178),$AK168:$AK178,0),1)/INDEX($C168:$AJ178,MATCH(MIN($AK168:$AK178),$AK168:$AK178,0),MATCH(IF('Data-solution'!$A$3="Maximize",MAX($C179:$AI179),MIN($C179:$AI179)),$C179:$AI179,0))),Y176)</f>
        <v>0</v>
      </c>
      <c r="Z191" s="1">
        <f>IF(OR($B183&lt;&gt;$B168,$B184&lt;&gt;$B169,$B185&lt;&gt;$B170,$B186&lt;&gt;$B171,$B187&lt;&gt;$B172,$B188&lt;&gt;$B173,$B189&lt;&gt;$B174,$B190&lt;&gt;$B175,$B191&lt;&gt;$B176,$B192&lt;&gt;$B177,$B193&lt;&gt;$B178),IF($B191&lt;&gt;$B176,Z176/INDEX($C168:$AJ178,9,MATCH(IF('Data-solution'!$A$3="Maximize",MAX($C179:$AI179),MIN($C179:$AI179)),$C179:$AI179,0)),Z176-INDEX($C168:$AJ178,9,MATCH(IF('Data-solution'!$A$3="Maximize",MAX($C179:$AI179),MIN($C179:$AI179)),$C179:$AI179,0))*INDEX(Z168:$AJ178,MATCH(MIN($AK168:$AK178),$AK168:$AK178,0),1)/INDEX($C168:$AJ178,MATCH(MIN($AK168:$AK178),$AK168:$AK178,0),MATCH(IF('Data-solution'!$A$3="Maximize",MAX($C179:$AI179),MIN($C179:$AI179)),$C179:$AI179,0))),Z176)</f>
        <v>0</v>
      </c>
      <c r="AA191" s="1">
        <f>IF(OR($B183&lt;&gt;$B168,$B184&lt;&gt;$B169,$B185&lt;&gt;$B170,$B186&lt;&gt;$B171,$B187&lt;&gt;$B172,$B188&lt;&gt;$B173,$B189&lt;&gt;$B174,$B190&lt;&gt;$B175,$B191&lt;&gt;$B176,$B192&lt;&gt;$B177,$B193&lt;&gt;$B178),IF($B191&lt;&gt;$B176,AA176/INDEX($C168:$AJ178,9,MATCH(IF('Data-solution'!$A$3="Maximize",MAX($C179:$AI179),MIN($C179:$AI179)),$C179:$AI179,0)),AA176-INDEX($C168:$AJ178,9,MATCH(IF('Data-solution'!$A$3="Maximize",MAX($C179:$AI179),MIN($C179:$AI179)),$C179:$AI179,0))*INDEX(AA168:$AJ178,MATCH(MIN($AK168:$AK178),$AK168:$AK178,0),1)/INDEX($C168:$AJ178,MATCH(MIN($AK168:$AK178),$AK168:$AK178,0),MATCH(IF('Data-solution'!$A$3="Maximize",MAX($C179:$AI179),MIN($C179:$AI179)),$C179:$AI179,0))),AA176)</f>
        <v>0</v>
      </c>
      <c r="AB191" s="1">
        <f>IF(OR($B183&lt;&gt;$B168,$B184&lt;&gt;$B169,$B185&lt;&gt;$B170,$B186&lt;&gt;$B171,$B187&lt;&gt;$B172,$B188&lt;&gt;$B173,$B189&lt;&gt;$B174,$B190&lt;&gt;$B175,$B191&lt;&gt;$B176,$B192&lt;&gt;$B177,$B193&lt;&gt;$B178),IF($B191&lt;&gt;$B176,AB176/INDEX($C168:$AJ178,9,MATCH(IF('Data-solution'!$A$3="Maximize",MAX($C179:$AI179),MIN($C179:$AI179)),$C179:$AI179,0)),AB176-INDEX($C168:$AJ178,9,MATCH(IF('Data-solution'!$A$3="Maximize",MAX($C179:$AI179),MIN($C179:$AI179)),$C179:$AI179,0))*INDEX(AB168:$AJ178,MATCH(MIN($AK168:$AK178),$AK168:$AK178,0),1)/INDEX($C168:$AJ178,MATCH(MIN($AK168:$AK178),$AK168:$AK178,0),MATCH(IF('Data-solution'!$A$3="Maximize",MAX($C179:$AI179),MIN($C179:$AI179)),$C179:$AI179,0))),AB176)</f>
        <v>0</v>
      </c>
      <c r="AC191" s="1">
        <f>IF(OR($B183&lt;&gt;$B168,$B184&lt;&gt;$B169,$B185&lt;&gt;$B170,$B186&lt;&gt;$B171,$B187&lt;&gt;$B172,$B188&lt;&gt;$B173,$B189&lt;&gt;$B174,$B190&lt;&gt;$B175,$B191&lt;&gt;$B176,$B192&lt;&gt;$B177,$B193&lt;&gt;$B178),IF($B191&lt;&gt;$B176,AC176/INDEX($C168:$AJ178,9,MATCH(IF('Data-solution'!$A$3="Maximize",MAX($C179:$AI179),MIN($C179:$AI179)),$C179:$AI179,0)),AC176-INDEX($C168:$AJ178,9,MATCH(IF('Data-solution'!$A$3="Maximize",MAX($C179:$AI179),MIN($C179:$AI179)),$C179:$AI179,0))*INDEX(AC168:$AJ178,MATCH(MIN($AK168:$AK178),$AK168:$AK178,0),1)/INDEX($C168:$AJ178,MATCH(MIN($AK168:$AK178),$AK168:$AK178,0),MATCH(IF('Data-solution'!$A$3="Maximize",MAX($C179:$AI179),MIN($C179:$AI179)),$C179:$AI179,0))),AC176)</f>
        <v>0</v>
      </c>
      <c r="AD191" s="1">
        <f>IF(OR($B183&lt;&gt;$B168,$B184&lt;&gt;$B169,$B185&lt;&gt;$B170,$B186&lt;&gt;$B171,$B187&lt;&gt;$B172,$B188&lt;&gt;$B173,$B189&lt;&gt;$B174,$B190&lt;&gt;$B175,$B191&lt;&gt;$B176,$B192&lt;&gt;$B177,$B193&lt;&gt;$B178),IF($B191&lt;&gt;$B176,AD176/INDEX($C168:$AJ178,9,MATCH(IF('Data-solution'!$A$3="Maximize",MAX($C179:$AI179),MIN($C179:$AI179)),$C179:$AI179,0)),AD176-INDEX($C168:$AJ178,9,MATCH(IF('Data-solution'!$A$3="Maximize",MAX($C179:$AI179),MIN($C179:$AI179)),$C179:$AI179,0))*INDEX(AD168:$AJ178,MATCH(MIN($AK168:$AK178),$AK168:$AK178,0),1)/INDEX($C168:$AJ178,MATCH(MIN($AK168:$AK178),$AK168:$AK178,0),MATCH(IF('Data-solution'!$A$3="Maximize",MAX($C179:$AI179),MIN($C179:$AI179)),$C179:$AI179,0))),AD176)</f>
        <v>0</v>
      </c>
      <c r="AE191" s="1">
        <f>IF(OR($B183&lt;&gt;$B168,$B184&lt;&gt;$B169,$B185&lt;&gt;$B170,$B186&lt;&gt;$B171,$B187&lt;&gt;$B172,$B188&lt;&gt;$B173,$B189&lt;&gt;$B174,$B190&lt;&gt;$B175,$B191&lt;&gt;$B176,$B192&lt;&gt;$B177,$B193&lt;&gt;$B178),IF($B191&lt;&gt;$B176,AE176/INDEX($C168:$AJ178,9,MATCH(IF('Data-solution'!$A$3="Maximize",MAX($C179:$AI179),MIN($C179:$AI179)),$C179:$AI179,0)),AE176-INDEX($C168:$AJ178,9,MATCH(IF('Data-solution'!$A$3="Maximize",MAX($C179:$AI179),MIN($C179:$AI179)),$C179:$AI179,0))*INDEX(AE168:$AJ178,MATCH(MIN($AK168:$AK178),$AK168:$AK178,0),1)/INDEX($C168:$AJ178,MATCH(MIN($AK168:$AK178),$AK168:$AK178,0),MATCH(IF('Data-solution'!$A$3="Maximize",MAX($C179:$AI179),MIN($C179:$AI179)),$C179:$AI179,0))),AE176)</f>
        <v>0</v>
      </c>
      <c r="AF191" s="1">
        <f>IF(OR($B183&lt;&gt;$B168,$B184&lt;&gt;$B169,$B185&lt;&gt;$B170,$B186&lt;&gt;$B171,$B187&lt;&gt;$B172,$B188&lt;&gt;$B173,$B189&lt;&gt;$B174,$B190&lt;&gt;$B175,$B191&lt;&gt;$B176,$B192&lt;&gt;$B177,$B193&lt;&gt;$B178),IF($B191&lt;&gt;$B176,AF176/INDEX($C168:$AJ178,9,MATCH(IF('Data-solution'!$A$3="Maximize",MAX($C179:$AI179),MIN($C179:$AI179)),$C179:$AI179,0)),AF176-INDEX($C168:$AJ178,9,MATCH(IF('Data-solution'!$A$3="Maximize",MAX($C179:$AI179),MIN($C179:$AI179)),$C179:$AI179,0))*INDEX(AF168:$AJ178,MATCH(MIN($AK168:$AK178),$AK168:$AK178,0),1)/INDEX($C168:$AJ178,MATCH(MIN($AK168:$AK178),$AK168:$AK178,0),MATCH(IF('Data-solution'!$A$3="Maximize",MAX($C179:$AI179),MIN($C179:$AI179)),$C179:$AI179,0))),AF176)</f>
        <v>0</v>
      </c>
      <c r="AG191" s="1">
        <f>IF(OR($B183&lt;&gt;$B168,$B184&lt;&gt;$B169,$B185&lt;&gt;$B170,$B186&lt;&gt;$B171,$B187&lt;&gt;$B172,$B188&lt;&gt;$B173,$B189&lt;&gt;$B174,$B190&lt;&gt;$B175,$B191&lt;&gt;$B176,$B192&lt;&gt;$B177,$B193&lt;&gt;$B178),IF($B191&lt;&gt;$B176,AG176/INDEX($C168:$AJ178,9,MATCH(IF('Data-solution'!$A$3="Maximize",MAX($C179:$AI179),MIN($C179:$AI179)),$C179:$AI179,0)),AG176-INDEX($C168:$AJ178,9,MATCH(IF('Data-solution'!$A$3="Maximize",MAX($C179:$AI179),MIN($C179:$AI179)),$C179:$AI179,0))*INDEX(AG168:$AJ178,MATCH(MIN($AK168:$AK178),$AK168:$AK178,0),1)/INDEX($C168:$AJ178,MATCH(MIN($AK168:$AK178),$AK168:$AK178,0),MATCH(IF('Data-solution'!$A$3="Maximize",MAX($C179:$AI179),MIN($C179:$AI179)),$C179:$AI179,0))),AG176)</f>
        <v>1</v>
      </c>
      <c r="AH191" s="1">
        <f>IF(OR($B183&lt;&gt;$B168,$B184&lt;&gt;$B169,$B185&lt;&gt;$B170,$B186&lt;&gt;$B171,$B187&lt;&gt;$B172,$B188&lt;&gt;$B173,$B189&lt;&gt;$B174,$B190&lt;&gt;$B175,$B191&lt;&gt;$B176,$B192&lt;&gt;$B177,$B193&lt;&gt;$B178),IF($B191&lt;&gt;$B176,AH176/INDEX($C168:$AJ178,9,MATCH(IF('Data-solution'!$A$3="Maximize",MAX($C179:$AI179),MIN($C179:$AI179)),$C179:$AI179,0)),AH176-INDEX($C168:$AJ178,9,MATCH(IF('Data-solution'!$A$3="Maximize",MAX($C179:$AI179),MIN($C179:$AI179)),$C179:$AI179,0))*INDEX(AH168:$AJ178,MATCH(MIN($AK168:$AK178),$AK168:$AK178,0),1)/INDEX($C168:$AJ178,MATCH(MIN($AK168:$AK178),$AK168:$AK178,0),MATCH(IF('Data-solution'!$A$3="Maximize",MAX($C179:$AI179),MIN($C179:$AI179)),$C179:$AI179,0))),AH176)</f>
        <v>0</v>
      </c>
      <c r="AI191" s="1">
        <f>IF(OR($B183&lt;&gt;$B168,$B184&lt;&gt;$B169,$B185&lt;&gt;$B170,$B186&lt;&gt;$B171,$B187&lt;&gt;$B172,$B188&lt;&gt;$B173,$B189&lt;&gt;$B174,$B190&lt;&gt;$B175,$B191&lt;&gt;$B176,$B192&lt;&gt;$B177,$B193&lt;&gt;$B178),IF($B191&lt;&gt;$B176,AI176/INDEX($C168:$AJ178,9,MATCH(IF('Data-solution'!$A$3="Maximize",MAX($C179:$AI179),MIN($C179:$AI179)),$C179:$AI179,0)),AI176-INDEX($C168:$AJ178,9,MATCH(IF('Data-solution'!$A$3="Maximize",MAX($C179:$AI179),MIN($C179:$AI179)),$C179:$AI179,0))*INDEX(AI168:$AJ178,MATCH(MIN($AK168:$AK178),$AK168:$AK178,0),1)/INDEX($C168:$AJ178,MATCH(MIN($AK168:$AK178),$AK168:$AK178,0),MATCH(IF('Data-solution'!$A$3="Maximize",MAX($C179:$AI179),MIN($C179:$AI179)),$C179:$AI179,0))),AI176)</f>
        <v>0</v>
      </c>
      <c r="AJ191" s="1">
        <f>IF(OR($B183&lt;&gt;$B168,$B184&lt;&gt;$B169,$B185&lt;&gt;$B170,$B186&lt;&gt;$B171,$B187&lt;&gt;$B172,$B188&lt;&gt;$B173,$B189&lt;&gt;$B174,$B190&lt;&gt;$B175,$B191&lt;&gt;$B176,$B192&lt;&gt;$B177,$B193&lt;&gt;$B178),IF($B191&lt;&gt;$B176,AJ176/INDEX($C168:$AJ178,9,MATCH(IF('Data-solution'!$A$3="Maximize",MAX($C179:$AI179),MIN($C179:$AI179)),$C179:$AI179,0)),AJ176-INDEX($C168:$AJ178,9,MATCH(IF('Data-solution'!$A$3="Maximize",MAX($C179:$AI179),MIN($C179:$AI179)),$C179:$AI179,0))*INDEX(AJ168:$AJ178,MATCH(MIN($AK168:$AK178),$AK168:$AK178,0),1)/INDEX($C168:$AJ178,MATCH(MIN($AK168:$AK178),$AK168:$AK178,0),MATCH(IF('Data-solution'!$A$3="Maximize",MAX($C179:$AI179),MIN($C179:$AI179)),$C179:$AI179,0))),AJ176)</f>
        <v>0</v>
      </c>
      <c r="AK191" s="1" t="str">
        <f>IF(INDEX(C191:X191,1,MATCH(IF('Data-solution'!A$3="Maximize",MAX(C194:X194),MIN(C194:X194)),C194:X194,0))&gt;0,AJ191/INDEX(C191:X191,1,MATCH(IF('Data-solution'!A$3="Maximize",MAX(C194:X194),MIN(C194:X194)),C194:X194,0))," ")</f>
        <v xml:space="preserve"> </v>
      </c>
    </row>
    <row r="192" spans="1:37" ht="18" customHeight="1" x14ac:dyDescent="0.2">
      <c r="A192" s="1">
        <f t="shared" ref="A192" si="165">INDEX(C181:AI181,1,MATCH(B192,C182:AI182,0))</f>
        <v>0</v>
      </c>
      <c r="B192" s="2" t="str">
        <f>IF(AND('Data-solution'!A$3="Maximize",COUNTIF(C179:X179,"&gt;"&amp;0)&gt;0,AK177=MIN(AK168:AK178),COUNTIF(B183:B191,INDEX(C167:X167,1,MATCH(MAX(C179:X179),C179:X179,0)))=0),INDEX(C167:X167,1,MATCH(MAX(C179:X179),C179:X179,0)),IF(AND('Data-solution'!A$3="Minimize",COUNTIF(C179:X179,"&lt;"&amp;0)&gt;0,AK177=MIN(AK168:AK178),COUNTIF(B183:B191,INDEX(C167:X167,1,MATCH(MIN(C179:X179),C179:X179,0)))=0),INDEX(C167:X167,1,MATCH(MIN(C179:X179),C179:X179,0)),B177))</f>
        <v>S10</v>
      </c>
      <c r="C192" s="1">
        <f>IF(OR($B183&lt;&gt;$B168,$B184&lt;&gt;$B169,$B185&lt;&gt;$B170,$B186&lt;&gt;$B171,$B187&lt;&gt;$B172,$B188&lt;&gt;$B173,$B189&lt;&gt;$B174,$B190&lt;&gt;$B175,$B191&lt;&gt;$B176,$B192&lt;&gt;$B177,$B193&lt;&gt;$B178),IF($B192&lt;&gt;$B177,C177/INDEX($C168:$AJ178,10,MATCH(IF('Data-solution'!$A$3="Maximize",MAX($C179:$AI179),MIN($C179:$AI179)),$C179:$AI179,0)),C177-INDEX($C168:$AJ178,10,MATCH(IF('Data-solution'!$A$3="Maximize",MAX($C179:$AI179),MIN($C179:$AI179)),$C179:$AI179,0))*INDEX(C168:$AJ178,MATCH(MIN($AK168:$AK178),$AK168:$AK178,0),1)/INDEX($C168:$AJ178,MATCH(MIN($AK168:$AK178),$AK168:$AK178,0),MATCH(IF('Data-solution'!$A$3="Maximize",MAX($C179:$AI179),MIN($C179:$AI179)),$C179:$AI179,0))),C177)</f>
        <v>0</v>
      </c>
      <c r="D192" s="1">
        <f>IF(OR($B183&lt;&gt;$B168,$B184&lt;&gt;$B169,$B185&lt;&gt;$B170,$B186&lt;&gt;$B171,$B187&lt;&gt;$B172,$B188&lt;&gt;$B173,$B189&lt;&gt;$B174,$B190&lt;&gt;$B175,$B191&lt;&gt;$B176,$B192&lt;&gt;$B177,$B193&lt;&gt;$B178),IF($B192&lt;&gt;$B177,D177/INDEX($C168:$AJ178,10,MATCH(IF('Data-solution'!$A$3="Maximize",MAX($C179:$AI179),MIN($C179:$AI179)),$C179:$AI179,0)),D177-INDEX($C168:$AJ178,10,MATCH(IF('Data-solution'!$A$3="Maximize",MAX($C179:$AI179),MIN($C179:$AI179)),$C179:$AI179,0))*INDEX(D168:$AJ178,MATCH(MIN($AK168:$AK178),$AK168:$AK178,0),1)/INDEX($C168:$AJ178,MATCH(MIN($AK168:$AK178),$AK168:$AK178,0),MATCH(IF('Data-solution'!$A$3="Maximize",MAX($C179:$AI179),MIN($C179:$AI179)),$C179:$AI179,0))),D177)</f>
        <v>0</v>
      </c>
      <c r="E192" s="1">
        <f>IF(OR($B183&lt;&gt;$B168,$B184&lt;&gt;$B169,$B185&lt;&gt;$B170,$B186&lt;&gt;$B171,$B187&lt;&gt;$B172,$B188&lt;&gt;$B173,$B189&lt;&gt;$B174,$B190&lt;&gt;$B175,$B191&lt;&gt;$B176,$B192&lt;&gt;$B177,$B193&lt;&gt;$B178),IF($B192&lt;&gt;$B177,E177/INDEX($C168:$AJ178,10,MATCH(IF('Data-solution'!$A$3="Maximize",MAX($C179:$AI179),MIN($C179:$AI179)),$C179:$AI179,0)),E177-INDEX($C168:$AJ178,10,MATCH(IF('Data-solution'!$A$3="Maximize",MAX($C179:$AI179),MIN($C179:$AI179)),$C179:$AI179,0))*INDEX(E168:$AJ178,MATCH(MIN($AK168:$AK178),$AK168:$AK178,0),1)/INDEX($C168:$AJ178,MATCH(MIN($AK168:$AK178),$AK168:$AK178,0),MATCH(IF('Data-solution'!$A$3="Maximize",MAX($C179:$AI179),MIN($C179:$AI179)),$C179:$AI179,0))),E177)</f>
        <v>0</v>
      </c>
      <c r="F192" s="1">
        <f>IF(OR($B183&lt;&gt;$B168,$B184&lt;&gt;$B169,$B185&lt;&gt;$B170,$B186&lt;&gt;$B171,$B187&lt;&gt;$B172,$B188&lt;&gt;$B173,$B189&lt;&gt;$B174,$B190&lt;&gt;$B175,$B191&lt;&gt;$B176,$B192&lt;&gt;$B177,$B193&lt;&gt;$B178),IF($B192&lt;&gt;$B177,F177/INDEX($C168:$AJ178,10,MATCH(IF('Data-solution'!$A$3="Maximize",MAX($C179:$AI179),MIN($C179:$AI179)),$C179:$AI179,0)),F177-INDEX($C168:$AJ178,10,MATCH(IF('Data-solution'!$A$3="Maximize",MAX($C179:$AI179),MIN($C179:$AI179)),$C179:$AI179,0))*INDEX(F168:$AJ178,MATCH(MIN($AK168:$AK178),$AK168:$AK178,0),1)/INDEX($C168:$AJ178,MATCH(MIN($AK168:$AK178),$AK168:$AK178,0),MATCH(IF('Data-solution'!$A$3="Maximize",MAX($C179:$AI179),MIN($C179:$AI179)),$C179:$AI179,0))),F177)</f>
        <v>0</v>
      </c>
      <c r="G192" s="1">
        <f>IF(OR($B183&lt;&gt;$B168,$B184&lt;&gt;$B169,$B185&lt;&gt;$B170,$B186&lt;&gt;$B171,$B187&lt;&gt;$B172,$B188&lt;&gt;$B173,$B189&lt;&gt;$B174,$B190&lt;&gt;$B175,$B191&lt;&gt;$B176,$B192&lt;&gt;$B177,$B193&lt;&gt;$B178),IF($B192&lt;&gt;$B177,G177/INDEX($C168:$AJ178,10,MATCH(IF('Data-solution'!$A$3="Maximize",MAX($C179:$AI179),MIN($C179:$AI179)),$C179:$AI179,0)),G177-INDEX($C168:$AJ178,10,MATCH(IF('Data-solution'!$A$3="Maximize",MAX($C179:$AI179),MIN($C179:$AI179)),$C179:$AI179,0))*INDEX(G168:$AJ178,MATCH(MIN($AK168:$AK178),$AK168:$AK178,0),1)/INDEX($C168:$AJ178,MATCH(MIN($AK168:$AK178),$AK168:$AK178,0),MATCH(IF('Data-solution'!$A$3="Maximize",MAX($C179:$AI179),MIN($C179:$AI179)),$C179:$AI179,0))),G177)</f>
        <v>0</v>
      </c>
      <c r="H192" s="1">
        <f>IF(OR($B183&lt;&gt;$B168,$B184&lt;&gt;$B169,$B185&lt;&gt;$B170,$B186&lt;&gt;$B171,$B187&lt;&gt;$B172,$B188&lt;&gt;$B173,$B189&lt;&gt;$B174,$B190&lt;&gt;$B175,$B191&lt;&gt;$B176,$B192&lt;&gt;$B177,$B193&lt;&gt;$B178),IF($B192&lt;&gt;$B177,H177/INDEX($C168:$AJ178,10,MATCH(IF('Data-solution'!$A$3="Maximize",MAX($C179:$AI179),MIN($C179:$AI179)),$C179:$AI179,0)),H177-INDEX($C168:$AJ178,10,MATCH(IF('Data-solution'!$A$3="Maximize",MAX($C179:$AI179),MIN($C179:$AI179)),$C179:$AI179,0))*INDEX(H168:$AJ178,MATCH(MIN($AK168:$AK178),$AK168:$AK178,0),1)/INDEX($C168:$AJ178,MATCH(MIN($AK168:$AK178),$AK168:$AK178,0),MATCH(IF('Data-solution'!$A$3="Maximize",MAX($C179:$AI179),MIN($C179:$AI179)),$C179:$AI179,0))),H177)</f>
        <v>0</v>
      </c>
      <c r="I192" s="1">
        <f>IF(OR($B183&lt;&gt;$B168,$B184&lt;&gt;$B169,$B185&lt;&gt;$B170,$B186&lt;&gt;$B171,$B187&lt;&gt;$B172,$B188&lt;&gt;$B173,$B189&lt;&gt;$B174,$B190&lt;&gt;$B175,$B191&lt;&gt;$B176,$B192&lt;&gt;$B177,$B193&lt;&gt;$B178),IF($B192&lt;&gt;$B177,I177/INDEX($C168:$AJ178,10,MATCH(IF('Data-solution'!$A$3="Maximize",MAX($C179:$AI179),MIN($C179:$AI179)),$C179:$AI179,0)),I177-INDEX($C168:$AJ178,10,MATCH(IF('Data-solution'!$A$3="Maximize",MAX($C179:$AI179),MIN($C179:$AI179)),$C179:$AI179,0))*INDEX(I168:$AJ178,MATCH(MIN($AK168:$AK178),$AK168:$AK178,0),1)/INDEX($C168:$AJ178,MATCH(MIN($AK168:$AK178),$AK168:$AK178,0),MATCH(IF('Data-solution'!$A$3="Maximize",MAX($C179:$AI179),MIN($C179:$AI179)),$C179:$AI179,0))),I177)</f>
        <v>0</v>
      </c>
      <c r="J192" s="1">
        <f>IF(OR($B183&lt;&gt;$B168,$B184&lt;&gt;$B169,$B185&lt;&gt;$B170,$B186&lt;&gt;$B171,$B187&lt;&gt;$B172,$B188&lt;&gt;$B173,$B189&lt;&gt;$B174,$B190&lt;&gt;$B175,$B191&lt;&gt;$B176,$B192&lt;&gt;$B177,$B193&lt;&gt;$B178),IF($B192&lt;&gt;$B177,J177/INDEX($C168:$AJ178,10,MATCH(IF('Data-solution'!$A$3="Maximize",MAX($C179:$AI179),MIN($C179:$AI179)),$C179:$AI179,0)),J177-INDEX($C168:$AJ178,10,MATCH(IF('Data-solution'!$A$3="Maximize",MAX($C179:$AI179),MIN($C179:$AI179)),$C179:$AI179,0))*INDEX(J168:$AJ178,MATCH(MIN($AK168:$AK178),$AK168:$AK178,0),1)/INDEX($C168:$AJ178,MATCH(MIN($AK168:$AK178),$AK168:$AK178,0),MATCH(IF('Data-solution'!$A$3="Maximize",MAX($C179:$AI179),MIN($C179:$AI179)),$C179:$AI179,0))),J177)</f>
        <v>0</v>
      </c>
      <c r="K192" s="1">
        <f>IF(OR($B183&lt;&gt;$B168,$B184&lt;&gt;$B169,$B185&lt;&gt;$B170,$B186&lt;&gt;$B171,$B187&lt;&gt;$B172,$B188&lt;&gt;$B173,$B189&lt;&gt;$B174,$B190&lt;&gt;$B175,$B191&lt;&gt;$B176,$B192&lt;&gt;$B177,$B193&lt;&gt;$B178),IF($B192&lt;&gt;$B177,K177/INDEX($C168:$AJ178,10,MATCH(IF('Data-solution'!$A$3="Maximize",MAX($C179:$AI179),MIN($C179:$AI179)),$C179:$AI179,0)),K177-INDEX($C168:$AJ178,10,MATCH(IF('Data-solution'!$A$3="Maximize",MAX($C179:$AI179),MIN($C179:$AI179)),$C179:$AI179,0))*INDEX(K168:$AJ178,MATCH(MIN($AK168:$AK178),$AK168:$AK178,0),1)/INDEX($C168:$AJ178,MATCH(MIN($AK168:$AK178),$AK168:$AK178,0),MATCH(IF('Data-solution'!$A$3="Maximize",MAX($C179:$AI179),MIN($C179:$AI179)),$C179:$AI179,0))),K177)</f>
        <v>0</v>
      </c>
      <c r="L192" s="1">
        <f>IF(OR($B183&lt;&gt;$B168,$B184&lt;&gt;$B169,$B185&lt;&gt;$B170,$B186&lt;&gt;$B171,$B187&lt;&gt;$B172,$B188&lt;&gt;$B173,$B189&lt;&gt;$B174,$B190&lt;&gt;$B175,$B191&lt;&gt;$B176,$B192&lt;&gt;$B177,$B193&lt;&gt;$B178),IF($B192&lt;&gt;$B177,L177/INDEX($C168:$AJ178,10,MATCH(IF('Data-solution'!$A$3="Maximize",MAX($C179:$AI179),MIN($C179:$AI179)),$C179:$AI179,0)),L177-INDEX($C168:$AJ178,10,MATCH(IF('Data-solution'!$A$3="Maximize",MAX($C179:$AI179),MIN($C179:$AI179)),$C179:$AI179,0))*INDEX(L168:$AJ178,MATCH(MIN($AK168:$AK178),$AK168:$AK178,0),1)/INDEX($C168:$AJ178,MATCH(MIN($AK168:$AK178),$AK168:$AK178,0),MATCH(IF('Data-solution'!$A$3="Maximize",MAX($C179:$AI179),MIN($C179:$AI179)),$C179:$AI179,0))),L177)</f>
        <v>0</v>
      </c>
      <c r="M192" s="1">
        <f>IF(OR($B183&lt;&gt;$B168,$B184&lt;&gt;$B169,$B185&lt;&gt;$B170,$B186&lt;&gt;$B171,$B187&lt;&gt;$B172,$B188&lt;&gt;$B173,$B189&lt;&gt;$B174,$B190&lt;&gt;$B175,$B191&lt;&gt;$B176,$B192&lt;&gt;$B177,$B193&lt;&gt;$B178),IF($B192&lt;&gt;$B177,M177/INDEX($C168:$AJ178,10,MATCH(IF('Data-solution'!$A$3="Maximize",MAX($C179:$AI179),MIN($C179:$AI179)),$C179:$AI179,0)),M177-INDEX($C168:$AJ178,10,MATCH(IF('Data-solution'!$A$3="Maximize",MAX($C179:$AI179),MIN($C179:$AI179)),$C179:$AI179,0))*INDEX(M168:$AJ178,MATCH(MIN($AK168:$AK178),$AK168:$AK178,0),1)/INDEX($C168:$AJ178,MATCH(MIN($AK168:$AK178),$AK168:$AK178,0),MATCH(IF('Data-solution'!$A$3="Maximize",MAX($C179:$AI179),MIN($C179:$AI179)),$C179:$AI179,0))),M177)</f>
        <v>0</v>
      </c>
      <c r="N192" s="1">
        <f>IF(OR($B183&lt;&gt;$B168,$B184&lt;&gt;$B169,$B185&lt;&gt;$B170,$B186&lt;&gt;$B171,$B187&lt;&gt;$B172,$B188&lt;&gt;$B173,$B189&lt;&gt;$B174,$B190&lt;&gt;$B175,$B191&lt;&gt;$B176,$B192&lt;&gt;$B177,$B193&lt;&gt;$B178),IF($B192&lt;&gt;$B177,N177/INDEX($C168:$AJ178,10,MATCH(IF('Data-solution'!$A$3="Maximize",MAX($C179:$AI179),MIN($C179:$AI179)),$C179:$AI179,0)),N177-INDEX($C168:$AJ178,10,MATCH(IF('Data-solution'!$A$3="Maximize",MAX($C179:$AI179),MIN($C179:$AI179)),$C179:$AI179,0))*INDEX(N168:$AJ178,MATCH(MIN($AK168:$AK178),$AK168:$AK178,0),1)/INDEX($C168:$AJ178,MATCH(MIN($AK168:$AK178),$AK168:$AK178,0),MATCH(IF('Data-solution'!$A$3="Maximize",MAX($C179:$AI179),MIN($C179:$AI179)),$C179:$AI179,0))),N177)</f>
        <v>0</v>
      </c>
      <c r="O192" s="1">
        <f>IF(OR($B183&lt;&gt;$B168,$B184&lt;&gt;$B169,$B185&lt;&gt;$B170,$B186&lt;&gt;$B171,$B187&lt;&gt;$B172,$B188&lt;&gt;$B173,$B189&lt;&gt;$B174,$B190&lt;&gt;$B175,$B191&lt;&gt;$B176,$B192&lt;&gt;$B177,$B193&lt;&gt;$B178),IF($B192&lt;&gt;$B177,O177/INDEX($C168:$AJ178,10,MATCH(IF('Data-solution'!$A$3="Maximize",MAX($C179:$AI179),MIN($C179:$AI179)),$C179:$AI179,0)),O177-INDEX($C168:$AJ178,10,MATCH(IF('Data-solution'!$A$3="Maximize",MAX($C179:$AI179),MIN($C179:$AI179)),$C179:$AI179,0))*INDEX(O168:$AJ178,MATCH(MIN($AK168:$AK178),$AK168:$AK178,0),1)/INDEX($C168:$AJ178,MATCH(MIN($AK168:$AK178),$AK168:$AK178,0),MATCH(IF('Data-solution'!$A$3="Maximize",MAX($C179:$AI179),MIN($C179:$AI179)),$C179:$AI179,0))),O177)</f>
        <v>0</v>
      </c>
      <c r="P192" s="1">
        <f>IF(OR($B183&lt;&gt;$B168,$B184&lt;&gt;$B169,$B185&lt;&gt;$B170,$B186&lt;&gt;$B171,$B187&lt;&gt;$B172,$B188&lt;&gt;$B173,$B189&lt;&gt;$B174,$B190&lt;&gt;$B175,$B191&lt;&gt;$B176,$B192&lt;&gt;$B177,$B193&lt;&gt;$B178),IF($B192&lt;&gt;$B177,P177/INDEX($C168:$AJ178,10,MATCH(IF('Data-solution'!$A$3="Maximize",MAX($C179:$AI179),MIN($C179:$AI179)),$C179:$AI179,0)),P177-INDEX($C168:$AJ178,10,MATCH(IF('Data-solution'!$A$3="Maximize",MAX($C179:$AI179),MIN($C179:$AI179)),$C179:$AI179,0))*INDEX(P168:$AJ178,MATCH(MIN($AK168:$AK178),$AK168:$AK178,0),1)/INDEX($C168:$AJ178,MATCH(MIN($AK168:$AK178),$AK168:$AK178,0),MATCH(IF('Data-solution'!$A$3="Maximize",MAX($C179:$AI179),MIN($C179:$AI179)),$C179:$AI179,0))),P177)</f>
        <v>0</v>
      </c>
      <c r="Q192" s="1">
        <f>IF(OR($B183&lt;&gt;$B168,$B184&lt;&gt;$B169,$B185&lt;&gt;$B170,$B186&lt;&gt;$B171,$B187&lt;&gt;$B172,$B188&lt;&gt;$B173,$B189&lt;&gt;$B174,$B190&lt;&gt;$B175,$B191&lt;&gt;$B176,$B192&lt;&gt;$B177,$B193&lt;&gt;$B178),IF($B192&lt;&gt;$B177,Q177/INDEX($C168:$AJ178,10,MATCH(IF('Data-solution'!$A$3="Maximize",MAX($C179:$AI179),MIN($C179:$AI179)),$C179:$AI179,0)),Q177-INDEX($C168:$AJ178,10,MATCH(IF('Data-solution'!$A$3="Maximize",MAX($C179:$AI179),MIN($C179:$AI179)),$C179:$AI179,0))*INDEX(Q168:$AJ178,MATCH(MIN($AK168:$AK178),$AK168:$AK178,0),1)/INDEX($C168:$AJ178,MATCH(MIN($AK168:$AK178),$AK168:$AK178,0),MATCH(IF('Data-solution'!$A$3="Maximize",MAX($C179:$AI179),MIN($C179:$AI179)),$C179:$AI179,0))),Q177)</f>
        <v>0</v>
      </c>
      <c r="R192" s="1">
        <f>IF(OR($B183&lt;&gt;$B168,$B184&lt;&gt;$B169,$B185&lt;&gt;$B170,$B186&lt;&gt;$B171,$B187&lt;&gt;$B172,$B188&lt;&gt;$B173,$B189&lt;&gt;$B174,$B190&lt;&gt;$B175,$B191&lt;&gt;$B176,$B192&lt;&gt;$B177,$B193&lt;&gt;$B178),IF($B192&lt;&gt;$B177,R177/INDEX($C168:$AJ178,10,MATCH(IF('Data-solution'!$A$3="Maximize",MAX($C179:$AI179),MIN($C179:$AI179)),$C179:$AI179,0)),R177-INDEX($C168:$AJ178,10,MATCH(IF('Data-solution'!$A$3="Maximize",MAX($C179:$AI179),MIN($C179:$AI179)),$C179:$AI179,0))*INDEX(R168:$AJ178,MATCH(MIN($AK168:$AK178),$AK168:$AK178,0),1)/INDEX($C168:$AJ178,MATCH(MIN($AK168:$AK178),$AK168:$AK178,0),MATCH(IF('Data-solution'!$A$3="Maximize",MAX($C179:$AI179),MIN($C179:$AI179)),$C179:$AI179,0))),R177)</f>
        <v>0</v>
      </c>
      <c r="S192" s="1">
        <f>IF(OR($B183&lt;&gt;$B168,$B184&lt;&gt;$B169,$B185&lt;&gt;$B170,$B186&lt;&gt;$B171,$B187&lt;&gt;$B172,$B188&lt;&gt;$B173,$B189&lt;&gt;$B174,$B190&lt;&gt;$B175,$B191&lt;&gt;$B176,$B192&lt;&gt;$B177,$B193&lt;&gt;$B178),IF($B192&lt;&gt;$B177,S177/INDEX($C168:$AJ178,10,MATCH(IF('Data-solution'!$A$3="Maximize",MAX($C179:$AI179),MIN($C179:$AI179)),$C179:$AI179,0)),S177-INDEX($C168:$AJ178,10,MATCH(IF('Data-solution'!$A$3="Maximize",MAX($C179:$AI179),MIN($C179:$AI179)),$C179:$AI179,0))*INDEX(S168:$AJ178,MATCH(MIN($AK168:$AK178),$AK168:$AK178,0),1)/INDEX($C168:$AJ178,MATCH(MIN($AK168:$AK178),$AK168:$AK178,0),MATCH(IF('Data-solution'!$A$3="Maximize",MAX($C179:$AI179),MIN($C179:$AI179)),$C179:$AI179,0))),S177)</f>
        <v>0</v>
      </c>
      <c r="T192" s="1">
        <f>IF(OR($B183&lt;&gt;$B168,$B184&lt;&gt;$B169,$B185&lt;&gt;$B170,$B186&lt;&gt;$B171,$B187&lt;&gt;$B172,$B188&lt;&gt;$B173,$B189&lt;&gt;$B174,$B190&lt;&gt;$B175,$B191&lt;&gt;$B176,$B192&lt;&gt;$B177,$B193&lt;&gt;$B178),IF($B192&lt;&gt;$B177,T177/INDEX($C168:$AJ178,10,MATCH(IF('Data-solution'!$A$3="Maximize",MAX($C179:$AI179),MIN($C179:$AI179)),$C179:$AI179,0)),T177-INDEX($C168:$AJ178,10,MATCH(IF('Data-solution'!$A$3="Maximize",MAX($C179:$AI179),MIN($C179:$AI179)),$C179:$AI179,0))*INDEX(T168:$AJ178,MATCH(MIN($AK168:$AK178),$AK168:$AK178,0),1)/INDEX($C168:$AJ178,MATCH(MIN($AK168:$AK178),$AK168:$AK178,0),MATCH(IF('Data-solution'!$A$3="Maximize",MAX($C179:$AI179),MIN($C179:$AI179)),$C179:$AI179,0))),T177)</f>
        <v>0</v>
      </c>
      <c r="U192" s="1">
        <f>IF(OR($B183&lt;&gt;$B168,$B184&lt;&gt;$B169,$B185&lt;&gt;$B170,$B186&lt;&gt;$B171,$B187&lt;&gt;$B172,$B188&lt;&gt;$B173,$B189&lt;&gt;$B174,$B190&lt;&gt;$B175,$B191&lt;&gt;$B176,$B192&lt;&gt;$B177,$B193&lt;&gt;$B178),IF($B192&lt;&gt;$B177,U177/INDEX($C168:$AJ178,10,MATCH(IF('Data-solution'!$A$3="Maximize",MAX($C179:$AI179),MIN($C179:$AI179)),$C179:$AI179,0)),U177-INDEX($C168:$AJ178,10,MATCH(IF('Data-solution'!$A$3="Maximize",MAX($C179:$AI179),MIN($C179:$AI179)),$C179:$AI179,0))*INDEX(U168:$AJ178,MATCH(MIN($AK168:$AK178),$AK168:$AK178,0),1)/INDEX($C168:$AJ178,MATCH(MIN($AK168:$AK178),$AK168:$AK178,0),MATCH(IF('Data-solution'!$A$3="Maximize",MAX($C179:$AI179),MIN($C179:$AI179)),$C179:$AI179,0))),U177)</f>
        <v>0</v>
      </c>
      <c r="V192" s="1">
        <f>IF(OR($B183&lt;&gt;$B168,$B184&lt;&gt;$B169,$B185&lt;&gt;$B170,$B186&lt;&gt;$B171,$B187&lt;&gt;$B172,$B188&lt;&gt;$B173,$B189&lt;&gt;$B174,$B190&lt;&gt;$B175,$B191&lt;&gt;$B176,$B192&lt;&gt;$B177,$B193&lt;&gt;$B178),IF($B192&lt;&gt;$B177,V177/INDEX($C168:$AJ178,10,MATCH(IF('Data-solution'!$A$3="Maximize",MAX($C179:$AI179),MIN($C179:$AI179)),$C179:$AI179,0)),V177-INDEX($C168:$AJ178,10,MATCH(IF('Data-solution'!$A$3="Maximize",MAX($C179:$AI179),MIN($C179:$AI179)),$C179:$AI179,0))*INDEX(V168:$AJ178,MATCH(MIN($AK168:$AK178),$AK168:$AK178,0),1)/INDEX($C168:$AJ178,MATCH(MIN($AK168:$AK178),$AK168:$AK178,0),MATCH(IF('Data-solution'!$A$3="Maximize",MAX($C179:$AI179),MIN($C179:$AI179)),$C179:$AI179,0))),V177)</f>
        <v>0</v>
      </c>
      <c r="W192" s="1">
        <f>IF(OR($B183&lt;&gt;$B168,$B184&lt;&gt;$B169,$B185&lt;&gt;$B170,$B186&lt;&gt;$B171,$B187&lt;&gt;$B172,$B188&lt;&gt;$B173,$B189&lt;&gt;$B174,$B190&lt;&gt;$B175,$B191&lt;&gt;$B176,$B192&lt;&gt;$B177,$B193&lt;&gt;$B178),IF($B192&lt;&gt;$B177,W177/INDEX($C168:$AJ178,10,MATCH(IF('Data-solution'!$A$3="Maximize",MAX($C179:$AI179),MIN($C179:$AI179)),$C179:$AI179,0)),W177-INDEX($C168:$AJ178,10,MATCH(IF('Data-solution'!$A$3="Maximize",MAX($C179:$AI179),MIN($C179:$AI179)),$C179:$AI179,0))*INDEX(W168:$AJ178,MATCH(MIN($AK168:$AK178),$AK168:$AK178,0),1)/INDEX($C168:$AJ178,MATCH(MIN($AK168:$AK178),$AK168:$AK178,0),MATCH(IF('Data-solution'!$A$3="Maximize",MAX($C179:$AI179),MIN($C179:$AI179)),$C179:$AI179,0))),W177)</f>
        <v>1</v>
      </c>
      <c r="X192" s="1">
        <f>IF(OR($B183&lt;&gt;$B168,$B184&lt;&gt;$B169,$B185&lt;&gt;$B170,$B186&lt;&gt;$B171,$B187&lt;&gt;$B172,$B188&lt;&gt;$B173,$B189&lt;&gt;$B174,$B190&lt;&gt;$B175,$B191&lt;&gt;$B176,$B192&lt;&gt;$B177,$B193&lt;&gt;$B178),IF($B192&lt;&gt;$B177,X177/INDEX($C168:$AJ178,10,MATCH(IF('Data-solution'!$A$3="Maximize",MAX($C179:$AI179),MIN($C179:$AI179)),$C179:$AI179,0)),X177-INDEX($C168:$AJ178,10,MATCH(IF('Data-solution'!$A$3="Maximize",MAX($C179:$AI179),MIN($C179:$AI179)),$C179:$AI179,0))*INDEX(X168:$AJ178,MATCH(MIN($AK168:$AK178),$AK168:$AK178,0),1)/INDEX($C168:$AJ178,MATCH(MIN($AK168:$AK178),$AK168:$AK178,0),MATCH(IF('Data-solution'!$A$3="Maximize",MAX($C179:$AI179),MIN($C179:$AI179)),$C179:$AI179,0))),X177)</f>
        <v>0</v>
      </c>
      <c r="Y192" s="1">
        <f>IF(OR($B183&lt;&gt;$B168,$B184&lt;&gt;$B169,$B185&lt;&gt;$B170,$B186&lt;&gt;$B171,$B187&lt;&gt;$B172,$B188&lt;&gt;$B173,$B189&lt;&gt;$B174,$B190&lt;&gt;$B175,$B191&lt;&gt;$B176,$B192&lt;&gt;$B177,$B193&lt;&gt;$B178),IF($B192&lt;&gt;$B177,Y177/INDEX($C168:$AJ178,10,MATCH(IF('Data-solution'!$A$3="Maximize",MAX($C179:$AI179),MIN($C179:$AI179)),$C179:$AI179,0)),Y177-INDEX($C168:$AJ178,10,MATCH(IF('Data-solution'!$A$3="Maximize",MAX($C179:$AI179),MIN($C179:$AI179)),$C179:$AI179,0))*INDEX(Y168:$AJ178,MATCH(MIN($AK168:$AK178),$AK168:$AK178,0),1)/INDEX($C168:$AJ178,MATCH(MIN($AK168:$AK178),$AK168:$AK178,0),MATCH(IF('Data-solution'!$A$3="Maximize",MAX($C179:$AI179),MIN($C179:$AI179)),$C179:$AI179,0))),Y177)</f>
        <v>0</v>
      </c>
      <c r="Z192" s="1">
        <f>IF(OR($B183&lt;&gt;$B168,$B184&lt;&gt;$B169,$B185&lt;&gt;$B170,$B186&lt;&gt;$B171,$B187&lt;&gt;$B172,$B188&lt;&gt;$B173,$B189&lt;&gt;$B174,$B190&lt;&gt;$B175,$B191&lt;&gt;$B176,$B192&lt;&gt;$B177,$B193&lt;&gt;$B178),IF($B192&lt;&gt;$B177,Z177/INDEX($C168:$AJ178,10,MATCH(IF('Data-solution'!$A$3="Maximize",MAX($C179:$AI179),MIN($C179:$AI179)),$C179:$AI179,0)),Z177-INDEX($C168:$AJ178,10,MATCH(IF('Data-solution'!$A$3="Maximize",MAX($C179:$AI179),MIN($C179:$AI179)),$C179:$AI179,0))*INDEX(Z168:$AJ178,MATCH(MIN($AK168:$AK178),$AK168:$AK178,0),1)/INDEX($C168:$AJ178,MATCH(MIN($AK168:$AK178),$AK168:$AK178,0),MATCH(IF('Data-solution'!$A$3="Maximize",MAX($C179:$AI179),MIN($C179:$AI179)),$C179:$AI179,0))),Z177)</f>
        <v>0</v>
      </c>
      <c r="AA192" s="1">
        <f>IF(OR($B183&lt;&gt;$B168,$B184&lt;&gt;$B169,$B185&lt;&gt;$B170,$B186&lt;&gt;$B171,$B187&lt;&gt;$B172,$B188&lt;&gt;$B173,$B189&lt;&gt;$B174,$B190&lt;&gt;$B175,$B191&lt;&gt;$B176,$B192&lt;&gt;$B177,$B193&lt;&gt;$B178),IF($B192&lt;&gt;$B177,AA177/INDEX($C168:$AJ178,10,MATCH(IF('Data-solution'!$A$3="Maximize",MAX($C179:$AI179),MIN($C179:$AI179)),$C179:$AI179,0)),AA177-INDEX($C168:$AJ178,10,MATCH(IF('Data-solution'!$A$3="Maximize",MAX($C179:$AI179),MIN($C179:$AI179)),$C179:$AI179,0))*INDEX(AA168:$AJ178,MATCH(MIN($AK168:$AK178),$AK168:$AK178,0),1)/INDEX($C168:$AJ178,MATCH(MIN($AK168:$AK178),$AK168:$AK178,0),MATCH(IF('Data-solution'!$A$3="Maximize",MAX($C179:$AI179),MIN($C179:$AI179)),$C179:$AI179,0))),AA177)</f>
        <v>0</v>
      </c>
      <c r="AB192" s="1">
        <f>IF(OR($B183&lt;&gt;$B168,$B184&lt;&gt;$B169,$B185&lt;&gt;$B170,$B186&lt;&gt;$B171,$B187&lt;&gt;$B172,$B188&lt;&gt;$B173,$B189&lt;&gt;$B174,$B190&lt;&gt;$B175,$B191&lt;&gt;$B176,$B192&lt;&gt;$B177,$B193&lt;&gt;$B178),IF($B192&lt;&gt;$B177,AB177/INDEX($C168:$AJ178,10,MATCH(IF('Data-solution'!$A$3="Maximize",MAX($C179:$AI179),MIN($C179:$AI179)),$C179:$AI179,0)),AB177-INDEX($C168:$AJ178,10,MATCH(IF('Data-solution'!$A$3="Maximize",MAX($C179:$AI179),MIN($C179:$AI179)),$C179:$AI179,0))*INDEX(AB168:$AJ178,MATCH(MIN($AK168:$AK178),$AK168:$AK178,0),1)/INDEX($C168:$AJ178,MATCH(MIN($AK168:$AK178),$AK168:$AK178,0),MATCH(IF('Data-solution'!$A$3="Maximize",MAX($C179:$AI179),MIN($C179:$AI179)),$C179:$AI179,0))),AB177)</f>
        <v>0</v>
      </c>
      <c r="AC192" s="1">
        <f>IF(OR($B183&lt;&gt;$B168,$B184&lt;&gt;$B169,$B185&lt;&gt;$B170,$B186&lt;&gt;$B171,$B187&lt;&gt;$B172,$B188&lt;&gt;$B173,$B189&lt;&gt;$B174,$B190&lt;&gt;$B175,$B191&lt;&gt;$B176,$B192&lt;&gt;$B177,$B193&lt;&gt;$B178),IF($B192&lt;&gt;$B177,AC177/INDEX($C168:$AJ178,10,MATCH(IF('Data-solution'!$A$3="Maximize",MAX($C179:$AI179),MIN($C179:$AI179)),$C179:$AI179,0)),AC177-INDEX($C168:$AJ178,10,MATCH(IF('Data-solution'!$A$3="Maximize",MAX($C179:$AI179),MIN($C179:$AI179)),$C179:$AI179,0))*INDEX(AC168:$AJ178,MATCH(MIN($AK168:$AK178),$AK168:$AK178,0),1)/INDEX($C168:$AJ178,MATCH(MIN($AK168:$AK178),$AK168:$AK178,0),MATCH(IF('Data-solution'!$A$3="Maximize",MAX($C179:$AI179),MIN($C179:$AI179)),$C179:$AI179,0))),AC177)</f>
        <v>0</v>
      </c>
      <c r="AD192" s="1">
        <f>IF(OR($B183&lt;&gt;$B168,$B184&lt;&gt;$B169,$B185&lt;&gt;$B170,$B186&lt;&gt;$B171,$B187&lt;&gt;$B172,$B188&lt;&gt;$B173,$B189&lt;&gt;$B174,$B190&lt;&gt;$B175,$B191&lt;&gt;$B176,$B192&lt;&gt;$B177,$B193&lt;&gt;$B178),IF($B192&lt;&gt;$B177,AD177/INDEX($C168:$AJ178,10,MATCH(IF('Data-solution'!$A$3="Maximize",MAX($C179:$AI179),MIN($C179:$AI179)),$C179:$AI179,0)),AD177-INDEX($C168:$AJ178,10,MATCH(IF('Data-solution'!$A$3="Maximize",MAX($C179:$AI179),MIN($C179:$AI179)),$C179:$AI179,0))*INDEX(AD168:$AJ178,MATCH(MIN($AK168:$AK178),$AK168:$AK178,0),1)/INDEX($C168:$AJ178,MATCH(MIN($AK168:$AK178),$AK168:$AK178,0),MATCH(IF('Data-solution'!$A$3="Maximize",MAX($C179:$AI179),MIN($C179:$AI179)),$C179:$AI179,0))),AD177)</f>
        <v>0</v>
      </c>
      <c r="AE192" s="1">
        <f>IF(OR($B183&lt;&gt;$B168,$B184&lt;&gt;$B169,$B185&lt;&gt;$B170,$B186&lt;&gt;$B171,$B187&lt;&gt;$B172,$B188&lt;&gt;$B173,$B189&lt;&gt;$B174,$B190&lt;&gt;$B175,$B191&lt;&gt;$B176,$B192&lt;&gt;$B177,$B193&lt;&gt;$B178),IF($B192&lt;&gt;$B177,AE177/INDEX($C168:$AJ178,10,MATCH(IF('Data-solution'!$A$3="Maximize",MAX($C179:$AI179),MIN($C179:$AI179)),$C179:$AI179,0)),AE177-INDEX($C168:$AJ178,10,MATCH(IF('Data-solution'!$A$3="Maximize",MAX($C179:$AI179),MIN($C179:$AI179)),$C179:$AI179,0))*INDEX(AE168:$AJ178,MATCH(MIN($AK168:$AK178),$AK168:$AK178,0),1)/INDEX($C168:$AJ178,MATCH(MIN($AK168:$AK178),$AK168:$AK178,0),MATCH(IF('Data-solution'!$A$3="Maximize",MAX($C179:$AI179),MIN($C179:$AI179)),$C179:$AI179,0))),AE177)</f>
        <v>0</v>
      </c>
      <c r="AF192" s="1">
        <f>IF(OR($B183&lt;&gt;$B168,$B184&lt;&gt;$B169,$B185&lt;&gt;$B170,$B186&lt;&gt;$B171,$B187&lt;&gt;$B172,$B188&lt;&gt;$B173,$B189&lt;&gt;$B174,$B190&lt;&gt;$B175,$B191&lt;&gt;$B176,$B192&lt;&gt;$B177,$B193&lt;&gt;$B178),IF($B192&lt;&gt;$B177,AF177/INDEX($C168:$AJ178,10,MATCH(IF('Data-solution'!$A$3="Maximize",MAX($C179:$AI179),MIN($C179:$AI179)),$C179:$AI179,0)),AF177-INDEX($C168:$AJ178,10,MATCH(IF('Data-solution'!$A$3="Maximize",MAX($C179:$AI179),MIN($C179:$AI179)),$C179:$AI179,0))*INDEX(AF168:$AJ178,MATCH(MIN($AK168:$AK178),$AK168:$AK178,0),1)/INDEX($C168:$AJ178,MATCH(MIN($AK168:$AK178),$AK168:$AK178,0),MATCH(IF('Data-solution'!$A$3="Maximize",MAX($C179:$AI179),MIN($C179:$AI179)),$C179:$AI179,0))),AF177)</f>
        <v>0</v>
      </c>
      <c r="AG192" s="1">
        <f>IF(OR($B183&lt;&gt;$B168,$B184&lt;&gt;$B169,$B185&lt;&gt;$B170,$B186&lt;&gt;$B171,$B187&lt;&gt;$B172,$B188&lt;&gt;$B173,$B189&lt;&gt;$B174,$B190&lt;&gt;$B175,$B191&lt;&gt;$B176,$B192&lt;&gt;$B177,$B193&lt;&gt;$B178),IF($B192&lt;&gt;$B177,AG177/INDEX($C168:$AJ178,10,MATCH(IF('Data-solution'!$A$3="Maximize",MAX($C179:$AI179),MIN($C179:$AI179)),$C179:$AI179,0)),AG177-INDEX($C168:$AJ178,10,MATCH(IF('Data-solution'!$A$3="Maximize",MAX($C179:$AI179),MIN($C179:$AI179)),$C179:$AI179,0))*INDEX(AG168:$AJ178,MATCH(MIN($AK168:$AK178),$AK168:$AK178,0),1)/INDEX($C168:$AJ178,MATCH(MIN($AK168:$AK178),$AK168:$AK178,0),MATCH(IF('Data-solution'!$A$3="Maximize",MAX($C179:$AI179),MIN($C179:$AI179)),$C179:$AI179,0))),AG177)</f>
        <v>0</v>
      </c>
      <c r="AH192" s="1">
        <f>IF(OR($B183&lt;&gt;$B168,$B184&lt;&gt;$B169,$B185&lt;&gt;$B170,$B186&lt;&gt;$B171,$B187&lt;&gt;$B172,$B188&lt;&gt;$B173,$B189&lt;&gt;$B174,$B190&lt;&gt;$B175,$B191&lt;&gt;$B176,$B192&lt;&gt;$B177,$B193&lt;&gt;$B178),IF($B192&lt;&gt;$B177,AH177/INDEX($C168:$AJ178,10,MATCH(IF('Data-solution'!$A$3="Maximize",MAX($C179:$AI179),MIN($C179:$AI179)),$C179:$AI179,0)),AH177-INDEX($C168:$AJ178,10,MATCH(IF('Data-solution'!$A$3="Maximize",MAX($C179:$AI179),MIN($C179:$AI179)),$C179:$AI179,0))*INDEX(AH168:$AJ178,MATCH(MIN($AK168:$AK178),$AK168:$AK178,0),1)/INDEX($C168:$AJ178,MATCH(MIN($AK168:$AK178),$AK168:$AK178,0),MATCH(IF('Data-solution'!$A$3="Maximize",MAX($C179:$AI179),MIN($C179:$AI179)),$C179:$AI179,0))),AH177)</f>
        <v>1</v>
      </c>
      <c r="AI192" s="1">
        <f>IF(OR($B183&lt;&gt;$B168,$B184&lt;&gt;$B169,$B185&lt;&gt;$B170,$B186&lt;&gt;$B171,$B187&lt;&gt;$B172,$B188&lt;&gt;$B173,$B189&lt;&gt;$B174,$B190&lt;&gt;$B175,$B191&lt;&gt;$B176,$B192&lt;&gt;$B177,$B193&lt;&gt;$B178),IF($B192&lt;&gt;$B177,AI177/INDEX($C168:$AJ178,10,MATCH(IF('Data-solution'!$A$3="Maximize",MAX($C179:$AI179),MIN($C179:$AI179)),$C179:$AI179,0)),AI177-INDEX($C168:$AJ178,10,MATCH(IF('Data-solution'!$A$3="Maximize",MAX($C179:$AI179),MIN($C179:$AI179)),$C179:$AI179,0))*INDEX(AI168:$AJ178,MATCH(MIN($AK168:$AK178),$AK168:$AK178,0),1)/INDEX($C168:$AJ178,MATCH(MIN($AK168:$AK178),$AK168:$AK178,0),MATCH(IF('Data-solution'!$A$3="Maximize",MAX($C179:$AI179),MIN($C179:$AI179)),$C179:$AI179,0))),AI177)</f>
        <v>0</v>
      </c>
      <c r="AJ192" s="1">
        <f>IF(OR($B183&lt;&gt;$B168,$B184&lt;&gt;$B169,$B185&lt;&gt;$B170,$B186&lt;&gt;$B171,$B187&lt;&gt;$B172,$B188&lt;&gt;$B173,$B189&lt;&gt;$B174,$B190&lt;&gt;$B175,$B191&lt;&gt;$B176,$B192&lt;&gt;$B177,$B193&lt;&gt;$B178),IF($B192&lt;&gt;$B177,AJ177/INDEX($C168:$AJ178,10,MATCH(IF('Data-solution'!$A$3="Maximize",MAX($C179:$AI179),MIN($C179:$AI179)),$C179:$AI179,0)),AJ177-INDEX($C168:$AJ178,10,MATCH(IF('Data-solution'!$A$3="Maximize",MAX($C179:$AI179),MIN($C179:$AI179)),$C179:$AI179,0))*INDEX(AJ168:$AJ178,MATCH(MIN($AK168:$AK178),$AK168:$AK178,0),1)/INDEX($C168:$AJ178,MATCH(MIN($AK168:$AK178),$AK168:$AK178,0),MATCH(IF('Data-solution'!$A$3="Maximize",MAX($C179:$AI179),MIN($C179:$AI179)),$C179:$AI179,0))),AJ177)</f>
        <v>0</v>
      </c>
      <c r="AK192" s="1" t="str">
        <f>IF(INDEX(C192:X192,1,MATCH(IF('Data-solution'!A$3="Maximize",MAX(C194:X194),MIN(C194:X194)),C194:X194,0))&gt;0,AJ192/INDEX(C192:X192,1,MATCH(IF('Data-solution'!A$3="Maximize",MAX(C194:X194),MIN(C194:X194)),C194:X194,0))," ")</f>
        <v xml:space="preserve"> </v>
      </c>
    </row>
    <row r="193" spans="1:37" ht="18" customHeight="1" x14ac:dyDescent="0.2">
      <c r="A193" s="1">
        <f t="shared" ref="A193" si="166">INDEX(C181:AI181,1,MATCH(B193,C182:AI182,0))</f>
        <v>0</v>
      </c>
      <c r="B193" s="2" t="str">
        <f>IF(AND('Data-solution'!A$3="Maximize",COUNTIF(C179:X179,"&gt;"&amp;0)&gt;0,AK178=MIN(AK168:AK178),COUNTIF(B183:B192,INDEX(C167:X167,1,MATCH(MAX(C179:X179),C179:X179,0)))=0),INDEX(C167:X167,1,MATCH(MAX(C179:X179),C179:X179,0)),IF(AND('Data-solution'!A$3="Minimize",COUNTIF(C179:X179,"&lt;"&amp;0)&gt;0,AK178=MIN(AK168:AK178),COUNTIF(B183:B192,INDEX(C167:X167,1,MATCH(MIN(C179:X179),C179:X179,0)))=0),INDEX(C167:X167,1,MATCH(MIN(C179:X179),C179:X179,0)),B178))</f>
        <v>S11</v>
      </c>
      <c r="C193" s="1">
        <f>IF(OR($B183&lt;&gt;$B168,$B184&lt;&gt;$B169,$B185&lt;&gt;$B170,$B186&lt;&gt;$B171,$B187&lt;&gt;$B172,$B188&lt;&gt;$B173,$B189&lt;&gt;$B174,$B190&lt;&gt;$B175,$B191&lt;&gt;$B176,$B192&lt;&gt;$B177,$B193&lt;&gt;$B178),IF($B193&lt;&gt;$B178,C178/INDEX($C168:$AJ178,11,MATCH(IF('Data-solution'!$A$3="Maximize",MAX($C179:$AI179),MIN($C179:$AI179)),$C179:$AI179,0)),C178-INDEX($C168:$AJ178,11,MATCH(IF('Data-solution'!$A$3="Maximize",MAX($C179:$AI179),MIN($C179:$AI179)),$C179:$AI179,0))*INDEX(C168:$AJ178,MATCH(MIN($AK168:$AK178),$AK168:$AK178,0),1)/INDEX($C168:$AJ178,MATCH(MIN($AK168:$AK178),$AK168:$AK178,0),MATCH(IF('Data-solution'!$A$3="Maximize",MAX($C179:$AI179),MIN($C179:$AI179)),$C179:$AI179,0))),C178)</f>
        <v>0</v>
      </c>
      <c r="D193" s="1">
        <f>IF(OR($B183&lt;&gt;$B168,$B184&lt;&gt;$B169,$B185&lt;&gt;$B170,$B186&lt;&gt;$B171,$B187&lt;&gt;$B172,$B188&lt;&gt;$B173,$B189&lt;&gt;$B174,$B190&lt;&gt;$B175,$B191&lt;&gt;$B176,$B192&lt;&gt;$B177,$B193&lt;&gt;$B178),IF($B193&lt;&gt;$B178,D178/INDEX($C168:$AJ178,11,MATCH(IF('Data-solution'!$A$3="Maximize",MAX($C179:$AI179),MIN($C179:$AI179)),$C179:$AI179,0)),D178-INDEX($C168:$AJ178,11,MATCH(IF('Data-solution'!$A$3="Maximize",MAX($C179:$AI179),MIN($C179:$AI179)),$C179:$AI179,0))*INDEX(D168:$AJ178,MATCH(MIN($AK168:$AK178),$AK168:$AK178,0),1)/INDEX($C168:$AJ178,MATCH(MIN($AK168:$AK178),$AK168:$AK178,0),MATCH(IF('Data-solution'!$A$3="Maximize",MAX($C179:$AI179),MIN($C179:$AI179)),$C179:$AI179,0))),D178)</f>
        <v>0</v>
      </c>
      <c r="E193" s="1">
        <f>IF(OR($B183&lt;&gt;$B168,$B184&lt;&gt;$B169,$B185&lt;&gt;$B170,$B186&lt;&gt;$B171,$B187&lt;&gt;$B172,$B188&lt;&gt;$B173,$B189&lt;&gt;$B174,$B190&lt;&gt;$B175,$B191&lt;&gt;$B176,$B192&lt;&gt;$B177,$B193&lt;&gt;$B178),IF($B193&lt;&gt;$B178,E178/INDEX($C168:$AJ178,11,MATCH(IF('Data-solution'!$A$3="Maximize",MAX($C179:$AI179),MIN($C179:$AI179)),$C179:$AI179,0)),E178-INDEX($C168:$AJ178,11,MATCH(IF('Data-solution'!$A$3="Maximize",MAX($C179:$AI179),MIN($C179:$AI179)),$C179:$AI179,0))*INDEX(E168:$AJ178,MATCH(MIN($AK168:$AK178),$AK168:$AK178,0),1)/INDEX($C168:$AJ178,MATCH(MIN($AK168:$AK178),$AK168:$AK178,0),MATCH(IF('Data-solution'!$A$3="Maximize",MAX($C179:$AI179),MIN($C179:$AI179)),$C179:$AI179,0))),E178)</f>
        <v>0</v>
      </c>
      <c r="F193" s="1">
        <f>IF(OR($B183&lt;&gt;$B168,$B184&lt;&gt;$B169,$B185&lt;&gt;$B170,$B186&lt;&gt;$B171,$B187&lt;&gt;$B172,$B188&lt;&gt;$B173,$B189&lt;&gt;$B174,$B190&lt;&gt;$B175,$B191&lt;&gt;$B176,$B192&lt;&gt;$B177,$B193&lt;&gt;$B178),IF($B193&lt;&gt;$B178,F178/INDEX($C168:$AJ178,11,MATCH(IF('Data-solution'!$A$3="Maximize",MAX($C179:$AI179),MIN($C179:$AI179)),$C179:$AI179,0)),F178-INDEX($C168:$AJ178,11,MATCH(IF('Data-solution'!$A$3="Maximize",MAX($C179:$AI179),MIN($C179:$AI179)),$C179:$AI179,0))*INDEX(F168:$AJ178,MATCH(MIN($AK168:$AK178),$AK168:$AK178,0),1)/INDEX($C168:$AJ178,MATCH(MIN($AK168:$AK178),$AK168:$AK178,0),MATCH(IF('Data-solution'!$A$3="Maximize",MAX($C179:$AI179),MIN($C179:$AI179)),$C179:$AI179,0))),F178)</f>
        <v>0</v>
      </c>
      <c r="G193" s="1">
        <f>IF(OR($B183&lt;&gt;$B168,$B184&lt;&gt;$B169,$B185&lt;&gt;$B170,$B186&lt;&gt;$B171,$B187&lt;&gt;$B172,$B188&lt;&gt;$B173,$B189&lt;&gt;$B174,$B190&lt;&gt;$B175,$B191&lt;&gt;$B176,$B192&lt;&gt;$B177,$B193&lt;&gt;$B178),IF($B193&lt;&gt;$B178,G178/INDEX($C168:$AJ178,11,MATCH(IF('Data-solution'!$A$3="Maximize",MAX($C179:$AI179),MIN($C179:$AI179)),$C179:$AI179,0)),G178-INDEX($C168:$AJ178,11,MATCH(IF('Data-solution'!$A$3="Maximize",MAX($C179:$AI179),MIN($C179:$AI179)),$C179:$AI179,0))*INDEX(G168:$AJ178,MATCH(MIN($AK168:$AK178),$AK168:$AK178,0),1)/INDEX($C168:$AJ178,MATCH(MIN($AK168:$AK178),$AK168:$AK178,0),MATCH(IF('Data-solution'!$A$3="Maximize",MAX($C179:$AI179),MIN($C179:$AI179)),$C179:$AI179,0))),G178)</f>
        <v>0</v>
      </c>
      <c r="H193" s="1">
        <f>IF(OR($B183&lt;&gt;$B168,$B184&lt;&gt;$B169,$B185&lt;&gt;$B170,$B186&lt;&gt;$B171,$B187&lt;&gt;$B172,$B188&lt;&gt;$B173,$B189&lt;&gt;$B174,$B190&lt;&gt;$B175,$B191&lt;&gt;$B176,$B192&lt;&gt;$B177,$B193&lt;&gt;$B178),IF($B193&lt;&gt;$B178,H178/INDEX($C168:$AJ178,11,MATCH(IF('Data-solution'!$A$3="Maximize",MAX($C179:$AI179),MIN($C179:$AI179)),$C179:$AI179,0)),H178-INDEX($C168:$AJ178,11,MATCH(IF('Data-solution'!$A$3="Maximize",MAX($C179:$AI179),MIN($C179:$AI179)),$C179:$AI179,0))*INDEX(H168:$AJ178,MATCH(MIN($AK168:$AK178),$AK168:$AK178,0),1)/INDEX($C168:$AJ178,MATCH(MIN($AK168:$AK178),$AK168:$AK178,0),MATCH(IF('Data-solution'!$A$3="Maximize",MAX($C179:$AI179),MIN($C179:$AI179)),$C179:$AI179,0))),H178)</f>
        <v>0</v>
      </c>
      <c r="I193" s="1">
        <f>IF(OR($B183&lt;&gt;$B168,$B184&lt;&gt;$B169,$B185&lt;&gt;$B170,$B186&lt;&gt;$B171,$B187&lt;&gt;$B172,$B188&lt;&gt;$B173,$B189&lt;&gt;$B174,$B190&lt;&gt;$B175,$B191&lt;&gt;$B176,$B192&lt;&gt;$B177,$B193&lt;&gt;$B178),IF($B193&lt;&gt;$B178,I178/INDEX($C168:$AJ178,11,MATCH(IF('Data-solution'!$A$3="Maximize",MAX($C179:$AI179),MIN($C179:$AI179)),$C179:$AI179,0)),I178-INDEX($C168:$AJ178,11,MATCH(IF('Data-solution'!$A$3="Maximize",MAX($C179:$AI179),MIN($C179:$AI179)),$C179:$AI179,0))*INDEX(I168:$AJ178,MATCH(MIN($AK168:$AK178),$AK168:$AK178,0),1)/INDEX($C168:$AJ178,MATCH(MIN($AK168:$AK178),$AK168:$AK178,0),MATCH(IF('Data-solution'!$A$3="Maximize",MAX($C179:$AI179),MIN($C179:$AI179)),$C179:$AI179,0))),I178)</f>
        <v>0</v>
      </c>
      <c r="J193" s="1">
        <f>IF(OR($B183&lt;&gt;$B168,$B184&lt;&gt;$B169,$B185&lt;&gt;$B170,$B186&lt;&gt;$B171,$B187&lt;&gt;$B172,$B188&lt;&gt;$B173,$B189&lt;&gt;$B174,$B190&lt;&gt;$B175,$B191&lt;&gt;$B176,$B192&lt;&gt;$B177,$B193&lt;&gt;$B178),IF($B193&lt;&gt;$B178,J178/INDEX($C168:$AJ178,11,MATCH(IF('Data-solution'!$A$3="Maximize",MAX($C179:$AI179),MIN($C179:$AI179)),$C179:$AI179,0)),J178-INDEX($C168:$AJ178,11,MATCH(IF('Data-solution'!$A$3="Maximize",MAX($C179:$AI179),MIN($C179:$AI179)),$C179:$AI179,0))*INDEX(J168:$AJ178,MATCH(MIN($AK168:$AK178),$AK168:$AK178,0),1)/INDEX($C168:$AJ178,MATCH(MIN($AK168:$AK178),$AK168:$AK178,0),MATCH(IF('Data-solution'!$A$3="Maximize",MAX($C179:$AI179),MIN($C179:$AI179)),$C179:$AI179,0))),J178)</f>
        <v>0</v>
      </c>
      <c r="K193" s="1">
        <f>IF(OR($B183&lt;&gt;$B168,$B184&lt;&gt;$B169,$B185&lt;&gt;$B170,$B186&lt;&gt;$B171,$B187&lt;&gt;$B172,$B188&lt;&gt;$B173,$B189&lt;&gt;$B174,$B190&lt;&gt;$B175,$B191&lt;&gt;$B176,$B192&lt;&gt;$B177,$B193&lt;&gt;$B178),IF($B193&lt;&gt;$B178,K178/INDEX($C168:$AJ178,11,MATCH(IF('Data-solution'!$A$3="Maximize",MAX($C179:$AI179),MIN($C179:$AI179)),$C179:$AI179,0)),K178-INDEX($C168:$AJ178,11,MATCH(IF('Data-solution'!$A$3="Maximize",MAX($C179:$AI179),MIN($C179:$AI179)),$C179:$AI179,0))*INDEX(K168:$AJ178,MATCH(MIN($AK168:$AK178),$AK168:$AK178,0),1)/INDEX($C168:$AJ178,MATCH(MIN($AK168:$AK178),$AK168:$AK178,0),MATCH(IF('Data-solution'!$A$3="Maximize",MAX($C179:$AI179),MIN($C179:$AI179)),$C179:$AI179,0))),K178)</f>
        <v>0</v>
      </c>
      <c r="L193" s="1">
        <f>IF(OR($B183&lt;&gt;$B168,$B184&lt;&gt;$B169,$B185&lt;&gt;$B170,$B186&lt;&gt;$B171,$B187&lt;&gt;$B172,$B188&lt;&gt;$B173,$B189&lt;&gt;$B174,$B190&lt;&gt;$B175,$B191&lt;&gt;$B176,$B192&lt;&gt;$B177,$B193&lt;&gt;$B178),IF($B193&lt;&gt;$B178,L178/INDEX($C168:$AJ178,11,MATCH(IF('Data-solution'!$A$3="Maximize",MAX($C179:$AI179),MIN($C179:$AI179)),$C179:$AI179,0)),L178-INDEX($C168:$AJ178,11,MATCH(IF('Data-solution'!$A$3="Maximize",MAX($C179:$AI179),MIN($C179:$AI179)),$C179:$AI179,0))*INDEX(L168:$AJ178,MATCH(MIN($AK168:$AK178),$AK168:$AK178,0),1)/INDEX($C168:$AJ178,MATCH(MIN($AK168:$AK178),$AK168:$AK178,0),MATCH(IF('Data-solution'!$A$3="Maximize",MAX($C179:$AI179),MIN($C179:$AI179)),$C179:$AI179,0))),L178)</f>
        <v>0</v>
      </c>
      <c r="M193" s="1">
        <f>IF(OR($B183&lt;&gt;$B168,$B184&lt;&gt;$B169,$B185&lt;&gt;$B170,$B186&lt;&gt;$B171,$B187&lt;&gt;$B172,$B188&lt;&gt;$B173,$B189&lt;&gt;$B174,$B190&lt;&gt;$B175,$B191&lt;&gt;$B176,$B192&lt;&gt;$B177,$B193&lt;&gt;$B178),IF($B193&lt;&gt;$B178,M178/INDEX($C168:$AJ178,11,MATCH(IF('Data-solution'!$A$3="Maximize",MAX($C179:$AI179),MIN($C179:$AI179)),$C179:$AI179,0)),M178-INDEX($C168:$AJ178,11,MATCH(IF('Data-solution'!$A$3="Maximize",MAX($C179:$AI179),MIN($C179:$AI179)),$C179:$AI179,0))*INDEX(M168:$AJ178,MATCH(MIN($AK168:$AK178),$AK168:$AK178,0),1)/INDEX($C168:$AJ178,MATCH(MIN($AK168:$AK178),$AK168:$AK178,0),MATCH(IF('Data-solution'!$A$3="Maximize",MAX($C179:$AI179),MIN($C179:$AI179)),$C179:$AI179,0))),M178)</f>
        <v>0</v>
      </c>
      <c r="N193" s="1">
        <f>IF(OR($B183&lt;&gt;$B168,$B184&lt;&gt;$B169,$B185&lt;&gt;$B170,$B186&lt;&gt;$B171,$B187&lt;&gt;$B172,$B188&lt;&gt;$B173,$B189&lt;&gt;$B174,$B190&lt;&gt;$B175,$B191&lt;&gt;$B176,$B192&lt;&gt;$B177,$B193&lt;&gt;$B178),IF($B193&lt;&gt;$B178,N178/INDEX($C168:$AJ178,11,MATCH(IF('Data-solution'!$A$3="Maximize",MAX($C179:$AI179),MIN($C179:$AI179)),$C179:$AI179,0)),N178-INDEX($C168:$AJ178,11,MATCH(IF('Data-solution'!$A$3="Maximize",MAX($C179:$AI179),MIN($C179:$AI179)),$C179:$AI179,0))*INDEX(N168:$AJ178,MATCH(MIN($AK168:$AK178),$AK168:$AK178,0),1)/INDEX($C168:$AJ178,MATCH(MIN($AK168:$AK178),$AK168:$AK178,0),MATCH(IF('Data-solution'!$A$3="Maximize",MAX($C179:$AI179),MIN($C179:$AI179)),$C179:$AI179,0))),N178)</f>
        <v>0</v>
      </c>
      <c r="O193" s="1">
        <f>IF(OR($B183&lt;&gt;$B168,$B184&lt;&gt;$B169,$B185&lt;&gt;$B170,$B186&lt;&gt;$B171,$B187&lt;&gt;$B172,$B188&lt;&gt;$B173,$B189&lt;&gt;$B174,$B190&lt;&gt;$B175,$B191&lt;&gt;$B176,$B192&lt;&gt;$B177,$B193&lt;&gt;$B178),IF($B193&lt;&gt;$B178,O178/INDEX($C168:$AJ178,11,MATCH(IF('Data-solution'!$A$3="Maximize",MAX($C179:$AI179),MIN($C179:$AI179)),$C179:$AI179,0)),O178-INDEX($C168:$AJ178,11,MATCH(IF('Data-solution'!$A$3="Maximize",MAX($C179:$AI179),MIN($C179:$AI179)),$C179:$AI179,0))*INDEX(O168:$AJ178,MATCH(MIN($AK168:$AK178),$AK168:$AK178,0),1)/INDEX($C168:$AJ178,MATCH(MIN($AK168:$AK178),$AK168:$AK178,0),MATCH(IF('Data-solution'!$A$3="Maximize",MAX($C179:$AI179),MIN($C179:$AI179)),$C179:$AI179,0))),O178)</f>
        <v>0</v>
      </c>
      <c r="P193" s="1">
        <f>IF(OR($B183&lt;&gt;$B168,$B184&lt;&gt;$B169,$B185&lt;&gt;$B170,$B186&lt;&gt;$B171,$B187&lt;&gt;$B172,$B188&lt;&gt;$B173,$B189&lt;&gt;$B174,$B190&lt;&gt;$B175,$B191&lt;&gt;$B176,$B192&lt;&gt;$B177,$B193&lt;&gt;$B178),IF($B193&lt;&gt;$B178,P178/INDEX($C168:$AJ178,11,MATCH(IF('Data-solution'!$A$3="Maximize",MAX($C179:$AI179),MIN($C179:$AI179)),$C179:$AI179,0)),P178-INDEX($C168:$AJ178,11,MATCH(IF('Data-solution'!$A$3="Maximize",MAX($C179:$AI179),MIN($C179:$AI179)),$C179:$AI179,0))*INDEX(P168:$AJ178,MATCH(MIN($AK168:$AK178),$AK168:$AK178,0),1)/INDEX($C168:$AJ178,MATCH(MIN($AK168:$AK178),$AK168:$AK178,0),MATCH(IF('Data-solution'!$A$3="Maximize",MAX($C179:$AI179),MIN($C179:$AI179)),$C179:$AI179,0))),P178)</f>
        <v>0</v>
      </c>
      <c r="Q193" s="1">
        <f>IF(OR($B183&lt;&gt;$B168,$B184&lt;&gt;$B169,$B185&lt;&gt;$B170,$B186&lt;&gt;$B171,$B187&lt;&gt;$B172,$B188&lt;&gt;$B173,$B189&lt;&gt;$B174,$B190&lt;&gt;$B175,$B191&lt;&gt;$B176,$B192&lt;&gt;$B177,$B193&lt;&gt;$B178),IF($B193&lt;&gt;$B178,Q178/INDEX($C168:$AJ178,11,MATCH(IF('Data-solution'!$A$3="Maximize",MAX($C179:$AI179),MIN($C179:$AI179)),$C179:$AI179,0)),Q178-INDEX($C168:$AJ178,11,MATCH(IF('Data-solution'!$A$3="Maximize",MAX($C179:$AI179),MIN($C179:$AI179)),$C179:$AI179,0))*INDEX(Q168:$AJ178,MATCH(MIN($AK168:$AK178),$AK168:$AK178,0),1)/INDEX($C168:$AJ178,MATCH(MIN($AK168:$AK178),$AK168:$AK178,0),MATCH(IF('Data-solution'!$A$3="Maximize",MAX($C179:$AI179),MIN($C179:$AI179)),$C179:$AI179,0))),Q178)</f>
        <v>0</v>
      </c>
      <c r="R193" s="1">
        <f>IF(OR($B183&lt;&gt;$B168,$B184&lt;&gt;$B169,$B185&lt;&gt;$B170,$B186&lt;&gt;$B171,$B187&lt;&gt;$B172,$B188&lt;&gt;$B173,$B189&lt;&gt;$B174,$B190&lt;&gt;$B175,$B191&lt;&gt;$B176,$B192&lt;&gt;$B177,$B193&lt;&gt;$B178),IF($B193&lt;&gt;$B178,R178/INDEX($C168:$AJ178,11,MATCH(IF('Data-solution'!$A$3="Maximize",MAX($C179:$AI179),MIN($C179:$AI179)),$C179:$AI179,0)),R178-INDEX($C168:$AJ178,11,MATCH(IF('Data-solution'!$A$3="Maximize",MAX($C179:$AI179),MIN($C179:$AI179)),$C179:$AI179,0))*INDEX(R168:$AJ178,MATCH(MIN($AK168:$AK178),$AK168:$AK178,0),1)/INDEX($C168:$AJ178,MATCH(MIN($AK168:$AK178),$AK168:$AK178,0),MATCH(IF('Data-solution'!$A$3="Maximize",MAX($C179:$AI179),MIN($C179:$AI179)),$C179:$AI179,0))),R178)</f>
        <v>0</v>
      </c>
      <c r="S193" s="1">
        <f>IF(OR($B183&lt;&gt;$B168,$B184&lt;&gt;$B169,$B185&lt;&gt;$B170,$B186&lt;&gt;$B171,$B187&lt;&gt;$B172,$B188&lt;&gt;$B173,$B189&lt;&gt;$B174,$B190&lt;&gt;$B175,$B191&lt;&gt;$B176,$B192&lt;&gt;$B177,$B193&lt;&gt;$B178),IF($B193&lt;&gt;$B178,S178/INDEX($C168:$AJ178,11,MATCH(IF('Data-solution'!$A$3="Maximize",MAX($C179:$AI179),MIN($C179:$AI179)),$C179:$AI179,0)),S178-INDEX($C168:$AJ178,11,MATCH(IF('Data-solution'!$A$3="Maximize",MAX($C179:$AI179),MIN($C179:$AI179)),$C179:$AI179,0))*INDEX(S168:$AJ178,MATCH(MIN($AK168:$AK178),$AK168:$AK178,0),1)/INDEX($C168:$AJ178,MATCH(MIN($AK168:$AK178),$AK168:$AK178,0),MATCH(IF('Data-solution'!$A$3="Maximize",MAX($C179:$AI179),MIN($C179:$AI179)),$C179:$AI179,0))),S178)</f>
        <v>0</v>
      </c>
      <c r="T193" s="1">
        <f>IF(OR($B183&lt;&gt;$B168,$B184&lt;&gt;$B169,$B185&lt;&gt;$B170,$B186&lt;&gt;$B171,$B187&lt;&gt;$B172,$B188&lt;&gt;$B173,$B189&lt;&gt;$B174,$B190&lt;&gt;$B175,$B191&lt;&gt;$B176,$B192&lt;&gt;$B177,$B193&lt;&gt;$B178),IF($B193&lt;&gt;$B178,T178/INDEX($C168:$AJ178,11,MATCH(IF('Data-solution'!$A$3="Maximize",MAX($C179:$AI179),MIN($C179:$AI179)),$C179:$AI179,0)),T178-INDEX($C168:$AJ178,11,MATCH(IF('Data-solution'!$A$3="Maximize",MAX($C179:$AI179),MIN($C179:$AI179)),$C179:$AI179,0))*INDEX(T168:$AJ178,MATCH(MIN($AK168:$AK178),$AK168:$AK178,0),1)/INDEX($C168:$AJ178,MATCH(MIN($AK168:$AK178),$AK168:$AK178,0),MATCH(IF('Data-solution'!$A$3="Maximize",MAX($C179:$AI179),MIN($C179:$AI179)),$C179:$AI179,0))),T178)</f>
        <v>0</v>
      </c>
      <c r="U193" s="1">
        <f>IF(OR($B183&lt;&gt;$B168,$B184&lt;&gt;$B169,$B185&lt;&gt;$B170,$B186&lt;&gt;$B171,$B187&lt;&gt;$B172,$B188&lt;&gt;$B173,$B189&lt;&gt;$B174,$B190&lt;&gt;$B175,$B191&lt;&gt;$B176,$B192&lt;&gt;$B177,$B193&lt;&gt;$B178),IF($B193&lt;&gt;$B178,U178/INDEX($C168:$AJ178,11,MATCH(IF('Data-solution'!$A$3="Maximize",MAX($C179:$AI179),MIN($C179:$AI179)),$C179:$AI179,0)),U178-INDEX($C168:$AJ178,11,MATCH(IF('Data-solution'!$A$3="Maximize",MAX($C179:$AI179),MIN($C179:$AI179)),$C179:$AI179,0))*INDEX(U168:$AJ178,MATCH(MIN($AK168:$AK178),$AK168:$AK178,0),1)/INDEX($C168:$AJ178,MATCH(MIN($AK168:$AK178),$AK168:$AK178,0),MATCH(IF('Data-solution'!$A$3="Maximize",MAX($C179:$AI179),MIN($C179:$AI179)),$C179:$AI179,0))),U178)</f>
        <v>0</v>
      </c>
      <c r="V193" s="1">
        <f>IF(OR($B183&lt;&gt;$B168,$B184&lt;&gt;$B169,$B185&lt;&gt;$B170,$B186&lt;&gt;$B171,$B187&lt;&gt;$B172,$B188&lt;&gt;$B173,$B189&lt;&gt;$B174,$B190&lt;&gt;$B175,$B191&lt;&gt;$B176,$B192&lt;&gt;$B177,$B193&lt;&gt;$B178),IF($B193&lt;&gt;$B178,V178/INDEX($C168:$AJ178,11,MATCH(IF('Data-solution'!$A$3="Maximize",MAX($C179:$AI179),MIN($C179:$AI179)),$C179:$AI179,0)),V178-INDEX($C168:$AJ178,11,MATCH(IF('Data-solution'!$A$3="Maximize",MAX($C179:$AI179),MIN($C179:$AI179)),$C179:$AI179,0))*INDEX(V168:$AJ178,MATCH(MIN($AK168:$AK178),$AK168:$AK178,0),1)/INDEX($C168:$AJ178,MATCH(MIN($AK168:$AK178),$AK168:$AK178,0),MATCH(IF('Data-solution'!$A$3="Maximize",MAX($C179:$AI179),MIN($C179:$AI179)),$C179:$AI179,0))),V178)</f>
        <v>0</v>
      </c>
      <c r="W193" s="1">
        <f>IF(OR($B183&lt;&gt;$B168,$B184&lt;&gt;$B169,$B185&lt;&gt;$B170,$B186&lt;&gt;$B171,$B187&lt;&gt;$B172,$B188&lt;&gt;$B173,$B189&lt;&gt;$B174,$B190&lt;&gt;$B175,$B191&lt;&gt;$B176,$B192&lt;&gt;$B177,$B193&lt;&gt;$B178),IF($B193&lt;&gt;$B178,W178/INDEX($C168:$AJ178,11,MATCH(IF('Data-solution'!$A$3="Maximize",MAX($C179:$AI179),MIN($C179:$AI179)),$C179:$AI179,0)),W178-INDEX($C168:$AJ178,11,MATCH(IF('Data-solution'!$A$3="Maximize",MAX($C179:$AI179),MIN($C179:$AI179)),$C179:$AI179,0))*INDEX(W168:$AJ178,MATCH(MIN($AK168:$AK178),$AK168:$AK178,0),1)/INDEX($C168:$AJ178,MATCH(MIN($AK168:$AK178),$AK168:$AK178,0),MATCH(IF('Data-solution'!$A$3="Maximize",MAX($C179:$AI179),MIN($C179:$AI179)),$C179:$AI179,0))),W178)</f>
        <v>0</v>
      </c>
      <c r="X193" s="1">
        <f>IF(OR($B183&lt;&gt;$B168,$B184&lt;&gt;$B169,$B185&lt;&gt;$B170,$B186&lt;&gt;$B171,$B187&lt;&gt;$B172,$B188&lt;&gt;$B173,$B189&lt;&gt;$B174,$B190&lt;&gt;$B175,$B191&lt;&gt;$B176,$B192&lt;&gt;$B177,$B193&lt;&gt;$B178),IF($B193&lt;&gt;$B178,X178/INDEX($C168:$AJ178,11,MATCH(IF('Data-solution'!$A$3="Maximize",MAX($C179:$AI179),MIN($C179:$AI179)),$C179:$AI179,0)),X178-INDEX($C168:$AJ178,11,MATCH(IF('Data-solution'!$A$3="Maximize",MAX($C179:$AI179),MIN($C179:$AI179)),$C179:$AI179,0))*INDEX(X168:$AJ178,MATCH(MIN($AK168:$AK178),$AK168:$AK178,0),1)/INDEX($C168:$AJ178,MATCH(MIN($AK168:$AK178),$AK168:$AK178,0),MATCH(IF('Data-solution'!$A$3="Maximize",MAX($C179:$AI179),MIN($C179:$AI179)),$C179:$AI179,0))),X178)</f>
        <v>1</v>
      </c>
      <c r="Y193" s="1">
        <f>IF(OR($B183&lt;&gt;$B168,$B184&lt;&gt;$B169,$B185&lt;&gt;$B170,$B186&lt;&gt;$B171,$B187&lt;&gt;$B172,$B188&lt;&gt;$B173,$B189&lt;&gt;$B174,$B190&lt;&gt;$B175,$B191&lt;&gt;$B176,$B192&lt;&gt;$B177,$B193&lt;&gt;$B178),IF($B193&lt;&gt;$B178,Y178/INDEX($C168:$AJ178,11,MATCH(IF('Data-solution'!$A$3="Maximize",MAX($C179:$AI179),MIN($C179:$AI179)),$C179:$AI179,0)),Y178-INDEX($C168:$AJ178,11,MATCH(IF('Data-solution'!$A$3="Maximize",MAX($C179:$AI179),MIN($C179:$AI179)),$C179:$AI179,0))*INDEX(Y168:$AJ178,MATCH(MIN($AK168:$AK178),$AK168:$AK178,0),1)/INDEX($C168:$AJ178,MATCH(MIN($AK168:$AK178),$AK168:$AK178,0),MATCH(IF('Data-solution'!$A$3="Maximize",MAX($C179:$AI179),MIN($C179:$AI179)),$C179:$AI179,0))),Y178)</f>
        <v>0</v>
      </c>
      <c r="Z193" s="1">
        <f>IF(OR($B183&lt;&gt;$B168,$B184&lt;&gt;$B169,$B185&lt;&gt;$B170,$B186&lt;&gt;$B171,$B187&lt;&gt;$B172,$B188&lt;&gt;$B173,$B189&lt;&gt;$B174,$B190&lt;&gt;$B175,$B191&lt;&gt;$B176,$B192&lt;&gt;$B177,$B193&lt;&gt;$B178),IF($B193&lt;&gt;$B178,Z178/INDEX($C168:$AJ178,11,MATCH(IF('Data-solution'!$A$3="Maximize",MAX($C179:$AI179),MIN($C179:$AI179)),$C179:$AI179,0)),Z178-INDEX($C168:$AJ178,11,MATCH(IF('Data-solution'!$A$3="Maximize",MAX($C179:$AI179),MIN($C179:$AI179)),$C179:$AI179,0))*INDEX(Z168:$AJ178,MATCH(MIN($AK168:$AK178),$AK168:$AK178,0),1)/INDEX($C168:$AJ178,MATCH(MIN($AK168:$AK178),$AK168:$AK178,0),MATCH(IF('Data-solution'!$A$3="Maximize",MAX($C179:$AI179),MIN($C179:$AI179)),$C179:$AI179,0))),Z178)</f>
        <v>0</v>
      </c>
      <c r="AA193" s="1">
        <f>IF(OR($B183&lt;&gt;$B168,$B184&lt;&gt;$B169,$B185&lt;&gt;$B170,$B186&lt;&gt;$B171,$B187&lt;&gt;$B172,$B188&lt;&gt;$B173,$B189&lt;&gt;$B174,$B190&lt;&gt;$B175,$B191&lt;&gt;$B176,$B192&lt;&gt;$B177,$B193&lt;&gt;$B178),IF($B193&lt;&gt;$B178,AA178/INDEX($C168:$AJ178,11,MATCH(IF('Data-solution'!$A$3="Maximize",MAX($C179:$AI179),MIN($C179:$AI179)),$C179:$AI179,0)),AA178-INDEX($C168:$AJ178,11,MATCH(IF('Data-solution'!$A$3="Maximize",MAX($C179:$AI179),MIN($C179:$AI179)),$C179:$AI179,0))*INDEX(AA168:$AJ178,MATCH(MIN($AK168:$AK178),$AK168:$AK178,0),1)/INDEX($C168:$AJ178,MATCH(MIN($AK168:$AK178),$AK168:$AK178,0),MATCH(IF('Data-solution'!$A$3="Maximize",MAX($C179:$AI179),MIN($C179:$AI179)),$C179:$AI179,0))),AA178)</f>
        <v>0</v>
      </c>
      <c r="AB193" s="1">
        <f>IF(OR($B183&lt;&gt;$B168,$B184&lt;&gt;$B169,$B185&lt;&gt;$B170,$B186&lt;&gt;$B171,$B187&lt;&gt;$B172,$B188&lt;&gt;$B173,$B189&lt;&gt;$B174,$B190&lt;&gt;$B175,$B191&lt;&gt;$B176,$B192&lt;&gt;$B177,$B193&lt;&gt;$B178),IF($B193&lt;&gt;$B178,AB178/INDEX($C168:$AJ178,11,MATCH(IF('Data-solution'!$A$3="Maximize",MAX($C179:$AI179),MIN($C179:$AI179)),$C179:$AI179,0)),AB178-INDEX($C168:$AJ178,11,MATCH(IF('Data-solution'!$A$3="Maximize",MAX($C179:$AI179),MIN($C179:$AI179)),$C179:$AI179,0))*INDEX(AB168:$AJ178,MATCH(MIN($AK168:$AK178),$AK168:$AK178,0),1)/INDEX($C168:$AJ178,MATCH(MIN($AK168:$AK178),$AK168:$AK178,0),MATCH(IF('Data-solution'!$A$3="Maximize",MAX($C179:$AI179),MIN($C179:$AI179)),$C179:$AI179,0))),AB178)</f>
        <v>0</v>
      </c>
      <c r="AC193" s="1">
        <f>IF(OR($B183&lt;&gt;$B168,$B184&lt;&gt;$B169,$B185&lt;&gt;$B170,$B186&lt;&gt;$B171,$B187&lt;&gt;$B172,$B188&lt;&gt;$B173,$B189&lt;&gt;$B174,$B190&lt;&gt;$B175,$B191&lt;&gt;$B176,$B192&lt;&gt;$B177,$B193&lt;&gt;$B178),IF($B193&lt;&gt;$B178,AC178/INDEX($C168:$AJ178,11,MATCH(IF('Data-solution'!$A$3="Maximize",MAX($C179:$AI179),MIN($C179:$AI179)),$C179:$AI179,0)),AC178-INDEX($C168:$AJ178,11,MATCH(IF('Data-solution'!$A$3="Maximize",MAX($C179:$AI179),MIN($C179:$AI179)),$C179:$AI179,0))*INDEX(AC168:$AJ178,MATCH(MIN($AK168:$AK178),$AK168:$AK178,0),1)/INDEX($C168:$AJ178,MATCH(MIN($AK168:$AK178),$AK168:$AK178,0),MATCH(IF('Data-solution'!$A$3="Maximize",MAX($C179:$AI179),MIN($C179:$AI179)),$C179:$AI179,0))),AC178)</f>
        <v>0</v>
      </c>
      <c r="AD193" s="1">
        <f>IF(OR($B183&lt;&gt;$B168,$B184&lt;&gt;$B169,$B185&lt;&gt;$B170,$B186&lt;&gt;$B171,$B187&lt;&gt;$B172,$B188&lt;&gt;$B173,$B189&lt;&gt;$B174,$B190&lt;&gt;$B175,$B191&lt;&gt;$B176,$B192&lt;&gt;$B177,$B193&lt;&gt;$B178),IF($B193&lt;&gt;$B178,AD178/INDEX($C168:$AJ178,11,MATCH(IF('Data-solution'!$A$3="Maximize",MAX($C179:$AI179),MIN($C179:$AI179)),$C179:$AI179,0)),AD178-INDEX($C168:$AJ178,11,MATCH(IF('Data-solution'!$A$3="Maximize",MAX($C179:$AI179),MIN($C179:$AI179)),$C179:$AI179,0))*INDEX(AD168:$AJ178,MATCH(MIN($AK168:$AK178),$AK168:$AK178,0),1)/INDEX($C168:$AJ178,MATCH(MIN($AK168:$AK178),$AK168:$AK178,0),MATCH(IF('Data-solution'!$A$3="Maximize",MAX($C179:$AI179),MIN($C179:$AI179)),$C179:$AI179,0))),AD178)</f>
        <v>0</v>
      </c>
      <c r="AE193" s="1">
        <f>IF(OR($B183&lt;&gt;$B168,$B184&lt;&gt;$B169,$B185&lt;&gt;$B170,$B186&lt;&gt;$B171,$B187&lt;&gt;$B172,$B188&lt;&gt;$B173,$B189&lt;&gt;$B174,$B190&lt;&gt;$B175,$B191&lt;&gt;$B176,$B192&lt;&gt;$B177,$B193&lt;&gt;$B178),IF($B193&lt;&gt;$B178,AE178/INDEX($C168:$AJ178,11,MATCH(IF('Data-solution'!$A$3="Maximize",MAX($C179:$AI179),MIN($C179:$AI179)),$C179:$AI179,0)),AE178-INDEX($C168:$AJ178,11,MATCH(IF('Data-solution'!$A$3="Maximize",MAX($C179:$AI179),MIN($C179:$AI179)),$C179:$AI179,0))*INDEX(AE168:$AJ178,MATCH(MIN($AK168:$AK178),$AK168:$AK178,0),1)/INDEX($C168:$AJ178,MATCH(MIN($AK168:$AK178),$AK168:$AK178,0),MATCH(IF('Data-solution'!$A$3="Maximize",MAX($C179:$AI179),MIN($C179:$AI179)),$C179:$AI179,0))),AE178)</f>
        <v>0</v>
      </c>
      <c r="AF193" s="1">
        <f>IF(OR($B183&lt;&gt;$B168,$B184&lt;&gt;$B169,$B185&lt;&gt;$B170,$B186&lt;&gt;$B171,$B187&lt;&gt;$B172,$B188&lt;&gt;$B173,$B189&lt;&gt;$B174,$B190&lt;&gt;$B175,$B191&lt;&gt;$B176,$B192&lt;&gt;$B177,$B193&lt;&gt;$B178),IF($B193&lt;&gt;$B178,AF178/INDEX($C168:$AJ178,11,MATCH(IF('Data-solution'!$A$3="Maximize",MAX($C179:$AI179),MIN($C179:$AI179)),$C179:$AI179,0)),AF178-INDEX($C168:$AJ178,11,MATCH(IF('Data-solution'!$A$3="Maximize",MAX($C179:$AI179),MIN($C179:$AI179)),$C179:$AI179,0))*INDEX(AF168:$AJ178,MATCH(MIN($AK168:$AK178),$AK168:$AK178,0),1)/INDEX($C168:$AJ178,MATCH(MIN($AK168:$AK178),$AK168:$AK178,0),MATCH(IF('Data-solution'!$A$3="Maximize",MAX($C179:$AI179),MIN($C179:$AI179)),$C179:$AI179,0))),AF178)</f>
        <v>0</v>
      </c>
      <c r="AG193" s="1">
        <f>IF(OR($B183&lt;&gt;$B168,$B184&lt;&gt;$B169,$B185&lt;&gt;$B170,$B186&lt;&gt;$B171,$B187&lt;&gt;$B172,$B188&lt;&gt;$B173,$B189&lt;&gt;$B174,$B190&lt;&gt;$B175,$B191&lt;&gt;$B176,$B192&lt;&gt;$B177,$B193&lt;&gt;$B178),IF($B193&lt;&gt;$B178,AG178/INDEX($C168:$AJ178,11,MATCH(IF('Data-solution'!$A$3="Maximize",MAX($C179:$AI179),MIN($C179:$AI179)),$C179:$AI179,0)),AG178-INDEX($C168:$AJ178,11,MATCH(IF('Data-solution'!$A$3="Maximize",MAX($C179:$AI179),MIN($C179:$AI179)),$C179:$AI179,0))*INDEX(AG168:$AJ178,MATCH(MIN($AK168:$AK178),$AK168:$AK178,0),1)/INDEX($C168:$AJ178,MATCH(MIN($AK168:$AK178),$AK168:$AK178,0),MATCH(IF('Data-solution'!$A$3="Maximize",MAX($C179:$AI179),MIN($C179:$AI179)),$C179:$AI179,0))),AG178)</f>
        <v>0</v>
      </c>
      <c r="AH193" s="1">
        <f>IF(OR($B183&lt;&gt;$B168,$B184&lt;&gt;$B169,$B185&lt;&gt;$B170,$B186&lt;&gt;$B171,$B187&lt;&gt;$B172,$B188&lt;&gt;$B173,$B189&lt;&gt;$B174,$B190&lt;&gt;$B175,$B191&lt;&gt;$B176,$B192&lt;&gt;$B177,$B193&lt;&gt;$B178),IF($B193&lt;&gt;$B178,AH178/INDEX($C168:$AJ178,11,MATCH(IF('Data-solution'!$A$3="Maximize",MAX($C179:$AI179),MIN($C179:$AI179)),$C179:$AI179,0)),AH178-INDEX($C168:$AJ178,11,MATCH(IF('Data-solution'!$A$3="Maximize",MAX($C179:$AI179),MIN($C179:$AI179)),$C179:$AI179,0))*INDEX(AH168:$AJ178,MATCH(MIN($AK168:$AK178),$AK168:$AK178,0),1)/INDEX($C168:$AJ178,MATCH(MIN($AK168:$AK178),$AK168:$AK178,0),MATCH(IF('Data-solution'!$A$3="Maximize",MAX($C179:$AI179),MIN($C179:$AI179)),$C179:$AI179,0))),AH178)</f>
        <v>0</v>
      </c>
      <c r="AI193" s="1">
        <f>IF(OR($B183&lt;&gt;$B168,$B184&lt;&gt;$B169,$B185&lt;&gt;$B170,$B186&lt;&gt;$B171,$B187&lt;&gt;$B172,$B188&lt;&gt;$B173,$B189&lt;&gt;$B174,$B190&lt;&gt;$B175,$B191&lt;&gt;$B176,$B192&lt;&gt;$B177,$B193&lt;&gt;$B178),IF($B193&lt;&gt;$B178,AI178/INDEX($C168:$AJ178,11,MATCH(IF('Data-solution'!$A$3="Maximize",MAX($C179:$AI179),MIN($C179:$AI179)),$C179:$AI179,0)),AI178-INDEX($C168:$AJ178,11,MATCH(IF('Data-solution'!$A$3="Maximize",MAX($C179:$AI179),MIN($C179:$AI179)),$C179:$AI179,0))*INDEX(AI168:$AJ178,MATCH(MIN($AK168:$AK178),$AK168:$AK178,0),1)/INDEX($C168:$AJ178,MATCH(MIN($AK168:$AK178),$AK168:$AK178,0),MATCH(IF('Data-solution'!$A$3="Maximize",MAX($C179:$AI179),MIN($C179:$AI179)),$C179:$AI179,0))),AI178)</f>
        <v>1</v>
      </c>
      <c r="AJ193" s="1">
        <f>IF(OR($B183&lt;&gt;$B168,$B184&lt;&gt;$B169,$B185&lt;&gt;$B170,$B186&lt;&gt;$B171,$B187&lt;&gt;$B172,$B188&lt;&gt;$B173,$B189&lt;&gt;$B174,$B190&lt;&gt;$B175,$B191&lt;&gt;$B176,$B192&lt;&gt;$B177,$B193&lt;&gt;$B178),IF($B193&lt;&gt;$B178,AJ178/INDEX($C168:$AJ178,11,MATCH(IF('Data-solution'!$A$3="Maximize",MAX($C179:$AI179),MIN($C179:$AI179)),$C179:$AI179,0)),AJ178-INDEX($C168:$AJ178,11,MATCH(IF('Data-solution'!$A$3="Maximize",MAX($C179:$AI179),MIN($C179:$AI179)),$C179:$AI179,0))*INDEX(AJ168:$AJ178,MATCH(MIN($AK168:$AK178),$AK168:$AK178,0),1)/INDEX($C168:$AJ178,MATCH(MIN($AK168:$AK178),$AK168:$AK178,0),MATCH(IF('Data-solution'!$A$3="Maximize",MAX($C179:$AI179),MIN($C179:$AI179)),$C179:$AI179,0))),AJ178)</f>
        <v>0</v>
      </c>
      <c r="AK193" s="1" t="str">
        <f>IF(INDEX(C193:X193,1,MATCH(IF('Data-solution'!A$3="Maximize",MAX(C194:X194),MIN(C194:X194)),C194:X194,0))&gt;0,AJ193/INDEX(C193:X193,1,MATCH(IF('Data-solution'!A$3="Maximize",MAX(C194:X194),MIN(C194:X194)),C194:X194,0))," ")</f>
        <v xml:space="preserve"> </v>
      </c>
    </row>
    <row r="194" spans="1:37" ht="18" customHeight="1" x14ac:dyDescent="0.2">
      <c r="B194" s="2" t="s">
        <v>5</v>
      </c>
      <c r="C194" s="1">
        <f>IF(SUM(COUNTIF($B183:$B193,$Y182),COUNTIF($B183:$B193,$Z182),COUNTIF($B183:$B193,$AA182),COUNTIF($B183:$B193,$AB182),COUNTIF($B183:$B193,$AC182),COUNTIF($B183:$B193,$AD182),COUNTIF($B183:$B193,$AE182),COUNTIF($B183:$B193,$AF182),COUNTIF($B183:$B193,$AG182),COUNTIF($B183:$B193,$AH182),COUNTIF($B183:$B193,$AI182))=0,C181-SUMPRODUCT($A183:$A193,C183:C193),IF('Data-solution'!$A$3="Maximize",1,-1)*SUM(SUMIF($B183:$B193,$Y182,C183:C193),SUMIF($B183:$B193,$Z182,C183:C193),SUMIF($B183:$B193,$AA182,C183:C193),SUMIF($B183:$B193,$AB182,C183:C193),SUMIF($B183:$B193,$AC182,C183:C193),SUMIF($B183:$B193,$AD182,C183:C193),SUMIF($B183:$B193,$AE182,C183:C193),SUMIF($B183:$B193,$AF182,C183:C193),SUMIF($B183:$B193,$AG182,C183:C193),SUMIF($B183:$B193,$AH182,C183:C193),SUMIF($B183:$B193,$AI182,C183:C193)))</f>
        <v>0</v>
      </c>
      <c r="D194" s="1">
        <f>IF(SUM(COUNTIF($B183:$B193,$Y182),COUNTIF($B183:$B193,$Z182),COUNTIF($B183:$B193,$AA182),COUNTIF($B183:$B193,$AB182),COUNTIF($B183:$B193,$AC182),COUNTIF($B183:$B193,$AD182),COUNTIF($B183:$B193,$AE182),COUNTIF($B183:$B193,$AF182),COUNTIF($B183:$B193,$AG182),COUNTIF($B183:$B193,$AH182),COUNTIF($B183:$B193,$AI182))=0,D181-SUMPRODUCT($A183:$A193,D183:D193),IF('Data-solution'!$A$3="Maximize",1,-1)*SUM(SUMIF($B183:$B193,$Y182,D183:D193),SUMIF($B183:$B193,$Z182,D183:D193),SUMIF($B183:$B193,$AA182,D183:D193),SUMIF($B183:$B193,$AB182,D183:D193),SUMIF($B183:$B193,$AC182,D183:D193),SUMIF($B183:$B193,$AD182,D183:D193),SUMIF($B183:$B193,$AE182,D183:D193),SUMIF($B183:$B193,$AF182,D183:D193),SUMIF($B183:$B193,$AG182,D183:D193),SUMIF($B183:$B193,$AH182,D183:D193),SUMIF($B183:$B193,$AI182,D183:D193)))</f>
        <v>-50</v>
      </c>
      <c r="E194" s="1">
        <f>IF(SUM(COUNTIF($B183:$B193,$Y182),COUNTIF($B183:$B193,$Z182),COUNTIF($B183:$B193,$AA182),COUNTIF($B183:$B193,$AB182),COUNTIF($B183:$B193,$AC182),COUNTIF($B183:$B193,$AD182),COUNTIF($B183:$B193,$AE182),COUNTIF($B183:$B193,$AF182),COUNTIF($B183:$B193,$AG182),COUNTIF($B183:$B193,$AH182),COUNTIF($B183:$B193,$AI182))=0,E181-SUMPRODUCT($A183:$A193,E183:E193),IF('Data-solution'!$A$3="Maximize",1,-1)*SUM(SUMIF($B183:$B193,$Y182,E183:E193),SUMIF($B183:$B193,$Z182,E183:E193),SUMIF($B183:$B193,$AA182,E183:E193),SUMIF($B183:$B193,$AB182,E183:E193),SUMIF($B183:$B193,$AC182,E183:E193),SUMIF($B183:$B193,$AD182,E183:E193),SUMIF($B183:$B193,$AE182,E183:E193),SUMIF($B183:$B193,$AF182,E183:E193),SUMIF($B183:$B193,$AG182,E183:E193),SUMIF($B183:$B193,$AH182,E183:E193),SUMIF($B183:$B193,$AI182,E183:E193)))</f>
        <v>0</v>
      </c>
      <c r="F194" s="1">
        <f>IF(SUM(COUNTIF($B183:$B193,$Y182),COUNTIF($B183:$B193,$Z182),COUNTIF($B183:$B193,$AA182),COUNTIF($B183:$B193,$AB182),COUNTIF($B183:$B193,$AC182),COUNTIF($B183:$B193,$AD182),COUNTIF($B183:$B193,$AE182),COUNTIF($B183:$B193,$AF182),COUNTIF($B183:$B193,$AG182),COUNTIF($B183:$B193,$AH182),COUNTIF($B183:$B193,$AI182))=0,F181-SUMPRODUCT($A183:$A193,F183:F193),IF('Data-solution'!$A$3="Maximize",1,-1)*SUM(SUMIF($B183:$B193,$Y182,F183:F193),SUMIF($B183:$B193,$Z182,F183:F193),SUMIF($B183:$B193,$AA182,F183:F193),SUMIF($B183:$B193,$AB182,F183:F193),SUMIF($B183:$B193,$AC182,F183:F193),SUMIF($B183:$B193,$AD182,F183:F193),SUMIF($B183:$B193,$AE182,F183:F193),SUMIF($B183:$B193,$AF182,F183:F193),SUMIF($B183:$B193,$AG182,F183:F193),SUMIF($B183:$B193,$AH182,F183:F193),SUMIF($B183:$B193,$AI182,F183:F193)))</f>
        <v>0</v>
      </c>
      <c r="G194" s="1">
        <f>IF(SUM(COUNTIF($B183:$B193,$Y182),COUNTIF($B183:$B193,$Z182),COUNTIF($B183:$B193,$AA182),COUNTIF($B183:$B193,$AB182),COUNTIF($B183:$B193,$AC182),COUNTIF($B183:$B193,$AD182),COUNTIF($B183:$B193,$AE182),COUNTIF($B183:$B193,$AF182),COUNTIF($B183:$B193,$AG182),COUNTIF($B183:$B193,$AH182),COUNTIF($B183:$B193,$AI182))=0,G181-SUMPRODUCT($A183:$A193,G183:G193),IF('Data-solution'!$A$3="Maximize",1,-1)*SUM(SUMIF($B183:$B193,$Y182,G183:G193),SUMIF($B183:$B193,$Z182,G183:G193),SUMIF($B183:$B193,$AA182,G183:G193),SUMIF($B183:$B193,$AB182,G183:G193),SUMIF($B183:$B193,$AC182,G183:G193),SUMIF($B183:$B193,$AD182,G183:G193),SUMIF($B183:$B193,$AE182,G183:G193),SUMIF($B183:$B193,$AF182,G183:G193),SUMIF($B183:$B193,$AG182,G183:G193),SUMIF($B183:$B193,$AH182,G183:G193),SUMIF($B183:$B193,$AI182,G183:G193)))</f>
        <v>0</v>
      </c>
      <c r="H194" s="1">
        <f>IF(SUM(COUNTIF($B183:$B193,$Y182),COUNTIF($B183:$B193,$Z182),COUNTIF($B183:$B193,$AA182),COUNTIF($B183:$B193,$AB182),COUNTIF($B183:$B193,$AC182),COUNTIF($B183:$B193,$AD182),COUNTIF($B183:$B193,$AE182),COUNTIF($B183:$B193,$AF182),COUNTIF($B183:$B193,$AG182),COUNTIF($B183:$B193,$AH182),COUNTIF($B183:$B193,$AI182))=0,H181-SUMPRODUCT($A183:$A193,H183:H193),IF('Data-solution'!$A$3="Maximize",1,-1)*SUM(SUMIF($B183:$B193,$Y182,H183:H193),SUMIF($B183:$B193,$Z182,H183:H193),SUMIF($B183:$B193,$AA182,H183:H193),SUMIF($B183:$B193,$AB182,H183:H193),SUMIF($B183:$B193,$AC182,H183:H193),SUMIF($B183:$B193,$AD182,H183:H193),SUMIF($B183:$B193,$AE182,H183:H193),SUMIF($B183:$B193,$AF182,H183:H193),SUMIF($B183:$B193,$AG182,H183:H193),SUMIF($B183:$B193,$AH182,H183:H193),SUMIF($B183:$B193,$AI182,H183:H193)))</f>
        <v>0</v>
      </c>
      <c r="I194" s="1">
        <f>IF(SUM(COUNTIF($B183:$B193,$Y182),COUNTIF($B183:$B193,$Z182),COUNTIF($B183:$B193,$AA182),COUNTIF($B183:$B193,$AB182),COUNTIF($B183:$B193,$AC182),COUNTIF($B183:$B193,$AD182),COUNTIF($B183:$B193,$AE182),COUNTIF($B183:$B193,$AF182),COUNTIF($B183:$B193,$AG182),COUNTIF($B183:$B193,$AH182),COUNTIF($B183:$B193,$AI182))=0,I181-SUMPRODUCT($A183:$A193,I183:I193),IF('Data-solution'!$A$3="Maximize",1,-1)*SUM(SUMIF($B183:$B193,$Y182,I183:I193),SUMIF($B183:$B193,$Z182,I183:I193),SUMIF($B183:$B193,$AA182,I183:I193),SUMIF($B183:$B193,$AB182,I183:I193),SUMIF($B183:$B193,$AC182,I183:I193),SUMIF($B183:$B193,$AD182,I183:I193),SUMIF($B183:$B193,$AE182,I183:I193),SUMIF($B183:$B193,$AF182,I183:I193),SUMIF($B183:$B193,$AG182,I183:I193),SUMIF($B183:$B193,$AH182,I183:I193),SUMIF($B183:$B193,$AI182,I183:I193)))</f>
        <v>0</v>
      </c>
      <c r="J194" s="1">
        <f>IF(SUM(COUNTIF($B183:$B193,$Y182),COUNTIF($B183:$B193,$Z182),COUNTIF($B183:$B193,$AA182),COUNTIF($B183:$B193,$AB182),COUNTIF($B183:$B193,$AC182),COUNTIF($B183:$B193,$AD182),COUNTIF($B183:$B193,$AE182),COUNTIF($B183:$B193,$AF182),COUNTIF($B183:$B193,$AG182),COUNTIF($B183:$B193,$AH182),COUNTIF($B183:$B193,$AI182))=0,J181-SUMPRODUCT($A183:$A193,J183:J193),IF('Data-solution'!$A$3="Maximize",1,-1)*SUM(SUMIF($B183:$B193,$Y182,J183:J193),SUMIF($B183:$B193,$Z182,J183:J193),SUMIF($B183:$B193,$AA182,J183:J193),SUMIF($B183:$B193,$AB182,J183:J193),SUMIF($B183:$B193,$AC182,J183:J193),SUMIF($B183:$B193,$AD182,J183:J193),SUMIF($B183:$B193,$AE182,J183:J193),SUMIF($B183:$B193,$AF182,J183:J193),SUMIF($B183:$B193,$AG182,J183:J193),SUMIF($B183:$B193,$AH182,J183:J193),SUMIF($B183:$B193,$AI182,J183:J193)))</f>
        <v>0</v>
      </c>
      <c r="K194" s="1">
        <f>IF(SUM(COUNTIF($B183:$B193,$Y182),COUNTIF($B183:$B193,$Z182),COUNTIF($B183:$B193,$AA182),COUNTIF($B183:$B193,$AB182),COUNTIF($B183:$B193,$AC182),COUNTIF($B183:$B193,$AD182),COUNTIF($B183:$B193,$AE182),COUNTIF($B183:$B193,$AF182),COUNTIF($B183:$B193,$AG182),COUNTIF($B183:$B193,$AH182),COUNTIF($B183:$B193,$AI182))=0,K181-SUMPRODUCT($A183:$A193,K183:K193),IF('Data-solution'!$A$3="Maximize",1,-1)*SUM(SUMIF($B183:$B193,$Y182,K183:K193),SUMIF($B183:$B193,$Z182,K183:K193),SUMIF($B183:$B193,$AA182,K183:K193),SUMIF($B183:$B193,$AB182,K183:K193),SUMIF($B183:$B193,$AC182,K183:K193),SUMIF($B183:$B193,$AD182,K183:K193),SUMIF($B183:$B193,$AE182,K183:K193),SUMIF($B183:$B193,$AF182,K183:K193),SUMIF($B183:$B193,$AG182,K183:K193),SUMIF($B183:$B193,$AH182,K183:K193),SUMIF($B183:$B193,$AI182,K183:K193)))</f>
        <v>0</v>
      </c>
      <c r="L194" s="1">
        <f>IF(SUM(COUNTIF($B183:$B193,$Y182),COUNTIF($B183:$B193,$Z182),COUNTIF($B183:$B193,$AA182),COUNTIF($B183:$B193,$AB182),COUNTIF($B183:$B193,$AC182),COUNTIF($B183:$B193,$AD182),COUNTIF($B183:$B193,$AE182),COUNTIF($B183:$B193,$AF182),COUNTIF($B183:$B193,$AG182),COUNTIF($B183:$B193,$AH182),COUNTIF($B183:$B193,$AI182))=0,L181-SUMPRODUCT($A183:$A193,L183:L193),IF('Data-solution'!$A$3="Maximize",1,-1)*SUM(SUMIF($B183:$B193,$Y182,L183:L193),SUMIF($B183:$B193,$Z182,L183:L193),SUMIF($B183:$B193,$AA182,L183:L193),SUMIF($B183:$B193,$AB182,L183:L193),SUMIF($B183:$B193,$AC182,L183:L193),SUMIF($B183:$B193,$AD182,L183:L193),SUMIF($B183:$B193,$AE182,L183:L193),SUMIF($B183:$B193,$AF182,L183:L193),SUMIF($B183:$B193,$AG182,L183:L193),SUMIF($B183:$B193,$AH182,L183:L193),SUMIF($B183:$B193,$AI182,L183:L193)))</f>
        <v>0</v>
      </c>
      <c r="M194" s="1">
        <f>IF(SUM(COUNTIF($B183:$B193,$Y182),COUNTIF($B183:$B193,$Z182),COUNTIF($B183:$B193,$AA182),COUNTIF($B183:$B193,$AB182),COUNTIF($B183:$B193,$AC182),COUNTIF($B183:$B193,$AD182),COUNTIF($B183:$B193,$AE182),COUNTIF($B183:$B193,$AF182),COUNTIF($B183:$B193,$AG182),COUNTIF($B183:$B193,$AH182),COUNTIF($B183:$B193,$AI182))=0,M181-SUMPRODUCT($A183:$A193,M183:M193),IF('Data-solution'!$A$3="Maximize",1,-1)*SUM(SUMIF($B183:$B193,$Y182,M183:M193),SUMIF($B183:$B193,$Z182,M183:M193),SUMIF($B183:$B193,$AA182,M183:M193),SUMIF($B183:$B193,$AB182,M183:M193),SUMIF($B183:$B193,$AC182,M183:M193),SUMIF($B183:$B193,$AD182,M183:M193),SUMIF($B183:$B193,$AE182,M183:M193),SUMIF($B183:$B193,$AF182,M183:M193),SUMIF($B183:$B193,$AG182,M183:M193),SUMIF($B183:$B193,$AH182,M183:M193),SUMIF($B183:$B193,$AI182,M183:M193)))</f>
        <v>0</v>
      </c>
      <c r="N194" s="1">
        <f>IF(SUM(COUNTIF($B183:$B193,$Y182),COUNTIF($B183:$B193,$Z182),COUNTIF($B183:$B193,$AA182),COUNTIF($B183:$B193,$AB182),COUNTIF($B183:$B193,$AC182),COUNTIF($B183:$B193,$AD182),COUNTIF($B183:$B193,$AE182),COUNTIF($B183:$B193,$AF182),COUNTIF($B183:$B193,$AG182),COUNTIF($B183:$B193,$AH182),COUNTIF($B183:$B193,$AI182))=0,N181-SUMPRODUCT($A183:$A193,N183:N193),IF('Data-solution'!$A$3="Maximize",1,-1)*SUM(SUMIF($B183:$B193,$Y182,N183:N193),SUMIF($B183:$B193,$Z182,N183:N193),SUMIF($B183:$B193,$AA182,N183:N193),SUMIF($B183:$B193,$AB182,N183:N193),SUMIF($B183:$B193,$AC182,N183:N193),SUMIF($B183:$B193,$AD182,N183:N193),SUMIF($B183:$B193,$AE182,N183:N193),SUMIF($B183:$B193,$AF182,N183:N193),SUMIF($B183:$B193,$AG182,N183:N193),SUMIF($B183:$B193,$AH182,N183:N193),SUMIF($B183:$B193,$AI182,N183:N193)))</f>
        <v>0</v>
      </c>
      <c r="O194" s="1">
        <f>IF(SUM(COUNTIF($B183:$B193,$Y182),COUNTIF($B183:$B193,$Z182),COUNTIF($B183:$B193,$AA182),COUNTIF($B183:$B193,$AB182),COUNTIF($B183:$B193,$AC182),COUNTIF($B183:$B193,$AD182),COUNTIF($B183:$B193,$AE182),COUNTIF($B183:$B193,$AF182),COUNTIF($B183:$B193,$AG182),COUNTIF($B183:$B193,$AH182),COUNTIF($B183:$B193,$AI182))=0,O181-SUMPRODUCT($A183:$A193,O183:O193),IF('Data-solution'!$A$3="Maximize",1,-1)*SUM(SUMIF($B183:$B193,$Y182,O183:O193),SUMIF($B183:$B193,$Z182,O183:O193),SUMIF($B183:$B193,$AA182,O183:O193),SUMIF($B183:$B193,$AB182,O183:O193),SUMIF($B183:$B193,$AC182,O183:O193),SUMIF($B183:$B193,$AD182,O183:O193),SUMIF($B183:$B193,$AE182,O183:O193),SUMIF($B183:$B193,$AF182,O183:O193),SUMIF($B183:$B193,$AG182,O183:O193),SUMIF($B183:$B193,$AH182,O183:O193),SUMIF($B183:$B193,$AI182,O183:O193)))</f>
        <v>0</v>
      </c>
      <c r="P194" s="1">
        <f>IF(SUM(COUNTIF($B183:$B193,$Y182),COUNTIF($B183:$B193,$Z182),COUNTIF($B183:$B193,$AA182),COUNTIF($B183:$B193,$AB182),COUNTIF($B183:$B193,$AC182),COUNTIF($B183:$B193,$AD182),COUNTIF($B183:$B193,$AE182),COUNTIF($B183:$B193,$AF182),COUNTIF($B183:$B193,$AG182),COUNTIF($B183:$B193,$AH182),COUNTIF($B183:$B193,$AI182))=0,P181-SUMPRODUCT($A183:$A193,P183:P193),IF('Data-solution'!$A$3="Maximize",1,-1)*SUM(SUMIF($B183:$B193,$Y182,P183:P193),SUMIF($B183:$B193,$Z182,P183:P193),SUMIF($B183:$B193,$AA182,P183:P193),SUMIF($B183:$B193,$AB182,P183:P193),SUMIF($B183:$B193,$AC182,P183:P193),SUMIF($B183:$B193,$AD182,P183:P193),SUMIF($B183:$B193,$AE182,P183:P193),SUMIF($B183:$B193,$AF182,P183:P193),SUMIF($B183:$B193,$AG182,P183:P193),SUMIF($B183:$B193,$AH182,P183:P193),SUMIF($B183:$B193,$AI182,P183:P193)))</f>
        <v>-49.999999999999993</v>
      </c>
      <c r="Q194" s="1">
        <f>IF(SUM(COUNTIF($B183:$B193,$Y182),COUNTIF($B183:$B193,$Z182),COUNTIF($B183:$B193,$AA182),COUNTIF($B183:$B193,$AB182),COUNTIF($B183:$B193,$AC182),COUNTIF($B183:$B193,$AD182),COUNTIF($B183:$B193,$AE182),COUNTIF($B183:$B193,$AF182),COUNTIF($B183:$B193,$AG182),COUNTIF($B183:$B193,$AH182),COUNTIF($B183:$B193,$AI182))=0,Q181-SUMPRODUCT($A183:$A193,Q183:Q193),IF('Data-solution'!$A$3="Maximize",1,-1)*SUM(SUMIF($B183:$B193,$Y182,Q183:Q193),SUMIF($B183:$B193,$Z182,Q183:Q193),SUMIF($B183:$B193,$AA182,Q183:Q193),SUMIF($B183:$B193,$AB182,Q183:Q193),SUMIF($B183:$B193,$AC182,Q183:Q193),SUMIF($B183:$B193,$AD182,Q183:Q193),SUMIF($B183:$B193,$AE182,Q183:Q193),SUMIF($B183:$B193,$AF182,Q183:Q193),SUMIF($B183:$B193,$AG182,Q183:Q193),SUMIF($B183:$B193,$AH182,Q183:Q193),SUMIF($B183:$B193,$AI182,Q183:Q193)))</f>
        <v>-50</v>
      </c>
      <c r="R194" s="1">
        <f>IF(SUM(COUNTIF($B183:$B193,$Y182),COUNTIF($B183:$B193,$Z182),COUNTIF($B183:$B193,$AA182),COUNTIF($B183:$B193,$AB182),COUNTIF($B183:$B193,$AC182),COUNTIF($B183:$B193,$AD182),COUNTIF($B183:$B193,$AE182),COUNTIF($B183:$B193,$AF182),COUNTIF($B183:$B193,$AG182),COUNTIF($B183:$B193,$AH182),COUNTIF($B183:$B193,$AI182))=0,R181-SUMPRODUCT($A183:$A193,R183:R193),IF('Data-solution'!$A$3="Maximize",1,-1)*SUM(SUMIF($B183:$B193,$Y182,R183:R193),SUMIF($B183:$B193,$Z182,R183:R193),SUMIF($B183:$B193,$AA182,R183:R193),SUMIF($B183:$B193,$AB182,R183:R193),SUMIF($B183:$B193,$AC182,R183:R193),SUMIF($B183:$B193,$AD182,R183:R193),SUMIF($B183:$B193,$AE182,R183:R193),SUMIF($B183:$B193,$AF182,R183:R193),SUMIF($B183:$B193,$AG182,R183:R193),SUMIF($B183:$B193,$AH182,R183:R193),SUMIF($B183:$B193,$AI182,R183:R193)))</f>
        <v>0</v>
      </c>
      <c r="S194" s="1">
        <f>IF(SUM(COUNTIF($B183:$B193,$Y182),COUNTIF($B183:$B193,$Z182),COUNTIF($B183:$B193,$AA182),COUNTIF($B183:$B193,$AB182),COUNTIF($B183:$B193,$AC182),COUNTIF($B183:$B193,$AD182),COUNTIF($B183:$B193,$AE182),COUNTIF($B183:$B193,$AF182),COUNTIF($B183:$B193,$AG182),COUNTIF($B183:$B193,$AH182),COUNTIF($B183:$B193,$AI182))=0,S181-SUMPRODUCT($A183:$A193,S183:S193),IF('Data-solution'!$A$3="Maximize",1,-1)*SUM(SUMIF($B183:$B193,$Y182,S183:S193),SUMIF($B183:$B193,$Z182,S183:S193),SUMIF($B183:$B193,$AA182,S183:S193),SUMIF($B183:$B193,$AB182,S183:S193),SUMIF($B183:$B193,$AC182,S183:S193),SUMIF($B183:$B193,$AD182,S183:S193),SUMIF($B183:$B193,$AE182,S183:S193),SUMIF($B183:$B193,$AF182,S183:S193),SUMIF($B183:$B193,$AG182,S183:S193),SUMIF($B183:$B193,$AH182,S183:S193),SUMIF($B183:$B193,$AI182,S183:S193)))</f>
        <v>0</v>
      </c>
      <c r="T194" s="1">
        <f>IF(SUM(COUNTIF($B183:$B193,$Y182),COUNTIF($B183:$B193,$Z182),COUNTIF($B183:$B193,$AA182),COUNTIF($B183:$B193,$AB182),COUNTIF($B183:$B193,$AC182),COUNTIF($B183:$B193,$AD182),COUNTIF($B183:$B193,$AE182),COUNTIF($B183:$B193,$AF182),COUNTIF($B183:$B193,$AG182),COUNTIF($B183:$B193,$AH182),COUNTIF($B183:$B193,$AI182))=0,T181-SUMPRODUCT($A183:$A193,T183:T193),IF('Data-solution'!$A$3="Maximize",1,-1)*SUM(SUMIF($B183:$B193,$Y182,T183:T193),SUMIF($B183:$B193,$Z182,T183:T193),SUMIF($B183:$B193,$AA182,T183:T193),SUMIF($B183:$B193,$AB182,T183:T193),SUMIF($B183:$B193,$AC182,T183:T193),SUMIF($B183:$B193,$AD182,T183:T193),SUMIF($B183:$B193,$AE182,T183:T193),SUMIF($B183:$B193,$AF182,T183:T193),SUMIF($B183:$B193,$AG182,T183:T193),SUMIF($B183:$B193,$AH182,T183:T193),SUMIF($B183:$B193,$AI182,T183:T193)))</f>
        <v>0</v>
      </c>
      <c r="U194" s="1">
        <f>IF(SUM(COUNTIF($B183:$B193,$Y182),COUNTIF($B183:$B193,$Z182),COUNTIF($B183:$B193,$AA182),COUNTIF($B183:$B193,$AB182),COUNTIF($B183:$B193,$AC182),COUNTIF($B183:$B193,$AD182),COUNTIF($B183:$B193,$AE182),COUNTIF($B183:$B193,$AF182),COUNTIF($B183:$B193,$AG182),COUNTIF($B183:$B193,$AH182),COUNTIF($B183:$B193,$AI182))=0,U181-SUMPRODUCT($A183:$A193,U183:U193),IF('Data-solution'!$A$3="Maximize",1,-1)*SUM(SUMIF($B183:$B193,$Y182,U183:U193),SUMIF($B183:$B193,$Z182,U183:U193),SUMIF($B183:$B193,$AA182,U183:U193),SUMIF($B183:$B193,$AB182,U183:U193),SUMIF($B183:$B193,$AC182,U183:U193),SUMIF($B183:$B193,$AD182,U183:U193),SUMIF($B183:$B193,$AE182,U183:U193),SUMIF($B183:$B193,$AF182,U183:U193),SUMIF($B183:$B193,$AG182,U183:U193),SUMIF($B183:$B193,$AH182,U183:U193),SUMIF($B183:$B193,$AI182,U183:U193)))</f>
        <v>0</v>
      </c>
      <c r="V194" s="1">
        <f>IF(SUM(COUNTIF($B183:$B193,$Y182),COUNTIF($B183:$B193,$Z182),COUNTIF($B183:$B193,$AA182),COUNTIF($B183:$B193,$AB182),COUNTIF($B183:$B193,$AC182),COUNTIF($B183:$B193,$AD182),COUNTIF($B183:$B193,$AE182),COUNTIF($B183:$B193,$AF182),COUNTIF($B183:$B193,$AG182),COUNTIF($B183:$B193,$AH182),COUNTIF($B183:$B193,$AI182))=0,V181-SUMPRODUCT($A183:$A193,V183:V193),IF('Data-solution'!$A$3="Maximize",1,-1)*SUM(SUMIF($B183:$B193,$Y182,V183:V193),SUMIF($B183:$B193,$Z182,V183:V193),SUMIF($B183:$B193,$AA182,V183:V193),SUMIF($B183:$B193,$AB182,V183:V193),SUMIF($B183:$B193,$AC182,V183:V193),SUMIF($B183:$B193,$AD182,V183:V193),SUMIF($B183:$B193,$AE182,V183:V193),SUMIF($B183:$B193,$AF182,V183:V193),SUMIF($B183:$B193,$AG182,V183:V193),SUMIF($B183:$B193,$AH182,V183:V193),SUMIF($B183:$B193,$AI182,V183:V193)))</f>
        <v>0</v>
      </c>
      <c r="W194" s="1">
        <f>IF(SUM(COUNTIF($B183:$B193,$Y182),COUNTIF($B183:$B193,$Z182),COUNTIF($B183:$B193,$AA182),COUNTIF($B183:$B193,$AB182),COUNTIF($B183:$B193,$AC182),COUNTIF($B183:$B193,$AD182),COUNTIF($B183:$B193,$AE182),COUNTIF($B183:$B193,$AF182),COUNTIF($B183:$B193,$AG182),COUNTIF($B183:$B193,$AH182),COUNTIF($B183:$B193,$AI182))=0,W181-SUMPRODUCT($A183:$A193,W183:W193),IF('Data-solution'!$A$3="Maximize",1,-1)*SUM(SUMIF($B183:$B193,$Y182,W183:W193),SUMIF($B183:$B193,$Z182,W183:W193),SUMIF($B183:$B193,$AA182,W183:W193),SUMIF($B183:$B193,$AB182,W183:W193),SUMIF($B183:$B193,$AC182,W183:W193),SUMIF($B183:$B193,$AD182,W183:W193),SUMIF($B183:$B193,$AE182,W183:W193),SUMIF($B183:$B193,$AF182,W183:W193),SUMIF($B183:$B193,$AG182,W183:W193),SUMIF($B183:$B193,$AH182,W183:W193),SUMIF($B183:$B193,$AI182,W183:W193)))</f>
        <v>0</v>
      </c>
      <c r="X194" s="1">
        <f>IF(SUM(COUNTIF($B183:$B193,$Y182),COUNTIF($B183:$B193,$Z182),COUNTIF($B183:$B193,$AA182),COUNTIF($B183:$B193,$AB182),COUNTIF($B183:$B193,$AC182),COUNTIF($B183:$B193,$AD182),COUNTIF($B183:$B193,$AE182),COUNTIF($B183:$B193,$AF182),COUNTIF($B183:$B193,$AG182),COUNTIF($B183:$B193,$AH182),COUNTIF($B183:$B193,$AI182))=0,X181-SUMPRODUCT($A183:$A193,X183:X193),IF('Data-solution'!$A$3="Maximize",1,-1)*SUM(SUMIF($B183:$B193,$Y182,X183:X193),SUMIF($B183:$B193,$Z182,X183:X193),SUMIF($B183:$B193,$AA182,X183:X193),SUMIF($B183:$B193,$AB182,X183:X193),SUMIF($B183:$B193,$AC182,X183:X193),SUMIF($B183:$B193,$AD182,X183:X193),SUMIF($B183:$B193,$AE182,X183:X193),SUMIF($B183:$B193,$AF182,X183:X193),SUMIF($B183:$B193,$AG182,X183:X193),SUMIF($B183:$B193,$AH182,X183:X193),SUMIF($B183:$B193,$AI182,X183:X193)))</f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2">
        <f t="shared" ref="AJ194" si="167">IF(SUMPRODUCT(A183:A193,AJ183:AJ193)&gt;=0,SUMPRODUCT(A183:A193,AJ183:AJ193),0)</f>
        <v>120000</v>
      </c>
    </row>
    <row r="196" spans="1:37" ht="18" customHeight="1" x14ac:dyDescent="0.2">
      <c r="A196" s="1" t="s">
        <v>73</v>
      </c>
      <c r="B196" s="2" t="s">
        <v>4</v>
      </c>
      <c r="C196" s="1">
        <f t="shared" ref="C196" si="168">C$1</f>
        <v>150</v>
      </c>
      <c r="D196" s="1">
        <f t="shared" si="152"/>
        <v>200</v>
      </c>
      <c r="E196" s="1">
        <f t="shared" si="152"/>
        <v>350</v>
      </c>
      <c r="F196" s="1">
        <f t="shared" si="152"/>
        <v>0</v>
      </c>
      <c r="G196" s="1">
        <f t="shared" si="152"/>
        <v>0</v>
      </c>
      <c r="H196" s="1">
        <f t="shared" si="152"/>
        <v>0</v>
      </c>
      <c r="I196" s="1">
        <f t="shared" si="152"/>
        <v>0</v>
      </c>
      <c r="J196" s="1">
        <f t="shared" si="152"/>
        <v>0</v>
      </c>
      <c r="K196" s="1">
        <f t="shared" si="152"/>
        <v>0</v>
      </c>
      <c r="L196" s="1">
        <f t="shared" si="152"/>
        <v>0</v>
      </c>
      <c r="M196" s="1">
        <f t="shared" si="152"/>
        <v>0</v>
      </c>
      <c r="N196" s="1">
        <f t="shared" si="152"/>
        <v>0</v>
      </c>
      <c r="O196" s="1">
        <f t="shared" si="152"/>
        <v>0</v>
      </c>
      <c r="P196" s="1">
        <f t="shared" si="152"/>
        <v>0</v>
      </c>
      <c r="Q196" s="1">
        <f t="shared" si="152"/>
        <v>0</v>
      </c>
      <c r="R196" s="1">
        <f t="shared" si="152"/>
        <v>0</v>
      </c>
      <c r="S196" s="1">
        <f t="shared" si="152"/>
        <v>0</v>
      </c>
      <c r="T196" s="1">
        <f t="shared" si="152"/>
        <v>0</v>
      </c>
      <c r="U196" s="1">
        <f t="shared" si="152"/>
        <v>0</v>
      </c>
      <c r="V196" s="1">
        <f t="shared" si="152"/>
        <v>0</v>
      </c>
      <c r="W196" s="1">
        <f t="shared" si="152"/>
        <v>0</v>
      </c>
      <c r="X196" s="1">
        <f t="shared" si="152"/>
        <v>0</v>
      </c>
      <c r="Y196" s="1">
        <f t="shared" si="152"/>
        <v>-999999</v>
      </c>
      <c r="Z196" s="1">
        <f t="shared" si="152"/>
        <v>-999999</v>
      </c>
      <c r="AA196" s="1">
        <f t="shared" si="152"/>
        <v>-999999</v>
      </c>
      <c r="AB196" s="1">
        <f t="shared" si="152"/>
        <v>-999999</v>
      </c>
      <c r="AC196" s="1">
        <f t="shared" si="152"/>
        <v>-999999</v>
      </c>
      <c r="AD196" s="1">
        <f t="shared" si="152"/>
        <v>-999999</v>
      </c>
      <c r="AE196" s="1">
        <f t="shared" si="152"/>
        <v>-999999</v>
      </c>
      <c r="AF196" s="1">
        <f t="shared" si="152"/>
        <v>-999999</v>
      </c>
      <c r="AG196" s="1">
        <f t="shared" si="152"/>
        <v>-999999</v>
      </c>
      <c r="AH196" s="1">
        <f t="shared" si="152"/>
        <v>-999999</v>
      </c>
      <c r="AI196" s="1">
        <f t="shared" si="152"/>
        <v>-999999</v>
      </c>
    </row>
    <row r="197" spans="1:37" ht="18" customHeight="1" x14ac:dyDescent="0.2">
      <c r="A197" s="2" t="s">
        <v>3</v>
      </c>
      <c r="B197" s="2" t="s">
        <v>1</v>
      </c>
      <c r="C197" s="2" t="str">
        <f t="shared" ref="C197" si="169">C$2</f>
        <v>X1</v>
      </c>
      <c r="D197" s="2" t="str">
        <f t="shared" si="155"/>
        <v>X2</v>
      </c>
      <c r="E197" s="2" t="str">
        <f t="shared" si="155"/>
        <v>X3</v>
      </c>
      <c r="F197" s="2" t="str">
        <f t="shared" si="155"/>
        <v>X4</v>
      </c>
      <c r="G197" s="2" t="str">
        <f t="shared" si="155"/>
        <v>X5</v>
      </c>
      <c r="H197" s="2" t="str">
        <f t="shared" si="155"/>
        <v>X6</v>
      </c>
      <c r="I197" s="2" t="str">
        <f t="shared" si="155"/>
        <v>X7</v>
      </c>
      <c r="J197" s="2" t="str">
        <f t="shared" si="155"/>
        <v>X8</v>
      </c>
      <c r="K197" s="2" t="str">
        <f t="shared" si="155"/>
        <v>X9</v>
      </c>
      <c r="L197" s="2" t="str">
        <f t="shared" si="155"/>
        <v>X10</v>
      </c>
      <c r="M197" s="2" t="str">
        <f t="shared" si="155"/>
        <v>X11</v>
      </c>
      <c r="N197" s="2" t="str">
        <f t="shared" si="155"/>
        <v>S1</v>
      </c>
      <c r="O197" s="2" t="str">
        <f t="shared" si="155"/>
        <v>S2</v>
      </c>
      <c r="P197" s="2" t="str">
        <f t="shared" si="155"/>
        <v>S3</v>
      </c>
      <c r="Q197" s="2" t="str">
        <f t="shared" si="155"/>
        <v>S4</v>
      </c>
      <c r="R197" s="2" t="str">
        <f t="shared" si="155"/>
        <v>S5</v>
      </c>
      <c r="S197" s="2" t="str">
        <f t="shared" si="155"/>
        <v>S6</v>
      </c>
      <c r="T197" s="2" t="str">
        <f t="shared" si="155"/>
        <v>S7</v>
      </c>
      <c r="U197" s="2" t="str">
        <f t="shared" si="155"/>
        <v>S8</v>
      </c>
      <c r="V197" s="2" t="str">
        <f t="shared" si="155"/>
        <v>S9</v>
      </c>
      <c r="W197" s="2" t="str">
        <f t="shared" si="155"/>
        <v>S10</v>
      </c>
      <c r="X197" s="2" t="str">
        <f t="shared" si="155"/>
        <v>S11</v>
      </c>
      <c r="Y197" s="2" t="str">
        <f t="shared" si="155"/>
        <v xml:space="preserve"> </v>
      </c>
      <c r="Z197" s="2" t="str">
        <f t="shared" si="155"/>
        <v xml:space="preserve"> </v>
      </c>
      <c r="AA197" s="2" t="str">
        <f t="shared" si="155"/>
        <v xml:space="preserve"> </v>
      </c>
      <c r="AB197" s="2" t="str">
        <f t="shared" si="155"/>
        <v xml:space="preserve"> </v>
      </c>
      <c r="AC197" s="2" t="str">
        <f t="shared" si="155"/>
        <v xml:space="preserve"> </v>
      </c>
      <c r="AD197" s="2" t="str">
        <f t="shared" si="155"/>
        <v xml:space="preserve"> </v>
      </c>
      <c r="AE197" s="2" t="str">
        <f t="shared" si="155"/>
        <v xml:space="preserve"> </v>
      </c>
      <c r="AF197" s="2" t="str">
        <f t="shared" si="155"/>
        <v xml:space="preserve"> </v>
      </c>
      <c r="AG197" s="2" t="str">
        <f t="shared" si="155"/>
        <v xml:space="preserve"> </v>
      </c>
      <c r="AH197" s="2" t="str">
        <f t="shared" si="155"/>
        <v xml:space="preserve"> </v>
      </c>
      <c r="AI197" s="2" t="str">
        <f t="shared" si="155"/>
        <v xml:space="preserve"> </v>
      </c>
      <c r="AJ197" s="2" t="s">
        <v>9</v>
      </c>
      <c r="AK197" s="2" t="s">
        <v>10</v>
      </c>
    </row>
    <row r="198" spans="1:37" ht="18" customHeight="1" x14ac:dyDescent="0.2">
      <c r="A198" s="1">
        <f t="shared" ref="A198" si="170">INDEX(C196:AI196,1,MATCH(B198,C197:AI197,0))</f>
        <v>0</v>
      </c>
      <c r="B198" s="2" t="str">
        <f>IF(AND('Data-solution'!A$3="Maximize",COUNTIF(C194:X194,"&gt;"&amp;0)&gt;0,AK183=MIN(AK183:AK193)),INDEX(C182:X182,1,MATCH(MAX(C194:X194),C194:X194,0)),IF(AND('Data-solution'!A$3="Minimize",COUNTIF(C194:X194,"&lt;"&amp;0)&gt;0,AK183=MIN(AK183:AK193)),INDEX(C182:X182,1,MATCH(MIN(C194:X194),C194:X194,0)),B183))</f>
        <v>S1</v>
      </c>
      <c r="C198" s="1">
        <f>IF(OR($B198&lt;&gt;$B183,$B199&lt;&gt;$B184,$B200&lt;&gt;$B185,$B201&lt;&gt;$B186,$B202&lt;&gt;$B187,$B203&lt;&gt;$B188,$B204&lt;&gt;$B189,$B205&lt;&gt;$B190,$B206&lt;&gt;$B191,$B207&lt;&gt;$B192,$B208&lt;&gt;$B193),IF($B198&lt;&gt;$B183,C183/INDEX($C183:$AJ193,1,MATCH(IF('Data-solution'!$A$3="Maximize",MAX($C194:$AI194),MIN($C194:$AI194)),$C194:$AI194,0)),C183-INDEX($C183:$AJ193,1,MATCH(IF('Data-solution'!$A$3="Maximize",MAX($C194:$AI194),MIN($C194:$AI194)),$C194:$AI194,0))*INDEX(C183:$AJ193,MATCH(MIN($AK183:$AK193),$AK183:$AK193,0),1)/INDEX($C183:$AJ193,MATCH(MIN($AK183:$AK193),$AK183:$AK193,0),MATCH(IF('Data-solution'!$A$3="Maximize",MAX($C194:$AI194),MIN($C194:$AI194)),$C194:$AI194,0))),C183)</f>
        <v>0</v>
      </c>
      <c r="D198" s="1">
        <f>IF(OR($B198&lt;&gt;$B183,$B199&lt;&gt;$B184,$B200&lt;&gt;$B185,$B201&lt;&gt;$B186,$B202&lt;&gt;$B187,$B203&lt;&gt;$B188,$B204&lt;&gt;$B189,$B205&lt;&gt;$B190,$B206&lt;&gt;$B191,$B207&lt;&gt;$B192,$B208&lt;&gt;$B193),IF($B198&lt;&gt;$B183,D183/INDEX($C183:$AJ193,1,MATCH(IF('Data-solution'!$A$3="Maximize",MAX($C194:$AI194),MIN($C194:$AI194)),$C194:$AI194,0)),D183-INDEX($C183:$AJ193,1,MATCH(IF('Data-solution'!$A$3="Maximize",MAX($C194:$AI194),MIN($C194:$AI194)),$C194:$AI194,0))*INDEX(D183:$AJ193,MATCH(MIN($AK183:$AK193),$AK183:$AK193,0),1)/INDEX($C183:$AJ193,MATCH(MIN($AK183:$AK193),$AK183:$AK193,0),MATCH(IF('Data-solution'!$A$3="Maximize",MAX($C194:$AI194),MIN($C194:$AI194)),$C194:$AI194,0))),D183)</f>
        <v>1</v>
      </c>
      <c r="E198" s="1">
        <f>IF(OR($B198&lt;&gt;$B183,$B199&lt;&gt;$B184,$B200&lt;&gt;$B185,$B201&lt;&gt;$B186,$B202&lt;&gt;$B187,$B203&lt;&gt;$B188,$B204&lt;&gt;$B189,$B205&lt;&gt;$B190,$B206&lt;&gt;$B191,$B207&lt;&gt;$B192,$B208&lt;&gt;$B193),IF($B198&lt;&gt;$B183,E183/INDEX($C183:$AJ193,1,MATCH(IF('Data-solution'!$A$3="Maximize",MAX($C194:$AI194),MIN($C194:$AI194)),$C194:$AI194,0)),E183-INDEX($C183:$AJ193,1,MATCH(IF('Data-solution'!$A$3="Maximize",MAX($C194:$AI194),MIN($C194:$AI194)),$C194:$AI194,0))*INDEX(E183:$AJ193,MATCH(MIN($AK183:$AK193),$AK183:$AK193,0),1)/INDEX($C183:$AJ193,MATCH(MIN($AK183:$AK193),$AK183:$AK193,0),MATCH(IF('Data-solution'!$A$3="Maximize",MAX($C194:$AI194),MIN($C194:$AI194)),$C194:$AI194,0))),E183)</f>
        <v>0</v>
      </c>
      <c r="F198" s="1">
        <f>IF(OR($B198&lt;&gt;$B183,$B199&lt;&gt;$B184,$B200&lt;&gt;$B185,$B201&lt;&gt;$B186,$B202&lt;&gt;$B187,$B203&lt;&gt;$B188,$B204&lt;&gt;$B189,$B205&lt;&gt;$B190,$B206&lt;&gt;$B191,$B207&lt;&gt;$B192,$B208&lt;&gt;$B193),IF($B198&lt;&gt;$B183,F183/INDEX($C183:$AJ193,1,MATCH(IF('Data-solution'!$A$3="Maximize",MAX($C194:$AI194),MIN($C194:$AI194)),$C194:$AI194,0)),F183-INDEX($C183:$AJ193,1,MATCH(IF('Data-solution'!$A$3="Maximize",MAX($C194:$AI194),MIN($C194:$AI194)),$C194:$AI194,0))*INDEX(F183:$AJ193,MATCH(MIN($AK183:$AK193),$AK183:$AK193,0),1)/INDEX($C183:$AJ193,MATCH(MIN($AK183:$AK193),$AK183:$AK193,0),MATCH(IF('Data-solution'!$A$3="Maximize",MAX($C194:$AI194),MIN($C194:$AI194)),$C194:$AI194,0))),F183)</f>
        <v>0</v>
      </c>
      <c r="G198" s="1">
        <f>IF(OR($B198&lt;&gt;$B183,$B199&lt;&gt;$B184,$B200&lt;&gt;$B185,$B201&lt;&gt;$B186,$B202&lt;&gt;$B187,$B203&lt;&gt;$B188,$B204&lt;&gt;$B189,$B205&lt;&gt;$B190,$B206&lt;&gt;$B191,$B207&lt;&gt;$B192,$B208&lt;&gt;$B193),IF($B198&lt;&gt;$B183,G183/INDEX($C183:$AJ193,1,MATCH(IF('Data-solution'!$A$3="Maximize",MAX($C194:$AI194),MIN($C194:$AI194)),$C194:$AI194,0)),G183-INDEX($C183:$AJ193,1,MATCH(IF('Data-solution'!$A$3="Maximize",MAX($C194:$AI194),MIN($C194:$AI194)),$C194:$AI194,0))*INDEX(G183:$AJ193,MATCH(MIN($AK183:$AK193),$AK183:$AK193,0),1)/INDEX($C183:$AJ193,MATCH(MIN($AK183:$AK193),$AK183:$AK193,0),MATCH(IF('Data-solution'!$A$3="Maximize",MAX($C194:$AI194),MIN($C194:$AI194)),$C194:$AI194,0))),G183)</f>
        <v>0</v>
      </c>
      <c r="H198" s="1">
        <f>IF(OR($B198&lt;&gt;$B183,$B199&lt;&gt;$B184,$B200&lt;&gt;$B185,$B201&lt;&gt;$B186,$B202&lt;&gt;$B187,$B203&lt;&gt;$B188,$B204&lt;&gt;$B189,$B205&lt;&gt;$B190,$B206&lt;&gt;$B191,$B207&lt;&gt;$B192,$B208&lt;&gt;$B193),IF($B198&lt;&gt;$B183,H183/INDEX($C183:$AJ193,1,MATCH(IF('Data-solution'!$A$3="Maximize",MAX($C194:$AI194),MIN($C194:$AI194)),$C194:$AI194,0)),H183-INDEX($C183:$AJ193,1,MATCH(IF('Data-solution'!$A$3="Maximize",MAX($C194:$AI194),MIN($C194:$AI194)),$C194:$AI194,0))*INDEX(H183:$AJ193,MATCH(MIN($AK183:$AK193),$AK183:$AK193,0),1)/INDEX($C183:$AJ193,MATCH(MIN($AK183:$AK193),$AK183:$AK193,0),MATCH(IF('Data-solution'!$A$3="Maximize",MAX($C194:$AI194),MIN($C194:$AI194)),$C194:$AI194,0))),H183)</f>
        <v>0</v>
      </c>
      <c r="I198" s="1">
        <f>IF(OR($B198&lt;&gt;$B183,$B199&lt;&gt;$B184,$B200&lt;&gt;$B185,$B201&lt;&gt;$B186,$B202&lt;&gt;$B187,$B203&lt;&gt;$B188,$B204&lt;&gt;$B189,$B205&lt;&gt;$B190,$B206&lt;&gt;$B191,$B207&lt;&gt;$B192,$B208&lt;&gt;$B193),IF($B198&lt;&gt;$B183,I183/INDEX($C183:$AJ193,1,MATCH(IF('Data-solution'!$A$3="Maximize",MAX($C194:$AI194),MIN($C194:$AI194)),$C194:$AI194,0)),I183-INDEX($C183:$AJ193,1,MATCH(IF('Data-solution'!$A$3="Maximize",MAX($C194:$AI194),MIN($C194:$AI194)),$C194:$AI194,0))*INDEX(I183:$AJ193,MATCH(MIN($AK183:$AK193),$AK183:$AK193,0),1)/INDEX($C183:$AJ193,MATCH(MIN($AK183:$AK193),$AK183:$AK193,0),MATCH(IF('Data-solution'!$A$3="Maximize",MAX($C194:$AI194),MIN($C194:$AI194)),$C194:$AI194,0))),I183)</f>
        <v>0</v>
      </c>
      <c r="J198" s="1">
        <f>IF(OR($B198&lt;&gt;$B183,$B199&lt;&gt;$B184,$B200&lt;&gt;$B185,$B201&lt;&gt;$B186,$B202&lt;&gt;$B187,$B203&lt;&gt;$B188,$B204&lt;&gt;$B189,$B205&lt;&gt;$B190,$B206&lt;&gt;$B191,$B207&lt;&gt;$B192,$B208&lt;&gt;$B193),IF($B198&lt;&gt;$B183,J183/INDEX($C183:$AJ193,1,MATCH(IF('Data-solution'!$A$3="Maximize",MAX($C194:$AI194),MIN($C194:$AI194)),$C194:$AI194,0)),J183-INDEX($C183:$AJ193,1,MATCH(IF('Data-solution'!$A$3="Maximize",MAX($C194:$AI194),MIN($C194:$AI194)),$C194:$AI194,0))*INDEX(J183:$AJ193,MATCH(MIN($AK183:$AK193),$AK183:$AK193,0),1)/INDEX($C183:$AJ193,MATCH(MIN($AK183:$AK193),$AK183:$AK193,0),MATCH(IF('Data-solution'!$A$3="Maximize",MAX($C194:$AI194),MIN($C194:$AI194)),$C194:$AI194,0))),J183)</f>
        <v>0</v>
      </c>
      <c r="K198" s="1">
        <f>IF(OR($B198&lt;&gt;$B183,$B199&lt;&gt;$B184,$B200&lt;&gt;$B185,$B201&lt;&gt;$B186,$B202&lt;&gt;$B187,$B203&lt;&gt;$B188,$B204&lt;&gt;$B189,$B205&lt;&gt;$B190,$B206&lt;&gt;$B191,$B207&lt;&gt;$B192,$B208&lt;&gt;$B193),IF($B198&lt;&gt;$B183,K183/INDEX($C183:$AJ193,1,MATCH(IF('Data-solution'!$A$3="Maximize",MAX($C194:$AI194),MIN($C194:$AI194)),$C194:$AI194,0)),K183-INDEX($C183:$AJ193,1,MATCH(IF('Data-solution'!$A$3="Maximize",MAX($C194:$AI194),MIN($C194:$AI194)),$C194:$AI194,0))*INDEX(K183:$AJ193,MATCH(MIN($AK183:$AK193),$AK183:$AK193,0),1)/INDEX($C183:$AJ193,MATCH(MIN($AK183:$AK193),$AK183:$AK193,0),MATCH(IF('Data-solution'!$A$3="Maximize",MAX($C194:$AI194),MIN($C194:$AI194)),$C194:$AI194,0))),K183)</f>
        <v>0</v>
      </c>
      <c r="L198" s="1">
        <f>IF(OR($B198&lt;&gt;$B183,$B199&lt;&gt;$B184,$B200&lt;&gt;$B185,$B201&lt;&gt;$B186,$B202&lt;&gt;$B187,$B203&lt;&gt;$B188,$B204&lt;&gt;$B189,$B205&lt;&gt;$B190,$B206&lt;&gt;$B191,$B207&lt;&gt;$B192,$B208&lt;&gt;$B193),IF($B198&lt;&gt;$B183,L183/INDEX($C183:$AJ193,1,MATCH(IF('Data-solution'!$A$3="Maximize",MAX($C194:$AI194),MIN($C194:$AI194)),$C194:$AI194,0)),L183-INDEX($C183:$AJ193,1,MATCH(IF('Data-solution'!$A$3="Maximize",MAX($C194:$AI194),MIN($C194:$AI194)),$C194:$AI194,0))*INDEX(L183:$AJ193,MATCH(MIN($AK183:$AK193),$AK183:$AK193,0),1)/INDEX($C183:$AJ193,MATCH(MIN($AK183:$AK193),$AK183:$AK193,0),MATCH(IF('Data-solution'!$A$3="Maximize",MAX($C194:$AI194),MIN($C194:$AI194)),$C194:$AI194,0))),L183)</f>
        <v>0</v>
      </c>
      <c r="M198" s="1">
        <f>IF(OR($B198&lt;&gt;$B183,$B199&lt;&gt;$B184,$B200&lt;&gt;$B185,$B201&lt;&gt;$B186,$B202&lt;&gt;$B187,$B203&lt;&gt;$B188,$B204&lt;&gt;$B189,$B205&lt;&gt;$B190,$B206&lt;&gt;$B191,$B207&lt;&gt;$B192,$B208&lt;&gt;$B193),IF($B198&lt;&gt;$B183,M183/INDEX($C183:$AJ193,1,MATCH(IF('Data-solution'!$A$3="Maximize",MAX($C194:$AI194),MIN($C194:$AI194)),$C194:$AI194,0)),M183-INDEX($C183:$AJ193,1,MATCH(IF('Data-solution'!$A$3="Maximize",MAX($C194:$AI194),MIN($C194:$AI194)),$C194:$AI194,0))*INDEX(M183:$AJ193,MATCH(MIN($AK183:$AK193),$AK183:$AK193,0),1)/INDEX($C183:$AJ193,MATCH(MIN($AK183:$AK193),$AK183:$AK193,0),MATCH(IF('Data-solution'!$A$3="Maximize",MAX($C194:$AI194),MIN($C194:$AI194)),$C194:$AI194,0))),M183)</f>
        <v>0</v>
      </c>
      <c r="N198" s="1">
        <f>IF(OR($B198&lt;&gt;$B183,$B199&lt;&gt;$B184,$B200&lt;&gt;$B185,$B201&lt;&gt;$B186,$B202&lt;&gt;$B187,$B203&lt;&gt;$B188,$B204&lt;&gt;$B189,$B205&lt;&gt;$B190,$B206&lt;&gt;$B191,$B207&lt;&gt;$B192,$B208&lt;&gt;$B193),IF($B198&lt;&gt;$B183,N183/INDEX($C183:$AJ193,1,MATCH(IF('Data-solution'!$A$3="Maximize",MAX($C194:$AI194),MIN($C194:$AI194)),$C194:$AI194,0)),N183-INDEX($C183:$AJ193,1,MATCH(IF('Data-solution'!$A$3="Maximize",MAX($C194:$AI194),MIN($C194:$AI194)),$C194:$AI194,0))*INDEX(N183:$AJ193,MATCH(MIN($AK183:$AK193),$AK183:$AK193,0),1)/INDEX($C183:$AJ193,MATCH(MIN($AK183:$AK193),$AK183:$AK193,0),MATCH(IF('Data-solution'!$A$3="Maximize",MAX($C194:$AI194),MIN($C194:$AI194)),$C194:$AI194,0))),N183)</f>
        <v>1</v>
      </c>
      <c r="O198" s="1">
        <f>IF(OR($B198&lt;&gt;$B183,$B199&lt;&gt;$B184,$B200&lt;&gt;$B185,$B201&lt;&gt;$B186,$B202&lt;&gt;$B187,$B203&lt;&gt;$B188,$B204&lt;&gt;$B189,$B205&lt;&gt;$B190,$B206&lt;&gt;$B191,$B207&lt;&gt;$B192,$B208&lt;&gt;$B193),IF($B198&lt;&gt;$B183,O183/INDEX($C183:$AJ193,1,MATCH(IF('Data-solution'!$A$3="Maximize",MAX($C194:$AI194),MIN($C194:$AI194)),$C194:$AI194,0)),O183-INDEX($C183:$AJ193,1,MATCH(IF('Data-solution'!$A$3="Maximize",MAX($C194:$AI194),MIN($C194:$AI194)),$C194:$AI194,0))*INDEX(O183:$AJ193,MATCH(MIN($AK183:$AK193),$AK183:$AK193,0),1)/INDEX($C183:$AJ193,MATCH(MIN($AK183:$AK193),$AK183:$AK193,0),MATCH(IF('Data-solution'!$A$3="Maximize",MAX($C194:$AI194),MIN($C194:$AI194)),$C194:$AI194,0))),O183)</f>
        <v>0</v>
      </c>
      <c r="P198" s="1">
        <f>IF(OR($B198&lt;&gt;$B183,$B199&lt;&gt;$B184,$B200&lt;&gt;$B185,$B201&lt;&gt;$B186,$B202&lt;&gt;$B187,$B203&lt;&gt;$B188,$B204&lt;&gt;$B189,$B205&lt;&gt;$B190,$B206&lt;&gt;$B191,$B207&lt;&gt;$B192,$B208&lt;&gt;$B193),IF($B198&lt;&gt;$B183,P183/INDEX($C183:$AJ193,1,MATCH(IF('Data-solution'!$A$3="Maximize",MAX($C194:$AI194),MIN($C194:$AI194)),$C194:$AI194,0)),P183-INDEX($C183:$AJ193,1,MATCH(IF('Data-solution'!$A$3="Maximize",MAX($C194:$AI194),MIN($C194:$AI194)),$C194:$AI194,0))*INDEX(P183:$AJ193,MATCH(MIN($AK183:$AK193),$AK183:$AK193,0),1)/INDEX($C183:$AJ193,MATCH(MIN($AK183:$AK193),$AK183:$AK193,0),MATCH(IF('Data-solution'!$A$3="Maximize",MAX($C194:$AI194),MIN($C194:$AI194)),$C194:$AI194,0))),P183)</f>
        <v>0</v>
      </c>
      <c r="Q198" s="1">
        <f>IF(OR($B198&lt;&gt;$B183,$B199&lt;&gt;$B184,$B200&lt;&gt;$B185,$B201&lt;&gt;$B186,$B202&lt;&gt;$B187,$B203&lt;&gt;$B188,$B204&lt;&gt;$B189,$B205&lt;&gt;$B190,$B206&lt;&gt;$B191,$B207&lt;&gt;$B192,$B208&lt;&gt;$B193),IF($B198&lt;&gt;$B183,Q183/INDEX($C183:$AJ193,1,MATCH(IF('Data-solution'!$A$3="Maximize",MAX($C194:$AI194),MIN($C194:$AI194)),$C194:$AI194,0)),Q183-INDEX($C183:$AJ193,1,MATCH(IF('Data-solution'!$A$3="Maximize",MAX($C194:$AI194),MIN($C194:$AI194)),$C194:$AI194,0))*INDEX(Q183:$AJ193,MATCH(MIN($AK183:$AK193),$AK183:$AK193,0),1)/INDEX($C183:$AJ193,MATCH(MIN($AK183:$AK193),$AK183:$AK193,0),MATCH(IF('Data-solution'!$A$3="Maximize",MAX($C194:$AI194),MIN($C194:$AI194)),$C194:$AI194,0))),Q183)</f>
        <v>-1</v>
      </c>
      <c r="R198" s="1">
        <f>IF(OR($B198&lt;&gt;$B183,$B199&lt;&gt;$B184,$B200&lt;&gt;$B185,$B201&lt;&gt;$B186,$B202&lt;&gt;$B187,$B203&lt;&gt;$B188,$B204&lt;&gt;$B189,$B205&lt;&gt;$B190,$B206&lt;&gt;$B191,$B207&lt;&gt;$B192,$B208&lt;&gt;$B193),IF($B198&lt;&gt;$B183,R183/INDEX($C183:$AJ193,1,MATCH(IF('Data-solution'!$A$3="Maximize",MAX($C194:$AI194),MIN($C194:$AI194)),$C194:$AI194,0)),R183-INDEX($C183:$AJ193,1,MATCH(IF('Data-solution'!$A$3="Maximize",MAX($C194:$AI194),MIN($C194:$AI194)),$C194:$AI194,0))*INDEX(R183:$AJ193,MATCH(MIN($AK183:$AK193),$AK183:$AK193,0),1)/INDEX($C183:$AJ193,MATCH(MIN($AK183:$AK193),$AK183:$AK193,0),MATCH(IF('Data-solution'!$A$3="Maximize",MAX($C194:$AI194),MIN($C194:$AI194)),$C194:$AI194,0))),R183)</f>
        <v>0</v>
      </c>
      <c r="S198" s="1">
        <f>IF(OR($B198&lt;&gt;$B183,$B199&lt;&gt;$B184,$B200&lt;&gt;$B185,$B201&lt;&gt;$B186,$B202&lt;&gt;$B187,$B203&lt;&gt;$B188,$B204&lt;&gt;$B189,$B205&lt;&gt;$B190,$B206&lt;&gt;$B191,$B207&lt;&gt;$B192,$B208&lt;&gt;$B193),IF($B198&lt;&gt;$B183,S183/INDEX($C183:$AJ193,1,MATCH(IF('Data-solution'!$A$3="Maximize",MAX($C194:$AI194),MIN($C194:$AI194)),$C194:$AI194,0)),S183-INDEX($C183:$AJ193,1,MATCH(IF('Data-solution'!$A$3="Maximize",MAX($C194:$AI194),MIN($C194:$AI194)),$C194:$AI194,0))*INDEX(S183:$AJ193,MATCH(MIN($AK183:$AK193),$AK183:$AK193,0),1)/INDEX($C183:$AJ193,MATCH(MIN($AK183:$AK193),$AK183:$AK193,0),MATCH(IF('Data-solution'!$A$3="Maximize",MAX($C194:$AI194),MIN($C194:$AI194)),$C194:$AI194,0))),S183)</f>
        <v>0</v>
      </c>
      <c r="T198" s="1">
        <f>IF(OR($B198&lt;&gt;$B183,$B199&lt;&gt;$B184,$B200&lt;&gt;$B185,$B201&lt;&gt;$B186,$B202&lt;&gt;$B187,$B203&lt;&gt;$B188,$B204&lt;&gt;$B189,$B205&lt;&gt;$B190,$B206&lt;&gt;$B191,$B207&lt;&gt;$B192,$B208&lt;&gt;$B193),IF($B198&lt;&gt;$B183,T183/INDEX($C183:$AJ193,1,MATCH(IF('Data-solution'!$A$3="Maximize",MAX($C194:$AI194),MIN($C194:$AI194)),$C194:$AI194,0)),T183-INDEX($C183:$AJ193,1,MATCH(IF('Data-solution'!$A$3="Maximize",MAX($C194:$AI194),MIN($C194:$AI194)),$C194:$AI194,0))*INDEX(T183:$AJ193,MATCH(MIN($AK183:$AK193),$AK183:$AK193,0),1)/INDEX($C183:$AJ193,MATCH(MIN($AK183:$AK193),$AK183:$AK193,0),MATCH(IF('Data-solution'!$A$3="Maximize",MAX($C194:$AI194),MIN($C194:$AI194)),$C194:$AI194,0))),T183)</f>
        <v>0</v>
      </c>
      <c r="U198" s="1">
        <f>IF(OR($B198&lt;&gt;$B183,$B199&lt;&gt;$B184,$B200&lt;&gt;$B185,$B201&lt;&gt;$B186,$B202&lt;&gt;$B187,$B203&lt;&gt;$B188,$B204&lt;&gt;$B189,$B205&lt;&gt;$B190,$B206&lt;&gt;$B191,$B207&lt;&gt;$B192,$B208&lt;&gt;$B193),IF($B198&lt;&gt;$B183,U183/INDEX($C183:$AJ193,1,MATCH(IF('Data-solution'!$A$3="Maximize",MAX($C194:$AI194),MIN($C194:$AI194)),$C194:$AI194,0)),U183-INDEX($C183:$AJ193,1,MATCH(IF('Data-solution'!$A$3="Maximize",MAX($C194:$AI194),MIN($C194:$AI194)),$C194:$AI194,0))*INDEX(U183:$AJ193,MATCH(MIN($AK183:$AK193),$AK183:$AK193,0),1)/INDEX($C183:$AJ193,MATCH(MIN($AK183:$AK193),$AK183:$AK193,0),MATCH(IF('Data-solution'!$A$3="Maximize",MAX($C194:$AI194),MIN($C194:$AI194)),$C194:$AI194,0))),U183)</f>
        <v>0</v>
      </c>
      <c r="V198" s="1">
        <f>IF(OR($B198&lt;&gt;$B183,$B199&lt;&gt;$B184,$B200&lt;&gt;$B185,$B201&lt;&gt;$B186,$B202&lt;&gt;$B187,$B203&lt;&gt;$B188,$B204&lt;&gt;$B189,$B205&lt;&gt;$B190,$B206&lt;&gt;$B191,$B207&lt;&gt;$B192,$B208&lt;&gt;$B193),IF($B198&lt;&gt;$B183,V183/INDEX($C183:$AJ193,1,MATCH(IF('Data-solution'!$A$3="Maximize",MAX($C194:$AI194),MIN($C194:$AI194)),$C194:$AI194,0)),V183-INDEX($C183:$AJ193,1,MATCH(IF('Data-solution'!$A$3="Maximize",MAX($C194:$AI194),MIN($C194:$AI194)),$C194:$AI194,0))*INDEX(V183:$AJ193,MATCH(MIN($AK183:$AK193),$AK183:$AK193,0),1)/INDEX($C183:$AJ193,MATCH(MIN($AK183:$AK193),$AK183:$AK193,0),MATCH(IF('Data-solution'!$A$3="Maximize",MAX($C194:$AI194),MIN($C194:$AI194)),$C194:$AI194,0))),V183)</f>
        <v>0</v>
      </c>
      <c r="W198" s="1">
        <f>IF(OR($B198&lt;&gt;$B183,$B199&lt;&gt;$B184,$B200&lt;&gt;$B185,$B201&lt;&gt;$B186,$B202&lt;&gt;$B187,$B203&lt;&gt;$B188,$B204&lt;&gt;$B189,$B205&lt;&gt;$B190,$B206&lt;&gt;$B191,$B207&lt;&gt;$B192,$B208&lt;&gt;$B193),IF($B198&lt;&gt;$B183,W183/INDEX($C183:$AJ193,1,MATCH(IF('Data-solution'!$A$3="Maximize",MAX($C194:$AI194),MIN($C194:$AI194)),$C194:$AI194,0)),W183-INDEX($C183:$AJ193,1,MATCH(IF('Data-solution'!$A$3="Maximize",MAX($C194:$AI194),MIN($C194:$AI194)),$C194:$AI194,0))*INDEX(W183:$AJ193,MATCH(MIN($AK183:$AK193),$AK183:$AK193,0),1)/INDEX($C183:$AJ193,MATCH(MIN($AK183:$AK193),$AK183:$AK193,0),MATCH(IF('Data-solution'!$A$3="Maximize",MAX($C194:$AI194),MIN($C194:$AI194)),$C194:$AI194,0))),W183)</f>
        <v>0</v>
      </c>
      <c r="X198" s="1">
        <f>IF(OR($B198&lt;&gt;$B183,$B199&lt;&gt;$B184,$B200&lt;&gt;$B185,$B201&lt;&gt;$B186,$B202&lt;&gt;$B187,$B203&lt;&gt;$B188,$B204&lt;&gt;$B189,$B205&lt;&gt;$B190,$B206&lt;&gt;$B191,$B207&lt;&gt;$B192,$B208&lt;&gt;$B193),IF($B198&lt;&gt;$B183,X183/INDEX($C183:$AJ193,1,MATCH(IF('Data-solution'!$A$3="Maximize",MAX($C194:$AI194),MIN($C194:$AI194)),$C194:$AI194,0)),X183-INDEX($C183:$AJ193,1,MATCH(IF('Data-solution'!$A$3="Maximize",MAX($C194:$AI194),MIN($C194:$AI194)),$C194:$AI194,0))*INDEX(X183:$AJ193,MATCH(MIN($AK183:$AK193),$AK183:$AK193,0),1)/INDEX($C183:$AJ193,MATCH(MIN($AK183:$AK193),$AK183:$AK193,0),MATCH(IF('Data-solution'!$A$3="Maximize",MAX($C194:$AI194),MIN($C194:$AI194)),$C194:$AI194,0))),X183)</f>
        <v>0</v>
      </c>
      <c r="Y198" s="1">
        <f>IF(OR($B198&lt;&gt;$B183,$B199&lt;&gt;$B184,$B200&lt;&gt;$B185,$B201&lt;&gt;$B186,$B202&lt;&gt;$B187,$B203&lt;&gt;$B188,$B204&lt;&gt;$B189,$B205&lt;&gt;$B190,$B206&lt;&gt;$B191,$B207&lt;&gt;$B192,$B208&lt;&gt;$B193),IF($B198&lt;&gt;$B183,Y183/INDEX($C183:$AJ193,1,MATCH(IF('Data-solution'!$A$3="Maximize",MAX($C194:$AI194),MIN($C194:$AI194)),$C194:$AI194,0)),Y183-INDEX($C183:$AJ193,1,MATCH(IF('Data-solution'!$A$3="Maximize",MAX($C194:$AI194),MIN($C194:$AI194)),$C194:$AI194,0))*INDEX(Y183:$AJ193,MATCH(MIN($AK183:$AK193),$AK183:$AK193,0),1)/INDEX($C183:$AJ193,MATCH(MIN($AK183:$AK193),$AK183:$AK193,0),MATCH(IF('Data-solution'!$A$3="Maximize",MAX($C194:$AI194),MIN($C194:$AI194)),$C194:$AI194,0))),Y183)</f>
        <v>1</v>
      </c>
      <c r="Z198" s="1">
        <f>IF(OR($B198&lt;&gt;$B183,$B199&lt;&gt;$B184,$B200&lt;&gt;$B185,$B201&lt;&gt;$B186,$B202&lt;&gt;$B187,$B203&lt;&gt;$B188,$B204&lt;&gt;$B189,$B205&lt;&gt;$B190,$B206&lt;&gt;$B191,$B207&lt;&gt;$B192,$B208&lt;&gt;$B193),IF($B198&lt;&gt;$B183,Z183/INDEX($C183:$AJ193,1,MATCH(IF('Data-solution'!$A$3="Maximize",MAX($C194:$AI194),MIN($C194:$AI194)),$C194:$AI194,0)),Z183-INDEX($C183:$AJ193,1,MATCH(IF('Data-solution'!$A$3="Maximize",MAX($C194:$AI194),MIN($C194:$AI194)),$C194:$AI194,0))*INDEX(Z183:$AJ193,MATCH(MIN($AK183:$AK193),$AK183:$AK193,0),1)/INDEX($C183:$AJ193,MATCH(MIN($AK183:$AK193),$AK183:$AK193,0),MATCH(IF('Data-solution'!$A$3="Maximize",MAX($C194:$AI194),MIN($C194:$AI194)),$C194:$AI194,0))),Z183)</f>
        <v>0</v>
      </c>
      <c r="AA198" s="1">
        <f>IF(OR($B198&lt;&gt;$B183,$B199&lt;&gt;$B184,$B200&lt;&gt;$B185,$B201&lt;&gt;$B186,$B202&lt;&gt;$B187,$B203&lt;&gt;$B188,$B204&lt;&gt;$B189,$B205&lt;&gt;$B190,$B206&lt;&gt;$B191,$B207&lt;&gt;$B192,$B208&lt;&gt;$B193),IF($B198&lt;&gt;$B183,AA183/INDEX($C183:$AJ193,1,MATCH(IF('Data-solution'!$A$3="Maximize",MAX($C194:$AI194),MIN($C194:$AI194)),$C194:$AI194,0)),AA183-INDEX($C183:$AJ193,1,MATCH(IF('Data-solution'!$A$3="Maximize",MAX($C194:$AI194),MIN($C194:$AI194)),$C194:$AI194,0))*INDEX(AA183:$AJ193,MATCH(MIN($AK183:$AK193),$AK183:$AK193,0),1)/INDEX($C183:$AJ193,MATCH(MIN($AK183:$AK193),$AK183:$AK193,0),MATCH(IF('Data-solution'!$A$3="Maximize",MAX($C194:$AI194),MIN($C194:$AI194)),$C194:$AI194,0))),AA183)</f>
        <v>0</v>
      </c>
      <c r="AB198" s="1">
        <f>IF(OR($B198&lt;&gt;$B183,$B199&lt;&gt;$B184,$B200&lt;&gt;$B185,$B201&lt;&gt;$B186,$B202&lt;&gt;$B187,$B203&lt;&gt;$B188,$B204&lt;&gt;$B189,$B205&lt;&gt;$B190,$B206&lt;&gt;$B191,$B207&lt;&gt;$B192,$B208&lt;&gt;$B193),IF($B198&lt;&gt;$B183,AB183/INDEX($C183:$AJ193,1,MATCH(IF('Data-solution'!$A$3="Maximize",MAX($C194:$AI194),MIN($C194:$AI194)),$C194:$AI194,0)),AB183-INDEX($C183:$AJ193,1,MATCH(IF('Data-solution'!$A$3="Maximize",MAX($C194:$AI194),MIN($C194:$AI194)),$C194:$AI194,0))*INDEX(AB183:$AJ193,MATCH(MIN($AK183:$AK193),$AK183:$AK193,0),1)/INDEX($C183:$AJ193,MATCH(MIN($AK183:$AK193),$AK183:$AK193,0),MATCH(IF('Data-solution'!$A$3="Maximize",MAX($C194:$AI194),MIN($C194:$AI194)),$C194:$AI194,0))),AB183)</f>
        <v>-1</v>
      </c>
      <c r="AC198" s="1">
        <f>IF(OR($B198&lt;&gt;$B183,$B199&lt;&gt;$B184,$B200&lt;&gt;$B185,$B201&lt;&gt;$B186,$B202&lt;&gt;$B187,$B203&lt;&gt;$B188,$B204&lt;&gt;$B189,$B205&lt;&gt;$B190,$B206&lt;&gt;$B191,$B207&lt;&gt;$B192,$B208&lt;&gt;$B193),IF($B198&lt;&gt;$B183,AC183/INDEX($C183:$AJ193,1,MATCH(IF('Data-solution'!$A$3="Maximize",MAX($C194:$AI194),MIN($C194:$AI194)),$C194:$AI194,0)),AC183-INDEX($C183:$AJ193,1,MATCH(IF('Data-solution'!$A$3="Maximize",MAX($C194:$AI194),MIN($C194:$AI194)),$C194:$AI194,0))*INDEX(AC183:$AJ193,MATCH(MIN($AK183:$AK193),$AK183:$AK193,0),1)/INDEX($C183:$AJ193,MATCH(MIN($AK183:$AK193),$AK183:$AK193,0),MATCH(IF('Data-solution'!$A$3="Maximize",MAX($C194:$AI194),MIN($C194:$AI194)),$C194:$AI194,0))),AC183)</f>
        <v>0</v>
      </c>
      <c r="AD198" s="1">
        <f>IF(OR($B198&lt;&gt;$B183,$B199&lt;&gt;$B184,$B200&lt;&gt;$B185,$B201&lt;&gt;$B186,$B202&lt;&gt;$B187,$B203&lt;&gt;$B188,$B204&lt;&gt;$B189,$B205&lt;&gt;$B190,$B206&lt;&gt;$B191,$B207&lt;&gt;$B192,$B208&lt;&gt;$B193),IF($B198&lt;&gt;$B183,AD183/INDEX($C183:$AJ193,1,MATCH(IF('Data-solution'!$A$3="Maximize",MAX($C194:$AI194),MIN($C194:$AI194)),$C194:$AI194,0)),AD183-INDEX($C183:$AJ193,1,MATCH(IF('Data-solution'!$A$3="Maximize",MAX($C194:$AI194),MIN($C194:$AI194)),$C194:$AI194,0))*INDEX(AD183:$AJ193,MATCH(MIN($AK183:$AK193),$AK183:$AK193,0),1)/INDEX($C183:$AJ193,MATCH(MIN($AK183:$AK193),$AK183:$AK193,0),MATCH(IF('Data-solution'!$A$3="Maximize",MAX($C194:$AI194),MIN($C194:$AI194)),$C194:$AI194,0))),AD183)</f>
        <v>0</v>
      </c>
      <c r="AE198" s="1">
        <f>IF(OR($B198&lt;&gt;$B183,$B199&lt;&gt;$B184,$B200&lt;&gt;$B185,$B201&lt;&gt;$B186,$B202&lt;&gt;$B187,$B203&lt;&gt;$B188,$B204&lt;&gt;$B189,$B205&lt;&gt;$B190,$B206&lt;&gt;$B191,$B207&lt;&gt;$B192,$B208&lt;&gt;$B193),IF($B198&lt;&gt;$B183,AE183/INDEX($C183:$AJ193,1,MATCH(IF('Data-solution'!$A$3="Maximize",MAX($C194:$AI194),MIN($C194:$AI194)),$C194:$AI194,0)),AE183-INDEX($C183:$AJ193,1,MATCH(IF('Data-solution'!$A$3="Maximize",MAX($C194:$AI194),MIN($C194:$AI194)),$C194:$AI194,0))*INDEX(AE183:$AJ193,MATCH(MIN($AK183:$AK193),$AK183:$AK193,0),1)/INDEX($C183:$AJ193,MATCH(MIN($AK183:$AK193),$AK183:$AK193,0),MATCH(IF('Data-solution'!$A$3="Maximize",MAX($C194:$AI194),MIN($C194:$AI194)),$C194:$AI194,0))),AE183)</f>
        <v>0</v>
      </c>
      <c r="AF198" s="1">
        <f>IF(OR($B198&lt;&gt;$B183,$B199&lt;&gt;$B184,$B200&lt;&gt;$B185,$B201&lt;&gt;$B186,$B202&lt;&gt;$B187,$B203&lt;&gt;$B188,$B204&lt;&gt;$B189,$B205&lt;&gt;$B190,$B206&lt;&gt;$B191,$B207&lt;&gt;$B192,$B208&lt;&gt;$B193),IF($B198&lt;&gt;$B183,AF183/INDEX($C183:$AJ193,1,MATCH(IF('Data-solution'!$A$3="Maximize",MAX($C194:$AI194),MIN($C194:$AI194)),$C194:$AI194,0)),AF183-INDEX($C183:$AJ193,1,MATCH(IF('Data-solution'!$A$3="Maximize",MAX($C194:$AI194),MIN($C194:$AI194)),$C194:$AI194,0))*INDEX(AF183:$AJ193,MATCH(MIN($AK183:$AK193),$AK183:$AK193,0),1)/INDEX($C183:$AJ193,MATCH(MIN($AK183:$AK193),$AK183:$AK193,0),MATCH(IF('Data-solution'!$A$3="Maximize",MAX($C194:$AI194),MIN($C194:$AI194)),$C194:$AI194,0))),AF183)</f>
        <v>0</v>
      </c>
      <c r="AG198" s="1">
        <f>IF(OR($B198&lt;&gt;$B183,$B199&lt;&gt;$B184,$B200&lt;&gt;$B185,$B201&lt;&gt;$B186,$B202&lt;&gt;$B187,$B203&lt;&gt;$B188,$B204&lt;&gt;$B189,$B205&lt;&gt;$B190,$B206&lt;&gt;$B191,$B207&lt;&gt;$B192,$B208&lt;&gt;$B193),IF($B198&lt;&gt;$B183,AG183/INDEX($C183:$AJ193,1,MATCH(IF('Data-solution'!$A$3="Maximize",MAX($C194:$AI194),MIN($C194:$AI194)),$C194:$AI194,0)),AG183-INDEX($C183:$AJ193,1,MATCH(IF('Data-solution'!$A$3="Maximize",MAX($C194:$AI194),MIN($C194:$AI194)),$C194:$AI194,0))*INDEX(AG183:$AJ193,MATCH(MIN($AK183:$AK193),$AK183:$AK193,0),1)/INDEX($C183:$AJ193,MATCH(MIN($AK183:$AK193),$AK183:$AK193,0),MATCH(IF('Data-solution'!$A$3="Maximize",MAX($C194:$AI194),MIN($C194:$AI194)),$C194:$AI194,0))),AG183)</f>
        <v>0</v>
      </c>
      <c r="AH198" s="1">
        <f>IF(OR($B198&lt;&gt;$B183,$B199&lt;&gt;$B184,$B200&lt;&gt;$B185,$B201&lt;&gt;$B186,$B202&lt;&gt;$B187,$B203&lt;&gt;$B188,$B204&lt;&gt;$B189,$B205&lt;&gt;$B190,$B206&lt;&gt;$B191,$B207&lt;&gt;$B192,$B208&lt;&gt;$B193),IF($B198&lt;&gt;$B183,AH183/INDEX($C183:$AJ193,1,MATCH(IF('Data-solution'!$A$3="Maximize",MAX($C194:$AI194),MIN($C194:$AI194)),$C194:$AI194,0)),AH183-INDEX($C183:$AJ193,1,MATCH(IF('Data-solution'!$A$3="Maximize",MAX($C194:$AI194),MIN($C194:$AI194)),$C194:$AI194,0))*INDEX(AH183:$AJ193,MATCH(MIN($AK183:$AK193),$AK183:$AK193,0),1)/INDEX($C183:$AJ193,MATCH(MIN($AK183:$AK193),$AK183:$AK193,0),MATCH(IF('Data-solution'!$A$3="Maximize",MAX($C194:$AI194),MIN($C194:$AI194)),$C194:$AI194,0))),AH183)</f>
        <v>0</v>
      </c>
      <c r="AI198" s="1">
        <f>IF(OR($B198&lt;&gt;$B183,$B199&lt;&gt;$B184,$B200&lt;&gt;$B185,$B201&lt;&gt;$B186,$B202&lt;&gt;$B187,$B203&lt;&gt;$B188,$B204&lt;&gt;$B189,$B205&lt;&gt;$B190,$B206&lt;&gt;$B191,$B207&lt;&gt;$B192,$B208&lt;&gt;$B193),IF($B198&lt;&gt;$B183,AI183/INDEX($C183:$AJ193,1,MATCH(IF('Data-solution'!$A$3="Maximize",MAX($C194:$AI194),MIN($C194:$AI194)),$C194:$AI194,0)),AI183-INDEX($C183:$AJ193,1,MATCH(IF('Data-solution'!$A$3="Maximize",MAX($C194:$AI194),MIN($C194:$AI194)),$C194:$AI194,0))*INDEX(AI183:$AJ193,MATCH(MIN($AK183:$AK193),$AK183:$AK193,0),1)/INDEX($C183:$AJ193,MATCH(MIN($AK183:$AK193),$AK183:$AK193,0),MATCH(IF('Data-solution'!$A$3="Maximize",MAX($C194:$AI194),MIN($C194:$AI194)),$C194:$AI194,0))),AI183)</f>
        <v>0</v>
      </c>
      <c r="AJ198" s="1">
        <f>IF(OR($B198&lt;&gt;$B183,$B199&lt;&gt;$B184,$B200&lt;&gt;$B185,$B201&lt;&gt;$B186,$B202&lt;&gt;$B187,$B203&lt;&gt;$B188,$B204&lt;&gt;$B189,$B205&lt;&gt;$B190,$B206&lt;&gt;$B191,$B207&lt;&gt;$B192,$B208&lt;&gt;$B193),IF($B198&lt;&gt;$B183,AJ183/INDEX($C183:$AJ193,1,MATCH(IF('Data-solution'!$A$3="Maximize",MAX($C194:$AI194),MIN($C194:$AI194)),$C194:$AI194,0)),AJ183-INDEX($C183:$AJ193,1,MATCH(IF('Data-solution'!$A$3="Maximize",MAX($C194:$AI194),MIN($C194:$AI194)),$C194:$AI194,0))*INDEX(AJ183:$AJ193,MATCH(MIN($AK183:$AK193),$AK183:$AK193,0),1)/INDEX($C183:$AJ193,MATCH(MIN($AK183:$AK193),$AK183:$AK193,0),MATCH(IF('Data-solution'!$A$3="Maximize",MAX($C194:$AI194),MIN($C194:$AI194)),$C194:$AI194,0))),AJ183)</f>
        <v>150</v>
      </c>
      <c r="AK198" s="1" t="str">
        <f>IF(INDEX(C198:X198,1,MATCH(IF('Data-solution'!A$3="Maximize",MAX(C209:X209),MIN(C209:X209)),C209:X209,0))&gt;0,AJ198/INDEX(C198:X198,1,MATCH(IF('Data-solution'!A$3="Maximize",MAX(C209:X209),MIN(C209:X209)),C209:X209,0))," ")</f>
        <v xml:space="preserve"> </v>
      </c>
    </row>
    <row r="199" spans="1:37" ht="18" customHeight="1" x14ac:dyDescent="0.2">
      <c r="A199" s="1">
        <f t="shared" ref="A199" si="171">INDEX(C196:AI196,1,MATCH(B199,C197:AI197,0))</f>
        <v>0</v>
      </c>
      <c r="B199" s="2" t="str">
        <f>IF(AND('Data-solution'!A$3="Maximize",COUNTIF(C194:X194,"&gt;"&amp;0)&gt;0,AK184=MIN(AK183:AK193),COUNTIF(B198,INDEX(C182:X182,1,MATCH(MAX(C194:X194),C194:X194,0)))=0),INDEX(C182:X182,1,MATCH(MAX(C194:X194),C194:X194,0)),IF(AND('Data-solution'!A$3="Minimize",COUNTIF(C194:X194,"&lt;"&amp;0)&gt;0,AK184=MIN(AK183:AK193),COUNTIF(B198,INDEX(C182:X182,1,MATCH(MIN(C194:X194),C194:X194,0)))=0),INDEX(C182:X182,1,MATCH(MIN(C194:X194),C194:X194,0)),B184))</f>
        <v>S2</v>
      </c>
      <c r="C199" s="1">
        <f>IF(OR($B198&lt;&gt;$B183,$B199&lt;&gt;$B184,$B200&lt;&gt;$B185,$B201&lt;&gt;$B186,$B202&lt;&gt;$B187,$B203&lt;&gt;$B188,$B204&lt;&gt;$B189,$B205&lt;&gt;$B190,$B206&lt;&gt;$B191,$B207&lt;&gt;$B192,$B208&lt;&gt;$B193),IF($B199&lt;&gt;$B184,C184/INDEX($C183:$AJ193,2,MATCH(IF('Data-solution'!$A$3="Maximize",MAX($C194:$AI194),MIN($C194:$AI194)),$C194:$AI194,0)),C184-INDEX($C183:$AJ193,2,MATCH(IF('Data-solution'!$A$3="Maximize",MAX($C194:$AI194),MIN($C194:$AI194)),$C194:$AI194,0))*INDEX(C183:$AJ193,MATCH(MIN($AK183:$AK193),$AK183:$AK193,0),1)/INDEX($C183:$AJ193,MATCH(MIN($AK183:$AK193),$AK183:$AK193,0),MATCH(IF('Data-solution'!$A$3="Maximize",MAX($C194:$AI194),MIN($C194:$AI194)),$C194:$AI194,0))),C184)</f>
        <v>0</v>
      </c>
      <c r="D199" s="1">
        <f>IF(OR($B198&lt;&gt;$B183,$B199&lt;&gt;$B184,$B200&lt;&gt;$B185,$B201&lt;&gt;$B186,$B202&lt;&gt;$B187,$B203&lt;&gt;$B188,$B204&lt;&gt;$B189,$B205&lt;&gt;$B190,$B206&lt;&gt;$B191,$B207&lt;&gt;$B192,$B208&lt;&gt;$B193),IF($B199&lt;&gt;$B184,D184/INDEX($C183:$AJ193,2,MATCH(IF('Data-solution'!$A$3="Maximize",MAX($C194:$AI194),MIN($C194:$AI194)),$C194:$AI194,0)),D184-INDEX($C183:$AJ193,2,MATCH(IF('Data-solution'!$A$3="Maximize",MAX($C194:$AI194),MIN($C194:$AI194)),$C194:$AI194,0))*INDEX(D183:$AJ193,MATCH(MIN($AK183:$AK193),$AK183:$AK193,0),1)/INDEX($C183:$AJ193,MATCH(MIN($AK183:$AK193),$AK183:$AK193,0),MATCH(IF('Data-solution'!$A$3="Maximize",MAX($C194:$AI194),MIN($C194:$AI194)),$C194:$AI194,0))),D184)</f>
        <v>1.75</v>
      </c>
      <c r="E199" s="1">
        <f>IF(OR($B198&lt;&gt;$B183,$B199&lt;&gt;$B184,$B200&lt;&gt;$B185,$B201&lt;&gt;$B186,$B202&lt;&gt;$B187,$B203&lt;&gt;$B188,$B204&lt;&gt;$B189,$B205&lt;&gt;$B190,$B206&lt;&gt;$B191,$B207&lt;&gt;$B192,$B208&lt;&gt;$B193),IF($B199&lt;&gt;$B184,E184/INDEX($C183:$AJ193,2,MATCH(IF('Data-solution'!$A$3="Maximize",MAX($C194:$AI194),MIN($C194:$AI194)),$C194:$AI194,0)),E184-INDEX($C183:$AJ193,2,MATCH(IF('Data-solution'!$A$3="Maximize",MAX($C194:$AI194),MIN($C194:$AI194)),$C194:$AI194,0))*INDEX(E183:$AJ193,MATCH(MIN($AK183:$AK193),$AK183:$AK193,0),1)/INDEX($C183:$AJ193,MATCH(MIN($AK183:$AK193),$AK183:$AK193,0),MATCH(IF('Data-solution'!$A$3="Maximize",MAX($C194:$AI194),MIN($C194:$AI194)),$C194:$AI194,0))),E184)</f>
        <v>0</v>
      </c>
      <c r="F199" s="1">
        <f>IF(OR($B198&lt;&gt;$B183,$B199&lt;&gt;$B184,$B200&lt;&gt;$B185,$B201&lt;&gt;$B186,$B202&lt;&gt;$B187,$B203&lt;&gt;$B188,$B204&lt;&gt;$B189,$B205&lt;&gt;$B190,$B206&lt;&gt;$B191,$B207&lt;&gt;$B192,$B208&lt;&gt;$B193),IF($B199&lt;&gt;$B184,F184/INDEX($C183:$AJ193,2,MATCH(IF('Data-solution'!$A$3="Maximize",MAX($C194:$AI194),MIN($C194:$AI194)),$C194:$AI194,0)),F184-INDEX($C183:$AJ193,2,MATCH(IF('Data-solution'!$A$3="Maximize",MAX($C194:$AI194),MIN($C194:$AI194)),$C194:$AI194,0))*INDEX(F183:$AJ193,MATCH(MIN($AK183:$AK193),$AK183:$AK193,0),1)/INDEX($C183:$AJ193,MATCH(MIN($AK183:$AK193),$AK183:$AK193,0),MATCH(IF('Data-solution'!$A$3="Maximize",MAX($C194:$AI194),MIN($C194:$AI194)),$C194:$AI194,0))),F184)</f>
        <v>0</v>
      </c>
      <c r="G199" s="1">
        <f>IF(OR($B198&lt;&gt;$B183,$B199&lt;&gt;$B184,$B200&lt;&gt;$B185,$B201&lt;&gt;$B186,$B202&lt;&gt;$B187,$B203&lt;&gt;$B188,$B204&lt;&gt;$B189,$B205&lt;&gt;$B190,$B206&lt;&gt;$B191,$B207&lt;&gt;$B192,$B208&lt;&gt;$B193),IF($B199&lt;&gt;$B184,G184/INDEX($C183:$AJ193,2,MATCH(IF('Data-solution'!$A$3="Maximize",MAX($C194:$AI194),MIN($C194:$AI194)),$C194:$AI194,0)),G184-INDEX($C183:$AJ193,2,MATCH(IF('Data-solution'!$A$3="Maximize",MAX($C194:$AI194),MIN($C194:$AI194)),$C194:$AI194,0))*INDEX(G183:$AJ193,MATCH(MIN($AK183:$AK193),$AK183:$AK193,0),1)/INDEX($C183:$AJ193,MATCH(MIN($AK183:$AK193),$AK183:$AK193,0),MATCH(IF('Data-solution'!$A$3="Maximize",MAX($C194:$AI194),MIN($C194:$AI194)),$C194:$AI194,0))),G184)</f>
        <v>0</v>
      </c>
      <c r="H199" s="1">
        <f>IF(OR($B198&lt;&gt;$B183,$B199&lt;&gt;$B184,$B200&lt;&gt;$B185,$B201&lt;&gt;$B186,$B202&lt;&gt;$B187,$B203&lt;&gt;$B188,$B204&lt;&gt;$B189,$B205&lt;&gt;$B190,$B206&lt;&gt;$B191,$B207&lt;&gt;$B192,$B208&lt;&gt;$B193),IF($B199&lt;&gt;$B184,H184/INDEX($C183:$AJ193,2,MATCH(IF('Data-solution'!$A$3="Maximize",MAX($C194:$AI194),MIN($C194:$AI194)),$C194:$AI194,0)),H184-INDEX($C183:$AJ193,2,MATCH(IF('Data-solution'!$A$3="Maximize",MAX($C194:$AI194),MIN($C194:$AI194)),$C194:$AI194,0))*INDEX(H183:$AJ193,MATCH(MIN($AK183:$AK193),$AK183:$AK193,0),1)/INDEX($C183:$AJ193,MATCH(MIN($AK183:$AK193),$AK183:$AK193,0),MATCH(IF('Data-solution'!$A$3="Maximize",MAX($C194:$AI194),MIN($C194:$AI194)),$C194:$AI194,0))),H184)</f>
        <v>0</v>
      </c>
      <c r="I199" s="1">
        <f>IF(OR($B198&lt;&gt;$B183,$B199&lt;&gt;$B184,$B200&lt;&gt;$B185,$B201&lt;&gt;$B186,$B202&lt;&gt;$B187,$B203&lt;&gt;$B188,$B204&lt;&gt;$B189,$B205&lt;&gt;$B190,$B206&lt;&gt;$B191,$B207&lt;&gt;$B192,$B208&lt;&gt;$B193),IF($B199&lt;&gt;$B184,I184/INDEX($C183:$AJ193,2,MATCH(IF('Data-solution'!$A$3="Maximize",MAX($C194:$AI194),MIN($C194:$AI194)),$C194:$AI194,0)),I184-INDEX($C183:$AJ193,2,MATCH(IF('Data-solution'!$A$3="Maximize",MAX($C194:$AI194),MIN($C194:$AI194)),$C194:$AI194,0))*INDEX(I183:$AJ193,MATCH(MIN($AK183:$AK193),$AK183:$AK193,0),1)/INDEX($C183:$AJ193,MATCH(MIN($AK183:$AK193),$AK183:$AK193,0),MATCH(IF('Data-solution'!$A$3="Maximize",MAX($C194:$AI194),MIN($C194:$AI194)),$C194:$AI194,0))),I184)</f>
        <v>0</v>
      </c>
      <c r="J199" s="1">
        <f>IF(OR($B198&lt;&gt;$B183,$B199&lt;&gt;$B184,$B200&lt;&gt;$B185,$B201&lt;&gt;$B186,$B202&lt;&gt;$B187,$B203&lt;&gt;$B188,$B204&lt;&gt;$B189,$B205&lt;&gt;$B190,$B206&lt;&gt;$B191,$B207&lt;&gt;$B192,$B208&lt;&gt;$B193),IF($B199&lt;&gt;$B184,J184/INDEX($C183:$AJ193,2,MATCH(IF('Data-solution'!$A$3="Maximize",MAX($C194:$AI194),MIN($C194:$AI194)),$C194:$AI194,0)),J184-INDEX($C183:$AJ193,2,MATCH(IF('Data-solution'!$A$3="Maximize",MAX($C194:$AI194),MIN($C194:$AI194)),$C194:$AI194,0))*INDEX(J183:$AJ193,MATCH(MIN($AK183:$AK193),$AK183:$AK193,0),1)/INDEX($C183:$AJ193,MATCH(MIN($AK183:$AK193),$AK183:$AK193,0),MATCH(IF('Data-solution'!$A$3="Maximize",MAX($C194:$AI194),MIN($C194:$AI194)),$C194:$AI194,0))),J184)</f>
        <v>0</v>
      </c>
      <c r="K199" s="1">
        <f>IF(OR($B198&lt;&gt;$B183,$B199&lt;&gt;$B184,$B200&lt;&gt;$B185,$B201&lt;&gt;$B186,$B202&lt;&gt;$B187,$B203&lt;&gt;$B188,$B204&lt;&gt;$B189,$B205&lt;&gt;$B190,$B206&lt;&gt;$B191,$B207&lt;&gt;$B192,$B208&lt;&gt;$B193),IF($B199&lt;&gt;$B184,K184/INDEX($C183:$AJ193,2,MATCH(IF('Data-solution'!$A$3="Maximize",MAX($C194:$AI194),MIN($C194:$AI194)),$C194:$AI194,0)),K184-INDEX($C183:$AJ193,2,MATCH(IF('Data-solution'!$A$3="Maximize",MAX($C194:$AI194),MIN($C194:$AI194)),$C194:$AI194,0))*INDEX(K183:$AJ193,MATCH(MIN($AK183:$AK193),$AK183:$AK193,0),1)/INDEX($C183:$AJ193,MATCH(MIN($AK183:$AK193),$AK183:$AK193,0),MATCH(IF('Data-solution'!$A$3="Maximize",MAX($C194:$AI194),MIN($C194:$AI194)),$C194:$AI194,0))),K184)</f>
        <v>0</v>
      </c>
      <c r="L199" s="1">
        <f>IF(OR($B198&lt;&gt;$B183,$B199&lt;&gt;$B184,$B200&lt;&gt;$B185,$B201&lt;&gt;$B186,$B202&lt;&gt;$B187,$B203&lt;&gt;$B188,$B204&lt;&gt;$B189,$B205&lt;&gt;$B190,$B206&lt;&gt;$B191,$B207&lt;&gt;$B192,$B208&lt;&gt;$B193),IF($B199&lt;&gt;$B184,L184/INDEX($C183:$AJ193,2,MATCH(IF('Data-solution'!$A$3="Maximize",MAX($C194:$AI194),MIN($C194:$AI194)),$C194:$AI194,0)),L184-INDEX($C183:$AJ193,2,MATCH(IF('Data-solution'!$A$3="Maximize",MAX($C194:$AI194),MIN($C194:$AI194)),$C194:$AI194,0))*INDEX(L183:$AJ193,MATCH(MIN($AK183:$AK193),$AK183:$AK193,0),1)/INDEX($C183:$AJ193,MATCH(MIN($AK183:$AK193),$AK183:$AK193,0),MATCH(IF('Data-solution'!$A$3="Maximize",MAX($C194:$AI194),MIN($C194:$AI194)),$C194:$AI194,0))),L184)</f>
        <v>0</v>
      </c>
      <c r="M199" s="1">
        <f>IF(OR($B198&lt;&gt;$B183,$B199&lt;&gt;$B184,$B200&lt;&gt;$B185,$B201&lt;&gt;$B186,$B202&lt;&gt;$B187,$B203&lt;&gt;$B188,$B204&lt;&gt;$B189,$B205&lt;&gt;$B190,$B206&lt;&gt;$B191,$B207&lt;&gt;$B192,$B208&lt;&gt;$B193),IF($B199&lt;&gt;$B184,M184/INDEX($C183:$AJ193,2,MATCH(IF('Data-solution'!$A$3="Maximize",MAX($C194:$AI194),MIN($C194:$AI194)),$C194:$AI194,0)),M184-INDEX($C183:$AJ193,2,MATCH(IF('Data-solution'!$A$3="Maximize",MAX($C194:$AI194),MIN($C194:$AI194)),$C194:$AI194,0))*INDEX(M183:$AJ193,MATCH(MIN($AK183:$AK193),$AK183:$AK193,0),1)/INDEX($C183:$AJ193,MATCH(MIN($AK183:$AK193),$AK183:$AK193,0),MATCH(IF('Data-solution'!$A$3="Maximize",MAX($C194:$AI194),MIN($C194:$AI194)),$C194:$AI194,0))),M184)</f>
        <v>0</v>
      </c>
      <c r="N199" s="1">
        <f>IF(OR($B198&lt;&gt;$B183,$B199&lt;&gt;$B184,$B200&lt;&gt;$B185,$B201&lt;&gt;$B186,$B202&lt;&gt;$B187,$B203&lt;&gt;$B188,$B204&lt;&gt;$B189,$B205&lt;&gt;$B190,$B206&lt;&gt;$B191,$B207&lt;&gt;$B192,$B208&lt;&gt;$B193),IF($B199&lt;&gt;$B184,N184/INDEX($C183:$AJ193,2,MATCH(IF('Data-solution'!$A$3="Maximize",MAX($C194:$AI194),MIN($C194:$AI194)),$C194:$AI194,0)),N184-INDEX($C183:$AJ193,2,MATCH(IF('Data-solution'!$A$3="Maximize",MAX($C194:$AI194),MIN($C194:$AI194)),$C194:$AI194,0))*INDEX(N183:$AJ193,MATCH(MIN($AK183:$AK193),$AK183:$AK193,0),1)/INDEX($C183:$AJ193,MATCH(MIN($AK183:$AK193),$AK183:$AK193,0),MATCH(IF('Data-solution'!$A$3="Maximize",MAX($C194:$AI194),MIN($C194:$AI194)),$C194:$AI194,0))),N184)</f>
        <v>0</v>
      </c>
      <c r="O199" s="1">
        <f>IF(OR($B198&lt;&gt;$B183,$B199&lt;&gt;$B184,$B200&lt;&gt;$B185,$B201&lt;&gt;$B186,$B202&lt;&gt;$B187,$B203&lt;&gt;$B188,$B204&lt;&gt;$B189,$B205&lt;&gt;$B190,$B206&lt;&gt;$B191,$B207&lt;&gt;$B192,$B208&lt;&gt;$B193),IF($B199&lt;&gt;$B184,O184/INDEX($C183:$AJ193,2,MATCH(IF('Data-solution'!$A$3="Maximize",MAX($C194:$AI194),MIN($C194:$AI194)),$C194:$AI194,0)),O184-INDEX($C183:$AJ193,2,MATCH(IF('Data-solution'!$A$3="Maximize",MAX($C194:$AI194),MIN($C194:$AI194)),$C194:$AI194,0))*INDEX(O183:$AJ193,MATCH(MIN($AK183:$AK193),$AK183:$AK193,0),1)/INDEX($C183:$AJ193,MATCH(MIN($AK183:$AK193),$AK183:$AK193,0),MATCH(IF('Data-solution'!$A$3="Maximize",MAX($C194:$AI194),MIN($C194:$AI194)),$C194:$AI194,0))),O184)</f>
        <v>1</v>
      </c>
      <c r="P199" s="1">
        <f>IF(OR($B198&lt;&gt;$B183,$B199&lt;&gt;$B184,$B200&lt;&gt;$B185,$B201&lt;&gt;$B186,$B202&lt;&gt;$B187,$B203&lt;&gt;$B188,$B204&lt;&gt;$B189,$B205&lt;&gt;$B190,$B206&lt;&gt;$B191,$B207&lt;&gt;$B192,$B208&lt;&gt;$B193),IF($B199&lt;&gt;$B184,P184/INDEX($C183:$AJ193,2,MATCH(IF('Data-solution'!$A$3="Maximize",MAX($C194:$AI194),MIN($C194:$AI194)),$C194:$AI194,0)),P184-INDEX($C183:$AJ193,2,MATCH(IF('Data-solution'!$A$3="Maximize",MAX($C194:$AI194),MIN($C194:$AI194)),$C194:$AI194,0))*INDEX(P183:$AJ193,MATCH(MIN($AK183:$AK193),$AK183:$AK193,0),1)/INDEX($C183:$AJ193,MATCH(MIN($AK183:$AK193),$AK183:$AK193,0),MATCH(IF('Data-solution'!$A$3="Maximize",MAX($C194:$AI194),MIN($C194:$AI194)),$C194:$AI194,0))),P184)</f>
        <v>-0.25</v>
      </c>
      <c r="Q199" s="1">
        <f>IF(OR($B198&lt;&gt;$B183,$B199&lt;&gt;$B184,$B200&lt;&gt;$B185,$B201&lt;&gt;$B186,$B202&lt;&gt;$B187,$B203&lt;&gt;$B188,$B204&lt;&gt;$B189,$B205&lt;&gt;$B190,$B206&lt;&gt;$B191,$B207&lt;&gt;$B192,$B208&lt;&gt;$B193),IF($B199&lt;&gt;$B184,Q184/INDEX($C183:$AJ193,2,MATCH(IF('Data-solution'!$A$3="Maximize",MAX($C194:$AI194),MIN($C194:$AI194)),$C194:$AI194,0)),Q184-INDEX($C183:$AJ193,2,MATCH(IF('Data-solution'!$A$3="Maximize",MAX($C194:$AI194),MIN($C194:$AI194)),$C194:$AI194,0))*INDEX(Q183:$AJ193,MATCH(MIN($AK183:$AK193),$AK183:$AK193,0),1)/INDEX($C183:$AJ193,MATCH(MIN($AK183:$AK193),$AK183:$AK193,0),MATCH(IF('Data-solution'!$A$3="Maximize",MAX($C194:$AI194),MIN($C194:$AI194)),$C194:$AI194,0))),Q184)</f>
        <v>-0.5</v>
      </c>
      <c r="R199" s="1">
        <f>IF(OR($B198&lt;&gt;$B183,$B199&lt;&gt;$B184,$B200&lt;&gt;$B185,$B201&lt;&gt;$B186,$B202&lt;&gt;$B187,$B203&lt;&gt;$B188,$B204&lt;&gt;$B189,$B205&lt;&gt;$B190,$B206&lt;&gt;$B191,$B207&lt;&gt;$B192,$B208&lt;&gt;$B193),IF($B199&lt;&gt;$B184,R184/INDEX($C183:$AJ193,2,MATCH(IF('Data-solution'!$A$3="Maximize",MAX($C194:$AI194),MIN($C194:$AI194)),$C194:$AI194,0)),R184-INDEX($C183:$AJ193,2,MATCH(IF('Data-solution'!$A$3="Maximize",MAX($C194:$AI194),MIN($C194:$AI194)),$C194:$AI194,0))*INDEX(R183:$AJ193,MATCH(MIN($AK183:$AK193),$AK183:$AK193,0),1)/INDEX($C183:$AJ193,MATCH(MIN($AK183:$AK193),$AK183:$AK193,0),MATCH(IF('Data-solution'!$A$3="Maximize",MAX($C194:$AI194),MIN($C194:$AI194)),$C194:$AI194,0))),R184)</f>
        <v>0</v>
      </c>
      <c r="S199" s="1">
        <f>IF(OR($B198&lt;&gt;$B183,$B199&lt;&gt;$B184,$B200&lt;&gt;$B185,$B201&lt;&gt;$B186,$B202&lt;&gt;$B187,$B203&lt;&gt;$B188,$B204&lt;&gt;$B189,$B205&lt;&gt;$B190,$B206&lt;&gt;$B191,$B207&lt;&gt;$B192,$B208&lt;&gt;$B193),IF($B199&lt;&gt;$B184,S184/INDEX($C183:$AJ193,2,MATCH(IF('Data-solution'!$A$3="Maximize",MAX($C194:$AI194),MIN($C194:$AI194)),$C194:$AI194,0)),S184-INDEX($C183:$AJ193,2,MATCH(IF('Data-solution'!$A$3="Maximize",MAX($C194:$AI194),MIN($C194:$AI194)),$C194:$AI194,0))*INDEX(S183:$AJ193,MATCH(MIN($AK183:$AK193),$AK183:$AK193,0),1)/INDEX($C183:$AJ193,MATCH(MIN($AK183:$AK193),$AK183:$AK193,0),MATCH(IF('Data-solution'!$A$3="Maximize",MAX($C194:$AI194),MIN($C194:$AI194)),$C194:$AI194,0))),S184)</f>
        <v>0</v>
      </c>
      <c r="T199" s="1">
        <f>IF(OR($B198&lt;&gt;$B183,$B199&lt;&gt;$B184,$B200&lt;&gt;$B185,$B201&lt;&gt;$B186,$B202&lt;&gt;$B187,$B203&lt;&gt;$B188,$B204&lt;&gt;$B189,$B205&lt;&gt;$B190,$B206&lt;&gt;$B191,$B207&lt;&gt;$B192,$B208&lt;&gt;$B193),IF($B199&lt;&gt;$B184,T184/INDEX($C183:$AJ193,2,MATCH(IF('Data-solution'!$A$3="Maximize",MAX($C194:$AI194),MIN($C194:$AI194)),$C194:$AI194,0)),T184-INDEX($C183:$AJ193,2,MATCH(IF('Data-solution'!$A$3="Maximize",MAX($C194:$AI194),MIN($C194:$AI194)),$C194:$AI194,0))*INDEX(T183:$AJ193,MATCH(MIN($AK183:$AK193),$AK183:$AK193,0),1)/INDEX($C183:$AJ193,MATCH(MIN($AK183:$AK193),$AK183:$AK193,0),MATCH(IF('Data-solution'!$A$3="Maximize",MAX($C194:$AI194),MIN($C194:$AI194)),$C194:$AI194,0))),T184)</f>
        <v>0</v>
      </c>
      <c r="U199" s="1">
        <f>IF(OR($B198&lt;&gt;$B183,$B199&lt;&gt;$B184,$B200&lt;&gt;$B185,$B201&lt;&gt;$B186,$B202&lt;&gt;$B187,$B203&lt;&gt;$B188,$B204&lt;&gt;$B189,$B205&lt;&gt;$B190,$B206&lt;&gt;$B191,$B207&lt;&gt;$B192,$B208&lt;&gt;$B193),IF($B199&lt;&gt;$B184,U184/INDEX($C183:$AJ193,2,MATCH(IF('Data-solution'!$A$3="Maximize",MAX($C194:$AI194),MIN($C194:$AI194)),$C194:$AI194,0)),U184-INDEX($C183:$AJ193,2,MATCH(IF('Data-solution'!$A$3="Maximize",MAX($C194:$AI194),MIN($C194:$AI194)),$C194:$AI194,0))*INDEX(U183:$AJ193,MATCH(MIN($AK183:$AK193),$AK183:$AK193,0),1)/INDEX($C183:$AJ193,MATCH(MIN($AK183:$AK193),$AK183:$AK193,0),MATCH(IF('Data-solution'!$A$3="Maximize",MAX($C194:$AI194),MIN($C194:$AI194)),$C194:$AI194,0))),U184)</f>
        <v>0</v>
      </c>
      <c r="V199" s="1">
        <f>IF(OR($B198&lt;&gt;$B183,$B199&lt;&gt;$B184,$B200&lt;&gt;$B185,$B201&lt;&gt;$B186,$B202&lt;&gt;$B187,$B203&lt;&gt;$B188,$B204&lt;&gt;$B189,$B205&lt;&gt;$B190,$B206&lt;&gt;$B191,$B207&lt;&gt;$B192,$B208&lt;&gt;$B193),IF($B199&lt;&gt;$B184,V184/INDEX($C183:$AJ193,2,MATCH(IF('Data-solution'!$A$3="Maximize",MAX($C194:$AI194),MIN($C194:$AI194)),$C194:$AI194,0)),V184-INDEX($C183:$AJ193,2,MATCH(IF('Data-solution'!$A$3="Maximize",MAX($C194:$AI194),MIN($C194:$AI194)),$C194:$AI194,0))*INDEX(V183:$AJ193,MATCH(MIN($AK183:$AK193),$AK183:$AK193,0),1)/INDEX($C183:$AJ193,MATCH(MIN($AK183:$AK193),$AK183:$AK193,0),MATCH(IF('Data-solution'!$A$3="Maximize",MAX($C194:$AI194),MIN($C194:$AI194)),$C194:$AI194,0))),V184)</f>
        <v>0</v>
      </c>
      <c r="W199" s="1">
        <f>IF(OR($B198&lt;&gt;$B183,$B199&lt;&gt;$B184,$B200&lt;&gt;$B185,$B201&lt;&gt;$B186,$B202&lt;&gt;$B187,$B203&lt;&gt;$B188,$B204&lt;&gt;$B189,$B205&lt;&gt;$B190,$B206&lt;&gt;$B191,$B207&lt;&gt;$B192,$B208&lt;&gt;$B193),IF($B199&lt;&gt;$B184,W184/INDEX($C183:$AJ193,2,MATCH(IF('Data-solution'!$A$3="Maximize",MAX($C194:$AI194),MIN($C194:$AI194)),$C194:$AI194,0)),W184-INDEX($C183:$AJ193,2,MATCH(IF('Data-solution'!$A$3="Maximize",MAX($C194:$AI194),MIN($C194:$AI194)),$C194:$AI194,0))*INDEX(W183:$AJ193,MATCH(MIN($AK183:$AK193),$AK183:$AK193,0),1)/INDEX($C183:$AJ193,MATCH(MIN($AK183:$AK193),$AK183:$AK193,0),MATCH(IF('Data-solution'!$A$3="Maximize",MAX($C194:$AI194),MIN($C194:$AI194)),$C194:$AI194,0))),W184)</f>
        <v>0</v>
      </c>
      <c r="X199" s="1">
        <f>IF(OR($B198&lt;&gt;$B183,$B199&lt;&gt;$B184,$B200&lt;&gt;$B185,$B201&lt;&gt;$B186,$B202&lt;&gt;$B187,$B203&lt;&gt;$B188,$B204&lt;&gt;$B189,$B205&lt;&gt;$B190,$B206&lt;&gt;$B191,$B207&lt;&gt;$B192,$B208&lt;&gt;$B193),IF($B199&lt;&gt;$B184,X184/INDEX($C183:$AJ193,2,MATCH(IF('Data-solution'!$A$3="Maximize",MAX($C194:$AI194),MIN($C194:$AI194)),$C194:$AI194,0)),X184-INDEX($C183:$AJ193,2,MATCH(IF('Data-solution'!$A$3="Maximize",MAX($C194:$AI194),MIN($C194:$AI194)),$C194:$AI194,0))*INDEX(X183:$AJ193,MATCH(MIN($AK183:$AK193),$AK183:$AK193,0),1)/INDEX($C183:$AJ193,MATCH(MIN($AK183:$AK193),$AK183:$AK193,0),MATCH(IF('Data-solution'!$A$3="Maximize",MAX($C194:$AI194),MIN($C194:$AI194)),$C194:$AI194,0))),X184)</f>
        <v>0</v>
      </c>
      <c r="Y199" s="1">
        <f>IF(OR($B198&lt;&gt;$B183,$B199&lt;&gt;$B184,$B200&lt;&gt;$B185,$B201&lt;&gt;$B186,$B202&lt;&gt;$B187,$B203&lt;&gt;$B188,$B204&lt;&gt;$B189,$B205&lt;&gt;$B190,$B206&lt;&gt;$B191,$B207&lt;&gt;$B192,$B208&lt;&gt;$B193),IF($B199&lt;&gt;$B184,Y184/INDEX($C183:$AJ193,2,MATCH(IF('Data-solution'!$A$3="Maximize",MAX($C194:$AI194),MIN($C194:$AI194)),$C194:$AI194,0)),Y184-INDEX($C183:$AJ193,2,MATCH(IF('Data-solution'!$A$3="Maximize",MAX($C194:$AI194),MIN($C194:$AI194)),$C194:$AI194,0))*INDEX(Y183:$AJ193,MATCH(MIN($AK183:$AK193),$AK183:$AK193,0),1)/INDEX($C183:$AJ193,MATCH(MIN($AK183:$AK193),$AK183:$AK193,0),MATCH(IF('Data-solution'!$A$3="Maximize",MAX($C194:$AI194),MIN($C194:$AI194)),$C194:$AI194,0))),Y184)</f>
        <v>0</v>
      </c>
      <c r="Z199" s="1">
        <f>IF(OR($B198&lt;&gt;$B183,$B199&lt;&gt;$B184,$B200&lt;&gt;$B185,$B201&lt;&gt;$B186,$B202&lt;&gt;$B187,$B203&lt;&gt;$B188,$B204&lt;&gt;$B189,$B205&lt;&gt;$B190,$B206&lt;&gt;$B191,$B207&lt;&gt;$B192,$B208&lt;&gt;$B193),IF($B199&lt;&gt;$B184,Z184/INDEX($C183:$AJ193,2,MATCH(IF('Data-solution'!$A$3="Maximize",MAX($C194:$AI194),MIN($C194:$AI194)),$C194:$AI194,0)),Z184-INDEX($C183:$AJ193,2,MATCH(IF('Data-solution'!$A$3="Maximize",MAX($C194:$AI194),MIN($C194:$AI194)),$C194:$AI194,0))*INDEX(Z183:$AJ193,MATCH(MIN($AK183:$AK193),$AK183:$AK193,0),1)/INDEX($C183:$AJ193,MATCH(MIN($AK183:$AK193),$AK183:$AK193,0),MATCH(IF('Data-solution'!$A$3="Maximize",MAX($C194:$AI194),MIN($C194:$AI194)),$C194:$AI194,0))),Z184)</f>
        <v>1</v>
      </c>
      <c r="AA199" s="1">
        <f>IF(OR($B198&lt;&gt;$B183,$B199&lt;&gt;$B184,$B200&lt;&gt;$B185,$B201&lt;&gt;$B186,$B202&lt;&gt;$B187,$B203&lt;&gt;$B188,$B204&lt;&gt;$B189,$B205&lt;&gt;$B190,$B206&lt;&gt;$B191,$B207&lt;&gt;$B192,$B208&lt;&gt;$B193),IF($B199&lt;&gt;$B184,AA184/INDEX($C183:$AJ193,2,MATCH(IF('Data-solution'!$A$3="Maximize",MAX($C194:$AI194),MIN($C194:$AI194)),$C194:$AI194,0)),AA184-INDEX($C183:$AJ193,2,MATCH(IF('Data-solution'!$A$3="Maximize",MAX($C194:$AI194),MIN($C194:$AI194)),$C194:$AI194,0))*INDEX(AA183:$AJ193,MATCH(MIN($AK183:$AK193),$AK183:$AK193,0),1)/INDEX($C183:$AJ193,MATCH(MIN($AK183:$AK193),$AK183:$AK193,0),MATCH(IF('Data-solution'!$A$3="Maximize",MAX($C194:$AI194),MIN($C194:$AI194)),$C194:$AI194,0))),AA184)</f>
        <v>-0.25</v>
      </c>
      <c r="AB199" s="1">
        <f>IF(OR($B198&lt;&gt;$B183,$B199&lt;&gt;$B184,$B200&lt;&gt;$B185,$B201&lt;&gt;$B186,$B202&lt;&gt;$B187,$B203&lt;&gt;$B188,$B204&lt;&gt;$B189,$B205&lt;&gt;$B190,$B206&lt;&gt;$B191,$B207&lt;&gt;$B192,$B208&lt;&gt;$B193),IF($B199&lt;&gt;$B184,AB184/INDEX($C183:$AJ193,2,MATCH(IF('Data-solution'!$A$3="Maximize",MAX($C194:$AI194),MIN($C194:$AI194)),$C194:$AI194,0)),AB184-INDEX($C183:$AJ193,2,MATCH(IF('Data-solution'!$A$3="Maximize",MAX($C194:$AI194),MIN($C194:$AI194)),$C194:$AI194,0))*INDEX(AB183:$AJ193,MATCH(MIN($AK183:$AK193),$AK183:$AK193,0),1)/INDEX($C183:$AJ193,MATCH(MIN($AK183:$AK193),$AK183:$AK193,0),MATCH(IF('Data-solution'!$A$3="Maximize",MAX($C194:$AI194),MIN($C194:$AI194)),$C194:$AI194,0))),AB184)</f>
        <v>-0.5</v>
      </c>
      <c r="AC199" s="1">
        <f>IF(OR($B198&lt;&gt;$B183,$B199&lt;&gt;$B184,$B200&lt;&gt;$B185,$B201&lt;&gt;$B186,$B202&lt;&gt;$B187,$B203&lt;&gt;$B188,$B204&lt;&gt;$B189,$B205&lt;&gt;$B190,$B206&lt;&gt;$B191,$B207&lt;&gt;$B192,$B208&lt;&gt;$B193),IF($B199&lt;&gt;$B184,AC184/INDEX($C183:$AJ193,2,MATCH(IF('Data-solution'!$A$3="Maximize",MAX($C194:$AI194),MIN($C194:$AI194)),$C194:$AI194,0)),AC184-INDEX($C183:$AJ193,2,MATCH(IF('Data-solution'!$A$3="Maximize",MAX($C194:$AI194),MIN($C194:$AI194)),$C194:$AI194,0))*INDEX(AC183:$AJ193,MATCH(MIN($AK183:$AK193),$AK183:$AK193,0),1)/INDEX($C183:$AJ193,MATCH(MIN($AK183:$AK193),$AK183:$AK193,0),MATCH(IF('Data-solution'!$A$3="Maximize",MAX($C194:$AI194),MIN($C194:$AI194)),$C194:$AI194,0))),AC184)</f>
        <v>0</v>
      </c>
      <c r="AD199" s="1">
        <f>IF(OR($B198&lt;&gt;$B183,$B199&lt;&gt;$B184,$B200&lt;&gt;$B185,$B201&lt;&gt;$B186,$B202&lt;&gt;$B187,$B203&lt;&gt;$B188,$B204&lt;&gt;$B189,$B205&lt;&gt;$B190,$B206&lt;&gt;$B191,$B207&lt;&gt;$B192,$B208&lt;&gt;$B193),IF($B199&lt;&gt;$B184,AD184/INDEX($C183:$AJ193,2,MATCH(IF('Data-solution'!$A$3="Maximize",MAX($C194:$AI194),MIN($C194:$AI194)),$C194:$AI194,0)),AD184-INDEX($C183:$AJ193,2,MATCH(IF('Data-solution'!$A$3="Maximize",MAX($C194:$AI194),MIN($C194:$AI194)),$C194:$AI194,0))*INDEX(AD183:$AJ193,MATCH(MIN($AK183:$AK193),$AK183:$AK193,0),1)/INDEX($C183:$AJ193,MATCH(MIN($AK183:$AK193),$AK183:$AK193,0),MATCH(IF('Data-solution'!$A$3="Maximize",MAX($C194:$AI194),MIN($C194:$AI194)),$C194:$AI194,0))),AD184)</f>
        <v>0</v>
      </c>
      <c r="AE199" s="1">
        <f>IF(OR($B198&lt;&gt;$B183,$B199&lt;&gt;$B184,$B200&lt;&gt;$B185,$B201&lt;&gt;$B186,$B202&lt;&gt;$B187,$B203&lt;&gt;$B188,$B204&lt;&gt;$B189,$B205&lt;&gt;$B190,$B206&lt;&gt;$B191,$B207&lt;&gt;$B192,$B208&lt;&gt;$B193),IF($B199&lt;&gt;$B184,AE184/INDEX($C183:$AJ193,2,MATCH(IF('Data-solution'!$A$3="Maximize",MAX($C194:$AI194),MIN($C194:$AI194)),$C194:$AI194,0)),AE184-INDEX($C183:$AJ193,2,MATCH(IF('Data-solution'!$A$3="Maximize",MAX($C194:$AI194),MIN($C194:$AI194)),$C194:$AI194,0))*INDEX(AE183:$AJ193,MATCH(MIN($AK183:$AK193),$AK183:$AK193,0),1)/INDEX($C183:$AJ193,MATCH(MIN($AK183:$AK193),$AK183:$AK193,0),MATCH(IF('Data-solution'!$A$3="Maximize",MAX($C194:$AI194),MIN($C194:$AI194)),$C194:$AI194,0))),AE184)</f>
        <v>0</v>
      </c>
      <c r="AF199" s="1">
        <f>IF(OR($B198&lt;&gt;$B183,$B199&lt;&gt;$B184,$B200&lt;&gt;$B185,$B201&lt;&gt;$B186,$B202&lt;&gt;$B187,$B203&lt;&gt;$B188,$B204&lt;&gt;$B189,$B205&lt;&gt;$B190,$B206&lt;&gt;$B191,$B207&lt;&gt;$B192,$B208&lt;&gt;$B193),IF($B199&lt;&gt;$B184,AF184/INDEX($C183:$AJ193,2,MATCH(IF('Data-solution'!$A$3="Maximize",MAX($C194:$AI194),MIN($C194:$AI194)),$C194:$AI194,0)),AF184-INDEX($C183:$AJ193,2,MATCH(IF('Data-solution'!$A$3="Maximize",MAX($C194:$AI194),MIN($C194:$AI194)),$C194:$AI194,0))*INDEX(AF183:$AJ193,MATCH(MIN($AK183:$AK193),$AK183:$AK193,0),1)/INDEX($C183:$AJ193,MATCH(MIN($AK183:$AK193),$AK183:$AK193,0),MATCH(IF('Data-solution'!$A$3="Maximize",MAX($C194:$AI194),MIN($C194:$AI194)),$C194:$AI194,0))),AF184)</f>
        <v>0</v>
      </c>
      <c r="AG199" s="1">
        <f>IF(OR($B198&lt;&gt;$B183,$B199&lt;&gt;$B184,$B200&lt;&gt;$B185,$B201&lt;&gt;$B186,$B202&lt;&gt;$B187,$B203&lt;&gt;$B188,$B204&lt;&gt;$B189,$B205&lt;&gt;$B190,$B206&lt;&gt;$B191,$B207&lt;&gt;$B192,$B208&lt;&gt;$B193),IF($B199&lt;&gt;$B184,AG184/INDEX($C183:$AJ193,2,MATCH(IF('Data-solution'!$A$3="Maximize",MAX($C194:$AI194),MIN($C194:$AI194)),$C194:$AI194,0)),AG184-INDEX($C183:$AJ193,2,MATCH(IF('Data-solution'!$A$3="Maximize",MAX($C194:$AI194),MIN($C194:$AI194)),$C194:$AI194,0))*INDEX(AG183:$AJ193,MATCH(MIN($AK183:$AK193),$AK183:$AK193,0),1)/INDEX($C183:$AJ193,MATCH(MIN($AK183:$AK193),$AK183:$AK193,0),MATCH(IF('Data-solution'!$A$3="Maximize",MAX($C194:$AI194),MIN($C194:$AI194)),$C194:$AI194,0))),AG184)</f>
        <v>0</v>
      </c>
      <c r="AH199" s="1">
        <f>IF(OR($B198&lt;&gt;$B183,$B199&lt;&gt;$B184,$B200&lt;&gt;$B185,$B201&lt;&gt;$B186,$B202&lt;&gt;$B187,$B203&lt;&gt;$B188,$B204&lt;&gt;$B189,$B205&lt;&gt;$B190,$B206&lt;&gt;$B191,$B207&lt;&gt;$B192,$B208&lt;&gt;$B193),IF($B199&lt;&gt;$B184,AH184/INDEX($C183:$AJ193,2,MATCH(IF('Data-solution'!$A$3="Maximize",MAX($C194:$AI194),MIN($C194:$AI194)),$C194:$AI194,0)),AH184-INDEX($C183:$AJ193,2,MATCH(IF('Data-solution'!$A$3="Maximize",MAX($C194:$AI194),MIN($C194:$AI194)),$C194:$AI194,0))*INDEX(AH183:$AJ193,MATCH(MIN($AK183:$AK193),$AK183:$AK193,0),1)/INDEX($C183:$AJ193,MATCH(MIN($AK183:$AK193),$AK183:$AK193,0),MATCH(IF('Data-solution'!$A$3="Maximize",MAX($C194:$AI194),MIN($C194:$AI194)),$C194:$AI194,0))),AH184)</f>
        <v>0</v>
      </c>
      <c r="AI199" s="1">
        <f>IF(OR($B198&lt;&gt;$B183,$B199&lt;&gt;$B184,$B200&lt;&gt;$B185,$B201&lt;&gt;$B186,$B202&lt;&gt;$B187,$B203&lt;&gt;$B188,$B204&lt;&gt;$B189,$B205&lt;&gt;$B190,$B206&lt;&gt;$B191,$B207&lt;&gt;$B192,$B208&lt;&gt;$B193),IF($B199&lt;&gt;$B184,AI184/INDEX($C183:$AJ193,2,MATCH(IF('Data-solution'!$A$3="Maximize",MAX($C194:$AI194),MIN($C194:$AI194)),$C194:$AI194,0)),AI184-INDEX($C183:$AJ193,2,MATCH(IF('Data-solution'!$A$3="Maximize",MAX($C194:$AI194),MIN($C194:$AI194)),$C194:$AI194,0))*INDEX(AI183:$AJ193,MATCH(MIN($AK183:$AK193),$AK183:$AK193,0),1)/INDEX($C183:$AJ193,MATCH(MIN($AK183:$AK193),$AK183:$AK193,0),MATCH(IF('Data-solution'!$A$3="Maximize",MAX($C194:$AI194),MIN($C194:$AI194)),$C194:$AI194,0))),AI184)</f>
        <v>0</v>
      </c>
      <c r="AJ199" s="1">
        <f>IF(OR($B198&lt;&gt;$B183,$B199&lt;&gt;$B184,$B200&lt;&gt;$B185,$B201&lt;&gt;$B186,$B202&lt;&gt;$B187,$B203&lt;&gt;$B188,$B204&lt;&gt;$B189,$B205&lt;&gt;$B190,$B206&lt;&gt;$B191,$B207&lt;&gt;$B192,$B208&lt;&gt;$B193),IF($B199&lt;&gt;$B184,AJ184/INDEX($C183:$AJ193,2,MATCH(IF('Data-solution'!$A$3="Maximize",MAX($C194:$AI194),MIN($C194:$AI194)),$C194:$AI194,0)),AJ184-INDEX($C183:$AJ193,2,MATCH(IF('Data-solution'!$A$3="Maximize",MAX($C194:$AI194),MIN($C194:$AI194)),$C194:$AI194,0))*INDEX(AJ183:$AJ193,MATCH(MIN($AK183:$AK193),$AK183:$AK193,0),1)/INDEX($C183:$AJ193,MATCH(MIN($AK183:$AK193),$AK183:$AK193,0),MATCH(IF('Data-solution'!$A$3="Maximize",MAX($C194:$AI194),MIN($C194:$AI194)),$C194:$AI194,0))),AJ184)</f>
        <v>300</v>
      </c>
      <c r="AK199" s="1" t="str">
        <f>IF(INDEX(C199:X199,1,MATCH(IF('Data-solution'!A$3="Maximize",MAX(C209:X209),MIN(C209:X209)),C209:X209,0))&gt;0,AJ199/INDEX(C199:X199,1,MATCH(IF('Data-solution'!A$3="Maximize",MAX(C209:X209),MIN(C209:X209)),C209:X209,0))," ")</f>
        <v xml:space="preserve"> </v>
      </c>
    </row>
    <row r="200" spans="1:37" ht="18" customHeight="1" x14ac:dyDescent="0.2">
      <c r="A200" s="1">
        <f t="shared" ref="A200" si="172">INDEX(C196:AI196,1,MATCH(B200,C197:AI197,0))</f>
        <v>350</v>
      </c>
      <c r="B200" s="2" t="str">
        <f>IF(AND('Data-solution'!A$3="Maximize",COUNTIF(C194:X194,"&gt;"&amp;0)&gt;0,AK185=MIN(AK183:AK193),COUNTIF(B198:B199,INDEX(C182:X182,1,MATCH(MAX(C194:X194),C194:X194,0)))=0),INDEX(C182:X182,1,MATCH(MAX(C194:X194),C194:X194,0)),IF(AND('Data-solution'!A$3="Minimize",COUNTIF(C194:X194,"&lt;"&amp;0)&gt;0,AK185=MIN(AK183:AK193),COUNTIF(B198:B199,INDEX(C182:X182,1,MATCH(MIN(C194:X194),C194:X194,0)))=0),INDEX(C182:X182,1,MATCH(MIN(C194:X194),C194:X194,0)),B185))</f>
        <v>X3</v>
      </c>
      <c r="C200" s="1">
        <f>IF(OR($B198&lt;&gt;$B183,$B199&lt;&gt;$B184,$B200&lt;&gt;$B185,$B201&lt;&gt;$B186,$B202&lt;&gt;$B187,$B203&lt;&gt;$B188,$B204&lt;&gt;$B189,$B205&lt;&gt;$B190,$B206&lt;&gt;$B191,$B207&lt;&gt;$B192,$B208&lt;&gt;$B193),IF($B200&lt;&gt;$B185,C185/INDEX($C183:$AJ193,3,MATCH(IF('Data-solution'!$A$3="Maximize",MAX($C194:$AI194),MIN($C194:$AI194)),$C194:$AI194,0)),C185-INDEX($C183:$AJ193,3,MATCH(IF('Data-solution'!$A$3="Maximize",MAX($C194:$AI194),MIN($C194:$AI194)),$C194:$AI194,0))*INDEX(C183:$AJ193,MATCH(MIN($AK183:$AK193),$AK183:$AK193,0),1)/INDEX($C183:$AJ193,MATCH(MIN($AK183:$AK193),$AK183:$AK193,0),MATCH(IF('Data-solution'!$A$3="Maximize",MAX($C194:$AI194),MIN($C194:$AI194)),$C194:$AI194,0))),C185)</f>
        <v>0</v>
      </c>
      <c r="D200" s="1">
        <f>IF(OR($B198&lt;&gt;$B183,$B199&lt;&gt;$B184,$B200&lt;&gt;$B185,$B201&lt;&gt;$B186,$B202&lt;&gt;$B187,$B203&lt;&gt;$B188,$B204&lt;&gt;$B189,$B205&lt;&gt;$B190,$B206&lt;&gt;$B191,$B207&lt;&gt;$B192,$B208&lt;&gt;$B193),IF($B200&lt;&gt;$B185,D185/INDEX($C183:$AJ193,3,MATCH(IF('Data-solution'!$A$3="Maximize",MAX($C194:$AI194),MIN($C194:$AI194)),$C194:$AI194,0)),D185-INDEX($C183:$AJ193,3,MATCH(IF('Data-solution'!$A$3="Maximize",MAX($C194:$AI194),MIN($C194:$AI194)),$C194:$AI194,0))*INDEX(D183:$AJ193,MATCH(MIN($AK183:$AK193),$AK183:$AK193,0),1)/INDEX($C183:$AJ193,MATCH(MIN($AK183:$AK193),$AK183:$AK193,0),MATCH(IF('Data-solution'!$A$3="Maximize",MAX($C194:$AI194),MIN($C194:$AI194)),$C194:$AI194,0))),D185)</f>
        <v>1.25</v>
      </c>
      <c r="E200" s="1">
        <f>IF(OR($B198&lt;&gt;$B183,$B199&lt;&gt;$B184,$B200&lt;&gt;$B185,$B201&lt;&gt;$B186,$B202&lt;&gt;$B187,$B203&lt;&gt;$B188,$B204&lt;&gt;$B189,$B205&lt;&gt;$B190,$B206&lt;&gt;$B191,$B207&lt;&gt;$B192,$B208&lt;&gt;$B193),IF($B200&lt;&gt;$B185,E185/INDEX($C183:$AJ193,3,MATCH(IF('Data-solution'!$A$3="Maximize",MAX($C194:$AI194),MIN($C194:$AI194)),$C194:$AI194,0)),E185-INDEX($C183:$AJ193,3,MATCH(IF('Data-solution'!$A$3="Maximize",MAX($C194:$AI194),MIN($C194:$AI194)),$C194:$AI194,0))*INDEX(E183:$AJ193,MATCH(MIN($AK183:$AK193),$AK183:$AK193,0),1)/INDEX($C183:$AJ193,MATCH(MIN($AK183:$AK193),$AK183:$AK193,0),MATCH(IF('Data-solution'!$A$3="Maximize",MAX($C194:$AI194),MIN($C194:$AI194)),$C194:$AI194,0))),E185)</f>
        <v>1</v>
      </c>
      <c r="F200" s="1">
        <f>IF(OR($B198&lt;&gt;$B183,$B199&lt;&gt;$B184,$B200&lt;&gt;$B185,$B201&lt;&gt;$B186,$B202&lt;&gt;$B187,$B203&lt;&gt;$B188,$B204&lt;&gt;$B189,$B205&lt;&gt;$B190,$B206&lt;&gt;$B191,$B207&lt;&gt;$B192,$B208&lt;&gt;$B193),IF($B200&lt;&gt;$B185,F185/INDEX($C183:$AJ193,3,MATCH(IF('Data-solution'!$A$3="Maximize",MAX($C194:$AI194),MIN($C194:$AI194)),$C194:$AI194,0)),F185-INDEX($C183:$AJ193,3,MATCH(IF('Data-solution'!$A$3="Maximize",MAX($C194:$AI194),MIN($C194:$AI194)),$C194:$AI194,0))*INDEX(F183:$AJ193,MATCH(MIN($AK183:$AK193),$AK183:$AK193,0),1)/INDEX($C183:$AJ193,MATCH(MIN($AK183:$AK193),$AK183:$AK193,0),MATCH(IF('Data-solution'!$A$3="Maximize",MAX($C194:$AI194),MIN($C194:$AI194)),$C194:$AI194,0))),F185)</f>
        <v>0</v>
      </c>
      <c r="G200" s="1">
        <f>IF(OR($B198&lt;&gt;$B183,$B199&lt;&gt;$B184,$B200&lt;&gt;$B185,$B201&lt;&gt;$B186,$B202&lt;&gt;$B187,$B203&lt;&gt;$B188,$B204&lt;&gt;$B189,$B205&lt;&gt;$B190,$B206&lt;&gt;$B191,$B207&lt;&gt;$B192,$B208&lt;&gt;$B193),IF($B200&lt;&gt;$B185,G185/INDEX($C183:$AJ193,3,MATCH(IF('Data-solution'!$A$3="Maximize",MAX($C194:$AI194),MIN($C194:$AI194)),$C194:$AI194,0)),G185-INDEX($C183:$AJ193,3,MATCH(IF('Data-solution'!$A$3="Maximize",MAX($C194:$AI194),MIN($C194:$AI194)),$C194:$AI194,0))*INDEX(G183:$AJ193,MATCH(MIN($AK183:$AK193),$AK183:$AK193,0),1)/INDEX($C183:$AJ193,MATCH(MIN($AK183:$AK193),$AK183:$AK193,0),MATCH(IF('Data-solution'!$A$3="Maximize",MAX($C194:$AI194),MIN($C194:$AI194)),$C194:$AI194,0))),G185)</f>
        <v>0</v>
      </c>
      <c r="H200" s="1">
        <f>IF(OR($B198&lt;&gt;$B183,$B199&lt;&gt;$B184,$B200&lt;&gt;$B185,$B201&lt;&gt;$B186,$B202&lt;&gt;$B187,$B203&lt;&gt;$B188,$B204&lt;&gt;$B189,$B205&lt;&gt;$B190,$B206&lt;&gt;$B191,$B207&lt;&gt;$B192,$B208&lt;&gt;$B193),IF($B200&lt;&gt;$B185,H185/INDEX($C183:$AJ193,3,MATCH(IF('Data-solution'!$A$3="Maximize",MAX($C194:$AI194),MIN($C194:$AI194)),$C194:$AI194,0)),H185-INDEX($C183:$AJ193,3,MATCH(IF('Data-solution'!$A$3="Maximize",MAX($C194:$AI194),MIN($C194:$AI194)),$C194:$AI194,0))*INDEX(H183:$AJ193,MATCH(MIN($AK183:$AK193),$AK183:$AK193,0),1)/INDEX($C183:$AJ193,MATCH(MIN($AK183:$AK193),$AK183:$AK193,0),MATCH(IF('Data-solution'!$A$3="Maximize",MAX($C194:$AI194),MIN($C194:$AI194)),$C194:$AI194,0))),H185)</f>
        <v>0</v>
      </c>
      <c r="I200" s="1">
        <f>IF(OR($B198&lt;&gt;$B183,$B199&lt;&gt;$B184,$B200&lt;&gt;$B185,$B201&lt;&gt;$B186,$B202&lt;&gt;$B187,$B203&lt;&gt;$B188,$B204&lt;&gt;$B189,$B205&lt;&gt;$B190,$B206&lt;&gt;$B191,$B207&lt;&gt;$B192,$B208&lt;&gt;$B193),IF($B200&lt;&gt;$B185,I185/INDEX($C183:$AJ193,3,MATCH(IF('Data-solution'!$A$3="Maximize",MAX($C194:$AI194),MIN($C194:$AI194)),$C194:$AI194,0)),I185-INDEX($C183:$AJ193,3,MATCH(IF('Data-solution'!$A$3="Maximize",MAX($C194:$AI194),MIN($C194:$AI194)),$C194:$AI194,0))*INDEX(I183:$AJ193,MATCH(MIN($AK183:$AK193),$AK183:$AK193,0),1)/INDEX($C183:$AJ193,MATCH(MIN($AK183:$AK193),$AK183:$AK193,0),MATCH(IF('Data-solution'!$A$3="Maximize",MAX($C194:$AI194),MIN($C194:$AI194)),$C194:$AI194,0))),I185)</f>
        <v>0</v>
      </c>
      <c r="J200" s="1">
        <f>IF(OR($B198&lt;&gt;$B183,$B199&lt;&gt;$B184,$B200&lt;&gt;$B185,$B201&lt;&gt;$B186,$B202&lt;&gt;$B187,$B203&lt;&gt;$B188,$B204&lt;&gt;$B189,$B205&lt;&gt;$B190,$B206&lt;&gt;$B191,$B207&lt;&gt;$B192,$B208&lt;&gt;$B193),IF($B200&lt;&gt;$B185,J185/INDEX($C183:$AJ193,3,MATCH(IF('Data-solution'!$A$3="Maximize",MAX($C194:$AI194),MIN($C194:$AI194)),$C194:$AI194,0)),J185-INDEX($C183:$AJ193,3,MATCH(IF('Data-solution'!$A$3="Maximize",MAX($C194:$AI194),MIN($C194:$AI194)),$C194:$AI194,0))*INDEX(J183:$AJ193,MATCH(MIN($AK183:$AK193),$AK183:$AK193,0),1)/INDEX($C183:$AJ193,MATCH(MIN($AK183:$AK193),$AK183:$AK193,0),MATCH(IF('Data-solution'!$A$3="Maximize",MAX($C194:$AI194),MIN($C194:$AI194)),$C194:$AI194,0))),J185)</f>
        <v>0</v>
      </c>
      <c r="K200" s="1">
        <f>IF(OR($B198&lt;&gt;$B183,$B199&lt;&gt;$B184,$B200&lt;&gt;$B185,$B201&lt;&gt;$B186,$B202&lt;&gt;$B187,$B203&lt;&gt;$B188,$B204&lt;&gt;$B189,$B205&lt;&gt;$B190,$B206&lt;&gt;$B191,$B207&lt;&gt;$B192,$B208&lt;&gt;$B193),IF($B200&lt;&gt;$B185,K185/INDEX($C183:$AJ193,3,MATCH(IF('Data-solution'!$A$3="Maximize",MAX($C194:$AI194),MIN($C194:$AI194)),$C194:$AI194,0)),K185-INDEX($C183:$AJ193,3,MATCH(IF('Data-solution'!$A$3="Maximize",MAX($C194:$AI194),MIN($C194:$AI194)),$C194:$AI194,0))*INDEX(K183:$AJ193,MATCH(MIN($AK183:$AK193),$AK183:$AK193,0),1)/INDEX($C183:$AJ193,MATCH(MIN($AK183:$AK193),$AK183:$AK193,0),MATCH(IF('Data-solution'!$A$3="Maximize",MAX($C194:$AI194),MIN($C194:$AI194)),$C194:$AI194,0))),K185)</f>
        <v>0</v>
      </c>
      <c r="L200" s="1">
        <f>IF(OR($B198&lt;&gt;$B183,$B199&lt;&gt;$B184,$B200&lt;&gt;$B185,$B201&lt;&gt;$B186,$B202&lt;&gt;$B187,$B203&lt;&gt;$B188,$B204&lt;&gt;$B189,$B205&lt;&gt;$B190,$B206&lt;&gt;$B191,$B207&lt;&gt;$B192,$B208&lt;&gt;$B193),IF($B200&lt;&gt;$B185,L185/INDEX($C183:$AJ193,3,MATCH(IF('Data-solution'!$A$3="Maximize",MAX($C194:$AI194),MIN($C194:$AI194)),$C194:$AI194,0)),L185-INDEX($C183:$AJ193,3,MATCH(IF('Data-solution'!$A$3="Maximize",MAX($C194:$AI194),MIN($C194:$AI194)),$C194:$AI194,0))*INDEX(L183:$AJ193,MATCH(MIN($AK183:$AK193),$AK183:$AK193,0),1)/INDEX($C183:$AJ193,MATCH(MIN($AK183:$AK193),$AK183:$AK193,0),MATCH(IF('Data-solution'!$A$3="Maximize",MAX($C194:$AI194),MIN($C194:$AI194)),$C194:$AI194,0))),L185)</f>
        <v>0</v>
      </c>
      <c r="M200" s="1">
        <f>IF(OR($B198&lt;&gt;$B183,$B199&lt;&gt;$B184,$B200&lt;&gt;$B185,$B201&lt;&gt;$B186,$B202&lt;&gt;$B187,$B203&lt;&gt;$B188,$B204&lt;&gt;$B189,$B205&lt;&gt;$B190,$B206&lt;&gt;$B191,$B207&lt;&gt;$B192,$B208&lt;&gt;$B193),IF($B200&lt;&gt;$B185,M185/INDEX($C183:$AJ193,3,MATCH(IF('Data-solution'!$A$3="Maximize",MAX($C194:$AI194),MIN($C194:$AI194)),$C194:$AI194,0)),M185-INDEX($C183:$AJ193,3,MATCH(IF('Data-solution'!$A$3="Maximize",MAX($C194:$AI194),MIN($C194:$AI194)),$C194:$AI194,0))*INDEX(M183:$AJ193,MATCH(MIN($AK183:$AK193),$AK183:$AK193,0),1)/INDEX($C183:$AJ193,MATCH(MIN($AK183:$AK193),$AK183:$AK193,0),MATCH(IF('Data-solution'!$A$3="Maximize",MAX($C194:$AI194),MIN($C194:$AI194)),$C194:$AI194,0))),M185)</f>
        <v>0</v>
      </c>
      <c r="N200" s="1">
        <f>IF(OR($B198&lt;&gt;$B183,$B199&lt;&gt;$B184,$B200&lt;&gt;$B185,$B201&lt;&gt;$B186,$B202&lt;&gt;$B187,$B203&lt;&gt;$B188,$B204&lt;&gt;$B189,$B205&lt;&gt;$B190,$B206&lt;&gt;$B191,$B207&lt;&gt;$B192,$B208&lt;&gt;$B193),IF($B200&lt;&gt;$B185,N185/INDEX($C183:$AJ193,3,MATCH(IF('Data-solution'!$A$3="Maximize",MAX($C194:$AI194),MIN($C194:$AI194)),$C194:$AI194,0)),N185-INDEX($C183:$AJ193,3,MATCH(IF('Data-solution'!$A$3="Maximize",MAX($C194:$AI194),MIN($C194:$AI194)),$C194:$AI194,0))*INDEX(N183:$AJ193,MATCH(MIN($AK183:$AK193),$AK183:$AK193,0),1)/INDEX($C183:$AJ193,MATCH(MIN($AK183:$AK193),$AK183:$AK193,0),MATCH(IF('Data-solution'!$A$3="Maximize",MAX($C194:$AI194),MIN($C194:$AI194)),$C194:$AI194,0))),N185)</f>
        <v>0</v>
      </c>
      <c r="O200" s="1">
        <f>IF(OR($B198&lt;&gt;$B183,$B199&lt;&gt;$B184,$B200&lt;&gt;$B185,$B201&lt;&gt;$B186,$B202&lt;&gt;$B187,$B203&lt;&gt;$B188,$B204&lt;&gt;$B189,$B205&lt;&gt;$B190,$B206&lt;&gt;$B191,$B207&lt;&gt;$B192,$B208&lt;&gt;$B193),IF($B200&lt;&gt;$B185,O185/INDEX($C183:$AJ193,3,MATCH(IF('Data-solution'!$A$3="Maximize",MAX($C194:$AI194),MIN($C194:$AI194)),$C194:$AI194,0)),O185-INDEX($C183:$AJ193,3,MATCH(IF('Data-solution'!$A$3="Maximize",MAX($C194:$AI194),MIN($C194:$AI194)),$C194:$AI194,0))*INDEX(O183:$AJ193,MATCH(MIN($AK183:$AK193),$AK183:$AK193,0),1)/INDEX($C183:$AJ193,MATCH(MIN($AK183:$AK193),$AK183:$AK193,0),MATCH(IF('Data-solution'!$A$3="Maximize",MAX($C194:$AI194),MIN($C194:$AI194)),$C194:$AI194,0))),O185)</f>
        <v>0</v>
      </c>
      <c r="P200" s="1">
        <f>IF(OR($B198&lt;&gt;$B183,$B199&lt;&gt;$B184,$B200&lt;&gt;$B185,$B201&lt;&gt;$B186,$B202&lt;&gt;$B187,$B203&lt;&gt;$B188,$B204&lt;&gt;$B189,$B205&lt;&gt;$B190,$B206&lt;&gt;$B191,$B207&lt;&gt;$B192,$B208&lt;&gt;$B193),IF($B200&lt;&gt;$B185,P185/INDEX($C183:$AJ193,3,MATCH(IF('Data-solution'!$A$3="Maximize",MAX($C194:$AI194),MIN($C194:$AI194)),$C194:$AI194,0)),P185-INDEX($C183:$AJ193,3,MATCH(IF('Data-solution'!$A$3="Maximize",MAX($C194:$AI194),MIN($C194:$AI194)),$C194:$AI194,0))*INDEX(P183:$AJ193,MATCH(MIN($AK183:$AK193),$AK183:$AK193,0),1)/INDEX($C183:$AJ193,MATCH(MIN($AK183:$AK193),$AK183:$AK193,0),MATCH(IF('Data-solution'!$A$3="Maximize",MAX($C194:$AI194),MIN($C194:$AI194)),$C194:$AI194,0))),P185)</f>
        <v>0.24999999999999997</v>
      </c>
      <c r="Q200" s="1">
        <f>IF(OR($B198&lt;&gt;$B183,$B199&lt;&gt;$B184,$B200&lt;&gt;$B185,$B201&lt;&gt;$B186,$B202&lt;&gt;$B187,$B203&lt;&gt;$B188,$B204&lt;&gt;$B189,$B205&lt;&gt;$B190,$B206&lt;&gt;$B191,$B207&lt;&gt;$B192,$B208&lt;&gt;$B193),IF($B200&lt;&gt;$B185,Q185/INDEX($C183:$AJ193,3,MATCH(IF('Data-solution'!$A$3="Maximize",MAX($C194:$AI194),MIN($C194:$AI194)),$C194:$AI194,0)),Q185-INDEX($C183:$AJ193,3,MATCH(IF('Data-solution'!$A$3="Maximize",MAX($C194:$AI194),MIN($C194:$AI194)),$C194:$AI194,0))*INDEX(Q183:$AJ193,MATCH(MIN($AK183:$AK193),$AK183:$AK193,0),1)/INDEX($C183:$AJ193,MATCH(MIN($AK183:$AK193),$AK183:$AK193,0),MATCH(IF('Data-solution'!$A$3="Maximize",MAX($C194:$AI194),MIN($C194:$AI194)),$C194:$AI194,0))),Q185)</f>
        <v>-0.49999999999999989</v>
      </c>
      <c r="R200" s="1">
        <f>IF(OR($B198&lt;&gt;$B183,$B199&lt;&gt;$B184,$B200&lt;&gt;$B185,$B201&lt;&gt;$B186,$B202&lt;&gt;$B187,$B203&lt;&gt;$B188,$B204&lt;&gt;$B189,$B205&lt;&gt;$B190,$B206&lt;&gt;$B191,$B207&lt;&gt;$B192,$B208&lt;&gt;$B193),IF($B200&lt;&gt;$B185,R185/INDEX($C183:$AJ193,3,MATCH(IF('Data-solution'!$A$3="Maximize",MAX($C194:$AI194),MIN($C194:$AI194)),$C194:$AI194,0)),R185-INDEX($C183:$AJ193,3,MATCH(IF('Data-solution'!$A$3="Maximize",MAX($C194:$AI194),MIN($C194:$AI194)),$C194:$AI194,0))*INDEX(R183:$AJ193,MATCH(MIN($AK183:$AK193),$AK183:$AK193,0),1)/INDEX($C183:$AJ193,MATCH(MIN($AK183:$AK193),$AK183:$AK193,0),MATCH(IF('Data-solution'!$A$3="Maximize",MAX($C194:$AI194),MIN($C194:$AI194)),$C194:$AI194,0))),R185)</f>
        <v>0</v>
      </c>
      <c r="S200" s="1">
        <f>IF(OR($B198&lt;&gt;$B183,$B199&lt;&gt;$B184,$B200&lt;&gt;$B185,$B201&lt;&gt;$B186,$B202&lt;&gt;$B187,$B203&lt;&gt;$B188,$B204&lt;&gt;$B189,$B205&lt;&gt;$B190,$B206&lt;&gt;$B191,$B207&lt;&gt;$B192,$B208&lt;&gt;$B193),IF($B200&lt;&gt;$B185,S185/INDEX($C183:$AJ193,3,MATCH(IF('Data-solution'!$A$3="Maximize",MAX($C194:$AI194),MIN($C194:$AI194)),$C194:$AI194,0)),S185-INDEX($C183:$AJ193,3,MATCH(IF('Data-solution'!$A$3="Maximize",MAX($C194:$AI194),MIN($C194:$AI194)),$C194:$AI194,0))*INDEX(S183:$AJ193,MATCH(MIN($AK183:$AK193),$AK183:$AK193,0),1)/INDEX($C183:$AJ193,MATCH(MIN($AK183:$AK193),$AK183:$AK193,0),MATCH(IF('Data-solution'!$A$3="Maximize",MAX($C194:$AI194),MIN($C194:$AI194)),$C194:$AI194,0))),S185)</f>
        <v>0</v>
      </c>
      <c r="T200" s="1">
        <f>IF(OR($B198&lt;&gt;$B183,$B199&lt;&gt;$B184,$B200&lt;&gt;$B185,$B201&lt;&gt;$B186,$B202&lt;&gt;$B187,$B203&lt;&gt;$B188,$B204&lt;&gt;$B189,$B205&lt;&gt;$B190,$B206&lt;&gt;$B191,$B207&lt;&gt;$B192,$B208&lt;&gt;$B193),IF($B200&lt;&gt;$B185,T185/INDEX($C183:$AJ193,3,MATCH(IF('Data-solution'!$A$3="Maximize",MAX($C194:$AI194),MIN($C194:$AI194)),$C194:$AI194,0)),T185-INDEX($C183:$AJ193,3,MATCH(IF('Data-solution'!$A$3="Maximize",MAX($C194:$AI194),MIN($C194:$AI194)),$C194:$AI194,0))*INDEX(T183:$AJ193,MATCH(MIN($AK183:$AK193),$AK183:$AK193,0),1)/INDEX($C183:$AJ193,MATCH(MIN($AK183:$AK193),$AK183:$AK193,0),MATCH(IF('Data-solution'!$A$3="Maximize",MAX($C194:$AI194),MIN($C194:$AI194)),$C194:$AI194,0))),T185)</f>
        <v>0</v>
      </c>
      <c r="U200" s="1">
        <f>IF(OR($B198&lt;&gt;$B183,$B199&lt;&gt;$B184,$B200&lt;&gt;$B185,$B201&lt;&gt;$B186,$B202&lt;&gt;$B187,$B203&lt;&gt;$B188,$B204&lt;&gt;$B189,$B205&lt;&gt;$B190,$B206&lt;&gt;$B191,$B207&lt;&gt;$B192,$B208&lt;&gt;$B193),IF($B200&lt;&gt;$B185,U185/INDEX($C183:$AJ193,3,MATCH(IF('Data-solution'!$A$3="Maximize",MAX($C194:$AI194),MIN($C194:$AI194)),$C194:$AI194,0)),U185-INDEX($C183:$AJ193,3,MATCH(IF('Data-solution'!$A$3="Maximize",MAX($C194:$AI194),MIN($C194:$AI194)),$C194:$AI194,0))*INDEX(U183:$AJ193,MATCH(MIN($AK183:$AK193),$AK183:$AK193,0),1)/INDEX($C183:$AJ193,MATCH(MIN($AK183:$AK193),$AK183:$AK193,0),MATCH(IF('Data-solution'!$A$3="Maximize",MAX($C194:$AI194),MIN($C194:$AI194)),$C194:$AI194,0))),U185)</f>
        <v>0</v>
      </c>
      <c r="V200" s="1">
        <f>IF(OR($B198&lt;&gt;$B183,$B199&lt;&gt;$B184,$B200&lt;&gt;$B185,$B201&lt;&gt;$B186,$B202&lt;&gt;$B187,$B203&lt;&gt;$B188,$B204&lt;&gt;$B189,$B205&lt;&gt;$B190,$B206&lt;&gt;$B191,$B207&lt;&gt;$B192,$B208&lt;&gt;$B193),IF($B200&lt;&gt;$B185,V185/INDEX($C183:$AJ193,3,MATCH(IF('Data-solution'!$A$3="Maximize",MAX($C194:$AI194),MIN($C194:$AI194)),$C194:$AI194,0)),V185-INDEX($C183:$AJ193,3,MATCH(IF('Data-solution'!$A$3="Maximize",MAX($C194:$AI194),MIN($C194:$AI194)),$C194:$AI194,0))*INDEX(V183:$AJ193,MATCH(MIN($AK183:$AK193),$AK183:$AK193,0),1)/INDEX($C183:$AJ193,MATCH(MIN($AK183:$AK193),$AK183:$AK193,0),MATCH(IF('Data-solution'!$A$3="Maximize",MAX($C194:$AI194),MIN($C194:$AI194)),$C194:$AI194,0))),V185)</f>
        <v>0</v>
      </c>
      <c r="W200" s="1">
        <f>IF(OR($B198&lt;&gt;$B183,$B199&lt;&gt;$B184,$B200&lt;&gt;$B185,$B201&lt;&gt;$B186,$B202&lt;&gt;$B187,$B203&lt;&gt;$B188,$B204&lt;&gt;$B189,$B205&lt;&gt;$B190,$B206&lt;&gt;$B191,$B207&lt;&gt;$B192,$B208&lt;&gt;$B193),IF($B200&lt;&gt;$B185,W185/INDEX($C183:$AJ193,3,MATCH(IF('Data-solution'!$A$3="Maximize",MAX($C194:$AI194),MIN($C194:$AI194)),$C194:$AI194,0)),W185-INDEX($C183:$AJ193,3,MATCH(IF('Data-solution'!$A$3="Maximize",MAX($C194:$AI194),MIN($C194:$AI194)),$C194:$AI194,0))*INDEX(W183:$AJ193,MATCH(MIN($AK183:$AK193),$AK183:$AK193,0),1)/INDEX($C183:$AJ193,MATCH(MIN($AK183:$AK193),$AK183:$AK193,0),MATCH(IF('Data-solution'!$A$3="Maximize",MAX($C194:$AI194),MIN($C194:$AI194)),$C194:$AI194,0))),W185)</f>
        <v>0</v>
      </c>
      <c r="X200" s="1">
        <f>IF(OR($B198&lt;&gt;$B183,$B199&lt;&gt;$B184,$B200&lt;&gt;$B185,$B201&lt;&gt;$B186,$B202&lt;&gt;$B187,$B203&lt;&gt;$B188,$B204&lt;&gt;$B189,$B205&lt;&gt;$B190,$B206&lt;&gt;$B191,$B207&lt;&gt;$B192,$B208&lt;&gt;$B193),IF($B200&lt;&gt;$B185,X185/INDEX($C183:$AJ193,3,MATCH(IF('Data-solution'!$A$3="Maximize",MAX($C194:$AI194),MIN($C194:$AI194)),$C194:$AI194,0)),X185-INDEX($C183:$AJ193,3,MATCH(IF('Data-solution'!$A$3="Maximize",MAX($C194:$AI194),MIN($C194:$AI194)),$C194:$AI194,0))*INDEX(X183:$AJ193,MATCH(MIN($AK183:$AK193),$AK183:$AK193,0),1)/INDEX($C183:$AJ193,MATCH(MIN($AK183:$AK193),$AK183:$AK193,0),MATCH(IF('Data-solution'!$A$3="Maximize",MAX($C194:$AI194),MIN($C194:$AI194)),$C194:$AI194,0))),X185)</f>
        <v>0</v>
      </c>
      <c r="Y200" s="1">
        <f>IF(OR($B198&lt;&gt;$B183,$B199&lt;&gt;$B184,$B200&lt;&gt;$B185,$B201&lt;&gt;$B186,$B202&lt;&gt;$B187,$B203&lt;&gt;$B188,$B204&lt;&gt;$B189,$B205&lt;&gt;$B190,$B206&lt;&gt;$B191,$B207&lt;&gt;$B192,$B208&lt;&gt;$B193),IF($B200&lt;&gt;$B185,Y185/INDEX($C183:$AJ193,3,MATCH(IF('Data-solution'!$A$3="Maximize",MAX($C194:$AI194),MIN($C194:$AI194)),$C194:$AI194,0)),Y185-INDEX($C183:$AJ193,3,MATCH(IF('Data-solution'!$A$3="Maximize",MAX($C194:$AI194),MIN($C194:$AI194)),$C194:$AI194,0))*INDEX(Y183:$AJ193,MATCH(MIN($AK183:$AK193),$AK183:$AK193,0),1)/INDEX($C183:$AJ193,MATCH(MIN($AK183:$AK193),$AK183:$AK193,0),MATCH(IF('Data-solution'!$A$3="Maximize",MAX($C194:$AI194),MIN($C194:$AI194)),$C194:$AI194,0))),Y185)</f>
        <v>0</v>
      </c>
      <c r="Z200" s="1">
        <f>IF(OR($B198&lt;&gt;$B183,$B199&lt;&gt;$B184,$B200&lt;&gt;$B185,$B201&lt;&gt;$B186,$B202&lt;&gt;$B187,$B203&lt;&gt;$B188,$B204&lt;&gt;$B189,$B205&lt;&gt;$B190,$B206&lt;&gt;$B191,$B207&lt;&gt;$B192,$B208&lt;&gt;$B193),IF($B200&lt;&gt;$B185,Z185/INDEX($C183:$AJ193,3,MATCH(IF('Data-solution'!$A$3="Maximize",MAX($C194:$AI194),MIN($C194:$AI194)),$C194:$AI194,0)),Z185-INDEX($C183:$AJ193,3,MATCH(IF('Data-solution'!$A$3="Maximize",MAX($C194:$AI194),MIN($C194:$AI194)),$C194:$AI194,0))*INDEX(Z183:$AJ193,MATCH(MIN($AK183:$AK193),$AK183:$AK193,0),1)/INDEX($C183:$AJ193,MATCH(MIN($AK183:$AK193),$AK183:$AK193,0),MATCH(IF('Data-solution'!$A$3="Maximize",MAX($C194:$AI194),MIN($C194:$AI194)),$C194:$AI194,0))),Z185)</f>
        <v>0</v>
      </c>
      <c r="AA200" s="1">
        <f>IF(OR($B198&lt;&gt;$B183,$B199&lt;&gt;$B184,$B200&lt;&gt;$B185,$B201&lt;&gt;$B186,$B202&lt;&gt;$B187,$B203&lt;&gt;$B188,$B204&lt;&gt;$B189,$B205&lt;&gt;$B190,$B206&lt;&gt;$B191,$B207&lt;&gt;$B192,$B208&lt;&gt;$B193),IF($B200&lt;&gt;$B185,AA185/INDEX($C183:$AJ193,3,MATCH(IF('Data-solution'!$A$3="Maximize",MAX($C194:$AI194),MIN($C194:$AI194)),$C194:$AI194,0)),AA185-INDEX($C183:$AJ193,3,MATCH(IF('Data-solution'!$A$3="Maximize",MAX($C194:$AI194),MIN($C194:$AI194)),$C194:$AI194,0))*INDEX(AA183:$AJ193,MATCH(MIN($AK183:$AK193),$AK183:$AK193,0),1)/INDEX($C183:$AJ193,MATCH(MIN($AK183:$AK193),$AK183:$AK193,0),MATCH(IF('Data-solution'!$A$3="Maximize",MAX($C194:$AI194),MIN($C194:$AI194)),$C194:$AI194,0))),AA185)</f>
        <v>0.24999999999999997</v>
      </c>
      <c r="AB200" s="1">
        <f>IF(OR($B198&lt;&gt;$B183,$B199&lt;&gt;$B184,$B200&lt;&gt;$B185,$B201&lt;&gt;$B186,$B202&lt;&gt;$B187,$B203&lt;&gt;$B188,$B204&lt;&gt;$B189,$B205&lt;&gt;$B190,$B206&lt;&gt;$B191,$B207&lt;&gt;$B192,$B208&lt;&gt;$B193),IF($B200&lt;&gt;$B185,AB185/INDEX($C183:$AJ193,3,MATCH(IF('Data-solution'!$A$3="Maximize",MAX($C194:$AI194),MIN($C194:$AI194)),$C194:$AI194,0)),AB185-INDEX($C183:$AJ193,3,MATCH(IF('Data-solution'!$A$3="Maximize",MAX($C194:$AI194),MIN($C194:$AI194)),$C194:$AI194,0))*INDEX(AB183:$AJ193,MATCH(MIN($AK183:$AK193),$AK183:$AK193,0),1)/INDEX($C183:$AJ193,MATCH(MIN($AK183:$AK193),$AK183:$AK193,0),MATCH(IF('Data-solution'!$A$3="Maximize",MAX($C194:$AI194),MIN($C194:$AI194)),$C194:$AI194,0))),AB185)</f>
        <v>-0.49999999999999989</v>
      </c>
      <c r="AC200" s="1">
        <f>IF(OR($B198&lt;&gt;$B183,$B199&lt;&gt;$B184,$B200&lt;&gt;$B185,$B201&lt;&gt;$B186,$B202&lt;&gt;$B187,$B203&lt;&gt;$B188,$B204&lt;&gt;$B189,$B205&lt;&gt;$B190,$B206&lt;&gt;$B191,$B207&lt;&gt;$B192,$B208&lt;&gt;$B193),IF($B200&lt;&gt;$B185,AC185/INDEX($C183:$AJ193,3,MATCH(IF('Data-solution'!$A$3="Maximize",MAX($C194:$AI194),MIN($C194:$AI194)),$C194:$AI194,0)),AC185-INDEX($C183:$AJ193,3,MATCH(IF('Data-solution'!$A$3="Maximize",MAX($C194:$AI194),MIN($C194:$AI194)),$C194:$AI194,0))*INDEX(AC183:$AJ193,MATCH(MIN($AK183:$AK193),$AK183:$AK193,0),1)/INDEX($C183:$AJ193,MATCH(MIN($AK183:$AK193),$AK183:$AK193,0),MATCH(IF('Data-solution'!$A$3="Maximize",MAX($C194:$AI194),MIN($C194:$AI194)),$C194:$AI194,0))),AC185)</f>
        <v>0</v>
      </c>
      <c r="AD200" s="1">
        <f>IF(OR($B198&lt;&gt;$B183,$B199&lt;&gt;$B184,$B200&lt;&gt;$B185,$B201&lt;&gt;$B186,$B202&lt;&gt;$B187,$B203&lt;&gt;$B188,$B204&lt;&gt;$B189,$B205&lt;&gt;$B190,$B206&lt;&gt;$B191,$B207&lt;&gt;$B192,$B208&lt;&gt;$B193),IF($B200&lt;&gt;$B185,AD185/INDEX($C183:$AJ193,3,MATCH(IF('Data-solution'!$A$3="Maximize",MAX($C194:$AI194),MIN($C194:$AI194)),$C194:$AI194,0)),AD185-INDEX($C183:$AJ193,3,MATCH(IF('Data-solution'!$A$3="Maximize",MAX($C194:$AI194),MIN($C194:$AI194)),$C194:$AI194,0))*INDEX(AD183:$AJ193,MATCH(MIN($AK183:$AK193),$AK183:$AK193,0),1)/INDEX($C183:$AJ193,MATCH(MIN($AK183:$AK193),$AK183:$AK193,0),MATCH(IF('Data-solution'!$A$3="Maximize",MAX($C194:$AI194),MIN($C194:$AI194)),$C194:$AI194,0))),AD185)</f>
        <v>0</v>
      </c>
      <c r="AE200" s="1">
        <f>IF(OR($B198&lt;&gt;$B183,$B199&lt;&gt;$B184,$B200&lt;&gt;$B185,$B201&lt;&gt;$B186,$B202&lt;&gt;$B187,$B203&lt;&gt;$B188,$B204&lt;&gt;$B189,$B205&lt;&gt;$B190,$B206&lt;&gt;$B191,$B207&lt;&gt;$B192,$B208&lt;&gt;$B193),IF($B200&lt;&gt;$B185,AE185/INDEX($C183:$AJ193,3,MATCH(IF('Data-solution'!$A$3="Maximize",MAX($C194:$AI194),MIN($C194:$AI194)),$C194:$AI194,0)),AE185-INDEX($C183:$AJ193,3,MATCH(IF('Data-solution'!$A$3="Maximize",MAX($C194:$AI194),MIN($C194:$AI194)),$C194:$AI194,0))*INDEX(AE183:$AJ193,MATCH(MIN($AK183:$AK193),$AK183:$AK193,0),1)/INDEX($C183:$AJ193,MATCH(MIN($AK183:$AK193),$AK183:$AK193,0),MATCH(IF('Data-solution'!$A$3="Maximize",MAX($C194:$AI194),MIN($C194:$AI194)),$C194:$AI194,0))),AE185)</f>
        <v>0</v>
      </c>
      <c r="AF200" s="1">
        <f>IF(OR($B198&lt;&gt;$B183,$B199&lt;&gt;$B184,$B200&lt;&gt;$B185,$B201&lt;&gt;$B186,$B202&lt;&gt;$B187,$B203&lt;&gt;$B188,$B204&lt;&gt;$B189,$B205&lt;&gt;$B190,$B206&lt;&gt;$B191,$B207&lt;&gt;$B192,$B208&lt;&gt;$B193),IF($B200&lt;&gt;$B185,AF185/INDEX($C183:$AJ193,3,MATCH(IF('Data-solution'!$A$3="Maximize",MAX($C194:$AI194),MIN($C194:$AI194)),$C194:$AI194,0)),AF185-INDEX($C183:$AJ193,3,MATCH(IF('Data-solution'!$A$3="Maximize",MAX($C194:$AI194),MIN($C194:$AI194)),$C194:$AI194,0))*INDEX(AF183:$AJ193,MATCH(MIN($AK183:$AK193),$AK183:$AK193,0),1)/INDEX($C183:$AJ193,MATCH(MIN($AK183:$AK193),$AK183:$AK193,0),MATCH(IF('Data-solution'!$A$3="Maximize",MAX($C194:$AI194),MIN($C194:$AI194)),$C194:$AI194,0))),AF185)</f>
        <v>0</v>
      </c>
      <c r="AG200" s="1">
        <f>IF(OR($B198&lt;&gt;$B183,$B199&lt;&gt;$B184,$B200&lt;&gt;$B185,$B201&lt;&gt;$B186,$B202&lt;&gt;$B187,$B203&lt;&gt;$B188,$B204&lt;&gt;$B189,$B205&lt;&gt;$B190,$B206&lt;&gt;$B191,$B207&lt;&gt;$B192,$B208&lt;&gt;$B193),IF($B200&lt;&gt;$B185,AG185/INDEX($C183:$AJ193,3,MATCH(IF('Data-solution'!$A$3="Maximize",MAX($C194:$AI194),MIN($C194:$AI194)),$C194:$AI194,0)),AG185-INDEX($C183:$AJ193,3,MATCH(IF('Data-solution'!$A$3="Maximize",MAX($C194:$AI194),MIN($C194:$AI194)),$C194:$AI194,0))*INDEX(AG183:$AJ193,MATCH(MIN($AK183:$AK193),$AK183:$AK193,0),1)/INDEX($C183:$AJ193,MATCH(MIN($AK183:$AK193),$AK183:$AK193,0),MATCH(IF('Data-solution'!$A$3="Maximize",MAX($C194:$AI194),MIN($C194:$AI194)),$C194:$AI194,0))),AG185)</f>
        <v>0</v>
      </c>
      <c r="AH200" s="1">
        <f>IF(OR($B198&lt;&gt;$B183,$B199&lt;&gt;$B184,$B200&lt;&gt;$B185,$B201&lt;&gt;$B186,$B202&lt;&gt;$B187,$B203&lt;&gt;$B188,$B204&lt;&gt;$B189,$B205&lt;&gt;$B190,$B206&lt;&gt;$B191,$B207&lt;&gt;$B192,$B208&lt;&gt;$B193),IF($B200&lt;&gt;$B185,AH185/INDEX($C183:$AJ193,3,MATCH(IF('Data-solution'!$A$3="Maximize",MAX($C194:$AI194),MIN($C194:$AI194)),$C194:$AI194,0)),AH185-INDEX($C183:$AJ193,3,MATCH(IF('Data-solution'!$A$3="Maximize",MAX($C194:$AI194),MIN($C194:$AI194)),$C194:$AI194,0))*INDEX(AH183:$AJ193,MATCH(MIN($AK183:$AK193),$AK183:$AK193,0),1)/INDEX($C183:$AJ193,MATCH(MIN($AK183:$AK193),$AK183:$AK193,0),MATCH(IF('Data-solution'!$A$3="Maximize",MAX($C194:$AI194),MIN($C194:$AI194)),$C194:$AI194,0))),AH185)</f>
        <v>0</v>
      </c>
      <c r="AI200" s="1">
        <f>IF(OR($B198&lt;&gt;$B183,$B199&lt;&gt;$B184,$B200&lt;&gt;$B185,$B201&lt;&gt;$B186,$B202&lt;&gt;$B187,$B203&lt;&gt;$B188,$B204&lt;&gt;$B189,$B205&lt;&gt;$B190,$B206&lt;&gt;$B191,$B207&lt;&gt;$B192,$B208&lt;&gt;$B193),IF($B200&lt;&gt;$B185,AI185/INDEX($C183:$AJ193,3,MATCH(IF('Data-solution'!$A$3="Maximize",MAX($C194:$AI194),MIN($C194:$AI194)),$C194:$AI194,0)),AI185-INDEX($C183:$AJ193,3,MATCH(IF('Data-solution'!$A$3="Maximize",MAX($C194:$AI194),MIN($C194:$AI194)),$C194:$AI194,0))*INDEX(AI183:$AJ193,MATCH(MIN($AK183:$AK193),$AK183:$AK193,0),1)/INDEX($C183:$AJ193,MATCH(MIN($AK183:$AK193),$AK183:$AK193,0),MATCH(IF('Data-solution'!$A$3="Maximize",MAX($C194:$AI194),MIN($C194:$AI194)),$C194:$AI194,0))),AI185)</f>
        <v>0</v>
      </c>
      <c r="AJ200" s="1">
        <f>IF(OR($B198&lt;&gt;$B183,$B199&lt;&gt;$B184,$B200&lt;&gt;$B185,$B201&lt;&gt;$B186,$B202&lt;&gt;$B187,$B203&lt;&gt;$B188,$B204&lt;&gt;$B189,$B205&lt;&gt;$B190,$B206&lt;&gt;$B191,$B207&lt;&gt;$B192,$B208&lt;&gt;$B193),IF($B200&lt;&gt;$B185,AJ185/INDEX($C183:$AJ193,3,MATCH(IF('Data-solution'!$A$3="Maximize",MAX($C194:$AI194),MIN($C194:$AI194)),$C194:$AI194,0)),AJ185-INDEX($C183:$AJ193,3,MATCH(IF('Data-solution'!$A$3="Maximize",MAX($C194:$AI194),MIN($C194:$AI194)),$C194:$AI194,0))*INDEX(AJ183:$AJ193,MATCH(MIN($AK183:$AK193),$AK183:$AK193,0),1)/INDEX($C183:$AJ193,MATCH(MIN($AK183:$AK193),$AK183:$AK193,0),MATCH(IF('Data-solution'!$A$3="Maximize",MAX($C194:$AI194),MIN($C194:$AI194)),$C194:$AI194,0))),AJ185)</f>
        <v>300</v>
      </c>
      <c r="AK200" s="1" t="str">
        <f>IF(INDEX(C200:X200,1,MATCH(IF('Data-solution'!A$3="Maximize",MAX(C209:X209),MIN(C209:X209)),C209:X209,0))&gt;0,AJ200/INDEX(C200:X200,1,MATCH(IF('Data-solution'!A$3="Maximize",MAX(C209:X209),MIN(C209:X209)),C209:X209,0))," ")</f>
        <v xml:space="preserve"> </v>
      </c>
    </row>
    <row r="201" spans="1:37" ht="18" customHeight="1" x14ac:dyDescent="0.2">
      <c r="A201" s="1">
        <f t="shared" ref="A201" si="173">INDEX(C196:AI196,1,MATCH(B201,C197:AI197,0))</f>
        <v>150</v>
      </c>
      <c r="B201" s="2" t="str">
        <f>IF(AND('Data-solution'!A$3="Maximize",COUNTIF(C194:X194,"&gt;"&amp;0)&gt;0,AK186=MIN(AK183:AK193),COUNTIF(B198:B200,INDEX(C182:X182,1,MATCH(MAX(C194:X194),C194:X194,0)))=0),INDEX(C182:X182,1,MATCH(MAX(C194:X194),C194:X194,0)),IF(AND('Data-solution'!A$3="Minimize",COUNTIF(C194:X194,"&lt;"&amp;0)&gt;0,AK186=MIN(AK183:AK193),COUNTIF(B198:B200,INDEX(C182:X182,1,MATCH(MIN(C194:X194),C194:X194,0)))=0),INDEX(C182:X182,1,MATCH(MIN(C194:X194),C194:X194,0)),B186))</f>
        <v>X1</v>
      </c>
      <c r="C201" s="1">
        <f>IF(OR($B198&lt;&gt;$B183,$B199&lt;&gt;$B184,$B200&lt;&gt;$B185,$B201&lt;&gt;$B186,$B202&lt;&gt;$B187,$B203&lt;&gt;$B188,$B204&lt;&gt;$B189,$B205&lt;&gt;$B190,$B206&lt;&gt;$B191,$B207&lt;&gt;$B192,$B208&lt;&gt;$B193),IF($B201&lt;&gt;$B186,C186/INDEX($C183:$AJ193,4,MATCH(IF('Data-solution'!$A$3="Maximize",MAX($C194:$AI194),MIN($C194:$AI194)),$C194:$AI194,0)),C186-INDEX($C183:$AJ193,4,MATCH(IF('Data-solution'!$A$3="Maximize",MAX($C194:$AI194),MIN($C194:$AI194)),$C194:$AI194,0))*INDEX(C183:$AJ193,MATCH(MIN($AK183:$AK193),$AK183:$AK193,0),1)/INDEX($C183:$AJ193,MATCH(MIN($AK183:$AK193),$AK183:$AK193,0),MATCH(IF('Data-solution'!$A$3="Maximize",MAX($C194:$AI194),MIN($C194:$AI194)),$C194:$AI194,0))),C186)</f>
        <v>1</v>
      </c>
      <c r="D201" s="1">
        <f>IF(OR($B198&lt;&gt;$B183,$B199&lt;&gt;$B184,$B200&lt;&gt;$B185,$B201&lt;&gt;$B186,$B202&lt;&gt;$B187,$B203&lt;&gt;$B188,$B204&lt;&gt;$B189,$B205&lt;&gt;$B190,$B206&lt;&gt;$B191,$B207&lt;&gt;$B192,$B208&lt;&gt;$B193),IF($B201&lt;&gt;$B186,D186/INDEX($C183:$AJ193,4,MATCH(IF('Data-solution'!$A$3="Maximize",MAX($C194:$AI194),MIN($C194:$AI194)),$C194:$AI194,0)),D186-INDEX($C183:$AJ193,4,MATCH(IF('Data-solution'!$A$3="Maximize",MAX($C194:$AI194),MIN($C194:$AI194)),$C194:$AI194,0))*INDEX(D183:$AJ193,MATCH(MIN($AK183:$AK193),$AK183:$AK193,0),1)/INDEX($C183:$AJ193,MATCH(MIN($AK183:$AK193),$AK183:$AK193,0),MATCH(IF('Data-solution'!$A$3="Maximize",MAX($C194:$AI194),MIN($C194:$AI194)),$C194:$AI194,0))),D186)</f>
        <v>-1.25</v>
      </c>
      <c r="E201" s="1">
        <f>IF(OR($B198&lt;&gt;$B183,$B199&lt;&gt;$B184,$B200&lt;&gt;$B185,$B201&lt;&gt;$B186,$B202&lt;&gt;$B187,$B203&lt;&gt;$B188,$B204&lt;&gt;$B189,$B205&lt;&gt;$B190,$B206&lt;&gt;$B191,$B207&lt;&gt;$B192,$B208&lt;&gt;$B193),IF($B201&lt;&gt;$B186,E186/INDEX($C183:$AJ193,4,MATCH(IF('Data-solution'!$A$3="Maximize",MAX($C194:$AI194),MIN($C194:$AI194)),$C194:$AI194,0)),E186-INDEX($C183:$AJ193,4,MATCH(IF('Data-solution'!$A$3="Maximize",MAX($C194:$AI194),MIN($C194:$AI194)),$C194:$AI194,0))*INDEX(E183:$AJ193,MATCH(MIN($AK183:$AK193),$AK183:$AK193,0),1)/INDEX($C183:$AJ193,MATCH(MIN($AK183:$AK193),$AK183:$AK193,0),MATCH(IF('Data-solution'!$A$3="Maximize",MAX($C194:$AI194),MIN($C194:$AI194)),$C194:$AI194,0))),E186)</f>
        <v>0</v>
      </c>
      <c r="F201" s="1">
        <f>IF(OR($B198&lt;&gt;$B183,$B199&lt;&gt;$B184,$B200&lt;&gt;$B185,$B201&lt;&gt;$B186,$B202&lt;&gt;$B187,$B203&lt;&gt;$B188,$B204&lt;&gt;$B189,$B205&lt;&gt;$B190,$B206&lt;&gt;$B191,$B207&lt;&gt;$B192,$B208&lt;&gt;$B193),IF($B201&lt;&gt;$B186,F186/INDEX($C183:$AJ193,4,MATCH(IF('Data-solution'!$A$3="Maximize",MAX($C194:$AI194),MIN($C194:$AI194)),$C194:$AI194,0)),F186-INDEX($C183:$AJ193,4,MATCH(IF('Data-solution'!$A$3="Maximize",MAX($C194:$AI194),MIN($C194:$AI194)),$C194:$AI194,0))*INDEX(F183:$AJ193,MATCH(MIN($AK183:$AK193),$AK183:$AK193,0),1)/INDEX($C183:$AJ193,MATCH(MIN($AK183:$AK193),$AK183:$AK193,0),MATCH(IF('Data-solution'!$A$3="Maximize",MAX($C194:$AI194),MIN($C194:$AI194)),$C194:$AI194,0))),F186)</f>
        <v>0</v>
      </c>
      <c r="G201" s="1">
        <f>IF(OR($B198&lt;&gt;$B183,$B199&lt;&gt;$B184,$B200&lt;&gt;$B185,$B201&lt;&gt;$B186,$B202&lt;&gt;$B187,$B203&lt;&gt;$B188,$B204&lt;&gt;$B189,$B205&lt;&gt;$B190,$B206&lt;&gt;$B191,$B207&lt;&gt;$B192,$B208&lt;&gt;$B193),IF($B201&lt;&gt;$B186,G186/INDEX($C183:$AJ193,4,MATCH(IF('Data-solution'!$A$3="Maximize",MAX($C194:$AI194),MIN($C194:$AI194)),$C194:$AI194,0)),G186-INDEX($C183:$AJ193,4,MATCH(IF('Data-solution'!$A$3="Maximize",MAX($C194:$AI194),MIN($C194:$AI194)),$C194:$AI194,0))*INDEX(G183:$AJ193,MATCH(MIN($AK183:$AK193),$AK183:$AK193,0),1)/INDEX($C183:$AJ193,MATCH(MIN($AK183:$AK193),$AK183:$AK193,0),MATCH(IF('Data-solution'!$A$3="Maximize",MAX($C194:$AI194),MIN($C194:$AI194)),$C194:$AI194,0))),G186)</f>
        <v>0</v>
      </c>
      <c r="H201" s="1">
        <f>IF(OR($B198&lt;&gt;$B183,$B199&lt;&gt;$B184,$B200&lt;&gt;$B185,$B201&lt;&gt;$B186,$B202&lt;&gt;$B187,$B203&lt;&gt;$B188,$B204&lt;&gt;$B189,$B205&lt;&gt;$B190,$B206&lt;&gt;$B191,$B207&lt;&gt;$B192,$B208&lt;&gt;$B193),IF($B201&lt;&gt;$B186,H186/INDEX($C183:$AJ193,4,MATCH(IF('Data-solution'!$A$3="Maximize",MAX($C194:$AI194),MIN($C194:$AI194)),$C194:$AI194,0)),H186-INDEX($C183:$AJ193,4,MATCH(IF('Data-solution'!$A$3="Maximize",MAX($C194:$AI194),MIN($C194:$AI194)),$C194:$AI194,0))*INDEX(H183:$AJ193,MATCH(MIN($AK183:$AK193),$AK183:$AK193,0),1)/INDEX($C183:$AJ193,MATCH(MIN($AK183:$AK193),$AK183:$AK193,0),MATCH(IF('Data-solution'!$A$3="Maximize",MAX($C194:$AI194),MIN($C194:$AI194)),$C194:$AI194,0))),H186)</f>
        <v>0</v>
      </c>
      <c r="I201" s="1">
        <f>IF(OR($B198&lt;&gt;$B183,$B199&lt;&gt;$B184,$B200&lt;&gt;$B185,$B201&lt;&gt;$B186,$B202&lt;&gt;$B187,$B203&lt;&gt;$B188,$B204&lt;&gt;$B189,$B205&lt;&gt;$B190,$B206&lt;&gt;$B191,$B207&lt;&gt;$B192,$B208&lt;&gt;$B193),IF($B201&lt;&gt;$B186,I186/INDEX($C183:$AJ193,4,MATCH(IF('Data-solution'!$A$3="Maximize",MAX($C194:$AI194),MIN($C194:$AI194)),$C194:$AI194,0)),I186-INDEX($C183:$AJ193,4,MATCH(IF('Data-solution'!$A$3="Maximize",MAX($C194:$AI194),MIN($C194:$AI194)),$C194:$AI194,0))*INDEX(I183:$AJ193,MATCH(MIN($AK183:$AK193),$AK183:$AK193,0),1)/INDEX($C183:$AJ193,MATCH(MIN($AK183:$AK193),$AK183:$AK193,0),MATCH(IF('Data-solution'!$A$3="Maximize",MAX($C194:$AI194),MIN($C194:$AI194)),$C194:$AI194,0))),I186)</f>
        <v>0</v>
      </c>
      <c r="J201" s="1">
        <f>IF(OR($B198&lt;&gt;$B183,$B199&lt;&gt;$B184,$B200&lt;&gt;$B185,$B201&lt;&gt;$B186,$B202&lt;&gt;$B187,$B203&lt;&gt;$B188,$B204&lt;&gt;$B189,$B205&lt;&gt;$B190,$B206&lt;&gt;$B191,$B207&lt;&gt;$B192,$B208&lt;&gt;$B193),IF($B201&lt;&gt;$B186,J186/INDEX($C183:$AJ193,4,MATCH(IF('Data-solution'!$A$3="Maximize",MAX($C194:$AI194),MIN($C194:$AI194)),$C194:$AI194,0)),J186-INDEX($C183:$AJ193,4,MATCH(IF('Data-solution'!$A$3="Maximize",MAX($C194:$AI194),MIN($C194:$AI194)),$C194:$AI194,0))*INDEX(J183:$AJ193,MATCH(MIN($AK183:$AK193),$AK183:$AK193,0),1)/INDEX($C183:$AJ193,MATCH(MIN($AK183:$AK193),$AK183:$AK193,0),MATCH(IF('Data-solution'!$A$3="Maximize",MAX($C194:$AI194),MIN($C194:$AI194)),$C194:$AI194,0))),J186)</f>
        <v>0</v>
      </c>
      <c r="K201" s="1">
        <f>IF(OR($B198&lt;&gt;$B183,$B199&lt;&gt;$B184,$B200&lt;&gt;$B185,$B201&lt;&gt;$B186,$B202&lt;&gt;$B187,$B203&lt;&gt;$B188,$B204&lt;&gt;$B189,$B205&lt;&gt;$B190,$B206&lt;&gt;$B191,$B207&lt;&gt;$B192,$B208&lt;&gt;$B193),IF($B201&lt;&gt;$B186,K186/INDEX($C183:$AJ193,4,MATCH(IF('Data-solution'!$A$3="Maximize",MAX($C194:$AI194),MIN($C194:$AI194)),$C194:$AI194,0)),K186-INDEX($C183:$AJ193,4,MATCH(IF('Data-solution'!$A$3="Maximize",MAX($C194:$AI194),MIN($C194:$AI194)),$C194:$AI194,0))*INDEX(K183:$AJ193,MATCH(MIN($AK183:$AK193),$AK183:$AK193,0),1)/INDEX($C183:$AJ193,MATCH(MIN($AK183:$AK193),$AK183:$AK193,0),MATCH(IF('Data-solution'!$A$3="Maximize",MAX($C194:$AI194),MIN($C194:$AI194)),$C194:$AI194,0))),K186)</f>
        <v>0</v>
      </c>
      <c r="L201" s="1">
        <f>IF(OR($B198&lt;&gt;$B183,$B199&lt;&gt;$B184,$B200&lt;&gt;$B185,$B201&lt;&gt;$B186,$B202&lt;&gt;$B187,$B203&lt;&gt;$B188,$B204&lt;&gt;$B189,$B205&lt;&gt;$B190,$B206&lt;&gt;$B191,$B207&lt;&gt;$B192,$B208&lt;&gt;$B193),IF($B201&lt;&gt;$B186,L186/INDEX($C183:$AJ193,4,MATCH(IF('Data-solution'!$A$3="Maximize",MAX($C194:$AI194),MIN($C194:$AI194)),$C194:$AI194,0)),L186-INDEX($C183:$AJ193,4,MATCH(IF('Data-solution'!$A$3="Maximize",MAX($C194:$AI194),MIN($C194:$AI194)),$C194:$AI194,0))*INDEX(L183:$AJ193,MATCH(MIN($AK183:$AK193),$AK183:$AK193,0),1)/INDEX($C183:$AJ193,MATCH(MIN($AK183:$AK193),$AK183:$AK193,0),MATCH(IF('Data-solution'!$A$3="Maximize",MAX($C194:$AI194),MIN($C194:$AI194)),$C194:$AI194,0))),L186)</f>
        <v>0</v>
      </c>
      <c r="M201" s="1">
        <f>IF(OR($B198&lt;&gt;$B183,$B199&lt;&gt;$B184,$B200&lt;&gt;$B185,$B201&lt;&gt;$B186,$B202&lt;&gt;$B187,$B203&lt;&gt;$B188,$B204&lt;&gt;$B189,$B205&lt;&gt;$B190,$B206&lt;&gt;$B191,$B207&lt;&gt;$B192,$B208&lt;&gt;$B193),IF($B201&lt;&gt;$B186,M186/INDEX($C183:$AJ193,4,MATCH(IF('Data-solution'!$A$3="Maximize",MAX($C194:$AI194),MIN($C194:$AI194)),$C194:$AI194,0)),M186-INDEX($C183:$AJ193,4,MATCH(IF('Data-solution'!$A$3="Maximize",MAX($C194:$AI194),MIN($C194:$AI194)),$C194:$AI194,0))*INDEX(M183:$AJ193,MATCH(MIN($AK183:$AK193),$AK183:$AK193,0),1)/INDEX($C183:$AJ193,MATCH(MIN($AK183:$AK193),$AK183:$AK193,0),MATCH(IF('Data-solution'!$A$3="Maximize",MAX($C194:$AI194),MIN($C194:$AI194)),$C194:$AI194,0))),M186)</f>
        <v>0</v>
      </c>
      <c r="N201" s="1">
        <f>IF(OR($B198&lt;&gt;$B183,$B199&lt;&gt;$B184,$B200&lt;&gt;$B185,$B201&lt;&gt;$B186,$B202&lt;&gt;$B187,$B203&lt;&gt;$B188,$B204&lt;&gt;$B189,$B205&lt;&gt;$B190,$B206&lt;&gt;$B191,$B207&lt;&gt;$B192,$B208&lt;&gt;$B193),IF($B201&lt;&gt;$B186,N186/INDEX($C183:$AJ193,4,MATCH(IF('Data-solution'!$A$3="Maximize",MAX($C194:$AI194),MIN($C194:$AI194)),$C194:$AI194,0)),N186-INDEX($C183:$AJ193,4,MATCH(IF('Data-solution'!$A$3="Maximize",MAX($C194:$AI194),MIN($C194:$AI194)),$C194:$AI194,0))*INDEX(N183:$AJ193,MATCH(MIN($AK183:$AK193),$AK183:$AK193,0),1)/INDEX($C183:$AJ193,MATCH(MIN($AK183:$AK193),$AK183:$AK193,0),MATCH(IF('Data-solution'!$A$3="Maximize",MAX($C194:$AI194),MIN($C194:$AI194)),$C194:$AI194,0))),N186)</f>
        <v>0</v>
      </c>
      <c r="O201" s="1">
        <f>IF(OR($B198&lt;&gt;$B183,$B199&lt;&gt;$B184,$B200&lt;&gt;$B185,$B201&lt;&gt;$B186,$B202&lt;&gt;$B187,$B203&lt;&gt;$B188,$B204&lt;&gt;$B189,$B205&lt;&gt;$B190,$B206&lt;&gt;$B191,$B207&lt;&gt;$B192,$B208&lt;&gt;$B193),IF($B201&lt;&gt;$B186,O186/INDEX($C183:$AJ193,4,MATCH(IF('Data-solution'!$A$3="Maximize",MAX($C194:$AI194),MIN($C194:$AI194)),$C194:$AI194,0)),O186-INDEX($C183:$AJ193,4,MATCH(IF('Data-solution'!$A$3="Maximize",MAX($C194:$AI194),MIN($C194:$AI194)),$C194:$AI194,0))*INDEX(O183:$AJ193,MATCH(MIN($AK183:$AK193),$AK183:$AK193,0),1)/INDEX($C183:$AJ193,MATCH(MIN($AK183:$AK193),$AK183:$AK193,0),MATCH(IF('Data-solution'!$A$3="Maximize",MAX($C194:$AI194),MIN($C194:$AI194)),$C194:$AI194,0))),O186)</f>
        <v>0</v>
      </c>
      <c r="P201" s="1">
        <f>IF(OR($B198&lt;&gt;$B183,$B199&lt;&gt;$B184,$B200&lt;&gt;$B185,$B201&lt;&gt;$B186,$B202&lt;&gt;$B187,$B203&lt;&gt;$B188,$B204&lt;&gt;$B189,$B205&lt;&gt;$B190,$B206&lt;&gt;$B191,$B207&lt;&gt;$B192,$B208&lt;&gt;$B193),IF($B201&lt;&gt;$B186,P186/INDEX($C183:$AJ193,4,MATCH(IF('Data-solution'!$A$3="Maximize",MAX($C194:$AI194),MIN($C194:$AI194)),$C194:$AI194,0)),P186-INDEX($C183:$AJ193,4,MATCH(IF('Data-solution'!$A$3="Maximize",MAX($C194:$AI194),MIN($C194:$AI194)),$C194:$AI194,0))*INDEX(P183:$AJ193,MATCH(MIN($AK183:$AK193),$AK183:$AK193,0),1)/INDEX($C183:$AJ193,MATCH(MIN($AK183:$AK193),$AK183:$AK193,0),MATCH(IF('Data-solution'!$A$3="Maximize",MAX($C194:$AI194),MIN($C194:$AI194)),$C194:$AI194,0))),P186)</f>
        <v>-0.24999999999999994</v>
      </c>
      <c r="Q201" s="1">
        <f>IF(OR($B198&lt;&gt;$B183,$B199&lt;&gt;$B184,$B200&lt;&gt;$B185,$B201&lt;&gt;$B186,$B202&lt;&gt;$B187,$B203&lt;&gt;$B188,$B204&lt;&gt;$B189,$B205&lt;&gt;$B190,$B206&lt;&gt;$B191,$B207&lt;&gt;$B192,$B208&lt;&gt;$B193),IF($B201&lt;&gt;$B186,Q186/INDEX($C183:$AJ193,4,MATCH(IF('Data-solution'!$A$3="Maximize",MAX($C194:$AI194),MIN($C194:$AI194)),$C194:$AI194,0)),Q186-INDEX($C183:$AJ193,4,MATCH(IF('Data-solution'!$A$3="Maximize",MAX($C194:$AI194),MIN($C194:$AI194)),$C194:$AI194,0))*INDEX(Q183:$AJ193,MATCH(MIN($AK183:$AK193),$AK183:$AK193,0),1)/INDEX($C183:$AJ193,MATCH(MIN($AK183:$AK193),$AK183:$AK193,0),MATCH(IF('Data-solution'!$A$3="Maximize",MAX($C194:$AI194),MIN($C194:$AI194)),$C194:$AI194,0))),Q186)</f>
        <v>1.4999999999999998</v>
      </c>
      <c r="R201" s="1">
        <f>IF(OR($B198&lt;&gt;$B183,$B199&lt;&gt;$B184,$B200&lt;&gt;$B185,$B201&lt;&gt;$B186,$B202&lt;&gt;$B187,$B203&lt;&gt;$B188,$B204&lt;&gt;$B189,$B205&lt;&gt;$B190,$B206&lt;&gt;$B191,$B207&lt;&gt;$B192,$B208&lt;&gt;$B193),IF($B201&lt;&gt;$B186,R186/INDEX($C183:$AJ193,4,MATCH(IF('Data-solution'!$A$3="Maximize",MAX($C194:$AI194),MIN($C194:$AI194)),$C194:$AI194,0)),R186-INDEX($C183:$AJ193,4,MATCH(IF('Data-solution'!$A$3="Maximize",MAX($C194:$AI194),MIN($C194:$AI194)),$C194:$AI194,0))*INDEX(R183:$AJ193,MATCH(MIN($AK183:$AK193),$AK183:$AK193,0),1)/INDEX($C183:$AJ193,MATCH(MIN($AK183:$AK193),$AK183:$AK193,0),MATCH(IF('Data-solution'!$A$3="Maximize",MAX($C194:$AI194),MIN($C194:$AI194)),$C194:$AI194,0))),R186)</f>
        <v>0</v>
      </c>
      <c r="S201" s="1">
        <f>IF(OR($B198&lt;&gt;$B183,$B199&lt;&gt;$B184,$B200&lt;&gt;$B185,$B201&lt;&gt;$B186,$B202&lt;&gt;$B187,$B203&lt;&gt;$B188,$B204&lt;&gt;$B189,$B205&lt;&gt;$B190,$B206&lt;&gt;$B191,$B207&lt;&gt;$B192,$B208&lt;&gt;$B193),IF($B201&lt;&gt;$B186,S186/INDEX($C183:$AJ193,4,MATCH(IF('Data-solution'!$A$3="Maximize",MAX($C194:$AI194),MIN($C194:$AI194)),$C194:$AI194,0)),S186-INDEX($C183:$AJ193,4,MATCH(IF('Data-solution'!$A$3="Maximize",MAX($C194:$AI194),MIN($C194:$AI194)),$C194:$AI194,0))*INDEX(S183:$AJ193,MATCH(MIN($AK183:$AK193),$AK183:$AK193,0),1)/INDEX($C183:$AJ193,MATCH(MIN($AK183:$AK193),$AK183:$AK193,0),MATCH(IF('Data-solution'!$A$3="Maximize",MAX($C194:$AI194),MIN($C194:$AI194)),$C194:$AI194,0))),S186)</f>
        <v>0</v>
      </c>
      <c r="T201" s="1">
        <f>IF(OR($B198&lt;&gt;$B183,$B199&lt;&gt;$B184,$B200&lt;&gt;$B185,$B201&lt;&gt;$B186,$B202&lt;&gt;$B187,$B203&lt;&gt;$B188,$B204&lt;&gt;$B189,$B205&lt;&gt;$B190,$B206&lt;&gt;$B191,$B207&lt;&gt;$B192,$B208&lt;&gt;$B193),IF($B201&lt;&gt;$B186,T186/INDEX($C183:$AJ193,4,MATCH(IF('Data-solution'!$A$3="Maximize",MAX($C194:$AI194),MIN($C194:$AI194)),$C194:$AI194,0)),T186-INDEX($C183:$AJ193,4,MATCH(IF('Data-solution'!$A$3="Maximize",MAX($C194:$AI194),MIN($C194:$AI194)),$C194:$AI194,0))*INDEX(T183:$AJ193,MATCH(MIN($AK183:$AK193),$AK183:$AK193,0),1)/INDEX($C183:$AJ193,MATCH(MIN($AK183:$AK193),$AK183:$AK193,0),MATCH(IF('Data-solution'!$A$3="Maximize",MAX($C194:$AI194),MIN($C194:$AI194)),$C194:$AI194,0))),T186)</f>
        <v>0</v>
      </c>
      <c r="U201" s="1">
        <f>IF(OR($B198&lt;&gt;$B183,$B199&lt;&gt;$B184,$B200&lt;&gt;$B185,$B201&lt;&gt;$B186,$B202&lt;&gt;$B187,$B203&lt;&gt;$B188,$B204&lt;&gt;$B189,$B205&lt;&gt;$B190,$B206&lt;&gt;$B191,$B207&lt;&gt;$B192,$B208&lt;&gt;$B193),IF($B201&lt;&gt;$B186,U186/INDEX($C183:$AJ193,4,MATCH(IF('Data-solution'!$A$3="Maximize",MAX($C194:$AI194),MIN($C194:$AI194)),$C194:$AI194,0)),U186-INDEX($C183:$AJ193,4,MATCH(IF('Data-solution'!$A$3="Maximize",MAX($C194:$AI194),MIN($C194:$AI194)),$C194:$AI194,0))*INDEX(U183:$AJ193,MATCH(MIN($AK183:$AK193),$AK183:$AK193,0),1)/INDEX($C183:$AJ193,MATCH(MIN($AK183:$AK193),$AK183:$AK193,0),MATCH(IF('Data-solution'!$A$3="Maximize",MAX($C194:$AI194),MIN($C194:$AI194)),$C194:$AI194,0))),U186)</f>
        <v>0</v>
      </c>
      <c r="V201" s="1">
        <f>IF(OR($B198&lt;&gt;$B183,$B199&lt;&gt;$B184,$B200&lt;&gt;$B185,$B201&lt;&gt;$B186,$B202&lt;&gt;$B187,$B203&lt;&gt;$B188,$B204&lt;&gt;$B189,$B205&lt;&gt;$B190,$B206&lt;&gt;$B191,$B207&lt;&gt;$B192,$B208&lt;&gt;$B193),IF($B201&lt;&gt;$B186,V186/INDEX($C183:$AJ193,4,MATCH(IF('Data-solution'!$A$3="Maximize",MAX($C194:$AI194),MIN($C194:$AI194)),$C194:$AI194,0)),V186-INDEX($C183:$AJ193,4,MATCH(IF('Data-solution'!$A$3="Maximize",MAX($C194:$AI194),MIN($C194:$AI194)),$C194:$AI194,0))*INDEX(V183:$AJ193,MATCH(MIN($AK183:$AK193),$AK183:$AK193,0),1)/INDEX($C183:$AJ193,MATCH(MIN($AK183:$AK193),$AK183:$AK193,0),MATCH(IF('Data-solution'!$A$3="Maximize",MAX($C194:$AI194),MIN($C194:$AI194)),$C194:$AI194,0))),V186)</f>
        <v>0</v>
      </c>
      <c r="W201" s="1">
        <f>IF(OR($B198&lt;&gt;$B183,$B199&lt;&gt;$B184,$B200&lt;&gt;$B185,$B201&lt;&gt;$B186,$B202&lt;&gt;$B187,$B203&lt;&gt;$B188,$B204&lt;&gt;$B189,$B205&lt;&gt;$B190,$B206&lt;&gt;$B191,$B207&lt;&gt;$B192,$B208&lt;&gt;$B193),IF($B201&lt;&gt;$B186,W186/INDEX($C183:$AJ193,4,MATCH(IF('Data-solution'!$A$3="Maximize",MAX($C194:$AI194),MIN($C194:$AI194)),$C194:$AI194,0)),W186-INDEX($C183:$AJ193,4,MATCH(IF('Data-solution'!$A$3="Maximize",MAX($C194:$AI194),MIN($C194:$AI194)),$C194:$AI194,0))*INDEX(W183:$AJ193,MATCH(MIN($AK183:$AK193),$AK183:$AK193,0),1)/INDEX($C183:$AJ193,MATCH(MIN($AK183:$AK193),$AK183:$AK193,0),MATCH(IF('Data-solution'!$A$3="Maximize",MAX($C194:$AI194),MIN($C194:$AI194)),$C194:$AI194,0))),W186)</f>
        <v>0</v>
      </c>
      <c r="X201" s="1">
        <f>IF(OR($B198&lt;&gt;$B183,$B199&lt;&gt;$B184,$B200&lt;&gt;$B185,$B201&lt;&gt;$B186,$B202&lt;&gt;$B187,$B203&lt;&gt;$B188,$B204&lt;&gt;$B189,$B205&lt;&gt;$B190,$B206&lt;&gt;$B191,$B207&lt;&gt;$B192,$B208&lt;&gt;$B193),IF($B201&lt;&gt;$B186,X186/INDEX($C183:$AJ193,4,MATCH(IF('Data-solution'!$A$3="Maximize",MAX($C194:$AI194),MIN($C194:$AI194)),$C194:$AI194,0)),X186-INDEX($C183:$AJ193,4,MATCH(IF('Data-solution'!$A$3="Maximize",MAX($C194:$AI194),MIN($C194:$AI194)),$C194:$AI194,0))*INDEX(X183:$AJ193,MATCH(MIN($AK183:$AK193),$AK183:$AK193,0),1)/INDEX($C183:$AJ193,MATCH(MIN($AK183:$AK193),$AK183:$AK193,0),MATCH(IF('Data-solution'!$A$3="Maximize",MAX($C194:$AI194),MIN($C194:$AI194)),$C194:$AI194,0))),X186)</f>
        <v>0</v>
      </c>
      <c r="Y201" s="1">
        <f>IF(OR($B198&lt;&gt;$B183,$B199&lt;&gt;$B184,$B200&lt;&gt;$B185,$B201&lt;&gt;$B186,$B202&lt;&gt;$B187,$B203&lt;&gt;$B188,$B204&lt;&gt;$B189,$B205&lt;&gt;$B190,$B206&lt;&gt;$B191,$B207&lt;&gt;$B192,$B208&lt;&gt;$B193),IF($B201&lt;&gt;$B186,Y186/INDEX($C183:$AJ193,4,MATCH(IF('Data-solution'!$A$3="Maximize",MAX($C194:$AI194),MIN($C194:$AI194)),$C194:$AI194,0)),Y186-INDEX($C183:$AJ193,4,MATCH(IF('Data-solution'!$A$3="Maximize",MAX($C194:$AI194),MIN($C194:$AI194)),$C194:$AI194,0))*INDEX(Y183:$AJ193,MATCH(MIN($AK183:$AK193),$AK183:$AK193,0),1)/INDEX($C183:$AJ193,MATCH(MIN($AK183:$AK193),$AK183:$AK193,0),MATCH(IF('Data-solution'!$A$3="Maximize",MAX($C194:$AI194),MIN($C194:$AI194)),$C194:$AI194,0))),Y186)</f>
        <v>0</v>
      </c>
      <c r="Z201" s="1">
        <f>IF(OR($B198&lt;&gt;$B183,$B199&lt;&gt;$B184,$B200&lt;&gt;$B185,$B201&lt;&gt;$B186,$B202&lt;&gt;$B187,$B203&lt;&gt;$B188,$B204&lt;&gt;$B189,$B205&lt;&gt;$B190,$B206&lt;&gt;$B191,$B207&lt;&gt;$B192,$B208&lt;&gt;$B193),IF($B201&lt;&gt;$B186,Z186/INDEX($C183:$AJ193,4,MATCH(IF('Data-solution'!$A$3="Maximize",MAX($C194:$AI194),MIN($C194:$AI194)),$C194:$AI194,0)),Z186-INDEX($C183:$AJ193,4,MATCH(IF('Data-solution'!$A$3="Maximize",MAX($C194:$AI194),MIN($C194:$AI194)),$C194:$AI194,0))*INDEX(Z183:$AJ193,MATCH(MIN($AK183:$AK193),$AK183:$AK193,0),1)/INDEX($C183:$AJ193,MATCH(MIN($AK183:$AK193),$AK183:$AK193,0),MATCH(IF('Data-solution'!$A$3="Maximize",MAX($C194:$AI194),MIN($C194:$AI194)),$C194:$AI194,0))),Z186)</f>
        <v>0</v>
      </c>
      <c r="AA201" s="1">
        <f>IF(OR($B198&lt;&gt;$B183,$B199&lt;&gt;$B184,$B200&lt;&gt;$B185,$B201&lt;&gt;$B186,$B202&lt;&gt;$B187,$B203&lt;&gt;$B188,$B204&lt;&gt;$B189,$B205&lt;&gt;$B190,$B206&lt;&gt;$B191,$B207&lt;&gt;$B192,$B208&lt;&gt;$B193),IF($B201&lt;&gt;$B186,AA186/INDEX($C183:$AJ193,4,MATCH(IF('Data-solution'!$A$3="Maximize",MAX($C194:$AI194),MIN($C194:$AI194)),$C194:$AI194,0)),AA186-INDEX($C183:$AJ193,4,MATCH(IF('Data-solution'!$A$3="Maximize",MAX($C194:$AI194),MIN($C194:$AI194)),$C194:$AI194,0))*INDEX(AA183:$AJ193,MATCH(MIN($AK183:$AK193),$AK183:$AK193,0),1)/INDEX($C183:$AJ193,MATCH(MIN($AK183:$AK193),$AK183:$AK193,0),MATCH(IF('Data-solution'!$A$3="Maximize",MAX($C194:$AI194),MIN($C194:$AI194)),$C194:$AI194,0))),AA186)</f>
        <v>-0.24999999999999994</v>
      </c>
      <c r="AB201" s="1">
        <f>IF(OR($B198&lt;&gt;$B183,$B199&lt;&gt;$B184,$B200&lt;&gt;$B185,$B201&lt;&gt;$B186,$B202&lt;&gt;$B187,$B203&lt;&gt;$B188,$B204&lt;&gt;$B189,$B205&lt;&gt;$B190,$B206&lt;&gt;$B191,$B207&lt;&gt;$B192,$B208&lt;&gt;$B193),IF($B201&lt;&gt;$B186,AB186/INDEX($C183:$AJ193,4,MATCH(IF('Data-solution'!$A$3="Maximize",MAX($C194:$AI194),MIN($C194:$AI194)),$C194:$AI194,0)),AB186-INDEX($C183:$AJ193,4,MATCH(IF('Data-solution'!$A$3="Maximize",MAX($C194:$AI194),MIN($C194:$AI194)),$C194:$AI194,0))*INDEX(AB183:$AJ193,MATCH(MIN($AK183:$AK193),$AK183:$AK193,0),1)/INDEX($C183:$AJ193,MATCH(MIN($AK183:$AK193),$AK183:$AK193,0),MATCH(IF('Data-solution'!$A$3="Maximize",MAX($C194:$AI194),MIN($C194:$AI194)),$C194:$AI194,0))),AB186)</f>
        <v>1.4999999999999998</v>
      </c>
      <c r="AC201" s="1">
        <f>IF(OR($B198&lt;&gt;$B183,$B199&lt;&gt;$B184,$B200&lt;&gt;$B185,$B201&lt;&gt;$B186,$B202&lt;&gt;$B187,$B203&lt;&gt;$B188,$B204&lt;&gt;$B189,$B205&lt;&gt;$B190,$B206&lt;&gt;$B191,$B207&lt;&gt;$B192,$B208&lt;&gt;$B193),IF($B201&lt;&gt;$B186,AC186/INDEX($C183:$AJ193,4,MATCH(IF('Data-solution'!$A$3="Maximize",MAX($C194:$AI194),MIN($C194:$AI194)),$C194:$AI194,0)),AC186-INDEX($C183:$AJ193,4,MATCH(IF('Data-solution'!$A$3="Maximize",MAX($C194:$AI194),MIN($C194:$AI194)),$C194:$AI194,0))*INDEX(AC183:$AJ193,MATCH(MIN($AK183:$AK193),$AK183:$AK193,0),1)/INDEX($C183:$AJ193,MATCH(MIN($AK183:$AK193),$AK183:$AK193,0),MATCH(IF('Data-solution'!$A$3="Maximize",MAX($C194:$AI194),MIN($C194:$AI194)),$C194:$AI194,0))),AC186)</f>
        <v>0</v>
      </c>
      <c r="AD201" s="1">
        <f>IF(OR($B198&lt;&gt;$B183,$B199&lt;&gt;$B184,$B200&lt;&gt;$B185,$B201&lt;&gt;$B186,$B202&lt;&gt;$B187,$B203&lt;&gt;$B188,$B204&lt;&gt;$B189,$B205&lt;&gt;$B190,$B206&lt;&gt;$B191,$B207&lt;&gt;$B192,$B208&lt;&gt;$B193),IF($B201&lt;&gt;$B186,AD186/INDEX($C183:$AJ193,4,MATCH(IF('Data-solution'!$A$3="Maximize",MAX($C194:$AI194),MIN($C194:$AI194)),$C194:$AI194,0)),AD186-INDEX($C183:$AJ193,4,MATCH(IF('Data-solution'!$A$3="Maximize",MAX($C194:$AI194),MIN($C194:$AI194)),$C194:$AI194,0))*INDEX(AD183:$AJ193,MATCH(MIN($AK183:$AK193),$AK183:$AK193,0),1)/INDEX($C183:$AJ193,MATCH(MIN($AK183:$AK193),$AK183:$AK193,0),MATCH(IF('Data-solution'!$A$3="Maximize",MAX($C194:$AI194),MIN($C194:$AI194)),$C194:$AI194,0))),AD186)</f>
        <v>0</v>
      </c>
      <c r="AE201" s="1">
        <f>IF(OR($B198&lt;&gt;$B183,$B199&lt;&gt;$B184,$B200&lt;&gt;$B185,$B201&lt;&gt;$B186,$B202&lt;&gt;$B187,$B203&lt;&gt;$B188,$B204&lt;&gt;$B189,$B205&lt;&gt;$B190,$B206&lt;&gt;$B191,$B207&lt;&gt;$B192,$B208&lt;&gt;$B193),IF($B201&lt;&gt;$B186,AE186/INDEX($C183:$AJ193,4,MATCH(IF('Data-solution'!$A$3="Maximize",MAX($C194:$AI194),MIN($C194:$AI194)),$C194:$AI194,0)),AE186-INDEX($C183:$AJ193,4,MATCH(IF('Data-solution'!$A$3="Maximize",MAX($C194:$AI194),MIN($C194:$AI194)),$C194:$AI194,0))*INDEX(AE183:$AJ193,MATCH(MIN($AK183:$AK193),$AK183:$AK193,0),1)/INDEX($C183:$AJ193,MATCH(MIN($AK183:$AK193),$AK183:$AK193,0),MATCH(IF('Data-solution'!$A$3="Maximize",MAX($C194:$AI194),MIN($C194:$AI194)),$C194:$AI194,0))),AE186)</f>
        <v>0</v>
      </c>
      <c r="AF201" s="1">
        <f>IF(OR($B198&lt;&gt;$B183,$B199&lt;&gt;$B184,$B200&lt;&gt;$B185,$B201&lt;&gt;$B186,$B202&lt;&gt;$B187,$B203&lt;&gt;$B188,$B204&lt;&gt;$B189,$B205&lt;&gt;$B190,$B206&lt;&gt;$B191,$B207&lt;&gt;$B192,$B208&lt;&gt;$B193),IF($B201&lt;&gt;$B186,AF186/INDEX($C183:$AJ193,4,MATCH(IF('Data-solution'!$A$3="Maximize",MAX($C194:$AI194),MIN($C194:$AI194)),$C194:$AI194,0)),AF186-INDEX($C183:$AJ193,4,MATCH(IF('Data-solution'!$A$3="Maximize",MAX($C194:$AI194),MIN($C194:$AI194)),$C194:$AI194,0))*INDEX(AF183:$AJ193,MATCH(MIN($AK183:$AK193),$AK183:$AK193,0),1)/INDEX($C183:$AJ193,MATCH(MIN($AK183:$AK193),$AK183:$AK193,0),MATCH(IF('Data-solution'!$A$3="Maximize",MAX($C194:$AI194),MIN($C194:$AI194)),$C194:$AI194,0))),AF186)</f>
        <v>0</v>
      </c>
      <c r="AG201" s="1">
        <f>IF(OR($B198&lt;&gt;$B183,$B199&lt;&gt;$B184,$B200&lt;&gt;$B185,$B201&lt;&gt;$B186,$B202&lt;&gt;$B187,$B203&lt;&gt;$B188,$B204&lt;&gt;$B189,$B205&lt;&gt;$B190,$B206&lt;&gt;$B191,$B207&lt;&gt;$B192,$B208&lt;&gt;$B193),IF($B201&lt;&gt;$B186,AG186/INDEX($C183:$AJ193,4,MATCH(IF('Data-solution'!$A$3="Maximize",MAX($C194:$AI194),MIN($C194:$AI194)),$C194:$AI194,0)),AG186-INDEX($C183:$AJ193,4,MATCH(IF('Data-solution'!$A$3="Maximize",MAX($C194:$AI194),MIN($C194:$AI194)),$C194:$AI194,0))*INDEX(AG183:$AJ193,MATCH(MIN($AK183:$AK193),$AK183:$AK193,0),1)/INDEX($C183:$AJ193,MATCH(MIN($AK183:$AK193),$AK183:$AK193,0),MATCH(IF('Data-solution'!$A$3="Maximize",MAX($C194:$AI194),MIN($C194:$AI194)),$C194:$AI194,0))),AG186)</f>
        <v>0</v>
      </c>
      <c r="AH201" s="1">
        <f>IF(OR($B198&lt;&gt;$B183,$B199&lt;&gt;$B184,$B200&lt;&gt;$B185,$B201&lt;&gt;$B186,$B202&lt;&gt;$B187,$B203&lt;&gt;$B188,$B204&lt;&gt;$B189,$B205&lt;&gt;$B190,$B206&lt;&gt;$B191,$B207&lt;&gt;$B192,$B208&lt;&gt;$B193),IF($B201&lt;&gt;$B186,AH186/INDEX($C183:$AJ193,4,MATCH(IF('Data-solution'!$A$3="Maximize",MAX($C194:$AI194),MIN($C194:$AI194)),$C194:$AI194,0)),AH186-INDEX($C183:$AJ193,4,MATCH(IF('Data-solution'!$A$3="Maximize",MAX($C194:$AI194),MIN($C194:$AI194)),$C194:$AI194,0))*INDEX(AH183:$AJ193,MATCH(MIN($AK183:$AK193),$AK183:$AK193,0),1)/INDEX($C183:$AJ193,MATCH(MIN($AK183:$AK193),$AK183:$AK193,0),MATCH(IF('Data-solution'!$A$3="Maximize",MAX($C194:$AI194),MIN($C194:$AI194)),$C194:$AI194,0))),AH186)</f>
        <v>0</v>
      </c>
      <c r="AI201" s="1">
        <f>IF(OR($B198&lt;&gt;$B183,$B199&lt;&gt;$B184,$B200&lt;&gt;$B185,$B201&lt;&gt;$B186,$B202&lt;&gt;$B187,$B203&lt;&gt;$B188,$B204&lt;&gt;$B189,$B205&lt;&gt;$B190,$B206&lt;&gt;$B191,$B207&lt;&gt;$B192,$B208&lt;&gt;$B193),IF($B201&lt;&gt;$B186,AI186/INDEX($C183:$AJ193,4,MATCH(IF('Data-solution'!$A$3="Maximize",MAX($C194:$AI194),MIN($C194:$AI194)),$C194:$AI194,0)),AI186-INDEX($C183:$AJ193,4,MATCH(IF('Data-solution'!$A$3="Maximize",MAX($C194:$AI194),MIN($C194:$AI194)),$C194:$AI194,0))*INDEX(AI183:$AJ193,MATCH(MIN($AK183:$AK193),$AK183:$AK193,0),1)/INDEX($C183:$AJ193,MATCH(MIN($AK183:$AK193),$AK183:$AK193,0),MATCH(IF('Data-solution'!$A$3="Maximize",MAX($C194:$AI194),MIN($C194:$AI194)),$C194:$AI194,0))),AI186)</f>
        <v>0</v>
      </c>
      <c r="AJ201" s="1">
        <f>IF(OR($B198&lt;&gt;$B183,$B199&lt;&gt;$B184,$B200&lt;&gt;$B185,$B201&lt;&gt;$B186,$B202&lt;&gt;$B187,$B203&lt;&gt;$B188,$B204&lt;&gt;$B189,$B205&lt;&gt;$B190,$B206&lt;&gt;$B191,$B207&lt;&gt;$B192,$B208&lt;&gt;$B193),IF($B201&lt;&gt;$B186,AJ186/INDEX($C183:$AJ193,4,MATCH(IF('Data-solution'!$A$3="Maximize",MAX($C194:$AI194),MIN($C194:$AI194)),$C194:$AI194,0)),AJ186-INDEX($C183:$AJ193,4,MATCH(IF('Data-solution'!$A$3="Maximize",MAX($C194:$AI194),MIN($C194:$AI194)),$C194:$AI194,0))*INDEX(AJ183:$AJ193,MATCH(MIN($AK183:$AK193),$AK183:$AK193,0),1)/INDEX($C183:$AJ193,MATCH(MIN($AK183:$AK193),$AK183:$AK193,0),MATCH(IF('Data-solution'!$A$3="Maximize",MAX($C194:$AI194),MIN($C194:$AI194)),$C194:$AI194,0))),AJ186)</f>
        <v>100.00000000000001</v>
      </c>
      <c r="AK201" s="1">
        <f>IF(INDEX(C201:X201,1,MATCH(IF('Data-solution'!A$3="Maximize",MAX(C209:X209),MIN(C209:X209)),C209:X209,0))&gt;0,AJ201/INDEX(C201:X201,1,MATCH(IF('Data-solution'!A$3="Maximize",MAX(C209:X209),MIN(C209:X209)),C209:X209,0))," ")</f>
        <v>100.00000000000001</v>
      </c>
    </row>
    <row r="202" spans="1:37" ht="18" customHeight="1" x14ac:dyDescent="0.2">
      <c r="A202" s="1">
        <f t="shared" ref="A202" si="174">INDEX(C196:AI196,1,MATCH(B202,C197:AI197,0))</f>
        <v>0</v>
      </c>
      <c r="B202" s="2" t="str">
        <f>IF(AND('Data-solution'!A$3="Maximize",COUNTIF(C194:X194,"&gt;"&amp;0)&gt;0,AK187=MIN(AK183:AK193),COUNTIF(B198:B201,INDEX(C182:X182,1,MATCH(MAX(C194:X194),C194:X194,0)))=0),INDEX(C182:X182,1,MATCH(MAX(C194:X194),C194:X194,0)),IF(AND('Data-solution'!A$3="Minimize",COUNTIF(C194:X194,"&lt;"&amp;0)&gt;0,AK187=MIN(AK183:AK193),COUNTIF(B198:B201,INDEX(C182:X182,1,MATCH(MIN(C194:X194),C194:X194,0)))=0),INDEX(C182:X182,1,MATCH(MIN(C194:X194),C194:X194,0)),B187))</f>
        <v>S5</v>
      </c>
      <c r="C202" s="1">
        <f>IF(OR($B198&lt;&gt;$B183,$B199&lt;&gt;$B184,$B200&lt;&gt;$B185,$B201&lt;&gt;$B186,$B202&lt;&gt;$B187,$B203&lt;&gt;$B188,$B204&lt;&gt;$B189,$B205&lt;&gt;$B190,$B206&lt;&gt;$B191,$B207&lt;&gt;$B192,$B208&lt;&gt;$B193),IF($B202&lt;&gt;$B187,C187/INDEX($C183:$AJ193,5,MATCH(IF('Data-solution'!$A$3="Maximize",MAX($C194:$AI194),MIN($C194:$AI194)),$C194:$AI194,0)),C187-INDEX($C183:$AJ193,5,MATCH(IF('Data-solution'!$A$3="Maximize",MAX($C194:$AI194),MIN($C194:$AI194)),$C194:$AI194,0))*INDEX(C183:$AJ193,MATCH(MIN($AK183:$AK193),$AK183:$AK193,0),1)/INDEX($C183:$AJ193,MATCH(MIN($AK183:$AK193),$AK183:$AK193,0),MATCH(IF('Data-solution'!$A$3="Maximize",MAX($C194:$AI194),MIN($C194:$AI194)),$C194:$AI194,0))),C187)</f>
        <v>0</v>
      </c>
      <c r="D202" s="1">
        <f>IF(OR($B198&lt;&gt;$B183,$B199&lt;&gt;$B184,$B200&lt;&gt;$B185,$B201&lt;&gt;$B186,$B202&lt;&gt;$B187,$B203&lt;&gt;$B188,$B204&lt;&gt;$B189,$B205&lt;&gt;$B190,$B206&lt;&gt;$B191,$B207&lt;&gt;$B192,$B208&lt;&gt;$B193),IF($B202&lt;&gt;$B187,D187/INDEX($C183:$AJ193,5,MATCH(IF('Data-solution'!$A$3="Maximize",MAX($C194:$AI194),MIN($C194:$AI194)),$C194:$AI194,0)),D187-INDEX($C183:$AJ193,5,MATCH(IF('Data-solution'!$A$3="Maximize",MAX($C194:$AI194),MIN($C194:$AI194)),$C194:$AI194,0))*INDEX(D183:$AJ193,MATCH(MIN($AK183:$AK193),$AK183:$AK193,0),1)/INDEX($C183:$AJ193,MATCH(MIN($AK183:$AK193),$AK183:$AK193,0),MATCH(IF('Data-solution'!$A$3="Maximize",MAX($C194:$AI194),MIN($C194:$AI194)),$C194:$AI194,0))),D187)</f>
        <v>0</v>
      </c>
      <c r="E202" s="1">
        <f>IF(OR($B198&lt;&gt;$B183,$B199&lt;&gt;$B184,$B200&lt;&gt;$B185,$B201&lt;&gt;$B186,$B202&lt;&gt;$B187,$B203&lt;&gt;$B188,$B204&lt;&gt;$B189,$B205&lt;&gt;$B190,$B206&lt;&gt;$B191,$B207&lt;&gt;$B192,$B208&lt;&gt;$B193),IF($B202&lt;&gt;$B187,E187/INDEX($C183:$AJ193,5,MATCH(IF('Data-solution'!$A$3="Maximize",MAX($C194:$AI194),MIN($C194:$AI194)),$C194:$AI194,0)),E187-INDEX($C183:$AJ193,5,MATCH(IF('Data-solution'!$A$3="Maximize",MAX($C194:$AI194),MIN($C194:$AI194)),$C194:$AI194,0))*INDEX(E183:$AJ193,MATCH(MIN($AK183:$AK193),$AK183:$AK193,0),1)/INDEX($C183:$AJ193,MATCH(MIN($AK183:$AK193),$AK183:$AK193,0),MATCH(IF('Data-solution'!$A$3="Maximize",MAX($C194:$AI194),MIN($C194:$AI194)),$C194:$AI194,0))),E187)</f>
        <v>0</v>
      </c>
      <c r="F202" s="1">
        <f>IF(OR($B198&lt;&gt;$B183,$B199&lt;&gt;$B184,$B200&lt;&gt;$B185,$B201&lt;&gt;$B186,$B202&lt;&gt;$B187,$B203&lt;&gt;$B188,$B204&lt;&gt;$B189,$B205&lt;&gt;$B190,$B206&lt;&gt;$B191,$B207&lt;&gt;$B192,$B208&lt;&gt;$B193),IF($B202&lt;&gt;$B187,F187/INDEX($C183:$AJ193,5,MATCH(IF('Data-solution'!$A$3="Maximize",MAX($C194:$AI194),MIN($C194:$AI194)),$C194:$AI194,0)),F187-INDEX($C183:$AJ193,5,MATCH(IF('Data-solution'!$A$3="Maximize",MAX($C194:$AI194),MIN($C194:$AI194)),$C194:$AI194,0))*INDEX(F183:$AJ193,MATCH(MIN($AK183:$AK193),$AK183:$AK193,0),1)/INDEX($C183:$AJ193,MATCH(MIN($AK183:$AK193),$AK183:$AK193,0),MATCH(IF('Data-solution'!$A$3="Maximize",MAX($C194:$AI194),MIN($C194:$AI194)),$C194:$AI194,0))),F187)</f>
        <v>0</v>
      </c>
      <c r="G202" s="1">
        <f>IF(OR($B198&lt;&gt;$B183,$B199&lt;&gt;$B184,$B200&lt;&gt;$B185,$B201&lt;&gt;$B186,$B202&lt;&gt;$B187,$B203&lt;&gt;$B188,$B204&lt;&gt;$B189,$B205&lt;&gt;$B190,$B206&lt;&gt;$B191,$B207&lt;&gt;$B192,$B208&lt;&gt;$B193),IF($B202&lt;&gt;$B187,G187/INDEX($C183:$AJ193,5,MATCH(IF('Data-solution'!$A$3="Maximize",MAX($C194:$AI194),MIN($C194:$AI194)),$C194:$AI194,0)),G187-INDEX($C183:$AJ193,5,MATCH(IF('Data-solution'!$A$3="Maximize",MAX($C194:$AI194),MIN($C194:$AI194)),$C194:$AI194,0))*INDEX(G183:$AJ193,MATCH(MIN($AK183:$AK193),$AK183:$AK193,0),1)/INDEX($C183:$AJ193,MATCH(MIN($AK183:$AK193),$AK183:$AK193,0),MATCH(IF('Data-solution'!$A$3="Maximize",MAX($C194:$AI194),MIN($C194:$AI194)),$C194:$AI194,0))),G187)</f>
        <v>0</v>
      </c>
      <c r="H202" s="1">
        <f>IF(OR($B198&lt;&gt;$B183,$B199&lt;&gt;$B184,$B200&lt;&gt;$B185,$B201&lt;&gt;$B186,$B202&lt;&gt;$B187,$B203&lt;&gt;$B188,$B204&lt;&gt;$B189,$B205&lt;&gt;$B190,$B206&lt;&gt;$B191,$B207&lt;&gt;$B192,$B208&lt;&gt;$B193),IF($B202&lt;&gt;$B187,H187/INDEX($C183:$AJ193,5,MATCH(IF('Data-solution'!$A$3="Maximize",MAX($C194:$AI194),MIN($C194:$AI194)),$C194:$AI194,0)),H187-INDEX($C183:$AJ193,5,MATCH(IF('Data-solution'!$A$3="Maximize",MAX($C194:$AI194),MIN($C194:$AI194)),$C194:$AI194,0))*INDEX(H183:$AJ193,MATCH(MIN($AK183:$AK193),$AK183:$AK193,0),1)/INDEX($C183:$AJ193,MATCH(MIN($AK183:$AK193),$AK183:$AK193,0),MATCH(IF('Data-solution'!$A$3="Maximize",MAX($C194:$AI194),MIN($C194:$AI194)),$C194:$AI194,0))),H187)</f>
        <v>0</v>
      </c>
      <c r="I202" s="1">
        <f>IF(OR($B198&lt;&gt;$B183,$B199&lt;&gt;$B184,$B200&lt;&gt;$B185,$B201&lt;&gt;$B186,$B202&lt;&gt;$B187,$B203&lt;&gt;$B188,$B204&lt;&gt;$B189,$B205&lt;&gt;$B190,$B206&lt;&gt;$B191,$B207&lt;&gt;$B192,$B208&lt;&gt;$B193),IF($B202&lt;&gt;$B187,I187/INDEX($C183:$AJ193,5,MATCH(IF('Data-solution'!$A$3="Maximize",MAX($C194:$AI194),MIN($C194:$AI194)),$C194:$AI194,0)),I187-INDEX($C183:$AJ193,5,MATCH(IF('Data-solution'!$A$3="Maximize",MAX($C194:$AI194),MIN($C194:$AI194)),$C194:$AI194,0))*INDEX(I183:$AJ193,MATCH(MIN($AK183:$AK193),$AK183:$AK193,0),1)/INDEX($C183:$AJ193,MATCH(MIN($AK183:$AK193),$AK183:$AK193,0),MATCH(IF('Data-solution'!$A$3="Maximize",MAX($C194:$AI194),MIN($C194:$AI194)),$C194:$AI194,0))),I187)</f>
        <v>0</v>
      </c>
      <c r="J202" s="1">
        <f>IF(OR($B198&lt;&gt;$B183,$B199&lt;&gt;$B184,$B200&lt;&gt;$B185,$B201&lt;&gt;$B186,$B202&lt;&gt;$B187,$B203&lt;&gt;$B188,$B204&lt;&gt;$B189,$B205&lt;&gt;$B190,$B206&lt;&gt;$B191,$B207&lt;&gt;$B192,$B208&lt;&gt;$B193),IF($B202&lt;&gt;$B187,J187/INDEX($C183:$AJ193,5,MATCH(IF('Data-solution'!$A$3="Maximize",MAX($C194:$AI194),MIN($C194:$AI194)),$C194:$AI194,0)),J187-INDEX($C183:$AJ193,5,MATCH(IF('Data-solution'!$A$3="Maximize",MAX($C194:$AI194),MIN($C194:$AI194)),$C194:$AI194,0))*INDEX(J183:$AJ193,MATCH(MIN($AK183:$AK193),$AK183:$AK193,0),1)/INDEX($C183:$AJ193,MATCH(MIN($AK183:$AK193),$AK183:$AK193,0),MATCH(IF('Data-solution'!$A$3="Maximize",MAX($C194:$AI194),MIN($C194:$AI194)),$C194:$AI194,0))),J187)</f>
        <v>0</v>
      </c>
      <c r="K202" s="1">
        <f>IF(OR($B198&lt;&gt;$B183,$B199&lt;&gt;$B184,$B200&lt;&gt;$B185,$B201&lt;&gt;$B186,$B202&lt;&gt;$B187,$B203&lt;&gt;$B188,$B204&lt;&gt;$B189,$B205&lt;&gt;$B190,$B206&lt;&gt;$B191,$B207&lt;&gt;$B192,$B208&lt;&gt;$B193),IF($B202&lt;&gt;$B187,K187/INDEX($C183:$AJ193,5,MATCH(IF('Data-solution'!$A$3="Maximize",MAX($C194:$AI194),MIN($C194:$AI194)),$C194:$AI194,0)),K187-INDEX($C183:$AJ193,5,MATCH(IF('Data-solution'!$A$3="Maximize",MAX($C194:$AI194),MIN($C194:$AI194)),$C194:$AI194,0))*INDEX(K183:$AJ193,MATCH(MIN($AK183:$AK193),$AK183:$AK193,0),1)/INDEX($C183:$AJ193,MATCH(MIN($AK183:$AK193),$AK183:$AK193,0),MATCH(IF('Data-solution'!$A$3="Maximize",MAX($C194:$AI194),MIN($C194:$AI194)),$C194:$AI194,0))),K187)</f>
        <v>0</v>
      </c>
      <c r="L202" s="1">
        <f>IF(OR($B198&lt;&gt;$B183,$B199&lt;&gt;$B184,$B200&lt;&gt;$B185,$B201&lt;&gt;$B186,$B202&lt;&gt;$B187,$B203&lt;&gt;$B188,$B204&lt;&gt;$B189,$B205&lt;&gt;$B190,$B206&lt;&gt;$B191,$B207&lt;&gt;$B192,$B208&lt;&gt;$B193),IF($B202&lt;&gt;$B187,L187/INDEX($C183:$AJ193,5,MATCH(IF('Data-solution'!$A$3="Maximize",MAX($C194:$AI194),MIN($C194:$AI194)),$C194:$AI194,0)),L187-INDEX($C183:$AJ193,5,MATCH(IF('Data-solution'!$A$3="Maximize",MAX($C194:$AI194),MIN($C194:$AI194)),$C194:$AI194,0))*INDEX(L183:$AJ193,MATCH(MIN($AK183:$AK193),$AK183:$AK193,0),1)/INDEX($C183:$AJ193,MATCH(MIN($AK183:$AK193),$AK183:$AK193,0),MATCH(IF('Data-solution'!$A$3="Maximize",MAX($C194:$AI194),MIN($C194:$AI194)),$C194:$AI194,0))),L187)</f>
        <v>0</v>
      </c>
      <c r="M202" s="1">
        <f>IF(OR($B198&lt;&gt;$B183,$B199&lt;&gt;$B184,$B200&lt;&gt;$B185,$B201&lt;&gt;$B186,$B202&lt;&gt;$B187,$B203&lt;&gt;$B188,$B204&lt;&gt;$B189,$B205&lt;&gt;$B190,$B206&lt;&gt;$B191,$B207&lt;&gt;$B192,$B208&lt;&gt;$B193),IF($B202&lt;&gt;$B187,M187/INDEX($C183:$AJ193,5,MATCH(IF('Data-solution'!$A$3="Maximize",MAX($C194:$AI194),MIN($C194:$AI194)),$C194:$AI194,0)),M187-INDEX($C183:$AJ193,5,MATCH(IF('Data-solution'!$A$3="Maximize",MAX($C194:$AI194),MIN($C194:$AI194)),$C194:$AI194,0))*INDEX(M183:$AJ193,MATCH(MIN($AK183:$AK193),$AK183:$AK193,0),1)/INDEX($C183:$AJ193,MATCH(MIN($AK183:$AK193),$AK183:$AK193,0),MATCH(IF('Data-solution'!$A$3="Maximize",MAX($C194:$AI194),MIN($C194:$AI194)),$C194:$AI194,0))),M187)</f>
        <v>0</v>
      </c>
      <c r="N202" s="1">
        <f>IF(OR($B198&lt;&gt;$B183,$B199&lt;&gt;$B184,$B200&lt;&gt;$B185,$B201&lt;&gt;$B186,$B202&lt;&gt;$B187,$B203&lt;&gt;$B188,$B204&lt;&gt;$B189,$B205&lt;&gt;$B190,$B206&lt;&gt;$B191,$B207&lt;&gt;$B192,$B208&lt;&gt;$B193),IF($B202&lt;&gt;$B187,N187/INDEX($C183:$AJ193,5,MATCH(IF('Data-solution'!$A$3="Maximize",MAX($C194:$AI194),MIN($C194:$AI194)),$C194:$AI194,0)),N187-INDEX($C183:$AJ193,5,MATCH(IF('Data-solution'!$A$3="Maximize",MAX($C194:$AI194),MIN($C194:$AI194)),$C194:$AI194,0))*INDEX(N183:$AJ193,MATCH(MIN($AK183:$AK193),$AK183:$AK193,0),1)/INDEX($C183:$AJ193,MATCH(MIN($AK183:$AK193),$AK183:$AK193,0),MATCH(IF('Data-solution'!$A$3="Maximize",MAX($C194:$AI194),MIN($C194:$AI194)),$C194:$AI194,0))),N187)</f>
        <v>0</v>
      </c>
      <c r="O202" s="1">
        <f>IF(OR($B198&lt;&gt;$B183,$B199&lt;&gt;$B184,$B200&lt;&gt;$B185,$B201&lt;&gt;$B186,$B202&lt;&gt;$B187,$B203&lt;&gt;$B188,$B204&lt;&gt;$B189,$B205&lt;&gt;$B190,$B206&lt;&gt;$B191,$B207&lt;&gt;$B192,$B208&lt;&gt;$B193),IF($B202&lt;&gt;$B187,O187/INDEX($C183:$AJ193,5,MATCH(IF('Data-solution'!$A$3="Maximize",MAX($C194:$AI194),MIN($C194:$AI194)),$C194:$AI194,0)),O187-INDEX($C183:$AJ193,5,MATCH(IF('Data-solution'!$A$3="Maximize",MAX($C194:$AI194),MIN($C194:$AI194)),$C194:$AI194,0))*INDEX(O183:$AJ193,MATCH(MIN($AK183:$AK193),$AK183:$AK193,0),1)/INDEX($C183:$AJ193,MATCH(MIN($AK183:$AK193),$AK183:$AK193,0),MATCH(IF('Data-solution'!$A$3="Maximize",MAX($C194:$AI194),MIN($C194:$AI194)),$C194:$AI194,0))),O187)</f>
        <v>0</v>
      </c>
      <c r="P202" s="1">
        <f>IF(OR($B198&lt;&gt;$B183,$B199&lt;&gt;$B184,$B200&lt;&gt;$B185,$B201&lt;&gt;$B186,$B202&lt;&gt;$B187,$B203&lt;&gt;$B188,$B204&lt;&gt;$B189,$B205&lt;&gt;$B190,$B206&lt;&gt;$B191,$B207&lt;&gt;$B192,$B208&lt;&gt;$B193),IF($B202&lt;&gt;$B187,P187/INDEX($C183:$AJ193,5,MATCH(IF('Data-solution'!$A$3="Maximize",MAX($C194:$AI194),MIN($C194:$AI194)),$C194:$AI194,0)),P187-INDEX($C183:$AJ193,5,MATCH(IF('Data-solution'!$A$3="Maximize",MAX($C194:$AI194),MIN($C194:$AI194)),$C194:$AI194,0))*INDEX(P183:$AJ193,MATCH(MIN($AK183:$AK193),$AK183:$AK193,0),1)/INDEX($C183:$AJ193,MATCH(MIN($AK183:$AK193),$AK183:$AK193,0),MATCH(IF('Data-solution'!$A$3="Maximize",MAX($C194:$AI194),MIN($C194:$AI194)),$C194:$AI194,0))),P187)</f>
        <v>0</v>
      </c>
      <c r="Q202" s="1">
        <f>IF(OR($B198&lt;&gt;$B183,$B199&lt;&gt;$B184,$B200&lt;&gt;$B185,$B201&lt;&gt;$B186,$B202&lt;&gt;$B187,$B203&lt;&gt;$B188,$B204&lt;&gt;$B189,$B205&lt;&gt;$B190,$B206&lt;&gt;$B191,$B207&lt;&gt;$B192,$B208&lt;&gt;$B193),IF($B202&lt;&gt;$B187,Q187/INDEX($C183:$AJ193,5,MATCH(IF('Data-solution'!$A$3="Maximize",MAX($C194:$AI194),MIN($C194:$AI194)),$C194:$AI194,0)),Q187-INDEX($C183:$AJ193,5,MATCH(IF('Data-solution'!$A$3="Maximize",MAX($C194:$AI194),MIN($C194:$AI194)),$C194:$AI194,0))*INDEX(Q183:$AJ193,MATCH(MIN($AK183:$AK193),$AK183:$AK193,0),1)/INDEX($C183:$AJ193,MATCH(MIN($AK183:$AK193),$AK183:$AK193,0),MATCH(IF('Data-solution'!$A$3="Maximize",MAX($C194:$AI194),MIN($C194:$AI194)),$C194:$AI194,0))),Q187)</f>
        <v>0</v>
      </c>
      <c r="R202" s="1">
        <f>IF(OR($B198&lt;&gt;$B183,$B199&lt;&gt;$B184,$B200&lt;&gt;$B185,$B201&lt;&gt;$B186,$B202&lt;&gt;$B187,$B203&lt;&gt;$B188,$B204&lt;&gt;$B189,$B205&lt;&gt;$B190,$B206&lt;&gt;$B191,$B207&lt;&gt;$B192,$B208&lt;&gt;$B193),IF($B202&lt;&gt;$B187,R187/INDEX($C183:$AJ193,5,MATCH(IF('Data-solution'!$A$3="Maximize",MAX($C194:$AI194),MIN($C194:$AI194)),$C194:$AI194,0)),R187-INDEX($C183:$AJ193,5,MATCH(IF('Data-solution'!$A$3="Maximize",MAX($C194:$AI194),MIN($C194:$AI194)),$C194:$AI194,0))*INDEX(R183:$AJ193,MATCH(MIN($AK183:$AK193),$AK183:$AK193,0),1)/INDEX($C183:$AJ193,MATCH(MIN($AK183:$AK193),$AK183:$AK193,0),MATCH(IF('Data-solution'!$A$3="Maximize",MAX($C194:$AI194),MIN($C194:$AI194)),$C194:$AI194,0))),R187)</f>
        <v>1</v>
      </c>
      <c r="S202" s="1">
        <f>IF(OR($B198&lt;&gt;$B183,$B199&lt;&gt;$B184,$B200&lt;&gt;$B185,$B201&lt;&gt;$B186,$B202&lt;&gt;$B187,$B203&lt;&gt;$B188,$B204&lt;&gt;$B189,$B205&lt;&gt;$B190,$B206&lt;&gt;$B191,$B207&lt;&gt;$B192,$B208&lt;&gt;$B193),IF($B202&lt;&gt;$B187,S187/INDEX($C183:$AJ193,5,MATCH(IF('Data-solution'!$A$3="Maximize",MAX($C194:$AI194),MIN($C194:$AI194)),$C194:$AI194,0)),S187-INDEX($C183:$AJ193,5,MATCH(IF('Data-solution'!$A$3="Maximize",MAX($C194:$AI194),MIN($C194:$AI194)),$C194:$AI194,0))*INDEX(S183:$AJ193,MATCH(MIN($AK183:$AK193),$AK183:$AK193,0),1)/INDEX($C183:$AJ193,MATCH(MIN($AK183:$AK193),$AK183:$AK193,0),MATCH(IF('Data-solution'!$A$3="Maximize",MAX($C194:$AI194),MIN($C194:$AI194)),$C194:$AI194,0))),S187)</f>
        <v>0</v>
      </c>
      <c r="T202" s="1">
        <f>IF(OR($B198&lt;&gt;$B183,$B199&lt;&gt;$B184,$B200&lt;&gt;$B185,$B201&lt;&gt;$B186,$B202&lt;&gt;$B187,$B203&lt;&gt;$B188,$B204&lt;&gt;$B189,$B205&lt;&gt;$B190,$B206&lt;&gt;$B191,$B207&lt;&gt;$B192,$B208&lt;&gt;$B193),IF($B202&lt;&gt;$B187,T187/INDEX($C183:$AJ193,5,MATCH(IF('Data-solution'!$A$3="Maximize",MAX($C194:$AI194),MIN($C194:$AI194)),$C194:$AI194,0)),T187-INDEX($C183:$AJ193,5,MATCH(IF('Data-solution'!$A$3="Maximize",MAX($C194:$AI194),MIN($C194:$AI194)),$C194:$AI194,0))*INDEX(T183:$AJ193,MATCH(MIN($AK183:$AK193),$AK183:$AK193,0),1)/INDEX($C183:$AJ193,MATCH(MIN($AK183:$AK193),$AK183:$AK193,0),MATCH(IF('Data-solution'!$A$3="Maximize",MAX($C194:$AI194),MIN($C194:$AI194)),$C194:$AI194,0))),T187)</f>
        <v>0</v>
      </c>
      <c r="U202" s="1">
        <f>IF(OR($B198&lt;&gt;$B183,$B199&lt;&gt;$B184,$B200&lt;&gt;$B185,$B201&lt;&gt;$B186,$B202&lt;&gt;$B187,$B203&lt;&gt;$B188,$B204&lt;&gt;$B189,$B205&lt;&gt;$B190,$B206&lt;&gt;$B191,$B207&lt;&gt;$B192,$B208&lt;&gt;$B193),IF($B202&lt;&gt;$B187,U187/INDEX($C183:$AJ193,5,MATCH(IF('Data-solution'!$A$3="Maximize",MAX($C194:$AI194),MIN($C194:$AI194)),$C194:$AI194,0)),U187-INDEX($C183:$AJ193,5,MATCH(IF('Data-solution'!$A$3="Maximize",MAX($C194:$AI194),MIN($C194:$AI194)),$C194:$AI194,0))*INDEX(U183:$AJ193,MATCH(MIN($AK183:$AK193),$AK183:$AK193,0),1)/INDEX($C183:$AJ193,MATCH(MIN($AK183:$AK193),$AK183:$AK193,0),MATCH(IF('Data-solution'!$A$3="Maximize",MAX($C194:$AI194),MIN($C194:$AI194)),$C194:$AI194,0))),U187)</f>
        <v>0</v>
      </c>
      <c r="V202" s="1">
        <f>IF(OR($B198&lt;&gt;$B183,$B199&lt;&gt;$B184,$B200&lt;&gt;$B185,$B201&lt;&gt;$B186,$B202&lt;&gt;$B187,$B203&lt;&gt;$B188,$B204&lt;&gt;$B189,$B205&lt;&gt;$B190,$B206&lt;&gt;$B191,$B207&lt;&gt;$B192,$B208&lt;&gt;$B193),IF($B202&lt;&gt;$B187,V187/INDEX($C183:$AJ193,5,MATCH(IF('Data-solution'!$A$3="Maximize",MAX($C194:$AI194),MIN($C194:$AI194)),$C194:$AI194,0)),V187-INDEX($C183:$AJ193,5,MATCH(IF('Data-solution'!$A$3="Maximize",MAX($C194:$AI194),MIN($C194:$AI194)),$C194:$AI194,0))*INDEX(V183:$AJ193,MATCH(MIN($AK183:$AK193),$AK183:$AK193,0),1)/INDEX($C183:$AJ193,MATCH(MIN($AK183:$AK193),$AK183:$AK193,0),MATCH(IF('Data-solution'!$A$3="Maximize",MAX($C194:$AI194),MIN($C194:$AI194)),$C194:$AI194,0))),V187)</f>
        <v>0</v>
      </c>
      <c r="W202" s="1">
        <f>IF(OR($B198&lt;&gt;$B183,$B199&lt;&gt;$B184,$B200&lt;&gt;$B185,$B201&lt;&gt;$B186,$B202&lt;&gt;$B187,$B203&lt;&gt;$B188,$B204&lt;&gt;$B189,$B205&lt;&gt;$B190,$B206&lt;&gt;$B191,$B207&lt;&gt;$B192,$B208&lt;&gt;$B193),IF($B202&lt;&gt;$B187,W187/INDEX($C183:$AJ193,5,MATCH(IF('Data-solution'!$A$3="Maximize",MAX($C194:$AI194),MIN($C194:$AI194)),$C194:$AI194,0)),W187-INDEX($C183:$AJ193,5,MATCH(IF('Data-solution'!$A$3="Maximize",MAX($C194:$AI194),MIN($C194:$AI194)),$C194:$AI194,0))*INDEX(W183:$AJ193,MATCH(MIN($AK183:$AK193),$AK183:$AK193,0),1)/INDEX($C183:$AJ193,MATCH(MIN($AK183:$AK193),$AK183:$AK193,0),MATCH(IF('Data-solution'!$A$3="Maximize",MAX($C194:$AI194),MIN($C194:$AI194)),$C194:$AI194,0))),W187)</f>
        <v>0</v>
      </c>
      <c r="X202" s="1">
        <f>IF(OR($B198&lt;&gt;$B183,$B199&lt;&gt;$B184,$B200&lt;&gt;$B185,$B201&lt;&gt;$B186,$B202&lt;&gt;$B187,$B203&lt;&gt;$B188,$B204&lt;&gt;$B189,$B205&lt;&gt;$B190,$B206&lt;&gt;$B191,$B207&lt;&gt;$B192,$B208&lt;&gt;$B193),IF($B202&lt;&gt;$B187,X187/INDEX($C183:$AJ193,5,MATCH(IF('Data-solution'!$A$3="Maximize",MAX($C194:$AI194),MIN($C194:$AI194)),$C194:$AI194,0)),X187-INDEX($C183:$AJ193,5,MATCH(IF('Data-solution'!$A$3="Maximize",MAX($C194:$AI194),MIN($C194:$AI194)),$C194:$AI194,0))*INDEX(X183:$AJ193,MATCH(MIN($AK183:$AK193),$AK183:$AK193,0),1)/INDEX($C183:$AJ193,MATCH(MIN($AK183:$AK193),$AK183:$AK193,0),MATCH(IF('Data-solution'!$A$3="Maximize",MAX($C194:$AI194),MIN($C194:$AI194)),$C194:$AI194,0))),X187)</f>
        <v>0</v>
      </c>
      <c r="Y202" s="1">
        <f>IF(OR($B198&lt;&gt;$B183,$B199&lt;&gt;$B184,$B200&lt;&gt;$B185,$B201&lt;&gt;$B186,$B202&lt;&gt;$B187,$B203&lt;&gt;$B188,$B204&lt;&gt;$B189,$B205&lt;&gt;$B190,$B206&lt;&gt;$B191,$B207&lt;&gt;$B192,$B208&lt;&gt;$B193),IF($B202&lt;&gt;$B187,Y187/INDEX($C183:$AJ193,5,MATCH(IF('Data-solution'!$A$3="Maximize",MAX($C194:$AI194),MIN($C194:$AI194)),$C194:$AI194,0)),Y187-INDEX($C183:$AJ193,5,MATCH(IF('Data-solution'!$A$3="Maximize",MAX($C194:$AI194),MIN($C194:$AI194)),$C194:$AI194,0))*INDEX(Y183:$AJ193,MATCH(MIN($AK183:$AK193),$AK183:$AK193,0),1)/INDEX($C183:$AJ193,MATCH(MIN($AK183:$AK193),$AK183:$AK193,0),MATCH(IF('Data-solution'!$A$3="Maximize",MAX($C194:$AI194),MIN($C194:$AI194)),$C194:$AI194,0))),Y187)</f>
        <v>0</v>
      </c>
      <c r="Z202" s="1">
        <f>IF(OR($B198&lt;&gt;$B183,$B199&lt;&gt;$B184,$B200&lt;&gt;$B185,$B201&lt;&gt;$B186,$B202&lt;&gt;$B187,$B203&lt;&gt;$B188,$B204&lt;&gt;$B189,$B205&lt;&gt;$B190,$B206&lt;&gt;$B191,$B207&lt;&gt;$B192,$B208&lt;&gt;$B193),IF($B202&lt;&gt;$B187,Z187/INDEX($C183:$AJ193,5,MATCH(IF('Data-solution'!$A$3="Maximize",MAX($C194:$AI194),MIN($C194:$AI194)),$C194:$AI194,0)),Z187-INDEX($C183:$AJ193,5,MATCH(IF('Data-solution'!$A$3="Maximize",MAX($C194:$AI194),MIN($C194:$AI194)),$C194:$AI194,0))*INDEX(Z183:$AJ193,MATCH(MIN($AK183:$AK193),$AK183:$AK193,0),1)/INDEX($C183:$AJ193,MATCH(MIN($AK183:$AK193),$AK183:$AK193,0),MATCH(IF('Data-solution'!$A$3="Maximize",MAX($C194:$AI194),MIN($C194:$AI194)),$C194:$AI194,0))),Z187)</f>
        <v>0</v>
      </c>
      <c r="AA202" s="1">
        <f>IF(OR($B198&lt;&gt;$B183,$B199&lt;&gt;$B184,$B200&lt;&gt;$B185,$B201&lt;&gt;$B186,$B202&lt;&gt;$B187,$B203&lt;&gt;$B188,$B204&lt;&gt;$B189,$B205&lt;&gt;$B190,$B206&lt;&gt;$B191,$B207&lt;&gt;$B192,$B208&lt;&gt;$B193),IF($B202&lt;&gt;$B187,AA187/INDEX($C183:$AJ193,5,MATCH(IF('Data-solution'!$A$3="Maximize",MAX($C194:$AI194),MIN($C194:$AI194)),$C194:$AI194,0)),AA187-INDEX($C183:$AJ193,5,MATCH(IF('Data-solution'!$A$3="Maximize",MAX($C194:$AI194),MIN($C194:$AI194)),$C194:$AI194,0))*INDEX(AA183:$AJ193,MATCH(MIN($AK183:$AK193),$AK183:$AK193,0),1)/INDEX($C183:$AJ193,MATCH(MIN($AK183:$AK193),$AK183:$AK193,0),MATCH(IF('Data-solution'!$A$3="Maximize",MAX($C194:$AI194),MIN($C194:$AI194)),$C194:$AI194,0))),AA187)</f>
        <v>0</v>
      </c>
      <c r="AB202" s="1">
        <f>IF(OR($B198&lt;&gt;$B183,$B199&lt;&gt;$B184,$B200&lt;&gt;$B185,$B201&lt;&gt;$B186,$B202&lt;&gt;$B187,$B203&lt;&gt;$B188,$B204&lt;&gt;$B189,$B205&lt;&gt;$B190,$B206&lt;&gt;$B191,$B207&lt;&gt;$B192,$B208&lt;&gt;$B193),IF($B202&lt;&gt;$B187,AB187/INDEX($C183:$AJ193,5,MATCH(IF('Data-solution'!$A$3="Maximize",MAX($C194:$AI194),MIN($C194:$AI194)),$C194:$AI194,0)),AB187-INDEX($C183:$AJ193,5,MATCH(IF('Data-solution'!$A$3="Maximize",MAX($C194:$AI194),MIN($C194:$AI194)),$C194:$AI194,0))*INDEX(AB183:$AJ193,MATCH(MIN($AK183:$AK193),$AK183:$AK193,0),1)/INDEX($C183:$AJ193,MATCH(MIN($AK183:$AK193),$AK183:$AK193,0),MATCH(IF('Data-solution'!$A$3="Maximize",MAX($C194:$AI194),MIN($C194:$AI194)),$C194:$AI194,0))),AB187)</f>
        <v>0</v>
      </c>
      <c r="AC202" s="1">
        <f>IF(OR($B198&lt;&gt;$B183,$B199&lt;&gt;$B184,$B200&lt;&gt;$B185,$B201&lt;&gt;$B186,$B202&lt;&gt;$B187,$B203&lt;&gt;$B188,$B204&lt;&gt;$B189,$B205&lt;&gt;$B190,$B206&lt;&gt;$B191,$B207&lt;&gt;$B192,$B208&lt;&gt;$B193),IF($B202&lt;&gt;$B187,AC187/INDEX($C183:$AJ193,5,MATCH(IF('Data-solution'!$A$3="Maximize",MAX($C194:$AI194),MIN($C194:$AI194)),$C194:$AI194,0)),AC187-INDEX($C183:$AJ193,5,MATCH(IF('Data-solution'!$A$3="Maximize",MAX($C194:$AI194),MIN($C194:$AI194)),$C194:$AI194,0))*INDEX(AC183:$AJ193,MATCH(MIN($AK183:$AK193),$AK183:$AK193,0),1)/INDEX($C183:$AJ193,MATCH(MIN($AK183:$AK193),$AK183:$AK193,0),MATCH(IF('Data-solution'!$A$3="Maximize",MAX($C194:$AI194),MIN($C194:$AI194)),$C194:$AI194,0))),AC187)</f>
        <v>1</v>
      </c>
      <c r="AD202" s="1">
        <f>IF(OR($B198&lt;&gt;$B183,$B199&lt;&gt;$B184,$B200&lt;&gt;$B185,$B201&lt;&gt;$B186,$B202&lt;&gt;$B187,$B203&lt;&gt;$B188,$B204&lt;&gt;$B189,$B205&lt;&gt;$B190,$B206&lt;&gt;$B191,$B207&lt;&gt;$B192,$B208&lt;&gt;$B193),IF($B202&lt;&gt;$B187,AD187/INDEX($C183:$AJ193,5,MATCH(IF('Data-solution'!$A$3="Maximize",MAX($C194:$AI194),MIN($C194:$AI194)),$C194:$AI194,0)),AD187-INDEX($C183:$AJ193,5,MATCH(IF('Data-solution'!$A$3="Maximize",MAX($C194:$AI194),MIN($C194:$AI194)),$C194:$AI194,0))*INDEX(AD183:$AJ193,MATCH(MIN($AK183:$AK193),$AK183:$AK193,0),1)/INDEX($C183:$AJ193,MATCH(MIN($AK183:$AK193),$AK183:$AK193,0),MATCH(IF('Data-solution'!$A$3="Maximize",MAX($C194:$AI194),MIN($C194:$AI194)),$C194:$AI194,0))),AD187)</f>
        <v>0</v>
      </c>
      <c r="AE202" s="1">
        <f>IF(OR($B198&lt;&gt;$B183,$B199&lt;&gt;$B184,$B200&lt;&gt;$B185,$B201&lt;&gt;$B186,$B202&lt;&gt;$B187,$B203&lt;&gt;$B188,$B204&lt;&gt;$B189,$B205&lt;&gt;$B190,$B206&lt;&gt;$B191,$B207&lt;&gt;$B192,$B208&lt;&gt;$B193),IF($B202&lt;&gt;$B187,AE187/INDEX($C183:$AJ193,5,MATCH(IF('Data-solution'!$A$3="Maximize",MAX($C194:$AI194),MIN($C194:$AI194)),$C194:$AI194,0)),AE187-INDEX($C183:$AJ193,5,MATCH(IF('Data-solution'!$A$3="Maximize",MAX($C194:$AI194),MIN($C194:$AI194)),$C194:$AI194,0))*INDEX(AE183:$AJ193,MATCH(MIN($AK183:$AK193),$AK183:$AK193,0),1)/INDEX($C183:$AJ193,MATCH(MIN($AK183:$AK193),$AK183:$AK193,0),MATCH(IF('Data-solution'!$A$3="Maximize",MAX($C194:$AI194),MIN($C194:$AI194)),$C194:$AI194,0))),AE187)</f>
        <v>0</v>
      </c>
      <c r="AF202" s="1">
        <f>IF(OR($B198&lt;&gt;$B183,$B199&lt;&gt;$B184,$B200&lt;&gt;$B185,$B201&lt;&gt;$B186,$B202&lt;&gt;$B187,$B203&lt;&gt;$B188,$B204&lt;&gt;$B189,$B205&lt;&gt;$B190,$B206&lt;&gt;$B191,$B207&lt;&gt;$B192,$B208&lt;&gt;$B193),IF($B202&lt;&gt;$B187,AF187/INDEX($C183:$AJ193,5,MATCH(IF('Data-solution'!$A$3="Maximize",MAX($C194:$AI194),MIN($C194:$AI194)),$C194:$AI194,0)),AF187-INDEX($C183:$AJ193,5,MATCH(IF('Data-solution'!$A$3="Maximize",MAX($C194:$AI194),MIN($C194:$AI194)),$C194:$AI194,0))*INDEX(AF183:$AJ193,MATCH(MIN($AK183:$AK193),$AK183:$AK193,0),1)/INDEX($C183:$AJ193,MATCH(MIN($AK183:$AK193),$AK183:$AK193,0),MATCH(IF('Data-solution'!$A$3="Maximize",MAX($C194:$AI194),MIN($C194:$AI194)),$C194:$AI194,0))),AF187)</f>
        <v>0</v>
      </c>
      <c r="AG202" s="1">
        <f>IF(OR($B198&lt;&gt;$B183,$B199&lt;&gt;$B184,$B200&lt;&gt;$B185,$B201&lt;&gt;$B186,$B202&lt;&gt;$B187,$B203&lt;&gt;$B188,$B204&lt;&gt;$B189,$B205&lt;&gt;$B190,$B206&lt;&gt;$B191,$B207&lt;&gt;$B192,$B208&lt;&gt;$B193),IF($B202&lt;&gt;$B187,AG187/INDEX($C183:$AJ193,5,MATCH(IF('Data-solution'!$A$3="Maximize",MAX($C194:$AI194),MIN($C194:$AI194)),$C194:$AI194,0)),AG187-INDEX($C183:$AJ193,5,MATCH(IF('Data-solution'!$A$3="Maximize",MAX($C194:$AI194),MIN($C194:$AI194)),$C194:$AI194,0))*INDEX(AG183:$AJ193,MATCH(MIN($AK183:$AK193),$AK183:$AK193,0),1)/INDEX($C183:$AJ193,MATCH(MIN($AK183:$AK193),$AK183:$AK193,0),MATCH(IF('Data-solution'!$A$3="Maximize",MAX($C194:$AI194),MIN($C194:$AI194)),$C194:$AI194,0))),AG187)</f>
        <v>0</v>
      </c>
      <c r="AH202" s="1">
        <f>IF(OR($B198&lt;&gt;$B183,$B199&lt;&gt;$B184,$B200&lt;&gt;$B185,$B201&lt;&gt;$B186,$B202&lt;&gt;$B187,$B203&lt;&gt;$B188,$B204&lt;&gt;$B189,$B205&lt;&gt;$B190,$B206&lt;&gt;$B191,$B207&lt;&gt;$B192,$B208&lt;&gt;$B193),IF($B202&lt;&gt;$B187,AH187/INDEX($C183:$AJ193,5,MATCH(IF('Data-solution'!$A$3="Maximize",MAX($C194:$AI194),MIN($C194:$AI194)),$C194:$AI194,0)),AH187-INDEX($C183:$AJ193,5,MATCH(IF('Data-solution'!$A$3="Maximize",MAX($C194:$AI194),MIN($C194:$AI194)),$C194:$AI194,0))*INDEX(AH183:$AJ193,MATCH(MIN($AK183:$AK193),$AK183:$AK193,0),1)/INDEX($C183:$AJ193,MATCH(MIN($AK183:$AK193),$AK183:$AK193,0),MATCH(IF('Data-solution'!$A$3="Maximize",MAX($C194:$AI194),MIN($C194:$AI194)),$C194:$AI194,0))),AH187)</f>
        <v>0</v>
      </c>
      <c r="AI202" s="1">
        <f>IF(OR($B198&lt;&gt;$B183,$B199&lt;&gt;$B184,$B200&lt;&gt;$B185,$B201&lt;&gt;$B186,$B202&lt;&gt;$B187,$B203&lt;&gt;$B188,$B204&lt;&gt;$B189,$B205&lt;&gt;$B190,$B206&lt;&gt;$B191,$B207&lt;&gt;$B192,$B208&lt;&gt;$B193),IF($B202&lt;&gt;$B187,AI187/INDEX($C183:$AJ193,5,MATCH(IF('Data-solution'!$A$3="Maximize",MAX($C194:$AI194),MIN($C194:$AI194)),$C194:$AI194,0)),AI187-INDEX($C183:$AJ193,5,MATCH(IF('Data-solution'!$A$3="Maximize",MAX($C194:$AI194),MIN($C194:$AI194)),$C194:$AI194,0))*INDEX(AI183:$AJ193,MATCH(MIN($AK183:$AK193),$AK183:$AK193,0),1)/INDEX($C183:$AJ193,MATCH(MIN($AK183:$AK193),$AK183:$AK193,0),MATCH(IF('Data-solution'!$A$3="Maximize",MAX($C194:$AI194),MIN($C194:$AI194)),$C194:$AI194,0))),AI187)</f>
        <v>0</v>
      </c>
      <c r="AJ202" s="1">
        <f>IF(OR($B198&lt;&gt;$B183,$B199&lt;&gt;$B184,$B200&lt;&gt;$B185,$B201&lt;&gt;$B186,$B202&lt;&gt;$B187,$B203&lt;&gt;$B188,$B204&lt;&gt;$B189,$B205&lt;&gt;$B190,$B206&lt;&gt;$B191,$B207&lt;&gt;$B192,$B208&lt;&gt;$B193),IF($B202&lt;&gt;$B187,AJ187/INDEX($C183:$AJ193,5,MATCH(IF('Data-solution'!$A$3="Maximize",MAX($C194:$AI194),MIN($C194:$AI194)),$C194:$AI194,0)),AJ187-INDEX($C183:$AJ193,5,MATCH(IF('Data-solution'!$A$3="Maximize",MAX($C194:$AI194),MIN($C194:$AI194)),$C194:$AI194,0))*INDEX(AJ183:$AJ193,MATCH(MIN($AK183:$AK193),$AK183:$AK193,0),1)/INDEX($C183:$AJ193,MATCH(MIN($AK183:$AK193),$AK183:$AK193,0),MATCH(IF('Data-solution'!$A$3="Maximize",MAX($C194:$AI194),MIN($C194:$AI194)),$C194:$AI194,0))),AJ187)</f>
        <v>0</v>
      </c>
      <c r="AK202" s="1" t="str">
        <f>IF(INDEX(C202:X202,1,MATCH(IF('Data-solution'!A$3="Maximize",MAX(C209:X209),MIN(C209:X209)),C209:X209,0))&gt;0,AJ202/INDEX(C202:X202,1,MATCH(IF('Data-solution'!A$3="Maximize",MAX(C209:X209),MIN(C209:X209)),C209:X209,0))," ")</f>
        <v xml:space="preserve"> </v>
      </c>
    </row>
    <row r="203" spans="1:37" ht="18" customHeight="1" x14ac:dyDescent="0.2">
      <c r="A203" s="1">
        <f t="shared" ref="A203" si="175">INDEX(C196:AI196,1,MATCH(B203,C197:AI197,0))</f>
        <v>0</v>
      </c>
      <c r="B203" s="2" t="str">
        <f>IF(AND('Data-solution'!A$3="Maximize",COUNTIF(C194:X194,"&gt;"&amp;0)&gt;0,AK188=MIN(AK183:AK193),COUNTIF(B198:B202,INDEX(C182:X182,1,MATCH(MAX(C194:X194),C194:X194,0)))=0),INDEX(C182:X182,1,MATCH(MAX(C194:X194),C194:X194,0)),IF(AND('Data-solution'!A$3="Minimize",COUNTIF(C194:X194,"&lt;"&amp;0)&gt;0,AK188=MIN(AK183:AK193),COUNTIF(B198:B202,INDEX(C182:X182,1,MATCH(MIN(C194:X194),C194:X194,0)))=0),INDEX(C182:X182,1,MATCH(MIN(C194:X194),C194:X194,0)),B188))</f>
        <v>S6</v>
      </c>
      <c r="C203" s="1">
        <f>IF(OR($B198&lt;&gt;$B183,$B199&lt;&gt;$B184,$B200&lt;&gt;$B185,$B201&lt;&gt;$B186,$B202&lt;&gt;$B187,$B203&lt;&gt;$B188,$B204&lt;&gt;$B189,$B205&lt;&gt;$B190,$B206&lt;&gt;$B191,$B207&lt;&gt;$B192,$B208&lt;&gt;$B193),IF($B203&lt;&gt;$B188,C188/INDEX($C183:$AJ193,6,MATCH(IF('Data-solution'!$A$3="Maximize",MAX($C194:$AI194),MIN($C194:$AI194)),$C194:$AI194,0)),C188-INDEX($C183:$AJ193,6,MATCH(IF('Data-solution'!$A$3="Maximize",MAX($C194:$AI194),MIN($C194:$AI194)),$C194:$AI194,0))*INDEX(C183:$AJ193,MATCH(MIN($AK183:$AK193),$AK183:$AK193,0),1)/INDEX($C183:$AJ193,MATCH(MIN($AK183:$AK193),$AK183:$AK193,0),MATCH(IF('Data-solution'!$A$3="Maximize",MAX($C194:$AI194),MIN($C194:$AI194)),$C194:$AI194,0))),C188)</f>
        <v>0</v>
      </c>
      <c r="D203" s="1">
        <f>IF(OR($B198&lt;&gt;$B183,$B199&lt;&gt;$B184,$B200&lt;&gt;$B185,$B201&lt;&gt;$B186,$B202&lt;&gt;$B187,$B203&lt;&gt;$B188,$B204&lt;&gt;$B189,$B205&lt;&gt;$B190,$B206&lt;&gt;$B191,$B207&lt;&gt;$B192,$B208&lt;&gt;$B193),IF($B203&lt;&gt;$B188,D188/INDEX($C183:$AJ193,6,MATCH(IF('Data-solution'!$A$3="Maximize",MAX($C194:$AI194),MIN($C194:$AI194)),$C194:$AI194,0)),D188-INDEX($C183:$AJ193,6,MATCH(IF('Data-solution'!$A$3="Maximize",MAX($C194:$AI194),MIN($C194:$AI194)),$C194:$AI194,0))*INDEX(D183:$AJ193,MATCH(MIN($AK183:$AK193),$AK183:$AK193,0),1)/INDEX($C183:$AJ193,MATCH(MIN($AK183:$AK193),$AK183:$AK193,0),MATCH(IF('Data-solution'!$A$3="Maximize",MAX($C194:$AI194),MIN($C194:$AI194)),$C194:$AI194,0))),D188)</f>
        <v>0</v>
      </c>
      <c r="E203" s="1">
        <f>IF(OR($B198&lt;&gt;$B183,$B199&lt;&gt;$B184,$B200&lt;&gt;$B185,$B201&lt;&gt;$B186,$B202&lt;&gt;$B187,$B203&lt;&gt;$B188,$B204&lt;&gt;$B189,$B205&lt;&gt;$B190,$B206&lt;&gt;$B191,$B207&lt;&gt;$B192,$B208&lt;&gt;$B193),IF($B203&lt;&gt;$B188,E188/INDEX($C183:$AJ193,6,MATCH(IF('Data-solution'!$A$3="Maximize",MAX($C194:$AI194),MIN($C194:$AI194)),$C194:$AI194,0)),E188-INDEX($C183:$AJ193,6,MATCH(IF('Data-solution'!$A$3="Maximize",MAX($C194:$AI194),MIN($C194:$AI194)),$C194:$AI194,0))*INDEX(E183:$AJ193,MATCH(MIN($AK183:$AK193),$AK183:$AK193,0),1)/INDEX($C183:$AJ193,MATCH(MIN($AK183:$AK193),$AK183:$AK193,0),MATCH(IF('Data-solution'!$A$3="Maximize",MAX($C194:$AI194),MIN($C194:$AI194)),$C194:$AI194,0))),E188)</f>
        <v>0</v>
      </c>
      <c r="F203" s="1">
        <f>IF(OR($B198&lt;&gt;$B183,$B199&lt;&gt;$B184,$B200&lt;&gt;$B185,$B201&lt;&gt;$B186,$B202&lt;&gt;$B187,$B203&lt;&gt;$B188,$B204&lt;&gt;$B189,$B205&lt;&gt;$B190,$B206&lt;&gt;$B191,$B207&lt;&gt;$B192,$B208&lt;&gt;$B193),IF($B203&lt;&gt;$B188,F188/INDEX($C183:$AJ193,6,MATCH(IF('Data-solution'!$A$3="Maximize",MAX($C194:$AI194),MIN($C194:$AI194)),$C194:$AI194,0)),F188-INDEX($C183:$AJ193,6,MATCH(IF('Data-solution'!$A$3="Maximize",MAX($C194:$AI194),MIN($C194:$AI194)),$C194:$AI194,0))*INDEX(F183:$AJ193,MATCH(MIN($AK183:$AK193),$AK183:$AK193,0),1)/INDEX($C183:$AJ193,MATCH(MIN($AK183:$AK193),$AK183:$AK193,0),MATCH(IF('Data-solution'!$A$3="Maximize",MAX($C194:$AI194),MIN($C194:$AI194)),$C194:$AI194,0))),F188)</f>
        <v>0</v>
      </c>
      <c r="G203" s="1">
        <f>IF(OR($B198&lt;&gt;$B183,$B199&lt;&gt;$B184,$B200&lt;&gt;$B185,$B201&lt;&gt;$B186,$B202&lt;&gt;$B187,$B203&lt;&gt;$B188,$B204&lt;&gt;$B189,$B205&lt;&gt;$B190,$B206&lt;&gt;$B191,$B207&lt;&gt;$B192,$B208&lt;&gt;$B193),IF($B203&lt;&gt;$B188,G188/INDEX($C183:$AJ193,6,MATCH(IF('Data-solution'!$A$3="Maximize",MAX($C194:$AI194),MIN($C194:$AI194)),$C194:$AI194,0)),G188-INDEX($C183:$AJ193,6,MATCH(IF('Data-solution'!$A$3="Maximize",MAX($C194:$AI194),MIN($C194:$AI194)),$C194:$AI194,0))*INDEX(G183:$AJ193,MATCH(MIN($AK183:$AK193),$AK183:$AK193,0),1)/INDEX($C183:$AJ193,MATCH(MIN($AK183:$AK193),$AK183:$AK193,0),MATCH(IF('Data-solution'!$A$3="Maximize",MAX($C194:$AI194),MIN($C194:$AI194)),$C194:$AI194,0))),G188)</f>
        <v>0</v>
      </c>
      <c r="H203" s="1">
        <f>IF(OR($B198&lt;&gt;$B183,$B199&lt;&gt;$B184,$B200&lt;&gt;$B185,$B201&lt;&gt;$B186,$B202&lt;&gt;$B187,$B203&lt;&gt;$B188,$B204&lt;&gt;$B189,$B205&lt;&gt;$B190,$B206&lt;&gt;$B191,$B207&lt;&gt;$B192,$B208&lt;&gt;$B193),IF($B203&lt;&gt;$B188,H188/INDEX($C183:$AJ193,6,MATCH(IF('Data-solution'!$A$3="Maximize",MAX($C194:$AI194),MIN($C194:$AI194)),$C194:$AI194,0)),H188-INDEX($C183:$AJ193,6,MATCH(IF('Data-solution'!$A$3="Maximize",MAX($C194:$AI194),MIN($C194:$AI194)),$C194:$AI194,0))*INDEX(H183:$AJ193,MATCH(MIN($AK183:$AK193),$AK183:$AK193,0),1)/INDEX($C183:$AJ193,MATCH(MIN($AK183:$AK193),$AK183:$AK193,0),MATCH(IF('Data-solution'!$A$3="Maximize",MAX($C194:$AI194),MIN($C194:$AI194)),$C194:$AI194,0))),H188)</f>
        <v>0</v>
      </c>
      <c r="I203" s="1">
        <f>IF(OR($B198&lt;&gt;$B183,$B199&lt;&gt;$B184,$B200&lt;&gt;$B185,$B201&lt;&gt;$B186,$B202&lt;&gt;$B187,$B203&lt;&gt;$B188,$B204&lt;&gt;$B189,$B205&lt;&gt;$B190,$B206&lt;&gt;$B191,$B207&lt;&gt;$B192,$B208&lt;&gt;$B193),IF($B203&lt;&gt;$B188,I188/INDEX($C183:$AJ193,6,MATCH(IF('Data-solution'!$A$3="Maximize",MAX($C194:$AI194),MIN($C194:$AI194)),$C194:$AI194,0)),I188-INDEX($C183:$AJ193,6,MATCH(IF('Data-solution'!$A$3="Maximize",MAX($C194:$AI194),MIN($C194:$AI194)),$C194:$AI194,0))*INDEX(I183:$AJ193,MATCH(MIN($AK183:$AK193),$AK183:$AK193,0),1)/INDEX($C183:$AJ193,MATCH(MIN($AK183:$AK193),$AK183:$AK193,0),MATCH(IF('Data-solution'!$A$3="Maximize",MAX($C194:$AI194),MIN($C194:$AI194)),$C194:$AI194,0))),I188)</f>
        <v>0</v>
      </c>
      <c r="J203" s="1">
        <f>IF(OR($B198&lt;&gt;$B183,$B199&lt;&gt;$B184,$B200&lt;&gt;$B185,$B201&lt;&gt;$B186,$B202&lt;&gt;$B187,$B203&lt;&gt;$B188,$B204&lt;&gt;$B189,$B205&lt;&gt;$B190,$B206&lt;&gt;$B191,$B207&lt;&gt;$B192,$B208&lt;&gt;$B193),IF($B203&lt;&gt;$B188,J188/INDEX($C183:$AJ193,6,MATCH(IF('Data-solution'!$A$3="Maximize",MAX($C194:$AI194),MIN($C194:$AI194)),$C194:$AI194,0)),J188-INDEX($C183:$AJ193,6,MATCH(IF('Data-solution'!$A$3="Maximize",MAX($C194:$AI194),MIN($C194:$AI194)),$C194:$AI194,0))*INDEX(J183:$AJ193,MATCH(MIN($AK183:$AK193),$AK183:$AK193,0),1)/INDEX($C183:$AJ193,MATCH(MIN($AK183:$AK193),$AK183:$AK193,0),MATCH(IF('Data-solution'!$A$3="Maximize",MAX($C194:$AI194),MIN($C194:$AI194)),$C194:$AI194,0))),J188)</f>
        <v>0</v>
      </c>
      <c r="K203" s="1">
        <f>IF(OR($B198&lt;&gt;$B183,$B199&lt;&gt;$B184,$B200&lt;&gt;$B185,$B201&lt;&gt;$B186,$B202&lt;&gt;$B187,$B203&lt;&gt;$B188,$B204&lt;&gt;$B189,$B205&lt;&gt;$B190,$B206&lt;&gt;$B191,$B207&lt;&gt;$B192,$B208&lt;&gt;$B193),IF($B203&lt;&gt;$B188,K188/INDEX($C183:$AJ193,6,MATCH(IF('Data-solution'!$A$3="Maximize",MAX($C194:$AI194),MIN($C194:$AI194)),$C194:$AI194,0)),K188-INDEX($C183:$AJ193,6,MATCH(IF('Data-solution'!$A$3="Maximize",MAX($C194:$AI194),MIN($C194:$AI194)),$C194:$AI194,0))*INDEX(K183:$AJ193,MATCH(MIN($AK183:$AK193),$AK183:$AK193,0),1)/INDEX($C183:$AJ193,MATCH(MIN($AK183:$AK193),$AK183:$AK193,0),MATCH(IF('Data-solution'!$A$3="Maximize",MAX($C194:$AI194),MIN($C194:$AI194)),$C194:$AI194,0))),K188)</f>
        <v>0</v>
      </c>
      <c r="L203" s="1">
        <f>IF(OR($B198&lt;&gt;$B183,$B199&lt;&gt;$B184,$B200&lt;&gt;$B185,$B201&lt;&gt;$B186,$B202&lt;&gt;$B187,$B203&lt;&gt;$B188,$B204&lt;&gt;$B189,$B205&lt;&gt;$B190,$B206&lt;&gt;$B191,$B207&lt;&gt;$B192,$B208&lt;&gt;$B193),IF($B203&lt;&gt;$B188,L188/INDEX($C183:$AJ193,6,MATCH(IF('Data-solution'!$A$3="Maximize",MAX($C194:$AI194),MIN($C194:$AI194)),$C194:$AI194,0)),L188-INDEX($C183:$AJ193,6,MATCH(IF('Data-solution'!$A$3="Maximize",MAX($C194:$AI194),MIN($C194:$AI194)),$C194:$AI194,0))*INDEX(L183:$AJ193,MATCH(MIN($AK183:$AK193),$AK183:$AK193,0),1)/INDEX($C183:$AJ193,MATCH(MIN($AK183:$AK193),$AK183:$AK193,0),MATCH(IF('Data-solution'!$A$3="Maximize",MAX($C194:$AI194),MIN($C194:$AI194)),$C194:$AI194,0))),L188)</f>
        <v>0</v>
      </c>
      <c r="M203" s="1">
        <f>IF(OR($B198&lt;&gt;$B183,$B199&lt;&gt;$B184,$B200&lt;&gt;$B185,$B201&lt;&gt;$B186,$B202&lt;&gt;$B187,$B203&lt;&gt;$B188,$B204&lt;&gt;$B189,$B205&lt;&gt;$B190,$B206&lt;&gt;$B191,$B207&lt;&gt;$B192,$B208&lt;&gt;$B193),IF($B203&lt;&gt;$B188,M188/INDEX($C183:$AJ193,6,MATCH(IF('Data-solution'!$A$3="Maximize",MAX($C194:$AI194),MIN($C194:$AI194)),$C194:$AI194,0)),M188-INDEX($C183:$AJ193,6,MATCH(IF('Data-solution'!$A$3="Maximize",MAX($C194:$AI194),MIN($C194:$AI194)),$C194:$AI194,0))*INDEX(M183:$AJ193,MATCH(MIN($AK183:$AK193),$AK183:$AK193,0),1)/INDEX($C183:$AJ193,MATCH(MIN($AK183:$AK193),$AK183:$AK193,0),MATCH(IF('Data-solution'!$A$3="Maximize",MAX($C194:$AI194),MIN($C194:$AI194)),$C194:$AI194,0))),M188)</f>
        <v>0</v>
      </c>
      <c r="N203" s="1">
        <f>IF(OR($B198&lt;&gt;$B183,$B199&lt;&gt;$B184,$B200&lt;&gt;$B185,$B201&lt;&gt;$B186,$B202&lt;&gt;$B187,$B203&lt;&gt;$B188,$B204&lt;&gt;$B189,$B205&lt;&gt;$B190,$B206&lt;&gt;$B191,$B207&lt;&gt;$B192,$B208&lt;&gt;$B193),IF($B203&lt;&gt;$B188,N188/INDEX($C183:$AJ193,6,MATCH(IF('Data-solution'!$A$3="Maximize",MAX($C194:$AI194),MIN($C194:$AI194)),$C194:$AI194,0)),N188-INDEX($C183:$AJ193,6,MATCH(IF('Data-solution'!$A$3="Maximize",MAX($C194:$AI194),MIN($C194:$AI194)),$C194:$AI194,0))*INDEX(N183:$AJ193,MATCH(MIN($AK183:$AK193),$AK183:$AK193,0),1)/INDEX($C183:$AJ193,MATCH(MIN($AK183:$AK193),$AK183:$AK193,0),MATCH(IF('Data-solution'!$A$3="Maximize",MAX($C194:$AI194),MIN($C194:$AI194)),$C194:$AI194,0))),N188)</f>
        <v>0</v>
      </c>
      <c r="O203" s="1">
        <f>IF(OR($B198&lt;&gt;$B183,$B199&lt;&gt;$B184,$B200&lt;&gt;$B185,$B201&lt;&gt;$B186,$B202&lt;&gt;$B187,$B203&lt;&gt;$B188,$B204&lt;&gt;$B189,$B205&lt;&gt;$B190,$B206&lt;&gt;$B191,$B207&lt;&gt;$B192,$B208&lt;&gt;$B193),IF($B203&lt;&gt;$B188,O188/INDEX($C183:$AJ193,6,MATCH(IF('Data-solution'!$A$3="Maximize",MAX($C194:$AI194),MIN($C194:$AI194)),$C194:$AI194,0)),O188-INDEX($C183:$AJ193,6,MATCH(IF('Data-solution'!$A$3="Maximize",MAX($C194:$AI194),MIN($C194:$AI194)),$C194:$AI194,0))*INDEX(O183:$AJ193,MATCH(MIN($AK183:$AK193),$AK183:$AK193,0),1)/INDEX($C183:$AJ193,MATCH(MIN($AK183:$AK193),$AK183:$AK193,0),MATCH(IF('Data-solution'!$A$3="Maximize",MAX($C194:$AI194),MIN($C194:$AI194)),$C194:$AI194,0))),O188)</f>
        <v>0</v>
      </c>
      <c r="P203" s="1">
        <f>IF(OR($B198&lt;&gt;$B183,$B199&lt;&gt;$B184,$B200&lt;&gt;$B185,$B201&lt;&gt;$B186,$B202&lt;&gt;$B187,$B203&lt;&gt;$B188,$B204&lt;&gt;$B189,$B205&lt;&gt;$B190,$B206&lt;&gt;$B191,$B207&lt;&gt;$B192,$B208&lt;&gt;$B193),IF($B203&lt;&gt;$B188,P188/INDEX($C183:$AJ193,6,MATCH(IF('Data-solution'!$A$3="Maximize",MAX($C194:$AI194),MIN($C194:$AI194)),$C194:$AI194,0)),P188-INDEX($C183:$AJ193,6,MATCH(IF('Data-solution'!$A$3="Maximize",MAX($C194:$AI194),MIN($C194:$AI194)),$C194:$AI194,0))*INDEX(P183:$AJ193,MATCH(MIN($AK183:$AK193),$AK183:$AK193,0),1)/INDEX($C183:$AJ193,MATCH(MIN($AK183:$AK193),$AK183:$AK193,0),MATCH(IF('Data-solution'!$A$3="Maximize",MAX($C194:$AI194),MIN($C194:$AI194)),$C194:$AI194,0))),P188)</f>
        <v>0</v>
      </c>
      <c r="Q203" s="1">
        <f>IF(OR($B198&lt;&gt;$B183,$B199&lt;&gt;$B184,$B200&lt;&gt;$B185,$B201&lt;&gt;$B186,$B202&lt;&gt;$B187,$B203&lt;&gt;$B188,$B204&lt;&gt;$B189,$B205&lt;&gt;$B190,$B206&lt;&gt;$B191,$B207&lt;&gt;$B192,$B208&lt;&gt;$B193),IF($B203&lt;&gt;$B188,Q188/INDEX($C183:$AJ193,6,MATCH(IF('Data-solution'!$A$3="Maximize",MAX($C194:$AI194),MIN($C194:$AI194)),$C194:$AI194,0)),Q188-INDEX($C183:$AJ193,6,MATCH(IF('Data-solution'!$A$3="Maximize",MAX($C194:$AI194),MIN($C194:$AI194)),$C194:$AI194,0))*INDEX(Q183:$AJ193,MATCH(MIN($AK183:$AK193),$AK183:$AK193,0),1)/INDEX($C183:$AJ193,MATCH(MIN($AK183:$AK193),$AK183:$AK193,0),MATCH(IF('Data-solution'!$A$3="Maximize",MAX($C194:$AI194),MIN($C194:$AI194)),$C194:$AI194,0))),Q188)</f>
        <v>0</v>
      </c>
      <c r="R203" s="1">
        <f>IF(OR($B198&lt;&gt;$B183,$B199&lt;&gt;$B184,$B200&lt;&gt;$B185,$B201&lt;&gt;$B186,$B202&lt;&gt;$B187,$B203&lt;&gt;$B188,$B204&lt;&gt;$B189,$B205&lt;&gt;$B190,$B206&lt;&gt;$B191,$B207&lt;&gt;$B192,$B208&lt;&gt;$B193),IF($B203&lt;&gt;$B188,R188/INDEX($C183:$AJ193,6,MATCH(IF('Data-solution'!$A$3="Maximize",MAX($C194:$AI194),MIN($C194:$AI194)),$C194:$AI194,0)),R188-INDEX($C183:$AJ193,6,MATCH(IF('Data-solution'!$A$3="Maximize",MAX($C194:$AI194),MIN($C194:$AI194)),$C194:$AI194,0))*INDEX(R183:$AJ193,MATCH(MIN($AK183:$AK193),$AK183:$AK193,0),1)/INDEX($C183:$AJ193,MATCH(MIN($AK183:$AK193),$AK183:$AK193,0),MATCH(IF('Data-solution'!$A$3="Maximize",MAX($C194:$AI194),MIN($C194:$AI194)),$C194:$AI194,0))),R188)</f>
        <v>0</v>
      </c>
      <c r="S203" s="1">
        <f>IF(OR($B198&lt;&gt;$B183,$B199&lt;&gt;$B184,$B200&lt;&gt;$B185,$B201&lt;&gt;$B186,$B202&lt;&gt;$B187,$B203&lt;&gt;$B188,$B204&lt;&gt;$B189,$B205&lt;&gt;$B190,$B206&lt;&gt;$B191,$B207&lt;&gt;$B192,$B208&lt;&gt;$B193),IF($B203&lt;&gt;$B188,S188/INDEX($C183:$AJ193,6,MATCH(IF('Data-solution'!$A$3="Maximize",MAX($C194:$AI194),MIN($C194:$AI194)),$C194:$AI194,0)),S188-INDEX($C183:$AJ193,6,MATCH(IF('Data-solution'!$A$3="Maximize",MAX($C194:$AI194),MIN($C194:$AI194)),$C194:$AI194,0))*INDEX(S183:$AJ193,MATCH(MIN($AK183:$AK193),$AK183:$AK193,0),1)/INDEX($C183:$AJ193,MATCH(MIN($AK183:$AK193),$AK183:$AK193,0),MATCH(IF('Data-solution'!$A$3="Maximize",MAX($C194:$AI194),MIN($C194:$AI194)),$C194:$AI194,0))),S188)</f>
        <v>1</v>
      </c>
      <c r="T203" s="1">
        <f>IF(OR($B198&lt;&gt;$B183,$B199&lt;&gt;$B184,$B200&lt;&gt;$B185,$B201&lt;&gt;$B186,$B202&lt;&gt;$B187,$B203&lt;&gt;$B188,$B204&lt;&gt;$B189,$B205&lt;&gt;$B190,$B206&lt;&gt;$B191,$B207&lt;&gt;$B192,$B208&lt;&gt;$B193),IF($B203&lt;&gt;$B188,T188/INDEX($C183:$AJ193,6,MATCH(IF('Data-solution'!$A$3="Maximize",MAX($C194:$AI194),MIN($C194:$AI194)),$C194:$AI194,0)),T188-INDEX($C183:$AJ193,6,MATCH(IF('Data-solution'!$A$3="Maximize",MAX($C194:$AI194),MIN($C194:$AI194)),$C194:$AI194,0))*INDEX(T183:$AJ193,MATCH(MIN($AK183:$AK193),$AK183:$AK193,0),1)/INDEX($C183:$AJ193,MATCH(MIN($AK183:$AK193),$AK183:$AK193,0),MATCH(IF('Data-solution'!$A$3="Maximize",MAX($C194:$AI194),MIN($C194:$AI194)),$C194:$AI194,0))),T188)</f>
        <v>0</v>
      </c>
      <c r="U203" s="1">
        <f>IF(OR($B198&lt;&gt;$B183,$B199&lt;&gt;$B184,$B200&lt;&gt;$B185,$B201&lt;&gt;$B186,$B202&lt;&gt;$B187,$B203&lt;&gt;$B188,$B204&lt;&gt;$B189,$B205&lt;&gt;$B190,$B206&lt;&gt;$B191,$B207&lt;&gt;$B192,$B208&lt;&gt;$B193),IF($B203&lt;&gt;$B188,U188/INDEX($C183:$AJ193,6,MATCH(IF('Data-solution'!$A$3="Maximize",MAX($C194:$AI194),MIN($C194:$AI194)),$C194:$AI194,0)),U188-INDEX($C183:$AJ193,6,MATCH(IF('Data-solution'!$A$3="Maximize",MAX($C194:$AI194),MIN($C194:$AI194)),$C194:$AI194,0))*INDEX(U183:$AJ193,MATCH(MIN($AK183:$AK193),$AK183:$AK193,0),1)/INDEX($C183:$AJ193,MATCH(MIN($AK183:$AK193),$AK183:$AK193,0),MATCH(IF('Data-solution'!$A$3="Maximize",MAX($C194:$AI194),MIN($C194:$AI194)),$C194:$AI194,0))),U188)</f>
        <v>0</v>
      </c>
      <c r="V203" s="1">
        <f>IF(OR($B198&lt;&gt;$B183,$B199&lt;&gt;$B184,$B200&lt;&gt;$B185,$B201&lt;&gt;$B186,$B202&lt;&gt;$B187,$B203&lt;&gt;$B188,$B204&lt;&gt;$B189,$B205&lt;&gt;$B190,$B206&lt;&gt;$B191,$B207&lt;&gt;$B192,$B208&lt;&gt;$B193),IF($B203&lt;&gt;$B188,V188/INDEX($C183:$AJ193,6,MATCH(IF('Data-solution'!$A$3="Maximize",MAX($C194:$AI194),MIN($C194:$AI194)),$C194:$AI194,0)),V188-INDEX($C183:$AJ193,6,MATCH(IF('Data-solution'!$A$3="Maximize",MAX($C194:$AI194),MIN($C194:$AI194)),$C194:$AI194,0))*INDEX(V183:$AJ193,MATCH(MIN($AK183:$AK193),$AK183:$AK193,0),1)/INDEX($C183:$AJ193,MATCH(MIN($AK183:$AK193),$AK183:$AK193,0),MATCH(IF('Data-solution'!$A$3="Maximize",MAX($C194:$AI194),MIN($C194:$AI194)),$C194:$AI194,0))),V188)</f>
        <v>0</v>
      </c>
      <c r="W203" s="1">
        <f>IF(OR($B198&lt;&gt;$B183,$B199&lt;&gt;$B184,$B200&lt;&gt;$B185,$B201&lt;&gt;$B186,$B202&lt;&gt;$B187,$B203&lt;&gt;$B188,$B204&lt;&gt;$B189,$B205&lt;&gt;$B190,$B206&lt;&gt;$B191,$B207&lt;&gt;$B192,$B208&lt;&gt;$B193),IF($B203&lt;&gt;$B188,W188/INDEX($C183:$AJ193,6,MATCH(IF('Data-solution'!$A$3="Maximize",MAX($C194:$AI194),MIN($C194:$AI194)),$C194:$AI194,0)),W188-INDEX($C183:$AJ193,6,MATCH(IF('Data-solution'!$A$3="Maximize",MAX($C194:$AI194),MIN($C194:$AI194)),$C194:$AI194,0))*INDEX(W183:$AJ193,MATCH(MIN($AK183:$AK193),$AK183:$AK193,0),1)/INDEX($C183:$AJ193,MATCH(MIN($AK183:$AK193),$AK183:$AK193,0),MATCH(IF('Data-solution'!$A$3="Maximize",MAX($C194:$AI194),MIN($C194:$AI194)),$C194:$AI194,0))),W188)</f>
        <v>0</v>
      </c>
      <c r="X203" s="1">
        <f>IF(OR($B198&lt;&gt;$B183,$B199&lt;&gt;$B184,$B200&lt;&gt;$B185,$B201&lt;&gt;$B186,$B202&lt;&gt;$B187,$B203&lt;&gt;$B188,$B204&lt;&gt;$B189,$B205&lt;&gt;$B190,$B206&lt;&gt;$B191,$B207&lt;&gt;$B192,$B208&lt;&gt;$B193),IF($B203&lt;&gt;$B188,X188/INDEX($C183:$AJ193,6,MATCH(IF('Data-solution'!$A$3="Maximize",MAX($C194:$AI194),MIN($C194:$AI194)),$C194:$AI194,0)),X188-INDEX($C183:$AJ193,6,MATCH(IF('Data-solution'!$A$3="Maximize",MAX($C194:$AI194),MIN($C194:$AI194)),$C194:$AI194,0))*INDEX(X183:$AJ193,MATCH(MIN($AK183:$AK193),$AK183:$AK193,0),1)/INDEX($C183:$AJ193,MATCH(MIN($AK183:$AK193),$AK183:$AK193,0),MATCH(IF('Data-solution'!$A$3="Maximize",MAX($C194:$AI194),MIN($C194:$AI194)),$C194:$AI194,0))),X188)</f>
        <v>0</v>
      </c>
      <c r="Y203" s="1">
        <f>IF(OR($B198&lt;&gt;$B183,$B199&lt;&gt;$B184,$B200&lt;&gt;$B185,$B201&lt;&gt;$B186,$B202&lt;&gt;$B187,$B203&lt;&gt;$B188,$B204&lt;&gt;$B189,$B205&lt;&gt;$B190,$B206&lt;&gt;$B191,$B207&lt;&gt;$B192,$B208&lt;&gt;$B193),IF($B203&lt;&gt;$B188,Y188/INDEX($C183:$AJ193,6,MATCH(IF('Data-solution'!$A$3="Maximize",MAX($C194:$AI194),MIN($C194:$AI194)),$C194:$AI194,0)),Y188-INDEX($C183:$AJ193,6,MATCH(IF('Data-solution'!$A$3="Maximize",MAX($C194:$AI194),MIN($C194:$AI194)),$C194:$AI194,0))*INDEX(Y183:$AJ193,MATCH(MIN($AK183:$AK193),$AK183:$AK193,0),1)/INDEX($C183:$AJ193,MATCH(MIN($AK183:$AK193),$AK183:$AK193,0),MATCH(IF('Data-solution'!$A$3="Maximize",MAX($C194:$AI194),MIN($C194:$AI194)),$C194:$AI194,0))),Y188)</f>
        <v>0</v>
      </c>
      <c r="Z203" s="1">
        <f>IF(OR($B198&lt;&gt;$B183,$B199&lt;&gt;$B184,$B200&lt;&gt;$B185,$B201&lt;&gt;$B186,$B202&lt;&gt;$B187,$B203&lt;&gt;$B188,$B204&lt;&gt;$B189,$B205&lt;&gt;$B190,$B206&lt;&gt;$B191,$B207&lt;&gt;$B192,$B208&lt;&gt;$B193),IF($B203&lt;&gt;$B188,Z188/INDEX($C183:$AJ193,6,MATCH(IF('Data-solution'!$A$3="Maximize",MAX($C194:$AI194),MIN($C194:$AI194)),$C194:$AI194,0)),Z188-INDEX($C183:$AJ193,6,MATCH(IF('Data-solution'!$A$3="Maximize",MAX($C194:$AI194),MIN($C194:$AI194)),$C194:$AI194,0))*INDEX(Z183:$AJ193,MATCH(MIN($AK183:$AK193),$AK183:$AK193,0),1)/INDEX($C183:$AJ193,MATCH(MIN($AK183:$AK193),$AK183:$AK193,0),MATCH(IF('Data-solution'!$A$3="Maximize",MAX($C194:$AI194),MIN($C194:$AI194)),$C194:$AI194,0))),Z188)</f>
        <v>0</v>
      </c>
      <c r="AA203" s="1">
        <f>IF(OR($B198&lt;&gt;$B183,$B199&lt;&gt;$B184,$B200&lt;&gt;$B185,$B201&lt;&gt;$B186,$B202&lt;&gt;$B187,$B203&lt;&gt;$B188,$B204&lt;&gt;$B189,$B205&lt;&gt;$B190,$B206&lt;&gt;$B191,$B207&lt;&gt;$B192,$B208&lt;&gt;$B193),IF($B203&lt;&gt;$B188,AA188/INDEX($C183:$AJ193,6,MATCH(IF('Data-solution'!$A$3="Maximize",MAX($C194:$AI194),MIN($C194:$AI194)),$C194:$AI194,0)),AA188-INDEX($C183:$AJ193,6,MATCH(IF('Data-solution'!$A$3="Maximize",MAX($C194:$AI194),MIN($C194:$AI194)),$C194:$AI194,0))*INDEX(AA183:$AJ193,MATCH(MIN($AK183:$AK193),$AK183:$AK193,0),1)/INDEX($C183:$AJ193,MATCH(MIN($AK183:$AK193),$AK183:$AK193,0),MATCH(IF('Data-solution'!$A$3="Maximize",MAX($C194:$AI194),MIN($C194:$AI194)),$C194:$AI194,0))),AA188)</f>
        <v>0</v>
      </c>
      <c r="AB203" s="1">
        <f>IF(OR($B198&lt;&gt;$B183,$B199&lt;&gt;$B184,$B200&lt;&gt;$B185,$B201&lt;&gt;$B186,$B202&lt;&gt;$B187,$B203&lt;&gt;$B188,$B204&lt;&gt;$B189,$B205&lt;&gt;$B190,$B206&lt;&gt;$B191,$B207&lt;&gt;$B192,$B208&lt;&gt;$B193),IF($B203&lt;&gt;$B188,AB188/INDEX($C183:$AJ193,6,MATCH(IF('Data-solution'!$A$3="Maximize",MAX($C194:$AI194),MIN($C194:$AI194)),$C194:$AI194,0)),AB188-INDEX($C183:$AJ193,6,MATCH(IF('Data-solution'!$A$3="Maximize",MAX($C194:$AI194),MIN($C194:$AI194)),$C194:$AI194,0))*INDEX(AB183:$AJ193,MATCH(MIN($AK183:$AK193),$AK183:$AK193,0),1)/INDEX($C183:$AJ193,MATCH(MIN($AK183:$AK193),$AK183:$AK193,0),MATCH(IF('Data-solution'!$A$3="Maximize",MAX($C194:$AI194),MIN($C194:$AI194)),$C194:$AI194,0))),AB188)</f>
        <v>0</v>
      </c>
      <c r="AC203" s="1">
        <f>IF(OR($B198&lt;&gt;$B183,$B199&lt;&gt;$B184,$B200&lt;&gt;$B185,$B201&lt;&gt;$B186,$B202&lt;&gt;$B187,$B203&lt;&gt;$B188,$B204&lt;&gt;$B189,$B205&lt;&gt;$B190,$B206&lt;&gt;$B191,$B207&lt;&gt;$B192,$B208&lt;&gt;$B193),IF($B203&lt;&gt;$B188,AC188/INDEX($C183:$AJ193,6,MATCH(IF('Data-solution'!$A$3="Maximize",MAX($C194:$AI194),MIN($C194:$AI194)),$C194:$AI194,0)),AC188-INDEX($C183:$AJ193,6,MATCH(IF('Data-solution'!$A$3="Maximize",MAX($C194:$AI194),MIN($C194:$AI194)),$C194:$AI194,0))*INDEX(AC183:$AJ193,MATCH(MIN($AK183:$AK193),$AK183:$AK193,0),1)/INDEX($C183:$AJ193,MATCH(MIN($AK183:$AK193),$AK183:$AK193,0),MATCH(IF('Data-solution'!$A$3="Maximize",MAX($C194:$AI194),MIN($C194:$AI194)),$C194:$AI194,0))),AC188)</f>
        <v>0</v>
      </c>
      <c r="AD203" s="1">
        <f>IF(OR($B198&lt;&gt;$B183,$B199&lt;&gt;$B184,$B200&lt;&gt;$B185,$B201&lt;&gt;$B186,$B202&lt;&gt;$B187,$B203&lt;&gt;$B188,$B204&lt;&gt;$B189,$B205&lt;&gt;$B190,$B206&lt;&gt;$B191,$B207&lt;&gt;$B192,$B208&lt;&gt;$B193),IF($B203&lt;&gt;$B188,AD188/INDEX($C183:$AJ193,6,MATCH(IF('Data-solution'!$A$3="Maximize",MAX($C194:$AI194),MIN($C194:$AI194)),$C194:$AI194,0)),AD188-INDEX($C183:$AJ193,6,MATCH(IF('Data-solution'!$A$3="Maximize",MAX($C194:$AI194),MIN($C194:$AI194)),$C194:$AI194,0))*INDEX(AD183:$AJ193,MATCH(MIN($AK183:$AK193),$AK183:$AK193,0),1)/INDEX($C183:$AJ193,MATCH(MIN($AK183:$AK193),$AK183:$AK193,0),MATCH(IF('Data-solution'!$A$3="Maximize",MAX($C194:$AI194),MIN($C194:$AI194)),$C194:$AI194,0))),AD188)</f>
        <v>1</v>
      </c>
      <c r="AE203" s="1">
        <f>IF(OR($B198&lt;&gt;$B183,$B199&lt;&gt;$B184,$B200&lt;&gt;$B185,$B201&lt;&gt;$B186,$B202&lt;&gt;$B187,$B203&lt;&gt;$B188,$B204&lt;&gt;$B189,$B205&lt;&gt;$B190,$B206&lt;&gt;$B191,$B207&lt;&gt;$B192,$B208&lt;&gt;$B193),IF($B203&lt;&gt;$B188,AE188/INDEX($C183:$AJ193,6,MATCH(IF('Data-solution'!$A$3="Maximize",MAX($C194:$AI194),MIN($C194:$AI194)),$C194:$AI194,0)),AE188-INDEX($C183:$AJ193,6,MATCH(IF('Data-solution'!$A$3="Maximize",MAX($C194:$AI194),MIN($C194:$AI194)),$C194:$AI194,0))*INDEX(AE183:$AJ193,MATCH(MIN($AK183:$AK193),$AK183:$AK193,0),1)/INDEX($C183:$AJ193,MATCH(MIN($AK183:$AK193),$AK183:$AK193,0),MATCH(IF('Data-solution'!$A$3="Maximize",MAX($C194:$AI194),MIN($C194:$AI194)),$C194:$AI194,0))),AE188)</f>
        <v>0</v>
      </c>
      <c r="AF203" s="1">
        <f>IF(OR($B198&lt;&gt;$B183,$B199&lt;&gt;$B184,$B200&lt;&gt;$B185,$B201&lt;&gt;$B186,$B202&lt;&gt;$B187,$B203&lt;&gt;$B188,$B204&lt;&gt;$B189,$B205&lt;&gt;$B190,$B206&lt;&gt;$B191,$B207&lt;&gt;$B192,$B208&lt;&gt;$B193),IF($B203&lt;&gt;$B188,AF188/INDEX($C183:$AJ193,6,MATCH(IF('Data-solution'!$A$3="Maximize",MAX($C194:$AI194),MIN($C194:$AI194)),$C194:$AI194,0)),AF188-INDEX($C183:$AJ193,6,MATCH(IF('Data-solution'!$A$3="Maximize",MAX($C194:$AI194),MIN($C194:$AI194)),$C194:$AI194,0))*INDEX(AF183:$AJ193,MATCH(MIN($AK183:$AK193),$AK183:$AK193,0),1)/INDEX($C183:$AJ193,MATCH(MIN($AK183:$AK193),$AK183:$AK193,0),MATCH(IF('Data-solution'!$A$3="Maximize",MAX($C194:$AI194),MIN($C194:$AI194)),$C194:$AI194,0))),AF188)</f>
        <v>0</v>
      </c>
      <c r="AG203" s="1">
        <f>IF(OR($B198&lt;&gt;$B183,$B199&lt;&gt;$B184,$B200&lt;&gt;$B185,$B201&lt;&gt;$B186,$B202&lt;&gt;$B187,$B203&lt;&gt;$B188,$B204&lt;&gt;$B189,$B205&lt;&gt;$B190,$B206&lt;&gt;$B191,$B207&lt;&gt;$B192,$B208&lt;&gt;$B193),IF($B203&lt;&gt;$B188,AG188/INDEX($C183:$AJ193,6,MATCH(IF('Data-solution'!$A$3="Maximize",MAX($C194:$AI194),MIN($C194:$AI194)),$C194:$AI194,0)),AG188-INDEX($C183:$AJ193,6,MATCH(IF('Data-solution'!$A$3="Maximize",MAX($C194:$AI194),MIN($C194:$AI194)),$C194:$AI194,0))*INDEX(AG183:$AJ193,MATCH(MIN($AK183:$AK193),$AK183:$AK193,0),1)/INDEX($C183:$AJ193,MATCH(MIN($AK183:$AK193),$AK183:$AK193,0),MATCH(IF('Data-solution'!$A$3="Maximize",MAX($C194:$AI194),MIN($C194:$AI194)),$C194:$AI194,0))),AG188)</f>
        <v>0</v>
      </c>
      <c r="AH203" s="1">
        <f>IF(OR($B198&lt;&gt;$B183,$B199&lt;&gt;$B184,$B200&lt;&gt;$B185,$B201&lt;&gt;$B186,$B202&lt;&gt;$B187,$B203&lt;&gt;$B188,$B204&lt;&gt;$B189,$B205&lt;&gt;$B190,$B206&lt;&gt;$B191,$B207&lt;&gt;$B192,$B208&lt;&gt;$B193),IF($B203&lt;&gt;$B188,AH188/INDEX($C183:$AJ193,6,MATCH(IF('Data-solution'!$A$3="Maximize",MAX($C194:$AI194),MIN($C194:$AI194)),$C194:$AI194,0)),AH188-INDEX($C183:$AJ193,6,MATCH(IF('Data-solution'!$A$3="Maximize",MAX($C194:$AI194),MIN($C194:$AI194)),$C194:$AI194,0))*INDEX(AH183:$AJ193,MATCH(MIN($AK183:$AK193),$AK183:$AK193,0),1)/INDEX($C183:$AJ193,MATCH(MIN($AK183:$AK193),$AK183:$AK193,0),MATCH(IF('Data-solution'!$A$3="Maximize",MAX($C194:$AI194),MIN($C194:$AI194)),$C194:$AI194,0))),AH188)</f>
        <v>0</v>
      </c>
      <c r="AI203" s="1">
        <f>IF(OR($B198&lt;&gt;$B183,$B199&lt;&gt;$B184,$B200&lt;&gt;$B185,$B201&lt;&gt;$B186,$B202&lt;&gt;$B187,$B203&lt;&gt;$B188,$B204&lt;&gt;$B189,$B205&lt;&gt;$B190,$B206&lt;&gt;$B191,$B207&lt;&gt;$B192,$B208&lt;&gt;$B193),IF($B203&lt;&gt;$B188,AI188/INDEX($C183:$AJ193,6,MATCH(IF('Data-solution'!$A$3="Maximize",MAX($C194:$AI194),MIN($C194:$AI194)),$C194:$AI194,0)),AI188-INDEX($C183:$AJ193,6,MATCH(IF('Data-solution'!$A$3="Maximize",MAX($C194:$AI194),MIN($C194:$AI194)),$C194:$AI194,0))*INDEX(AI183:$AJ193,MATCH(MIN($AK183:$AK193),$AK183:$AK193,0),1)/INDEX($C183:$AJ193,MATCH(MIN($AK183:$AK193),$AK183:$AK193,0),MATCH(IF('Data-solution'!$A$3="Maximize",MAX($C194:$AI194),MIN($C194:$AI194)),$C194:$AI194,0))),AI188)</f>
        <v>0</v>
      </c>
      <c r="AJ203" s="1">
        <f>IF(OR($B198&lt;&gt;$B183,$B199&lt;&gt;$B184,$B200&lt;&gt;$B185,$B201&lt;&gt;$B186,$B202&lt;&gt;$B187,$B203&lt;&gt;$B188,$B204&lt;&gt;$B189,$B205&lt;&gt;$B190,$B206&lt;&gt;$B191,$B207&lt;&gt;$B192,$B208&lt;&gt;$B193),IF($B203&lt;&gt;$B188,AJ188/INDEX($C183:$AJ193,6,MATCH(IF('Data-solution'!$A$3="Maximize",MAX($C194:$AI194),MIN($C194:$AI194)),$C194:$AI194,0)),AJ188-INDEX($C183:$AJ193,6,MATCH(IF('Data-solution'!$A$3="Maximize",MAX($C194:$AI194),MIN($C194:$AI194)),$C194:$AI194,0))*INDEX(AJ183:$AJ193,MATCH(MIN($AK183:$AK193),$AK183:$AK193,0),1)/INDEX($C183:$AJ193,MATCH(MIN($AK183:$AK193),$AK183:$AK193,0),MATCH(IF('Data-solution'!$A$3="Maximize",MAX($C194:$AI194),MIN($C194:$AI194)),$C194:$AI194,0))),AJ188)</f>
        <v>0</v>
      </c>
      <c r="AK203" s="1" t="str">
        <f>IF(INDEX(C203:X203,1,MATCH(IF('Data-solution'!A$3="Maximize",MAX(C209:X209),MIN(C209:X209)),C209:X209,0))&gt;0,AJ203/INDEX(C203:X203,1,MATCH(IF('Data-solution'!A$3="Maximize",MAX(C209:X209),MIN(C209:X209)),C209:X209,0))," ")</f>
        <v xml:space="preserve"> </v>
      </c>
    </row>
    <row r="204" spans="1:37" ht="18" customHeight="1" x14ac:dyDescent="0.2">
      <c r="A204" s="1">
        <f t="shared" ref="A204" si="176">INDEX(C196:AI196,1,MATCH(B204,C197:AI197,0))</f>
        <v>0</v>
      </c>
      <c r="B204" s="2" t="str">
        <f>IF(AND('Data-solution'!A$3="Maximize",COUNTIF(C194:X194,"&gt;"&amp;0)&gt;0,AK189=MIN(AK183:AK193),COUNTIF(B198:B203,INDEX(C182:X182,1,MATCH(MAX(C194:X194),C194:X194,0)))=0),INDEX(C182:X182,1,MATCH(MAX(C194:X194),C194:X194,0)),IF(AND('Data-solution'!A$3="Minimize",COUNTIF(C194:X194,"&lt;"&amp;0)&gt;0,AK189=MIN(AK183:AK193),COUNTIF(B198:B203,INDEX(C182:X182,1,MATCH(MIN(C194:X194),C194:X194,0)))=0),INDEX(C182:X182,1,MATCH(MIN(C194:X194),C194:X194,0)),B189))</f>
        <v>S7</v>
      </c>
      <c r="C204" s="1">
        <f>IF(OR($B198&lt;&gt;$B183,$B199&lt;&gt;$B184,$B200&lt;&gt;$B185,$B201&lt;&gt;$B186,$B202&lt;&gt;$B187,$B203&lt;&gt;$B188,$B204&lt;&gt;$B189,$B205&lt;&gt;$B190,$B206&lt;&gt;$B191,$B207&lt;&gt;$B192,$B208&lt;&gt;$B193),IF($B204&lt;&gt;$B189,C189/INDEX($C183:$AJ193,7,MATCH(IF('Data-solution'!$A$3="Maximize",MAX($C194:$AI194),MIN($C194:$AI194)),$C194:$AI194,0)),C189-INDEX($C183:$AJ193,7,MATCH(IF('Data-solution'!$A$3="Maximize",MAX($C194:$AI194),MIN($C194:$AI194)),$C194:$AI194,0))*INDEX(C183:$AJ193,MATCH(MIN($AK183:$AK193),$AK183:$AK193,0),1)/INDEX($C183:$AJ193,MATCH(MIN($AK183:$AK193),$AK183:$AK193,0),MATCH(IF('Data-solution'!$A$3="Maximize",MAX($C194:$AI194),MIN($C194:$AI194)),$C194:$AI194,0))),C189)</f>
        <v>0</v>
      </c>
      <c r="D204" s="1">
        <f>IF(OR($B198&lt;&gt;$B183,$B199&lt;&gt;$B184,$B200&lt;&gt;$B185,$B201&lt;&gt;$B186,$B202&lt;&gt;$B187,$B203&lt;&gt;$B188,$B204&lt;&gt;$B189,$B205&lt;&gt;$B190,$B206&lt;&gt;$B191,$B207&lt;&gt;$B192,$B208&lt;&gt;$B193),IF($B204&lt;&gt;$B189,D189/INDEX($C183:$AJ193,7,MATCH(IF('Data-solution'!$A$3="Maximize",MAX($C194:$AI194),MIN($C194:$AI194)),$C194:$AI194,0)),D189-INDEX($C183:$AJ193,7,MATCH(IF('Data-solution'!$A$3="Maximize",MAX($C194:$AI194),MIN($C194:$AI194)),$C194:$AI194,0))*INDEX(D183:$AJ193,MATCH(MIN($AK183:$AK193),$AK183:$AK193,0),1)/INDEX($C183:$AJ193,MATCH(MIN($AK183:$AK193),$AK183:$AK193,0),MATCH(IF('Data-solution'!$A$3="Maximize",MAX($C194:$AI194),MIN($C194:$AI194)),$C194:$AI194,0))),D189)</f>
        <v>0</v>
      </c>
      <c r="E204" s="1">
        <f>IF(OR($B198&lt;&gt;$B183,$B199&lt;&gt;$B184,$B200&lt;&gt;$B185,$B201&lt;&gt;$B186,$B202&lt;&gt;$B187,$B203&lt;&gt;$B188,$B204&lt;&gt;$B189,$B205&lt;&gt;$B190,$B206&lt;&gt;$B191,$B207&lt;&gt;$B192,$B208&lt;&gt;$B193),IF($B204&lt;&gt;$B189,E189/INDEX($C183:$AJ193,7,MATCH(IF('Data-solution'!$A$3="Maximize",MAX($C194:$AI194),MIN($C194:$AI194)),$C194:$AI194,0)),E189-INDEX($C183:$AJ193,7,MATCH(IF('Data-solution'!$A$3="Maximize",MAX($C194:$AI194),MIN($C194:$AI194)),$C194:$AI194,0))*INDEX(E183:$AJ193,MATCH(MIN($AK183:$AK193),$AK183:$AK193,0),1)/INDEX($C183:$AJ193,MATCH(MIN($AK183:$AK193),$AK183:$AK193,0),MATCH(IF('Data-solution'!$A$3="Maximize",MAX($C194:$AI194),MIN($C194:$AI194)),$C194:$AI194,0))),E189)</f>
        <v>0</v>
      </c>
      <c r="F204" s="1">
        <f>IF(OR($B198&lt;&gt;$B183,$B199&lt;&gt;$B184,$B200&lt;&gt;$B185,$B201&lt;&gt;$B186,$B202&lt;&gt;$B187,$B203&lt;&gt;$B188,$B204&lt;&gt;$B189,$B205&lt;&gt;$B190,$B206&lt;&gt;$B191,$B207&lt;&gt;$B192,$B208&lt;&gt;$B193),IF($B204&lt;&gt;$B189,F189/INDEX($C183:$AJ193,7,MATCH(IF('Data-solution'!$A$3="Maximize",MAX($C194:$AI194),MIN($C194:$AI194)),$C194:$AI194,0)),F189-INDEX($C183:$AJ193,7,MATCH(IF('Data-solution'!$A$3="Maximize",MAX($C194:$AI194),MIN($C194:$AI194)),$C194:$AI194,0))*INDEX(F183:$AJ193,MATCH(MIN($AK183:$AK193),$AK183:$AK193,0),1)/INDEX($C183:$AJ193,MATCH(MIN($AK183:$AK193),$AK183:$AK193,0),MATCH(IF('Data-solution'!$A$3="Maximize",MAX($C194:$AI194),MIN($C194:$AI194)),$C194:$AI194,0))),F189)</f>
        <v>0</v>
      </c>
      <c r="G204" s="1">
        <f>IF(OR($B198&lt;&gt;$B183,$B199&lt;&gt;$B184,$B200&lt;&gt;$B185,$B201&lt;&gt;$B186,$B202&lt;&gt;$B187,$B203&lt;&gt;$B188,$B204&lt;&gt;$B189,$B205&lt;&gt;$B190,$B206&lt;&gt;$B191,$B207&lt;&gt;$B192,$B208&lt;&gt;$B193),IF($B204&lt;&gt;$B189,G189/INDEX($C183:$AJ193,7,MATCH(IF('Data-solution'!$A$3="Maximize",MAX($C194:$AI194),MIN($C194:$AI194)),$C194:$AI194,0)),G189-INDEX($C183:$AJ193,7,MATCH(IF('Data-solution'!$A$3="Maximize",MAX($C194:$AI194),MIN($C194:$AI194)),$C194:$AI194,0))*INDEX(G183:$AJ193,MATCH(MIN($AK183:$AK193),$AK183:$AK193,0),1)/INDEX($C183:$AJ193,MATCH(MIN($AK183:$AK193),$AK183:$AK193,0),MATCH(IF('Data-solution'!$A$3="Maximize",MAX($C194:$AI194),MIN($C194:$AI194)),$C194:$AI194,0))),G189)</f>
        <v>0</v>
      </c>
      <c r="H204" s="1">
        <f>IF(OR($B198&lt;&gt;$B183,$B199&lt;&gt;$B184,$B200&lt;&gt;$B185,$B201&lt;&gt;$B186,$B202&lt;&gt;$B187,$B203&lt;&gt;$B188,$B204&lt;&gt;$B189,$B205&lt;&gt;$B190,$B206&lt;&gt;$B191,$B207&lt;&gt;$B192,$B208&lt;&gt;$B193),IF($B204&lt;&gt;$B189,H189/INDEX($C183:$AJ193,7,MATCH(IF('Data-solution'!$A$3="Maximize",MAX($C194:$AI194),MIN($C194:$AI194)),$C194:$AI194,0)),H189-INDEX($C183:$AJ193,7,MATCH(IF('Data-solution'!$A$3="Maximize",MAX($C194:$AI194),MIN($C194:$AI194)),$C194:$AI194,0))*INDEX(H183:$AJ193,MATCH(MIN($AK183:$AK193),$AK183:$AK193,0),1)/INDEX($C183:$AJ193,MATCH(MIN($AK183:$AK193),$AK183:$AK193,0),MATCH(IF('Data-solution'!$A$3="Maximize",MAX($C194:$AI194),MIN($C194:$AI194)),$C194:$AI194,0))),H189)</f>
        <v>0</v>
      </c>
      <c r="I204" s="1">
        <f>IF(OR($B198&lt;&gt;$B183,$B199&lt;&gt;$B184,$B200&lt;&gt;$B185,$B201&lt;&gt;$B186,$B202&lt;&gt;$B187,$B203&lt;&gt;$B188,$B204&lt;&gt;$B189,$B205&lt;&gt;$B190,$B206&lt;&gt;$B191,$B207&lt;&gt;$B192,$B208&lt;&gt;$B193),IF($B204&lt;&gt;$B189,I189/INDEX($C183:$AJ193,7,MATCH(IF('Data-solution'!$A$3="Maximize",MAX($C194:$AI194),MIN($C194:$AI194)),$C194:$AI194,0)),I189-INDEX($C183:$AJ193,7,MATCH(IF('Data-solution'!$A$3="Maximize",MAX($C194:$AI194),MIN($C194:$AI194)),$C194:$AI194,0))*INDEX(I183:$AJ193,MATCH(MIN($AK183:$AK193),$AK183:$AK193,0),1)/INDEX($C183:$AJ193,MATCH(MIN($AK183:$AK193),$AK183:$AK193,0),MATCH(IF('Data-solution'!$A$3="Maximize",MAX($C194:$AI194),MIN($C194:$AI194)),$C194:$AI194,0))),I189)</f>
        <v>0</v>
      </c>
      <c r="J204" s="1">
        <f>IF(OR($B198&lt;&gt;$B183,$B199&lt;&gt;$B184,$B200&lt;&gt;$B185,$B201&lt;&gt;$B186,$B202&lt;&gt;$B187,$B203&lt;&gt;$B188,$B204&lt;&gt;$B189,$B205&lt;&gt;$B190,$B206&lt;&gt;$B191,$B207&lt;&gt;$B192,$B208&lt;&gt;$B193),IF($B204&lt;&gt;$B189,J189/INDEX($C183:$AJ193,7,MATCH(IF('Data-solution'!$A$3="Maximize",MAX($C194:$AI194),MIN($C194:$AI194)),$C194:$AI194,0)),J189-INDEX($C183:$AJ193,7,MATCH(IF('Data-solution'!$A$3="Maximize",MAX($C194:$AI194),MIN($C194:$AI194)),$C194:$AI194,0))*INDEX(J183:$AJ193,MATCH(MIN($AK183:$AK193),$AK183:$AK193,0),1)/INDEX($C183:$AJ193,MATCH(MIN($AK183:$AK193),$AK183:$AK193,0),MATCH(IF('Data-solution'!$A$3="Maximize",MAX($C194:$AI194),MIN($C194:$AI194)),$C194:$AI194,0))),J189)</f>
        <v>0</v>
      </c>
      <c r="K204" s="1">
        <f>IF(OR($B198&lt;&gt;$B183,$B199&lt;&gt;$B184,$B200&lt;&gt;$B185,$B201&lt;&gt;$B186,$B202&lt;&gt;$B187,$B203&lt;&gt;$B188,$B204&lt;&gt;$B189,$B205&lt;&gt;$B190,$B206&lt;&gt;$B191,$B207&lt;&gt;$B192,$B208&lt;&gt;$B193),IF($B204&lt;&gt;$B189,K189/INDEX($C183:$AJ193,7,MATCH(IF('Data-solution'!$A$3="Maximize",MAX($C194:$AI194),MIN($C194:$AI194)),$C194:$AI194,0)),K189-INDEX($C183:$AJ193,7,MATCH(IF('Data-solution'!$A$3="Maximize",MAX($C194:$AI194),MIN($C194:$AI194)),$C194:$AI194,0))*INDEX(K183:$AJ193,MATCH(MIN($AK183:$AK193),$AK183:$AK193,0),1)/INDEX($C183:$AJ193,MATCH(MIN($AK183:$AK193),$AK183:$AK193,0),MATCH(IF('Data-solution'!$A$3="Maximize",MAX($C194:$AI194),MIN($C194:$AI194)),$C194:$AI194,0))),K189)</f>
        <v>0</v>
      </c>
      <c r="L204" s="1">
        <f>IF(OR($B198&lt;&gt;$B183,$B199&lt;&gt;$B184,$B200&lt;&gt;$B185,$B201&lt;&gt;$B186,$B202&lt;&gt;$B187,$B203&lt;&gt;$B188,$B204&lt;&gt;$B189,$B205&lt;&gt;$B190,$B206&lt;&gt;$B191,$B207&lt;&gt;$B192,$B208&lt;&gt;$B193),IF($B204&lt;&gt;$B189,L189/INDEX($C183:$AJ193,7,MATCH(IF('Data-solution'!$A$3="Maximize",MAX($C194:$AI194),MIN($C194:$AI194)),$C194:$AI194,0)),L189-INDEX($C183:$AJ193,7,MATCH(IF('Data-solution'!$A$3="Maximize",MAX($C194:$AI194),MIN($C194:$AI194)),$C194:$AI194,0))*INDEX(L183:$AJ193,MATCH(MIN($AK183:$AK193),$AK183:$AK193,0),1)/INDEX($C183:$AJ193,MATCH(MIN($AK183:$AK193),$AK183:$AK193,0),MATCH(IF('Data-solution'!$A$3="Maximize",MAX($C194:$AI194),MIN($C194:$AI194)),$C194:$AI194,0))),L189)</f>
        <v>0</v>
      </c>
      <c r="M204" s="1">
        <f>IF(OR($B198&lt;&gt;$B183,$B199&lt;&gt;$B184,$B200&lt;&gt;$B185,$B201&lt;&gt;$B186,$B202&lt;&gt;$B187,$B203&lt;&gt;$B188,$B204&lt;&gt;$B189,$B205&lt;&gt;$B190,$B206&lt;&gt;$B191,$B207&lt;&gt;$B192,$B208&lt;&gt;$B193),IF($B204&lt;&gt;$B189,M189/INDEX($C183:$AJ193,7,MATCH(IF('Data-solution'!$A$3="Maximize",MAX($C194:$AI194),MIN($C194:$AI194)),$C194:$AI194,0)),M189-INDEX($C183:$AJ193,7,MATCH(IF('Data-solution'!$A$3="Maximize",MAX($C194:$AI194),MIN($C194:$AI194)),$C194:$AI194,0))*INDEX(M183:$AJ193,MATCH(MIN($AK183:$AK193),$AK183:$AK193,0),1)/INDEX($C183:$AJ193,MATCH(MIN($AK183:$AK193),$AK183:$AK193,0),MATCH(IF('Data-solution'!$A$3="Maximize",MAX($C194:$AI194),MIN($C194:$AI194)),$C194:$AI194,0))),M189)</f>
        <v>0</v>
      </c>
      <c r="N204" s="1">
        <f>IF(OR($B198&lt;&gt;$B183,$B199&lt;&gt;$B184,$B200&lt;&gt;$B185,$B201&lt;&gt;$B186,$B202&lt;&gt;$B187,$B203&lt;&gt;$B188,$B204&lt;&gt;$B189,$B205&lt;&gt;$B190,$B206&lt;&gt;$B191,$B207&lt;&gt;$B192,$B208&lt;&gt;$B193),IF($B204&lt;&gt;$B189,N189/INDEX($C183:$AJ193,7,MATCH(IF('Data-solution'!$A$3="Maximize",MAX($C194:$AI194),MIN($C194:$AI194)),$C194:$AI194,0)),N189-INDEX($C183:$AJ193,7,MATCH(IF('Data-solution'!$A$3="Maximize",MAX($C194:$AI194),MIN($C194:$AI194)),$C194:$AI194,0))*INDEX(N183:$AJ193,MATCH(MIN($AK183:$AK193),$AK183:$AK193,0),1)/INDEX($C183:$AJ193,MATCH(MIN($AK183:$AK193),$AK183:$AK193,0),MATCH(IF('Data-solution'!$A$3="Maximize",MAX($C194:$AI194),MIN($C194:$AI194)),$C194:$AI194,0))),N189)</f>
        <v>0</v>
      </c>
      <c r="O204" s="1">
        <f>IF(OR($B198&lt;&gt;$B183,$B199&lt;&gt;$B184,$B200&lt;&gt;$B185,$B201&lt;&gt;$B186,$B202&lt;&gt;$B187,$B203&lt;&gt;$B188,$B204&lt;&gt;$B189,$B205&lt;&gt;$B190,$B206&lt;&gt;$B191,$B207&lt;&gt;$B192,$B208&lt;&gt;$B193),IF($B204&lt;&gt;$B189,O189/INDEX($C183:$AJ193,7,MATCH(IF('Data-solution'!$A$3="Maximize",MAX($C194:$AI194),MIN($C194:$AI194)),$C194:$AI194,0)),O189-INDEX($C183:$AJ193,7,MATCH(IF('Data-solution'!$A$3="Maximize",MAX($C194:$AI194),MIN($C194:$AI194)),$C194:$AI194,0))*INDEX(O183:$AJ193,MATCH(MIN($AK183:$AK193),$AK183:$AK193,0),1)/INDEX($C183:$AJ193,MATCH(MIN($AK183:$AK193),$AK183:$AK193,0),MATCH(IF('Data-solution'!$A$3="Maximize",MAX($C194:$AI194),MIN($C194:$AI194)),$C194:$AI194,0))),O189)</f>
        <v>0</v>
      </c>
      <c r="P204" s="1">
        <f>IF(OR($B198&lt;&gt;$B183,$B199&lt;&gt;$B184,$B200&lt;&gt;$B185,$B201&lt;&gt;$B186,$B202&lt;&gt;$B187,$B203&lt;&gt;$B188,$B204&lt;&gt;$B189,$B205&lt;&gt;$B190,$B206&lt;&gt;$B191,$B207&lt;&gt;$B192,$B208&lt;&gt;$B193),IF($B204&lt;&gt;$B189,P189/INDEX($C183:$AJ193,7,MATCH(IF('Data-solution'!$A$3="Maximize",MAX($C194:$AI194),MIN($C194:$AI194)),$C194:$AI194,0)),P189-INDEX($C183:$AJ193,7,MATCH(IF('Data-solution'!$A$3="Maximize",MAX($C194:$AI194),MIN($C194:$AI194)),$C194:$AI194,0))*INDEX(P183:$AJ193,MATCH(MIN($AK183:$AK193),$AK183:$AK193,0),1)/INDEX($C183:$AJ193,MATCH(MIN($AK183:$AK193),$AK183:$AK193,0),MATCH(IF('Data-solution'!$A$3="Maximize",MAX($C194:$AI194),MIN($C194:$AI194)),$C194:$AI194,0))),P189)</f>
        <v>0</v>
      </c>
      <c r="Q204" s="1">
        <f>IF(OR($B198&lt;&gt;$B183,$B199&lt;&gt;$B184,$B200&lt;&gt;$B185,$B201&lt;&gt;$B186,$B202&lt;&gt;$B187,$B203&lt;&gt;$B188,$B204&lt;&gt;$B189,$B205&lt;&gt;$B190,$B206&lt;&gt;$B191,$B207&lt;&gt;$B192,$B208&lt;&gt;$B193),IF($B204&lt;&gt;$B189,Q189/INDEX($C183:$AJ193,7,MATCH(IF('Data-solution'!$A$3="Maximize",MAX($C194:$AI194),MIN($C194:$AI194)),$C194:$AI194,0)),Q189-INDEX($C183:$AJ193,7,MATCH(IF('Data-solution'!$A$3="Maximize",MAX($C194:$AI194),MIN($C194:$AI194)),$C194:$AI194,0))*INDEX(Q183:$AJ193,MATCH(MIN($AK183:$AK193),$AK183:$AK193,0),1)/INDEX($C183:$AJ193,MATCH(MIN($AK183:$AK193),$AK183:$AK193,0),MATCH(IF('Data-solution'!$A$3="Maximize",MAX($C194:$AI194),MIN($C194:$AI194)),$C194:$AI194,0))),Q189)</f>
        <v>0</v>
      </c>
      <c r="R204" s="1">
        <f>IF(OR($B198&lt;&gt;$B183,$B199&lt;&gt;$B184,$B200&lt;&gt;$B185,$B201&lt;&gt;$B186,$B202&lt;&gt;$B187,$B203&lt;&gt;$B188,$B204&lt;&gt;$B189,$B205&lt;&gt;$B190,$B206&lt;&gt;$B191,$B207&lt;&gt;$B192,$B208&lt;&gt;$B193),IF($B204&lt;&gt;$B189,R189/INDEX($C183:$AJ193,7,MATCH(IF('Data-solution'!$A$3="Maximize",MAX($C194:$AI194),MIN($C194:$AI194)),$C194:$AI194,0)),R189-INDEX($C183:$AJ193,7,MATCH(IF('Data-solution'!$A$3="Maximize",MAX($C194:$AI194),MIN($C194:$AI194)),$C194:$AI194,0))*INDEX(R183:$AJ193,MATCH(MIN($AK183:$AK193),$AK183:$AK193,0),1)/INDEX($C183:$AJ193,MATCH(MIN($AK183:$AK193),$AK183:$AK193,0),MATCH(IF('Data-solution'!$A$3="Maximize",MAX($C194:$AI194),MIN($C194:$AI194)),$C194:$AI194,0))),R189)</f>
        <v>0</v>
      </c>
      <c r="S204" s="1">
        <f>IF(OR($B198&lt;&gt;$B183,$B199&lt;&gt;$B184,$B200&lt;&gt;$B185,$B201&lt;&gt;$B186,$B202&lt;&gt;$B187,$B203&lt;&gt;$B188,$B204&lt;&gt;$B189,$B205&lt;&gt;$B190,$B206&lt;&gt;$B191,$B207&lt;&gt;$B192,$B208&lt;&gt;$B193),IF($B204&lt;&gt;$B189,S189/INDEX($C183:$AJ193,7,MATCH(IF('Data-solution'!$A$3="Maximize",MAX($C194:$AI194),MIN($C194:$AI194)),$C194:$AI194,0)),S189-INDEX($C183:$AJ193,7,MATCH(IF('Data-solution'!$A$3="Maximize",MAX($C194:$AI194),MIN($C194:$AI194)),$C194:$AI194,0))*INDEX(S183:$AJ193,MATCH(MIN($AK183:$AK193),$AK183:$AK193,0),1)/INDEX($C183:$AJ193,MATCH(MIN($AK183:$AK193),$AK183:$AK193,0),MATCH(IF('Data-solution'!$A$3="Maximize",MAX($C194:$AI194),MIN($C194:$AI194)),$C194:$AI194,0))),S189)</f>
        <v>0</v>
      </c>
      <c r="T204" s="1">
        <f>IF(OR($B198&lt;&gt;$B183,$B199&lt;&gt;$B184,$B200&lt;&gt;$B185,$B201&lt;&gt;$B186,$B202&lt;&gt;$B187,$B203&lt;&gt;$B188,$B204&lt;&gt;$B189,$B205&lt;&gt;$B190,$B206&lt;&gt;$B191,$B207&lt;&gt;$B192,$B208&lt;&gt;$B193),IF($B204&lt;&gt;$B189,T189/INDEX($C183:$AJ193,7,MATCH(IF('Data-solution'!$A$3="Maximize",MAX($C194:$AI194),MIN($C194:$AI194)),$C194:$AI194,0)),T189-INDEX($C183:$AJ193,7,MATCH(IF('Data-solution'!$A$3="Maximize",MAX($C194:$AI194),MIN($C194:$AI194)),$C194:$AI194,0))*INDEX(T183:$AJ193,MATCH(MIN($AK183:$AK193),$AK183:$AK193,0),1)/INDEX($C183:$AJ193,MATCH(MIN($AK183:$AK193),$AK183:$AK193,0),MATCH(IF('Data-solution'!$A$3="Maximize",MAX($C194:$AI194),MIN($C194:$AI194)),$C194:$AI194,0))),T189)</f>
        <v>1</v>
      </c>
      <c r="U204" s="1">
        <f>IF(OR($B198&lt;&gt;$B183,$B199&lt;&gt;$B184,$B200&lt;&gt;$B185,$B201&lt;&gt;$B186,$B202&lt;&gt;$B187,$B203&lt;&gt;$B188,$B204&lt;&gt;$B189,$B205&lt;&gt;$B190,$B206&lt;&gt;$B191,$B207&lt;&gt;$B192,$B208&lt;&gt;$B193),IF($B204&lt;&gt;$B189,U189/INDEX($C183:$AJ193,7,MATCH(IF('Data-solution'!$A$3="Maximize",MAX($C194:$AI194),MIN($C194:$AI194)),$C194:$AI194,0)),U189-INDEX($C183:$AJ193,7,MATCH(IF('Data-solution'!$A$3="Maximize",MAX($C194:$AI194),MIN($C194:$AI194)),$C194:$AI194,0))*INDEX(U183:$AJ193,MATCH(MIN($AK183:$AK193),$AK183:$AK193,0),1)/INDEX($C183:$AJ193,MATCH(MIN($AK183:$AK193),$AK183:$AK193,0),MATCH(IF('Data-solution'!$A$3="Maximize",MAX($C194:$AI194),MIN($C194:$AI194)),$C194:$AI194,0))),U189)</f>
        <v>0</v>
      </c>
      <c r="V204" s="1">
        <f>IF(OR($B198&lt;&gt;$B183,$B199&lt;&gt;$B184,$B200&lt;&gt;$B185,$B201&lt;&gt;$B186,$B202&lt;&gt;$B187,$B203&lt;&gt;$B188,$B204&lt;&gt;$B189,$B205&lt;&gt;$B190,$B206&lt;&gt;$B191,$B207&lt;&gt;$B192,$B208&lt;&gt;$B193),IF($B204&lt;&gt;$B189,V189/INDEX($C183:$AJ193,7,MATCH(IF('Data-solution'!$A$3="Maximize",MAX($C194:$AI194),MIN($C194:$AI194)),$C194:$AI194,0)),V189-INDEX($C183:$AJ193,7,MATCH(IF('Data-solution'!$A$3="Maximize",MAX($C194:$AI194),MIN($C194:$AI194)),$C194:$AI194,0))*INDEX(V183:$AJ193,MATCH(MIN($AK183:$AK193),$AK183:$AK193,0),1)/INDEX($C183:$AJ193,MATCH(MIN($AK183:$AK193),$AK183:$AK193,0),MATCH(IF('Data-solution'!$A$3="Maximize",MAX($C194:$AI194),MIN($C194:$AI194)),$C194:$AI194,0))),V189)</f>
        <v>0</v>
      </c>
      <c r="W204" s="1">
        <f>IF(OR($B198&lt;&gt;$B183,$B199&lt;&gt;$B184,$B200&lt;&gt;$B185,$B201&lt;&gt;$B186,$B202&lt;&gt;$B187,$B203&lt;&gt;$B188,$B204&lt;&gt;$B189,$B205&lt;&gt;$B190,$B206&lt;&gt;$B191,$B207&lt;&gt;$B192,$B208&lt;&gt;$B193),IF($B204&lt;&gt;$B189,W189/INDEX($C183:$AJ193,7,MATCH(IF('Data-solution'!$A$3="Maximize",MAX($C194:$AI194),MIN($C194:$AI194)),$C194:$AI194,0)),W189-INDEX($C183:$AJ193,7,MATCH(IF('Data-solution'!$A$3="Maximize",MAX($C194:$AI194),MIN($C194:$AI194)),$C194:$AI194,0))*INDEX(W183:$AJ193,MATCH(MIN($AK183:$AK193),$AK183:$AK193,0),1)/INDEX($C183:$AJ193,MATCH(MIN($AK183:$AK193),$AK183:$AK193,0),MATCH(IF('Data-solution'!$A$3="Maximize",MAX($C194:$AI194),MIN($C194:$AI194)),$C194:$AI194,0))),W189)</f>
        <v>0</v>
      </c>
      <c r="X204" s="1">
        <f>IF(OR($B198&lt;&gt;$B183,$B199&lt;&gt;$B184,$B200&lt;&gt;$B185,$B201&lt;&gt;$B186,$B202&lt;&gt;$B187,$B203&lt;&gt;$B188,$B204&lt;&gt;$B189,$B205&lt;&gt;$B190,$B206&lt;&gt;$B191,$B207&lt;&gt;$B192,$B208&lt;&gt;$B193),IF($B204&lt;&gt;$B189,X189/INDEX($C183:$AJ193,7,MATCH(IF('Data-solution'!$A$3="Maximize",MAX($C194:$AI194),MIN($C194:$AI194)),$C194:$AI194,0)),X189-INDEX($C183:$AJ193,7,MATCH(IF('Data-solution'!$A$3="Maximize",MAX($C194:$AI194),MIN($C194:$AI194)),$C194:$AI194,0))*INDEX(X183:$AJ193,MATCH(MIN($AK183:$AK193),$AK183:$AK193,0),1)/INDEX($C183:$AJ193,MATCH(MIN($AK183:$AK193),$AK183:$AK193,0),MATCH(IF('Data-solution'!$A$3="Maximize",MAX($C194:$AI194),MIN($C194:$AI194)),$C194:$AI194,0))),X189)</f>
        <v>0</v>
      </c>
      <c r="Y204" s="1">
        <f>IF(OR($B198&lt;&gt;$B183,$B199&lt;&gt;$B184,$B200&lt;&gt;$B185,$B201&lt;&gt;$B186,$B202&lt;&gt;$B187,$B203&lt;&gt;$B188,$B204&lt;&gt;$B189,$B205&lt;&gt;$B190,$B206&lt;&gt;$B191,$B207&lt;&gt;$B192,$B208&lt;&gt;$B193),IF($B204&lt;&gt;$B189,Y189/INDEX($C183:$AJ193,7,MATCH(IF('Data-solution'!$A$3="Maximize",MAX($C194:$AI194),MIN($C194:$AI194)),$C194:$AI194,0)),Y189-INDEX($C183:$AJ193,7,MATCH(IF('Data-solution'!$A$3="Maximize",MAX($C194:$AI194),MIN($C194:$AI194)),$C194:$AI194,0))*INDEX(Y183:$AJ193,MATCH(MIN($AK183:$AK193),$AK183:$AK193,0),1)/INDEX($C183:$AJ193,MATCH(MIN($AK183:$AK193),$AK183:$AK193,0),MATCH(IF('Data-solution'!$A$3="Maximize",MAX($C194:$AI194),MIN($C194:$AI194)),$C194:$AI194,0))),Y189)</f>
        <v>0</v>
      </c>
      <c r="Z204" s="1">
        <f>IF(OR($B198&lt;&gt;$B183,$B199&lt;&gt;$B184,$B200&lt;&gt;$B185,$B201&lt;&gt;$B186,$B202&lt;&gt;$B187,$B203&lt;&gt;$B188,$B204&lt;&gt;$B189,$B205&lt;&gt;$B190,$B206&lt;&gt;$B191,$B207&lt;&gt;$B192,$B208&lt;&gt;$B193),IF($B204&lt;&gt;$B189,Z189/INDEX($C183:$AJ193,7,MATCH(IF('Data-solution'!$A$3="Maximize",MAX($C194:$AI194),MIN($C194:$AI194)),$C194:$AI194,0)),Z189-INDEX($C183:$AJ193,7,MATCH(IF('Data-solution'!$A$3="Maximize",MAX($C194:$AI194),MIN($C194:$AI194)),$C194:$AI194,0))*INDEX(Z183:$AJ193,MATCH(MIN($AK183:$AK193),$AK183:$AK193,0),1)/INDEX($C183:$AJ193,MATCH(MIN($AK183:$AK193),$AK183:$AK193,0),MATCH(IF('Data-solution'!$A$3="Maximize",MAX($C194:$AI194),MIN($C194:$AI194)),$C194:$AI194,0))),Z189)</f>
        <v>0</v>
      </c>
      <c r="AA204" s="1">
        <f>IF(OR($B198&lt;&gt;$B183,$B199&lt;&gt;$B184,$B200&lt;&gt;$B185,$B201&lt;&gt;$B186,$B202&lt;&gt;$B187,$B203&lt;&gt;$B188,$B204&lt;&gt;$B189,$B205&lt;&gt;$B190,$B206&lt;&gt;$B191,$B207&lt;&gt;$B192,$B208&lt;&gt;$B193),IF($B204&lt;&gt;$B189,AA189/INDEX($C183:$AJ193,7,MATCH(IF('Data-solution'!$A$3="Maximize",MAX($C194:$AI194),MIN($C194:$AI194)),$C194:$AI194,0)),AA189-INDEX($C183:$AJ193,7,MATCH(IF('Data-solution'!$A$3="Maximize",MAX($C194:$AI194),MIN($C194:$AI194)),$C194:$AI194,0))*INDEX(AA183:$AJ193,MATCH(MIN($AK183:$AK193),$AK183:$AK193,0),1)/INDEX($C183:$AJ193,MATCH(MIN($AK183:$AK193),$AK183:$AK193,0),MATCH(IF('Data-solution'!$A$3="Maximize",MAX($C194:$AI194),MIN($C194:$AI194)),$C194:$AI194,0))),AA189)</f>
        <v>0</v>
      </c>
      <c r="AB204" s="1">
        <f>IF(OR($B198&lt;&gt;$B183,$B199&lt;&gt;$B184,$B200&lt;&gt;$B185,$B201&lt;&gt;$B186,$B202&lt;&gt;$B187,$B203&lt;&gt;$B188,$B204&lt;&gt;$B189,$B205&lt;&gt;$B190,$B206&lt;&gt;$B191,$B207&lt;&gt;$B192,$B208&lt;&gt;$B193),IF($B204&lt;&gt;$B189,AB189/INDEX($C183:$AJ193,7,MATCH(IF('Data-solution'!$A$3="Maximize",MAX($C194:$AI194),MIN($C194:$AI194)),$C194:$AI194,0)),AB189-INDEX($C183:$AJ193,7,MATCH(IF('Data-solution'!$A$3="Maximize",MAX($C194:$AI194),MIN($C194:$AI194)),$C194:$AI194,0))*INDEX(AB183:$AJ193,MATCH(MIN($AK183:$AK193),$AK183:$AK193,0),1)/INDEX($C183:$AJ193,MATCH(MIN($AK183:$AK193),$AK183:$AK193,0),MATCH(IF('Data-solution'!$A$3="Maximize",MAX($C194:$AI194),MIN($C194:$AI194)),$C194:$AI194,0))),AB189)</f>
        <v>0</v>
      </c>
      <c r="AC204" s="1">
        <f>IF(OR($B198&lt;&gt;$B183,$B199&lt;&gt;$B184,$B200&lt;&gt;$B185,$B201&lt;&gt;$B186,$B202&lt;&gt;$B187,$B203&lt;&gt;$B188,$B204&lt;&gt;$B189,$B205&lt;&gt;$B190,$B206&lt;&gt;$B191,$B207&lt;&gt;$B192,$B208&lt;&gt;$B193),IF($B204&lt;&gt;$B189,AC189/INDEX($C183:$AJ193,7,MATCH(IF('Data-solution'!$A$3="Maximize",MAX($C194:$AI194),MIN($C194:$AI194)),$C194:$AI194,0)),AC189-INDEX($C183:$AJ193,7,MATCH(IF('Data-solution'!$A$3="Maximize",MAX($C194:$AI194),MIN($C194:$AI194)),$C194:$AI194,0))*INDEX(AC183:$AJ193,MATCH(MIN($AK183:$AK193),$AK183:$AK193,0),1)/INDEX($C183:$AJ193,MATCH(MIN($AK183:$AK193),$AK183:$AK193,0),MATCH(IF('Data-solution'!$A$3="Maximize",MAX($C194:$AI194),MIN($C194:$AI194)),$C194:$AI194,0))),AC189)</f>
        <v>0</v>
      </c>
      <c r="AD204" s="1">
        <f>IF(OR($B198&lt;&gt;$B183,$B199&lt;&gt;$B184,$B200&lt;&gt;$B185,$B201&lt;&gt;$B186,$B202&lt;&gt;$B187,$B203&lt;&gt;$B188,$B204&lt;&gt;$B189,$B205&lt;&gt;$B190,$B206&lt;&gt;$B191,$B207&lt;&gt;$B192,$B208&lt;&gt;$B193),IF($B204&lt;&gt;$B189,AD189/INDEX($C183:$AJ193,7,MATCH(IF('Data-solution'!$A$3="Maximize",MAX($C194:$AI194),MIN($C194:$AI194)),$C194:$AI194,0)),AD189-INDEX($C183:$AJ193,7,MATCH(IF('Data-solution'!$A$3="Maximize",MAX($C194:$AI194),MIN($C194:$AI194)),$C194:$AI194,0))*INDEX(AD183:$AJ193,MATCH(MIN($AK183:$AK193),$AK183:$AK193,0),1)/INDEX($C183:$AJ193,MATCH(MIN($AK183:$AK193),$AK183:$AK193,0),MATCH(IF('Data-solution'!$A$3="Maximize",MAX($C194:$AI194),MIN($C194:$AI194)),$C194:$AI194,0))),AD189)</f>
        <v>0</v>
      </c>
      <c r="AE204" s="1">
        <f>IF(OR($B198&lt;&gt;$B183,$B199&lt;&gt;$B184,$B200&lt;&gt;$B185,$B201&lt;&gt;$B186,$B202&lt;&gt;$B187,$B203&lt;&gt;$B188,$B204&lt;&gt;$B189,$B205&lt;&gt;$B190,$B206&lt;&gt;$B191,$B207&lt;&gt;$B192,$B208&lt;&gt;$B193),IF($B204&lt;&gt;$B189,AE189/INDEX($C183:$AJ193,7,MATCH(IF('Data-solution'!$A$3="Maximize",MAX($C194:$AI194),MIN($C194:$AI194)),$C194:$AI194,0)),AE189-INDEX($C183:$AJ193,7,MATCH(IF('Data-solution'!$A$3="Maximize",MAX($C194:$AI194),MIN($C194:$AI194)),$C194:$AI194,0))*INDEX(AE183:$AJ193,MATCH(MIN($AK183:$AK193),$AK183:$AK193,0),1)/INDEX($C183:$AJ193,MATCH(MIN($AK183:$AK193),$AK183:$AK193,0),MATCH(IF('Data-solution'!$A$3="Maximize",MAX($C194:$AI194),MIN($C194:$AI194)),$C194:$AI194,0))),AE189)</f>
        <v>1</v>
      </c>
      <c r="AF204" s="1">
        <f>IF(OR($B198&lt;&gt;$B183,$B199&lt;&gt;$B184,$B200&lt;&gt;$B185,$B201&lt;&gt;$B186,$B202&lt;&gt;$B187,$B203&lt;&gt;$B188,$B204&lt;&gt;$B189,$B205&lt;&gt;$B190,$B206&lt;&gt;$B191,$B207&lt;&gt;$B192,$B208&lt;&gt;$B193),IF($B204&lt;&gt;$B189,AF189/INDEX($C183:$AJ193,7,MATCH(IF('Data-solution'!$A$3="Maximize",MAX($C194:$AI194),MIN($C194:$AI194)),$C194:$AI194,0)),AF189-INDEX($C183:$AJ193,7,MATCH(IF('Data-solution'!$A$3="Maximize",MAX($C194:$AI194),MIN($C194:$AI194)),$C194:$AI194,0))*INDEX(AF183:$AJ193,MATCH(MIN($AK183:$AK193),$AK183:$AK193,0),1)/INDEX($C183:$AJ193,MATCH(MIN($AK183:$AK193),$AK183:$AK193,0),MATCH(IF('Data-solution'!$A$3="Maximize",MAX($C194:$AI194),MIN($C194:$AI194)),$C194:$AI194,0))),AF189)</f>
        <v>0</v>
      </c>
      <c r="AG204" s="1">
        <f>IF(OR($B198&lt;&gt;$B183,$B199&lt;&gt;$B184,$B200&lt;&gt;$B185,$B201&lt;&gt;$B186,$B202&lt;&gt;$B187,$B203&lt;&gt;$B188,$B204&lt;&gt;$B189,$B205&lt;&gt;$B190,$B206&lt;&gt;$B191,$B207&lt;&gt;$B192,$B208&lt;&gt;$B193),IF($B204&lt;&gt;$B189,AG189/INDEX($C183:$AJ193,7,MATCH(IF('Data-solution'!$A$3="Maximize",MAX($C194:$AI194),MIN($C194:$AI194)),$C194:$AI194,0)),AG189-INDEX($C183:$AJ193,7,MATCH(IF('Data-solution'!$A$3="Maximize",MAX($C194:$AI194),MIN($C194:$AI194)),$C194:$AI194,0))*INDEX(AG183:$AJ193,MATCH(MIN($AK183:$AK193),$AK183:$AK193,0),1)/INDEX($C183:$AJ193,MATCH(MIN($AK183:$AK193),$AK183:$AK193,0),MATCH(IF('Data-solution'!$A$3="Maximize",MAX($C194:$AI194),MIN($C194:$AI194)),$C194:$AI194,0))),AG189)</f>
        <v>0</v>
      </c>
      <c r="AH204" s="1">
        <f>IF(OR($B198&lt;&gt;$B183,$B199&lt;&gt;$B184,$B200&lt;&gt;$B185,$B201&lt;&gt;$B186,$B202&lt;&gt;$B187,$B203&lt;&gt;$B188,$B204&lt;&gt;$B189,$B205&lt;&gt;$B190,$B206&lt;&gt;$B191,$B207&lt;&gt;$B192,$B208&lt;&gt;$B193),IF($B204&lt;&gt;$B189,AH189/INDEX($C183:$AJ193,7,MATCH(IF('Data-solution'!$A$3="Maximize",MAX($C194:$AI194),MIN($C194:$AI194)),$C194:$AI194,0)),AH189-INDEX($C183:$AJ193,7,MATCH(IF('Data-solution'!$A$3="Maximize",MAX($C194:$AI194),MIN($C194:$AI194)),$C194:$AI194,0))*INDEX(AH183:$AJ193,MATCH(MIN($AK183:$AK193),$AK183:$AK193,0),1)/INDEX($C183:$AJ193,MATCH(MIN($AK183:$AK193),$AK183:$AK193,0),MATCH(IF('Data-solution'!$A$3="Maximize",MAX($C194:$AI194),MIN($C194:$AI194)),$C194:$AI194,0))),AH189)</f>
        <v>0</v>
      </c>
      <c r="AI204" s="1">
        <f>IF(OR($B198&lt;&gt;$B183,$B199&lt;&gt;$B184,$B200&lt;&gt;$B185,$B201&lt;&gt;$B186,$B202&lt;&gt;$B187,$B203&lt;&gt;$B188,$B204&lt;&gt;$B189,$B205&lt;&gt;$B190,$B206&lt;&gt;$B191,$B207&lt;&gt;$B192,$B208&lt;&gt;$B193),IF($B204&lt;&gt;$B189,AI189/INDEX($C183:$AJ193,7,MATCH(IF('Data-solution'!$A$3="Maximize",MAX($C194:$AI194),MIN($C194:$AI194)),$C194:$AI194,0)),AI189-INDEX($C183:$AJ193,7,MATCH(IF('Data-solution'!$A$3="Maximize",MAX($C194:$AI194),MIN($C194:$AI194)),$C194:$AI194,0))*INDEX(AI183:$AJ193,MATCH(MIN($AK183:$AK193),$AK183:$AK193,0),1)/INDEX($C183:$AJ193,MATCH(MIN($AK183:$AK193),$AK183:$AK193,0),MATCH(IF('Data-solution'!$A$3="Maximize",MAX($C194:$AI194),MIN($C194:$AI194)),$C194:$AI194,0))),AI189)</f>
        <v>0</v>
      </c>
      <c r="AJ204" s="1">
        <f>IF(OR($B198&lt;&gt;$B183,$B199&lt;&gt;$B184,$B200&lt;&gt;$B185,$B201&lt;&gt;$B186,$B202&lt;&gt;$B187,$B203&lt;&gt;$B188,$B204&lt;&gt;$B189,$B205&lt;&gt;$B190,$B206&lt;&gt;$B191,$B207&lt;&gt;$B192,$B208&lt;&gt;$B193),IF($B204&lt;&gt;$B189,AJ189/INDEX($C183:$AJ193,7,MATCH(IF('Data-solution'!$A$3="Maximize",MAX($C194:$AI194),MIN($C194:$AI194)),$C194:$AI194,0)),AJ189-INDEX($C183:$AJ193,7,MATCH(IF('Data-solution'!$A$3="Maximize",MAX($C194:$AI194),MIN($C194:$AI194)),$C194:$AI194,0))*INDEX(AJ183:$AJ193,MATCH(MIN($AK183:$AK193),$AK183:$AK193,0),1)/INDEX($C183:$AJ193,MATCH(MIN($AK183:$AK193),$AK183:$AK193,0),MATCH(IF('Data-solution'!$A$3="Maximize",MAX($C194:$AI194),MIN($C194:$AI194)),$C194:$AI194,0))),AJ189)</f>
        <v>0</v>
      </c>
      <c r="AK204" s="1" t="str">
        <f>IF(INDEX(C204:X204,1,MATCH(IF('Data-solution'!A$3="Maximize",MAX(C209:X209),MIN(C209:X209)),C209:X209,0))&gt;0,AJ204/INDEX(C204:X204,1,MATCH(IF('Data-solution'!A$3="Maximize",MAX(C209:X209),MIN(C209:X209)),C209:X209,0))," ")</f>
        <v xml:space="preserve"> </v>
      </c>
    </row>
    <row r="205" spans="1:37" ht="18" customHeight="1" x14ac:dyDescent="0.2">
      <c r="A205" s="1">
        <f t="shared" ref="A205" si="177">INDEX(C196:AI196,1,MATCH(B205,C197:AI197,0))</f>
        <v>0</v>
      </c>
      <c r="B205" s="2" t="str">
        <f>IF(AND('Data-solution'!A$3="Maximize",COUNTIF(C194:X194,"&gt;"&amp;0)&gt;0,AK190=MIN(AK183:AK193),COUNTIF(B198:B204,INDEX(C182:X182,1,MATCH(MAX(C194:X194),C194:X194,0)))=0),INDEX(C182:X182,1,MATCH(MAX(C194:X194),C194:X194,0)),IF(AND('Data-solution'!A$3="Minimize",COUNTIF(C194:X194,"&lt;"&amp;0)&gt;0,AK190=MIN(AK183:AK193),COUNTIF(B198:B204,INDEX(C182:X182,1,MATCH(MIN(C194:X194),C194:X194,0)))=0),INDEX(C182:X182,1,MATCH(MIN(C194:X194),C194:X194,0)),B190))</f>
        <v>S8</v>
      </c>
      <c r="C205" s="1">
        <f>IF(OR($B198&lt;&gt;$B183,$B199&lt;&gt;$B184,$B200&lt;&gt;$B185,$B201&lt;&gt;$B186,$B202&lt;&gt;$B187,$B203&lt;&gt;$B188,$B204&lt;&gt;$B189,$B205&lt;&gt;$B190,$B206&lt;&gt;$B191,$B207&lt;&gt;$B192,$B208&lt;&gt;$B193),IF($B205&lt;&gt;$B190,C190/INDEX($C183:$AJ193,8,MATCH(IF('Data-solution'!$A$3="Maximize",MAX($C194:$AI194),MIN($C194:$AI194)),$C194:$AI194,0)),C190-INDEX($C183:$AJ193,8,MATCH(IF('Data-solution'!$A$3="Maximize",MAX($C194:$AI194),MIN($C194:$AI194)),$C194:$AI194,0))*INDEX(C183:$AJ193,MATCH(MIN($AK183:$AK193),$AK183:$AK193,0),1)/INDEX($C183:$AJ193,MATCH(MIN($AK183:$AK193),$AK183:$AK193,0),MATCH(IF('Data-solution'!$A$3="Maximize",MAX($C194:$AI194),MIN($C194:$AI194)),$C194:$AI194,0))),C190)</f>
        <v>0</v>
      </c>
      <c r="D205" s="1">
        <f>IF(OR($B198&lt;&gt;$B183,$B199&lt;&gt;$B184,$B200&lt;&gt;$B185,$B201&lt;&gt;$B186,$B202&lt;&gt;$B187,$B203&lt;&gt;$B188,$B204&lt;&gt;$B189,$B205&lt;&gt;$B190,$B206&lt;&gt;$B191,$B207&lt;&gt;$B192,$B208&lt;&gt;$B193),IF($B205&lt;&gt;$B190,D190/INDEX($C183:$AJ193,8,MATCH(IF('Data-solution'!$A$3="Maximize",MAX($C194:$AI194),MIN($C194:$AI194)),$C194:$AI194,0)),D190-INDEX($C183:$AJ193,8,MATCH(IF('Data-solution'!$A$3="Maximize",MAX($C194:$AI194),MIN($C194:$AI194)),$C194:$AI194,0))*INDEX(D183:$AJ193,MATCH(MIN($AK183:$AK193),$AK183:$AK193,0),1)/INDEX($C183:$AJ193,MATCH(MIN($AK183:$AK193),$AK183:$AK193,0),MATCH(IF('Data-solution'!$A$3="Maximize",MAX($C194:$AI194),MIN($C194:$AI194)),$C194:$AI194,0))),D190)</f>
        <v>0</v>
      </c>
      <c r="E205" s="1">
        <f>IF(OR($B198&lt;&gt;$B183,$B199&lt;&gt;$B184,$B200&lt;&gt;$B185,$B201&lt;&gt;$B186,$B202&lt;&gt;$B187,$B203&lt;&gt;$B188,$B204&lt;&gt;$B189,$B205&lt;&gt;$B190,$B206&lt;&gt;$B191,$B207&lt;&gt;$B192,$B208&lt;&gt;$B193),IF($B205&lt;&gt;$B190,E190/INDEX($C183:$AJ193,8,MATCH(IF('Data-solution'!$A$3="Maximize",MAX($C194:$AI194),MIN($C194:$AI194)),$C194:$AI194,0)),E190-INDEX($C183:$AJ193,8,MATCH(IF('Data-solution'!$A$3="Maximize",MAX($C194:$AI194),MIN($C194:$AI194)),$C194:$AI194,0))*INDEX(E183:$AJ193,MATCH(MIN($AK183:$AK193),$AK183:$AK193,0),1)/INDEX($C183:$AJ193,MATCH(MIN($AK183:$AK193),$AK183:$AK193,0),MATCH(IF('Data-solution'!$A$3="Maximize",MAX($C194:$AI194),MIN($C194:$AI194)),$C194:$AI194,0))),E190)</f>
        <v>0</v>
      </c>
      <c r="F205" s="1">
        <f>IF(OR($B198&lt;&gt;$B183,$B199&lt;&gt;$B184,$B200&lt;&gt;$B185,$B201&lt;&gt;$B186,$B202&lt;&gt;$B187,$B203&lt;&gt;$B188,$B204&lt;&gt;$B189,$B205&lt;&gt;$B190,$B206&lt;&gt;$B191,$B207&lt;&gt;$B192,$B208&lt;&gt;$B193),IF($B205&lt;&gt;$B190,F190/INDEX($C183:$AJ193,8,MATCH(IF('Data-solution'!$A$3="Maximize",MAX($C194:$AI194),MIN($C194:$AI194)),$C194:$AI194,0)),F190-INDEX($C183:$AJ193,8,MATCH(IF('Data-solution'!$A$3="Maximize",MAX($C194:$AI194),MIN($C194:$AI194)),$C194:$AI194,0))*INDEX(F183:$AJ193,MATCH(MIN($AK183:$AK193),$AK183:$AK193,0),1)/INDEX($C183:$AJ193,MATCH(MIN($AK183:$AK193),$AK183:$AK193,0),MATCH(IF('Data-solution'!$A$3="Maximize",MAX($C194:$AI194),MIN($C194:$AI194)),$C194:$AI194,0))),F190)</f>
        <v>0</v>
      </c>
      <c r="G205" s="1">
        <f>IF(OR($B198&lt;&gt;$B183,$B199&lt;&gt;$B184,$B200&lt;&gt;$B185,$B201&lt;&gt;$B186,$B202&lt;&gt;$B187,$B203&lt;&gt;$B188,$B204&lt;&gt;$B189,$B205&lt;&gt;$B190,$B206&lt;&gt;$B191,$B207&lt;&gt;$B192,$B208&lt;&gt;$B193),IF($B205&lt;&gt;$B190,G190/INDEX($C183:$AJ193,8,MATCH(IF('Data-solution'!$A$3="Maximize",MAX($C194:$AI194),MIN($C194:$AI194)),$C194:$AI194,0)),G190-INDEX($C183:$AJ193,8,MATCH(IF('Data-solution'!$A$3="Maximize",MAX($C194:$AI194),MIN($C194:$AI194)),$C194:$AI194,0))*INDEX(G183:$AJ193,MATCH(MIN($AK183:$AK193),$AK183:$AK193,0),1)/INDEX($C183:$AJ193,MATCH(MIN($AK183:$AK193),$AK183:$AK193,0),MATCH(IF('Data-solution'!$A$3="Maximize",MAX($C194:$AI194),MIN($C194:$AI194)),$C194:$AI194,0))),G190)</f>
        <v>0</v>
      </c>
      <c r="H205" s="1">
        <f>IF(OR($B198&lt;&gt;$B183,$B199&lt;&gt;$B184,$B200&lt;&gt;$B185,$B201&lt;&gt;$B186,$B202&lt;&gt;$B187,$B203&lt;&gt;$B188,$B204&lt;&gt;$B189,$B205&lt;&gt;$B190,$B206&lt;&gt;$B191,$B207&lt;&gt;$B192,$B208&lt;&gt;$B193),IF($B205&lt;&gt;$B190,H190/INDEX($C183:$AJ193,8,MATCH(IF('Data-solution'!$A$3="Maximize",MAX($C194:$AI194),MIN($C194:$AI194)),$C194:$AI194,0)),H190-INDEX($C183:$AJ193,8,MATCH(IF('Data-solution'!$A$3="Maximize",MAX($C194:$AI194),MIN($C194:$AI194)),$C194:$AI194,0))*INDEX(H183:$AJ193,MATCH(MIN($AK183:$AK193),$AK183:$AK193,0),1)/INDEX($C183:$AJ193,MATCH(MIN($AK183:$AK193),$AK183:$AK193,0),MATCH(IF('Data-solution'!$A$3="Maximize",MAX($C194:$AI194),MIN($C194:$AI194)),$C194:$AI194,0))),H190)</f>
        <v>0</v>
      </c>
      <c r="I205" s="1">
        <f>IF(OR($B198&lt;&gt;$B183,$B199&lt;&gt;$B184,$B200&lt;&gt;$B185,$B201&lt;&gt;$B186,$B202&lt;&gt;$B187,$B203&lt;&gt;$B188,$B204&lt;&gt;$B189,$B205&lt;&gt;$B190,$B206&lt;&gt;$B191,$B207&lt;&gt;$B192,$B208&lt;&gt;$B193),IF($B205&lt;&gt;$B190,I190/INDEX($C183:$AJ193,8,MATCH(IF('Data-solution'!$A$3="Maximize",MAX($C194:$AI194),MIN($C194:$AI194)),$C194:$AI194,0)),I190-INDEX($C183:$AJ193,8,MATCH(IF('Data-solution'!$A$3="Maximize",MAX($C194:$AI194),MIN($C194:$AI194)),$C194:$AI194,0))*INDEX(I183:$AJ193,MATCH(MIN($AK183:$AK193),$AK183:$AK193,0),1)/INDEX($C183:$AJ193,MATCH(MIN($AK183:$AK193),$AK183:$AK193,0),MATCH(IF('Data-solution'!$A$3="Maximize",MAX($C194:$AI194),MIN($C194:$AI194)),$C194:$AI194,0))),I190)</f>
        <v>0</v>
      </c>
      <c r="J205" s="1">
        <f>IF(OR($B198&lt;&gt;$B183,$B199&lt;&gt;$B184,$B200&lt;&gt;$B185,$B201&lt;&gt;$B186,$B202&lt;&gt;$B187,$B203&lt;&gt;$B188,$B204&lt;&gt;$B189,$B205&lt;&gt;$B190,$B206&lt;&gt;$B191,$B207&lt;&gt;$B192,$B208&lt;&gt;$B193),IF($B205&lt;&gt;$B190,J190/INDEX($C183:$AJ193,8,MATCH(IF('Data-solution'!$A$3="Maximize",MAX($C194:$AI194),MIN($C194:$AI194)),$C194:$AI194,0)),J190-INDEX($C183:$AJ193,8,MATCH(IF('Data-solution'!$A$3="Maximize",MAX($C194:$AI194),MIN($C194:$AI194)),$C194:$AI194,0))*INDEX(J183:$AJ193,MATCH(MIN($AK183:$AK193),$AK183:$AK193,0),1)/INDEX($C183:$AJ193,MATCH(MIN($AK183:$AK193),$AK183:$AK193,0),MATCH(IF('Data-solution'!$A$3="Maximize",MAX($C194:$AI194),MIN($C194:$AI194)),$C194:$AI194,0))),J190)</f>
        <v>0</v>
      </c>
      <c r="K205" s="1">
        <f>IF(OR($B198&lt;&gt;$B183,$B199&lt;&gt;$B184,$B200&lt;&gt;$B185,$B201&lt;&gt;$B186,$B202&lt;&gt;$B187,$B203&lt;&gt;$B188,$B204&lt;&gt;$B189,$B205&lt;&gt;$B190,$B206&lt;&gt;$B191,$B207&lt;&gt;$B192,$B208&lt;&gt;$B193),IF($B205&lt;&gt;$B190,K190/INDEX($C183:$AJ193,8,MATCH(IF('Data-solution'!$A$3="Maximize",MAX($C194:$AI194),MIN($C194:$AI194)),$C194:$AI194,0)),K190-INDEX($C183:$AJ193,8,MATCH(IF('Data-solution'!$A$3="Maximize",MAX($C194:$AI194),MIN($C194:$AI194)),$C194:$AI194,0))*INDEX(K183:$AJ193,MATCH(MIN($AK183:$AK193),$AK183:$AK193,0),1)/INDEX($C183:$AJ193,MATCH(MIN($AK183:$AK193),$AK183:$AK193,0),MATCH(IF('Data-solution'!$A$3="Maximize",MAX($C194:$AI194),MIN($C194:$AI194)),$C194:$AI194,0))),K190)</f>
        <v>0</v>
      </c>
      <c r="L205" s="1">
        <f>IF(OR($B198&lt;&gt;$B183,$B199&lt;&gt;$B184,$B200&lt;&gt;$B185,$B201&lt;&gt;$B186,$B202&lt;&gt;$B187,$B203&lt;&gt;$B188,$B204&lt;&gt;$B189,$B205&lt;&gt;$B190,$B206&lt;&gt;$B191,$B207&lt;&gt;$B192,$B208&lt;&gt;$B193),IF($B205&lt;&gt;$B190,L190/INDEX($C183:$AJ193,8,MATCH(IF('Data-solution'!$A$3="Maximize",MAX($C194:$AI194),MIN($C194:$AI194)),$C194:$AI194,0)),L190-INDEX($C183:$AJ193,8,MATCH(IF('Data-solution'!$A$3="Maximize",MAX($C194:$AI194),MIN($C194:$AI194)),$C194:$AI194,0))*INDEX(L183:$AJ193,MATCH(MIN($AK183:$AK193),$AK183:$AK193,0),1)/INDEX($C183:$AJ193,MATCH(MIN($AK183:$AK193),$AK183:$AK193,0),MATCH(IF('Data-solution'!$A$3="Maximize",MAX($C194:$AI194),MIN($C194:$AI194)),$C194:$AI194,0))),L190)</f>
        <v>0</v>
      </c>
      <c r="M205" s="1">
        <f>IF(OR($B198&lt;&gt;$B183,$B199&lt;&gt;$B184,$B200&lt;&gt;$B185,$B201&lt;&gt;$B186,$B202&lt;&gt;$B187,$B203&lt;&gt;$B188,$B204&lt;&gt;$B189,$B205&lt;&gt;$B190,$B206&lt;&gt;$B191,$B207&lt;&gt;$B192,$B208&lt;&gt;$B193),IF($B205&lt;&gt;$B190,M190/INDEX($C183:$AJ193,8,MATCH(IF('Data-solution'!$A$3="Maximize",MAX($C194:$AI194),MIN($C194:$AI194)),$C194:$AI194,0)),M190-INDEX($C183:$AJ193,8,MATCH(IF('Data-solution'!$A$3="Maximize",MAX($C194:$AI194),MIN($C194:$AI194)),$C194:$AI194,0))*INDEX(M183:$AJ193,MATCH(MIN($AK183:$AK193),$AK183:$AK193,0),1)/INDEX($C183:$AJ193,MATCH(MIN($AK183:$AK193),$AK183:$AK193,0),MATCH(IF('Data-solution'!$A$3="Maximize",MAX($C194:$AI194),MIN($C194:$AI194)),$C194:$AI194,0))),M190)</f>
        <v>0</v>
      </c>
      <c r="N205" s="1">
        <f>IF(OR($B198&lt;&gt;$B183,$B199&lt;&gt;$B184,$B200&lt;&gt;$B185,$B201&lt;&gt;$B186,$B202&lt;&gt;$B187,$B203&lt;&gt;$B188,$B204&lt;&gt;$B189,$B205&lt;&gt;$B190,$B206&lt;&gt;$B191,$B207&lt;&gt;$B192,$B208&lt;&gt;$B193),IF($B205&lt;&gt;$B190,N190/INDEX($C183:$AJ193,8,MATCH(IF('Data-solution'!$A$3="Maximize",MAX($C194:$AI194),MIN($C194:$AI194)),$C194:$AI194,0)),N190-INDEX($C183:$AJ193,8,MATCH(IF('Data-solution'!$A$3="Maximize",MAX($C194:$AI194),MIN($C194:$AI194)),$C194:$AI194,0))*INDEX(N183:$AJ193,MATCH(MIN($AK183:$AK193),$AK183:$AK193,0),1)/INDEX($C183:$AJ193,MATCH(MIN($AK183:$AK193),$AK183:$AK193,0),MATCH(IF('Data-solution'!$A$3="Maximize",MAX($C194:$AI194),MIN($C194:$AI194)),$C194:$AI194,0))),N190)</f>
        <v>0</v>
      </c>
      <c r="O205" s="1">
        <f>IF(OR($B198&lt;&gt;$B183,$B199&lt;&gt;$B184,$B200&lt;&gt;$B185,$B201&lt;&gt;$B186,$B202&lt;&gt;$B187,$B203&lt;&gt;$B188,$B204&lt;&gt;$B189,$B205&lt;&gt;$B190,$B206&lt;&gt;$B191,$B207&lt;&gt;$B192,$B208&lt;&gt;$B193),IF($B205&lt;&gt;$B190,O190/INDEX($C183:$AJ193,8,MATCH(IF('Data-solution'!$A$3="Maximize",MAX($C194:$AI194),MIN($C194:$AI194)),$C194:$AI194,0)),O190-INDEX($C183:$AJ193,8,MATCH(IF('Data-solution'!$A$3="Maximize",MAX($C194:$AI194),MIN($C194:$AI194)),$C194:$AI194,0))*INDEX(O183:$AJ193,MATCH(MIN($AK183:$AK193),$AK183:$AK193,0),1)/INDEX($C183:$AJ193,MATCH(MIN($AK183:$AK193),$AK183:$AK193,0),MATCH(IF('Data-solution'!$A$3="Maximize",MAX($C194:$AI194),MIN($C194:$AI194)),$C194:$AI194,0))),O190)</f>
        <v>0</v>
      </c>
      <c r="P205" s="1">
        <f>IF(OR($B198&lt;&gt;$B183,$B199&lt;&gt;$B184,$B200&lt;&gt;$B185,$B201&lt;&gt;$B186,$B202&lt;&gt;$B187,$B203&lt;&gt;$B188,$B204&lt;&gt;$B189,$B205&lt;&gt;$B190,$B206&lt;&gt;$B191,$B207&lt;&gt;$B192,$B208&lt;&gt;$B193),IF($B205&lt;&gt;$B190,P190/INDEX($C183:$AJ193,8,MATCH(IF('Data-solution'!$A$3="Maximize",MAX($C194:$AI194),MIN($C194:$AI194)),$C194:$AI194,0)),P190-INDEX($C183:$AJ193,8,MATCH(IF('Data-solution'!$A$3="Maximize",MAX($C194:$AI194),MIN($C194:$AI194)),$C194:$AI194,0))*INDEX(P183:$AJ193,MATCH(MIN($AK183:$AK193),$AK183:$AK193,0),1)/INDEX($C183:$AJ193,MATCH(MIN($AK183:$AK193),$AK183:$AK193,0),MATCH(IF('Data-solution'!$A$3="Maximize",MAX($C194:$AI194),MIN($C194:$AI194)),$C194:$AI194,0))),P190)</f>
        <v>0</v>
      </c>
      <c r="Q205" s="1">
        <f>IF(OR($B198&lt;&gt;$B183,$B199&lt;&gt;$B184,$B200&lt;&gt;$B185,$B201&lt;&gt;$B186,$B202&lt;&gt;$B187,$B203&lt;&gt;$B188,$B204&lt;&gt;$B189,$B205&lt;&gt;$B190,$B206&lt;&gt;$B191,$B207&lt;&gt;$B192,$B208&lt;&gt;$B193),IF($B205&lt;&gt;$B190,Q190/INDEX($C183:$AJ193,8,MATCH(IF('Data-solution'!$A$3="Maximize",MAX($C194:$AI194),MIN($C194:$AI194)),$C194:$AI194,0)),Q190-INDEX($C183:$AJ193,8,MATCH(IF('Data-solution'!$A$3="Maximize",MAX($C194:$AI194),MIN($C194:$AI194)),$C194:$AI194,0))*INDEX(Q183:$AJ193,MATCH(MIN($AK183:$AK193),$AK183:$AK193,0),1)/INDEX($C183:$AJ193,MATCH(MIN($AK183:$AK193),$AK183:$AK193,0),MATCH(IF('Data-solution'!$A$3="Maximize",MAX($C194:$AI194),MIN($C194:$AI194)),$C194:$AI194,0))),Q190)</f>
        <v>0</v>
      </c>
      <c r="R205" s="1">
        <f>IF(OR($B198&lt;&gt;$B183,$B199&lt;&gt;$B184,$B200&lt;&gt;$B185,$B201&lt;&gt;$B186,$B202&lt;&gt;$B187,$B203&lt;&gt;$B188,$B204&lt;&gt;$B189,$B205&lt;&gt;$B190,$B206&lt;&gt;$B191,$B207&lt;&gt;$B192,$B208&lt;&gt;$B193),IF($B205&lt;&gt;$B190,R190/INDEX($C183:$AJ193,8,MATCH(IF('Data-solution'!$A$3="Maximize",MAX($C194:$AI194),MIN($C194:$AI194)),$C194:$AI194,0)),R190-INDEX($C183:$AJ193,8,MATCH(IF('Data-solution'!$A$3="Maximize",MAX($C194:$AI194),MIN($C194:$AI194)),$C194:$AI194,0))*INDEX(R183:$AJ193,MATCH(MIN($AK183:$AK193),$AK183:$AK193,0),1)/INDEX($C183:$AJ193,MATCH(MIN($AK183:$AK193),$AK183:$AK193,0),MATCH(IF('Data-solution'!$A$3="Maximize",MAX($C194:$AI194),MIN($C194:$AI194)),$C194:$AI194,0))),R190)</f>
        <v>0</v>
      </c>
      <c r="S205" s="1">
        <f>IF(OR($B198&lt;&gt;$B183,$B199&lt;&gt;$B184,$B200&lt;&gt;$B185,$B201&lt;&gt;$B186,$B202&lt;&gt;$B187,$B203&lt;&gt;$B188,$B204&lt;&gt;$B189,$B205&lt;&gt;$B190,$B206&lt;&gt;$B191,$B207&lt;&gt;$B192,$B208&lt;&gt;$B193),IF($B205&lt;&gt;$B190,S190/INDEX($C183:$AJ193,8,MATCH(IF('Data-solution'!$A$3="Maximize",MAX($C194:$AI194),MIN($C194:$AI194)),$C194:$AI194,0)),S190-INDEX($C183:$AJ193,8,MATCH(IF('Data-solution'!$A$3="Maximize",MAX($C194:$AI194),MIN($C194:$AI194)),$C194:$AI194,0))*INDEX(S183:$AJ193,MATCH(MIN($AK183:$AK193),$AK183:$AK193,0),1)/INDEX($C183:$AJ193,MATCH(MIN($AK183:$AK193),$AK183:$AK193,0),MATCH(IF('Data-solution'!$A$3="Maximize",MAX($C194:$AI194),MIN($C194:$AI194)),$C194:$AI194,0))),S190)</f>
        <v>0</v>
      </c>
      <c r="T205" s="1">
        <f>IF(OR($B198&lt;&gt;$B183,$B199&lt;&gt;$B184,$B200&lt;&gt;$B185,$B201&lt;&gt;$B186,$B202&lt;&gt;$B187,$B203&lt;&gt;$B188,$B204&lt;&gt;$B189,$B205&lt;&gt;$B190,$B206&lt;&gt;$B191,$B207&lt;&gt;$B192,$B208&lt;&gt;$B193),IF($B205&lt;&gt;$B190,T190/INDEX($C183:$AJ193,8,MATCH(IF('Data-solution'!$A$3="Maximize",MAX($C194:$AI194),MIN($C194:$AI194)),$C194:$AI194,0)),T190-INDEX($C183:$AJ193,8,MATCH(IF('Data-solution'!$A$3="Maximize",MAX($C194:$AI194),MIN($C194:$AI194)),$C194:$AI194,0))*INDEX(T183:$AJ193,MATCH(MIN($AK183:$AK193),$AK183:$AK193,0),1)/INDEX($C183:$AJ193,MATCH(MIN($AK183:$AK193),$AK183:$AK193,0),MATCH(IF('Data-solution'!$A$3="Maximize",MAX($C194:$AI194),MIN($C194:$AI194)),$C194:$AI194,0))),T190)</f>
        <v>0</v>
      </c>
      <c r="U205" s="1">
        <f>IF(OR($B198&lt;&gt;$B183,$B199&lt;&gt;$B184,$B200&lt;&gt;$B185,$B201&lt;&gt;$B186,$B202&lt;&gt;$B187,$B203&lt;&gt;$B188,$B204&lt;&gt;$B189,$B205&lt;&gt;$B190,$B206&lt;&gt;$B191,$B207&lt;&gt;$B192,$B208&lt;&gt;$B193),IF($B205&lt;&gt;$B190,U190/INDEX($C183:$AJ193,8,MATCH(IF('Data-solution'!$A$3="Maximize",MAX($C194:$AI194),MIN($C194:$AI194)),$C194:$AI194,0)),U190-INDEX($C183:$AJ193,8,MATCH(IF('Data-solution'!$A$3="Maximize",MAX($C194:$AI194),MIN($C194:$AI194)),$C194:$AI194,0))*INDEX(U183:$AJ193,MATCH(MIN($AK183:$AK193),$AK183:$AK193,0),1)/INDEX($C183:$AJ193,MATCH(MIN($AK183:$AK193),$AK183:$AK193,0),MATCH(IF('Data-solution'!$A$3="Maximize",MAX($C194:$AI194),MIN($C194:$AI194)),$C194:$AI194,0))),U190)</f>
        <v>1</v>
      </c>
      <c r="V205" s="1">
        <f>IF(OR($B198&lt;&gt;$B183,$B199&lt;&gt;$B184,$B200&lt;&gt;$B185,$B201&lt;&gt;$B186,$B202&lt;&gt;$B187,$B203&lt;&gt;$B188,$B204&lt;&gt;$B189,$B205&lt;&gt;$B190,$B206&lt;&gt;$B191,$B207&lt;&gt;$B192,$B208&lt;&gt;$B193),IF($B205&lt;&gt;$B190,V190/INDEX($C183:$AJ193,8,MATCH(IF('Data-solution'!$A$3="Maximize",MAX($C194:$AI194),MIN($C194:$AI194)),$C194:$AI194,0)),V190-INDEX($C183:$AJ193,8,MATCH(IF('Data-solution'!$A$3="Maximize",MAX($C194:$AI194),MIN($C194:$AI194)),$C194:$AI194,0))*INDEX(V183:$AJ193,MATCH(MIN($AK183:$AK193),$AK183:$AK193,0),1)/INDEX($C183:$AJ193,MATCH(MIN($AK183:$AK193),$AK183:$AK193,0),MATCH(IF('Data-solution'!$A$3="Maximize",MAX($C194:$AI194),MIN($C194:$AI194)),$C194:$AI194,0))),V190)</f>
        <v>0</v>
      </c>
      <c r="W205" s="1">
        <f>IF(OR($B198&lt;&gt;$B183,$B199&lt;&gt;$B184,$B200&lt;&gt;$B185,$B201&lt;&gt;$B186,$B202&lt;&gt;$B187,$B203&lt;&gt;$B188,$B204&lt;&gt;$B189,$B205&lt;&gt;$B190,$B206&lt;&gt;$B191,$B207&lt;&gt;$B192,$B208&lt;&gt;$B193),IF($B205&lt;&gt;$B190,W190/INDEX($C183:$AJ193,8,MATCH(IF('Data-solution'!$A$3="Maximize",MAX($C194:$AI194),MIN($C194:$AI194)),$C194:$AI194,0)),W190-INDEX($C183:$AJ193,8,MATCH(IF('Data-solution'!$A$3="Maximize",MAX($C194:$AI194),MIN($C194:$AI194)),$C194:$AI194,0))*INDEX(W183:$AJ193,MATCH(MIN($AK183:$AK193),$AK183:$AK193,0),1)/INDEX($C183:$AJ193,MATCH(MIN($AK183:$AK193),$AK183:$AK193,0),MATCH(IF('Data-solution'!$A$3="Maximize",MAX($C194:$AI194),MIN($C194:$AI194)),$C194:$AI194,0))),W190)</f>
        <v>0</v>
      </c>
      <c r="X205" s="1">
        <f>IF(OR($B198&lt;&gt;$B183,$B199&lt;&gt;$B184,$B200&lt;&gt;$B185,$B201&lt;&gt;$B186,$B202&lt;&gt;$B187,$B203&lt;&gt;$B188,$B204&lt;&gt;$B189,$B205&lt;&gt;$B190,$B206&lt;&gt;$B191,$B207&lt;&gt;$B192,$B208&lt;&gt;$B193),IF($B205&lt;&gt;$B190,X190/INDEX($C183:$AJ193,8,MATCH(IF('Data-solution'!$A$3="Maximize",MAX($C194:$AI194),MIN($C194:$AI194)),$C194:$AI194,0)),X190-INDEX($C183:$AJ193,8,MATCH(IF('Data-solution'!$A$3="Maximize",MAX($C194:$AI194),MIN($C194:$AI194)),$C194:$AI194,0))*INDEX(X183:$AJ193,MATCH(MIN($AK183:$AK193),$AK183:$AK193,0),1)/INDEX($C183:$AJ193,MATCH(MIN($AK183:$AK193),$AK183:$AK193,0),MATCH(IF('Data-solution'!$A$3="Maximize",MAX($C194:$AI194),MIN($C194:$AI194)),$C194:$AI194,0))),X190)</f>
        <v>0</v>
      </c>
      <c r="Y205" s="1">
        <f>IF(OR($B198&lt;&gt;$B183,$B199&lt;&gt;$B184,$B200&lt;&gt;$B185,$B201&lt;&gt;$B186,$B202&lt;&gt;$B187,$B203&lt;&gt;$B188,$B204&lt;&gt;$B189,$B205&lt;&gt;$B190,$B206&lt;&gt;$B191,$B207&lt;&gt;$B192,$B208&lt;&gt;$B193),IF($B205&lt;&gt;$B190,Y190/INDEX($C183:$AJ193,8,MATCH(IF('Data-solution'!$A$3="Maximize",MAX($C194:$AI194),MIN($C194:$AI194)),$C194:$AI194,0)),Y190-INDEX($C183:$AJ193,8,MATCH(IF('Data-solution'!$A$3="Maximize",MAX($C194:$AI194),MIN($C194:$AI194)),$C194:$AI194,0))*INDEX(Y183:$AJ193,MATCH(MIN($AK183:$AK193),$AK183:$AK193,0),1)/INDEX($C183:$AJ193,MATCH(MIN($AK183:$AK193),$AK183:$AK193,0),MATCH(IF('Data-solution'!$A$3="Maximize",MAX($C194:$AI194),MIN($C194:$AI194)),$C194:$AI194,0))),Y190)</f>
        <v>0</v>
      </c>
      <c r="Z205" s="1">
        <f>IF(OR($B198&lt;&gt;$B183,$B199&lt;&gt;$B184,$B200&lt;&gt;$B185,$B201&lt;&gt;$B186,$B202&lt;&gt;$B187,$B203&lt;&gt;$B188,$B204&lt;&gt;$B189,$B205&lt;&gt;$B190,$B206&lt;&gt;$B191,$B207&lt;&gt;$B192,$B208&lt;&gt;$B193),IF($B205&lt;&gt;$B190,Z190/INDEX($C183:$AJ193,8,MATCH(IF('Data-solution'!$A$3="Maximize",MAX($C194:$AI194),MIN($C194:$AI194)),$C194:$AI194,0)),Z190-INDEX($C183:$AJ193,8,MATCH(IF('Data-solution'!$A$3="Maximize",MAX($C194:$AI194),MIN($C194:$AI194)),$C194:$AI194,0))*INDEX(Z183:$AJ193,MATCH(MIN($AK183:$AK193),$AK183:$AK193,0),1)/INDEX($C183:$AJ193,MATCH(MIN($AK183:$AK193),$AK183:$AK193,0),MATCH(IF('Data-solution'!$A$3="Maximize",MAX($C194:$AI194),MIN($C194:$AI194)),$C194:$AI194,0))),Z190)</f>
        <v>0</v>
      </c>
      <c r="AA205" s="1">
        <f>IF(OR($B198&lt;&gt;$B183,$B199&lt;&gt;$B184,$B200&lt;&gt;$B185,$B201&lt;&gt;$B186,$B202&lt;&gt;$B187,$B203&lt;&gt;$B188,$B204&lt;&gt;$B189,$B205&lt;&gt;$B190,$B206&lt;&gt;$B191,$B207&lt;&gt;$B192,$B208&lt;&gt;$B193),IF($B205&lt;&gt;$B190,AA190/INDEX($C183:$AJ193,8,MATCH(IF('Data-solution'!$A$3="Maximize",MAX($C194:$AI194),MIN($C194:$AI194)),$C194:$AI194,0)),AA190-INDEX($C183:$AJ193,8,MATCH(IF('Data-solution'!$A$3="Maximize",MAX($C194:$AI194),MIN($C194:$AI194)),$C194:$AI194,0))*INDEX(AA183:$AJ193,MATCH(MIN($AK183:$AK193),$AK183:$AK193,0),1)/INDEX($C183:$AJ193,MATCH(MIN($AK183:$AK193),$AK183:$AK193,0),MATCH(IF('Data-solution'!$A$3="Maximize",MAX($C194:$AI194),MIN($C194:$AI194)),$C194:$AI194,0))),AA190)</f>
        <v>0</v>
      </c>
      <c r="AB205" s="1">
        <f>IF(OR($B198&lt;&gt;$B183,$B199&lt;&gt;$B184,$B200&lt;&gt;$B185,$B201&lt;&gt;$B186,$B202&lt;&gt;$B187,$B203&lt;&gt;$B188,$B204&lt;&gt;$B189,$B205&lt;&gt;$B190,$B206&lt;&gt;$B191,$B207&lt;&gt;$B192,$B208&lt;&gt;$B193),IF($B205&lt;&gt;$B190,AB190/INDEX($C183:$AJ193,8,MATCH(IF('Data-solution'!$A$3="Maximize",MAX($C194:$AI194),MIN($C194:$AI194)),$C194:$AI194,0)),AB190-INDEX($C183:$AJ193,8,MATCH(IF('Data-solution'!$A$3="Maximize",MAX($C194:$AI194),MIN($C194:$AI194)),$C194:$AI194,0))*INDEX(AB183:$AJ193,MATCH(MIN($AK183:$AK193),$AK183:$AK193,0),1)/INDEX($C183:$AJ193,MATCH(MIN($AK183:$AK193),$AK183:$AK193,0),MATCH(IF('Data-solution'!$A$3="Maximize",MAX($C194:$AI194),MIN($C194:$AI194)),$C194:$AI194,0))),AB190)</f>
        <v>0</v>
      </c>
      <c r="AC205" s="1">
        <f>IF(OR($B198&lt;&gt;$B183,$B199&lt;&gt;$B184,$B200&lt;&gt;$B185,$B201&lt;&gt;$B186,$B202&lt;&gt;$B187,$B203&lt;&gt;$B188,$B204&lt;&gt;$B189,$B205&lt;&gt;$B190,$B206&lt;&gt;$B191,$B207&lt;&gt;$B192,$B208&lt;&gt;$B193),IF($B205&lt;&gt;$B190,AC190/INDEX($C183:$AJ193,8,MATCH(IF('Data-solution'!$A$3="Maximize",MAX($C194:$AI194),MIN($C194:$AI194)),$C194:$AI194,0)),AC190-INDEX($C183:$AJ193,8,MATCH(IF('Data-solution'!$A$3="Maximize",MAX($C194:$AI194),MIN($C194:$AI194)),$C194:$AI194,0))*INDEX(AC183:$AJ193,MATCH(MIN($AK183:$AK193),$AK183:$AK193,0),1)/INDEX($C183:$AJ193,MATCH(MIN($AK183:$AK193),$AK183:$AK193,0),MATCH(IF('Data-solution'!$A$3="Maximize",MAX($C194:$AI194),MIN($C194:$AI194)),$C194:$AI194,0))),AC190)</f>
        <v>0</v>
      </c>
      <c r="AD205" s="1">
        <f>IF(OR($B198&lt;&gt;$B183,$B199&lt;&gt;$B184,$B200&lt;&gt;$B185,$B201&lt;&gt;$B186,$B202&lt;&gt;$B187,$B203&lt;&gt;$B188,$B204&lt;&gt;$B189,$B205&lt;&gt;$B190,$B206&lt;&gt;$B191,$B207&lt;&gt;$B192,$B208&lt;&gt;$B193),IF($B205&lt;&gt;$B190,AD190/INDEX($C183:$AJ193,8,MATCH(IF('Data-solution'!$A$3="Maximize",MAX($C194:$AI194),MIN($C194:$AI194)),$C194:$AI194,0)),AD190-INDEX($C183:$AJ193,8,MATCH(IF('Data-solution'!$A$3="Maximize",MAX($C194:$AI194),MIN($C194:$AI194)),$C194:$AI194,0))*INDEX(AD183:$AJ193,MATCH(MIN($AK183:$AK193),$AK183:$AK193,0),1)/INDEX($C183:$AJ193,MATCH(MIN($AK183:$AK193),$AK183:$AK193,0),MATCH(IF('Data-solution'!$A$3="Maximize",MAX($C194:$AI194),MIN($C194:$AI194)),$C194:$AI194,0))),AD190)</f>
        <v>0</v>
      </c>
      <c r="AE205" s="1">
        <f>IF(OR($B198&lt;&gt;$B183,$B199&lt;&gt;$B184,$B200&lt;&gt;$B185,$B201&lt;&gt;$B186,$B202&lt;&gt;$B187,$B203&lt;&gt;$B188,$B204&lt;&gt;$B189,$B205&lt;&gt;$B190,$B206&lt;&gt;$B191,$B207&lt;&gt;$B192,$B208&lt;&gt;$B193),IF($B205&lt;&gt;$B190,AE190/INDEX($C183:$AJ193,8,MATCH(IF('Data-solution'!$A$3="Maximize",MAX($C194:$AI194),MIN($C194:$AI194)),$C194:$AI194,0)),AE190-INDEX($C183:$AJ193,8,MATCH(IF('Data-solution'!$A$3="Maximize",MAX($C194:$AI194),MIN($C194:$AI194)),$C194:$AI194,0))*INDEX(AE183:$AJ193,MATCH(MIN($AK183:$AK193),$AK183:$AK193,0),1)/INDEX($C183:$AJ193,MATCH(MIN($AK183:$AK193),$AK183:$AK193,0),MATCH(IF('Data-solution'!$A$3="Maximize",MAX($C194:$AI194),MIN($C194:$AI194)),$C194:$AI194,0))),AE190)</f>
        <v>0</v>
      </c>
      <c r="AF205" s="1">
        <f>IF(OR($B198&lt;&gt;$B183,$B199&lt;&gt;$B184,$B200&lt;&gt;$B185,$B201&lt;&gt;$B186,$B202&lt;&gt;$B187,$B203&lt;&gt;$B188,$B204&lt;&gt;$B189,$B205&lt;&gt;$B190,$B206&lt;&gt;$B191,$B207&lt;&gt;$B192,$B208&lt;&gt;$B193),IF($B205&lt;&gt;$B190,AF190/INDEX($C183:$AJ193,8,MATCH(IF('Data-solution'!$A$3="Maximize",MAX($C194:$AI194),MIN($C194:$AI194)),$C194:$AI194,0)),AF190-INDEX($C183:$AJ193,8,MATCH(IF('Data-solution'!$A$3="Maximize",MAX($C194:$AI194),MIN($C194:$AI194)),$C194:$AI194,0))*INDEX(AF183:$AJ193,MATCH(MIN($AK183:$AK193),$AK183:$AK193,0),1)/INDEX($C183:$AJ193,MATCH(MIN($AK183:$AK193),$AK183:$AK193,0),MATCH(IF('Data-solution'!$A$3="Maximize",MAX($C194:$AI194),MIN($C194:$AI194)),$C194:$AI194,0))),AF190)</f>
        <v>1</v>
      </c>
      <c r="AG205" s="1">
        <f>IF(OR($B198&lt;&gt;$B183,$B199&lt;&gt;$B184,$B200&lt;&gt;$B185,$B201&lt;&gt;$B186,$B202&lt;&gt;$B187,$B203&lt;&gt;$B188,$B204&lt;&gt;$B189,$B205&lt;&gt;$B190,$B206&lt;&gt;$B191,$B207&lt;&gt;$B192,$B208&lt;&gt;$B193),IF($B205&lt;&gt;$B190,AG190/INDEX($C183:$AJ193,8,MATCH(IF('Data-solution'!$A$3="Maximize",MAX($C194:$AI194),MIN($C194:$AI194)),$C194:$AI194,0)),AG190-INDEX($C183:$AJ193,8,MATCH(IF('Data-solution'!$A$3="Maximize",MAX($C194:$AI194),MIN($C194:$AI194)),$C194:$AI194,0))*INDEX(AG183:$AJ193,MATCH(MIN($AK183:$AK193),$AK183:$AK193,0),1)/INDEX($C183:$AJ193,MATCH(MIN($AK183:$AK193),$AK183:$AK193,0),MATCH(IF('Data-solution'!$A$3="Maximize",MAX($C194:$AI194),MIN($C194:$AI194)),$C194:$AI194,0))),AG190)</f>
        <v>0</v>
      </c>
      <c r="AH205" s="1">
        <f>IF(OR($B198&lt;&gt;$B183,$B199&lt;&gt;$B184,$B200&lt;&gt;$B185,$B201&lt;&gt;$B186,$B202&lt;&gt;$B187,$B203&lt;&gt;$B188,$B204&lt;&gt;$B189,$B205&lt;&gt;$B190,$B206&lt;&gt;$B191,$B207&lt;&gt;$B192,$B208&lt;&gt;$B193),IF($B205&lt;&gt;$B190,AH190/INDEX($C183:$AJ193,8,MATCH(IF('Data-solution'!$A$3="Maximize",MAX($C194:$AI194),MIN($C194:$AI194)),$C194:$AI194,0)),AH190-INDEX($C183:$AJ193,8,MATCH(IF('Data-solution'!$A$3="Maximize",MAX($C194:$AI194),MIN($C194:$AI194)),$C194:$AI194,0))*INDEX(AH183:$AJ193,MATCH(MIN($AK183:$AK193),$AK183:$AK193,0),1)/INDEX($C183:$AJ193,MATCH(MIN($AK183:$AK193),$AK183:$AK193,0),MATCH(IF('Data-solution'!$A$3="Maximize",MAX($C194:$AI194),MIN($C194:$AI194)),$C194:$AI194,0))),AH190)</f>
        <v>0</v>
      </c>
      <c r="AI205" s="1">
        <f>IF(OR($B198&lt;&gt;$B183,$B199&lt;&gt;$B184,$B200&lt;&gt;$B185,$B201&lt;&gt;$B186,$B202&lt;&gt;$B187,$B203&lt;&gt;$B188,$B204&lt;&gt;$B189,$B205&lt;&gt;$B190,$B206&lt;&gt;$B191,$B207&lt;&gt;$B192,$B208&lt;&gt;$B193),IF($B205&lt;&gt;$B190,AI190/INDEX($C183:$AJ193,8,MATCH(IF('Data-solution'!$A$3="Maximize",MAX($C194:$AI194),MIN($C194:$AI194)),$C194:$AI194,0)),AI190-INDEX($C183:$AJ193,8,MATCH(IF('Data-solution'!$A$3="Maximize",MAX($C194:$AI194),MIN($C194:$AI194)),$C194:$AI194,0))*INDEX(AI183:$AJ193,MATCH(MIN($AK183:$AK193),$AK183:$AK193,0),1)/INDEX($C183:$AJ193,MATCH(MIN($AK183:$AK193),$AK183:$AK193,0),MATCH(IF('Data-solution'!$A$3="Maximize",MAX($C194:$AI194),MIN($C194:$AI194)),$C194:$AI194,0))),AI190)</f>
        <v>0</v>
      </c>
      <c r="AJ205" s="1">
        <f>IF(OR($B198&lt;&gt;$B183,$B199&lt;&gt;$B184,$B200&lt;&gt;$B185,$B201&lt;&gt;$B186,$B202&lt;&gt;$B187,$B203&lt;&gt;$B188,$B204&lt;&gt;$B189,$B205&lt;&gt;$B190,$B206&lt;&gt;$B191,$B207&lt;&gt;$B192,$B208&lt;&gt;$B193),IF($B205&lt;&gt;$B190,AJ190/INDEX($C183:$AJ193,8,MATCH(IF('Data-solution'!$A$3="Maximize",MAX($C194:$AI194),MIN($C194:$AI194)),$C194:$AI194,0)),AJ190-INDEX($C183:$AJ193,8,MATCH(IF('Data-solution'!$A$3="Maximize",MAX($C194:$AI194),MIN($C194:$AI194)),$C194:$AI194,0))*INDEX(AJ183:$AJ193,MATCH(MIN($AK183:$AK193),$AK183:$AK193,0),1)/INDEX($C183:$AJ193,MATCH(MIN($AK183:$AK193),$AK183:$AK193,0),MATCH(IF('Data-solution'!$A$3="Maximize",MAX($C194:$AI194),MIN($C194:$AI194)),$C194:$AI194,0))),AJ190)</f>
        <v>0</v>
      </c>
      <c r="AK205" s="1" t="str">
        <f>IF(INDEX(C205:X205,1,MATCH(IF('Data-solution'!A$3="Maximize",MAX(C209:X209),MIN(C209:X209)),C209:X209,0))&gt;0,AJ205/INDEX(C205:X205,1,MATCH(IF('Data-solution'!A$3="Maximize",MAX(C209:X209),MIN(C209:X209)),C209:X209,0))," ")</f>
        <v xml:space="preserve"> </v>
      </c>
    </row>
    <row r="206" spans="1:37" ht="18" customHeight="1" x14ac:dyDescent="0.2">
      <c r="A206" s="1">
        <f t="shared" ref="A206" si="178">INDEX(C196:AI196,1,MATCH(B206,C197:AI197,0))</f>
        <v>0</v>
      </c>
      <c r="B206" s="2" t="str">
        <f>IF(AND('Data-solution'!A$3="Maximize",COUNTIF(C194:X194,"&gt;"&amp;0)&gt;0,AK191=MIN(AK183:AK193),COUNTIF(B198:B205,INDEX(C182:X182,1,MATCH(MAX(C194:X194),C194:X194,0)))=0),INDEX(C182:X182,1,MATCH(MAX(C194:X194),C194:X194,0)),IF(AND('Data-solution'!A$3="Minimize",COUNTIF(C194:X194,"&lt;"&amp;0)&gt;0,AK191=MIN(AK183:AK193),COUNTIF(B198:B205,INDEX(C182:X182,1,MATCH(MIN(C194:X194),C194:X194,0)))=0),INDEX(C182:X182,1,MATCH(MIN(C194:X194),C194:X194,0)),B191))</f>
        <v>S9</v>
      </c>
      <c r="C206" s="1">
        <f>IF(OR($B198&lt;&gt;$B183,$B199&lt;&gt;$B184,$B200&lt;&gt;$B185,$B201&lt;&gt;$B186,$B202&lt;&gt;$B187,$B203&lt;&gt;$B188,$B204&lt;&gt;$B189,$B205&lt;&gt;$B190,$B206&lt;&gt;$B191,$B207&lt;&gt;$B192,$B208&lt;&gt;$B193),IF($B206&lt;&gt;$B191,C191/INDEX($C183:$AJ193,9,MATCH(IF('Data-solution'!$A$3="Maximize",MAX($C194:$AI194),MIN($C194:$AI194)),$C194:$AI194,0)),C191-INDEX($C183:$AJ193,9,MATCH(IF('Data-solution'!$A$3="Maximize",MAX($C194:$AI194),MIN($C194:$AI194)),$C194:$AI194,0))*INDEX(C183:$AJ193,MATCH(MIN($AK183:$AK193),$AK183:$AK193,0),1)/INDEX($C183:$AJ193,MATCH(MIN($AK183:$AK193),$AK183:$AK193,0),MATCH(IF('Data-solution'!$A$3="Maximize",MAX($C194:$AI194),MIN($C194:$AI194)),$C194:$AI194,0))),C191)</f>
        <v>0</v>
      </c>
      <c r="D206" s="1">
        <f>IF(OR($B198&lt;&gt;$B183,$B199&lt;&gt;$B184,$B200&lt;&gt;$B185,$B201&lt;&gt;$B186,$B202&lt;&gt;$B187,$B203&lt;&gt;$B188,$B204&lt;&gt;$B189,$B205&lt;&gt;$B190,$B206&lt;&gt;$B191,$B207&lt;&gt;$B192,$B208&lt;&gt;$B193),IF($B206&lt;&gt;$B191,D191/INDEX($C183:$AJ193,9,MATCH(IF('Data-solution'!$A$3="Maximize",MAX($C194:$AI194),MIN($C194:$AI194)),$C194:$AI194,0)),D191-INDEX($C183:$AJ193,9,MATCH(IF('Data-solution'!$A$3="Maximize",MAX($C194:$AI194),MIN($C194:$AI194)),$C194:$AI194,0))*INDEX(D183:$AJ193,MATCH(MIN($AK183:$AK193),$AK183:$AK193,0),1)/INDEX($C183:$AJ193,MATCH(MIN($AK183:$AK193),$AK183:$AK193,0),MATCH(IF('Data-solution'!$A$3="Maximize",MAX($C194:$AI194),MIN($C194:$AI194)),$C194:$AI194,0))),D191)</f>
        <v>0</v>
      </c>
      <c r="E206" s="1">
        <f>IF(OR($B198&lt;&gt;$B183,$B199&lt;&gt;$B184,$B200&lt;&gt;$B185,$B201&lt;&gt;$B186,$B202&lt;&gt;$B187,$B203&lt;&gt;$B188,$B204&lt;&gt;$B189,$B205&lt;&gt;$B190,$B206&lt;&gt;$B191,$B207&lt;&gt;$B192,$B208&lt;&gt;$B193),IF($B206&lt;&gt;$B191,E191/INDEX($C183:$AJ193,9,MATCH(IF('Data-solution'!$A$3="Maximize",MAX($C194:$AI194),MIN($C194:$AI194)),$C194:$AI194,0)),E191-INDEX($C183:$AJ193,9,MATCH(IF('Data-solution'!$A$3="Maximize",MAX($C194:$AI194),MIN($C194:$AI194)),$C194:$AI194,0))*INDEX(E183:$AJ193,MATCH(MIN($AK183:$AK193),$AK183:$AK193,0),1)/INDEX($C183:$AJ193,MATCH(MIN($AK183:$AK193),$AK183:$AK193,0),MATCH(IF('Data-solution'!$A$3="Maximize",MAX($C194:$AI194),MIN($C194:$AI194)),$C194:$AI194,0))),E191)</f>
        <v>0</v>
      </c>
      <c r="F206" s="1">
        <f>IF(OR($B198&lt;&gt;$B183,$B199&lt;&gt;$B184,$B200&lt;&gt;$B185,$B201&lt;&gt;$B186,$B202&lt;&gt;$B187,$B203&lt;&gt;$B188,$B204&lt;&gt;$B189,$B205&lt;&gt;$B190,$B206&lt;&gt;$B191,$B207&lt;&gt;$B192,$B208&lt;&gt;$B193),IF($B206&lt;&gt;$B191,F191/INDEX($C183:$AJ193,9,MATCH(IF('Data-solution'!$A$3="Maximize",MAX($C194:$AI194),MIN($C194:$AI194)),$C194:$AI194,0)),F191-INDEX($C183:$AJ193,9,MATCH(IF('Data-solution'!$A$3="Maximize",MAX($C194:$AI194),MIN($C194:$AI194)),$C194:$AI194,0))*INDEX(F183:$AJ193,MATCH(MIN($AK183:$AK193),$AK183:$AK193,0),1)/INDEX($C183:$AJ193,MATCH(MIN($AK183:$AK193),$AK183:$AK193,0),MATCH(IF('Data-solution'!$A$3="Maximize",MAX($C194:$AI194),MIN($C194:$AI194)),$C194:$AI194,0))),F191)</f>
        <v>0</v>
      </c>
      <c r="G206" s="1">
        <f>IF(OR($B198&lt;&gt;$B183,$B199&lt;&gt;$B184,$B200&lt;&gt;$B185,$B201&lt;&gt;$B186,$B202&lt;&gt;$B187,$B203&lt;&gt;$B188,$B204&lt;&gt;$B189,$B205&lt;&gt;$B190,$B206&lt;&gt;$B191,$B207&lt;&gt;$B192,$B208&lt;&gt;$B193),IF($B206&lt;&gt;$B191,G191/INDEX($C183:$AJ193,9,MATCH(IF('Data-solution'!$A$3="Maximize",MAX($C194:$AI194),MIN($C194:$AI194)),$C194:$AI194,0)),G191-INDEX($C183:$AJ193,9,MATCH(IF('Data-solution'!$A$3="Maximize",MAX($C194:$AI194),MIN($C194:$AI194)),$C194:$AI194,0))*INDEX(G183:$AJ193,MATCH(MIN($AK183:$AK193),$AK183:$AK193,0),1)/INDEX($C183:$AJ193,MATCH(MIN($AK183:$AK193),$AK183:$AK193,0),MATCH(IF('Data-solution'!$A$3="Maximize",MAX($C194:$AI194),MIN($C194:$AI194)),$C194:$AI194,0))),G191)</f>
        <v>0</v>
      </c>
      <c r="H206" s="1">
        <f>IF(OR($B198&lt;&gt;$B183,$B199&lt;&gt;$B184,$B200&lt;&gt;$B185,$B201&lt;&gt;$B186,$B202&lt;&gt;$B187,$B203&lt;&gt;$B188,$B204&lt;&gt;$B189,$B205&lt;&gt;$B190,$B206&lt;&gt;$B191,$B207&lt;&gt;$B192,$B208&lt;&gt;$B193),IF($B206&lt;&gt;$B191,H191/INDEX($C183:$AJ193,9,MATCH(IF('Data-solution'!$A$3="Maximize",MAX($C194:$AI194),MIN($C194:$AI194)),$C194:$AI194,0)),H191-INDEX($C183:$AJ193,9,MATCH(IF('Data-solution'!$A$3="Maximize",MAX($C194:$AI194),MIN($C194:$AI194)),$C194:$AI194,0))*INDEX(H183:$AJ193,MATCH(MIN($AK183:$AK193),$AK183:$AK193,0),1)/INDEX($C183:$AJ193,MATCH(MIN($AK183:$AK193),$AK183:$AK193,0),MATCH(IF('Data-solution'!$A$3="Maximize",MAX($C194:$AI194),MIN($C194:$AI194)),$C194:$AI194,0))),H191)</f>
        <v>0</v>
      </c>
      <c r="I206" s="1">
        <f>IF(OR($B198&lt;&gt;$B183,$B199&lt;&gt;$B184,$B200&lt;&gt;$B185,$B201&lt;&gt;$B186,$B202&lt;&gt;$B187,$B203&lt;&gt;$B188,$B204&lt;&gt;$B189,$B205&lt;&gt;$B190,$B206&lt;&gt;$B191,$B207&lt;&gt;$B192,$B208&lt;&gt;$B193),IF($B206&lt;&gt;$B191,I191/INDEX($C183:$AJ193,9,MATCH(IF('Data-solution'!$A$3="Maximize",MAX($C194:$AI194),MIN($C194:$AI194)),$C194:$AI194,0)),I191-INDEX($C183:$AJ193,9,MATCH(IF('Data-solution'!$A$3="Maximize",MAX($C194:$AI194),MIN($C194:$AI194)),$C194:$AI194,0))*INDEX(I183:$AJ193,MATCH(MIN($AK183:$AK193),$AK183:$AK193,0),1)/INDEX($C183:$AJ193,MATCH(MIN($AK183:$AK193),$AK183:$AK193,0),MATCH(IF('Data-solution'!$A$3="Maximize",MAX($C194:$AI194),MIN($C194:$AI194)),$C194:$AI194,0))),I191)</f>
        <v>0</v>
      </c>
      <c r="J206" s="1">
        <f>IF(OR($B198&lt;&gt;$B183,$B199&lt;&gt;$B184,$B200&lt;&gt;$B185,$B201&lt;&gt;$B186,$B202&lt;&gt;$B187,$B203&lt;&gt;$B188,$B204&lt;&gt;$B189,$B205&lt;&gt;$B190,$B206&lt;&gt;$B191,$B207&lt;&gt;$B192,$B208&lt;&gt;$B193),IF($B206&lt;&gt;$B191,J191/INDEX($C183:$AJ193,9,MATCH(IF('Data-solution'!$A$3="Maximize",MAX($C194:$AI194),MIN($C194:$AI194)),$C194:$AI194,0)),J191-INDEX($C183:$AJ193,9,MATCH(IF('Data-solution'!$A$3="Maximize",MAX($C194:$AI194),MIN($C194:$AI194)),$C194:$AI194,0))*INDEX(J183:$AJ193,MATCH(MIN($AK183:$AK193),$AK183:$AK193,0),1)/INDEX($C183:$AJ193,MATCH(MIN($AK183:$AK193),$AK183:$AK193,0),MATCH(IF('Data-solution'!$A$3="Maximize",MAX($C194:$AI194),MIN($C194:$AI194)),$C194:$AI194,0))),J191)</f>
        <v>0</v>
      </c>
      <c r="K206" s="1">
        <f>IF(OR($B198&lt;&gt;$B183,$B199&lt;&gt;$B184,$B200&lt;&gt;$B185,$B201&lt;&gt;$B186,$B202&lt;&gt;$B187,$B203&lt;&gt;$B188,$B204&lt;&gt;$B189,$B205&lt;&gt;$B190,$B206&lt;&gt;$B191,$B207&lt;&gt;$B192,$B208&lt;&gt;$B193),IF($B206&lt;&gt;$B191,K191/INDEX($C183:$AJ193,9,MATCH(IF('Data-solution'!$A$3="Maximize",MAX($C194:$AI194),MIN($C194:$AI194)),$C194:$AI194,0)),K191-INDEX($C183:$AJ193,9,MATCH(IF('Data-solution'!$A$3="Maximize",MAX($C194:$AI194),MIN($C194:$AI194)),$C194:$AI194,0))*INDEX(K183:$AJ193,MATCH(MIN($AK183:$AK193),$AK183:$AK193,0),1)/INDEX($C183:$AJ193,MATCH(MIN($AK183:$AK193),$AK183:$AK193,0),MATCH(IF('Data-solution'!$A$3="Maximize",MAX($C194:$AI194),MIN($C194:$AI194)),$C194:$AI194,0))),K191)</f>
        <v>0</v>
      </c>
      <c r="L206" s="1">
        <f>IF(OR($B198&lt;&gt;$B183,$B199&lt;&gt;$B184,$B200&lt;&gt;$B185,$B201&lt;&gt;$B186,$B202&lt;&gt;$B187,$B203&lt;&gt;$B188,$B204&lt;&gt;$B189,$B205&lt;&gt;$B190,$B206&lt;&gt;$B191,$B207&lt;&gt;$B192,$B208&lt;&gt;$B193),IF($B206&lt;&gt;$B191,L191/INDEX($C183:$AJ193,9,MATCH(IF('Data-solution'!$A$3="Maximize",MAX($C194:$AI194),MIN($C194:$AI194)),$C194:$AI194,0)),L191-INDEX($C183:$AJ193,9,MATCH(IF('Data-solution'!$A$3="Maximize",MAX($C194:$AI194),MIN($C194:$AI194)),$C194:$AI194,0))*INDEX(L183:$AJ193,MATCH(MIN($AK183:$AK193),$AK183:$AK193,0),1)/INDEX($C183:$AJ193,MATCH(MIN($AK183:$AK193),$AK183:$AK193,0),MATCH(IF('Data-solution'!$A$3="Maximize",MAX($C194:$AI194),MIN($C194:$AI194)),$C194:$AI194,0))),L191)</f>
        <v>0</v>
      </c>
      <c r="M206" s="1">
        <f>IF(OR($B198&lt;&gt;$B183,$B199&lt;&gt;$B184,$B200&lt;&gt;$B185,$B201&lt;&gt;$B186,$B202&lt;&gt;$B187,$B203&lt;&gt;$B188,$B204&lt;&gt;$B189,$B205&lt;&gt;$B190,$B206&lt;&gt;$B191,$B207&lt;&gt;$B192,$B208&lt;&gt;$B193),IF($B206&lt;&gt;$B191,M191/INDEX($C183:$AJ193,9,MATCH(IF('Data-solution'!$A$3="Maximize",MAX($C194:$AI194),MIN($C194:$AI194)),$C194:$AI194,0)),M191-INDEX($C183:$AJ193,9,MATCH(IF('Data-solution'!$A$3="Maximize",MAX($C194:$AI194),MIN($C194:$AI194)),$C194:$AI194,0))*INDEX(M183:$AJ193,MATCH(MIN($AK183:$AK193),$AK183:$AK193,0),1)/INDEX($C183:$AJ193,MATCH(MIN($AK183:$AK193),$AK183:$AK193,0),MATCH(IF('Data-solution'!$A$3="Maximize",MAX($C194:$AI194),MIN($C194:$AI194)),$C194:$AI194,0))),M191)</f>
        <v>0</v>
      </c>
      <c r="N206" s="1">
        <f>IF(OR($B198&lt;&gt;$B183,$B199&lt;&gt;$B184,$B200&lt;&gt;$B185,$B201&lt;&gt;$B186,$B202&lt;&gt;$B187,$B203&lt;&gt;$B188,$B204&lt;&gt;$B189,$B205&lt;&gt;$B190,$B206&lt;&gt;$B191,$B207&lt;&gt;$B192,$B208&lt;&gt;$B193),IF($B206&lt;&gt;$B191,N191/INDEX($C183:$AJ193,9,MATCH(IF('Data-solution'!$A$3="Maximize",MAX($C194:$AI194),MIN($C194:$AI194)),$C194:$AI194,0)),N191-INDEX($C183:$AJ193,9,MATCH(IF('Data-solution'!$A$3="Maximize",MAX($C194:$AI194),MIN($C194:$AI194)),$C194:$AI194,0))*INDEX(N183:$AJ193,MATCH(MIN($AK183:$AK193),$AK183:$AK193,0),1)/INDEX($C183:$AJ193,MATCH(MIN($AK183:$AK193),$AK183:$AK193,0),MATCH(IF('Data-solution'!$A$3="Maximize",MAX($C194:$AI194),MIN($C194:$AI194)),$C194:$AI194,0))),N191)</f>
        <v>0</v>
      </c>
      <c r="O206" s="1">
        <f>IF(OR($B198&lt;&gt;$B183,$B199&lt;&gt;$B184,$B200&lt;&gt;$B185,$B201&lt;&gt;$B186,$B202&lt;&gt;$B187,$B203&lt;&gt;$B188,$B204&lt;&gt;$B189,$B205&lt;&gt;$B190,$B206&lt;&gt;$B191,$B207&lt;&gt;$B192,$B208&lt;&gt;$B193),IF($B206&lt;&gt;$B191,O191/INDEX($C183:$AJ193,9,MATCH(IF('Data-solution'!$A$3="Maximize",MAX($C194:$AI194),MIN($C194:$AI194)),$C194:$AI194,0)),O191-INDEX($C183:$AJ193,9,MATCH(IF('Data-solution'!$A$3="Maximize",MAX($C194:$AI194),MIN($C194:$AI194)),$C194:$AI194,0))*INDEX(O183:$AJ193,MATCH(MIN($AK183:$AK193),$AK183:$AK193,0),1)/INDEX($C183:$AJ193,MATCH(MIN($AK183:$AK193),$AK183:$AK193,0),MATCH(IF('Data-solution'!$A$3="Maximize",MAX($C194:$AI194),MIN($C194:$AI194)),$C194:$AI194,0))),O191)</f>
        <v>0</v>
      </c>
      <c r="P206" s="1">
        <f>IF(OR($B198&lt;&gt;$B183,$B199&lt;&gt;$B184,$B200&lt;&gt;$B185,$B201&lt;&gt;$B186,$B202&lt;&gt;$B187,$B203&lt;&gt;$B188,$B204&lt;&gt;$B189,$B205&lt;&gt;$B190,$B206&lt;&gt;$B191,$B207&lt;&gt;$B192,$B208&lt;&gt;$B193),IF($B206&lt;&gt;$B191,P191/INDEX($C183:$AJ193,9,MATCH(IF('Data-solution'!$A$3="Maximize",MAX($C194:$AI194),MIN($C194:$AI194)),$C194:$AI194,0)),P191-INDEX($C183:$AJ193,9,MATCH(IF('Data-solution'!$A$3="Maximize",MAX($C194:$AI194),MIN($C194:$AI194)),$C194:$AI194,0))*INDEX(P183:$AJ193,MATCH(MIN($AK183:$AK193),$AK183:$AK193,0),1)/INDEX($C183:$AJ193,MATCH(MIN($AK183:$AK193),$AK183:$AK193,0),MATCH(IF('Data-solution'!$A$3="Maximize",MAX($C194:$AI194),MIN($C194:$AI194)),$C194:$AI194,0))),P191)</f>
        <v>0</v>
      </c>
      <c r="Q206" s="1">
        <f>IF(OR($B198&lt;&gt;$B183,$B199&lt;&gt;$B184,$B200&lt;&gt;$B185,$B201&lt;&gt;$B186,$B202&lt;&gt;$B187,$B203&lt;&gt;$B188,$B204&lt;&gt;$B189,$B205&lt;&gt;$B190,$B206&lt;&gt;$B191,$B207&lt;&gt;$B192,$B208&lt;&gt;$B193),IF($B206&lt;&gt;$B191,Q191/INDEX($C183:$AJ193,9,MATCH(IF('Data-solution'!$A$3="Maximize",MAX($C194:$AI194),MIN($C194:$AI194)),$C194:$AI194,0)),Q191-INDEX($C183:$AJ193,9,MATCH(IF('Data-solution'!$A$3="Maximize",MAX($C194:$AI194),MIN($C194:$AI194)),$C194:$AI194,0))*INDEX(Q183:$AJ193,MATCH(MIN($AK183:$AK193),$AK183:$AK193,0),1)/INDEX($C183:$AJ193,MATCH(MIN($AK183:$AK193),$AK183:$AK193,0),MATCH(IF('Data-solution'!$A$3="Maximize",MAX($C194:$AI194),MIN($C194:$AI194)),$C194:$AI194,0))),Q191)</f>
        <v>0</v>
      </c>
      <c r="R206" s="1">
        <f>IF(OR($B198&lt;&gt;$B183,$B199&lt;&gt;$B184,$B200&lt;&gt;$B185,$B201&lt;&gt;$B186,$B202&lt;&gt;$B187,$B203&lt;&gt;$B188,$B204&lt;&gt;$B189,$B205&lt;&gt;$B190,$B206&lt;&gt;$B191,$B207&lt;&gt;$B192,$B208&lt;&gt;$B193),IF($B206&lt;&gt;$B191,R191/INDEX($C183:$AJ193,9,MATCH(IF('Data-solution'!$A$3="Maximize",MAX($C194:$AI194),MIN($C194:$AI194)),$C194:$AI194,0)),R191-INDEX($C183:$AJ193,9,MATCH(IF('Data-solution'!$A$3="Maximize",MAX($C194:$AI194),MIN($C194:$AI194)),$C194:$AI194,0))*INDEX(R183:$AJ193,MATCH(MIN($AK183:$AK193),$AK183:$AK193,0),1)/INDEX($C183:$AJ193,MATCH(MIN($AK183:$AK193),$AK183:$AK193,0),MATCH(IF('Data-solution'!$A$3="Maximize",MAX($C194:$AI194),MIN($C194:$AI194)),$C194:$AI194,0))),R191)</f>
        <v>0</v>
      </c>
      <c r="S206" s="1">
        <f>IF(OR($B198&lt;&gt;$B183,$B199&lt;&gt;$B184,$B200&lt;&gt;$B185,$B201&lt;&gt;$B186,$B202&lt;&gt;$B187,$B203&lt;&gt;$B188,$B204&lt;&gt;$B189,$B205&lt;&gt;$B190,$B206&lt;&gt;$B191,$B207&lt;&gt;$B192,$B208&lt;&gt;$B193),IF($B206&lt;&gt;$B191,S191/INDEX($C183:$AJ193,9,MATCH(IF('Data-solution'!$A$3="Maximize",MAX($C194:$AI194),MIN($C194:$AI194)),$C194:$AI194,0)),S191-INDEX($C183:$AJ193,9,MATCH(IF('Data-solution'!$A$3="Maximize",MAX($C194:$AI194),MIN($C194:$AI194)),$C194:$AI194,0))*INDEX(S183:$AJ193,MATCH(MIN($AK183:$AK193),$AK183:$AK193,0),1)/INDEX($C183:$AJ193,MATCH(MIN($AK183:$AK193),$AK183:$AK193,0),MATCH(IF('Data-solution'!$A$3="Maximize",MAX($C194:$AI194),MIN($C194:$AI194)),$C194:$AI194,0))),S191)</f>
        <v>0</v>
      </c>
      <c r="T206" s="1">
        <f>IF(OR($B198&lt;&gt;$B183,$B199&lt;&gt;$B184,$B200&lt;&gt;$B185,$B201&lt;&gt;$B186,$B202&lt;&gt;$B187,$B203&lt;&gt;$B188,$B204&lt;&gt;$B189,$B205&lt;&gt;$B190,$B206&lt;&gt;$B191,$B207&lt;&gt;$B192,$B208&lt;&gt;$B193),IF($B206&lt;&gt;$B191,T191/INDEX($C183:$AJ193,9,MATCH(IF('Data-solution'!$A$3="Maximize",MAX($C194:$AI194),MIN($C194:$AI194)),$C194:$AI194,0)),T191-INDEX($C183:$AJ193,9,MATCH(IF('Data-solution'!$A$3="Maximize",MAX($C194:$AI194),MIN($C194:$AI194)),$C194:$AI194,0))*INDEX(T183:$AJ193,MATCH(MIN($AK183:$AK193),$AK183:$AK193,0),1)/INDEX($C183:$AJ193,MATCH(MIN($AK183:$AK193),$AK183:$AK193,0),MATCH(IF('Data-solution'!$A$3="Maximize",MAX($C194:$AI194),MIN($C194:$AI194)),$C194:$AI194,0))),T191)</f>
        <v>0</v>
      </c>
      <c r="U206" s="1">
        <f>IF(OR($B198&lt;&gt;$B183,$B199&lt;&gt;$B184,$B200&lt;&gt;$B185,$B201&lt;&gt;$B186,$B202&lt;&gt;$B187,$B203&lt;&gt;$B188,$B204&lt;&gt;$B189,$B205&lt;&gt;$B190,$B206&lt;&gt;$B191,$B207&lt;&gt;$B192,$B208&lt;&gt;$B193),IF($B206&lt;&gt;$B191,U191/INDEX($C183:$AJ193,9,MATCH(IF('Data-solution'!$A$3="Maximize",MAX($C194:$AI194),MIN($C194:$AI194)),$C194:$AI194,0)),U191-INDEX($C183:$AJ193,9,MATCH(IF('Data-solution'!$A$3="Maximize",MAX($C194:$AI194),MIN($C194:$AI194)),$C194:$AI194,0))*INDEX(U183:$AJ193,MATCH(MIN($AK183:$AK193),$AK183:$AK193,0),1)/INDEX($C183:$AJ193,MATCH(MIN($AK183:$AK193),$AK183:$AK193,0),MATCH(IF('Data-solution'!$A$3="Maximize",MAX($C194:$AI194),MIN($C194:$AI194)),$C194:$AI194,0))),U191)</f>
        <v>0</v>
      </c>
      <c r="V206" s="1">
        <f>IF(OR($B198&lt;&gt;$B183,$B199&lt;&gt;$B184,$B200&lt;&gt;$B185,$B201&lt;&gt;$B186,$B202&lt;&gt;$B187,$B203&lt;&gt;$B188,$B204&lt;&gt;$B189,$B205&lt;&gt;$B190,$B206&lt;&gt;$B191,$B207&lt;&gt;$B192,$B208&lt;&gt;$B193),IF($B206&lt;&gt;$B191,V191/INDEX($C183:$AJ193,9,MATCH(IF('Data-solution'!$A$3="Maximize",MAX($C194:$AI194),MIN($C194:$AI194)),$C194:$AI194,0)),V191-INDEX($C183:$AJ193,9,MATCH(IF('Data-solution'!$A$3="Maximize",MAX($C194:$AI194),MIN($C194:$AI194)),$C194:$AI194,0))*INDEX(V183:$AJ193,MATCH(MIN($AK183:$AK193),$AK183:$AK193,0),1)/INDEX($C183:$AJ193,MATCH(MIN($AK183:$AK193),$AK183:$AK193,0),MATCH(IF('Data-solution'!$A$3="Maximize",MAX($C194:$AI194),MIN($C194:$AI194)),$C194:$AI194,0))),V191)</f>
        <v>1</v>
      </c>
      <c r="W206" s="1">
        <f>IF(OR($B198&lt;&gt;$B183,$B199&lt;&gt;$B184,$B200&lt;&gt;$B185,$B201&lt;&gt;$B186,$B202&lt;&gt;$B187,$B203&lt;&gt;$B188,$B204&lt;&gt;$B189,$B205&lt;&gt;$B190,$B206&lt;&gt;$B191,$B207&lt;&gt;$B192,$B208&lt;&gt;$B193),IF($B206&lt;&gt;$B191,W191/INDEX($C183:$AJ193,9,MATCH(IF('Data-solution'!$A$3="Maximize",MAX($C194:$AI194),MIN($C194:$AI194)),$C194:$AI194,0)),W191-INDEX($C183:$AJ193,9,MATCH(IF('Data-solution'!$A$3="Maximize",MAX($C194:$AI194),MIN($C194:$AI194)),$C194:$AI194,0))*INDEX(W183:$AJ193,MATCH(MIN($AK183:$AK193),$AK183:$AK193,0),1)/INDEX($C183:$AJ193,MATCH(MIN($AK183:$AK193),$AK183:$AK193,0),MATCH(IF('Data-solution'!$A$3="Maximize",MAX($C194:$AI194),MIN($C194:$AI194)),$C194:$AI194,0))),W191)</f>
        <v>0</v>
      </c>
      <c r="X206" s="1">
        <f>IF(OR($B198&lt;&gt;$B183,$B199&lt;&gt;$B184,$B200&lt;&gt;$B185,$B201&lt;&gt;$B186,$B202&lt;&gt;$B187,$B203&lt;&gt;$B188,$B204&lt;&gt;$B189,$B205&lt;&gt;$B190,$B206&lt;&gt;$B191,$B207&lt;&gt;$B192,$B208&lt;&gt;$B193),IF($B206&lt;&gt;$B191,X191/INDEX($C183:$AJ193,9,MATCH(IF('Data-solution'!$A$3="Maximize",MAX($C194:$AI194),MIN($C194:$AI194)),$C194:$AI194,0)),X191-INDEX($C183:$AJ193,9,MATCH(IF('Data-solution'!$A$3="Maximize",MAX($C194:$AI194),MIN($C194:$AI194)),$C194:$AI194,0))*INDEX(X183:$AJ193,MATCH(MIN($AK183:$AK193),$AK183:$AK193,0),1)/INDEX($C183:$AJ193,MATCH(MIN($AK183:$AK193),$AK183:$AK193,0),MATCH(IF('Data-solution'!$A$3="Maximize",MAX($C194:$AI194),MIN($C194:$AI194)),$C194:$AI194,0))),X191)</f>
        <v>0</v>
      </c>
      <c r="Y206" s="1">
        <f>IF(OR($B198&lt;&gt;$B183,$B199&lt;&gt;$B184,$B200&lt;&gt;$B185,$B201&lt;&gt;$B186,$B202&lt;&gt;$B187,$B203&lt;&gt;$B188,$B204&lt;&gt;$B189,$B205&lt;&gt;$B190,$B206&lt;&gt;$B191,$B207&lt;&gt;$B192,$B208&lt;&gt;$B193),IF($B206&lt;&gt;$B191,Y191/INDEX($C183:$AJ193,9,MATCH(IF('Data-solution'!$A$3="Maximize",MAX($C194:$AI194),MIN($C194:$AI194)),$C194:$AI194,0)),Y191-INDEX($C183:$AJ193,9,MATCH(IF('Data-solution'!$A$3="Maximize",MAX($C194:$AI194),MIN($C194:$AI194)),$C194:$AI194,0))*INDEX(Y183:$AJ193,MATCH(MIN($AK183:$AK193),$AK183:$AK193,0),1)/INDEX($C183:$AJ193,MATCH(MIN($AK183:$AK193),$AK183:$AK193,0),MATCH(IF('Data-solution'!$A$3="Maximize",MAX($C194:$AI194),MIN($C194:$AI194)),$C194:$AI194,0))),Y191)</f>
        <v>0</v>
      </c>
      <c r="Z206" s="1">
        <f>IF(OR($B198&lt;&gt;$B183,$B199&lt;&gt;$B184,$B200&lt;&gt;$B185,$B201&lt;&gt;$B186,$B202&lt;&gt;$B187,$B203&lt;&gt;$B188,$B204&lt;&gt;$B189,$B205&lt;&gt;$B190,$B206&lt;&gt;$B191,$B207&lt;&gt;$B192,$B208&lt;&gt;$B193),IF($B206&lt;&gt;$B191,Z191/INDEX($C183:$AJ193,9,MATCH(IF('Data-solution'!$A$3="Maximize",MAX($C194:$AI194),MIN($C194:$AI194)),$C194:$AI194,0)),Z191-INDEX($C183:$AJ193,9,MATCH(IF('Data-solution'!$A$3="Maximize",MAX($C194:$AI194),MIN($C194:$AI194)),$C194:$AI194,0))*INDEX(Z183:$AJ193,MATCH(MIN($AK183:$AK193),$AK183:$AK193,0),1)/INDEX($C183:$AJ193,MATCH(MIN($AK183:$AK193),$AK183:$AK193,0),MATCH(IF('Data-solution'!$A$3="Maximize",MAX($C194:$AI194),MIN($C194:$AI194)),$C194:$AI194,0))),Z191)</f>
        <v>0</v>
      </c>
      <c r="AA206" s="1">
        <f>IF(OR($B198&lt;&gt;$B183,$B199&lt;&gt;$B184,$B200&lt;&gt;$B185,$B201&lt;&gt;$B186,$B202&lt;&gt;$B187,$B203&lt;&gt;$B188,$B204&lt;&gt;$B189,$B205&lt;&gt;$B190,$B206&lt;&gt;$B191,$B207&lt;&gt;$B192,$B208&lt;&gt;$B193),IF($B206&lt;&gt;$B191,AA191/INDEX($C183:$AJ193,9,MATCH(IF('Data-solution'!$A$3="Maximize",MAX($C194:$AI194),MIN($C194:$AI194)),$C194:$AI194,0)),AA191-INDEX($C183:$AJ193,9,MATCH(IF('Data-solution'!$A$3="Maximize",MAX($C194:$AI194),MIN($C194:$AI194)),$C194:$AI194,0))*INDEX(AA183:$AJ193,MATCH(MIN($AK183:$AK193),$AK183:$AK193,0),1)/INDEX($C183:$AJ193,MATCH(MIN($AK183:$AK193),$AK183:$AK193,0),MATCH(IF('Data-solution'!$A$3="Maximize",MAX($C194:$AI194),MIN($C194:$AI194)),$C194:$AI194,0))),AA191)</f>
        <v>0</v>
      </c>
      <c r="AB206" s="1">
        <f>IF(OR($B198&lt;&gt;$B183,$B199&lt;&gt;$B184,$B200&lt;&gt;$B185,$B201&lt;&gt;$B186,$B202&lt;&gt;$B187,$B203&lt;&gt;$B188,$B204&lt;&gt;$B189,$B205&lt;&gt;$B190,$B206&lt;&gt;$B191,$B207&lt;&gt;$B192,$B208&lt;&gt;$B193),IF($B206&lt;&gt;$B191,AB191/INDEX($C183:$AJ193,9,MATCH(IF('Data-solution'!$A$3="Maximize",MAX($C194:$AI194),MIN($C194:$AI194)),$C194:$AI194,0)),AB191-INDEX($C183:$AJ193,9,MATCH(IF('Data-solution'!$A$3="Maximize",MAX($C194:$AI194),MIN($C194:$AI194)),$C194:$AI194,0))*INDEX(AB183:$AJ193,MATCH(MIN($AK183:$AK193),$AK183:$AK193,0),1)/INDEX($C183:$AJ193,MATCH(MIN($AK183:$AK193),$AK183:$AK193,0),MATCH(IF('Data-solution'!$A$3="Maximize",MAX($C194:$AI194),MIN($C194:$AI194)),$C194:$AI194,0))),AB191)</f>
        <v>0</v>
      </c>
      <c r="AC206" s="1">
        <f>IF(OR($B198&lt;&gt;$B183,$B199&lt;&gt;$B184,$B200&lt;&gt;$B185,$B201&lt;&gt;$B186,$B202&lt;&gt;$B187,$B203&lt;&gt;$B188,$B204&lt;&gt;$B189,$B205&lt;&gt;$B190,$B206&lt;&gt;$B191,$B207&lt;&gt;$B192,$B208&lt;&gt;$B193),IF($B206&lt;&gt;$B191,AC191/INDEX($C183:$AJ193,9,MATCH(IF('Data-solution'!$A$3="Maximize",MAX($C194:$AI194),MIN($C194:$AI194)),$C194:$AI194,0)),AC191-INDEX($C183:$AJ193,9,MATCH(IF('Data-solution'!$A$3="Maximize",MAX($C194:$AI194),MIN($C194:$AI194)),$C194:$AI194,0))*INDEX(AC183:$AJ193,MATCH(MIN($AK183:$AK193),$AK183:$AK193,0),1)/INDEX($C183:$AJ193,MATCH(MIN($AK183:$AK193),$AK183:$AK193,0),MATCH(IF('Data-solution'!$A$3="Maximize",MAX($C194:$AI194),MIN($C194:$AI194)),$C194:$AI194,0))),AC191)</f>
        <v>0</v>
      </c>
      <c r="AD206" s="1">
        <f>IF(OR($B198&lt;&gt;$B183,$B199&lt;&gt;$B184,$B200&lt;&gt;$B185,$B201&lt;&gt;$B186,$B202&lt;&gt;$B187,$B203&lt;&gt;$B188,$B204&lt;&gt;$B189,$B205&lt;&gt;$B190,$B206&lt;&gt;$B191,$B207&lt;&gt;$B192,$B208&lt;&gt;$B193),IF($B206&lt;&gt;$B191,AD191/INDEX($C183:$AJ193,9,MATCH(IF('Data-solution'!$A$3="Maximize",MAX($C194:$AI194),MIN($C194:$AI194)),$C194:$AI194,0)),AD191-INDEX($C183:$AJ193,9,MATCH(IF('Data-solution'!$A$3="Maximize",MAX($C194:$AI194),MIN($C194:$AI194)),$C194:$AI194,0))*INDEX(AD183:$AJ193,MATCH(MIN($AK183:$AK193),$AK183:$AK193,0),1)/INDEX($C183:$AJ193,MATCH(MIN($AK183:$AK193),$AK183:$AK193,0),MATCH(IF('Data-solution'!$A$3="Maximize",MAX($C194:$AI194),MIN($C194:$AI194)),$C194:$AI194,0))),AD191)</f>
        <v>0</v>
      </c>
      <c r="AE206" s="1">
        <f>IF(OR($B198&lt;&gt;$B183,$B199&lt;&gt;$B184,$B200&lt;&gt;$B185,$B201&lt;&gt;$B186,$B202&lt;&gt;$B187,$B203&lt;&gt;$B188,$B204&lt;&gt;$B189,$B205&lt;&gt;$B190,$B206&lt;&gt;$B191,$B207&lt;&gt;$B192,$B208&lt;&gt;$B193),IF($B206&lt;&gt;$B191,AE191/INDEX($C183:$AJ193,9,MATCH(IF('Data-solution'!$A$3="Maximize",MAX($C194:$AI194),MIN($C194:$AI194)),$C194:$AI194,0)),AE191-INDEX($C183:$AJ193,9,MATCH(IF('Data-solution'!$A$3="Maximize",MAX($C194:$AI194),MIN($C194:$AI194)),$C194:$AI194,0))*INDEX(AE183:$AJ193,MATCH(MIN($AK183:$AK193),$AK183:$AK193,0),1)/INDEX($C183:$AJ193,MATCH(MIN($AK183:$AK193),$AK183:$AK193,0),MATCH(IF('Data-solution'!$A$3="Maximize",MAX($C194:$AI194),MIN($C194:$AI194)),$C194:$AI194,0))),AE191)</f>
        <v>0</v>
      </c>
      <c r="AF206" s="1">
        <f>IF(OR($B198&lt;&gt;$B183,$B199&lt;&gt;$B184,$B200&lt;&gt;$B185,$B201&lt;&gt;$B186,$B202&lt;&gt;$B187,$B203&lt;&gt;$B188,$B204&lt;&gt;$B189,$B205&lt;&gt;$B190,$B206&lt;&gt;$B191,$B207&lt;&gt;$B192,$B208&lt;&gt;$B193),IF($B206&lt;&gt;$B191,AF191/INDEX($C183:$AJ193,9,MATCH(IF('Data-solution'!$A$3="Maximize",MAX($C194:$AI194),MIN($C194:$AI194)),$C194:$AI194,0)),AF191-INDEX($C183:$AJ193,9,MATCH(IF('Data-solution'!$A$3="Maximize",MAX($C194:$AI194),MIN($C194:$AI194)),$C194:$AI194,0))*INDEX(AF183:$AJ193,MATCH(MIN($AK183:$AK193),$AK183:$AK193,0),1)/INDEX($C183:$AJ193,MATCH(MIN($AK183:$AK193),$AK183:$AK193,0),MATCH(IF('Data-solution'!$A$3="Maximize",MAX($C194:$AI194),MIN($C194:$AI194)),$C194:$AI194,0))),AF191)</f>
        <v>0</v>
      </c>
      <c r="AG206" s="1">
        <f>IF(OR($B198&lt;&gt;$B183,$B199&lt;&gt;$B184,$B200&lt;&gt;$B185,$B201&lt;&gt;$B186,$B202&lt;&gt;$B187,$B203&lt;&gt;$B188,$B204&lt;&gt;$B189,$B205&lt;&gt;$B190,$B206&lt;&gt;$B191,$B207&lt;&gt;$B192,$B208&lt;&gt;$B193),IF($B206&lt;&gt;$B191,AG191/INDEX($C183:$AJ193,9,MATCH(IF('Data-solution'!$A$3="Maximize",MAX($C194:$AI194),MIN($C194:$AI194)),$C194:$AI194,0)),AG191-INDEX($C183:$AJ193,9,MATCH(IF('Data-solution'!$A$3="Maximize",MAX($C194:$AI194),MIN($C194:$AI194)),$C194:$AI194,0))*INDEX(AG183:$AJ193,MATCH(MIN($AK183:$AK193),$AK183:$AK193,0),1)/INDEX($C183:$AJ193,MATCH(MIN($AK183:$AK193),$AK183:$AK193,0),MATCH(IF('Data-solution'!$A$3="Maximize",MAX($C194:$AI194),MIN($C194:$AI194)),$C194:$AI194,0))),AG191)</f>
        <v>1</v>
      </c>
      <c r="AH206" s="1">
        <f>IF(OR($B198&lt;&gt;$B183,$B199&lt;&gt;$B184,$B200&lt;&gt;$B185,$B201&lt;&gt;$B186,$B202&lt;&gt;$B187,$B203&lt;&gt;$B188,$B204&lt;&gt;$B189,$B205&lt;&gt;$B190,$B206&lt;&gt;$B191,$B207&lt;&gt;$B192,$B208&lt;&gt;$B193),IF($B206&lt;&gt;$B191,AH191/INDEX($C183:$AJ193,9,MATCH(IF('Data-solution'!$A$3="Maximize",MAX($C194:$AI194),MIN($C194:$AI194)),$C194:$AI194,0)),AH191-INDEX($C183:$AJ193,9,MATCH(IF('Data-solution'!$A$3="Maximize",MAX($C194:$AI194),MIN($C194:$AI194)),$C194:$AI194,0))*INDEX(AH183:$AJ193,MATCH(MIN($AK183:$AK193),$AK183:$AK193,0),1)/INDEX($C183:$AJ193,MATCH(MIN($AK183:$AK193),$AK183:$AK193,0),MATCH(IF('Data-solution'!$A$3="Maximize",MAX($C194:$AI194),MIN($C194:$AI194)),$C194:$AI194,0))),AH191)</f>
        <v>0</v>
      </c>
      <c r="AI206" s="1">
        <f>IF(OR($B198&lt;&gt;$B183,$B199&lt;&gt;$B184,$B200&lt;&gt;$B185,$B201&lt;&gt;$B186,$B202&lt;&gt;$B187,$B203&lt;&gt;$B188,$B204&lt;&gt;$B189,$B205&lt;&gt;$B190,$B206&lt;&gt;$B191,$B207&lt;&gt;$B192,$B208&lt;&gt;$B193),IF($B206&lt;&gt;$B191,AI191/INDEX($C183:$AJ193,9,MATCH(IF('Data-solution'!$A$3="Maximize",MAX($C194:$AI194),MIN($C194:$AI194)),$C194:$AI194,0)),AI191-INDEX($C183:$AJ193,9,MATCH(IF('Data-solution'!$A$3="Maximize",MAX($C194:$AI194),MIN($C194:$AI194)),$C194:$AI194,0))*INDEX(AI183:$AJ193,MATCH(MIN($AK183:$AK193),$AK183:$AK193,0),1)/INDEX($C183:$AJ193,MATCH(MIN($AK183:$AK193),$AK183:$AK193,0),MATCH(IF('Data-solution'!$A$3="Maximize",MAX($C194:$AI194),MIN($C194:$AI194)),$C194:$AI194,0))),AI191)</f>
        <v>0</v>
      </c>
      <c r="AJ206" s="1">
        <f>IF(OR($B198&lt;&gt;$B183,$B199&lt;&gt;$B184,$B200&lt;&gt;$B185,$B201&lt;&gt;$B186,$B202&lt;&gt;$B187,$B203&lt;&gt;$B188,$B204&lt;&gt;$B189,$B205&lt;&gt;$B190,$B206&lt;&gt;$B191,$B207&lt;&gt;$B192,$B208&lt;&gt;$B193),IF($B206&lt;&gt;$B191,AJ191/INDEX($C183:$AJ193,9,MATCH(IF('Data-solution'!$A$3="Maximize",MAX($C194:$AI194),MIN($C194:$AI194)),$C194:$AI194,0)),AJ191-INDEX($C183:$AJ193,9,MATCH(IF('Data-solution'!$A$3="Maximize",MAX($C194:$AI194),MIN($C194:$AI194)),$C194:$AI194,0))*INDEX(AJ183:$AJ193,MATCH(MIN($AK183:$AK193),$AK183:$AK193,0),1)/INDEX($C183:$AJ193,MATCH(MIN($AK183:$AK193),$AK183:$AK193,0),MATCH(IF('Data-solution'!$A$3="Maximize",MAX($C194:$AI194),MIN($C194:$AI194)),$C194:$AI194,0))),AJ191)</f>
        <v>0</v>
      </c>
      <c r="AK206" s="1" t="str">
        <f>IF(INDEX(C206:X206,1,MATCH(IF('Data-solution'!A$3="Maximize",MAX(C209:X209),MIN(C209:X209)),C209:X209,0))&gt;0,AJ206/INDEX(C206:X206,1,MATCH(IF('Data-solution'!A$3="Maximize",MAX(C209:X209),MIN(C209:X209)),C209:X209,0))," ")</f>
        <v xml:space="preserve"> </v>
      </c>
    </row>
    <row r="207" spans="1:37" ht="18" customHeight="1" x14ac:dyDescent="0.2">
      <c r="A207" s="1">
        <f t="shared" ref="A207" si="179">INDEX(C196:AI196,1,MATCH(B207,C197:AI197,0))</f>
        <v>0</v>
      </c>
      <c r="B207" s="2" t="str">
        <f>IF(AND('Data-solution'!A$3="Maximize",COUNTIF(C194:X194,"&gt;"&amp;0)&gt;0,AK192=MIN(AK183:AK193),COUNTIF(B198:B206,INDEX(C182:X182,1,MATCH(MAX(C194:X194),C194:X194,0)))=0),INDEX(C182:X182,1,MATCH(MAX(C194:X194),C194:X194,0)),IF(AND('Data-solution'!A$3="Minimize",COUNTIF(C194:X194,"&lt;"&amp;0)&gt;0,AK192=MIN(AK183:AK193),COUNTIF(B198:B206,INDEX(C182:X182,1,MATCH(MIN(C194:X194),C194:X194,0)))=0),INDEX(C182:X182,1,MATCH(MIN(C194:X194),C194:X194,0)),B192))</f>
        <v>S10</v>
      </c>
      <c r="C207" s="1">
        <f>IF(OR($B198&lt;&gt;$B183,$B199&lt;&gt;$B184,$B200&lt;&gt;$B185,$B201&lt;&gt;$B186,$B202&lt;&gt;$B187,$B203&lt;&gt;$B188,$B204&lt;&gt;$B189,$B205&lt;&gt;$B190,$B206&lt;&gt;$B191,$B207&lt;&gt;$B192,$B208&lt;&gt;$B193),IF($B207&lt;&gt;$B192,C192/INDEX($C183:$AJ193,10,MATCH(IF('Data-solution'!$A$3="Maximize",MAX($C194:$AI194),MIN($C194:$AI194)),$C194:$AI194,0)),C192-INDEX($C183:$AJ193,10,MATCH(IF('Data-solution'!$A$3="Maximize",MAX($C194:$AI194),MIN($C194:$AI194)),$C194:$AI194,0))*INDEX(C183:$AJ193,MATCH(MIN($AK183:$AK193),$AK183:$AK193,0),1)/INDEX($C183:$AJ193,MATCH(MIN($AK183:$AK193),$AK183:$AK193,0),MATCH(IF('Data-solution'!$A$3="Maximize",MAX($C194:$AI194),MIN($C194:$AI194)),$C194:$AI194,0))),C192)</f>
        <v>0</v>
      </c>
      <c r="D207" s="1">
        <f>IF(OR($B198&lt;&gt;$B183,$B199&lt;&gt;$B184,$B200&lt;&gt;$B185,$B201&lt;&gt;$B186,$B202&lt;&gt;$B187,$B203&lt;&gt;$B188,$B204&lt;&gt;$B189,$B205&lt;&gt;$B190,$B206&lt;&gt;$B191,$B207&lt;&gt;$B192,$B208&lt;&gt;$B193),IF($B207&lt;&gt;$B192,D192/INDEX($C183:$AJ193,10,MATCH(IF('Data-solution'!$A$3="Maximize",MAX($C194:$AI194),MIN($C194:$AI194)),$C194:$AI194,0)),D192-INDEX($C183:$AJ193,10,MATCH(IF('Data-solution'!$A$3="Maximize",MAX($C194:$AI194),MIN($C194:$AI194)),$C194:$AI194,0))*INDEX(D183:$AJ193,MATCH(MIN($AK183:$AK193),$AK183:$AK193,0),1)/INDEX($C183:$AJ193,MATCH(MIN($AK183:$AK193),$AK183:$AK193,0),MATCH(IF('Data-solution'!$A$3="Maximize",MAX($C194:$AI194),MIN($C194:$AI194)),$C194:$AI194,0))),D192)</f>
        <v>0</v>
      </c>
      <c r="E207" s="1">
        <f>IF(OR($B198&lt;&gt;$B183,$B199&lt;&gt;$B184,$B200&lt;&gt;$B185,$B201&lt;&gt;$B186,$B202&lt;&gt;$B187,$B203&lt;&gt;$B188,$B204&lt;&gt;$B189,$B205&lt;&gt;$B190,$B206&lt;&gt;$B191,$B207&lt;&gt;$B192,$B208&lt;&gt;$B193),IF($B207&lt;&gt;$B192,E192/INDEX($C183:$AJ193,10,MATCH(IF('Data-solution'!$A$3="Maximize",MAX($C194:$AI194),MIN($C194:$AI194)),$C194:$AI194,0)),E192-INDEX($C183:$AJ193,10,MATCH(IF('Data-solution'!$A$3="Maximize",MAX($C194:$AI194),MIN($C194:$AI194)),$C194:$AI194,0))*INDEX(E183:$AJ193,MATCH(MIN($AK183:$AK193),$AK183:$AK193,0),1)/INDEX($C183:$AJ193,MATCH(MIN($AK183:$AK193),$AK183:$AK193,0),MATCH(IF('Data-solution'!$A$3="Maximize",MAX($C194:$AI194),MIN($C194:$AI194)),$C194:$AI194,0))),E192)</f>
        <v>0</v>
      </c>
      <c r="F207" s="1">
        <f>IF(OR($B198&lt;&gt;$B183,$B199&lt;&gt;$B184,$B200&lt;&gt;$B185,$B201&lt;&gt;$B186,$B202&lt;&gt;$B187,$B203&lt;&gt;$B188,$B204&lt;&gt;$B189,$B205&lt;&gt;$B190,$B206&lt;&gt;$B191,$B207&lt;&gt;$B192,$B208&lt;&gt;$B193),IF($B207&lt;&gt;$B192,F192/INDEX($C183:$AJ193,10,MATCH(IF('Data-solution'!$A$3="Maximize",MAX($C194:$AI194),MIN($C194:$AI194)),$C194:$AI194,0)),F192-INDEX($C183:$AJ193,10,MATCH(IF('Data-solution'!$A$3="Maximize",MAX($C194:$AI194),MIN($C194:$AI194)),$C194:$AI194,0))*INDEX(F183:$AJ193,MATCH(MIN($AK183:$AK193),$AK183:$AK193,0),1)/INDEX($C183:$AJ193,MATCH(MIN($AK183:$AK193),$AK183:$AK193,0),MATCH(IF('Data-solution'!$A$3="Maximize",MAX($C194:$AI194),MIN($C194:$AI194)),$C194:$AI194,0))),F192)</f>
        <v>0</v>
      </c>
      <c r="G207" s="1">
        <f>IF(OR($B198&lt;&gt;$B183,$B199&lt;&gt;$B184,$B200&lt;&gt;$B185,$B201&lt;&gt;$B186,$B202&lt;&gt;$B187,$B203&lt;&gt;$B188,$B204&lt;&gt;$B189,$B205&lt;&gt;$B190,$B206&lt;&gt;$B191,$B207&lt;&gt;$B192,$B208&lt;&gt;$B193),IF($B207&lt;&gt;$B192,G192/INDEX($C183:$AJ193,10,MATCH(IF('Data-solution'!$A$3="Maximize",MAX($C194:$AI194),MIN($C194:$AI194)),$C194:$AI194,0)),G192-INDEX($C183:$AJ193,10,MATCH(IF('Data-solution'!$A$3="Maximize",MAX($C194:$AI194),MIN($C194:$AI194)),$C194:$AI194,0))*INDEX(G183:$AJ193,MATCH(MIN($AK183:$AK193),$AK183:$AK193,0),1)/INDEX($C183:$AJ193,MATCH(MIN($AK183:$AK193),$AK183:$AK193,0),MATCH(IF('Data-solution'!$A$3="Maximize",MAX($C194:$AI194),MIN($C194:$AI194)),$C194:$AI194,0))),G192)</f>
        <v>0</v>
      </c>
      <c r="H207" s="1">
        <f>IF(OR($B198&lt;&gt;$B183,$B199&lt;&gt;$B184,$B200&lt;&gt;$B185,$B201&lt;&gt;$B186,$B202&lt;&gt;$B187,$B203&lt;&gt;$B188,$B204&lt;&gt;$B189,$B205&lt;&gt;$B190,$B206&lt;&gt;$B191,$B207&lt;&gt;$B192,$B208&lt;&gt;$B193),IF($B207&lt;&gt;$B192,H192/INDEX($C183:$AJ193,10,MATCH(IF('Data-solution'!$A$3="Maximize",MAX($C194:$AI194),MIN($C194:$AI194)),$C194:$AI194,0)),H192-INDEX($C183:$AJ193,10,MATCH(IF('Data-solution'!$A$3="Maximize",MAX($C194:$AI194),MIN($C194:$AI194)),$C194:$AI194,0))*INDEX(H183:$AJ193,MATCH(MIN($AK183:$AK193),$AK183:$AK193,0),1)/INDEX($C183:$AJ193,MATCH(MIN($AK183:$AK193),$AK183:$AK193,0),MATCH(IF('Data-solution'!$A$3="Maximize",MAX($C194:$AI194),MIN($C194:$AI194)),$C194:$AI194,0))),H192)</f>
        <v>0</v>
      </c>
      <c r="I207" s="1">
        <f>IF(OR($B198&lt;&gt;$B183,$B199&lt;&gt;$B184,$B200&lt;&gt;$B185,$B201&lt;&gt;$B186,$B202&lt;&gt;$B187,$B203&lt;&gt;$B188,$B204&lt;&gt;$B189,$B205&lt;&gt;$B190,$B206&lt;&gt;$B191,$B207&lt;&gt;$B192,$B208&lt;&gt;$B193),IF($B207&lt;&gt;$B192,I192/INDEX($C183:$AJ193,10,MATCH(IF('Data-solution'!$A$3="Maximize",MAX($C194:$AI194),MIN($C194:$AI194)),$C194:$AI194,0)),I192-INDEX($C183:$AJ193,10,MATCH(IF('Data-solution'!$A$3="Maximize",MAX($C194:$AI194),MIN($C194:$AI194)),$C194:$AI194,0))*INDEX(I183:$AJ193,MATCH(MIN($AK183:$AK193),$AK183:$AK193,0),1)/INDEX($C183:$AJ193,MATCH(MIN($AK183:$AK193),$AK183:$AK193,0),MATCH(IF('Data-solution'!$A$3="Maximize",MAX($C194:$AI194),MIN($C194:$AI194)),$C194:$AI194,0))),I192)</f>
        <v>0</v>
      </c>
      <c r="J207" s="1">
        <f>IF(OR($B198&lt;&gt;$B183,$B199&lt;&gt;$B184,$B200&lt;&gt;$B185,$B201&lt;&gt;$B186,$B202&lt;&gt;$B187,$B203&lt;&gt;$B188,$B204&lt;&gt;$B189,$B205&lt;&gt;$B190,$B206&lt;&gt;$B191,$B207&lt;&gt;$B192,$B208&lt;&gt;$B193),IF($B207&lt;&gt;$B192,J192/INDEX($C183:$AJ193,10,MATCH(IF('Data-solution'!$A$3="Maximize",MAX($C194:$AI194),MIN($C194:$AI194)),$C194:$AI194,0)),J192-INDEX($C183:$AJ193,10,MATCH(IF('Data-solution'!$A$3="Maximize",MAX($C194:$AI194),MIN($C194:$AI194)),$C194:$AI194,0))*INDEX(J183:$AJ193,MATCH(MIN($AK183:$AK193),$AK183:$AK193,0),1)/INDEX($C183:$AJ193,MATCH(MIN($AK183:$AK193),$AK183:$AK193,0),MATCH(IF('Data-solution'!$A$3="Maximize",MAX($C194:$AI194),MIN($C194:$AI194)),$C194:$AI194,0))),J192)</f>
        <v>0</v>
      </c>
      <c r="K207" s="1">
        <f>IF(OR($B198&lt;&gt;$B183,$B199&lt;&gt;$B184,$B200&lt;&gt;$B185,$B201&lt;&gt;$B186,$B202&lt;&gt;$B187,$B203&lt;&gt;$B188,$B204&lt;&gt;$B189,$B205&lt;&gt;$B190,$B206&lt;&gt;$B191,$B207&lt;&gt;$B192,$B208&lt;&gt;$B193),IF($B207&lt;&gt;$B192,K192/INDEX($C183:$AJ193,10,MATCH(IF('Data-solution'!$A$3="Maximize",MAX($C194:$AI194),MIN($C194:$AI194)),$C194:$AI194,0)),K192-INDEX($C183:$AJ193,10,MATCH(IF('Data-solution'!$A$3="Maximize",MAX($C194:$AI194),MIN($C194:$AI194)),$C194:$AI194,0))*INDEX(K183:$AJ193,MATCH(MIN($AK183:$AK193),$AK183:$AK193,0),1)/INDEX($C183:$AJ193,MATCH(MIN($AK183:$AK193),$AK183:$AK193,0),MATCH(IF('Data-solution'!$A$3="Maximize",MAX($C194:$AI194),MIN($C194:$AI194)),$C194:$AI194,0))),K192)</f>
        <v>0</v>
      </c>
      <c r="L207" s="1">
        <f>IF(OR($B198&lt;&gt;$B183,$B199&lt;&gt;$B184,$B200&lt;&gt;$B185,$B201&lt;&gt;$B186,$B202&lt;&gt;$B187,$B203&lt;&gt;$B188,$B204&lt;&gt;$B189,$B205&lt;&gt;$B190,$B206&lt;&gt;$B191,$B207&lt;&gt;$B192,$B208&lt;&gt;$B193),IF($B207&lt;&gt;$B192,L192/INDEX($C183:$AJ193,10,MATCH(IF('Data-solution'!$A$3="Maximize",MAX($C194:$AI194),MIN($C194:$AI194)),$C194:$AI194,0)),L192-INDEX($C183:$AJ193,10,MATCH(IF('Data-solution'!$A$3="Maximize",MAX($C194:$AI194),MIN($C194:$AI194)),$C194:$AI194,0))*INDEX(L183:$AJ193,MATCH(MIN($AK183:$AK193),$AK183:$AK193,0),1)/INDEX($C183:$AJ193,MATCH(MIN($AK183:$AK193),$AK183:$AK193,0),MATCH(IF('Data-solution'!$A$3="Maximize",MAX($C194:$AI194),MIN($C194:$AI194)),$C194:$AI194,0))),L192)</f>
        <v>0</v>
      </c>
      <c r="M207" s="1">
        <f>IF(OR($B198&lt;&gt;$B183,$B199&lt;&gt;$B184,$B200&lt;&gt;$B185,$B201&lt;&gt;$B186,$B202&lt;&gt;$B187,$B203&lt;&gt;$B188,$B204&lt;&gt;$B189,$B205&lt;&gt;$B190,$B206&lt;&gt;$B191,$B207&lt;&gt;$B192,$B208&lt;&gt;$B193),IF($B207&lt;&gt;$B192,M192/INDEX($C183:$AJ193,10,MATCH(IF('Data-solution'!$A$3="Maximize",MAX($C194:$AI194),MIN($C194:$AI194)),$C194:$AI194,0)),M192-INDEX($C183:$AJ193,10,MATCH(IF('Data-solution'!$A$3="Maximize",MAX($C194:$AI194),MIN($C194:$AI194)),$C194:$AI194,0))*INDEX(M183:$AJ193,MATCH(MIN($AK183:$AK193),$AK183:$AK193,0),1)/INDEX($C183:$AJ193,MATCH(MIN($AK183:$AK193),$AK183:$AK193,0),MATCH(IF('Data-solution'!$A$3="Maximize",MAX($C194:$AI194),MIN($C194:$AI194)),$C194:$AI194,0))),M192)</f>
        <v>0</v>
      </c>
      <c r="N207" s="1">
        <f>IF(OR($B198&lt;&gt;$B183,$B199&lt;&gt;$B184,$B200&lt;&gt;$B185,$B201&lt;&gt;$B186,$B202&lt;&gt;$B187,$B203&lt;&gt;$B188,$B204&lt;&gt;$B189,$B205&lt;&gt;$B190,$B206&lt;&gt;$B191,$B207&lt;&gt;$B192,$B208&lt;&gt;$B193),IF($B207&lt;&gt;$B192,N192/INDEX($C183:$AJ193,10,MATCH(IF('Data-solution'!$A$3="Maximize",MAX($C194:$AI194),MIN($C194:$AI194)),$C194:$AI194,0)),N192-INDEX($C183:$AJ193,10,MATCH(IF('Data-solution'!$A$3="Maximize",MAX($C194:$AI194),MIN($C194:$AI194)),$C194:$AI194,0))*INDEX(N183:$AJ193,MATCH(MIN($AK183:$AK193),$AK183:$AK193,0),1)/INDEX($C183:$AJ193,MATCH(MIN($AK183:$AK193),$AK183:$AK193,0),MATCH(IF('Data-solution'!$A$3="Maximize",MAX($C194:$AI194),MIN($C194:$AI194)),$C194:$AI194,0))),N192)</f>
        <v>0</v>
      </c>
      <c r="O207" s="1">
        <f>IF(OR($B198&lt;&gt;$B183,$B199&lt;&gt;$B184,$B200&lt;&gt;$B185,$B201&lt;&gt;$B186,$B202&lt;&gt;$B187,$B203&lt;&gt;$B188,$B204&lt;&gt;$B189,$B205&lt;&gt;$B190,$B206&lt;&gt;$B191,$B207&lt;&gt;$B192,$B208&lt;&gt;$B193),IF($B207&lt;&gt;$B192,O192/INDEX($C183:$AJ193,10,MATCH(IF('Data-solution'!$A$3="Maximize",MAX($C194:$AI194),MIN($C194:$AI194)),$C194:$AI194,0)),O192-INDEX($C183:$AJ193,10,MATCH(IF('Data-solution'!$A$3="Maximize",MAX($C194:$AI194),MIN($C194:$AI194)),$C194:$AI194,0))*INDEX(O183:$AJ193,MATCH(MIN($AK183:$AK193),$AK183:$AK193,0),1)/INDEX($C183:$AJ193,MATCH(MIN($AK183:$AK193),$AK183:$AK193,0),MATCH(IF('Data-solution'!$A$3="Maximize",MAX($C194:$AI194),MIN($C194:$AI194)),$C194:$AI194,0))),O192)</f>
        <v>0</v>
      </c>
      <c r="P207" s="1">
        <f>IF(OR($B198&lt;&gt;$B183,$B199&lt;&gt;$B184,$B200&lt;&gt;$B185,$B201&lt;&gt;$B186,$B202&lt;&gt;$B187,$B203&lt;&gt;$B188,$B204&lt;&gt;$B189,$B205&lt;&gt;$B190,$B206&lt;&gt;$B191,$B207&lt;&gt;$B192,$B208&lt;&gt;$B193),IF($B207&lt;&gt;$B192,P192/INDEX($C183:$AJ193,10,MATCH(IF('Data-solution'!$A$3="Maximize",MAX($C194:$AI194),MIN($C194:$AI194)),$C194:$AI194,0)),P192-INDEX($C183:$AJ193,10,MATCH(IF('Data-solution'!$A$3="Maximize",MAX($C194:$AI194),MIN($C194:$AI194)),$C194:$AI194,0))*INDEX(P183:$AJ193,MATCH(MIN($AK183:$AK193),$AK183:$AK193,0),1)/INDEX($C183:$AJ193,MATCH(MIN($AK183:$AK193),$AK183:$AK193,0),MATCH(IF('Data-solution'!$A$3="Maximize",MAX($C194:$AI194),MIN($C194:$AI194)),$C194:$AI194,0))),P192)</f>
        <v>0</v>
      </c>
      <c r="Q207" s="1">
        <f>IF(OR($B198&lt;&gt;$B183,$B199&lt;&gt;$B184,$B200&lt;&gt;$B185,$B201&lt;&gt;$B186,$B202&lt;&gt;$B187,$B203&lt;&gt;$B188,$B204&lt;&gt;$B189,$B205&lt;&gt;$B190,$B206&lt;&gt;$B191,$B207&lt;&gt;$B192,$B208&lt;&gt;$B193),IF($B207&lt;&gt;$B192,Q192/INDEX($C183:$AJ193,10,MATCH(IF('Data-solution'!$A$3="Maximize",MAX($C194:$AI194),MIN($C194:$AI194)),$C194:$AI194,0)),Q192-INDEX($C183:$AJ193,10,MATCH(IF('Data-solution'!$A$3="Maximize",MAX($C194:$AI194),MIN($C194:$AI194)),$C194:$AI194,0))*INDEX(Q183:$AJ193,MATCH(MIN($AK183:$AK193),$AK183:$AK193,0),1)/INDEX($C183:$AJ193,MATCH(MIN($AK183:$AK193),$AK183:$AK193,0),MATCH(IF('Data-solution'!$A$3="Maximize",MAX($C194:$AI194),MIN($C194:$AI194)),$C194:$AI194,0))),Q192)</f>
        <v>0</v>
      </c>
      <c r="R207" s="1">
        <f>IF(OR($B198&lt;&gt;$B183,$B199&lt;&gt;$B184,$B200&lt;&gt;$B185,$B201&lt;&gt;$B186,$B202&lt;&gt;$B187,$B203&lt;&gt;$B188,$B204&lt;&gt;$B189,$B205&lt;&gt;$B190,$B206&lt;&gt;$B191,$B207&lt;&gt;$B192,$B208&lt;&gt;$B193),IF($B207&lt;&gt;$B192,R192/INDEX($C183:$AJ193,10,MATCH(IF('Data-solution'!$A$3="Maximize",MAX($C194:$AI194),MIN($C194:$AI194)),$C194:$AI194,0)),R192-INDEX($C183:$AJ193,10,MATCH(IF('Data-solution'!$A$3="Maximize",MAX($C194:$AI194),MIN($C194:$AI194)),$C194:$AI194,0))*INDEX(R183:$AJ193,MATCH(MIN($AK183:$AK193),$AK183:$AK193,0),1)/INDEX($C183:$AJ193,MATCH(MIN($AK183:$AK193),$AK183:$AK193,0),MATCH(IF('Data-solution'!$A$3="Maximize",MAX($C194:$AI194),MIN($C194:$AI194)),$C194:$AI194,0))),R192)</f>
        <v>0</v>
      </c>
      <c r="S207" s="1">
        <f>IF(OR($B198&lt;&gt;$B183,$B199&lt;&gt;$B184,$B200&lt;&gt;$B185,$B201&lt;&gt;$B186,$B202&lt;&gt;$B187,$B203&lt;&gt;$B188,$B204&lt;&gt;$B189,$B205&lt;&gt;$B190,$B206&lt;&gt;$B191,$B207&lt;&gt;$B192,$B208&lt;&gt;$B193),IF($B207&lt;&gt;$B192,S192/INDEX($C183:$AJ193,10,MATCH(IF('Data-solution'!$A$3="Maximize",MAX($C194:$AI194),MIN($C194:$AI194)),$C194:$AI194,0)),S192-INDEX($C183:$AJ193,10,MATCH(IF('Data-solution'!$A$3="Maximize",MAX($C194:$AI194),MIN($C194:$AI194)),$C194:$AI194,0))*INDEX(S183:$AJ193,MATCH(MIN($AK183:$AK193),$AK183:$AK193,0),1)/INDEX($C183:$AJ193,MATCH(MIN($AK183:$AK193),$AK183:$AK193,0),MATCH(IF('Data-solution'!$A$3="Maximize",MAX($C194:$AI194),MIN($C194:$AI194)),$C194:$AI194,0))),S192)</f>
        <v>0</v>
      </c>
      <c r="T207" s="1">
        <f>IF(OR($B198&lt;&gt;$B183,$B199&lt;&gt;$B184,$B200&lt;&gt;$B185,$B201&lt;&gt;$B186,$B202&lt;&gt;$B187,$B203&lt;&gt;$B188,$B204&lt;&gt;$B189,$B205&lt;&gt;$B190,$B206&lt;&gt;$B191,$B207&lt;&gt;$B192,$B208&lt;&gt;$B193),IF($B207&lt;&gt;$B192,T192/INDEX($C183:$AJ193,10,MATCH(IF('Data-solution'!$A$3="Maximize",MAX($C194:$AI194),MIN($C194:$AI194)),$C194:$AI194,0)),T192-INDEX($C183:$AJ193,10,MATCH(IF('Data-solution'!$A$3="Maximize",MAX($C194:$AI194),MIN($C194:$AI194)),$C194:$AI194,0))*INDEX(T183:$AJ193,MATCH(MIN($AK183:$AK193),$AK183:$AK193,0),1)/INDEX($C183:$AJ193,MATCH(MIN($AK183:$AK193),$AK183:$AK193,0),MATCH(IF('Data-solution'!$A$3="Maximize",MAX($C194:$AI194),MIN($C194:$AI194)),$C194:$AI194,0))),T192)</f>
        <v>0</v>
      </c>
      <c r="U207" s="1">
        <f>IF(OR($B198&lt;&gt;$B183,$B199&lt;&gt;$B184,$B200&lt;&gt;$B185,$B201&lt;&gt;$B186,$B202&lt;&gt;$B187,$B203&lt;&gt;$B188,$B204&lt;&gt;$B189,$B205&lt;&gt;$B190,$B206&lt;&gt;$B191,$B207&lt;&gt;$B192,$B208&lt;&gt;$B193),IF($B207&lt;&gt;$B192,U192/INDEX($C183:$AJ193,10,MATCH(IF('Data-solution'!$A$3="Maximize",MAX($C194:$AI194),MIN($C194:$AI194)),$C194:$AI194,0)),U192-INDEX($C183:$AJ193,10,MATCH(IF('Data-solution'!$A$3="Maximize",MAX($C194:$AI194),MIN($C194:$AI194)),$C194:$AI194,0))*INDEX(U183:$AJ193,MATCH(MIN($AK183:$AK193),$AK183:$AK193,0),1)/INDEX($C183:$AJ193,MATCH(MIN($AK183:$AK193),$AK183:$AK193,0),MATCH(IF('Data-solution'!$A$3="Maximize",MAX($C194:$AI194),MIN($C194:$AI194)),$C194:$AI194,0))),U192)</f>
        <v>0</v>
      </c>
      <c r="V207" s="1">
        <f>IF(OR($B198&lt;&gt;$B183,$B199&lt;&gt;$B184,$B200&lt;&gt;$B185,$B201&lt;&gt;$B186,$B202&lt;&gt;$B187,$B203&lt;&gt;$B188,$B204&lt;&gt;$B189,$B205&lt;&gt;$B190,$B206&lt;&gt;$B191,$B207&lt;&gt;$B192,$B208&lt;&gt;$B193),IF($B207&lt;&gt;$B192,V192/INDEX($C183:$AJ193,10,MATCH(IF('Data-solution'!$A$3="Maximize",MAX($C194:$AI194),MIN($C194:$AI194)),$C194:$AI194,0)),V192-INDEX($C183:$AJ193,10,MATCH(IF('Data-solution'!$A$3="Maximize",MAX($C194:$AI194),MIN($C194:$AI194)),$C194:$AI194,0))*INDEX(V183:$AJ193,MATCH(MIN($AK183:$AK193),$AK183:$AK193,0),1)/INDEX($C183:$AJ193,MATCH(MIN($AK183:$AK193),$AK183:$AK193,0),MATCH(IF('Data-solution'!$A$3="Maximize",MAX($C194:$AI194),MIN($C194:$AI194)),$C194:$AI194,0))),V192)</f>
        <v>0</v>
      </c>
      <c r="W207" s="1">
        <f>IF(OR($B198&lt;&gt;$B183,$B199&lt;&gt;$B184,$B200&lt;&gt;$B185,$B201&lt;&gt;$B186,$B202&lt;&gt;$B187,$B203&lt;&gt;$B188,$B204&lt;&gt;$B189,$B205&lt;&gt;$B190,$B206&lt;&gt;$B191,$B207&lt;&gt;$B192,$B208&lt;&gt;$B193),IF($B207&lt;&gt;$B192,W192/INDEX($C183:$AJ193,10,MATCH(IF('Data-solution'!$A$3="Maximize",MAX($C194:$AI194),MIN($C194:$AI194)),$C194:$AI194,0)),W192-INDEX($C183:$AJ193,10,MATCH(IF('Data-solution'!$A$3="Maximize",MAX($C194:$AI194),MIN($C194:$AI194)),$C194:$AI194,0))*INDEX(W183:$AJ193,MATCH(MIN($AK183:$AK193),$AK183:$AK193,0),1)/INDEX($C183:$AJ193,MATCH(MIN($AK183:$AK193),$AK183:$AK193,0),MATCH(IF('Data-solution'!$A$3="Maximize",MAX($C194:$AI194),MIN($C194:$AI194)),$C194:$AI194,0))),W192)</f>
        <v>1</v>
      </c>
      <c r="X207" s="1">
        <f>IF(OR($B198&lt;&gt;$B183,$B199&lt;&gt;$B184,$B200&lt;&gt;$B185,$B201&lt;&gt;$B186,$B202&lt;&gt;$B187,$B203&lt;&gt;$B188,$B204&lt;&gt;$B189,$B205&lt;&gt;$B190,$B206&lt;&gt;$B191,$B207&lt;&gt;$B192,$B208&lt;&gt;$B193),IF($B207&lt;&gt;$B192,X192/INDEX($C183:$AJ193,10,MATCH(IF('Data-solution'!$A$3="Maximize",MAX($C194:$AI194),MIN($C194:$AI194)),$C194:$AI194,0)),X192-INDEX($C183:$AJ193,10,MATCH(IF('Data-solution'!$A$3="Maximize",MAX($C194:$AI194),MIN($C194:$AI194)),$C194:$AI194,0))*INDEX(X183:$AJ193,MATCH(MIN($AK183:$AK193),$AK183:$AK193,0),1)/INDEX($C183:$AJ193,MATCH(MIN($AK183:$AK193),$AK183:$AK193,0),MATCH(IF('Data-solution'!$A$3="Maximize",MAX($C194:$AI194),MIN($C194:$AI194)),$C194:$AI194,0))),X192)</f>
        <v>0</v>
      </c>
      <c r="Y207" s="1">
        <f>IF(OR($B198&lt;&gt;$B183,$B199&lt;&gt;$B184,$B200&lt;&gt;$B185,$B201&lt;&gt;$B186,$B202&lt;&gt;$B187,$B203&lt;&gt;$B188,$B204&lt;&gt;$B189,$B205&lt;&gt;$B190,$B206&lt;&gt;$B191,$B207&lt;&gt;$B192,$B208&lt;&gt;$B193),IF($B207&lt;&gt;$B192,Y192/INDEX($C183:$AJ193,10,MATCH(IF('Data-solution'!$A$3="Maximize",MAX($C194:$AI194),MIN($C194:$AI194)),$C194:$AI194,0)),Y192-INDEX($C183:$AJ193,10,MATCH(IF('Data-solution'!$A$3="Maximize",MAX($C194:$AI194),MIN($C194:$AI194)),$C194:$AI194,0))*INDEX(Y183:$AJ193,MATCH(MIN($AK183:$AK193),$AK183:$AK193,0),1)/INDEX($C183:$AJ193,MATCH(MIN($AK183:$AK193),$AK183:$AK193,0),MATCH(IF('Data-solution'!$A$3="Maximize",MAX($C194:$AI194),MIN($C194:$AI194)),$C194:$AI194,0))),Y192)</f>
        <v>0</v>
      </c>
      <c r="Z207" s="1">
        <f>IF(OR($B198&lt;&gt;$B183,$B199&lt;&gt;$B184,$B200&lt;&gt;$B185,$B201&lt;&gt;$B186,$B202&lt;&gt;$B187,$B203&lt;&gt;$B188,$B204&lt;&gt;$B189,$B205&lt;&gt;$B190,$B206&lt;&gt;$B191,$B207&lt;&gt;$B192,$B208&lt;&gt;$B193),IF($B207&lt;&gt;$B192,Z192/INDEX($C183:$AJ193,10,MATCH(IF('Data-solution'!$A$3="Maximize",MAX($C194:$AI194),MIN($C194:$AI194)),$C194:$AI194,0)),Z192-INDEX($C183:$AJ193,10,MATCH(IF('Data-solution'!$A$3="Maximize",MAX($C194:$AI194),MIN($C194:$AI194)),$C194:$AI194,0))*INDEX(Z183:$AJ193,MATCH(MIN($AK183:$AK193),$AK183:$AK193,0),1)/INDEX($C183:$AJ193,MATCH(MIN($AK183:$AK193),$AK183:$AK193,0),MATCH(IF('Data-solution'!$A$3="Maximize",MAX($C194:$AI194),MIN($C194:$AI194)),$C194:$AI194,0))),Z192)</f>
        <v>0</v>
      </c>
      <c r="AA207" s="1">
        <f>IF(OR($B198&lt;&gt;$B183,$B199&lt;&gt;$B184,$B200&lt;&gt;$B185,$B201&lt;&gt;$B186,$B202&lt;&gt;$B187,$B203&lt;&gt;$B188,$B204&lt;&gt;$B189,$B205&lt;&gt;$B190,$B206&lt;&gt;$B191,$B207&lt;&gt;$B192,$B208&lt;&gt;$B193),IF($B207&lt;&gt;$B192,AA192/INDEX($C183:$AJ193,10,MATCH(IF('Data-solution'!$A$3="Maximize",MAX($C194:$AI194),MIN($C194:$AI194)),$C194:$AI194,0)),AA192-INDEX($C183:$AJ193,10,MATCH(IF('Data-solution'!$A$3="Maximize",MAX($C194:$AI194),MIN($C194:$AI194)),$C194:$AI194,0))*INDEX(AA183:$AJ193,MATCH(MIN($AK183:$AK193),$AK183:$AK193,0),1)/INDEX($C183:$AJ193,MATCH(MIN($AK183:$AK193),$AK183:$AK193,0),MATCH(IF('Data-solution'!$A$3="Maximize",MAX($C194:$AI194),MIN($C194:$AI194)),$C194:$AI194,0))),AA192)</f>
        <v>0</v>
      </c>
      <c r="AB207" s="1">
        <f>IF(OR($B198&lt;&gt;$B183,$B199&lt;&gt;$B184,$B200&lt;&gt;$B185,$B201&lt;&gt;$B186,$B202&lt;&gt;$B187,$B203&lt;&gt;$B188,$B204&lt;&gt;$B189,$B205&lt;&gt;$B190,$B206&lt;&gt;$B191,$B207&lt;&gt;$B192,$B208&lt;&gt;$B193),IF($B207&lt;&gt;$B192,AB192/INDEX($C183:$AJ193,10,MATCH(IF('Data-solution'!$A$3="Maximize",MAX($C194:$AI194),MIN($C194:$AI194)),$C194:$AI194,0)),AB192-INDEX($C183:$AJ193,10,MATCH(IF('Data-solution'!$A$3="Maximize",MAX($C194:$AI194),MIN($C194:$AI194)),$C194:$AI194,0))*INDEX(AB183:$AJ193,MATCH(MIN($AK183:$AK193),$AK183:$AK193,0),1)/INDEX($C183:$AJ193,MATCH(MIN($AK183:$AK193),$AK183:$AK193,0),MATCH(IF('Data-solution'!$A$3="Maximize",MAX($C194:$AI194),MIN($C194:$AI194)),$C194:$AI194,0))),AB192)</f>
        <v>0</v>
      </c>
      <c r="AC207" s="1">
        <f>IF(OR($B198&lt;&gt;$B183,$B199&lt;&gt;$B184,$B200&lt;&gt;$B185,$B201&lt;&gt;$B186,$B202&lt;&gt;$B187,$B203&lt;&gt;$B188,$B204&lt;&gt;$B189,$B205&lt;&gt;$B190,$B206&lt;&gt;$B191,$B207&lt;&gt;$B192,$B208&lt;&gt;$B193),IF($B207&lt;&gt;$B192,AC192/INDEX($C183:$AJ193,10,MATCH(IF('Data-solution'!$A$3="Maximize",MAX($C194:$AI194),MIN($C194:$AI194)),$C194:$AI194,0)),AC192-INDEX($C183:$AJ193,10,MATCH(IF('Data-solution'!$A$3="Maximize",MAX($C194:$AI194),MIN($C194:$AI194)),$C194:$AI194,0))*INDEX(AC183:$AJ193,MATCH(MIN($AK183:$AK193),$AK183:$AK193,0),1)/INDEX($C183:$AJ193,MATCH(MIN($AK183:$AK193),$AK183:$AK193,0),MATCH(IF('Data-solution'!$A$3="Maximize",MAX($C194:$AI194),MIN($C194:$AI194)),$C194:$AI194,0))),AC192)</f>
        <v>0</v>
      </c>
      <c r="AD207" s="1">
        <f>IF(OR($B198&lt;&gt;$B183,$B199&lt;&gt;$B184,$B200&lt;&gt;$B185,$B201&lt;&gt;$B186,$B202&lt;&gt;$B187,$B203&lt;&gt;$B188,$B204&lt;&gt;$B189,$B205&lt;&gt;$B190,$B206&lt;&gt;$B191,$B207&lt;&gt;$B192,$B208&lt;&gt;$B193),IF($B207&lt;&gt;$B192,AD192/INDEX($C183:$AJ193,10,MATCH(IF('Data-solution'!$A$3="Maximize",MAX($C194:$AI194),MIN($C194:$AI194)),$C194:$AI194,0)),AD192-INDEX($C183:$AJ193,10,MATCH(IF('Data-solution'!$A$3="Maximize",MAX($C194:$AI194),MIN($C194:$AI194)),$C194:$AI194,0))*INDEX(AD183:$AJ193,MATCH(MIN($AK183:$AK193),$AK183:$AK193,0),1)/INDEX($C183:$AJ193,MATCH(MIN($AK183:$AK193),$AK183:$AK193,0),MATCH(IF('Data-solution'!$A$3="Maximize",MAX($C194:$AI194),MIN($C194:$AI194)),$C194:$AI194,0))),AD192)</f>
        <v>0</v>
      </c>
      <c r="AE207" s="1">
        <f>IF(OR($B198&lt;&gt;$B183,$B199&lt;&gt;$B184,$B200&lt;&gt;$B185,$B201&lt;&gt;$B186,$B202&lt;&gt;$B187,$B203&lt;&gt;$B188,$B204&lt;&gt;$B189,$B205&lt;&gt;$B190,$B206&lt;&gt;$B191,$B207&lt;&gt;$B192,$B208&lt;&gt;$B193),IF($B207&lt;&gt;$B192,AE192/INDEX($C183:$AJ193,10,MATCH(IF('Data-solution'!$A$3="Maximize",MAX($C194:$AI194),MIN($C194:$AI194)),$C194:$AI194,0)),AE192-INDEX($C183:$AJ193,10,MATCH(IF('Data-solution'!$A$3="Maximize",MAX($C194:$AI194),MIN($C194:$AI194)),$C194:$AI194,0))*INDEX(AE183:$AJ193,MATCH(MIN($AK183:$AK193),$AK183:$AK193,0),1)/INDEX($C183:$AJ193,MATCH(MIN($AK183:$AK193),$AK183:$AK193,0),MATCH(IF('Data-solution'!$A$3="Maximize",MAX($C194:$AI194),MIN($C194:$AI194)),$C194:$AI194,0))),AE192)</f>
        <v>0</v>
      </c>
      <c r="AF207" s="1">
        <f>IF(OR($B198&lt;&gt;$B183,$B199&lt;&gt;$B184,$B200&lt;&gt;$B185,$B201&lt;&gt;$B186,$B202&lt;&gt;$B187,$B203&lt;&gt;$B188,$B204&lt;&gt;$B189,$B205&lt;&gt;$B190,$B206&lt;&gt;$B191,$B207&lt;&gt;$B192,$B208&lt;&gt;$B193),IF($B207&lt;&gt;$B192,AF192/INDEX($C183:$AJ193,10,MATCH(IF('Data-solution'!$A$3="Maximize",MAX($C194:$AI194),MIN($C194:$AI194)),$C194:$AI194,0)),AF192-INDEX($C183:$AJ193,10,MATCH(IF('Data-solution'!$A$3="Maximize",MAX($C194:$AI194),MIN($C194:$AI194)),$C194:$AI194,0))*INDEX(AF183:$AJ193,MATCH(MIN($AK183:$AK193),$AK183:$AK193,0),1)/INDEX($C183:$AJ193,MATCH(MIN($AK183:$AK193),$AK183:$AK193,0),MATCH(IF('Data-solution'!$A$3="Maximize",MAX($C194:$AI194),MIN($C194:$AI194)),$C194:$AI194,0))),AF192)</f>
        <v>0</v>
      </c>
      <c r="AG207" s="1">
        <f>IF(OR($B198&lt;&gt;$B183,$B199&lt;&gt;$B184,$B200&lt;&gt;$B185,$B201&lt;&gt;$B186,$B202&lt;&gt;$B187,$B203&lt;&gt;$B188,$B204&lt;&gt;$B189,$B205&lt;&gt;$B190,$B206&lt;&gt;$B191,$B207&lt;&gt;$B192,$B208&lt;&gt;$B193),IF($B207&lt;&gt;$B192,AG192/INDEX($C183:$AJ193,10,MATCH(IF('Data-solution'!$A$3="Maximize",MAX($C194:$AI194),MIN($C194:$AI194)),$C194:$AI194,0)),AG192-INDEX($C183:$AJ193,10,MATCH(IF('Data-solution'!$A$3="Maximize",MAX($C194:$AI194),MIN($C194:$AI194)),$C194:$AI194,0))*INDEX(AG183:$AJ193,MATCH(MIN($AK183:$AK193),$AK183:$AK193,0),1)/INDEX($C183:$AJ193,MATCH(MIN($AK183:$AK193),$AK183:$AK193,0),MATCH(IF('Data-solution'!$A$3="Maximize",MAX($C194:$AI194),MIN($C194:$AI194)),$C194:$AI194,0))),AG192)</f>
        <v>0</v>
      </c>
      <c r="AH207" s="1">
        <f>IF(OR($B198&lt;&gt;$B183,$B199&lt;&gt;$B184,$B200&lt;&gt;$B185,$B201&lt;&gt;$B186,$B202&lt;&gt;$B187,$B203&lt;&gt;$B188,$B204&lt;&gt;$B189,$B205&lt;&gt;$B190,$B206&lt;&gt;$B191,$B207&lt;&gt;$B192,$B208&lt;&gt;$B193),IF($B207&lt;&gt;$B192,AH192/INDEX($C183:$AJ193,10,MATCH(IF('Data-solution'!$A$3="Maximize",MAX($C194:$AI194),MIN($C194:$AI194)),$C194:$AI194,0)),AH192-INDEX($C183:$AJ193,10,MATCH(IF('Data-solution'!$A$3="Maximize",MAX($C194:$AI194),MIN($C194:$AI194)),$C194:$AI194,0))*INDEX(AH183:$AJ193,MATCH(MIN($AK183:$AK193),$AK183:$AK193,0),1)/INDEX($C183:$AJ193,MATCH(MIN($AK183:$AK193),$AK183:$AK193,0),MATCH(IF('Data-solution'!$A$3="Maximize",MAX($C194:$AI194),MIN($C194:$AI194)),$C194:$AI194,0))),AH192)</f>
        <v>1</v>
      </c>
      <c r="AI207" s="1">
        <f>IF(OR($B198&lt;&gt;$B183,$B199&lt;&gt;$B184,$B200&lt;&gt;$B185,$B201&lt;&gt;$B186,$B202&lt;&gt;$B187,$B203&lt;&gt;$B188,$B204&lt;&gt;$B189,$B205&lt;&gt;$B190,$B206&lt;&gt;$B191,$B207&lt;&gt;$B192,$B208&lt;&gt;$B193),IF($B207&lt;&gt;$B192,AI192/INDEX($C183:$AJ193,10,MATCH(IF('Data-solution'!$A$3="Maximize",MAX($C194:$AI194),MIN($C194:$AI194)),$C194:$AI194,0)),AI192-INDEX($C183:$AJ193,10,MATCH(IF('Data-solution'!$A$3="Maximize",MAX($C194:$AI194),MIN($C194:$AI194)),$C194:$AI194,0))*INDEX(AI183:$AJ193,MATCH(MIN($AK183:$AK193),$AK183:$AK193,0),1)/INDEX($C183:$AJ193,MATCH(MIN($AK183:$AK193),$AK183:$AK193,0),MATCH(IF('Data-solution'!$A$3="Maximize",MAX($C194:$AI194),MIN($C194:$AI194)),$C194:$AI194,0))),AI192)</f>
        <v>0</v>
      </c>
      <c r="AJ207" s="1">
        <f>IF(OR($B198&lt;&gt;$B183,$B199&lt;&gt;$B184,$B200&lt;&gt;$B185,$B201&lt;&gt;$B186,$B202&lt;&gt;$B187,$B203&lt;&gt;$B188,$B204&lt;&gt;$B189,$B205&lt;&gt;$B190,$B206&lt;&gt;$B191,$B207&lt;&gt;$B192,$B208&lt;&gt;$B193),IF($B207&lt;&gt;$B192,AJ192/INDEX($C183:$AJ193,10,MATCH(IF('Data-solution'!$A$3="Maximize",MAX($C194:$AI194),MIN($C194:$AI194)),$C194:$AI194,0)),AJ192-INDEX($C183:$AJ193,10,MATCH(IF('Data-solution'!$A$3="Maximize",MAX($C194:$AI194),MIN($C194:$AI194)),$C194:$AI194,0))*INDEX(AJ183:$AJ193,MATCH(MIN($AK183:$AK193),$AK183:$AK193,0),1)/INDEX($C183:$AJ193,MATCH(MIN($AK183:$AK193),$AK183:$AK193,0),MATCH(IF('Data-solution'!$A$3="Maximize",MAX($C194:$AI194),MIN($C194:$AI194)),$C194:$AI194,0))),AJ192)</f>
        <v>0</v>
      </c>
      <c r="AK207" s="1" t="str">
        <f>IF(INDEX(C207:X207,1,MATCH(IF('Data-solution'!A$3="Maximize",MAX(C209:X209),MIN(C209:X209)),C209:X209,0))&gt;0,AJ207/INDEX(C207:X207,1,MATCH(IF('Data-solution'!A$3="Maximize",MAX(C209:X209),MIN(C209:X209)),C209:X209,0))," ")</f>
        <v xml:space="preserve"> </v>
      </c>
    </row>
    <row r="208" spans="1:37" ht="18" customHeight="1" x14ac:dyDescent="0.2">
      <c r="A208" s="1">
        <f t="shared" ref="A208" si="180">INDEX(C196:AI196,1,MATCH(B208,C197:AI197,0))</f>
        <v>0</v>
      </c>
      <c r="B208" s="2" t="str">
        <f>IF(AND('Data-solution'!A$3="Maximize",COUNTIF(C194:X194,"&gt;"&amp;0)&gt;0,AK193=MIN(AK183:AK193),COUNTIF(B198:B207,INDEX(C182:X182,1,MATCH(MAX(C194:X194),C194:X194,0)))=0),INDEX(C182:X182,1,MATCH(MAX(C194:X194),C194:X194,0)),IF(AND('Data-solution'!A$3="Minimize",COUNTIF(C194:X194,"&lt;"&amp;0)&gt;0,AK193=MIN(AK183:AK193),COUNTIF(B198:B207,INDEX(C182:X182,1,MATCH(MIN(C194:X194),C194:X194,0)))=0),INDEX(C182:X182,1,MATCH(MIN(C194:X194),C194:X194,0)),B193))</f>
        <v>S11</v>
      </c>
      <c r="C208" s="1">
        <f>IF(OR($B198&lt;&gt;$B183,$B199&lt;&gt;$B184,$B200&lt;&gt;$B185,$B201&lt;&gt;$B186,$B202&lt;&gt;$B187,$B203&lt;&gt;$B188,$B204&lt;&gt;$B189,$B205&lt;&gt;$B190,$B206&lt;&gt;$B191,$B207&lt;&gt;$B192,$B208&lt;&gt;$B193),IF($B208&lt;&gt;$B193,C193/INDEX($C183:$AJ193,11,MATCH(IF('Data-solution'!$A$3="Maximize",MAX($C194:$AI194),MIN($C194:$AI194)),$C194:$AI194,0)),C193-INDEX($C183:$AJ193,11,MATCH(IF('Data-solution'!$A$3="Maximize",MAX($C194:$AI194),MIN($C194:$AI194)),$C194:$AI194,0))*INDEX(C183:$AJ193,MATCH(MIN($AK183:$AK193),$AK183:$AK193,0),1)/INDEX($C183:$AJ193,MATCH(MIN($AK183:$AK193),$AK183:$AK193,0),MATCH(IF('Data-solution'!$A$3="Maximize",MAX($C194:$AI194),MIN($C194:$AI194)),$C194:$AI194,0))),C193)</f>
        <v>0</v>
      </c>
      <c r="D208" s="1">
        <f>IF(OR($B198&lt;&gt;$B183,$B199&lt;&gt;$B184,$B200&lt;&gt;$B185,$B201&lt;&gt;$B186,$B202&lt;&gt;$B187,$B203&lt;&gt;$B188,$B204&lt;&gt;$B189,$B205&lt;&gt;$B190,$B206&lt;&gt;$B191,$B207&lt;&gt;$B192,$B208&lt;&gt;$B193),IF($B208&lt;&gt;$B193,D193/INDEX($C183:$AJ193,11,MATCH(IF('Data-solution'!$A$3="Maximize",MAX($C194:$AI194),MIN($C194:$AI194)),$C194:$AI194,0)),D193-INDEX($C183:$AJ193,11,MATCH(IF('Data-solution'!$A$3="Maximize",MAX($C194:$AI194),MIN($C194:$AI194)),$C194:$AI194,0))*INDEX(D183:$AJ193,MATCH(MIN($AK183:$AK193),$AK183:$AK193,0),1)/INDEX($C183:$AJ193,MATCH(MIN($AK183:$AK193),$AK183:$AK193,0),MATCH(IF('Data-solution'!$A$3="Maximize",MAX($C194:$AI194),MIN($C194:$AI194)),$C194:$AI194,0))),D193)</f>
        <v>0</v>
      </c>
      <c r="E208" s="1">
        <f>IF(OR($B198&lt;&gt;$B183,$B199&lt;&gt;$B184,$B200&lt;&gt;$B185,$B201&lt;&gt;$B186,$B202&lt;&gt;$B187,$B203&lt;&gt;$B188,$B204&lt;&gt;$B189,$B205&lt;&gt;$B190,$B206&lt;&gt;$B191,$B207&lt;&gt;$B192,$B208&lt;&gt;$B193),IF($B208&lt;&gt;$B193,E193/INDEX($C183:$AJ193,11,MATCH(IF('Data-solution'!$A$3="Maximize",MAX($C194:$AI194),MIN($C194:$AI194)),$C194:$AI194,0)),E193-INDEX($C183:$AJ193,11,MATCH(IF('Data-solution'!$A$3="Maximize",MAX($C194:$AI194),MIN($C194:$AI194)),$C194:$AI194,0))*INDEX(E183:$AJ193,MATCH(MIN($AK183:$AK193),$AK183:$AK193,0),1)/INDEX($C183:$AJ193,MATCH(MIN($AK183:$AK193),$AK183:$AK193,0),MATCH(IF('Data-solution'!$A$3="Maximize",MAX($C194:$AI194),MIN($C194:$AI194)),$C194:$AI194,0))),E193)</f>
        <v>0</v>
      </c>
      <c r="F208" s="1">
        <f>IF(OR($B198&lt;&gt;$B183,$B199&lt;&gt;$B184,$B200&lt;&gt;$B185,$B201&lt;&gt;$B186,$B202&lt;&gt;$B187,$B203&lt;&gt;$B188,$B204&lt;&gt;$B189,$B205&lt;&gt;$B190,$B206&lt;&gt;$B191,$B207&lt;&gt;$B192,$B208&lt;&gt;$B193),IF($B208&lt;&gt;$B193,F193/INDEX($C183:$AJ193,11,MATCH(IF('Data-solution'!$A$3="Maximize",MAX($C194:$AI194),MIN($C194:$AI194)),$C194:$AI194,0)),F193-INDEX($C183:$AJ193,11,MATCH(IF('Data-solution'!$A$3="Maximize",MAX($C194:$AI194),MIN($C194:$AI194)),$C194:$AI194,0))*INDEX(F183:$AJ193,MATCH(MIN($AK183:$AK193),$AK183:$AK193,0),1)/INDEX($C183:$AJ193,MATCH(MIN($AK183:$AK193),$AK183:$AK193,0),MATCH(IF('Data-solution'!$A$3="Maximize",MAX($C194:$AI194),MIN($C194:$AI194)),$C194:$AI194,0))),F193)</f>
        <v>0</v>
      </c>
      <c r="G208" s="1">
        <f>IF(OR($B198&lt;&gt;$B183,$B199&lt;&gt;$B184,$B200&lt;&gt;$B185,$B201&lt;&gt;$B186,$B202&lt;&gt;$B187,$B203&lt;&gt;$B188,$B204&lt;&gt;$B189,$B205&lt;&gt;$B190,$B206&lt;&gt;$B191,$B207&lt;&gt;$B192,$B208&lt;&gt;$B193),IF($B208&lt;&gt;$B193,G193/INDEX($C183:$AJ193,11,MATCH(IF('Data-solution'!$A$3="Maximize",MAX($C194:$AI194),MIN($C194:$AI194)),$C194:$AI194,0)),G193-INDEX($C183:$AJ193,11,MATCH(IF('Data-solution'!$A$3="Maximize",MAX($C194:$AI194),MIN($C194:$AI194)),$C194:$AI194,0))*INDEX(G183:$AJ193,MATCH(MIN($AK183:$AK193),$AK183:$AK193,0),1)/INDEX($C183:$AJ193,MATCH(MIN($AK183:$AK193),$AK183:$AK193,0),MATCH(IF('Data-solution'!$A$3="Maximize",MAX($C194:$AI194),MIN($C194:$AI194)),$C194:$AI194,0))),G193)</f>
        <v>0</v>
      </c>
      <c r="H208" s="1">
        <f>IF(OR($B198&lt;&gt;$B183,$B199&lt;&gt;$B184,$B200&lt;&gt;$B185,$B201&lt;&gt;$B186,$B202&lt;&gt;$B187,$B203&lt;&gt;$B188,$B204&lt;&gt;$B189,$B205&lt;&gt;$B190,$B206&lt;&gt;$B191,$B207&lt;&gt;$B192,$B208&lt;&gt;$B193),IF($B208&lt;&gt;$B193,H193/INDEX($C183:$AJ193,11,MATCH(IF('Data-solution'!$A$3="Maximize",MAX($C194:$AI194),MIN($C194:$AI194)),$C194:$AI194,0)),H193-INDEX($C183:$AJ193,11,MATCH(IF('Data-solution'!$A$3="Maximize",MAX($C194:$AI194),MIN($C194:$AI194)),$C194:$AI194,0))*INDEX(H183:$AJ193,MATCH(MIN($AK183:$AK193),$AK183:$AK193,0),1)/INDEX($C183:$AJ193,MATCH(MIN($AK183:$AK193),$AK183:$AK193,0),MATCH(IF('Data-solution'!$A$3="Maximize",MAX($C194:$AI194),MIN($C194:$AI194)),$C194:$AI194,0))),H193)</f>
        <v>0</v>
      </c>
      <c r="I208" s="1">
        <f>IF(OR($B198&lt;&gt;$B183,$B199&lt;&gt;$B184,$B200&lt;&gt;$B185,$B201&lt;&gt;$B186,$B202&lt;&gt;$B187,$B203&lt;&gt;$B188,$B204&lt;&gt;$B189,$B205&lt;&gt;$B190,$B206&lt;&gt;$B191,$B207&lt;&gt;$B192,$B208&lt;&gt;$B193),IF($B208&lt;&gt;$B193,I193/INDEX($C183:$AJ193,11,MATCH(IF('Data-solution'!$A$3="Maximize",MAX($C194:$AI194),MIN($C194:$AI194)),$C194:$AI194,0)),I193-INDEX($C183:$AJ193,11,MATCH(IF('Data-solution'!$A$3="Maximize",MAX($C194:$AI194),MIN($C194:$AI194)),$C194:$AI194,0))*INDEX(I183:$AJ193,MATCH(MIN($AK183:$AK193),$AK183:$AK193,0),1)/INDEX($C183:$AJ193,MATCH(MIN($AK183:$AK193),$AK183:$AK193,0),MATCH(IF('Data-solution'!$A$3="Maximize",MAX($C194:$AI194),MIN($C194:$AI194)),$C194:$AI194,0))),I193)</f>
        <v>0</v>
      </c>
      <c r="J208" s="1">
        <f>IF(OR($B198&lt;&gt;$B183,$B199&lt;&gt;$B184,$B200&lt;&gt;$B185,$B201&lt;&gt;$B186,$B202&lt;&gt;$B187,$B203&lt;&gt;$B188,$B204&lt;&gt;$B189,$B205&lt;&gt;$B190,$B206&lt;&gt;$B191,$B207&lt;&gt;$B192,$B208&lt;&gt;$B193),IF($B208&lt;&gt;$B193,J193/INDEX($C183:$AJ193,11,MATCH(IF('Data-solution'!$A$3="Maximize",MAX($C194:$AI194),MIN($C194:$AI194)),$C194:$AI194,0)),J193-INDEX($C183:$AJ193,11,MATCH(IF('Data-solution'!$A$3="Maximize",MAX($C194:$AI194),MIN($C194:$AI194)),$C194:$AI194,0))*INDEX(J183:$AJ193,MATCH(MIN($AK183:$AK193),$AK183:$AK193,0),1)/INDEX($C183:$AJ193,MATCH(MIN($AK183:$AK193),$AK183:$AK193,0),MATCH(IF('Data-solution'!$A$3="Maximize",MAX($C194:$AI194),MIN($C194:$AI194)),$C194:$AI194,0))),J193)</f>
        <v>0</v>
      </c>
      <c r="K208" s="1">
        <f>IF(OR($B198&lt;&gt;$B183,$B199&lt;&gt;$B184,$B200&lt;&gt;$B185,$B201&lt;&gt;$B186,$B202&lt;&gt;$B187,$B203&lt;&gt;$B188,$B204&lt;&gt;$B189,$B205&lt;&gt;$B190,$B206&lt;&gt;$B191,$B207&lt;&gt;$B192,$B208&lt;&gt;$B193),IF($B208&lt;&gt;$B193,K193/INDEX($C183:$AJ193,11,MATCH(IF('Data-solution'!$A$3="Maximize",MAX($C194:$AI194),MIN($C194:$AI194)),$C194:$AI194,0)),K193-INDEX($C183:$AJ193,11,MATCH(IF('Data-solution'!$A$3="Maximize",MAX($C194:$AI194),MIN($C194:$AI194)),$C194:$AI194,0))*INDEX(K183:$AJ193,MATCH(MIN($AK183:$AK193),$AK183:$AK193,0),1)/INDEX($C183:$AJ193,MATCH(MIN($AK183:$AK193),$AK183:$AK193,0),MATCH(IF('Data-solution'!$A$3="Maximize",MAX($C194:$AI194),MIN($C194:$AI194)),$C194:$AI194,0))),K193)</f>
        <v>0</v>
      </c>
      <c r="L208" s="1">
        <f>IF(OR($B198&lt;&gt;$B183,$B199&lt;&gt;$B184,$B200&lt;&gt;$B185,$B201&lt;&gt;$B186,$B202&lt;&gt;$B187,$B203&lt;&gt;$B188,$B204&lt;&gt;$B189,$B205&lt;&gt;$B190,$B206&lt;&gt;$B191,$B207&lt;&gt;$B192,$B208&lt;&gt;$B193),IF($B208&lt;&gt;$B193,L193/INDEX($C183:$AJ193,11,MATCH(IF('Data-solution'!$A$3="Maximize",MAX($C194:$AI194),MIN($C194:$AI194)),$C194:$AI194,0)),L193-INDEX($C183:$AJ193,11,MATCH(IF('Data-solution'!$A$3="Maximize",MAX($C194:$AI194),MIN($C194:$AI194)),$C194:$AI194,0))*INDEX(L183:$AJ193,MATCH(MIN($AK183:$AK193),$AK183:$AK193,0),1)/INDEX($C183:$AJ193,MATCH(MIN($AK183:$AK193),$AK183:$AK193,0),MATCH(IF('Data-solution'!$A$3="Maximize",MAX($C194:$AI194),MIN($C194:$AI194)),$C194:$AI194,0))),L193)</f>
        <v>0</v>
      </c>
      <c r="M208" s="1">
        <f>IF(OR($B198&lt;&gt;$B183,$B199&lt;&gt;$B184,$B200&lt;&gt;$B185,$B201&lt;&gt;$B186,$B202&lt;&gt;$B187,$B203&lt;&gt;$B188,$B204&lt;&gt;$B189,$B205&lt;&gt;$B190,$B206&lt;&gt;$B191,$B207&lt;&gt;$B192,$B208&lt;&gt;$B193),IF($B208&lt;&gt;$B193,M193/INDEX($C183:$AJ193,11,MATCH(IF('Data-solution'!$A$3="Maximize",MAX($C194:$AI194),MIN($C194:$AI194)),$C194:$AI194,0)),M193-INDEX($C183:$AJ193,11,MATCH(IF('Data-solution'!$A$3="Maximize",MAX($C194:$AI194),MIN($C194:$AI194)),$C194:$AI194,0))*INDEX(M183:$AJ193,MATCH(MIN($AK183:$AK193),$AK183:$AK193,0),1)/INDEX($C183:$AJ193,MATCH(MIN($AK183:$AK193),$AK183:$AK193,0),MATCH(IF('Data-solution'!$A$3="Maximize",MAX($C194:$AI194),MIN($C194:$AI194)),$C194:$AI194,0))),M193)</f>
        <v>0</v>
      </c>
      <c r="N208" s="1">
        <f>IF(OR($B198&lt;&gt;$B183,$B199&lt;&gt;$B184,$B200&lt;&gt;$B185,$B201&lt;&gt;$B186,$B202&lt;&gt;$B187,$B203&lt;&gt;$B188,$B204&lt;&gt;$B189,$B205&lt;&gt;$B190,$B206&lt;&gt;$B191,$B207&lt;&gt;$B192,$B208&lt;&gt;$B193),IF($B208&lt;&gt;$B193,N193/INDEX($C183:$AJ193,11,MATCH(IF('Data-solution'!$A$3="Maximize",MAX($C194:$AI194),MIN($C194:$AI194)),$C194:$AI194,0)),N193-INDEX($C183:$AJ193,11,MATCH(IF('Data-solution'!$A$3="Maximize",MAX($C194:$AI194),MIN($C194:$AI194)),$C194:$AI194,0))*INDEX(N183:$AJ193,MATCH(MIN($AK183:$AK193),$AK183:$AK193,0),1)/INDEX($C183:$AJ193,MATCH(MIN($AK183:$AK193),$AK183:$AK193,0),MATCH(IF('Data-solution'!$A$3="Maximize",MAX($C194:$AI194),MIN($C194:$AI194)),$C194:$AI194,0))),N193)</f>
        <v>0</v>
      </c>
      <c r="O208" s="1">
        <f>IF(OR($B198&lt;&gt;$B183,$B199&lt;&gt;$B184,$B200&lt;&gt;$B185,$B201&lt;&gt;$B186,$B202&lt;&gt;$B187,$B203&lt;&gt;$B188,$B204&lt;&gt;$B189,$B205&lt;&gt;$B190,$B206&lt;&gt;$B191,$B207&lt;&gt;$B192,$B208&lt;&gt;$B193),IF($B208&lt;&gt;$B193,O193/INDEX($C183:$AJ193,11,MATCH(IF('Data-solution'!$A$3="Maximize",MAX($C194:$AI194),MIN($C194:$AI194)),$C194:$AI194,0)),O193-INDEX($C183:$AJ193,11,MATCH(IF('Data-solution'!$A$3="Maximize",MAX($C194:$AI194),MIN($C194:$AI194)),$C194:$AI194,0))*INDEX(O183:$AJ193,MATCH(MIN($AK183:$AK193),$AK183:$AK193,0),1)/INDEX($C183:$AJ193,MATCH(MIN($AK183:$AK193),$AK183:$AK193,0),MATCH(IF('Data-solution'!$A$3="Maximize",MAX($C194:$AI194),MIN($C194:$AI194)),$C194:$AI194,0))),O193)</f>
        <v>0</v>
      </c>
      <c r="P208" s="1">
        <f>IF(OR($B198&lt;&gt;$B183,$B199&lt;&gt;$B184,$B200&lt;&gt;$B185,$B201&lt;&gt;$B186,$B202&lt;&gt;$B187,$B203&lt;&gt;$B188,$B204&lt;&gt;$B189,$B205&lt;&gt;$B190,$B206&lt;&gt;$B191,$B207&lt;&gt;$B192,$B208&lt;&gt;$B193),IF($B208&lt;&gt;$B193,P193/INDEX($C183:$AJ193,11,MATCH(IF('Data-solution'!$A$3="Maximize",MAX($C194:$AI194),MIN($C194:$AI194)),$C194:$AI194,0)),P193-INDEX($C183:$AJ193,11,MATCH(IF('Data-solution'!$A$3="Maximize",MAX($C194:$AI194),MIN($C194:$AI194)),$C194:$AI194,0))*INDEX(P183:$AJ193,MATCH(MIN($AK183:$AK193),$AK183:$AK193,0),1)/INDEX($C183:$AJ193,MATCH(MIN($AK183:$AK193),$AK183:$AK193,0),MATCH(IF('Data-solution'!$A$3="Maximize",MAX($C194:$AI194),MIN($C194:$AI194)),$C194:$AI194,0))),P193)</f>
        <v>0</v>
      </c>
      <c r="Q208" s="1">
        <f>IF(OR($B198&lt;&gt;$B183,$B199&lt;&gt;$B184,$B200&lt;&gt;$B185,$B201&lt;&gt;$B186,$B202&lt;&gt;$B187,$B203&lt;&gt;$B188,$B204&lt;&gt;$B189,$B205&lt;&gt;$B190,$B206&lt;&gt;$B191,$B207&lt;&gt;$B192,$B208&lt;&gt;$B193),IF($B208&lt;&gt;$B193,Q193/INDEX($C183:$AJ193,11,MATCH(IF('Data-solution'!$A$3="Maximize",MAX($C194:$AI194),MIN($C194:$AI194)),$C194:$AI194,0)),Q193-INDEX($C183:$AJ193,11,MATCH(IF('Data-solution'!$A$3="Maximize",MAX($C194:$AI194),MIN($C194:$AI194)),$C194:$AI194,0))*INDEX(Q183:$AJ193,MATCH(MIN($AK183:$AK193),$AK183:$AK193,0),1)/INDEX($C183:$AJ193,MATCH(MIN($AK183:$AK193),$AK183:$AK193,0),MATCH(IF('Data-solution'!$A$3="Maximize",MAX($C194:$AI194),MIN($C194:$AI194)),$C194:$AI194,0))),Q193)</f>
        <v>0</v>
      </c>
      <c r="R208" s="1">
        <f>IF(OR($B198&lt;&gt;$B183,$B199&lt;&gt;$B184,$B200&lt;&gt;$B185,$B201&lt;&gt;$B186,$B202&lt;&gt;$B187,$B203&lt;&gt;$B188,$B204&lt;&gt;$B189,$B205&lt;&gt;$B190,$B206&lt;&gt;$B191,$B207&lt;&gt;$B192,$B208&lt;&gt;$B193),IF($B208&lt;&gt;$B193,R193/INDEX($C183:$AJ193,11,MATCH(IF('Data-solution'!$A$3="Maximize",MAX($C194:$AI194),MIN($C194:$AI194)),$C194:$AI194,0)),R193-INDEX($C183:$AJ193,11,MATCH(IF('Data-solution'!$A$3="Maximize",MAX($C194:$AI194),MIN($C194:$AI194)),$C194:$AI194,0))*INDEX(R183:$AJ193,MATCH(MIN($AK183:$AK193),$AK183:$AK193,0),1)/INDEX($C183:$AJ193,MATCH(MIN($AK183:$AK193),$AK183:$AK193,0),MATCH(IF('Data-solution'!$A$3="Maximize",MAX($C194:$AI194),MIN($C194:$AI194)),$C194:$AI194,0))),R193)</f>
        <v>0</v>
      </c>
      <c r="S208" s="1">
        <f>IF(OR($B198&lt;&gt;$B183,$B199&lt;&gt;$B184,$B200&lt;&gt;$B185,$B201&lt;&gt;$B186,$B202&lt;&gt;$B187,$B203&lt;&gt;$B188,$B204&lt;&gt;$B189,$B205&lt;&gt;$B190,$B206&lt;&gt;$B191,$B207&lt;&gt;$B192,$B208&lt;&gt;$B193),IF($B208&lt;&gt;$B193,S193/INDEX($C183:$AJ193,11,MATCH(IF('Data-solution'!$A$3="Maximize",MAX($C194:$AI194),MIN($C194:$AI194)),$C194:$AI194,0)),S193-INDEX($C183:$AJ193,11,MATCH(IF('Data-solution'!$A$3="Maximize",MAX($C194:$AI194),MIN($C194:$AI194)),$C194:$AI194,0))*INDEX(S183:$AJ193,MATCH(MIN($AK183:$AK193),$AK183:$AK193,0),1)/INDEX($C183:$AJ193,MATCH(MIN($AK183:$AK193),$AK183:$AK193,0),MATCH(IF('Data-solution'!$A$3="Maximize",MAX($C194:$AI194),MIN($C194:$AI194)),$C194:$AI194,0))),S193)</f>
        <v>0</v>
      </c>
      <c r="T208" s="1">
        <f>IF(OR($B198&lt;&gt;$B183,$B199&lt;&gt;$B184,$B200&lt;&gt;$B185,$B201&lt;&gt;$B186,$B202&lt;&gt;$B187,$B203&lt;&gt;$B188,$B204&lt;&gt;$B189,$B205&lt;&gt;$B190,$B206&lt;&gt;$B191,$B207&lt;&gt;$B192,$B208&lt;&gt;$B193),IF($B208&lt;&gt;$B193,T193/INDEX($C183:$AJ193,11,MATCH(IF('Data-solution'!$A$3="Maximize",MAX($C194:$AI194),MIN($C194:$AI194)),$C194:$AI194,0)),T193-INDEX($C183:$AJ193,11,MATCH(IF('Data-solution'!$A$3="Maximize",MAX($C194:$AI194),MIN($C194:$AI194)),$C194:$AI194,0))*INDEX(T183:$AJ193,MATCH(MIN($AK183:$AK193),$AK183:$AK193,0),1)/INDEX($C183:$AJ193,MATCH(MIN($AK183:$AK193),$AK183:$AK193,0),MATCH(IF('Data-solution'!$A$3="Maximize",MAX($C194:$AI194),MIN($C194:$AI194)),$C194:$AI194,0))),T193)</f>
        <v>0</v>
      </c>
      <c r="U208" s="1">
        <f>IF(OR($B198&lt;&gt;$B183,$B199&lt;&gt;$B184,$B200&lt;&gt;$B185,$B201&lt;&gt;$B186,$B202&lt;&gt;$B187,$B203&lt;&gt;$B188,$B204&lt;&gt;$B189,$B205&lt;&gt;$B190,$B206&lt;&gt;$B191,$B207&lt;&gt;$B192,$B208&lt;&gt;$B193),IF($B208&lt;&gt;$B193,U193/INDEX($C183:$AJ193,11,MATCH(IF('Data-solution'!$A$3="Maximize",MAX($C194:$AI194),MIN($C194:$AI194)),$C194:$AI194,0)),U193-INDEX($C183:$AJ193,11,MATCH(IF('Data-solution'!$A$3="Maximize",MAX($C194:$AI194),MIN($C194:$AI194)),$C194:$AI194,0))*INDEX(U183:$AJ193,MATCH(MIN($AK183:$AK193),$AK183:$AK193,0),1)/INDEX($C183:$AJ193,MATCH(MIN($AK183:$AK193),$AK183:$AK193,0),MATCH(IF('Data-solution'!$A$3="Maximize",MAX($C194:$AI194),MIN($C194:$AI194)),$C194:$AI194,0))),U193)</f>
        <v>0</v>
      </c>
      <c r="V208" s="1">
        <f>IF(OR($B198&lt;&gt;$B183,$B199&lt;&gt;$B184,$B200&lt;&gt;$B185,$B201&lt;&gt;$B186,$B202&lt;&gt;$B187,$B203&lt;&gt;$B188,$B204&lt;&gt;$B189,$B205&lt;&gt;$B190,$B206&lt;&gt;$B191,$B207&lt;&gt;$B192,$B208&lt;&gt;$B193),IF($B208&lt;&gt;$B193,V193/INDEX($C183:$AJ193,11,MATCH(IF('Data-solution'!$A$3="Maximize",MAX($C194:$AI194),MIN($C194:$AI194)),$C194:$AI194,0)),V193-INDEX($C183:$AJ193,11,MATCH(IF('Data-solution'!$A$3="Maximize",MAX($C194:$AI194),MIN($C194:$AI194)),$C194:$AI194,0))*INDEX(V183:$AJ193,MATCH(MIN($AK183:$AK193),$AK183:$AK193,0),1)/INDEX($C183:$AJ193,MATCH(MIN($AK183:$AK193),$AK183:$AK193,0),MATCH(IF('Data-solution'!$A$3="Maximize",MAX($C194:$AI194),MIN($C194:$AI194)),$C194:$AI194,0))),V193)</f>
        <v>0</v>
      </c>
      <c r="W208" s="1">
        <f>IF(OR($B198&lt;&gt;$B183,$B199&lt;&gt;$B184,$B200&lt;&gt;$B185,$B201&lt;&gt;$B186,$B202&lt;&gt;$B187,$B203&lt;&gt;$B188,$B204&lt;&gt;$B189,$B205&lt;&gt;$B190,$B206&lt;&gt;$B191,$B207&lt;&gt;$B192,$B208&lt;&gt;$B193),IF($B208&lt;&gt;$B193,W193/INDEX($C183:$AJ193,11,MATCH(IF('Data-solution'!$A$3="Maximize",MAX($C194:$AI194),MIN($C194:$AI194)),$C194:$AI194,0)),W193-INDEX($C183:$AJ193,11,MATCH(IF('Data-solution'!$A$3="Maximize",MAX($C194:$AI194),MIN($C194:$AI194)),$C194:$AI194,0))*INDEX(W183:$AJ193,MATCH(MIN($AK183:$AK193),$AK183:$AK193,0),1)/INDEX($C183:$AJ193,MATCH(MIN($AK183:$AK193),$AK183:$AK193,0),MATCH(IF('Data-solution'!$A$3="Maximize",MAX($C194:$AI194),MIN($C194:$AI194)),$C194:$AI194,0))),W193)</f>
        <v>0</v>
      </c>
      <c r="X208" s="1">
        <f>IF(OR($B198&lt;&gt;$B183,$B199&lt;&gt;$B184,$B200&lt;&gt;$B185,$B201&lt;&gt;$B186,$B202&lt;&gt;$B187,$B203&lt;&gt;$B188,$B204&lt;&gt;$B189,$B205&lt;&gt;$B190,$B206&lt;&gt;$B191,$B207&lt;&gt;$B192,$B208&lt;&gt;$B193),IF($B208&lt;&gt;$B193,X193/INDEX($C183:$AJ193,11,MATCH(IF('Data-solution'!$A$3="Maximize",MAX($C194:$AI194),MIN($C194:$AI194)),$C194:$AI194,0)),X193-INDEX($C183:$AJ193,11,MATCH(IF('Data-solution'!$A$3="Maximize",MAX($C194:$AI194),MIN($C194:$AI194)),$C194:$AI194,0))*INDEX(X183:$AJ193,MATCH(MIN($AK183:$AK193),$AK183:$AK193,0),1)/INDEX($C183:$AJ193,MATCH(MIN($AK183:$AK193),$AK183:$AK193,0),MATCH(IF('Data-solution'!$A$3="Maximize",MAX($C194:$AI194),MIN($C194:$AI194)),$C194:$AI194,0))),X193)</f>
        <v>1</v>
      </c>
      <c r="Y208" s="1">
        <f>IF(OR($B198&lt;&gt;$B183,$B199&lt;&gt;$B184,$B200&lt;&gt;$B185,$B201&lt;&gt;$B186,$B202&lt;&gt;$B187,$B203&lt;&gt;$B188,$B204&lt;&gt;$B189,$B205&lt;&gt;$B190,$B206&lt;&gt;$B191,$B207&lt;&gt;$B192,$B208&lt;&gt;$B193),IF($B208&lt;&gt;$B193,Y193/INDEX($C183:$AJ193,11,MATCH(IF('Data-solution'!$A$3="Maximize",MAX($C194:$AI194),MIN($C194:$AI194)),$C194:$AI194,0)),Y193-INDEX($C183:$AJ193,11,MATCH(IF('Data-solution'!$A$3="Maximize",MAX($C194:$AI194),MIN($C194:$AI194)),$C194:$AI194,0))*INDEX(Y183:$AJ193,MATCH(MIN($AK183:$AK193),$AK183:$AK193,0),1)/INDEX($C183:$AJ193,MATCH(MIN($AK183:$AK193),$AK183:$AK193,0),MATCH(IF('Data-solution'!$A$3="Maximize",MAX($C194:$AI194),MIN($C194:$AI194)),$C194:$AI194,0))),Y193)</f>
        <v>0</v>
      </c>
      <c r="Z208" s="1">
        <f>IF(OR($B198&lt;&gt;$B183,$B199&lt;&gt;$B184,$B200&lt;&gt;$B185,$B201&lt;&gt;$B186,$B202&lt;&gt;$B187,$B203&lt;&gt;$B188,$B204&lt;&gt;$B189,$B205&lt;&gt;$B190,$B206&lt;&gt;$B191,$B207&lt;&gt;$B192,$B208&lt;&gt;$B193),IF($B208&lt;&gt;$B193,Z193/INDEX($C183:$AJ193,11,MATCH(IF('Data-solution'!$A$3="Maximize",MAX($C194:$AI194),MIN($C194:$AI194)),$C194:$AI194,0)),Z193-INDEX($C183:$AJ193,11,MATCH(IF('Data-solution'!$A$3="Maximize",MAX($C194:$AI194),MIN($C194:$AI194)),$C194:$AI194,0))*INDEX(Z183:$AJ193,MATCH(MIN($AK183:$AK193),$AK183:$AK193,0),1)/INDEX($C183:$AJ193,MATCH(MIN($AK183:$AK193),$AK183:$AK193,0),MATCH(IF('Data-solution'!$A$3="Maximize",MAX($C194:$AI194),MIN($C194:$AI194)),$C194:$AI194,0))),Z193)</f>
        <v>0</v>
      </c>
      <c r="AA208" s="1">
        <f>IF(OR($B198&lt;&gt;$B183,$B199&lt;&gt;$B184,$B200&lt;&gt;$B185,$B201&lt;&gt;$B186,$B202&lt;&gt;$B187,$B203&lt;&gt;$B188,$B204&lt;&gt;$B189,$B205&lt;&gt;$B190,$B206&lt;&gt;$B191,$B207&lt;&gt;$B192,$B208&lt;&gt;$B193),IF($B208&lt;&gt;$B193,AA193/INDEX($C183:$AJ193,11,MATCH(IF('Data-solution'!$A$3="Maximize",MAX($C194:$AI194),MIN($C194:$AI194)),$C194:$AI194,0)),AA193-INDEX($C183:$AJ193,11,MATCH(IF('Data-solution'!$A$3="Maximize",MAX($C194:$AI194),MIN($C194:$AI194)),$C194:$AI194,0))*INDEX(AA183:$AJ193,MATCH(MIN($AK183:$AK193),$AK183:$AK193,0),1)/INDEX($C183:$AJ193,MATCH(MIN($AK183:$AK193),$AK183:$AK193,0),MATCH(IF('Data-solution'!$A$3="Maximize",MAX($C194:$AI194),MIN($C194:$AI194)),$C194:$AI194,0))),AA193)</f>
        <v>0</v>
      </c>
      <c r="AB208" s="1">
        <f>IF(OR($B198&lt;&gt;$B183,$B199&lt;&gt;$B184,$B200&lt;&gt;$B185,$B201&lt;&gt;$B186,$B202&lt;&gt;$B187,$B203&lt;&gt;$B188,$B204&lt;&gt;$B189,$B205&lt;&gt;$B190,$B206&lt;&gt;$B191,$B207&lt;&gt;$B192,$B208&lt;&gt;$B193),IF($B208&lt;&gt;$B193,AB193/INDEX($C183:$AJ193,11,MATCH(IF('Data-solution'!$A$3="Maximize",MAX($C194:$AI194),MIN($C194:$AI194)),$C194:$AI194,0)),AB193-INDEX($C183:$AJ193,11,MATCH(IF('Data-solution'!$A$3="Maximize",MAX($C194:$AI194),MIN($C194:$AI194)),$C194:$AI194,0))*INDEX(AB183:$AJ193,MATCH(MIN($AK183:$AK193),$AK183:$AK193,0),1)/INDEX($C183:$AJ193,MATCH(MIN($AK183:$AK193),$AK183:$AK193,0),MATCH(IF('Data-solution'!$A$3="Maximize",MAX($C194:$AI194),MIN($C194:$AI194)),$C194:$AI194,0))),AB193)</f>
        <v>0</v>
      </c>
      <c r="AC208" s="1">
        <f>IF(OR($B198&lt;&gt;$B183,$B199&lt;&gt;$B184,$B200&lt;&gt;$B185,$B201&lt;&gt;$B186,$B202&lt;&gt;$B187,$B203&lt;&gt;$B188,$B204&lt;&gt;$B189,$B205&lt;&gt;$B190,$B206&lt;&gt;$B191,$B207&lt;&gt;$B192,$B208&lt;&gt;$B193),IF($B208&lt;&gt;$B193,AC193/INDEX($C183:$AJ193,11,MATCH(IF('Data-solution'!$A$3="Maximize",MAX($C194:$AI194),MIN($C194:$AI194)),$C194:$AI194,0)),AC193-INDEX($C183:$AJ193,11,MATCH(IF('Data-solution'!$A$3="Maximize",MAX($C194:$AI194),MIN($C194:$AI194)),$C194:$AI194,0))*INDEX(AC183:$AJ193,MATCH(MIN($AK183:$AK193),$AK183:$AK193,0),1)/INDEX($C183:$AJ193,MATCH(MIN($AK183:$AK193),$AK183:$AK193,0),MATCH(IF('Data-solution'!$A$3="Maximize",MAX($C194:$AI194),MIN($C194:$AI194)),$C194:$AI194,0))),AC193)</f>
        <v>0</v>
      </c>
      <c r="AD208" s="1">
        <f>IF(OR($B198&lt;&gt;$B183,$B199&lt;&gt;$B184,$B200&lt;&gt;$B185,$B201&lt;&gt;$B186,$B202&lt;&gt;$B187,$B203&lt;&gt;$B188,$B204&lt;&gt;$B189,$B205&lt;&gt;$B190,$B206&lt;&gt;$B191,$B207&lt;&gt;$B192,$B208&lt;&gt;$B193),IF($B208&lt;&gt;$B193,AD193/INDEX($C183:$AJ193,11,MATCH(IF('Data-solution'!$A$3="Maximize",MAX($C194:$AI194),MIN($C194:$AI194)),$C194:$AI194,0)),AD193-INDEX($C183:$AJ193,11,MATCH(IF('Data-solution'!$A$3="Maximize",MAX($C194:$AI194),MIN($C194:$AI194)),$C194:$AI194,0))*INDEX(AD183:$AJ193,MATCH(MIN($AK183:$AK193),$AK183:$AK193,0),1)/INDEX($C183:$AJ193,MATCH(MIN($AK183:$AK193),$AK183:$AK193,0),MATCH(IF('Data-solution'!$A$3="Maximize",MAX($C194:$AI194),MIN($C194:$AI194)),$C194:$AI194,0))),AD193)</f>
        <v>0</v>
      </c>
      <c r="AE208" s="1">
        <f>IF(OR($B198&lt;&gt;$B183,$B199&lt;&gt;$B184,$B200&lt;&gt;$B185,$B201&lt;&gt;$B186,$B202&lt;&gt;$B187,$B203&lt;&gt;$B188,$B204&lt;&gt;$B189,$B205&lt;&gt;$B190,$B206&lt;&gt;$B191,$B207&lt;&gt;$B192,$B208&lt;&gt;$B193),IF($B208&lt;&gt;$B193,AE193/INDEX($C183:$AJ193,11,MATCH(IF('Data-solution'!$A$3="Maximize",MAX($C194:$AI194),MIN($C194:$AI194)),$C194:$AI194,0)),AE193-INDEX($C183:$AJ193,11,MATCH(IF('Data-solution'!$A$3="Maximize",MAX($C194:$AI194),MIN($C194:$AI194)),$C194:$AI194,0))*INDEX(AE183:$AJ193,MATCH(MIN($AK183:$AK193),$AK183:$AK193,0),1)/INDEX($C183:$AJ193,MATCH(MIN($AK183:$AK193),$AK183:$AK193,0),MATCH(IF('Data-solution'!$A$3="Maximize",MAX($C194:$AI194),MIN($C194:$AI194)),$C194:$AI194,0))),AE193)</f>
        <v>0</v>
      </c>
      <c r="AF208" s="1">
        <f>IF(OR($B198&lt;&gt;$B183,$B199&lt;&gt;$B184,$B200&lt;&gt;$B185,$B201&lt;&gt;$B186,$B202&lt;&gt;$B187,$B203&lt;&gt;$B188,$B204&lt;&gt;$B189,$B205&lt;&gt;$B190,$B206&lt;&gt;$B191,$B207&lt;&gt;$B192,$B208&lt;&gt;$B193),IF($B208&lt;&gt;$B193,AF193/INDEX($C183:$AJ193,11,MATCH(IF('Data-solution'!$A$3="Maximize",MAX($C194:$AI194),MIN($C194:$AI194)),$C194:$AI194,0)),AF193-INDEX($C183:$AJ193,11,MATCH(IF('Data-solution'!$A$3="Maximize",MAX($C194:$AI194),MIN($C194:$AI194)),$C194:$AI194,0))*INDEX(AF183:$AJ193,MATCH(MIN($AK183:$AK193),$AK183:$AK193,0),1)/INDEX($C183:$AJ193,MATCH(MIN($AK183:$AK193),$AK183:$AK193,0),MATCH(IF('Data-solution'!$A$3="Maximize",MAX($C194:$AI194),MIN($C194:$AI194)),$C194:$AI194,0))),AF193)</f>
        <v>0</v>
      </c>
      <c r="AG208" s="1">
        <f>IF(OR($B198&lt;&gt;$B183,$B199&lt;&gt;$B184,$B200&lt;&gt;$B185,$B201&lt;&gt;$B186,$B202&lt;&gt;$B187,$B203&lt;&gt;$B188,$B204&lt;&gt;$B189,$B205&lt;&gt;$B190,$B206&lt;&gt;$B191,$B207&lt;&gt;$B192,$B208&lt;&gt;$B193),IF($B208&lt;&gt;$B193,AG193/INDEX($C183:$AJ193,11,MATCH(IF('Data-solution'!$A$3="Maximize",MAX($C194:$AI194),MIN($C194:$AI194)),$C194:$AI194,0)),AG193-INDEX($C183:$AJ193,11,MATCH(IF('Data-solution'!$A$3="Maximize",MAX($C194:$AI194),MIN($C194:$AI194)),$C194:$AI194,0))*INDEX(AG183:$AJ193,MATCH(MIN($AK183:$AK193),$AK183:$AK193,0),1)/INDEX($C183:$AJ193,MATCH(MIN($AK183:$AK193),$AK183:$AK193,0),MATCH(IF('Data-solution'!$A$3="Maximize",MAX($C194:$AI194),MIN($C194:$AI194)),$C194:$AI194,0))),AG193)</f>
        <v>0</v>
      </c>
      <c r="AH208" s="1">
        <f>IF(OR($B198&lt;&gt;$B183,$B199&lt;&gt;$B184,$B200&lt;&gt;$B185,$B201&lt;&gt;$B186,$B202&lt;&gt;$B187,$B203&lt;&gt;$B188,$B204&lt;&gt;$B189,$B205&lt;&gt;$B190,$B206&lt;&gt;$B191,$B207&lt;&gt;$B192,$B208&lt;&gt;$B193),IF($B208&lt;&gt;$B193,AH193/INDEX($C183:$AJ193,11,MATCH(IF('Data-solution'!$A$3="Maximize",MAX($C194:$AI194),MIN($C194:$AI194)),$C194:$AI194,0)),AH193-INDEX($C183:$AJ193,11,MATCH(IF('Data-solution'!$A$3="Maximize",MAX($C194:$AI194),MIN($C194:$AI194)),$C194:$AI194,0))*INDEX(AH183:$AJ193,MATCH(MIN($AK183:$AK193),$AK183:$AK193,0),1)/INDEX($C183:$AJ193,MATCH(MIN($AK183:$AK193),$AK183:$AK193,0),MATCH(IF('Data-solution'!$A$3="Maximize",MAX($C194:$AI194),MIN($C194:$AI194)),$C194:$AI194,0))),AH193)</f>
        <v>0</v>
      </c>
      <c r="AI208" s="1">
        <f>IF(OR($B198&lt;&gt;$B183,$B199&lt;&gt;$B184,$B200&lt;&gt;$B185,$B201&lt;&gt;$B186,$B202&lt;&gt;$B187,$B203&lt;&gt;$B188,$B204&lt;&gt;$B189,$B205&lt;&gt;$B190,$B206&lt;&gt;$B191,$B207&lt;&gt;$B192,$B208&lt;&gt;$B193),IF($B208&lt;&gt;$B193,AI193/INDEX($C183:$AJ193,11,MATCH(IF('Data-solution'!$A$3="Maximize",MAX($C194:$AI194),MIN($C194:$AI194)),$C194:$AI194,0)),AI193-INDEX($C183:$AJ193,11,MATCH(IF('Data-solution'!$A$3="Maximize",MAX($C194:$AI194),MIN($C194:$AI194)),$C194:$AI194,0))*INDEX(AI183:$AJ193,MATCH(MIN($AK183:$AK193),$AK183:$AK193,0),1)/INDEX($C183:$AJ193,MATCH(MIN($AK183:$AK193),$AK183:$AK193,0),MATCH(IF('Data-solution'!$A$3="Maximize",MAX($C194:$AI194),MIN($C194:$AI194)),$C194:$AI194,0))),AI193)</f>
        <v>1</v>
      </c>
      <c r="AJ208" s="1">
        <f>IF(OR($B198&lt;&gt;$B183,$B199&lt;&gt;$B184,$B200&lt;&gt;$B185,$B201&lt;&gt;$B186,$B202&lt;&gt;$B187,$B203&lt;&gt;$B188,$B204&lt;&gt;$B189,$B205&lt;&gt;$B190,$B206&lt;&gt;$B191,$B207&lt;&gt;$B192,$B208&lt;&gt;$B193),IF($B208&lt;&gt;$B193,AJ193/INDEX($C183:$AJ193,11,MATCH(IF('Data-solution'!$A$3="Maximize",MAX($C194:$AI194),MIN($C194:$AI194)),$C194:$AI194,0)),AJ193-INDEX($C183:$AJ193,11,MATCH(IF('Data-solution'!$A$3="Maximize",MAX($C194:$AI194),MIN($C194:$AI194)),$C194:$AI194,0))*INDEX(AJ183:$AJ193,MATCH(MIN($AK183:$AK193),$AK183:$AK193,0),1)/INDEX($C183:$AJ193,MATCH(MIN($AK183:$AK193),$AK183:$AK193,0),MATCH(IF('Data-solution'!$A$3="Maximize",MAX($C194:$AI194),MIN($C194:$AI194)),$C194:$AI194,0))),AJ193)</f>
        <v>0</v>
      </c>
      <c r="AK208" s="1" t="str">
        <f>IF(INDEX(C208:X208,1,MATCH(IF('Data-solution'!A$3="Maximize",MAX(C209:X209),MIN(C209:X209)),C209:X209,0))&gt;0,AJ208/INDEX(C208:X208,1,MATCH(IF('Data-solution'!A$3="Maximize",MAX(C209:X209),MIN(C209:X209)),C209:X209,0))," ")</f>
        <v xml:space="preserve"> </v>
      </c>
    </row>
    <row r="209" spans="1:37" ht="18" customHeight="1" x14ac:dyDescent="0.2">
      <c r="B209" s="2" t="s">
        <v>5</v>
      </c>
      <c r="C209" s="1">
        <f>IF(SUM(COUNTIF($B198:$B208,$Y197),COUNTIF($B198:$B208,$Z197),COUNTIF($B198:$B208,$AA197),COUNTIF($B198:$B208,$AB197),COUNTIF($B198:$B208,$AC197),COUNTIF($B198:$B208,$AD197),COUNTIF($B198:$B208,$AE197),COUNTIF($B198:$B208,$AF197),COUNTIF($B198:$B208,$AG197),COUNTIF($B198:$B208,$AH197),COUNTIF($B198:$B208,$AI197))=0,C196-SUMPRODUCT($A198:$A208,C198:C208),IF('Data-solution'!$A$3="Maximize",1,-1)*SUM(SUMIF($B198:$B208,$Y197,C198:C208),SUMIF($B198:$B208,$Z197,C198:C208),SUMIF($B198:$B208,$AA197,C198:C208),SUMIF($B198:$B208,$AB197,C198:C208),SUMIF($B198:$B208,$AC197,C198:C208),SUMIF($B198:$B208,$AD197,C198:C208),SUMIF($B198:$B208,$AE197,C198:C208),SUMIF($B198:$B208,$AF197,C198:C208),SUMIF($B198:$B208,$AG197,C198:C208),SUMIF($B198:$B208,$AH197,C198:C208),SUMIF($B198:$B208,$AI197,C198:C208)))</f>
        <v>0</v>
      </c>
      <c r="D209" s="1">
        <f>IF(SUM(COUNTIF($B198:$B208,$Y197),COUNTIF($B198:$B208,$Z197),COUNTIF($B198:$B208,$AA197),COUNTIF($B198:$B208,$AB197),COUNTIF($B198:$B208,$AC197),COUNTIF($B198:$B208,$AD197),COUNTIF($B198:$B208,$AE197),COUNTIF($B198:$B208,$AF197),COUNTIF($B198:$B208,$AG197),COUNTIF($B198:$B208,$AH197),COUNTIF($B198:$B208,$AI197))=0,D196-SUMPRODUCT($A198:$A208,D198:D208),IF('Data-solution'!$A$3="Maximize",1,-1)*SUM(SUMIF($B198:$B208,$Y197,D198:D208),SUMIF($B198:$B208,$Z197,D198:D208),SUMIF($B198:$B208,$AA197,D198:D208),SUMIF($B198:$B208,$AB197,D198:D208),SUMIF($B198:$B208,$AC197,D198:D208),SUMIF($B198:$B208,$AD197,D198:D208),SUMIF($B198:$B208,$AE197,D198:D208),SUMIF($B198:$B208,$AF197,D198:D208),SUMIF($B198:$B208,$AG197,D198:D208),SUMIF($B198:$B208,$AH197,D198:D208),SUMIF($B198:$B208,$AI197,D198:D208)))</f>
        <v>-50</v>
      </c>
      <c r="E209" s="1">
        <f>IF(SUM(COUNTIF($B198:$B208,$Y197),COUNTIF($B198:$B208,$Z197),COUNTIF($B198:$B208,$AA197),COUNTIF($B198:$B208,$AB197),COUNTIF($B198:$B208,$AC197),COUNTIF($B198:$B208,$AD197),COUNTIF($B198:$B208,$AE197),COUNTIF($B198:$B208,$AF197),COUNTIF($B198:$B208,$AG197),COUNTIF($B198:$B208,$AH197),COUNTIF($B198:$B208,$AI197))=0,E196-SUMPRODUCT($A198:$A208,E198:E208),IF('Data-solution'!$A$3="Maximize",1,-1)*SUM(SUMIF($B198:$B208,$Y197,E198:E208),SUMIF($B198:$B208,$Z197,E198:E208),SUMIF($B198:$B208,$AA197,E198:E208),SUMIF($B198:$B208,$AB197,E198:E208),SUMIF($B198:$B208,$AC197,E198:E208),SUMIF($B198:$B208,$AD197,E198:E208),SUMIF($B198:$B208,$AE197,E198:E208),SUMIF($B198:$B208,$AF197,E198:E208),SUMIF($B198:$B208,$AG197,E198:E208),SUMIF($B198:$B208,$AH197,E198:E208),SUMIF($B198:$B208,$AI197,E198:E208)))</f>
        <v>0</v>
      </c>
      <c r="F209" s="1">
        <f>IF(SUM(COUNTIF($B198:$B208,$Y197),COUNTIF($B198:$B208,$Z197),COUNTIF($B198:$B208,$AA197),COUNTIF($B198:$B208,$AB197),COUNTIF($B198:$B208,$AC197),COUNTIF($B198:$B208,$AD197),COUNTIF($B198:$B208,$AE197),COUNTIF($B198:$B208,$AF197),COUNTIF($B198:$B208,$AG197),COUNTIF($B198:$B208,$AH197),COUNTIF($B198:$B208,$AI197))=0,F196-SUMPRODUCT($A198:$A208,F198:F208),IF('Data-solution'!$A$3="Maximize",1,-1)*SUM(SUMIF($B198:$B208,$Y197,F198:F208),SUMIF($B198:$B208,$Z197,F198:F208),SUMIF($B198:$B208,$AA197,F198:F208),SUMIF($B198:$B208,$AB197,F198:F208),SUMIF($B198:$B208,$AC197,F198:F208),SUMIF($B198:$B208,$AD197,F198:F208),SUMIF($B198:$B208,$AE197,F198:F208),SUMIF($B198:$B208,$AF197,F198:F208),SUMIF($B198:$B208,$AG197,F198:F208),SUMIF($B198:$B208,$AH197,F198:F208),SUMIF($B198:$B208,$AI197,F198:F208)))</f>
        <v>0</v>
      </c>
      <c r="G209" s="1">
        <f>IF(SUM(COUNTIF($B198:$B208,$Y197),COUNTIF($B198:$B208,$Z197),COUNTIF($B198:$B208,$AA197),COUNTIF($B198:$B208,$AB197),COUNTIF($B198:$B208,$AC197),COUNTIF($B198:$B208,$AD197),COUNTIF($B198:$B208,$AE197),COUNTIF($B198:$B208,$AF197),COUNTIF($B198:$B208,$AG197),COUNTIF($B198:$B208,$AH197),COUNTIF($B198:$B208,$AI197))=0,G196-SUMPRODUCT($A198:$A208,G198:G208),IF('Data-solution'!$A$3="Maximize",1,-1)*SUM(SUMIF($B198:$B208,$Y197,G198:G208),SUMIF($B198:$B208,$Z197,G198:G208),SUMIF($B198:$B208,$AA197,G198:G208),SUMIF($B198:$B208,$AB197,G198:G208),SUMIF($B198:$B208,$AC197,G198:G208),SUMIF($B198:$B208,$AD197,G198:G208),SUMIF($B198:$B208,$AE197,G198:G208),SUMIF($B198:$B208,$AF197,G198:G208),SUMIF($B198:$B208,$AG197,G198:G208),SUMIF($B198:$B208,$AH197,G198:G208),SUMIF($B198:$B208,$AI197,G198:G208)))</f>
        <v>0</v>
      </c>
      <c r="H209" s="1">
        <f>IF(SUM(COUNTIF($B198:$B208,$Y197),COUNTIF($B198:$B208,$Z197),COUNTIF($B198:$B208,$AA197),COUNTIF($B198:$B208,$AB197),COUNTIF($B198:$B208,$AC197),COUNTIF($B198:$B208,$AD197),COUNTIF($B198:$B208,$AE197),COUNTIF($B198:$B208,$AF197),COUNTIF($B198:$B208,$AG197),COUNTIF($B198:$B208,$AH197),COUNTIF($B198:$B208,$AI197))=0,H196-SUMPRODUCT($A198:$A208,H198:H208),IF('Data-solution'!$A$3="Maximize",1,-1)*SUM(SUMIF($B198:$B208,$Y197,H198:H208),SUMIF($B198:$B208,$Z197,H198:H208),SUMIF($B198:$B208,$AA197,H198:H208),SUMIF($B198:$B208,$AB197,H198:H208),SUMIF($B198:$B208,$AC197,H198:H208),SUMIF($B198:$B208,$AD197,H198:H208),SUMIF($B198:$B208,$AE197,H198:H208),SUMIF($B198:$B208,$AF197,H198:H208),SUMIF($B198:$B208,$AG197,H198:H208),SUMIF($B198:$B208,$AH197,H198:H208),SUMIF($B198:$B208,$AI197,H198:H208)))</f>
        <v>0</v>
      </c>
      <c r="I209" s="1">
        <f>IF(SUM(COUNTIF($B198:$B208,$Y197),COUNTIF($B198:$B208,$Z197),COUNTIF($B198:$B208,$AA197),COUNTIF($B198:$B208,$AB197),COUNTIF($B198:$B208,$AC197),COUNTIF($B198:$B208,$AD197),COUNTIF($B198:$B208,$AE197),COUNTIF($B198:$B208,$AF197),COUNTIF($B198:$B208,$AG197),COUNTIF($B198:$B208,$AH197),COUNTIF($B198:$B208,$AI197))=0,I196-SUMPRODUCT($A198:$A208,I198:I208),IF('Data-solution'!$A$3="Maximize",1,-1)*SUM(SUMIF($B198:$B208,$Y197,I198:I208),SUMIF($B198:$B208,$Z197,I198:I208),SUMIF($B198:$B208,$AA197,I198:I208),SUMIF($B198:$B208,$AB197,I198:I208),SUMIF($B198:$B208,$AC197,I198:I208),SUMIF($B198:$B208,$AD197,I198:I208),SUMIF($B198:$B208,$AE197,I198:I208),SUMIF($B198:$B208,$AF197,I198:I208),SUMIF($B198:$B208,$AG197,I198:I208),SUMIF($B198:$B208,$AH197,I198:I208),SUMIF($B198:$B208,$AI197,I198:I208)))</f>
        <v>0</v>
      </c>
      <c r="J209" s="1">
        <f>IF(SUM(COUNTIF($B198:$B208,$Y197),COUNTIF($B198:$B208,$Z197),COUNTIF($B198:$B208,$AA197),COUNTIF($B198:$B208,$AB197),COUNTIF($B198:$B208,$AC197),COUNTIF($B198:$B208,$AD197),COUNTIF($B198:$B208,$AE197),COUNTIF($B198:$B208,$AF197),COUNTIF($B198:$B208,$AG197),COUNTIF($B198:$B208,$AH197),COUNTIF($B198:$B208,$AI197))=0,J196-SUMPRODUCT($A198:$A208,J198:J208),IF('Data-solution'!$A$3="Maximize",1,-1)*SUM(SUMIF($B198:$B208,$Y197,J198:J208),SUMIF($B198:$B208,$Z197,J198:J208),SUMIF($B198:$B208,$AA197,J198:J208),SUMIF($B198:$B208,$AB197,J198:J208),SUMIF($B198:$B208,$AC197,J198:J208),SUMIF($B198:$B208,$AD197,J198:J208),SUMIF($B198:$B208,$AE197,J198:J208),SUMIF($B198:$B208,$AF197,J198:J208),SUMIF($B198:$B208,$AG197,J198:J208),SUMIF($B198:$B208,$AH197,J198:J208),SUMIF($B198:$B208,$AI197,J198:J208)))</f>
        <v>0</v>
      </c>
      <c r="K209" s="1">
        <f>IF(SUM(COUNTIF($B198:$B208,$Y197),COUNTIF($B198:$B208,$Z197),COUNTIF($B198:$B208,$AA197),COUNTIF($B198:$B208,$AB197),COUNTIF($B198:$B208,$AC197),COUNTIF($B198:$B208,$AD197),COUNTIF($B198:$B208,$AE197),COUNTIF($B198:$B208,$AF197),COUNTIF($B198:$B208,$AG197),COUNTIF($B198:$B208,$AH197),COUNTIF($B198:$B208,$AI197))=0,K196-SUMPRODUCT($A198:$A208,K198:K208),IF('Data-solution'!$A$3="Maximize",1,-1)*SUM(SUMIF($B198:$B208,$Y197,K198:K208),SUMIF($B198:$B208,$Z197,K198:K208),SUMIF($B198:$B208,$AA197,K198:K208),SUMIF($B198:$B208,$AB197,K198:K208),SUMIF($B198:$B208,$AC197,K198:K208),SUMIF($B198:$B208,$AD197,K198:K208),SUMIF($B198:$B208,$AE197,K198:K208),SUMIF($B198:$B208,$AF197,K198:K208),SUMIF($B198:$B208,$AG197,K198:K208),SUMIF($B198:$B208,$AH197,K198:K208),SUMIF($B198:$B208,$AI197,K198:K208)))</f>
        <v>0</v>
      </c>
      <c r="L209" s="1">
        <f>IF(SUM(COUNTIF($B198:$B208,$Y197),COUNTIF($B198:$B208,$Z197),COUNTIF($B198:$B208,$AA197),COUNTIF($B198:$B208,$AB197),COUNTIF($B198:$B208,$AC197),COUNTIF($B198:$B208,$AD197),COUNTIF($B198:$B208,$AE197),COUNTIF($B198:$B208,$AF197),COUNTIF($B198:$B208,$AG197),COUNTIF($B198:$B208,$AH197),COUNTIF($B198:$B208,$AI197))=0,L196-SUMPRODUCT($A198:$A208,L198:L208),IF('Data-solution'!$A$3="Maximize",1,-1)*SUM(SUMIF($B198:$B208,$Y197,L198:L208),SUMIF($B198:$B208,$Z197,L198:L208),SUMIF($B198:$B208,$AA197,L198:L208),SUMIF($B198:$B208,$AB197,L198:L208),SUMIF($B198:$B208,$AC197,L198:L208),SUMIF($B198:$B208,$AD197,L198:L208),SUMIF($B198:$B208,$AE197,L198:L208),SUMIF($B198:$B208,$AF197,L198:L208),SUMIF($B198:$B208,$AG197,L198:L208),SUMIF($B198:$B208,$AH197,L198:L208),SUMIF($B198:$B208,$AI197,L198:L208)))</f>
        <v>0</v>
      </c>
      <c r="M209" s="1">
        <f>IF(SUM(COUNTIF($B198:$B208,$Y197),COUNTIF($B198:$B208,$Z197),COUNTIF($B198:$B208,$AA197),COUNTIF($B198:$B208,$AB197),COUNTIF($B198:$B208,$AC197),COUNTIF($B198:$B208,$AD197),COUNTIF($B198:$B208,$AE197),COUNTIF($B198:$B208,$AF197),COUNTIF($B198:$B208,$AG197),COUNTIF($B198:$B208,$AH197),COUNTIF($B198:$B208,$AI197))=0,M196-SUMPRODUCT($A198:$A208,M198:M208),IF('Data-solution'!$A$3="Maximize",1,-1)*SUM(SUMIF($B198:$B208,$Y197,M198:M208),SUMIF($B198:$B208,$Z197,M198:M208),SUMIF($B198:$B208,$AA197,M198:M208),SUMIF($B198:$B208,$AB197,M198:M208),SUMIF($B198:$B208,$AC197,M198:M208),SUMIF($B198:$B208,$AD197,M198:M208),SUMIF($B198:$B208,$AE197,M198:M208),SUMIF($B198:$B208,$AF197,M198:M208),SUMIF($B198:$B208,$AG197,M198:M208),SUMIF($B198:$B208,$AH197,M198:M208),SUMIF($B198:$B208,$AI197,M198:M208)))</f>
        <v>0</v>
      </c>
      <c r="N209" s="1">
        <f>IF(SUM(COUNTIF($B198:$B208,$Y197),COUNTIF($B198:$B208,$Z197),COUNTIF($B198:$B208,$AA197),COUNTIF($B198:$B208,$AB197),COUNTIF($B198:$B208,$AC197),COUNTIF($B198:$B208,$AD197),COUNTIF($B198:$B208,$AE197),COUNTIF($B198:$B208,$AF197),COUNTIF($B198:$B208,$AG197),COUNTIF($B198:$B208,$AH197),COUNTIF($B198:$B208,$AI197))=0,N196-SUMPRODUCT($A198:$A208,N198:N208),IF('Data-solution'!$A$3="Maximize",1,-1)*SUM(SUMIF($B198:$B208,$Y197,N198:N208),SUMIF($B198:$B208,$Z197,N198:N208),SUMIF($B198:$B208,$AA197,N198:N208),SUMIF($B198:$B208,$AB197,N198:N208),SUMIF($B198:$B208,$AC197,N198:N208),SUMIF($B198:$B208,$AD197,N198:N208),SUMIF($B198:$B208,$AE197,N198:N208),SUMIF($B198:$B208,$AF197,N198:N208),SUMIF($B198:$B208,$AG197,N198:N208),SUMIF($B198:$B208,$AH197,N198:N208),SUMIF($B198:$B208,$AI197,N198:N208)))</f>
        <v>0</v>
      </c>
      <c r="O209" s="1">
        <f>IF(SUM(COUNTIF($B198:$B208,$Y197),COUNTIF($B198:$B208,$Z197),COUNTIF($B198:$B208,$AA197),COUNTIF($B198:$B208,$AB197),COUNTIF($B198:$B208,$AC197),COUNTIF($B198:$B208,$AD197),COUNTIF($B198:$B208,$AE197),COUNTIF($B198:$B208,$AF197),COUNTIF($B198:$B208,$AG197),COUNTIF($B198:$B208,$AH197),COUNTIF($B198:$B208,$AI197))=0,O196-SUMPRODUCT($A198:$A208,O198:O208),IF('Data-solution'!$A$3="Maximize",1,-1)*SUM(SUMIF($B198:$B208,$Y197,O198:O208),SUMIF($B198:$B208,$Z197,O198:O208),SUMIF($B198:$B208,$AA197,O198:O208),SUMIF($B198:$B208,$AB197,O198:O208),SUMIF($B198:$B208,$AC197,O198:O208),SUMIF($B198:$B208,$AD197,O198:O208),SUMIF($B198:$B208,$AE197,O198:O208),SUMIF($B198:$B208,$AF197,O198:O208),SUMIF($B198:$B208,$AG197,O198:O208),SUMIF($B198:$B208,$AH197,O198:O208),SUMIF($B198:$B208,$AI197,O198:O208)))</f>
        <v>0</v>
      </c>
      <c r="P209" s="1">
        <f>IF(SUM(COUNTIF($B198:$B208,$Y197),COUNTIF($B198:$B208,$Z197),COUNTIF($B198:$B208,$AA197),COUNTIF($B198:$B208,$AB197),COUNTIF($B198:$B208,$AC197),COUNTIF($B198:$B208,$AD197),COUNTIF($B198:$B208,$AE197),COUNTIF($B198:$B208,$AF197),COUNTIF($B198:$B208,$AG197),COUNTIF($B198:$B208,$AH197),COUNTIF($B198:$B208,$AI197))=0,P196-SUMPRODUCT($A198:$A208,P198:P208),IF('Data-solution'!$A$3="Maximize",1,-1)*SUM(SUMIF($B198:$B208,$Y197,P198:P208),SUMIF($B198:$B208,$Z197,P198:P208),SUMIF($B198:$B208,$AA197,P198:P208),SUMIF($B198:$B208,$AB197,P198:P208),SUMIF($B198:$B208,$AC197,P198:P208),SUMIF($B198:$B208,$AD197,P198:P208),SUMIF($B198:$B208,$AE197,P198:P208),SUMIF($B198:$B208,$AF197,P198:P208),SUMIF($B198:$B208,$AG197,P198:P208),SUMIF($B198:$B208,$AH197,P198:P208),SUMIF($B198:$B208,$AI197,P198:P208)))</f>
        <v>-49.999999999999993</v>
      </c>
      <c r="Q209" s="1">
        <f>IF(SUM(COUNTIF($B198:$B208,$Y197),COUNTIF($B198:$B208,$Z197),COUNTIF($B198:$B208,$AA197),COUNTIF($B198:$B208,$AB197),COUNTIF($B198:$B208,$AC197),COUNTIF($B198:$B208,$AD197),COUNTIF($B198:$B208,$AE197),COUNTIF($B198:$B208,$AF197),COUNTIF($B198:$B208,$AG197),COUNTIF($B198:$B208,$AH197),COUNTIF($B198:$B208,$AI197))=0,Q196-SUMPRODUCT($A198:$A208,Q198:Q208),IF('Data-solution'!$A$3="Maximize",1,-1)*SUM(SUMIF($B198:$B208,$Y197,Q198:Q208),SUMIF($B198:$B208,$Z197,Q198:Q208),SUMIF($B198:$B208,$AA197,Q198:Q208),SUMIF($B198:$B208,$AB197,Q198:Q208),SUMIF($B198:$B208,$AC197,Q198:Q208),SUMIF($B198:$B208,$AD197,Q198:Q208),SUMIF($B198:$B208,$AE197,Q198:Q208),SUMIF($B198:$B208,$AF197,Q198:Q208),SUMIF($B198:$B208,$AG197,Q198:Q208),SUMIF($B198:$B208,$AH197,Q198:Q208),SUMIF($B198:$B208,$AI197,Q198:Q208)))</f>
        <v>-50</v>
      </c>
      <c r="R209" s="1">
        <f>IF(SUM(COUNTIF($B198:$B208,$Y197),COUNTIF($B198:$B208,$Z197),COUNTIF($B198:$B208,$AA197),COUNTIF($B198:$B208,$AB197),COUNTIF($B198:$B208,$AC197),COUNTIF($B198:$B208,$AD197),COUNTIF($B198:$B208,$AE197),COUNTIF($B198:$B208,$AF197),COUNTIF($B198:$B208,$AG197),COUNTIF($B198:$B208,$AH197),COUNTIF($B198:$B208,$AI197))=0,R196-SUMPRODUCT($A198:$A208,R198:R208),IF('Data-solution'!$A$3="Maximize",1,-1)*SUM(SUMIF($B198:$B208,$Y197,R198:R208),SUMIF($B198:$B208,$Z197,R198:R208),SUMIF($B198:$B208,$AA197,R198:R208),SUMIF($B198:$B208,$AB197,R198:R208),SUMIF($B198:$B208,$AC197,R198:R208),SUMIF($B198:$B208,$AD197,R198:R208),SUMIF($B198:$B208,$AE197,R198:R208),SUMIF($B198:$B208,$AF197,R198:R208),SUMIF($B198:$B208,$AG197,R198:R208),SUMIF($B198:$B208,$AH197,R198:R208),SUMIF($B198:$B208,$AI197,R198:R208)))</f>
        <v>0</v>
      </c>
      <c r="S209" s="1">
        <f>IF(SUM(COUNTIF($B198:$B208,$Y197),COUNTIF($B198:$B208,$Z197),COUNTIF($B198:$B208,$AA197),COUNTIF($B198:$B208,$AB197),COUNTIF($B198:$B208,$AC197),COUNTIF($B198:$B208,$AD197),COUNTIF($B198:$B208,$AE197),COUNTIF($B198:$B208,$AF197),COUNTIF($B198:$B208,$AG197),COUNTIF($B198:$B208,$AH197),COUNTIF($B198:$B208,$AI197))=0,S196-SUMPRODUCT($A198:$A208,S198:S208),IF('Data-solution'!$A$3="Maximize",1,-1)*SUM(SUMIF($B198:$B208,$Y197,S198:S208),SUMIF($B198:$B208,$Z197,S198:S208),SUMIF($B198:$B208,$AA197,S198:S208),SUMIF($B198:$B208,$AB197,S198:S208),SUMIF($B198:$B208,$AC197,S198:S208),SUMIF($B198:$B208,$AD197,S198:S208),SUMIF($B198:$B208,$AE197,S198:S208),SUMIF($B198:$B208,$AF197,S198:S208),SUMIF($B198:$B208,$AG197,S198:S208),SUMIF($B198:$B208,$AH197,S198:S208),SUMIF($B198:$B208,$AI197,S198:S208)))</f>
        <v>0</v>
      </c>
      <c r="T209" s="1">
        <f>IF(SUM(COUNTIF($B198:$B208,$Y197),COUNTIF($B198:$B208,$Z197),COUNTIF($B198:$B208,$AA197),COUNTIF($B198:$B208,$AB197),COUNTIF($B198:$B208,$AC197),COUNTIF($B198:$B208,$AD197),COUNTIF($B198:$B208,$AE197),COUNTIF($B198:$B208,$AF197),COUNTIF($B198:$B208,$AG197),COUNTIF($B198:$B208,$AH197),COUNTIF($B198:$B208,$AI197))=0,T196-SUMPRODUCT($A198:$A208,T198:T208),IF('Data-solution'!$A$3="Maximize",1,-1)*SUM(SUMIF($B198:$B208,$Y197,T198:T208),SUMIF($B198:$B208,$Z197,T198:T208),SUMIF($B198:$B208,$AA197,T198:T208),SUMIF($B198:$B208,$AB197,T198:T208),SUMIF($B198:$B208,$AC197,T198:T208),SUMIF($B198:$B208,$AD197,T198:T208),SUMIF($B198:$B208,$AE197,T198:T208),SUMIF($B198:$B208,$AF197,T198:T208),SUMIF($B198:$B208,$AG197,T198:T208),SUMIF($B198:$B208,$AH197,T198:T208),SUMIF($B198:$B208,$AI197,T198:T208)))</f>
        <v>0</v>
      </c>
      <c r="U209" s="1">
        <f>IF(SUM(COUNTIF($B198:$B208,$Y197),COUNTIF($B198:$B208,$Z197),COUNTIF($B198:$B208,$AA197),COUNTIF($B198:$B208,$AB197),COUNTIF($B198:$B208,$AC197),COUNTIF($B198:$B208,$AD197),COUNTIF($B198:$B208,$AE197),COUNTIF($B198:$B208,$AF197),COUNTIF($B198:$B208,$AG197),COUNTIF($B198:$B208,$AH197),COUNTIF($B198:$B208,$AI197))=0,U196-SUMPRODUCT($A198:$A208,U198:U208),IF('Data-solution'!$A$3="Maximize",1,-1)*SUM(SUMIF($B198:$B208,$Y197,U198:U208),SUMIF($B198:$B208,$Z197,U198:U208),SUMIF($B198:$B208,$AA197,U198:U208),SUMIF($B198:$B208,$AB197,U198:U208),SUMIF($B198:$B208,$AC197,U198:U208),SUMIF($B198:$B208,$AD197,U198:U208),SUMIF($B198:$B208,$AE197,U198:U208),SUMIF($B198:$B208,$AF197,U198:U208),SUMIF($B198:$B208,$AG197,U198:U208),SUMIF($B198:$B208,$AH197,U198:U208),SUMIF($B198:$B208,$AI197,U198:U208)))</f>
        <v>0</v>
      </c>
      <c r="V209" s="1">
        <f>IF(SUM(COUNTIF($B198:$B208,$Y197),COUNTIF($B198:$B208,$Z197),COUNTIF($B198:$B208,$AA197),COUNTIF($B198:$B208,$AB197),COUNTIF($B198:$B208,$AC197),COUNTIF($B198:$B208,$AD197),COUNTIF($B198:$B208,$AE197),COUNTIF($B198:$B208,$AF197),COUNTIF($B198:$B208,$AG197),COUNTIF($B198:$B208,$AH197),COUNTIF($B198:$B208,$AI197))=0,V196-SUMPRODUCT($A198:$A208,V198:V208),IF('Data-solution'!$A$3="Maximize",1,-1)*SUM(SUMIF($B198:$B208,$Y197,V198:V208),SUMIF($B198:$B208,$Z197,V198:V208),SUMIF($B198:$B208,$AA197,V198:V208),SUMIF($B198:$B208,$AB197,V198:V208),SUMIF($B198:$B208,$AC197,V198:V208),SUMIF($B198:$B208,$AD197,V198:V208),SUMIF($B198:$B208,$AE197,V198:V208),SUMIF($B198:$B208,$AF197,V198:V208),SUMIF($B198:$B208,$AG197,V198:V208),SUMIF($B198:$B208,$AH197,V198:V208),SUMIF($B198:$B208,$AI197,V198:V208)))</f>
        <v>0</v>
      </c>
      <c r="W209" s="1">
        <f>IF(SUM(COUNTIF($B198:$B208,$Y197),COUNTIF($B198:$B208,$Z197),COUNTIF($B198:$B208,$AA197),COUNTIF($B198:$B208,$AB197),COUNTIF($B198:$B208,$AC197),COUNTIF($B198:$B208,$AD197),COUNTIF($B198:$B208,$AE197),COUNTIF($B198:$B208,$AF197),COUNTIF($B198:$B208,$AG197),COUNTIF($B198:$B208,$AH197),COUNTIF($B198:$B208,$AI197))=0,W196-SUMPRODUCT($A198:$A208,W198:W208),IF('Data-solution'!$A$3="Maximize",1,-1)*SUM(SUMIF($B198:$B208,$Y197,W198:W208),SUMIF($B198:$B208,$Z197,W198:W208),SUMIF($B198:$B208,$AA197,W198:W208),SUMIF($B198:$B208,$AB197,W198:W208),SUMIF($B198:$B208,$AC197,W198:W208),SUMIF($B198:$B208,$AD197,W198:W208),SUMIF($B198:$B208,$AE197,W198:W208),SUMIF($B198:$B208,$AF197,W198:W208),SUMIF($B198:$B208,$AG197,W198:W208),SUMIF($B198:$B208,$AH197,W198:W208),SUMIF($B198:$B208,$AI197,W198:W208)))</f>
        <v>0</v>
      </c>
      <c r="X209" s="1">
        <f>IF(SUM(COUNTIF($B198:$B208,$Y197),COUNTIF($B198:$B208,$Z197),COUNTIF($B198:$B208,$AA197),COUNTIF($B198:$B208,$AB197),COUNTIF($B198:$B208,$AC197),COUNTIF($B198:$B208,$AD197),COUNTIF($B198:$B208,$AE197),COUNTIF($B198:$B208,$AF197),COUNTIF($B198:$B208,$AG197),COUNTIF($B198:$B208,$AH197),COUNTIF($B198:$B208,$AI197))=0,X196-SUMPRODUCT($A198:$A208,X198:X208),IF('Data-solution'!$A$3="Maximize",1,-1)*SUM(SUMIF($B198:$B208,$Y197,X198:X208),SUMIF($B198:$B208,$Z197,X198:X208),SUMIF($B198:$B208,$AA197,X198:X208),SUMIF($B198:$B208,$AB197,X198:X208),SUMIF($B198:$B208,$AC197,X198:X208),SUMIF($B198:$B208,$AD197,X198:X208),SUMIF($B198:$B208,$AE197,X198:X208),SUMIF($B198:$B208,$AF197,X198:X208),SUMIF($B198:$B208,$AG197,X198:X208),SUMIF($B198:$B208,$AH197,X198:X208),SUMIF($B198:$B208,$AI197,X198:X208)))</f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2">
        <f t="shared" ref="AJ209" si="181">IF(SUMPRODUCT(A198:A208,AJ198:AJ208)&gt;=0,SUMPRODUCT(A198:A208,AJ198:AJ208),0)</f>
        <v>120000</v>
      </c>
    </row>
    <row r="211" spans="1:37" ht="18" customHeight="1" x14ac:dyDescent="0.2">
      <c r="A211" s="1" t="s">
        <v>74</v>
      </c>
      <c r="B211" s="2" t="s">
        <v>4</v>
      </c>
      <c r="C211" s="1">
        <f t="shared" ref="C211" si="182">C$1</f>
        <v>150</v>
      </c>
      <c r="D211" s="1">
        <f t="shared" si="152"/>
        <v>200</v>
      </c>
      <c r="E211" s="1">
        <f t="shared" si="152"/>
        <v>350</v>
      </c>
      <c r="F211" s="1">
        <f t="shared" si="152"/>
        <v>0</v>
      </c>
      <c r="G211" s="1">
        <f t="shared" si="152"/>
        <v>0</v>
      </c>
      <c r="H211" s="1">
        <f t="shared" si="152"/>
        <v>0</v>
      </c>
      <c r="I211" s="1">
        <f t="shared" si="152"/>
        <v>0</v>
      </c>
      <c r="J211" s="1">
        <f t="shared" si="152"/>
        <v>0</v>
      </c>
      <c r="K211" s="1">
        <f t="shared" si="152"/>
        <v>0</v>
      </c>
      <c r="L211" s="1">
        <f t="shared" si="152"/>
        <v>0</v>
      </c>
      <c r="M211" s="1">
        <f t="shared" si="152"/>
        <v>0</v>
      </c>
      <c r="N211" s="1">
        <f t="shared" si="152"/>
        <v>0</v>
      </c>
      <c r="O211" s="1">
        <f t="shared" si="152"/>
        <v>0</v>
      </c>
      <c r="P211" s="1">
        <f t="shared" si="152"/>
        <v>0</v>
      </c>
      <c r="Q211" s="1">
        <f t="shared" si="152"/>
        <v>0</v>
      </c>
      <c r="R211" s="1">
        <f t="shared" si="152"/>
        <v>0</v>
      </c>
      <c r="S211" s="1">
        <f t="shared" si="152"/>
        <v>0</v>
      </c>
      <c r="T211" s="1">
        <f t="shared" si="152"/>
        <v>0</v>
      </c>
      <c r="U211" s="1">
        <f t="shared" si="152"/>
        <v>0</v>
      </c>
      <c r="V211" s="1">
        <f t="shared" si="152"/>
        <v>0</v>
      </c>
      <c r="W211" s="1">
        <f t="shared" si="152"/>
        <v>0</v>
      </c>
      <c r="X211" s="1">
        <f t="shared" si="152"/>
        <v>0</v>
      </c>
      <c r="Y211" s="1">
        <f t="shared" si="152"/>
        <v>-999999</v>
      </c>
      <c r="Z211" s="1">
        <f t="shared" si="152"/>
        <v>-999999</v>
      </c>
      <c r="AA211" s="1">
        <f t="shared" si="152"/>
        <v>-999999</v>
      </c>
      <c r="AB211" s="1">
        <f t="shared" si="152"/>
        <v>-999999</v>
      </c>
      <c r="AC211" s="1">
        <f t="shared" si="152"/>
        <v>-999999</v>
      </c>
      <c r="AD211" s="1">
        <f t="shared" si="152"/>
        <v>-999999</v>
      </c>
      <c r="AE211" s="1">
        <f t="shared" si="152"/>
        <v>-999999</v>
      </c>
      <c r="AF211" s="1">
        <f t="shared" si="152"/>
        <v>-999999</v>
      </c>
      <c r="AG211" s="1">
        <f t="shared" si="152"/>
        <v>-999999</v>
      </c>
      <c r="AH211" s="1">
        <f t="shared" si="152"/>
        <v>-999999</v>
      </c>
      <c r="AI211" s="1">
        <f t="shared" si="152"/>
        <v>-999999</v>
      </c>
    </row>
    <row r="212" spans="1:37" ht="18" customHeight="1" x14ac:dyDescent="0.2">
      <c r="A212" s="2" t="s">
        <v>3</v>
      </c>
      <c r="B212" s="2" t="s">
        <v>1</v>
      </c>
      <c r="C212" s="2" t="str">
        <f t="shared" ref="C212" si="183">C$2</f>
        <v>X1</v>
      </c>
      <c r="D212" s="2" t="str">
        <f t="shared" si="155"/>
        <v>X2</v>
      </c>
      <c r="E212" s="2" t="str">
        <f t="shared" si="155"/>
        <v>X3</v>
      </c>
      <c r="F212" s="2" t="str">
        <f t="shared" si="155"/>
        <v>X4</v>
      </c>
      <c r="G212" s="2" t="str">
        <f t="shared" si="155"/>
        <v>X5</v>
      </c>
      <c r="H212" s="2" t="str">
        <f t="shared" si="155"/>
        <v>X6</v>
      </c>
      <c r="I212" s="2" t="str">
        <f t="shared" si="155"/>
        <v>X7</v>
      </c>
      <c r="J212" s="2" t="str">
        <f t="shared" si="155"/>
        <v>X8</v>
      </c>
      <c r="K212" s="2" t="str">
        <f t="shared" si="155"/>
        <v>X9</v>
      </c>
      <c r="L212" s="2" t="str">
        <f t="shared" si="155"/>
        <v>X10</v>
      </c>
      <c r="M212" s="2" t="str">
        <f t="shared" si="155"/>
        <v>X11</v>
      </c>
      <c r="N212" s="2" t="str">
        <f t="shared" si="155"/>
        <v>S1</v>
      </c>
      <c r="O212" s="2" t="str">
        <f t="shared" si="155"/>
        <v>S2</v>
      </c>
      <c r="P212" s="2" t="str">
        <f t="shared" si="155"/>
        <v>S3</v>
      </c>
      <c r="Q212" s="2" t="str">
        <f t="shared" si="155"/>
        <v>S4</v>
      </c>
      <c r="R212" s="2" t="str">
        <f t="shared" si="155"/>
        <v>S5</v>
      </c>
      <c r="S212" s="2" t="str">
        <f t="shared" si="155"/>
        <v>S6</v>
      </c>
      <c r="T212" s="2" t="str">
        <f t="shared" si="155"/>
        <v>S7</v>
      </c>
      <c r="U212" s="2" t="str">
        <f t="shared" si="155"/>
        <v>S8</v>
      </c>
      <c r="V212" s="2" t="str">
        <f t="shared" si="155"/>
        <v>S9</v>
      </c>
      <c r="W212" s="2" t="str">
        <f t="shared" si="155"/>
        <v>S10</v>
      </c>
      <c r="X212" s="2" t="str">
        <f t="shared" si="155"/>
        <v>S11</v>
      </c>
      <c r="Y212" s="2" t="str">
        <f t="shared" si="155"/>
        <v xml:space="preserve"> </v>
      </c>
      <c r="Z212" s="2" t="str">
        <f t="shared" si="155"/>
        <v xml:space="preserve"> </v>
      </c>
      <c r="AA212" s="2" t="str">
        <f t="shared" si="155"/>
        <v xml:space="preserve"> </v>
      </c>
      <c r="AB212" s="2" t="str">
        <f t="shared" si="155"/>
        <v xml:space="preserve"> </v>
      </c>
      <c r="AC212" s="2" t="str">
        <f t="shared" si="155"/>
        <v xml:space="preserve"> </v>
      </c>
      <c r="AD212" s="2" t="str">
        <f t="shared" si="155"/>
        <v xml:space="preserve"> </v>
      </c>
      <c r="AE212" s="2" t="str">
        <f t="shared" si="155"/>
        <v xml:space="preserve"> </v>
      </c>
      <c r="AF212" s="2" t="str">
        <f t="shared" si="155"/>
        <v xml:space="preserve"> </v>
      </c>
      <c r="AG212" s="2" t="str">
        <f t="shared" si="155"/>
        <v xml:space="preserve"> </v>
      </c>
      <c r="AH212" s="2" t="str">
        <f t="shared" si="155"/>
        <v xml:space="preserve"> </v>
      </c>
      <c r="AI212" s="2" t="str">
        <f t="shared" si="155"/>
        <v xml:space="preserve"> </v>
      </c>
      <c r="AJ212" s="2" t="s">
        <v>9</v>
      </c>
      <c r="AK212" s="2" t="s">
        <v>10</v>
      </c>
    </row>
    <row r="213" spans="1:37" ht="18" customHeight="1" x14ac:dyDescent="0.2">
      <c r="A213" s="1">
        <f t="shared" ref="A213" si="184">INDEX(C211:AI211,1,MATCH(B213,C212:AI212,0))</f>
        <v>0</v>
      </c>
      <c r="B213" s="2" t="str">
        <f>IF(AND('Data-solution'!A$3="Maximize",COUNTIF(C209:X209,"&gt;"&amp;0)&gt;0,AK198=MIN(AK198:AK208)),INDEX(C197:X197,1,MATCH(MAX(C209:X209),C209:X209,0)),IF(AND('Data-solution'!A$3="Minimize",COUNTIF(C209:X209,"&lt;"&amp;0)&gt;0,AK198=MIN(AK198:AK208)),INDEX(C197:X197,1,MATCH(MIN(C209:X209),C209:X209,0)),B198))</f>
        <v>S1</v>
      </c>
      <c r="C213" s="1">
        <f>IF(OR($B213&lt;&gt;$B198,$B214&lt;&gt;$B199,$B215&lt;&gt;$B200,$B216&lt;&gt;$B201,$B217&lt;&gt;$B202,$B218&lt;&gt;$B203,$B219&lt;&gt;$B204,$B220&lt;&gt;$B205,$B221&lt;&gt;$B206,$B222&lt;&gt;$B207,$B223&lt;&gt;$B208),IF($B213&lt;&gt;$B198,C198/INDEX($C198:$AJ208,1,MATCH(IF('Data-solution'!$A$3="Maximize",MAX($C209:$AI209),MIN($C209:$AI209)),$C209:$AI209,0)),C198-INDEX($C198:$AJ208,1,MATCH(IF('Data-solution'!$A$3="Maximize",MAX($C209:$AI209),MIN($C209:$AI209)),$C209:$AI209,0))*INDEX(C198:$AJ208,MATCH(MIN($AK198:$AK208),$AK198:$AK208,0),1)/INDEX($C198:$AJ208,MATCH(MIN($AK198:$AK208),$AK198:$AK208,0),MATCH(IF('Data-solution'!$A$3="Maximize",MAX($C209:$AI209),MIN($C209:$AI209)),$C209:$AI209,0))),C198)</f>
        <v>0</v>
      </c>
      <c r="D213" s="1">
        <f>IF(OR($B213&lt;&gt;$B198,$B214&lt;&gt;$B199,$B215&lt;&gt;$B200,$B216&lt;&gt;$B201,$B217&lt;&gt;$B202,$B218&lt;&gt;$B203,$B219&lt;&gt;$B204,$B220&lt;&gt;$B205,$B221&lt;&gt;$B206,$B222&lt;&gt;$B207,$B223&lt;&gt;$B208),IF($B213&lt;&gt;$B198,D198/INDEX($C198:$AJ208,1,MATCH(IF('Data-solution'!$A$3="Maximize",MAX($C209:$AI209),MIN($C209:$AI209)),$C209:$AI209,0)),D198-INDEX($C198:$AJ208,1,MATCH(IF('Data-solution'!$A$3="Maximize",MAX($C209:$AI209),MIN($C209:$AI209)),$C209:$AI209,0))*INDEX(D198:$AJ208,MATCH(MIN($AK198:$AK208),$AK198:$AK208,0),1)/INDEX($C198:$AJ208,MATCH(MIN($AK198:$AK208),$AK198:$AK208,0),MATCH(IF('Data-solution'!$A$3="Maximize",MAX($C209:$AI209),MIN($C209:$AI209)),$C209:$AI209,0))),D198)</f>
        <v>1</v>
      </c>
      <c r="E213" s="1">
        <f>IF(OR($B213&lt;&gt;$B198,$B214&lt;&gt;$B199,$B215&lt;&gt;$B200,$B216&lt;&gt;$B201,$B217&lt;&gt;$B202,$B218&lt;&gt;$B203,$B219&lt;&gt;$B204,$B220&lt;&gt;$B205,$B221&lt;&gt;$B206,$B222&lt;&gt;$B207,$B223&lt;&gt;$B208),IF($B213&lt;&gt;$B198,E198/INDEX($C198:$AJ208,1,MATCH(IF('Data-solution'!$A$3="Maximize",MAX($C209:$AI209),MIN($C209:$AI209)),$C209:$AI209,0)),E198-INDEX($C198:$AJ208,1,MATCH(IF('Data-solution'!$A$3="Maximize",MAX($C209:$AI209),MIN($C209:$AI209)),$C209:$AI209,0))*INDEX(E198:$AJ208,MATCH(MIN($AK198:$AK208),$AK198:$AK208,0),1)/INDEX($C198:$AJ208,MATCH(MIN($AK198:$AK208),$AK198:$AK208,0),MATCH(IF('Data-solution'!$A$3="Maximize",MAX($C209:$AI209),MIN($C209:$AI209)),$C209:$AI209,0))),E198)</f>
        <v>0</v>
      </c>
      <c r="F213" s="1">
        <f>IF(OR($B213&lt;&gt;$B198,$B214&lt;&gt;$B199,$B215&lt;&gt;$B200,$B216&lt;&gt;$B201,$B217&lt;&gt;$B202,$B218&lt;&gt;$B203,$B219&lt;&gt;$B204,$B220&lt;&gt;$B205,$B221&lt;&gt;$B206,$B222&lt;&gt;$B207,$B223&lt;&gt;$B208),IF($B213&lt;&gt;$B198,F198/INDEX($C198:$AJ208,1,MATCH(IF('Data-solution'!$A$3="Maximize",MAX($C209:$AI209),MIN($C209:$AI209)),$C209:$AI209,0)),F198-INDEX($C198:$AJ208,1,MATCH(IF('Data-solution'!$A$3="Maximize",MAX($C209:$AI209),MIN($C209:$AI209)),$C209:$AI209,0))*INDEX(F198:$AJ208,MATCH(MIN($AK198:$AK208),$AK198:$AK208,0),1)/INDEX($C198:$AJ208,MATCH(MIN($AK198:$AK208),$AK198:$AK208,0),MATCH(IF('Data-solution'!$A$3="Maximize",MAX($C209:$AI209),MIN($C209:$AI209)),$C209:$AI209,0))),F198)</f>
        <v>0</v>
      </c>
      <c r="G213" s="1">
        <f>IF(OR($B213&lt;&gt;$B198,$B214&lt;&gt;$B199,$B215&lt;&gt;$B200,$B216&lt;&gt;$B201,$B217&lt;&gt;$B202,$B218&lt;&gt;$B203,$B219&lt;&gt;$B204,$B220&lt;&gt;$B205,$B221&lt;&gt;$B206,$B222&lt;&gt;$B207,$B223&lt;&gt;$B208),IF($B213&lt;&gt;$B198,G198/INDEX($C198:$AJ208,1,MATCH(IF('Data-solution'!$A$3="Maximize",MAX($C209:$AI209),MIN($C209:$AI209)),$C209:$AI209,0)),G198-INDEX($C198:$AJ208,1,MATCH(IF('Data-solution'!$A$3="Maximize",MAX($C209:$AI209),MIN($C209:$AI209)),$C209:$AI209,0))*INDEX(G198:$AJ208,MATCH(MIN($AK198:$AK208),$AK198:$AK208,0),1)/INDEX($C198:$AJ208,MATCH(MIN($AK198:$AK208),$AK198:$AK208,0),MATCH(IF('Data-solution'!$A$3="Maximize",MAX($C209:$AI209),MIN($C209:$AI209)),$C209:$AI209,0))),G198)</f>
        <v>0</v>
      </c>
      <c r="H213" s="1">
        <f>IF(OR($B213&lt;&gt;$B198,$B214&lt;&gt;$B199,$B215&lt;&gt;$B200,$B216&lt;&gt;$B201,$B217&lt;&gt;$B202,$B218&lt;&gt;$B203,$B219&lt;&gt;$B204,$B220&lt;&gt;$B205,$B221&lt;&gt;$B206,$B222&lt;&gt;$B207,$B223&lt;&gt;$B208),IF($B213&lt;&gt;$B198,H198/INDEX($C198:$AJ208,1,MATCH(IF('Data-solution'!$A$3="Maximize",MAX($C209:$AI209),MIN($C209:$AI209)),$C209:$AI209,0)),H198-INDEX($C198:$AJ208,1,MATCH(IF('Data-solution'!$A$3="Maximize",MAX($C209:$AI209),MIN($C209:$AI209)),$C209:$AI209,0))*INDEX(H198:$AJ208,MATCH(MIN($AK198:$AK208),$AK198:$AK208,0),1)/INDEX($C198:$AJ208,MATCH(MIN($AK198:$AK208),$AK198:$AK208,0),MATCH(IF('Data-solution'!$A$3="Maximize",MAX($C209:$AI209),MIN($C209:$AI209)),$C209:$AI209,0))),H198)</f>
        <v>0</v>
      </c>
      <c r="I213" s="1">
        <f>IF(OR($B213&lt;&gt;$B198,$B214&lt;&gt;$B199,$B215&lt;&gt;$B200,$B216&lt;&gt;$B201,$B217&lt;&gt;$B202,$B218&lt;&gt;$B203,$B219&lt;&gt;$B204,$B220&lt;&gt;$B205,$B221&lt;&gt;$B206,$B222&lt;&gt;$B207,$B223&lt;&gt;$B208),IF($B213&lt;&gt;$B198,I198/INDEX($C198:$AJ208,1,MATCH(IF('Data-solution'!$A$3="Maximize",MAX($C209:$AI209),MIN($C209:$AI209)),$C209:$AI209,0)),I198-INDEX($C198:$AJ208,1,MATCH(IF('Data-solution'!$A$3="Maximize",MAX($C209:$AI209),MIN($C209:$AI209)),$C209:$AI209,0))*INDEX(I198:$AJ208,MATCH(MIN($AK198:$AK208),$AK198:$AK208,0),1)/INDEX($C198:$AJ208,MATCH(MIN($AK198:$AK208),$AK198:$AK208,0),MATCH(IF('Data-solution'!$A$3="Maximize",MAX($C209:$AI209),MIN($C209:$AI209)),$C209:$AI209,0))),I198)</f>
        <v>0</v>
      </c>
      <c r="J213" s="1">
        <f>IF(OR($B213&lt;&gt;$B198,$B214&lt;&gt;$B199,$B215&lt;&gt;$B200,$B216&lt;&gt;$B201,$B217&lt;&gt;$B202,$B218&lt;&gt;$B203,$B219&lt;&gt;$B204,$B220&lt;&gt;$B205,$B221&lt;&gt;$B206,$B222&lt;&gt;$B207,$B223&lt;&gt;$B208),IF($B213&lt;&gt;$B198,J198/INDEX($C198:$AJ208,1,MATCH(IF('Data-solution'!$A$3="Maximize",MAX($C209:$AI209),MIN($C209:$AI209)),$C209:$AI209,0)),J198-INDEX($C198:$AJ208,1,MATCH(IF('Data-solution'!$A$3="Maximize",MAX($C209:$AI209),MIN($C209:$AI209)),$C209:$AI209,0))*INDEX(J198:$AJ208,MATCH(MIN($AK198:$AK208),$AK198:$AK208,0),1)/INDEX($C198:$AJ208,MATCH(MIN($AK198:$AK208),$AK198:$AK208,0),MATCH(IF('Data-solution'!$A$3="Maximize",MAX($C209:$AI209),MIN($C209:$AI209)),$C209:$AI209,0))),J198)</f>
        <v>0</v>
      </c>
      <c r="K213" s="1">
        <f>IF(OR($B213&lt;&gt;$B198,$B214&lt;&gt;$B199,$B215&lt;&gt;$B200,$B216&lt;&gt;$B201,$B217&lt;&gt;$B202,$B218&lt;&gt;$B203,$B219&lt;&gt;$B204,$B220&lt;&gt;$B205,$B221&lt;&gt;$B206,$B222&lt;&gt;$B207,$B223&lt;&gt;$B208),IF($B213&lt;&gt;$B198,K198/INDEX($C198:$AJ208,1,MATCH(IF('Data-solution'!$A$3="Maximize",MAX($C209:$AI209),MIN($C209:$AI209)),$C209:$AI209,0)),K198-INDEX($C198:$AJ208,1,MATCH(IF('Data-solution'!$A$3="Maximize",MAX($C209:$AI209),MIN($C209:$AI209)),$C209:$AI209,0))*INDEX(K198:$AJ208,MATCH(MIN($AK198:$AK208),$AK198:$AK208,0),1)/INDEX($C198:$AJ208,MATCH(MIN($AK198:$AK208),$AK198:$AK208,0),MATCH(IF('Data-solution'!$A$3="Maximize",MAX($C209:$AI209),MIN($C209:$AI209)),$C209:$AI209,0))),K198)</f>
        <v>0</v>
      </c>
      <c r="L213" s="1">
        <f>IF(OR($B213&lt;&gt;$B198,$B214&lt;&gt;$B199,$B215&lt;&gt;$B200,$B216&lt;&gt;$B201,$B217&lt;&gt;$B202,$B218&lt;&gt;$B203,$B219&lt;&gt;$B204,$B220&lt;&gt;$B205,$B221&lt;&gt;$B206,$B222&lt;&gt;$B207,$B223&lt;&gt;$B208),IF($B213&lt;&gt;$B198,L198/INDEX($C198:$AJ208,1,MATCH(IF('Data-solution'!$A$3="Maximize",MAX($C209:$AI209),MIN($C209:$AI209)),$C209:$AI209,0)),L198-INDEX($C198:$AJ208,1,MATCH(IF('Data-solution'!$A$3="Maximize",MAX($C209:$AI209),MIN($C209:$AI209)),$C209:$AI209,0))*INDEX(L198:$AJ208,MATCH(MIN($AK198:$AK208),$AK198:$AK208,0),1)/INDEX($C198:$AJ208,MATCH(MIN($AK198:$AK208),$AK198:$AK208,0),MATCH(IF('Data-solution'!$A$3="Maximize",MAX($C209:$AI209),MIN($C209:$AI209)),$C209:$AI209,0))),L198)</f>
        <v>0</v>
      </c>
      <c r="M213" s="1">
        <f>IF(OR($B213&lt;&gt;$B198,$B214&lt;&gt;$B199,$B215&lt;&gt;$B200,$B216&lt;&gt;$B201,$B217&lt;&gt;$B202,$B218&lt;&gt;$B203,$B219&lt;&gt;$B204,$B220&lt;&gt;$B205,$B221&lt;&gt;$B206,$B222&lt;&gt;$B207,$B223&lt;&gt;$B208),IF($B213&lt;&gt;$B198,M198/INDEX($C198:$AJ208,1,MATCH(IF('Data-solution'!$A$3="Maximize",MAX($C209:$AI209),MIN($C209:$AI209)),$C209:$AI209,0)),M198-INDEX($C198:$AJ208,1,MATCH(IF('Data-solution'!$A$3="Maximize",MAX($C209:$AI209),MIN($C209:$AI209)),$C209:$AI209,0))*INDEX(M198:$AJ208,MATCH(MIN($AK198:$AK208),$AK198:$AK208,0),1)/INDEX($C198:$AJ208,MATCH(MIN($AK198:$AK208),$AK198:$AK208,0),MATCH(IF('Data-solution'!$A$3="Maximize",MAX($C209:$AI209),MIN($C209:$AI209)),$C209:$AI209,0))),M198)</f>
        <v>0</v>
      </c>
      <c r="N213" s="1">
        <f>IF(OR($B213&lt;&gt;$B198,$B214&lt;&gt;$B199,$B215&lt;&gt;$B200,$B216&lt;&gt;$B201,$B217&lt;&gt;$B202,$B218&lt;&gt;$B203,$B219&lt;&gt;$B204,$B220&lt;&gt;$B205,$B221&lt;&gt;$B206,$B222&lt;&gt;$B207,$B223&lt;&gt;$B208),IF($B213&lt;&gt;$B198,N198/INDEX($C198:$AJ208,1,MATCH(IF('Data-solution'!$A$3="Maximize",MAX($C209:$AI209),MIN($C209:$AI209)),$C209:$AI209,0)),N198-INDEX($C198:$AJ208,1,MATCH(IF('Data-solution'!$A$3="Maximize",MAX($C209:$AI209),MIN($C209:$AI209)),$C209:$AI209,0))*INDEX(N198:$AJ208,MATCH(MIN($AK198:$AK208),$AK198:$AK208,0),1)/INDEX($C198:$AJ208,MATCH(MIN($AK198:$AK208),$AK198:$AK208,0),MATCH(IF('Data-solution'!$A$3="Maximize",MAX($C209:$AI209),MIN($C209:$AI209)),$C209:$AI209,0))),N198)</f>
        <v>1</v>
      </c>
      <c r="O213" s="1">
        <f>IF(OR($B213&lt;&gt;$B198,$B214&lt;&gt;$B199,$B215&lt;&gt;$B200,$B216&lt;&gt;$B201,$B217&lt;&gt;$B202,$B218&lt;&gt;$B203,$B219&lt;&gt;$B204,$B220&lt;&gt;$B205,$B221&lt;&gt;$B206,$B222&lt;&gt;$B207,$B223&lt;&gt;$B208),IF($B213&lt;&gt;$B198,O198/INDEX($C198:$AJ208,1,MATCH(IF('Data-solution'!$A$3="Maximize",MAX($C209:$AI209),MIN($C209:$AI209)),$C209:$AI209,0)),O198-INDEX($C198:$AJ208,1,MATCH(IF('Data-solution'!$A$3="Maximize",MAX($C209:$AI209),MIN($C209:$AI209)),$C209:$AI209,0))*INDEX(O198:$AJ208,MATCH(MIN($AK198:$AK208),$AK198:$AK208,0),1)/INDEX($C198:$AJ208,MATCH(MIN($AK198:$AK208),$AK198:$AK208,0),MATCH(IF('Data-solution'!$A$3="Maximize",MAX($C209:$AI209),MIN($C209:$AI209)),$C209:$AI209,0))),O198)</f>
        <v>0</v>
      </c>
      <c r="P213" s="1">
        <f>IF(OR($B213&lt;&gt;$B198,$B214&lt;&gt;$B199,$B215&lt;&gt;$B200,$B216&lt;&gt;$B201,$B217&lt;&gt;$B202,$B218&lt;&gt;$B203,$B219&lt;&gt;$B204,$B220&lt;&gt;$B205,$B221&lt;&gt;$B206,$B222&lt;&gt;$B207,$B223&lt;&gt;$B208),IF($B213&lt;&gt;$B198,P198/INDEX($C198:$AJ208,1,MATCH(IF('Data-solution'!$A$3="Maximize",MAX($C209:$AI209),MIN($C209:$AI209)),$C209:$AI209,0)),P198-INDEX($C198:$AJ208,1,MATCH(IF('Data-solution'!$A$3="Maximize",MAX($C209:$AI209),MIN($C209:$AI209)),$C209:$AI209,0))*INDEX(P198:$AJ208,MATCH(MIN($AK198:$AK208),$AK198:$AK208,0),1)/INDEX($C198:$AJ208,MATCH(MIN($AK198:$AK208),$AK198:$AK208,0),MATCH(IF('Data-solution'!$A$3="Maximize",MAX($C209:$AI209),MIN($C209:$AI209)),$C209:$AI209,0))),P198)</f>
        <v>0</v>
      </c>
      <c r="Q213" s="1">
        <f>IF(OR($B213&lt;&gt;$B198,$B214&lt;&gt;$B199,$B215&lt;&gt;$B200,$B216&lt;&gt;$B201,$B217&lt;&gt;$B202,$B218&lt;&gt;$B203,$B219&lt;&gt;$B204,$B220&lt;&gt;$B205,$B221&lt;&gt;$B206,$B222&lt;&gt;$B207,$B223&lt;&gt;$B208),IF($B213&lt;&gt;$B198,Q198/INDEX($C198:$AJ208,1,MATCH(IF('Data-solution'!$A$3="Maximize",MAX($C209:$AI209),MIN($C209:$AI209)),$C209:$AI209,0)),Q198-INDEX($C198:$AJ208,1,MATCH(IF('Data-solution'!$A$3="Maximize",MAX($C209:$AI209),MIN($C209:$AI209)),$C209:$AI209,0))*INDEX(Q198:$AJ208,MATCH(MIN($AK198:$AK208),$AK198:$AK208,0),1)/INDEX($C198:$AJ208,MATCH(MIN($AK198:$AK208),$AK198:$AK208,0),MATCH(IF('Data-solution'!$A$3="Maximize",MAX($C209:$AI209),MIN($C209:$AI209)),$C209:$AI209,0))),Q198)</f>
        <v>-1</v>
      </c>
      <c r="R213" s="1">
        <f>IF(OR($B213&lt;&gt;$B198,$B214&lt;&gt;$B199,$B215&lt;&gt;$B200,$B216&lt;&gt;$B201,$B217&lt;&gt;$B202,$B218&lt;&gt;$B203,$B219&lt;&gt;$B204,$B220&lt;&gt;$B205,$B221&lt;&gt;$B206,$B222&lt;&gt;$B207,$B223&lt;&gt;$B208),IF($B213&lt;&gt;$B198,R198/INDEX($C198:$AJ208,1,MATCH(IF('Data-solution'!$A$3="Maximize",MAX($C209:$AI209),MIN($C209:$AI209)),$C209:$AI209,0)),R198-INDEX($C198:$AJ208,1,MATCH(IF('Data-solution'!$A$3="Maximize",MAX($C209:$AI209),MIN($C209:$AI209)),$C209:$AI209,0))*INDEX(R198:$AJ208,MATCH(MIN($AK198:$AK208),$AK198:$AK208,0),1)/INDEX($C198:$AJ208,MATCH(MIN($AK198:$AK208),$AK198:$AK208,0),MATCH(IF('Data-solution'!$A$3="Maximize",MAX($C209:$AI209),MIN($C209:$AI209)),$C209:$AI209,0))),R198)</f>
        <v>0</v>
      </c>
      <c r="S213" s="1">
        <f>IF(OR($B213&lt;&gt;$B198,$B214&lt;&gt;$B199,$B215&lt;&gt;$B200,$B216&lt;&gt;$B201,$B217&lt;&gt;$B202,$B218&lt;&gt;$B203,$B219&lt;&gt;$B204,$B220&lt;&gt;$B205,$B221&lt;&gt;$B206,$B222&lt;&gt;$B207,$B223&lt;&gt;$B208),IF($B213&lt;&gt;$B198,S198/INDEX($C198:$AJ208,1,MATCH(IF('Data-solution'!$A$3="Maximize",MAX($C209:$AI209),MIN($C209:$AI209)),$C209:$AI209,0)),S198-INDEX($C198:$AJ208,1,MATCH(IF('Data-solution'!$A$3="Maximize",MAX($C209:$AI209),MIN($C209:$AI209)),$C209:$AI209,0))*INDEX(S198:$AJ208,MATCH(MIN($AK198:$AK208),$AK198:$AK208,0),1)/INDEX($C198:$AJ208,MATCH(MIN($AK198:$AK208),$AK198:$AK208,0),MATCH(IF('Data-solution'!$A$3="Maximize",MAX($C209:$AI209),MIN($C209:$AI209)),$C209:$AI209,0))),S198)</f>
        <v>0</v>
      </c>
      <c r="T213" s="1">
        <f>IF(OR($B213&lt;&gt;$B198,$B214&lt;&gt;$B199,$B215&lt;&gt;$B200,$B216&lt;&gt;$B201,$B217&lt;&gt;$B202,$B218&lt;&gt;$B203,$B219&lt;&gt;$B204,$B220&lt;&gt;$B205,$B221&lt;&gt;$B206,$B222&lt;&gt;$B207,$B223&lt;&gt;$B208),IF($B213&lt;&gt;$B198,T198/INDEX($C198:$AJ208,1,MATCH(IF('Data-solution'!$A$3="Maximize",MAX($C209:$AI209),MIN($C209:$AI209)),$C209:$AI209,0)),T198-INDEX($C198:$AJ208,1,MATCH(IF('Data-solution'!$A$3="Maximize",MAX($C209:$AI209),MIN($C209:$AI209)),$C209:$AI209,0))*INDEX(T198:$AJ208,MATCH(MIN($AK198:$AK208),$AK198:$AK208,0),1)/INDEX($C198:$AJ208,MATCH(MIN($AK198:$AK208),$AK198:$AK208,0),MATCH(IF('Data-solution'!$A$3="Maximize",MAX($C209:$AI209),MIN($C209:$AI209)),$C209:$AI209,0))),T198)</f>
        <v>0</v>
      </c>
      <c r="U213" s="1">
        <f>IF(OR($B213&lt;&gt;$B198,$B214&lt;&gt;$B199,$B215&lt;&gt;$B200,$B216&lt;&gt;$B201,$B217&lt;&gt;$B202,$B218&lt;&gt;$B203,$B219&lt;&gt;$B204,$B220&lt;&gt;$B205,$B221&lt;&gt;$B206,$B222&lt;&gt;$B207,$B223&lt;&gt;$B208),IF($B213&lt;&gt;$B198,U198/INDEX($C198:$AJ208,1,MATCH(IF('Data-solution'!$A$3="Maximize",MAX($C209:$AI209),MIN($C209:$AI209)),$C209:$AI209,0)),U198-INDEX($C198:$AJ208,1,MATCH(IF('Data-solution'!$A$3="Maximize",MAX($C209:$AI209),MIN($C209:$AI209)),$C209:$AI209,0))*INDEX(U198:$AJ208,MATCH(MIN($AK198:$AK208),$AK198:$AK208,0),1)/INDEX($C198:$AJ208,MATCH(MIN($AK198:$AK208),$AK198:$AK208,0),MATCH(IF('Data-solution'!$A$3="Maximize",MAX($C209:$AI209),MIN($C209:$AI209)),$C209:$AI209,0))),U198)</f>
        <v>0</v>
      </c>
      <c r="V213" s="1">
        <f>IF(OR($B213&lt;&gt;$B198,$B214&lt;&gt;$B199,$B215&lt;&gt;$B200,$B216&lt;&gt;$B201,$B217&lt;&gt;$B202,$B218&lt;&gt;$B203,$B219&lt;&gt;$B204,$B220&lt;&gt;$B205,$B221&lt;&gt;$B206,$B222&lt;&gt;$B207,$B223&lt;&gt;$B208),IF($B213&lt;&gt;$B198,V198/INDEX($C198:$AJ208,1,MATCH(IF('Data-solution'!$A$3="Maximize",MAX($C209:$AI209),MIN($C209:$AI209)),$C209:$AI209,0)),V198-INDEX($C198:$AJ208,1,MATCH(IF('Data-solution'!$A$3="Maximize",MAX($C209:$AI209),MIN($C209:$AI209)),$C209:$AI209,0))*INDEX(V198:$AJ208,MATCH(MIN($AK198:$AK208),$AK198:$AK208,0),1)/INDEX($C198:$AJ208,MATCH(MIN($AK198:$AK208),$AK198:$AK208,0),MATCH(IF('Data-solution'!$A$3="Maximize",MAX($C209:$AI209),MIN($C209:$AI209)),$C209:$AI209,0))),V198)</f>
        <v>0</v>
      </c>
      <c r="W213" s="1">
        <f>IF(OR($B213&lt;&gt;$B198,$B214&lt;&gt;$B199,$B215&lt;&gt;$B200,$B216&lt;&gt;$B201,$B217&lt;&gt;$B202,$B218&lt;&gt;$B203,$B219&lt;&gt;$B204,$B220&lt;&gt;$B205,$B221&lt;&gt;$B206,$B222&lt;&gt;$B207,$B223&lt;&gt;$B208),IF($B213&lt;&gt;$B198,W198/INDEX($C198:$AJ208,1,MATCH(IF('Data-solution'!$A$3="Maximize",MAX($C209:$AI209),MIN($C209:$AI209)),$C209:$AI209,0)),W198-INDEX($C198:$AJ208,1,MATCH(IF('Data-solution'!$A$3="Maximize",MAX($C209:$AI209),MIN($C209:$AI209)),$C209:$AI209,0))*INDEX(W198:$AJ208,MATCH(MIN($AK198:$AK208),$AK198:$AK208,0),1)/INDEX($C198:$AJ208,MATCH(MIN($AK198:$AK208),$AK198:$AK208,0),MATCH(IF('Data-solution'!$A$3="Maximize",MAX($C209:$AI209),MIN($C209:$AI209)),$C209:$AI209,0))),W198)</f>
        <v>0</v>
      </c>
      <c r="X213" s="1">
        <f>IF(OR($B213&lt;&gt;$B198,$B214&lt;&gt;$B199,$B215&lt;&gt;$B200,$B216&lt;&gt;$B201,$B217&lt;&gt;$B202,$B218&lt;&gt;$B203,$B219&lt;&gt;$B204,$B220&lt;&gt;$B205,$B221&lt;&gt;$B206,$B222&lt;&gt;$B207,$B223&lt;&gt;$B208),IF($B213&lt;&gt;$B198,X198/INDEX($C198:$AJ208,1,MATCH(IF('Data-solution'!$A$3="Maximize",MAX($C209:$AI209),MIN($C209:$AI209)),$C209:$AI209,0)),X198-INDEX($C198:$AJ208,1,MATCH(IF('Data-solution'!$A$3="Maximize",MAX($C209:$AI209),MIN($C209:$AI209)),$C209:$AI209,0))*INDEX(X198:$AJ208,MATCH(MIN($AK198:$AK208),$AK198:$AK208,0),1)/INDEX($C198:$AJ208,MATCH(MIN($AK198:$AK208),$AK198:$AK208,0),MATCH(IF('Data-solution'!$A$3="Maximize",MAX($C209:$AI209),MIN($C209:$AI209)),$C209:$AI209,0))),X198)</f>
        <v>0</v>
      </c>
      <c r="Y213" s="1">
        <f>IF(OR($B213&lt;&gt;$B198,$B214&lt;&gt;$B199,$B215&lt;&gt;$B200,$B216&lt;&gt;$B201,$B217&lt;&gt;$B202,$B218&lt;&gt;$B203,$B219&lt;&gt;$B204,$B220&lt;&gt;$B205,$B221&lt;&gt;$B206,$B222&lt;&gt;$B207,$B223&lt;&gt;$B208),IF($B213&lt;&gt;$B198,Y198/INDEX($C198:$AJ208,1,MATCH(IF('Data-solution'!$A$3="Maximize",MAX($C209:$AI209),MIN($C209:$AI209)),$C209:$AI209,0)),Y198-INDEX($C198:$AJ208,1,MATCH(IF('Data-solution'!$A$3="Maximize",MAX($C209:$AI209),MIN($C209:$AI209)),$C209:$AI209,0))*INDEX(Y198:$AJ208,MATCH(MIN($AK198:$AK208),$AK198:$AK208,0),1)/INDEX($C198:$AJ208,MATCH(MIN($AK198:$AK208),$AK198:$AK208,0),MATCH(IF('Data-solution'!$A$3="Maximize",MAX($C209:$AI209),MIN($C209:$AI209)),$C209:$AI209,0))),Y198)</f>
        <v>1</v>
      </c>
      <c r="Z213" s="1">
        <f>IF(OR($B213&lt;&gt;$B198,$B214&lt;&gt;$B199,$B215&lt;&gt;$B200,$B216&lt;&gt;$B201,$B217&lt;&gt;$B202,$B218&lt;&gt;$B203,$B219&lt;&gt;$B204,$B220&lt;&gt;$B205,$B221&lt;&gt;$B206,$B222&lt;&gt;$B207,$B223&lt;&gt;$B208),IF($B213&lt;&gt;$B198,Z198/INDEX($C198:$AJ208,1,MATCH(IF('Data-solution'!$A$3="Maximize",MAX($C209:$AI209),MIN($C209:$AI209)),$C209:$AI209,0)),Z198-INDEX($C198:$AJ208,1,MATCH(IF('Data-solution'!$A$3="Maximize",MAX($C209:$AI209),MIN($C209:$AI209)),$C209:$AI209,0))*INDEX(Z198:$AJ208,MATCH(MIN($AK198:$AK208),$AK198:$AK208,0),1)/INDEX($C198:$AJ208,MATCH(MIN($AK198:$AK208),$AK198:$AK208,0),MATCH(IF('Data-solution'!$A$3="Maximize",MAX($C209:$AI209),MIN($C209:$AI209)),$C209:$AI209,0))),Z198)</f>
        <v>0</v>
      </c>
      <c r="AA213" s="1">
        <f>IF(OR($B213&lt;&gt;$B198,$B214&lt;&gt;$B199,$B215&lt;&gt;$B200,$B216&lt;&gt;$B201,$B217&lt;&gt;$B202,$B218&lt;&gt;$B203,$B219&lt;&gt;$B204,$B220&lt;&gt;$B205,$B221&lt;&gt;$B206,$B222&lt;&gt;$B207,$B223&lt;&gt;$B208),IF($B213&lt;&gt;$B198,AA198/INDEX($C198:$AJ208,1,MATCH(IF('Data-solution'!$A$3="Maximize",MAX($C209:$AI209),MIN($C209:$AI209)),$C209:$AI209,0)),AA198-INDEX($C198:$AJ208,1,MATCH(IF('Data-solution'!$A$3="Maximize",MAX($C209:$AI209),MIN($C209:$AI209)),$C209:$AI209,0))*INDEX(AA198:$AJ208,MATCH(MIN($AK198:$AK208),$AK198:$AK208,0),1)/INDEX($C198:$AJ208,MATCH(MIN($AK198:$AK208),$AK198:$AK208,0),MATCH(IF('Data-solution'!$A$3="Maximize",MAX($C209:$AI209),MIN($C209:$AI209)),$C209:$AI209,0))),AA198)</f>
        <v>0</v>
      </c>
      <c r="AB213" s="1">
        <f>IF(OR($B213&lt;&gt;$B198,$B214&lt;&gt;$B199,$B215&lt;&gt;$B200,$B216&lt;&gt;$B201,$B217&lt;&gt;$B202,$B218&lt;&gt;$B203,$B219&lt;&gt;$B204,$B220&lt;&gt;$B205,$B221&lt;&gt;$B206,$B222&lt;&gt;$B207,$B223&lt;&gt;$B208),IF($B213&lt;&gt;$B198,AB198/INDEX($C198:$AJ208,1,MATCH(IF('Data-solution'!$A$3="Maximize",MAX($C209:$AI209),MIN($C209:$AI209)),$C209:$AI209,0)),AB198-INDEX($C198:$AJ208,1,MATCH(IF('Data-solution'!$A$3="Maximize",MAX($C209:$AI209),MIN($C209:$AI209)),$C209:$AI209,0))*INDEX(AB198:$AJ208,MATCH(MIN($AK198:$AK208),$AK198:$AK208,0),1)/INDEX($C198:$AJ208,MATCH(MIN($AK198:$AK208),$AK198:$AK208,0),MATCH(IF('Data-solution'!$A$3="Maximize",MAX($C209:$AI209),MIN($C209:$AI209)),$C209:$AI209,0))),AB198)</f>
        <v>-1</v>
      </c>
      <c r="AC213" s="1">
        <f>IF(OR($B213&lt;&gt;$B198,$B214&lt;&gt;$B199,$B215&lt;&gt;$B200,$B216&lt;&gt;$B201,$B217&lt;&gt;$B202,$B218&lt;&gt;$B203,$B219&lt;&gt;$B204,$B220&lt;&gt;$B205,$B221&lt;&gt;$B206,$B222&lt;&gt;$B207,$B223&lt;&gt;$B208),IF($B213&lt;&gt;$B198,AC198/INDEX($C198:$AJ208,1,MATCH(IF('Data-solution'!$A$3="Maximize",MAX($C209:$AI209),MIN($C209:$AI209)),$C209:$AI209,0)),AC198-INDEX($C198:$AJ208,1,MATCH(IF('Data-solution'!$A$3="Maximize",MAX($C209:$AI209),MIN($C209:$AI209)),$C209:$AI209,0))*INDEX(AC198:$AJ208,MATCH(MIN($AK198:$AK208),$AK198:$AK208,0),1)/INDEX($C198:$AJ208,MATCH(MIN($AK198:$AK208),$AK198:$AK208,0),MATCH(IF('Data-solution'!$A$3="Maximize",MAX($C209:$AI209),MIN($C209:$AI209)),$C209:$AI209,0))),AC198)</f>
        <v>0</v>
      </c>
      <c r="AD213" s="1">
        <f>IF(OR($B213&lt;&gt;$B198,$B214&lt;&gt;$B199,$B215&lt;&gt;$B200,$B216&lt;&gt;$B201,$B217&lt;&gt;$B202,$B218&lt;&gt;$B203,$B219&lt;&gt;$B204,$B220&lt;&gt;$B205,$B221&lt;&gt;$B206,$B222&lt;&gt;$B207,$B223&lt;&gt;$B208),IF($B213&lt;&gt;$B198,AD198/INDEX($C198:$AJ208,1,MATCH(IF('Data-solution'!$A$3="Maximize",MAX($C209:$AI209),MIN($C209:$AI209)),$C209:$AI209,0)),AD198-INDEX($C198:$AJ208,1,MATCH(IF('Data-solution'!$A$3="Maximize",MAX($C209:$AI209),MIN($C209:$AI209)),$C209:$AI209,0))*INDEX(AD198:$AJ208,MATCH(MIN($AK198:$AK208),$AK198:$AK208,0),1)/INDEX($C198:$AJ208,MATCH(MIN($AK198:$AK208),$AK198:$AK208,0),MATCH(IF('Data-solution'!$A$3="Maximize",MAX($C209:$AI209),MIN($C209:$AI209)),$C209:$AI209,0))),AD198)</f>
        <v>0</v>
      </c>
      <c r="AE213" s="1">
        <f>IF(OR($B213&lt;&gt;$B198,$B214&lt;&gt;$B199,$B215&lt;&gt;$B200,$B216&lt;&gt;$B201,$B217&lt;&gt;$B202,$B218&lt;&gt;$B203,$B219&lt;&gt;$B204,$B220&lt;&gt;$B205,$B221&lt;&gt;$B206,$B222&lt;&gt;$B207,$B223&lt;&gt;$B208),IF($B213&lt;&gt;$B198,AE198/INDEX($C198:$AJ208,1,MATCH(IF('Data-solution'!$A$3="Maximize",MAX($C209:$AI209),MIN($C209:$AI209)),$C209:$AI209,0)),AE198-INDEX($C198:$AJ208,1,MATCH(IF('Data-solution'!$A$3="Maximize",MAX($C209:$AI209),MIN($C209:$AI209)),$C209:$AI209,0))*INDEX(AE198:$AJ208,MATCH(MIN($AK198:$AK208),$AK198:$AK208,0),1)/INDEX($C198:$AJ208,MATCH(MIN($AK198:$AK208),$AK198:$AK208,0),MATCH(IF('Data-solution'!$A$3="Maximize",MAX($C209:$AI209),MIN($C209:$AI209)),$C209:$AI209,0))),AE198)</f>
        <v>0</v>
      </c>
      <c r="AF213" s="1">
        <f>IF(OR($B213&lt;&gt;$B198,$B214&lt;&gt;$B199,$B215&lt;&gt;$B200,$B216&lt;&gt;$B201,$B217&lt;&gt;$B202,$B218&lt;&gt;$B203,$B219&lt;&gt;$B204,$B220&lt;&gt;$B205,$B221&lt;&gt;$B206,$B222&lt;&gt;$B207,$B223&lt;&gt;$B208),IF($B213&lt;&gt;$B198,AF198/INDEX($C198:$AJ208,1,MATCH(IF('Data-solution'!$A$3="Maximize",MAX($C209:$AI209),MIN($C209:$AI209)),$C209:$AI209,0)),AF198-INDEX($C198:$AJ208,1,MATCH(IF('Data-solution'!$A$3="Maximize",MAX($C209:$AI209),MIN($C209:$AI209)),$C209:$AI209,0))*INDEX(AF198:$AJ208,MATCH(MIN($AK198:$AK208),$AK198:$AK208,0),1)/INDEX($C198:$AJ208,MATCH(MIN($AK198:$AK208),$AK198:$AK208,0),MATCH(IF('Data-solution'!$A$3="Maximize",MAX($C209:$AI209),MIN($C209:$AI209)),$C209:$AI209,0))),AF198)</f>
        <v>0</v>
      </c>
      <c r="AG213" s="1">
        <f>IF(OR($B213&lt;&gt;$B198,$B214&lt;&gt;$B199,$B215&lt;&gt;$B200,$B216&lt;&gt;$B201,$B217&lt;&gt;$B202,$B218&lt;&gt;$B203,$B219&lt;&gt;$B204,$B220&lt;&gt;$B205,$B221&lt;&gt;$B206,$B222&lt;&gt;$B207,$B223&lt;&gt;$B208),IF($B213&lt;&gt;$B198,AG198/INDEX($C198:$AJ208,1,MATCH(IF('Data-solution'!$A$3="Maximize",MAX($C209:$AI209),MIN($C209:$AI209)),$C209:$AI209,0)),AG198-INDEX($C198:$AJ208,1,MATCH(IF('Data-solution'!$A$3="Maximize",MAX($C209:$AI209),MIN($C209:$AI209)),$C209:$AI209,0))*INDEX(AG198:$AJ208,MATCH(MIN($AK198:$AK208),$AK198:$AK208,0),1)/INDEX($C198:$AJ208,MATCH(MIN($AK198:$AK208),$AK198:$AK208,0),MATCH(IF('Data-solution'!$A$3="Maximize",MAX($C209:$AI209),MIN($C209:$AI209)),$C209:$AI209,0))),AG198)</f>
        <v>0</v>
      </c>
      <c r="AH213" s="1">
        <f>IF(OR($B213&lt;&gt;$B198,$B214&lt;&gt;$B199,$B215&lt;&gt;$B200,$B216&lt;&gt;$B201,$B217&lt;&gt;$B202,$B218&lt;&gt;$B203,$B219&lt;&gt;$B204,$B220&lt;&gt;$B205,$B221&lt;&gt;$B206,$B222&lt;&gt;$B207,$B223&lt;&gt;$B208),IF($B213&lt;&gt;$B198,AH198/INDEX($C198:$AJ208,1,MATCH(IF('Data-solution'!$A$3="Maximize",MAX($C209:$AI209),MIN($C209:$AI209)),$C209:$AI209,0)),AH198-INDEX($C198:$AJ208,1,MATCH(IF('Data-solution'!$A$3="Maximize",MAX($C209:$AI209),MIN($C209:$AI209)),$C209:$AI209,0))*INDEX(AH198:$AJ208,MATCH(MIN($AK198:$AK208),$AK198:$AK208,0),1)/INDEX($C198:$AJ208,MATCH(MIN($AK198:$AK208),$AK198:$AK208,0),MATCH(IF('Data-solution'!$A$3="Maximize",MAX($C209:$AI209),MIN($C209:$AI209)),$C209:$AI209,0))),AH198)</f>
        <v>0</v>
      </c>
      <c r="AI213" s="1">
        <f>IF(OR($B213&lt;&gt;$B198,$B214&lt;&gt;$B199,$B215&lt;&gt;$B200,$B216&lt;&gt;$B201,$B217&lt;&gt;$B202,$B218&lt;&gt;$B203,$B219&lt;&gt;$B204,$B220&lt;&gt;$B205,$B221&lt;&gt;$B206,$B222&lt;&gt;$B207,$B223&lt;&gt;$B208),IF($B213&lt;&gt;$B198,AI198/INDEX($C198:$AJ208,1,MATCH(IF('Data-solution'!$A$3="Maximize",MAX($C209:$AI209),MIN($C209:$AI209)),$C209:$AI209,0)),AI198-INDEX($C198:$AJ208,1,MATCH(IF('Data-solution'!$A$3="Maximize",MAX($C209:$AI209),MIN($C209:$AI209)),$C209:$AI209,0))*INDEX(AI198:$AJ208,MATCH(MIN($AK198:$AK208),$AK198:$AK208,0),1)/INDEX($C198:$AJ208,MATCH(MIN($AK198:$AK208),$AK198:$AK208,0),MATCH(IF('Data-solution'!$A$3="Maximize",MAX($C209:$AI209),MIN($C209:$AI209)),$C209:$AI209,0))),AI198)</f>
        <v>0</v>
      </c>
      <c r="AJ213" s="1">
        <f>IF(OR($B213&lt;&gt;$B198,$B214&lt;&gt;$B199,$B215&lt;&gt;$B200,$B216&lt;&gt;$B201,$B217&lt;&gt;$B202,$B218&lt;&gt;$B203,$B219&lt;&gt;$B204,$B220&lt;&gt;$B205,$B221&lt;&gt;$B206,$B222&lt;&gt;$B207,$B223&lt;&gt;$B208),IF($B213&lt;&gt;$B198,AJ198/INDEX($C198:$AJ208,1,MATCH(IF('Data-solution'!$A$3="Maximize",MAX($C209:$AI209),MIN($C209:$AI209)),$C209:$AI209,0)),AJ198-INDEX($C198:$AJ208,1,MATCH(IF('Data-solution'!$A$3="Maximize",MAX($C209:$AI209),MIN($C209:$AI209)),$C209:$AI209,0))*INDEX(AJ198:$AJ208,MATCH(MIN($AK198:$AK208),$AK198:$AK208,0),1)/INDEX($C198:$AJ208,MATCH(MIN($AK198:$AK208),$AK198:$AK208,0),MATCH(IF('Data-solution'!$A$3="Maximize",MAX($C209:$AI209),MIN($C209:$AI209)),$C209:$AI209,0))),AJ198)</f>
        <v>150</v>
      </c>
      <c r="AK213" s="1" t="str">
        <f>IF(INDEX(C213:X213,1,MATCH(IF('Data-solution'!A$3="Maximize",MAX(C224:X224),MIN(C224:X224)),C224:X224,0))&gt;0,AJ213/INDEX(C213:X213,1,MATCH(IF('Data-solution'!A$3="Maximize",MAX(C224:X224),MIN(C224:X224)),C224:X224,0))," ")</f>
        <v xml:space="preserve"> </v>
      </c>
    </row>
    <row r="214" spans="1:37" ht="18" customHeight="1" x14ac:dyDescent="0.2">
      <c r="A214" s="1">
        <f t="shared" ref="A214" si="185">INDEX(C211:AI211,1,MATCH(B214,C212:AI212,0))</f>
        <v>0</v>
      </c>
      <c r="B214" s="2" t="str">
        <f>IF(AND('Data-solution'!A$3="Maximize",COUNTIF(C209:X209,"&gt;"&amp;0)&gt;0,AK199=MIN(AK198:AK208),COUNTIF(B213,INDEX(C197:X197,1,MATCH(MAX(C209:X209),C209:X209,0)))=0),INDEX(C197:X197,1,MATCH(MAX(C209:X209),C209:X209,0)),IF(AND('Data-solution'!A$3="Minimize",COUNTIF(C209:X209,"&lt;"&amp;0)&gt;0,AK199=MIN(AK198:AK208),COUNTIF(B213,INDEX(C197:X197,1,MATCH(MIN(C209:X209),C209:X209,0)))=0),INDEX(C197:X197,1,MATCH(MIN(C209:X209),C209:X209,0)),B199))</f>
        <v>S2</v>
      </c>
      <c r="C214" s="1">
        <f>IF(OR($B213&lt;&gt;$B198,$B214&lt;&gt;$B199,$B215&lt;&gt;$B200,$B216&lt;&gt;$B201,$B217&lt;&gt;$B202,$B218&lt;&gt;$B203,$B219&lt;&gt;$B204,$B220&lt;&gt;$B205,$B221&lt;&gt;$B206,$B222&lt;&gt;$B207,$B223&lt;&gt;$B208),IF($B214&lt;&gt;$B199,C199/INDEX($C198:$AJ208,2,MATCH(IF('Data-solution'!$A$3="Maximize",MAX($C209:$AI209),MIN($C209:$AI209)),$C209:$AI209,0)),C199-INDEX($C198:$AJ208,2,MATCH(IF('Data-solution'!$A$3="Maximize",MAX($C209:$AI209),MIN($C209:$AI209)),$C209:$AI209,0))*INDEX(C198:$AJ208,MATCH(MIN($AK198:$AK208),$AK198:$AK208,0),1)/INDEX($C198:$AJ208,MATCH(MIN($AK198:$AK208),$AK198:$AK208,0),MATCH(IF('Data-solution'!$A$3="Maximize",MAX($C209:$AI209),MIN($C209:$AI209)),$C209:$AI209,0))),C199)</f>
        <v>0</v>
      </c>
      <c r="D214" s="1">
        <f>IF(OR($B213&lt;&gt;$B198,$B214&lt;&gt;$B199,$B215&lt;&gt;$B200,$B216&lt;&gt;$B201,$B217&lt;&gt;$B202,$B218&lt;&gt;$B203,$B219&lt;&gt;$B204,$B220&lt;&gt;$B205,$B221&lt;&gt;$B206,$B222&lt;&gt;$B207,$B223&lt;&gt;$B208),IF($B214&lt;&gt;$B199,D199/INDEX($C198:$AJ208,2,MATCH(IF('Data-solution'!$A$3="Maximize",MAX($C209:$AI209),MIN($C209:$AI209)),$C209:$AI209,0)),D199-INDEX($C198:$AJ208,2,MATCH(IF('Data-solution'!$A$3="Maximize",MAX($C209:$AI209),MIN($C209:$AI209)),$C209:$AI209,0))*INDEX(D198:$AJ208,MATCH(MIN($AK198:$AK208),$AK198:$AK208,0),1)/INDEX($C198:$AJ208,MATCH(MIN($AK198:$AK208),$AK198:$AK208,0),MATCH(IF('Data-solution'!$A$3="Maximize",MAX($C209:$AI209),MIN($C209:$AI209)),$C209:$AI209,0))),D199)</f>
        <v>1.75</v>
      </c>
      <c r="E214" s="1">
        <f>IF(OR($B213&lt;&gt;$B198,$B214&lt;&gt;$B199,$B215&lt;&gt;$B200,$B216&lt;&gt;$B201,$B217&lt;&gt;$B202,$B218&lt;&gt;$B203,$B219&lt;&gt;$B204,$B220&lt;&gt;$B205,$B221&lt;&gt;$B206,$B222&lt;&gt;$B207,$B223&lt;&gt;$B208),IF($B214&lt;&gt;$B199,E199/INDEX($C198:$AJ208,2,MATCH(IF('Data-solution'!$A$3="Maximize",MAX($C209:$AI209),MIN($C209:$AI209)),$C209:$AI209,0)),E199-INDEX($C198:$AJ208,2,MATCH(IF('Data-solution'!$A$3="Maximize",MAX($C209:$AI209),MIN($C209:$AI209)),$C209:$AI209,0))*INDEX(E198:$AJ208,MATCH(MIN($AK198:$AK208),$AK198:$AK208,0),1)/INDEX($C198:$AJ208,MATCH(MIN($AK198:$AK208),$AK198:$AK208,0),MATCH(IF('Data-solution'!$A$3="Maximize",MAX($C209:$AI209),MIN($C209:$AI209)),$C209:$AI209,0))),E199)</f>
        <v>0</v>
      </c>
      <c r="F214" s="1">
        <f>IF(OR($B213&lt;&gt;$B198,$B214&lt;&gt;$B199,$B215&lt;&gt;$B200,$B216&lt;&gt;$B201,$B217&lt;&gt;$B202,$B218&lt;&gt;$B203,$B219&lt;&gt;$B204,$B220&lt;&gt;$B205,$B221&lt;&gt;$B206,$B222&lt;&gt;$B207,$B223&lt;&gt;$B208),IF($B214&lt;&gt;$B199,F199/INDEX($C198:$AJ208,2,MATCH(IF('Data-solution'!$A$3="Maximize",MAX($C209:$AI209),MIN($C209:$AI209)),$C209:$AI209,0)),F199-INDEX($C198:$AJ208,2,MATCH(IF('Data-solution'!$A$3="Maximize",MAX($C209:$AI209),MIN($C209:$AI209)),$C209:$AI209,0))*INDEX(F198:$AJ208,MATCH(MIN($AK198:$AK208),$AK198:$AK208,0),1)/INDEX($C198:$AJ208,MATCH(MIN($AK198:$AK208),$AK198:$AK208,0),MATCH(IF('Data-solution'!$A$3="Maximize",MAX($C209:$AI209),MIN($C209:$AI209)),$C209:$AI209,0))),F199)</f>
        <v>0</v>
      </c>
      <c r="G214" s="1">
        <f>IF(OR($B213&lt;&gt;$B198,$B214&lt;&gt;$B199,$B215&lt;&gt;$B200,$B216&lt;&gt;$B201,$B217&lt;&gt;$B202,$B218&lt;&gt;$B203,$B219&lt;&gt;$B204,$B220&lt;&gt;$B205,$B221&lt;&gt;$B206,$B222&lt;&gt;$B207,$B223&lt;&gt;$B208),IF($B214&lt;&gt;$B199,G199/INDEX($C198:$AJ208,2,MATCH(IF('Data-solution'!$A$3="Maximize",MAX($C209:$AI209),MIN($C209:$AI209)),$C209:$AI209,0)),G199-INDEX($C198:$AJ208,2,MATCH(IF('Data-solution'!$A$3="Maximize",MAX($C209:$AI209),MIN($C209:$AI209)),$C209:$AI209,0))*INDEX(G198:$AJ208,MATCH(MIN($AK198:$AK208),$AK198:$AK208,0),1)/INDEX($C198:$AJ208,MATCH(MIN($AK198:$AK208),$AK198:$AK208,0),MATCH(IF('Data-solution'!$A$3="Maximize",MAX($C209:$AI209),MIN($C209:$AI209)),$C209:$AI209,0))),G199)</f>
        <v>0</v>
      </c>
      <c r="H214" s="1">
        <f>IF(OR($B213&lt;&gt;$B198,$B214&lt;&gt;$B199,$B215&lt;&gt;$B200,$B216&lt;&gt;$B201,$B217&lt;&gt;$B202,$B218&lt;&gt;$B203,$B219&lt;&gt;$B204,$B220&lt;&gt;$B205,$B221&lt;&gt;$B206,$B222&lt;&gt;$B207,$B223&lt;&gt;$B208),IF($B214&lt;&gt;$B199,H199/INDEX($C198:$AJ208,2,MATCH(IF('Data-solution'!$A$3="Maximize",MAX($C209:$AI209),MIN($C209:$AI209)),$C209:$AI209,0)),H199-INDEX($C198:$AJ208,2,MATCH(IF('Data-solution'!$A$3="Maximize",MAX($C209:$AI209),MIN($C209:$AI209)),$C209:$AI209,0))*INDEX(H198:$AJ208,MATCH(MIN($AK198:$AK208),$AK198:$AK208,0),1)/INDEX($C198:$AJ208,MATCH(MIN($AK198:$AK208),$AK198:$AK208,0),MATCH(IF('Data-solution'!$A$3="Maximize",MAX($C209:$AI209),MIN($C209:$AI209)),$C209:$AI209,0))),H199)</f>
        <v>0</v>
      </c>
      <c r="I214" s="1">
        <f>IF(OR($B213&lt;&gt;$B198,$B214&lt;&gt;$B199,$B215&lt;&gt;$B200,$B216&lt;&gt;$B201,$B217&lt;&gt;$B202,$B218&lt;&gt;$B203,$B219&lt;&gt;$B204,$B220&lt;&gt;$B205,$B221&lt;&gt;$B206,$B222&lt;&gt;$B207,$B223&lt;&gt;$B208),IF($B214&lt;&gt;$B199,I199/INDEX($C198:$AJ208,2,MATCH(IF('Data-solution'!$A$3="Maximize",MAX($C209:$AI209),MIN($C209:$AI209)),$C209:$AI209,0)),I199-INDEX($C198:$AJ208,2,MATCH(IF('Data-solution'!$A$3="Maximize",MAX($C209:$AI209),MIN($C209:$AI209)),$C209:$AI209,0))*INDEX(I198:$AJ208,MATCH(MIN($AK198:$AK208),$AK198:$AK208,0),1)/INDEX($C198:$AJ208,MATCH(MIN($AK198:$AK208),$AK198:$AK208,0),MATCH(IF('Data-solution'!$A$3="Maximize",MAX($C209:$AI209),MIN($C209:$AI209)),$C209:$AI209,0))),I199)</f>
        <v>0</v>
      </c>
      <c r="J214" s="1">
        <f>IF(OR($B213&lt;&gt;$B198,$B214&lt;&gt;$B199,$B215&lt;&gt;$B200,$B216&lt;&gt;$B201,$B217&lt;&gt;$B202,$B218&lt;&gt;$B203,$B219&lt;&gt;$B204,$B220&lt;&gt;$B205,$B221&lt;&gt;$B206,$B222&lt;&gt;$B207,$B223&lt;&gt;$B208),IF($B214&lt;&gt;$B199,J199/INDEX($C198:$AJ208,2,MATCH(IF('Data-solution'!$A$3="Maximize",MAX($C209:$AI209),MIN($C209:$AI209)),$C209:$AI209,0)),J199-INDEX($C198:$AJ208,2,MATCH(IF('Data-solution'!$A$3="Maximize",MAX($C209:$AI209),MIN($C209:$AI209)),$C209:$AI209,0))*INDEX(J198:$AJ208,MATCH(MIN($AK198:$AK208),$AK198:$AK208,0),1)/INDEX($C198:$AJ208,MATCH(MIN($AK198:$AK208),$AK198:$AK208,0),MATCH(IF('Data-solution'!$A$3="Maximize",MAX($C209:$AI209),MIN($C209:$AI209)),$C209:$AI209,0))),J199)</f>
        <v>0</v>
      </c>
      <c r="K214" s="1">
        <f>IF(OR($B213&lt;&gt;$B198,$B214&lt;&gt;$B199,$B215&lt;&gt;$B200,$B216&lt;&gt;$B201,$B217&lt;&gt;$B202,$B218&lt;&gt;$B203,$B219&lt;&gt;$B204,$B220&lt;&gt;$B205,$B221&lt;&gt;$B206,$B222&lt;&gt;$B207,$B223&lt;&gt;$B208),IF($B214&lt;&gt;$B199,K199/INDEX($C198:$AJ208,2,MATCH(IF('Data-solution'!$A$3="Maximize",MAX($C209:$AI209),MIN($C209:$AI209)),$C209:$AI209,0)),K199-INDEX($C198:$AJ208,2,MATCH(IF('Data-solution'!$A$3="Maximize",MAX($C209:$AI209),MIN($C209:$AI209)),$C209:$AI209,0))*INDEX(K198:$AJ208,MATCH(MIN($AK198:$AK208),$AK198:$AK208,0),1)/INDEX($C198:$AJ208,MATCH(MIN($AK198:$AK208),$AK198:$AK208,0),MATCH(IF('Data-solution'!$A$3="Maximize",MAX($C209:$AI209),MIN($C209:$AI209)),$C209:$AI209,0))),K199)</f>
        <v>0</v>
      </c>
      <c r="L214" s="1">
        <f>IF(OR($B213&lt;&gt;$B198,$B214&lt;&gt;$B199,$B215&lt;&gt;$B200,$B216&lt;&gt;$B201,$B217&lt;&gt;$B202,$B218&lt;&gt;$B203,$B219&lt;&gt;$B204,$B220&lt;&gt;$B205,$B221&lt;&gt;$B206,$B222&lt;&gt;$B207,$B223&lt;&gt;$B208),IF($B214&lt;&gt;$B199,L199/INDEX($C198:$AJ208,2,MATCH(IF('Data-solution'!$A$3="Maximize",MAX($C209:$AI209),MIN($C209:$AI209)),$C209:$AI209,0)),L199-INDEX($C198:$AJ208,2,MATCH(IF('Data-solution'!$A$3="Maximize",MAX($C209:$AI209),MIN($C209:$AI209)),$C209:$AI209,0))*INDEX(L198:$AJ208,MATCH(MIN($AK198:$AK208),$AK198:$AK208,0),1)/INDEX($C198:$AJ208,MATCH(MIN($AK198:$AK208),$AK198:$AK208,0),MATCH(IF('Data-solution'!$A$3="Maximize",MAX($C209:$AI209),MIN($C209:$AI209)),$C209:$AI209,0))),L199)</f>
        <v>0</v>
      </c>
      <c r="M214" s="1">
        <f>IF(OR($B213&lt;&gt;$B198,$B214&lt;&gt;$B199,$B215&lt;&gt;$B200,$B216&lt;&gt;$B201,$B217&lt;&gt;$B202,$B218&lt;&gt;$B203,$B219&lt;&gt;$B204,$B220&lt;&gt;$B205,$B221&lt;&gt;$B206,$B222&lt;&gt;$B207,$B223&lt;&gt;$B208),IF($B214&lt;&gt;$B199,M199/INDEX($C198:$AJ208,2,MATCH(IF('Data-solution'!$A$3="Maximize",MAX($C209:$AI209),MIN($C209:$AI209)),$C209:$AI209,0)),M199-INDEX($C198:$AJ208,2,MATCH(IF('Data-solution'!$A$3="Maximize",MAX($C209:$AI209),MIN($C209:$AI209)),$C209:$AI209,0))*INDEX(M198:$AJ208,MATCH(MIN($AK198:$AK208),$AK198:$AK208,0),1)/INDEX($C198:$AJ208,MATCH(MIN($AK198:$AK208),$AK198:$AK208,0),MATCH(IF('Data-solution'!$A$3="Maximize",MAX($C209:$AI209),MIN($C209:$AI209)),$C209:$AI209,0))),M199)</f>
        <v>0</v>
      </c>
      <c r="N214" s="1">
        <f>IF(OR($B213&lt;&gt;$B198,$B214&lt;&gt;$B199,$B215&lt;&gt;$B200,$B216&lt;&gt;$B201,$B217&lt;&gt;$B202,$B218&lt;&gt;$B203,$B219&lt;&gt;$B204,$B220&lt;&gt;$B205,$B221&lt;&gt;$B206,$B222&lt;&gt;$B207,$B223&lt;&gt;$B208),IF($B214&lt;&gt;$B199,N199/INDEX($C198:$AJ208,2,MATCH(IF('Data-solution'!$A$3="Maximize",MAX($C209:$AI209),MIN($C209:$AI209)),$C209:$AI209,0)),N199-INDEX($C198:$AJ208,2,MATCH(IF('Data-solution'!$A$3="Maximize",MAX($C209:$AI209),MIN($C209:$AI209)),$C209:$AI209,0))*INDEX(N198:$AJ208,MATCH(MIN($AK198:$AK208),$AK198:$AK208,0),1)/INDEX($C198:$AJ208,MATCH(MIN($AK198:$AK208),$AK198:$AK208,0),MATCH(IF('Data-solution'!$A$3="Maximize",MAX($C209:$AI209),MIN($C209:$AI209)),$C209:$AI209,0))),N199)</f>
        <v>0</v>
      </c>
      <c r="O214" s="1">
        <f>IF(OR($B213&lt;&gt;$B198,$B214&lt;&gt;$B199,$B215&lt;&gt;$B200,$B216&lt;&gt;$B201,$B217&lt;&gt;$B202,$B218&lt;&gt;$B203,$B219&lt;&gt;$B204,$B220&lt;&gt;$B205,$B221&lt;&gt;$B206,$B222&lt;&gt;$B207,$B223&lt;&gt;$B208),IF($B214&lt;&gt;$B199,O199/INDEX($C198:$AJ208,2,MATCH(IF('Data-solution'!$A$3="Maximize",MAX($C209:$AI209),MIN($C209:$AI209)),$C209:$AI209,0)),O199-INDEX($C198:$AJ208,2,MATCH(IF('Data-solution'!$A$3="Maximize",MAX($C209:$AI209),MIN($C209:$AI209)),$C209:$AI209,0))*INDEX(O198:$AJ208,MATCH(MIN($AK198:$AK208),$AK198:$AK208,0),1)/INDEX($C198:$AJ208,MATCH(MIN($AK198:$AK208),$AK198:$AK208,0),MATCH(IF('Data-solution'!$A$3="Maximize",MAX($C209:$AI209),MIN($C209:$AI209)),$C209:$AI209,0))),O199)</f>
        <v>1</v>
      </c>
      <c r="P214" s="1">
        <f>IF(OR($B213&lt;&gt;$B198,$B214&lt;&gt;$B199,$B215&lt;&gt;$B200,$B216&lt;&gt;$B201,$B217&lt;&gt;$B202,$B218&lt;&gt;$B203,$B219&lt;&gt;$B204,$B220&lt;&gt;$B205,$B221&lt;&gt;$B206,$B222&lt;&gt;$B207,$B223&lt;&gt;$B208),IF($B214&lt;&gt;$B199,P199/INDEX($C198:$AJ208,2,MATCH(IF('Data-solution'!$A$3="Maximize",MAX($C209:$AI209),MIN($C209:$AI209)),$C209:$AI209,0)),P199-INDEX($C198:$AJ208,2,MATCH(IF('Data-solution'!$A$3="Maximize",MAX($C209:$AI209),MIN($C209:$AI209)),$C209:$AI209,0))*INDEX(P198:$AJ208,MATCH(MIN($AK198:$AK208),$AK198:$AK208,0),1)/INDEX($C198:$AJ208,MATCH(MIN($AK198:$AK208),$AK198:$AK208,0),MATCH(IF('Data-solution'!$A$3="Maximize",MAX($C209:$AI209),MIN($C209:$AI209)),$C209:$AI209,0))),P199)</f>
        <v>-0.25</v>
      </c>
      <c r="Q214" s="1">
        <f>IF(OR($B213&lt;&gt;$B198,$B214&lt;&gt;$B199,$B215&lt;&gt;$B200,$B216&lt;&gt;$B201,$B217&lt;&gt;$B202,$B218&lt;&gt;$B203,$B219&lt;&gt;$B204,$B220&lt;&gt;$B205,$B221&lt;&gt;$B206,$B222&lt;&gt;$B207,$B223&lt;&gt;$B208),IF($B214&lt;&gt;$B199,Q199/INDEX($C198:$AJ208,2,MATCH(IF('Data-solution'!$A$3="Maximize",MAX($C209:$AI209),MIN($C209:$AI209)),$C209:$AI209,0)),Q199-INDEX($C198:$AJ208,2,MATCH(IF('Data-solution'!$A$3="Maximize",MAX($C209:$AI209),MIN($C209:$AI209)),$C209:$AI209,0))*INDEX(Q198:$AJ208,MATCH(MIN($AK198:$AK208),$AK198:$AK208,0),1)/INDEX($C198:$AJ208,MATCH(MIN($AK198:$AK208),$AK198:$AK208,0),MATCH(IF('Data-solution'!$A$3="Maximize",MAX($C209:$AI209),MIN($C209:$AI209)),$C209:$AI209,0))),Q199)</f>
        <v>-0.5</v>
      </c>
      <c r="R214" s="1">
        <f>IF(OR($B213&lt;&gt;$B198,$B214&lt;&gt;$B199,$B215&lt;&gt;$B200,$B216&lt;&gt;$B201,$B217&lt;&gt;$B202,$B218&lt;&gt;$B203,$B219&lt;&gt;$B204,$B220&lt;&gt;$B205,$B221&lt;&gt;$B206,$B222&lt;&gt;$B207,$B223&lt;&gt;$B208),IF($B214&lt;&gt;$B199,R199/INDEX($C198:$AJ208,2,MATCH(IF('Data-solution'!$A$3="Maximize",MAX($C209:$AI209),MIN($C209:$AI209)),$C209:$AI209,0)),R199-INDEX($C198:$AJ208,2,MATCH(IF('Data-solution'!$A$3="Maximize",MAX($C209:$AI209),MIN($C209:$AI209)),$C209:$AI209,0))*INDEX(R198:$AJ208,MATCH(MIN($AK198:$AK208),$AK198:$AK208,0),1)/INDEX($C198:$AJ208,MATCH(MIN($AK198:$AK208),$AK198:$AK208,0),MATCH(IF('Data-solution'!$A$3="Maximize",MAX($C209:$AI209),MIN($C209:$AI209)),$C209:$AI209,0))),R199)</f>
        <v>0</v>
      </c>
      <c r="S214" s="1">
        <f>IF(OR($B213&lt;&gt;$B198,$B214&lt;&gt;$B199,$B215&lt;&gt;$B200,$B216&lt;&gt;$B201,$B217&lt;&gt;$B202,$B218&lt;&gt;$B203,$B219&lt;&gt;$B204,$B220&lt;&gt;$B205,$B221&lt;&gt;$B206,$B222&lt;&gt;$B207,$B223&lt;&gt;$B208),IF($B214&lt;&gt;$B199,S199/INDEX($C198:$AJ208,2,MATCH(IF('Data-solution'!$A$3="Maximize",MAX($C209:$AI209),MIN($C209:$AI209)),$C209:$AI209,0)),S199-INDEX($C198:$AJ208,2,MATCH(IF('Data-solution'!$A$3="Maximize",MAX($C209:$AI209),MIN($C209:$AI209)),$C209:$AI209,0))*INDEX(S198:$AJ208,MATCH(MIN($AK198:$AK208),$AK198:$AK208,0),1)/INDEX($C198:$AJ208,MATCH(MIN($AK198:$AK208),$AK198:$AK208,0),MATCH(IF('Data-solution'!$A$3="Maximize",MAX($C209:$AI209),MIN($C209:$AI209)),$C209:$AI209,0))),S199)</f>
        <v>0</v>
      </c>
      <c r="T214" s="1">
        <f>IF(OR($B213&lt;&gt;$B198,$B214&lt;&gt;$B199,$B215&lt;&gt;$B200,$B216&lt;&gt;$B201,$B217&lt;&gt;$B202,$B218&lt;&gt;$B203,$B219&lt;&gt;$B204,$B220&lt;&gt;$B205,$B221&lt;&gt;$B206,$B222&lt;&gt;$B207,$B223&lt;&gt;$B208),IF($B214&lt;&gt;$B199,T199/INDEX($C198:$AJ208,2,MATCH(IF('Data-solution'!$A$3="Maximize",MAX($C209:$AI209),MIN($C209:$AI209)),$C209:$AI209,0)),T199-INDEX($C198:$AJ208,2,MATCH(IF('Data-solution'!$A$3="Maximize",MAX($C209:$AI209),MIN($C209:$AI209)),$C209:$AI209,0))*INDEX(T198:$AJ208,MATCH(MIN($AK198:$AK208),$AK198:$AK208,0),1)/INDEX($C198:$AJ208,MATCH(MIN($AK198:$AK208),$AK198:$AK208,0),MATCH(IF('Data-solution'!$A$3="Maximize",MAX($C209:$AI209),MIN($C209:$AI209)),$C209:$AI209,0))),T199)</f>
        <v>0</v>
      </c>
      <c r="U214" s="1">
        <f>IF(OR($B213&lt;&gt;$B198,$B214&lt;&gt;$B199,$B215&lt;&gt;$B200,$B216&lt;&gt;$B201,$B217&lt;&gt;$B202,$B218&lt;&gt;$B203,$B219&lt;&gt;$B204,$B220&lt;&gt;$B205,$B221&lt;&gt;$B206,$B222&lt;&gt;$B207,$B223&lt;&gt;$B208),IF($B214&lt;&gt;$B199,U199/INDEX($C198:$AJ208,2,MATCH(IF('Data-solution'!$A$3="Maximize",MAX($C209:$AI209),MIN($C209:$AI209)),$C209:$AI209,0)),U199-INDEX($C198:$AJ208,2,MATCH(IF('Data-solution'!$A$3="Maximize",MAX($C209:$AI209),MIN($C209:$AI209)),$C209:$AI209,0))*INDEX(U198:$AJ208,MATCH(MIN($AK198:$AK208),$AK198:$AK208,0),1)/INDEX($C198:$AJ208,MATCH(MIN($AK198:$AK208),$AK198:$AK208,0),MATCH(IF('Data-solution'!$A$3="Maximize",MAX($C209:$AI209),MIN($C209:$AI209)),$C209:$AI209,0))),U199)</f>
        <v>0</v>
      </c>
      <c r="V214" s="1">
        <f>IF(OR($B213&lt;&gt;$B198,$B214&lt;&gt;$B199,$B215&lt;&gt;$B200,$B216&lt;&gt;$B201,$B217&lt;&gt;$B202,$B218&lt;&gt;$B203,$B219&lt;&gt;$B204,$B220&lt;&gt;$B205,$B221&lt;&gt;$B206,$B222&lt;&gt;$B207,$B223&lt;&gt;$B208),IF($B214&lt;&gt;$B199,V199/INDEX($C198:$AJ208,2,MATCH(IF('Data-solution'!$A$3="Maximize",MAX($C209:$AI209),MIN($C209:$AI209)),$C209:$AI209,0)),V199-INDEX($C198:$AJ208,2,MATCH(IF('Data-solution'!$A$3="Maximize",MAX($C209:$AI209),MIN($C209:$AI209)),$C209:$AI209,0))*INDEX(V198:$AJ208,MATCH(MIN($AK198:$AK208),$AK198:$AK208,0),1)/INDEX($C198:$AJ208,MATCH(MIN($AK198:$AK208),$AK198:$AK208,0),MATCH(IF('Data-solution'!$A$3="Maximize",MAX($C209:$AI209),MIN($C209:$AI209)),$C209:$AI209,0))),V199)</f>
        <v>0</v>
      </c>
      <c r="W214" s="1">
        <f>IF(OR($B213&lt;&gt;$B198,$B214&lt;&gt;$B199,$B215&lt;&gt;$B200,$B216&lt;&gt;$B201,$B217&lt;&gt;$B202,$B218&lt;&gt;$B203,$B219&lt;&gt;$B204,$B220&lt;&gt;$B205,$B221&lt;&gt;$B206,$B222&lt;&gt;$B207,$B223&lt;&gt;$B208),IF($B214&lt;&gt;$B199,W199/INDEX($C198:$AJ208,2,MATCH(IF('Data-solution'!$A$3="Maximize",MAX($C209:$AI209),MIN($C209:$AI209)),$C209:$AI209,0)),W199-INDEX($C198:$AJ208,2,MATCH(IF('Data-solution'!$A$3="Maximize",MAX($C209:$AI209),MIN($C209:$AI209)),$C209:$AI209,0))*INDEX(W198:$AJ208,MATCH(MIN($AK198:$AK208),$AK198:$AK208,0),1)/INDEX($C198:$AJ208,MATCH(MIN($AK198:$AK208),$AK198:$AK208,0),MATCH(IF('Data-solution'!$A$3="Maximize",MAX($C209:$AI209),MIN($C209:$AI209)),$C209:$AI209,0))),W199)</f>
        <v>0</v>
      </c>
      <c r="X214" s="1">
        <f>IF(OR($B213&lt;&gt;$B198,$B214&lt;&gt;$B199,$B215&lt;&gt;$B200,$B216&lt;&gt;$B201,$B217&lt;&gt;$B202,$B218&lt;&gt;$B203,$B219&lt;&gt;$B204,$B220&lt;&gt;$B205,$B221&lt;&gt;$B206,$B222&lt;&gt;$B207,$B223&lt;&gt;$B208),IF($B214&lt;&gt;$B199,X199/INDEX($C198:$AJ208,2,MATCH(IF('Data-solution'!$A$3="Maximize",MAX($C209:$AI209),MIN($C209:$AI209)),$C209:$AI209,0)),X199-INDEX($C198:$AJ208,2,MATCH(IF('Data-solution'!$A$3="Maximize",MAX($C209:$AI209),MIN($C209:$AI209)),$C209:$AI209,0))*INDEX(X198:$AJ208,MATCH(MIN($AK198:$AK208),$AK198:$AK208,0),1)/INDEX($C198:$AJ208,MATCH(MIN($AK198:$AK208),$AK198:$AK208,0),MATCH(IF('Data-solution'!$A$3="Maximize",MAX($C209:$AI209),MIN($C209:$AI209)),$C209:$AI209,0))),X199)</f>
        <v>0</v>
      </c>
      <c r="Y214" s="1">
        <f>IF(OR($B213&lt;&gt;$B198,$B214&lt;&gt;$B199,$B215&lt;&gt;$B200,$B216&lt;&gt;$B201,$B217&lt;&gt;$B202,$B218&lt;&gt;$B203,$B219&lt;&gt;$B204,$B220&lt;&gt;$B205,$B221&lt;&gt;$B206,$B222&lt;&gt;$B207,$B223&lt;&gt;$B208),IF($B214&lt;&gt;$B199,Y199/INDEX($C198:$AJ208,2,MATCH(IF('Data-solution'!$A$3="Maximize",MAX($C209:$AI209),MIN($C209:$AI209)),$C209:$AI209,0)),Y199-INDEX($C198:$AJ208,2,MATCH(IF('Data-solution'!$A$3="Maximize",MAX($C209:$AI209),MIN($C209:$AI209)),$C209:$AI209,0))*INDEX(Y198:$AJ208,MATCH(MIN($AK198:$AK208),$AK198:$AK208,0),1)/INDEX($C198:$AJ208,MATCH(MIN($AK198:$AK208),$AK198:$AK208,0),MATCH(IF('Data-solution'!$A$3="Maximize",MAX($C209:$AI209),MIN($C209:$AI209)),$C209:$AI209,0))),Y199)</f>
        <v>0</v>
      </c>
      <c r="Z214" s="1">
        <f>IF(OR($B213&lt;&gt;$B198,$B214&lt;&gt;$B199,$B215&lt;&gt;$B200,$B216&lt;&gt;$B201,$B217&lt;&gt;$B202,$B218&lt;&gt;$B203,$B219&lt;&gt;$B204,$B220&lt;&gt;$B205,$B221&lt;&gt;$B206,$B222&lt;&gt;$B207,$B223&lt;&gt;$B208),IF($B214&lt;&gt;$B199,Z199/INDEX($C198:$AJ208,2,MATCH(IF('Data-solution'!$A$3="Maximize",MAX($C209:$AI209),MIN($C209:$AI209)),$C209:$AI209,0)),Z199-INDEX($C198:$AJ208,2,MATCH(IF('Data-solution'!$A$3="Maximize",MAX($C209:$AI209),MIN($C209:$AI209)),$C209:$AI209,0))*INDEX(Z198:$AJ208,MATCH(MIN($AK198:$AK208),$AK198:$AK208,0),1)/INDEX($C198:$AJ208,MATCH(MIN($AK198:$AK208),$AK198:$AK208,0),MATCH(IF('Data-solution'!$A$3="Maximize",MAX($C209:$AI209),MIN($C209:$AI209)),$C209:$AI209,0))),Z199)</f>
        <v>1</v>
      </c>
      <c r="AA214" s="1">
        <f>IF(OR($B213&lt;&gt;$B198,$B214&lt;&gt;$B199,$B215&lt;&gt;$B200,$B216&lt;&gt;$B201,$B217&lt;&gt;$B202,$B218&lt;&gt;$B203,$B219&lt;&gt;$B204,$B220&lt;&gt;$B205,$B221&lt;&gt;$B206,$B222&lt;&gt;$B207,$B223&lt;&gt;$B208),IF($B214&lt;&gt;$B199,AA199/INDEX($C198:$AJ208,2,MATCH(IF('Data-solution'!$A$3="Maximize",MAX($C209:$AI209),MIN($C209:$AI209)),$C209:$AI209,0)),AA199-INDEX($C198:$AJ208,2,MATCH(IF('Data-solution'!$A$3="Maximize",MAX($C209:$AI209),MIN($C209:$AI209)),$C209:$AI209,0))*INDEX(AA198:$AJ208,MATCH(MIN($AK198:$AK208),$AK198:$AK208,0),1)/INDEX($C198:$AJ208,MATCH(MIN($AK198:$AK208),$AK198:$AK208,0),MATCH(IF('Data-solution'!$A$3="Maximize",MAX($C209:$AI209),MIN($C209:$AI209)),$C209:$AI209,0))),AA199)</f>
        <v>-0.25</v>
      </c>
      <c r="AB214" s="1">
        <f>IF(OR($B213&lt;&gt;$B198,$B214&lt;&gt;$B199,$B215&lt;&gt;$B200,$B216&lt;&gt;$B201,$B217&lt;&gt;$B202,$B218&lt;&gt;$B203,$B219&lt;&gt;$B204,$B220&lt;&gt;$B205,$B221&lt;&gt;$B206,$B222&lt;&gt;$B207,$B223&lt;&gt;$B208),IF($B214&lt;&gt;$B199,AB199/INDEX($C198:$AJ208,2,MATCH(IF('Data-solution'!$A$3="Maximize",MAX($C209:$AI209),MIN($C209:$AI209)),$C209:$AI209,0)),AB199-INDEX($C198:$AJ208,2,MATCH(IF('Data-solution'!$A$3="Maximize",MAX($C209:$AI209),MIN($C209:$AI209)),$C209:$AI209,0))*INDEX(AB198:$AJ208,MATCH(MIN($AK198:$AK208),$AK198:$AK208,0),1)/INDEX($C198:$AJ208,MATCH(MIN($AK198:$AK208),$AK198:$AK208,0),MATCH(IF('Data-solution'!$A$3="Maximize",MAX($C209:$AI209),MIN($C209:$AI209)),$C209:$AI209,0))),AB199)</f>
        <v>-0.5</v>
      </c>
      <c r="AC214" s="1">
        <f>IF(OR($B213&lt;&gt;$B198,$B214&lt;&gt;$B199,$B215&lt;&gt;$B200,$B216&lt;&gt;$B201,$B217&lt;&gt;$B202,$B218&lt;&gt;$B203,$B219&lt;&gt;$B204,$B220&lt;&gt;$B205,$B221&lt;&gt;$B206,$B222&lt;&gt;$B207,$B223&lt;&gt;$B208),IF($B214&lt;&gt;$B199,AC199/INDEX($C198:$AJ208,2,MATCH(IF('Data-solution'!$A$3="Maximize",MAX($C209:$AI209),MIN($C209:$AI209)),$C209:$AI209,0)),AC199-INDEX($C198:$AJ208,2,MATCH(IF('Data-solution'!$A$3="Maximize",MAX($C209:$AI209),MIN($C209:$AI209)),$C209:$AI209,0))*INDEX(AC198:$AJ208,MATCH(MIN($AK198:$AK208),$AK198:$AK208,0),1)/INDEX($C198:$AJ208,MATCH(MIN($AK198:$AK208),$AK198:$AK208,0),MATCH(IF('Data-solution'!$A$3="Maximize",MAX($C209:$AI209),MIN($C209:$AI209)),$C209:$AI209,0))),AC199)</f>
        <v>0</v>
      </c>
      <c r="AD214" s="1">
        <f>IF(OR($B213&lt;&gt;$B198,$B214&lt;&gt;$B199,$B215&lt;&gt;$B200,$B216&lt;&gt;$B201,$B217&lt;&gt;$B202,$B218&lt;&gt;$B203,$B219&lt;&gt;$B204,$B220&lt;&gt;$B205,$B221&lt;&gt;$B206,$B222&lt;&gt;$B207,$B223&lt;&gt;$B208),IF($B214&lt;&gt;$B199,AD199/INDEX($C198:$AJ208,2,MATCH(IF('Data-solution'!$A$3="Maximize",MAX($C209:$AI209),MIN($C209:$AI209)),$C209:$AI209,0)),AD199-INDEX($C198:$AJ208,2,MATCH(IF('Data-solution'!$A$3="Maximize",MAX($C209:$AI209),MIN($C209:$AI209)),$C209:$AI209,0))*INDEX(AD198:$AJ208,MATCH(MIN($AK198:$AK208),$AK198:$AK208,0),1)/INDEX($C198:$AJ208,MATCH(MIN($AK198:$AK208),$AK198:$AK208,0),MATCH(IF('Data-solution'!$A$3="Maximize",MAX($C209:$AI209),MIN($C209:$AI209)),$C209:$AI209,0))),AD199)</f>
        <v>0</v>
      </c>
      <c r="AE214" s="1">
        <f>IF(OR($B213&lt;&gt;$B198,$B214&lt;&gt;$B199,$B215&lt;&gt;$B200,$B216&lt;&gt;$B201,$B217&lt;&gt;$B202,$B218&lt;&gt;$B203,$B219&lt;&gt;$B204,$B220&lt;&gt;$B205,$B221&lt;&gt;$B206,$B222&lt;&gt;$B207,$B223&lt;&gt;$B208),IF($B214&lt;&gt;$B199,AE199/INDEX($C198:$AJ208,2,MATCH(IF('Data-solution'!$A$3="Maximize",MAX($C209:$AI209),MIN($C209:$AI209)),$C209:$AI209,0)),AE199-INDEX($C198:$AJ208,2,MATCH(IF('Data-solution'!$A$3="Maximize",MAX($C209:$AI209),MIN($C209:$AI209)),$C209:$AI209,0))*INDEX(AE198:$AJ208,MATCH(MIN($AK198:$AK208),$AK198:$AK208,0),1)/INDEX($C198:$AJ208,MATCH(MIN($AK198:$AK208),$AK198:$AK208,0),MATCH(IF('Data-solution'!$A$3="Maximize",MAX($C209:$AI209),MIN($C209:$AI209)),$C209:$AI209,0))),AE199)</f>
        <v>0</v>
      </c>
      <c r="AF214" s="1">
        <f>IF(OR($B213&lt;&gt;$B198,$B214&lt;&gt;$B199,$B215&lt;&gt;$B200,$B216&lt;&gt;$B201,$B217&lt;&gt;$B202,$B218&lt;&gt;$B203,$B219&lt;&gt;$B204,$B220&lt;&gt;$B205,$B221&lt;&gt;$B206,$B222&lt;&gt;$B207,$B223&lt;&gt;$B208),IF($B214&lt;&gt;$B199,AF199/INDEX($C198:$AJ208,2,MATCH(IF('Data-solution'!$A$3="Maximize",MAX($C209:$AI209),MIN($C209:$AI209)),$C209:$AI209,0)),AF199-INDEX($C198:$AJ208,2,MATCH(IF('Data-solution'!$A$3="Maximize",MAX($C209:$AI209),MIN($C209:$AI209)),$C209:$AI209,0))*INDEX(AF198:$AJ208,MATCH(MIN($AK198:$AK208),$AK198:$AK208,0),1)/INDEX($C198:$AJ208,MATCH(MIN($AK198:$AK208),$AK198:$AK208,0),MATCH(IF('Data-solution'!$A$3="Maximize",MAX($C209:$AI209),MIN($C209:$AI209)),$C209:$AI209,0))),AF199)</f>
        <v>0</v>
      </c>
      <c r="AG214" s="1">
        <f>IF(OR($B213&lt;&gt;$B198,$B214&lt;&gt;$B199,$B215&lt;&gt;$B200,$B216&lt;&gt;$B201,$B217&lt;&gt;$B202,$B218&lt;&gt;$B203,$B219&lt;&gt;$B204,$B220&lt;&gt;$B205,$B221&lt;&gt;$B206,$B222&lt;&gt;$B207,$B223&lt;&gt;$B208),IF($B214&lt;&gt;$B199,AG199/INDEX($C198:$AJ208,2,MATCH(IF('Data-solution'!$A$3="Maximize",MAX($C209:$AI209),MIN($C209:$AI209)),$C209:$AI209,0)),AG199-INDEX($C198:$AJ208,2,MATCH(IF('Data-solution'!$A$3="Maximize",MAX($C209:$AI209),MIN($C209:$AI209)),$C209:$AI209,0))*INDEX(AG198:$AJ208,MATCH(MIN($AK198:$AK208),$AK198:$AK208,0),1)/INDEX($C198:$AJ208,MATCH(MIN($AK198:$AK208),$AK198:$AK208,0),MATCH(IF('Data-solution'!$A$3="Maximize",MAX($C209:$AI209),MIN($C209:$AI209)),$C209:$AI209,0))),AG199)</f>
        <v>0</v>
      </c>
      <c r="AH214" s="1">
        <f>IF(OR($B213&lt;&gt;$B198,$B214&lt;&gt;$B199,$B215&lt;&gt;$B200,$B216&lt;&gt;$B201,$B217&lt;&gt;$B202,$B218&lt;&gt;$B203,$B219&lt;&gt;$B204,$B220&lt;&gt;$B205,$B221&lt;&gt;$B206,$B222&lt;&gt;$B207,$B223&lt;&gt;$B208),IF($B214&lt;&gt;$B199,AH199/INDEX($C198:$AJ208,2,MATCH(IF('Data-solution'!$A$3="Maximize",MAX($C209:$AI209),MIN($C209:$AI209)),$C209:$AI209,0)),AH199-INDEX($C198:$AJ208,2,MATCH(IF('Data-solution'!$A$3="Maximize",MAX($C209:$AI209),MIN($C209:$AI209)),$C209:$AI209,0))*INDEX(AH198:$AJ208,MATCH(MIN($AK198:$AK208),$AK198:$AK208,0),1)/INDEX($C198:$AJ208,MATCH(MIN($AK198:$AK208),$AK198:$AK208,0),MATCH(IF('Data-solution'!$A$3="Maximize",MAX($C209:$AI209),MIN($C209:$AI209)),$C209:$AI209,0))),AH199)</f>
        <v>0</v>
      </c>
      <c r="AI214" s="1">
        <f>IF(OR($B213&lt;&gt;$B198,$B214&lt;&gt;$B199,$B215&lt;&gt;$B200,$B216&lt;&gt;$B201,$B217&lt;&gt;$B202,$B218&lt;&gt;$B203,$B219&lt;&gt;$B204,$B220&lt;&gt;$B205,$B221&lt;&gt;$B206,$B222&lt;&gt;$B207,$B223&lt;&gt;$B208),IF($B214&lt;&gt;$B199,AI199/INDEX($C198:$AJ208,2,MATCH(IF('Data-solution'!$A$3="Maximize",MAX($C209:$AI209),MIN($C209:$AI209)),$C209:$AI209,0)),AI199-INDEX($C198:$AJ208,2,MATCH(IF('Data-solution'!$A$3="Maximize",MAX($C209:$AI209),MIN($C209:$AI209)),$C209:$AI209,0))*INDEX(AI198:$AJ208,MATCH(MIN($AK198:$AK208),$AK198:$AK208,0),1)/INDEX($C198:$AJ208,MATCH(MIN($AK198:$AK208),$AK198:$AK208,0),MATCH(IF('Data-solution'!$A$3="Maximize",MAX($C209:$AI209),MIN($C209:$AI209)),$C209:$AI209,0))),AI199)</f>
        <v>0</v>
      </c>
      <c r="AJ214" s="1">
        <f>IF(OR($B213&lt;&gt;$B198,$B214&lt;&gt;$B199,$B215&lt;&gt;$B200,$B216&lt;&gt;$B201,$B217&lt;&gt;$B202,$B218&lt;&gt;$B203,$B219&lt;&gt;$B204,$B220&lt;&gt;$B205,$B221&lt;&gt;$B206,$B222&lt;&gt;$B207,$B223&lt;&gt;$B208),IF($B214&lt;&gt;$B199,AJ199/INDEX($C198:$AJ208,2,MATCH(IF('Data-solution'!$A$3="Maximize",MAX($C209:$AI209),MIN($C209:$AI209)),$C209:$AI209,0)),AJ199-INDEX($C198:$AJ208,2,MATCH(IF('Data-solution'!$A$3="Maximize",MAX($C209:$AI209),MIN($C209:$AI209)),$C209:$AI209,0))*INDEX(AJ198:$AJ208,MATCH(MIN($AK198:$AK208),$AK198:$AK208,0),1)/INDEX($C198:$AJ208,MATCH(MIN($AK198:$AK208),$AK198:$AK208,0),MATCH(IF('Data-solution'!$A$3="Maximize",MAX($C209:$AI209),MIN($C209:$AI209)),$C209:$AI209,0))),AJ199)</f>
        <v>300</v>
      </c>
      <c r="AK214" s="1" t="str">
        <f>IF(INDEX(C214:X214,1,MATCH(IF('Data-solution'!A$3="Maximize",MAX(C224:X224),MIN(C224:X224)),C224:X224,0))&gt;0,AJ214/INDEX(C214:X214,1,MATCH(IF('Data-solution'!A$3="Maximize",MAX(C224:X224),MIN(C224:X224)),C224:X224,0))," ")</f>
        <v xml:space="preserve"> </v>
      </c>
    </row>
    <row r="215" spans="1:37" ht="18" customHeight="1" x14ac:dyDescent="0.2">
      <c r="A215" s="1">
        <f t="shared" ref="A215" si="186">INDEX(C211:AI211,1,MATCH(B215,C212:AI212,0))</f>
        <v>350</v>
      </c>
      <c r="B215" s="2" t="str">
        <f>IF(AND('Data-solution'!A$3="Maximize",COUNTIF(C209:X209,"&gt;"&amp;0)&gt;0,AK200=MIN(AK198:AK208),COUNTIF(B213:B214,INDEX(C197:X197,1,MATCH(MAX(C209:X209),C209:X209,0)))=0),INDEX(C197:X197,1,MATCH(MAX(C209:X209),C209:X209,0)),IF(AND('Data-solution'!A$3="Minimize",COUNTIF(C209:X209,"&lt;"&amp;0)&gt;0,AK200=MIN(AK198:AK208),COUNTIF(B213:B214,INDEX(C197:X197,1,MATCH(MIN(C209:X209),C209:X209,0)))=0),INDEX(C197:X197,1,MATCH(MIN(C209:X209),C209:X209,0)),B200))</f>
        <v>X3</v>
      </c>
      <c r="C215" s="1">
        <f>IF(OR($B213&lt;&gt;$B198,$B214&lt;&gt;$B199,$B215&lt;&gt;$B200,$B216&lt;&gt;$B201,$B217&lt;&gt;$B202,$B218&lt;&gt;$B203,$B219&lt;&gt;$B204,$B220&lt;&gt;$B205,$B221&lt;&gt;$B206,$B222&lt;&gt;$B207,$B223&lt;&gt;$B208),IF($B215&lt;&gt;$B200,C200/INDEX($C198:$AJ208,3,MATCH(IF('Data-solution'!$A$3="Maximize",MAX($C209:$AI209),MIN($C209:$AI209)),$C209:$AI209,0)),C200-INDEX($C198:$AJ208,3,MATCH(IF('Data-solution'!$A$3="Maximize",MAX($C209:$AI209),MIN($C209:$AI209)),$C209:$AI209,0))*INDEX(C198:$AJ208,MATCH(MIN($AK198:$AK208),$AK198:$AK208,0),1)/INDEX($C198:$AJ208,MATCH(MIN($AK198:$AK208),$AK198:$AK208,0),MATCH(IF('Data-solution'!$A$3="Maximize",MAX($C209:$AI209),MIN($C209:$AI209)),$C209:$AI209,0))),C200)</f>
        <v>0</v>
      </c>
      <c r="D215" s="1">
        <f>IF(OR($B213&lt;&gt;$B198,$B214&lt;&gt;$B199,$B215&lt;&gt;$B200,$B216&lt;&gt;$B201,$B217&lt;&gt;$B202,$B218&lt;&gt;$B203,$B219&lt;&gt;$B204,$B220&lt;&gt;$B205,$B221&lt;&gt;$B206,$B222&lt;&gt;$B207,$B223&lt;&gt;$B208),IF($B215&lt;&gt;$B200,D200/INDEX($C198:$AJ208,3,MATCH(IF('Data-solution'!$A$3="Maximize",MAX($C209:$AI209),MIN($C209:$AI209)),$C209:$AI209,0)),D200-INDEX($C198:$AJ208,3,MATCH(IF('Data-solution'!$A$3="Maximize",MAX($C209:$AI209),MIN($C209:$AI209)),$C209:$AI209,0))*INDEX(D198:$AJ208,MATCH(MIN($AK198:$AK208),$AK198:$AK208,0),1)/INDEX($C198:$AJ208,MATCH(MIN($AK198:$AK208),$AK198:$AK208,0),MATCH(IF('Data-solution'!$A$3="Maximize",MAX($C209:$AI209),MIN($C209:$AI209)),$C209:$AI209,0))),D200)</f>
        <v>1.25</v>
      </c>
      <c r="E215" s="1">
        <f>IF(OR($B213&lt;&gt;$B198,$B214&lt;&gt;$B199,$B215&lt;&gt;$B200,$B216&lt;&gt;$B201,$B217&lt;&gt;$B202,$B218&lt;&gt;$B203,$B219&lt;&gt;$B204,$B220&lt;&gt;$B205,$B221&lt;&gt;$B206,$B222&lt;&gt;$B207,$B223&lt;&gt;$B208),IF($B215&lt;&gt;$B200,E200/INDEX($C198:$AJ208,3,MATCH(IF('Data-solution'!$A$3="Maximize",MAX($C209:$AI209),MIN($C209:$AI209)),$C209:$AI209,0)),E200-INDEX($C198:$AJ208,3,MATCH(IF('Data-solution'!$A$3="Maximize",MAX($C209:$AI209),MIN($C209:$AI209)),$C209:$AI209,0))*INDEX(E198:$AJ208,MATCH(MIN($AK198:$AK208),$AK198:$AK208,0),1)/INDEX($C198:$AJ208,MATCH(MIN($AK198:$AK208),$AK198:$AK208,0),MATCH(IF('Data-solution'!$A$3="Maximize",MAX($C209:$AI209),MIN($C209:$AI209)),$C209:$AI209,0))),E200)</f>
        <v>1</v>
      </c>
      <c r="F215" s="1">
        <f>IF(OR($B213&lt;&gt;$B198,$B214&lt;&gt;$B199,$B215&lt;&gt;$B200,$B216&lt;&gt;$B201,$B217&lt;&gt;$B202,$B218&lt;&gt;$B203,$B219&lt;&gt;$B204,$B220&lt;&gt;$B205,$B221&lt;&gt;$B206,$B222&lt;&gt;$B207,$B223&lt;&gt;$B208),IF($B215&lt;&gt;$B200,F200/INDEX($C198:$AJ208,3,MATCH(IF('Data-solution'!$A$3="Maximize",MAX($C209:$AI209),MIN($C209:$AI209)),$C209:$AI209,0)),F200-INDEX($C198:$AJ208,3,MATCH(IF('Data-solution'!$A$3="Maximize",MAX($C209:$AI209),MIN($C209:$AI209)),$C209:$AI209,0))*INDEX(F198:$AJ208,MATCH(MIN($AK198:$AK208),$AK198:$AK208,0),1)/INDEX($C198:$AJ208,MATCH(MIN($AK198:$AK208),$AK198:$AK208,0),MATCH(IF('Data-solution'!$A$3="Maximize",MAX($C209:$AI209),MIN($C209:$AI209)),$C209:$AI209,0))),F200)</f>
        <v>0</v>
      </c>
      <c r="G215" s="1">
        <f>IF(OR($B213&lt;&gt;$B198,$B214&lt;&gt;$B199,$B215&lt;&gt;$B200,$B216&lt;&gt;$B201,$B217&lt;&gt;$B202,$B218&lt;&gt;$B203,$B219&lt;&gt;$B204,$B220&lt;&gt;$B205,$B221&lt;&gt;$B206,$B222&lt;&gt;$B207,$B223&lt;&gt;$B208),IF($B215&lt;&gt;$B200,G200/INDEX($C198:$AJ208,3,MATCH(IF('Data-solution'!$A$3="Maximize",MAX($C209:$AI209),MIN($C209:$AI209)),$C209:$AI209,0)),G200-INDEX($C198:$AJ208,3,MATCH(IF('Data-solution'!$A$3="Maximize",MAX($C209:$AI209),MIN($C209:$AI209)),$C209:$AI209,0))*INDEX(G198:$AJ208,MATCH(MIN($AK198:$AK208),$AK198:$AK208,0),1)/INDEX($C198:$AJ208,MATCH(MIN($AK198:$AK208),$AK198:$AK208,0),MATCH(IF('Data-solution'!$A$3="Maximize",MAX($C209:$AI209),MIN($C209:$AI209)),$C209:$AI209,0))),G200)</f>
        <v>0</v>
      </c>
      <c r="H215" s="1">
        <f>IF(OR($B213&lt;&gt;$B198,$B214&lt;&gt;$B199,$B215&lt;&gt;$B200,$B216&lt;&gt;$B201,$B217&lt;&gt;$B202,$B218&lt;&gt;$B203,$B219&lt;&gt;$B204,$B220&lt;&gt;$B205,$B221&lt;&gt;$B206,$B222&lt;&gt;$B207,$B223&lt;&gt;$B208),IF($B215&lt;&gt;$B200,H200/INDEX($C198:$AJ208,3,MATCH(IF('Data-solution'!$A$3="Maximize",MAX($C209:$AI209),MIN($C209:$AI209)),$C209:$AI209,0)),H200-INDEX($C198:$AJ208,3,MATCH(IF('Data-solution'!$A$3="Maximize",MAX($C209:$AI209),MIN($C209:$AI209)),$C209:$AI209,0))*INDEX(H198:$AJ208,MATCH(MIN($AK198:$AK208),$AK198:$AK208,0),1)/INDEX($C198:$AJ208,MATCH(MIN($AK198:$AK208),$AK198:$AK208,0),MATCH(IF('Data-solution'!$A$3="Maximize",MAX($C209:$AI209),MIN($C209:$AI209)),$C209:$AI209,0))),H200)</f>
        <v>0</v>
      </c>
      <c r="I215" s="1">
        <f>IF(OR($B213&lt;&gt;$B198,$B214&lt;&gt;$B199,$B215&lt;&gt;$B200,$B216&lt;&gt;$B201,$B217&lt;&gt;$B202,$B218&lt;&gt;$B203,$B219&lt;&gt;$B204,$B220&lt;&gt;$B205,$B221&lt;&gt;$B206,$B222&lt;&gt;$B207,$B223&lt;&gt;$B208),IF($B215&lt;&gt;$B200,I200/INDEX($C198:$AJ208,3,MATCH(IF('Data-solution'!$A$3="Maximize",MAX($C209:$AI209),MIN($C209:$AI209)),$C209:$AI209,0)),I200-INDEX($C198:$AJ208,3,MATCH(IF('Data-solution'!$A$3="Maximize",MAX($C209:$AI209),MIN($C209:$AI209)),$C209:$AI209,0))*INDEX(I198:$AJ208,MATCH(MIN($AK198:$AK208),$AK198:$AK208,0),1)/INDEX($C198:$AJ208,MATCH(MIN($AK198:$AK208),$AK198:$AK208,0),MATCH(IF('Data-solution'!$A$3="Maximize",MAX($C209:$AI209),MIN($C209:$AI209)),$C209:$AI209,0))),I200)</f>
        <v>0</v>
      </c>
      <c r="J215" s="1">
        <f>IF(OR($B213&lt;&gt;$B198,$B214&lt;&gt;$B199,$B215&lt;&gt;$B200,$B216&lt;&gt;$B201,$B217&lt;&gt;$B202,$B218&lt;&gt;$B203,$B219&lt;&gt;$B204,$B220&lt;&gt;$B205,$B221&lt;&gt;$B206,$B222&lt;&gt;$B207,$B223&lt;&gt;$B208),IF($B215&lt;&gt;$B200,J200/INDEX($C198:$AJ208,3,MATCH(IF('Data-solution'!$A$3="Maximize",MAX($C209:$AI209),MIN($C209:$AI209)),$C209:$AI209,0)),J200-INDEX($C198:$AJ208,3,MATCH(IF('Data-solution'!$A$3="Maximize",MAX($C209:$AI209),MIN($C209:$AI209)),$C209:$AI209,0))*INDEX(J198:$AJ208,MATCH(MIN($AK198:$AK208),$AK198:$AK208,0),1)/INDEX($C198:$AJ208,MATCH(MIN($AK198:$AK208),$AK198:$AK208,0),MATCH(IF('Data-solution'!$A$3="Maximize",MAX($C209:$AI209),MIN($C209:$AI209)),$C209:$AI209,0))),J200)</f>
        <v>0</v>
      </c>
      <c r="K215" s="1">
        <f>IF(OR($B213&lt;&gt;$B198,$B214&lt;&gt;$B199,$B215&lt;&gt;$B200,$B216&lt;&gt;$B201,$B217&lt;&gt;$B202,$B218&lt;&gt;$B203,$B219&lt;&gt;$B204,$B220&lt;&gt;$B205,$B221&lt;&gt;$B206,$B222&lt;&gt;$B207,$B223&lt;&gt;$B208),IF($B215&lt;&gt;$B200,K200/INDEX($C198:$AJ208,3,MATCH(IF('Data-solution'!$A$3="Maximize",MAX($C209:$AI209),MIN($C209:$AI209)),$C209:$AI209,0)),K200-INDEX($C198:$AJ208,3,MATCH(IF('Data-solution'!$A$3="Maximize",MAX($C209:$AI209),MIN($C209:$AI209)),$C209:$AI209,0))*INDEX(K198:$AJ208,MATCH(MIN($AK198:$AK208),$AK198:$AK208,0),1)/INDEX($C198:$AJ208,MATCH(MIN($AK198:$AK208),$AK198:$AK208,0),MATCH(IF('Data-solution'!$A$3="Maximize",MAX($C209:$AI209),MIN($C209:$AI209)),$C209:$AI209,0))),K200)</f>
        <v>0</v>
      </c>
      <c r="L215" s="1">
        <f>IF(OR($B213&lt;&gt;$B198,$B214&lt;&gt;$B199,$B215&lt;&gt;$B200,$B216&lt;&gt;$B201,$B217&lt;&gt;$B202,$B218&lt;&gt;$B203,$B219&lt;&gt;$B204,$B220&lt;&gt;$B205,$B221&lt;&gt;$B206,$B222&lt;&gt;$B207,$B223&lt;&gt;$B208),IF($B215&lt;&gt;$B200,L200/INDEX($C198:$AJ208,3,MATCH(IF('Data-solution'!$A$3="Maximize",MAX($C209:$AI209),MIN($C209:$AI209)),$C209:$AI209,0)),L200-INDEX($C198:$AJ208,3,MATCH(IF('Data-solution'!$A$3="Maximize",MAX($C209:$AI209),MIN($C209:$AI209)),$C209:$AI209,0))*INDEX(L198:$AJ208,MATCH(MIN($AK198:$AK208),$AK198:$AK208,0),1)/INDEX($C198:$AJ208,MATCH(MIN($AK198:$AK208),$AK198:$AK208,0),MATCH(IF('Data-solution'!$A$3="Maximize",MAX($C209:$AI209),MIN($C209:$AI209)),$C209:$AI209,0))),L200)</f>
        <v>0</v>
      </c>
      <c r="M215" s="1">
        <f>IF(OR($B213&lt;&gt;$B198,$B214&lt;&gt;$B199,$B215&lt;&gt;$B200,$B216&lt;&gt;$B201,$B217&lt;&gt;$B202,$B218&lt;&gt;$B203,$B219&lt;&gt;$B204,$B220&lt;&gt;$B205,$B221&lt;&gt;$B206,$B222&lt;&gt;$B207,$B223&lt;&gt;$B208),IF($B215&lt;&gt;$B200,M200/INDEX($C198:$AJ208,3,MATCH(IF('Data-solution'!$A$3="Maximize",MAX($C209:$AI209),MIN($C209:$AI209)),$C209:$AI209,0)),M200-INDEX($C198:$AJ208,3,MATCH(IF('Data-solution'!$A$3="Maximize",MAX($C209:$AI209),MIN($C209:$AI209)),$C209:$AI209,0))*INDEX(M198:$AJ208,MATCH(MIN($AK198:$AK208),$AK198:$AK208,0),1)/INDEX($C198:$AJ208,MATCH(MIN($AK198:$AK208),$AK198:$AK208,0),MATCH(IF('Data-solution'!$A$3="Maximize",MAX($C209:$AI209),MIN($C209:$AI209)),$C209:$AI209,0))),M200)</f>
        <v>0</v>
      </c>
      <c r="N215" s="1">
        <f>IF(OR($B213&lt;&gt;$B198,$B214&lt;&gt;$B199,$B215&lt;&gt;$B200,$B216&lt;&gt;$B201,$B217&lt;&gt;$B202,$B218&lt;&gt;$B203,$B219&lt;&gt;$B204,$B220&lt;&gt;$B205,$B221&lt;&gt;$B206,$B222&lt;&gt;$B207,$B223&lt;&gt;$B208),IF($B215&lt;&gt;$B200,N200/INDEX($C198:$AJ208,3,MATCH(IF('Data-solution'!$A$3="Maximize",MAX($C209:$AI209),MIN($C209:$AI209)),$C209:$AI209,0)),N200-INDEX($C198:$AJ208,3,MATCH(IF('Data-solution'!$A$3="Maximize",MAX($C209:$AI209),MIN($C209:$AI209)),$C209:$AI209,0))*INDEX(N198:$AJ208,MATCH(MIN($AK198:$AK208),$AK198:$AK208,0),1)/INDEX($C198:$AJ208,MATCH(MIN($AK198:$AK208),$AK198:$AK208,0),MATCH(IF('Data-solution'!$A$3="Maximize",MAX($C209:$AI209),MIN($C209:$AI209)),$C209:$AI209,0))),N200)</f>
        <v>0</v>
      </c>
      <c r="O215" s="1">
        <f>IF(OR($B213&lt;&gt;$B198,$B214&lt;&gt;$B199,$B215&lt;&gt;$B200,$B216&lt;&gt;$B201,$B217&lt;&gt;$B202,$B218&lt;&gt;$B203,$B219&lt;&gt;$B204,$B220&lt;&gt;$B205,$B221&lt;&gt;$B206,$B222&lt;&gt;$B207,$B223&lt;&gt;$B208),IF($B215&lt;&gt;$B200,O200/INDEX($C198:$AJ208,3,MATCH(IF('Data-solution'!$A$3="Maximize",MAX($C209:$AI209),MIN($C209:$AI209)),$C209:$AI209,0)),O200-INDEX($C198:$AJ208,3,MATCH(IF('Data-solution'!$A$3="Maximize",MAX($C209:$AI209),MIN($C209:$AI209)),$C209:$AI209,0))*INDEX(O198:$AJ208,MATCH(MIN($AK198:$AK208),$AK198:$AK208,0),1)/INDEX($C198:$AJ208,MATCH(MIN($AK198:$AK208),$AK198:$AK208,0),MATCH(IF('Data-solution'!$A$3="Maximize",MAX($C209:$AI209),MIN($C209:$AI209)),$C209:$AI209,0))),O200)</f>
        <v>0</v>
      </c>
      <c r="P215" s="1">
        <f>IF(OR($B213&lt;&gt;$B198,$B214&lt;&gt;$B199,$B215&lt;&gt;$B200,$B216&lt;&gt;$B201,$B217&lt;&gt;$B202,$B218&lt;&gt;$B203,$B219&lt;&gt;$B204,$B220&lt;&gt;$B205,$B221&lt;&gt;$B206,$B222&lt;&gt;$B207,$B223&lt;&gt;$B208),IF($B215&lt;&gt;$B200,P200/INDEX($C198:$AJ208,3,MATCH(IF('Data-solution'!$A$3="Maximize",MAX($C209:$AI209),MIN($C209:$AI209)),$C209:$AI209,0)),P200-INDEX($C198:$AJ208,3,MATCH(IF('Data-solution'!$A$3="Maximize",MAX($C209:$AI209),MIN($C209:$AI209)),$C209:$AI209,0))*INDEX(P198:$AJ208,MATCH(MIN($AK198:$AK208),$AK198:$AK208,0),1)/INDEX($C198:$AJ208,MATCH(MIN($AK198:$AK208),$AK198:$AK208,0),MATCH(IF('Data-solution'!$A$3="Maximize",MAX($C209:$AI209),MIN($C209:$AI209)),$C209:$AI209,0))),P200)</f>
        <v>0.24999999999999997</v>
      </c>
      <c r="Q215" s="1">
        <f>IF(OR($B213&lt;&gt;$B198,$B214&lt;&gt;$B199,$B215&lt;&gt;$B200,$B216&lt;&gt;$B201,$B217&lt;&gt;$B202,$B218&lt;&gt;$B203,$B219&lt;&gt;$B204,$B220&lt;&gt;$B205,$B221&lt;&gt;$B206,$B222&lt;&gt;$B207,$B223&lt;&gt;$B208),IF($B215&lt;&gt;$B200,Q200/INDEX($C198:$AJ208,3,MATCH(IF('Data-solution'!$A$3="Maximize",MAX($C209:$AI209),MIN($C209:$AI209)),$C209:$AI209,0)),Q200-INDEX($C198:$AJ208,3,MATCH(IF('Data-solution'!$A$3="Maximize",MAX($C209:$AI209),MIN($C209:$AI209)),$C209:$AI209,0))*INDEX(Q198:$AJ208,MATCH(MIN($AK198:$AK208),$AK198:$AK208,0),1)/INDEX($C198:$AJ208,MATCH(MIN($AK198:$AK208),$AK198:$AK208,0),MATCH(IF('Data-solution'!$A$3="Maximize",MAX($C209:$AI209),MIN($C209:$AI209)),$C209:$AI209,0))),Q200)</f>
        <v>-0.49999999999999989</v>
      </c>
      <c r="R215" s="1">
        <f>IF(OR($B213&lt;&gt;$B198,$B214&lt;&gt;$B199,$B215&lt;&gt;$B200,$B216&lt;&gt;$B201,$B217&lt;&gt;$B202,$B218&lt;&gt;$B203,$B219&lt;&gt;$B204,$B220&lt;&gt;$B205,$B221&lt;&gt;$B206,$B222&lt;&gt;$B207,$B223&lt;&gt;$B208),IF($B215&lt;&gt;$B200,R200/INDEX($C198:$AJ208,3,MATCH(IF('Data-solution'!$A$3="Maximize",MAX($C209:$AI209),MIN($C209:$AI209)),$C209:$AI209,0)),R200-INDEX($C198:$AJ208,3,MATCH(IF('Data-solution'!$A$3="Maximize",MAX($C209:$AI209),MIN($C209:$AI209)),$C209:$AI209,0))*INDEX(R198:$AJ208,MATCH(MIN($AK198:$AK208),$AK198:$AK208,0),1)/INDEX($C198:$AJ208,MATCH(MIN($AK198:$AK208),$AK198:$AK208,0),MATCH(IF('Data-solution'!$A$3="Maximize",MAX($C209:$AI209),MIN($C209:$AI209)),$C209:$AI209,0))),R200)</f>
        <v>0</v>
      </c>
      <c r="S215" s="1">
        <f>IF(OR($B213&lt;&gt;$B198,$B214&lt;&gt;$B199,$B215&lt;&gt;$B200,$B216&lt;&gt;$B201,$B217&lt;&gt;$B202,$B218&lt;&gt;$B203,$B219&lt;&gt;$B204,$B220&lt;&gt;$B205,$B221&lt;&gt;$B206,$B222&lt;&gt;$B207,$B223&lt;&gt;$B208),IF($B215&lt;&gt;$B200,S200/INDEX($C198:$AJ208,3,MATCH(IF('Data-solution'!$A$3="Maximize",MAX($C209:$AI209),MIN($C209:$AI209)),$C209:$AI209,0)),S200-INDEX($C198:$AJ208,3,MATCH(IF('Data-solution'!$A$3="Maximize",MAX($C209:$AI209),MIN($C209:$AI209)),$C209:$AI209,0))*INDEX(S198:$AJ208,MATCH(MIN($AK198:$AK208),$AK198:$AK208,0),1)/INDEX($C198:$AJ208,MATCH(MIN($AK198:$AK208),$AK198:$AK208,0),MATCH(IF('Data-solution'!$A$3="Maximize",MAX($C209:$AI209),MIN($C209:$AI209)),$C209:$AI209,0))),S200)</f>
        <v>0</v>
      </c>
      <c r="T215" s="1">
        <f>IF(OR($B213&lt;&gt;$B198,$B214&lt;&gt;$B199,$B215&lt;&gt;$B200,$B216&lt;&gt;$B201,$B217&lt;&gt;$B202,$B218&lt;&gt;$B203,$B219&lt;&gt;$B204,$B220&lt;&gt;$B205,$B221&lt;&gt;$B206,$B222&lt;&gt;$B207,$B223&lt;&gt;$B208),IF($B215&lt;&gt;$B200,T200/INDEX($C198:$AJ208,3,MATCH(IF('Data-solution'!$A$3="Maximize",MAX($C209:$AI209),MIN($C209:$AI209)),$C209:$AI209,0)),T200-INDEX($C198:$AJ208,3,MATCH(IF('Data-solution'!$A$3="Maximize",MAX($C209:$AI209),MIN($C209:$AI209)),$C209:$AI209,0))*INDEX(T198:$AJ208,MATCH(MIN($AK198:$AK208),$AK198:$AK208,0),1)/INDEX($C198:$AJ208,MATCH(MIN($AK198:$AK208),$AK198:$AK208,0),MATCH(IF('Data-solution'!$A$3="Maximize",MAX($C209:$AI209),MIN($C209:$AI209)),$C209:$AI209,0))),T200)</f>
        <v>0</v>
      </c>
      <c r="U215" s="1">
        <f>IF(OR($B213&lt;&gt;$B198,$B214&lt;&gt;$B199,$B215&lt;&gt;$B200,$B216&lt;&gt;$B201,$B217&lt;&gt;$B202,$B218&lt;&gt;$B203,$B219&lt;&gt;$B204,$B220&lt;&gt;$B205,$B221&lt;&gt;$B206,$B222&lt;&gt;$B207,$B223&lt;&gt;$B208),IF($B215&lt;&gt;$B200,U200/INDEX($C198:$AJ208,3,MATCH(IF('Data-solution'!$A$3="Maximize",MAX($C209:$AI209),MIN($C209:$AI209)),$C209:$AI209,0)),U200-INDEX($C198:$AJ208,3,MATCH(IF('Data-solution'!$A$3="Maximize",MAX($C209:$AI209),MIN($C209:$AI209)),$C209:$AI209,0))*INDEX(U198:$AJ208,MATCH(MIN($AK198:$AK208),$AK198:$AK208,0),1)/INDEX($C198:$AJ208,MATCH(MIN($AK198:$AK208),$AK198:$AK208,0),MATCH(IF('Data-solution'!$A$3="Maximize",MAX($C209:$AI209),MIN($C209:$AI209)),$C209:$AI209,0))),U200)</f>
        <v>0</v>
      </c>
      <c r="V215" s="1">
        <f>IF(OR($B213&lt;&gt;$B198,$B214&lt;&gt;$B199,$B215&lt;&gt;$B200,$B216&lt;&gt;$B201,$B217&lt;&gt;$B202,$B218&lt;&gt;$B203,$B219&lt;&gt;$B204,$B220&lt;&gt;$B205,$B221&lt;&gt;$B206,$B222&lt;&gt;$B207,$B223&lt;&gt;$B208),IF($B215&lt;&gt;$B200,V200/INDEX($C198:$AJ208,3,MATCH(IF('Data-solution'!$A$3="Maximize",MAX($C209:$AI209),MIN($C209:$AI209)),$C209:$AI209,0)),V200-INDEX($C198:$AJ208,3,MATCH(IF('Data-solution'!$A$3="Maximize",MAX($C209:$AI209),MIN($C209:$AI209)),$C209:$AI209,0))*INDEX(V198:$AJ208,MATCH(MIN($AK198:$AK208),$AK198:$AK208,0),1)/INDEX($C198:$AJ208,MATCH(MIN($AK198:$AK208),$AK198:$AK208,0),MATCH(IF('Data-solution'!$A$3="Maximize",MAX($C209:$AI209),MIN($C209:$AI209)),$C209:$AI209,0))),V200)</f>
        <v>0</v>
      </c>
      <c r="W215" s="1">
        <f>IF(OR($B213&lt;&gt;$B198,$B214&lt;&gt;$B199,$B215&lt;&gt;$B200,$B216&lt;&gt;$B201,$B217&lt;&gt;$B202,$B218&lt;&gt;$B203,$B219&lt;&gt;$B204,$B220&lt;&gt;$B205,$B221&lt;&gt;$B206,$B222&lt;&gt;$B207,$B223&lt;&gt;$B208),IF($B215&lt;&gt;$B200,W200/INDEX($C198:$AJ208,3,MATCH(IF('Data-solution'!$A$3="Maximize",MAX($C209:$AI209),MIN($C209:$AI209)),$C209:$AI209,0)),W200-INDEX($C198:$AJ208,3,MATCH(IF('Data-solution'!$A$3="Maximize",MAX($C209:$AI209),MIN($C209:$AI209)),$C209:$AI209,0))*INDEX(W198:$AJ208,MATCH(MIN($AK198:$AK208),$AK198:$AK208,0),1)/INDEX($C198:$AJ208,MATCH(MIN($AK198:$AK208),$AK198:$AK208,0),MATCH(IF('Data-solution'!$A$3="Maximize",MAX($C209:$AI209),MIN($C209:$AI209)),$C209:$AI209,0))),W200)</f>
        <v>0</v>
      </c>
      <c r="X215" s="1">
        <f>IF(OR($B213&lt;&gt;$B198,$B214&lt;&gt;$B199,$B215&lt;&gt;$B200,$B216&lt;&gt;$B201,$B217&lt;&gt;$B202,$B218&lt;&gt;$B203,$B219&lt;&gt;$B204,$B220&lt;&gt;$B205,$B221&lt;&gt;$B206,$B222&lt;&gt;$B207,$B223&lt;&gt;$B208),IF($B215&lt;&gt;$B200,X200/INDEX($C198:$AJ208,3,MATCH(IF('Data-solution'!$A$3="Maximize",MAX($C209:$AI209),MIN($C209:$AI209)),$C209:$AI209,0)),X200-INDEX($C198:$AJ208,3,MATCH(IF('Data-solution'!$A$3="Maximize",MAX($C209:$AI209),MIN($C209:$AI209)),$C209:$AI209,0))*INDEX(X198:$AJ208,MATCH(MIN($AK198:$AK208),$AK198:$AK208,0),1)/INDEX($C198:$AJ208,MATCH(MIN($AK198:$AK208),$AK198:$AK208,0),MATCH(IF('Data-solution'!$A$3="Maximize",MAX($C209:$AI209),MIN($C209:$AI209)),$C209:$AI209,0))),X200)</f>
        <v>0</v>
      </c>
      <c r="Y215" s="1">
        <f>IF(OR($B213&lt;&gt;$B198,$B214&lt;&gt;$B199,$B215&lt;&gt;$B200,$B216&lt;&gt;$B201,$B217&lt;&gt;$B202,$B218&lt;&gt;$B203,$B219&lt;&gt;$B204,$B220&lt;&gt;$B205,$B221&lt;&gt;$B206,$B222&lt;&gt;$B207,$B223&lt;&gt;$B208),IF($B215&lt;&gt;$B200,Y200/INDEX($C198:$AJ208,3,MATCH(IF('Data-solution'!$A$3="Maximize",MAX($C209:$AI209),MIN($C209:$AI209)),$C209:$AI209,0)),Y200-INDEX($C198:$AJ208,3,MATCH(IF('Data-solution'!$A$3="Maximize",MAX($C209:$AI209),MIN($C209:$AI209)),$C209:$AI209,0))*INDEX(Y198:$AJ208,MATCH(MIN($AK198:$AK208),$AK198:$AK208,0),1)/INDEX($C198:$AJ208,MATCH(MIN($AK198:$AK208),$AK198:$AK208,0),MATCH(IF('Data-solution'!$A$3="Maximize",MAX($C209:$AI209),MIN($C209:$AI209)),$C209:$AI209,0))),Y200)</f>
        <v>0</v>
      </c>
      <c r="Z215" s="1">
        <f>IF(OR($B213&lt;&gt;$B198,$B214&lt;&gt;$B199,$B215&lt;&gt;$B200,$B216&lt;&gt;$B201,$B217&lt;&gt;$B202,$B218&lt;&gt;$B203,$B219&lt;&gt;$B204,$B220&lt;&gt;$B205,$B221&lt;&gt;$B206,$B222&lt;&gt;$B207,$B223&lt;&gt;$B208),IF($B215&lt;&gt;$B200,Z200/INDEX($C198:$AJ208,3,MATCH(IF('Data-solution'!$A$3="Maximize",MAX($C209:$AI209),MIN($C209:$AI209)),$C209:$AI209,0)),Z200-INDEX($C198:$AJ208,3,MATCH(IF('Data-solution'!$A$3="Maximize",MAX($C209:$AI209),MIN($C209:$AI209)),$C209:$AI209,0))*INDEX(Z198:$AJ208,MATCH(MIN($AK198:$AK208),$AK198:$AK208,0),1)/INDEX($C198:$AJ208,MATCH(MIN($AK198:$AK208),$AK198:$AK208,0),MATCH(IF('Data-solution'!$A$3="Maximize",MAX($C209:$AI209),MIN($C209:$AI209)),$C209:$AI209,0))),Z200)</f>
        <v>0</v>
      </c>
      <c r="AA215" s="1">
        <f>IF(OR($B213&lt;&gt;$B198,$B214&lt;&gt;$B199,$B215&lt;&gt;$B200,$B216&lt;&gt;$B201,$B217&lt;&gt;$B202,$B218&lt;&gt;$B203,$B219&lt;&gt;$B204,$B220&lt;&gt;$B205,$B221&lt;&gt;$B206,$B222&lt;&gt;$B207,$B223&lt;&gt;$B208),IF($B215&lt;&gt;$B200,AA200/INDEX($C198:$AJ208,3,MATCH(IF('Data-solution'!$A$3="Maximize",MAX($C209:$AI209),MIN($C209:$AI209)),$C209:$AI209,0)),AA200-INDEX($C198:$AJ208,3,MATCH(IF('Data-solution'!$A$3="Maximize",MAX($C209:$AI209),MIN($C209:$AI209)),$C209:$AI209,0))*INDEX(AA198:$AJ208,MATCH(MIN($AK198:$AK208),$AK198:$AK208,0),1)/INDEX($C198:$AJ208,MATCH(MIN($AK198:$AK208),$AK198:$AK208,0),MATCH(IF('Data-solution'!$A$3="Maximize",MAX($C209:$AI209),MIN($C209:$AI209)),$C209:$AI209,0))),AA200)</f>
        <v>0.24999999999999997</v>
      </c>
      <c r="AB215" s="1">
        <f>IF(OR($B213&lt;&gt;$B198,$B214&lt;&gt;$B199,$B215&lt;&gt;$B200,$B216&lt;&gt;$B201,$B217&lt;&gt;$B202,$B218&lt;&gt;$B203,$B219&lt;&gt;$B204,$B220&lt;&gt;$B205,$B221&lt;&gt;$B206,$B222&lt;&gt;$B207,$B223&lt;&gt;$B208),IF($B215&lt;&gt;$B200,AB200/INDEX($C198:$AJ208,3,MATCH(IF('Data-solution'!$A$3="Maximize",MAX($C209:$AI209),MIN($C209:$AI209)),$C209:$AI209,0)),AB200-INDEX($C198:$AJ208,3,MATCH(IF('Data-solution'!$A$3="Maximize",MAX($C209:$AI209),MIN($C209:$AI209)),$C209:$AI209,0))*INDEX(AB198:$AJ208,MATCH(MIN($AK198:$AK208),$AK198:$AK208,0),1)/INDEX($C198:$AJ208,MATCH(MIN($AK198:$AK208),$AK198:$AK208,0),MATCH(IF('Data-solution'!$A$3="Maximize",MAX($C209:$AI209),MIN($C209:$AI209)),$C209:$AI209,0))),AB200)</f>
        <v>-0.49999999999999989</v>
      </c>
      <c r="AC215" s="1">
        <f>IF(OR($B213&lt;&gt;$B198,$B214&lt;&gt;$B199,$B215&lt;&gt;$B200,$B216&lt;&gt;$B201,$B217&lt;&gt;$B202,$B218&lt;&gt;$B203,$B219&lt;&gt;$B204,$B220&lt;&gt;$B205,$B221&lt;&gt;$B206,$B222&lt;&gt;$B207,$B223&lt;&gt;$B208),IF($B215&lt;&gt;$B200,AC200/INDEX($C198:$AJ208,3,MATCH(IF('Data-solution'!$A$3="Maximize",MAX($C209:$AI209),MIN($C209:$AI209)),$C209:$AI209,0)),AC200-INDEX($C198:$AJ208,3,MATCH(IF('Data-solution'!$A$3="Maximize",MAX($C209:$AI209),MIN($C209:$AI209)),$C209:$AI209,0))*INDEX(AC198:$AJ208,MATCH(MIN($AK198:$AK208),$AK198:$AK208,0),1)/INDEX($C198:$AJ208,MATCH(MIN($AK198:$AK208),$AK198:$AK208,0),MATCH(IF('Data-solution'!$A$3="Maximize",MAX($C209:$AI209),MIN($C209:$AI209)),$C209:$AI209,0))),AC200)</f>
        <v>0</v>
      </c>
      <c r="AD215" s="1">
        <f>IF(OR($B213&lt;&gt;$B198,$B214&lt;&gt;$B199,$B215&lt;&gt;$B200,$B216&lt;&gt;$B201,$B217&lt;&gt;$B202,$B218&lt;&gt;$B203,$B219&lt;&gt;$B204,$B220&lt;&gt;$B205,$B221&lt;&gt;$B206,$B222&lt;&gt;$B207,$B223&lt;&gt;$B208),IF($B215&lt;&gt;$B200,AD200/INDEX($C198:$AJ208,3,MATCH(IF('Data-solution'!$A$3="Maximize",MAX($C209:$AI209),MIN($C209:$AI209)),$C209:$AI209,0)),AD200-INDEX($C198:$AJ208,3,MATCH(IF('Data-solution'!$A$3="Maximize",MAX($C209:$AI209),MIN($C209:$AI209)),$C209:$AI209,0))*INDEX(AD198:$AJ208,MATCH(MIN($AK198:$AK208),$AK198:$AK208,0),1)/INDEX($C198:$AJ208,MATCH(MIN($AK198:$AK208),$AK198:$AK208,0),MATCH(IF('Data-solution'!$A$3="Maximize",MAX($C209:$AI209),MIN($C209:$AI209)),$C209:$AI209,0))),AD200)</f>
        <v>0</v>
      </c>
      <c r="AE215" s="1">
        <f>IF(OR($B213&lt;&gt;$B198,$B214&lt;&gt;$B199,$B215&lt;&gt;$B200,$B216&lt;&gt;$B201,$B217&lt;&gt;$B202,$B218&lt;&gt;$B203,$B219&lt;&gt;$B204,$B220&lt;&gt;$B205,$B221&lt;&gt;$B206,$B222&lt;&gt;$B207,$B223&lt;&gt;$B208),IF($B215&lt;&gt;$B200,AE200/INDEX($C198:$AJ208,3,MATCH(IF('Data-solution'!$A$3="Maximize",MAX($C209:$AI209),MIN($C209:$AI209)),$C209:$AI209,0)),AE200-INDEX($C198:$AJ208,3,MATCH(IF('Data-solution'!$A$3="Maximize",MAX($C209:$AI209),MIN($C209:$AI209)),$C209:$AI209,0))*INDEX(AE198:$AJ208,MATCH(MIN($AK198:$AK208),$AK198:$AK208,0),1)/INDEX($C198:$AJ208,MATCH(MIN($AK198:$AK208),$AK198:$AK208,0),MATCH(IF('Data-solution'!$A$3="Maximize",MAX($C209:$AI209),MIN($C209:$AI209)),$C209:$AI209,0))),AE200)</f>
        <v>0</v>
      </c>
      <c r="AF215" s="1">
        <f>IF(OR($B213&lt;&gt;$B198,$B214&lt;&gt;$B199,$B215&lt;&gt;$B200,$B216&lt;&gt;$B201,$B217&lt;&gt;$B202,$B218&lt;&gt;$B203,$B219&lt;&gt;$B204,$B220&lt;&gt;$B205,$B221&lt;&gt;$B206,$B222&lt;&gt;$B207,$B223&lt;&gt;$B208),IF($B215&lt;&gt;$B200,AF200/INDEX($C198:$AJ208,3,MATCH(IF('Data-solution'!$A$3="Maximize",MAX($C209:$AI209),MIN($C209:$AI209)),$C209:$AI209,0)),AF200-INDEX($C198:$AJ208,3,MATCH(IF('Data-solution'!$A$3="Maximize",MAX($C209:$AI209),MIN($C209:$AI209)),$C209:$AI209,0))*INDEX(AF198:$AJ208,MATCH(MIN($AK198:$AK208),$AK198:$AK208,0),1)/INDEX($C198:$AJ208,MATCH(MIN($AK198:$AK208),$AK198:$AK208,0),MATCH(IF('Data-solution'!$A$3="Maximize",MAX($C209:$AI209),MIN($C209:$AI209)),$C209:$AI209,0))),AF200)</f>
        <v>0</v>
      </c>
      <c r="AG215" s="1">
        <f>IF(OR($B213&lt;&gt;$B198,$B214&lt;&gt;$B199,$B215&lt;&gt;$B200,$B216&lt;&gt;$B201,$B217&lt;&gt;$B202,$B218&lt;&gt;$B203,$B219&lt;&gt;$B204,$B220&lt;&gt;$B205,$B221&lt;&gt;$B206,$B222&lt;&gt;$B207,$B223&lt;&gt;$B208),IF($B215&lt;&gt;$B200,AG200/INDEX($C198:$AJ208,3,MATCH(IF('Data-solution'!$A$3="Maximize",MAX($C209:$AI209),MIN($C209:$AI209)),$C209:$AI209,0)),AG200-INDEX($C198:$AJ208,3,MATCH(IF('Data-solution'!$A$3="Maximize",MAX($C209:$AI209),MIN($C209:$AI209)),$C209:$AI209,0))*INDEX(AG198:$AJ208,MATCH(MIN($AK198:$AK208),$AK198:$AK208,0),1)/INDEX($C198:$AJ208,MATCH(MIN($AK198:$AK208),$AK198:$AK208,0),MATCH(IF('Data-solution'!$A$3="Maximize",MAX($C209:$AI209),MIN($C209:$AI209)),$C209:$AI209,0))),AG200)</f>
        <v>0</v>
      </c>
      <c r="AH215" s="1">
        <f>IF(OR($B213&lt;&gt;$B198,$B214&lt;&gt;$B199,$B215&lt;&gt;$B200,$B216&lt;&gt;$B201,$B217&lt;&gt;$B202,$B218&lt;&gt;$B203,$B219&lt;&gt;$B204,$B220&lt;&gt;$B205,$B221&lt;&gt;$B206,$B222&lt;&gt;$B207,$B223&lt;&gt;$B208),IF($B215&lt;&gt;$B200,AH200/INDEX($C198:$AJ208,3,MATCH(IF('Data-solution'!$A$3="Maximize",MAX($C209:$AI209),MIN($C209:$AI209)),$C209:$AI209,0)),AH200-INDEX($C198:$AJ208,3,MATCH(IF('Data-solution'!$A$3="Maximize",MAX($C209:$AI209),MIN($C209:$AI209)),$C209:$AI209,0))*INDEX(AH198:$AJ208,MATCH(MIN($AK198:$AK208),$AK198:$AK208,0),1)/INDEX($C198:$AJ208,MATCH(MIN($AK198:$AK208),$AK198:$AK208,0),MATCH(IF('Data-solution'!$A$3="Maximize",MAX($C209:$AI209),MIN($C209:$AI209)),$C209:$AI209,0))),AH200)</f>
        <v>0</v>
      </c>
      <c r="AI215" s="1">
        <f>IF(OR($B213&lt;&gt;$B198,$B214&lt;&gt;$B199,$B215&lt;&gt;$B200,$B216&lt;&gt;$B201,$B217&lt;&gt;$B202,$B218&lt;&gt;$B203,$B219&lt;&gt;$B204,$B220&lt;&gt;$B205,$B221&lt;&gt;$B206,$B222&lt;&gt;$B207,$B223&lt;&gt;$B208),IF($B215&lt;&gt;$B200,AI200/INDEX($C198:$AJ208,3,MATCH(IF('Data-solution'!$A$3="Maximize",MAX($C209:$AI209),MIN($C209:$AI209)),$C209:$AI209,0)),AI200-INDEX($C198:$AJ208,3,MATCH(IF('Data-solution'!$A$3="Maximize",MAX($C209:$AI209),MIN($C209:$AI209)),$C209:$AI209,0))*INDEX(AI198:$AJ208,MATCH(MIN($AK198:$AK208),$AK198:$AK208,0),1)/INDEX($C198:$AJ208,MATCH(MIN($AK198:$AK208),$AK198:$AK208,0),MATCH(IF('Data-solution'!$A$3="Maximize",MAX($C209:$AI209),MIN($C209:$AI209)),$C209:$AI209,0))),AI200)</f>
        <v>0</v>
      </c>
      <c r="AJ215" s="1">
        <f>IF(OR($B213&lt;&gt;$B198,$B214&lt;&gt;$B199,$B215&lt;&gt;$B200,$B216&lt;&gt;$B201,$B217&lt;&gt;$B202,$B218&lt;&gt;$B203,$B219&lt;&gt;$B204,$B220&lt;&gt;$B205,$B221&lt;&gt;$B206,$B222&lt;&gt;$B207,$B223&lt;&gt;$B208),IF($B215&lt;&gt;$B200,AJ200/INDEX($C198:$AJ208,3,MATCH(IF('Data-solution'!$A$3="Maximize",MAX($C209:$AI209),MIN($C209:$AI209)),$C209:$AI209,0)),AJ200-INDEX($C198:$AJ208,3,MATCH(IF('Data-solution'!$A$3="Maximize",MAX($C209:$AI209),MIN($C209:$AI209)),$C209:$AI209,0))*INDEX(AJ198:$AJ208,MATCH(MIN($AK198:$AK208),$AK198:$AK208,0),1)/INDEX($C198:$AJ208,MATCH(MIN($AK198:$AK208),$AK198:$AK208,0),MATCH(IF('Data-solution'!$A$3="Maximize",MAX($C209:$AI209),MIN($C209:$AI209)),$C209:$AI209,0))),AJ200)</f>
        <v>300</v>
      </c>
      <c r="AK215" s="1" t="str">
        <f>IF(INDEX(C215:X215,1,MATCH(IF('Data-solution'!A$3="Maximize",MAX(C224:X224),MIN(C224:X224)),C224:X224,0))&gt;0,AJ215/INDEX(C215:X215,1,MATCH(IF('Data-solution'!A$3="Maximize",MAX(C224:X224),MIN(C224:X224)),C224:X224,0))," ")</f>
        <v xml:space="preserve"> </v>
      </c>
    </row>
    <row r="216" spans="1:37" ht="18" customHeight="1" x14ac:dyDescent="0.2">
      <c r="A216" s="1">
        <f t="shared" ref="A216" si="187">INDEX(C211:AI211,1,MATCH(B216,C212:AI212,0))</f>
        <v>150</v>
      </c>
      <c r="B216" s="2" t="str">
        <f>IF(AND('Data-solution'!A$3="Maximize",COUNTIF(C209:X209,"&gt;"&amp;0)&gt;0,AK201=MIN(AK198:AK208),COUNTIF(B213:B215,INDEX(C197:X197,1,MATCH(MAX(C209:X209),C209:X209,0)))=0),INDEX(C197:X197,1,MATCH(MAX(C209:X209),C209:X209,0)),IF(AND('Data-solution'!A$3="Minimize",COUNTIF(C209:X209,"&lt;"&amp;0)&gt;0,AK201=MIN(AK198:AK208),COUNTIF(B213:B215,INDEX(C197:X197,1,MATCH(MIN(C209:X209),C209:X209,0)))=0),INDEX(C197:X197,1,MATCH(MIN(C209:X209),C209:X209,0)),B201))</f>
        <v>X1</v>
      </c>
      <c r="C216" s="1">
        <f>IF(OR($B213&lt;&gt;$B198,$B214&lt;&gt;$B199,$B215&lt;&gt;$B200,$B216&lt;&gt;$B201,$B217&lt;&gt;$B202,$B218&lt;&gt;$B203,$B219&lt;&gt;$B204,$B220&lt;&gt;$B205,$B221&lt;&gt;$B206,$B222&lt;&gt;$B207,$B223&lt;&gt;$B208),IF($B216&lt;&gt;$B201,C201/INDEX($C198:$AJ208,4,MATCH(IF('Data-solution'!$A$3="Maximize",MAX($C209:$AI209),MIN($C209:$AI209)),$C209:$AI209,0)),C201-INDEX($C198:$AJ208,4,MATCH(IF('Data-solution'!$A$3="Maximize",MAX($C209:$AI209),MIN($C209:$AI209)),$C209:$AI209,0))*INDEX(C198:$AJ208,MATCH(MIN($AK198:$AK208),$AK198:$AK208,0),1)/INDEX($C198:$AJ208,MATCH(MIN($AK198:$AK208),$AK198:$AK208,0),MATCH(IF('Data-solution'!$A$3="Maximize",MAX($C209:$AI209),MIN($C209:$AI209)),$C209:$AI209,0))),C201)</f>
        <v>1</v>
      </c>
      <c r="D216" s="1">
        <f>IF(OR($B213&lt;&gt;$B198,$B214&lt;&gt;$B199,$B215&lt;&gt;$B200,$B216&lt;&gt;$B201,$B217&lt;&gt;$B202,$B218&lt;&gt;$B203,$B219&lt;&gt;$B204,$B220&lt;&gt;$B205,$B221&lt;&gt;$B206,$B222&lt;&gt;$B207,$B223&lt;&gt;$B208),IF($B216&lt;&gt;$B201,D201/INDEX($C198:$AJ208,4,MATCH(IF('Data-solution'!$A$3="Maximize",MAX($C209:$AI209),MIN($C209:$AI209)),$C209:$AI209,0)),D201-INDEX($C198:$AJ208,4,MATCH(IF('Data-solution'!$A$3="Maximize",MAX($C209:$AI209),MIN($C209:$AI209)),$C209:$AI209,0))*INDEX(D198:$AJ208,MATCH(MIN($AK198:$AK208),$AK198:$AK208,0),1)/INDEX($C198:$AJ208,MATCH(MIN($AK198:$AK208),$AK198:$AK208,0),MATCH(IF('Data-solution'!$A$3="Maximize",MAX($C209:$AI209),MIN($C209:$AI209)),$C209:$AI209,0))),D201)</f>
        <v>-1.25</v>
      </c>
      <c r="E216" s="1">
        <f>IF(OR($B213&lt;&gt;$B198,$B214&lt;&gt;$B199,$B215&lt;&gt;$B200,$B216&lt;&gt;$B201,$B217&lt;&gt;$B202,$B218&lt;&gt;$B203,$B219&lt;&gt;$B204,$B220&lt;&gt;$B205,$B221&lt;&gt;$B206,$B222&lt;&gt;$B207,$B223&lt;&gt;$B208),IF($B216&lt;&gt;$B201,E201/INDEX($C198:$AJ208,4,MATCH(IF('Data-solution'!$A$3="Maximize",MAX($C209:$AI209),MIN($C209:$AI209)),$C209:$AI209,0)),E201-INDEX($C198:$AJ208,4,MATCH(IF('Data-solution'!$A$3="Maximize",MAX($C209:$AI209),MIN($C209:$AI209)),$C209:$AI209,0))*INDEX(E198:$AJ208,MATCH(MIN($AK198:$AK208),$AK198:$AK208,0),1)/INDEX($C198:$AJ208,MATCH(MIN($AK198:$AK208),$AK198:$AK208,0),MATCH(IF('Data-solution'!$A$3="Maximize",MAX($C209:$AI209),MIN($C209:$AI209)),$C209:$AI209,0))),E201)</f>
        <v>0</v>
      </c>
      <c r="F216" s="1">
        <f>IF(OR($B213&lt;&gt;$B198,$B214&lt;&gt;$B199,$B215&lt;&gt;$B200,$B216&lt;&gt;$B201,$B217&lt;&gt;$B202,$B218&lt;&gt;$B203,$B219&lt;&gt;$B204,$B220&lt;&gt;$B205,$B221&lt;&gt;$B206,$B222&lt;&gt;$B207,$B223&lt;&gt;$B208),IF($B216&lt;&gt;$B201,F201/INDEX($C198:$AJ208,4,MATCH(IF('Data-solution'!$A$3="Maximize",MAX($C209:$AI209),MIN($C209:$AI209)),$C209:$AI209,0)),F201-INDEX($C198:$AJ208,4,MATCH(IF('Data-solution'!$A$3="Maximize",MAX($C209:$AI209),MIN($C209:$AI209)),$C209:$AI209,0))*INDEX(F198:$AJ208,MATCH(MIN($AK198:$AK208),$AK198:$AK208,0),1)/INDEX($C198:$AJ208,MATCH(MIN($AK198:$AK208),$AK198:$AK208,0),MATCH(IF('Data-solution'!$A$3="Maximize",MAX($C209:$AI209),MIN($C209:$AI209)),$C209:$AI209,0))),F201)</f>
        <v>0</v>
      </c>
      <c r="G216" s="1">
        <f>IF(OR($B213&lt;&gt;$B198,$B214&lt;&gt;$B199,$B215&lt;&gt;$B200,$B216&lt;&gt;$B201,$B217&lt;&gt;$B202,$B218&lt;&gt;$B203,$B219&lt;&gt;$B204,$B220&lt;&gt;$B205,$B221&lt;&gt;$B206,$B222&lt;&gt;$B207,$B223&lt;&gt;$B208),IF($B216&lt;&gt;$B201,G201/INDEX($C198:$AJ208,4,MATCH(IF('Data-solution'!$A$3="Maximize",MAX($C209:$AI209),MIN($C209:$AI209)),$C209:$AI209,0)),G201-INDEX($C198:$AJ208,4,MATCH(IF('Data-solution'!$A$3="Maximize",MAX($C209:$AI209),MIN($C209:$AI209)),$C209:$AI209,0))*INDEX(G198:$AJ208,MATCH(MIN($AK198:$AK208),$AK198:$AK208,0),1)/INDEX($C198:$AJ208,MATCH(MIN($AK198:$AK208),$AK198:$AK208,0),MATCH(IF('Data-solution'!$A$3="Maximize",MAX($C209:$AI209),MIN($C209:$AI209)),$C209:$AI209,0))),G201)</f>
        <v>0</v>
      </c>
      <c r="H216" s="1">
        <f>IF(OR($B213&lt;&gt;$B198,$B214&lt;&gt;$B199,$B215&lt;&gt;$B200,$B216&lt;&gt;$B201,$B217&lt;&gt;$B202,$B218&lt;&gt;$B203,$B219&lt;&gt;$B204,$B220&lt;&gt;$B205,$B221&lt;&gt;$B206,$B222&lt;&gt;$B207,$B223&lt;&gt;$B208),IF($B216&lt;&gt;$B201,H201/INDEX($C198:$AJ208,4,MATCH(IF('Data-solution'!$A$3="Maximize",MAX($C209:$AI209),MIN($C209:$AI209)),$C209:$AI209,0)),H201-INDEX($C198:$AJ208,4,MATCH(IF('Data-solution'!$A$3="Maximize",MAX($C209:$AI209),MIN($C209:$AI209)),$C209:$AI209,0))*INDEX(H198:$AJ208,MATCH(MIN($AK198:$AK208),$AK198:$AK208,0),1)/INDEX($C198:$AJ208,MATCH(MIN($AK198:$AK208),$AK198:$AK208,0),MATCH(IF('Data-solution'!$A$3="Maximize",MAX($C209:$AI209),MIN($C209:$AI209)),$C209:$AI209,0))),H201)</f>
        <v>0</v>
      </c>
      <c r="I216" s="1">
        <f>IF(OR($B213&lt;&gt;$B198,$B214&lt;&gt;$B199,$B215&lt;&gt;$B200,$B216&lt;&gt;$B201,$B217&lt;&gt;$B202,$B218&lt;&gt;$B203,$B219&lt;&gt;$B204,$B220&lt;&gt;$B205,$B221&lt;&gt;$B206,$B222&lt;&gt;$B207,$B223&lt;&gt;$B208),IF($B216&lt;&gt;$B201,I201/INDEX($C198:$AJ208,4,MATCH(IF('Data-solution'!$A$3="Maximize",MAX($C209:$AI209),MIN($C209:$AI209)),$C209:$AI209,0)),I201-INDEX($C198:$AJ208,4,MATCH(IF('Data-solution'!$A$3="Maximize",MAX($C209:$AI209),MIN($C209:$AI209)),$C209:$AI209,0))*INDEX(I198:$AJ208,MATCH(MIN($AK198:$AK208),$AK198:$AK208,0),1)/INDEX($C198:$AJ208,MATCH(MIN($AK198:$AK208),$AK198:$AK208,0),MATCH(IF('Data-solution'!$A$3="Maximize",MAX($C209:$AI209),MIN($C209:$AI209)),$C209:$AI209,0))),I201)</f>
        <v>0</v>
      </c>
      <c r="J216" s="1">
        <f>IF(OR($B213&lt;&gt;$B198,$B214&lt;&gt;$B199,$B215&lt;&gt;$B200,$B216&lt;&gt;$B201,$B217&lt;&gt;$B202,$B218&lt;&gt;$B203,$B219&lt;&gt;$B204,$B220&lt;&gt;$B205,$B221&lt;&gt;$B206,$B222&lt;&gt;$B207,$B223&lt;&gt;$B208),IF($B216&lt;&gt;$B201,J201/INDEX($C198:$AJ208,4,MATCH(IF('Data-solution'!$A$3="Maximize",MAX($C209:$AI209),MIN($C209:$AI209)),$C209:$AI209,0)),J201-INDEX($C198:$AJ208,4,MATCH(IF('Data-solution'!$A$3="Maximize",MAX($C209:$AI209),MIN($C209:$AI209)),$C209:$AI209,0))*INDEX(J198:$AJ208,MATCH(MIN($AK198:$AK208),$AK198:$AK208,0),1)/INDEX($C198:$AJ208,MATCH(MIN($AK198:$AK208),$AK198:$AK208,0),MATCH(IF('Data-solution'!$A$3="Maximize",MAX($C209:$AI209),MIN($C209:$AI209)),$C209:$AI209,0))),J201)</f>
        <v>0</v>
      </c>
      <c r="K216" s="1">
        <f>IF(OR($B213&lt;&gt;$B198,$B214&lt;&gt;$B199,$B215&lt;&gt;$B200,$B216&lt;&gt;$B201,$B217&lt;&gt;$B202,$B218&lt;&gt;$B203,$B219&lt;&gt;$B204,$B220&lt;&gt;$B205,$B221&lt;&gt;$B206,$B222&lt;&gt;$B207,$B223&lt;&gt;$B208),IF($B216&lt;&gt;$B201,K201/INDEX($C198:$AJ208,4,MATCH(IF('Data-solution'!$A$3="Maximize",MAX($C209:$AI209),MIN($C209:$AI209)),$C209:$AI209,0)),K201-INDEX($C198:$AJ208,4,MATCH(IF('Data-solution'!$A$3="Maximize",MAX($C209:$AI209),MIN($C209:$AI209)),$C209:$AI209,0))*INDEX(K198:$AJ208,MATCH(MIN($AK198:$AK208),$AK198:$AK208,0),1)/INDEX($C198:$AJ208,MATCH(MIN($AK198:$AK208),$AK198:$AK208,0),MATCH(IF('Data-solution'!$A$3="Maximize",MAX($C209:$AI209),MIN($C209:$AI209)),$C209:$AI209,0))),K201)</f>
        <v>0</v>
      </c>
      <c r="L216" s="1">
        <f>IF(OR($B213&lt;&gt;$B198,$B214&lt;&gt;$B199,$B215&lt;&gt;$B200,$B216&lt;&gt;$B201,$B217&lt;&gt;$B202,$B218&lt;&gt;$B203,$B219&lt;&gt;$B204,$B220&lt;&gt;$B205,$B221&lt;&gt;$B206,$B222&lt;&gt;$B207,$B223&lt;&gt;$B208),IF($B216&lt;&gt;$B201,L201/INDEX($C198:$AJ208,4,MATCH(IF('Data-solution'!$A$3="Maximize",MAX($C209:$AI209),MIN($C209:$AI209)),$C209:$AI209,0)),L201-INDEX($C198:$AJ208,4,MATCH(IF('Data-solution'!$A$3="Maximize",MAX($C209:$AI209),MIN($C209:$AI209)),$C209:$AI209,0))*INDEX(L198:$AJ208,MATCH(MIN($AK198:$AK208),$AK198:$AK208,0),1)/INDEX($C198:$AJ208,MATCH(MIN($AK198:$AK208),$AK198:$AK208,0),MATCH(IF('Data-solution'!$A$3="Maximize",MAX($C209:$AI209),MIN($C209:$AI209)),$C209:$AI209,0))),L201)</f>
        <v>0</v>
      </c>
      <c r="M216" s="1">
        <f>IF(OR($B213&lt;&gt;$B198,$B214&lt;&gt;$B199,$B215&lt;&gt;$B200,$B216&lt;&gt;$B201,$B217&lt;&gt;$B202,$B218&lt;&gt;$B203,$B219&lt;&gt;$B204,$B220&lt;&gt;$B205,$B221&lt;&gt;$B206,$B222&lt;&gt;$B207,$B223&lt;&gt;$B208),IF($B216&lt;&gt;$B201,M201/INDEX($C198:$AJ208,4,MATCH(IF('Data-solution'!$A$3="Maximize",MAX($C209:$AI209),MIN($C209:$AI209)),$C209:$AI209,0)),M201-INDEX($C198:$AJ208,4,MATCH(IF('Data-solution'!$A$3="Maximize",MAX($C209:$AI209),MIN($C209:$AI209)),$C209:$AI209,0))*INDEX(M198:$AJ208,MATCH(MIN($AK198:$AK208),$AK198:$AK208,0),1)/INDEX($C198:$AJ208,MATCH(MIN($AK198:$AK208),$AK198:$AK208,0),MATCH(IF('Data-solution'!$A$3="Maximize",MAX($C209:$AI209),MIN($C209:$AI209)),$C209:$AI209,0))),M201)</f>
        <v>0</v>
      </c>
      <c r="N216" s="1">
        <f>IF(OR($B213&lt;&gt;$B198,$B214&lt;&gt;$B199,$B215&lt;&gt;$B200,$B216&lt;&gt;$B201,$B217&lt;&gt;$B202,$B218&lt;&gt;$B203,$B219&lt;&gt;$B204,$B220&lt;&gt;$B205,$B221&lt;&gt;$B206,$B222&lt;&gt;$B207,$B223&lt;&gt;$B208),IF($B216&lt;&gt;$B201,N201/INDEX($C198:$AJ208,4,MATCH(IF('Data-solution'!$A$3="Maximize",MAX($C209:$AI209),MIN($C209:$AI209)),$C209:$AI209,0)),N201-INDEX($C198:$AJ208,4,MATCH(IF('Data-solution'!$A$3="Maximize",MAX($C209:$AI209),MIN($C209:$AI209)),$C209:$AI209,0))*INDEX(N198:$AJ208,MATCH(MIN($AK198:$AK208),$AK198:$AK208,0),1)/INDEX($C198:$AJ208,MATCH(MIN($AK198:$AK208),$AK198:$AK208,0),MATCH(IF('Data-solution'!$A$3="Maximize",MAX($C209:$AI209),MIN($C209:$AI209)),$C209:$AI209,0))),N201)</f>
        <v>0</v>
      </c>
      <c r="O216" s="1">
        <f>IF(OR($B213&lt;&gt;$B198,$B214&lt;&gt;$B199,$B215&lt;&gt;$B200,$B216&lt;&gt;$B201,$B217&lt;&gt;$B202,$B218&lt;&gt;$B203,$B219&lt;&gt;$B204,$B220&lt;&gt;$B205,$B221&lt;&gt;$B206,$B222&lt;&gt;$B207,$B223&lt;&gt;$B208),IF($B216&lt;&gt;$B201,O201/INDEX($C198:$AJ208,4,MATCH(IF('Data-solution'!$A$3="Maximize",MAX($C209:$AI209),MIN($C209:$AI209)),$C209:$AI209,0)),O201-INDEX($C198:$AJ208,4,MATCH(IF('Data-solution'!$A$3="Maximize",MAX($C209:$AI209),MIN($C209:$AI209)),$C209:$AI209,0))*INDEX(O198:$AJ208,MATCH(MIN($AK198:$AK208),$AK198:$AK208,0),1)/INDEX($C198:$AJ208,MATCH(MIN($AK198:$AK208),$AK198:$AK208,0),MATCH(IF('Data-solution'!$A$3="Maximize",MAX($C209:$AI209),MIN($C209:$AI209)),$C209:$AI209,0))),O201)</f>
        <v>0</v>
      </c>
      <c r="P216" s="1">
        <f>IF(OR($B213&lt;&gt;$B198,$B214&lt;&gt;$B199,$B215&lt;&gt;$B200,$B216&lt;&gt;$B201,$B217&lt;&gt;$B202,$B218&lt;&gt;$B203,$B219&lt;&gt;$B204,$B220&lt;&gt;$B205,$B221&lt;&gt;$B206,$B222&lt;&gt;$B207,$B223&lt;&gt;$B208),IF($B216&lt;&gt;$B201,P201/INDEX($C198:$AJ208,4,MATCH(IF('Data-solution'!$A$3="Maximize",MAX($C209:$AI209),MIN($C209:$AI209)),$C209:$AI209,0)),P201-INDEX($C198:$AJ208,4,MATCH(IF('Data-solution'!$A$3="Maximize",MAX($C209:$AI209),MIN($C209:$AI209)),$C209:$AI209,0))*INDEX(P198:$AJ208,MATCH(MIN($AK198:$AK208),$AK198:$AK208,0),1)/INDEX($C198:$AJ208,MATCH(MIN($AK198:$AK208),$AK198:$AK208,0),MATCH(IF('Data-solution'!$A$3="Maximize",MAX($C209:$AI209),MIN($C209:$AI209)),$C209:$AI209,0))),P201)</f>
        <v>-0.24999999999999994</v>
      </c>
      <c r="Q216" s="1">
        <f>IF(OR($B213&lt;&gt;$B198,$B214&lt;&gt;$B199,$B215&lt;&gt;$B200,$B216&lt;&gt;$B201,$B217&lt;&gt;$B202,$B218&lt;&gt;$B203,$B219&lt;&gt;$B204,$B220&lt;&gt;$B205,$B221&lt;&gt;$B206,$B222&lt;&gt;$B207,$B223&lt;&gt;$B208),IF($B216&lt;&gt;$B201,Q201/INDEX($C198:$AJ208,4,MATCH(IF('Data-solution'!$A$3="Maximize",MAX($C209:$AI209),MIN($C209:$AI209)),$C209:$AI209,0)),Q201-INDEX($C198:$AJ208,4,MATCH(IF('Data-solution'!$A$3="Maximize",MAX($C209:$AI209),MIN($C209:$AI209)),$C209:$AI209,0))*INDEX(Q198:$AJ208,MATCH(MIN($AK198:$AK208),$AK198:$AK208,0),1)/INDEX($C198:$AJ208,MATCH(MIN($AK198:$AK208),$AK198:$AK208,0),MATCH(IF('Data-solution'!$A$3="Maximize",MAX($C209:$AI209),MIN($C209:$AI209)),$C209:$AI209,0))),Q201)</f>
        <v>1.4999999999999998</v>
      </c>
      <c r="R216" s="1">
        <f>IF(OR($B213&lt;&gt;$B198,$B214&lt;&gt;$B199,$B215&lt;&gt;$B200,$B216&lt;&gt;$B201,$B217&lt;&gt;$B202,$B218&lt;&gt;$B203,$B219&lt;&gt;$B204,$B220&lt;&gt;$B205,$B221&lt;&gt;$B206,$B222&lt;&gt;$B207,$B223&lt;&gt;$B208),IF($B216&lt;&gt;$B201,R201/INDEX($C198:$AJ208,4,MATCH(IF('Data-solution'!$A$3="Maximize",MAX($C209:$AI209),MIN($C209:$AI209)),$C209:$AI209,0)),R201-INDEX($C198:$AJ208,4,MATCH(IF('Data-solution'!$A$3="Maximize",MAX($C209:$AI209),MIN($C209:$AI209)),$C209:$AI209,0))*INDEX(R198:$AJ208,MATCH(MIN($AK198:$AK208),$AK198:$AK208,0),1)/INDEX($C198:$AJ208,MATCH(MIN($AK198:$AK208),$AK198:$AK208,0),MATCH(IF('Data-solution'!$A$3="Maximize",MAX($C209:$AI209),MIN($C209:$AI209)),$C209:$AI209,0))),R201)</f>
        <v>0</v>
      </c>
      <c r="S216" s="1">
        <f>IF(OR($B213&lt;&gt;$B198,$B214&lt;&gt;$B199,$B215&lt;&gt;$B200,$B216&lt;&gt;$B201,$B217&lt;&gt;$B202,$B218&lt;&gt;$B203,$B219&lt;&gt;$B204,$B220&lt;&gt;$B205,$B221&lt;&gt;$B206,$B222&lt;&gt;$B207,$B223&lt;&gt;$B208),IF($B216&lt;&gt;$B201,S201/INDEX($C198:$AJ208,4,MATCH(IF('Data-solution'!$A$3="Maximize",MAX($C209:$AI209),MIN($C209:$AI209)),$C209:$AI209,0)),S201-INDEX($C198:$AJ208,4,MATCH(IF('Data-solution'!$A$3="Maximize",MAX($C209:$AI209),MIN($C209:$AI209)),$C209:$AI209,0))*INDEX(S198:$AJ208,MATCH(MIN($AK198:$AK208),$AK198:$AK208,0),1)/INDEX($C198:$AJ208,MATCH(MIN($AK198:$AK208),$AK198:$AK208,0),MATCH(IF('Data-solution'!$A$3="Maximize",MAX($C209:$AI209),MIN($C209:$AI209)),$C209:$AI209,0))),S201)</f>
        <v>0</v>
      </c>
      <c r="T216" s="1">
        <f>IF(OR($B213&lt;&gt;$B198,$B214&lt;&gt;$B199,$B215&lt;&gt;$B200,$B216&lt;&gt;$B201,$B217&lt;&gt;$B202,$B218&lt;&gt;$B203,$B219&lt;&gt;$B204,$B220&lt;&gt;$B205,$B221&lt;&gt;$B206,$B222&lt;&gt;$B207,$B223&lt;&gt;$B208),IF($B216&lt;&gt;$B201,T201/INDEX($C198:$AJ208,4,MATCH(IF('Data-solution'!$A$3="Maximize",MAX($C209:$AI209),MIN($C209:$AI209)),$C209:$AI209,0)),T201-INDEX($C198:$AJ208,4,MATCH(IF('Data-solution'!$A$3="Maximize",MAX($C209:$AI209),MIN($C209:$AI209)),$C209:$AI209,0))*INDEX(T198:$AJ208,MATCH(MIN($AK198:$AK208),$AK198:$AK208,0),1)/INDEX($C198:$AJ208,MATCH(MIN($AK198:$AK208),$AK198:$AK208,0),MATCH(IF('Data-solution'!$A$3="Maximize",MAX($C209:$AI209),MIN($C209:$AI209)),$C209:$AI209,0))),T201)</f>
        <v>0</v>
      </c>
      <c r="U216" s="1">
        <f>IF(OR($B213&lt;&gt;$B198,$B214&lt;&gt;$B199,$B215&lt;&gt;$B200,$B216&lt;&gt;$B201,$B217&lt;&gt;$B202,$B218&lt;&gt;$B203,$B219&lt;&gt;$B204,$B220&lt;&gt;$B205,$B221&lt;&gt;$B206,$B222&lt;&gt;$B207,$B223&lt;&gt;$B208),IF($B216&lt;&gt;$B201,U201/INDEX($C198:$AJ208,4,MATCH(IF('Data-solution'!$A$3="Maximize",MAX($C209:$AI209),MIN($C209:$AI209)),$C209:$AI209,0)),U201-INDEX($C198:$AJ208,4,MATCH(IF('Data-solution'!$A$3="Maximize",MAX($C209:$AI209),MIN($C209:$AI209)),$C209:$AI209,0))*INDEX(U198:$AJ208,MATCH(MIN($AK198:$AK208),$AK198:$AK208,0),1)/INDEX($C198:$AJ208,MATCH(MIN($AK198:$AK208),$AK198:$AK208,0),MATCH(IF('Data-solution'!$A$3="Maximize",MAX($C209:$AI209),MIN($C209:$AI209)),$C209:$AI209,0))),U201)</f>
        <v>0</v>
      </c>
      <c r="V216" s="1">
        <f>IF(OR($B213&lt;&gt;$B198,$B214&lt;&gt;$B199,$B215&lt;&gt;$B200,$B216&lt;&gt;$B201,$B217&lt;&gt;$B202,$B218&lt;&gt;$B203,$B219&lt;&gt;$B204,$B220&lt;&gt;$B205,$B221&lt;&gt;$B206,$B222&lt;&gt;$B207,$B223&lt;&gt;$B208),IF($B216&lt;&gt;$B201,V201/INDEX($C198:$AJ208,4,MATCH(IF('Data-solution'!$A$3="Maximize",MAX($C209:$AI209),MIN($C209:$AI209)),$C209:$AI209,0)),V201-INDEX($C198:$AJ208,4,MATCH(IF('Data-solution'!$A$3="Maximize",MAX($C209:$AI209),MIN($C209:$AI209)),$C209:$AI209,0))*INDEX(V198:$AJ208,MATCH(MIN($AK198:$AK208),$AK198:$AK208,0),1)/INDEX($C198:$AJ208,MATCH(MIN($AK198:$AK208),$AK198:$AK208,0),MATCH(IF('Data-solution'!$A$3="Maximize",MAX($C209:$AI209),MIN($C209:$AI209)),$C209:$AI209,0))),V201)</f>
        <v>0</v>
      </c>
      <c r="W216" s="1">
        <f>IF(OR($B213&lt;&gt;$B198,$B214&lt;&gt;$B199,$B215&lt;&gt;$B200,$B216&lt;&gt;$B201,$B217&lt;&gt;$B202,$B218&lt;&gt;$B203,$B219&lt;&gt;$B204,$B220&lt;&gt;$B205,$B221&lt;&gt;$B206,$B222&lt;&gt;$B207,$B223&lt;&gt;$B208),IF($B216&lt;&gt;$B201,W201/INDEX($C198:$AJ208,4,MATCH(IF('Data-solution'!$A$3="Maximize",MAX($C209:$AI209),MIN($C209:$AI209)),$C209:$AI209,0)),W201-INDEX($C198:$AJ208,4,MATCH(IF('Data-solution'!$A$3="Maximize",MAX($C209:$AI209),MIN($C209:$AI209)),$C209:$AI209,0))*INDEX(W198:$AJ208,MATCH(MIN($AK198:$AK208),$AK198:$AK208,0),1)/INDEX($C198:$AJ208,MATCH(MIN($AK198:$AK208),$AK198:$AK208,0),MATCH(IF('Data-solution'!$A$3="Maximize",MAX($C209:$AI209),MIN($C209:$AI209)),$C209:$AI209,0))),W201)</f>
        <v>0</v>
      </c>
      <c r="X216" s="1">
        <f>IF(OR($B213&lt;&gt;$B198,$B214&lt;&gt;$B199,$B215&lt;&gt;$B200,$B216&lt;&gt;$B201,$B217&lt;&gt;$B202,$B218&lt;&gt;$B203,$B219&lt;&gt;$B204,$B220&lt;&gt;$B205,$B221&lt;&gt;$B206,$B222&lt;&gt;$B207,$B223&lt;&gt;$B208),IF($B216&lt;&gt;$B201,X201/INDEX($C198:$AJ208,4,MATCH(IF('Data-solution'!$A$3="Maximize",MAX($C209:$AI209),MIN($C209:$AI209)),$C209:$AI209,0)),X201-INDEX($C198:$AJ208,4,MATCH(IF('Data-solution'!$A$3="Maximize",MAX($C209:$AI209),MIN($C209:$AI209)),$C209:$AI209,0))*INDEX(X198:$AJ208,MATCH(MIN($AK198:$AK208),$AK198:$AK208,0),1)/INDEX($C198:$AJ208,MATCH(MIN($AK198:$AK208),$AK198:$AK208,0),MATCH(IF('Data-solution'!$A$3="Maximize",MAX($C209:$AI209),MIN($C209:$AI209)),$C209:$AI209,0))),X201)</f>
        <v>0</v>
      </c>
      <c r="Y216" s="1">
        <f>IF(OR($B213&lt;&gt;$B198,$B214&lt;&gt;$B199,$B215&lt;&gt;$B200,$B216&lt;&gt;$B201,$B217&lt;&gt;$B202,$B218&lt;&gt;$B203,$B219&lt;&gt;$B204,$B220&lt;&gt;$B205,$B221&lt;&gt;$B206,$B222&lt;&gt;$B207,$B223&lt;&gt;$B208),IF($B216&lt;&gt;$B201,Y201/INDEX($C198:$AJ208,4,MATCH(IF('Data-solution'!$A$3="Maximize",MAX($C209:$AI209),MIN($C209:$AI209)),$C209:$AI209,0)),Y201-INDEX($C198:$AJ208,4,MATCH(IF('Data-solution'!$A$3="Maximize",MAX($C209:$AI209),MIN($C209:$AI209)),$C209:$AI209,0))*INDEX(Y198:$AJ208,MATCH(MIN($AK198:$AK208),$AK198:$AK208,0),1)/INDEX($C198:$AJ208,MATCH(MIN($AK198:$AK208),$AK198:$AK208,0),MATCH(IF('Data-solution'!$A$3="Maximize",MAX($C209:$AI209),MIN($C209:$AI209)),$C209:$AI209,0))),Y201)</f>
        <v>0</v>
      </c>
      <c r="Z216" s="1">
        <f>IF(OR($B213&lt;&gt;$B198,$B214&lt;&gt;$B199,$B215&lt;&gt;$B200,$B216&lt;&gt;$B201,$B217&lt;&gt;$B202,$B218&lt;&gt;$B203,$B219&lt;&gt;$B204,$B220&lt;&gt;$B205,$B221&lt;&gt;$B206,$B222&lt;&gt;$B207,$B223&lt;&gt;$B208),IF($B216&lt;&gt;$B201,Z201/INDEX($C198:$AJ208,4,MATCH(IF('Data-solution'!$A$3="Maximize",MAX($C209:$AI209),MIN($C209:$AI209)),$C209:$AI209,0)),Z201-INDEX($C198:$AJ208,4,MATCH(IF('Data-solution'!$A$3="Maximize",MAX($C209:$AI209),MIN($C209:$AI209)),$C209:$AI209,0))*INDEX(Z198:$AJ208,MATCH(MIN($AK198:$AK208),$AK198:$AK208,0),1)/INDEX($C198:$AJ208,MATCH(MIN($AK198:$AK208),$AK198:$AK208,0),MATCH(IF('Data-solution'!$A$3="Maximize",MAX($C209:$AI209),MIN($C209:$AI209)),$C209:$AI209,0))),Z201)</f>
        <v>0</v>
      </c>
      <c r="AA216" s="1">
        <f>IF(OR($B213&lt;&gt;$B198,$B214&lt;&gt;$B199,$B215&lt;&gt;$B200,$B216&lt;&gt;$B201,$B217&lt;&gt;$B202,$B218&lt;&gt;$B203,$B219&lt;&gt;$B204,$B220&lt;&gt;$B205,$B221&lt;&gt;$B206,$B222&lt;&gt;$B207,$B223&lt;&gt;$B208),IF($B216&lt;&gt;$B201,AA201/INDEX($C198:$AJ208,4,MATCH(IF('Data-solution'!$A$3="Maximize",MAX($C209:$AI209),MIN($C209:$AI209)),$C209:$AI209,0)),AA201-INDEX($C198:$AJ208,4,MATCH(IF('Data-solution'!$A$3="Maximize",MAX($C209:$AI209),MIN($C209:$AI209)),$C209:$AI209,0))*INDEX(AA198:$AJ208,MATCH(MIN($AK198:$AK208),$AK198:$AK208,0),1)/INDEX($C198:$AJ208,MATCH(MIN($AK198:$AK208),$AK198:$AK208,0),MATCH(IF('Data-solution'!$A$3="Maximize",MAX($C209:$AI209),MIN($C209:$AI209)),$C209:$AI209,0))),AA201)</f>
        <v>-0.24999999999999994</v>
      </c>
      <c r="AB216" s="1">
        <f>IF(OR($B213&lt;&gt;$B198,$B214&lt;&gt;$B199,$B215&lt;&gt;$B200,$B216&lt;&gt;$B201,$B217&lt;&gt;$B202,$B218&lt;&gt;$B203,$B219&lt;&gt;$B204,$B220&lt;&gt;$B205,$B221&lt;&gt;$B206,$B222&lt;&gt;$B207,$B223&lt;&gt;$B208),IF($B216&lt;&gt;$B201,AB201/INDEX($C198:$AJ208,4,MATCH(IF('Data-solution'!$A$3="Maximize",MAX($C209:$AI209),MIN($C209:$AI209)),$C209:$AI209,0)),AB201-INDEX($C198:$AJ208,4,MATCH(IF('Data-solution'!$A$3="Maximize",MAX($C209:$AI209),MIN($C209:$AI209)),$C209:$AI209,0))*INDEX(AB198:$AJ208,MATCH(MIN($AK198:$AK208),$AK198:$AK208,0),1)/INDEX($C198:$AJ208,MATCH(MIN($AK198:$AK208),$AK198:$AK208,0),MATCH(IF('Data-solution'!$A$3="Maximize",MAX($C209:$AI209),MIN($C209:$AI209)),$C209:$AI209,0))),AB201)</f>
        <v>1.4999999999999998</v>
      </c>
      <c r="AC216" s="1">
        <f>IF(OR($B213&lt;&gt;$B198,$B214&lt;&gt;$B199,$B215&lt;&gt;$B200,$B216&lt;&gt;$B201,$B217&lt;&gt;$B202,$B218&lt;&gt;$B203,$B219&lt;&gt;$B204,$B220&lt;&gt;$B205,$B221&lt;&gt;$B206,$B222&lt;&gt;$B207,$B223&lt;&gt;$B208),IF($B216&lt;&gt;$B201,AC201/INDEX($C198:$AJ208,4,MATCH(IF('Data-solution'!$A$3="Maximize",MAX($C209:$AI209),MIN($C209:$AI209)),$C209:$AI209,0)),AC201-INDEX($C198:$AJ208,4,MATCH(IF('Data-solution'!$A$3="Maximize",MAX($C209:$AI209),MIN($C209:$AI209)),$C209:$AI209,0))*INDEX(AC198:$AJ208,MATCH(MIN($AK198:$AK208),$AK198:$AK208,0),1)/INDEX($C198:$AJ208,MATCH(MIN($AK198:$AK208),$AK198:$AK208,0),MATCH(IF('Data-solution'!$A$3="Maximize",MAX($C209:$AI209),MIN($C209:$AI209)),$C209:$AI209,0))),AC201)</f>
        <v>0</v>
      </c>
      <c r="AD216" s="1">
        <f>IF(OR($B213&lt;&gt;$B198,$B214&lt;&gt;$B199,$B215&lt;&gt;$B200,$B216&lt;&gt;$B201,$B217&lt;&gt;$B202,$B218&lt;&gt;$B203,$B219&lt;&gt;$B204,$B220&lt;&gt;$B205,$B221&lt;&gt;$B206,$B222&lt;&gt;$B207,$B223&lt;&gt;$B208),IF($B216&lt;&gt;$B201,AD201/INDEX($C198:$AJ208,4,MATCH(IF('Data-solution'!$A$3="Maximize",MAX($C209:$AI209),MIN($C209:$AI209)),$C209:$AI209,0)),AD201-INDEX($C198:$AJ208,4,MATCH(IF('Data-solution'!$A$3="Maximize",MAX($C209:$AI209),MIN($C209:$AI209)),$C209:$AI209,0))*INDEX(AD198:$AJ208,MATCH(MIN($AK198:$AK208),$AK198:$AK208,0),1)/INDEX($C198:$AJ208,MATCH(MIN($AK198:$AK208),$AK198:$AK208,0),MATCH(IF('Data-solution'!$A$3="Maximize",MAX($C209:$AI209),MIN($C209:$AI209)),$C209:$AI209,0))),AD201)</f>
        <v>0</v>
      </c>
      <c r="AE216" s="1">
        <f>IF(OR($B213&lt;&gt;$B198,$B214&lt;&gt;$B199,$B215&lt;&gt;$B200,$B216&lt;&gt;$B201,$B217&lt;&gt;$B202,$B218&lt;&gt;$B203,$B219&lt;&gt;$B204,$B220&lt;&gt;$B205,$B221&lt;&gt;$B206,$B222&lt;&gt;$B207,$B223&lt;&gt;$B208),IF($B216&lt;&gt;$B201,AE201/INDEX($C198:$AJ208,4,MATCH(IF('Data-solution'!$A$3="Maximize",MAX($C209:$AI209),MIN($C209:$AI209)),$C209:$AI209,0)),AE201-INDEX($C198:$AJ208,4,MATCH(IF('Data-solution'!$A$3="Maximize",MAX($C209:$AI209),MIN($C209:$AI209)),$C209:$AI209,0))*INDEX(AE198:$AJ208,MATCH(MIN($AK198:$AK208),$AK198:$AK208,0),1)/INDEX($C198:$AJ208,MATCH(MIN($AK198:$AK208),$AK198:$AK208,0),MATCH(IF('Data-solution'!$A$3="Maximize",MAX($C209:$AI209),MIN($C209:$AI209)),$C209:$AI209,0))),AE201)</f>
        <v>0</v>
      </c>
      <c r="AF216" s="1">
        <f>IF(OR($B213&lt;&gt;$B198,$B214&lt;&gt;$B199,$B215&lt;&gt;$B200,$B216&lt;&gt;$B201,$B217&lt;&gt;$B202,$B218&lt;&gt;$B203,$B219&lt;&gt;$B204,$B220&lt;&gt;$B205,$B221&lt;&gt;$B206,$B222&lt;&gt;$B207,$B223&lt;&gt;$B208),IF($B216&lt;&gt;$B201,AF201/INDEX($C198:$AJ208,4,MATCH(IF('Data-solution'!$A$3="Maximize",MAX($C209:$AI209),MIN($C209:$AI209)),$C209:$AI209,0)),AF201-INDEX($C198:$AJ208,4,MATCH(IF('Data-solution'!$A$3="Maximize",MAX($C209:$AI209),MIN($C209:$AI209)),$C209:$AI209,0))*INDEX(AF198:$AJ208,MATCH(MIN($AK198:$AK208),$AK198:$AK208,0),1)/INDEX($C198:$AJ208,MATCH(MIN($AK198:$AK208),$AK198:$AK208,0),MATCH(IF('Data-solution'!$A$3="Maximize",MAX($C209:$AI209),MIN($C209:$AI209)),$C209:$AI209,0))),AF201)</f>
        <v>0</v>
      </c>
      <c r="AG216" s="1">
        <f>IF(OR($B213&lt;&gt;$B198,$B214&lt;&gt;$B199,$B215&lt;&gt;$B200,$B216&lt;&gt;$B201,$B217&lt;&gt;$B202,$B218&lt;&gt;$B203,$B219&lt;&gt;$B204,$B220&lt;&gt;$B205,$B221&lt;&gt;$B206,$B222&lt;&gt;$B207,$B223&lt;&gt;$B208),IF($B216&lt;&gt;$B201,AG201/INDEX($C198:$AJ208,4,MATCH(IF('Data-solution'!$A$3="Maximize",MAX($C209:$AI209),MIN($C209:$AI209)),$C209:$AI209,0)),AG201-INDEX($C198:$AJ208,4,MATCH(IF('Data-solution'!$A$3="Maximize",MAX($C209:$AI209),MIN($C209:$AI209)),$C209:$AI209,0))*INDEX(AG198:$AJ208,MATCH(MIN($AK198:$AK208),$AK198:$AK208,0),1)/INDEX($C198:$AJ208,MATCH(MIN($AK198:$AK208),$AK198:$AK208,0),MATCH(IF('Data-solution'!$A$3="Maximize",MAX($C209:$AI209),MIN($C209:$AI209)),$C209:$AI209,0))),AG201)</f>
        <v>0</v>
      </c>
      <c r="AH216" s="1">
        <f>IF(OR($B213&lt;&gt;$B198,$B214&lt;&gt;$B199,$B215&lt;&gt;$B200,$B216&lt;&gt;$B201,$B217&lt;&gt;$B202,$B218&lt;&gt;$B203,$B219&lt;&gt;$B204,$B220&lt;&gt;$B205,$B221&lt;&gt;$B206,$B222&lt;&gt;$B207,$B223&lt;&gt;$B208),IF($B216&lt;&gt;$B201,AH201/INDEX($C198:$AJ208,4,MATCH(IF('Data-solution'!$A$3="Maximize",MAX($C209:$AI209),MIN($C209:$AI209)),$C209:$AI209,0)),AH201-INDEX($C198:$AJ208,4,MATCH(IF('Data-solution'!$A$3="Maximize",MAX($C209:$AI209),MIN($C209:$AI209)),$C209:$AI209,0))*INDEX(AH198:$AJ208,MATCH(MIN($AK198:$AK208),$AK198:$AK208,0),1)/INDEX($C198:$AJ208,MATCH(MIN($AK198:$AK208),$AK198:$AK208,0),MATCH(IF('Data-solution'!$A$3="Maximize",MAX($C209:$AI209),MIN($C209:$AI209)),$C209:$AI209,0))),AH201)</f>
        <v>0</v>
      </c>
      <c r="AI216" s="1">
        <f>IF(OR($B213&lt;&gt;$B198,$B214&lt;&gt;$B199,$B215&lt;&gt;$B200,$B216&lt;&gt;$B201,$B217&lt;&gt;$B202,$B218&lt;&gt;$B203,$B219&lt;&gt;$B204,$B220&lt;&gt;$B205,$B221&lt;&gt;$B206,$B222&lt;&gt;$B207,$B223&lt;&gt;$B208),IF($B216&lt;&gt;$B201,AI201/INDEX($C198:$AJ208,4,MATCH(IF('Data-solution'!$A$3="Maximize",MAX($C209:$AI209),MIN($C209:$AI209)),$C209:$AI209,0)),AI201-INDEX($C198:$AJ208,4,MATCH(IF('Data-solution'!$A$3="Maximize",MAX($C209:$AI209),MIN($C209:$AI209)),$C209:$AI209,0))*INDEX(AI198:$AJ208,MATCH(MIN($AK198:$AK208),$AK198:$AK208,0),1)/INDEX($C198:$AJ208,MATCH(MIN($AK198:$AK208),$AK198:$AK208,0),MATCH(IF('Data-solution'!$A$3="Maximize",MAX($C209:$AI209),MIN($C209:$AI209)),$C209:$AI209,0))),AI201)</f>
        <v>0</v>
      </c>
      <c r="AJ216" s="1">
        <f>IF(OR($B213&lt;&gt;$B198,$B214&lt;&gt;$B199,$B215&lt;&gt;$B200,$B216&lt;&gt;$B201,$B217&lt;&gt;$B202,$B218&lt;&gt;$B203,$B219&lt;&gt;$B204,$B220&lt;&gt;$B205,$B221&lt;&gt;$B206,$B222&lt;&gt;$B207,$B223&lt;&gt;$B208),IF($B216&lt;&gt;$B201,AJ201/INDEX($C198:$AJ208,4,MATCH(IF('Data-solution'!$A$3="Maximize",MAX($C209:$AI209),MIN($C209:$AI209)),$C209:$AI209,0)),AJ201-INDEX($C198:$AJ208,4,MATCH(IF('Data-solution'!$A$3="Maximize",MAX($C209:$AI209),MIN($C209:$AI209)),$C209:$AI209,0))*INDEX(AJ198:$AJ208,MATCH(MIN($AK198:$AK208),$AK198:$AK208,0),1)/INDEX($C198:$AJ208,MATCH(MIN($AK198:$AK208),$AK198:$AK208,0),MATCH(IF('Data-solution'!$A$3="Maximize",MAX($C209:$AI209),MIN($C209:$AI209)),$C209:$AI209,0))),AJ201)</f>
        <v>100.00000000000001</v>
      </c>
      <c r="AK216" s="1">
        <f>IF(INDEX(C216:X216,1,MATCH(IF('Data-solution'!A$3="Maximize",MAX(C224:X224),MIN(C224:X224)),C224:X224,0))&gt;0,AJ216/INDEX(C216:X216,1,MATCH(IF('Data-solution'!A$3="Maximize",MAX(C224:X224),MIN(C224:X224)),C224:X224,0))," ")</f>
        <v>100.00000000000001</v>
      </c>
    </row>
    <row r="217" spans="1:37" ht="18" customHeight="1" x14ac:dyDescent="0.2">
      <c r="A217" s="1">
        <f t="shared" ref="A217" si="188">INDEX(C211:AI211,1,MATCH(B217,C212:AI212,0))</f>
        <v>0</v>
      </c>
      <c r="B217" s="2" t="str">
        <f>IF(AND('Data-solution'!A$3="Maximize",COUNTIF(C209:X209,"&gt;"&amp;0)&gt;0,AK202=MIN(AK198:AK208),COUNTIF(B213:B216,INDEX(C197:X197,1,MATCH(MAX(C209:X209),C209:X209,0)))=0),INDEX(C197:X197,1,MATCH(MAX(C209:X209),C209:X209,0)),IF(AND('Data-solution'!A$3="Minimize",COUNTIF(C209:X209,"&lt;"&amp;0)&gt;0,AK202=MIN(AK198:AK208),COUNTIF(B213:B216,INDEX(C197:X197,1,MATCH(MIN(C209:X209),C209:X209,0)))=0),INDEX(C197:X197,1,MATCH(MIN(C209:X209),C209:X209,0)),B202))</f>
        <v>S5</v>
      </c>
      <c r="C217" s="1">
        <f>IF(OR($B213&lt;&gt;$B198,$B214&lt;&gt;$B199,$B215&lt;&gt;$B200,$B216&lt;&gt;$B201,$B217&lt;&gt;$B202,$B218&lt;&gt;$B203,$B219&lt;&gt;$B204,$B220&lt;&gt;$B205,$B221&lt;&gt;$B206,$B222&lt;&gt;$B207,$B223&lt;&gt;$B208),IF($B217&lt;&gt;$B202,C202/INDEX($C198:$AJ208,5,MATCH(IF('Data-solution'!$A$3="Maximize",MAX($C209:$AI209),MIN($C209:$AI209)),$C209:$AI209,0)),C202-INDEX($C198:$AJ208,5,MATCH(IF('Data-solution'!$A$3="Maximize",MAX($C209:$AI209),MIN($C209:$AI209)),$C209:$AI209,0))*INDEX(C198:$AJ208,MATCH(MIN($AK198:$AK208),$AK198:$AK208,0),1)/INDEX($C198:$AJ208,MATCH(MIN($AK198:$AK208),$AK198:$AK208,0),MATCH(IF('Data-solution'!$A$3="Maximize",MAX($C209:$AI209),MIN($C209:$AI209)),$C209:$AI209,0))),C202)</f>
        <v>0</v>
      </c>
      <c r="D217" s="1">
        <f>IF(OR($B213&lt;&gt;$B198,$B214&lt;&gt;$B199,$B215&lt;&gt;$B200,$B216&lt;&gt;$B201,$B217&lt;&gt;$B202,$B218&lt;&gt;$B203,$B219&lt;&gt;$B204,$B220&lt;&gt;$B205,$B221&lt;&gt;$B206,$B222&lt;&gt;$B207,$B223&lt;&gt;$B208),IF($B217&lt;&gt;$B202,D202/INDEX($C198:$AJ208,5,MATCH(IF('Data-solution'!$A$3="Maximize",MAX($C209:$AI209),MIN($C209:$AI209)),$C209:$AI209,0)),D202-INDEX($C198:$AJ208,5,MATCH(IF('Data-solution'!$A$3="Maximize",MAX($C209:$AI209),MIN($C209:$AI209)),$C209:$AI209,0))*INDEX(D198:$AJ208,MATCH(MIN($AK198:$AK208),$AK198:$AK208,0),1)/INDEX($C198:$AJ208,MATCH(MIN($AK198:$AK208),$AK198:$AK208,0),MATCH(IF('Data-solution'!$A$3="Maximize",MAX($C209:$AI209),MIN($C209:$AI209)),$C209:$AI209,0))),D202)</f>
        <v>0</v>
      </c>
      <c r="E217" s="1">
        <f>IF(OR($B213&lt;&gt;$B198,$B214&lt;&gt;$B199,$B215&lt;&gt;$B200,$B216&lt;&gt;$B201,$B217&lt;&gt;$B202,$B218&lt;&gt;$B203,$B219&lt;&gt;$B204,$B220&lt;&gt;$B205,$B221&lt;&gt;$B206,$B222&lt;&gt;$B207,$B223&lt;&gt;$B208),IF($B217&lt;&gt;$B202,E202/INDEX($C198:$AJ208,5,MATCH(IF('Data-solution'!$A$3="Maximize",MAX($C209:$AI209),MIN($C209:$AI209)),$C209:$AI209,0)),E202-INDEX($C198:$AJ208,5,MATCH(IF('Data-solution'!$A$3="Maximize",MAX($C209:$AI209),MIN($C209:$AI209)),$C209:$AI209,0))*INDEX(E198:$AJ208,MATCH(MIN($AK198:$AK208),$AK198:$AK208,0),1)/INDEX($C198:$AJ208,MATCH(MIN($AK198:$AK208),$AK198:$AK208,0),MATCH(IF('Data-solution'!$A$3="Maximize",MAX($C209:$AI209),MIN($C209:$AI209)),$C209:$AI209,0))),E202)</f>
        <v>0</v>
      </c>
      <c r="F217" s="1">
        <f>IF(OR($B213&lt;&gt;$B198,$B214&lt;&gt;$B199,$B215&lt;&gt;$B200,$B216&lt;&gt;$B201,$B217&lt;&gt;$B202,$B218&lt;&gt;$B203,$B219&lt;&gt;$B204,$B220&lt;&gt;$B205,$B221&lt;&gt;$B206,$B222&lt;&gt;$B207,$B223&lt;&gt;$B208),IF($B217&lt;&gt;$B202,F202/INDEX($C198:$AJ208,5,MATCH(IF('Data-solution'!$A$3="Maximize",MAX($C209:$AI209),MIN($C209:$AI209)),$C209:$AI209,0)),F202-INDEX($C198:$AJ208,5,MATCH(IF('Data-solution'!$A$3="Maximize",MAX($C209:$AI209),MIN($C209:$AI209)),$C209:$AI209,0))*INDEX(F198:$AJ208,MATCH(MIN($AK198:$AK208),$AK198:$AK208,0),1)/INDEX($C198:$AJ208,MATCH(MIN($AK198:$AK208),$AK198:$AK208,0),MATCH(IF('Data-solution'!$A$3="Maximize",MAX($C209:$AI209),MIN($C209:$AI209)),$C209:$AI209,0))),F202)</f>
        <v>0</v>
      </c>
      <c r="G217" s="1">
        <f>IF(OR($B213&lt;&gt;$B198,$B214&lt;&gt;$B199,$B215&lt;&gt;$B200,$B216&lt;&gt;$B201,$B217&lt;&gt;$B202,$B218&lt;&gt;$B203,$B219&lt;&gt;$B204,$B220&lt;&gt;$B205,$B221&lt;&gt;$B206,$B222&lt;&gt;$B207,$B223&lt;&gt;$B208),IF($B217&lt;&gt;$B202,G202/INDEX($C198:$AJ208,5,MATCH(IF('Data-solution'!$A$3="Maximize",MAX($C209:$AI209),MIN($C209:$AI209)),$C209:$AI209,0)),G202-INDEX($C198:$AJ208,5,MATCH(IF('Data-solution'!$A$3="Maximize",MAX($C209:$AI209),MIN($C209:$AI209)),$C209:$AI209,0))*INDEX(G198:$AJ208,MATCH(MIN($AK198:$AK208),$AK198:$AK208,0),1)/INDEX($C198:$AJ208,MATCH(MIN($AK198:$AK208),$AK198:$AK208,0),MATCH(IF('Data-solution'!$A$3="Maximize",MAX($C209:$AI209),MIN($C209:$AI209)),$C209:$AI209,0))),G202)</f>
        <v>0</v>
      </c>
      <c r="H217" s="1">
        <f>IF(OR($B213&lt;&gt;$B198,$B214&lt;&gt;$B199,$B215&lt;&gt;$B200,$B216&lt;&gt;$B201,$B217&lt;&gt;$B202,$B218&lt;&gt;$B203,$B219&lt;&gt;$B204,$B220&lt;&gt;$B205,$B221&lt;&gt;$B206,$B222&lt;&gt;$B207,$B223&lt;&gt;$B208),IF($B217&lt;&gt;$B202,H202/INDEX($C198:$AJ208,5,MATCH(IF('Data-solution'!$A$3="Maximize",MAX($C209:$AI209),MIN($C209:$AI209)),$C209:$AI209,0)),H202-INDEX($C198:$AJ208,5,MATCH(IF('Data-solution'!$A$3="Maximize",MAX($C209:$AI209),MIN($C209:$AI209)),$C209:$AI209,0))*INDEX(H198:$AJ208,MATCH(MIN($AK198:$AK208),$AK198:$AK208,0),1)/INDEX($C198:$AJ208,MATCH(MIN($AK198:$AK208),$AK198:$AK208,0),MATCH(IF('Data-solution'!$A$3="Maximize",MAX($C209:$AI209),MIN($C209:$AI209)),$C209:$AI209,0))),H202)</f>
        <v>0</v>
      </c>
      <c r="I217" s="1">
        <f>IF(OR($B213&lt;&gt;$B198,$B214&lt;&gt;$B199,$B215&lt;&gt;$B200,$B216&lt;&gt;$B201,$B217&lt;&gt;$B202,$B218&lt;&gt;$B203,$B219&lt;&gt;$B204,$B220&lt;&gt;$B205,$B221&lt;&gt;$B206,$B222&lt;&gt;$B207,$B223&lt;&gt;$B208),IF($B217&lt;&gt;$B202,I202/INDEX($C198:$AJ208,5,MATCH(IF('Data-solution'!$A$3="Maximize",MAX($C209:$AI209),MIN($C209:$AI209)),$C209:$AI209,0)),I202-INDEX($C198:$AJ208,5,MATCH(IF('Data-solution'!$A$3="Maximize",MAX($C209:$AI209),MIN($C209:$AI209)),$C209:$AI209,0))*INDEX(I198:$AJ208,MATCH(MIN($AK198:$AK208),$AK198:$AK208,0),1)/INDEX($C198:$AJ208,MATCH(MIN($AK198:$AK208),$AK198:$AK208,0),MATCH(IF('Data-solution'!$A$3="Maximize",MAX($C209:$AI209),MIN($C209:$AI209)),$C209:$AI209,0))),I202)</f>
        <v>0</v>
      </c>
      <c r="J217" s="1">
        <f>IF(OR($B213&lt;&gt;$B198,$B214&lt;&gt;$B199,$B215&lt;&gt;$B200,$B216&lt;&gt;$B201,$B217&lt;&gt;$B202,$B218&lt;&gt;$B203,$B219&lt;&gt;$B204,$B220&lt;&gt;$B205,$B221&lt;&gt;$B206,$B222&lt;&gt;$B207,$B223&lt;&gt;$B208),IF($B217&lt;&gt;$B202,J202/INDEX($C198:$AJ208,5,MATCH(IF('Data-solution'!$A$3="Maximize",MAX($C209:$AI209),MIN($C209:$AI209)),$C209:$AI209,0)),J202-INDEX($C198:$AJ208,5,MATCH(IF('Data-solution'!$A$3="Maximize",MAX($C209:$AI209),MIN($C209:$AI209)),$C209:$AI209,0))*INDEX(J198:$AJ208,MATCH(MIN($AK198:$AK208),$AK198:$AK208,0),1)/INDEX($C198:$AJ208,MATCH(MIN($AK198:$AK208),$AK198:$AK208,0),MATCH(IF('Data-solution'!$A$3="Maximize",MAX($C209:$AI209),MIN($C209:$AI209)),$C209:$AI209,0))),J202)</f>
        <v>0</v>
      </c>
      <c r="K217" s="1">
        <f>IF(OR($B213&lt;&gt;$B198,$B214&lt;&gt;$B199,$B215&lt;&gt;$B200,$B216&lt;&gt;$B201,$B217&lt;&gt;$B202,$B218&lt;&gt;$B203,$B219&lt;&gt;$B204,$B220&lt;&gt;$B205,$B221&lt;&gt;$B206,$B222&lt;&gt;$B207,$B223&lt;&gt;$B208),IF($B217&lt;&gt;$B202,K202/INDEX($C198:$AJ208,5,MATCH(IF('Data-solution'!$A$3="Maximize",MAX($C209:$AI209),MIN($C209:$AI209)),$C209:$AI209,0)),K202-INDEX($C198:$AJ208,5,MATCH(IF('Data-solution'!$A$3="Maximize",MAX($C209:$AI209),MIN($C209:$AI209)),$C209:$AI209,0))*INDEX(K198:$AJ208,MATCH(MIN($AK198:$AK208),$AK198:$AK208,0),1)/INDEX($C198:$AJ208,MATCH(MIN($AK198:$AK208),$AK198:$AK208,0),MATCH(IF('Data-solution'!$A$3="Maximize",MAX($C209:$AI209),MIN($C209:$AI209)),$C209:$AI209,0))),K202)</f>
        <v>0</v>
      </c>
      <c r="L217" s="1">
        <f>IF(OR($B213&lt;&gt;$B198,$B214&lt;&gt;$B199,$B215&lt;&gt;$B200,$B216&lt;&gt;$B201,$B217&lt;&gt;$B202,$B218&lt;&gt;$B203,$B219&lt;&gt;$B204,$B220&lt;&gt;$B205,$B221&lt;&gt;$B206,$B222&lt;&gt;$B207,$B223&lt;&gt;$B208),IF($B217&lt;&gt;$B202,L202/INDEX($C198:$AJ208,5,MATCH(IF('Data-solution'!$A$3="Maximize",MAX($C209:$AI209),MIN($C209:$AI209)),$C209:$AI209,0)),L202-INDEX($C198:$AJ208,5,MATCH(IF('Data-solution'!$A$3="Maximize",MAX($C209:$AI209),MIN($C209:$AI209)),$C209:$AI209,0))*INDEX(L198:$AJ208,MATCH(MIN($AK198:$AK208),$AK198:$AK208,0),1)/INDEX($C198:$AJ208,MATCH(MIN($AK198:$AK208),$AK198:$AK208,0),MATCH(IF('Data-solution'!$A$3="Maximize",MAX($C209:$AI209),MIN($C209:$AI209)),$C209:$AI209,0))),L202)</f>
        <v>0</v>
      </c>
      <c r="M217" s="1">
        <f>IF(OR($B213&lt;&gt;$B198,$B214&lt;&gt;$B199,$B215&lt;&gt;$B200,$B216&lt;&gt;$B201,$B217&lt;&gt;$B202,$B218&lt;&gt;$B203,$B219&lt;&gt;$B204,$B220&lt;&gt;$B205,$B221&lt;&gt;$B206,$B222&lt;&gt;$B207,$B223&lt;&gt;$B208),IF($B217&lt;&gt;$B202,M202/INDEX($C198:$AJ208,5,MATCH(IF('Data-solution'!$A$3="Maximize",MAX($C209:$AI209),MIN($C209:$AI209)),$C209:$AI209,0)),M202-INDEX($C198:$AJ208,5,MATCH(IF('Data-solution'!$A$3="Maximize",MAX($C209:$AI209),MIN($C209:$AI209)),$C209:$AI209,0))*INDEX(M198:$AJ208,MATCH(MIN($AK198:$AK208),$AK198:$AK208,0),1)/INDEX($C198:$AJ208,MATCH(MIN($AK198:$AK208),$AK198:$AK208,0),MATCH(IF('Data-solution'!$A$3="Maximize",MAX($C209:$AI209),MIN($C209:$AI209)),$C209:$AI209,0))),M202)</f>
        <v>0</v>
      </c>
      <c r="N217" s="1">
        <f>IF(OR($B213&lt;&gt;$B198,$B214&lt;&gt;$B199,$B215&lt;&gt;$B200,$B216&lt;&gt;$B201,$B217&lt;&gt;$B202,$B218&lt;&gt;$B203,$B219&lt;&gt;$B204,$B220&lt;&gt;$B205,$B221&lt;&gt;$B206,$B222&lt;&gt;$B207,$B223&lt;&gt;$B208),IF($B217&lt;&gt;$B202,N202/INDEX($C198:$AJ208,5,MATCH(IF('Data-solution'!$A$3="Maximize",MAX($C209:$AI209),MIN($C209:$AI209)),$C209:$AI209,0)),N202-INDEX($C198:$AJ208,5,MATCH(IF('Data-solution'!$A$3="Maximize",MAX($C209:$AI209),MIN($C209:$AI209)),$C209:$AI209,0))*INDEX(N198:$AJ208,MATCH(MIN($AK198:$AK208),$AK198:$AK208,0),1)/INDEX($C198:$AJ208,MATCH(MIN($AK198:$AK208),$AK198:$AK208,0),MATCH(IF('Data-solution'!$A$3="Maximize",MAX($C209:$AI209),MIN($C209:$AI209)),$C209:$AI209,0))),N202)</f>
        <v>0</v>
      </c>
      <c r="O217" s="1">
        <f>IF(OR($B213&lt;&gt;$B198,$B214&lt;&gt;$B199,$B215&lt;&gt;$B200,$B216&lt;&gt;$B201,$B217&lt;&gt;$B202,$B218&lt;&gt;$B203,$B219&lt;&gt;$B204,$B220&lt;&gt;$B205,$B221&lt;&gt;$B206,$B222&lt;&gt;$B207,$B223&lt;&gt;$B208),IF($B217&lt;&gt;$B202,O202/INDEX($C198:$AJ208,5,MATCH(IF('Data-solution'!$A$3="Maximize",MAX($C209:$AI209),MIN($C209:$AI209)),$C209:$AI209,0)),O202-INDEX($C198:$AJ208,5,MATCH(IF('Data-solution'!$A$3="Maximize",MAX($C209:$AI209),MIN($C209:$AI209)),$C209:$AI209,0))*INDEX(O198:$AJ208,MATCH(MIN($AK198:$AK208),$AK198:$AK208,0),1)/INDEX($C198:$AJ208,MATCH(MIN($AK198:$AK208),$AK198:$AK208,0),MATCH(IF('Data-solution'!$A$3="Maximize",MAX($C209:$AI209),MIN($C209:$AI209)),$C209:$AI209,0))),O202)</f>
        <v>0</v>
      </c>
      <c r="P217" s="1">
        <f>IF(OR($B213&lt;&gt;$B198,$B214&lt;&gt;$B199,$B215&lt;&gt;$B200,$B216&lt;&gt;$B201,$B217&lt;&gt;$B202,$B218&lt;&gt;$B203,$B219&lt;&gt;$B204,$B220&lt;&gt;$B205,$B221&lt;&gt;$B206,$B222&lt;&gt;$B207,$B223&lt;&gt;$B208),IF($B217&lt;&gt;$B202,P202/INDEX($C198:$AJ208,5,MATCH(IF('Data-solution'!$A$3="Maximize",MAX($C209:$AI209),MIN($C209:$AI209)),$C209:$AI209,0)),P202-INDEX($C198:$AJ208,5,MATCH(IF('Data-solution'!$A$3="Maximize",MAX($C209:$AI209),MIN($C209:$AI209)),$C209:$AI209,0))*INDEX(P198:$AJ208,MATCH(MIN($AK198:$AK208),$AK198:$AK208,0),1)/INDEX($C198:$AJ208,MATCH(MIN($AK198:$AK208),$AK198:$AK208,0),MATCH(IF('Data-solution'!$A$3="Maximize",MAX($C209:$AI209),MIN($C209:$AI209)),$C209:$AI209,0))),P202)</f>
        <v>0</v>
      </c>
      <c r="Q217" s="1">
        <f>IF(OR($B213&lt;&gt;$B198,$B214&lt;&gt;$B199,$B215&lt;&gt;$B200,$B216&lt;&gt;$B201,$B217&lt;&gt;$B202,$B218&lt;&gt;$B203,$B219&lt;&gt;$B204,$B220&lt;&gt;$B205,$B221&lt;&gt;$B206,$B222&lt;&gt;$B207,$B223&lt;&gt;$B208),IF($B217&lt;&gt;$B202,Q202/INDEX($C198:$AJ208,5,MATCH(IF('Data-solution'!$A$3="Maximize",MAX($C209:$AI209),MIN($C209:$AI209)),$C209:$AI209,0)),Q202-INDEX($C198:$AJ208,5,MATCH(IF('Data-solution'!$A$3="Maximize",MAX($C209:$AI209),MIN($C209:$AI209)),$C209:$AI209,0))*INDEX(Q198:$AJ208,MATCH(MIN($AK198:$AK208),$AK198:$AK208,0),1)/INDEX($C198:$AJ208,MATCH(MIN($AK198:$AK208),$AK198:$AK208,0),MATCH(IF('Data-solution'!$A$3="Maximize",MAX($C209:$AI209),MIN($C209:$AI209)),$C209:$AI209,0))),Q202)</f>
        <v>0</v>
      </c>
      <c r="R217" s="1">
        <f>IF(OR($B213&lt;&gt;$B198,$B214&lt;&gt;$B199,$B215&lt;&gt;$B200,$B216&lt;&gt;$B201,$B217&lt;&gt;$B202,$B218&lt;&gt;$B203,$B219&lt;&gt;$B204,$B220&lt;&gt;$B205,$B221&lt;&gt;$B206,$B222&lt;&gt;$B207,$B223&lt;&gt;$B208),IF($B217&lt;&gt;$B202,R202/INDEX($C198:$AJ208,5,MATCH(IF('Data-solution'!$A$3="Maximize",MAX($C209:$AI209),MIN($C209:$AI209)),$C209:$AI209,0)),R202-INDEX($C198:$AJ208,5,MATCH(IF('Data-solution'!$A$3="Maximize",MAX($C209:$AI209),MIN($C209:$AI209)),$C209:$AI209,0))*INDEX(R198:$AJ208,MATCH(MIN($AK198:$AK208),$AK198:$AK208,0),1)/INDEX($C198:$AJ208,MATCH(MIN($AK198:$AK208),$AK198:$AK208,0),MATCH(IF('Data-solution'!$A$3="Maximize",MAX($C209:$AI209),MIN($C209:$AI209)),$C209:$AI209,0))),R202)</f>
        <v>1</v>
      </c>
      <c r="S217" s="1">
        <f>IF(OR($B213&lt;&gt;$B198,$B214&lt;&gt;$B199,$B215&lt;&gt;$B200,$B216&lt;&gt;$B201,$B217&lt;&gt;$B202,$B218&lt;&gt;$B203,$B219&lt;&gt;$B204,$B220&lt;&gt;$B205,$B221&lt;&gt;$B206,$B222&lt;&gt;$B207,$B223&lt;&gt;$B208),IF($B217&lt;&gt;$B202,S202/INDEX($C198:$AJ208,5,MATCH(IF('Data-solution'!$A$3="Maximize",MAX($C209:$AI209),MIN($C209:$AI209)),$C209:$AI209,0)),S202-INDEX($C198:$AJ208,5,MATCH(IF('Data-solution'!$A$3="Maximize",MAX($C209:$AI209),MIN($C209:$AI209)),$C209:$AI209,0))*INDEX(S198:$AJ208,MATCH(MIN($AK198:$AK208),$AK198:$AK208,0),1)/INDEX($C198:$AJ208,MATCH(MIN($AK198:$AK208),$AK198:$AK208,0),MATCH(IF('Data-solution'!$A$3="Maximize",MAX($C209:$AI209),MIN($C209:$AI209)),$C209:$AI209,0))),S202)</f>
        <v>0</v>
      </c>
      <c r="T217" s="1">
        <f>IF(OR($B213&lt;&gt;$B198,$B214&lt;&gt;$B199,$B215&lt;&gt;$B200,$B216&lt;&gt;$B201,$B217&lt;&gt;$B202,$B218&lt;&gt;$B203,$B219&lt;&gt;$B204,$B220&lt;&gt;$B205,$B221&lt;&gt;$B206,$B222&lt;&gt;$B207,$B223&lt;&gt;$B208),IF($B217&lt;&gt;$B202,T202/INDEX($C198:$AJ208,5,MATCH(IF('Data-solution'!$A$3="Maximize",MAX($C209:$AI209),MIN($C209:$AI209)),$C209:$AI209,0)),T202-INDEX($C198:$AJ208,5,MATCH(IF('Data-solution'!$A$3="Maximize",MAX($C209:$AI209),MIN($C209:$AI209)),$C209:$AI209,0))*INDEX(T198:$AJ208,MATCH(MIN($AK198:$AK208),$AK198:$AK208,0),1)/INDEX($C198:$AJ208,MATCH(MIN($AK198:$AK208),$AK198:$AK208,0),MATCH(IF('Data-solution'!$A$3="Maximize",MAX($C209:$AI209),MIN($C209:$AI209)),$C209:$AI209,0))),T202)</f>
        <v>0</v>
      </c>
      <c r="U217" s="1">
        <f>IF(OR($B213&lt;&gt;$B198,$B214&lt;&gt;$B199,$B215&lt;&gt;$B200,$B216&lt;&gt;$B201,$B217&lt;&gt;$B202,$B218&lt;&gt;$B203,$B219&lt;&gt;$B204,$B220&lt;&gt;$B205,$B221&lt;&gt;$B206,$B222&lt;&gt;$B207,$B223&lt;&gt;$B208),IF($B217&lt;&gt;$B202,U202/INDEX($C198:$AJ208,5,MATCH(IF('Data-solution'!$A$3="Maximize",MAX($C209:$AI209),MIN($C209:$AI209)),$C209:$AI209,0)),U202-INDEX($C198:$AJ208,5,MATCH(IF('Data-solution'!$A$3="Maximize",MAX($C209:$AI209),MIN($C209:$AI209)),$C209:$AI209,0))*INDEX(U198:$AJ208,MATCH(MIN($AK198:$AK208),$AK198:$AK208,0),1)/INDEX($C198:$AJ208,MATCH(MIN($AK198:$AK208),$AK198:$AK208,0),MATCH(IF('Data-solution'!$A$3="Maximize",MAX($C209:$AI209),MIN($C209:$AI209)),$C209:$AI209,0))),U202)</f>
        <v>0</v>
      </c>
      <c r="V217" s="1">
        <f>IF(OR($B213&lt;&gt;$B198,$B214&lt;&gt;$B199,$B215&lt;&gt;$B200,$B216&lt;&gt;$B201,$B217&lt;&gt;$B202,$B218&lt;&gt;$B203,$B219&lt;&gt;$B204,$B220&lt;&gt;$B205,$B221&lt;&gt;$B206,$B222&lt;&gt;$B207,$B223&lt;&gt;$B208),IF($B217&lt;&gt;$B202,V202/INDEX($C198:$AJ208,5,MATCH(IF('Data-solution'!$A$3="Maximize",MAX($C209:$AI209),MIN($C209:$AI209)),$C209:$AI209,0)),V202-INDEX($C198:$AJ208,5,MATCH(IF('Data-solution'!$A$3="Maximize",MAX($C209:$AI209),MIN($C209:$AI209)),$C209:$AI209,0))*INDEX(V198:$AJ208,MATCH(MIN($AK198:$AK208),$AK198:$AK208,0),1)/INDEX($C198:$AJ208,MATCH(MIN($AK198:$AK208),$AK198:$AK208,0),MATCH(IF('Data-solution'!$A$3="Maximize",MAX($C209:$AI209),MIN($C209:$AI209)),$C209:$AI209,0))),V202)</f>
        <v>0</v>
      </c>
      <c r="W217" s="1">
        <f>IF(OR($B213&lt;&gt;$B198,$B214&lt;&gt;$B199,$B215&lt;&gt;$B200,$B216&lt;&gt;$B201,$B217&lt;&gt;$B202,$B218&lt;&gt;$B203,$B219&lt;&gt;$B204,$B220&lt;&gt;$B205,$B221&lt;&gt;$B206,$B222&lt;&gt;$B207,$B223&lt;&gt;$B208),IF($B217&lt;&gt;$B202,W202/INDEX($C198:$AJ208,5,MATCH(IF('Data-solution'!$A$3="Maximize",MAX($C209:$AI209),MIN($C209:$AI209)),$C209:$AI209,0)),W202-INDEX($C198:$AJ208,5,MATCH(IF('Data-solution'!$A$3="Maximize",MAX($C209:$AI209),MIN($C209:$AI209)),$C209:$AI209,0))*INDEX(W198:$AJ208,MATCH(MIN($AK198:$AK208),$AK198:$AK208,0),1)/INDEX($C198:$AJ208,MATCH(MIN($AK198:$AK208),$AK198:$AK208,0),MATCH(IF('Data-solution'!$A$3="Maximize",MAX($C209:$AI209),MIN($C209:$AI209)),$C209:$AI209,0))),W202)</f>
        <v>0</v>
      </c>
      <c r="X217" s="1">
        <f>IF(OR($B213&lt;&gt;$B198,$B214&lt;&gt;$B199,$B215&lt;&gt;$B200,$B216&lt;&gt;$B201,$B217&lt;&gt;$B202,$B218&lt;&gt;$B203,$B219&lt;&gt;$B204,$B220&lt;&gt;$B205,$B221&lt;&gt;$B206,$B222&lt;&gt;$B207,$B223&lt;&gt;$B208),IF($B217&lt;&gt;$B202,X202/INDEX($C198:$AJ208,5,MATCH(IF('Data-solution'!$A$3="Maximize",MAX($C209:$AI209),MIN($C209:$AI209)),$C209:$AI209,0)),X202-INDEX($C198:$AJ208,5,MATCH(IF('Data-solution'!$A$3="Maximize",MAX($C209:$AI209),MIN($C209:$AI209)),$C209:$AI209,0))*INDEX(X198:$AJ208,MATCH(MIN($AK198:$AK208),$AK198:$AK208,0),1)/INDEX($C198:$AJ208,MATCH(MIN($AK198:$AK208),$AK198:$AK208,0),MATCH(IF('Data-solution'!$A$3="Maximize",MAX($C209:$AI209),MIN($C209:$AI209)),$C209:$AI209,0))),X202)</f>
        <v>0</v>
      </c>
      <c r="Y217" s="1">
        <f>IF(OR($B213&lt;&gt;$B198,$B214&lt;&gt;$B199,$B215&lt;&gt;$B200,$B216&lt;&gt;$B201,$B217&lt;&gt;$B202,$B218&lt;&gt;$B203,$B219&lt;&gt;$B204,$B220&lt;&gt;$B205,$B221&lt;&gt;$B206,$B222&lt;&gt;$B207,$B223&lt;&gt;$B208),IF($B217&lt;&gt;$B202,Y202/INDEX($C198:$AJ208,5,MATCH(IF('Data-solution'!$A$3="Maximize",MAX($C209:$AI209),MIN($C209:$AI209)),$C209:$AI209,0)),Y202-INDEX($C198:$AJ208,5,MATCH(IF('Data-solution'!$A$3="Maximize",MAX($C209:$AI209),MIN($C209:$AI209)),$C209:$AI209,0))*INDEX(Y198:$AJ208,MATCH(MIN($AK198:$AK208),$AK198:$AK208,0),1)/INDEX($C198:$AJ208,MATCH(MIN($AK198:$AK208),$AK198:$AK208,0),MATCH(IF('Data-solution'!$A$3="Maximize",MAX($C209:$AI209),MIN($C209:$AI209)),$C209:$AI209,0))),Y202)</f>
        <v>0</v>
      </c>
      <c r="Z217" s="1">
        <f>IF(OR($B213&lt;&gt;$B198,$B214&lt;&gt;$B199,$B215&lt;&gt;$B200,$B216&lt;&gt;$B201,$B217&lt;&gt;$B202,$B218&lt;&gt;$B203,$B219&lt;&gt;$B204,$B220&lt;&gt;$B205,$B221&lt;&gt;$B206,$B222&lt;&gt;$B207,$B223&lt;&gt;$B208),IF($B217&lt;&gt;$B202,Z202/INDEX($C198:$AJ208,5,MATCH(IF('Data-solution'!$A$3="Maximize",MAX($C209:$AI209),MIN($C209:$AI209)),$C209:$AI209,0)),Z202-INDEX($C198:$AJ208,5,MATCH(IF('Data-solution'!$A$3="Maximize",MAX($C209:$AI209),MIN($C209:$AI209)),$C209:$AI209,0))*INDEX(Z198:$AJ208,MATCH(MIN($AK198:$AK208),$AK198:$AK208,0),1)/INDEX($C198:$AJ208,MATCH(MIN($AK198:$AK208),$AK198:$AK208,0),MATCH(IF('Data-solution'!$A$3="Maximize",MAX($C209:$AI209),MIN($C209:$AI209)),$C209:$AI209,0))),Z202)</f>
        <v>0</v>
      </c>
      <c r="AA217" s="1">
        <f>IF(OR($B213&lt;&gt;$B198,$B214&lt;&gt;$B199,$B215&lt;&gt;$B200,$B216&lt;&gt;$B201,$B217&lt;&gt;$B202,$B218&lt;&gt;$B203,$B219&lt;&gt;$B204,$B220&lt;&gt;$B205,$B221&lt;&gt;$B206,$B222&lt;&gt;$B207,$B223&lt;&gt;$B208),IF($B217&lt;&gt;$B202,AA202/INDEX($C198:$AJ208,5,MATCH(IF('Data-solution'!$A$3="Maximize",MAX($C209:$AI209),MIN($C209:$AI209)),$C209:$AI209,0)),AA202-INDEX($C198:$AJ208,5,MATCH(IF('Data-solution'!$A$3="Maximize",MAX($C209:$AI209),MIN($C209:$AI209)),$C209:$AI209,0))*INDEX(AA198:$AJ208,MATCH(MIN($AK198:$AK208),$AK198:$AK208,0),1)/INDEX($C198:$AJ208,MATCH(MIN($AK198:$AK208),$AK198:$AK208,0),MATCH(IF('Data-solution'!$A$3="Maximize",MAX($C209:$AI209),MIN($C209:$AI209)),$C209:$AI209,0))),AA202)</f>
        <v>0</v>
      </c>
      <c r="AB217" s="1">
        <f>IF(OR($B213&lt;&gt;$B198,$B214&lt;&gt;$B199,$B215&lt;&gt;$B200,$B216&lt;&gt;$B201,$B217&lt;&gt;$B202,$B218&lt;&gt;$B203,$B219&lt;&gt;$B204,$B220&lt;&gt;$B205,$B221&lt;&gt;$B206,$B222&lt;&gt;$B207,$B223&lt;&gt;$B208),IF($B217&lt;&gt;$B202,AB202/INDEX($C198:$AJ208,5,MATCH(IF('Data-solution'!$A$3="Maximize",MAX($C209:$AI209),MIN($C209:$AI209)),$C209:$AI209,0)),AB202-INDEX($C198:$AJ208,5,MATCH(IF('Data-solution'!$A$3="Maximize",MAX($C209:$AI209),MIN($C209:$AI209)),$C209:$AI209,0))*INDEX(AB198:$AJ208,MATCH(MIN($AK198:$AK208),$AK198:$AK208,0),1)/INDEX($C198:$AJ208,MATCH(MIN($AK198:$AK208),$AK198:$AK208,0),MATCH(IF('Data-solution'!$A$3="Maximize",MAX($C209:$AI209),MIN($C209:$AI209)),$C209:$AI209,0))),AB202)</f>
        <v>0</v>
      </c>
      <c r="AC217" s="1">
        <f>IF(OR($B213&lt;&gt;$B198,$B214&lt;&gt;$B199,$B215&lt;&gt;$B200,$B216&lt;&gt;$B201,$B217&lt;&gt;$B202,$B218&lt;&gt;$B203,$B219&lt;&gt;$B204,$B220&lt;&gt;$B205,$B221&lt;&gt;$B206,$B222&lt;&gt;$B207,$B223&lt;&gt;$B208),IF($B217&lt;&gt;$B202,AC202/INDEX($C198:$AJ208,5,MATCH(IF('Data-solution'!$A$3="Maximize",MAX($C209:$AI209),MIN($C209:$AI209)),$C209:$AI209,0)),AC202-INDEX($C198:$AJ208,5,MATCH(IF('Data-solution'!$A$3="Maximize",MAX($C209:$AI209),MIN($C209:$AI209)),$C209:$AI209,0))*INDEX(AC198:$AJ208,MATCH(MIN($AK198:$AK208),$AK198:$AK208,0),1)/INDEX($C198:$AJ208,MATCH(MIN($AK198:$AK208),$AK198:$AK208,0),MATCH(IF('Data-solution'!$A$3="Maximize",MAX($C209:$AI209),MIN($C209:$AI209)),$C209:$AI209,0))),AC202)</f>
        <v>1</v>
      </c>
      <c r="AD217" s="1">
        <f>IF(OR($B213&lt;&gt;$B198,$B214&lt;&gt;$B199,$B215&lt;&gt;$B200,$B216&lt;&gt;$B201,$B217&lt;&gt;$B202,$B218&lt;&gt;$B203,$B219&lt;&gt;$B204,$B220&lt;&gt;$B205,$B221&lt;&gt;$B206,$B222&lt;&gt;$B207,$B223&lt;&gt;$B208),IF($B217&lt;&gt;$B202,AD202/INDEX($C198:$AJ208,5,MATCH(IF('Data-solution'!$A$3="Maximize",MAX($C209:$AI209),MIN($C209:$AI209)),$C209:$AI209,0)),AD202-INDEX($C198:$AJ208,5,MATCH(IF('Data-solution'!$A$3="Maximize",MAX($C209:$AI209),MIN($C209:$AI209)),$C209:$AI209,0))*INDEX(AD198:$AJ208,MATCH(MIN($AK198:$AK208),$AK198:$AK208,0),1)/INDEX($C198:$AJ208,MATCH(MIN($AK198:$AK208),$AK198:$AK208,0),MATCH(IF('Data-solution'!$A$3="Maximize",MAX($C209:$AI209),MIN($C209:$AI209)),$C209:$AI209,0))),AD202)</f>
        <v>0</v>
      </c>
      <c r="AE217" s="1">
        <f>IF(OR($B213&lt;&gt;$B198,$B214&lt;&gt;$B199,$B215&lt;&gt;$B200,$B216&lt;&gt;$B201,$B217&lt;&gt;$B202,$B218&lt;&gt;$B203,$B219&lt;&gt;$B204,$B220&lt;&gt;$B205,$B221&lt;&gt;$B206,$B222&lt;&gt;$B207,$B223&lt;&gt;$B208),IF($B217&lt;&gt;$B202,AE202/INDEX($C198:$AJ208,5,MATCH(IF('Data-solution'!$A$3="Maximize",MAX($C209:$AI209),MIN($C209:$AI209)),$C209:$AI209,0)),AE202-INDEX($C198:$AJ208,5,MATCH(IF('Data-solution'!$A$3="Maximize",MAX($C209:$AI209),MIN($C209:$AI209)),$C209:$AI209,0))*INDEX(AE198:$AJ208,MATCH(MIN($AK198:$AK208),$AK198:$AK208,0),1)/INDEX($C198:$AJ208,MATCH(MIN($AK198:$AK208),$AK198:$AK208,0),MATCH(IF('Data-solution'!$A$3="Maximize",MAX($C209:$AI209),MIN($C209:$AI209)),$C209:$AI209,0))),AE202)</f>
        <v>0</v>
      </c>
      <c r="AF217" s="1">
        <f>IF(OR($B213&lt;&gt;$B198,$B214&lt;&gt;$B199,$B215&lt;&gt;$B200,$B216&lt;&gt;$B201,$B217&lt;&gt;$B202,$B218&lt;&gt;$B203,$B219&lt;&gt;$B204,$B220&lt;&gt;$B205,$B221&lt;&gt;$B206,$B222&lt;&gt;$B207,$B223&lt;&gt;$B208),IF($B217&lt;&gt;$B202,AF202/INDEX($C198:$AJ208,5,MATCH(IF('Data-solution'!$A$3="Maximize",MAX($C209:$AI209),MIN($C209:$AI209)),$C209:$AI209,0)),AF202-INDEX($C198:$AJ208,5,MATCH(IF('Data-solution'!$A$3="Maximize",MAX($C209:$AI209),MIN($C209:$AI209)),$C209:$AI209,0))*INDEX(AF198:$AJ208,MATCH(MIN($AK198:$AK208),$AK198:$AK208,0),1)/INDEX($C198:$AJ208,MATCH(MIN($AK198:$AK208),$AK198:$AK208,0),MATCH(IF('Data-solution'!$A$3="Maximize",MAX($C209:$AI209),MIN($C209:$AI209)),$C209:$AI209,0))),AF202)</f>
        <v>0</v>
      </c>
      <c r="AG217" s="1">
        <f>IF(OR($B213&lt;&gt;$B198,$B214&lt;&gt;$B199,$B215&lt;&gt;$B200,$B216&lt;&gt;$B201,$B217&lt;&gt;$B202,$B218&lt;&gt;$B203,$B219&lt;&gt;$B204,$B220&lt;&gt;$B205,$B221&lt;&gt;$B206,$B222&lt;&gt;$B207,$B223&lt;&gt;$B208),IF($B217&lt;&gt;$B202,AG202/INDEX($C198:$AJ208,5,MATCH(IF('Data-solution'!$A$3="Maximize",MAX($C209:$AI209),MIN($C209:$AI209)),$C209:$AI209,0)),AG202-INDEX($C198:$AJ208,5,MATCH(IF('Data-solution'!$A$3="Maximize",MAX($C209:$AI209),MIN($C209:$AI209)),$C209:$AI209,0))*INDEX(AG198:$AJ208,MATCH(MIN($AK198:$AK208),$AK198:$AK208,0),1)/INDEX($C198:$AJ208,MATCH(MIN($AK198:$AK208),$AK198:$AK208,0),MATCH(IF('Data-solution'!$A$3="Maximize",MAX($C209:$AI209),MIN($C209:$AI209)),$C209:$AI209,0))),AG202)</f>
        <v>0</v>
      </c>
      <c r="AH217" s="1">
        <f>IF(OR($B213&lt;&gt;$B198,$B214&lt;&gt;$B199,$B215&lt;&gt;$B200,$B216&lt;&gt;$B201,$B217&lt;&gt;$B202,$B218&lt;&gt;$B203,$B219&lt;&gt;$B204,$B220&lt;&gt;$B205,$B221&lt;&gt;$B206,$B222&lt;&gt;$B207,$B223&lt;&gt;$B208),IF($B217&lt;&gt;$B202,AH202/INDEX($C198:$AJ208,5,MATCH(IF('Data-solution'!$A$3="Maximize",MAX($C209:$AI209),MIN($C209:$AI209)),$C209:$AI209,0)),AH202-INDEX($C198:$AJ208,5,MATCH(IF('Data-solution'!$A$3="Maximize",MAX($C209:$AI209),MIN($C209:$AI209)),$C209:$AI209,0))*INDEX(AH198:$AJ208,MATCH(MIN($AK198:$AK208),$AK198:$AK208,0),1)/INDEX($C198:$AJ208,MATCH(MIN($AK198:$AK208),$AK198:$AK208,0),MATCH(IF('Data-solution'!$A$3="Maximize",MAX($C209:$AI209),MIN($C209:$AI209)),$C209:$AI209,0))),AH202)</f>
        <v>0</v>
      </c>
      <c r="AI217" s="1">
        <f>IF(OR($B213&lt;&gt;$B198,$B214&lt;&gt;$B199,$B215&lt;&gt;$B200,$B216&lt;&gt;$B201,$B217&lt;&gt;$B202,$B218&lt;&gt;$B203,$B219&lt;&gt;$B204,$B220&lt;&gt;$B205,$B221&lt;&gt;$B206,$B222&lt;&gt;$B207,$B223&lt;&gt;$B208),IF($B217&lt;&gt;$B202,AI202/INDEX($C198:$AJ208,5,MATCH(IF('Data-solution'!$A$3="Maximize",MAX($C209:$AI209),MIN($C209:$AI209)),$C209:$AI209,0)),AI202-INDEX($C198:$AJ208,5,MATCH(IF('Data-solution'!$A$3="Maximize",MAX($C209:$AI209),MIN($C209:$AI209)),$C209:$AI209,0))*INDEX(AI198:$AJ208,MATCH(MIN($AK198:$AK208),$AK198:$AK208,0),1)/INDEX($C198:$AJ208,MATCH(MIN($AK198:$AK208),$AK198:$AK208,0),MATCH(IF('Data-solution'!$A$3="Maximize",MAX($C209:$AI209),MIN($C209:$AI209)),$C209:$AI209,0))),AI202)</f>
        <v>0</v>
      </c>
      <c r="AJ217" s="1">
        <f>IF(OR($B213&lt;&gt;$B198,$B214&lt;&gt;$B199,$B215&lt;&gt;$B200,$B216&lt;&gt;$B201,$B217&lt;&gt;$B202,$B218&lt;&gt;$B203,$B219&lt;&gt;$B204,$B220&lt;&gt;$B205,$B221&lt;&gt;$B206,$B222&lt;&gt;$B207,$B223&lt;&gt;$B208),IF($B217&lt;&gt;$B202,AJ202/INDEX($C198:$AJ208,5,MATCH(IF('Data-solution'!$A$3="Maximize",MAX($C209:$AI209),MIN($C209:$AI209)),$C209:$AI209,0)),AJ202-INDEX($C198:$AJ208,5,MATCH(IF('Data-solution'!$A$3="Maximize",MAX($C209:$AI209),MIN($C209:$AI209)),$C209:$AI209,0))*INDEX(AJ198:$AJ208,MATCH(MIN($AK198:$AK208),$AK198:$AK208,0),1)/INDEX($C198:$AJ208,MATCH(MIN($AK198:$AK208),$AK198:$AK208,0),MATCH(IF('Data-solution'!$A$3="Maximize",MAX($C209:$AI209),MIN($C209:$AI209)),$C209:$AI209,0))),AJ202)</f>
        <v>0</v>
      </c>
      <c r="AK217" s="1" t="str">
        <f>IF(INDEX(C217:X217,1,MATCH(IF('Data-solution'!A$3="Maximize",MAX(C224:X224),MIN(C224:X224)),C224:X224,0))&gt;0,AJ217/INDEX(C217:X217,1,MATCH(IF('Data-solution'!A$3="Maximize",MAX(C224:X224),MIN(C224:X224)),C224:X224,0))," ")</f>
        <v xml:space="preserve"> </v>
      </c>
    </row>
    <row r="218" spans="1:37" ht="18" customHeight="1" x14ac:dyDescent="0.2">
      <c r="A218" s="1">
        <f t="shared" ref="A218" si="189">INDEX(C211:AI211,1,MATCH(B218,C212:AI212,0))</f>
        <v>0</v>
      </c>
      <c r="B218" s="2" t="str">
        <f>IF(AND('Data-solution'!A$3="Maximize",COUNTIF(C209:X209,"&gt;"&amp;0)&gt;0,AK203=MIN(AK198:AK208),COUNTIF(B213:B217,INDEX(C197:X197,1,MATCH(MAX(C209:X209),C209:X209,0)))=0),INDEX(C197:X197,1,MATCH(MAX(C209:X209),C209:X209,0)),IF(AND('Data-solution'!A$3="Minimize",COUNTIF(C209:X209,"&lt;"&amp;0)&gt;0,AK203=MIN(AK198:AK208),COUNTIF(B213:B217,INDEX(C197:X197,1,MATCH(MIN(C209:X209),C209:X209,0)))=0),INDEX(C197:X197,1,MATCH(MIN(C209:X209),C209:X209,0)),B203))</f>
        <v>S6</v>
      </c>
      <c r="C218" s="1">
        <f>IF(OR($B213&lt;&gt;$B198,$B214&lt;&gt;$B199,$B215&lt;&gt;$B200,$B216&lt;&gt;$B201,$B217&lt;&gt;$B202,$B218&lt;&gt;$B203,$B219&lt;&gt;$B204,$B220&lt;&gt;$B205,$B221&lt;&gt;$B206,$B222&lt;&gt;$B207,$B223&lt;&gt;$B208),IF($B218&lt;&gt;$B203,C203/INDEX($C198:$AJ208,6,MATCH(IF('Data-solution'!$A$3="Maximize",MAX($C209:$AI209),MIN($C209:$AI209)),$C209:$AI209,0)),C203-INDEX($C198:$AJ208,6,MATCH(IF('Data-solution'!$A$3="Maximize",MAX($C209:$AI209),MIN($C209:$AI209)),$C209:$AI209,0))*INDEX(C198:$AJ208,MATCH(MIN($AK198:$AK208),$AK198:$AK208,0),1)/INDEX($C198:$AJ208,MATCH(MIN($AK198:$AK208),$AK198:$AK208,0),MATCH(IF('Data-solution'!$A$3="Maximize",MAX($C209:$AI209),MIN($C209:$AI209)),$C209:$AI209,0))),C203)</f>
        <v>0</v>
      </c>
      <c r="D218" s="1">
        <f>IF(OR($B213&lt;&gt;$B198,$B214&lt;&gt;$B199,$B215&lt;&gt;$B200,$B216&lt;&gt;$B201,$B217&lt;&gt;$B202,$B218&lt;&gt;$B203,$B219&lt;&gt;$B204,$B220&lt;&gt;$B205,$B221&lt;&gt;$B206,$B222&lt;&gt;$B207,$B223&lt;&gt;$B208),IF($B218&lt;&gt;$B203,D203/INDEX($C198:$AJ208,6,MATCH(IF('Data-solution'!$A$3="Maximize",MAX($C209:$AI209),MIN($C209:$AI209)),$C209:$AI209,0)),D203-INDEX($C198:$AJ208,6,MATCH(IF('Data-solution'!$A$3="Maximize",MAX($C209:$AI209),MIN($C209:$AI209)),$C209:$AI209,0))*INDEX(D198:$AJ208,MATCH(MIN($AK198:$AK208),$AK198:$AK208,0),1)/INDEX($C198:$AJ208,MATCH(MIN($AK198:$AK208),$AK198:$AK208,0),MATCH(IF('Data-solution'!$A$3="Maximize",MAX($C209:$AI209),MIN($C209:$AI209)),$C209:$AI209,0))),D203)</f>
        <v>0</v>
      </c>
      <c r="E218" s="1">
        <f>IF(OR($B213&lt;&gt;$B198,$B214&lt;&gt;$B199,$B215&lt;&gt;$B200,$B216&lt;&gt;$B201,$B217&lt;&gt;$B202,$B218&lt;&gt;$B203,$B219&lt;&gt;$B204,$B220&lt;&gt;$B205,$B221&lt;&gt;$B206,$B222&lt;&gt;$B207,$B223&lt;&gt;$B208),IF($B218&lt;&gt;$B203,E203/INDEX($C198:$AJ208,6,MATCH(IF('Data-solution'!$A$3="Maximize",MAX($C209:$AI209),MIN($C209:$AI209)),$C209:$AI209,0)),E203-INDEX($C198:$AJ208,6,MATCH(IF('Data-solution'!$A$3="Maximize",MAX($C209:$AI209),MIN($C209:$AI209)),$C209:$AI209,0))*INDEX(E198:$AJ208,MATCH(MIN($AK198:$AK208),$AK198:$AK208,0),1)/INDEX($C198:$AJ208,MATCH(MIN($AK198:$AK208),$AK198:$AK208,0),MATCH(IF('Data-solution'!$A$3="Maximize",MAX($C209:$AI209),MIN($C209:$AI209)),$C209:$AI209,0))),E203)</f>
        <v>0</v>
      </c>
      <c r="F218" s="1">
        <f>IF(OR($B213&lt;&gt;$B198,$B214&lt;&gt;$B199,$B215&lt;&gt;$B200,$B216&lt;&gt;$B201,$B217&lt;&gt;$B202,$B218&lt;&gt;$B203,$B219&lt;&gt;$B204,$B220&lt;&gt;$B205,$B221&lt;&gt;$B206,$B222&lt;&gt;$B207,$B223&lt;&gt;$B208),IF($B218&lt;&gt;$B203,F203/INDEX($C198:$AJ208,6,MATCH(IF('Data-solution'!$A$3="Maximize",MAX($C209:$AI209),MIN($C209:$AI209)),$C209:$AI209,0)),F203-INDEX($C198:$AJ208,6,MATCH(IF('Data-solution'!$A$3="Maximize",MAX($C209:$AI209),MIN($C209:$AI209)),$C209:$AI209,0))*INDEX(F198:$AJ208,MATCH(MIN($AK198:$AK208),$AK198:$AK208,0),1)/INDEX($C198:$AJ208,MATCH(MIN($AK198:$AK208),$AK198:$AK208,0),MATCH(IF('Data-solution'!$A$3="Maximize",MAX($C209:$AI209),MIN($C209:$AI209)),$C209:$AI209,0))),F203)</f>
        <v>0</v>
      </c>
      <c r="G218" s="1">
        <f>IF(OR($B213&lt;&gt;$B198,$B214&lt;&gt;$B199,$B215&lt;&gt;$B200,$B216&lt;&gt;$B201,$B217&lt;&gt;$B202,$B218&lt;&gt;$B203,$B219&lt;&gt;$B204,$B220&lt;&gt;$B205,$B221&lt;&gt;$B206,$B222&lt;&gt;$B207,$B223&lt;&gt;$B208),IF($B218&lt;&gt;$B203,G203/INDEX($C198:$AJ208,6,MATCH(IF('Data-solution'!$A$3="Maximize",MAX($C209:$AI209),MIN($C209:$AI209)),$C209:$AI209,0)),G203-INDEX($C198:$AJ208,6,MATCH(IF('Data-solution'!$A$3="Maximize",MAX($C209:$AI209),MIN($C209:$AI209)),$C209:$AI209,0))*INDEX(G198:$AJ208,MATCH(MIN($AK198:$AK208),$AK198:$AK208,0),1)/INDEX($C198:$AJ208,MATCH(MIN($AK198:$AK208),$AK198:$AK208,0),MATCH(IF('Data-solution'!$A$3="Maximize",MAX($C209:$AI209),MIN($C209:$AI209)),$C209:$AI209,0))),G203)</f>
        <v>0</v>
      </c>
      <c r="H218" s="1">
        <f>IF(OR($B213&lt;&gt;$B198,$B214&lt;&gt;$B199,$B215&lt;&gt;$B200,$B216&lt;&gt;$B201,$B217&lt;&gt;$B202,$B218&lt;&gt;$B203,$B219&lt;&gt;$B204,$B220&lt;&gt;$B205,$B221&lt;&gt;$B206,$B222&lt;&gt;$B207,$B223&lt;&gt;$B208),IF($B218&lt;&gt;$B203,H203/INDEX($C198:$AJ208,6,MATCH(IF('Data-solution'!$A$3="Maximize",MAX($C209:$AI209),MIN($C209:$AI209)),$C209:$AI209,0)),H203-INDEX($C198:$AJ208,6,MATCH(IF('Data-solution'!$A$3="Maximize",MAX($C209:$AI209),MIN($C209:$AI209)),$C209:$AI209,0))*INDEX(H198:$AJ208,MATCH(MIN($AK198:$AK208),$AK198:$AK208,0),1)/INDEX($C198:$AJ208,MATCH(MIN($AK198:$AK208),$AK198:$AK208,0),MATCH(IF('Data-solution'!$A$3="Maximize",MAX($C209:$AI209),MIN($C209:$AI209)),$C209:$AI209,0))),H203)</f>
        <v>0</v>
      </c>
      <c r="I218" s="1">
        <f>IF(OR($B213&lt;&gt;$B198,$B214&lt;&gt;$B199,$B215&lt;&gt;$B200,$B216&lt;&gt;$B201,$B217&lt;&gt;$B202,$B218&lt;&gt;$B203,$B219&lt;&gt;$B204,$B220&lt;&gt;$B205,$B221&lt;&gt;$B206,$B222&lt;&gt;$B207,$B223&lt;&gt;$B208),IF($B218&lt;&gt;$B203,I203/INDEX($C198:$AJ208,6,MATCH(IF('Data-solution'!$A$3="Maximize",MAX($C209:$AI209),MIN($C209:$AI209)),$C209:$AI209,0)),I203-INDEX($C198:$AJ208,6,MATCH(IF('Data-solution'!$A$3="Maximize",MAX($C209:$AI209),MIN($C209:$AI209)),$C209:$AI209,0))*INDEX(I198:$AJ208,MATCH(MIN($AK198:$AK208),$AK198:$AK208,0),1)/INDEX($C198:$AJ208,MATCH(MIN($AK198:$AK208),$AK198:$AK208,0),MATCH(IF('Data-solution'!$A$3="Maximize",MAX($C209:$AI209),MIN($C209:$AI209)),$C209:$AI209,0))),I203)</f>
        <v>0</v>
      </c>
      <c r="J218" s="1">
        <f>IF(OR($B213&lt;&gt;$B198,$B214&lt;&gt;$B199,$B215&lt;&gt;$B200,$B216&lt;&gt;$B201,$B217&lt;&gt;$B202,$B218&lt;&gt;$B203,$B219&lt;&gt;$B204,$B220&lt;&gt;$B205,$B221&lt;&gt;$B206,$B222&lt;&gt;$B207,$B223&lt;&gt;$B208),IF($B218&lt;&gt;$B203,J203/INDEX($C198:$AJ208,6,MATCH(IF('Data-solution'!$A$3="Maximize",MAX($C209:$AI209),MIN($C209:$AI209)),$C209:$AI209,0)),J203-INDEX($C198:$AJ208,6,MATCH(IF('Data-solution'!$A$3="Maximize",MAX($C209:$AI209),MIN($C209:$AI209)),$C209:$AI209,0))*INDEX(J198:$AJ208,MATCH(MIN($AK198:$AK208),$AK198:$AK208,0),1)/INDEX($C198:$AJ208,MATCH(MIN($AK198:$AK208),$AK198:$AK208,0),MATCH(IF('Data-solution'!$A$3="Maximize",MAX($C209:$AI209),MIN($C209:$AI209)),$C209:$AI209,0))),J203)</f>
        <v>0</v>
      </c>
      <c r="K218" s="1">
        <f>IF(OR($B213&lt;&gt;$B198,$B214&lt;&gt;$B199,$B215&lt;&gt;$B200,$B216&lt;&gt;$B201,$B217&lt;&gt;$B202,$B218&lt;&gt;$B203,$B219&lt;&gt;$B204,$B220&lt;&gt;$B205,$B221&lt;&gt;$B206,$B222&lt;&gt;$B207,$B223&lt;&gt;$B208),IF($B218&lt;&gt;$B203,K203/INDEX($C198:$AJ208,6,MATCH(IF('Data-solution'!$A$3="Maximize",MAX($C209:$AI209),MIN($C209:$AI209)),$C209:$AI209,0)),K203-INDEX($C198:$AJ208,6,MATCH(IF('Data-solution'!$A$3="Maximize",MAX($C209:$AI209),MIN($C209:$AI209)),$C209:$AI209,0))*INDEX(K198:$AJ208,MATCH(MIN($AK198:$AK208),$AK198:$AK208,0),1)/INDEX($C198:$AJ208,MATCH(MIN($AK198:$AK208),$AK198:$AK208,0),MATCH(IF('Data-solution'!$A$3="Maximize",MAX($C209:$AI209),MIN($C209:$AI209)),$C209:$AI209,0))),K203)</f>
        <v>0</v>
      </c>
      <c r="L218" s="1">
        <f>IF(OR($B213&lt;&gt;$B198,$B214&lt;&gt;$B199,$B215&lt;&gt;$B200,$B216&lt;&gt;$B201,$B217&lt;&gt;$B202,$B218&lt;&gt;$B203,$B219&lt;&gt;$B204,$B220&lt;&gt;$B205,$B221&lt;&gt;$B206,$B222&lt;&gt;$B207,$B223&lt;&gt;$B208),IF($B218&lt;&gt;$B203,L203/INDEX($C198:$AJ208,6,MATCH(IF('Data-solution'!$A$3="Maximize",MAX($C209:$AI209),MIN($C209:$AI209)),$C209:$AI209,0)),L203-INDEX($C198:$AJ208,6,MATCH(IF('Data-solution'!$A$3="Maximize",MAX($C209:$AI209),MIN($C209:$AI209)),$C209:$AI209,0))*INDEX(L198:$AJ208,MATCH(MIN($AK198:$AK208),$AK198:$AK208,0),1)/INDEX($C198:$AJ208,MATCH(MIN($AK198:$AK208),$AK198:$AK208,0),MATCH(IF('Data-solution'!$A$3="Maximize",MAX($C209:$AI209),MIN($C209:$AI209)),$C209:$AI209,0))),L203)</f>
        <v>0</v>
      </c>
      <c r="M218" s="1">
        <f>IF(OR($B213&lt;&gt;$B198,$B214&lt;&gt;$B199,$B215&lt;&gt;$B200,$B216&lt;&gt;$B201,$B217&lt;&gt;$B202,$B218&lt;&gt;$B203,$B219&lt;&gt;$B204,$B220&lt;&gt;$B205,$B221&lt;&gt;$B206,$B222&lt;&gt;$B207,$B223&lt;&gt;$B208),IF($B218&lt;&gt;$B203,M203/INDEX($C198:$AJ208,6,MATCH(IF('Data-solution'!$A$3="Maximize",MAX($C209:$AI209),MIN($C209:$AI209)),$C209:$AI209,0)),M203-INDEX($C198:$AJ208,6,MATCH(IF('Data-solution'!$A$3="Maximize",MAX($C209:$AI209),MIN($C209:$AI209)),$C209:$AI209,0))*INDEX(M198:$AJ208,MATCH(MIN($AK198:$AK208),$AK198:$AK208,0),1)/INDEX($C198:$AJ208,MATCH(MIN($AK198:$AK208),$AK198:$AK208,0),MATCH(IF('Data-solution'!$A$3="Maximize",MAX($C209:$AI209),MIN($C209:$AI209)),$C209:$AI209,0))),M203)</f>
        <v>0</v>
      </c>
      <c r="N218" s="1">
        <f>IF(OR($B213&lt;&gt;$B198,$B214&lt;&gt;$B199,$B215&lt;&gt;$B200,$B216&lt;&gt;$B201,$B217&lt;&gt;$B202,$B218&lt;&gt;$B203,$B219&lt;&gt;$B204,$B220&lt;&gt;$B205,$B221&lt;&gt;$B206,$B222&lt;&gt;$B207,$B223&lt;&gt;$B208),IF($B218&lt;&gt;$B203,N203/INDEX($C198:$AJ208,6,MATCH(IF('Data-solution'!$A$3="Maximize",MAX($C209:$AI209),MIN($C209:$AI209)),$C209:$AI209,0)),N203-INDEX($C198:$AJ208,6,MATCH(IF('Data-solution'!$A$3="Maximize",MAX($C209:$AI209),MIN($C209:$AI209)),$C209:$AI209,0))*INDEX(N198:$AJ208,MATCH(MIN($AK198:$AK208),$AK198:$AK208,0),1)/INDEX($C198:$AJ208,MATCH(MIN($AK198:$AK208),$AK198:$AK208,0),MATCH(IF('Data-solution'!$A$3="Maximize",MAX($C209:$AI209),MIN($C209:$AI209)),$C209:$AI209,0))),N203)</f>
        <v>0</v>
      </c>
      <c r="O218" s="1">
        <f>IF(OR($B213&lt;&gt;$B198,$B214&lt;&gt;$B199,$B215&lt;&gt;$B200,$B216&lt;&gt;$B201,$B217&lt;&gt;$B202,$B218&lt;&gt;$B203,$B219&lt;&gt;$B204,$B220&lt;&gt;$B205,$B221&lt;&gt;$B206,$B222&lt;&gt;$B207,$B223&lt;&gt;$B208),IF($B218&lt;&gt;$B203,O203/INDEX($C198:$AJ208,6,MATCH(IF('Data-solution'!$A$3="Maximize",MAX($C209:$AI209),MIN($C209:$AI209)),$C209:$AI209,0)),O203-INDEX($C198:$AJ208,6,MATCH(IF('Data-solution'!$A$3="Maximize",MAX($C209:$AI209),MIN($C209:$AI209)),$C209:$AI209,0))*INDEX(O198:$AJ208,MATCH(MIN($AK198:$AK208),$AK198:$AK208,0),1)/INDEX($C198:$AJ208,MATCH(MIN($AK198:$AK208),$AK198:$AK208,0),MATCH(IF('Data-solution'!$A$3="Maximize",MAX($C209:$AI209),MIN($C209:$AI209)),$C209:$AI209,0))),O203)</f>
        <v>0</v>
      </c>
      <c r="P218" s="1">
        <f>IF(OR($B213&lt;&gt;$B198,$B214&lt;&gt;$B199,$B215&lt;&gt;$B200,$B216&lt;&gt;$B201,$B217&lt;&gt;$B202,$B218&lt;&gt;$B203,$B219&lt;&gt;$B204,$B220&lt;&gt;$B205,$B221&lt;&gt;$B206,$B222&lt;&gt;$B207,$B223&lt;&gt;$B208),IF($B218&lt;&gt;$B203,P203/INDEX($C198:$AJ208,6,MATCH(IF('Data-solution'!$A$3="Maximize",MAX($C209:$AI209),MIN($C209:$AI209)),$C209:$AI209,0)),P203-INDEX($C198:$AJ208,6,MATCH(IF('Data-solution'!$A$3="Maximize",MAX($C209:$AI209),MIN($C209:$AI209)),$C209:$AI209,0))*INDEX(P198:$AJ208,MATCH(MIN($AK198:$AK208),$AK198:$AK208,0),1)/INDEX($C198:$AJ208,MATCH(MIN($AK198:$AK208),$AK198:$AK208,0),MATCH(IF('Data-solution'!$A$3="Maximize",MAX($C209:$AI209),MIN($C209:$AI209)),$C209:$AI209,0))),P203)</f>
        <v>0</v>
      </c>
      <c r="Q218" s="1">
        <f>IF(OR($B213&lt;&gt;$B198,$B214&lt;&gt;$B199,$B215&lt;&gt;$B200,$B216&lt;&gt;$B201,$B217&lt;&gt;$B202,$B218&lt;&gt;$B203,$B219&lt;&gt;$B204,$B220&lt;&gt;$B205,$B221&lt;&gt;$B206,$B222&lt;&gt;$B207,$B223&lt;&gt;$B208),IF($B218&lt;&gt;$B203,Q203/INDEX($C198:$AJ208,6,MATCH(IF('Data-solution'!$A$3="Maximize",MAX($C209:$AI209),MIN($C209:$AI209)),$C209:$AI209,0)),Q203-INDEX($C198:$AJ208,6,MATCH(IF('Data-solution'!$A$3="Maximize",MAX($C209:$AI209),MIN($C209:$AI209)),$C209:$AI209,0))*INDEX(Q198:$AJ208,MATCH(MIN($AK198:$AK208),$AK198:$AK208,0),1)/INDEX($C198:$AJ208,MATCH(MIN($AK198:$AK208),$AK198:$AK208,0),MATCH(IF('Data-solution'!$A$3="Maximize",MAX($C209:$AI209),MIN($C209:$AI209)),$C209:$AI209,0))),Q203)</f>
        <v>0</v>
      </c>
      <c r="R218" s="1">
        <f>IF(OR($B213&lt;&gt;$B198,$B214&lt;&gt;$B199,$B215&lt;&gt;$B200,$B216&lt;&gt;$B201,$B217&lt;&gt;$B202,$B218&lt;&gt;$B203,$B219&lt;&gt;$B204,$B220&lt;&gt;$B205,$B221&lt;&gt;$B206,$B222&lt;&gt;$B207,$B223&lt;&gt;$B208),IF($B218&lt;&gt;$B203,R203/INDEX($C198:$AJ208,6,MATCH(IF('Data-solution'!$A$3="Maximize",MAX($C209:$AI209),MIN($C209:$AI209)),$C209:$AI209,0)),R203-INDEX($C198:$AJ208,6,MATCH(IF('Data-solution'!$A$3="Maximize",MAX($C209:$AI209),MIN($C209:$AI209)),$C209:$AI209,0))*INDEX(R198:$AJ208,MATCH(MIN($AK198:$AK208),$AK198:$AK208,0),1)/INDEX($C198:$AJ208,MATCH(MIN($AK198:$AK208),$AK198:$AK208,0),MATCH(IF('Data-solution'!$A$3="Maximize",MAX($C209:$AI209),MIN($C209:$AI209)),$C209:$AI209,0))),R203)</f>
        <v>0</v>
      </c>
      <c r="S218" s="1">
        <f>IF(OR($B213&lt;&gt;$B198,$B214&lt;&gt;$B199,$B215&lt;&gt;$B200,$B216&lt;&gt;$B201,$B217&lt;&gt;$B202,$B218&lt;&gt;$B203,$B219&lt;&gt;$B204,$B220&lt;&gt;$B205,$B221&lt;&gt;$B206,$B222&lt;&gt;$B207,$B223&lt;&gt;$B208),IF($B218&lt;&gt;$B203,S203/INDEX($C198:$AJ208,6,MATCH(IF('Data-solution'!$A$3="Maximize",MAX($C209:$AI209),MIN($C209:$AI209)),$C209:$AI209,0)),S203-INDEX($C198:$AJ208,6,MATCH(IF('Data-solution'!$A$3="Maximize",MAX($C209:$AI209),MIN($C209:$AI209)),$C209:$AI209,0))*INDEX(S198:$AJ208,MATCH(MIN($AK198:$AK208),$AK198:$AK208,0),1)/INDEX($C198:$AJ208,MATCH(MIN($AK198:$AK208),$AK198:$AK208,0),MATCH(IF('Data-solution'!$A$3="Maximize",MAX($C209:$AI209),MIN($C209:$AI209)),$C209:$AI209,0))),S203)</f>
        <v>1</v>
      </c>
      <c r="T218" s="1">
        <f>IF(OR($B213&lt;&gt;$B198,$B214&lt;&gt;$B199,$B215&lt;&gt;$B200,$B216&lt;&gt;$B201,$B217&lt;&gt;$B202,$B218&lt;&gt;$B203,$B219&lt;&gt;$B204,$B220&lt;&gt;$B205,$B221&lt;&gt;$B206,$B222&lt;&gt;$B207,$B223&lt;&gt;$B208),IF($B218&lt;&gt;$B203,T203/INDEX($C198:$AJ208,6,MATCH(IF('Data-solution'!$A$3="Maximize",MAX($C209:$AI209),MIN($C209:$AI209)),$C209:$AI209,0)),T203-INDEX($C198:$AJ208,6,MATCH(IF('Data-solution'!$A$3="Maximize",MAX($C209:$AI209),MIN($C209:$AI209)),$C209:$AI209,0))*INDEX(T198:$AJ208,MATCH(MIN($AK198:$AK208),$AK198:$AK208,0),1)/INDEX($C198:$AJ208,MATCH(MIN($AK198:$AK208),$AK198:$AK208,0),MATCH(IF('Data-solution'!$A$3="Maximize",MAX($C209:$AI209),MIN($C209:$AI209)),$C209:$AI209,0))),T203)</f>
        <v>0</v>
      </c>
      <c r="U218" s="1">
        <f>IF(OR($B213&lt;&gt;$B198,$B214&lt;&gt;$B199,$B215&lt;&gt;$B200,$B216&lt;&gt;$B201,$B217&lt;&gt;$B202,$B218&lt;&gt;$B203,$B219&lt;&gt;$B204,$B220&lt;&gt;$B205,$B221&lt;&gt;$B206,$B222&lt;&gt;$B207,$B223&lt;&gt;$B208),IF($B218&lt;&gt;$B203,U203/INDEX($C198:$AJ208,6,MATCH(IF('Data-solution'!$A$3="Maximize",MAX($C209:$AI209),MIN($C209:$AI209)),$C209:$AI209,0)),U203-INDEX($C198:$AJ208,6,MATCH(IF('Data-solution'!$A$3="Maximize",MAX($C209:$AI209),MIN($C209:$AI209)),$C209:$AI209,0))*INDEX(U198:$AJ208,MATCH(MIN($AK198:$AK208),$AK198:$AK208,0),1)/INDEX($C198:$AJ208,MATCH(MIN($AK198:$AK208),$AK198:$AK208,0),MATCH(IF('Data-solution'!$A$3="Maximize",MAX($C209:$AI209),MIN($C209:$AI209)),$C209:$AI209,0))),U203)</f>
        <v>0</v>
      </c>
      <c r="V218" s="1">
        <f>IF(OR($B213&lt;&gt;$B198,$B214&lt;&gt;$B199,$B215&lt;&gt;$B200,$B216&lt;&gt;$B201,$B217&lt;&gt;$B202,$B218&lt;&gt;$B203,$B219&lt;&gt;$B204,$B220&lt;&gt;$B205,$B221&lt;&gt;$B206,$B222&lt;&gt;$B207,$B223&lt;&gt;$B208),IF($B218&lt;&gt;$B203,V203/INDEX($C198:$AJ208,6,MATCH(IF('Data-solution'!$A$3="Maximize",MAX($C209:$AI209),MIN($C209:$AI209)),$C209:$AI209,0)),V203-INDEX($C198:$AJ208,6,MATCH(IF('Data-solution'!$A$3="Maximize",MAX($C209:$AI209),MIN($C209:$AI209)),$C209:$AI209,0))*INDEX(V198:$AJ208,MATCH(MIN($AK198:$AK208),$AK198:$AK208,0),1)/INDEX($C198:$AJ208,MATCH(MIN($AK198:$AK208),$AK198:$AK208,0),MATCH(IF('Data-solution'!$A$3="Maximize",MAX($C209:$AI209),MIN($C209:$AI209)),$C209:$AI209,0))),V203)</f>
        <v>0</v>
      </c>
      <c r="W218" s="1">
        <f>IF(OR($B213&lt;&gt;$B198,$B214&lt;&gt;$B199,$B215&lt;&gt;$B200,$B216&lt;&gt;$B201,$B217&lt;&gt;$B202,$B218&lt;&gt;$B203,$B219&lt;&gt;$B204,$B220&lt;&gt;$B205,$B221&lt;&gt;$B206,$B222&lt;&gt;$B207,$B223&lt;&gt;$B208),IF($B218&lt;&gt;$B203,W203/INDEX($C198:$AJ208,6,MATCH(IF('Data-solution'!$A$3="Maximize",MAX($C209:$AI209),MIN($C209:$AI209)),$C209:$AI209,0)),W203-INDEX($C198:$AJ208,6,MATCH(IF('Data-solution'!$A$3="Maximize",MAX($C209:$AI209),MIN($C209:$AI209)),$C209:$AI209,0))*INDEX(W198:$AJ208,MATCH(MIN($AK198:$AK208),$AK198:$AK208,0),1)/INDEX($C198:$AJ208,MATCH(MIN($AK198:$AK208),$AK198:$AK208,0),MATCH(IF('Data-solution'!$A$3="Maximize",MAX($C209:$AI209),MIN($C209:$AI209)),$C209:$AI209,0))),W203)</f>
        <v>0</v>
      </c>
      <c r="X218" s="1">
        <f>IF(OR($B213&lt;&gt;$B198,$B214&lt;&gt;$B199,$B215&lt;&gt;$B200,$B216&lt;&gt;$B201,$B217&lt;&gt;$B202,$B218&lt;&gt;$B203,$B219&lt;&gt;$B204,$B220&lt;&gt;$B205,$B221&lt;&gt;$B206,$B222&lt;&gt;$B207,$B223&lt;&gt;$B208),IF($B218&lt;&gt;$B203,X203/INDEX($C198:$AJ208,6,MATCH(IF('Data-solution'!$A$3="Maximize",MAX($C209:$AI209),MIN($C209:$AI209)),$C209:$AI209,0)),X203-INDEX($C198:$AJ208,6,MATCH(IF('Data-solution'!$A$3="Maximize",MAX($C209:$AI209),MIN($C209:$AI209)),$C209:$AI209,0))*INDEX(X198:$AJ208,MATCH(MIN($AK198:$AK208),$AK198:$AK208,0),1)/INDEX($C198:$AJ208,MATCH(MIN($AK198:$AK208),$AK198:$AK208,0),MATCH(IF('Data-solution'!$A$3="Maximize",MAX($C209:$AI209),MIN($C209:$AI209)),$C209:$AI209,0))),X203)</f>
        <v>0</v>
      </c>
      <c r="Y218" s="1">
        <f>IF(OR($B213&lt;&gt;$B198,$B214&lt;&gt;$B199,$B215&lt;&gt;$B200,$B216&lt;&gt;$B201,$B217&lt;&gt;$B202,$B218&lt;&gt;$B203,$B219&lt;&gt;$B204,$B220&lt;&gt;$B205,$B221&lt;&gt;$B206,$B222&lt;&gt;$B207,$B223&lt;&gt;$B208),IF($B218&lt;&gt;$B203,Y203/INDEX($C198:$AJ208,6,MATCH(IF('Data-solution'!$A$3="Maximize",MAX($C209:$AI209),MIN($C209:$AI209)),$C209:$AI209,0)),Y203-INDEX($C198:$AJ208,6,MATCH(IF('Data-solution'!$A$3="Maximize",MAX($C209:$AI209),MIN($C209:$AI209)),$C209:$AI209,0))*INDEX(Y198:$AJ208,MATCH(MIN($AK198:$AK208),$AK198:$AK208,0),1)/INDEX($C198:$AJ208,MATCH(MIN($AK198:$AK208),$AK198:$AK208,0),MATCH(IF('Data-solution'!$A$3="Maximize",MAX($C209:$AI209),MIN($C209:$AI209)),$C209:$AI209,0))),Y203)</f>
        <v>0</v>
      </c>
      <c r="Z218" s="1">
        <f>IF(OR($B213&lt;&gt;$B198,$B214&lt;&gt;$B199,$B215&lt;&gt;$B200,$B216&lt;&gt;$B201,$B217&lt;&gt;$B202,$B218&lt;&gt;$B203,$B219&lt;&gt;$B204,$B220&lt;&gt;$B205,$B221&lt;&gt;$B206,$B222&lt;&gt;$B207,$B223&lt;&gt;$B208),IF($B218&lt;&gt;$B203,Z203/INDEX($C198:$AJ208,6,MATCH(IF('Data-solution'!$A$3="Maximize",MAX($C209:$AI209),MIN($C209:$AI209)),$C209:$AI209,0)),Z203-INDEX($C198:$AJ208,6,MATCH(IF('Data-solution'!$A$3="Maximize",MAX($C209:$AI209),MIN($C209:$AI209)),$C209:$AI209,0))*INDEX(Z198:$AJ208,MATCH(MIN($AK198:$AK208),$AK198:$AK208,0),1)/INDEX($C198:$AJ208,MATCH(MIN($AK198:$AK208),$AK198:$AK208,0),MATCH(IF('Data-solution'!$A$3="Maximize",MAX($C209:$AI209),MIN($C209:$AI209)),$C209:$AI209,0))),Z203)</f>
        <v>0</v>
      </c>
      <c r="AA218" s="1">
        <f>IF(OR($B213&lt;&gt;$B198,$B214&lt;&gt;$B199,$B215&lt;&gt;$B200,$B216&lt;&gt;$B201,$B217&lt;&gt;$B202,$B218&lt;&gt;$B203,$B219&lt;&gt;$B204,$B220&lt;&gt;$B205,$B221&lt;&gt;$B206,$B222&lt;&gt;$B207,$B223&lt;&gt;$B208),IF($B218&lt;&gt;$B203,AA203/INDEX($C198:$AJ208,6,MATCH(IF('Data-solution'!$A$3="Maximize",MAX($C209:$AI209),MIN($C209:$AI209)),$C209:$AI209,0)),AA203-INDEX($C198:$AJ208,6,MATCH(IF('Data-solution'!$A$3="Maximize",MAX($C209:$AI209),MIN($C209:$AI209)),$C209:$AI209,0))*INDEX(AA198:$AJ208,MATCH(MIN($AK198:$AK208),$AK198:$AK208,0),1)/INDEX($C198:$AJ208,MATCH(MIN($AK198:$AK208),$AK198:$AK208,0),MATCH(IF('Data-solution'!$A$3="Maximize",MAX($C209:$AI209),MIN($C209:$AI209)),$C209:$AI209,0))),AA203)</f>
        <v>0</v>
      </c>
      <c r="AB218" s="1">
        <f>IF(OR($B213&lt;&gt;$B198,$B214&lt;&gt;$B199,$B215&lt;&gt;$B200,$B216&lt;&gt;$B201,$B217&lt;&gt;$B202,$B218&lt;&gt;$B203,$B219&lt;&gt;$B204,$B220&lt;&gt;$B205,$B221&lt;&gt;$B206,$B222&lt;&gt;$B207,$B223&lt;&gt;$B208),IF($B218&lt;&gt;$B203,AB203/INDEX($C198:$AJ208,6,MATCH(IF('Data-solution'!$A$3="Maximize",MAX($C209:$AI209),MIN($C209:$AI209)),$C209:$AI209,0)),AB203-INDEX($C198:$AJ208,6,MATCH(IF('Data-solution'!$A$3="Maximize",MAX($C209:$AI209),MIN($C209:$AI209)),$C209:$AI209,0))*INDEX(AB198:$AJ208,MATCH(MIN($AK198:$AK208),$AK198:$AK208,0),1)/INDEX($C198:$AJ208,MATCH(MIN($AK198:$AK208),$AK198:$AK208,0),MATCH(IF('Data-solution'!$A$3="Maximize",MAX($C209:$AI209),MIN($C209:$AI209)),$C209:$AI209,0))),AB203)</f>
        <v>0</v>
      </c>
      <c r="AC218" s="1">
        <f>IF(OR($B213&lt;&gt;$B198,$B214&lt;&gt;$B199,$B215&lt;&gt;$B200,$B216&lt;&gt;$B201,$B217&lt;&gt;$B202,$B218&lt;&gt;$B203,$B219&lt;&gt;$B204,$B220&lt;&gt;$B205,$B221&lt;&gt;$B206,$B222&lt;&gt;$B207,$B223&lt;&gt;$B208),IF($B218&lt;&gt;$B203,AC203/INDEX($C198:$AJ208,6,MATCH(IF('Data-solution'!$A$3="Maximize",MAX($C209:$AI209),MIN($C209:$AI209)),$C209:$AI209,0)),AC203-INDEX($C198:$AJ208,6,MATCH(IF('Data-solution'!$A$3="Maximize",MAX($C209:$AI209),MIN($C209:$AI209)),$C209:$AI209,0))*INDEX(AC198:$AJ208,MATCH(MIN($AK198:$AK208),$AK198:$AK208,0),1)/INDEX($C198:$AJ208,MATCH(MIN($AK198:$AK208),$AK198:$AK208,0),MATCH(IF('Data-solution'!$A$3="Maximize",MAX($C209:$AI209),MIN($C209:$AI209)),$C209:$AI209,0))),AC203)</f>
        <v>0</v>
      </c>
      <c r="AD218" s="1">
        <f>IF(OR($B213&lt;&gt;$B198,$B214&lt;&gt;$B199,$B215&lt;&gt;$B200,$B216&lt;&gt;$B201,$B217&lt;&gt;$B202,$B218&lt;&gt;$B203,$B219&lt;&gt;$B204,$B220&lt;&gt;$B205,$B221&lt;&gt;$B206,$B222&lt;&gt;$B207,$B223&lt;&gt;$B208),IF($B218&lt;&gt;$B203,AD203/INDEX($C198:$AJ208,6,MATCH(IF('Data-solution'!$A$3="Maximize",MAX($C209:$AI209),MIN($C209:$AI209)),$C209:$AI209,0)),AD203-INDEX($C198:$AJ208,6,MATCH(IF('Data-solution'!$A$3="Maximize",MAX($C209:$AI209),MIN($C209:$AI209)),$C209:$AI209,0))*INDEX(AD198:$AJ208,MATCH(MIN($AK198:$AK208),$AK198:$AK208,0),1)/INDEX($C198:$AJ208,MATCH(MIN($AK198:$AK208),$AK198:$AK208,0),MATCH(IF('Data-solution'!$A$3="Maximize",MAX($C209:$AI209),MIN($C209:$AI209)),$C209:$AI209,0))),AD203)</f>
        <v>1</v>
      </c>
      <c r="AE218" s="1">
        <f>IF(OR($B213&lt;&gt;$B198,$B214&lt;&gt;$B199,$B215&lt;&gt;$B200,$B216&lt;&gt;$B201,$B217&lt;&gt;$B202,$B218&lt;&gt;$B203,$B219&lt;&gt;$B204,$B220&lt;&gt;$B205,$B221&lt;&gt;$B206,$B222&lt;&gt;$B207,$B223&lt;&gt;$B208),IF($B218&lt;&gt;$B203,AE203/INDEX($C198:$AJ208,6,MATCH(IF('Data-solution'!$A$3="Maximize",MAX($C209:$AI209),MIN($C209:$AI209)),$C209:$AI209,0)),AE203-INDEX($C198:$AJ208,6,MATCH(IF('Data-solution'!$A$3="Maximize",MAX($C209:$AI209),MIN($C209:$AI209)),$C209:$AI209,0))*INDEX(AE198:$AJ208,MATCH(MIN($AK198:$AK208),$AK198:$AK208,0),1)/INDEX($C198:$AJ208,MATCH(MIN($AK198:$AK208),$AK198:$AK208,0),MATCH(IF('Data-solution'!$A$3="Maximize",MAX($C209:$AI209),MIN($C209:$AI209)),$C209:$AI209,0))),AE203)</f>
        <v>0</v>
      </c>
      <c r="AF218" s="1">
        <f>IF(OR($B213&lt;&gt;$B198,$B214&lt;&gt;$B199,$B215&lt;&gt;$B200,$B216&lt;&gt;$B201,$B217&lt;&gt;$B202,$B218&lt;&gt;$B203,$B219&lt;&gt;$B204,$B220&lt;&gt;$B205,$B221&lt;&gt;$B206,$B222&lt;&gt;$B207,$B223&lt;&gt;$B208),IF($B218&lt;&gt;$B203,AF203/INDEX($C198:$AJ208,6,MATCH(IF('Data-solution'!$A$3="Maximize",MAX($C209:$AI209),MIN($C209:$AI209)),$C209:$AI209,0)),AF203-INDEX($C198:$AJ208,6,MATCH(IF('Data-solution'!$A$3="Maximize",MAX($C209:$AI209),MIN($C209:$AI209)),$C209:$AI209,0))*INDEX(AF198:$AJ208,MATCH(MIN($AK198:$AK208),$AK198:$AK208,0),1)/INDEX($C198:$AJ208,MATCH(MIN($AK198:$AK208),$AK198:$AK208,0),MATCH(IF('Data-solution'!$A$3="Maximize",MAX($C209:$AI209),MIN($C209:$AI209)),$C209:$AI209,0))),AF203)</f>
        <v>0</v>
      </c>
      <c r="AG218" s="1">
        <f>IF(OR($B213&lt;&gt;$B198,$B214&lt;&gt;$B199,$B215&lt;&gt;$B200,$B216&lt;&gt;$B201,$B217&lt;&gt;$B202,$B218&lt;&gt;$B203,$B219&lt;&gt;$B204,$B220&lt;&gt;$B205,$B221&lt;&gt;$B206,$B222&lt;&gt;$B207,$B223&lt;&gt;$B208),IF($B218&lt;&gt;$B203,AG203/INDEX($C198:$AJ208,6,MATCH(IF('Data-solution'!$A$3="Maximize",MAX($C209:$AI209),MIN($C209:$AI209)),$C209:$AI209,0)),AG203-INDEX($C198:$AJ208,6,MATCH(IF('Data-solution'!$A$3="Maximize",MAX($C209:$AI209),MIN($C209:$AI209)),$C209:$AI209,0))*INDEX(AG198:$AJ208,MATCH(MIN($AK198:$AK208),$AK198:$AK208,0),1)/INDEX($C198:$AJ208,MATCH(MIN($AK198:$AK208),$AK198:$AK208,0),MATCH(IF('Data-solution'!$A$3="Maximize",MAX($C209:$AI209),MIN($C209:$AI209)),$C209:$AI209,0))),AG203)</f>
        <v>0</v>
      </c>
      <c r="AH218" s="1">
        <f>IF(OR($B213&lt;&gt;$B198,$B214&lt;&gt;$B199,$B215&lt;&gt;$B200,$B216&lt;&gt;$B201,$B217&lt;&gt;$B202,$B218&lt;&gt;$B203,$B219&lt;&gt;$B204,$B220&lt;&gt;$B205,$B221&lt;&gt;$B206,$B222&lt;&gt;$B207,$B223&lt;&gt;$B208),IF($B218&lt;&gt;$B203,AH203/INDEX($C198:$AJ208,6,MATCH(IF('Data-solution'!$A$3="Maximize",MAX($C209:$AI209),MIN($C209:$AI209)),$C209:$AI209,0)),AH203-INDEX($C198:$AJ208,6,MATCH(IF('Data-solution'!$A$3="Maximize",MAX($C209:$AI209),MIN($C209:$AI209)),$C209:$AI209,0))*INDEX(AH198:$AJ208,MATCH(MIN($AK198:$AK208),$AK198:$AK208,0),1)/INDEX($C198:$AJ208,MATCH(MIN($AK198:$AK208),$AK198:$AK208,0),MATCH(IF('Data-solution'!$A$3="Maximize",MAX($C209:$AI209),MIN($C209:$AI209)),$C209:$AI209,0))),AH203)</f>
        <v>0</v>
      </c>
      <c r="AI218" s="1">
        <f>IF(OR($B213&lt;&gt;$B198,$B214&lt;&gt;$B199,$B215&lt;&gt;$B200,$B216&lt;&gt;$B201,$B217&lt;&gt;$B202,$B218&lt;&gt;$B203,$B219&lt;&gt;$B204,$B220&lt;&gt;$B205,$B221&lt;&gt;$B206,$B222&lt;&gt;$B207,$B223&lt;&gt;$B208),IF($B218&lt;&gt;$B203,AI203/INDEX($C198:$AJ208,6,MATCH(IF('Data-solution'!$A$3="Maximize",MAX($C209:$AI209),MIN($C209:$AI209)),$C209:$AI209,0)),AI203-INDEX($C198:$AJ208,6,MATCH(IF('Data-solution'!$A$3="Maximize",MAX($C209:$AI209),MIN($C209:$AI209)),$C209:$AI209,0))*INDEX(AI198:$AJ208,MATCH(MIN($AK198:$AK208),$AK198:$AK208,0),1)/INDEX($C198:$AJ208,MATCH(MIN($AK198:$AK208),$AK198:$AK208,0),MATCH(IF('Data-solution'!$A$3="Maximize",MAX($C209:$AI209),MIN($C209:$AI209)),$C209:$AI209,0))),AI203)</f>
        <v>0</v>
      </c>
      <c r="AJ218" s="1">
        <f>IF(OR($B213&lt;&gt;$B198,$B214&lt;&gt;$B199,$B215&lt;&gt;$B200,$B216&lt;&gt;$B201,$B217&lt;&gt;$B202,$B218&lt;&gt;$B203,$B219&lt;&gt;$B204,$B220&lt;&gt;$B205,$B221&lt;&gt;$B206,$B222&lt;&gt;$B207,$B223&lt;&gt;$B208),IF($B218&lt;&gt;$B203,AJ203/INDEX($C198:$AJ208,6,MATCH(IF('Data-solution'!$A$3="Maximize",MAX($C209:$AI209),MIN($C209:$AI209)),$C209:$AI209,0)),AJ203-INDEX($C198:$AJ208,6,MATCH(IF('Data-solution'!$A$3="Maximize",MAX($C209:$AI209),MIN($C209:$AI209)),$C209:$AI209,0))*INDEX(AJ198:$AJ208,MATCH(MIN($AK198:$AK208),$AK198:$AK208,0),1)/INDEX($C198:$AJ208,MATCH(MIN($AK198:$AK208),$AK198:$AK208,0),MATCH(IF('Data-solution'!$A$3="Maximize",MAX($C209:$AI209),MIN($C209:$AI209)),$C209:$AI209,0))),AJ203)</f>
        <v>0</v>
      </c>
      <c r="AK218" s="1" t="str">
        <f>IF(INDEX(C218:X218,1,MATCH(IF('Data-solution'!A$3="Maximize",MAX(C224:X224),MIN(C224:X224)),C224:X224,0))&gt;0,AJ218/INDEX(C218:X218,1,MATCH(IF('Data-solution'!A$3="Maximize",MAX(C224:X224),MIN(C224:X224)),C224:X224,0))," ")</f>
        <v xml:space="preserve"> </v>
      </c>
    </row>
    <row r="219" spans="1:37" ht="18" customHeight="1" x14ac:dyDescent="0.2">
      <c r="A219" s="1">
        <f t="shared" ref="A219" si="190">INDEX(C211:AI211,1,MATCH(B219,C212:AI212,0))</f>
        <v>0</v>
      </c>
      <c r="B219" s="2" t="str">
        <f>IF(AND('Data-solution'!A$3="Maximize",COUNTIF(C209:X209,"&gt;"&amp;0)&gt;0,AK204=MIN(AK198:AK208),COUNTIF(B213:B218,INDEX(C197:X197,1,MATCH(MAX(C209:X209),C209:X209,0)))=0),INDEX(C197:X197,1,MATCH(MAX(C209:X209),C209:X209,0)),IF(AND('Data-solution'!A$3="Minimize",COUNTIF(C209:X209,"&lt;"&amp;0)&gt;0,AK204=MIN(AK198:AK208),COUNTIF(B213:B218,INDEX(C197:X197,1,MATCH(MIN(C209:X209),C209:X209,0)))=0),INDEX(C197:X197,1,MATCH(MIN(C209:X209),C209:X209,0)),B204))</f>
        <v>S7</v>
      </c>
      <c r="C219" s="1">
        <f>IF(OR($B213&lt;&gt;$B198,$B214&lt;&gt;$B199,$B215&lt;&gt;$B200,$B216&lt;&gt;$B201,$B217&lt;&gt;$B202,$B218&lt;&gt;$B203,$B219&lt;&gt;$B204,$B220&lt;&gt;$B205,$B221&lt;&gt;$B206,$B222&lt;&gt;$B207,$B223&lt;&gt;$B208),IF($B219&lt;&gt;$B204,C204/INDEX($C198:$AJ208,7,MATCH(IF('Data-solution'!$A$3="Maximize",MAX($C209:$AI209),MIN($C209:$AI209)),$C209:$AI209,0)),C204-INDEX($C198:$AJ208,7,MATCH(IF('Data-solution'!$A$3="Maximize",MAX($C209:$AI209),MIN($C209:$AI209)),$C209:$AI209,0))*INDEX(C198:$AJ208,MATCH(MIN($AK198:$AK208),$AK198:$AK208,0),1)/INDEX($C198:$AJ208,MATCH(MIN($AK198:$AK208),$AK198:$AK208,0),MATCH(IF('Data-solution'!$A$3="Maximize",MAX($C209:$AI209),MIN($C209:$AI209)),$C209:$AI209,0))),C204)</f>
        <v>0</v>
      </c>
      <c r="D219" s="1">
        <f>IF(OR($B213&lt;&gt;$B198,$B214&lt;&gt;$B199,$B215&lt;&gt;$B200,$B216&lt;&gt;$B201,$B217&lt;&gt;$B202,$B218&lt;&gt;$B203,$B219&lt;&gt;$B204,$B220&lt;&gt;$B205,$B221&lt;&gt;$B206,$B222&lt;&gt;$B207,$B223&lt;&gt;$B208),IF($B219&lt;&gt;$B204,D204/INDEX($C198:$AJ208,7,MATCH(IF('Data-solution'!$A$3="Maximize",MAX($C209:$AI209),MIN($C209:$AI209)),$C209:$AI209,0)),D204-INDEX($C198:$AJ208,7,MATCH(IF('Data-solution'!$A$3="Maximize",MAX($C209:$AI209),MIN($C209:$AI209)),$C209:$AI209,0))*INDEX(D198:$AJ208,MATCH(MIN($AK198:$AK208),$AK198:$AK208,0),1)/INDEX($C198:$AJ208,MATCH(MIN($AK198:$AK208),$AK198:$AK208,0),MATCH(IF('Data-solution'!$A$3="Maximize",MAX($C209:$AI209),MIN($C209:$AI209)),$C209:$AI209,0))),D204)</f>
        <v>0</v>
      </c>
      <c r="E219" s="1">
        <f>IF(OR($B213&lt;&gt;$B198,$B214&lt;&gt;$B199,$B215&lt;&gt;$B200,$B216&lt;&gt;$B201,$B217&lt;&gt;$B202,$B218&lt;&gt;$B203,$B219&lt;&gt;$B204,$B220&lt;&gt;$B205,$B221&lt;&gt;$B206,$B222&lt;&gt;$B207,$B223&lt;&gt;$B208),IF($B219&lt;&gt;$B204,E204/INDEX($C198:$AJ208,7,MATCH(IF('Data-solution'!$A$3="Maximize",MAX($C209:$AI209),MIN($C209:$AI209)),$C209:$AI209,0)),E204-INDEX($C198:$AJ208,7,MATCH(IF('Data-solution'!$A$3="Maximize",MAX($C209:$AI209),MIN($C209:$AI209)),$C209:$AI209,0))*INDEX(E198:$AJ208,MATCH(MIN($AK198:$AK208),$AK198:$AK208,0),1)/INDEX($C198:$AJ208,MATCH(MIN($AK198:$AK208),$AK198:$AK208,0),MATCH(IF('Data-solution'!$A$3="Maximize",MAX($C209:$AI209),MIN($C209:$AI209)),$C209:$AI209,0))),E204)</f>
        <v>0</v>
      </c>
      <c r="F219" s="1">
        <f>IF(OR($B213&lt;&gt;$B198,$B214&lt;&gt;$B199,$B215&lt;&gt;$B200,$B216&lt;&gt;$B201,$B217&lt;&gt;$B202,$B218&lt;&gt;$B203,$B219&lt;&gt;$B204,$B220&lt;&gt;$B205,$B221&lt;&gt;$B206,$B222&lt;&gt;$B207,$B223&lt;&gt;$B208),IF($B219&lt;&gt;$B204,F204/INDEX($C198:$AJ208,7,MATCH(IF('Data-solution'!$A$3="Maximize",MAX($C209:$AI209),MIN($C209:$AI209)),$C209:$AI209,0)),F204-INDEX($C198:$AJ208,7,MATCH(IF('Data-solution'!$A$3="Maximize",MAX($C209:$AI209),MIN($C209:$AI209)),$C209:$AI209,0))*INDEX(F198:$AJ208,MATCH(MIN($AK198:$AK208),$AK198:$AK208,0),1)/INDEX($C198:$AJ208,MATCH(MIN($AK198:$AK208),$AK198:$AK208,0),MATCH(IF('Data-solution'!$A$3="Maximize",MAX($C209:$AI209),MIN($C209:$AI209)),$C209:$AI209,0))),F204)</f>
        <v>0</v>
      </c>
      <c r="G219" s="1">
        <f>IF(OR($B213&lt;&gt;$B198,$B214&lt;&gt;$B199,$B215&lt;&gt;$B200,$B216&lt;&gt;$B201,$B217&lt;&gt;$B202,$B218&lt;&gt;$B203,$B219&lt;&gt;$B204,$B220&lt;&gt;$B205,$B221&lt;&gt;$B206,$B222&lt;&gt;$B207,$B223&lt;&gt;$B208),IF($B219&lt;&gt;$B204,G204/INDEX($C198:$AJ208,7,MATCH(IF('Data-solution'!$A$3="Maximize",MAX($C209:$AI209),MIN($C209:$AI209)),$C209:$AI209,0)),G204-INDEX($C198:$AJ208,7,MATCH(IF('Data-solution'!$A$3="Maximize",MAX($C209:$AI209),MIN($C209:$AI209)),$C209:$AI209,0))*INDEX(G198:$AJ208,MATCH(MIN($AK198:$AK208),$AK198:$AK208,0),1)/INDEX($C198:$AJ208,MATCH(MIN($AK198:$AK208),$AK198:$AK208,0),MATCH(IF('Data-solution'!$A$3="Maximize",MAX($C209:$AI209),MIN($C209:$AI209)),$C209:$AI209,0))),G204)</f>
        <v>0</v>
      </c>
      <c r="H219" s="1">
        <f>IF(OR($B213&lt;&gt;$B198,$B214&lt;&gt;$B199,$B215&lt;&gt;$B200,$B216&lt;&gt;$B201,$B217&lt;&gt;$B202,$B218&lt;&gt;$B203,$B219&lt;&gt;$B204,$B220&lt;&gt;$B205,$B221&lt;&gt;$B206,$B222&lt;&gt;$B207,$B223&lt;&gt;$B208),IF($B219&lt;&gt;$B204,H204/INDEX($C198:$AJ208,7,MATCH(IF('Data-solution'!$A$3="Maximize",MAX($C209:$AI209),MIN($C209:$AI209)),$C209:$AI209,0)),H204-INDEX($C198:$AJ208,7,MATCH(IF('Data-solution'!$A$3="Maximize",MAX($C209:$AI209),MIN($C209:$AI209)),$C209:$AI209,0))*INDEX(H198:$AJ208,MATCH(MIN($AK198:$AK208),$AK198:$AK208,0),1)/INDEX($C198:$AJ208,MATCH(MIN($AK198:$AK208),$AK198:$AK208,0),MATCH(IF('Data-solution'!$A$3="Maximize",MAX($C209:$AI209),MIN($C209:$AI209)),$C209:$AI209,0))),H204)</f>
        <v>0</v>
      </c>
      <c r="I219" s="1">
        <f>IF(OR($B213&lt;&gt;$B198,$B214&lt;&gt;$B199,$B215&lt;&gt;$B200,$B216&lt;&gt;$B201,$B217&lt;&gt;$B202,$B218&lt;&gt;$B203,$B219&lt;&gt;$B204,$B220&lt;&gt;$B205,$B221&lt;&gt;$B206,$B222&lt;&gt;$B207,$B223&lt;&gt;$B208),IF($B219&lt;&gt;$B204,I204/INDEX($C198:$AJ208,7,MATCH(IF('Data-solution'!$A$3="Maximize",MAX($C209:$AI209),MIN($C209:$AI209)),$C209:$AI209,0)),I204-INDEX($C198:$AJ208,7,MATCH(IF('Data-solution'!$A$3="Maximize",MAX($C209:$AI209),MIN($C209:$AI209)),$C209:$AI209,0))*INDEX(I198:$AJ208,MATCH(MIN($AK198:$AK208),$AK198:$AK208,0),1)/INDEX($C198:$AJ208,MATCH(MIN($AK198:$AK208),$AK198:$AK208,0),MATCH(IF('Data-solution'!$A$3="Maximize",MAX($C209:$AI209),MIN($C209:$AI209)),$C209:$AI209,0))),I204)</f>
        <v>0</v>
      </c>
      <c r="J219" s="1">
        <f>IF(OR($B213&lt;&gt;$B198,$B214&lt;&gt;$B199,$B215&lt;&gt;$B200,$B216&lt;&gt;$B201,$B217&lt;&gt;$B202,$B218&lt;&gt;$B203,$B219&lt;&gt;$B204,$B220&lt;&gt;$B205,$B221&lt;&gt;$B206,$B222&lt;&gt;$B207,$B223&lt;&gt;$B208),IF($B219&lt;&gt;$B204,J204/INDEX($C198:$AJ208,7,MATCH(IF('Data-solution'!$A$3="Maximize",MAX($C209:$AI209),MIN($C209:$AI209)),$C209:$AI209,0)),J204-INDEX($C198:$AJ208,7,MATCH(IF('Data-solution'!$A$3="Maximize",MAX($C209:$AI209),MIN($C209:$AI209)),$C209:$AI209,0))*INDEX(J198:$AJ208,MATCH(MIN($AK198:$AK208),$AK198:$AK208,0),1)/INDEX($C198:$AJ208,MATCH(MIN($AK198:$AK208),$AK198:$AK208,0),MATCH(IF('Data-solution'!$A$3="Maximize",MAX($C209:$AI209),MIN($C209:$AI209)),$C209:$AI209,0))),J204)</f>
        <v>0</v>
      </c>
      <c r="K219" s="1">
        <f>IF(OR($B213&lt;&gt;$B198,$B214&lt;&gt;$B199,$B215&lt;&gt;$B200,$B216&lt;&gt;$B201,$B217&lt;&gt;$B202,$B218&lt;&gt;$B203,$B219&lt;&gt;$B204,$B220&lt;&gt;$B205,$B221&lt;&gt;$B206,$B222&lt;&gt;$B207,$B223&lt;&gt;$B208),IF($B219&lt;&gt;$B204,K204/INDEX($C198:$AJ208,7,MATCH(IF('Data-solution'!$A$3="Maximize",MAX($C209:$AI209),MIN($C209:$AI209)),$C209:$AI209,0)),K204-INDEX($C198:$AJ208,7,MATCH(IF('Data-solution'!$A$3="Maximize",MAX($C209:$AI209),MIN($C209:$AI209)),$C209:$AI209,0))*INDEX(K198:$AJ208,MATCH(MIN($AK198:$AK208),$AK198:$AK208,0),1)/INDEX($C198:$AJ208,MATCH(MIN($AK198:$AK208),$AK198:$AK208,0),MATCH(IF('Data-solution'!$A$3="Maximize",MAX($C209:$AI209),MIN($C209:$AI209)),$C209:$AI209,0))),K204)</f>
        <v>0</v>
      </c>
      <c r="L219" s="1">
        <f>IF(OR($B213&lt;&gt;$B198,$B214&lt;&gt;$B199,$B215&lt;&gt;$B200,$B216&lt;&gt;$B201,$B217&lt;&gt;$B202,$B218&lt;&gt;$B203,$B219&lt;&gt;$B204,$B220&lt;&gt;$B205,$B221&lt;&gt;$B206,$B222&lt;&gt;$B207,$B223&lt;&gt;$B208),IF($B219&lt;&gt;$B204,L204/INDEX($C198:$AJ208,7,MATCH(IF('Data-solution'!$A$3="Maximize",MAX($C209:$AI209),MIN($C209:$AI209)),$C209:$AI209,0)),L204-INDEX($C198:$AJ208,7,MATCH(IF('Data-solution'!$A$3="Maximize",MAX($C209:$AI209),MIN($C209:$AI209)),$C209:$AI209,0))*INDEX(L198:$AJ208,MATCH(MIN($AK198:$AK208),$AK198:$AK208,0),1)/INDEX($C198:$AJ208,MATCH(MIN($AK198:$AK208),$AK198:$AK208,0),MATCH(IF('Data-solution'!$A$3="Maximize",MAX($C209:$AI209),MIN($C209:$AI209)),$C209:$AI209,0))),L204)</f>
        <v>0</v>
      </c>
      <c r="M219" s="1">
        <f>IF(OR($B213&lt;&gt;$B198,$B214&lt;&gt;$B199,$B215&lt;&gt;$B200,$B216&lt;&gt;$B201,$B217&lt;&gt;$B202,$B218&lt;&gt;$B203,$B219&lt;&gt;$B204,$B220&lt;&gt;$B205,$B221&lt;&gt;$B206,$B222&lt;&gt;$B207,$B223&lt;&gt;$B208),IF($B219&lt;&gt;$B204,M204/INDEX($C198:$AJ208,7,MATCH(IF('Data-solution'!$A$3="Maximize",MAX($C209:$AI209),MIN($C209:$AI209)),$C209:$AI209,0)),M204-INDEX($C198:$AJ208,7,MATCH(IF('Data-solution'!$A$3="Maximize",MAX($C209:$AI209),MIN($C209:$AI209)),$C209:$AI209,0))*INDEX(M198:$AJ208,MATCH(MIN($AK198:$AK208),$AK198:$AK208,0),1)/INDEX($C198:$AJ208,MATCH(MIN($AK198:$AK208),$AK198:$AK208,0),MATCH(IF('Data-solution'!$A$3="Maximize",MAX($C209:$AI209),MIN($C209:$AI209)),$C209:$AI209,0))),M204)</f>
        <v>0</v>
      </c>
      <c r="N219" s="1">
        <f>IF(OR($B213&lt;&gt;$B198,$B214&lt;&gt;$B199,$B215&lt;&gt;$B200,$B216&lt;&gt;$B201,$B217&lt;&gt;$B202,$B218&lt;&gt;$B203,$B219&lt;&gt;$B204,$B220&lt;&gt;$B205,$B221&lt;&gt;$B206,$B222&lt;&gt;$B207,$B223&lt;&gt;$B208),IF($B219&lt;&gt;$B204,N204/INDEX($C198:$AJ208,7,MATCH(IF('Data-solution'!$A$3="Maximize",MAX($C209:$AI209),MIN($C209:$AI209)),$C209:$AI209,0)),N204-INDEX($C198:$AJ208,7,MATCH(IF('Data-solution'!$A$3="Maximize",MAX($C209:$AI209),MIN($C209:$AI209)),$C209:$AI209,0))*INDEX(N198:$AJ208,MATCH(MIN($AK198:$AK208),$AK198:$AK208,0),1)/INDEX($C198:$AJ208,MATCH(MIN($AK198:$AK208),$AK198:$AK208,0),MATCH(IF('Data-solution'!$A$3="Maximize",MAX($C209:$AI209),MIN($C209:$AI209)),$C209:$AI209,0))),N204)</f>
        <v>0</v>
      </c>
      <c r="O219" s="1">
        <f>IF(OR($B213&lt;&gt;$B198,$B214&lt;&gt;$B199,$B215&lt;&gt;$B200,$B216&lt;&gt;$B201,$B217&lt;&gt;$B202,$B218&lt;&gt;$B203,$B219&lt;&gt;$B204,$B220&lt;&gt;$B205,$B221&lt;&gt;$B206,$B222&lt;&gt;$B207,$B223&lt;&gt;$B208),IF($B219&lt;&gt;$B204,O204/INDEX($C198:$AJ208,7,MATCH(IF('Data-solution'!$A$3="Maximize",MAX($C209:$AI209),MIN($C209:$AI209)),$C209:$AI209,0)),O204-INDEX($C198:$AJ208,7,MATCH(IF('Data-solution'!$A$3="Maximize",MAX($C209:$AI209),MIN($C209:$AI209)),$C209:$AI209,0))*INDEX(O198:$AJ208,MATCH(MIN($AK198:$AK208),$AK198:$AK208,0),1)/INDEX($C198:$AJ208,MATCH(MIN($AK198:$AK208),$AK198:$AK208,0),MATCH(IF('Data-solution'!$A$3="Maximize",MAX($C209:$AI209),MIN($C209:$AI209)),$C209:$AI209,0))),O204)</f>
        <v>0</v>
      </c>
      <c r="P219" s="1">
        <f>IF(OR($B213&lt;&gt;$B198,$B214&lt;&gt;$B199,$B215&lt;&gt;$B200,$B216&lt;&gt;$B201,$B217&lt;&gt;$B202,$B218&lt;&gt;$B203,$B219&lt;&gt;$B204,$B220&lt;&gt;$B205,$B221&lt;&gt;$B206,$B222&lt;&gt;$B207,$B223&lt;&gt;$B208),IF($B219&lt;&gt;$B204,P204/INDEX($C198:$AJ208,7,MATCH(IF('Data-solution'!$A$3="Maximize",MAX($C209:$AI209),MIN($C209:$AI209)),$C209:$AI209,0)),P204-INDEX($C198:$AJ208,7,MATCH(IF('Data-solution'!$A$3="Maximize",MAX($C209:$AI209),MIN($C209:$AI209)),$C209:$AI209,0))*INDEX(P198:$AJ208,MATCH(MIN($AK198:$AK208),$AK198:$AK208,0),1)/INDEX($C198:$AJ208,MATCH(MIN($AK198:$AK208),$AK198:$AK208,0),MATCH(IF('Data-solution'!$A$3="Maximize",MAX($C209:$AI209),MIN($C209:$AI209)),$C209:$AI209,0))),P204)</f>
        <v>0</v>
      </c>
      <c r="Q219" s="1">
        <f>IF(OR($B213&lt;&gt;$B198,$B214&lt;&gt;$B199,$B215&lt;&gt;$B200,$B216&lt;&gt;$B201,$B217&lt;&gt;$B202,$B218&lt;&gt;$B203,$B219&lt;&gt;$B204,$B220&lt;&gt;$B205,$B221&lt;&gt;$B206,$B222&lt;&gt;$B207,$B223&lt;&gt;$B208),IF($B219&lt;&gt;$B204,Q204/INDEX($C198:$AJ208,7,MATCH(IF('Data-solution'!$A$3="Maximize",MAX($C209:$AI209),MIN($C209:$AI209)),$C209:$AI209,0)),Q204-INDEX($C198:$AJ208,7,MATCH(IF('Data-solution'!$A$3="Maximize",MAX($C209:$AI209),MIN($C209:$AI209)),$C209:$AI209,0))*INDEX(Q198:$AJ208,MATCH(MIN($AK198:$AK208),$AK198:$AK208,0),1)/INDEX($C198:$AJ208,MATCH(MIN($AK198:$AK208),$AK198:$AK208,0),MATCH(IF('Data-solution'!$A$3="Maximize",MAX($C209:$AI209),MIN($C209:$AI209)),$C209:$AI209,0))),Q204)</f>
        <v>0</v>
      </c>
      <c r="R219" s="1">
        <f>IF(OR($B213&lt;&gt;$B198,$B214&lt;&gt;$B199,$B215&lt;&gt;$B200,$B216&lt;&gt;$B201,$B217&lt;&gt;$B202,$B218&lt;&gt;$B203,$B219&lt;&gt;$B204,$B220&lt;&gt;$B205,$B221&lt;&gt;$B206,$B222&lt;&gt;$B207,$B223&lt;&gt;$B208),IF($B219&lt;&gt;$B204,R204/INDEX($C198:$AJ208,7,MATCH(IF('Data-solution'!$A$3="Maximize",MAX($C209:$AI209),MIN($C209:$AI209)),$C209:$AI209,0)),R204-INDEX($C198:$AJ208,7,MATCH(IF('Data-solution'!$A$3="Maximize",MAX($C209:$AI209),MIN($C209:$AI209)),$C209:$AI209,0))*INDEX(R198:$AJ208,MATCH(MIN($AK198:$AK208),$AK198:$AK208,0),1)/INDEX($C198:$AJ208,MATCH(MIN($AK198:$AK208),$AK198:$AK208,0),MATCH(IF('Data-solution'!$A$3="Maximize",MAX($C209:$AI209),MIN($C209:$AI209)),$C209:$AI209,0))),R204)</f>
        <v>0</v>
      </c>
      <c r="S219" s="1">
        <f>IF(OR($B213&lt;&gt;$B198,$B214&lt;&gt;$B199,$B215&lt;&gt;$B200,$B216&lt;&gt;$B201,$B217&lt;&gt;$B202,$B218&lt;&gt;$B203,$B219&lt;&gt;$B204,$B220&lt;&gt;$B205,$B221&lt;&gt;$B206,$B222&lt;&gt;$B207,$B223&lt;&gt;$B208),IF($B219&lt;&gt;$B204,S204/INDEX($C198:$AJ208,7,MATCH(IF('Data-solution'!$A$3="Maximize",MAX($C209:$AI209),MIN($C209:$AI209)),$C209:$AI209,0)),S204-INDEX($C198:$AJ208,7,MATCH(IF('Data-solution'!$A$3="Maximize",MAX($C209:$AI209),MIN($C209:$AI209)),$C209:$AI209,0))*INDEX(S198:$AJ208,MATCH(MIN($AK198:$AK208),$AK198:$AK208,0),1)/INDEX($C198:$AJ208,MATCH(MIN($AK198:$AK208),$AK198:$AK208,0),MATCH(IF('Data-solution'!$A$3="Maximize",MAX($C209:$AI209),MIN($C209:$AI209)),$C209:$AI209,0))),S204)</f>
        <v>0</v>
      </c>
      <c r="T219" s="1">
        <f>IF(OR($B213&lt;&gt;$B198,$B214&lt;&gt;$B199,$B215&lt;&gt;$B200,$B216&lt;&gt;$B201,$B217&lt;&gt;$B202,$B218&lt;&gt;$B203,$B219&lt;&gt;$B204,$B220&lt;&gt;$B205,$B221&lt;&gt;$B206,$B222&lt;&gt;$B207,$B223&lt;&gt;$B208),IF($B219&lt;&gt;$B204,T204/INDEX($C198:$AJ208,7,MATCH(IF('Data-solution'!$A$3="Maximize",MAX($C209:$AI209),MIN($C209:$AI209)),$C209:$AI209,0)),T204-INDEX($C198:$AJ208,7,MATCH(IF('Data-solution'!$A$3="Maximize",MAX($C209:$AI209),MIN($C209:$AI209)),$C209:$AI209,0))*INDEX(T198:$AJ208,MATCH(MIN($AK198:$AK208),$AK198:$AK208,0),1)/INDEX($C198:$AJ208,MATCH(MIN($AK198:$AK208),$AK198:$AK208,0),MATCH(IF('Data-solution'!$A$3="Maximize",MAX($C209:$AI209),MIN($C209:$AI209)),$C209:$AI209,0))),T204)</f>
        <v>1</v>
      </c>
      <c r="U219" s="1">
        <f>IF(OR($B213&lt;&gt;$B198,$B214&lt;&gt;$B199,$B215&lt;&gt;$B200,$B216&lt;&gt;$B201,$B217&lt;&gt;$B202,$B218&lt;&gt;$B203,$B219&lt;&gt;$B204,$B220&lt;&gt;$B205,$B221&lt;&gt;$B206,$B222&lt;&gt;$B207,$B223&lt;&gt;$B208),IF($B219&lt;&gt;$B204,U204/INDEX($C198:$AJ208,7,MATCH(IF('Data-solution'!$A$3="Maximize",MAX($C209:$AI209),MIN($C209:$AI209)),$C209:$AI209,0)),U204-INDEX($C198:$AJ208,7,MATCH(IF('Data-solution'!$A$3="Maximize",MAX($C209:$AI209),MIN($C209:$AI209)),$C209:$AI209,0))*INDEX(U198:$AJ208,MATCH(MIN($AK198:$AK208),$AK198:$AK208,0),1)/INDEX($C198:$AJ208,MATCH(MIN($AK198:$AK208),$AK198:$AK208,0),MATCH(IF('Data-solution'!$A$3="Maximize",MAX($C209:$AI209),MIN($C209:$AI209)),$C209:$AI209,0))),U204)</f>
        <v>0</v>
      </c>
      <c r="V219" s="1">
        <f>IF(OR($B213&lt;&gt;$B198,$B214&lt;&gt;$B199,$B215&lt;&gt;$B200,$B216&lt;&gt;$B201,$B217&lt;&gt;$B202,$B218&lt;&gt;$B203,$B219&lt;&gt;$B204,$B220&lt;&gt;$B205,$B221&lt;&gt;$B206,$B222&lt;&gt;$B207,$B223&lt;&gt;$B208),IF($B219&lt;&gt;$B204,V204/INDEX($C198:$AJ208,7,MATCH(IF('Data-solution'!$A$3="Maximize",MAX($C209:$AI209),MIN($C209:$AI209)),$C209:$AI209,0)),V204-INDEX($C198:$AJ208,7,MATCH(IF('Data-solution'!$A$3="Maximize",MAX($C209:$AI209),MIN($C209:$AI209)),$C209:$AI209,0))*INDEX(V198:$AJ208,MATCH(MIN($AK198:$AK208),$AK198:$AK208,0),1)/INDEX($C198:$AJ208,MATCH(MIN($AK198:$AK208),$AK198:$AK208,0),MATCH(IF('Data-solution'!$A$3="Maximize",MAX($C209:$AI209),MIN($C209:$AI209)),$C209:$AI209,0))),V204)</f>
        <v>0</v>
      </c>
      <c r="W219" s="1">
        <f>IF(OR($B213&lt;&gt;$B198,$B214&lt;&gt;$B199,$B215&lt;&gt;$B200,$B216&lt;&gt;$B201,$B217&lt;&gt;$B202,$B218&lt;&gt;$B203,$B219&lt;&gt;$B204,$B220&lt;&gt;$B205,$B221&lt;&gt;$B206,$B222&lt;&gt;$B207,$B223&lt;&gt;$B208),IF($B219&lt;&gt;$B204,W204/INDEX($C198:$AJ208,7,MATCH(IF('Data-solution'!$A$3="Maximize",MAX($C209:$AI209),MIN($C209:$AI209)),$C209:$AI209,0)),W204-INDEX($C198:$AJ208,7,MATCH(IF('Data-solution'!$A$3="Maximize",MAX($C209:$AI209),MIN($C209:$AI209)),$C209:$AI209,0))*INDEX(W198:$AJ208,MATCH(MIN($AK198:$AK208),$AK198:$AK208,0),1)/INDEX($C198:$AJ208,MATCH(MIN($AK198:$AK208),$AK198:$AK208,0),MATCH(IF('Data-solution'!$A$3="Maximize",MAX($C209:$AI209),MIN($C209:$AI209)),$C209:$AI209,0))),W204)</f>
        <v>0</v>
      </c>
      <c r="X219" s="1">
        <f>IF(OR($B213&lt;&gt;$B198,$B214&lt;&gt;$B199,$B215&lt;&gt;$B200,$B216&lt;&gt;$B201,$B217&lt;&gt;$B202,$B218&lt;&gt;$B203,$B219&lt;&gt;$B204,$B220&lt;&gt;$B205,$B221&lt;&gt;$B206,$B222&lt;&gt;$B207,$B223&lt;&gt;$B208),IF($B219&lt;&gt;$B204,X204/INDEX($C198:$AJ208,7,MATCH(IF('Data-solution'!$A$3="Maximize",MAX($C209:$AI209),MIN($C209:$AI209)),$C209:$AI209,0)),X204-INDEX($C198:$AJ208,7,MATCH(IF('Data-solution'!$A$3="Maximize",MAX($C209:$AI209),MIN($C209:$AI209)),$C209:$AI209,0))*INDEX(X198:$AJ208,MATCH(MIN($AK198:$AK208),$AK198:$AK208,0),1)/INDEX($C198:$AJ208,MATCH(MIN($AK198:$AK208),$AK198:$AK208,0),MATCH(IF('Data-solution'!$A$3="Maximize",MAX($C209:$AI209),MIN($C209:$AI209)),$C209:$AI209,0))),X204)</f>
        <v>0</v>
      </c>
      <c r="Y219" s="1">
        <f>IF(OR($B213&lt;&gt;$B198,$B214&lt;&gt;$B199,$B215&lt;&gt;$B200,$B216&lt;&gt;$B201,$B217&lt;&gt;$B202,$B218&lt;&gt;$B203,$B219&lt;&gt;$B204,$B220&lt;&gt;$B205,$B221&lt;&gt;$B206,$B222&lt;&gt;$B207,$B223&lt;&gt;$B208),IF($B219&lt;&gt;$B204,Y204/INDEX($C198:$AJ208,7,MATCH(IF('Data-solution'!$A$3="Maximize",MAX($C209:$AI209),MIN($C209:$AI209)),$C209:$AI209,0)),Y204-INDEX($C198:$AJ208,7,MATCH(IF('Data-solution'!$A$3="Maximize",MAX($C209:$AI209),MIN($C209:$AI209)),$C209:$AI209,0))*INDEX(Y198:$AJ208,MATCH(MIN($AK198:$AK208),$AK198:$AK208,0),1)/INDEX($C198:$AJ208,MATCH(MIN($AK198:$AK208),$AK198:$AK208,0),MATCH(IF('Data-solution'!$A$3="Maximize",MAX($C209:$AI209),MIN($C209:$AI209)),$C209:$AI209,0))),Y204)</f>
        <v>0</v>
      </c>
      <c r="Z219" s="1">
        <f>IF(OR($B213&lt;&gt;$B198,$B214&lt;&gt;$B199,$B215&lt;&gt;$B200,$B216&lt;&gt;$B201,$B217&lt;&gt;$B202,$B218&lt;&gt;$B203,$B219&lt;&gt;$B204,$B220&lt;&gt;$B205,$B221&lt;&gt;$B206,$B222&lt;&gt;$B207,$B223&lt;&gt;$B208),IF($B219&lt;&gt;$B204,Z204/INDEX($C198:$AJ208,7,MATCH(IF('Data-solution'!$A$3="Maximize",MAX($C209:$AI209),MIN($C209:$AI209)),$C209:$AI209,0)),Z204-INDEX($C198:$AJ208,7,MATCH(IF('Data-solution'!$A$3="Maximize",MAX($C209:$AI209),MIN($C209:$AI209)),$C209:$AI209,0))*INDEX(Z198:$AJ208,MATCH(MIN($AK198:$AK208),$AK198:$AK208,0),1)/INDEX($C198:$AJ208,MATCH(MIN($AK198:$AK208),$AK198:$AK208,0),MATCH(IF('Data-solution'!$A$3="Maximize",MAX($C209:$AI209),MIN($C209:$AI209)),$C209:$AI209,0))),Z204)</f>
        <v>0</v>
      </c>
      <c r="AA219" s="1">
        <f>IF(OR($B213&lt;&gt;$B198,$B214&lt;&gt;$B199,$B215&lt;&gt;$B200,$B216&lt;&gt;$B201,$B217&lt;&gt;$B202,$B218&lt;&gt;$B203,$B219&lt;&gt;$B204,$B220&lt;&gt;$B205,$B221&lt;&gt;$B206,$B222&lt;&gt;$B207,$B223&lt;&gt;$B208),IF($B219&lt;&gt;$B204,AA204/INDEX($C198:$AJ208,7,MATCH(IF('Data-solution'!$A$3="Maximize",MAX($C209:$AI209),MIN($C209:$AI209)),$C209:$AI209,0)),AA204-INDEX($C198:$AJ208,7,MATCH(IF('Data-solution'!$A$3="Maximize",MAX($C209:$AI209),MIN($C209:$AI209)),$C209:$AI209,0))*INDEX(AA198:$AJ208,MATCH(MIN($AK198:$AK208),$AK198:$AK208,0),1)/INDEX($C198:$AJ208,MATCH(MIN($AK198:$AK208),$AK198:$AK208,0),MATCH(IF('Data-solution'!$A$3="Maximize",MAX($C209:$AI209),MIN($C209:$AI209)),$C209:$AI209,0))),AA204)</f>
        <v>0</v>
      </c>
      <c r="AB219" s="1">
        <f>IF(OR($B213&lt;&gt;$B198,$B214&lt;&gt;$B199,$B215&lt;&gt;$B200,$B216&lt;&gt;$B201,$B217&lt;&gt;$B202,$B218&lt;&gt;$B203,$B219&lt;&gt;$B204,$B220&lt;&gt;$B205,$B221&lt;&gt;$B206,$B222&lt;&gt;$B207,$B223&lt;&gt;$B208),IF($B219&lt;&gt;$B204,AB204/INDEX($C198:$AJ208,7,MATCH(IF('Data-solution'!$A$3="Maximize",MAX($C209:$AI209),MIN($C209:$AI209)),$C209:$AI209,0)),AB204-INDEX($C198:$AJ208,7,MATCH(IF('Data-solution'!$A$3="Maximize",MAX($C209:$AI209),MIN($C209:$AI209)),$C209:$AI209,0))*INDEX(AB198:$AJ208,MATCH(MIN($AK198:$AK208),$AK198:$AK208,0),1)/INDEX($C198:$AJ208,MATCH(MIN($AK198:$AK208),$AK198:$AK208,0),MATCH(IF('Data-solution'!$A$3="Maximize",MAX($C209:$AI209),MIN($C209:$AI209)),$C209:$AI209,0))),AB204)</f>
        <v>0</v>
      </c>
      <c r="AC219" s="1">
        <f>IF(OR($B213&lt;&gt;$B198,$B214&lt;&gt;$B199,$B215&lt;&gt;$B200,$B216&lt;&gt;$B201,$B217&lt;&gt;$B202,$B218&lt;&gt;$B203,$B219&lt;&gt;$B204,$B220&lt;&gt;$B205,$B221&lt;&gt;$B206,$B222&lt;&gt;$B207,$B223&lt;&gt;$B208),IF($B219&lt;&gt;$B204,AC204/INDEX($C198:$AJ208,7,MATCH(IF('Data-solution'!$A$3="Maximize",MAX($C209:$AI209),MIN($C209:$AI209)),$C209:$AI209,0)),AC204-INDEX($C198:$AJ208,7,MATCH(IF('Data-solution'!$A$3="Maximize",MAX($C209:$AI209),MIN($C209:$AI209)),$C209:$AI209,0))*INDEX(AC198:$AJ208,MATCH(MIN($AK198:$AK208),$AK198:$AK208,0),1)/INDEX($C198:$AJ208,MATCH(MIN($AK198:$AK208),$AK198:$AK208,0),MATCH(IF('Data-solution'!$A$3="Maximize",MAX($C209:$AI209),MIN($C209:$AI209)),$C209:$AI209,0))),AC204)</f>
        <v>0</v>
      </c>
      <c r="AD219" s="1">
        <f>IF(OR($B213&lt;&gt;$B198,$B214&lt;&gt;$B199,$B215&lt;&gt;$B200,$B216&lt;&gt;$B201,$B217&lt;&gt;$B202,$B218&lt;&gt;$B203,$B219&lt;&gt;$B204,$B220&lt;&gt;$B205,$B221&lt;&gt;$B206,$B222&lt;&gt;$B207,$B223&lt;&gt;$B208),IF($B219&lt;&gt;$B204,AD204/INDEX($C198:$AJ208,7,MATCH(IF('Data-solution'!$A$3="Maximize",MAX($C209:$AI209),MIN($C209:$AI209)),$C209:$AI209,0)),AD204-INDEX($C198:$AJ208,7,MATCH(IF('Data-solution'!$A$3="Maximize",MAX($C209:$AI209),MIN($C209:$AI209)),$C209:$AI209,0))*INDEX(AD198:$AJ208,MATCH(MIN($AK198:$AK208),$AK198:$AK208,0),1)/INDEX($C198:$AJ208,MATCH(MIN($AK198:$AK208),$AK198:$AK208,0),MATCH(IF('Data-solution'!$A$3="Maximize",MAX($C209:$AI209),MIN($C209:$AI209)),$C209:$AI209,0))),AD204)</f>
        <v>0</v>
      </c>
      <c r="AE219" s="1">
        <f>IF(OR($B213&lt;&gt;$B198,$B214&lt;&gt;$B199,$B215&lt;&gt;$B200,$B216&lt;&gt;$B201,$B217&lt;&gt;$B202,$B218&lt;&gt;$B203,$B219&lt;&gt;$B204,$B220&lt;&gt;$B205,$B221&lt;&gt;$B206,$B222&lt;&gt;$B207,$B223&lt;&gt;$B208),IF($B219&lt;&gt;$B204,AE204/INDEX($C198:$AJ208,7,MATCH(IF('Data-solution'!$A$3="Maximize",MAX($C209:$AI209),MIN($C209:$AI209)),$C209:$AI209,0)),AE204-INDEX($C198:$AJ208,7,MATCH(IF('Data-solution'!$A$3="Maximize",MAX($C209:$AI209),MIN($C209:$AI209)),$C209:$AI209,0))*INDEX(AE198:$AJ208,MATCH(MIN($AK198:$AK208),$AK198:$AK208,0),1)/INDEX($C198:$AJ208,MATCH(MIN($AK198:$AK208),$AK198:$AK208,0),MATCH(IF('Data-solution'!$A$3="Maximize",MAX($C209:$AI209),MIN($C209:$AI209)),$C209:$AI209,0))),AE204)</f>
        <v>1</v>
      </c>
      <c r="AF219" s="1">
        <f>IF(OR($B213&lt;&gt;$B198,$B214&lt;&gt;$B199,$B215&lt;&gt;$B200,$B216&lt;&gt;$B201,$B217&lt;&gt;$B202,$B218&lt;&gt;$B203,$B219&lt;&gt;$B204,$B220&lt;&gt;$B205,$B221&lt;&gt;$B206,$B222&lt;&gt;$B207,$B223&lt;&gt;$B208),IF($B219&lt;&gt;$B204,AF204/INDEX($C198:$AJ208,7,MATCH(IF('Data-solution'!$A$3="Maximize",MAX($C209:$AI209),MIN($C209:$AI209)),$C209:$AI209,0)),AF204-INDEX($C198:$AJ208,7,MATCH(IF('Data-solution'!$A$3="Maximize",MAX($C209:$AI209),MIN($C209:$AI209)),$C209:$AI209,0))*INDEX(AF198:$AJ208,MATCH(MIN($AK198:$AK208),$AK198:$AK208,0),1)/INDEX($C198:$AJ208,MATCH(MIN($AK198:$AK208),$AK198:$AK208,0),MATCH(IF('Data-solution'!$A$3="Maximize",MAX($C209:$AI209),MIN($C209:$AI209)),$C209:$AI209,0))),AF204)</f>
        <v>0</v>
      </c>
      <c r="AG219" s="1">
        <f>IF(OR($B213&lt;&gt;$B198,$B214&lt;&gt;$B199,$B215&lt;&gt;$B200,$B216&lt;&gt;$B201,$B217&lt;&gt;$B202,$B218&lt;&gt;$B203,$B219&lt;&gt;$B204,$B220&lt;&gt;$B205,$B221&lt;&gt;$B206,$B222&lt;&gt;$B207,$B223&lt;&gt;$B208),IF($B219&lt;&gt;$B204,AG204/INDEX($C198:$AJ208,7,MATCH(IF('Data-solution'!$A$3="Maximize",MAX($C209:$AI209),MIN($C209:$AI209)),$C209:$AI209,0)),AG204-INDEX($C198:$AJ208,7,MATCH(IF('Data-solution'!$A$3="Maximize",MAX($C209:$AI209),MIN($C209:$AI209)),$C209:$AI209,0))*INDEX(AG198:$AJ208,MATCH(MIN($AK198:$AK208),$AK198:$AK208,0),1)/INDEX($C198:$AJ208,MATCH(MIN($AK198:$AK208),$AK198:$AK208,0),MATCH(IF('Data-solution'!$A$3="Maximize",MAX($C209:$AI209),MIN($C209:$AI209)),$C209:$AI209,0))),AG204)</f>
        <v>0</v>
      </c>
      <c r="AH219" s="1">
        <f>IF(OR($B213&lt;&gt;$B198,$B214&lt;&gt;$B199,$B215&lt;&gt;$B200,$B216&lt;&gt;$B201,$B217&lt;&gt;$B202,$B218&lt;&gt;$B203,$B219&lt;&gt;$B204,$B220&lt;&gt;$B205,$B221&lt;&gt;$B206,$B222&lt;&gt;$B207,$B223&lt;&gt;$B208),IF($B219&lt;&gt;$B204,AH204/INDEX($C198:$AJ208,7,MATCH(IF('Data-solution'!$A$3="Maximize",MAX($C209:$AI209),MIN($C209:$AI209)),$C209:$AI209,0)),AH204-INDEX($C198:$AJ208,7,MATCH(IF('Data-solution'!$A$3="Maximize",MAX($C209:$AI209),MIN($C209:$AI209)),$C209:$AI209,0))*INDEX(AH198:$AJ208,MATCH(MIN($AK198:$AK208),$AK198:$AK208,0),1)/INDEX($C198:$AJ208,MATCH(MIN($AK198:$AK208),$AK198:$AK208,0),MATCH(IF('Data-solution'!$A$3="Maximize",MAX($C209:$AI209),MIN($C209:$AI209)),$C209:$AI209,0))),AH204)</f>
        <v>0</v>
      </c>
      <c r="AI219" s="1">
        <f>IF(OR($B213&lt;&gt;$B198,$B214&lt;&gt;$B199,$B215&lt;&gt;$B200,$B216&lt;&gt;$B201,$B217&lt;&gt;$B202,$B218&lt;&gt;$B203,$B219&lt;&gt;$B204,$B220&lt;&gt;$B205,$B221&lt;&gt;$B206,$B222&lt;&gt;$B207,$B223&lt;&gt;$B208),IF($B219&lt;&gt;$B204,AI204/INDEX($C198:$AJ208,7,MATCH(IF('Data-solution'!$A$3="Maximize",MAX($C209:$AI209),MIN($C209:$AI209)),$C209:$AI209,0)),AI204-INDEX($C198:$AJ208,7,MATCH(IF('Data-solution'!$A$3="Maximize",MAX($C209:$AI209),MIN($C209:$AI209)),$C209:$AI209,0))*INDEX(AI198:$AJ208,MATCH(MIN($AK198:$AK208),$AK198:$AK208,0),1)/INDEX($C198:$AJ208,MATCH(MIN($AK198:$AK208),$AK198:$AK208,0),MATCH(IF('Data-solution'!$A$3="Maximize",MAX($C209:$AI209),MIN($C209:$AI209)),$C209:$AI209,0))),AI204)</f>
        <v>0</v>
      </c>
      <c r="AJ219" s="1">
        <f>IF(OR($B213&lt;&gt;$B198,$B214&lt;&gt;$B199,$B215&lt;&gt;$B200,$B216&lt;&gt;$B201,$B217&lt;&gt;$B202,$B218&lt;&gt;$B203,$B219&lt;&gt;$B204,$B220&lt;&gt;$B205,$B221&lt;&gt;$B206,$B222&lt;&gt;$B207,$B223&lt;&gt;$B208),IF($B219&lt;&gt;$B204,AJ204/INDEX($C198:$AJ208,7,MATCH(IF('Data-solution'!$A$3="Maximize",MAX($C209:$AI209),MIN($C209:$AI209)),$C209:$AI209,0)),AJ204-INDEX($C198:$AJ208,7,MATCH(IF('Data-solution'!$A$3="Maximize",MAX($C209:$AI209),MIN($C209:$AI209)),$C209:$AI209,0))*INDEX(AJ198:$AJ208,MATCH(MIN($AK198:$AK208),$AK198:$AK208,0),1)/INDEX($C198:$AJ208,MATCH(MIN($AK198:$AK208),$AK198:$AK208,0),MATCH(IF('Data-solution'!$A$3="Maximize",MAX($C209:$AI209),MIN($C209:$AI209)),$C209:$AI209,0))),AJ204)</f>
        <v>0</v>
      </c>
      <c r="AK219" s="1" t="str">
        <f>IF(INDEX(C219:X219,1,MATCH(IF('Data-solution'!A$3="Maximize",MAX(C224:X224),MIN(C224:X224)),C224:X224,0))&gt;0,AJ219/INDEX(C219:X219,1,MATCH(IF('Data-solution'!A$3="Maximize",MAX(C224:X224),MIN(C224:X224)),C224:X224,0))," ")</f>
        <v xml:space="preserve"> </v>
      </c>
    </row>
    <row r="220" spans="1:37" ht="18" customHeight="1" x14ac:dyDescent="0.2">
      <c r="A220" s="1">
        <f t="shared" ref="A220" si="191">INDEX(C211:AI211,1,MATCH(B220,C212:AI212,0))</f>
        <v>0</v>
      </c>
      <c r="B220" s="2" t="str">
        <f>IF(AND('Data-solution'!A$3="Maximize",COUNTIF(C209:X209,"&gt;"&amp;0)&gt;0,AK205=MIN(AK198:AK208),COUNTIF(B213:B219,INDEX(C197:X197,1,MATCH(MAX(C209:X209),C209:X209,0)))=0),INDEX(C197:X197,1,MATCH(MAX(C209:X209),C209:X209,0)),IF(AND('Data-solution'!A$3="Minimize",COUNTIF(C209:X209,"&lt;"&amp;0)&gt;0,AK205=MIN(AK198:AK208),COUNTIF(B213:B219,INDEX(C197:X197,1,MATCH(MIN(C209:X209),C209:X209,0)))=0),INDEX(C197:X197,1,MATCH(MIN(C209:X209),C209:X209,0)),B205))</f>
        <v>S8</v>
      </c>
      <c r="C220" s="1">
        <f>IF(OR($B213&lt;&gt;$B198,$B214&lt;&gt;$B199,$B215&lt;&gt;$B200,$B216&lt;&gt;$B201,$B217&lt;&gt;$B202,$B218&lt;&gt;$B203,$B219&lt;&gt;$B204,$B220&lt;&gt;$B205,$B221&lt;&gt;$B206,$B222&lt;&gt;$B207,$B223&lt;&gt;$B208),IF($B220&lt;&gt;$B205,C205/INDEX($C198:$AJ208,8,MATCH(IF('Data-solution'!$A$3="Maximize",MAX($C209:$AI209),MIN($C209:$AI209)),$C209:$AI209,0)),C205-INDEX($C198:$AJ208,8,MATCH(IF('Data-solution'!$A$3="Maximize",MAX($C209:$AI209),MIN($C209:$AI209)),$C209:$AI209,0))*INDEX(C198:$AJ208,MATCH(MIN($AK198:$AK208),$AK198:$AK208,0),1)/INDEX($C198:$AJ208,MATCH(MIN($AK198:$AK208),$AK198:$AK208,0),MATCH(IF('Data-solution'!$A$3="Maximize",MAX($C209:$AI209),MIN($C209:$AI209)),$C209:$AI209,0))),C205)</f>
        <v>0</v>
      </c>
      <c r="D220" s="1">
        <f>IF(OR($B213&lt;&gt;$B198,$B214&lt;&gt;$B199,$B215&lt;&gt;$B200,$B216&lt;&gt;$B201,$B217&lt;&gt;$B202,$B218&lt;&gt;$B203,$B219&lt;&gt;$B204,$B220&lt;&gt;$B205,$B221&lt;&gt;$B206,$B222&lt;&gt;$B207,$B223&lt;&gt;$B208),IF($B220&lt;&gt;$B205,D205/INDEX($C198:$AJ208,8,MATCH(IF('Data-solution'!$A$3="Maximize",MAX($C209:$AI209),MIN($C209:$AI209)),$C209:$AI209,0)),D205-INDEX($C198:$AJ208,8,MATCH(IF('Data-solution'!$A$3="Maximize",MAX($C209:$AI209),MIN($C209:$AI209)),$C209:$AI209,0))*INDEX(D198:$AJ208,MATCH(MIN($AK198:$AK208),$AK198:$AK208,0),1)/INDEX($C198:$AJ208,MATCH(MIN($AK198:$AK208),$AK198:$AK208,0),MATCH(IF('Data-solution'!$A$3="Maximize",MAX($C209:$AI209),MIN($C209:$AI209)),$C209:$AI209,0))),D205)</f>
        <v>0</v>
      </c>
      <c r="E220" s="1">
        <f>IF(OR($B213&lt;&gt;$B198,$B214&lt;&gt;$B199,$B215&lt;&gt;$B200,$B216&lt;&gt;$B201,$B217&lt;&gt;$B202,$B218&lt;&gt;$B203,$B219&lt;&gt;$B204,$B220&lt;&gt;$B205,$B221&lt;&gt;$B206,$B222&lt;&gt;$B207,$B223&lt;&gt;$B208),IF($B220&lt;&gt;$B205,E205/INDEX($C198:$AJ208,8,MATCH(IF('Data-solution'!$A$3="Maximize",MAX($C209:$AI209),MIN($C209:$AI209)),$C209:$AI209,0)),E205-INDEX($C198:$AJ208,8,MATCH(IF('Data-solution'!$A$3="Maximize",MAX($C209:$AI209),MIN($C209:$AI209)),$C209:$AI209,0))*INDEX(E198:$AJ208,MATCH(MIN($AK198:$AK208),$AK198:$AK208,0),1)/INDEX($C198:$AJ208,MATCH(MIN($AK198:$AK208),$AK198:$AK208,0),MATCH(IF('Data-solution'!$A$3="Maximize",MAX($C209:$AI209),MIN($C209:$AI209)),$C209:$AI209,0))),E205)</f>
        <v>0</v>
      </c>
      <c r="F220" s="1">
        <f>IF(OR($B213&lt;&gt;$B198,$B214&lt;&gt;$B199,$B215&lt;&gt;$B200,$B216&lt;&gt;$B201,$B217&lt;&gt;$B202,$B218&lt;&gt;$B203,$B219&lt;&gt;$B204,$B220&lt;&gt;$B205,$B221&lt;&gt;$B206,$B222&lt;&gt;$B207,$B223&lt;&gt;$B208),IF($B220&lt;&gt;$B205,F205/INDEX($C198:$AJ208,8,MATCH(IF('Data-solution'!$A$3="Maximize",MAX($C209:$AI209),MIN($C209:$AI209)),$C209:$AI209,0)),F205-INDEX($C198:$AJ208,8,MATCH(IF('Data-solution'!$A$3="Maximize",MAX($C209:$AI209),MIN($C209:$AI209)),$C209:$AI209,0))*INDEX(F198:$AJ208,MATCH(MIN($AK198:$AK208),$AK198:$AK208,0),1)/INDEX($C198:$AJ208,MATCH(MIN($AK198:$AK208),$AK198:$AK208,0),MATCH(IF('Data-solution'!$A$3="Maximize",MAX($C209:$AI209),MIN($C209:$AI209)),$C209:$AI209,0))),F205)</f>
        <v>0</v>
      </c>
      <c r="G220" s="1">
        <f>IF(OR($B213&lt;&gt;$B198,$B214&lt;&gt;$B199,$B215&lt;&gt;$B200,$B216&lt;&gt;$B201,$B217&lt;&gt;$B202,$B218&lt;&gt;$B203,$B219&lt;&gt;$B204,$B220&lt;&gt;$B205,$B221&lt;&gt;$B206,$B222&lt;&gt;$B207,$B223&lt;&gt;$B208),IF($B220&lt;&gt;$B205,G205/INDEX($C198:$AJ208,8,MATCH(IF('Data-solution'!$A$3="Maximize",MAX($C209:$AI209),MIN($C209:$AI209)),$C209:$AI209,0)),G205-INDEX($C198:$AJ208,8,MATCH(IF('Data-solution'!$A$3="Maximize",MAX($C209:$AI209),MIN($C209:$AI209)),$C209:$AI209,0))*INDEX(G198:$AJ208,MATCH(MIN($AK198:$AK208),$AK198:$AK208,0),1)/INDEX($C198:$AJ208,MATCH(MIN($AK198:$AK208),$AK198:$AK208,0),MATCH(IF('Data-solution'!$A$3="Maximize",MAX($C209:$AI209),MIN($C209:$AI209)),$C209:$AI209,0))),G205)</f>
        <v>0</v>
      </c>
      <c r="H220" s="1">
        <f>IF(OR($B213&lt;&gt;$B198,$B214&lt;&gt;$B199,$B215&lt;&gt;$B200,$B216&lt;&gt;$B201,$B217&lt;&gt;$B202,$B218&lt;&gt;$B203,$B219&lt;&gt;$B204,$B220&lt;&gt;$B205,$B221&lt;&gt;$B206,$B222&lt;&gt;$B207,$B223&lt;&gt;$B208),IF($B220&lt;&gt;$B205,H205/INDEX($C198:$AJ208,8,MATCH(IF('Data-solution'!$A$3="Maximize",MAX($C209:$AI209),MIN($C209:$AI209)),$C209:$AI209,0)),H205-INDEX($C198:$AJ208,8,MATCH(IF('Data-solution'!$A$3="Maximize",MAX($C209:$AI209),MIN($C209:$AI209)),$C209:$AI209,0))*INDEX(H198:$AJ208,MATCH(MIN($AK198:$AK208),$AK198:$AK208,0),1)/INDEX($C198:$AJ208,MATCH(MIN($AK198:$AK208),$AK198:$AK208,0),MATCH(IF('Data-solution'!$A$3="Maximize",MAX($C209:$AI209),MIN($C209:$AI209)),$C209:$AI209,0))),H205)</f>
        <v>0</v>
      </c>
      <c r="I220" s="1">
        <f>IF(OR($B213&lt;&gt;$B198,$B214&lt;&gt;$B199,$B215&lt;&gt;$B200,$B216&lt;&gt;$B201,$B217&lt;&gt;$B202,$B218&lt;&gt;$B203,$B219&lt;&gt;$B204,$B220&lt;&gt;$B205,$B221&lt;&gt;$B206,$B222&lt;&gt;$B207,$B223&lt;&gt;$B208),IF($B220&lt;&gt;$B205,I205/INDEX($C198:$AJ208,8,MATCH(IF('Data-solution'!$A$3="Maximize",MAX($C209:$AI209),MIN($C209:$AI209)),$C209:$AI209,0)),I205-INDEX($C198:$AJ208,8,MATCH(IF('Data-solution'!$A$3="Maximize",MAX($C209:$AI209),MIN($C209:$AI209)),$C209:$AI209,0))*INDEX(I198:$AJ208,MATCH(MIN($AK198:$AK208),$AK198:$AK208,0),1)/INDEX($C198:$AJ208,MATCH(MIN($AK198:$AK208),$AK198:$AK208,0),MATCH(IF('Data-solution'!$A$3="Maximize",MAX($C209:$AI209),MIN($C209:$AI209)),$C209:$AI209,0))),I205)</f>
        <v>0</v>
      </c>
      <c r="J220" s="1">
        <f>IF(OR($B213&lt;&gt;$B198,$B214&lt;&gt;$B199,$B215&lt;&gt;$B200,$B216&lt;&gt;$B201,$B217&lt;&gt;$B202,$B218&lt;&gt;$B203,$B219&lt;&gt;$B204,$B220&lt;&gt;$B205,$B221&lt;&gt;$B206,$B222&lt;&gt;$B207,$B223&lt;&gt;$B208),IF($B220&lt;&gt;$B205,J205/INDEX($C198:$AJ208,8,MATCH(IF('Data-solution'!$A$3="Maximize",MAX($C209:$AI209),MIN($C209:$AI209)),$C209:$AI209,0)),J205-INDEX($C198:$AJ208,8,MATCH(IF('Data-solution'!$A$3="Maximize",MAX($C209:$AI209),MIN($C209:$AI209)),$C209:$AI209,0))*INDEX(J198:$AJ208,MATCH(MIN($AK198:$AK208),$AK198:$AK208,0),1)/INDEX($C198:$AJ208,MATCH(MIN($AK198:$AK208),$AK198:$AK208,0),MATCH(IF('Data-solution'!$A$3="Maximize",MAX($C209:$AI209),MIN($C209:$AI209)),$C209:$AI209,0))),J205)</f>
        <v>0</v>
      </c>
      <c r="K220" s="1">
        <f>IF(OR($B213&lt;&gt;$B198,$B214&lt;&gt;$B199,$B215&lt;&gt;$B200,$B216&lt;&gt;$B201,$B217&lt;&gt;$B202,$B218&lt;&gt;$B203,$B219&lt;&gt;$B204,$B220&lt;&gt;$B205,$B221&lt;&gt;$B206,$B222&lt;&gt;$B207,$B223&lt;&gt;$B208),IF($B220&lt;&gt;$B205,K205/INDEX($C198:$AJ208,8,MATCH(IF('Data-solution'!$A$3="Maximize",MAX($C209:$AI209),MIN($C209:$AI209)),$C209:$AI209,0)),K205-INDEX($C198:$AJ208,8,MATCH(IF('Data-solution'!$A$3="Maximize",MAX($C209:$AI209),MIN($C209:$AI209)),$C209:$AI209,0))*INDEX(K198:$AJ208,MATCH(MIN($AK198:$AK208),$AK198:$AK208,0),1)/INDEX($C198:$AJ208,MATCH(MIN($AK198:$AK208),$AK198:$AK208,0),MATCH(IF('Data-solution'!$A$3="Maximize",MAX($C209:$AI209),MIN($C209:$AI209)),$C209:$AI209,0))),K205)</f>
        <v>0</v>
      </c>
      <c r="L220" s="1">
        <f>IF(OR($B213&lt;&gt;$B198,$B214&lt;&gt;$B199,$B215&lt;&gt;$B200,$B216&lt;&gt;$B201,$B217&lt;&gt;$B202,$B218&lt;&gt;$B203,$B219&lt;&gt;$B204,$B220&lt;&gt;$B205,$B221&lt;&gt;$B206,$B222&lt;&gt;$B207,$B223&lt;&gt;$B208),IF($B220&lt;&gt;$B205,L205/INDEX($C198:$AJ208,8,MATCH(IF('Data-solution'!$A$3="Maximize",MAX($C209:$AI209),MIN($C209:$AI209)),$C209:$AI209,0)),L205-INDEX($C198:$AJ208,8,MATCH(IF('Data-solution'!$A$3="Maximize",MAX($C209:$AI209),MIN($C209:$AI209)),$C209:$AI209,0))*INDEX(L198:$AJ208,MATCH(MIN($AK198:$AK208),$AK198:$AK208,0),1)/INDEX($C198:$AJ208,MATCH(MIN($AK198:$AK208),$AK198:$AK208,0),MATCH(IF('Data-solution'!$A$3="Maximize",MAX($C209:$AI209),MIN($C209:$AI209)),$C209:$AI209,0))),L205)</f>
        <v>0</v>
      </c>
      <c r="M220" s="1">
        <f>IF(OR($B213&lt;&gt;$B198,$B214&lt;&gt;$B199,$B215&lt;&gt;$B200,$B216&lt;&gt;$B201,$B217&lt;&gt;$B202,$B218&lt;&gt;$B203,$B219&lt;&gt;$B204,$B220&lt;&gt;$B205,$B221&lt;&gt;$B206,$B222&lt;&gt;$B207,$B223&lt;&gt;$B208),IF($B220&lt;&gt;$B205,M205/INDEX($C198:$AJ208,8,MATCH(IF('Data-solution'!$A$3="Maximize",MAX($C209:$AI209),MIN($C209:$AI209)),$C209:$AI209,0)),M205-INDEX($C198:$AJ208,8,MATCH(IF('Data-solution'!$A$3="Maximize",MAX($C209:$AI209),MIN($C209:$AI209)),$C209:$AI209,0))*INDEX(M198:$AJ208,MATCH(MIN($AK198:$AK208),$AK198:$AK208,0),1)/INDEX($C198:$AJ208,MATCH(MIN($AK198:$AK208),$AK198:$AK208,0),MATCH(IF('Data-solution'!$A$3="Maximize",MAX($C209:$AI209),MIN($C209:$AI209)),$C209:$AI209,0))),M205)</f>
        <v>0</v>
      </c>
      <c r="N220" s="1">
        <f>IF(OR($B213&lt;&gt;$B198,$B214&lt;&gt;$B199,$B215&lt;&gt;$B200,$B216&lt;&gt;$B201,$B217&lt;&gt;$B202,$B218&lt;&gt;$B203,$B219&lt;&gt;$B204,$B220&lt;&gt;$B205,$B221&lt;&gt;$B206,$B222&lt;&gt;$B207,$B223&lt;&gt;$B208),IF($B220&lt;&gt;$B205,N205/INDEX($C198:$AJ208,8,MATCH(IF('Data-solution'!$A$3="Maximize",MAX($C209:$AI209),MIN($C209:$AI209)),$C209:$AI209,0)),N205-INDEX($C198:$AJ208,8,MATCH(IF('Data-solution'!$A$3="Maximize",MAX($C209:$AI209),MIN($C209:$AI209)),$C209:$AI209,0))*INDEX(N198:$AJ208,MATCH(MIN($AK198:$AK208),$AK198:$AK208,0),1)/INDEX($C198:$AJ208,MATCH(MIN($AK198:$AK208),$AK198:$AK208,0),MATCH(IF('Data-solution'!$A$3="Maximize",MAX($C209:$AI209),MIN($C209:$AI209)),$C209:$AI209,0))),N205)</f>
        <v>0</v>
      </c>
      <c r="O220" s="1">
        <f>IF(OR($B213&lt;&gt;$B198,$B214&lt;&gt;$B199,$B215&lt;&gt;$B200,$B216&lt;&gt;$B201,$B217&lt;&gt;$B202,$B218&lt;&gt;$B203,$B219&lt;&gt;$B204,$B220&lt;&gt;$B205,$B221&lt;&gt;$B206,$B222&lt;&gt;$B207,$B223&lt;&gt;$B208),IF($B220&lt;&gt;$B205,O205/INDEX($C198:$AJ208,8,MATCH(IF('Data-solution'!$A$3="Maximize",MAX($C209:$AI209),MIN($C209:$AI209)),$C209:$AI209,0)),O205-INDEX($C198:$AJ208,8,MATCH(IF('Data-solution'!$A$3="Maximize",MAX($C209:$AI209),MIN($C209:$AI209)),$C209:$AI209,0))*INDEX(O198:$AJ208,MATCH(MIN($AK198:$AK208),$AK198:$AK208,0),1)/INDEX($C198:$AJ208,MATCH(MIN($AK198:$AK208),$AK198:$AK208,0),MATCH(IF('Data-solution'!$A$3="Maximize",MAX($C209:$AI209),MIN($C209:$AI209)),$C209:$AI209,0))),O205)</f>
        <v>0</v>
      </c>
      <c r="P220" s="1">
        <f>IF(OR($B213&lt;&gt;$B198,$B214&lt;&gt;$B199,$B215&lt;&gt;$B200,$B216&lt;&gt;$B201,$B217&lt;&gt;$B202,$B218&lt;&gt;$B203,$B219&lt;&gt;$B204,$B220&lt;&gt;$B205,$B221&lt;&gt;$B206,$B222&lt;&gt;$B207,$B223&lt;&gt;$B208),IF($B220&lt;&gt;$B205,P205/INDEX($C198:$AJ208,8,MATCH(IF('Data-solution'!$A$3="Maximize",MAX($C209:$AI209),MIN($C209:$AI209)),$C209:$AI209,0)),P205-INDEX($C198:$AJ208,8,MATCH(IF('Data-solution'!$A$3="Maximize",MAX($C209:$AI209),MIN($C209:$AI209)),$C209:$AI209,0))*INDEX(P198:$AJ208,MATCH(MIN($AK198:$AK208),$AK198:$AK208,0),1)/INDEX($C198:$AJ208,MATCH(MIN($AK198:$AK208),$AK198:$AK208,0),MATCH(IF('Data-solution'!$A$3="Maximize",MAX($C209:$AI209),MIN($C209:$AI209)),$C209:$AI209,0))),P205)</f>
        <v>0</v>
      </c>
      <c r="Q220" s="1">
        <f>IF(OR($B213&lt;&gt;$B198,$B214&lt;&gt;$B199,$B215&lt;&gt;$B200,$B216&lt;&gt;$B201,$B217&lt;&gt;$B202,$B218&lt;&gt;$B203,$B219&lt;&gt;$B204,$B220&lt;&gt;$B205,$B221&lt;&gt;$B206,$B222&lt;&gt;$B207,$B223&lt;&gt;$B208),IF($B220&lt;&gt;$B205,Q205/INDEX($C198:$AJ208,8,MATCH(IF('Data-solution'!$A$3="Maximize",MAX($C209:$AI209),MIN($C209:$AI209)),$C209:$AI209,0)),Q205-INDEX($C198:$AJ208,8,MATCH(IF('Data-solution'!$A$3="Maximize",MAX($C209:$AI209),MIN($C209:$AI209)),$C209:$AI209,0))*INDEX(Q198:$AJ208,MATCH(MIN($AK198:$AK208),$AK198:$AK208,0),1)/INDEX($C198:$AJ208,MATCH(MIN($AK198:$AK208),$AK198:$AK208,0),MATCH(IF('Data-solution'!$A$3="Maximize",MAX($C209:$AI209),MIN($C209:$AI209)),$C209:$AI209,0))),Q205)</f>
        <v>0</v>
      </c>
      <c r="R220" s="1">
        <f>IF(OR($B213&lt;&gt;$B198,$B214&lt;&gt;$B199,$B215&lt;&gt;$B200,$B216&lt;&gt;$B201,$B217&lt;&gt;$B202,$B218&lt;&gt;$B203,$B219&lt;&gt;$B204,$B220&lt;&gt;$B205,$B221&lt;&gt;$B206,$B222&lt;&gt;$B207,$B223&lt;&gt;$B208),IF($B220&lt;&gt;$B205,R205/INDEX($C198:$AJ208,8,MATCH(IF('Data-solution'!$A$3="Maximize",MAX($C209:$AI209),MIN($C209:$AI209)),$C209:$AI209,0)),R205-INDEX($C198:$AJ208,8,MATCH(IF('Data-solution'!$A$3="Maximize",MAX($C209:$AI209),MIN($C209:$AI209)),$C209:$AI209,0))*INDEX(R198:$AJ208,MATCH(MIN($AK198:$AK208),$AK198:$AK208,0),1)/INDEX($C198:$AJ208,MATCH(MIN($AK198:$AK208),$AK198:$AK208,0),MATCH(IF('Data-solution'!$A$3="Maximize",MAX($C209:$AI209),MIN($C209:$AI209)),$C209:$AI209,0))),R205)</f>
        <v>0</v>
      </c>
      <c r="S220" s="1">
        <f>IF(OR($B213&lt;&gt;$B198,$B214&lt;&gt;$B199,$B215&lt;&gt;$B200,$B216&lt;&gt;$B201,$B217&lt;&gt;$B202,$B218&lt;&gt;$B203,$B219&lt;&gt;$B204,$B220&lt;&gt;$B205,$B221&lt;&gt;$B206,$B222&lt;&gt;$B207,$B223&lt;&gt;$B208),IF($B220&lt;&gt;$B205,S205/INDEX($C198:$AJ208,8,MATCH(IF('Data-solution'!$A$3="Maximize",MAX($C209:$AI209),MIN($C209:$AI209)),$C209:$AI209,0)),S205-INDEX($C198:$AJ208,8,MATCH(IF('Data-solution'!$A$3="Maximize",MAX($C209:$AI209),MIN($C209:$AI209)),$C209:$AI209,0))*INDEX(S198:$AJ208,MATCH(MIN($AK198:$AK208),$AK198:$AK208,0),1)/INDEX($C198:$AJ208,MATCH(MIN($AK198:$AK208),$AK198:$AK208,0),MATCH(IF('Data-solution'!$A$3="Maximize",MAX($C209:$AI209),MIN($C209:$AI209)),$C209:$AI209,0))),S205)</f>
        <v>0</v>
      </c>
      <c r="T220" s="1">
        <f>IF(OR($B213&lt;&gt;$B198,$B214&lt;&gt;$B199,$B215&lt;&gt;$B200,$B216&lt;&gt;$B201,$B217&lt;&gt;$B202,$B218&lt;&gt;$B203,$B219&lt;&gt;$B204,$B220&lt;&gt;$B205,$B221&lt;&gt;$B206,$B222&lt;&gt;$B207,$B223&lt;&gt;$B208),IF($B220&lt;&gt;$B205,T205/INDEX($C198:$AJ208,8,MATCH(IF('Data-solution'!$A$3="Maximize",MAX($C209:$AI209),MIN($C209:$AI209)),$C209:$AI209,0)),T205-INDEX($C198:$AJ208,8,MATCH(IF('Data-solution'!$A$3="Maximize",MAX($C209:$AI209),MIN($C209:$AI209)),$C209:$AI209,0))*INDEX(T198:$AJ208,MATCH(MIN($AK198:$AK208),$AK198:$AK208,0),1)/INDEX($C198:$AJ208,MATCH(MIN($AK198:$AK208),$AK198:$AK208,0),MATCH(IF('Data-solution'!$A$3="Maximize",MAX($C209:$AI209),MIN($C209:$AI209)),$C209:$AI209,0))),T205)</f>
        <v>0</v>
      </c>
      <c r="U220" s="1">
        <f>IF(OR($B213&lt;&gt;$B198,$B214&lt;&gt;$B199,$B215&lt;&gt;$B200,$B216&lt;&gt;$B201,$B217&lt;&gt;$B202,$B218&lt;&gt;$B203,$B219&lt;&gt;$B204,$B220&lt;&gt;$B205,$B221&lt;&gt;$B206,$B222&lt;&gt;$B207,$B223&lt;&gt;$B208),IF($B220&lt;&gt;$B205,U205/INDEX($C198:$AJ208,8,MATCH(IF('Data-solution'!$A$3="Maximize",MAX($C209:$AI209),MIN($C209:$AI209)),$C209:$AI209,0)),U205-INDEX($C198:$AJ208,8,MATCH(IF('Data-solution'!$A$3="Maximize",MAX($C209:$AI209),MIN($C209:$AI209)),$C209:$AI209,0))*INDEX(U198:$AJ208,MATCH(MIN($AK198:$AK208),$AK198:$AK208,0),1)/INDEX($C198:$AJ208,MATCH(MIN($AK198:$AK208),$AK198:$AK208,0),MATCH(IF('Data-solution'!$A$3="Maximize",MAX($C209:$AI209),MIN($C209:$AI209)),$C209:$AI209,0))),U205)</f>
        <v>1</v>
      </c>
      <c r="V220" s="1">
        <f>IF(OR($B213&lt;&gt;$B198,$B214&lt;&gt;$B199,$B215&lt;&gt;$B200,$B216&lt;&gt;$B201,$B217&lt;&gt;$B202,$B218&lt;&gt;$B203,$B219&lt;&gt;$B204,$B220&lt;&gt;$B205,$B221&lt;&gt;$B206,$B222&lt;&gt;$B207,$B223&lt;&gt;$B208),IF($B220&lt;&gt;$B205,V205/INDEX($C198:$AJ208,8,MATCH(IF('Data-solution'!$A$3="Maximize",MAX($C209:$AI209),MIN($C209:$AI209)),$C209:$AI209,0)),V205-INDEX($C198:$AJ208,8,MATCH(IF('Data-solution'!$A$3="Maximize",MAX($C209:$AI209),MIN($C209:$AI209)),$C209:$AI209,0))*INDEX(V198:$AJ208,MATCH(MIN($AK198:$AK208),$AK198:$AK208,0),1)/INDEX($C198:$AJ208,MATCH(MIN($AK198:$AK208),$AK198:$AK208,0),MATCH(IF('Data-solution'!$A$3="Maximize",MAX($C209:$AI209),MIN($C209:$AI209)),$C209:$AI209,0))),V205)</f>
        <v>0</v>
      </c>
      <c r="W220" s="1">
        <f>IF(OR($B213&lt;&gt;$B198,$B214&lt;&gt;$B199,$B215&lt;&gt;$B200,$B216&lt;&gt;$B201,$B217&lt;&gt;$B202,$B218&lt;&gt;$B203,$B219&lt;&gt;$B204,$B220&lt;&gt;$B205,$B221&lt;&gt;$B206,$B222&lt;&gt;$B207,$B223&lt;&gt;$B208),IF($B220&lt;&gt;$B205,W205/INDEX($C198:$AJ208,8,MATCH(IF('Data-solution'!$A$3="Maximize",MAX($C209:$AI209),MIN($C209:$AI209)),$C209:$AI209,0)),W205-INDEX($C198:$AJ208,8,MATCH(IF('Data-solution'!$A$3="Maximize",MAX($C209:$AI209),MIN($C209:$AI209)),$C209:$AI209,0))*INDEX(W198:$AJ208,MATCH(MIN($AK198:$AK208),$AK198:$AK208,0),1)/INDEX($C198:$AJ208,MATCH(MIN($AK198:$AK208),$AK198:$AK208,0),MATCH(IF('Data-solution'!$A$3="Maximize",MAX($C209:$AI209),MIN($C209:$AI209)),$C209:$AI209,0))),W205)</f>
        <v>0</v>
      </c>
      <c r="X220" s="1">
        <f>IF(OR($B213&lt;&gt;$B198,$B214&lt;&gt;$B199,$B215&lt;&gt;$B200,$B216&lt;&gt;$B201,$B217&lt;&gt;$B202,$B218&lt;&gt;$B203,$B219&lt;&gt;$B204,$B220&lt;&gt;$B205,$B221&lt;&gt;$B206,$B222&lt;&gt;$B207,$B223&lt;&gt;$B208),IF($B220&lt;&gt;$B205,X205/INDEX($C198:$AJ208,8,MATCH(IF('Data-solution'!$A$3="Maximize",MAX($C209:$AI209),MIN($C209:$AI209)),$C209:$AI209,0)),X205-INDEX($C198:$AJ208,8,MATCH(IF('Data-solution'!$A$3="Maximize",MAX($C209:$AI209),MIN($C209:$AI209)),$C209:$AI209,0))*INDEX(X198:$AJ208,MATCH(MIN($AK198:$AK208),$AK198:$AK208,0),1)/INDEX($C198:$AJ208,MATCH(MIN($AK198:$AK208),$AK198:$AK208,0),MATCH(IF('Data-solution'!$A$3="Maximize",MAX($C209:$AI209),MIN($C209:$AI209)),$C209:$AI209,0))),X205)</f>
        <v>0</v>
      </c>
      <c r="Y220" s="1">
        <f>IF(OR($B213&lt;&gt;$B198,$B214&lt;&gt;$B199,$B215&lt;&gt;$B200,$B216&lt;&gt;$B201,$B217&lt;&gt;$B202,$B218&lt;&gt;$B203,$B219&lt;&gt;$B204,$B220&lt;&gt;$B205,$B221&lt;&gt;$B206,$B222&lt;&gt;$B207,$B223&lt;&gt;$B208),IF($B220&lt;&gt;$B205,Y205/INDEX($C198:$AJ208,8,MATCH(IF('Data-solution'!$A$3="Maximize",MAX($C209:$AI209),MIN($C209:$AI209)),$C209:$AI209,0)),Y205-INDEX($C198:$AJ208,8,MATCH(IF('Data-solution'!$A$3="Maximize",MAX($C209:$AI209),MIN($C209:$AI209)),$C209:$AI209,0))*INDEX(Y198:$AJ208,MATCH(MIN($AK198:$AK208),$AK198:$AK208,0),1)/INDEX($C198:$AJ208,MATCH(MIN($AK198:$AK208),$AK198:$AK208,0),MATCH(IF('Data-solution'!$A$3="Maximize",MAX($C209:$AI209),MIN($C209:$AI209)),$C209:$AI209,0))),Y205)</f>
        <v>0</v>
      </c>
      <c r="Z220" s="1">
        <f>IF(OR($B213&lt;&gt;$B198,$B214&lt;&gt;$B199,$B215&lt;&gt;$B200,$B216&lt;&gt;$B201,$B217&lt;&gt;$B202,$B218&lt;&gt;$B203,$B219&lt;&gt;$B204,$B220&lt;&gt;$B205,$B221&lt;&gt;$B206,$B222&lt;&gt;$B207,$B223&lt;&gt;$B208),IF($B220&lt;&gt;$B205,Z205/INDEX($C198:$AJ208,8,MATCH(IF('Data-solution'!$A$3="Maximize",MAX($C209:$AI209),MIN($C209:$AI209)),$C209:$AI209,0)),Z205-INDEX($C198:$AJ208,8,MATCH(IF('Data-solution'!$A$3="Maximize",MAX($C209:$AI209),MIN($C209:$AI209)),$C209:$AI209,0))*INDEX(Z198:$AJ208,MATCH(MIN($AK198:$AK208),$AK198:$AK208,0),1)/INDEX($C198:$AJ208,MATCH(MIN($AK198:$AK208),$AK198:$AK208,0),MATCH(IF('Data-solution'!$A$3="Maximize",MAX($C209:$AI209),MIN($C209:$AI209)),$C209:$AI209,0))),Z205)</f>
        <v>0</v>
      </c>
      <c r="AA220" s="1">
        <f>IF(OR($B213&lt;&gt;$B198,$B214&lt;&gt;$B199,$B215&lt;&gt;$B200,$B216&lt;&gt;$B201,$B217&lt;&gt;$B202,$B218&lt;&gt;$B203,$B219&lt;&gt;$B204,$B220&lt;&gt;$B205,$B221&lt;&gt;$B206,$B222&lt;&gt;$B207,$B223&lt;&gt;$B208),IF($B220&lt;&gt;$B205,AA205/INDEX($C198:$AJ208,8,MATCH(IF('Data-solution'!$A$3="Maximize",MAX($C209:$AI209),MIN($C209:$AI209)),$C209:$AI209,0)),AA205-INDEX($C198:$AJ208,8,MATCH(IF('Data-solution'!$A$3="Maximize",MAX($C209:$AI209),MIN($C209:$AI209)),$C209:$AI209,0))*INDEX(AA198:$AJ208,MATCH(MIN($AK198:$AK208),$AK198:$AK208,0),1)/INDEX($C198:$AJ208,MATCH(MIN($AK198:$AK208),$AK198:$AK208,0),MATCH(IF('Data-solution'!$A$3="Maximize",MAX($C209:$AI209),MIN($C209:$AI209)),$C209:$AI209,0))),AA205)</f>
        <v>0</v>
      </c>
      <c r="AB220" s="1">
        <f>IF(OR($B213&lt;&gt;$B198,$B214&lt;&gt;$B199,$B215&lt;&gt;$B200,$B216&lt;&gt;$B201,$B217&lt;&gt;$B202,$B218&lt;&gt;$B203,$B219&lt;&gt;$B204,$B220&lt;&gt;$B205,$B221&lt;&gt;$B206,$B222&lt;&gt;$B207,$B223&lt;&gt;$B208),IF($B220&lt;&gt;$B205,AB205/INDEX($C198:$AJ208,8,MATCH(IF('Data-solution'!$A$3="Maximize",MAX($C209:$AI209),MIN($C209:$AI209)),$C209:$AI209,0)),AB205-INDEX($C198:$AJ208,8,MATCH(IF('Data-solution'!$A$3="Maximize",MAX($C209:$AI209),MIN($C209:$AI209)),$C209:$AI209,0))*INDEX(AB198:$AJ208,MATCH(MIN($AK198:$AK208),$AK198:$AK208,0),1)/INDEX($C198:$AJ208,MATCH(MIN($AK198:$AK208),$AK198:$AK208,0),MATCH(IF('Data-solution'!$A$3="Maximize",MAX($C209:$AI209),MIN($C209:$AI209)),$C209:$AI209,0))),AB205)</f>
        <v>0</v>
      </c>
      <c r="AC220" s="1">
        <f>IF(OR($B213&lt;&gt;$B198,$B214&lt;&gt;$B199,$B215&lt;&gt;$B200,$B216&lt;&gt;$B201,$B217&lt;&gt;$B202,$B218&lt;&gt;$B203,$B219&lt;&gt;$B204,$B220&lt;&gt;$B205,$B221&lt;&gt;$B206,$B222&lt;&gt;$B207,$B223&lt;&gt;$B208),IF($B220&lt;&gt;$B205,AC205/INDEX($C198:$AJ208,8,MATCH(IF('Data-solution'!$A$3="Maximize",MAX($C209:$AI209),MIN($C209:$AI209)),$C209:$AI209,0)),AC205-INDEX($C198:$AJ208,8,MATCH(IF('Data-solution'!$A$3="Maximize",MAX($C209:$AI209),MIN($C209:$AI209)),$C209:$AI209,0))*INDEX(AC198:$AJ208,MATCH(MIN($AK198:$AK208),$AK198:$AK208,0),1)/INDEX($C198:$AJ208,MATCH(MIN($AK198:$AK208),$AK198:$AK208,0),MATCH(IF('Data-solution'!$A$3="Maximize",MAX($C209:$AI209),MIN($C209:$AI209)),$C209:$AI209,0))),AC205)</f>
        <v>0</v>
      </c>
      <c r="AD220" s="1">
        <f>IF(OR($B213&lt;&gt;$B198,$B214&lt;&gt;$B199,$B215&lt;&gt;$B200,$B216&lt;&gt;$B201,$B217&lt;&gt;$B202,$B218&lt;&gt;$B203,$B219&lt;&gt;$B204,$B220&lt;&gt;$B205,$B221&lt;&gt;$B206,$B222&lt;&gt;$B207,$B223&lt;&gt;$B208),IF($B220&lt;&gt;$B205,AD205/INDEX($C198:$AJ208,8,MATCH(IF('Data-solution'!$A$3="Maximize",MAX($C209:$AI209),MIN($C209:$AI209)),$C209:$AI209,0)),AD205-INDEX($C198:$AJ208,8,MATCH(IF('Data-solution'!$A$3="Maximize",MAX($C209:$AI209),MIN($C209:$AI209)),$C209:$AI209,0))*INDEX(AD198:$AJ208,MATCH(MIN($AK198:$AK208),$AK198:$AK208,0),1)/INDEX($C198:$AJ208,MATCH(MIN($AK198:$AK208),$AK198:$AK208,0),MATCH(IF('Data-solution'!$A$3="Maximize",MAX($C209:$AI209),MIN($C209:$AI209)),$C209:$AI209,0))),AD205)</f>
        <v>0</v>
      </c>
      <c r="AE220" s="1">
        <f>IF(OR($B213&lt;&gt;$B198,$B214&lt;&gt;$B199,$B215&lt;&gt;$B200,$B216&lt;&gt;$B201,$B217&lt;&gt;$B202,$B218&lt;&gt;$B203,$B219&lt;&gt;$B204,$B220&lt;&gt;$B205,$B221&lt;&gt;$B206,$B222&lt;&gt;$B207,$B223&lt;&gt;$B208),IF($B220&lt;&gt;$B205,AE205/INDEX($C198:$AJ208,8,MATCH(IF('Data-solution'!$A$3="Maximize",MAX($C209:$AI209),MIN($C209:$AI209)),$C209:$AI209,0)),AE205-INDEX($C198:$AJ208,8,MATCH(IF('Data-solution'!$A$3="Maximize",MAX($C209:$AI209),MIN($C209:$AI209)),$C209:$AI209,0))*INDEX(AE198:$AJ208,MATCH(MIN($AK198:$AK208),$AK198:$AK208,0),1)/INDEX($C198:$AJ208,MATCH(MIN($AK198:$AK208),$AK198:$AK208,0),MATCH(IF('Data-solution'!$A$3="Maximize",MAX($C209:$AI209),MIN($C209:$AI209)),$C209:$AI209,0))),AE205)</f>
        <v>0</v>
      </c>
      <c r="AF220" s="1">
        <f>IF(OR($B213&lt;&gt;$B198,$B214&lt;&gt;$B199,$B215&lt;&gt;$B200,$B216&lt;&gt;$B201,$B217&lt;&gt;$B202,$B218&lt;&gt;$B203,$B219&lt;&gt;$B204,$B220&lt;&gt;$B205,$B221&lt;&gt;$B206,$B222&lt;&gt;$B207,$B223&lt;&gt;$B208),IF($B220&lt;&gt;$B205,AF205/INDEX($C198:$AJ208,8,MATCH(IF('Data-solution'!$A$3="Maximize",MAX($C209:$AI209),MIN($C209:$AI209)),$C209:$AI209,0)),AF205-INDEX($C198:$AJ208,8,MATCH(IF('Data-solution'!$A$3="Maximize",MAX($C209:$AI209),MIN($C209:$AI209)),$C209:$AI209,0))*INDEX(AF198:$AJ208,MATCH(MIN($AK198:$AK208),$AK198:$AK208,0),1)/INDEX($C198:$AJ208,MATCH(MIN($AK198:$AK208),$AK198:$AK208,0),MATCH(IF('Data-solution'!$A$3="Maximize",MAX($C209:$AI209),MIN($C209:$AI209)),$C209:$AI209,0))),AF205)</f>
        <v>1</v>
      </c>
      <c r="AG220" s="1">
        <f>IF(OR($B213&lt;&gt;$B198,$B214&lt;&gt;$B199,$B215&lt;&gt;$B200,$B216&lt;&gt;$B201,$B217&lt;&gt;$B202,$B218&lt;&gt;$B203,$B219&lt;&gt;$B204,$B220&lt;&gt;$B205,$B221&lt;&gt;$B206,$B222&lt;&gt;$B207,$B223&lt;&gt;$B208),IF($B220&lt;&gt;$B205,AG205/INDEX($C198:$AJ208,8,MATCH(IF('Data-solution'!$A$3="Maximize",MAX($C209:$AI209),MIN($C209:$AI209)),$C209:$AI209,0)),AG205-INDEX($C198:$AJ208,8,MATCH(IF('Data-solution'!$A$3="Maximize",MAX($C209:$AI209),MIN($C209:$AI209)),$C209:$AI209,0))*INDEX(AG198:$AJ208,MATCH(MIN($AK198:$AK208),$AK198:$AK208,0),1)/INDEX($C198:$AJ208,MATCH(MIN($AK198:$AK208),$AK198:$AK208,0),MATCH(IF('Data-solution'!$A$3="Maximize",MAX($C209:$AI209),MIN($C209:$AI209)),$C209:$AI209,0))),AG205)</f>
        <v>0</v>
      </c>
      <c r="AH220" s="1">
        <f>IF(OR($B213&lt;&gt;$B198,$B214&lt;&gt;$B199,$B215&lt;&gt;$B200,$B216&lt;&gt;$B201,$B217&lt;&gt;$B202,$B218&lt;&gt;$B203,$B219&lt;&gt;$B204,$B220&lt;&gt;$B205,$B221&lt;&gt;$B206,$B222&lt;&gt;$B207,$B223&lt;&gt;$B208),IF($B220&lt;&gt;$B205,AH205/INDEX($C198:$AJ208,8,MATCH(IF('Data-solution'!$A$3="Maximize",MAX($C209:$AI209),MIN($C209:$AI209)),$C209:$AI209,0)),AH205-INDEX($C198:$AJ208,8,MATCH(IF('Data-solution'!$A$3="Maximize",MAX($C209:$AI209),MIN($C209:$AI209)),$C209:$AI209,0))*INDEX(AH198:$AJ208,MATCH(MIN($AK198:$AK208),$AK198:$AK208,0),1)/INDEX($C198:$AJ208,MATCH(MIN($AK198:$AK208),$AK198:$AK208,0),MATCH(IF('Data-solution'!$A$3="Maximize",MAX($C209:$AI209),MIN($C209:$AI209)),$C209:$AI209,0))),AH205)</f>
        <v>0</v>
      </c>
      <c r="AI220" s="1">
        <f>IF(OR($B213&lt;&gt;$B198,$B214&lt;&gt;$B199,$B215&lt;&gt;$B200,$B216&lt;&gt;$B201,$B217&lt;&gt;$B202,$B218&lt;&gt;$B203,$B219&lt;&gt;$B204,$B220&lt;&gt;$B205,$B221&lt;&gt;$B206,$B222&lt;&gt;$B207,$B223&lt;&gt;$B208),IF($B220&lt;&gt;$B205,AI205/INDEX($C198:$AJ208,8,MATCH(IF('Data-solution'!$A$3="Maximize",MAX($C209:$AI209),MIN($C209:$AI209)),$C209:$AI209,0)),AI205-INDEX($C198:$AJ208,8,MATCH(IF('Data-solution'!$A$3="Maximize",MAX($C209:$AI209),MIN($C209:$AI209)),$C209:$AI209,0))*INDEX(AI198:$AJ208,MATCH(MIN($AK198:$AK208),$AK198:$AK208,0),1)/INDEX($C198:$AJ208,MATCH(MIN($AK198:$AK208),$AK198:$AK208,0),MATCH(IF('Data-solution'!$A$3="Maximize",MAX($C209:$AI209),MIN($C209:$AI209)),$C209:$AI209,0))),AI205)</f>
        <v>0</v>
      </c>
      <c r="AJ220" s="1">
        <f>IF(OR($B213&lt;&gt;$B198,$B214&lt;&gt;$B199,$B215&lt;&gt;$B200,$B216&lt;&gt;$B201,$B217&lt;&gt;$B202,$B218&lt;&gt;$B203,$B219&lt;&gt;$B204,$B220&lt;&gt;$B205,$B221&lt;&gt;$B206,$B222&lt;&gt;$B207,$B223&lt;&gt;$B208),IF($B220&lt;&gt;$B205,AJ205/INDEX($C198:$AJ208,8,MATCH(IF('Data-solution'!$A$3="Maximize",MAX($C209:$AI209),MIN($C209:$AI209)),$C209:$AI209,0)),AJ205-INDEX($C198:$AJ208,8,MATCH(IF('Data-solution'!$A$3="Maximize",MAX($C209:$AI209),MIN($C209:$AI209)),$C209:$AI209,0))*INDEX(AJ198:$AJ208,MATCH(MIN($AK198:$AK208),$AK198:$AK208,0),1)/INDEX($C198:$AJ208,MATCH(MIN($AK198:$AK208),$AK198:$AK208,0),MATCH(IF('Data-solution'!$A$3="Maximize",MAX($C209:$AI209),MIN($C209:$AI209)),$C209:$AI209,0))),AJ205)</f>
        <v>0</v>
      </c>
      <c r="AK220" s="1" t="str">
        <f>IF(INDEX(C220:X220,1,MATCH(IF('Data-solution'!A$3="Maximize",MAX(C224:X224),MIN(C224:X224)),C224:X224,0))&gt;0,AJ220/INDEX(C220:X220,1,MATCH(IF('Data-solution'!A$3="Maximize",MAX(C224:X224),MIN(C224:X224)),C224:X224,0))," ")</f>
        <v xml:space="preserve"> </v>
      </c>
    </row>
    <row r="221" spans="1:37" ht="18" customHeight="1" x14ac:dyDescent="0.2">
      <c r="A221" s="1">
        <f t="shared" ref="A221" si="192">INDEX(C211:AI211,1,MATCH(B221,C212:AI212,0))</f>
        <v>0</v>
      </c>
      <c r="B221" s="2" t="str">
        <f>IF(AND('Data-solution'!A$3="Maximize",COUNTIF(C209:X209,"&gt;"&amp;0)&gt;0,AK206=MIN(AK198:AK208),COUNTIF(B213:B220,INDEX(C197:X197,1,MATCH(MAX(C209:X209),C209:X209,0)))=0),INDEX(C197:X197,1,MATCH(MAX(C209:X209),C209:X209,0)),IF(AND('Data-solution'!A$3="Minimize",COUNTIF(C209:X209,"&lt;"&amp;0)&gt;0,AK206=MIN(AK198:AK208),COUNTIF(B213:B220,INDEX(C197:X197,1,MATCH(MIN(C209:X209),C209:X209,0)))=0),INDEX(C197:X197,1,MATCH(MIN(C209:X209),C209:X209,0)),B206))</f>
        <v>S9</v>
      </c>
      <c r="C221" s="1">
        <f>IF(OR($B213&lt;&gt;$B198,$B214&lt;&gt;$B199,$B215&lt;&gt;$B200,$B216&lt;&gt;$B201,$B217&lt;&gt;$B202,$B218&lt;&gt;$B203,$B219&lt;&gt;$B204,$B220&lt;&gt;$B205,$B221&lt;&gt;$B206,$B222&lt;&gt;$B207,$B223&lt;&gt;$B208),IF($B221&lt;&gt;$B206,C206/INDEX($C198:$AJ208,9,MATCH(IF('Data-solution'!$A$3="Maximize",MAX($C209:$AI209),MIN($C209:$AI209)),$C209:$AI209,0)),C206-INDEX($C198:$AJ208,9,MATCH(IF('Data-solution'!$A$3="Maximize",MAX($C209:$AI209),MIN($C209:$AI209)),$C209:$AI209,0))*INDEX(C198:$AJ208,MATCH(MIN($AK198:$AK208),$AK198:$AK208,0),1)/INDEX($C198:$AJ208,MATCH(MIN($AK198:$AK208),$AK198:$AK208,0),MATCH(IF('Data-solution'!$A$3="Maximize",MAX($C209:$AI209),MIN($C209:$AI209)),$C209:$AI209,0))),C206)</f>
        <v>0</v>
      </c>
      <c r="D221" s="1">
        <f>IF(OR($B213&lt;&gt;$B198,$B214&lt;&gt;$B199,$B215&lt;&gt;$B200,$B216&lt;&gt;$B201,$B217&lt;&gt;$B202,$B218&lt;&gt;$B203,$B219&lt;&gt;$B204,$B220&lt;&gt;$B205,$B221&lt;&gt;$B206,$B222&lt;&gt;$B207,$B223&lt;&gt;$B208),IF($B221&lt;&gt;$B206,D206/INDEX($C198:$AJ208,9,MATCH(IF('Data-solution'!$A$3="Maximize",MAX($C209:$AI209),MIN($C209:$AI209)),$C209:$AI209,0)),D206-INDEX($C198:$AJ208,9,MATCH(IF('Data-solution'!$A$3="Maximize",MAX($C209:$AI209),MIN($C209:$AI209)),$C209:$AI209,0))*INDEX(D198:$AJ208,MATCH(MIN($AK198:$AK208),$AK198:$AK208,0),1)/INDEX($C198:$AJ208,MATCH(MIN($AK198:$AK208),$AK198:$AK208,0),MATCH(IF('Data-solution'!$A$3="Maximize",MAX($C209:$AI209),MIN($C209:$AI209)),$C209:$AI209,0))),D206)</f>
        <v>0</v>
      </c>
      <c r="E221" s="1">
        <f>IF(OR($B213&lt;&gt;$B198,$B214&lt;&gt;$B199,$B215&lt;&gt;$B200,$B216&lt;&gt;$B201,$B217&lt;&gt;$B202,$B218&lt;&gt;$B203,$B219&lt;&gt;$B204,$B220&lt;&gt;$B205,$B221&lt;&gt;$B206,$B222&lt;&gt;$B207,$B223&lt;&gt;$B208),IF($B221&lt;&gt;$B206,E206/INDEX($C198:$AJ208,9,MATCH(IF('Data-solution'!$A$3="Maximize",MAX($C209:$AI209),MIN($C209:$AI209)),$C209:$AI209,0)),E206-INDEX($C198:$AJ208,9,MATCH(IF('Data-solution'!$A$3="Maximize",MAX($C209:$AI209),MIN($C209:$AI209)),$C209:$AI209,0))*INDEX(E198:$AJ208,MATCH(MIN($AK198:$AK208),$AK198:$AK208,0),1)/INDEX($C198:$AJ208,MATCH(MIN($AK198:$AK208),$AK198:$AK208,0),MATCH(IF('Data-solution'!$A$3="Maximize",MAX($C209:$AI209),MIN($C209:$AI209)),$C209:$AI209,0))),E206)</f>
        <v>0</v>
      </c>
      <c r="F221" s="1">
        <f>IF(OR($B213&lt;&gt;$B198,$B214&lt;&gt;$B199,$B215&lt;&gt;$B200,$B216&lt;&gt;$B201,$B217&lt;&gt;$B202,$B218&lt;&gt;$B203,$B219&lt;&gt;$B204,$B220&lt;&gt;$B205,$B221&lt;&gt;$B206,$B222&lt;&gt;$B207,$B223&lt;&gt;$B208),IF($B221&lt;&gt;$B206,F206/INDEX($C198:$AJ208,9,MATCH(IF('Data-solution'!$A$3="Maximize",MAX($C209:$AI209),MIN($C209:$AI209)),$C209:$AI209,0)),F206-INDEX($C198:$AJ208,9,MATCH(IF('Data-solution'!$A$3="Maximize",MAX($C209:$AI209),MIN($C209:$AI209)),$C209:$AI209,0))*INDEX(F198:$AJ208,MATCH(MIN($AK198:$AK208),$AK198:$AK208,0),1)/INDEX($C198:$AJ208,MATCH(MIN($AK198:$AK208),$AK198:$AK208,0),MATCH(IF('Data-solution'!$A$3="Maximize",MAX($C209:$AI209),MIN($C209:$AI209)),$C209:$AI209,0))),F206)</f>
        <v>0</v>
      </c>
      <c r="G221" s="1">
        <f>IF(OR($B213&lt;&gt;$B198,$B214&lt;&gt;$B199,$B215&lt;&gt;$B200,$B216&lt;&gt;$B201,$B217&lt;&gt;$B202,$B218&lt;&gt;$B203,$B219&lt;&gt;$B204,$B220&lt;&gt;$B205,$B221&lt;&gt;$B206,$B222&lt;&gt;$B207,$B223&lt;&gt;$B208),IF($B221&lt;&gt;$B206,G206/INDEX($C198:$AJ208,9,MATCH(IF('Data-solution'!$A$3="Maximize",MAX($C209:$AI209),MIN($C209:$AI209)),$C209:$AI209,0)),G206-INDEX($C198:$AJ208,9,MATCH(IF('Data-solution'!$A$3="Maximize",MAX($C209:$AI209),MIN($C209:$AI209)),$C209:$AI209,0))*INDEX(G198:$AJ208,MATCH(MIN($AK198:$AK208),$AK198:$AK208,0),1)/INDEX($C198:$AJ208,MATCH(MIN($AK198:$AK208),$AK198:$AK208,0),MATCH(IF('Data-solution'!$A$3="Maximize",MAX($C209:$AI209),MIN($C209:$AI209)),$C209:$AI209,0))),G206)</f>
        <v>0</v>
      </c>
      <c r="H221" s="1">
        <f>IF(OR($B213&lt;&gt;$B198,$B214&lt;&gt;$B199,$B215&lt;&gt;$B200,$B216&lt;&gt;$B201,$B217&lt;&gt;$B202,$B218&lt;&gt;$B203,$B219&lt;&gt;$B204,$B220&lt;&gt;$B205,$B221&lt;&gt;$B206,$B222&lt;&gt;$B207,$B223&lt;&gt;$B208),IF($B221&lt;&gt;$B206,H206/INDEX($C198:$AJ208,9,MATCH(IF('Data-solution'!$A$3="Maximize",MAX($C209:$AI209),MIN($C209:$AI209)),$C209:$AI209,0)),H206-INDEX($C198:$AJ208,9,MATCH(IF('Data-solution'!$A$3="Maximize",MAX($C209:$AI209),MIN($C209:$AI209)),$C209:$AI209,0))*INDEX(H198:$AJ208,MATCH(MIN($AK198:$AK208),$AK198:$AK208,0),1)/INDEX($C198:$AJ208,MATCH(MIN($AK198:$AK208),$AK198:$AK208,0),MATCH(IF('Data-solution'!$A$3="Maximize",MAX($C209:$AI209),MIN($C209:$AI209)),$C209:$AI209,0))),H206)</f>
        <v>0</v>
      </c>
      <c r="I221" s="1">
        <f>IF(OR($B213&lt;&gt;$B198,$B214&lt;&gt;$B199,$B215&lt;&gt;$B200,$B216&lt;&gt;$B201,$B217&lt;&gt;$B202,$B218&lt;&gt;$B203,$B219&lt;&gt;$B204,$B220&lt;&gt;$B205,$B221&lt;&gt;$B206,$B222&lt;&gt;$B207,$B223&lt;&gt;$B208),IF($B221&lt;&gt;$B206,I206/INDEX($C198:$AJ208,9,MATCH(IF('Data-solution'!$A$3="Maximize",MAX($C209:$AI209),MIN($C209:$AI209)),$C209:$AI209,0)),I206-INDEX($C198:$AJ208,9,MATCH(IF('Data-solution'!$A$3="Maximize",MAX($C209:$AI209),MIN($C209:$AI209)),$C209:$AI209,0))*INDEX(I198:$AJ208,MATCH(MIN($AK198:$AK208),$AK198:$AK208,0),1)/INDEX($C198:$AJ208,MATCH(MIN($AK198:$AK208),$AK198:$AK208,0),MATCH(IF('Data-solution'!$A$3="Maximize",MAX($C209:$AI209),MIN($C209:$AI209)),$C209:$AI209,0))),I206)</f>
        <v>0</v>
      </c>
      <c r="J221" s="1">
        <f>IF(OR($B213&lt;&gt;$B198,$B214&lt;&gt;$B199,$B215&lt;&gt;$B200,$B216&lt;&gt;$B201,$B217&lt;&gt;$B202,$B218&lt;&gt;$B203,$B219&lt;&gt;$B204,$B220&lt;&gt;$B205,$B221&lt;&gt;$B206,$B222&lt;&gt;$B207,$B223&lt;&gt;$B208),IF($B221&lt;&gt;$B206,J206/INDEX($C198:$AJ208,9,MATCH(IF('Data-solution'!$A$3="Maximize",MAX($C209:$AI209),MIN($C209:$AI209)),$C209:$AI209,0)),J206-INDEX($C198:$AJ208,9,MATCH(IF('Data-solution'!$A$3="Maximize",MAX($C209:$AI209),MIN($C209:$AI209)),$C209:$AI209,0))*INDEX(J198:$AJ208,MATCH(MIN($AK198:$AK208),$AK198:$AK208,0),1)/INDEX($C198:$AJ208,MATCH(MIN($AK198:$AK208),$AK198:$AK208,0),MATCH(IF('Data-solution'!$A$3="Maximize",MAX($C209:$AI209),MIN($C209:$AI209)),$C209:$AI209,0))),J206)</f>
        <v>0</v>
      </c>
      <c r="K221" s="1">
        <f>IF(OR($B213&lt;&gt;$B198,$B214&lt;&gt;$B199,$B215&lt;&gt;$B200,$B216&lt;&gt;$B201,$B217&lt;&gt;$B202,$B218&lt;&gt;$B203,$B219&lt;&gt;$B204,$B220&lt;&gt;$B205,$B221&lt;&gt;$B206,$B222&lt;&gt;$B207,$B223&lt;&gt;$B208),IF($B221&lt;&gt;$B206,K206/INDEX($C198:$AJ208,9,MATCH(IF('Data-solution'!$A$3="Maximize",MAX($C209:$AI209),MIN($C209:$AI209)),$C209:$AI209,0)),K206-INDEX($C198:$AJ208,9,MATCH(IF('Data-solution'!$A$3="Maximize",MAX($C209:$AI209),MIN($C209:$AI209)),$C209:$AI209,0))*INDEX(K198:$AJ208,MATCH(MIN($AK198:$AK208),$AK198:$AK208,0),1)/INDEX($C198:$AJ208,MATCH(MIN($AK198:$AK208),$AK198:$AK208,0),MATCH(IF('Data-solution'!$A$3="Maximize",MAX($C209:$AI209),MIN($C209:$AI209)),$C209:$AI209,0))),K206)</f>
        <v>0</v>
      </c>
      <c r="L221" s="1">
        <f>IF(OR($B213&lt;&gt;$B198,$B214&lt;&gt;$B199,$B215&lt;&gt;$B200,$B216&lt;&gt;$B201,$B217&lt;&gt;$B202,$B218&lt;&gt;$B203,$B219&lt;&gt;$B204,$B220&lt;&gt;$B205,$B221&lt;&gt;$B206,$B222&lt;&gt;$B207,$B223&lt;&gt;$B208),IF($B221&lt;&gt;$B206,L206/INDEX($C198:$AJ208,9,MATCH(IF('Data-solution'!$A$3="Maximize",MAX($C209:$AI209),MIN($C209:$AI209)),$C209:$AI209,0)),L206-INDEX($C198:$AJ208,9,MATCH(IF('Data-solution'!$A$3="Maximize",MAX($C209:$AI209),MIN($C209:$AI209)),$C209:$AI209,0))*INDEX(L198:$AJ208,MATCH(MIN($AK198:$AK208),$AK198:$AK208,0),1)/INDEX($C198:$AJ208,MATCH(MIN($AK198:$AK208),$AK198:$AK208,0),MATCH(IF('Data-solution'!$A$3="Maximize",MAX($C209:$AI209),MIN($C209:$AI209)),$C209:$AI209,0))),L206)</f>
        <v>0</v>
      </c>
      <c r="M221" s="1">
        <f>IF(OR($B213&lt;&gt;$B198,$B214&lt;&gt;$B199,$B215&lt;&gt;$B200,$B216&lt;&gt;$B201,$B217&lt;&gt;$B202,$B218&lt;&gt;$B203,$B219&lt;&gt;$B204,$B220&lt;&gt;$B205,$B221&lt;&gt;$B206,$B222&lt;&gt;$B207,$B223&lt;&gt;$B208),IF($B221&lt;&gt;$B206,M206/INDEX($C198:$AJ208,9,MATCH(IF('Data-solution'!$A$3="Maximize",MAX($C209:$AI209),MIN($C209:$AI209)),$C209:$AI209,0)),M206-INDEX($C198:$AJ208,9,MATCH(IF('Data-solution'!$A$3="Maximize",MAX($C209:$AI209),MIN($C209:$AI209)),$C209:$AI209,0))*INDEX(M198:$AJ208,MATCH(MIN($AK198:$AK208),$AK198:$AK208,0),1)/INDEX($C198:$AJ208,MATCH(MIN($AK198:$AK208),$AK198:$AK208,0),MATCH(IF('Data-solution'!$A$3="Maximize",MAX($C209:$AI209),MIN($C209:$AI209)),$C209:$AI209,0))),M206)</f>
        <v>0</v>
      </c>
      <c r="N221" s="1">
        <f>IF(OR($B213&lt;&gt;$B198,$B214&lt;&gt;$B199,$B215&lt;&gt;$B200,$B216&lt;&gt;$B201,$B217&lt;&gt;$B202,$B218&lt;&gt;$B203,$B219&lt;&gt;$B204,$B220&lt;&gt;$B205,$B221&lt;&gt;$B206,$B222&lt;&gt;$B207,$B223&lt;&gt;$B208),IF($B221&lt;&gt;$B206,N206/INDEX($C198:$AJ208,9,MATCH(IF('Data-solution'!$A$3="Maximize",MAX($C209:$AI209),MIN($C209:$AI209)),$C209:$AI209,0)),N206-INDEX($C198:$AJ208,9,MATCH(IF('Data-solution'!$A$3="Maximize",MAX($C209:$AI209),MIN($C209:$AI209)),$C209:$AI209,0))*INDEX(N198:$AJ208,MATCH(MIN($AK198:$AK208),$AK198:$AK208,0),1)/INDEX($C198:$AJ208,MATCH(MIN($AK198:$AK208),$AK198:$AK208,0),MATCH(IF('Data-solution'!$A$3="Maximize",MAX($C209:$AI209),MIN($C209:$AI209)),$C209:$AI209,0))),N206)</f>
        <v>0</v>
      </c>
      <c r="O221" s="1">
        <f>IF(OR($B213&lt;&gt;$B198,$B214&lt;&gt;$B199,$B215&lt;&gt;$B200,$B216&lt;&gt;$B201,$B217&lt;&gt;$B202,$B218&lt;&gt;$B203,$B219&lt;&gt;$B204,$B220&lt;&gt;$B205,$B221&lt;&gt;$B206,$B222&lt;&gt;$B207,$B223&lt;&gt;$B208),IF($B221&lt;&gt;$B206,O206/INDEX($C198:$AJ208,9,MATCH(IF('Data-solution'!$A$3="Maximize",MAX($C209:$AI209),MIN($C209:$AI209)),$C209:$AI209,0)),O206-INDEX($C198:$AJ208,9,MATCH(IF('Data-solution'!$A$3="Maximize",MAX($C209:$AI209),MIN($C209:$AI209)),$C209:$AI209,0))*INDEX(O198:$AJ208,MATCH(MIN($AK198:$AK208),$AK198:$AK208,0),1)/INDEX($C198:$AJ208,MATCH(MIN($AK198:$AK208),$AK198:$AK208,0),MATCH(IF('Data-solution'!$A$3="Maximize",MAX($C209:$AI209),MIN($C209:$AI209)),$C209:$AI209,0))),O206)</f>
        <v>0</v>
      </c>
      <c r="P221" s="1">
        <f>IF(OR($B213&lt;&gt;$B198,$B214&lt;&gt;$B199,$B215&lt;&gt;$B200,$B216&lt;&gt;$B201,$B217&lt;&gt;$B202,$B218&lt;&gt;$B203,$B219&lt;&gt;$B204,$B220&lt;&gt;$B205,$B221&lt;&gt;$B206,$B222&lt;&gt;$B207,$B223&lt;&gt;$B208),IF($B221&lt;&gt;$B206,P206/INDEX($C198:$AJ208,9,MATCH(IF('Data-solution'!$A$3="Maximize",MAX($C209:$AI209),MIN($C209:$AI209)),$C209:$AI209,0)),P206-INDEX($C198:$AJ208,9,MATCH(IF('Data-solution'!$A$3="Maximize",MAX($C209:$AI209),MIN($C209:$AI209)),$C209:$AI209,0))*INDEX(P198:$AJ208,MATCH(MIN($AK198:$AK208),$AK198:$AK208,0),1)/INDEX($C198:$AJ208,MATCH(MIN($AK198:$AK208),$AK198:$AK208,0),MATCH(IF('Data-solution'!$A$3="Maximize",MAX($C209:$AI209),MIN($C209:$AI209)),$C209:$AI209,0))),P206)</f>
        <v>0</v>
      </c>
      <c r="Q221" s="1">
        <f>IF(OR($B213&lt;&gt;$B198,$B214&lt;&gt;$B199,$B215&lt;&gt;$B200,$B216&lt;&gt;$B201,$B217&lt;&gt;$B202,$B218&lt;&gt;$B203,$B219&lt;&gt;$B204,$B220&lt;&gt;$B205,$B221&lt;&gt;$B206,$B222&lt;&gt;$B207,$B223&lt;&gt;$B208),IF($B221&lt;&gt;$B206,Q206/INDEX($C198:$AJ208,9,MATCH(IF('Data-solution'!$A$3="Maximize",MAX($C209:$AI209),MIN($C209:$AI209)),$C209:$AI209,0)),Q206-INDEX($C198:$AJ208,9,MATCH(IF('Data-solution'!$A$3="Maximize",MAX($C209:$AI209),MIN($C209:$AI209)),$C209:$AI209,0))*INDEX(Q198:$AJ208,MATCH(MIN($AK198:$AK208),$AK198:$AK208,0),1)/INDEX($C198:$AJ208,MATCH(MIN($AK198:$AK208),$AK198:$AK208,0),MATCH(IF('Data-solution'!$A$3="Maximize",MAX($C209:$AI209),MIN($C209:$AI209)),$C209:$AI209,0))),Q206)</f>
        <v>0</v>
      </c>
      <c r="R221" s="1">
        <f>IF(OR($B213&lt;&gt;$B198,$B214&lt;&gt;$B199,$B215&lt;&gt;$B200,$B216&lt;&gt;$B201,$B217&lt;&gt;$B202,$B218&lt;&gt;$B203,$B219&lt;&gt;$B204,$B220&lt;&gt;$B205,$B221&lt;&gt;$B206,$B222&lt;&gt;$B207,$B223&lt;&gt;$B208),IF($B221&lt;&gt;$B206,R206/INDEX($C198:$AJ208,9,MATCH(IF('Data-solution'!$A$3="Maximize",MAX($C209:$AI209),MIN($C209:$AI209)),$C209:$AI209,0)),R206-INDEX($C198:$AJ208,9,MATCH(IF('Data-solution'!$A$3="Maximize",MAX($C209:$AI209),MIN($C209:$AI209)),$C209:$AI209,0))*INDEX(R198:$AJ208,MATCH(MIN($AK198:$AK208),$AK198:$AK208,0),1)/INDEX($C198:$AJ208,MATCH(MIN($AK198:$AK208),$AK198:$AK208,0),MATCH(IF('Data-solution'!$A$3="Maximize",MAX($C209:$AI209),MIN($C209:$AI209)),$C209:$AI209,0))),R206)</f>
        <v>0</v>
      </c>
      <c r="S221" s="1">
        <f>IF(OR($B213&lt;&gt;$B198,$B214&lt;&gt;$B199,$B215&lt;&gt;$B200,$B216&lt;&gt;$B201,$B217&lt;&gt;$B202,$B218&lt;&gt;$B203,$B219&lt;&gt;$B204,$B220&lt;&gt;$B205,$B221&lt;&gt;$B206,$B222&lt;&gt;$B207,$B223&lt;&gt;$B208),IF($B221&lt;&gt;$B206,S206/INDEX($C198:$AJ208,9,MATCH(IF('Data-solution'!$A$3="Maximize",MAX($C209:$AI209),MIN($C209:$AI209)),$C209:$AI209,0)),S206-INDEX($C198:$AJ208,9,MATCH(IF('Data-solution'!$A$3="Maximize",MAX($C209:$AI209),MIN($C209:$AI209)),$C209:$AI209,0))*INDEX(S198:$AJ208,MATCH(MIN($AK198:$AK208),$AK198:$AK208,0),1)/INDEX($C198:$AJ208,MATCH(MIN($AK198:$AK208),$AK198:$AK208,0),MATCH(IF('Data-solution'!$A$3="Maximize",MAX($C209:$AI209),MIN($C209:$AI209)),$C209:$AI209,0))),S206)</f>
        <v>0</v>
      </c>
      <c r="T221" s="1">
        <f>IF(OR($B213&lt;&gt;$B198,$B214&lt;&gt;$B199,$B215&lt;&gt;$B200,$B216&lt;&gt;$B201,$B217&lt;&gt;$B202,$B218&lt;&gt;$B203,$B219&lt;&gt;$B204,$B220&lt;&gt;$B205,$B221&lt;&gt;$B206,$B222&lt;&gt;$B207,$B223&lt;&gt;$B208),IF($B221&lt;&gt;$B206,T206/INDEX($C198:$AJ208,9,MATCH(IF('Data-solution'!$A$3="Maximize",MAX($C209:$AI209),MIN($C209:$AI209)),$C209:$AI209,0)),T206-INDEX($C198:$AJ208,9,MATCH(IF('Data-solution'!$A$3="Maximize",MAX($C209:$AI209),MIN($C209:$AI209)),$C209:$AI209,0))*INDEX(T198:$AJ208,MATCH(MIN($AK198:$AK208),$AK198:$AK208,0),1)/INDEX($C198:$AJ208,MATCH(MIN($AK198:$AK208),$AK198:$AK208,0),MATCH(IF('Data-solution'!$A$3="Maximize",MAX($C209:$AI209),MIN($C209:$AI209)),$C209:$AI209,0))),T206)</f>
        <v>0</v>
      </c>
      <c r="U221" s="1">
        <f>IF(OR($B213&lt;&gt;$B198,$B214&lt;&gt;$B199,$B215&lt;&gt;$B200,$B216&lt;&gt;$B201,$B217&lt;&gt;$B202,$B218&lt;&gt;$B203,$B219&lt;&gt;$B204,$B220&lt;&gt;$B205,$B221&lt;&gt;$B206,$B222&lt;&gt;$B207,$B223&lt;&gt;$B208),IF($B221&lt;&gt;$B206,U206/INDEX($C198:$AJ208,9,MATCH(IF('Data-solution'!$A$3="Maximize",MAX($C209:$AI209),MIN($C209:$AI209)),$C209:$AI209,0)),U206-INDEX($C198:$AJ208,9,MATCH(IF('Data-solution'!$A$3="Maximize",MAX($C209:$AI209),MIN($C209:$AI209)),$C209:$AI209,0))*INDEX(U198:$AJ208,MATCH(MIN($AK198:$AK208),$AK198:$AK208,0),1)/INDEX($C198:$AJ208,MATCH(MIN($AK198:$AK208),$AK198:$AK208,0),MATCH(IF('Data-solution'!$A$3="Maximize",MAX($C209:$AI209),MIN($C209:$AI209)),$C209:$AI209,0))),U206)</f>
        <v>0</v>
      </c>
      <c r="V221" s="1">
        <f>IF(OR($B213&lt;&gt;$B198,$B214&lt;&gt;$B199,$B215&lt;&gt;$B200,$B216&lt;&gt;$B201,$B217&lt;&gt;$B202,$B218&lt;&gt;$B203,$B219&lt;&gt;$B204,$B220&lt;&gt;$B205,$B221&lt;&gt;$B206,$B222&lt;&gt;$B207,$B223&lt;&gt;$B208),IF($B221&lt;&gt;$B206,V206/INDEX($C198:$AJ208,9,MATCH(IF('Data-solution'!$A$3="Maximize",MAX($C209:$AI209),MIN($C209:$AI209)),$C209:$AI209,0)),V206-INDEX($C198:$AJ208,9,MATCH(IF('Data-solution'!$A$3="Maximize",MAX($C209:$AI209),MIN($C209:$AI209)),$C209:$AI209,0))*INDEX(V198:$AJ208,MATCH(MIN($AK198:$AK208),$AK198:$AK208,0),1)/INDEX($C198:$AJ208,MATCH(MIN($AK198:$AK208),$AK198:$AK208,0),MATCH(IF('Data-solution'!$A$3="Maximize",MAX($C209:$AI209),MIN($C209:$AI209)),$C209:$AI209,0))),V206)</f>
        <v>1</v>
      </c>
      <c r="W221" s="1">
        <f>IF(OR($B213&lt;&gt;$B198,$B214&lt;&gt;$B199,$B215&lt;&gt;$B200,$B216&lt;&gt;$B201,$B217&lt;&gt;$B202,$B218&lt;&gt;$B203,$B219&lt;&gt;$B204,$B220&lt;&gt;$B205,$B221&lt;&gt;$B206,$B222&lt;&gt;$B207,$B223&lt;&gt;$B208),IF($B221&lt;&gt;$B206,W206/INDEX($C198:$AJ208,9,MATCH(IF('Data-solution'!$A$3="Maximize",MAX($C209:$AI209),MIN($C209:$AI209)),$C209:$AI209,0)),W206-INDEX($C198:$AJ208,9,MATCH(IF('Data-solution'!$A$3="Maximize",MAX($C209:$AI209),MIN($C209:$AI209)),$C209:$AI209,0))*INDEX(W198:$AJ208,MATCH(MIN($AK198:$AK208),$AK198:$AK208,0),1)/INDEX($C198:$AJ208,MATCH(MIN($AK198:$AK208),$AK198:$AK208,0),MATCH(IF('Data-solution'!$A$3="Maximize",MAX($C209:$AI209),MIN($C209:$AI209)),$C209:$AI209,0))),W206)</f>
        <v>0</v>
      </c>
      <c r="X221" s="1">
        <f>IF(OR($B213&lt;&gt;$B198,$B214&lt;&gt;$B199,$B215&lt;&gt;$B200,$B216&lt;&gt;$B201,$B217&lt;&gt;$B202,$B218&lt;&gt;$B203,$B219&lt;&gt;$B204,$B220&lt;&gt;$B205,$B221&lt;&gt;$B206,$B222&lt;&gt;$B207,$B223&lt;&gt;$B208),IF($B221&lt;&gt;$B206,X206/INDEX($C198:$AJ208,9,MATCH(IF('Data-solution'!$A$3="Maximize",MAX($C209:$AI209),MIN($C209:$AI209)),$C209:$AI209,0)),X206-INDEX($C198:$AJ208,9,MATCH(IF('Data-solution'!$A$3="Maximize",MAX($C209:$AI209),MIN($C209:$AI209)),$C209:$AI209,0))*INDEX(X198:$AJ208,MATCH(MIN($AK198:$AK208),$AK198:$AK208,0),1)/INDEX($C198:$AJ208,MATCH(MIN($AK198:$AK208),$AK198:$AK208,0),MATCH(IF('Data-solution'!$A$3="Maximize",MAX($C209:$AI209),MIN($C209:$AI209)),$C209:$AI209,0))),X206)</f>
        <v>0</v>
      </c>
      <c r="Y221" s="1">
        <f>IF(OR($B213&lt;&gt;$B198,$B214&lt;&gt;$B199,$B215&lt;&gt;$B200,$B216&lt;&gt;$B201,$B217&lt;&gt;$B202,$B218&lt;&gt;$B203,$B219&lt;&gt;$B204,$B220&lt;&gt;$B205,$B221&lt;&gt;$B206,$B222&lt;&gt;$B207,$B223&lt;&gt;$B208),IF($B221&lt;&gt;$B206,Y206/INDEX($C198:$AJ208,9,MATCH(IF('Data-solution'!$A$3="Maximize",MAX($C209:$AI209),MIN($C209:$AI209)),$C209:$AI209,0)),Y206-INDEX($C198:$AJ208,9,MATCH(IF('Data-solution'!$A$3="Maximize",MAX($C209:$AI209),MIN($C209:$AI209)),$C209:$AI209,0))*INDEX(Y198:$AJ208,MATCH(MIN($AK198:$AK208),$AK198:$AK208,0),1)/INDEX($C198:$AJ208,MATCH(MIN($AK198:$AK208),$AK198:$AK208,0),MATCH(IF('Data-solution'!$A$3="Maximize",MAX($C209:$AI209),MIN($C209:$AI209)),$C209:$AI209,0))),Y206)</f>
        <v>0</v>
      </c>
      <c r="Z221" s="1">
        <f>IF(OR($B213&lt;&gt;$B198,$B214&lt;&gt;$B199,$B215&lt;&gt;$B200,$B216&lt;&gt;$B201,$B217&lt;&gt;$B202,$B218&lt;&gt;$B203,$B219&lt;&gt;$B204,$B220&lt;&gt;$B205,$B221&lt;&gt;$B206,$B222&lt;&gt;$B207,$B223&lt;&gt;$B208),IF($B221&lt;&gt;$B206,Z206/INDEX($C198:$AJ208,9,MATCH(IF('Data-solution'!$A$3="Maximize",MAX($C209:$AI209),MIN($C209:$AI209)),$C209:$AI209,0)),Z206-INDEX($C198:$AJ208,9,MATCH(IF('Data-solution'!$A$3="Maximize",MAX($C209:$AI209),MIN($C209:$AI209)),$C209:$AI209,0))*INDEX(Z198:$AJ208,MATCH(MIN($AK198:$AK208),$AK198:$AK208,0),1)/INDEX($C198:$AJ208,MATCH(MIN($AK198:$AK208),$AK198:$AK208,0),MATCH(IF('Data-solution'!$A$3="Maximize",MAX($C209:$AI209),MIN($C209:$AI209)),$C209:$AI209,0))),Z206)</f>
        <v>0</v>
      </c>
      <c r="AA221" s="1">
        <f>IF(OR($B213&lt;&gt;$B198,$B214&lt;&gt;$B199,$B215&lt;&gt;$B200,$B216&lt;&gt;$B201,$B217&lt;&gt;$B202,$B218&lt;&gt;$B203,$B219&lt;&gt;$B204,$B220&lt;&gt;$B205,$B221&lt;&gt;$B206,$B222&lt;&gt;$B207,$B223&lt;&gt;$B208),IF($B221&lt;&gt;$B206,AA206/INDEX($C198:$AJ208,9,MATCH(IF('Data-solution'!$A$3="Maximize",MAX($C209:$AI209),MIN($C209:$AI209)),$C209:$AI209,0)),AA206-INDEX($C198:$AJ208,9,MATCH(IF('Data-solution'!$A$3="Maximize",MAX($C209:$AI209),MIN($C209:$AI209)),$C209:$AI209,0))*INDEX(AA198:$AJ208,MATCH(MIN($AK198:$AK208),$AK198:$AK208,0),1)/INDEX($C198:$AJ208,MATCH(MIN($AK198:$AK208),$AK198:$AK208,0),MATCH(IF('Data-solution'!$A$3="Maximize",MAX($C209:$AI209),MIN($C209:$AI209)),$C209:$AI209,0))),AA206)</f>
        <v>0</v>
      </c>
      <c r="AB221" s="1">
        <f>IF(OR($B213&lt;&gt;$B198,$B214&lt;&gt;$B199,$B215&lt;&gt;$B200,$B216&lt;&gt;$B201,$B217&lt;&gt;$B202,$B218&lt;&gt;$B203,$B219&lt;&gt;$B204,$B220&lt;&gt;$B205,$B221&lt;&gt;$B206,$B222&lt;&gt;$B207,$B223&lt;&gt;$B208),IF($B221&lt;&gt;$B206,AB206/INDEX($C198:$AJ208,9,MATCH(IF('Data-solution'!$A$3="Maximize",MAX($C209:$AI209),MIN($C209:$AI209)),$C209:$AI209,0)),AB206-INDEX($C198:$AJ208,9,MATCH(IF('Data-solution'!$A$3="Maximize",MAX($C209:$AI209),MIN($C209:$AI209)),$C209:$AI209,0))*INDEX(AB198:$AJ208,MATCH(MIN($AK198:$AK208),$AK198:$AK208,0),1)/INDEX($C198:$AJ208,MATCH(MIN($AK198:$AK208),$AK198:$AK208,0),MATCH(IF('Data-solution'!$A$3="Maximize",MAX($C209:$AI209),MIN($C209:$AI209)),$C209:$AI209,0))),AB206)</f>
        <v>0</v>
      </c>
      <c r="AC221" s="1">
        <f>IF(OR($B213&lt;&gt;$B198,$B214&lt;&gt;$B199,$B215&lt;&gt;$B200,$B216&lt;&gt;$B201,$B217&lt;&gt;$B202,$B218&lt;&gt;$B203,$B219&lt;&gt;$B204,$B220&lt;&gt;$B205,$B221&lt;&gt;$B206,$B222&lt;&gt;$B207,$B223&lt;&gt;$B208),IF($B221&lt;&gt;$B206,AC206/INDEX($C198:$AJ208,9,MATCH(IF('Data-solution'!$A$3="Maximize",MAX($C209:$AI209),MIN($C209:$AI209)),$C209:$AI209,0)),AC206-INDEX($C198:$AJ208,9,MATCH(IF('Data-solution'!$A$3="Maximize",MAX($C209:$AI209),MIN($C209:$AI209)),$C209:$AI209,0))*INDEX(AC198:$AJ208,MATCH(MIN($AK198:$AK208),$AK198:$AK208,0),1)/INDEX($C198:$AJ208,MATCH(MIN($AK198:$AK208),$AK198:$AK208,0),MATCH(IF('Data-solution'!$A$3="Maximize",MAX($C209:$AI209),MIN($C209:$AI209)),$C209:$AI209,0))),AC206)</f>
        <v>0</v>
      </c>
      <c r="AD221" s="1">
        <f>IF(OR($B213&lt;&gt;$B198,$B214&lt;&gt;$B199,$B215&lt;&gt;$B200,$B216&lt;&gt;$B201,$B217&lt;&gt;$B202,$B218&lt;&gt;$B203,$B219&lt;&gt;$B204,$B220&lt;&gt;$B205,$B221&lt;&gt;$B206,$B222&lt;&gt;$B207,$B223&lt;&gt;$B208),IF($B221&lt;&gt;$B206,AD206/INDEX($C198:$AJ208,9,MATCH(IF('Data-solution'!$A$3="Maximize",MAX($C209:$AI209),MIN($C209:$AI209)),$C209:$AI209,0)),AD206-INDEX($C198:$AJ208,9,MATCH(IF('Data-solution'!$A$3="Maximize",MAX($C209:$AI209),MIN($C209:$AI209)),$C209:$AI209,0))*INDEX(AD198:$AJ208,MATCH(MIN($AK198:$AK208),$AK198:$AK208,0),1)/INDEX($C198:$AJ208,MATCH(MIN($AK198:$AK208),$AK198:$AK208,0),MATCH(IF('Data-solution'!$A$3="Maximize",MAX($C209:$AI209),MIN($C209:$AI209)),$C209:$AI209,0))),AD206)</f>
        <v>0</v>
      </c>
      <c r="AE221" s="1">
        <f>IF(OR($B213&lt;&gt;$B198,$B214&lt;&gt;$B199,$B215&lt;&gt;$B200,$B216&lt;&gt;$B201,$B217&lt;&gt;$B202,$B218&lt;&gt;$B203,$B219&lt;&gt;$B204,$B220&lt;&gt;$B205,$B221&lt;&gt;$B206,$B222&lt;&gt;$B207,$B223&lt;&gt;$B208),IF($B221&lt;&gt;$B206,AE206/INDEX($C198:$AJ208,9,MATCH(IF('Data-solution'!$A$3="Maximize",MAX($C209:$AI209),MIN($C209:$AI209)),$C209:$AI209,0)),AE206-INDEX($C198:$AJ208,9,MATCH(IF('Data-solution'!$A$3="Maximize",MAX($C209:$AI209),MIN($C209:$AI209)),$C209:$AI209,0))*INDEX(AE198:$AJ208,MATCH(MIN($AK198:$AK208),$AK198:$AK208,0),1)/INDEX($C198:$AJ208,MATCH(MIN($AK198:$AK208),$AK198:$AK208,0),MATCH(IF('Data-solution'!$A$3="Maximize",MAX($C209:$AI209),MIN($C209:$AI209)),$C209:$AI209,0))),AE206)</f>
        <v>0</v>
      </c>
      <c r="AF221" s="1">
        <f>IF(OR($B213&lt;&gt;$B198,$B214&lt;&gt;$B199,$B215&lt;&gt;$B200,$B216&lt;&gt;$B201,$B217&lt;&gt;$B202,$B218&lt;&gt;$B203,$B219&lt;&gt;$B204,$B220&lt;&gt;$B205,$B221&lt;&gt;$B206,$B222&lt;&gt;$B207,$B223&lt;&gt;$B208),IF($B221&lt;&gt;$B206,AF206/INDEX($C198:$AJ208,9,MATCH(IF('Data-solution'!$A$3="Maximize",MAX($C209:$AI209),MIN($C209:$AI209)),$C209:$AI209,0)),AF206-INDEX($C198:$AJ208,9,MATCH(IF('Data-solution'!$A$3="Maximize",MAX($C209:$AI209),MIN($C209:$AI209)),$C209:$AI209,0))*INDEX(AF198:$AJ208,MATCH(MIN($AK198:$AK208),$AK198:$AK208,0),1)/INDEX($C198:$AJ208,MATCH(MIN($AK198:$AK208),$AK198:$AK208,0),MATCH(IF('Data-solution'!$A$3="Maximize",MAX($C209:$AI209),MIN($C209:$AI209)),$C209:$AI209,0))),AF206)</f>
        <v>0</v>
      </c>
      <c r="AG221" s="1">
        <f>IF(OR($B213&lt;&gt;$B198,$B214&lt;&gt;$B199,$B215&lt;&gt;$B200,$B216&lt;&gt;$B201,$B217&lt;&gt;$B202,$B218&lt;&gt;$B203,$B219&lt;&gt;$B204,$B220&lt;&gt;$B205,$B221&lt;&gt;$B206,$B222&lt;&gt;$B207,$B223&lt;&gt;$B208),IF($B221&lt;&gt;$B206,AG206/INDEX($C198:$AJ208,9,MATCH(IF('Data-solution'!$A$3="Maximize",MAX($C209:$AI209),MIN($C209:$AI209)),$C209:$AI209,0)),AG206-INDEX($C198:$AJ208,9,MATCH(IF('Data-solution'!$A$3="Maximize",MAX($C209:$AI209),MIN($C209:$AI209)),$C209:$AI209,0))*INDEX(AG198:$AJ208,MATCH(MIN($AK198:$AK208),$AK198:$AK208,0),1)/INDEX($C198:$AJ208,MATCH(MIN($AK198:$AK208),$AK198:$AK208,0),MATCH(IF('Data-solution'!$A$3="Maximize",MAX($C209:$AI209),MIN($C209:$AI209)),$C209:$AI209,0))),AG206)</f>
        <v>1</v>
      </c>
      <c r="AH221" s="1">
        <f>IF(OR($B213&lt;&gt;$B198,$B214&lt;&gt;$B199,$B215&lt;&gt;$B200,$B216&lt;&gt;$B201,$B217&lt;&gt;$B202,$B218&lt;&gt;$B203,$B219&lt;&gt;$B204,$B220&lt;&gt;$B205,$B221&lt;&gt;$B206,$B222&lt;&gt;$B207,$B223&lt;&gt;$B208),IF($B221&lt;&gt;$B206,AH206/INDEX($C198:$AJ208,9,MATCH(IF('Data-solution'!$A$3="Maximize",MAX($C209:$AI209),MIN($C209:$AI209)),$C209:$AI209,0)),AH206-INDEX($C198:$AJ208,9,MATCH(IF('Data-solution'!$A$3="Maximize",MAX($C209:$AI209),MIN($C209:$AI209)),$C209:$AI209,0))*INDEX(AH198:$AJ208,MATCH(MIN($AK198:$AK208),$AK198:$AK208,0),1)/INDEX($C198:$AJ208,MATCH(MIN($AK198:$AK208),$AK198:$AK208,0),MATCH(IF('Data-solution'!$A$3="Maximize",MAX($C209:$AI209),MIN($C209:$AI209)),$C209:$AI209,0))),AH206)</f>
        <v>0</v>
      </c>
      <c r="AI221" s="1">
        <f>IF(OR($B213&lt;&gt;$B198,$B214&lt;&gt;$B199,$B215&lt;&gt;$B200,$B216&lt;&gt;$B201,$B217&lt;&gt;$B202,$B218&lt;&gt;$B203,$B219&lt;&gt;$B204,$B220&lt;&gt;$B205,$B221&lt;&gt;$B206,$B222&lt;&gt;$B207,$B223&lt;&gt;$B208),IF($B221&lt;&gt;$B206,AI206/INDEX($C198:$AJ208,9,MATCH(IF('Data-solution'!$A$3="Maximize",MAX($C209:$AI209),MIN($C209:$AI209)),$C209:$AI209,0)),AI206-INDEX($C198:$AJ208,9,MATCH(IF('Data-solution'!$A$3="Maximize",MAX($C209:$AI209),MIN($C209:$AI209)),$C209:$AI209,0))*INDEX(AI198:$AJ208,MATCH(MIN($AK198:$AK208),$AK198:$AK208,0),1)/INDEX($C198:$AJ208,MATCH(MIN($AK198:$AK208),$AK198:$AK208,0),MATCH(IF('Data-solution'!$A$3="Maximize",MAX($C209:$AI209),MIN($C209:$AI209)),$C209:$AI209,0))),AI206)</f>
        <v>0</v>
      </c>
      <c r="AJ221" s="1">
        <f>IF(OR($B213&lt;&gt;$B198,$B214&lt;&gt;$B199,$B215&lt;&gt;$B200,$B216&lt;&gt;$B201,$B217&lt;&gt;$B202,$B218&lt;&gt;$B203,$B219&lt;&gt;$B204,$B220&lt;&gt;$B205,$B221&lt;&gt;$B206,$B222&lt;&gt;$B207,$B223&lt;&gt;$B208),IF($B221&lt;&gt;$B206,AJ206/INDEX($C198:$AJ208,9,MATCH(IF('Data-solution'!$A$3="Maximize",MAX($C209:$AI209),MIN($C209:$AI209)),$C209:$AI209,0)),AJ206-INDEX($C198:$AJ208,9,MATCH(IF('Data-solution'!$A$3="Maximize",MAX($C209:$AI209),MIN($C209:$AI209)),$C209:$AI209,0))*INDEX(AJ198:$AJ208,MATCH(MIN($AK198:$AK208),$AK198:$AK208,0),1)/INDEX($C198:$AJ208,MATCH(MIN($AK198:$AK208),$AK198:$AK208,0),MATCH(IF('Data-solution'!$A$3="Maximize",MAX($C209:$AI209),MIN($C209:$AI209)),$C209:$AI209,0))),AJ206)</f>
        <v>0</v>
      </c>
      <c r="AK221" s="1" t="str">
        <f>IF(INDEX(C221:X221,1,MATCH(IF('Data-solution'!A$3="Maximize",MAX(C224:X224),MIN(C224:X224)),C224:X224,0))&gt;0,AJ221/INDEX(C221:X221,1,MATCH(IF('Data-solution'!A$3="Maximize",MAX(C224:X224),MIN(C224:X224)),C224:X224,0))," ")</f>
        <v xml:space="preserve"> </v>
      </c>
    </row>
    <row r="222" spans="1:37" ht="18" customHeight="1" x14ac:dyDescent="0.2">
      <c r="A222" s="1">
        <f t="shared" ref="A222" si="193">INDEX(C211:AI211,1,MATCH(B222,C212:AI212,0))</f>
        <v>0</v>
      </c>
      <c r="B222" s="2" t="str">
        <f>IF(AND('Data-solution'!A$3="Maximize",COUNTIF(C209:X209,"&gt;"&amp;0)&gt;0,AK207=MIN(AK198:AK208),COUNTIF(B213:B221,INDEX(C197:X197,1,MATCH(MAX(C209:X209),C209:X209,0)))=0),INDEX(C197:X197,1,MATCH(MAX(C209:X209),C209:X209,0)),IF(AND('Data-solution'!A$3="Minimize",COUNTIF(C209:X209,"&lt;"&amp;0)&gt;0,AK207=MIN(AK198:AK208),COUNTIF(B213:B221,INDEX(C197:X197,1,MATCH(MIN(C209:X209),C209:X209,0)))=0),INDEX(C197:X197,1,MATCH(MIN(C209:X209),C209:X209,0)),B207))</f>
        <v>S10</v>
      </c>
      <c r="C222" s="1">
        <f>IF(OR($B213&lt;&gt;$B198,$B214&lt;&gt;$B199,$B215&lt;&gt;$B200,$B216&lt;&gt;$B201,$B217&lt;&gt;$B202,$B218&lt;&gt;$B203,$B219&lt;&gt;$B204,$B220&lt;&gt;$B205,$B221&lt;&gt;$B206,$B222&lt;&gt;$B207,$B223&lt;&gt;$B208),IF($B222&lt;&gt;$B207,C207/INDEX($C198:$AJ208,10,MATCH(IF('Data-solution'!$A$3="Maximize",MAX($C209:$AI209),MIN($C209:$AI209)),$C209:$AI209,0)),C207-INDEX($C198:$AJ208,10,MATCH(IF('Data-solution'!$A$3="Maximize",MAX($C209:$AI209),MIN($C209:$AI209)),$C209:$AI209,0))*INDEX(C198:$AJ208,MATCH(MIN($AK198:$AK208),$AK198:$AK208,0),1)/INDEX($C198:$AJ208,MATCH(MIN($AK198:$AK208),$AK198:$AK208,0),MATCH(IF('Data-solution'!$A$3="Maximize",MAX($C209:$AI209),MIN($C209:$AI209)),$C209:$AI209,0))),C207)</f>
        <v>0</v>
      </c>
      <c r="D222" s="1">
        <f>IF(OR($B213&lt;&gt;$B198,$B214&lt;&gt;$B199,$B215&lt;&gt;$B200,$B216&lt;&gt;$B201,$B217&lt;&gt;$B202,$B218&lt;&gt;$B203,$B219&lt;&gt;$B204,$B220&lt;&gt;$B205,$B221&lt;&gt;$B206,$B222&lt;&gt;$B207,$B223&lt;&gt;$B208),IF($B222&lt;&gt;$B207,D207/INDEX($C198:$AJ208,10,MATCH(IF('Data-solution'!$A$3="Maximize",MAX($C209:$AI209),MIN($C209:$AI209)),$C209:$AI209,0)),D207-INDEX($C198:$AJ208,10,MATCH(IF('Data-solution'!$A$3="Maximize",MAX($C209:$AI209),MIN($C209:$AI209)),$C209:$AI209,0))*INDEX(D198:$AJ208,MATCH(MIN($AK198:$AK208),$AK198:$AK208,0),1)/INDEX($C198:$AJ208,MATCH(MIN($AK198:$AK208),$AK198:$AK208,0),MATCH(IF('Data-solution'!$A$3="Maximize",MAX($C209:$AI209),MIN($C209:$AI209)),$C209:$AI209,0))),D207)</f>
        <v>0</v>
      </c>
      <c r="E222" s="1">
        <f>IF(OR($B213&lt;&gt;$B198,$B214&lt;&gt;$B199,$B215&lt;&gt;$B200,$B216&lt;&gt;$B201,$B217&lt;&gt;$B202,$B218&lt;&gt;$B203,$B219&lt;&gt;$B204,$B220&lt;&gt;$B205,$B221&lt;&gt;$B206,$B222&lt;&gt;$B207,$B223&lt;&gt;$B208),IF($B222&lt;&gt;$B207,E207/INDEX($C198:$AJ208,10,MATCH(IF('Data-solution'!$A$3="Maximize",MAX($C209:$AI209),MIN($C209:$AI209)),$C209:$AI209,0)),E207-INDEX($C198:$AJ208,10,MATCH(IF('Data-solution'!$A$3="Maximize",MAX($C209:$AI209),MIN($C209:$AI209)),$C209:$AI209,0))*INDEX(E198:$AJ208,MATCH(MIN($AK198:$AK208),$AK198:$AK208,0),1)/INDEX($C198:$AJ208,MATCH(MIN($AK198:$AK208),$AK198:$AK208,0),MATCH(IF('Data-solution'!$A$3="Maximize",MAX($C209:$AI209),MIN($C209:$AI209)),$C209:$AI209,0))),E207)</f>
        <v>0</v>
      </c>
      <c r="F222" s="1">
        <f>IF(OR($B213&lt;&gt;$B198,$B214&lt;&gt;$B199,$B215&lt;&gt;$B200,$B216&lt;&gt;$B201,$B217&lt;&gt;$B202,$B218&lt;&gt;$B203,$B219&lt;&gt;$B204,$B220&lt;&gt;$B205,$B221&lt;&gt;$B206,$B222&lt;&gt;$B207,$B223&lt;&gt;$B208),IF($B222&lt;&gt;$B207,F207/INDEX($C198:$AJ208,10,MATCH(IF('Data-solution'!$A$3="Maximize",MAX($C209:$AI209),MIN($C209:$AI209)),$C209:$AI209,0)),F207-INDEX($C198:$AJ208,10,MATCH(IF('Data-solution'!$A$3="Maximize",MAX($C209:$AI209),MIN($C209:$AI209)),$C209:$AI209,0))*INDEX(F198:$AJ208,MATCH(MIN($AK198:$AK208),$AK198:$AK208,0),1)/INDEX($C198:$AJ208,MATCH(MIN($AK198:$AK208),$AK198:$AK208,0),MATCH(IF('Data-solution'!$A$3="Maximize",MAX($C209:$AI209),MIN($C209:$AI209)),$C209:$AI209,0))),F207)</f>
        <v>0</v>
      </c>
      <c r="G222" s="1">
        <f>IF(OR($B213&lt;&gt;$B198,$B214&lt;&gt;$B199,$B215&lt;&gt;$B200,$B216&lt;&gt;$B201,$B217&lt;&gt;$B202,$B218&lt;&gt;$B203,$B219&lt;&gt;$B204,$B220&lt;&gt;$B205,$B221&lt;&gt;$B206,$B222&lt;&gt;$B207,$B223&lt;&gt;$B208),IF($B222&lt;&gt;$B207,G207/INDEX($C198:$AJ208,10,MATCH(IF('Data-solution'!$A$3="Maximize",MAX($C209:$AI209),MIN($C209:$AI209)),$C209:$AI209,0)),G207-INDEX($C198:$AJ208,10,MATCH(IF('Data-solution'!$A$3="Maximize",MAX($C209:$AI209),MIN($C209:$AI209)),$C209:$AI209,0))*INDEX(G198:$AJ208,MATCH(MIN($AK198:$AK208),$AK198:$AK208,0),1)/INDEX($C198:$AJ208,MATCH(MIN($AK198:$AK208),$AK198:$AK208,0),MATCH(IF('Data-solution'!$A$3="Maximize",MAX($C209:$AI209),MIN($C209:$AI209)),$C209:$AI209,0))),G207)</f>
        <v>0</v>
      </c>
      <c r="H222" s="1">
        <f>IF(OR($B213&lt;&gt;$B198,$B214&lt;&gt;$B199,$B215&lt;&gt;$B200,$B216&lt;&gt;$B201,$B217&lt;&gt;$B202,$B218&lt;&gt;$B203,$B219&lt;&gt;$B204,$B220&lt;&gt;$B205,$B221&lt;&gt;$B206,$B222&lt;&gt;$B207,$B223&lt;&gt;$B208),IF($B222&lt;&gt;$B207,H207/INDEX($C198:$AJ208,10,MATCH(IF('Data-solution'!$A$3="Maximize",MAX($C209:$AI209),MIN($C209:$AI209)),$C209:$AI209,0)),H207-INDEX($C198:$AJ208,10,MATCH(IF('Data-solution'!$A$3="Maximize",MAX($C209:$AI209),MIN($C209:$AI209)),$C209:$AI209,0))*INDEX(H198:$AJ208,MATCH(MIN($AK198:$AK208),$AK198:$AK208,0),1)/INDEX($C198:$AJ208,MATCH(MIN($AK198:$AK208),$AK198:$AK208,0),MATCH(IF('Data-solution'!$A$3="Maximize",MAX($C209:$AI209),MIN($C209:$AI209)),$C209:$AI209,0))),H207)</f>
        <v>0</v>
      </c>
      <c r="I222" s="1">
        <f>IF(OR($B213&lt;&gt;$B198,$B214&lt;&gt;$B199,$B215&lt;&gt;$B200,$B216&lt;&gt;$B201,$B217&lt;&gt;$B202,$B218&lt;&gt;$B203,$B219&lt;&gt;$B204,$B220&lt;&gt;$B205,$B221&lt;&gt;$B206,$B222&lt;&gt;$B207,$B223&lt;&gt;$B208),IF($B222&lt;&gt;$B207,I207/INDEX($C198:$AJ208,10,MATCH(IF('Data-solution'!$A$3="Maximize",MAX($C209:$AI209),MIN($C209:$AI209)),$C209:$AI209,0)),I207-INDEX($C198:$AJ208,10,MATCH(IF('Data-solution'!$A$3="Maximize",MAX($C209:$AI209),MIN($C209:$AI209)),$C209:$AI209,0))*INDEX(I198:$AJ208,MATCH(MIN($AK198:$AK208),$AK198:$AK208,0),1)/INDEX($C198:$AJ208,MATCH(MIN($AK198:$AK208),$AK198:$AK208,0),MATCH(IF('Data-solution'!$A$3="Maximize",MAX($C209:$AI209),MIN($C209:$AI209)),$C209:$AI209,0))),I207)</f>
        <v>0</v>
      </c>
      <c r="J222" s="1">
        <f>IF(OR($B213&lt;&gt;$B198,$B214&lt;&gt;$B199,$B215&lt;&gt;$B200,$B216&lt;&gt;$B201,$B217&lt;&gt;$B202,$B218&lt;&gt;$B203,$B219&lt;&gt;$B204,$B220&lt;&gt;$B205,$B221&lt;&gt;$B206,$B222&lt;&gt;$B207,$B223&lt;&gt;$B208),IF($B222&lt;&gt;$B207,J207/INDEX($C198:$AJ208,10,MATCH(IF('Data-solution'!$A$3="Maximize",MAX($C209:$AI209),MIN($C209:$AI209)),$C209:$AI209,0)),J207-INDEX($C198:$AJ208,10,MATCH(IF('Data-solution'!$A$3="Maximize",MAX($C209:$AI209),MIN($C209:$AI209)),$C209:$AI209,0))*INDEX(J198:$AJ208,MATCH(MIN($AK198:$AK208),$AK198:$AK208,0),1)/INDEX($C198:$AJ208,MATCH(MIN($AK198:$AK208),$AK198:$AK208,0),MATCH(IF('Data-solution'!$A$3="Maximize",MAX($C209:$AI209),MIN($C209:$AI209)),$C209:$AI209,0))),J207)</f>
        <v>0</v>
      </c>
      <c r="K222" s="1">
        <f>IF(OR($B213&lt;&gt;$B198,$B214&lt;&gt;$B199,$B215&lt;&gt;$B200,$B216&lt;&gt;$B201,$B217&lt;&gt;$B202,$B218&lt;&gt;$B203,$B219&lt;&gt;$B204,$B220&lt;&gt;$B205,$B221&lt;&gt;$B206,$B222&lt;&gt;$B207,$B223&lt;&gt;$B208),IF($B222&lt;&gt;$B207,K207/INDEX($C198:$AJ208,10,MATCH(IF('Data-solution'!$A$3="Maximize",MAX($C209:$AI209),MIN($C209:$AI209)),$C209:$AI209,0)),K207-INDEX($C198:$AJ208,10,MATCH(IF('Data-solution'!$A$3="Maximize",MAX($C209:$AI209),MIN($C209:$AI209)),$C209:$AI209,0))*INDEX(K198:$AJ208,MATCH(MIN($AK198:$AK208),$AK198:$AK208,0),1)/INDEX($C198:$AJ208,MATCH(MIN($AK198:$AK208),$AK198:$AK208,0),MATCH(IF('Data-solution'!$A$3="Maximize",MAX($C209:$AI209),MIN($C209:$AI209)),$C209:$AI209,0))),K207)</f>
        <v>0</v>
      </c>
      <c r="L222" s="1">
        <f>IF(OR($B213&lt;&gt;$B198,$B214&lt;&gt;$B199,$B215&lt;&gt;$B200,$B216&lt;&gt;$B201,$B217&lt;&gt;$B202,$B218&lt;&gt;$B203,$B219&lt;&gt;$B204,$B220&lt;&gt;$B205,$B221&lt;&gt;$B206,$B222&lt;&gt;$B207,$B223&lt;&gt;$B208),IF($B222&lt;&gt;$B207,L207/INDEX($C198:$AJ208,10,MATCH(IF('Data-solution'!$A$3="Maximize",MAX($C209:$AI209),MIN($C209:$AI209)),$C209:$AI209,0)),L207-INDEX($C198:$AJ208,10,MATCH(IF('Data-solution'!$A$3="Maximize",MAX($C209:$AI209),MIN($C209:$AI209)),$C209:$AI209,0))*INDEX(L198:$AJ208,MATCH(MIN($AK198:$AK208),$AK198:$AK208,0),1)/INDEX($C198:$AJ208,MATCH(MIN($AK198:$AK208),$AK198:$AK208,0),MATCH(IF('Data-solution'!$A$3="Maximize",MAX($C209:$AI209),MIN($C209:$AI209)),$C209:$AI209,0))),L207)</f>
        <v>0</v>
      </c>
      <c r="M222" s="1">
        <f>IF(OR($B213&lt;&gt;$B198,$B214&lt;&gt;$B199,$B215&lt;&gt;$B200,$B216&lt;&gt;$B201,$B217&lt;&gt;$B202,$B218&lt;&gt;$B203,$B219&lt;&gt;$B204,$B220&lt;&gt;$B205,$B221&lt;&gt;$B206,$B222&lt;&gt;$B207,$B223&lt;&gt;$B208),IF($B222&lt;&gt;$B207,M207/INDEX($C198:$AJ208,10,MATCH(IF('Data-solution'!$A$3="Maximize",MAX($C209:$AI209),MIN($C209:$AI209)),$C209:$AI209,0)),M207-INDEX($C198:$AJ208,10,MATCH(IF('Data-solution'!$A$3="Maximize",MAX($C209:$AI209),MIN($C209:$AI209)),$C209:$AI209,0))*INDEX(M198:$AJ208,MATCH(MIN($AK198:$AK208),$AK198:$AK208,0),1)/INDEX($C198:$AJ208,MATCH(MIN($AK198:$AK208),$AK198:$AK208,0),MATCH(IF('Data-solution'!$A$3="Maximize",MAX($C209:$AI209),MIN($C209:$AI209)),$C209:$AI209,0))),M207)</f>
        <v>0</v>
      </c>
      <c r="N222" s="1">
        <f>IF(OR($B213&lt;&gt;$B198,$B214&lt;&gt;$B199,$B215&lt;&gt;$B200,$B216&lt;&gt;$B201,$B217&lt;&gt;$B202,$B218&lt;&gt;$B203,$B219&lt;&gt;$B204,$B220&lt;&gt;$B205,$B221&lt;&gt;$B206,$B222&lt;&gt;$B207,$B223&lt;&gt;$B208),IF($B222&lt;&gt;$B207,N207/INDEX($C198:$AJ208,10,MATCH(IF('Data-solution'!$A$3="Maximize",MAX($C209:$AI209),MIN($C209:$AI209)),$C209:$AI209,0)),N207-INDEX($C198:$AJ208,10,MATCH(IF('Data-solution'!$A$3="Maximize",MAX($C209:$AI209),MIN($C209:$AI209)),$C209:$AI209,0))*INDEX(N198:$AJ208,MATCH(MIN($AK198:$AK208),$AK198:$AK208,0),1)/INDEX($C198:$AJ208,MATCH(MIN($AK198:$AK208),$AK198:$AK208,0),MATCH(IF('Data-solution'!$A$3="Maximize",MAX($C209:$AI209),MIN($C209:$AI209)),$C209:$AI209,0))),N207)</f>
        <v>0</v>
      </c>
      <c r="O222" s="1">
        <f>IF(OR($B213&lt;&gt;$B198,$B214&lt;&gt;$B199,$B215&lt;&gt;$B200,$B216&lt;&gt;$B201,$B217&lt;&gt;$B202,$B218&lt;&gt;$B203,$B219&lt;&gt;$B204,$B220&lt;&gt;$B205,$B221&lt;&gt;$B206,$B222&lt;&gt;$B207,$B223&lt;&gt;$B208),IF($B222&lt;&gt;$B207,O207/INDEX($C198:$AJ208,10,MATCH(IF('Data-solution'!$A$3="Maximize",MAX($C209:$AI209),MIN($C209:$AI209)),$C209:$AI209,0)),O207-INDEX($C198:$AJ208,10,MATCH(IF('Data-solution'!$A$3="Maximize",MAX($C209:$AI209),MIN($C209:$AI209)),$C209:$AI209,0))*INDEX(O198:$AJ208,MATCH(MIN($AK198:$AK208),$AK198:$AK208,0),1)/INDEX($C198:$AJ208,MATCH(MIN($AK198:$AK208),$AK198:$AK208,0),MATCH(IF('Data-solution'!$A$3="Maximize",MAX($C209:$AI209),MIN($C209:$AI209)),$C209:$AI209,0))),O207)</f>
        <v>0</v>
      </c>
      <c r="P222" s="1">
        <f>IF(OR($B213&lt;&gt;$B198,$B214&lt;&gt;$B199,$B215&lt;&gt;$B200,$B216&lt;&gt;$B201,$B217&lt;&gt;$B202,$B218&lt;&gt;$B203,$B219&lt;&gt;$B204,$B220&lt;&gt;$B205,$B221&lt;&gt;$B206,$B222&lt;&gt;$B207,$B223&lt;&gt;$B208),IF($B222&lt;&gt;$B207,P207/INDEX($C198:$AJ208,10,MATCH(IF('Data-solution'!$A$3="Maximize",MAX($C209:$AI209),MIN($C209:$AI209)),$C209:$AI209,0)),P207-INDEX($C198:$AJ208,10,MATCH(IF('Data-solution'!$A$3="Maximize",MAX($C209:$AI209),MIN($C209:$AI209)),$C209:$AI209,0))*INDEX(P198:$AJ208,MATCH(MIN($AK198:$AK208),$AK198:$AK208,0),1)/INDEX($C198:$AJ208,MATCH(MIN($AK198:$AK208),$AK198:$AK208,0),MATCH(IF('Data-solution'!$A$3="Maximize",MAX($C209:$AI209),MIN($C209:$AI209)),$C209:$AI209,0))),P207)</f>
        <v>0</v>
      </c>
      <c r="Q222" s="1">
        <f>IF(OR($B213&lt;&gt;$B198,$B214&lt;&gt;$B199,$B215&lt;&gt;$B200,$B216&lt;&gt;$B201,$B217&lt;&gt;$B202,$B218&lt;&gt;$B203,$B219&lt;&gt;$B204,$B220&lt;&gt;$B205,$B221&lt;&gt;$B206,$B222&lt;&gt;$B207,$B223&lt;&gt;$B208),IF($B222&lt;&gt;$B207,Q207/INDEX($C198:$AJ208,10,MATCH(IF('Data-solution'!$A$3="Maximize",MAX($C209:$AI209),MIN($C209:$AI209)),$C209:$AI209,0)),Q207-INDEX($C198:$AJ208,10,MATCH(IF('Data-solution'!$A$3="Maximize",MAX($C209:$AI209),MIN($C209:$AI209)),$C209:$AI209,0))*INDEX(Q198:$AJ208,MATCH(MIN($AK198:$AK208),$AK198:$AK208,0),1)/INDEX($C198:$AJ208,MATCH(MIN($AK198:$AK208),$AK198:$AK208,0),MATCH(IF('Data-solution'!$A$3="Maximize",MAX($C209:$AI209),MIN($C209:$AI209)),$C209:$AI209,0))),Q207)</f>
        <v>0</v>
      </c>
      <c r="R222" s="1">
        <f>IF(OR($B213&lt;&gt;$B198,$B214&lt;&gt;$B199,$B215&lt;&gt;$B200,$B216&lt;&gt;$B201,$B217&lt;&gt;$B202,$B218&lt;&gt;$B203,$B219&lt;&gt;$B204,$B220&lt;&gt;$B205,$B221&lt;&gt;$B206,$B222&lt;&gt;$B207,$B223&lt;&gt;$B208),IF($B222&lt;&gt;$B207,R207/INDEX($C198:$AJ208,10,MATCH(IF('Data-solution'!$A$3="Maximize",MAX($C209:$AI209),MIN($C209:$AI209)),$C209:$AI209,0)),R207-INDEX($C198:$AJ208,10,MATCH(IF('Data-solution'!$A$3="Maximize",MAX($C209:$AI209),MIN($C209:$AI209)),$C209:$AI209,0))*INDEX(R198:$AJ208,MATCH(MIN($AK198:$AK208),$AK198:$AK208,0),1)/INDEX($C198:$AJ208,MATCH(MIN($AK198:$AK208),$AK198:$AK208,0),MATCH(IF('Data-solution'!$A$3="Maximize",MAX($C209:$AI209),MIN($C209:$AI209)),$C209:$AI209,0))),R207)</f>
        <v>0</v>
      </c>
      <c r="S222" s="1">
        <f>IF(OR($B213&lt;&gt;$B198,$B214&lt;&gt;$B199,$B215&lt;&gt;$B200,$B216&lt;&gt;$B201,$B217&lt;&gt;$B202,$B218&lt;&gt;$B203,$B219&lt;&gt;$B204,$B220&lt;&gt;$B205,$B221&lt;&gt;$B206,$B222&lt;&gt;$B207,$B223&lt;&gt;$B208),IF($B222&lt;&gt;$B207,S207/INDEX($C198:$AJ208,10,MATCH(IF('Data-solution'!$A$3="Maximize",MAX($C209:$AI209),MIN($C209:$AI209)),$C209:$AI209,0)),S207-INDEX($C198:$AJ208,10,MATCH(IF('Data-solution'!$A$3="Maximize",MAX($C209:$AI209),MIN($C209:$AI209)),$C209:$AI209,0))*INDEX(S198:$AJ208,MATCH(MIN($AK198:$AK208),$AK198:$AK208,0),1)/INDEX($C198:$AJ208,MATCH(MIN($AK198:$AK208),$AK198:$AK208,0),MATCH(IF('Data-solution'!$A$3="Maximize",MAX($C209:$AI209),MIN($C209:$AI209)),$C209:$AI209,0))),S207)</f>
        <v>0</v>
      </c>
      <c r="T222" s="1">
        <f>IF(OR($B213&lt;&gt;$B198,$B214&lt;&gt;$B199,$B215&lt;&gt;$B200,$B216&lt;&gt;$B201,$B217&lt;&gt;$B202,$B218&lt;&gt;$B203,$B219&lt;&gt;$B204,$B220&lt;&gt;$B205,$B221&lt;&gt;$B206,$B222&lt;&gt;$B207,$B223&lt;&gt;$B208),IF($B222&lt;&gt;$B207,T207/INDEX($C198:$AJ208,10,MATCH(IF('Data-solution'!$A$3="Maximize",MAX($C209:$AI209),MIN($C209:$AI209)),$C209:$AI209,0)),T207-INDEX($C198:$AJ208,10,MATCH(IF('Data-solution'!$A$3="Maximize",MAX($C209:$AI209),MIN($C209:$AI209)),$C209:$AI209,0))*INDEX(T198:$AJ208,MATCH(MIN($AK198:$AK208),$AK198:$AK208,0),1)/INDEX($C198:$AJ208,MATCH(MIN($AK198:$AK208),$AK198:$AK208,0),MATCH(IF('Data-solution'!$A$3="Maximize",MAX($C209:$AI209),MIN($C209:$AI209)),$C209:$AI209,0))),T207)</f>
        <v>0</v>
      </c>
      <c r="U222" s="1">
        <f>IF(OR($B213&lt;&gt;$B198,$B214&lt;&gt;$B199,$B215&lt;&gt;$B200,$B216&lt;&gt;$B201,$B217&lt;&gt;$B202,$B218&lt;&gt;$B203,$B219&lt;&gt;$B204,$B220&lt;&gt;$B205,$B221&lt;&gt;$B206,$B222&lt;&gt;$B207,$B223&lt;&gt;$B208),IF($B222&lt;&gt;$B207,U207/INDEX($C198:$AJ208,10,MATCH(IF('Data-solution'!$A$3="Maximize",MAX($C209:$AI209),MIN($C209:$AI209)),$C209:$AI209,0)),U207-INDEX($C198:$AJ208,10,MATCH(IF('Data-solution'!$A$3="Maximize",MAX($C209:$AI209),MIN($C209:$AI209)),$C209:$AI209,0))*INDEX(U198:$AJ208,MATCH(MIN($AK198:$AK208),$AK198:$AK208,0),1)/INDEX($C198:$AJ208,MATCH(MIN($AK198:$AK208),$AK198:$AK208,0),MATCH(IF('Data-solution'!$A$3="Maximize",MAX($C209:$AI209),MIN($C209:$AI209)),$C209:$AI209,0))),U207)</f>
        <v>0</v>
      </c>
      <c r="V222" s="1">
        <f>IF(OR($B213&lt;&gt;$B198,$B214&lt;&gt;$B199,$B215&lt;&gt;$B200,$B216&lt;&gt;$B201,$B217&lt;&gt;$B202,$B218&lt;&gt;$B203,$B219&lt;&gt;$B204,$B220&lt;&gt;$B205,$B221&lt;&gt;$B206,$B222&lt;&gt;$B207,$B223&lt;&gt;$B208),IF($B222&lt;&gt;$B207,V207/INDEX($C198:$AJ208,10,MATCH(IF('Data-solution'!$A$3="Maximize",MAX($C209:$AI209),MIN($C209:$AI209)),$C209:$AI209,0)),V207-INDEX($C198:$AJ208,10,MATCH(IF('Data-solution'!$A$3="Maximize",MAX($C209:$AI209),MIN($C209:$AI209)),$C209:$AI209,0))*INDEX(V198:$AJ208,MATCH(MIN($AK198:$AK208),$AK198:$AK208,0),1)/INDEX($C198:$AJ208,MATCH(MIN($AK198:$AK208),$AK198:$AK208,0),MATCH(IF('Data-solution'!$A$3="Maximize",MAX($C209:$AI209),MIN($C209:$AI209)),$C209:$AI209,0))),V207)</f>
        <v>0</v>
      </c>
      <c r="W222" s="1">
        <f>IF(OR($B213&lt;&gt;$B198,$B214&lt;&gt;$B199,$B215&lt;&gt;$B200,$B216&lt;&gt;$B201,$B217&lt;&gt;$B202,$B218&lt;&gt;$B203,$B219&lt;&gt;$B204,$B220&lt;&gt;$B205,$B221&lt;&gt;$B206,$B222&lt;&gt;$B207,$B223&lt;&gt;$B208),IF($B222&lt;&gt;$B207,W207/INDEX($C198:$AJ208,10,MATCH(IF('Data-solution'!$A$3="Maximize",MAX($C209:$AI209),MIN($C209:$AI209)),$C209:$AI209,0)),W207-INDEX($C198:$AJ208,10,MATCH(IF('Data-solution'!$A$3="Maximize",MAX($C209:$AI209),MIN($C209:$AI209)),$C209:$AI209,0))*INDEX(W198:$AJ208,MATCH(MIN($AK198:$AK208),$AK198:$AK208,0),1)/INDEX($C198:$AJ208,MATCH(MIN($AK198:$AK208),$AK198:$AK208,0),MATCH(IF('Data-solution'!$A$3="Maximize",MAX($C209:$AI209),MIN($C209:$AI209)),$C209:$AI209,0))),W207)</f>
        <v>1</v>
      </c>
      <c r="X222" s="1">
        <f>IF(OR($B213&lt;&gt;$B198,$B214&lt;&gt;$B199,$B215&lt;&gt;$B200,$B216&lt;&gt;$B201,$B217&lt;&gt;$B202,$B218&lt;&gt;$B203,$B219&lt;&gt;$B204,$B220&lt;&gt;$B205,$B221&lt;&gt;$B206,$B222&lt;&gt;$B207,$B223&lt;&gt;$B208),IF($B222&lt;&gt;$B207,X207/INDEX($C198:$AJ208,10,MATCH(IF('Data-solution'!$A$3="Maximize",MAX($C209:$AI209),MIN($C209:$AI209)),$C209:$AI209,0)),X207-INDEX($C198:$AJ208,10,MATCH(IF('Data-solution'!$A$3="Maximize",MAX($C209:$AI209),MIN($C209:$AI209)),$C209:$AI209,0))*INDEX(X198:$AJ208,MATCH(MIN($AK198:$AK208),$AK198:$AK208,0),1)/INDEX($C198:$AJ208,MATCH(MIN($AK198:$AK208),$AK198:$AK208,0),MATCH(IF('Data-solution'!$A$3="Maximize",MAX($C209:$AI209),MIN($C209:$AI209)),$C209:$AI209,0))),X207)</f>
        <v>0</v>
      </c>
      <c r="Y222" s="1">
        <f>IF(OR($B213&lt;&gt;$B198,$B214&lt;&gt;$B199,$B215&lt;&gt;$B200,$B216&lt;&gt;$B201,$B217&lt;&gt;$B202,$B218&lt;&gt;$B203,$B219&lt;&gt;$B204,$B220&lt;&gt;$B205,$B221&lt;&gt;$B206,$B222&lt;&gt;$B207,$B223&lt;&gt;$B208),IF($B222&lt;&gt;$B207,Y207/INDEX($C198:$AJ208,10,MATCH(IF('Data-solution'!$A$3="Maximize",MAX($C209:$AI209),MIN($C209:$AI209)),$C209:$AI209,0)),Y207-INDEX($C198:$AJ208,10,MATCH(IF('Data-solution'!$A$3="Maximize",MAX($C209:$AI209),MIN($C209:$AI209)),$C209:$AI209,0))*INDEX(Y198:$AJ208,MATCH(MIN($AK198:$AK208),$AK198:$AK208,0),1)/INDEX($C198:$AJ208,MATCH(MIN($AK198:$AK208),$AK198:$AK208,0),MATCH(IF('Data-solution'!$A$3="Maximize",MAX($C209:$AI209),MIN($C209:$AI209)),$C209:$AI209,0))),Y207)</f>
        <v>0</v>
      </c>
      <c r="Z222" s="1">
        <f>IF(OR($B213&lt;&gt;$B198,$B214&lt;&gt;$B199,$B215&lt;&gt;$B200,$B216&lt;&gt;$B201,$B217&lt;&gt;$B202,$B218&lt;&gt;$B203,$B219&lt;&gt;$B204,$B220&lt;&gt;$B205,$B221&lt;&gt;$B206,$B222&lt;&gt;$B207,$B223&lt;&gt;$B208),IF($B222&lt;&gt;$B207,Z207/INDEX($C198:$AJ208,10,MATCH(IF('Data-solution'!$A$3="Maximize",MAX($C209:$AI209),MIN($C209:$AI209)),$C209:$AI209,0)),Z207-INDEX($C198:$AJ208,10,MATCH(IF('Data-solution'!$A$3="Maximize",MAX($C209:$AI209),MIN($C209:$AI209)),$C209:$AI209,0))*INDEX(Z198:$AJ208,MATCH(MIN($AK198:$AK208),$AK198:$AK208,0),1)/INDEX($C198:$AJ208,MATCH(MIN($AK198:$AK208),$AK198:$AK208,0),MATCH(IF('Data-solution'!$A$3="Maximize",MAX($C209:$AI209),MIN($C209:$AI209)),$C209:$AI209,0))),Z207)</f>
        <v>0</v>
      </c>
      <c r="AA222" s="1">
        <f>IF(OR($B213&lt;&gt;$B198,$B214&lt;&gt;$B199,$B215&lt;&gt;$B200,$B216&lt;&gt;$B201,$B217&lt;&gt;$B202,$B218&lt;&gt;$B203,$B219&lt;&gt;$B204,$B220&lt;&gt;$B205,$B221&lt;&gt;$B206,$B222&lt;&gt;$B207,$B223&lt;&gt;$B208),IF($B222&lt;&gt;$B207,AA207/INDEX($C198:$AJ208,10,MATCH(IF('Data-solution'!$A$3="Maximize",MAX($C209:$AI209),MIN($C209:$AI209)),$C209:$AI209,0)),AA207-INDEX($C198:$AJ208,10,MATCH(IF('Data-solution'!$A$3="Maximize",MAX($C209:$AI209),MIN($C209:$AI209)),$C209:$AI209,0))*INDEX(AA198:$AJ208,MATCH(MIN($AK198:$AK208),$AK198:$AK208,0),1)/INDEX($C198:$AJ208,MATCH(MIN($AK198:$AK208),$AK198:$AK208,0),MATCH(IF('Data-solution'!$A$3="Maximize",MAX($C209:$AI209),MIN($C209:$AI209)),$C209:$AI209,0))),AA207)</f>
        <v>0</v>
      </c>
      <c r="AB222" s="1">
        <f>IF(OR($B213&lt;&gt;$B198,$B214&lt;&gt;$B199,$B215&lt;&gt;$B200,$B216&lt;&gt;$B201,$B217&lt;&gt;$B202,$B218&lt;&gt;$B203,$B219&lt;&gt;$B204,$B220&lt;&gt;$B205,$B221&lt;&gt;$B206,$B222&lt;&gt;$B207,$B223&lt;&gt;$B208),IF($B222&lt;&gt;$B207,AB207/INDEX($C198:$AJ208,10,MATCH(IF('Data-solution'!$A$3="Maximize",MAX($C209:$AI209),MIN($C209:$AI209)),$C209:$AI209,0)),AB207-INDEX($C198:$AJ208,10,MATCH(IF('Data-solution'!$A$3="Maximize",MAX($C209:$AI209),MIN($C209:$AI209)),$C209:$AI209,0))*INDEX(AB198:$AJ208,MATCH(MIN($AK198:$AK208),$AK198:$AK208,0),1)/INDEX($C198:$AJ208,MATCH(MIN($AK198:$AK208),$AK198:$AK208,0),MATCH(IF('Data-solution'!$A$3="Maximize",MAX($C209:$AI209),MIN($C209:$AI209)),$C209:$AI209,0))),AB207)</f>
        <v>0</v>
      </c>
      <c r="AC222" s="1">
        <f>IF(OR($B213&lt;&gt;$B198,$B214&lt;&gt;$B199,$B215&lt;&gt;$B200,$B216&lt;&gt;$B201,$B217&lt;&gt;$B202,$B218&lt;&gt;$B203,$B219&lt;&gt;$B204,$B220&lt;&gt;$B205,$B221&lt;&gt;$B206,$B222&lt;&gt;$B207,$B223&lt;&gt;$B208),IF($B222&lt;&gt;$B207,AC207/INDEX($C198:$AJ208,10,MATCH(IF('Data-solution'!$A$3="Maximize",MAX($C209:$AI209),MIN($C209:$AI209)),$C209:$AI209,0)),AC207-INDEX($C198:$AJ208,10,MATCH(IF('Data-solution'!$A$3="Maximize",MAX($C209:$AI209),MIN($C209:$AI209)),$C209:$AI209,0))*INDEX(AC198:$AJ208,MATCH(MIN($AK198:$AK208),$AK198:$AK208,0),1)/INDEX($C198:$AJ208,MATCH(MIN($AK198:$AK208),$AK198:$AK208,0),MATCH(IF('Data-solution'!$A$3="Maximize",MAX($C209:$AI209),MIN($C209:$AI209)),$C209:$AI209,0))),AC207)</f>
        <v>0</v>
      </c>
      <c r="AD222" s="1">
        <f>IF(OR($B213&lt;&gt;$B198,$B214&lt;&gt;$B199,$B215&lt;&gt;$B200,$B216&lt;&gt;$B201,$B217&lt;&gt;$B202,$B218&lt;&gt;$B203,$B219&lt;&gt;$B204,$B220&lt;&gt;$B205,$B221&lt;&gt;$B206,$B222&lt;&gt;$B207,$B223&lt;&gt;$B208),IF($B222&lt;&gt;$B207,AD207/INDEX($C198:$AJ208,10,MATCH(IF('Data-solution'!$A$3="Maximize",MAX($C209:$AI209),MIN($C209:$AI209)),$C209:$AI209,0)),AD207-INDEX($C198:$AJ208,10,MATCH(IF('Data-solution'!$A$3="Maximize",MAX($C209:$AI209),MIN($C209:$AI209)),$C209:$AI209,0))*INDEX(AD198:$AJ208,MATCH(MIN($AK198:$AK208),$AK198:$AK208,0),1)/INDEX($C198:$AJ208,MATCH(MIN($AK198:$AK208),$AK198:$AK208,0),MATCH(IF('Data-solution'!$A$3="Maximize",MAX($C209:$AI209),MIN($C209:$AI209)),$C209:$AI209,0))),AD207)</f>
        <v>0</v>
      </c>
      <c r="AE222" s="1">
        <f>IF(OR($B213&lt;&gt;$B198,$B214&lt;&gt;$B199,$B215&lt;&gt;$B200,$B216&lt;&gt;$B201,$B217&lt;&gt;$B202,$B218&lt;&gt;$B203,$B219&lt;&gt;$B204,$B220&lt;&gt;$B205,$B221&lt;&gt;$B206,$B222&lt;&gt;$B207,$B223&lt;&gt;$B208),IF($B222&lt;&gt;$B207,AE207/INDEX($C198:$AJ208,10,MATCH(IF('Data-solution'!$A$3="Maximize",MAX($C209:$AI209),MIN($C209:$AI209)),$C209:$AI209,0)),AE207-INDEX($C198:$AJ208,10,MATCH(IF('Data-solution'!$A$3="Maximize",MAX($C209:$AI209),MIN($C209:$AI209)),$C209:$AI209,0))*INDEX(AE198:$AJ208,MATCH(MIN($AK198:$AK208),$AK198:$AK208,0),1)/INDEX($C198:$AJ208,MATCH(MIN($AK198:$AK208),$AK198:$AK208,0),MATCH(IF('Data-solution'!$A$3="Maximize",MAX($C209:$AI209),MIN($C209:$AI209)),$C209:$AI209,0))),AE207)</f>
        <v>0</v>
      </c>
      <c r="AF222" s="1">
        <f>IF(OR($B213&lt;&gt;$B198,$B214&lt;&gt;$B199,$B215&lt;&gt;$B200,$B216&lt;&gt;$B201,$B217&lt;&gt;$B202,$B218&lt;&gt;$B203,$B219&lt;&gt;$B204,$B220&lt;&gt;$B205,$B221&lt;&gt;$B206,$B222&lt;&gt;$B207,$B223&lt;&gt;$B208),IF($B222&lt;&gt;$B207,AF207/INDEX($C198:$AJ208,10,MATCH(IF('Data-solution'!$A$3="Maximize",MAX($C209:$AI209),MIN($C209:$AI209)),$C209:$AI209,0)),AF207-INDEX($C198:$AJ208,10,MATCH(IF('Data-solution'!$A$3="Maximize",MAX($C209:$AI209),MIN($C209:$AI209)),$C209:$AI209,0))*INDEX(AF198:$AJ208,MATCH(MIN($AK198:$AK208),$AK198:$AK208,0),1)/INDEX($C198:$AJ208,MATCH(MIN($AK198:$AK208),$AK198:$AK208,0),MATCH(IF('Data-solution'!$A$3="Maximize",MAX($C209:$AI209),MIN($C209:$AI209)),$C209:$AI209,0))),AF207)</f>
        <v>0</v>
      </c>
      <c r="AG222" s="1">
        <f>IF(OR($B213&lt;&gt;$B198,$B214&lt;&gt;$B199,$B215&lt;&gt;$B200,$B216&lt;&gt;$B201,$B217&lt;&gt;$B202,$B218&lt;&gt;$B203,$B219&lt;&gt;$B204,$B220&lt;&gt;$B205,$B221&lt;&gt;$B206,$B222&lt;&gt;$B207,$B223&lt;&gt;$B208),IF($B222&lt;&gt;$B207,AG207/INDEX($C198:$AJ208,10,MATCH(IF('Data-solution'!$A$3="Maximize",MAX($C209:$AI209),MIN($C209:$AI209)),$C209:$AI209,0)),AG207-INDEX($C198:$AJ208,10,MATCH(IF('Data-solution'!$A$3="Maximize",MAX($C209:$AI209),MIN($C209:$AI209)),$C209:$AI209,0))*INDEX(AG198:$AJ208,MATCH(MIN($AK198:$AK208),$AK198:$AK208,0),1)/INDEX($C198:$AJ208,MATCH(MIN($AK198:$AK208),$AK198:$AK208,0),MATCH(IF('Data-solution'!$A$3="Maximize",MAX($C209:$AI209),MIN($C209:$AI209)),$C209:$AI209,0))),AG207)</f>
        <v>0</v>
      </c>
      <c r="AH222" s="1">
        <f>IF(OR($B213&lt;&gt;$B198,$B214&lt;&gt;$B199,$B215&lt;&gt;$B200,$B216&lt;&gt;$B201,$B217&lt;&gt;$B202,$B218&lt;&gt;$B203,$B219&lt;&gt;$B204,$B220&lt;&gt;$B205,$B221&lt;&gt;$B206,$B222&lt;&gt;$B207,$B223&lt;&gt;$B208),IF($B222&lt;&gt;$B207,AH207/INDEX($C198:$AJ208,10,MATCH(IF('Data-solution'!$A$3="Maximize",MAX($C209:$AI209),MIN($C209:$AI209)),$C209:$AI209,0)),AH207-INDEX($C198:$AJ208,10,MATCH(IF('Data-solution'!$A$3="Maximize",MAX($C209:$AI209),MIN($C209:$AI209)),$C209:$AI209,0))*INDEX(AH198:$AJ208,MATCH(MIN($AK198:$AK208),$AK198:$AK208,0),1)/INDEX($C198:$AJ208,MATCH(MIN($AK198:$AK208),$AK198:$AK208,0),MATCH(IF('Data-solution'!$A$3="Maximize",MAX($C209:$AI209),MIN($C209:$AI209)),$C209:$AI209,0))),AH207)</f>
        <v>1</v>
      </c>
      <c r="AI222" s="1">
        <f>IF(OR($B213&lt;&gt;$B198,$B214&lt;&gt;$B199,$B215&lt;&gt;$B200,$B216&lt;&gt;$B201,$B217&lt;&gt;$B202,$B218&lt;&gt;$B203,$B219&lt;&gt;$B204,$B220&lt;&gt;$B205,$B221&lt;&gt;$B206,$B222&lt;&gt;$B207,$B223&lt;&gt;$B208),IF($B222&lt;&gt;$B207,AI207/INDEX($C198:$AJ208,10,MATCH(IF('Data-solution'!$A$3="Maximize",MAX($C209:$AI209),MIN($C209:$AI209)),$C209:$AI209,0)),AI207-INDEX($C198:$AJ208,10,MATCH(IF('Data-solution'!$A$3="Maximize",MAX($C209:$AI209),MIN($C209:$AI209)),$C209:$AI209,0))*INDEX(AI198:$AJ208,MATCH(MIN($AK198:$AK208),$AK198:$AK208,0),1)/INDEX($C198:$AJ208,MATCH(MIN($AK198:$AK208),$AK198:$AK208,0),MATCH(IF('Data-solution'!$A$3="Maximize",MAX($C209:$AI209),MIN($C209:$AI209)),$C209:$AI209,0))),AI207)</f>
        <v>0</v>
      </c>
      <c r="AJ222" s="1">
        <f>IF(OR($B213&lt;&gt;$B198,$B214&lt;&gt;$B199,$B215&lt;&gt;$B200,$B216&lt;&gt;$B201,$B217&lt;&gt;$B202,$B218&lt;&gt;$B203,$B219&lt;&gt;$B204,$B220&lt;&gt;$B205,$B221&lt;&gt;$B206,$B222&lt;&gt;$B207,$B223&lt;&gt;$B208),IF($B222&lt;&gt;$B207,AJ207/INDEX($C198:$AJ208,10,MATCH(IF('Data-solution'!$A$3="Maximize",MAX($C209:$AI209),MIN($C209:$AI209)),$C209:$AI209,0)),AJ207-INDEX($C198:$AJ208,10,MATCH(IF('Data-solution'!$A$3="Maximize",MAX($C209:$AI209),MIN($C209:$AI209)),$C209:$AI209,0))*INDEX(AJ198:$AJ208,MATCH(MIN($AK198:$AK208),$AK198:$AK208,0),1)/INDEX($C198:$AJ208,MATCH(MIN($AK198:$AK208),$AK198:$AK208,0),MATCH(IF('Data-solution'!$A$3="Maximize",MAX($C209:$AI209),MIN($C209:$AI209)),$C209:$AI209,0))),AJ207)</f>
        <v>0</v>
      </c>
      <c r="AK222" s="1" t="str">
        <f>IF(INDEX(C222:X222,1,MATCH(IF('Data-solution'!A$3="Maximize",MAX(C224:X224),MIN(C224:X224)),C224:X224,0))&gt;0,AJ222/INDEX(C222:X222,1,MATCH(IF('Data-solution'!A$3="Maximize",MAX(C224:X224),MIN(C224:X224)),C224:X224,0))," ")</f>
        <v xml:space="preserve"> </v>
      </c>
    </row>
    <row r="223" spans="1:37" ht="18" customHeight="1" x14ac:dyDescent="0.2">
      <c r="A223" s="1">
        <f t="shared" ref="A223" si="194">INDEX(C211:AI211,1,MATCH(B223,C212:AI212,0))</f>
        <v>0</v>
      </c>
      <c r="B223" s="2" t="str">
        <f>IF(AND('Data-solution'!A$3="Maximize",COUNTIF(C209:X209,"&gt;"&amp;0)&gt;0,AK208=MIN(AK198:AK208),COUNTIF(B213:B222,INDEX(C197:X197,1,MATCH(MAX(C209:X209),C209:X209,0)))=0),INDEX(C197:X197,1,MATCH(MAX(C209:X209),C209:X209,0)),IF(AND('Data-solution'!A$3="Minimize",COUNTIF(C209:X209,"&lt;"&amp;0)&gt;0,AK208=MIN(AK198:AK208),COUNTIF(B213:B222,INDEX(C197:X197,1,MATCH(MIN(C209:X209),C209:X209,0)))=0),INDEX(C197:X197,1,MATCH(MIN(C209:X209),C209:X209,0)),B208))</f>
        <v>S11</v>
      </c>
      <c r="C223" s="1">
        <f>IF(OR($B213&lt;&gt;$B198,$B214&lt;&gt;$B199,$B215&lt;&gt;$B200,$B216&lt;&gt;$B201,$B217&lt;&gt;$B202,$B218&lt;&gt;$B203,$B219&lt;&gt;$B204,$B220&lt;&gt;$B205,$B221&lt;&gt;$B206,$B222&lt;&gt;$B207,$B223&lt;&gt;$B208),IF($B223&lt;&gt;$B208,C208/INDEX($C198:$AJ208,11,MATCH(IF('Data-solution'!$A$3="Maximize",MAX($C209:$AI209),MIN($C209:$AI209)),$C209:$AI209,0)),C208-INDEX($C198:$AJ208,11,MATCH(IF('Data-solution'!$A$3="Maximize",MAX($C209:$AI209),MIN($C209:$AI209)),$C209:$AI209,0))*INDEX(C198:$AJ208,MATCH(MIN($AK198:$AK208),$AK198:$AK208,0),1)/INDEX($C198:$AJ208,MATCH(MIN($AK198:$AK208),$AK198:$AK208,0),MATCH(IF('Data-solution'!$A$3="Maximize",MAX($C209:$AI209),MIN($C209:$AI209)),$C209:$AI209,0))),C208)</f>
        <v>0</v>
      </c>
      <c r="D223" s="1">
        <f>IF(OR($B213&lt;&gt;$B198,$B214&lt;&gt;$B199,$B215&lt;&gt;$B200,$B216&lt;&gt;$B201,$B217&lt;&gt;$B202,$B218&lt;&gt;$B203,$B219&lt;&gt;$B204,$B220&lt;&gt;$B205,$B221&lt;&gt;$B206,$B222&lt;&gt;$B207,$B223&lt;&gt;$B208),IF($B223&lt;&gt;$B208,D208/INDEX($C198:$AJ208,11,MATCH(IF('Data-solution'!$A$3="Maximize",MAX($C209:$AI209),MIN($C209:$AI209)),$C209:$AI209,0)),D208-INDEX($C198:$AJ208,11,MATCH(IF('Data-solution'!$A$3="Maximize",MAX($C209:$AI209),MIN($C209:$AI209)),$C209:$AI209,0))*INDEX(D198:$AJ208,MATCH(MIN($AK198:$AK208),$AK198:$AK208,0),1)/INDEX($C198:$AJ208,MATCH(MIN($AK198:$AK208),$AK198:$AK208,0),MATCH(IF('Data-solution'!$A$3="Maximize",MAX($C209:$AI209),MIN($C209:$AI209)),$C209:$AI209,0))),D208)</f>
        <v>0</v>
      </c>
      <c r="E223" s="1">
        <f>IF(OR($B213&lt;&gt;$B198,$B214&lt;&gt;$B199,$B215&lt;&gt;$B200,$B216&lt;&gt;$B201,$B217&lt;&gt;$B202,$B218&lt;&gt;$B203,$B219&lt;&gt;$B204,$B220&lt;&gt;$B205,$B221&lt;&gt;$B206,$B222&lt;&gt;$B207,$B223&lt;&gt;$B208),IF($B223&lt;&gt;$B208,E208/INDEX($C198:$AJ208,11,MATCH(IF('Data-solution'!$A$3="Maximize",MAX($C209:$AI209),MIN($C209:$AI209)),$C209:$AI209,0)),E208-INDEX($C198:$AJ208,11,MATCH(IF('Data-solution'!$A$3="Maximize",MAX($C209:$AI209),MIN($C209:$AI209)),$C209:$AI209,0))*INDEX(E198:$AJ208,MATCH(MIN($AK198:$AK208),$AK198:$AK208,0),1)/INDEX($C198:$AJ208,MATCH(MIN($AK198:$AK208),$AK198:$AK208,0),MATCH(IF('Data-solution'!$A$3="Maximize",MAX($C209:$AI209),MIN($C209:$AI209)),$C209:$AI209,0))),E208)</f>
        <v>0</v>
      </c>
      <c r="F223" s="1">
        <f>IF(OR($B213&lt;&gt;$B198,$B214&lt;&gt;$B199,$B215&lt;&gt;$B200,$B216&lt;&gt;$B201,$B217&lt;&gt;$B202,$B218&lt;&gt;$B203,$B219&lt;&gt;$B204,$B220&lt;&gt;$B205,$B221&lt;&gt;$B206,$B222&lt;&gt;$B207,$B223&lt;&gt;$B208),IF($B223&lt;&gt;$B208,F208/INDEX($C198:$AJ208,11,MATCH(IF('Data-solution'!$A$3="Maximize",MAX($C209:$AI209),MIN($C209:$AI209)),$C209:$AI209,0)),F208-INDEX($C198:$AJ208,11,MATCH(IF('Data-solution'!$A$3="Maximize",MAX($C209:$AI209),MIN($C209:$AI209)),$C209:$AI209,0))*INDEX(F198:$AJ208,MATCH(MIN($AK198:$AK208),$AK198:$AK208,0),1)/INDEX($C198:$AJ208,MATCH(MIN($AK198:$AK208),$AK198:$AK208,0),MATCH(IF('Data-solution'!$A$3="Maximize",MAX($C209:$AI209),MIN($C209:$AI209)),$C209:$AI209,0))),F208)</f>
        <v>0</v>
      </c>
      <c r="G223" s="1">
        <f>IF(OR($B213&lt;&gt;$B198,$B214&lt;&gt;$B199,$B215&lt;&gt;$B200,$B216&lt;&gt;$B201,$B217&lt;&gt;$B202,$B218&lt;&gt;$B203,$B219&lt;&gt;$B204,$B220&lt;&gt;$B205,$B221&lt;&gt;$B206,$B222&lt;&gt;$B207,$B223&lt;&gt;$B208),IF($B223&lt;&gt;$B208,G208/INDEX($C198:$AJ208,11,MATCH(IF('Data-solution'!$A$3="Maximize",MAX($C209:$AI209),MIN($C209:$AI209)),$C209:$AI209,0)),G208-INDEX($C198:$AJ208,11,MATCH(IF('Data-solution'!$A$3="Maximize",MAX($C209:$AI209),MIN($C209:$AI209)),$C209:$AI209,0))*INDEX(G198:$AJ208,MATCH(MIN($AK198:$AK208),$AK198:$AK208,0),1)/INDEX($C198:$AJ208,MATCH(MIN($AK198:$AK208),$AK198:$AK208,0),MATCH(IF('Data-solution'!$A$3="Maximize",MAX($C209:$AI209),MIN($C209:$AI209)),$C209:$AI209,0))),G208)</f>
        <v>0</v>
      </c>
      <c r="H223" s="1">
        <f>IF(OR($B213&lt;&gt;$B198,$B214&lt;&gt;$B199,$B215&lt;&gt;$B200,$B216&lt;&gt;$B201,$B217&lt;&gt;$B202,$B218&lt;&gt;$B203,$B219&lt;&gt;$B204,$B220&lt;&gt;$B205,$B221&lt;&gt;$B206,$B222&lt;&gt;$B207,$B223&lt;&gt;$B208),IF($B223&lt;&gt;$B208,H208/INDEX($C198:$AJ208,11,MATCH(IF('Data-solution'!$A$3="Maximize",MAX($C209:$AI209),MIN($C209:$AI209)),$C209:$AI209,0)),H208-INDEX($C198:$AJ208,11,MATCH(IF('Data-solution'!$A$3="Maximize",MAX($C209:$AI209),MIN($C209:$AI209)),$C209:$AI209,0))*INDEX(H198:$AJ208,MATCH(MIN($AK198:$AK208),$AK198:$AK208,0),1)/INDEX($C198:$AJ208,MATCH(MIN($AK198:$AK208),$AK198:$AK208,0),MATCH(IF('Data-solution'!$A$3="Maximize",MAX($C209:$AI209),MIN($C209:$AI209)),$C209:$AI209,0))),H208)</f>
        <v>0</v>
      </c>
      <c r="I223" s="1">
        <f>IF(OR($B213&lt;&gt;$B198,$B214&lt;&gt;$B199,$B215&lt;&gt;$B200,$B216&lt;&gt;$B201,$B217&lt;&gt;$B202,$B218&lt;&gt;$B203,$B219&lt;&gt;$B204,$B220&lt;&gt;$B205,$B221&lt;&gt;$B206,$B222&lt;&gt;$B207,$B223&lt;&gt;$B208),IF($B223&lt;&gt;$B208,I208/INDEX($C198:$AJ208,11,MATCH(IF('Data-solution'!$A$3="Maximize",MAX($C209:$AI209),MIN($C209:$AI209)),$C209:$AI209,0)),I208-INDEX($C198:$AJ208,11,MATCH(IF('Data-solution'!$A$3="Maximize",MAX($C209:$AI209),MIN($C209:$AI209)),$C209:$AI209,0))*INDEX(I198:$AJ208,MATCH(MIN($AK198:$AK208),$AK198:$AK208,0),1)/INDEX($C198:$AJ208,MATCH(MIN($AK198:$AK208),$AK198:$AK208,0),MATCH(IF('Data-solution'!$A$3="Maximize",MAX($C209:$AI209),MIN($C209:$AI209)),$C209:$AI209,0))),I208)</f>
        <v>0</v>
      </c>
      <c r="J223" s="1">
        <f>IF(OR($B213&lt;&gt;$B198,$B214&lt;&gt;$B199,$B215&lt;&gt;$B200,$B216&lt;&gt;$B201,$B217&lt;&gt;$B202,$B218&lt;&gt;$B203,$B219&lt;&gt;$B204,$B220&lt;&gt;$B205,$B221&lt;&gt;$B206,$B222&lt;&gt;$B207,$B223&lt;&gt;$B208),IF($B223&lt;&gt;$B208,J208/INDEX($C198:$AJ208,11,MATCH(IF('Data-solution'!$A$3="Maximize",MAX($C209:$AI209),MIN($C209:$AI209)),$C209:$AI209,0)),J208-INDEX($C198:$AJ208,11,MATCH(IF('Data-solution'!$A$3="Maximize",MAX($C209:$AI209),MIN($C209:$AI209)),$C209:$AI209,0))*INDEX(J198:$AJ208,MATCH(MIN($AK198:$AK208),$AK198:$AK208,0),1)/INDEX($C198:$AJ208,MATCH(MIN($AK198:$AK208),$AK198:$AK208,0),MATCH(IF('Data-solution'!$A$3="Maximize",MAX($C209:$AI209),MIN($C209:$AI209)),$C209:$AI209,0))),J208)</f>
        <v>0</v>
      </c>
      <c r="K223" s="1">
        <f>IF(OR($B213&lt;&gt;$B198,$B214&lt;&gt;$B199,$B215&lt;&gt;$B200,$B216&lt;&gt;$B201,$B217&lt;&gt;$B202,$B218&lt;&gt;$B203,$B219&lt;&gt;$B204,$B220&lt;&gt;$B205,$B221&lt;&gt;$B206,$B222&lt;&gt;$B207,$B223&lt;&gt;$B208),IF($B223&lt;&gt;$B208,K208/INDEX($C198:$AJ208,11,MATCH(IF('Data-solution'!$A$3="Maximize",MAX($C209:$AI209),MIN($C209:$AI209)),$C209:$AI209,0)),K208-INDEX($C198:$AJ208,11,MATCH(IF('Data-solution'!$A$3="Maximize",MAX($C209:$AI209),MIN($C209:$AI209)),$C209:$AI209,0))*INDEX(K198:$AJ208,MATCH(MIN($AK198:$AK208),$AK198:$AK208,0),1)/INDEX($C198:$AJ208,MATCH(MIN($AK198:$AK208),$AK198:$AK208,0),MATCH(IF('Data-solution'!$A$3="Maximize",MAX($C209:$AI209),MIN($C209:$AI209)),$C209:$AI209,0))),K208)</f>
        <v>0</v>
      </c>
      <c r="L223" s="1">
        <f>IF(OR($B213&lt;&gt;$B198,$B214&lt;&gt;$B199,$B215&lt;&gt;$B200,$B216&lt;&gt;$B201,$B217&lt;&gt;$B202,$B218&lt;&gt;$B203,$B219&lt;&gt;$B204,$B220&lt;&gt;$B205,$B221&lt;&gt;$B206,$B222&lt;&gt;$B207,$B223&lt;&gt;$B208),IF($B223&lt;&gt;$B208,L208/INDEX($C198:$AJ208,11,MATCH(IF('Data-solution'!$A$3="Maximize",MAX($C209:$AI209),MIN($C209:$AI209)),$C209:$AI209,0)),L208-INDEX($C198:$AJ208,11,MATCH(IF('Data-solution'!$A$3="Maximize",MAX($C209:$AI209),MIN($C209:$AI209)),$C209:$AI209,0))*INDEX(L198:$AJ208,MATCH(MIN($AK198:$AK208),$AK198:$AK208,0),1)/INDEX($C198:$AJ208,MATCH(MIN($AK198:$AK208),$AK198:$AK208,0),MATCH(IF('Data-solution'!$A$3="Maximize",MAX($C209:$AI209),MIN($C209:$AI209)),$C209:$AI209,0))),L208)</f>
        <v>0</v>
      </c>
      <c r="M223" s="1">
        <f>IF(OR($B213&lt;&gt;$B198,$B214&lt;&gt;$B199,$B215&lt;&gt;$B200,$B216&lt;&gt;$B201,$B217&lt;&gt;$B202,$B218&lt;&gt;$B203,$B219&lt;&gt;$B204,$B220&lt;&gt;$B205,$B221&lt;&gt;$B206,$B222&lt;&gt;$B207,$B223&lt;&gt;$B208),IF($B223&lt;&gt;$B208,M208/INDEX($C198:$AJ208,11,MATCH(IF('Data-solution'!$A$3="Maximize",MAX($C209:$AI209),MIN($C209:$AI209)),$C209:$AI209,0)),M208-INDEX($C198:$AJ208,11,MATCH(IF('Data-solution'!$A$3="Maximize",MAX($C209:$AI209),MIN($C209:$AI209)),$C209:$AI209,0))*INDEX(M198:$AJ208,MATCH(MIN($AK198:$AK208),$AK198:$AK208,0),1)/INDEX($C198:$AJ208,MATCH(MIN($AK198:$AK208),$AK198:$AK208,0),MATCH(IF('Data-solution'!$A$3="Maximize",MAX($C209:$AI209),MIN($C209:$AI209)),$C209:$AI209,0))),M208)</f>
        <v>0</v>
      </c>
      <c r="N223" s="1">
        <f>IF(OR($B213&lt;&gt;$B198,$B214&lt;&gt;$B199,$B215&lt;&gt;$B200,$B216&lt;&gt;$B201,$B217&lt;&gt;$B202,$B218&lt;&gt;$B203,$B219&lt;&gt;$B204,$B220&lt;&gt;$B205,$B221&lt;&gt;$B206,$B222&lt;&gt;$B207,$B223&lt;&gt;$B208),IF($B223&lt;&gt;$B208,N208/INDEX($C198:$AJ208,11,MATCH(IF('Data-solution'!$A$3="Maximize",MAX($C209:$AI209),MIN($C209:$AI209)),$C209:$AI209,0)),N208-INDEX($C198:$AJ208,11,MATCH(IF('Data-solution'!$A$3="Maximize",MAX($C209:$AI209),MIN($C209:$AI209)),$C209:$AI209,0))*INDEX(N198:$AJ208,MATCH(MIN($AK198:$AK208),$AK198:$AK208,0),1)/INDEX($C198:$AJ208,MATCH(MIN($AK198:$AK208),$AK198:$AK208,0),MATCH(IF('Data-solution'!$A$3="Maximize",MAX($C209:$AI209),MIN($C209:$AI209)),$C209:$AI209,0))),N208)</f>
        <v>0</v>
      </c>
      <c r="O223" s="1">
        <f>IF(OR($B213&lt;&gt;$B198,$B214&lt;&gt;$B199,$B215&lt;&gt;$B200,$B216&lt;&gt;$B201,$B217&lt;&gt;$B202,$B218&lt;&gt;$B203,$B219&lt;&gt;$B204,$B220&lt;&gt;$B205,$B221&lt;&gt;$B206,$B222&lt;&gt;$B207,$B223&lt;&gt;$B208),IF($B223&lt;&gt;$B208,O208/INDEX($C198:$AJ208,11,MATCH(IF('Data-solution'!$A$3="Maximize",MAX($C209:$AI209),MIN($C209:$AI209)),$C209:$AI209,0)),O208-INDEX($C198:$AJ208,11,MATCH(IF('Data-solution'!$A$3="Maximize",MAX($C209:$AI209),MIN($C209:$AI209)),$C209:$AI209,0))*INDEX(O198:$AJ208,MATCH(MIN($AK198:$AK208),$AK198:$AK208,0),1)/INDEX($C198:$AJ208,MATCH(MIN($AK198:$AK208),$AK198:$AK208,0),MATCH(IF('Data-solution'!$A$3="Maximize",MAX($C209:$AI209),MIN($C209:$AI209)),$C209:$AI209,0))),O208)</f>
        <v>0</v>
      </c>
      <c r="P223" s="1">
        <f>IF(OR($B213&lt;&gt;$B198,$B214&lt;&gt;$B199,$B215&lt;&gt;$B200,$B216&lt;&gt;$B201,$B217&lt;&gt;$B202,$B218&lt;&gt;$B203,$B219&lt;&gt;$B204,$B220&lt;&gt;$B205,$B221&lt;&gt;$B206,$B222&lt;&gt;$B207,$B223&lt;&gt;$B208),IF($B223&lt;&gt;$B208,P208/INDEX($C198:$AJ208,11,MATCH(IF('Data-solution'!$A$3="Maximize",MAX($C209:$AI209),MIN($C209:$AI209)),$C209:$AI209,0)),P208-INDEX($C198:$AJ208,11,MATCH(IF('Data-solution'!$A$3="Maximize",MAX($C209:$AI209),MIN($C209:$AI209)),$C209:$AI209,0))*INDEX(P198:$AJ208,MATCH(MIN($AK198:$AK208),$AK198:$AK208,0),1)/INDEX($C198:$AJ208,MATCH(MIN($AK198:$AK208),$AK198:$AK208,0),MATCH(IF('Data-solution'!$A$3="Maximize",MAX($C209:$AI209),MIN($C209:$AI209)),$C209:$AI209,0))),P208)</f>
        <v>0</v>
      </c>
      <c r="Q223" s="1">
        <f>IF(OR($B213&lt;&gt;$B198,$B214&lt;&gt;$B199,$B215&lt;&gt;$B200,$B216&lt;&gt;$B201,$B217&lt;&gt;$B202,$B218&lt;&gt;$B203,$B219&lt;&gt;$B204,$B220&lt;&gt;$B205,$B221&lt;&gt;$B206,$B222&lt;&gt;$B207,$B223&lt;&gt;$B208),IF($B223&lt;&gt;$B208,Q208/INDEX($C198:$AJ208,11,MATCH(IF('Data-solution'!$A$3="Maximize",MAX($C209:$AI209),MIN($C209:$AI209)),$C209:$AI209,0)),Q208-INDEX($C198:$AJ208,11,MATCH(IF('Data-solution'!$A$3="Maximize",MAX($C209:$AI209),MIN($C209:$AI209)),$C209:$AI209,0))*INDEX(Q198:$AJ208,MATCH(MIN($AK198:$AK208),$AK198:$AK208,0),1)/INDEX($C198:$AJ208,MATCH(MIN($AK198:$AK208),$AK198:$AK208,0),MATCH(IF('Data-solution'!$A$3="Maximize",MAX($C209:$AI209),MIN($C209:$AI209)),$C209:$AI209,0))),Q208)</f>
        <v>0</v>
      </c>
      <c r="R223" s="1">
        <f>IF(OR($B213&lt;&gt;$B198,$B214&lt;&gt;$B199,$B215&lt;&gt;$B200,$B216&lt;&gt;$B201,$B217&lt;&gt;$B202,$B218&lt;&gt;$B203,$B219&lt;&gt;$B204,$B220&lt;&gt;$B205,$B221&lt;&gt;$B206,$B222&lt;&gt;$B207,$B223&lt;&gt;$B208),IF($B223&lt;&gt;$B208,R208/INDEX($C198:$AJ208,11,MATCH(IF('Data-solution'!$A$3="Maximize",MAX($C209:$AI209),MIN($C209:$AI209)),$C209:$AI209,0)),R208-INDEX($C198:$AJ208,11,MATCH(IF('Data-solution'!$A$3="Maximize",MAX($C209:$AI209),MIN($C209:$AI209)),$C209:$AI209,0))*INDEX(R198:$AJ208,MATCH(MIN($AK198:$AK208),$AK198:$AK208,0),1)/INDEX($C198:$AJ208,MATCH(MIN($AK198:$AK208),$AK198:$AK208,0),MATCH(IF('Data-solution'!$A$3="Maximize",MAX($C209:$AI209),MIN($C209:$AI209)),$C209:$AI209,0))),R208)</f>
        <v>0</v>
      </c>
      <c r="S223" s="1">
        <f>IF(OR($B213&lt;&gt;$B198,$B214&lt;&gt;$B199,$B215&lt;&gt;$B200,$B216&lt;&gt;$B201,$B217&lt;&gt;$B202,$B218&lt;&gt;$B203,$B219&lt;&gt;$B204,$B220&lt;&gt;$B205,$B221&lt;&gt;$B206,$B222&lt;&gt;$B207,$B223&lt;&gt;$B208),IF($B223&lt;&gt;$B208,S208/INDEX($C198:$AJ208,11,MATCH(IF('Data-solution'!$A$3="Maximize",MAX($C209:$AI209),MIN($C209:$AI209)),$C209:$AI209,0)),S208-INDEX($C198:$AJ208,11,MATCH(IF('Data-solution'!$A$3="Maximize",MAX($C209:$AI209),MIN($C209:$AI209)),$C209:$AI209,0))*INDEX(S198:$AJ208,MATCH(MIN($AK198:$AK208),$AK198:$AK208,0),1)/INDEX($C198:$AJ208,MATCH(MIN($AK198:$AK208),$AK198:$AK208,0),MATCH(IF('Data-solution'!$A$3="Maximize",MAX($C209:$AI209),MIN($C209:$AI209)),$C209:$AI209,0))),S208)</f>
        <v>0</v>
      </c>
      <c r="T223" s="1">
        <f>IF(OR($B213&lt;&gt;$B198,$B214&lt;&gt;$B199,$B215&lt;&gt;$B200,$B216&lt;&gt;$B201,$B217&lt;&gt;$B202,$B218&lt;&gt;$B203,$B219&lt;&gt;$B204,$B220&lt;&gt;$B205,$B221&lt;&gt;$B206,$B222&lt;&gt;$B207,$B223&lt;&gt;$B208),IF($B223&lt;&gt;$B208,T208/INDEX($C198:$AJ208,11,MATCH(IF('Data-solution'!$A$3="Maximize",MAX($C209:$AI209),MIN($C209:$AI209)),$C209:$AI209,0)),T208-INDEX($C198:$AJ208,11,MATCH(IF('Data-solution'!$A$3="Maximize",MAX($C209:$AI209),MIN($C209:$AI209)),$C209:$AI209,0))*INDEX(T198:$AJ208,MATCH(MIN($AK198:$AK208),$AK198:$AK208,0),1)/INDEX($C198:$AJ208,MATCH(MIN($AK198:$AK208),$AK198:$AK208,0),MATCH(IF('Data-solution'!$A$3="Maximize",MAX($C209:$AI209),MIN($C209:$AI209)),$C209:$AI209,0))),T208)</f>
        <v>0</v>
      </c>
      <c r="U223" s="1">
        <f>IF(OR($B213&lt;&gt;$B198,$B214&lt;&gt;$B199,$B215&lt;&gt;$B200,$B216&lt;&gt;$B201,$B217&lt;&gt;$B202,$B218&lt;&gt;$B203,$B219&lt;&gt;$B204,$B220&lt;&gt;$B205,$B221&lt;&gt;$B206,$B222&lt;&gt;$B207,$B223&lt;&gt;$B208),IF($B223&lt;&gt;$B208,U208/INDEX($C198:$AJ208,11,MATCH(IF('Data-solution'!$A$3="Maximize",MAX($C209:$AI209),MIN($C209:$AI209)),$C209:$AI209,0)),U208-INDEX($C198:$AJ208,11,MATCH(IF('Data-solution'!$A$3="Maximize",MAX($C209:$AI209),MIN($C209:$AI209)),$C209:$AI209,0))*INDEX(U198:$AJ208,MATCH(MIN($AK198:$AK208),$AK198:$AK208,0),1)/INDEX($C198:$AJ208,MATCH(MIN($AK198:$AK208),$AK198:$AK208,0),MATCH(IF('Data-solution'!$A$3="Maximize",MAX($C209:$AI209),MIN($C209:$AI209)),$C209:$AI209,0))),U208)</f>
        <v>0</v>
      </c>
      <c r="V223" s="1">
        <f>IF(OR($B213&lt;&gt;$B198,$B214&lt;&gt;$B199,$B215&lt;&gt;$B200,$B216&lt;&gt;$B201,$B217&lt;&gt;$B202,$B218&lt;&gt;$B203,$B219&lt;&gt;$B204,$B220&lt;&gt;$B205,$B221&lt;&gt;$B206,$B222&lt;&gt;$B207,$B223&lt;&gt;$B208),IF($B223&lt;&gt;$B208,V208/INDEX($C198:$AJ208,11,MATCH(IF('Data-solution'!$A$3="Maximize",MAX($C209:$AI209),MIN($C209:$AI209)),$C209:$AI209,0)),V208-INDEX($C198:$AJ208,11,MATCH(IF('Data-solution'!$A$3="Maximize",MAX($C209:$AI209),MIN($C209:$AI209)),$C209:$AI209,0))*INDEX(V198:$AJ208,MATCH(MIN($AK198:$AK208),$AK198:$AK208,0),1)/INDEX($C198:$AJ208,MATCH(MIN($AK198:$AK208),$AK198:$AK208,0),MATCH(IF('Data-solution'!$A$3="Maximize",MAX($C209:$AI209),MIN($C209:$AI209)),$C209:$AI209,0))),V208)</f>
        <v>0</v>
      </c>
      <c r="W223" s="1">
        <f>IF(OR($B213&lt;&gt;$B198,$B214&lt;&gt;$B199,$B215&lt;&gt;$B200,$B216&lt;&gt;$B201,$B217&lt;&gt;$B202,$B218&lt;&gt;$B203,$B219&lt;&gt;$B204,$B220&lt;&gt;$B205,$B221&lt;&gt;$B206,$B222&lt;&gt;$B207,$B223&lt;&gt;$B208),IF($B223&lt;&gt;$B208,W208/INDEX($C198:$AJ208,11,MATCH(IF('Data-solution'!$A$3="Maximize",MAX($C209:$AI209),MIN($C209:$AI209)),$C209:$AI209,0)),W208-INDEX($C198:$AJ208,11,MATCH(IF('Data-solution'!$A$3="Maximize",MAX($C209:$AI209),MIN($C209:$AI209)),$C209:$AI209,0))*INDEX(W198:$AJ208,MATCH(MIN($AK198:$AK208),$AK198:$AK208,0),1)/INDEX($C198:$AJ208,MATCH(MIN($AK198:$AK208),$AK198:$AK208,0),MATCH(IF('Data-solution'!$A$3="Maximize",MAX($C209:$AI209),MIN($C209:$AI209)),$C209:$AI209,0))),W208)</f>
        <v>0</v>
      </c>
      <c r="X223" s="1">
        <f>IF(OR($B213&lt;&gt;$B198,$B214&lt;&gt;$B199,$B215&lt;&gt;$B200,$B216&lt;&gt;$B201,$B217&lt;&gt;$B202,$B218&lt;&gt;$B203,$B219&lt;&gt;$B204,$B220&lt;&gt;$B205,$B221&lt;&gt;$B206,$B222&lt;&gt;$B207,$B223&lt;&gt;$B208),IF($B223&lt;&gt;$B208,X208/INDEX($C198:$AJ208,11,MATCH(IF('Data-solution'!$A$3="Maximize",MAX($C209:$AI209),MIN($C209:$AI209)),$C209:$AI209,0)),X208-INDEX($C198:$AJ208,11,MATCH(IF('Data-solution'!$A$3="Maximize",MAX($C209:$AI209),MIN($C209:$AI209)),$C209:$AI209,0))*INDEX(X198:$AJ208,MATCH(MIN($AK198:$AK208),$AK198:$AK208,0),1)/INDEX($C198:$AJ208,MATCH(MIN($AK198:$AK208),$AK198:$AK208,0),MATCH(IF('Data-solution'!$A$3="Maximize",MAX($C209:$AI209),MIN($C209:$AI209)),$C209:$AI209,0))),X208)</f>
        <v>1</v>
      </c>
      <c r="Y223" s="1">
        <f>IF(OR($B213&lt;&gt;$B198,$B214&lt;&gt;$B199,$B215&lt;&gt;$B200,$B216&lt;&gt;$B201,$B217&lt;&gt;$B202,$B218&lt;&gt;$B203,$B219&lt;&gt;$B204,$B220&lt;&gt;$B205,$B221&lt;&gt;$B206,$B222&lt;&gt;$B207,$B223&lt;&gt;$B208),IF($B223&lt;&gt;$B208,Y208/INDEX($C198:$AJ208,11,MATCH(IF('Data-solution'!$A$3="Maximize",MAX($C209:$AI209),MIN($C209:$AI209)),$C209:$AI209,0)),Y208-INDEX($C198:$AJ208,11,MATCH(IF('Data-solution'!$A$3="Maximize",MAX($C209:$AI209),MIN($C209:$AI209)),$C209:$AI209,0))*INDEX(Y198:$AJ208,MATCH(MIN($AK198:$AK208),$AK198:$AK208,0),1)/INDEX($C198:$AJ208,MATCH(MIN($AK198:$AK208),$AK198:$AK208,0),MATCH(IF('Data-solution'!$A$3="Maximize",MAX($C209:$AI209),MIN($C209:$AI209)),$C209:$AI209,0))),Y208)</f>
        <v>0</v>
      </c>
      <c r="Z223" s="1">
        <f>IF(OR($B213&lt;&gt;$B198,$B214&lt;&gt;$B199,$B215&lt;&gt;$B200,$B216&lt;&gt;$B201,$B217&lt;&gt;$B202,$B218&lt;&gt;$B203,$B219&lt;&gt;$B204,$B220&lt;&gt;$B205,$B221&lt;&gt;$B206,$B222&lt;&gt;$B207,$B223&lt;&gt;$B208),IF($B223&lt;&gt;$B208,Z208/INDEX($C198:$AJ208,11,MATCH(IF('Data-solution'!$A$3="Maximize",MAX($C209:$AI209),MIN($C209:$AI209)),$C209:$AI209,0)),Z208-INDEX($C198:$AJ208,11,MATCH(IF('Data-solution'!$A$3="Maximize",MAX($C209:$AI209),MIN($C209:$AI209)),$C209:$AI209,0))*INDEX(Z198:$AJ208,MATCH(MIN($AK198:$AK208),$AK198:$AK208,0),1)/INDEX($C198:$AJ208,MATCH(MIN($AK198:$AK208),$AK198:$AK208,0),MATCH(IF('Data-solution'!$A$3="Maximize",MAX($C209:$AI209),MIN($C209:$AI209)),$C209:$AI209,0))),Z208)</f>
        <v>0</v>
      </c>
      <c r="AA223" s="1">
        <f>IF(OR($B213&lt;&gt;$B198,$B214&lt;&gt;$B199,$B215&lt;&gt;$B200,$B216&lt;&gt;$B201,$B217&lt;&gt;$B202,$B218&lt;&gt;$B203,$B219&lt;&gt;$B204,$B220&lt;&gt;$B205,$B221&lt;&gt;$B206,$B222&lt;&gt;$B207,$B223&lt;&gt;$B208),IF($B223&lt;&gt;$B208,AA208/INDEX($C198:$AJ208,11,MATCH(IF('Data-solution'!$A$3="Maximize",MAX($C209:$AI209),MIN($C209:$AI209)),$C209:$AI209,0)),AA208-INDEX($C198:$AJ208,11,MATCH(IF('Data-solution'!$A$3="Maximize",MAX($C209:$AI209),MIN($C209:$AI209)),$C209:$AI209,0))*INDEX(AA198:$AJ208,MATCH(MIN($AK198:$AK208),$AK198:$AK208,0),1)/INDEX($C198:$AJ208,MATCH(MIN($AK198:$AK208),$AK198:$AK208,0),MATCH(IF('Data-solution'!$A$3="Maximize",MAX($C209:$AI209),MIN($C209:$AI209)),$C209:$AI209,0))),AA208)</f>
        <v>0</v>
      </c>
      <c r="AB223" s="1">
        <f>IF(OR($B213&lt;&gt;$B198,$B214&lt;&gt;$B199,$B215&lt;&gt;$B200,$B216&lt;&gt;$B201,$B217&lt;&gt;$B202,$B218&lt;&gt;$B203,$B219&lt;&gt;$B204,$B220&lt;&gt;$B205,$B221&lt;&gt;$B206,$B222&lt;&gt;$B207,$B223&lt;&gt;$B208),IF($B223&lt;&gt;$B208,AB208/INDEX($C198:$AJ208,11,MATCH(IF('Data-solution'!$A$3="Maximize",MAX($C209:$AI209),MIN($C209:$AI209)),$C209:$AI209,0)),AB208-INDEX($C198:$AJ208,11,MATCH(IF('Data-solution'!$A$3="Maximize",MAX($C209:$AI209),MIN($C209:$AI209)),$C209:$AI209,0))*INDEX(AB198:$AJ208,MATCH(MIN($AK198:$AK208),$AK198:$AK208,0),1)/INDEX($C198:$AJ208,MATCH(MIN($AK198:$AK208),$AK198:$AK208,0),MATCH(IF('Data-solution'!$A$3="Maximize",MAX($C209:$AI209),MIN($C209:$AI209)),$C209:$AI209,0))),AB208)</f>
        <v>0</v>
      </c>
      <c r="AC223" s="1">
        <f>IF(OR($B213&lt;&gt;$B198,$B214&lt;&gt;$B199,$B215&lt;&gt;$B200,$B216&lt;&gt;$B201,$B217&lt;&gt;$B202,$B218&lt;&gt;$B203,$B219&lt;&gt;$B204,$B220&lt;&gt;$B205,$B221&lt;&gt;$B206,$B222&lt;&gt;$B207,$B223&lt;&gt;$B208),IF($B223&lt;&gt;$B208,AC208/INDEX($C198:$AJ208,11,MATCH(IF('Data-solution'!$A$3="Maximize",MAX($C209:$AI209),MIN($C209:$AI209)),$C209:$AI209,0)),AC208-INDEX($C198:$AJ208,11,MATCH(IF('Data-solution'!$A$3="Maximize",MAX($C209:$AI209),MIN($C209:$AI209)),$C209:$AI209,0))*INDEX(AC198:$AJ208,MATCH(MIN($AK198:$AK208),$AK198:$AK208,0),1)/INDEX($C198:$AJ208,MATCH(MIN($AK198:$AK208),$AK198:$AK208,0),MATCH(IF('Data-solution'!$A$3="Maximize",MAX($C209:$AI209),MIN($C209:$AI209)),$C209:$AI209,0))),AC208)</f>
        <v>0</v>
      </c>
      <c r="AD223" s="1">
        <f>IF(OR($B213&lt;&gt;$B198,$B214&lt;&gt;$B199,$B215&lt;&gt;$B200,$B216&lt;&gt;$B201,$B217&lt;&gt;$B202,$B218&lt;&gt;$B203,$B219&lt;&gt;$B204,$B220&lt;&gt;$B205,$B221&lt;&gt;$B206,$B222&lt;&gt;$B207,$B223&lt;&gt;$B208),IF($B223&lt;&gt;$B208,AD208/INDEX($C198:$AJ208,11,MATCH(IF('Data-solution'!$A$3="Maximize",MAX($C209:$AI209),MIN($C209:$AI209)),$C209:$AI209,0)),AD208-INDEX($C198:$AJ208,11,MATCH(IF('Data-solution'!$A$3="Maximize",MAX($C209:$AI209),MIN($C209:$AI209)),$C209:$AI209,0))*INDEX(AD198:$AJ208,MATCH(MIN($AK198:$AK208),$AK198:$AK208,0),1)/INDEX($C198:$AJ208,MATCH(MIN($AK198:$AK208),$AK198:$AK208,0),MATCH(IF('Data-solution'!$A$3="Maximize",MAX($C209:$AI209),MIN($C209:$AI209)),$C209:$AI209,0))),AD208)</f>
        <v>0</v>
      </c>
      <c r="AE223" s="1">
        <f>IF(OR($B213&lt;&gt;$B198,$B214&lt;&gt;$B199,$B215&lt;&gt;$B200,$B216&lt;&gt;$B201,$B217&lt;&gt;$B202,$B218&lt;&gt;$B203,$B219&lt;&gt;$B204,$B220&lt;&gt;$B205,$B221&lt;&gt;$B206,$B222&lt;&gt;$B207,$B223&lt;&gt;$B208),IF($B223&lt;&gt;$B208,AE208/INDEX($C198:$AJ208,11,MATCH(IF('Data-solution'!$A$3="Maximize",MAX($C209:$AI209),MIN($C209:$AI209)),$C209:$AI209,0)),AE208-INDEX($C198:$AJ208,11,MATCH(IF('Data-solution'!$A$3="Maximize",MAX($C209:$AI209),MIN($C209:$AI209)),$C209:$AI209,0))*INDEX(AE198:$AJ208,MATCH(MIN($AK198:$AK208),$AK198:$AK208,0),1)/INDEX($C198:$AJ208,MATCH(MIN($AK198:$AK208),$AK198:$AK208,0),MATCH(IF('Data-solution'!$A$3="Maximize",MAX($C209:$AI209),MIN($C209:$AI209)),$C209:$AI209,0))),AE208)</f>
        <v>0</v>
      </c>
      <c r="AF223" s="1">
        <f>IF(OR($B213&lt;&gt;$B198,$B214&lt;&gt;$B199,$B215&lt;&gt;$B200,$B216&lt;&gt;$B201,$B217&lt;&gt;$B202,$B218&lt;&gt;$B203,$B219&lt;&gt;$B204,$B220&lt;&gt;$B205,$B221&lt;&gt;$B206,$B222&lt;&gt;$B207,$B223&lt;&gt;$B208),IF($B223&lt;&gt;$B208,AF208/INDEX($C198:$AJ208,11,MATCH(IF('Data-solution'!$A$3="Maximize",MAX($C209:$AI209),MIN($C209:$AI209)),$C209:$AI209,0)),AF208-INDEX($C198:$AJ208,11,MATCH(IF('Data-solution'!$A$3="Maximize",MAX($C209:$AI209),MIN($C209:$AI209)),$C209:$AI209,0))*INDEX(AF198:$AJ208,MATCH(MIN($AK198:$AK208),$AK198:$AK208,0),1)/INDEX($C198:$AJ208,MATCH(MIN($AK198:$AK208),$AK198:$AK208,0),MATCH(IF('Data-solution'!$A$3="Maximize",MAX($C209:$AI209),MIN($C209:$AI209)),$C209:$AI209,0))),AF208)</f>
        <v>0</v>
      </c>
      <c r="AG223" s="1">
        <f>IF(OR($B213&lt;&gt;$B198,$B214&lt;&gt;$B199,$B215&lt;&gt;$B200,$B216&lt;&gt;$B201,$B217&lt;&gt;$B202,$B218&lt;&gt;$B203,$B219&lt;&gt;$B204,$B220&lt;&gt;$B205,$B221&lt;&gt;$B206,$B222&lt;&gt;$B207,$B223&lt;&gt;$B208),IF($B223&lt;&gt;$B208,AG208/INDEX($C198:$AJ208,11,MATCH(IF('Data-solution'!$A$3="Maximize",MAX($C209:$AI209),MIN($C209:$AI209)),$C209:$AI209,0)),AG208-INDEX($C198:$AJ208,11,MATCH(IF('Data-solution'!$A$3="Maximize",MAX($C209:$AI209),MIN($C209:$AI209)),$C209:$AI209,0))*INDEX(AG198:$AJ208,MATCH(MIN($AK198:$AK208),$AK198:$AK208,0),1)/INDEX($C198:$AJ208,MATCH(MIN($AK198:$AK208),$AK198:$AK208,0),MATCH(IF('Data-solution'!$A$3="Maximize",MAX($C209:$AI209),MIN($C209:$AI209)),$C209:$AI209,0))),AG208)</f>
        <v>0</v>
      </c>
      <c r="AH223" s="1">
        <f>IF(OR($B213&lt;&gt;$B198,$B214&lt;&gt;$B199,$B215&lt;&gt;$B200,$B216&lt;&gt;$B201,$B217&lt;&gt;$B202,$B218&lt;&gt;$B203,$B219&lt;&gt;$B204,$B220&lt;&gt;$B205,$B221&lt;&gt;$B206,$B222&lt;&gt;$B207,$B223&lt;&gt;$B208),IF($B223&lt;&gt;$B208,AH208/INDEX($C198:$AJ208,11,MATCH(IF('Data-solution'!$A$3="Maximize",MAX($C209:$AI209),MIN($C209:$AI209)),$C209:$AI209,0)),AH208-INDEX($C198:$AJ208,11,MATCH(IF('Data-solution'!$A$3="Maximize",MAX($C209:$AI209),MIN($C209:$AI209)),$C209:$AI209,0))*INDEX(AH198:$AJ208,MATCH(MIN($AK198:$AK208),$AK198:$AK208,0),1)/INDEX($C198:$AJ208,MATCH(MIN($AK198:$AK208),$AK198:$AK208,0),MATCH(IF('Data-solution'!$A$3="Maximize",MAX($C209:$AI209),MIN($C209:$AI209)),$C209:$AI209,0))),AH208)</f>
        <v>0</v>
      </c>
      <c r="AI223" s="1">
        <f>IF(OR($B213&lt;&gt;$B198,$B214&lt;&gt;$B199,$B215&lt;&gt;$B200,$B216&lt;&gt;$B201,$B217&lt;&gt;$B202,$B218&lt;&gt;$B203,$B219&lt;&gt;$B204,$B220&lt;&gt;$B205,$B221&lt;&gt;$B206,$B222&lt;&gt;$B207,$B223&lt;&gt;$B208),IF($B223&lt;&gt;$B208,AI208/INDEX($C198:$AJ208,11,MATCH(IF('Data-solution'!$A$3="Maximize",MAX($C209:$AI209),MIN($C209:$AI209)),$C209:$AI209,0)),AI208-INDEX($C198:$AJ208,11,MATCH(IF('Data-solution'!$A$3="Maximize",MAX($C209:$AI209),MIN($C209:$AI209)),$C209:$AI209,0))*INDEX(AI198:$AJ208,MATCH(MIN($AK198:$AK208),$AK198:$AK208,0),1)/INDEX($C198:$AJ208,MATCH(MIN($AK198:$AK208),$AK198:$AK208,0),MATCH(IF('Data-solution'!$A$3="Maximize",MAX($C209:$AI209),MIN($C209:$AI209)),$C209:$AI209,0))),AI208)</f>
        <v>1</v>
      </c>
      <c r="AJ223" s="1">
        <f>IF(OR($B213&lt;&gt;$B198,$B214&lt;&gt;$B199,$B215&lt;&gt;$B200,$B216&lt;&gt;$B201,$B217&lt;&gt;$B202,$B218&lt;&gt;$B203,$B219&lt;&gt;$B204,$B220&lt;&gt;$B205,$B221&lt;&gt;$B206,$B222&lt;&gt;$B207,$B223&lt;&gt;$B208),IF($B223&lt;&gt;$B208,AJ208/INDEX($C198:$AJ208,11,MATCH(IF('Data-solution'!$A$3="Maximize",MAX($C209:$AI209),MIN($C209:$AI209)),$C209:$AI209,0)),AJ208-INDEX($C198:$AJ208,11,MATCH(IF('Data-solution'!$A$3="Maximize",MAX($C209:$AI209),MIN($C209:$AI209)),$C209:$AI209,0))*INDEX(AJ198:$AJ208,MATCH(MIN($AK198:$AK208),$AK198:$AK208,0),1)/INDEX($C198:$AJ208,MATCH(MIN($AK198:$AK208),$AK198:$AK208,0),MATCH(IF('Data-solution'!$A$3="Maximize",MAX($C209:$AI209),MIN($C209:$AI209)),$C209:$AI209,0))),AJ208)</f>
        <v>0</v>
      </c>
      <c r="AK223" s="1" t="str">
        <f>IF(INDEX(C223:X223,1,MATCH(IF('Data-solution'!A$3="Maximize",MAX(C224:X224),MIN(C224:X224)),C224:X224,0))&gt;0,AJ223/INDEX(C223:X223,1,MATCH(IF('Data-solution'!A$3="Maximize",MAX(C224:X224),MIN(C224:X224)),C224:X224,0))," ")</f>
        <v xml:space="preserve"> </v>
      </c>
    </row>
    <row r="224" spans="1:37" ht="18" customHeight="1" x14ac:dyDescent="0.2">
      <c r="B224" s="2" t="s">
        <v>5</v>
      </c>
      <c r="C224" s="1">
        <f>IF(SUM(COUNTIF($B213:$B223,$Y212),COUNTIF($B213:$B223,$Z212),COUNTIF($B213:$B223,$AA212),COUNTIF($B213:$B223,$AB212),COUNTIF($B213:$B223,$AC212),COUNTIF($B213:$B223,$AD212),COUNTIF($B213:$B223,$AE212),COUNTIF($B213:$B223,$AF212),COUNTIF($B213:$B223,$AG212),COUNTIF($B213:$B223,$AH212),COUNTIF($B213:$B223,$AI212))=0,C211-SUMPRODUCT($A213:$A223,C213:C223),IF('Data-solution'!$A$3="Maximize",1,-1)*SUM(SUMIF($B213:$B223,$Y212,C213:C223),SUMIF($B213:$B223,$Z212,C213:C223),SUMIF($B213:$B223,$AA212,C213:C223),SUMIF($B213:$B223,$AB212,C213:C223),SUMIF($B213:$B223,$AC212,C213:C223),SUMIF($B213:$B223,$AD212,C213:C223),SUMIF($B213:$B223,$AE212,C213:C223),SUMIF($B213:$B223,$AF212,C213:C223),SUMIF($B213:$B223,$AG212,C213:C223),SUMIF($B213:$B223,$AH212,C213:C223),SUMIF($B213:$B223,$AI212,C213:C223)))</f>
        <v>0</v>
      </c>
      <c r="D224" s="1">
        <f>IF(SUM(COUNTIF($B213:$B223,$Y212),COUNTIF($B213:$B223,$Z212),COUNTIF($B213:$B223,$AA212),COUNTIF($B213:$B223,$AB212),COUNTIF($B213:$B223,$AC212),COUNTIF($B213:$B223,$AD212),COUNTIF($B213:$B223,$AE212),COUNTIF($B213:$B223,$AF212),COUNTIF($B213:$B223,$AG212),COUNTIF($B213:$B223,$AH212),COUNTIF($B213:$B223,$AI212))=0,D211-SUMPRODUCT($A213:$A223,D213:D223),IF('Data-solution'!$A$3="Maximize",1,-1)*SUM(SUMIF($B213:$B223,$Y212,D213:D223),SUMIF($B213:$B223,$Z212,D213:D223),SUMIF($B213:$B223,$AA212,D213:D223),SUMIF($B213:$B223,$AB212,D213:D223),SUMIF($B213:$B223,$AC212,D213:D223),SUMIF($B213:$B223,$AD212,D213:D223),SUMIF($B213:$B223,$AE212,D213:D223),SUMIF($B213:$B223,$AF212,D213:D223),SUMIF($B213:$B223,$AG212,D213:D223),SUMIF($B213:$B223,$AH212,D213:D223),SUMIF($B213:$B223,$AI212,D213:D223)))</f>
        <v>-50</v>
      </c>
      <c r="E224" s="1">
        <f>IF(SUM(COUNTIF($B213:$B223,$Y212),COUNTIF($B213:$B223,$Z212),COUNTIF($B213:$B223,$AA212),COUNTIF($B213:$B223,$AB212),COUNTIF($B213:$B223,$AC212),COUNTIF($B213:$B223,$AD212),COUNTIF($B213:$B223,$AE212),COUNTIF($B213:$B223,$AF212),COUNTIF($B213:$B223,$AG212),COUNTIF($B213:$B223,$AH212),COUNTIF($B213:$B223,$AI212))=0,E211-SUMPRODUCT($A213:$A223,E213:E223),IF('Data-solution'!$A$3="Maximize",1,-1)*SUM(SUMIF($B213:$B223,$Y212,E213:E223),SUMIF($B213:$B223,$Z212,E213:E223),SUMIF($B213:$B223,$AA212,E213:E223),SUMIF($B213:$B223,$AB212,E213:E223),SUMIF($B213:$B223,$AC212,E213:E223),SUMIF($B213:$B223,$AD212,E213:E223),SUMIF($B213:$B223,$AE212,E213:E223),SUMIF($B213:$B223,$AF212,E213:E223),SUMIF($B213:$B223,$AG212,E213:E223),SUMIF($B213:$B223,$AH212,E213:E223),SUMIF($B213:$B223,$AI212,E213:E223)))</f>
        <v>0</v>
      </c>
      <c r="F224" s="1">
        <f>IF(SUM(COUNTIF($B213:$B223,$Y212),COUNTIF($B213:$B223,$Z212),COUNTIF($B213:$B223,$AA212),COUNTIF($B213:$B223,$AB212),COUNTIF($B213:$B223,$AC212),COUNTIF($B213:$B223,$AD212),COUNTIF($B213:$B223,$AE212),COUNTIF($B213:$B223,$AF212),COUNTIF($B213:$B223,$AG212),COUNTIF($B213:$B223,$AH212),COUNTIF($B213:$B223,$AI212))=0,F211-SUMPRODUCT($A213:$A223,F213:F223),IF('Data-solution'!$A$3="Maximize",1,-1)*SUM(SUMIF($B213:$B223,$Y212,F213:F223),SUMIF($B213:$B223,$Z212,F213:F223),SUMIF($B213:$B223,$AA212,F213:F223),SUMIF($B213:$B223,$AB212,F213:F223),SUMIF($B213:$B223,$AC212,F213:F223),SUMIF($B213:$B223,$AD212,F213:F223),SUMIF($B213:$B223,$AE212,F213:F223),SUMIF($B213:$B223,$AF212,F213:F223),SUMIF($B213:$B223,$AG212,F213:F223),SUMIF($B213:$B223,$AH212,F213:F223),SUMIF($B213:$B223,$AI212,F213:F223)))</f>
        <v>0</v>
      </c>
      <c r="G224" s="1">
        <f>IF(SUM(COUNTIF($B213:$B223,$Y212),COUNTIF($B213:$B223,$Z212),COUNTIF($B213:$B223,$AA212),COUNTIF($B213:$B223,$AB212),COUNTIF($B213:$B223,$AC212),COUNTIF($B213:$B223,$AD212),COUNTIF($B213:$B223,$AE212),COUNTIF($B213:$B223,$AF212),COUNTIF($B213:$B223,$AG212),COUNTIF($B213:$B223,$AH212),COUNTIF($B213:$B223,$AI212))=0,G211-SUMPRODUCT($A213:$A223,G213:G223),IF('Data-solution'!$A$3="Maximize",1,-1)*SUM(SUMIF($B213:$B223,$Y212,G213:G223),SUMIF($B213:$B223,$Z212,G213:G223),SUMIF($B213:$B223,$AA212,G213:G223),SUMIF($B213:$B223,$AB212,G213:G223),SUMIF($B213:$B223,$AC212,G213:G223),SUMIF($B213:$B223,$AD212,G213:G223),SUMIF($B213:$B223,$AE212,G213:G223),SUMIF($B213:$B223,$AF212,G213:G223),SUMIF($B213:$B223,$AG212,G213:G223),SUMIF($B213:$B223,$AH212,G213:G223),SUMIF($B213:$B223,$AI212,G213:G223)))</f>
        <v>0</v>
      </c>
      <c r="H224" s="1">
        <f>IF(SUM(COUNTIF($B213:$B223,$Y212),COUNTIF($B213:$B223,$Z212),COUNTIF($B213:$B223,$AA212),COUNTIF($B213:$B223,$AB212),COUNTIF($B213:$B223,$AC212),COUNTIF($B213:$B223,$AD212),COUNTIF($B213:$B223,$AE212),COUNTIF($B213:$B223,$AF212),COUNTIF($B213:$B223,$AG212),COUNTIF($B213:$B223,$AH212),COUNTIF($B213:$B223,$AI212))=0,H211-SUMPRODUCT($A213:$A223,H213:H223),IF('Data-solution'!$A$3="Maximize",1,-1)*SUM(SUMIF($B213:$B223,$Y212,H213:H223),SUMIF($B213:$B223,$Z212,H213:H223),SUMIF($B213:$B223,$AA212,H213:H223),SUMIF($B213:$B223,$AB212,H213:H223),SUMIF($B213:$B223,$AC212,H213:H223),SUMIF($B213:$B223,$AD212,H213:H223),SUMIF($B213:$B223,$AE212,H213:H223),SUMIF($B213:$B223,$AF212,H213:H223),SUMIF($B213:$B223,$AG212,H213:H223),SUMIF($B213:$B223,$AH212,H213:H223),SUMIF($B213:$B223,$AI212,H213:H223)))</f>
        <v>0</v>
      </c>
      <c r="I224" s="1">
        <f>IF(SUM(COUNTIF($B213:$B223,$Y212),COUNTIF($B213:$B223,$Z212),COUNTIF($B213:$B223,$AA212),COUNTIF($B213:$B223,$AB212),COUNTIF($B213:$B223,$AC212),COUNTIF($B213:$B223,$AD212),COUNTIF($B213:$B223,$AE212),COUNTIF($B213:$B223,$AF212),COUNTIF($B213:$B223,$AG212),COUNTIF($B213:$B223,$AH212),COUNTIF($B213:$B223,$AI212))=0,I211-SUMPRODUCT($A213:$A223,I213:I223),IF('Data-solution'!$A$3="Maximize",1,-1)*SUM(SUMIF($B213:$B223,$Y212,I213:I223),SUMIF($B213:$B223,$Z212,I213:I223),SUMIF($B213:$B223,$AA212,I213:I223),SUMIF($B213:$B223,$AB212,I213:I223),SUMIF($B213:$B223,$AC212,I213:I223),SUMIF($B213:$B223,$AD212,I213:I223),SUMIF($B213:$B223,$AE212,I213:I223),SUMIF($B213:$B223,$AF212,I213:I223),SUMIF($B213:$B223,$AG212,I213:I223),SUMIF($B213:$B223,$AH212,I213:I223),SUMIF($B213:$B223,$AI212,I213:I223)))</f>
        <v>0</v>
      </c>
      <c r="J224" s="1">
        <f>IF(SUM(COUNTIF($B213:$B223,$Y212),COUNTIF($B213:$B223,$Z212),COUNTIF($B213:$B223,$AA212),COUNTIF($B213:$B223,$AB212),COUNTIF($B213:$B223,$AC212),COUNTIF($B213:$B223,$AD212),COUNTIF($B213:$B223,$AE212),COUNTIF($B213:$B223,$AF212),COUNTIF($B213:$B223,$AG212),COUNTIF($B213:$B223,$AH212),COUNTIF($B213:$B223,$AI212))=0,J211-SUMPRODUCT($A213:$A223,J213:J223),IF('Data-solution'!$A$3="Maximize",1,-1)*SUM(SUMIF($B213:$B223,$Y212,J213:J223),SUMIF($B213:$B223,$Z212,J213:J223),SUMIF($B213:$B223,$AA212,J213:J223),SUMIF($B213:$B223,$AB212,J213:J223),SUMIF($B213:$B223,$AC212,J213:J223),SUMIF($B213:$B223,$AD212,J213:J223),SUMIF($B213:$B223,$AE212,J213:J223),SUMIF($B213:$B223,$AF212,J213:J223),SUMIF($B213:$B223,$AG212,J213:J223),SUMIF($B213:$B223,$AH212,J213:J223),SUMIF($B213:$B223,$AI212,J213:J223)))</f>
        <v>0</v>
      </c>
      <c r="K224" s="1">
        <f>IF(SUM(COUNTIF($B213:$B223,$Y212),COUNTIF($B213:$B223,$Z212),COUNTIF($B213:$B223,$AA212),COUNTIF($B213:$B223,$AB212),COUNTIF($B213:$B223,$AC212),COUNTIF($B213:$B223,$AD212),COUNTIF($B213:$B223,$AE212),COUNTIF($B213:$B223,$AF212),COUNTIF($B213:$B223,$AG212),COUNTIF($B213:$B223,$AH212),COUNTIF($B213:$B223,$AI212))=0,K211-SUMPRODUCT($A213:$A223,K213:K223),IF('Data-solution'!$A$3="Maximize",1,-1)*SUM(SUMIF($B213:$B223,$Y212,K213:K223),SUMIF($B213:$B223,$Z212,K213:K223),SUMIF($B213:$B223,$AA212,K213:K223),SUMIF($B213:$B223,$AB212,K213:K223),SUMIF($B213:$B223,$AC212,K213:K223),SUMIF($B213:$B223,$AD212,K213:K223),SUMIF($B213:$B223,$AE212,K213:K223),SUMIF($B213:$B223,$AF212,K213:K223),SUMIF($B213:$B223,$AG212,K213:K223),SUMIF($B213:$B223,$AH212,K213:K223),SUMIF($B213:$B223,$AI212,K213:K223)))</f>
        <v>0</v>
      </c>
      <c r="L224" s="1">
        <f>IF(SUM(COUNTIF($B213:$B223,$Y212),COUNTIF($B213:$B223,$Z212),COUNTIF($B213:$B223,$AA212),COUNTIF($B213:$B223,$AB212),COUNTIF($B213:$B223,$AC212),COUNTIF($B213:$B223,$AD212),COUNTIF($B213:$B223,$AE212),COUNTIF($B213:$B223,$AF212),COUNTIF($B213:$B223,$AG212),COUNTIF($B213:$B223,$AH212),COUNTIF($B213:$B223,$AI212))=0,L211-SUMPRODUCT($A213:$A223,L213:L223),IF('Data-solution'!$A$3="Maximize",1,-1)*SUM(SUMIF($B213:$B223,$Y212,L213:L223),SUMIF($B213:$B223,$Z212,L213:L223),SUMIF($B213:$B223,$AA212,L213:L223),SUMIF($B213:$B223,$AB212,L213:L223),SUMIF($B213:$B223,$AC212,L213:L223),SUMIF($B213:$B223,$AD212,L213:L223),SUMIF($B213:$B223,$AE212,L213:L223),SUMIF($B213:$B223,$AF212,L213:L223),SUMIF($B213:$B223,$AG212,L213:L223),SUMIF($B213:$B223,$AH212,L213:L223),SUMIF($B213:$B223,$AI212,L213:L223)))</f>
        <v>0</v>
      </c>
      <c r="M224" s="1">
        <f>IF(SUM(COUNTIF($B213:$B223,$Y212),COUNTIF($B213:$B223,$Z212),COUNTIF($B213:$B223,$AA212),COUNTIF($B213:$B223,$AB212),COUNTIF($B213:$B223,$AC212),COUNTIF($B213:$B223,$AD212),COUNTIF($B213:$B223,$AE212),COUNTIF($B213:$B223,$AF212),COUNTIF($B213:$B223,$AG212),COUNTIF($B213:$B223,$AH212),COUNTIF($B213:$B223,$AI212))=0,M211-SUMPRODUCT($A213:$A223,M213:M223),IF('Data-solution'!$A$3="Maximize",1,-1)*SUM(SUMIF($B213:$B223,$Y212,M213:M223),SUMIF($B213:$B223,$Z212,M213:M223),SUMIF($B213:$B223,$AA212,M213:M223),SUMIF($B213:$B223,$AB212,M213:M223),SUMIF($B213:$B223,$AC212,M213:M223),SUMIF($B213:$B223,$AD212,M213:M223),SUMIF($B213:$B223,$AE212,M213:M223),SUMIF($B213:$B223,$AF212,M213:M223),SUMIF($B213:$B223,$AG212,M213:M223),SUMIF($B213:$B223,$AH212,M213:M223),SUMIF($B213:$B223,$AI212,M213:M223)))</f>
        <v>0</v>
      </c>
      <c r="N224" s="1">
        <f>IF(SUM(COUNTIF($B213:$B223,$Y212),COUNTIF($B213:$B223,$Z212),COUNTIF($B213:$B223,$AA212),COUNTIF($B213:$B223,$AB212),COUNTIF($B213:$B223,$AC212),COUNTIF($B213:$B223,$AD212),COUNTIF($B213:$B223,$AE212),COUNTIF($B213:$B223,$AF212),COUNTIF($B213:$B223,$AG212),COUNTIF($B213:$B223,$AH212),COUNTIF($B213:$B223,$AI212))=0,N211-SUMPRODUCT($A213:$A223,N213:N223),IF('Data-solution'!$A$3="Maximize",1,-1)*SUM(SUMIF($B213:$B223,$Y212,N213:N223),SUMIF($B213:$B223,$Z212,N213:N223),SUMIF($B213:$B223,$AA212,N213:N223),SUMIF($B213:$B223,$AB212,N213:N223),SUMIF($B213:$B223,$AC212,N213:N223),SUMIF($B213:$B223,$AD212,N213:N223),SUMIF($B213:$B223,$AE212,N213:N223),SUMIF($B213:$B223,$AF212,N213:N223),SUMIF($B213:$B223,$AG212,N213:N223),SUMIF($B213:$B223,$AH212,N213:N223),SUMIF($B213:$B223,$AI212,N213:N223)))</f>
        <v>0</v>
      </c>
      <c r="O224" s="1">
        <f>IF(SUM(COUNTIF($B213:$B223,$Y212),COUNTIF($B213:$B223,$Z212),COUNTIF($B213:$B223,$AA212),COUNTIF($B213:$B223,$AB212),COUNTIF($B213:$B223,$AC212),COUNTIF($B213:$B223,$AD212),COUNTIF($B213:$B223,$AE212),COUNTIF($B213:$B223,$AF212),COUNTIF($B213:$B223,$AG212),COUNTIF($B213:$B223,$AH212),COUNTIF($B213:$B223,$AI212))=0,O211-SUMPRODUCT($A213:$A223,O213:O223),IF('Data-solution'!$A$3="Maximize",1,-1)*SUM(SUMIF($B213:$B223,$Y212,O213:O223),SUMIF($B213:$B223,$Z212,O213:O223),SUMIF($B213:$B223,$AA212,O213:O223),SUMIF($B213:$B223,$AB212,O213:O223),SUMIF($B213:$B223,$AC212,O213:O223),SUMIF($B213:$B223,$AD212,O213:O223),SUMIF($B213:$B223,$AE212,O213:O223),SUMIF($B213:$B223,$AF212,O213:O223),SUMIF($B213:$B223,$AG212,O213:O223),SUMIF($B213:$B223,$AH212,O213:O223),SUMIF($B213:$B223,$AI212,O213:O223)))</f>
        <v>0</v>
      </c>
      <c r="P224" s="1">
        <f>IF(SUM(COUNTIF($B213:$B223,$Y212),COUNTIF($B213:$B223,$Z212),COUNTIF($B213:$B223,$AA212),COUNTIF($B213:$B223,$AB212),COUNTIF($B213:$B223,$AC212),COUNTIF($B213:$B223,$AD212),COUNTIF($B213:$B223,$AE212),COUNTIF($B213:$B223,$AF212),COUNTIF($B213:$B223,$AG212),COUNTIF($B213:$B223,$AH212),COUNTIF($B213:$B223,$AI212))=0,P211-SUMPRODUCT($A213:$A223,P213:P223),IF('Data-solution'!$A$3="Maximize",1,-1)*SUM(SUMIF($B213:$B223,$Y212,P213:P223),SUMIF($B213:$B223,$Z212,P213:P223),SUMIF($B213:$B223,$AA212,P213:P223),SUMIF($B213:$B223,$AB212,P213:P223),SUMIF($B213:$B223,$AC212,P213:P223),SUMIF($B213:$B223,$AD212,P213:P223),SUMIF($B213:$B223,$AE212,P213:P223),SUMIF($B213:$B223,$AF212,P213:P223),SUMIF($B213:$B223,$AG212,P213:P223),SUMIF($B213:$B223,$AH212,P213:P223),SUMIF($B213:$B223,$AI212,P213:P223)))</f>
        <v>-49.999999999999993</v>
      </c>
      <c r="Q224" s="1">
        <f>IF(SUM(COUNTIF($B213:$B223,$Y212),COUNTIF($B213:$B223,$Z212),COUNTIF($B213:$B223,$AA212),COUNTIF($B213:$B223,$AB212),COUNTIF($B213:$B223,$AC212),COUNTIF($B213:$B223,$AD212),COUNTIF($B213:$B223,$AE212),COUNTIF($B213:$B223,$AF212),COUNTIF($B213:$B223,$AG212),COUNTIF($B213:$B223,$AH212),COUNTIF($B213:$B223,$AI212))=0,Q211-SUMPRODUCT($A213:$A223,Q213:Q223),IF('Data-solution'!$A$3="Maximize",1,-1)*SUM(SUMIF($B213:$B223,$Y212,Q213:Q223),SUMIF($B213:$B223,$Z212,Q213:Q223),SUMIF($B213:$B223,$AA212,Q213:Q223),SUMIF($B213:$B223,$AB212,Q213:Q223),SUMIF($B213:$B223,$AC212,Q213:Q223),SUMIF($B213:$B223,$AD212,Q213:Q223),SUMIF($B213:$B223,$AE212,Q213:Q223),SUMIF($B213:$B223,$AF212,Q213:Q223),SUMIF($B213:$B223,$AG212,Q213:Q223),SUMIF($B213:$B223,$AH212,Q213:Q223),SUMIF($B213:$B223,$AI212,Q213:Q223)))</f>
        <v>-50</v>
      </c>
      <c r="R224" s="1">
        <f>IF(SUM(COUNTIF($B213:$B223,$Y212),COUNTIF($B213:$B223,$Z212),COUNTIF($B213:$B223,$AA212),COUNTIF($B213:$B223,$AB212),COUNTIF($B213:$B223,$AC212),COUNTIF($B213:$B223,$AD212),COUNTIF($B213:$B223,$AE212),COUNTIF($B213:$B223,$AF212),COUNTIF($B213:$B223,$AG212),COUNTIF($B213:$B223,$AH212),COUNTIF($B213:$B223,$AI212))=0,R211-SUMPRODUCT($A213:$A223,R213:R223),IF('Data-solution'!$A$3="Maximize",1,-1)*SUM(SUMIF($B213:$B223,$Y212,R213:R223),SUMIF($B213:$B223,$Z212,R213:R223),SUMIF($B213:$B223,$AA212,R213:R223),SUMIF($B213:$B223,$AB212,R213:R223),SUMIF($B213:$B223,$AC212,R213:R223),SUMIF($B213:$B223,$AD212,R213:R223),SUMIF($B213:$B223,$AE212,R213:R223),SUMIF($B213:$B223,$AF212,R213:R223),SUMIF($B213:$B223,$AG212,R213:R223),SUMIF($B213:$B223,$AH212,R213:R223),SUMIF($B213:$B223,$AI212,R213:R223)))</f>
        <v>0</v>
      </c>
      <c r="S224" s="1">
        <f>IF(SUM(COUNTIF($B213:$B223,$Y212),COUNTIF($B213:$B223,$Z212),COUNTIF($B213:$B223,$AA212),COUNTIF($B213:$B223,$AB212),COUNTIF($B213:$B223,$AC212),COUNTIF($B213:$B223,$AD212),COUNTIF($B213:$B223,$AE212),COUNTIF($B213:$B223,$AF212),COUNTIF($B213:$B223,$AG212),COUNTIF($B213:$B223,$AH212),COUNTIF($B213:$B223,$AI212))=0,S211-SUMPRODUCT($A213:$A223,S213:S223),IF('Data-solution'!$A$3="Maximize",1,-1)*SUM(SUMIF($B213:$B223,$Y212,S213:S223),SUMIF($B213:$B223,$Z212,S213:S223),SUMIF($B213:$B223,$AA212,S213:S223),SUMIF($B213:$B223,$AB212,S213:S223),SUMIF($B213:$B223,$AC212,S213:S223),SUMIF($B213:$B223,$AD212,S213:S223),SUMIF($B213:$B223,$AE212,S213:S223),SUMIF($B213:$B223,$AF212,S213:S223),SUMIF($B213:$B223,$AG212,S213:S223),SUMIF($B213:$B223,$AH212,S213:S223),SUMIF($B213:$B223,$AI212,S213:S223)))</f>
        <v>0</v>
      </c>
      <c r="T224" s="1">
        <f>IF(SUM(COUNTIF($B213:$B223,$Y212),COUNTIF($B213:$B223,$Z212),COUNTIF($B213:$B223,$AA212),COUNTIF($B213:$B223,$AB212),COUNTIF($B213:$B223,$AC212),COUNTIF($B213:$B223,$AD212),COUNTIF($B213:$B223,$AE212),COUNTIF($B213:$B223,$AF212),COUNTIF($B213:$B223,$AG212),COUNTIF($B213:$B223,$AH212),COUNTIF($B213:$B223,$AI212))=0,T211-SUMPRODUCT($A213:$A223,T213:T223),IF('Data-solution'!$A$3="Maximize",1,-1)*SUM(SUMIF($B213:$B223,$Y212,T213:T223),SUMIF($B213:$B223,$Z212,T213:T223),SUMIF($B213:$B223,$AA212,T213:T223),SUMIF($B213:$B223,$AB212,T213:T223),SUMIF($B213:$B223,$AC212,T213:T223),SUMIF($B213:$B223,$AD212,T213:T223),SUMIF($B213:$B223,$AE212,T213:T223),SUMIF($B213:$B223,$AF212,T213:T223),SUMIF($B213:$B223,$AG212,T213:T223),SUMIF($B213:$B223,$AH212,T213:T223),SUMIF($B213:$B223,$AI212,T213:T223)))</f>
        <v>0</v>
      </c>
      <c r="U224" s="1">
        <f>IF(SUM(COUNTIF($B213:$B223,$Y212),COUNTIF($B213:$B223,$Z212),COUNTIF($B213:$B223,$AA212),COUNTIF($B213:$B223,$AB212),COUNTIF($B213:$B223,$AC212),COUNTIF($B213:$B223,$AD212),COUNTIF($B213:$B223,$AE212),COUNTIF($B213:$B223,$AF212),COUNTIF($B213:$B223,$AG212),COUNTIF($B213:$B223,$AH212),COUNTIF($B213:$B223,$AI212))=0,U211-SUMPRODUCT($A213:$A223,U213:U223),IF('Data-solution'!$A$3="Maximize",1,-1)*SUM(SUMIF($B213:$B223,$Y212,U213:U223),SUMIF($B213:$B223,$Z212,U213:U223),SUMIF($B213:$B223,$AA212,U213:U223),SUMIF($B213:$B223,$AB212,U213:U223),SUMIF($B213:$B223,$AC212,U213:U223),SUMIF($B213:$B223,$AD212,U213:U223),SUMIF($B213:$B223,$AE212,U213:U223),SUMIF($B213:$B223,$AF212,U213:U223),SUMIF($B213:$B223,$AG212,U213:U223),SUMIF($B213:$B223,$AH212,U213:U223),SUMIF($B213:$B223,$AI212,U213:U223)))</f>
        <v>0</v>
      </c>
      <c r="V224" s="1">
        <f>IF(SUM(COUNTIF($B213:$B223,$Y212),COUNTIF($B213:$B223,$Z212),COUNTIF($B213:$B223,$AA212),COUNTIF($B213:$B223,$AB212),COUNTIF($B213:$B223,$AC212),COUNTIF($B213:$B223,$AD212),COUNTIF($B213:$B223,$AE212),COUNTIF($B213:$B223,$AF212),COUNTIF($B213:$B223,$AG212),COUNTIF($B213:$B223,$AH212),COUNTIF($B213:$B223,$AI212))=0,V211-SUMPRODUCT($A213:$A223,V213:V223),IF('Data-solution'!$A$3="Maximize",1,-1)*SUM(SUMIF($B213:$B223,$Y212,V213:V223),SUMIF($B213:$B223,$Z212,V213:V223),SUMIF($B213:$B223,$AA212,V213:V223),SUMIF($B213:$B223,$AB212,V213:V223),SUMIF($B213:$B223,$AC212,V213:V223),SUMIF($B213:$B223,$AD212,V213:V223),SUMIF($B213:$B223,$AE212,V213:V223),SUMIF($B213:$B223,$AF212,V213:V223),SUMIF($B213:$B223,$AG212,V213:V223),SUMIF($B213:$B223,$AH212,V213:V223),SUMIF($B213:$B223,$AI212,V213:V223)))</f>
        <v>0</v>
      </c>
      <c r="W224" s="1">
        <f>IF(SUM(COUNTIF($B213:$B223,$Y212),COUNTIF($B213:$B223,$Z212),COUNTIF($B213:$B223,$AA212),COUNTIF($B213:$B223,$AB212),COUNTIF($B213:$B223,$AC212),COUNTIF($B213:$B223,$AD212),COUNTIF($B213:$B223,$AE212),COUNTIF($B213:$B223,$AF212),COUNTIF($B213:$B223,$AG212),COUNTIF($B213:$B223,$AH212),COUNTIF($B213:$B223,$AI212))=0,W211-SUMPRODUCT($A213:$A223,W213:W223),IF('Data-solution'!$A$3="Maximize",1,-1)*SUM(SUMIF($B213:$B223,$Y212,W213:W223),SUMIF($B213:$B223,$Z212,W213:W223),SUMIF($B213:$B223,$AA212,W213:W223),SUMIF($B213:$B223,$AB212,W213:W223),SUMIF($B213:$B223,$AC212,W213:W223),SUMIF($B213:$B223,$AD212,W213:W223),SUMIF($B213:$B223,$AE212,W213:W223),SUMIF($B213:$B223,$AF212,W213:W223),SUMIF($B213:$B223,$AG212,W213:W223),SUMIF($B213:$B223,$AH212,W213:W223),SUMIF($B213:$B223,$AI212,W213:W223)))</f>
        <v>0</v>
      </c>
      <c r="X224" s="1">
        <f>IF(SUM(COUNTIF($B213:$B223,$Y212),COUNTIF($B213:$B223,$Z212),COUNTIF($B213:$B223,$AA212),COUNTIF($B213:$B223,$AB212),COUNTIF($B213:$B223,$AC212),COUNTIF($B213:$B223,$AD212),COUNTIF($B213:$B223,$AE212),COUNTIF($B213:$B223,$AF212),COUNTIF($B213:$B223,$AG212),COUNTIF($B213:$B223,$AH212),COUNTIF($B213:$B223,$AI212))=0,X211-SUMPRODUCT($A213:$A223,X213:X223),IF('Data-solution'!$A$3="Maximize",1,-1)*SUM(SUMIF($B213:$B223,$Y212,X213:X223),SUMIF($B213:$B223,$Z212,X213:X223),SUMIF($B213:$B223,$AA212,X213:X223),SUMIF($B213:$B223,$AB212,X213:X223),SUMIF($B213:$B223,$AC212,X213:X223),SUMIF($B213:$B223,$AD212,X213:X223),SUMIF($B213:$B223,$AE212,X213:X223),SUMIF($B213:$B223,$AF212,X213:X223),SUMIF($B213:$B223,$AG212,X213:X223),SUMIF($B213:$B223,$AH212,X213:X223),SUMIF($B213:$B223,$AI212,X213:X223)))</f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2">
        <f t="shared" ref="AJ224" si="195">IF(SUMPRODUCT(A213:A223,AJ213:AJ223)&gt;=0,SUMPRODUCT(A213:A223,AJ213:AJ223),0)</f>
        <v>120000</v>
      </c>
    </row>
    <row r="226" spans="1:37" ht="18" customHeight="1" x14ac:dyDescent="0.2">
      <c r="A226" s="1" t="s">
        <v>75</v>
      </c>
      <c r="B226" s="2" t="s">
        <v>4</v>
      </c>
      <c r="C226" s="1">
        <f t="shared" ref="C226" si="196">C$1</f>
        <v>150</v>
      </c>
      <c r="D226" s="1">
        <f t="shared" si="152"/>
        <v>200</v>
      </c>
      <c r="E226" s="1">
        <f t="shared" si="152"/>
        <v>350</v>
      </c>
      <c r="F226" s="1">
        <f t="shared" si="152"/>
        <v>0</v>
      </c>
      <c r="G226" s="1">
        <f t="shared" si="152"/>
        <v>0</v>
      </c>
      <c r="H226" s="1">
        <f t="shared" si="152"/>
        <v>0</v>
      </c>
      <c r="I226" s="1">
        <f t="shared" si="152"/>
        <v>0</v>
      </c>
      <c r="J226" s="1">
        <f t="shared" si="152"/>
        <v>0</v>
      </c>
      <c r="K226" s="1">
        <f t="shared" si="152"/>
        <v>0</v>
      </c>
      <c r="L226" s="1">
        <f t="shared" si="152"/>
        <v>0</v>
      </c>
      <c r="M226" s="1">
        <f t="shared" si="152"/>
        <v>0</v>
      </c>
      <c r="N226" s="1">
        <f t="shared" si="152"/>
        <v>0</v>
      </c>
      <c r="O226" s="1">
        <f t="shared" si="152"/>
        <v>0</v>
      </c>
      <c r="P226" s="1">
        <f t="shared" si="152"/>
        <v>0</v>
      </c>
      <c r="Q226" s="1">
        <f t="shared" si="152"/>
        <v>0</v>
      </c>
      <c r="R226" s="1">
        <f t="shared" si="152"/>
        <v>0</v>
      </c>
      <c r="S226" s="1">
        <f t="shared" si="152"/>
        <v>0</v>
      </c>
      <c r="T226" s="1">
        <f t="shared" si="152"/>
        <v>0</v>
      </c>
      <c r="U226" s="1">
        <f t="shared" si="152"/>
        <v>0</v>
      </c>
      <c r="V226" s="1">
        <f t="shared" si="152"/>
        <v>0</v>
      </c>
      <c r="W226" s="1">
        <f t="shared" si="152"/>
        <v>0</v>
      </c>
      <c r="X226" s="1">
        <f t="shared" si="152"/>
        <v>0</v>
      </c>
      <c r="Y226" s="1">
        <f t="shared" si="152"/>
        <v>-999999</v>
      </c>
      <c r="Z226" s="1">
        <f t="shared" si="152"/>
        <v>-999999</v>
      </c>
      <c r="AA226" s="1">
        <f t="shared" si="152"/>
        <v>-999999</v>
      </c>
      <c r="AB226" s="1">
        <f t="shared" si="152"/>
        <v>-999999</v>
      </c>
      <c r="AC226" s="1">
        <f t="shared" si="152"/>
        <v>-999999</v>
      </c>
      <c r="AD226" s="1">
        <f t="shared" si="152"/>
        <v>-999999</v>
      </c>
      <c r="AE226" s="1">
        <f t="shared" si="152"/>
        <v>-999999</v>
      </c>
      <c r="AF226" s="1">
        <f t="shared" si="152"/>
        <v>-999999</v>
      </c>
      <c r="AG226" s="1">
        <f t="shared" si="152"/>
        <v>-999999</v>
      </c>
      <c r="AH226" s="1">
        <f t="shared" si="152"/>
        <v>-999999</v>
      </c>
      <c r="AI226" s="1">
        <f t="shared" si="152"/>
        <v>-999999</v>
      </c>
    </row>
    <row r="227" spans="1:37" ht="18" customHeight="1" x14ac:dyDescent="0.2">
      <c r="A227" s="2" t="s">
        <v>3</v>
      </c>
      <c r="B227" s="2" t="s">
        <v>1</v>
      </c>
      <c r="C227" s="2" t="str">
        <f t="shared" ref="C227" si="197">C$2</f>
        <v>X1</v>
      </c>
      <c r="D227" s="2" t="str">
        <f t="shared" si="155"/>
        <v>X2</v>
      </c>
      <c r="E227" s="2" t="str">
        <f t="shared" si="155"/>
        <v>X3</v>
      </c>
      <c r="F227" s="2" t="str">
        <f t="shared" si="155"/>
        <v>X4</v>
      </c>
      <c r="G227" s="2" t="str">
        <f t="shared" si="155"/>
        <v>X5</v>
      </c>
      <c r="H227" s="2" t="str">
        <f t="shared" si="155"/>
        <v>X6</v>
      </c>
      <c r="I227" s="2" t="str">
        <f t="shared" si="155"/>
        <v>X7</v>
      </c>
      <c r="J227" s="2" t="str">
        <f t="shared" si="155"/>
        <v>X8</v>
      </c>
      <c r="K227" s="2" t="str">
        <f t="shared" si="155"/>
        <v>X9</v>
      </c>
      <c r="L227" s="2" t="str">
        <f t="shared" si="155"/>
        <v>X10</v>
      </c>
      <c r="M227" s="2" t="str">
        <f t="shared" si="155"/>
        <v>X11</v>
      </c>
      <c r="N227" s="2" t="str">
        <f t="shared" si="155"/>
        <v>S1</v>
      </c>
      <c r="O227" s="2" t="str">
        <f t="shared" si="155"/>
        <v>S2</v>
      </c>
      <c r="P227" s="2" t="str">
        <f t="shared" si="155"/>
        <v>S3</v>
      </c>
      <c r="Q227" s="2" t="str">
        <f t="shared" si="155"/>
        <v>S4</v>
      </c>
      <c r="R227" s="2" t="str">
        <f t="shared" si="155"/>
        <v>S5</v>
      </c>
      <c r="S227" s="2" t="str">
        <f t="shared" si="155"/>
        <v>S6</v>
      </c>
      <c r="T227" s="2" t="str">
        <f t="shared" si="155"/>
        <v>S7</v>
      </c>
      <c r="U227" s="2" t="str">
        <f t="shared" si="155"/>
        <v>S8</v>
      </c>
      <c r="V227" s="2" t="str">
        <f t="shared" si="155"/>
        <v>S9</v>
      </c>
      <c r="W227" s="2" t="str">
        <f t="shared" si="155"/>
        <v>S10</v>
      </c>
      <c r="X227" s="2" t="str">
        <f t="shared" si="155"/>
        <v>S11</v>
      </c>
      <c r="Y227" s="2" t="str">
        <f t="shared" si="155"/>
        <v xml:space="preserve"> </v>
      </c>
      <c r="Z227" s="2" t="str">
        <f t="shared" si="155"/>
        <v xml:space="preserve"> </v>
      </c>
      <c r="AA227" s="2" t="str">
        <f t="shared" si="155"/>
        <v xml:space="preserve"> </v>
      </c>
      <c r="AB227" s="2" t="str">
        <f t="shared" si="155"/>
        <v xml:space="preserve"> </v>
      </c>
      <c r="AC227" s="2" t="str">
        <f t="shared" si="155"/>
        <v xml:space="preserve"> </v>
      </c>
      <c r="AD227" s="2" t="str">
        <f t="shared" si="155"/>
        <v xml:space="preserve"> </v>
      </c>
      <c r="AE227" s="2" t="str">
        <f t="shared" si="155"/>
        <v xml:space="preserve"> </v>
      </c>
      <c r="AF227" s="2" t="str">
        <f t="shared" si="155"/>
        <v xml:space="preserve"> </v>
      </c>
      <c r="AG227" s="2" t="str">
        <f t="shared" si="155"/>
        <v xml:space="preserve"> </v>
      </c>
      <c r="AH227" s="2" t="str">
        <f t="shared" si="155"/>
        <v xml:space="preserve"> </v>
      </c>
      <c r="AI227" s="2" t="str">
        <f t="shared" si="155"/>
        <v xml:space="preserve"> </v>
      </c>
      <c r="AJ227" s="2" t="s">
        <v>9</v>
      </c>
      <c r="AK227" s="2" t="s">
        <v>10</v>
      </c>
    </row>
    <row r="228" spans="1:37" ht="18" customHeight="1" x14ac:dyDescent="0.2">
      <c r="A228" s="1">
        <f t="shared" ref="A228" si="198">INDEX(C226:AI226,1,MATCH(B228,C227:AI227,0))</f>
        <v>0</v>
      </c>
      <c r="B228" s="2" t="str">
        <f>IF(AND('Data-solution'!A$3="Maximize",COUNTIF(C224:X224,"&gt;"&amp;0)&gt;0,AK213=MIN(AK213:AK223)),INDEX(C212:X212,1,MATCH(MAX(C224:X224),C224:X224,0)),IF(AND('Data-solution'!A$3="Minimize",COUNTIF(C224:X224,"&lt;"&amp;0)&gt;0,AK213=MIN(AK213:AK223)),INDEX(C212:X212,1,MATCH(MIN(C224:X224),C224:X224,0)),B213))</f>
        <v>S1</v>
      </c>
      <c r="C228" s="1">
        <f>IF(OR($B228&lt;&gt;$B213,$B229&lt;&gt;$B214,$B230&lt;&gt;$B215,$B231&lt;&gt;$B216,$B232&lt;&gt;$B217,$B233&lt;&gt;$B218,$B234&lt;&gt;$B219,$B235&lt;&gt;$B220,$B236&lt;&gt;$B221,$B237&lt;&gt;$B222,$B238&lt;&gt;$B223),IF($B228&lt;&gt;$B213,C213/INDEX($C213:$AJ223,1,MATCH(IF('Data-solution'!$A$3="Maximize",MAX($C224:$AI224),MIN($C224:$AI224)),$C224:$AI224,0)),C213-INDEX($C213:$AJ223,1,MATCH(IF('Data-solution'!$A$3="Maximize",MAX($C224:$AI224),MIN($C224:$AI224)),$C224:$AI224,0))*INDEX(C213:$AJ223,MATCH(MIN($AK213:$AK223),$AK213:$AK223,0),1)/INDEX($C213:$AJ223,MATCH(MIN($AK213:$AK223),$AK213:$AK223,0),MATCH(IF('Data-solution'!$A$3="Maximize",MAX($C224:$AI224),MIN($C224:$AI224)),$C224:$AI224,0))),C213)</f>
        <v>0</v>
      </c>
      <c r="D228" s="1">
        <f>IF(OR($B228&lt;&gt;$B213,$B229&lt;&gt;$B214,$B230&lt;&gt;$B215,$B231&lt;&gt;$B216,$B232&lt;&gt;$B217,$B233&lt;&gt;$B218,$B234&lt;&gt;$B219,$B235&lt;&gt;$B220,$B236&lt;&gt;$B221,$B237&lt;&gt;$B222,$B238&lt;&gt;$B223),IF($B228&lt;&gt;$B213,D213/INDEX($C213:$AJ223,1,MATCH(IF('Data-solution'!$A$3="Maximize",MAX($C224:$AI224),MIN($C224:$AI224)),$C224:$AI224,0)),D213-INDEX($C213:$AJ223,1,MATCH(IF('Data-solution'!$A$3="Maximize",MAX($C224:$AI224),MIN($C224:$AI224)),$C224:$AI224,0))*INDEX(D213:$AJ223,MATCH(MIN($AK213:$AK223),$AK213:$AK223,0),1)/INDEX($C213:$AJ223,MATCH(MIN($AK213:$AK223),$AK213:$AK223,0),MATCH(IF('Data-solution'!$A$3="Maximize",MAX($C224:$AI224),MIN($C224:$AI224)),$C224:$AI224,0))),D213)</f>
        <v>1</v>
      </c>
      <c r="E228" s="1">
        <f>IF(OR($B228&lt;&gt;$B213,$B229&lt;&gt;$B214,$B230&lt;&gt;$B215,$B231&lt;&gt;$B216,$B232&lt;&gt;$B217,$B233&lt;&gt;$B218,$B234&lt;&gt;$B219,$B235&lt;&gt;$B220,$B236&lt;&gt;$B221,$B237&lt;&gt;$B222,$B238&lt;&gt;$B223),IF($B228&lt;&gt;$B213,E213/INDEX($C213:$AJ223,1,MATCH(IF('Data-solution'!$A$3="Maximize",MAX($C224:$AI224),MIN($C224:$AI224)),$C224:$AI224,0)),E213-INDEX($C213:$AJ223,1,MATCH(IF('Data-solution'!$A$3="Maximize",MAX($C224:$AI224),MIN($C224:$AI224)),$C224:$AI224,0))*INDEX(E213:$AJ223,MATCH(MIN($AK213:$AK223),$AK213:$AK223,0),1)/INDEX($C213:$AJ223,MATCH(MIN($AK213:$AK223),$AK213:$AK223,0),MATCH(IF('Data-solution'!$A$3="Maximize",MAX($C224:$AI224),MIN($C224:$AI224)),$C224:$AI224,0))),E213)</f>
        <v>0</v>
      </c>
      <c r="F228" s="1">
        <f>IF(OR($B228&lt;&gt;$B213,$B229&lt;&gt;$B214,$B230&lt;&gt;$B215,$B231&lt;&gt;$B216,$B232&lt;&gt;$B217,$B233&lt;&gt;$B218,$B234&lt;&gt;$B219,$B235&lt;&gt;$B220,$B236&lt;&gt;$B221,$B237&lt;&gt;$B222,$B238&lt;&gt;$B223),IF($B228&lt;&gt;$B213,F213/INDEX($C213:$AJ223,1,MATCH(IF('Data-solution'!$A$3="Maximize",MAX($C224:$AI224),MIN($C224:$AI224)),$C224:$AI224,0)),F213-INDEX($C213:$AJ223,1,MATCH(IF('Data-solution'!$A$3="Maximize",MAX($C224:$AI224),MIN($C224:$AI224)),$C224:$AI224,0))*INDEX(F213:$AJ223,MATCH(MIN($AK213:$AK223),$AK213:$AK223,0),1)/INDEX($C213:$AJ223,MATCH(MIN($AK213:$AK223),$AK213:$AK223,0),MATCH(IF('Data-solution'!$A$3="Maximize",MAX($C224:$AI224),MIN($C224:$AI224)),$C224:$AI224,0))),F213)</f>
        <v>0</v>
      </c>
      <c r="G228" s="1">
        <f>IF(OR($B228&lt;&gt;$B213,$B229&lt;&gt;$B214,$B230&lt;&gt;$B215,$B231&lt;&gt;$B216,$B232&lt;&gt;$B217,$B233&lt;&gt;$B218,$B234&lt;&gt;$B219,$B235&lt;&gt;$B220,$B236&lt;&gt;$B221,$B237&lt;&gt;$B222,$B238&lt;&gt;$B223),IF($B228&lt;&gt;$B213,G213/INDEX($C213:$AJ223,1,MATCH(IF('Data-solution'!$A$3="Maximize",MAX($C224:$AI224),MIN($C224:$AI224)),$C224:$AI224,0)),G213-INDEX($C213:$AJ223,1,MATCH(IF('Data-solution'!$A$3="Maximize",MAX($C224:$AI224),MIN($C224:$AI224)),$C224:$AI224,0))*INDEX(G213:$AJ223,MATCH(MIN($AK213:$AK223),$AK213:$AK223,0),1)/INDEX($C213:$AJ223,MATCH(MIN($AK213:$AK223),$AK213:$AK223,0),MATCH(IF('Data-solution'!$A$3="Maximize",MAX($C224:$AI224),MIN($C224:$AI224)),$C224:$AI224,0))),G213)</f>
        <v>0</v>
      </c>
      <c r="H228" s="1">
        <f>IF(OR($B228&lt;&gt;$B213,$B229&lt;&gt;$B214,$B230&lt;&gt;$B215,$B231&lt;&gt;$B216,$B232&lt;&gt;$B217,$B233&lt;&gt;$B218,$B234&lt;&gt;$B219,$B235&lt;&gt;$B220,$B236&lt;&gt;$B221,$B237&lt;&gt;$B222,$B238&lt;&gt;$B223),IF($B228&lt;&gt;$B213,H213/INDEX($C213:$AJ223,1,MATCH(IF('Data-solution'!$A$3="Maximize",MAX($C224:$AI224),MIN($C224:$AI224)),$C224:$AI224,0)),H213-INDEX($C213:$AJ223,1,MATCH(IF('Data-solution'!$A$3="Maximize",MAX($C224:$AI224),MIN($C224:$AI224)),$C224:$AI224,0))*INDEX(H213:$AJ223,MATCH(MIN($AK213:$AK223),$AK213:$AK223,0),1)/INDEX($C213:$AJ223,MATCH(MIN($AK213:$AK223),$AK213:$AK223,0),MATCH(IF('Data-solution'!$A$3="Maximize",MAX($C224:$AI224),MIN($C224:$AI224)),$C224:$AI224,0))),H213)</f>
        <v>0</v>
      </c>
      <c r="I228" s="1">
        <f>IF(OR($B228&lt;&gt;$B213,$B229&lt;&gt;$B214,$B230&lt;&gt;$B215,$B231&lt;&gt;$B216,$B232&lt;&gt;$B217,$B233&lt;&gt;$B218,$B234&lt;&gt;$B219,$B235&lt;&gt;$B220,$B236&lt;&gt;$B221,$B237&lt;&gt;$B222,$B238&lt;&gt;$B223),IF($B228&lt;&gt;$B213,I213/INDEX($C213:$AJ223,1,MATCH(IF('Data-solution'!$A$3="Maximize",MAX($C224:$AI224),MIN($C224:$AI224)),$C224:$AI224,0)),I213-INDEX($C213:$AJ223,1,MATCH(IF('Data-solution'!$A$3="Maximize",MAX($C224:$AI224),MIN($C224:$AI224)),$C224:$AI224,0))*INDEX(I213:$AJ223,MATCH(MIN($AK213:$AK223),$AK213:$AK223,0),1)/INDEX($C213:$AJ223,MATCH(MIN($AK213:$AK223),$AK213:$AK223,0),MATCH(IF('Data-solution'!$A$3="Maximize",MAX($C224:$AI224),MIN($C224:$AI224)),$C224:$AI224,0))),I213)</f>
        <v>0</v>
      </c>
      <c r="J228" s="1">
        <f>IF(OR($B228&lt;&gt;$B213,$B229&lt;&gt;$B214,$B230&lt;&gt;$B215,$B231&lt;&gt;$B216,$B232&lt;&gt;$B217,$B233&lt;&gt;$B218,$B234&lt;&gt;$B219,$B235&lt;&gt;$B220,$B236&lt;&gt;$B221,$B237&lt;&gt;$B222,$B238&lt;&gt;$B223),IF($B228&lt;&gt;$B213,J213/INDEX($C213:$AJ223,1,MATCH(IF('Data-solution'!$A$3="Maximize",MAX($C224:$AI224),MIN($C224:$AI224)),$C224:$AI224,0)),J213-INDEX($C213:$AJ223,1,MATCH(IF('Data-solution'!$A$3="Maximize",MAX($C224:$AI224),MIN($C224:$AI224)),$C224:$AI224,0))*INDEX(J213:$AJ223,MATCH(MIN($AK213:$AK223),$AK213:$AK223,0),1)/INDEX($C213:$AJ223,MATCH(MIN($AK213:$AK223),$AK213:$AK223,0),MATCH(IF('Data-solution'!$A$3="Maximize",MAX($C224:$AI224),MIN($C224:$AI224)),$C224:$AI224,0))),J213)</f>
        <v>0</v>
      </c>
      <c r="K228" s="1">
        <f>IF(OR($B228&lt;&gt;$B213,$B229&lt;&gt;$B214,$B230&lt;&gt;$B215,$B231&lt;&gt;$B216,$B232&lt;&gt;$B217,$B233&lt;&gt;$B218,$B234&lt;&gt;$B219,$B235&lt;&gt;$B220,$B236&lt;&gt;$B221,$B237&lt;&gt;$B222,$B238&lt;&gt;$B223),IF($B228&lt;&gt;$B213,K213/INDEX($C213:$AJ223,1,MATCH(IF('Data-solution'!$A$3="Maximize",MAX($C224:$AI224),MIN($C224:$AI224)),$C224:$AI224,0)),K213-INDEX($C213:$AJ223,1,MATCH(IF('Data-solution'!$A$3="Maximize",MAX($C224:$AI224),MIN($C224:$AI224)),$C224:$AI224,0))*INDEX(K213:$AJ223,MATCH(MIN($AK213:$AK223),$AK213:$AK223,0),1)/INDEX($C213:$AJ223,MATCH(MIN($AK213:$AK223),$AK213:$AK223,0),MATCH(IF('Data-solution'!$A$3="Maximize",MAX($C224:$AI224),MIN($C224:$AI224)),$C224:$AI224,0))),K213)</f>
        <v>0</v>
      </c>
      <c r="L228" s="1">
        <f>IF(OR($B228&lt;&gt;$B213,$B229&lt;&gt;$B214,$B230&lt;&gt;$B215,$B231&lt;&gt;$B216,$B232&lt;&gt;$B217,$B233&lt;&gt;$B218,$B234&lt;&gt;$B219,$B235&lt;&gt;$B220,$B236&lt;&gt;$B221,$B237&lt;&gt;$B222,$B238&lt;&gt;$B223),IF($B228&lt;&gt;$B213,L213/INDEX($C213:$AJ223,1,MATCH(IF('Data-solution'!$A$3="Maximize",MAX($C224:$AI224),MIN($C224:$AI224)),$C224:$AI224,0)),L213-INDEX($C213:$AJ223,1,MATCH(IF('Data-solution'!$A$3="Maximize",MAX($C224:$AI224),MIN($C224:$AI224)),$C224:$AI224,0))*INDEX(L213:$AJ223,MATCH(MIN($AK213:$AK223),$AK213:$AK223,0),1)/INDEX($C213:$AJ223,MATCH(MIN($AK213:$AK223),$AK213:$AK223,0),MATCH(IF('Data-solution'!$A$3="Maximize",MAX($C224:$AI224),MIN($C224:$AI224)),$C224:$AI224,0))),L213)</f>
        <v>0</v>
      </c>
      <c r="M228" s="1">
        <f>IF(OR($B228&lt;&gt;$B213,$B229&lt;&gt;$B214,$B230&lt;&gt;$B215,$B231&lt;&gt;$B216,$B232&lt;&gt;$B217,$B233&lt;&gt;$B218,$B234&lt;&gt;$B219,$B235&lt;&gt;$B220,$B236&lt;&gt;$B221,$B237&lt;&gt;$B222,$B238&lt;&gt;$B223),IF($B228&lt;&gt;$B213,M213/INDEX($C213:$AJ223,1,MATCH(IF('Data-solution'!$A$3="Maximize",MAX($C224:$AI224),MIN($C224:$AI224)),$C224:$AI224,0)),M213-INDEX($C213:$AJ223,1,MATCH(IF('Data-solution'!$A$3="Maximize",MAX($C224:$AI224),MIN($C224:$AI224)),$C224:$AI224,0))*INDEX(M213:$AJ223,MATCH(MIN($AK213:$AK223),$AK213:$AK223,0),1)/INDEX($C213:$AJ223,MATCH(MIN($AK213:$AK223),$AK213:$AK223,0),MATCH(IF('Data-solution'!$A$3="Maximize",MAX($C224:$AI224),MIN($C224:$AI224)),$C224:$AI224,0))),M213)</f>
        <v>0</v>
      </c>
      <c r="N228" s="1">
        <f>IF(OR($B228&lt;&gt;$B213,$B229&lt;&gt;$B214,$B230&lt;&gt;$B215,$B231&lt;&gt;$B216,$B232&lt;&gt;$B217,$B233&lt;&gt;$B218,$B234&lt;&gt;$B219,$B235&lt;&gt;$B220,$B236&lt;&gt;$B221,$B237&lt;&gt;$B222,$B238&lt;&gt;$B223),IF($B228&lt;&gt;$B213,N213/INDEX($C213:$AJ223,1,MATCH(IF('Data-solution'!$A$3="Maximize",MAX($C224:$AI224),MIN($C224:$AI224)),$C224:$AI224,0)),N213-INDEX($C213:$AJ223,1,MATCH(IF('Data-solution'!$A$3="Maximize",MAX($C224:$AI224),MIN($C224:$AI224)),$C224:$AI224,0))*INDEX(N213:$AJ223,MATCH(MIN($AK213:$AK223),$AK213:$AK223,0),1)/INDEX($C213:$AJ223,MATCH(MIN($AK213:$AK223),$AK213:$AK223,0),MATCH(IF('Data-solution'!$A$3="Maximize",MAX($C224:$AI224),MIN($C224:$AI224)),$C224:$AI224,0))),N213)</f>
        <v>1</v>
      </c>
      <c r="O228" s="1">
        <f>IF(OR($B228&lt;&gt;$B213,$B229&lt;&gt;$B214,$B230&lt;&gt;$B215,$B231&lt;&gt;$B216,$B232&lt;&gt;$B217,$B233&lt;&gt;$B218,$B234&lt;&gt;$B219,$B235&lt;&gt;$B220,$B236&lt;&gt;$B221,$B237&lt;&gt;$B222,$B238&lt;&gt;$B223),IF($B228&lt;&gt;$B213,O213/INDEX($C213:$AJ223,1,MATCH(IF('Data-solution'!$A$3="Maximize",MAX($C224:$AI224),MIN($C224:$AI224)),$C224:$AI224,0)),O213-INDEX($C213:$AJ223,1,MATCH(IF('Data-solution'!$A$3="Maximize",MAX($C224:$AI224),MIN($C224:$AI224)),$C224:$AI224,0))*INDEX(O213:$AJ223,MATCH(MIN($AK213:$AK223),$AK213:$AK223,0),1)/INDEX($C213:$AJ223,MATCH(MIN($AK213:$AK223),$AK213:$AK223,0),MATCH(IF('Data-solution'!$A$3="Maximize",MAX($C224:$AI224),MIN($C224:$AI224)),$C224:$AI224,0))),O213)</f>
        <v>0</v>
      </c>
      <c r="P228" s="1">
        <f>IF(OR($B228&lt;&gt;$B213,$B229&lt;&gt;$B214,$B230&lt;&gt;$B215,$B231&lt;&gt;$B216,$B232&lt;&gt;$B217,$B233&lt;&gt;$B218,$B234&lt;&gt;$B219,$B235&lt;&gt;$B220,$B236&lt;&gt;$B221,$B237&lt;&gt;$B222,$B238&lt;&gt;$B223),IF($B228&lt;&gt;$B213,P213/INDEX($C213:$AJ223,1,MATCH(IF('Data-solution'!$A$3="Maximize",MAX($C224:$AI224),MIN($C224:$AI224)),$C224:$AI224,0)),P213-INDEX($C213:$AJ223,1,MATCH(IF('Data-solution'!$A$3="Maximize",MAX($C224:$AI224),MIN($C224:$AI224)),$C224:$AI224,0))*INDEX(P213:$AJ223,MATCH(MIN($AK213:$AK223),$AK213:$AK223,0),1)/INDEX($C213:$AJ223,MATCH(MIN($AK213:$AK223),$AK213:$AK223,0),MATCH(IF('Data-solution'!$A$3="Maximize",MAX($C224:$AI224),MIN($C224:$AI224)),$C224:$AI224,0))),P213)</f>
        <v>0</v>
      </c>
      <c r="Q228" s="1">
        <f>IF(OR($B228&lt;&gt;$B213,$B229&lt;&gt;$B214,$B230&lt;&gt;$B215,$B231&lt;&gt;$B216,$B232&lt;&gt;$B217,$B233&lt;&gt;$B218,$B234&lt;&gt;$B219,$B235&lt;&gt;$B220,$B236&lt;&gt;$B221,$B237&lt;&gt;$B222,$B238&lt;&gt;$B223),IF($B228&lt;&gt;$B213,Q213/INDEX($C213:$AJ223,1,MATCH(IF('Data-solution'!$A$3="Maximize",MAX($C224:$AI224),MIN($C224:$AI224)),$C224:$AI224,0)),Q213-INDEX($C213:$AJ223,1,MATCH(IF('Data-solution'!$A$3="Maximize",MAX($C224:$AI224),MIN($C224:$AI224)),$C224:$AI224,0))*INDEX(Q213:$AJ223,MATCH(MIN($AK213:$AK223),$AK213:$AK223,0),1)/INDEX($C213:$AJ223,MATCH(MIN($AK213:$AK223),$AK213:$AK223,0),MATCH(IF('Data-solution'!$A$3="Maximize",MAX($C224:$AI224),MIN($C224:$AI224)),$C224:$AI224,0))),Q213)</f>
        <v>-1</v>
      </c>
      <c r="R228" s="1">
        <f>IF(OR($B228&lt;&gt;$B213,$B229&lt;&gt;$B214,$B230&lt;&gt;$B215,$B231&lt;&gt;$B216,$B232&lt;&gt;$B217,$B233&lt;&gt;$B218,$B234&lt;&gt;$B219,$B235&lt;&gt;$B220,$B236&lt;&gt;$B221,$B237&lt;&gt;$B222,$B238&lt;&gt;$B223),IF($B228&lt;&gt;$B213,R213/INDEX($C213:$AJ223,1,MATCH(IF('Data-solution'!$A$3="Maximize",MAX($C224:$AI224),MIN($C224:$AI224)),$C224:$AI224,0)),R213-INDEX($C213:$AJ223,1,MATCH(IF('Data-solution'!$A$3="Maximize",MAX($C224:$AI224),MIN($C224:$AI224)),$C224:$AI224,0))*INDEX(R213:$AJ223,MATCH(MIN($AK213:$AK223),$AK213:$AK223,0),1)/INDEX($C213:$AJ223,MATCH(MIN($AK213:$AK223),$AK213:$AK223,0),MATCH(IF('Data-solution'!$A$3="Maximize",MAX($C224:$AI224),MIN($C224:$AI224)),$C224:$AI224,0))),R213)</f>
        <v>0</v>
      </c>
      <c r="S228" s="1">
        <f>IF(OR($B228&lt;&gt;$B213,$B229&lt;&gt;$B214,$B230&lt;&gt;$B215,$B231&lt;&gt;$B216,$B232&lt;&gt;$B217,$B233&lt;&gt;$B218,$B234&lt;&gt;$B219,$B235&lt;&gt;$B220,$B236&lt;&gt;$B221,$B237&lt;&gt;$B222,$B238&lt;&gt;$B223),IF($B228&lt;&gt;$B213,S213/INDEX($C213:$AJ223,1,MATCH(IF('Data-solution'!$A$3="Maximize",MAX($C224:$AI224),MIN($C224:$AI224)),$C224:$AI224,0)),S213-INDEX($C213:$AJ223,1,MATCH(IF('Data-solution'!$A$3="Maximize",MAX($C224:$AI224),MIN($C224:$AI224)),$C224:$AI224,0))*INDEX(S213:$AJ223,MATCH(MIN($AK213:$AK223),$AK213:$AK223,0),1)/INDEX($C213:$AJ223,MATCH(MIN($AK213:$AK223),$AK213:$AK223,0),MATCH(IF('Data-solution'!$A$3="Maximize",MAX($C224:$AI224),MIN($C224:$AI224)),$C224:$AI224,0))),S213)</f>
        <v>0</v>
      </c>
      <c r="T228" s="1">
        <f>IF(OR($B228&lt;&gt;$B213,$B229&lt;&gt;$B214,$B230&lt;&gt;$B215,$B231&lt;&gt;$B216,$B232&lt;&gt;$B217,$B233&lt;&gt;$B218,$B234&lt;&gt;$B219,$B235&lt;&gt;$B220,$B236&lt;&gt;$B221,$B237&lt;&gt;$B222,$B238&lt;&gt;$B223),IF($B228&lt;&gt;$B213,T213/INDEX($C213:$AJ223,1,MATCH(IF('Data-solution'!$A$3="Maximize",MAX($C224:$AI224),MIN($C224:$AI224)),$C224:$AI224,0)),T213-INDEX($C213:$AJ223,1,MATCH(IF('Data-solution'!$A$3="Maximize",MAX($C224:$AI224),MIN($C224:$AI224)),$C224:$AI224,0))*INDEX(T213:$AJ223,MATCH(MIN($AK213:$AK223),$AK213:$AK223,0),1)/INDEX($C213:$AJ223,MATCH(MIN($AK213:$AK223),$AK213:$AK223,0),MATCH(IF('Data-solution'!$A$3="Maximize",MAX($C224:$AI224),MIN($C224:$AI224)),$C224:$AI224,0))),T213)</f>
        <v>0</v>
      </c>
      <c r="U228" s="1">
        <f>IF(OR($B228&lt;&gt;$B213,$B229&lt;&gt;$B214,$B230&lt;&gt;$B215,$B231&lt;&gt;$B216,$B232&lt;&gt;$B217,$B233&lt;&gt;$B218,$B234&lt;&gt;$B219,$B235&lt;&gt;$B220,$B236&lt;&gt;$B221,$B237&lt;&gt;$B222,$B238&lt;&gt;$B223),IF($B228&lt;&gt;$B213,U213/INDEX($C213:$AJ223,1,MATCH(IF('Data-solution'!$A$3="Maximize",MAX($C224:$AI224),MIN($C224:$AI224)),$C224:$AI224,0)),U213-INDEX($C213:$AJ223,1,MATCH(IF('Data-solution'!$A$3="Maximize",MAX($C224:$AI224),MIN($C224:$AI224)),$C224:$AI224,0))*INDEX(U213:$AJ223,MATCH(MIN($AK213:$AK223),$AK213:$AK223,0),1)/INDEX($C213:$AJ223,MATCH(MIN($AK213:$AK223),$AK213:$AK223,0),MATCH(IF('Data-solution'!$A$3="Maximize",MAX($C224:$AI224),MIN($C224:$AI224)),$C224:$AI224,0))),U213)</f>
        <v>0</v>
      </c>
      <c r="V228" s="1">
        <f>IF(OR($B228&lt;&gt;$B213,$B229&lt;&gt;$B214,$B230&lt;&gt;$B215,$B231&lt;&gt;$B216,$B232&lt;&gt;$B217,$B233&lt;&gt;$B218,$B234&lt;&gt;$B219,$B235&lt;&gt;$B220,$B236&lt;&gt;$B221,$B237&lt;&gt;$B222,$B238&lt;&gt;$B223),IF($B228&lt;&gt;$B213,V213/INDEX($C213:$AJ223,1,MATCH(IF('Data-solution'!$A$3="Maximize",MAX($C224:$AI224),MIN($C224:$AI224)),$C224:$AI224,0)),V213-INDEX($C213:$AJ223,1,MATCH(IF('Data-solution'!$A$3="Maximize",MAX($C224:$AI224),MIN($C224:$AI224)),$C224:$AI224,0))*INDEX(V213:$AJ223,MATCH(MIN($AK213:$AK223),$AK213:$AK223,0),1)/INDEX($C213:$AJ223,MATCH(MIN($AK213:$AK223),$AK213:$AK223,0),MATCH(IF('Data-solution'!$A$3="Maximize",MAX($C224:$AI224),MIN($C224:$AI224)),$C224:$AI224,0))),V213)</f>
        <v>0</v>
      </c>
      <c r="W228" s="1">
        <f>IF(OR($B228&lt;&gt;$B213,$B229&lt;&gt;$B214,$B230&lt;&gt;$B215,$B231&lt;&gt;$B216,$B232&lt;&gt;$B217,$B233&lt;&gt;$B218,$B234&lt;&gt;$B219,$B235&lt;&gt;$B220,$B236&lt;&gt;$B221,$B237&lt;&gt;$B222,$B238&lt;&gt;$B223),IF($B228&lt;&gt;$B213,W213/INDEX($C213:$AJ223,1,MATCH(IF('Data-solution'!$A$3="Maximize",MAX($C224:$AI224),MIN($C224:$AI224)),$C224:$AI224,0)),W213-INDEX($C213:$AJ223,1,MATCH(IF('Data-solution'!$A$3="Maximize",MAX($C224:$AI224),MIN($C224:$AI224)),$C224:$AI224,0))*INDEX(W213:$AJ223,MATCH(MIN($AK213:$AK223),$AK213:$AK223,0),1)/INDEX($C213:$AJ223,MATCH(MIN($AK213:$AK223),$AK213:$AK223,0),MATCH(IF('Data-solution'!$A$3="Maximize",MAX($C224:$AI224),MIN($C224:$AI224)),$C224:$AI224,0))),W213)</f>
        <v>0</v>
      </c>
      <c r="X228" s="1">
        <f>IF(OR($B228&lt;&gt;$B213,$B229&lt;&gt;$B214,$B230&lt;&gt;$B215,$B231&lt;&gt;$B216,$B232&lt;&gt;$B217,$B233&lt;&gt;$B218,$B234&lt;&gt;$B219,$B235&lt;&gt;$B220,$B236&lt;&gt;$B221,$B237&lt;&gt;$B222,$B238&lt;&gt;$B223),IF($B228&lt;&gt;$B213,X213/INDEX($C213:$AJ223,1,MATCH(IF('Data-solution'!$A$3="Maximize",MAX($C224:$AI224),MIN($C224:$AI224)),$C224:$AI224,0)),X213-INDEX($C213:$AJ223,1,MATCH(IF('Data-solution'!$A$3="Maximize",MAX($C224:$AI224),MIN($C224:$AI224)),$C224:$AI224,0))*INDEX(X213:$AJ223,MATCH(MIN($AK213:$AK223),$AK213:$AK223,0),1)/INDEX($C213:$AJ223,MATCH(MIN($AK213:$AK223),$AK213:$AK223,0),MATCH(IF('Data-solution'!$A$3="Maximize",MAX($C224:$AI224),MIN($C224:$AI224)),$C224:$AI224,0))),X213)</f>
        <v>0</v>
      </c>
      <c r="Y228" s="1">
        <f>IF(OR($B228&lt;&gt;$B213,$B229&lt;&gt;$B214,$B230&lt;&gt;$B215,$B231&lt;&gt;$B216,$B232&lt;&gt;$B217,$B233&lt;&gt;$B218,$B234&lt;&gt;$B219,$B235&lt;&gt;$B220,$B236&lt;&gt;$B221,$B237&lt;&gt;$B222,$B238&lt;&gt;$B223),IF($B228&lt;&gt;$B213,Y213/INDEX($C213:$AJ223,1,MATCH(IF('Data-solution'!$A$3="Maximize",MAX($C224:$AI224),MIN($C224:$AI224)),$C224:$AI224,0)),Y213-INDEX($C213:$AJ223,1,MATCH(IF('Data-solution'!$A$3="Maximize",MAX($C224:$AI224),MIN($C224:$AI224)),$C224:$AI224,0))*INDEX(Y213:$AJ223,MATCH(MIN($AK213:$AK223),$AK213:$AK223,0),1)/INDEX($C213:$AJ223,MATCH(MIN($AK213:$AK223),$AK213:$AK223,0),MATCH(IF('Data-solution'!$A$3="Maximize",MAX($C224:$AI224),MIN($C224:$AI224)),$C224:$AI224,0))),Y213)</f>
        <v>1</v>
      </c>
      <c r="Z228" s="1">
        <f>IF(OR($B228&lt;&gt;$B213,$B229&lt;&gt;$B214,$B230&lt;&gt;$B215,$B231&lt;&gt;$B216,$B232&lt;&gt;$B217,$B233&lt;&gt;$B218,$B234&lt;&gt;$B219,$B235&lt;&gt;$B220,$B236&lt;&gt;$B221,$B237&lt;&gt;$B222,$B238&lt;&gt;$B223),IF($B228&lt;&gt;$B213,Z213/INDEX($C213:$AJ223,1,MATCH(IF('Data-solution'!$A$3="Maximize",MAX($C224:$AI224),MIN($C224:$AI224)),$C224:$AI224,0)),Z213-INDEX($C213:$AJ223,1,MATCH(IF('Data-solution'!$A$3="Maximize",MAX($C224:$AI224),MIN($C224:$AI224)),$C224:$AI224,0))*INDEX(Z213:$AJ223,MATCH(MIN($AK213:$AK223),$AK213:$AK223,0),1)/INDEX($C213:$AJ223,MATCH(MIN($AK213:$AK223),$AK213:$AK223,0),MATCH(IF('Data-solution'!$A$3="Maximize",MAX($C224:$AI224),MIN($C224:$AI224)),$C224:$AI224,0))),Z213)</f>
        <v>0</v>
      </c>
      <c r="AA228" s="1">
        <f>IF(OR($B228&lt;&gt;$B213,$B229&lt;&gt;$B214,$B230&lt;&gt;$B215,$B231&lt;&gt;$B216,$B232&lt;&gt;$B217,$B233&lt;&gt;$B218,$B234&lt;&gt;$B219,$B235&lt;&gt;$B220,$B236&lt;&gt;$B221,$B237&lt;&gt;$B222,$B238&lt;&gt;$B223),IF($B228&lt;&gt;$B213,AA213/INDEX($C213:$AJ223,1,MATCH(IF('Data-solution'!$A$3="Maximize",MAX($C224:$AI224),MIN($C224:$AI224)),$C224:$AI224,0)),AA213-INDEX($C213:$AJ223,1,MATCH(IF('Data-solution'!$A$3="Maximize",MAX($C224:$AI224),MIN($C224:$AI224)),$C224:$AI224,0))*INDEX(AA213:$AJ223,MATCH(MIN($AK213:$AK223),$AK213:$AK223,0),1)/INDEX($C213:$AJ223,MATCH(MIN($AK213:$AK223),$AK213:$AK223,0),MATCH(IF('Data-solution'!$A$3="Maximize",MAX($C224:$AI224),MIN($C224:$AI224)),$C224:$AI224,0))),AA213)</f>
        <v>0</v>
      </c>
      <c r="AB228" s="1">
        <f>IF(OR($B228&lt;&gt;$B213,$B229&lt;&gt;$B214,$B230&lt;&gt;$B215,$B231&lt;&gt;$B216,$B232&lt;&gt;$B217,$B233&lt;&gt;$B218,$B234&lt;&gt;$B219,$B235&lt;&gt;$B220,$B236&lt;&gt;$B221,$B237&lt;&gt;$B222,$B238&lt;&gt;$B223),IF($B228&lt;&gt;$B213,AB213/INDEX($C213:$AJ223,1,MATCH(IF('Data-solution'!$A$3="Maximize",MAX($C224:$AI224),MIN($C224:$AI224)),$C224:$AI224,0)),AB213-INDEX($C213:$AJ223,1,MATCH(IF('Data-solution'!$A$3="Maximize",MAX($C224:$AI224),MIN($C224:$AI224)),$C224:$AI224,0))*INDEX(AB213:$AJ223,MATCH(MIN($AK213:$AK223),$AK213:$AK223,0),1)/INDEX($C213:$AJ223,MATCH(MIN($AK213:$AK223),$AK213:$AK223,0),MATCH(IF('Data-solution'!$A$3="Maximize",MAX($C224:$AI224),MIN($C224:$AI224)),$C224:$AI224,0))),AB213)</f>
        <v>-1</v>
      </c>
      <c r="AC228" s="1">
        <f>IF(OR($B228&lt;&gt;$B213,$B229&lt;&gt;$B214,$B230&lt;&gt;$B215,$B231&lt;&gt;$B216,$B232&lt;&gt;$B217,$B233&lt;&gt;$B218,$B234&lt;&gt;$B219,$B235&lt;&gt;$B220,$B236&lt;&gt;$B221,$B237&lt;&gt;$B222,$B238&lt;&gt;$B223),IF($B228&lt;&gt;$B213,AC213/INDEX($C213:$AJ223,1,MATCH(IF('Data-solution'!$A$3="Maximize",MAX($C224:$AI224),MIN($C224:$AI224)),$C224:$AI224,0)),AC213-INDEX($C213:$AJ223,1,MATCH(IF('Data-solution'!$A$3="Maximize",MAX($C224:$AI224),MIN($C224:$AI224)),$C224:$AI224,0))*INDEX(AC213:$AJ223,MATCH(MIN($AK213:$AK223),$AK213:$AK223,0),1)/INDEX($C213:$AJ223,MATCH(MIN($AK213:$AK223),$AK213:$AK223,0),MATCH(IF('Data-solution'!$A$3="Maximize",MAX($C224:$AI224),MIN($C224:$AI224)),$C224:$AI224,0))),AC213)</f>
        <v>0</v>
      </c>
      <c r="AD228" s="1">
        <f>IF(OR($B228&lt;&gt;$B213,$B229&lt;&gt;$B214,$B230&lt;&gt;$B215,$B231&lt;&gt;$B216,$B232&lt;&gt;$B217,$B233&lt;&gt;$B218,$B234&lt;&gt;$B219,$B235&lt;&gt;$B220,$B236&lt;&gt;$B221,$B237&lt;&gt;$B222,$B238&lt;&gt;$B223),IF($B228&lt;&gt;$B213,AD213/INDEX($C213:$AJ223,1,MATCH(IF('Data-solution'!$A$3="Maximize",MAX($C224:$AI224),MIN($C224:$AI224)),$C224:$AI224,0)),AD213-INDEX($C213:$AJ223,1,MATCH(IF('Data-solution'!$A$3="Maximize",MAX($C224:$AI224),MIN($C224:$AI224)),$C224:$AI224,0))*INDEX(AD213:$AJ223,MATCH(MIN($AK213:$AK223),$AK213:$AK223,0),1)/INDEX($C213:$AJ223,MATCH(MIN($AK213:$AK223),$AK213:$AK223,0),MATCH(IF('Data-solution'!$A$3="Maximize",MAX($C224:$AI224),MIN($C224:$AI224)),$C224:$AI224,0))),AD213)</f>
        <v>0</v>
      </c>
      <c r="AE228" s="1">
        <f>IF(OR($B228&lt;&gt;$B213,$B229&lt;&gt;$B214,$B230&lt;&gt;$B215,$B231&lt;&gt;$B216,$B232&lt;&gt;$B217,$B233&lt;&gt;$B218,$B234&lt;&gt;$B219,$B235&lt;&gt;$B220,$B236&lt;&gt;$B221,$B237&lt;&gt;$B222,$B238&lt;&gt;$B223),IF($B228&lt;&gt;$B213,AE213/INDEX($C213:$AJ223,1,MATCH(IF('Data-solution'!$A$3="Maximize",MAX($C224:$AI224),MIN($C224:$AI224)),$C224:$AI224,0)),AE213-INDEX($C213:$AJ223,1,MATCH(IF('Data-solution'!$A$3="Maximize",MAX($C224:$AI224),MIN($C224:$AI224)),$C224:$AI224,0))*INDEX(AE213:$AJ223,MATCH(MIN($AK213:$AK223),$AK213:$AK223,0),1)/INDEX($C213:$AJ223,MATCH(MIN($AK213:$AK223),$AK213:$AK223,0),MATCH(IF('Data-solution'!$A$3="Maximize",MAX($C224:$AI224),MIN($C224:$AI224)),$C224:$AI224,0))),AE213)</f>
        <v>0</v>
      </c>
      <c r="AF228" s="1">
        <f>IF(OR($B228&lt;&gt;$B213,$B229&lt;&gt;$B214,$B230&lt;&gt;$B215,$B231&lt;&gt;$B216,$B232&lt;&gt;$B217,$B233&lt;&gt;$B218,$B234&lt;&gt;$B219,$B235&lt;&gt;$B220,$B236&lt;&gt;$B221,$B237&lt;&gt;$B222,$B238&lt;&gt;$B223),IF($B228&lt;&gt;$B213,AF213/INDEX($C213:$AJ223,1,MATCH(IF('Data-solution'!$A$3="Maximize",MAX($C224:$AI224),MIN($C224:$AI224)),$C224:$AI224,0)),AF213-INDEX($C213:$AJ223,1,MATCH(IF('Data-solution'!$A$3="Maximize",MAX($C224:$AI224),MIN($C224:$AI224)),$C224:$AI224,0))*INDEX(AF213:$AJ223,MATCH(MIN($AK213:$AK223),$AK213:$AK223,0),1)/INDEX($C213:$AJ223,MATCH(MIN($AK213:$AK223),$AK213:$AK223,0),MATCH(IF('Data-solution'!$A$3="Maximize",MAX($C224:$AI224),MIN($C224:$AI224)),$C224:$AI224,0))),AF213)</f>
        <v>0</v>
      </c>
      <c r="AG228" s="1">
        <f>IF(OR($B228&lt;&gt;$B213,$B229&lt;&gt;$B214,$B230&lt;&gt;$B215,$B231&lt;&gt;$B216,$B232&lt;&gt;$B217,$B233&lt;&gt;$B218,$B234&lt;&gt;$B219,$B235&lt;&gt;$B220,$B236&lt;&gt;$B221,$B237&lt;&gt;$B222,$B238&lt;&gt;$B223),IF($B228&lt;&gt;$B213,AG213/INDEX($C213:$AJ223,1,MATCH(IF('Data-solution'!$A$3="Maximize",MAX($C224:$AI224),MIN($C224:$AI224)),$C224:$AI224,0)),AG213-INDEX($C213:$AJ223,1,MATCH(IF('Data-solution'!$A$3="Maximize",MAX($C224:$AI224),MIN($C224:$AI224)),$C224:$AI224,0))*INDEX(AG213:$AJ223,MATCH(MIN($AK213:$AK223),$AK213:$AK223,0),1)/INDEX($C213:$AJ223,MATCH(MIN($AK213:$AK223),$AK213:$AK223,0),MATCH(IF('Data-solution'!$A$3="Maximize",MAX($C224:$AI224),MIN($C224:$AI224)),$C224:$AI224,0))),AG213)</f>
        <v>0</v>
      </c>
      <c r="AH228" s="1">
        <f>IF(OR($B228&lt;&gt;$B213,$B229&lt;&gt;$B214,$B230&lt;&gt;$B215,$B231&lt;&gt;$B216,$B232&lt;&gt;$B217,$B233&lt;&gt;$B218,$B234&lt;&gt;$B219,$B235&lt;&gt;$B220,$B236&lt;&gt;$B221,$B237&lt;&gt;$B222,$B238&lt;&gt;$B223),IF($B228&lt;&gt;$B213,AH213/INDEX($C213:$AJ223,1,MATCH(IF('Data-solution'!$A$3="Maximize",MAX($C224:$AI224),MIN($C224:$AI224)),$C224:$AI224,0)),AH213-INDEX($C213:$AJ223,1,MATCH(IF('Data-solution'!$A$3="Maximize",MAX($C224:$AI224),MIN($C224:$AI224)),$C224:$AI224,0))*INDEX(AH213:$AJ223,MATCH(MIN($AK213:$AK223),$AK213:$AK223,0),1)/INDEX($C213:$AJ223,MATCH(MIN($AK213:$AK223),$AK213:$AK223,0),MATCH(IF('Data-solution'!$A$3="Maximize",MAX($C224:$AI224),MIN($C224:$AI224)),$C224:$AI224,0))),AH213)</f>
        <v>0</v>
      </c>
      <c r="AI228" s="1">
        <f>IF(OR($B228&lt;&gt;$B213,$B229&lt;&gt;$B214,$B230&lt;&gt;$B215,$B231&lt;&gt;$B216,$B232&lt;&gt;$B217,$B233&lt;&gt;$B218,$B234&lt;&gt;$B219,$B235&lt;&gt;$B220,$B236&lt;&gt;$B221,$B237&lt;&gt;$B222,$B238&lt;&gt;$B223),IF($B228&lt;&gt;$B213,AI213/INDEX($C213:$AJ223,1,MATCH(IF('Data-solution'!$A$3="Maximize",MAX($C224:$AI224),MIN($C224:$AI224)),$C224:$AI224,0)),AI213-INDEX($C213:$AJ223,1,MATCH(IF('Data-solution'!$A$3="Maximize",MAX($C224:$AI224),MIN($C224:$AI224)),$C224:$AI224,0))*INDEX(AI213:$AJ223,MATCH(MIN($AK213:$AK223),$AK213:$AK223,0),1)/INDEX($C213:$AJ223,MATCH(MIN($AK213:$AK223),$AK213:$AK223,0),MATCH(IF('Data-solution'!$A$3="Maximize",MAX($C224:$AI224),MIN($C224:$AI224)),$C224:$AI224,0))),AI213)</f>
        <v>0</v>
      </c>
      <c r="AJ228" s="1">
        <f>IF(OR($B228&lt;&gt;$B213,$B229&lt;&gt;$B214,$B230&lt;&gt;$B215,$B231&lt;&gt;$B216,$B232&lt;&gt;$B217,$B233&lt;&gt;$B218,$B234&lt;&gt;$B219,$B235&lt;&gt;$B220,$B236&lt;&gt;$B221,$B237&lt;&gt;$B222,$B238&lt;&gt;$B223),IF($B228&lt;&gt;$B213,AJ213/INDEX($C213:$AJ223,1,MATCH(IF('Data-solution'!$A$3="Maximize",MAX($C224:$AI224),MIN($C224:$AI224)),$C224:$AI224,0)),AJ213-INDEX($C213:$AJ223,1,MATCH(IF('Data-solution'!$A$3="Maximize",MAX($C224:$AI224),MIN($C224:$AI224)),$C224:$AI224,0))*INDEX(AJ213:$AJ223,MATCH(MIN($AK213:$AK223),$AK213:$AK223,0),1)/INDEX($C213:$AJ223,MATCH(MIN($AK213:$AK223),$AK213:$AK223,0),MATCH(IF('Data-solution'!$A$3="Maximize",MAX($C224:$AI224),MIN($C224:$AI224)),$C224:$AI224,0))),AJ213)</f>
        <v>150</v>
      </c>
      <c r="AK228" s="1" t="str">
        <f>IF(INDEX(C228:X228,1,MATCH(IF('Data-solution'!A$3="Maximize",MAX(C239:X239),MIN(C239:X239)),C239:X239,0))&gt;0,AJ228/INDEX(C228:X228,1,MATCH(IF('Data-solution'!A$3="Maximize",MAX(C239:X239),MIN(C239:X239)),C239:X239,0))," ")</f>
        <v xml:space="preserve"> </v>
      </c>
    </row>
    <row r="229" spans="1:37" ht="18" customHeight="1" x14ac:dyDescent="0.2">
      <c r="A229" s="1">
        <f t="shared" ref="A229" si="199">INDEX(C226:AI226,1,MATCH(B229,C227:AI227,0))</f>
        <v>0</v>
      </c>
      <c r="B229" s="2" t="str">
        <f>IF(AND('Data-solution'!A$3="Maximize",COUNTIF(C224:X224,"&gt;"&amp;0)&gt;0,AK214=MIN(AK213:AK223),COUNTIF(B228,INDEX(C212:X212,1,MATCH(MAX(C224:X224),C224:X224,0)))=0),INDEX(C212:X212,1,MATCH(MAX(C224:X224),C224:X224,0)),IF(AND('Data-solution'!A$3="Minimize",COUNTIF(C224:X224,"&lt;"&amp;0)&gt;0,AK214=MIN(AK213:AK223),COUNTIF(B228,INDEX(C212:X212,1,MATCH(MIN(C224:X224),C224:X224,0)))=0),INDEX(C212:X212,1,MATCH(MIN(C224:X224),C224:X224,0)),B214))</f>
        <v>S2</v>
      </c>
      <c r="C229" s="1">
        <f>IF(OR($B228&lt;&gt;$B213,$B229&lt;&gt;$B214,$B230&lt;&gt;$B215,$B231&lt;&gt;$B216,$B232&lt;&gt;$B217,$B233&lt;&gt;$B218,$B234&lt;&gt;$B219,$B235&lt;&gt;$B220,$B236&lt;&gt;$B221,$B237&lt;&gt;$B222,$B238&lt;&gt;$B223),IF($B229&lt;&gt;$B214,C214/INDEX($C213:$AJ223,2,MATCH(IF('Data-solution'!$A$3="Maximize",MAX($C224:$AI224),MIN($C224:$AI224)),$C224:$AI224,0)),C214-INDEX($C213:$AJ223,2,MATCH(IF('Data-solution'!$A$3="Maximize",MAX($C224:$AI224),MIN($C224:$AI224)),$C224:$AI224,0))*INDEX(C213:$AJ223,MATCH(MIN($AK213:$AK223),$AK213:$AK223,0),1)/INDEX($C213:$AJ223,MATCH(MIN($AK213:$AK223),$AK213:$AK223,0),MATCH(IF('Data-solution'!$A$3="Maximize",MAX($C224:$AI224),MIN($C224:$AI224)),$C224:$AI224,0))),C214)</f>
        <v>0</v>
      </c>
      <c r="D229" s="1">
        <f>IF(OR($B228&lt;&gt;$B213,$B229&lt;&gt;$B214,$B230&lt;&gt;$B215,$B231&lt;&gt;$B216,$B232&lt;&gt;$B217,$B233&lt;&gt;$B218,$B234&lt;&gt;$B219,$B235&lt;&gt;$B220,$B236&lt;&gt;$B221,$B237&lt;&gt;$B222,$B238&lt;&gt;$B223),IF($B229&lt;&gt;$B214,D214/INDEX($C213:$AJ223,2,MATCH(IF('Data-solution'!$A$3="Maximize",MAX($C224:$AI224),MIN($C224:$AI224)),$C224:$AI224,0)),D214-INDEX($C213:$AJ223,2,MATCH(IF('Data-solution'!$A$3="Maximize",MAX($C224:$AI224),MIN($C224:$AI224)),$C224:$AI224,0))*INDEX(D213:$AJ223,MATCH(MIN($AK213:$AK223),$AK213:$AK223,0),1)/INDEX($C213:$AJ223,MATCH(MIN($AK213:$AK223),$AK213:$AK223,0),MATCH(IF('Data-solution'!$A$3="Maximize",MAX($C224:$AI224),MIN($C224:$AI224)),$C224:$AI224,0))),D214)</f>
        <v>1.75</v>
      </c>
      <c r="E229" s="1">
        <f>IF(OR($B228&lt;&gt;$B213,$B229&lt;&gt;$B214,$B230&lt;&gt;$B215,$B231&lt;&gt;$B216,$B232&lt;&gt;$B217,$B233&lt;&gt;$B218,$B234&lt;&gt;$B219,$B235&lt;&gt;$B220,$B236&lt;&gt;$B221,$B237&lt;&gt;$B222,$B238&lt;&gt;$B223),IF($B229&lt;&gt;$B214,E214/INDEX($C213:$AJ223,2,MATCH(IF('Data-solution'!$A$3="Maximize",MAX($C224:$AI224),MIN($C224:$AI224)),$C224:$AI224,0)),E214-INDEX($C213:$AJ223,2,MATCH(IF('Data-solution'!$A$3="Maximize",MAX($C224:$AI224),MIN($C224:$AI224)),$C224:$AI224,0))*INDEX(E213:$AJ223,MATCH(MIN($AK213:$AK223),$AK213:$AK223,0),1)/INDEX($C213:$AJ223,MATCH(MIN($AK213:$AK223),$AK213:$AK223,0),MATCH(IF('Data-solution'!$A$3="Maximize",MAX($C224:$AI224),MIN($C224:$AI224)),$C224:$AI224,0))),E214)</f>
        <v>0</v>
      </c>
      <c r="F229" s="1">
        <f>IF(OR($B228&lt;&gt;$B213,$B229&lt;&gt;$B214,$B230&lt;&gt;$B215,$B231&lt;&gt;$B216,$B232&lt;&gt;$B217,$B233&lt;&gt;$B218,$B234&lt;&gt;$B219,$B235&lt;&gt;$B220,$B236&lt;&gt;$B221,$B237&lt;&gt;$B222,$B238&lt;&gt;$B223),IF($B229&lt;&gt;$B214,F214/INDEX($C213:$AJ223,2,MATCH(IF('Data-solution'!$A$3="Maximize",MAX($C224:$AI224),MIN($C224:$AI224)),$C224:$AI224,0)),F214-INDEX($C213:$AJ223,2,MATCH(IF('Data-solution'!$A$3="Maximize",MAX($C224:$AI224),MIN($C224:$AI224)),$C224:$AI224,0))*INDEX(F213:$AJ223,MATCH(MIN($AK213:$AK223),$AK213:$AK223,0),1)/INDEX($C213:$AJ223,MATCH(MIN($AK213:$AK223),$AK213:$AK223,0),MATCH(IF('Data-solution'!$A$3="Maximize",MAX($C224:$AI224),MIN($C224:$AI224)),$C224:$AI224,0))),F214)</f>
        <v>0</v>
      </c>
      <c r="G229" s="1">
        <f>IF(OR($B228&lt;&gt;$B213,$B229&lt;&gt;$B214,$B230&lt;&gt;$B215,$B231&lt;&gt;$B216,$B232&lt;&gt;$B217,$B233&lt;&gt;$B218,$B234&lt;&gt;$B219,$B235&lt;&gt;$B220,$B236&lt;&gt;$B221,$B237&lt;&gt;$B222,$B238&lt;&gt;$B223),IF($B229&lt;&gt;$B214,G214/INDEX($C213:$AJ223,2,MATCH(IF('Data-solution'!$A$3="Maximize",MAX($C224:$AI224),MIN($C224:$AI224)),$C224:$AI224,0)),G214-INDEX($C213:$AJ223,2,MATCH(IF('Data-solution'!$A$3="Maximize",MAX($C224:$AI224),MIN($C224:$AI224)),$C224:$AI224,0))*INDEX(G213:$AJ223,MATCH(MIN($AK213:$AK223),$AK213:$AK223,0),1)/INDEX($C213:$AJ223,MATCH(MIN($AK213:$AK223),$AK213:$AK223,0),MATCH(IF('Data-solution'!$A$3="Maximize",MAX($C224:$AI224),MIN($C224:$AI224)),$C224:$AI224,0))),G214)</f>
        <v>0</v>
      </c>
      <c r="H229" s="1">
        <f>IF(OR($B228&lt;&gt;$B213,$B229&lt;&gt;$B214,$B230&lt;&gt;$B215,$B231&lt;&gt;$B216,$B232&lt;&gt;$B217,$B233&lt;&gt;$B218,$B234&lt;&gt;$B219,$B235&lt;&gt;$B220,$B236&lt;&gt;$B221,$B237&lt;&gt;$B222,$B238&lt;&gt;$B223),IF($B229&lt;&gt;$B214,H214/INDEX($C213:$AJ223,2,MATCH(IF('Data-solution'!$A$3="Maximize",MAX($C224:$AI224),MIN($C224:$AI224)),$C224:$AI224,0)),H214-INDEX($C213:$AJ223,2,MATCH(IF('Data-solution'!$A$3="Maximize",MAX($C224:$AI224),MIN($C224:$AI224)),$C224:$AI224,0))*INDEX(H213:$AJ223,MATCH(MIN($AK213:$AK223),$AK213:$AK223,0),1)/INDEX($C213:$AJ223,MATCH(MIN($AK213:$AK223),$AK213:$AK223,0),MATCH(IF('Data-solution'!$A$3="Maximize",MAX($C224:$AI224),MIN($C224:$AI224)),$C224:$AI224,0))),H214)</f>
        <v>0</v>
      </c>
      <c r="I229" s="1">
        <f>IF(OR($B228&lt;&gt;$B213,$B229&lt;&gt;$B214,$B230&lt;&gt;$B215,$B231&lt;&gt;$B216,$B232&lt;&gt;$B217,$B233&lt;&gt;$B218,$B234&lt;&gt;$B219,$B235&lt;&gt;$B220,$B236&lt;&gt;$B221,$B237&lt;&gt;$B222,$B238&lt;&gt;$B223),IF($B229&lt;&gt;$B214,I214/INDEX($C213:$AJ223,2,MATCH(IF('Data-solution'!$A$3="Maximize",MAX($C224:$AI224),MIN($C224:$AI224)),$C224:$AI224,0)),I214-INDEX($C213:$AJ223,2,MATCH(IF('Data-solution'!$A$3="Maximize",MAX($C224:$AI224),MIN($C224:$AI224)),$C224:$AI224,0))*INDEX(I213:$AJ223,MATCH(MIN($AK213:$AK223),$AK213:$AK223,0),1)/INDEX($C213:$AJ223,MATCH(MIN($AK213:$AK223),$AK213:$AK223,0),MATCH(IF('Data-solution'!$A$3="Maximize",MAX($C224:$AI224),MIN($C224:$AI224)),$C224:$AI224,0))),I214)</f>
        <v>0</v>
      </c>
      <c r="J229" s="1">
        <f>IF(OR($B228&lt;&gt;$B213,$B229&lt;&gt;$B214,$B230&lt;&gt;$B215,$B231&lt;&gt;$B216,$B232&lt;&gt;$B217,$B233&lt;&gt;$B218,$B234&lt;&gt;$B219,$B235&lt;&gt;$B220,$B236&lt;&gt;$B221,$B237&lt;&gt;$B222,$B238&lt;&gt;$B223),IF($B229&lt;&gt;$B214,J214/INDEX($C213:$AJ223,2,MATCH(IF('Data-solution'!$A$3="Maximize",MAX($C224:$AI224),MIN($C224:$AI224)),$C224:$AI224,0)),J214-INDEX($C213:$AJ223,2,MATCH(IF('Data-solution'!$A$3="Maximize",MAX($C224:$AI224),MIN($C224:$AI224)),$C224:$AI224,0))*INDEX(J213:$AJ223,MATCH(MIN($AK213:$AK223),$AK213:$AK223,0),1)/INDEX($C213:$AJ223,MATCH(MIN($AK213:$AK223),$AK213:$AK223,0),MATCH(IF('Data-solution'!$A$3="Maximize",MAX($C224:$AI224),MIN($C224:$AI224)),$C224:$AI224,0))),J214)</f>
        <v>0</v>
      </c>
      <c r="K229" s="1">
        <f>IF(OR($B228&lt;&gt;$B213,$B229&lt;&gt;$B214,$B230&lt;&gt;$B215,$B231&lt;&gt;$B216,$B232&lt;&gt;$B217,$B233&lt;&gt;$B218,$B234&lt;&gt;$B219,$B235&lt;&gt;$B220,$B236&lt;&gt;$B221,$B237&lt;&gt;$B222,$B238&lt;&gt;$B223),IF($B229&lt;&gt;$B214,K214/INDEX($C213:$AJ223,2,MATCH(IF('Data-solution'!$A$3="Maximize",MAX($C224:$AI224),MIN($C224:$AI224)),$C224:$AI224,0)),K214-INDEX($C213:$AJ223,2,MATCH(IF('Data-solution'!$A$3="Maximize",MAX($C224:$AI224),MIN($C224:$AI224)),$C224:$AI224,0))*INDEX(K213:$AJ223,MATCH(MIN($AK213:$AK223),$AK213:$AK223,0),1)/INDEX($C213:$AJ223,MATCH(MIN($AK213:$AK223),$AK213:$AK223,0),MATCH(IF('Data-solution'!$A$3="Maximize",MAX($C224:$AI224),MIN($C224:$AI224)),$C224:$AI224,0))),K214)</f>
        <v>0</v>
      </c>
      <c r="L229" s="1">
        <f>IF(OR($B228&lt;&gt;$B213,$B229&lt;&gt;$B214,$B230&lt;&gt;$B215,$B231&lt;&gt;$B216,$B232&lt;&gt;$B217,$B233&lt;&gt;$B218,$B234&lt;&gt;$B219,$B235&lt;&gt;$B220,$B236&lt;&gt;$B221,$B237&lt;&gt;$B222,$B238&lt;&gt;$B223),IF($B229&lt;&gt;$B214,L214/INDEX($C213:$AJ223,2,MATCH(IF('Data-solution'!$A$3="Maximize",MAX($C224:$AI224),MIN($C224:$AI224)),$C224:$AI224,0)),L214-INDEX($C213:$AJ223,2,MATCH(IF('Data-solution'!$A$3="Maximize",MAX($C224:$AI224),MIN($C224:$AI224)),$C224:$AI224,0))*INDEX(L213:$AJ223,MATCH(MIN($AK213:$AK223),$AK213:$AK223,0),1)/INDEX($C213:$AJ223,MATCH(MIN($AK213:$AK223),$AK213:$AK223,0),MATCH(IF('Data-solution'!$A$3="Maximize",MAX($C224:$AI224),MIN($C224:$AI224)),$C224:$AI224,0))),L214)</f>
        <v>0</v>
      </c>
      <c r="M229" s="1">
        <f>IF(OR($B228&lt;&gt;$B213,$B229&lt;&gt;$B214,$B230&lt;&gt;$B215,$B231&lt;&gt;$B216,$B232&lt;&gt;$B217,$B233&lt;&gt;$B218,$B234&lt;&gt;$B219,$B235&lt;&gt;$B220,$B236&lt;&gt;$B221,$B237&lt;&gt;$B222,$B238&lt;&gt;$B223),IF($B229&lt;&gt;$B214,M214/INDEX($C213:$AJ223,2,MATCH(IF('Data-solution'!$A$3="Maximize",MAX($C224:$AI224),MIN($C224:$AI224)),$C224:$AI224,0)),M214-INDEX($C213:$AJ223,2,MATCH(IF('Data-solution'!$A$3="Maximize",MAX($C224:$AI224),MIN($C224:$AI224)),$C224:$AI224,0))*INDEX(M213:$AJ223,MATCH(MIN($AK213:$AK223),$AK213:$AK223,0),1)/INDEX($C213:$AJ223,MATCH(MIN($AK213:$AK223),$AK213:$AK223,0),MATCH(IF('Data-solution'!$A$3="Maximize",MAX($C224:$AI224),MIN($C224:$AI224)),$C224:$AI224,0))),M214)</f>
        <v>0</v>
      </c>
      <c r="N229" s="1">
        <f>IF(OR($B228&lt;&gt;$B213,$B229&lt;&gt;$B214,$B230&lt;&gt;$B215,$B231&lt;&gt;$B216,$B232&lt;&gt;$B217,$B233&lt;&gt;$B218,$B234&lt;&gt;$B219,$B235&lt;&gt;$B220,$B236&lt;&gt;$B221,$B237&lt;&gt;$B222,$B238&lt;&gt;$B223),IF($B229&lt;&gt;$B214,N214/INDEX($C213:$AJ223,2,MATCH(IF('Data-solution'!$A$3="Maximize",MAX($C224:$AI224),MIN($C224:$AI224)),$C224:$AI224,0)),N214-INDEX($C213:$AJ223,2,MATCH(IF('Data-solution'!$A$3="Maximize",MAX($C224:$AI224),MIN($C224:$AI224)),$C224:$AI224,0))*INDEX(N213:$AJ223,MATCH(MIN($AK213:$AK223),$AK213:$AK223,0),1)/INDEX($C213:$AJ223,MATCH(MIN($AK213:$AK223),$AK213:$AK223,0),MATCH(IF('Data-solution'!$A$3="Maximize",MAX($C224:$AI224),MIN($C224:$AI224)),$C224:$AI224,0))),N214)</f>
        <v>0</v>
      </c>
      <c r="O229" s="1">
        <f>IF(OR($B228&lt;&gt;$B213,$B229&lt;&gt;$B214,$B230&lt;&gt;$B215,$B231&lt;&gt;$B216,$B232&lt;&gt;$B217,$B233&lt;&gt;$B218,$B234&lt;&gt;$B219,$B235&lt;&gt;$B220,$B236&lt;&gt;$B221,$B237&lt;&gt;$B222,$B238&lt;&gt;$B223),IF($B229&lt;&gt;$B214,O214/INDEX($C213:$AJ223,2,MATCH(IF('Data-solution'!$A$3="Maximize",MAX($C224:$AI224),MIN($C224:$AI224)),$C224:$AI224,0)),O214-INDEX($C213:$AJ223,2,MATCH(IF('Data-solution'!$A$3="Maximize",MAX($C224:$AI224),MIN($C224:$AI224)),$C224:$AI224,0))*INDEX(O213:$AJ223,MATCH(MIN($AK213:$AK223),$AK213:$AK223,0),1)/INDEX($C213:$AJ223,MATCH(MIN($AK213:$AK223),$AK213:$AK223,0),MATCH(IF('Data-solution'!$A$3="Maximize",MAX($C224:$AI224),MIN($C224:$AI224)),$C224:$AI224,0))),O214)</f>
        <v>1</v>
      </c>
      <c r="P229" s="1">
        <f>IF(OR($B228&lt;&gt;$B213,$B229&lt;&gt;$B214,$B230&lt;&gt;$B215,$B231&lt;&gt;$B216,$B232&lt;&gt;$B217,$B233&lt;&gt;$B218,$B234&lt;&gt;$B219,$B235&lt;&gt;$B220,$B236&lt;&gt;$B221,$B237&lt;&gt;$B222,$B238&lt;&gt;$B223),IF($B229&lt;&gt;$B214,P214/INDEX($C213:$AJ223,2,MATCH(IF('Data-solution'!$A$3="Maximize",MAX($C224:$AI224),MIN($C224:$AI224)),$C224:$AI224,0)),P214-INDEX($C213:$AJ223,2,MATCH(IF('Data-solution'!$A$3="Maximize",MAX($C224:$AI224),MIN($C224:$AI224)),$C224:$AI224,0))*INDEX(P213:$AJ223,MATCH(MIN($AK213:$AK223),$AK213:$AK223,0),1)/INDEX($C213:$AJ223,MATCH(MIN($AK213:$AK223),$AK213:$AK223,0),MATCH(IF('Data-solution'!$A$3="Maximize",MAX($C224:$AI224),MIN($C224:$AI224)),$C224:$AI224,0))),P214)</f>
        <v>-0.25</v>
      </c>
      <c r="Q229" s="1">
        <f>IF(OR($B228&lt;&gt;$B213,$B229&lt;&gt;$B214,$B230&lt;&gt;$B215,$B231&lt;&gt;$B216,$B232&lt;&gt;$B217,$B233&lt;&gt;$B218,$B234&lt;&gt;$B219,$B235&lt;&gt;$B220,$B236&lt;&gt;$B221,$B237&lt;&gt;$B222,$B238&lt;&gt;$B223),IF($B229&lt;&gt;$B214,Q214/INDEX($C213:$AJ223,2,MATCH(IF('Data-solution'!$A$3="Maximize",MAX($C224:$AI224),MIN($C224:$AI224)),$C224:$AI224,0)),Q214-INDEX($C213:$AJ223,2,MATCH(IF('Data-solution'!$A$3="Maximize",MAX($C224:$AI224),MIN($C224:$AI224)),$C224:$AI224,0))*INDEX(Q213:$AJ223,MATCH(MIN($AK213:$AK223),$AK213:$AK223,0),1)/INDEX($C213:$AJ223,MATCH(MIN($AK213:$AK223),$AK213:$AK223,0),MATCH(IF('Data-solution'!$A$3="Maximize",MAX($C224:$AI224),MIN($C224:$AI224)),$C224:$AI224,0))),Q214)</f>
        <v>-0.5</v>
      </c>
      <c r="R229" s="1">
        <f>IF(OR($B228&lt;&gt;$B213,$B229&lt;&gt;$B214,$B230&lt;&gt;$B215,$B231&lt;&gt;$B216,$B232&lt;&gt;$B217,$B233&lt;&gt;$B218,$B234&lt;&gt;$B219,$B235&lt;&gt;$B220,$B236&lt;&gt;$B221,$B237&lt;&gt;$B222,$B238&lt;&gt;$B223),IF($B229&lt;&gt;$B214,R214/INDEX($C213:$AJ223,2,MATCH(IF('Data-solution'!$A$3="Maximize",MAX($C224:$AI224),MIN($C224:$AI224)),$C224:$AI224,0)),R214-INDEX($C213:$AJ223,2,MATCH(IF('Data-solution'!$A$3="Maximize",MAX($C224:$AI224),MIN($C224:$AI224)),$C224:$AI224,0))*INDEX(R213:$AJ223,MATCH(MIN($AK213:$AK223),$AK213:$AK223,0),1)/INDEX($C213:$AJ223,MATCH(MIN($AK213:$AK223),$AK213:$AK223,0),MATCH(IF('Data-solution'!$A$3="Maximize",MAX($C224:$AI224),MIN($C224:$AI224)),$C224:$AI224,0))),R214)</f>
        <v>0</v>
      </c>
      <c r="S229" s="1">
        <f>IF(OR($B228&lt;&gt;$B213,$B229&lt;&gt;$B214,$B230&lt;&gt;$B215,$B231&lt;&gt;$B216,$B232&lt;&gt;$B217,$B233&lt;&gt;$B218,$B234&lt;&gt;$B219,$B235&lt;&gt;$B220,$B236&lt;&gt;$B221,$B237&lt;&gt;$B222,$B238&lt;&gt;$B223),IF($B229&lt;&gt;$B214,S214/INDEX($C213:$AJ223,2,MATCH(IF('Data-solution'!$A$3="Maximize",MAX($C224:$AI224),MIN($C224:$AI224)),$C224:$AI224,0)),S214-INDEX($C213:$AJ223,2,MATCH(IF('Data-solution'!$A$3="Maximize",MAX($C224:$AI224),MIN($C224:$AI224)),$C224:$AI224,0))*INDEX(S213:$AJ223,MATCH(MIN($AK213:$AK223),$AK213:$AK223,0),1)/INDEX($C213:$AJ223,MATCH(MIN($AK213:$AK223),$AK213:$AK223,0),MATCH(IF('Data-solution'!$A$3="Maximize",MAX($C224:$AI224),MIN($C224:$AI224)),$C224:$AI224,0))),S214)</f>
        <v>0</v>
      </c>
      <c r="T229" s="1">
        <f>IF(OR($B228&lt;&gt;$B213,$B229&lt;&gt;$B214,$B230&lt;&gt;$B215,$B231&lt;&gt;$B216,$B232&lt;&gt;$B217,$B233&lt;&gt;$B218,$B234&lt;&gt;$B219,$B235&lt;&gt;$B220,$B236&lt;&gt;$B221,$B237&lt;&gt;$B222,$B238&lt;&gt;$B223),IF($B229&lt;&gt;$B214,T214/INDEX($C213:$AJ223,2,MATCH(IF('Data-solution'!$A$3="Maximize",MAX($C224:$AI224),MIN($C224:$AI224)),$C224:$AI224,0)),T214-INDEX($C213:$AJ223,2,MATCH(IF('Data-solution'!$A$3="Maximize",MAX($C224:$AI224),MIN($C224:$AI224)),$C224:$AI224,0))*INDEX(T213:$AJ223,MATCH(MIN($AK213:$AK223),$AK213:$AK223,0),1)/INDEX($C213:$AJ223,MATCH(MIN($AK213:$AK223),$AK213:$AK223,0),MATCH(IF('Data-solution'!$A$3="Maximize",MAX($C224:$AI224),MIN($C224:$AI224)),$C224:$AI224,0))),T214)</f>
        <v>0</v>
      </c>
      <c r="U229" s="1">
        <f>IF(OR($B228&lt;&gt;$B213,$B229&lt;&gt;$B214,$B230&lt;&gt;$B215,$B231&lt;&gt;$B216,$B232&lt;&gt;$B217,$B233&lt;&gt;$B218,$B234&lt;&gt;$B219,$B235&lt;&gt;$B220,$B236&lt;&gt;$B221,$B237&lt;&gt;$B222,$B238&lt;&gt;$B223),IF($B229&lt;&gt;$B214,U214/INDEX($C213:$AJ223,2,MATCH(IF('Data-solution'!$A$3="Maximize",MAX($C224:$AI224),MIN($C224:$AI224)),$C224:$AI224,0)),U214-INDEX($C213:$AJ223,2,MATCH(IF('Data-solution'!$A$3="Maximize",MAX($C224:$AI224),MIN($C224:$AI224)),$C224:$AI224,0))*INDEX(U213:$AJ223,MATCH(MIN($AK213:$AK223),$AK213:$AK223,0),1)/INDEX($C213:$AJ223,MATCH(MIN($AK213:$AK223),$AK213:$AK223,0),MATCH(IF('Data-solution'!$A$3="Maximize",MAX($C224:$AI224),MIN($C224:$AI224)),$C224:$AI224,0))),U214)</f>
        <v>0</v>
      </c>
      <c r="V229" s="1">
        <f>IF(OR($B228&lt;&gt;$B213,$B229&lt;&gt;$B214,$B230&lt;&gt;$B215,$B231&lt;&gt;$B216,$B232&lt;&gt;$B217,$B233&lt;&gt;$B218,$B234&lt;&gt;$B219,$B235&lt;&gt;$B220,$B236&lt;&gt;$B221,$B237&lt;&gt;$B222,$B238&lt;&gt;$B223),IF($B229&lt;&gt;$B214,V214/INDEX($C213:$AJ223,2,MATCH(IF('Data-solution'!$A$3="Maximize",MAX($C224:$AI224),MIN($C224:$AI224)),$C224:$AI224,0)),V214-INDEX($C213:$AJ223,2,MATCH(IF('Data-solution'!$A$3="Maximize",MAX($C224:$AI224),MIN($C224:$AI224)),$C224:$AI224,0))*INDEX(V213:$AJ223,MATCH(MIN($AK213:$AK223),$AK213:$AK223,0),1)/INDEX($C213:$AJ223,MATCH(MIN($AK213:$AK223),$AK213:$AK223,0),MATCH(IF('Data-solution'!$A$3="Maximize",MAX($C224:$AI224),MIN($C224:$AI224)),$C224:$AI224,0))),V214)</f>
        <v>0</v>
      </c>
      <c r="W229" s="1">
        <f>IF(OR($B228&lt;&gt;$B213,$B229&lt;&gt;$B214,$B230&lt;&gt;$B215,$B231&lt;&gt;$B216,$B232&lt;&gt;$B217,$B233&lt;&gt;$B218,$B234&lt;&gt;$B219,$B235&lt;&gt;$B220,$B236&lt;&gt;$B221,$B237&lt;&gt;$B222,$B238&lt;&gt;$B223),IF($B229&lt;&gt;$B214,W214/INDEX($C213:$AJ223,2,MATCH(IF('Data-solution'!$A$3="Maximize",MAX($C224:$AI224),MIN($C224:$AI224)),$C224:$AI224,0)),W214-INDEX($C213:$AJ223,2,MATCH(IF('Data-solution'!$A$3="Maximize",MAX($C224:$AI224),MIN($C224:$AI224)),$C224:$AI224,0))*INDEX(W213:$AJ223,MATCH(MIN($AK213:$AK223),$AK213:$AK223,0),1)/INDEX($C213:$AJ223,MATCH(MIN($AK213:$AK223),$AK213:$AK223,0),MATCH(IF('Data-solution'!$A$3="Maximize",MAX($C224:$AI224),MIN($C224:$AI224)),$C224:$AI224,0))),W214)</f>
        <v>0</v>
      </c>
      <c r="X229" s="1">
        <f>IF(OR($B228&lt;&gt;$B213,$B229&lt;&gt;$B214,$B230&lt;&gt;$B215,$B231&lt;&gt;$B216,$B232&lt;&gt;$B217,$B233&lt;&gt;$B218,$B234&lt;&gt;$B219,$B235&lt;&gt;$B220,$B236&lt;&gt;$B221,$B237&lt;&gt;$B222,$B238&lt;&gt;$B223),IF($B229&lt;&gt;$B214,X214/INDEX($C213:$AJ223,2,MATCH(IF('Data-solution'!$A$3="Maximize",MAX($C224:$AI224),MIN($C224:$AI224)),$C224:$AI224,0)),X214-INDEX($C213:$AJ223,2,MATCH(IF('Data-solution'!$A$3="Maximize",MAX($C224:$AI224),MIN($C224:$AI224)),$C224:$AI224,0))*INDEX(X213:$AJ223,MATCH(MIN($AK213:$AK223),$AK213:$AK223,0),1)/INDEX($C213:$AJ223,MATCH(MIN($AK213:$AK223),$AK213:$AK223,0),MATCH(IF('Data-solution'!$A$3="Maximize",MAX($C224:$AI224),MIN($C224:$AI224)),$C224:$AI224,0))),X214)</f>
        <v>0</v>
      </c>
      <c r="Y229" s="1">
        <f>IF(OR($B228&lt;&gt;$B213,$B229&lt;&gt;$B214,$B230&lt;&gt;$B215,$B231&lt;&gt;$B216,$B232&lt;&gt;$B217,$B233&lt;&gt;$B218,$B234&lt;&gt;$B219,$B235&lt;&gt;$B220,$B236&lt;&gt;$B221,$B237&lt;&gt;$B222,$B238&lt;&gt;$B223),IF($B229&lt;&gt;$B214,Y214/INDEX($C213:$AJ223,2,MATCH(IF('Data-solution'!$A$3="Maximize",MAX($C224:$AI224),MIN($C224:$AI224)),$C224:$AI224,0)),Y214-INDEX($C213:$AJ223,2,MATCH(IF('Data-solution'!$A$3="Maximize",MAX($C224:$AI224),MIN($C224:$AI224)),$C224:$AI224,0))*INDEX(Y213:$AJ223,MATCH(MIN($AK213:$AK223),$AK213:$AK223,0),1)/INDEX($C213:$AJ223,MATCH(MIN($AK213:$AK223),$AK213:$AK223,0),MATCH(IF('Data-solution'!$A$3="Maximize",MAX($C224:$AI224),MIN($C224:$AI224)),$C224:$AI224,0))),Y214)</f>
        <v>0</v>
      </c>
      <c r="Z229" s="1">
        <f>IF(OR($B228&lt;&gt;$B213,$B229&lt;&gt;$B214,$B230&lt;&gt;$B215,$B231&lt;&gt;$B216,$B232&lt;&gt;$B217,$B233&lt;&gt;$B218,$B234&lt;&gt;$B219,$B235&lt;&gt;$B220,$B236&lt;&gt;$B221,$B237&lt;&gt;$B222,$B238&lt;&gt;$B223),IF($B229&lt;&gt;$B214,Z214/INDEX($C213:$AJ223,2,MATCH(IF('Data-solution'!$A$3="Maximize",MAX($C224:$AI224),MIN($C224:$AI224)),$C224:$AI224,0)),Z214-INDEX($C213:$AJ223,2,MATCH(IF('Data-solution'!$A$3="Maximize",MAX($C224:$AI224),MIN($C224:$AI224)),$C224:$AI224,0))*INDEX(Z213:$AJ223,MATCH(MIN($AK213:$AK223),$AK213:$AK223,0),1)/INDEX($C213:$AJ223,MATCH(MIN($AK213:$AK223),$AK213:$AK223,0),MATCH(IF('Data-solution'!$A$3="Maximize",MAX($C224:$AI224),MIN($C224:$AI224)),$C224:$AI224,0))),Z214)</f>
        <v>1</v>
      </c>
      <c r="AA229" s="1">
        <f>IF(OR($B228&lt;&gt;$B213,$B229&lt;&gt;$B214,$B230&lt;&gt;$B215,$B231&lt;&gt;$B216,$B232&lt;&gt;$B217,$B233&lt;&gt;$B218,$B234&lt;&gt;$B219,$B235&lt;&gt;$B220,$B236&lt;&gt;$B221,$B237&lt;&gt;$B222,$B238&lt;&gt;$B223),IF($B229&lt;&gt;$B214,AA214/INDEX($C213:$AJ223,2,MATCH(IF('Data-solution'!$A$3="Maximize",MAX($C224:$AI224),MIN($C224:$AI224)),$C224:$AI224,0)),AA214-INDEX($C213:$AJ223,2,MATCH(IF('Data-solution'!$A$3="Maximize",MAX($C224:$AI224),MIN($C224:$AI224)),$C224:$AI224,0))*INDEX(AA213:$AJ223,MATCH(MIN($AK213:$AK223),$AK213:$AK223,0),1)/INDEX($C213:$AJ223,MATCH(MIN($AK213:$AK223),$AK213:$AK223,0),MATCH(IF('Data-solution'!$A$3="Maximize",MAX($C224:$AI224),MIN($C224:$AI224)),$C224:$AI224,0))),AA214)</f>
        <v>-0.25</v>
      </c>
      <c r="AB229" s="1">
        <f>IF(OR($B228&lt;&gt;$B213,$B229&lt;&gt;$B214,$B230&lt;&gt;$B215,$B231&lt;&gt;$B216,$B232&lt;&gt;$B217,$B233&lt;&gt;$B218,$B234&lt;&gt;$B219,$B235&lt;&gt;$B220,$B236&lt;&gt;$B221,$B237&lt;&gt;$B222,$B238&lt;&gt;$B223),IF($B229&lt;&gt;$B214,AB214/INDEX($C213:$AJ223,2,MATCH(IF('Data-solution'!$A$3="Maximize",MAX($C224:$AI224),MIN($C224:$AI224)),$C224:$AI224,0)),AB214-INDEX($C213:$AJ223,2,MATCH(IF('Data-solution'!$A$3="Maximize",MAX($C224:$AI224),MIN($C224:$AI224)),$C224:$AI224,0))*INDEX(AB213:$AJ223,MATCH(MIN($AK213:$AK223),$AK213:$AK223,0),1)/INDEX($C213:$AJ223,MATCH(MIN($AK213:$AK223),$AK213:$AK223,0),MATCH(IF('Data-solution'!$A$3="Maximize",MAX($C224:$AI224),MIN($C224:$AI224)),$C224:$AI224,0))),AB214)</f>
        <v>-0.5</v>
      </c>
      <c r="AC229" s="1">
        <f>IF(OR($B228&lt;&gt;$B213,$B229&lt;&gt;$B214,$B230&lt;&gt;$B215,$B231&lt;&gt;$B216,$B232&lt;&gt;$B217,$B233&lt;&gt;$B218,$B234&lt;&gt;$B219,$B235&lt;&gt;$B220,$B236&lt;&gt;$B221,$B237&lt;&gt;$B222,$B238&lt;&gt;$B223),IF($B229&lt;&gt;$B214,AC214/INDEX($C213:$AJ223,2,MATCH(IF('Data-solution'!$A$3="Maximize",MAX($C224:$AI224),MIN($C224:$AI224)),$C224:$AI224,0)),AC214-INDEX($C213:$AJ223,2,MATCH(IF('Data-solution'!$A$3="Maximize",MAX($C224:$AI224),MIN($C224:$AI224)),$C224:$AI224,0))*INDEX(AC213:$AJ223,MATCH(MIN($AK213:$AK223),$AK213:$AK223,0),1)/INDEX($C213:$AJ223,MATCH(MIN($AK213:$AK223),$AK213:$AK223,0),MATCH(IF('Data-solution'!$A$3="Maximize",MAX($C224:$AI224),MIN($C224:$AI224)),$C224:$AI224,0))),AC214)</f>
        <v>0</v>
      </c>
      <c r="AD229" s="1">
        <f>IF(OR($B228&lt;&gt;$B213,$B229&lt;&gt;$B214,$B230&lt;&gt;$B215,$B231&lt;&gt;$B216,$B232&lt;&gt;$B217,$B233&lt;&gt;$B218,$B234&lt;&gt;$B219,$B235&lt;&gt;$B220,$B236&lt;&gt;$B221,$B237&lt;&gt;$B222,$B238&lt;&gt;$B223),IF($B229&lt;&gt;$B214,AD214/INDEX($C213:$AJ223,2,MATCH(IF('Data-solution'!$A$3="Maximize",MAX($C224:$AI224),MIN($C224:$AI224)),$C224:$AI224,0)),AD214-INDEX($C213:$AJ223,2,MATCH(IF('Data-solution'!$A$3="Maximize",MAX($C224:$AI224),MIN($C224:$AI224)),$C224:$AI224,0))*INDEX(AD213:$AJ223,MATCH(MIN($AK213:$AK223),$AK213:$AK223,0),1)/INDEX($C213:$AJ223,MATCH(MIN($AK213:$AK223),$AK213:$AK223,0),MATCH(IF('Data-solution'!$A$3="Maximize",MAX($C224:$AI224),MIN($C224:$AI224)),$C224:$AI224,0))),AD214)</f>
        <v>0</v>
      </c>
      <c r="AE229" s="1">
        <f>IF(OR($B228&lt;&gt;$B213,$B229&lt;&gt;$B214,$B230&lt;&gt;$B215,$B231&lt;&gt;$B216,$B232&lt;&gt;$B217,$B233&lt;&gt;$B218,$B234&lt;&gt;$B219,$B235&lt;&gt;$B220,$B236&lt;&gt;$B221,$B237&lt;&gt;$B222,$B238&lt;&gt;$B223),IF($B229&lt;&gt;$B214,AE214/INDEX($C213:$AJ223,2,MATCH(IF('Data-solution'!$A$3="Maximize",MAX($C224:$AI224),MIN($C224:$AI224)),$C224:$AI224,0)),AE214-INDEX($C213:$AJ223,2,MATCH(IF('Data-solution'!$A$3="Maximize",MAX($C224:$AI224),MIN($C224:$AI224)),$C224:$AI224,0))*INDEX(AE213:$AJ223,MATCH(MIN($AK213:$AK223),$AK213:$AK223,0),1)/INDEX($C213:$AJ223,MATCH(MIN($AK213:$AK223),$AK213:$AK223,0),MATCH(IF('Data-solution'!$A$3="Maximize",MAX($C224:$AI224),MIN($C224:$AI224)),$C224:$AI224,0))),AE214)</f>
        <v>0</v>
      </c>
      <c r="AF229" s="1">
        <f>IF(OR($B228&lt;&gt;$B213,$B229&lt;&gt;$B214,$B230&lt;&gt;$B215,$B231&lt;&gt;$B216,$B232&lt;&gt;$B217,$B233&lt;&gt;$B218,$B234&lt;&gt;$B219,$B235&lt;&gt;$B220,$B236&lt;&gt;$B221,$B237&lt;&gt;$B222,$B238&lt;&gt;$B223),IF($B229&lt;&gt;$B214,AF214/INDEX($C213:$AJ223,2,MATCH(IF('Data-solution'!$A$3="Maximize",MAX($C224:$AI224),MIN($C224:$AI224)),$C224:$AI224,0)),AF214-INDEX($C213:$AJ223,2,MATCH(IF('Data-solution'!$A$3="Maximize",MAX($C224:$AI224),MIN($C224:$AI224)),$C224:$AI224,0))*INDEX(AF213:$AJ223,MATCH(MIN($AK213:$AK223),$AK213:$AK223,0),1)/INDEX($C213:$AJ223,MATCH(MIN($AK213:$AK223),$AK213:$AK223,0),MATCH(IF('Data-solution'!$A$3="Maximize",MAX($C224:$AI224),MIN($C224:$AI224)),$C224:$AI224,0))),AF214)</f>
        <v>0</v>
      </c>
      <c r="AG229" s="1">
        <f>IF(OR($B228&lt;&gt;$B213,$B229&lt;&gt;$B214,$B230&lt;&gt;$B215,$B231&lt;&gt;$B216,$B232&lt;&gt;$B217,$B233&lt;&gt;$B218,$B234&lt;&gt;$B219,$B235&lt;&gt;$B220,$B236&lt;&gt;$B221,$B237&lt;&gt;$B222,$B238&lt;&gt;$B223),IF($B229&lt;&gt;$B214,AG214/INDEX($C213:$AJ223,2,MATCH(IF('Data-solution'!$A$3="Maximize",MAX($C224:$AI224),MIN($C224:$AI224)),$C224:$AI224,0)),AG214-INDEX($C213:$AJ223,2,MATCH(IF('Data-solution'!$A$3="Maximize",MAX($C224:$AI224),MIN($C224:$AI224)),$C224:$AI224,0))*INDEX(AG213:$AJ223,MATCH(MIN($AK213:$AK223),$AK213:$AK223,0),1)/INDEX($C213:$AJ223,MATCH(MIN($AK213:$AK223),$AK213:$AK223,0),MATCH(IF('Data-solution'!$A$3="Maximize",MAX($C224:$AI224),MIN($C224:$AI224)),$C224:$AI224,0))),AG214)</f>
        <v>0</v>
      </c>
      <c r="AH229" s="1">
        <f>IF(OR($B228&lt;&gt;$B213,$B229&lt;&gt;$B214,$B230&lt;&gt;$B215,$B231&lt;&gt;$B216,$B232&lt;&gt;$B217,$B233&lt;&gt;$B218,$B234&lt;&gt;$B219,$B235&lt;&gt;$B220,$B236&lt;&gt;$B221,$B237&lt;&gt;$B222,$B238&lt;&gt;$B223),IF($B229&lt;&gt;$B214,AH214/INDEX($C213:$AJ223,2,MATCH(IF('Data-solution'!$A$3="Maximize",MAX($C224:$AI224),MIN($C224:$AI224)),$C224:$AI224,0)),AH214-INDEX($C213:$AJ223,2,MATCH(IF('Data-solution'!$A$3="Maximize",MAX($C224:$AI224),MIN($C224:$AI224)),$C224:$AI224,0))*INDEX(AH213:$AJ223,MATCH(MIN($AK213:$AK223),$AK213:$AK223,0),1)/INDEX($C213:$AJ223,MATCH(MIN($AK213:$AK223),$AK213:$AK223,0),MATCH(IF('Data-solution'!$A$3="Maximize",MAX($C224:$AI224),MIN($C224:$AI224)),$C224:$AI224,0))),AH214)</f>
        <v>0</v>
      </c>
      <c r="AI229" s="1">
        <f>IF(OR($B228&lt;&gt;$B213,$B229&lt;&gt;$B214,$B230&lt;&gt;$B215,$B231&lt;&gt;$B216,$B232&lt;&gt;$B217,$B233&lt;&gt;$B218,$B234&lt;&gt;$B219,$B235&lt;&gt;$B220,$B236&lt;&gt;$B221,$B237&lt;&gt;$B222,$B238&lt;&gt;$B223),IF($B229&lt;&gt;$B214,AI214/INDEX($C213:$AJ223,2,MATCH(IF('Data-solution'!$A$3="Maximize",MAX($C224:$AI224),MIN($C224:$AI224)),$C224:$AI224,0)),AI214-INDEX($C213:$AJ223,2,MATCH(IF('Data-solution'!$A$3="Maximize",MAX($C224:$AI224),MIN($C224:$AI224)),$C224:$AI224,0))*INDEX(AI213:$AJ223,MATCH(MIN($AK213:$AK223),$AK213:$AK223,0),1)/INDEX($C213:$AJ223,MATCH(MIN($AK213:$AK223),$AK213:$AK223,0),MATCH(IF('Data-solution'!$A$3="Maximize",MAX($C224:$AI224),MIN($C224:$AI224)),$C224:$AI224,0))),AI214)</f>
        <v>0</v>
      </c>
      <c r="AJ229" s="1">
        <f>IF(OR($B228&lt;&gt;$B213,$B229&lt;&gt;$B214,$B230&lt;&gt;$B215,$B231&lt;&gt;$B216,$B232&lt;&gt;$B217,$B233&lt;&gt;$B218,$B234&lt;&gt;$B219,$B235&lt;&gt;$B220,$B236&lt;&gt;$B221,$B237&lt;&gt;$B222,$B238&lt;&gt;$B223),IF($B229&lt;&gt;$B214,AJ214/INDEX($C213:$AJ223,2,MATCH(IF('Data-solution'!$A$3="Maximize",MAX($C224:$AI224),MIN($C224:$AI224)),$C224:$AI224,0)),AJ214-INDEX($C213:$AJ223,2,MATCH(IF('Data-solution'!$A$3="Maximize",MAX($C224:$AI224),MIN($C224:$AI224)),$C224:$AI224,0))*INDEX(AJ213:$AJ223,MATCH(MIN($AK213:$AK223),$AK213:$AK223,0),1)/INDEX($C213:$AJ223,MATCH(MIN($AK213:$AK223),$AK213:$AK223,0),MATCH(IF('Data-solution'!$A$3="Maximize",MAX($C224:$AI224),MIN($C224:$AI224)),$C224:$AI224,0))),AJ214)</f>
        <v>300</v>
      </c>
      <c r="AK229" s="1" t="str">
        <f>IF(INDEX(C229:X229,1,MATCH(IF('Data-solution'!A$3="Maximize",MAX(C239:X239),MIN(C239:X239)),C239:X239,0))&gt;0,AJ229/INDEX(C229:X229,1,MATCH(IF('Data-solution'!A$3="Maximize",MAX(C239:X239),MIN(C239:X239)),C239:X239,0))," ")</f>
        <v xml:space="preserve"> </v>
      </c>
    </row>
    <row r="230" spans="1:37" ht="18" customHeight="1" x14ac:dyDescent="0.2">
      <c r="A230" s="1">
        <f t="shared" ref="A230" si="200">INDEX(C226:AI226,1,MATCH(B230,C227:AI227,0))</f>
        <v>350</v>
      </c>
      <c r="B230" s="2" t="str">
        <f>IF(AND('Data-solution'!A$3="Maximize",COUNTIF(C224:X224,"&gt;"&amp;0)&gt;0,AK215=MIN(AK213:AK223),COUNTIF(B228:B229,INDEX(C212:X212,1,MATCH(MAX(C224:X224),C224:X224,0)))=0),INDEX(C212:X212,1,MATCH(MAX(C224:X224),C224:X224,0)),IF(AND('Data-solution'!A$3="Minimize",COUNTIF(C224:X224,"&lt;"&amp;0)&gt;0,AK215=MIN(AK213:AK223),COUNTIF(B228:B229,INDEX(C212:X212,1,MATCH(MIN(C224:X224),C224:X224,0)))=0),INDEX(C212:X212,1,MATCH(MIN(C224:X224),C224:X224,0)),B215))</f>
        <v>X3</v>
      </c>
      <c r="C230" s="1">
        <f>IF(OR($B228&lt;&gt;$B213,$B229&lt;&gt;$B214,$B230&lt;&gt;$B215,$B231&lt;&gt;$B216,$B232&lt;&gt;$B217,$B233&lt;&gt;$B218,$B234&lt;&gt;$B219,$B235&lt;&gt;$B220,$B236&lt;&gt;$B221,$B237&lt;&gt;$B222,$B238&lt;&gt;$B223),IF($B230&lt;&gt;$B215,C215/INDEX($C213:$AJ223,3,MATCH(IF('Data-solution'!$A$3="Maximize",MAX($C224:$AI224),MIN($C224:$AI224)),$C224:$AI224,0)),C215-INDEX($C213:$AJ223,3,MATCH(IF('Data-solution'!$A$3="Maximize",MAX($C224:$AI224),MIN($C224:$AI224)),$C224:$AI224,0))*INDEX(C213:$AJ223,MATCH(MIN($AK213:$AK223),$AK213:$AK223,0),1)/INDEX($C213:$AJ223,MATCH(MIN($AK213:$AK223),$AK213:$AK223,0),MATCH(IF('Data-solution'!$A$3="Maximize",MAX($C224:$AI224),MIN($C224:$AI224)),$C224:$AI224,0))),C215)</f>
        <v>0</v>
      </c>
      <c r="D230" s="1">
        <f>IF(OR($B228&lt;&gt;$B213,$B229&lt;&gt;$B214,$B230&lt;&gt;$B215,$B231&lt;&gt;$B216,$B232&lt;&gt;$B217,$B233&lt;&gt;$B218,$B234&lt;&gt;$B219,$B235&lt;&gt;$B220,$B236&lt;&gt;$B221,$B237&lt;&gt;$B222,$B238&lt;&gt;$B223),IF($B230&lt;&gt;$B215,D215/INDEX($C213:$AJ223,3,MATCH(IF('Data-solution'!$A$3="Maximize",MAX($C224:$AI224),MIN($C224:$AI224)),$C224:$AI224,0)),D215-INDEX($C213:$AJ223,3,MATCH(IF('Data-solution'!$A$3="Maximize",MAX($C224:$AI224),MIN($C224:$AI224)),$C224:$AI224,0))*INDEX(D213:$AJ223,MATCH(MIN($AK213:$AK223),$AK213:$AK223,0),1)/INDEX($C213:$AJ223,MATCH(MIN($AK213:$AK223),$AK213:$AK223,0),MATCH(IF('Data-solution'!$A$3="Maximize",MAX($C224:$AI224),MIN($C224:$AI224)),$C224:$AI224,0))),D215)</f>
        <v>1.25</v>
      </c>
      <c r="E230" s="1">
        <f>IF(OR($B228&lt;&gt;$B213,$B229&lt;&gt;$B214,$B230&lt;&gt;$B215,$B231&lt;&gt;$B216,$B232&lt;&gt;$B217,$B233&lt;&gt;$B218,$B234&lt;&gt;$B219,$B235&lt;&gt;$B220,$B236&lt;&gt;$B221,$B237&lt;&gt;$B222,$B238&lt;&gt;$B223),IF($B230&lt;&gt;$B215,E215/INDEX($C213:$AJ223,3,MATCH(IF('Data-solution'!$A$3="Maximize",MAX($C224:$AI224),MIN($C224:$AI224)),$C224:$AI224,0)),E215-INDEX($C213:$AJ223,3,MATCH(IF('Data-solution'!$A$3="Maximize",MAX($C224:$AI224),MIN($C224:$AI224)),$C224:$AI224,0))*INDEX(E213:$AJ223,MATCH(MIN($AK213:$AK223),$AK213:$AK223,0),1)/INDEX($C213:$AJ223,MATCH(MIN($AK213:$AK223),$AK213:$AK223,0),MATCH(IF('Data-solution'!$A$3="Maximize",MAX($C224:$AI224),MIN($C224:$AI224)),$C224:$AI224,0))),E215)</f>
        <v>1</v>
      </c>
      <c r="F230" s="1">
        <f>IF(OR($B228&lt;&gt;$B213,$B229&lt;&gt;$B214,$B230&lt;&gt;$B215,$B231&lt;&gt;$B216,$B232&lt;&gt;$B217,$B233&lt;&gt;$B218,$B234&lt;&gt;$B219,$B235&lt;&gt;$B220,$B236&lt;&gt;$B221,$B237&lt;&gt;$B222,$B238&lt;&gt;$B223),IF($B230&lt;&gt;$B215,F215/INDEX($C213:$AJ223,3,MATCH(IF('Data-solution'!$A$3="Maximize",MAX($C224:$AI224),MIN($C224:$AI224)),$C224:$AI224,0)),F215-INDEX($C213:$AJ223,3,MATCH(IF('Data-solution'!$A$3="Maximize",MAX($C224:$AI224),MIN($C224:$AI224)),$C224:$AI224,0))*INDEX(F213:$AJ223,MATCH(MIN($AK213:$AK223),$AK213:$AK223,0),1)/INDEX($C213:$AJ223,MATCH(MIN($AK213:$AK223),$AK213:$AK223,0),MATCH(IF('Data-solution'!$A$3="Maximize",MAX($C224:$AI224),MIN($C224:$AI224)),$C224:$AI224,0))),F215)</f>
        <v>0</v>
      </c>
      <c r="G230" s="1">
        <f>IF(OR($B228&lt;&gt;$B213,$B229&lt;&gt;$B214,$B230&lt;&gt;$B215,$B231&lt;&gt;$B216,$B232&lt;&gt;$B217,$B233&lt;&gt;$B218,$B234&lt;&gt;$B219,$B235&lt;&gt;$B220,$B236&lt;&gt;$B221,$B237&lt;&gt;$B222,$B238&lt;&gt;$B223),IF($B230&lt;&gt;$B215,G215/INDEX($C213:$AJ223,3,MATCH(IF('Data-solution'!$A$3="Maximize",MAX($C224:$AI224),MIN($C224:$AI224)),$C224:$AI224,0)),G215-INDEX($C213:$AJ223,3,MATCH(IF('Data-solution'!$A$3="Maximize",MAX($C224:$AI224),MIN($C224:$AI224)),$C224:$AI224,0))*INDEX(G213:$AJ223,MATCH(MIN($AK213:$AK223),$AK213:$AK223,0),1)/INDEX($C213:$AJ223,MATCH(MIN($AK213:$AK223),$AK213:$AK223,0),MATCH(IF('Data-solution'!$A$3="Maximize",MAX($C224:$AI224),MIN($C224:$AI224)),$C224:$AI224,0))),G215)</f>
        <v>0</v>
      </c>
      <c r="H230" s="1">
        <f>IF(OR($B228&lt;&gt;$B213,$B229&lt;&gt;$B214,$B230&lt;&gt;$B215,$B231&lt;&gt;$B216,$B232&lt;&gt;$B217,$B233&lt;&gt;$B218,$B234&lt;&gt;$B219,$B235&lt;&gt;$B220,$B236&lt;&gt;$B221,$B237&lt;&gt;$B222,$B238&lt;&gt;$B223),IF($B230&lt;&gt;$B215,H215/INDEX($C213:$AJ223,3,MATCH(IF('Data-solution'!$A$3="Maximize",MAX($C224:$AI224),MIN($C224:$AI224)),$C224:$AI224,0)),H215-INDEX($C213:$AJ223,3,MATCH(IF('Data-solution'!$A$3="Maximize",MAX($C224:$AI224),MIN($C224:$AI224)),$C224:$AI224,0))*INDEX(H213:$AJ223,MATCH(MIN($AK213:$AK223),$AK213:$AK223,0),1)/INDEX($C213:$AJ223,MATCH(MIN($AK213:$AK223),$AK213:$AK223,0),MATCH(IF('Data-solution'!$A$3="Maximize",MAX($C224:$AI224),MIN($C224:$AI224)),$C224:$AI224,0))),H215)</f>
        <v>0</v>
      </c>
      <c r="I230" s="1">
        <f>IF(OR($B228&lt;&gt;$B213,$B229&lt;&gt;$B214,$B230&lt;&gt;$B215,$B231&lt;&gt;$B216,$B232&lt;&gt;$B217,$B233&lt;&gt;$B218,$B234&lt;&gt;$B219,$B235&lt;&gt;$B220,$B236&lt;&gt;$B221,$B237&lt;&gt;$B222,$B238&lt;&gt;$B223),IF($B230&lt;&gt;$B215,I215/INDEX($C213:$AJ223,3,MATCH(IF('Data-solution'!$A$3="Maximize",MAX($C224:$AI224),MIN($C224:$AI224)),$C224:$AI224,0)),I215-INDEX($C213:$AJ223,3,MATCH(IF('Data-solution'!$A$3="Maximize",MAX($C224:$AI224),MIN($C224:$AI224)),$C224:$AI224,0))*INDEX(I213:$AJ223,MATCH(MIN($AK213:$AK223),$AK213:$AK223,0),1)/INDEX($C213:$AJ223,MATCH(MIN($AK213:$AK223),$AK213:$AK223,0),MATCH(IF('Data-solution'!$A$3="Maximize",MAX($C224:$AI224),MIN($C224:$AI224)),$C224:$AI224,0))),I215)</f>
        <v>0</v>
      </c>
      <c r="J230" s="1">
        <f>IF(OR($B228&lt;&gt;$B213,$B229&lt;&gt;$B214,$B230&lt;&gt;$B215,$B231&lt;&gt;$B216,$B232&lt;&gt;$B217,$B233&lt;&gt;$B218,$B234&lt;&gt;$B219,$B235&lt;&gt;$B220,$B236&lt;&gt;$B221,$B237&lt;&gt;$B222,$B238&lt;&gt;$B223),IF($B230&lt;&gt;$B215,J215/INDEX($C213:$AJ223,3,MATCH(IF('Data-solution'!$A$3="Maximize",MAX($C224:$AI224),MIN($C224:$AI224)),$C224:$AI224,0)),J215-INDEX($C213:$AJ223,3,MATCH(IF('Data-solution'!$A$3="Maximize",MAX($C224:$AI224),MIN($C224:$AI224)),$C224:$AI224,0))*INDEX(J213:$AJ223,MATCH(MIN($AK213:$AK223),$AK213:$AK223,0),1)/INDEX($C213:$AJ223,MATCH(MIN($AK213:$AK223),$AK213:$AK223,0),MATCH(IF('Data-solution'!$A$3="Maximize",MAX($C224:$AI224),MIN($C224:$AI224)),$C224:$AI224,0))),J215)</f>
        <v>0</v>
      </c>
      <c r="K230" s="1">
        <f>IF(OR($B228&lt;&gt;$B213,$B229&lt;&gt;$B214,$B230&lt;&gt;$B215,$B231&lt;&gt;$B216,$B232&lt;&gt;$B217,$B233&lt;&gt;$B218,$B234&lt;&gt;$B219,$B235&lt;&gt;$B220,$B236&lt;&gt;$B221,$B237&lt;&gt;$B222,$B238&lt;&gt;$B223),IF($B230&lt;&gt;$B215,K215/INDEX($C213:$AJ223,3,MATCH(IF('Data-solution'!$A$3="Maximize",MAX($C224:$AI224),MIN($C224:$AI224)),$C224:$AI224,0)),K215-INDEX($C213:$AJ223,3,MATCH(IF('Data-solution'!$A$3="Maximize",MAX($C224:$AI224),MIN($C224:$AI224)),$C224:$AI224,0))*INDEX(K213:$AJ223,MATCH(MIN($AK213:$AK223),$AK213:$AK223,0),1)/INDEX($C213:$AJ223,MATCH(MIN($AK213:$AK223),$AK213:$AK223,0),MATCH(IF('Data-solution'!$A$3="Maximize",MAX($C224:$AI224),MIN($C224:$AI224)),$C224:$AI224,0))),K215)</f>
        <v>0</v>
      </c>
      <c r="L230" s="1">
        <f>IF(OR($B228&lt;&gt;$B213,$B229&lt;&gt;$B214,$B230&lt;&gt;$B215,$B231&lt;&gt;$B216,$B232&lt;&gt;$B217,$B233&lt;&gt;$B218,$B234&lt;&gt;$B219,$B235&lt;&gt;$B220,$B236&lt;&gt;$B221,$B237&lt;&gt;$B222,$B238&lt;&gt;$B223),IF($B230&lt;&gt;$B215,L215/INDEX($C213:$AJ223,3,MATCH(IF('Data-solution'!$A$3="Maximize",MAX($C224:$AI224),MIN($C224:$AI224)),$C224:$AI224,0)),L215-INDEX($C213:$AJ223,3,MATCH(IF('Data-solution'!$A$3="Maximize",MAX($C224:$AI224),MIN($C224:$AI224)),$C224:$AI224,0))*INDEX(L213:$AJ223,MATCH(MIN($AK213:$AK223),$AK213:$AK223,0),1)/INDEX($C213:$AJ223,MATCH(MIN($AK213:$AK223),$AK213:$AK223,0),MATCH(IF('Data-solution'!$A$3="Maximize",MAX($C224:$AI224),MIN($C224:$AI224)),$C224:$AI224,0))),L215)</f>
        <v>0</v>
      </c>
      <c r="M230" s="1">
        <f>IF(OR($B228&lt;&gt;$B213,$B229&lt;&gt;$B214,$B230&lt;&gt;$B215,$B231&lt;&gt;$B216,$B232&lt;&gt;$B217,$B233&lt;&gt;$B218,$B234&lt;&gt;$B219,$B235&lt;&gt;$B220,$B236&lt;&gt;$B221,$B237&lt;&gt;$B222,$B238&lt;&gt;$B223),IF($B230&lt;&gt;$B215,M215/INDEX($C213:$AJ223,3,MATCH(IF('Data-solution'!$A$3="Maximize",MAX($C224:$AI224),MIN($C224:$AI224)),$C224:$AI224,0)),M215-INDEX($C213:$AJ223,3,MATCH(IF('Data-solution'!$A$3="Maximize",MAX($C224:$AI224),MIN($C224:$AI224)),$C224:$AI224,0))*INDEX(M213:$AJ223,MATCH(MIN($AK213:$AK223),$AK213:$AK223,0),1)/INDEX($C213:$AJ223,MATCH(MIN($AK213:$AK223),$AK213:$AK223,0),MATCH(IF('Data-solution'!$A$3="Maximize",MAX($C224:$AI224),MIN($C224:$AI224)),$C224:$AI224,0))),M215)</f>
        <v>0</v>
      </c>
      <c r="N230" s="1">
        <f>IF(OR($B228&lt;&gt;$B213,$B229&lt;&gt;$B214,$B230&lt;&gt;$B215,$B231&lt;&gt;$B216,$B232&lt;&gt;$B217,$B233&lt;&gt;$B218,$B234&lt;&gt;$B219,$B235&lt;&gt;$B220,$B236&lt;&gt;$B221,$B237&lt;&gt;$B222,$B238&lt;&gt;$B223),IF($B230&lt;&gt;$B215,N215/INDEX($C213:$AJ223,3,MATCH(IF('Data-solution'!$A$3="Maximize",MAX($C224:$AI224),MIN($C224:$AI224)),$C224:$AI224,0)),N215-INDEX($C213:$AJ223,3,MATCH(IF('Data-solution'!$A$3="Maximize",MAX($C224:$AI224),MIN($C224:$AI224)),$C224:$AI224,0))*INDEX(N213:$AJ223,MATCH(MIN($AK213:$AK223),$AK213:$AK223,0),1)/INDEX($C213:$AJ223,MATCH(MIN($AK213:$AK223),$AK213:$AK223,0),MATCH(IF('Data-solution'!$A$3="Maximize",MAX($C224:$AI224),MIN($C224:$AI224)),$C224:$AI224,0))),N215)</f>
        <v>0</v>
      </c>
      <c r="O230" s="1">
        <f>IF(OR($B228&lt;&gt;$B213,$B229&lt;&gt;$B214,$B230&lt;&gt;$B215,$B231&lt;&gt;$B216,$B232&lt;&gt;$B217,$B233&lt;&gt;$B218,$B234&lt;&gt;$B219,$B235&lt;&gt;$B220,$B236&lt;&gt;$B221,$B237&lt;&gt;$B222,$B238&lt;&gt;$B223),IF($B230&lt;&gt;$B215,O215/INDEX($C213:$AJ223,3,MATCH(IF('Data-solution'!$A$3="Maximize",MAX($C224:$AI224),MIN($C224:$AI224)),$C224:$AI224,0)),O215-INDEX($C213:$AJ223,3,MATCH(IF('Data-solution'!$A$3="Maximize",MAX($C224:$AI224),MIN($C224:$AI224)),$C224:$AI224,0))*INDEX(O213:$AJ223,MATCH(MIN($AK213:$AK223),$AK213:$AK223,0),1)/INDEX($C213:$AJ223,MATCH(MIN($AK213:$AK223),$AK213:$AK223,0),MATCH(IF('Data-solution'!$A$3="Maximize",MAX($C224:$AI224),MIN($C224:$AI224)),$C224:$AI224,0))),O215)</f>
        <v>0</v>
      </c>
      <c r="P230" s="1">
        <f>IF(OR($B228&lt;&gt;$B213,$B229&lt;&gt;$B214,$B230&lt;&gt;$B215,$B231&lt;&gt;$B216,$B232&lt;&gt;$B217,$B233&lt;&gt;$B218,$B234&lt;&gt;$B219,$B235&lt;&gt;$B220,$B236&lt;&gt;$B221,$B237&lt;&gt;$B222,$B238&lt;&gt;$B223),IF($B230&lt;&gt;$B215,P215/INDEX($C213:$AJ223,3,MATCH(IF('Data-solution'!$A$3="Maximize",MAX($C224:$AI224),MIN($C224:$AI224)),$C224:$AI224,0)),P215-INDEX($C213:$AJ223,3,MATCH(IF('Data-solution'!$A$3="Maximize",MAX($C224:$AI224),MIN($C224:$AI224)),$C224:$AI224,0))*INDEX(P213:$AJ223,MATCH(MIN($AK213:$AK223),$AK213:$AK223,0),1)/INDEX($C213:$AJ223,MATCH(MIN($AK213:$AK223),$AK213:$AK223,0),MATCH(IF('Data-solution'!$A$3="Maximize",MAX($C224:$AI224),MIN($C224:$AI224)),$C224:$AI224,0))),P215)</f>
        <v>0.24999999999999997</v>
      </c>
      <c r="Q230" s="1">
        <f>IF(OR($B228&lt;&gt;$B213,$B229&lt;&gt;$B214,$B230&lt;&gt;$B215,$B231&lt;&gt;$B216,$B232&lt;&gt;$B217,$B233&lt;&gt;$B218,$B234&lt;&gt;$B219,$B235&lt;&gt;$B220,$B236&lt;&gt;$B221,$B237&lt;&gt;$B222,$B238&lt;&gt;$B223),IF($B230&lt;&gt;$B215,Q215/INDEX($C213:$AJ223,3,MATCH(IF('Data-solution'!$A$3="Maximize",MAX($C224:$AI224),MIN($C224:$AI224)),$C224:$AI224,0)),Q215-INDEX($C213:$AJ223,3,MATCH(IF('Data-solution'!$A$3="Maximize",MAX($C224:$AI224),MIN($C224:$AI224)),$C224:$AI224,0))*INDEX(Q213:$AJ223,MATCH(MIN($AK213:$AK223),$AK213:$AK223,0),1)/INDEX($C213:$AJ223,MATCH(MIN($AK213:$AK223),$AK213:$AK223,0),MATCH(IF('Data-solution'!$A$3="Maximize",MAX($C224:$AI224),MIN($C224:$AI224)),$C224:$AI224,0))),Q215)</f>
        <v>-0.49999999999999989</v>
      </c>
      <c r="R230" s="1">
        <f>IF(OR($B228&lt;&gt;$B213,$B229&lt;&gt;$B214,$B230&lt;&gt;$B215,$B231&lt;&gt;$B216,$B232&lt;&gt;$B217,$B233&lt;&gt;$B218,$B234&lt;&gt;$B219,$B235&lt;&gt;$B220,$B236&lt;&gt;$B221,$B237&lt;&gt;$B222,$B238&lt;&gt;$B223),IF($B230&lt;&gt;$B215,R215/INDEX($C213:$AJ223,3,MATCH(IF('Data-solution'!$A$3="Maximize",MAX($C224:$AI224),MIN($C224:$AI224)),$C224:$AI224,0)),R215-INDEX($C213:$AJ223,3,MATCH(IF('Data-solution'!$A$3="Maximize",MAX($C224:$AI224),MIN($C224:$AI224)),$C224:$AI224,0))*INDEX(R213:$AJ223,MATCH(MIN($AK213:$AK223),$AK213:$AK223,0),1)/INDEX($C213:$AJ223,MATCH(MIN($AK213:$AK223),$AK213:$AK223,0),MATCH(IF('Data-solution'!$A$3="Maximize",MAX($C224:$AI224),MIN($C224:$AI224)),$C224:$AI224,0))),R215)</f>
        <v>0</v>
      </c>
      <c r="S230" s="1">
        <f>IF(OR($B228&lt;&gt;$B213,$B229&lt;&gt;$B214,$B230&lt;&gt;$B215,$B231&lt;&gt;$B216,$B232&lt;&gt;$B217,$B233&lt;&gt;$B218,$B234&lt;&gt;$B219,$B235&lt;&gt;$B220,$B236&lt;&gt;$B221,$B237&lt;&gt;$B222,$B238&lt;&gt;$B223),IF($B230&lt;&gt;$B215,S215/INDEX($C213:$AJ223,3,MATCH(IF('Data-solution'!$A$3="Maximize",MAX($C224:$AI224),MIN($C224:$AI224)),$C224:$AI224,0)),S215-INDEX($C213:$AJ223,3,MATCH(IF('Data-solution'!$A$3="Maximize",MAX($C224:$AI224),MIN($C224:$AI224)),$C224:$AI224,0))*INDEX(S213:$AJ223,MATCH(MIN($AK213:$AK223),$AK213:$AK223,0),1)/INDEX($C213:$AJ223,MATCH(MIN($AK213:$AK223),$AK213:$AK223,0),MATCH(IF('Data-solution'!$A$3="Maximize",MAX($C224:$AI224),MIN($C224:$AI224)),$C224:$AI224,0))),S215)</f>
        <v>0</v>
      </c>
      <c r="T230" s="1">
        <f>IF(OR($B228&lt;&gt;$B213,$B229&lt;&gt;$B214,$B230&lt;&gt;$B215,$B231&lt;&gt;$B216,$B232&lt;&gt;$B217,$B233&lt;&gt;$B218,$B234&lt;&gt;$B219,$B235&lt;&gt;$B220,$B236&lt;&gt;$B221,$B237&lt;&gt;$B222,$B238&lt;&gt;$B223),IF($B230&lt;&gt;$B215,T215/INDEX($C213:$AJ223,3,MATCH(IF('Data-solution'!$A$3="Maximize",MAX($C224:$AI224),MIN($C224:$AI224)),$C224:$AI224,0)),T215-INDEX($C213:$AJ223,3,MATCH(IF('Data-solution'!$A$3="Maximize",MAX($C224:$AI224),MIN($C224:$AI224)),$C224:$AI224,0))*INDEX(T213:$AJ223,MATCH(MIN($AK213:$AK223),$AK213:$AK223,0),1)/INDEX($C213:$AJ223,MATCH(MIN($AK213:$AK223),$AK213:$AK223,0),MATCH(IF('Data-solution'!$A$3="Maximize",MAX($C224:$AI224),MIN($C224:$AI224)),$C224:$AI224,0))),T215)</f>
        <v>0</v>
      </c>
      <c r="U230" s="1">
        <f>IF(OR($B228&lt;&gt;$B213,$B229&lt;&gt;$B214,$B230&lt;&gt;$B215,$B231&lt;&gt;$B216,$B232&lt;&gt;$B217,$B233&lt;&gt;$B218,$B234&lt;&gt;$B219,$B235&lt;&gt;$B220,$B236&lt;&gt;$B221,$B237&lt;&gt;$B222,$B238&lt;&gt;$B223),IF($B230&lt;&gt;$B215,U215/INDEX($C213:$AJ223,3,MATCH(IF('Data-solution'!$A$3="Maximize",MAX($C224:$AI224),MIN($C224:$AI224)),$C224:$AI224,0)),U215-INDEX($C213:$AJ223,3,MATCH(IF('Data-solution'!$A$3="Maximize",MAX($C224:$AI224),MIN($C224:$AI224)),$C224:$AI224,0))*INDEX(U213:$AJ223,MATCH(MIN($AK213:$AK223),$AK213:$AK223,0),1)/INDEX($C213:$AJ223,MATCH(MIN($AK213:$AK223),$AK213:$AK223,0),MATCH(IF('Data-solution'!$A$3="Maximize",MAX($C224:$AI224),MIN($C224:$AI224)),$C224:$AI224,0))),U215)</f>
        <v>0</v>
      </c>
      <c r="V230" s="1">
        <f>IF(OR($B228&lt;&gt;$B213,$B229&lt;&gt;$B214,$B230&lt;&gt;$B215,$B231&lt;&gt;$B216,$B232&lt;&gt;$B217,$B233&lt;&gt;$B218,$B234&lt;&gt;$B219,$B235&lt;&gt;$B220,$B236&lt;&gt;$B221,$B237&lt;&gt;$B222,$B238&lt;&gt;$B223),IF($B230&lt;&gt;$B215,V215/INDEX($C213:$AJ223,3,MATCH(IF('Data-solution'!$A$3="Maximize",MAX($C224:$AI224),MIN($C224:$AI224)),$C224:$AI224,0)),V215-INDEX($C213:$AJ223,3,MATCH(IF('Data-solution'!$A$3="Maximize",MAX($C224:$AI224),MIN($C224:$AI224)),$C224:$AI224,0))*INDEX(V213:$AJ223,MATCH(MIN($AK213:$AK223),$AK213:$AK223,0),1)/INDEX($C213:$AJ223,MATCH(MIN($AK213:$AK223),$AK213:$AK223,0),MATCH(IF('Data-solution'!$A$3="Maximize",MAX($C224:$AI224),MIN($C224:$AI224)),$C224:$AI224,0))),V215)</f>
        <v>0</v>
      </c>
      <c r="W230" s="1">
        <f>IF(OR($B228&lt;&gt;$B213,$B229&lt;&gt;$B214,$B230&lt;&gt;$B215,$B231&lt;&gt;$B216,$B232&lt;&gt;$B217,$B233&lt;&gt;$B218,$B234&lt;&gt;$B219,$B235&lt;&gt;$B220,$B236&lt;&gt;$B221,$B237&lt;&gt;$B222,$B238&lt;&gt;$B223),IF($B230&lt;&gt;$B215,W215/INDEX($C213:$AJ223,3,MATCH(IF('Data-solution'!$A$3="Maximize",MAX($C224:$AI224),MIN($C224:$AI224)),$C224:$AI224,0)),W215-INDEX($C213:$AJ223,3,MATCH(IF('Data-solution'!$A$3="Maximize",MAX($C224:$AI224),MIN($C224:$AI224)),$C224:$AI224,0))*INDEX(W213:$AJ223,MATCH(MIN($AK213:$AK223),$AK213:$AK223,0),1)/INDEX($C213:$AJ223,MATCH(MIN($AK213:$AK223),$AK213:$AK223,0),MATCH(IF('Data-solution'!$A$3="Maximize",MAX($C224:$AI224),MIN($C224:$AI224)),$C224:$AI224,0))),W215)</f>
        <v>0</v>
      </c>
      <c r="X230" s="1">
        <f>IF(OR($B228&lt;&gt;$B213,$B229&lt;&gt;$B214,$B230&lt;&gt;$B215,$B231&lt;&gt;$B216,$B232&lt;&gt;$B217,$B233&lt;&gt;$B218,$B234&lt;&gt;$B219,$B235&lt;&gt;$B220,$B236&lt;&gt;$B221,$B237&lt;&gt;$B222,$B238&lt;&gt;$B223),IF($B230&lt;&gt;$B215,X215/INDEX($C213:$AJ223,3,MATCH(IF('Data-solution'!$A$3="Maximize",MAX($C224:$AI224),MIN($C224:$AI224)),$C224:$AI224,0)),X215-INDEX($C213:$AJ223,3,MATCH(IF('Data-solution'!$A$3="Maximize",MAX($C224:$AI224),MIN($C224:$AI224)),$C224:$AI224,0))*INDEX(X213:$AJ223,MATCH(MIN($AK213:$AK223),$AK213:$AK223,0),1)/INDEX($C213:$AJ223,MATCH(MIN($AK213:$AK223),$AK213:$AK223,0),MATCH(IF('Data-solution'!$A$3="Maximize",MAX($C224:$AI224),MIN($C224:$AI224)),$C224:$AI224,0))),X215)</f>
        <v>0</v>
      </c>
      <c r="Y230" s="1">
        <f>IF(OR($B228&lt;&gt;$B213,$B229&lt;&gt;$B214,$B230&lt;&gt;$B215,$B231&lt;&gt;$B216,$B232&lt;&gt;$B217,$B233&lt;&gt;$B218,$B234&lt;&gt;$B219,$B235&lt;&gt;$B220,$B236&lt;&gt;$B221,$B237&lt;&gt;$B222,$B238&lt;&gt;$B223),IF($B230&lt;&gt;$B215,Y215/INDEX($C213:$AJ223,3,MATCH(IF('Data-solution'!$A$3="Maximize",MAX($C224:$AI224),MIN($C224:$AI224)),$C224:$AI224,0)),Y215-INDEX($C213:$AJ223,3,MATCH(IF('Data-solution'!$A$3="Maximize",MAX($C224:$AI224),MIN($C224:$AI224)),$C224:$AI224,0))*INDEX(Y213:$AJ223,MATCH(MIN($AK213:$AK223),$AK213:$AK223,0),1)/INDEX($C213:$AJ223,MATCH(MIN($AK213:$AK223),$AK213:$AK223,0),MATCH(IF('Data-solution'!$A$3="Maximize",MAX($C224:$AI224),MIN($C224:$AI224)),$C224:$AI224,0))),Y215)</f>
        <v>0</v>
      </c>
      <c r="Z230" s="1">
        <f>IF(OR($B228&lt;&gt;$B213,$B229&lt;&gt;$B214,$B230&lt;&gt;$B215,$B231&lt;&gt;$B216,$B232&lt;&gt;$B217,$B233&lt;&gt;$B218,$B234&lt;&gt;$B219,$B235&lt;&gt;$B220,$B236&lt;&gt;$B221,$B237&lt;&gt;$B222,$B238&lt;&gt;$B223),IF($B230&lt;&gt;$B215,Z215/INDEX($C213:$AJ223,3,MATCH(IF('Data-solution'!$A$3="Maximize",MAX($C224:$AI224),MIN($C224:$AI224)),$C224:$AI224,0)),Z215-INDEX($C213:$AJ223,3,MATCH(IF('Data-solution'!$A$3="Maximize",MAX($C224:$AI224),MIN($C224:$AI224)),$C224:$AI224,0))*INDEX(Z213:$AJ223,MATCH(MIN($AK213:$AK223),$AK213:$AK223,0),1)/INDEX($C213:$AJ223,MATCH(MIN($AK213:$AK223),$AK213:$AK223,0),MATCH(IF('Data-solution'!$A$3="Maximize",MAX($C224:$AI224),MIN($C224:$AI224)),$C224:$AI224,0))),Z215)</f>
        <v>0</v>
      </c>
      <c r="AA230" s="1">
        <f>IF(OR($B228&lt;&gt;$B213,$B229&lt;&gt;$B214,$B230&lt;&gt;$B215,$B231&lt;&gt;$B216,$B232&lt;&gt;$B217,$B233&lt;&gt;$B218,$B234&lt;&gt;$B219,$B235&lt;&gt;$B220,$B236&lt;&gt;$B221,$B237&lt;&gt;$B222,$B238&lt;&gt;$B223),IF($B230&lt;&gt;$B215,AA215/INDEX($C213:$AJ223,3,MATCH(IF('Data-solution'!$A$3="Maximize",MAX($C224:$AI224),MIN($C224:$AI224)),$C224:$AI224,0)),AA215-INDEX($C213:$AJ223,3,MATCH(IF('Data-solution'!$A$3="Maximize",MAX($C224:$AI224),MIN($C224:$AI224)),$C224:$AI224,0))*INDEX(AA213:$AJ223,MATCH(MIN($AK213:$AK223),$AK213:$AK223,0),1)/INDEX($C213:$AJ223,MATCH(MIN($AK213:$AK223),$AK213:$AK223,0),MATCH(IF('Data-solution'!$A$3="Maximize",MAX($C224:$AI224),MIN($C224:$AI224)),$C224:$AI224,0))),AA215)</f>
        <v>0.24999999999999997</v>
      </c>
      <c r="AB230" s="1">
        <f>IF(OR($B228&lt;&gt;$B213,$B229&lt;&gt;$B214,$B230&lt;&gt;$B215,$B231&lt;&gt;$B216,$B232&lt;&gt;$B217,$B233&lt;&gt;$B218,$B234&lt;&gt;$B219,$B235&lt;&gt;$B220,$B236&lt;&gt;$B221,$B237&lt;&gt;$B222,$B238&lt;&gt;$B223),IF($B230&lt;&gt;$B215,AB215/INDEX($C213:$AJ223,3,MATCH(IF('Data-solution'!$A$3="Maximize",MAX($C224:$AI224),MIN($C224:$AI224)),$C224:$AI224,0)),AB215-INDEX($C213:$AJ223,3,MATCH(IF('Data-solution'!$A$3="Maximize",MAX($C224:$AI224),MIN($C224:$AI224)),$C224:$AI224,0))*INDEX(AB213:$AJ223,MATCH(MIN($AK213:$AK223),$AK213:$AK223,0),1)/INDEX($C213:$AJ223,MATCH(MIN($AK213:$AK223),$AK213:$AK223,0),MATCH(IF('Data-solution'!$A$3="Maximize",MAX($C224:$AI224),MIN($C224:$AI224)),$C224:$AI224,0))),AB215)</f>
        <v>-0.49999999999999989</v>
      </c>
      <c r="AC230" s="1">
        <f>IF(OR($B228&lt;&gt;$B213,$B229&lt;&gt;$B214,$B230&lt;&gt;$B215,$B231&lt;&gt;$B216,$B232&lt;&gt;$B217,$B233&lt;&gt;$B218,$B234&lt;&gt;$B219,$B235&lt;&gt;$B220,$B236&lt;&gt;$B221,$B237&lt;&gt;$B222,$B238&lt;&gt;$B223),IF($B230&lt;&gt;$B215,AC215/INDEX($C213:$AJ223,3,MATCH(IF('Data-solution'!$A$3="Maximize",MAX($C224:$AI224),MIN($C224:$AI224)),$C224:$AI224,0)),AC215-INDEX($C213:$AJ223,3,MATCH(IF('Data-solution'!$A$3="Maximize",MAX($C224:$AI224),MIN($C224:$AI224)),$C224:$AI224,0))*INDEX(AC213:$AJ223,MATCH(MIN($AK213:$AK223),$AK213:$AK223,0),1)/INDEX($C213:$AJ223,MATCH(MIN($AK213:$AK223),$AK213:$AK223,0),MATCH(IF('Data-solution'!$A$3="Maximize",MAX($C224:$AI224),MIN($C224:$AI224)),$C224:$AI224,0))),AC215)</f>
        <v>0</v>
      </c>
      <c r="AD230" s="1">
        <f>IF(OR($B228&lt;&gt;$B213,$B229&lt;&gt;$B214,$B230&lt;&gt;$B215,$B231&lt;&gt;$B216,$B232&lt;&gt;$B217,$B233&lt;&gt;$B218,$B234&lt;&gt;$B219,$B235&lt;&gt;$B220,$B236&lt;&gt;$B221,$B237&lt;&gt;$B222,$B238&lt;&gt;$B223),IF($B230&lt;&gt;$B215,AD215/INDEX($C213:$AJ223,3,MATCH(IF('Data-solution'!$A$3="Maximize",MAX($C224:$AI224),MIN($C224:$AI224)),$C224:$AI224,0)),AD215-INDEX($C213:$AJ223,3,MATCH(IF('Data-solution'!$A$3="Maximize",MAX($C224:$AI224),MIN($C224:$AI224)),$C224:$AI224,0))*INDEX(AD213:$AJ223,MATCH(MIN($AK213:$AK223),$AK213:$AK223,0),1)/INDEX($C213:$AJ223,MATCH(MIN($AK213:$AK223),$AK213:$AK223,0),MATCH(IF('Data-solution'!$A$3="Maximize",MAX($C224:$AI224),MIN($C224:$AI224)),$C224:$AI224,0))),AD215)</f>
        <v>0</v>
      </c>
      <c r="AE230" s="1">
        <f>IF(OR($B228&lt;&gt;$B213,$B229&lt;&gt;$B214,$B230&lt;&gt;$B215,$B231&lt;&gt;$B216,$B232&lt;&gt;$B217,$B233&lt;&gt;$B218,$B234&lt;&gt;$B219,$B235&lt;&gt;$B220,$B236&lt;&gt;$B221,$B237&lt;&gt;$B222,$B238&lt;&gt;$B223),IF($B230&lt;&gt;$B215,AE215/INDEX($C213:$AJ223,3,MATCH(IF('Data-solution'!$A$3="Maximize",MAX($C224:$AI224),MIN($C224:$AI224)),$C224:$AI224,0)),AE215-INDEX($C213:$AJ223,3,MATCH(IF('Data-solution'!$A$3="Maximize",MAX($C224:$AI224),MIN($C224:$AI224)),$C224:$AI224,0))*INDEX(AE213:$AJ223,MATCH(MIN($AK213:$AK223),$AK213:$AK223,0),1)/INDEX($C213:$AJ223,MATCH(MIN($AK213:$AK223),$AK213:$AK223,0),MATCH(IF('Data-solution'!$A$3="Maximize",MAX($C224:$AI224),MIN($C224:$AI224)),$C224:$AI224,0))),AE215)</f>
        <v>0</v>
      </c>
      <c r="AF230" s="1">
        <f>IF(OR($B228&lt;&gt;$B213,$B229&lt;&gt;$B214,$B230&lt;&gt;$B215,$B231&lt;&gt;$B216,$B232&lt;&gt;$B217,$B233&lt;&gt;$B218,$B234&lt;&gt;$B219,$B235&lt;&gt;$B220,$B236&lt;&gt;$B221,$B237&lt;&gt;$B222,$B238&lt;&gt;$B223),IF($B230&lt;&gt;$B215,AF215/INDEX($C213:$AJ223,3,MATCH(IF('Data-solution'!$A$3="Maximize",MAX($C224:$AI224),MIN($C224:$AI224)),$C224:$AI224,0)),AF215-INDEX($C213:$AJ223,3,MATCH(IF('Data-solution'!$A$3="Maximize",MAX($C224:$AI224),MIN($C224:$AI224)),$C224:$AI224,0))*INDEX(AF213:$AJ223,MATCH(MIN($AK213:$AK223),$AK213:$AK223,0),1)/INDEX($C213:$AJ223,MATCH(MIN($AK213:$AK223),$AK213:$AK223,0),MATCH(IF('Data-solution'!$A$3="Maximize",MAX($C224:$AI224),MIN($C224:$AI224)),$C224:$AI224,0))),AF215)</f>
        <v>0</v>
      </c>
      <c r="AG230" s="1">
        <f>IF(OR($B228&lt;&gt;$B213,$B229&lt;&gt;$B214,$B230&lt;&gt;$B215,$B231&lt;&gt;$B216,$B232&lt;&gt;$B217,$B233&lt;&gt;$B218,$B234&lt;&gt;$B219,$B235&lt;&gt;$B220,$B236&lt;&gt;$B221,$B237&lt;&gt;$B222,$B238&lt;&gt;$B223),IF($B230&lt;&gt;$B215,AG215/INDEX($C213:$AJ223,3,MATCH(IF('Data-solution'!$A$3="Maximize",MAX($C224:$AI224),MIN($C224:$AI224)),$C224:$AI224,0)),AG215-INDEX($C213:$AJ223,3,MATCH(IF('Data-solution'!$A$3="Maximize",MAX($C224:$AI224),MIN($C224:$AI224)),$C224:$AI224,0))*INDEX(AG213:$AJ223,MATCH(MIN($AK213:$AK223),$AK213:$AK223,0),1)/INDEX($C213:$AJ223,MATCH(MIN($AK213:$AK223),$AK213:$AK223,0),MATCH(IF('Data-solution'!$A$3="Maximize",MAX($C224:$AI224),MIN($C224:$AI224)),$C224:$AI224,0))),AG215)</f>
        <v>0</v>
      </c>
      <c r="AH230" s="1">
        <f>IF(OR($B228&lt;&gt;$B213,$B229&lt;&gt;$B214,$B230&lt;&gt;$B215,$B231&lt;&gt;$B216,$B232&lt;&gt;$B217,$B233&lt;&gt;$B218,$B234&lt;&gt;$B219,$B235&lt;&gt;$B220,$B236&lt;&gt;$B221,$B237&lt;&gt;$B222,$B238&lt;&gt;$B223),IF($B230&lt;&gt;$B215,AH215/INDEX($C213:$AJ223,3,MATCH(IF('Data-solution'!$A$3="Maximize",MAX($C224:$AI224),MIN($C224:$AI224)),$C224:$AI224,0)),AH215-INDEX($C213:$AJ223,3,MATCH(IF('Data-solution'!$A$3="Maximize",MAX($C224:$AI224),MIN($C224:$AI224)),$C224:$AI224,0))*INDEX(AH213:$AJ223,MATCH(MIN($AK213:$AK223),$AK213:$AK223,0),1)/INDEX($C213:$AJ223,MATCH(MIN($AK213:$AK223),$AK213:$AK223,0),MATCH(IF('Data-solution'!$A$3="Maximize",MAX($C224:$AI224),MIN($C224:$AI224)),$C224:$AI224,0))),AH215)</f>
        <v>0</v>
      </c>
      <c r="AI230" s="1">
        <f>IF(OR($B228&lt;&gt;$B213,$B229&lt;&gt;$B214,$B230&lt;&gt;$B215,$B231&lt;&gt;$B216,$B232&lt;&gt;$B217,$B233&lt;&gt;$B218,$B234&lt;&gt;$B219,$B235&lt;&gt;$B220,$B236&lt;&gt;$B221,$B237&lt;&gt;$B222,$B238&lt;&gt;$B223),IF($B230&lt;&gt;$B215,AI215/INDEX($C213:$AJ223,3,MATCH(IF('Data-solution'!$A$3="Maximize",MAX($C224:$AI224),MIN($C224:$AI224)),$C224:$AI224,0)),AI215-INDEX($C213:$AJ223,3,MATCH(IF('Data-solution'!$A$3="Maximize",MAX($C224:$AI224),MIN($C224:$AI224)),$C224:$AI224,0))*INDEX(AI213:$AJ223,MATCH(MIN($AK213:$AK223),$AK213:$AK223,0),1)/INDEX($C213:$AJ223,MATCH(MIN($AK213:$AK223),$AK213:$AK223,0),MATCH(IF('Data-solution'!$A$3="Maximize",MAX($C224:$AI224),MIN($C224:$AI224)),$C224:$AI224,0))),AI215)</f>
        <v>0</v>
      </c>
      <c r="AJ230" s="1">
        <f>IF(OR($B228&lt;&gt;$B213,$B229&lt;&gt;$B214,$B230&lt;&gt;$B215,$B231&lt;&gt;$B216,$B232&lt;&gt;$B217,$B233&lt;&gt;$B218,$B234&lt;&gt;$B219,$B235&lt;&gt;$B220,$B236&lt;&gt;$B221,$B237&lt;&gt;$B222,$B238&lt;&gt;$B223),IF($B230&lt;&gt;$B215,AJ215/INDEX($C213:$AJ223,3,MATCH(IF('Data-solution'!$A$3="Maximize",MAX($C224:$AI224),MIN($C224:$AI224)),$C224:$AI224,0)),AJ215-INDEX($C213:$AJ223,3,MATCH(IF('Data-solution'!$A$3="Maximize",MAX($C224:$AI224),MIN($C224:$AI224)),$C224:$AI224,0))*INDEX(AJ213:$AJ223,MATCH(MIN($AK213:$AK223),$AK213:$AK223,0),1)/INDEX($C213:$AJ223,MATCH(MIN($AK213:$AK223),$AK213:$AK223,0),MATCH(IF('Data-solution'!$A$3="Maximize",MAX($C224:$AI224),MIN($C224:$AI224)),$C224:$AI224,0))),AJ215)</f>
        <v>300</v>
      </c>
      <c r="AK230" s="1" t="str">
        <f>IF(INDEX(C230:X230,1,MATCH(IF('Data-solution'!A$3="Maximize",MAX(C239:X239),MIN(C239:X239)),C239:X239,0))&gt;0,AJ230/INDEX(C230:X230,1,MATCH(IF('Data-solution'!A$3="Maximize",MAX(C239:X239),MIN(C239:X239)),C239:X239,0))," ")</f>
        <v xml:space="preserve"> </v>
      </c>
    </row>
    <row r="231" spans="1:37" ht="18" customHeight="1" x14ac:dyDescent="0.2">
      <c r="A231" s="1">
        <f t="shared" ref="A231" si="201">INDEX(C226:AI226,1,MATCH(B231,C227:AI227,0))</f>
        <v>150</v>
      </c>
      <c r="B231" s="2" t="str">
        <f>IF(AND('Data-solution'!A$3="Maximize",COUNTIF(C224:X224,"&gt;"&amp;0)&gt;0,AK216=MIN(AK213:AK223),COUNTIF(B228:B230,INDEX(C212:X212,1,MATCH(MAX(C224:X224),C224:X224,0)))=0),INDEX(C212:X212,1,MATCH(MAX(C224:X224),C224:X224,0)),IF(AND('Data-solution'!A$3="Minimize",COUNTIF(C224:X224,"&lt;"&amp;0)&gt;0,AK216=MIN(AK213:AK223),COUNTIF(B228:B230,INDEX(C212:X212,1,MATCH(MIN(C224:X224),C224:X224,0)))=0),INDEX(C212:X212,1,MATCH(MIN(C224:X224),C224:X224,0)),B216))</f>
        <v>X1</v>
      </c>
      <c r="C231" s="1">
        <f>IF(OR($B228&lt;&gt;$B213,$B229&lt;&gt;$B214,$B230&lt;&gt;$B215,$B231&lt;&gt;$B216,$B232&lt;&gt;$B217,$B233&lt;&gt;$B218,$B234&lt;&gt;$B219,$B235&lt;&gt;$B220,$B236&lt;&gt;$B221,$B237&lt;&gt;$B222,$B238&lt;&gt;$B223),IF($B231&lt;&gt;$B216,C216/INDEX($C213:$AJ223,4,MATCH(IF('Data-solution'!$A$3="Maximize",MAX($C224:$AI224),MIN($C224:$AI224)),$C224:$AI224,0)),C216-INDEX($C213:$AJ223,4,MATCH(IF('Data-solution'!$A$3="Maximize",MAX($C224:$AI224),MIN($C224:$AI224)),$C224:$AI224,0))*INDEX(C213:$AJ223,MATCH(MIN($AK213:$AK223),$AK213:$AK223,0),1)/INDEX($C213:$AJ223,MATCH(MIN($AK213:$AK223),$AK213:$AK223,0),MATCH(IF('Data-solution'!$A$3="Maximize",MAX($C224:$AI224),MIN($C224:$AI224)),$C224:$AI224,0))),C216)</f>
        <v>1</v>
      </c>
      <c r="D231" s="1">
        <f>IF(OR($B228&lt;&gt;$B213,$B229&lt;&gt;$B214,$B230&lt;&gt;$B215,$B231&lt;&gt;$B216,$B232&lt;&gt;$B217,$B233&lt;&gt;$B218,$B234&lt;&gt;$B219,$B235&lt;&gt;$B220,$B236&lt;&gt;$B221,$B237&lt;&gt;$B222,$B238&lt;&gt;$B223),IF($B231&lt;&gt;$B216,D216/INDEX($C213:$AJ223,4,MATCH(IF('Data-solution'!$A$3="Maximize",MAX($C224:$AI224),MIN($C224:$AI224)),$C224:$AI224,0)),D216-INDEX($C213:$AJ223,4,MATCH(IF('Data-solution'!$A$3="Maximize",MAX($C224:$AI224),MIN($C224:$AI224)),$C224:$AI224,0))*INDEX(D213:$AJ223,MATCH(MIN($AK213:$AK223),$AK213:$AK223,0),1)/INDEX($C213:$AJ223,MATCH(MIN($AK213:$AK223),$AK213:$AK223,0),MATCH(IF('Data-solution'!$A$3="Maximize",MAX($C224:$AI224),MIN($C224:$AI224)),$C224:$AI224,0))),D216)</f>
        <v>-1.25</v>
      </c>
      <c r="E231" s="1">
        <f>IF(OR($B228&lt;&gt;$B213,$B229&lt;&gt;$B214,$B230&lt;&gt;$B215,$B231&lt;&gt;$B216,$B232&lt;&gt;$B217,$B233&lt;&gt;$B218,$B234&lt;&gt;$B219,$B235&lt;&gt;$B220,$B236&lt;&gt;$B221,$B237&lt;&gt;$B222,$B238&lt;&gt;$B223),IF($B231&lt;&gt;$B216,E216/INDEX($C213:$AJ223,4,MATCH(IF('Data-solution'!$A$3="Maximize",MAX($C224:$AI224),MIN($C224:$AI224)),$C224:$AI224,0)),E216-INDEX($C213:$AJ223,4,MATCH(IF('Data-solution'!$A$3="Maximize",MAX($C224:$AI224),MIN($C224:$AI224)),$C224:$AI224,0))*INDEX(E213:$AJ223,MATCH(MIN($AK213:$AK223),$AK213:$AK223,0),1)/INDEX($C213:$AJ223,MATCH(MIN($AK213:$AK223),$AK213:$AK223,0),MATCH(IF('Data-solution'!$A$3="Maximize",MAX($C224:$AI224),MIN($C224:$AI224)),$C224:$AI224,0))),E216)</f>
        <v>0</v>
      </c>
      <c r="F231" s="1">
        <f>IF(OR($B228&lt;&gt;$B213,$B229&lt;&gt;$B214,$B230&lt;&gt;$B215,$B231&lt;&gt;$B216,$B232&lt;&gt;$B217,$B233&lt;&gt;$B218,$B234&lt;&gt;$B219,$B235&lt;&gt;$B220,$B236&lt;&gt;$B221,$B237&lt;&gt;$B222,$B238&lt;&gt;$B223),IF($B231&lt;&gt;$B216,F216/INDEX($C213:$AJ223,4,MATCH(IF('Data-solution'!$A$3="Maximize",MAX($C224:$AI224),MIN($C224:$AI224)),$C224:$AI224,0)),F216-INDEX($C213:$AJ223,4,MATCH(IF('Data-solution'!$A$3="Maximize",MAX($C224:$AI224),MIN($C224:$AI224)),$C224:$AI224,0))*INDEX(F213:$AJ223,MATCH(MIN($AK213:$AK223),$AK213:$AK223,0),1)/INDEX($C213:$AJ223,MATCH(MIN($AK213:$AK223),$AK213:$AK223,0),MATCH(IF('Data-solution'!$A$3="Maximize",MAX($C224:$AI224),MIN($C224:$AI224)),$C224:$AI224,0))),F216)</f>
        <v>0</v>
      </c>
      <c r="G231" s="1">
        <f>IF(OR($B228&lt;&gt;$B213,$B229&lt;&gt;$B214,$B230&lt;&gt;$B215,$B231&lt;&gt;$B216,$B232&lt;&gt;$B217,$B233&lt;&gt;$B218,$B234&lt;&gt;$B219,$B235&lt;&gt;$B220,$B236&lt;&gt;$B221,$B237&lt;&gt;$B222,$B238&lt;&gt;$B223),IF($B231&lt;&gt;$B216,G216/INDEX($C213:$AJ223,4,MATCH(IF('Data-solution'!$A$3="Maximize",MAX($C224:$AI224),MIN($C224:$AI224)),$C224:$AI224,0)),G216-INDEX($C213:$AJ223,4,MATCH(IF('Data-solution'!$A$3="Maximize",MAX($C224:$AI224),MIN($C224:$AI224)),$C224:$AI224,0))*INDEX(G213:$AJ223,MATCH(MIN($AK213:$AK223),$AK213:$AK223,0),1)/INDEX($C213:$AJ223,MATCH(MIN($AK213:$AK223),$AK213:$AK223,0),MATCH(IF('Data-solution'!$A$3="Maximize",MAX($C224:$AI224),MIN($C224:$AI224)),$C224:$AI224,0))),G216)</f>
        <v>0</v>
      </c>
      <c r="H231" s="1">
        <f>IF(OR($B228&lt;&gt;$B213,$B229&lt;&gt;$B214,$B230&lt;&gt;$B215,$B231&lt;&gt;$B216,$B232&lt;&gt;$B217,$B233&lt;&gt;$B218,$B234&lt;&gt;$B219,$B235&lt;&gt;$B220,$B236&lt;&gt;$B221,$B237&lt;&gt;$B222,$B238&lt;&gt;$B223),IF($B231&lt;&gt;$B216,H216/INDEX($C213:$AJ223,4,MATCH(IF('Data-solution'!$A$3="Maximize",MAX($C224:$AI224),MIN($C224:$AI224)),$C224:$AI224,0)),H216-INDEX($C213:$AJ223,4,MATCH(IF('Data-solution'!$A$3="Maximize",MAX($C224:$AI224),MIN($C224:$AI224)),$C224:$AI224,0))*INDEX(H213:$AJ223,MATCH(MIN($AK213:$AK223),$AK213:$AK223,0),1)/INDEX($C213:$AJ223,MATCH(MIN($AK213:$AK223),$AK213:$AK223,0),MATCH(IF('Data-solution'!$A$3="Maximize",MAX($C224:$AI224),MIN($C224:$AI224)),$C224:$AI224,0))),H216)</f>
        <v>0</v>
      </c>
      <c r="I231" s="1">
        <f>IF(OR($B228&lt;&gt;$B213,$B229&lt;&gt;$B214,$B230&lt;&gt;$B215,$B231&lt;&gt;$B216,$B232&lt;&gt;$B217,$B233&lt;&gt;$B218,$B234&lt;&gt;$B219,$B235&lt;&gt;$B220,$B236&lt;&gt;$B221,$B237&lt;&gt;$B222,$B238&lt;&gt;$B223),IF($B231&lt;&gt;$B216,I216/INDEX($C213:$AJ223,4,MATCH(IF('Data-solution'!$A$3="Maximize",MAX($C224:$AI224),MIN($C224:$AI224)),$C224:$AI224,0)),I216-INDEX($C213:$AJ223,4,MATCH(IF('Data-solution'!$A$3="Maximize",MAX($C224:$AI224),MIN($C224:$AI224)),$C224:$AI224,0))*INDEX(I213:$AJ223,MATCH(MIN($AK213:$AK223),$AK213:$AK223,0),1)/INDEX($C213:$AJ223,MATCH(MIN($AK213:$AK223),$AK213:$AK223,0),MATCH(IF('Data-solution'!$A$3="Maximize",MAX($C224:$AI224),MIN($C224:$AI224)),$C224:$AI224,0))),I216)</f>
        <v>0</v>
      </c>
      <c r="J231" s="1">
        <f>IF(OR($B228&lt;&gt;$B213,$B229&lt;&gt;$B214,$B230&lt;&gt;$B215,$B231&lt;&gt;$B216,$B232&lt;&gt;$B217,$B233&lt;&gt;$B218,$B234&lt;&gt;$B219,$B235&lt;&gt;$B220,$B236&lt;&gt;$B221,$B237&lt;&gt;$B222,$B238&lt;&gt;$B223),IF($B231&lt;&gt;$B216,J216/INDEX($C213:$AJ223,4,MATCH(IF('Data-solution'!$A$3="Maximize",MAX($C224:$AI224),MIN($C224:$AI224)),$C224:$AI224,0)),J216-INDEX($C213:$AJ223,4,MATCH(IF('Data-solution'!$A$3="Maximize",MAX($C224:$AI224),MIN($C224:$AI224)),$C224:$AI224,0))*INDEX(J213:$AJ223,MATCH(MIN($AK213:$AK223),$AK213:$AK223,0),1)/INDEX($C213:$AJ223,MATCH(MIN($AK213:$AK223),$AK213:$AK223,0),MATCH(IF('Data-solution'!$A$3="Maximize",MAX($C224:$AI224),MIN($C224:$AI224)),$C224:$AI224,0))),J216)</f>
        <v>0</v>
      </c>
      <c r="K231" s="1">
        <f>IF(OR($B228&lt;&gt;$B213,$B229&lt;&gt;$B214,$B230&lt;&gt;$B215,$B231&lt;&gt;$B216,$B232&lt;&gt;$B217,$B233&lt;&gt;$B218,$B234&lt;&gt;$B219,$B235&lt;&gt;$B220,$B236&lt;&gt;$B221,$B237&lt;&gt;$B222,$B238&lt;&gt;$B223),IF($B231&lt;&gt;$B216,K216/INDEX($C213:$AJ223,4,MATCH(IF('Data-solution'!$A$3="Maximize",MAX($C224:$AI224),MIN($C224:$AI224)),$C224:$AI224,0)),K216-INDEX($C213:$AJ223,4,MATCH(IF('Data-solution'!$A$3="Maximize",MAX($C224:$AI224),MIN($C224:$AI224)),$C224:$AI224,0))*INDEX(K213:$AJ223,MATCH(MIN($AK213:$AK223),$AK213:$AK223,0),1)/INDEX($C213:$AJ223,MATCH(MIN($AK213:$AK223),$AK213:$AK223,0),MATCH(IF('Data-solution'!$A$3="Maximize",MAX($C224:$AI224),MIN($C224:$AI224)),$C224:$AI224,0))),K216)</f>
        <v>0</v>
      </c>
      <c r="L231" s="1">
        <f>IF(OR($B228&lt;&gt;$B213,$B229&lt;&gt;$B214,$B230&lt;&gt;$B215,$B231&lt;&gt;$B216,$B232&lt;&gt;$B217,$B233&lt;&gt;$B218,$B234&lt;&gt;$B219,$B235&lt;&gt;$B220,$B236&lt;&gt;$B221,$B237&lt;&gt;$B222,$B238&lt;&gt;$B223),IF($B231&lt;&gt;$B216,L216/INDEX($C213:$AJ223,4,MATCH(IF('Data-solution'!$A$3="Maximize",MAX($C224:$AI224),MIN($C224:$AI224)),$C224:$AI224,0)),L216-INDEX($C213:$AJ223,4,MATCH(IF('Data-solution'!$A$3="Maximize",MAX($C224:$AI224),MIN($C224:$AI224)),$C224:$AI224,0))*INDEX(L213:$AJ223,MATCH(MIN($AK213:$AK223),$AK213:$AK223,0),1)/INDEX($C213:$AJ223,MATCH(MIN($AK213:$AK223),$AK213:$AK223,0),MATCH(IF('Data-solution'!$A$3="Maximize",MAX($C224:$AI224),MIN($C224:$AI224)),$C224:$AI224,0))),L216)</f>
        <v>0</v>
      </c>
      <c r="M231" s="1">
        <f>IF(OR($B228&lt;&gt;$B213,$B229&lt;&gt;$B214,$B230&lt;&gt;$B215,$B231&lt;&gt;$B216,$B232&lt;&gt;$B217,$B233&lt;&gt;$B218,$B234&lt;&gt;$B219,$B235&lt;&gt;$B220,$B236&lt;&gt;$B221,$B237&lt;&gt;$B222,$B238&lt;&gt;$B223),IF($B231&lt;&gt;$B216,M216/INDEX($C213:$AJ223,4,MATCH(IF('Data-solution'!$A$3="Maximize",MAX($C224:$AI224),MIN($C224:$AI224)),$C224:$AI224,0)),M216-INDEX($C213:$AJ223,4,MATCH(IF('Data-solution'!$A$3="Maximize",MAX($C224:$AI224),MIN($C224:$AI224)),$C224:$AI224,0))*INDEX(M213:$AJ223,MATCH(MIN($AK213:$AK223),$AK213:$AK223,0),1)/INDEX($C213:$AJ223,MATCH(MIN($AK213:$AK223),$AK213:$AK223,0),MATCH(IF('Data-solution'!$A$3="Maximize",MAX($C224:$AI224),MIN($C224:$AI224)),$C224:$AI224,0))),M216)</f>
        <v>0</v>
      </c>
      <c r="N231" s="1">
        <f>IF(OR($B228&lt;&gt;$B213,$B229&lt;&gt;$B214,$B230&lt;&gt;$B215,$B231&lt;&gt;$B216,$B232&lt;&gt;$B217,$B233&lt;&gt;$B218,$B234&lt;&gt;$B219,$B235&lt;&gt;$B220,$B236&lt;&gt;$B221,$B237&lt;&gt;$B222,$B238&lt;&gt;$B223),IF($B231&lt;&gt;$B216,N216/INDEX($C213:$AJ223,4,MATCH(IF('Data-solution'!$A$3="Maximize",MAX($C224:$AI224),MIN($C224:$AI224)),$C224:$AI224,0)),N216-INDEX($C213:$AJ223,4,MATCH(IF('Data-solution'!$A$3="Maximize",MAX($C224:$AI224),MIN($C224:$AI224)),$C224:$AI224,0))*INDEX(N213:$AJ223,MATCH(MIN($AK213:$AK223),$AK213:$AK223,0),1)/INDEX($C213:$AJ223,MATCH(MIN($AK213:$AK223),$AK213:$AK223,0),MATCH(IF('Data-solution'!$A$3="Maximize",MAX($C224:$AI224),MIN($C224:$AI224)),$C224:$AI224,0))),N216)</f>
        <v>0</v>
      </c>
      <c r="O231" s="1">
        <f>IF(OR($B228&lt;&gt;$B213,$B229&lt;&gt;$B214,$B230&lt;&gt;$B215,$B231&lt;&gt;$B216,$B232&lt;&gt;$B217,$B233&lt;&gt;$B218,$B234&lt;&gt;$B219,$B235&lt;&gt;$B220,$B236&lt;&gt;$B221,$B237&lt;&gt;$B222,$B238&lt;&gt;$B223),IF($B231&lt;&gt;$B216,O216/INDEX($C213:$AJ223,4,MATCH(IF('Data-solution'!$A$3="Maximize",MAX($C224:$AI224),MIN($C224:$AI224)),$C224:$AI224,0)),O216-INDEX($C213:$AJ223,4,MATCH(IF('Data-solution'!$A$3="Maximize",MAX($C224:$AI224),MIN($C224:$AI224)),$C224:$AI224,0))*INDEX(O213:$AJ223,MATCH(MIN($AK213:$AK223),$AK213:$AK223,0),1)/INDEX($C213:$AJ223,MATCH(MIN($AK213:$AK223),$AK213:$AK223,0),MATCH(IF('Data-solution'!$A$3="Maximize",MAX($C224:$AI224),MIN($C224:$AI224)),$C224:$AI224,0))),O216)</f>
        <v>0</v>
      </c>
      <c r="P231" s="1">
        <f>IF(OR($B228&lt;&gt;$B213,$B229&lt;&gt;$B214,$B230&lt;&gt;$B215,$B231&lt;&gt;$B216,$B232&lt;&gt;$B217,$B233&lt;&gt;$B218,$B234&lt;&gt;$B219,$B235&lt;&gt;$B220,$B236&lt;&gt;$B221,$B237&lt;&gt;$B222,$B238&lt;&gt;$B223),IF($B231&lt;&gt;$B216,P216/INDEX($C213:$AJ223,4,MATCH(IF('Data-solution'!$A$3="Maximize",MAX($C224:$AI224),MIN($C224:$AI224)),$C224:$AI224,0)),P216-INDEX($C213:$AJ223,4,MATCH(IF('Data-solution'!$A$3="Maximize",MAX($C224:$AI224),MIN($C224:$AI224)),$C224:$AI224,0))*INDEX(P213:$AJ223,MATCH(MIN($AK213:$AK223),$AK213:$AK223,0),1)/INDEX($C213:$AJ223,MATCH(MIN($AK213:$AK223),$AK213:$AK223,0),MATCH(IF('Data-solution'!$A$3="Maximize",MAX($C224:$AI224),MIN($C224:$AI224)),$C224:$AI224,0))),P216)</f>
        <v>-0.24999999999999994</v>
      </c>
      <c r="Q231" s="1">
        <f>IF(OR($B228&lt;&gt;$B213,$B229&lt;&gt;$B214,$B230&lt;&gt;$B215,$B231&lt;&gt;$B216,$B232&lt;&gt;$B217,$B233&lt;&gt;$B218,$B234&lt;&gt;$B219,$B235&lt;&gt;$B220,$B236&lt;&gt;$B221,$B237&lt;&gt;$B222,$B238&lt;&gt;$B223),IF($B231&lt;&gt;$B216,Q216/INDEX($C213:$AJ223,4,MATCH(IF('Data-solution'!$A$3="Maximize",MAX($C224:$AI224),MIN($C224:$AI224)),$C224:$AI224,0)),Q216-INDEX($C213:$AJ223,4,MATCH(IF('Data-solution'!$A$3="Maximize",MAX($C224:$AI224),MIN($C224:$AI224)),$C224:$AI224,0))*INDEX(Q213:$AJ223,MATCH(MIN($AK213:$AK223),$AK213:$AK223,0),1)/INDEX($C213:$AJ223,MATCH(MIN($AK213:$AK223),$AK213:$AK223,0),MATCH(IF('Data-solution'!$A$3="Maximize",MAX($C224:$AI224),MIN($C224:$AI224)),$C224:$AI224,0))),Q216)</f>
        <v>1.4999999999999998</v>
      </c>
      <c r="R231" s="1">
        <f>IF(OR($B228&lt;&gt;$B213,$B229&lt;&gt;$B214,$B230&lt;&gt;$B215,$B231&lt;&gt;$B216,$B232&lt;&gt;$B217,$B233&lt;&gt;$B218,$B234&lt;&gt;$B219,$B235&lt;&gt;$B220,$B236&lt;&gt;$B221,$B237&lt;&gt;$B222,$B238&lt;&gt;$B223),IF($B231&lt;&gt;$B216,R216/INDEX($C213:$AJ223,4,MATCH(IF('Data-solution'!$A$3="Maximize",MAX($C224:$AI224),MIN($C224:$AI224)),$C224:$AI224,0)),R216-INDEX($C213:$AJ223,4,MATCH(IF('Data-solution'!$A$3="Maximize",MAX($C224:$AI224),MIN($C224:$AI224)),$C224:$AI224,0))*INDEX(R213:$AJ223,MATCH(MIN($AK213:$AK223),$AK213:$AK223,0),1)/INDEX($C213:$AJ223,MATCH(MIN($AK213:$AK223),$AK213:$AK223,0),MATCH(IF('Data-solution'!$A$3="Maximize",MAX($C224:$AI224),MIN($C224:$AI224)),$C224:$AI224,0))),R216)</f>
        <v>0</v>
      </c>
      <c r="S231" s="1">
        <f>IF(OR($B228&lt;&gt;$B213,$B229&lt;&gt;$B214,$B230&lt;&gt;$B215,$B231&lt;&gt;$B216,$B232&lt;&gt;$B217,$B233&lt;&gt;$B218,$B234&lt;&gt;$B219,$B235&lt;&gt;$B220,$B236&lt;&gt;$B221,$B237&lt;&gt;$B222,$B238&lt;&gt;$B223),IF($B231&lt;&gt;$B216,S216/INDEX($C213:$AJ223,4,MATCH(IF('Data-solution'!$A$3="Maximize",MAX($C224:$AI224),MIN($C224:$AI224)),$C224:$AI224,0)),S216-INDEX($C213:$AJ223,4,MATCH(IF('Data-solution'!$A$3="Maximize",MAX($C224:$AI224),MIN($C224:$AI224)),$C224:$AI224,0))*INDEX(S213:$AJ223,MATCH(MIN($AK213:$AK223),$AK213:$AK223,0),1)/INDEX($C213:$AJ223,MATCH(MIN($AK213:$AK223),$AK213:$AK223,0),MATCH(IF('Data-solution'!$A$3="Maximize",MAX($C224:$AI224),MIN($C224:$AI224)),$C224:$AI224,0))),S216)</f>
        <v>0</v>
      </c>
      <c r="T231" s="1">
        <f>IF(OR($B228&lt;&gt;$B213,$B229&lt;&gt;$B214,$B230&lt;&gt;$B215,$B231&lt;&gt;$B216,$B232&lt;&gt;$B217,$B233&lt;&gt;$B218,$B234&lt;&gt;$B219,$B235&lt;&gt;$B220,$B236&lt;&gt;$B221,$B237&lt;&gt;$B222,$B238&lt;&gt;$B223),IF($B231&lt;&gt;$B216,T216/INDEX($C213:$AJ223,4,MATCH(IF('Data-solution'!$A$3="Maximize",MAX($C224:$AI224),MIN($C224:$AI224)),$C224:$AI224,0)),T216-INDEX($C213:$AJ223,4,MATCH(IF('Data-solution'!$A$3="Maximize",MAX($C224:$AI224),MIN($C224:$AI224)),$C224:$AI224,0))*INDEX(T213:$AJ223,MATCH(MIN($AK213:$AK223),$AK213:$AK223,0),1)/INDEX($C213:$AJ223,MATCH(MIN($AK213:$AK223),$AK213:$AK223,0),MATCH(IF('Data-solution'!$A$3="Maximize",MAX($C224:$AI224),MIN($C224:$AI224)),$C224:$AI224,0))),T216)</f>
        <v>0</v>
      </c>
      <c r="U231" s="1">
        <f>IF(OR($B228&lt;&gt;$B213,$B229&lt;&gt;$B214,$B230&lt;&gt;$B215,$B231&lt;&gt;$B216,$B232&lt;&gt;$B217,$B233&lt;&gt;$B218,$B234&lt;&gt;$B219,$B235&lt;&gt;$B220,$B236&lt;&gt;$B221,$B237&lt;&gt;$B222,$B238&lt;&gt;$B223),IF($B231&lt;&gt;$B216,U216/INDEX($C213:$AJ223,4,MATCH(IF('Data-solution'!$A$3="Maximize",MAX($C224:$AI224),MIN($C224:$AI224)),$C224:$AI224,0)),U216-INDEX($C213:$AJ223,4,MATCH(IF('Data-solution'!$A$3="Maximize",MAX($C224:$AI224),MIN($C224:$AI224)),$C224:$AI224,0))*INDEX(U213:$AJ223,MATCH(MIN($AK213:$AK223),$AK213:$AK223,0),1)/INDEX($C213:$AJ223,MATCH(MIN($AK213:$AK223),$AK213:$AK223,0),MATCH(IF('Data-solution'!$A$3="Maximize",MAX($C224:$AI224),MIN($C224:$AI224)),$C224:$AI224,0))),U216)</f>
        <v>0</v>
      </c>
      <c r="V231" s="1">
        <f>IF(OR($B228&lt;&gt;$B213,$B229&lt;&gt;$B214,$B230&lt;&gt;$B215,$B231&lt;&gt;$B216,$B232&lt;&gt;$B217,$B233&lt;&gt;$B218,$B234&lt;&gt;$B219,$B235&lt;&gt;$B220,$B236&lt;&gt;$B221,$B237&lt;&gt;$B222,$B238&lt;&gt;$B223),IF($B231&lt;&gt;$B216,V216/INDEX($C213:$AJ223,4,MATCH(IF('Data-solution'!$A$3="Maximize",MAX($C224:$AI224),MIN($C224:$AI224)),$C224:$AI224,0)),V216-INDEX($C213:$AJ223,4,MATCH(IF('Data-solution'!$A$3="Maximize",MAX($C224:$AI224),MIN($C224:$AI224)),$C224:$AI224,0))*INDEX(V213:$AJ223,MATCH(MIN($AK213:$AK223),$AK213:$AK223,0),1)/INDEX($C213:$AJ223,MATCH(MIN($AK213:$AK223),$AK213:$AK223,0),MATCH(IF('Data-solution'!$A$3="Maximize",MAX($C224:$AI224),MIN($C224:$AI224)),$C224:$AI224,0))),V216)</f>
        <v>0</v>
      </c>
      <c r="W231" s="1">
        <f>IF(OR($B228&lt;&gt;$B213,$B229&lt;&gt;$B214,$B230&lt;&gt;$B215,$B231&lt;&gt;$B216,$B232&lt;&gt;$B217,$B233&lt;&gt;$B218,$B234&lt;&gt;$B219,$B235&lt;&gt;$B220,$B236&lt;&gt;$B221,$B237&lt;&gt;$B222,$B238&lt;&gt;$B223),IF($B231&lt;&gt;$B216,W216/INDEX($C213:$AJ223,4,MATCH(IF('Data-solution'!$A$3="Maximize",MAX($C224:$AI224),MIN($C224:$AI224)),$C224:$AI224,0)),W216-INDEX($C213:$AJ223,4,MATCH(IF('Data-solution'!$A$3="Maximize",MAX($C224:$AI224),MIN($C224:$AI224)),$C224:$AI224,0))*INDEX(W213:$AJ223,MATCH(MIN($AK213:$AK223),$AK213:$AK223,0),1)/INDEX($C213:$AJ223,MATCH(MIN($AK213:$AK223),$AK213:$AK223,0),MATCH(IF('Data-solution'!$A$3="Maximize",MAX($C224:$AI224),MIN($C224:$AI224)),$C224:$AI224,0))),W216)</f>
        <v>0</v>
      </c>
      <c r="X231" s="1">
        <f>IF(OR($B228&lt;&gt;$B213,$B229&lt;&gt;$B214,$B230&lt;&gt;$B215,$B231&lt;&gt;$B216,$B232&lt;&gt;$B217,$B233&lt;&gt;$B218,$B234&lt;&gt;$B219,$B235&lt;&gt;$B220,$B236&lt;&gt;$B221,$B237&lt;&gt;$B222,$B238&lt;&gt;$B223),IF($B231&lt;&gt;$B216,X216/INDEX($C213:$AJ223,4,MATCH(IF('Data-solution'!$A$3="Maximize",MAX($C224:$AI224),MIN($C224:$AI224)),$C224:$AI224,0)),X216-INDEX($C213:$AJ223,4,MATCH(IF('Data-solution'!$A$3="Maximize",MAX($C224:$AI224),MIN($C224:$AI224)),$C224:$AI224,0))*INDEX(X213:$AJ223,MATCH(MIN($AK213:$AK223),$AK213:$AK223,0),1)/INDEX($C213:$AJ223,MATCH(MIN($AK213:$AK223),$AK213:$AK223,0),MATCH(IF('Data-solution'!$A$3="Maximize",MAX($C224:$AI224),MIN($C224:$AI224)),$C224:$AI224,0))),X216)</f>
        <v>0</v>
      </c>
      <c r="Y231" s="1">
        <f>IF(OR($B228&lt;&gt;$B213,$B229&lt;&gt;$B214,$B230&lt;&gt;$B215,$B231&lt;&gt;$B216,$B232&lt;&gt;$B217,$B233&lt;&gt;$B218,$B234&lt;&gt;$B219,$B235&lt;&gt;$B220,$B236&lt;&gt;$B221,$B237&lt;&gt;$B222,$B238&lt;&gt;$B223),IF($B231&lt;&gt;$B216,Y216/INDEX($C213:$AJ223,4,MATCH(IF('Data-solution'!$A$3="Maximize",MAX($C224:$AI224),MIN($C224:$AI224)),$C224:$AI224,0)),Y216-INDEX($C213:$AJ223,4,MATCH(IF('Data-solution'!$A$3="Maximize",MAX($C224:$AI224),MIN($C224:$AI224)),$C224:$AI224,0))*INDEX(Y213:$AJ223,MATCH(MIN($AK213:$AK223),$AK213:$AK223,0),1)/INDEX($C213:$AJ223,MATCH(MIN($AK213:$AK223),$AK213:$AK223,0),MATCH(IF('Data-solution'!$A$3="Maximize",MAX($C224:$AI224),MIN($C224:$AI224)),$C224:$AI224,0))),Y216)</f>
        <v>0</v>
      </c>
      <c r="Z231" s="1">
        <f>IF(OR($B228&lt;&gt;$B213,$B229&lt;&gt;$B214,$B230&lt;&gt;$B215,$B231&lt;&gt;$B216,$B232&lt;&gt;$B217,$B233&lt;&gt;$B218,$B234&lt;&gt;$B219,$B235&lt;&gt;$B220,$B236&lt;&gt;$B221,$B237&lt;&gt;$B222,$B238&lt;&gt;$B223),IF($B231&lt;&gt;$B216,Z216/INDEX($C213:$AJ223,4,MATCH(IF('Data-solution'!$A$3="Maximize",MAX($C224:$AI224),MIN($C224:$AI224)),$C224:$AI224,0)),Z216-INDEX($C213:$AJ223,4,MATCH(IF('Data-solution'!$A$3="Maximize",MAX($C224:$AI224),MIN($C224:$AI224)),$C224:$AI224,0))*INDEX(Z213:$AJ223,MATCH(MIN($AK213:$AK223),$AK213:$AK223,0),1)/INDEX($C213:$AJ223,MATCH(MIN($AK213:$AK223),$AK213:$AK223,0),MATCH(IF('Data-solution'!$A$3="Maximize",MAX($C224:$AI224),MIN($C224:$AI224)),$C224:$AI224,0))),Z216)</f>
        <v>0</v>
      </c>
      <c r="AA231" s="1">
        <f>IF(OR($B228&lt;&gt;$B213,$B229&lt;&gt;$B214,$B230&lt;&gt;$B215,$B231&lt;&gt;$B216,$B232&lt;&gt;$B217,$B233&lt;&gt;$B218,$B234&lt;&gt;$B219,$B235&lt;&gt;$B220,$B236&lt;&gt;$B221,$B237&lt;&gt;$B222,$B238&lt;&gt;$B223),IF($B231&lt;&gt;$B216,AA216/INDEX($C213:$AJ223,4,MATCH(IF('Data-solution'!$A$3="Maximize",MAX($C224:$AI224),MIN($C224:$AI224)),$C224:$AI224,0)),AA216-INDEX($C213:$AJ223,4,MATCH(IF('Data-solution'!$A$3="Maximize",MAX($C224:$AI224),MIN($C224:$AI224)),$C224:$AI224,0))*INDEX(AA213:$AJ223,MATCH(MIN($AK213:$AK223),$AK213:$AK223,0),1)/INDEX($C213:$AJ223,MATCH(MIN($AK213:$AK223),$AK213:$AK223,0),MATCH(IF('Data-solution'!$A$3="Maximize",MAX($C224:$AI224),MIN($C224:$AI224)),$C224:$AI224,0))),AA216)</f>
        <v>-0.24999999999999994</v>
      </c>
      <c r="AB231" s="1">
        <f>IF(OR($B228&lt;&gt;$B213,$B229&lt;&gt;$B214,$B230&lt;&gt;$B215,$B231&lt;&gt;$B216,$B232&lt;&gt;$B217,$B233&lt;&gt;$B218,$B234&lt;&gt;$B219,$B235&lt;&gt;$B220,$B236&lt;&gt;$B221,$B237&lt;&gt;$B222,$B238&lt;&gt;$B223),IF($B231&lt;&gt;$B216,AB216/INDEX($C213:$AJ223,4,MATCH(IF('Data-solution'!$A$3="Maximize",MAX($C224:$AI224),MIN($C224:$AI224)),$C224:$AI224,0)),AB216-INDEX($C213:$AJ223,4,MATCH(IF('Data-solution'!$A$3="Maximize",MAX($C224:$AI224),MIN($C224:$AI224)),$C224:$AI224,0))*INDEX(AB213:$AJ223,MATCH(MIN($AK213:$AK223),$AK213:$AK223,0),1)/INDEX($C213:$AJ223,MATCH(MIN($AK213:$AK223),$AK213:$AK223,0),MATCH(IF('Data-solution'!$A$3="Maximize",MAX($C224:$AI224),MIN($C224:$AI224)),$C224:$AI224,0))),AB216)</f>
        <v>1.4999999999999998</v>
      </c>
      <c r="AC231" s="1">
        <f>IF(OR($B228&lt;&gt;$B213,$B229&lt;&gt;$B214,$B230&lt;&gt;$B215,$B231&lt;&gt;$B216,$B232&lt;&gt;$B217,$B233&lt;&gt;$B218,$B234&lt;&gt;$B219,$B235&lt;&gt;$B220,$B236&lt;&gt;$B221,$B237&lt;&gt;$B222,$B238&lt;&gt;$B223),IF($B231&lt;&gt;$B216,AC216/INDEX($C213:$AJ223,4,MATCH(IF('Data-solution'!$A$3="Maximize",MAX($C224:$AI224),MIN($C224:$AI224)),$C224:$AI224,0)),AC216-INDEX($C213:$AJ223,4,MATCH(IF('Data-solution'!$A$3="Maximize",MAX($C224:$AI224),MIN($C224:$AI224)),$C224:$AI224,0))*INDEX(AC213:$AJ223,MATCH(MIN($AK213:$AK223),$AK213:$AK223,0),1)/INDEX($C213:$AJ223,MATCH(MIN($AK213:$AK223),$AK213:$AK223,0),MATCH(IF('Data-solution'!$A$3="Maximize",MAX($C224:$AI224),MIN($C224:$AI224)),$C224:$AI224,0))),AC216)</f>
        <v>0</v>
      </c>
      <c r="AD231" s="1">
        <f>IF(OR($B228&lt;&gt;$B213,$B229&lt;&gt;$B214,$B230&lt;&gt;$B215,$B231&lt;&gt;$B216,$B232&lt;&gt;$B217,$B233&lt;&gt;$B218,$B234&lt;&gt;$B219,$B235&lt;&gt;$B220,$B236&lt;&gt;$B221,$B237&lt;&gt;$B222,$B238&lt;&gt;$B223),IF($B231&lt;&gt;$B216,AD216/INDEX($C213:$AJ223,4,MATCH(IF('Data-solution'!$A$3="Maximize",MAX($C224:$AI224),MIN($C224:$AI224)),$C224:$AI224,0)),AD216-INDEX($C213:$AJ223,4,MATCH(IF('Data-solution'!$A$3="Maximize",MAX($C224:$AI224),MIN($C224:$AI224)),$C224:$AI224,0))*INDEX(AD213:$AJ223,MATCH(MIN($AK213:$AK223),$AK213:$AK223,0),1)/INDEX($C213:$AJ223,MATCH(MIN($AK213:$AK223),$AK213:$AK223,0),MATCH(IF('Data-solution'!$A$3="Maximize",MAX($C224:$AI224),MIN($C224:$AI224)),$C224:$AI224,0))),AD216)</f>
        <v>0</v>
      </c>
      <c r="AE231" s="1">
        <f>IF(OR($B228&lt;&gt;$B213,$B229&lt;&gt;$B214,$B230&lt;&gt;$B215,$B231&lt;&gt;$B216,$B232&lt;&gt;$B217,$B233&lt;&gt;$B218,$B234&lt;&gt;$B219,$B235&lt;&gt;$B220,$B236&lt;&gt;$B221,$B237&lt;&gt;$B222,$B238&lt;&gt;$B223),IF($B231&lt;&gt;$B216,AE216/INDEX($C213:$AJ223,4,MATCH(IF('Data-solution'!$A$3="Maximize",MAX($C224:$AI224),MIN($C224:$AI224)),$C224:$AI224,0)),AE216-INDEX($C213:$AJ223,4,MATCH(IF('Data-solution'!$A$3="Maximize",MAX($C224:$AI224),MIN($C224:$AI224)),$C224:$AI224,0))*INDEX(AE213:$AJ223,MATCH(MIN($AK213:$AK223),$AK213:$AK223,0),1)/INDEX($C213:$AJ223,MATCH(MIN($AK213:$AK223),$AK213:$AK223,0),MATCH(IF('Data-solution'!$A$3="Maximize",MAX($C224:$AI224),MIN($C224:$AI224)),$C224:$AI224,0))),AE216)</f>
        <v>0</v>
      </c>
      <c r="AF231" s="1">
        <f>IF(OR($B228&lt;&gt;$B213,$B229&lt;&gt;$B214,$B230&lt;&gt;$B215,$B231&lt;&gt;$B216,$B232&lt;&gt;$B217,$B233&lt;&gt;$B218,$B234&lt;&gt;$B219,$B235&lt;&gt;$B220,$B236&lt;&gt;$B221,$B237&lt;&gt;$B222,$B238&lt;&gt;$B223),IF($B231&lt;&gt;$B216,AF216/INDEX($C213:$AJ223,4,MATCH(IF('Data-solution'!$A$3="Maximize",MAX($C224:$AI224),MIN($C224:$AI224)),$C224:$AI224,0)),AF216-INDEX($C213:$AJ223,4,MATCH(IF('Data-solution'!$A$3="Maximize",MAX($C224:$AI224),MIN($C224:$AI224)),$C224:$AI224,0))*INDEX(AF213:$AJ223,MATCH(MIN($AK213:$AK223),$AK213:$AK223,0),1)/INDEX($C213:$AJ223,MATCH(MIN($AK213:$AK223),$AK213:$AK223,0),MATCH(IF('Data-solution'!$A$3="Maximize",MAX($C224:$AI224),MIN($C224:$AI224)),$C224:$AI224,0))),AF216)</f>
        <v>0</v>
      </c>
      <c r="AG231" s="1">
        <f>IF(OR($B228&lt;&gt;$B213,$B229&lt;&gt;$B214,$B230&lt;&gt;$B215,$B231&lt;&gt;$B216,$B232&lt;&gt;$B217,$B233&lt;&gt;$B218,$B234&lt;&gt;$B219,$B235&lt;&gt;$B220,$B236&lt;&gt;$B221,$B237&lt;&gt;$B222,$B238&lt;&gt;$B223),IF($B231&lt;&gt;$B216,AG216/INDEX($C213:$AJ223,4,MATCH(IF('Data-solution'!$A$3="Maximize",MAX($C224:$AI224),MIN($C224:$AI224)),$C224:$AI224,0)),AG216-INDEX($C213:$AJ223,4,MATCH(IF('Data-solution'!$A$3="Maximize",MAX($C224:$AI224),MIN($C224:$AI224)),$C224:$AI224,0))*INDEX(AG213:$AJ223,MATCH(MIN($AK213:$AK223),$AK213:$AK223,0),1)/INDEX($C213:$AJ223,MATCH(MIN($AK213:$AK223),$AK213:$AK223,0),MATCH(IF('Data-solution'!$A$3="Maximize",MAX($C224:$AI224),MIN($C224:$AI224)),$C224:$AI224,0))),AG216)</f>
        <v>0</v>
      </c>
      <c r="AH231" s="1">
        <f>IF(OR($B228&lt;&gt;$B213,$B229&lt;&gt;$B214,$B230&lt;&gt;$B215,$B231&lt;&gt;$B216,$B232&lt;&gt;$B217,$B233&lt;&gt;$B218,$B234&lt;&gt;$B219,$B235&lt;&gt;$B220,$B236&lt;&gt;$B221,$B237&lt;&gt;$B222,$B238&lt;&gt;$B223),IF($B231&lt;&gt;$B216,AH216/INDEX($C213:$AJ223,4,MATCH(IF('Data-solution'!$A$3="Maximize",MAX($C224:$AI224),MIN($C224:$AI224)),$C224:$AI224,0)),AH216-INDEX($C213:$AJ223,4,MATCH(IF('Data-solution'!$A$3="Maximize",MAX($C224:$AI224),MIN($C224:$AI224)),$C224:$AI224,0))*INDEX(AH213:$AJ223,MATCH(MIN($AK213:$AK223),$AK213:$AK223,0),1)/INDEX($C213:$AJ223,MATCH(MIN($AK213:$AK223),$AK213:$AK223,0),MATCH(IF('Data-solution'!$A$3="Maximize",MAX($C224:$AI224),MIN($C224:$AI224)),$C224:$AI224,0))),AH216)</f>
        <v>0</v>
      </c>
      <c r="AI231" s="1">
        <f>IF(OR($B228&lt;&gt;$B213,$B229&lt;&gt;$B214,$B230&lt;&gt;$B215,$B231&lt;&gt;$B216,$B232&lt;&gt;$B217,$B233&lt;&gt;$B218,$B234&lt;&gt;$B219,$B235&lt;&gt;$B220,$B236&lt;&gt;$B221,$B237&lt;&gt;$B222,$B238&lt;&gt;$B223),IF($B231&lt;&gt;$B216,AI216/INDEX($C213:$AJ223,4,MATCH(IF('Data-solution'!$A$3="Maximize",MAX($C224:$AI224),MIN($C224:$AI224)),$C224:$AI224,0)),AI216-INDEX($C213:$AJ223,4,MATCH(IF('Data-solution'!$A$3="Maximize",MAX($C224:$AI224),MIN($C224:$AI224)),$C224:$AI224,0))*INDEX(AI213:$AJ223,MATCH(MIN($AK213:$AK223),$AK213:$AK223,0),1)/INDEX($C213:$AJ223,MATCH(MIN($AK213:$AK223),$AK213:$AK223,0),MATCH(IF('Data-solution'!$A$3="Maximize",MAX($C224:$AI224),MIN($C224:$AI224)),$C224:$AI224,0))),AI216)</f>
        <v>0</v>
      </c>
      <c r="AJ231" s="1">
        <f>IF(OR($B228&lt;&gt;$B213,$B229&lt;&gt;$B214,$B230&lt;&gt;$B215,$B231&lt;&gt;$B216,$B232&lt;&gt;$B217,$B233&lt;&gt;$B218,$B234&lt;&gt;$B219,$B235&lt;&gt;$B220,$B236&lt;&gt;$B221,$B237&lt;&gt;$B222,$B238&lt;&gt;$B223),IF($B231&lt;&gt;$B216,AJ216/INDEX($C213:$AJ223,4,MATCH(IF('Data-solution'!$A$3="Maximize",MAX($C224:$AI224),MIN($C224:$AI224)),$C224:$AI224,0)),AJ216-INDEX($C213:$AJ223,4,MATCH(IF('Data-solution'!$A$3="Maximize",MAX($C224:$AI224),MIN($C224:$AI224)),$C224:$AI224,0))*INDEX(AJ213:$AJ223,MATCH(MIN($AK213:$AK223),$AK213:$AK223,0),1)/INDEX($C213:$AJ223,MATCH(MIN($AK213:$AK223),$AK213:$AK223,0),MATCH(IF('Data-solution'!$A$3="Maximize",MAX($C224:$AI224),MIN($C224:$AI224)),$C224:$AI224,0))),AJ216)</f>
        <v>100.00000000000001</v>
      </c>
      <c r="AK231" s="1">
        <f>IF(INDEX(C231:X231,1,MATCH(IF('Data-solution'!A$3="Maximize",MAX(C239:X239),MIN(C239:X239)),C239:X239,0))&gt;0,AJ231/INDEX(C231:X231,1,MATCH(IF('Data-solution'!A$3="Maximize",MAX(C239:X239),MIN(C239:X239)),C239:X239,0))," ")</f>
        <v>100.00000000000001</v>
      </c>
    </row>
    <row r="232" spans="1:37" ht="18" customHeight="1" x14ac:dyDescent="0.2">
      <c r="A232" s="1">
        <f t="shared" ref="A232" si="202">INDEX(C226:AI226,1,MATCH(B232,C227:AI227,0))</f>
        <v>0</v>
      </c>
      <c r="B232" s="2" t="str">
        <f>IF(AND('Data-solution'!A$3="Maximize",COUNTIF(C224:X224,"&gt;"&amp;0)&gt;0,AK217=MIN(AK213:AK223),COUNTIF(B228:B231,INDEX(C212:X212,1,MATCH(MAX(C224:X224),C224:X224,0)))=0),INDEX(C212:X212,1,MATCH(MAX(C224:X224),C224:X224,0)),IF(AND('Data-solution'!A$3="Minimize",COUNTIF(C224:X224,"&lt;"&amp;0)&gt;0,AK217=MIN(AK213:AK223),COUNTIF(B228:B231,INDEX(C212:X212,1,MATCH(MIN(C224:X224),C224:X224,0)))=0),INDEX(C212:X212,1,MATCH(MIN(C224:X224),C224:X224,0)),B217))</f>
        <v>S5</v>
      </c>
      <c r="C232" s="1">
        <f>IF(OR($B228&lt;&gt;$B213,$B229&lt;&gt;$B214,$B230&lt;&gt;$B215,$B231&lt;&gt;$B216,$B232&lt;&gt;$B217,$B233&lt;&gt;$B218,$B234&lt;&gt;$B219,$B235&lt;&gt;$B220,$B236&lt;&gt;$B221,$B237&lt;&gt;$B222,$B238&lt;&gt;$B223),IF($B232&lt;&gt;$B217,C217/INDEX($C213:$AJ223,5,MATCH(IF('Data-solution'!$A$3="Maximize",MAX($C224:$AI224),MIN($C224:$AI224)),$C224:$AI224,0)),C217-INDEX($C213:$AJ223,5,MATCH(IF('Data-solution'!$A$3="Maximize",MAX($C224:$AI224),MIN($C224:$AI224)),$C224:$AI224,0))*INDEX(C213:$AJ223,MATCH(MIN($AK213:$AK223),$AK213:$AK223,0),1)/INDEX($C213:$AJ223,MATCH(MIN($AK213:$AK223),$AK213:$AK223,0),MATCH(IF('Data-solution'!$A$3="Maximize",MAX($C224:$AI224),MIN($C224:$AI224)),$C224:$AI224,0))),C217)</f>
        <v>0</v>
      </c>
      <c r="D232" s="1">
        <f>IF(OR($B228&lt;&gt;$B213,$B229&lt;&gt;$B214,$B230&lt;&gt;$B215,$B231&lt;&gt;$B216,$B232&lt;&gt;$B217,$B233&lt;&gt;$B218,$B234&lt;&gt;$B219,$B235&lt;&gt;$B220,$B236&lt;&gt;$B221,$B237&lt;&gt;$B222,$B238&lt;&gt;$B223),IF($B232&lt;&gt;$B217,D217/INDEX($C213:$AJ223,5,MATCH(IF('Data-solution'!$A$3="Maximize",MAX($C224:$AI224),MIN($C224:$AI224)),$C224:$AI224,0)),D217-INDEX($C213:$AJ223,5,MATCH(IF('Data-solution'!$A$3="Maximize",MAX($C224:$AI224),MIN($C224:$AI224)),$C224:$AI224,0))*INDEX(D213:$AJ223,MATCH(MIN($AK213:$AK223),$AK213:$AK223,0),1)/INDEX($C213:$AJ223,MATCH(MIN($AK213:$AK223),$AK213:$AK223,0),MATCH(IF('Data-solution'!$A$3="Maximize",MAX($C224:$AI224),MIN($C224:$AI224)),$C224:$AI224,0))),D217)</f>
        <v>0</v>
      </c>
      <c r="E232" s="1">
        <f>IF(OR($B228&lt;&gt;$B213,$B229&lt;&gt;$B214,$B230&lt;&gt;$B215,$B231&lt;&gt;$B216,$B232&lt;&gt;$B217,$B233&lt;&gt;$B218,$B234&lt;&gt;$B219,$B235&lt;&gt;$B220,$B236&lt;&gt;$B221,$B237&lt;&gt;$B222,$B238&lt;&gt;$B223),IF($B232&lt;&gt;$B217,E217/INDEX($C213:$AJ223,5,MATCH(IF('Data-solution'!$A$3="Maximize",MAX($C224:$AI224),MIN($C224:$AI224)),$C224:$AI224,0)),E217-INDEX($C213:$AJ223,5,MATCH(IF('Data-solution'!$A$3="Maximize",MAX($C224:$AI224),MIN($C224:$AI224)),$C224:$AI224,0))*INDEX(E213:$AJ223,MATCH(MIN($AK213:$AK223),$AK213:$AK223,0),1)/INDEX($C213:$AJ223,MATCH(MIN($AK213:$AK223),$AK213:$AK223,0),MATCH(IF('Data-solution'!$A$3="Maximize",MAX($C224:$AI224),MIN($C224:$AI224)),$C224:$AI224,0))),E217)</f>
        <v>0</v>
      </c>
      <c r="F232" s="1">
        <f>IF(OR($B228&lt;&gt;$B213,$B229&lt;&gt;$B214,$B230&lt;&gt;$B215,$B231&lt;&gt;$B216,$B232&lt;&gt;$B217,$B233&lt;&gt;$B218,$B234&lt;&gt;$B219,$B235&lt;&gt;$B220,$B236&lt;&gt;$B221,$B237&lt;&gt;$B222,$B238&lt;&gt;$B223),IF($B232&lt;&gt;$B217,F217/INDEX($C213:$AJ223,5,MATCH(IF('Data-solution'!$A$3="Maximize",MAX($C224:$AI224),MIN($C224:$AI224)),$C224:$AI224,0)),F217-INDEX($C213:$AJ223,5,MATCH(IF('Data-solution'!$A$3="Maximize",MAX($C224:$AI224),MIN($C224:$AI224)),$C224:$AI224,0))*INDEX(F213:$AJ223,MATCH(MIN($AK213:$AK223),$AK213:$AK223,0),1)/INDEX($C213:$AJ223,MATCH(MIN($AK213:$AK223),$AK213:$AK223,0),MATCH(IF('Data-solution'!$A$3="Maximize",MAX($C224:$AI224),MIN($C224:$AI224)),$C224:$AI224,0))),F217)</f>
        <v>0</v>
      </c>
      <c r="G232" s="1">
        <f>IF(OR($B228&lt;&gt;$B213,$B229&lt;&gt;$B214,$B230&lt;&gt;$B215,$B231&lt;&gt;$B216,$B232&lt;&gt;$B217,$B233&lt;&gt;$B218,$B234&lt;&gt;$B219,$B235&lt;&gt;$B220,$B236&lt;&gt;$B221,$B237&lt;&gt;$B222,$B238&lt;&gt;$B223),IF($B232&lt;&gt;$B217,G217/INDEX($C213:$AJ223,5,MATCH(IF('Data-solution'!$A$3="Maximize",MAX($C224:$AI224),MIN($C224:$AI224)),$C224:$AI224,0)),G217-INDEX($C213:$AJ223,5,MATCH(IF('Data-solution'!$A$3="Maximize",MAX($C224:$AI224),MIN($C224:$AI224)),$C224:$AI224,0))*INDEX(G213:$AJ223,MATCH(MIN($AK213:$AK223),$AK213:$AK223,0),1)/INDEX($C213:$AJ223,MATCH(MIN($AK213:$AK223),$AK213:$AK223,0),MATCH(IF('Data-solution'!$A$3="Maximize",MAX($C224:$AI224),MIN($C224:$AI224)),$C224:$AI224,0))),G217)</f>
        <v>0</v>
      </c>
      <c r="H232" s="1">
        <f>IF(OR($B228&lt;&gt;$B213,$B229&lt;&gt;$B214,$B230&lt;&gt;$B215,$B231&lt;&gt;$B216,$B232&lt;&gt;$B217,$B233&lt;&gt;$B218,$B234&lt;&gt;$B219,$B235&lt;&gt;$B220,$B236&lt;&gt;$B221,$B237&lt;&gt;$B222,$B238&lt;&gt;$B223),IF($B232&lt;&gt;$B217,H217/INDEX($C213:$AJ223,5,MATCH(IF('Data-solution'!$A$3="Maximize",MAX($C224:$AI224),MIN($C224:$AI224)),$C224:$AI224,0)),H217-INDEX($C213:$AJ223,5,MATCH(IF('Data-solution'!$A$3="Maximize",MAX($C224:$AI224),MIN($C224:$AI224)),$C224:$AI224,0))*INDEX(H213:$AJ223,MATCH(MIN($AK213:$AK223),$AK213:$AK223,0),1)/INDEX($C213:$AJ223,MATCH(MIN($AK213:$AK223),$AK213:$AK223,0),MATCH(IF('Data-solution'!$A$3="Maximize",MAX($C224:$AI224),MIN($C224:$AI224)),$C224:$AI224,0))),H217)</f>
        <v>0</v>
      </c>
      <c r="I232" s="1">
        <f>IF(OR($B228&lt;&gt;$B213,$B229&lt;&gt;$B214,$B230&lt;&gt;$B215,$B231&lt;&gt;$B216,$B232&lt;&gt;$B217,$B233&lt;&gt;$B218,$B234&lt;&gt;$B219,$B235&lt;&gt;$B220,$B236&lt;&gt;$B221,$B237&lt;&gt;$B222,$B238&lt;&gt;$B223),IF($B232&lt;&gt;$B217,I217/INDEX($C213:$AJ223,5,MATCH(IF('Data-solution'!$A$3="Maximize",MAX($C224:$AI224),MIN($C224:$AI224)),$C224:$AI224,0)),I217-INDEX($C213:$AJ223,5,MATCH(IF('Data-solution'!$A$3="Maximize",MAX($C224:$AI224),MIN($C224:$AI224)),$C224:$AI224,0))*INDEX(I213:$AJ223,MATCH(MIN($AK213:$AK223),$AK213:$AK223,0),1)/INDEX($C213:$AJ223,MATCH(MIN($AK213:$AK223),$AK213:$AK223,0),MATCH(IF('Data-solution'!$A$3="Maximize",MAX($C224:$AI224),MIN($C224:$AI224)),$C224:$AI224,0))),I217)</f>
        <v>0</v>
      </c>
      <c r="J232" s="1">
        <f>IF(OR($B228&lt;&gt;$B213,$B229&lt;&gt;$B214,$B230&lt;&gt;$B215,$B231&lt;&gt;$B216,$B232&lt;&gt;$B217,$B233&lt;&gt;$B218,$B234&lt;&gt;$B219,$B235&lt;&gt;$B220,$B236&lt;&gt;$B221,$B237&lt;&gt;$B222,$B238&lt;&gt;$B223),IF($B232&lt;&gt;$B217,J217/INDEX($C213:$AJ223,5,MATCH(IF('Data-solution'!$A$3="Maximize",MAX($C224:$AI224),MIN($C224:$AI224)),$C224:$AI224,0)),J217-INDEX($C213:$AJ223,5,MATCH(IF('Data-solution'!$A$3="Maximize",MAX($C224:$AI224),MIN($C224:$AI224)),$C224:$AI224,0))*INDEX(J213:$AJ223,MATCH(MIN($AK213:$AK223),$AK213:$AK223,0),1)/INDEX($C213:$AJ223,MATCH(MIN($AK213:$AK223),$AK213:$AK223,0),MATCH(IF('Data-solution'!$A$3="Maximize",MAX($C224:$AI224),MIN($C224:$AI224)),$C224:$AI224,0))),J217)</f>
        <v>0</v>
      </c>
      <c r="K232" s="1">
        <f>IF(OR($B228&lt;&gt;$B213,$B229&lt;&gt;$B214,$B230&lt;&gt;$B215,$B231&lt;&gt;$B216,$B232&lt;&gt;$B217,$B233&lt;&gt;$B218,$B234&lt;&gt;$B219,$B235&lt;&gt;$B220,$B236&lt;&gt;$B221,$B237&lt;&gt;$B222,$B238&lt;&gt;$B223),IF($B232&lt;&gt;$B217,K217/INDEX($C213:$AJ223,5,MATCH(IF('Data-solution'!$A$3="Maximize",MAX($C224:$AI224),MIN($C224:$AI224)),$C224:$AI224,0)),K217-INDEX($C213:$AJ223,5,MATCH(IF('Data-solution'!$A$3="Maximize",MAX($C224:$AI224),MIN($C224:$AI224)),$C224:$AI224,0))*INDEX(K213:$AJ223,MATCH(MIN($AK213:$AK223),$AK213:$AK223,0),1)/INDEX($C213:$AJ223,MATCH(MIN($AK213:$AK223),$AK213:$AK223,0),MATCH(IF('Data-solution'!$A$3="Maximize",MAX($C224:$AI224),MIN($C224:$AI224)),$C224:$AI224,0))),K217)</f>
        <v>0</v>
      </c>
      <c r="L232" s="1">
        <f>IF(OR($B228&lt;&gt;$B213,$B229&lt;&gt;$B214,$B230&lt;&gt;$B215,$B231&lt;&gt;$B216,$B232&lt;&gt;$B217,$B233&lt;&gt;$B218,$B234&lt;&gt;$B219,$B235&lt;&gt;$B220,$B236&lt;&gt;$B221,$B237&lt;&gt;$B222,$B238&lt;&gt;$B223),IF($B232&lt;&gt;$B217,L217/INDEX($C213:$AJ223,5,MATCH(IF('Data-solution'!$A$3="Maximize",MAX($C224:$AI224),MIN($C224:$AI224)),$C224:$AI224,0)),L217-INDEX($C213:$AJ223,5,MATCH(IF('Data-solution'!$A$3="Maximize",MAX($C224:$AI224),MIN($C224:$AI224)),$C224:$AI224,0))*INDEX(L213:$AJ223,MATCH(MIN($AK213:$AK223),$AK213:$AK223,0),1)/INDEX($C213:$AJ223,MATCH(MIN($AK213:$AK223),$AK213:$AK223,0),MATCH(IF('Data-solution'!$A$3="Maximize",MAX($C224:$AI224),MIN($C224:$AI224)),$C224:$AI224,0))),L217)</f>
        <v>0</v>
      </c>
      <c r="M232" s="1">
        <f>IF(OR($B228&lt;&gt;$B213,$B229&lt;&gt;$B214,$B230&lt;&gt;$B215,$B231&lt;&gt;$B216,$B232&lt;&gt;$B217,$B233&lt;&gt;$B218,$B234&lt;&gt;$B219,$B235&lt;&gt;$B220,$B236&lt;&gt;$B221,$B237&lt;&gt;$B222,$B238&lt;&gt;$B223),IF($B232&lt;&gt;$B217,M217/INDEX($C213:$AJ223,5,MATCH(IF('Data-solution'!$A$3="Maximize",MAX($C224:$AI224),MIN($C224:$AI224)),$C224:$AI224,0)),M217-INDEX($C213:$AJ223,5,MATCH(IF('Data-solution'!$A$3="Maximize",MAX($C224:$AI224),MIN($C224:$AI224)),$C224:$AI224,0))*INDEX(M213:$AJ223,MATCH(MIN($AK213:$AK223),$AK213:$AK223,0),1)/INDEX($C213:$AJ223,MATCH(MIN($AK213:$AK223),$AK213:$AK223,0),MATCH(IF('Data-solution'!$A$3="Maximize",MAX($C224:$AI224),MIN($C224:$AI224)),$C224:$AI224,0))),M217)</f>
        <v>0</v>
      </c>
      <c r="N232" s="1">
        <f>IF(OR($B228&lt;&gt;$B213,$B229&lt;&gt;$B214,$B230&lt;&gt;$B215,$B231&lt;&gt;$B216,$B232&lt;&gt;$B217,$B233&lt;&gt;$B218,$B234&lt;&gt;$B219,$B235&lt;&gt;$B220,$B236&lt;&gt;$B221,$B237&lt;&gt;$B222,$B238&lt;&gt;$B223),IF($B232&lt;&gt;$B217,N217/INDEX($C213:$AJ223,5,MATCH(IF('Data-solution'!$A$3="Maximize",MAX($C224:$AI224),MIN($C224:$AI224)),$C224:$AI224,0)),N217-INDEX($C213:$AJ223,5,MATCH(IF('Data-solution'!$A$3="Maximize",MAX($C224:$AI224),MIN($C224:$AI224)),$C224:$AI224,0))*INDEX(N213:$AJ223,MATCH(MIN($AK213:$AK223),$AK213:$AK223,0),1)/INDEX($C213:$AJ223,MATCH(MIN($AK213:$AK223),$AK213:$AK223,0),MATCH(IF('Data-solution'!$A$3="Maximize",MAX($C224:$AI224),MIN($C224:$AI224)),$C224:$AI224,0))),N217)</f>
        <v>0</v>
      </c>
      <c r="O232" s="1">
        <f>IF(OR($B228&lt;&gt;$B213,$B229&lt;&gt;$B214,$B230&lt;&gt;$B215,$B231&lt;&gt;$B216,$B232&lt;&gt;$B217,$B233&lt;&gt;$B218,$B234&lt;&gt;$B219,$B235&lt;&gt;$B220,$B236&lt;&gt;$B221,$B237&lt;&gt;$B222,$B238&lt;&gt;$B223),IF($B232&lt;&gt;$B217,O217/INDEX($C213:$AJ223,5,MATCH(IF('Data-solution'!$A$3="Maximize",MAX($C224:$AI224),MIN($C224:$AI224)),$C224:$AI224,0)),O217-INDEX($C213:$AJ223,5,MATCH(IF('Data-solution'!$A$3="Maximize",MAX($C224:$AI224),MIN($C224:$AI224)),$C224:$AI224,0))*INDEX(O213:$AJ223,MATCH(MIN($AK213:$AK223),$AK213:$AK223,0),1)/INDEX($C213:$AJ223,MATCH(MIN($AK213:$AK223),$AK213:$AK223,0),MATCH(IF('Data-solution'!$A$3="Maximize",MAX($C224:$AI224),MIN($C224:$AI224)),$C224:$AI224,0))),O217)</f>
        <v>0</v>
      </c>
      <c r="P232" s="1">
        <f>IF(OR($B228&lt;&gt;$B213,$B229&lt;&gt;$B214,$B230&lt;&gt;$B215,$B231&lt;&gt;$B216,$B232&lt;&gt;$B217,$B233&lt;&gt;$B218,$B234&lt;&gt;$B219,$B235&lt;&gt;$B220,$B236&lt;&gt;$B221,$B237&lt;&gt;$B222,$B238&lt;&gt;$B223),IF($B232&lt;&gt;$B217,P217/INDEX($C213:$AJ223,5,MATCH(IF('Data-solution'!$A$3="Maximize",MAX($C224:$AI224),MIN($C224:$AI224)),$C224:$AI224,0)),P217-INDEX($C213:$AJ223,5,MATCH(IF('Data-solution'!$A$3="Maximize",MAX($C224:$AI224),MIN($C224:$AI224)),$C224:$AI224,0))*INDEX(P213:$AJ223,MATCH(MIN($AK213:$AK223),$AK213:$AK223,0),1)/INDEX($C213:$AJ223,MATCH(MIN($AK213:$AK223),$AK213:$AK223,0),MATCH(IF('Data-solution'!$A$3="Maximize",MAX($C224:$AI224),MIN($C224:$AI224)),$C224:$AI224,0))),P217)</f>
        <v>0</v>
      </c>
      <c r="Q232" s="1">
        <f>IF(OR($B228&lt;&gt;$B213,$B229&lt;&gt;$B214,$B230&lt;&gt;$B215,$B231&lt;&gt;$B216,$B232&lt;&gt;$B217,$B233&lt;&gt;$B218,$B234&lt;&gt;$B219,$B235&lt;&gt;$B220,$B236&lt;&gt;$B221,$B237&lt;&gt;$B222,$B238&lt;&gt;$B223),IF($B232&lt;&gt;$B217,Q217/INDEX($C213:$AJ223,5,MATCH(IF('Data-solution'!$A$3="Maximize",MAX($C224:$AI224),MIN($C224:$AI224)),$C224:$AI224,0)),Q217-INDEX($C213:$AJ223,5,MATCH(IF('Data-solution'!$A$3="Maximize",MAX($C224:$AI224),MIN($C224:$AI224)),$C224:$AI224,0))*INDEX(Q213:$AJ223,MATCH(MIN($AK213:$AK223),$AK213:$AK223,0),1)/INDEX($C213:$AJ223,MATCH(MIN($AK213:$AK223),$AK213:$AK223,0),MATCH(IF('Data-solution'!$A$3="Maximize",MAX($C224:$AI224),MIN($C224:$AI224)),$C224:$AI224,0))),Q217)</f>
        <v>0</v>
      </c>
      <c r="R232" s="1">
        <f>IF(OR($B228&lt;&gt;$B213,$B229&lt;&gt;$B214,$B230&lt;&gt;$B215,$B231&lt;&gt;$B216,$B232&lt;&gt;$B217,$B233&lt;&gt;$B218,$B234&lt;&gt;$B219,$B235&lt;&gt;$B220,$B236&lt;&gt;$B221,$B237&lt;&gt;$B222,$B238&lt;&gt;$B223),IF($B232&lt;&gt;$B217,R217/INDEX($C213:$AJ223,5,MATCH(IF('Data-solution'!$A$3="Maximize",MAX($C224:$AI224),MIN($C224:$AI224)),$C224:$AI224,0)),R217-INDEX($C213:$AJ223,5,MATCH(IF('Data-solution'!$A$3="Maximize",MAX($C224:$AI224),MIN($C224:$AI224)),$C224:$AI224,0))*INDEX(R213:$AJ223,MATCH(MIN($AK213:$AK223),$AK213:$AK223,0),1)/INDEX($C213:$AJ223,MATCH(MIN($AK213:$AK223),$AK213:$AK223,0),MATCH(IF('Data-solution'!$A$3="Maximize",MAX($C224:$AI224),MIN($C224:$AI224)),$C224:$AI224,0))),R217)</f>
        <v>1</v>
      </c>
      <c r="S232" s="1">
        <f>IF(OR($B228&lt;&gt;$B213,$B229&lt;&gt;$B214,$B230&lt;&gt;$B215,$B231&lt;&gt;$B216,$B232&lt;&gt;$B217,$B233&lt;&gt;$B218,$B234&lt;&gt;$B219,$B235&lt;&gt;$B220,$B236&lt;&gt;$B221,$B237&lt;&gt;$B222,$B238&lt;&gt;$B223),IF($B232&lt;&gt;$B217,S217/INDEX($C213:$AJ223,5,MATCH(IF('Data-solution'!$A$3="Maximize",MAX($C224:$AI224),MIN($C224:$AI224)),$C224:$AI224,0)),S217-INDEX($C213:$AJ223,5,MATCH(IF('Data-solution'!$A$3="Maximize",MAX($C224:$AI224),MIN($C224:$AI224)),$C224:$AI224,0))*INDEX(S213:$AJ223,MATCH(MIN($AK213:$AK223),$AK213:$AK223,0),1)/INDEX($C213:$AJ223,MATCH(MIN($AK213:$AK223),$AK213:$AK223,0),MATCH(IF('Data-solution'!$A$3="Maximize",MAX($C224:$AI224),MIN($C224:$AI224)),$C224:$AI224,0))),S217)</f>
        <v>0</v>
      </c>
      <c r="T232" s="1">
        <f>IF(OR($B228&lt;&gt;$B213,$B229&lt;&gt;$B214,$B230&lt;&gt;$B215,$B231&lt;&gt;$B216,$B232&lt;&gt;$B217,$B233&lt;&gt;$B218,$B234&lt;&gt;$B219,$B235&lt;&gt;$B220,$B236&lt;&gt;$B221,$B237&lt;&gt;$B222,$B238&lt;&gt;$B223),IF($B232&lt;&gt;$B217,T217/INDEX($C213:$AJ223,5,MATCH(IF('Data-solution'!$A$3="Maximize",MAX($C224:$AI224),MIN($C224:$AI224)),$C224:$AI224,0)),T217-INDEX($C213:$AJ223,5,MATCH(IF('Data-solution'!$A$3="Maximize",MAX($C224:$AI224),MIN($C224:$AI224)),$C224:$AI224,0))*INDEX(T213:$AJ223,MATCH(MIN($AK213:$AK223),$AK213:$AK223,0),1)/INDEX($C213:$AJ223,MATCH(MIN($AK213:$AK223),$AK213:$AK223,0),MATCH(IF('Data-solution'!$A$3="Maximize",MAX($C224:$AI224),MIN($C224:$AI224)),$C224:$AI224,0))),T217)</f>
        <v>0</v>
      </c>
      <c r="U232" s="1">
        <f>IF(OR($B228&lt;&gt;$B213,$B229&lt;&gt;$B214,$B230&lt;&gt;$B215,$B231&lt;&gt;$B216,$B232&lt;&gt;$B217,$B233&lt;&gt;$B218,$B234&lt;&gt;$B219,$B235&lt;&gt;$B220,$B236&lt;&gt;$B221,$B237&lt;&gt;$B222,$B238&lt;&gt;$B223),IF($B232&lt;&gt;$B217,U217/INDEX($C213:$AJ223,5,MATCH(IF('Data-solution'!$A$3="Maximize",MAX($C224:$AI224),MIN($C224:$AI224)),$C224:$AI224,0)),U217-INDEX($C213:$AJ223,5,MATCH(IF('Data-solution'!$A$3="Maximize",MAX($C224:$AI224),MIN($C224:$AI224)),$C224:$AI224,0))*INDEX(U213:$AJ223,MATCH(MIN($AK213:$AK223),$AK213:$AK223,0),1)/INDEX($C213:$AJ223,MATCH(MIN($AK213:$AK223),$AK213:$AK223,0),MATCH(IF('Data-solution'!$A$3="Maximize",MAX($C224:$AI224),MIN($C224:$AI224)),$C224:$AI224,0))),U217)</f>
        <v>0</v>
      </c>
      <c r="V232" s="1">
        <f>IF(OR($B228&lt;&gt;$B213,$B229&lt;&gt;$B214,$B230&lt;&gt;$B215,$B231&lt;&gt;$B216,$B232&lt;&gt;$B217,$B233&lt;&gt;$B218,$B234&lt;&gt;$B219,$B235&lt;&gt;$B220,$B236&lt;&gt;$B221,$B237&lt;&gt;$B222,$B238&lt;&gt;$B223),IF($B232&lt;&gt;$B217,V217/INDEX($C213:$AJ223,5,MATCH(IF('Data-solution'!$A$3="Maximize",MAX($C224:$AI224),MIN($C224:$AI224)),$C224:$AI224,0)),V217-INDEX($C213:$AJ223,5,MATCH(IF('Data-solution'!$A$3="Maximize",MAX($C224:$AI224),MIN($C224:$AI224)),$C224:$AI224,0))*INDEX(V213:$AJ223,MATCH(MIN($AK213:$AK223),$AK213:$AK223,0),1)/INDEX($C213:$AJ223,MATCH(MIN($AK213:$AK223),$AK213:$AK223,0),MATCH(IF('Data-solution'!$A$3="Maximize",MAX($C224:$AI224),MIN($C224:$AI224)),$C224:$AI224,0))),V217)</f>
        <v>0</v>
      </c>
      <c r="W232" s="1">
        <f>IF(OR($B228&lt;&gt;$B213,$B229&lt;&gt;$B214,$B230&lt;&gt;$B215,$B231&lt;&gt;$B216,$B232&lt;&gt;$B217,$B233&lt;&gt;$B218,$B234&lt;&gt;$B219,$B235&lt;&gt;$B220,$B236&lt;&gt;$B221,$B237&lt;&gt;$B222,$B238&lt;&gt;$B223),IF($B232&lt;&gt;$B217,W217/INDEX($C213:$AJ223,5,MATCH(IF('Data-solution'!$A$3="Maximize",MAX($C224:$AI224),MIN($C224:$AI224)),$C224:$AI224,0)),W217-INDEX($C213:$AJ223,5,MATCH(IF('Data-solution'!$A$3="Maximize",MAX($C224:$AI224),MIN($C224:$AI224)),$C224:$AI224,0))*INDEX(W213:$AJ223,MATCH(MIN($AK213:$AK223),$AK213:$AK223,0),1)/INDEX($C213:$AJ223,MATCH(MIN($AK213:$AK223),$AK213:$AK223,0),MATCH(IF('Data-solution'!$A$3="Maximize",MAX($C224:$AI224),MIN($C224:$AI224)),$C224:$AI224,0))),W217)</f>
        <v>0</v>
      </c>
      <c r="X232" s="1">
        <f>IF(OR($B228&lt;&gt;$B213,$B229&lt;&gt;$B214,$B230&lt;&gt;$B215,$B231&lt;&gt;$B216,$B232&lt;&gt;$B217,$B233&lt;&gt;$B218,$B234&lt;&gt;$B219,$B235&lt;&gt;$B220,$B236&lt;&gt;$B221,$B237&lt;&gt;$B222,$B238&lt;&gt;$B223),IF($B232&lt;&gt;$B217,X217/INDEX($C213:$AJ223,5,MATCH(IF('Data-solution'!$A$3="Maximize",MAX($C224:$AI224),MIN($C224:$AI224)),$C224:$AI224,0)),X217-INDEX($C213:$AJ223,5,MATCH(IF('Data-solution'!$A$3="Maximize",MAX($C224:$AI224),MIN($C224:$AI224)),$C224:$AI224,0))*INDEX(X213:$AJ223,MATCH(MIN($AK213:$AK223),$AK213:$AK223,0),1)/INDEX($C213:$AJ223,MATCH(MIN($AK213:$AK223),$AK213:$AK223,0),MATCH(IF('Data-solution'!$A$3="Maximize",MAX($C224:$AI224),MIN($C224:$AI224)),$C224:$AI224,0))),X217)</f>
        <v>0</v>
      </c>
      <c r="Y232" s="1">
        <f>IF(OR($B228&lt;&gt;$B213,$B229&lt;&gt;$B214,$B230&lt;&gt;$B215,$B231&lt;&gt;$B216,$B232&lt;&gt;$B217,$B233&lt;&gt;$B218,$B234&lt;&gt;$B219,$B235&lt;&gt;$B220,$B236&lt;&gt;$B221,$B237&lt;&gt;$B222,$B238&lt;&gt;$B223),IF($B232&lt;&gt;$B217,Y217/INDEX($C213:$AJ223,5,MATCH(IF('Data-solution'!$A$3="Maximize",MAX($C224:$AI224),MIN($C224:$AI224)),$C224:$AI224,0)),Y217-INDEX($C213:$AJ223,5,MATCH(IF('Data-solution'!$A$3="Maximize",MAX($C224:$AI224),MIN($C224:$AI224)),$C224:$AI224,0))*INDEX(Y213:$AJ223,MATCH(MIN($AK213:$AK223),$AK213:$AK223,0),1)/INDEX($C213:$AJ223,MATCH(MIN($AK213:$AK223),$AK213:$AK223,0),MATCH(IF('Data-solution'!$A$3="Maximize",MAX($C224:$AI224),MIN($C224:$AI224)),$C224:$AI224,0))),Y217)</f>
        <v>0</v>
      </c>
      <c r="Z232" s="1">
        <f>IF(OR($B228&lt;&gt;$B213,$B229&lt;&gt;$B214,$B230&lt;&gt;$B215,$B231&lt;&gt;$B216,$B232&lt;&gt;$B217,$B233&lt;&gt;$B218,$B234&lt;&gt;$B219,$B235&lt;&gt;$B220,$B236&lt;&gt;$B221,$B237&lt;&gt;$B222,$B238&lt;&gt;$B223),IF($B232&lt;&gt;$B217,Z217/INDEX($C213:$AJ223,5,MATCH(IF('Data-solution'!$A$3="Maximize",MAX($C224:$AI224),MIN($C224:$AI224)),$C224:$AI224,0)),Z217-INDEX($C213:$AJ223,5,MATCH(IF('Data-solution'!$A$3="Maximize",MAX($C224:$AI224),MIN($C224:$AI224)),$C224:$AI224,0))*INDEX(Z213:$AJ223,MATCH(MIN($AK213:$AK223),$AK213:$AK223,0),1)/INDEX($C213:$AJ223,MATCH(MIN($AK213:$AK223),$AK213:$AK223,0),MATCH(IF('Data-solution'!$A$3="Maximize",MAX($C224:$AI224),MIN($C224:$AI224)),$C224:$AI224,0))),Z217)</f>
        <v>0</v>
      </c>
      <c r="AA232" s="1">
        <f>IF(OR($B228&lt;&gt;$B213,$B229&lt;&gt;$B214,$B230&lt;&gt;$B215,$B231&lt;&gt;$B216,$B232&lt;&gt;$B217,$B233&lt;&gt;$B218,$B234&lt;&gt;$B219,$B235&lt;&gt;$B220,$B236&lt;&gt;$B221,$B237&lt;&gt;$B222,$B238&lt;&gt;$B223),IF($B232&lt;&gt;$B217,AA217/INDEX($C213:$AJ223,5,MATCH(IF('Data-solution'!$A$3="Maximize",MAX($C224:$AI224),MIN($C224:$AI224)),$C224:$AI224,0)),AA217-INDEX($C213:$AJ223,5,MATCH(IF('Data-solution'!$A$3="Maximize",MAX($C224:$AI224),MIN($C224:$AI224)),$C224:$AI224,0))*INDEX(AA213:$AJ223,MATCH(MIN($AK213:$AK223),$AK213:$AK223,0),1)/INDEX($C213:$AJ223,MATCH(MIN($AK213:$AK223),$AK213:$AK223,0),MATCH(IF('Data-solution'!$A$3="Maximize",MAX($C224:$AI224),MIN($C224:$AI224)),$C224:$AI224,0))),AA217)</f>
        <v>0</v>
      </c>
      <c r="AB232" s="1">
        <f>IF(OR($B228&lt;&gt;$B213,$B229&lt;&gt;$B214,$B230&lt;&gt;$B215,$B231&lt;&gt;$B216,$B232&lt;&gt;$B217,$B233&lt;&gt;$B218,$B234&lt;&gt;$B219,$B235&lt;&gt;$B220,$B236&lt;&gt;$B221,$B237&lt;&gt;$B222,$B238&lt;&gt;$B223),IF($B232&lt;&gt;$B217,AB217/INDEX($C213:$AJ223,5,MATCH(IF('Data-solution'!$A$3="Maximize",MAX($C224:$AI224),MIN($C224:$AI224)),$C224:$AI224,0)),AB217-INDEX($C213:$AJ223,5,MATCH(IF('Data-solution'!$A$3="Maximize",MAX($C224:$AI224),MIN($C224:$AI224)),$C224:$AI224,0))*INDEX(AB213:$AJ223,MATCH(MIN($AK213:$AK223),$AK213:$AK223,0),1)/INDEX($C213:$AJ223,MATCH(MIN($AK213:$AK223),$AK213:$AK223,0),MATCH(IF('Data-solution'!$A$3="Maximize",MAX($C224:$AI224),MIN($C224:$AI224)),$C224:$AI224,0))),AB217)</f>
        <v>0</v>
      </c>
      <c r="AC232" s="1">
        <f>IF(OR($B228&lt;&gt;$B213,$B229&lt;&gt;$B214,$B230&lt;&gt;$B215,$B231&lt;&gt;$B216,$B232&lt;&gt;$B217,$B233&lt;&gt;$B218,$B234&lt;&gt;$B219,$B235&lt;&gt;$B220,$B236&lt;&gt;$B221,$B237&lt;&gt;$B222,$B238&lt;&gt;$B223),IF($B232&lt;&gt;$B217,AC217/INDEX($C213:$AJ223,5,MATCH(IF('Data-solution'!$A$3="Maximize",MAX($C224:$AI224),MIN($C224:$AI224)),$C224:$AI224,0)),AC217-INDEX($C213:$AJ223,5,MATCH(IF('Data-solution'!$A$3="Maximize",MAX($C224:$AI224),MIN($C224:$AI224)),$C224:$AI224,0))*INDEX(AC213:$AJ223,MATCH(MIN($AK213:$AK223),$AK213:$AK223,0),1)/INDEX($C213:$AJ223,MATCH(MIN($AK213:$AK223),$AK213:$AK223,0),MATCH(IF('Data-solution'!$A$3="Maximize",MAX($C224:$AI224),MIN($C224:$AI224)),$C224:$AI224,0))),AC217)</f>
        <v>1</v>
      </c>
      <c r="AD232" s="1">
        <f>IF(OR($B228&lt;&gt;$B213,$B229&lt;&gt;$B214,$B230&lt;&gt;$B215,$B231&lt;&gt;$B216,$B232&lt;&gt;$B217,$B233&lt;&gt;$B218,$B234&lt;&gt;$B219,$B235&lt;&gt;$B220,$B236&lt;&gt;$B221,$B237&lt;&gt;$B222,$B238&lt;&gt;$B223),IF($B232&lt;&gt;$B217,AD217/INDEX($C213:$AJ223,5,MATCH(IF('Data-solution'!$A$3="Maximize",MAX($C224:$AI224),MIN($C224:$AI224)),$C224:$AI224,0)),AD217-INDEX($C213:$AJ223,5,MATCH(IF('Data-solution'!$A$3="Maximize",MAX($C224:$AI224),MIN($C224:$AI224)),$C224:$AI224,0))*INDEX(AD213:$AJ223,MATCH(MIN($AK213:$AK223),$AK213:$AK223,0),1)/INDEX($C213:$AJ223,MATCH(MIN($AK213:$AK223),$AK213:$AK223,0),MATCH(IF('Data-solution'!$A$3="Maximize",MAX($C224:$AI224),MIN($C224:$AI224)),$C224:$AI224,0))),AD217)</f>
        <v>0</v>
      </c>
      <c r="AE232" s="1">
        <f>IF(OR($B228&lt;&gt;$B213,$B229&lt;&gt;$B214,$B230&lt;&gt;$B215,$B231&lt;&gt;$B216,$B232&lt;&gt;$B217,$B233&lt;&gt;$B218,$B234&lt;&gt;$B219,$B235&lt;&gt;$B220,$B236&lt;&gt;$B221,$B237&lt;&gt;$B222,$B238&lt;&gt;$B223),IF($B232&lt;&gt;$B217,AE217/INDEX($C213:$AJ223,5,MATCH(IF('Data-solution'!$A$3="Maximize",MAX($C224:$AI224),MIN($C224:$AI224)),$C224:$AI224,0)),AE217-INDEX($C213:$AJ223,5,MATCH(IF('Data-solution'!$A$3="Maximize",MAX($C224:$AI224),MIN($C224:$AI224)),$C224:$AI224,0))*INDEX(AE213:$AJ223,MATCH(MIN($AK213:$AK223),$AK213:$AK223,0),1)/INDEX($C213:$AJ223,MATCH(MIN($AK213:$AK223),$AK213:$AK223,0),MATCH(IF('Data-solution'!$A$3="Maximize",MAX($C224:$AI224),MIN($C224:$AI224)),$C224:$AI224,0))),AE217)</f>
        <v>0</v>
      </c>
      <c r="AF232" s="1">
        <f>IF(OR($B228&lt;&gt;$B213,$B229&lt;&gt;$B214,$B230&lt;&gt;$B215,$B231&lt;&gt;$B216,$B232&lt;&gt;$B217,$B233&lt;&gt;$B218,$B234&lt;&gt;$B219,$B235&lt;&gt;$B220,$B236&lt;&gt;$B221,$B237&lt;&gt;$B222,$B238&lt;&gt;$B223),IF($B232&lt;&gt;$B217,AF217/INDEX($C213:$AJ223,5,MATCH(IF('Data-solution'!$A$3="Maximize",MAX($C224:$AI224),MIN($C224:$AI224)),$C224:$AI224,0)),AF217-INDEX($C213:$AJ223,5,MATCH(IF('Data-solution'!$A$3="Maximize",MAX($C224:$AI224),MIN($C224:$AI224)),$C224:$AI224,0))*INDEX(AF213:$AJ223,MATCH(MIN($AK213:$AK223),$AK213:$AK223,0),1)/INDEX($C213:$AJ223,MATCH(MIN($AK213:$AK223),$AK213:$AK223,0),MATCH(IF('Data-solution'!$A$3="Maximize",MAX($C224:$AI224),MIN($C224:$AI224)),$C224:$AI224,0))),AF217)</f>
        <v>0</v>
      </c>
      <c r="AG232" s="1">
        <f>IF(OR($B228&lt;&gt;$B213,$B229&lt;&gt;$B214,$B230&lt;&gt;$B215,$B231&lt;&gt;$B216,$B232&lt;&gt;$B217,$B233&lt;&gt;$B218,$B234&lt;&gt;$B219,$B235&lt;&gt;$B220,$B236&lt;&gt;$B221,$B237&lt;&gt;$B222,$B238&lt;&gt;$B223),IF($B232&lt;&gt;$B217,AG217/INDEX($C213:$AJ223,5,MATCH(IF('Data-solution'!$A$3="Maximize",MAX($C224:$AI224),MIN($C224:$AI224)),$C224:$AI224,0)),AG217-INDEX($C213:$AJ223,5,MATCH(IF('Data-solution'!$A$3="Maximize",MAX($C224:$AI224),MIN($C224:$AI224)),$C224:$AI224,0))*INDEX(AG213:$AJ223,MATCH(MIN($AK213:$AK223),$AK213:$AK223,0),1)/INDEX($C213:$AJ223,MATCH(MIN($AK213:$AK223),$AK213:$AK223,0),MATCH(IF('Data-solution'!$A$3="Maximize",MAX($C224:$AI224),MIN($C224:$AI224)),$C224:$AI224,0))),AG217)</f>
        <v>0</v>
      </c>
      <c r="AH232" s="1">
        <f>IF(OR($B228&lt;&gt;$B213,$B229&lt;&gt;$B214,$B230&lt;&gt;$B215,$B231&lt;&gt;$B216,$B232&lt;&gt;$B217,$B233&lt;&gt;$B218,$B234&lt;&gt;$B219,$B235&lt;&gt;$B220,$B236&lt;&gt;$B221,$B237&lt;&gt;$B222,$B238&lt;&gt;$B223),IF($B232&lt;&gt;$B217,AH217/INDEX($C213:$AJ223,5,MATCH(IF('Data-solution'!$A$3="Maximize",MAX($C224:$AI224),MIN($C224:$AI224)),$C224:$AI224,0)),AH217-INDEX($C213:$AJ223,5,MATCH(IF('Data-solution'!$A$3="Maximize",MAX($C224:$AI224),MIN($C224:$AI224)),$C224:$AI224,0))*INDEX(AH213:$AJ223,MATCH(MIN($AK213:$AK223),$AK213:$AK223,0),1)/INDEX($C213:$AJ223,MATCH(MIN($AK213:$AK223),$AK213:$AK223,0),MATCH(IF('Data-solution'!$A$3="Maximize",MAX($C224:$AI224),MIN($C224:$AI224)),$C224:$AI224,0))),AH217)</f>
        <v>0</v>
      </c>
      <c r="AI232" s="1">
        <f>IF(OR($B228&lt;&gt;$B213,$B229&lt;&gt;$B214,$B230&lt;&gt;$B215,$B231&lt;&gt;$B216,$B232&lt;&gt;$B217,$B233&lt;&gt;$B218,$B234&lt;&gt;$B219,$B235&lt;&gt;$B220,$B236&lt;&gt;$B221,$B237&lt;&gt;$B222,$B238&lt;&gt;$B223),IF($B232&lt;&gt;$B217,AI217/INDEX($C213:$AJ223,5,MATCH(IF('Data-solution'!$A$3="Maximize",MAX($C224:$AI224),MIN($C224:$AI224)),$C224:$AI224,0)),AI217-INDEX($C213:$AJ223,5,MATCH(IF('Data-solution'!$A$3="Maximize",MAX($C224:$AI224),MIN($C224:$AI224)),$C224:$AI224,0))*INDEX(AI213:$AJ223,MATCH(MIN($AK213:$AK223),$AK213:$AK223,0),1)/INDEX($C213:$AJ223,MATCH(MIN($AK213:$AK223),$AK213:$AK223,0),MATCH(IF('Data-solution'!$A$3="Maximize",MAX($C224:$AI224),MIN($C224:$AI224)),$C224:$AI224,0))),AI217)</f>
        <v>0</v>
      </c>
      <c r="AJ232" s="1">
        <f>IF(OR($B228&lt;&gt;$B213,$B229&lt;&gt;$B214,$B230&lt;&gt;$B215,$B231&lt;&gt;$B216,$B232&lt;&gt;$B217,$B233&lt;&gt;$B218,$B234&lt;&gt;$B219,$B235&lt;&gt;$B220,$B236&lt;&gt;$B221,$B237&lt;&gt;$B222,$B238&lt;&gt;$B223),IF($B232&lt;&gt;$B217,AJ217/INDEX($C213:$AJ223,5,MATCH(IF('Data-solution'!$A$3="Maximize",MAX($C224:$AI224),MIN($C224:$AI224)),$C224:$AI224,0)),AJ217-INDEX($C213:$AJ223,5,MATCH(IF('Data-solution'!$A$3="Maximize",MAX($C224:$AI224),MIN($C224:$AI224)),$C224:$AI224,0))*INDEX(AJ213:$AJ223,MATCH(MIN($AK213:$AK223),$AK213:$AK223,0),1)/INDEX($C213:$AJ223,MATCH(MIN($AK213:$AK223),$AK213:$AK223,0),MATCH(IF('Data-solution'!$A$3="Maximize",MAX($C224:$AI224),MIN($C224:$AI224)),$C224:$AI224,0))),AJ217)</f>
        <v>0</v>
      </c>
      <c r="AK232" s="1" t="str">
        <f>IF(INDEX(C232:X232,1,MATCH(IF('Data-solution'!A$3="Maximize",MAX(C239:X239),MIN(C239:X239)),C239:X239,0))&gt;0,AJ232/INDEX(C232:X232,1,MATCH(IF('Data-solution'!A$3="Maximize",MAX(C239:X239),MIN(C239:X239)),C239:X239,0))," ")</f>
        <v xml:space="preserve"> </v>
      </c>
    </row>
    <row r="233" spans="1:37" ht="18" customHeight="1" x14ac:dyDescent="0.2">
      <c r="A233" s="1">
        <f t="shared" ref="A233" si="203">INDEX(C226:AI226,1,MATCH(B233,C227:AI227,0))</f>
        <v>0</v>
      </c>
      <c r="B233" s="2" t="str">
        <f>IF(AND('Data-solution'!A$3="Maximize",COUNTIF(C224:X224,"&gt;"&amp;0)&gt;0,AK218=MIN(AK213:AK223),COUNTIF(B228:B232,INDEX(C212:X212,1,MATCH(MAX(C224:X224),C224:X224,0)))=0),INDEX(C212:X212,1,MATCH(MAX(C224:X224),C224:X224,0)),IF(AND('Data-solution'!A$3="Minimize",COUNTIF(C224:X224,"&lt;"&amp;0)&gt;0,AK218=MIN(AK213:AK223),COUNTIF(B228:B232,INDEX(C212:X212,1,MATCH(MIN(C224:X224),C224:X224,0)))=0),INDEX(C212:X212,1,MATCH(MIN(C224:X224),C224:X224,0)),B218))</f>
        <v>S6</v>
      </c>
      <c r="C233" s="1">
        <f>IF(OR($B228&lt;&gt;$B213,$B229&lt;&gt;$B214,$B230&lt;&gt;$B215,$B231&lt;&gt;$B216,$B232&lt;&gt;$B217,$B233&lt;&gt;$B218,$B234&lt;&gt;$B219,$B235&lt;&gt;$B220,$B236&lt;&gt;$B221,$B237&lt;&gt;$B222,$B238&lt;&gt;$B223),IF($B233&lt;&gt;$B218,C218/INDEX($C213:$AJ223,6,MATCH(IF('Data-solution'!$A$3="Maximize",MAX($C224:$AI224),MIN($C224:$AI224)),$C224:$AI224,0)),C218-INDEX($C213:$AJ223,6,MATCH(IF('Data-solution'!$A$3="Maximize",MAX($C224:$AI224),MIN($C224:$AI224)),$C224:$AI224,0))*INDEX(C213:$AJ223,MATCH(MIN($AK213:$AK223),$AK213:$AK223,0),1)/INDEX($C213:$AJ223,MATCH(MIN($AK213:$AK223),$AK213:$AK223,0),MATCH(IF('Data-solution'!$A$3="Maximize",MAX($C224:$AI224),MIN($C224:$AI224)),$C224:$AI224,0))),C218)</f>
        <v>0</v>
      </c>
      <c r="D233" s="1">
        <f>IF(OR($B228&lt;&gt;$B213,$B229&lt;&gt;$B214,$B230&lt;&gt;$B215,$B231&lt;&gt;$B216,$B232&lt;&gt;$B217,$B233&lt;&gt;$B218,$B234&lt;&gt;$B219,$B235&lt;&gt;$B220,$B236&lt;&gt;$B221,$B237&lt;&gt;$B222,$B238&lt;&gt;$B223),IF($B233&lt;&gt;$B218,D218/INDEX($C213:$AJ223,6,MATCH(IF('Data-solution'!$A$3="Maximize",MAX($C224:$AI224),MIN($C224:$AI224)),$C224:$AI224,0)),D218-INDEX($C213:$AJ223,6,MATCH(IF('Data-solution'!$A$3="Maximize",MAX($C224:$AI224),MIN($C224:$AI224)),$C224:$AI224,0))*INDEX(D213:$AJ223,MATCH(MIN($AK213:$AK223),$AK213:$AK223,0),1)/INDEX($C213:$AJ223,MATCH(MIN($AK213:$AK223),$AK213:$AK223,0),MATCH(IF('Data-solution'!$A$3="Maximize",MAX($C224:$AI224),MIN($C224:$AI224)),$C224:$AI224,0))),D218)</f>
        <v>0</v>
      </c>
      <c r="E233" s="1">
        <f>IF(OR($B228&lt;&gt;$B213,$B229&lt;&gt;$B214,$B230&lt;&gt;$B215,$B231&lt;&gt;$B216,$B232&lt;&gt;$B217,$B233&lt;&gt;$B218,$B234&lt;&gt;$B219,$B235&lt;&gt;$B220,$B236&lt;&gt;$B221,$B237&lt;&gt;$B222,$B238&lt;&gt;$B223),IF($B233&lt;&gt;$B218,E218/INDEX($C213:$AJ223,6,MATCH(IF('Data-solution'!$A$3="Maximize",MAX($C224:$AI224),MIN($C224:$AI224)),$C224:$AI224,0)),E218-INDEX($C213:$AJ223,6,MATCH(IF('Data-solution'!$A$3="Maximize",MAX($C224:$AI224),MIN($C224:$AI224)),$C224:$AI224,0))*INDEX(E213:$AJ223,MATCH(MIN($AK213:$AK223),$AK213:$AK223,0),1)/INDEX($C213:$AJ223,MATCH(MIN($AK213:$AK223),$AK213:$AK223,0),MATCH(IF('Data-solution'!$A$3="Maximize",MAX($C224:$AI224),MIN($C224:$AI224)),$C224:$AI224,0))),E218)</f>
        <v>0</v>
      </c>
      <c r="F233" s="1">
        <f>IF(OR($B228&lt;&gt;$B213,$B229&lt;&gt;$B214,$B230&lt;&gt;$B215,$B231&lt;&gt;$B216,$B232&lt;&gt;$B217,$B233&lt;&gt;$B218,$B234&lt;&gt;$B219,$B235&lt;&gt;$B220,$B236&lt;&gt;$B221,$B237&lt;&gt;$B222,$B238&lt;&gt;$B223),IF($B233&lt;&gt;$B218,F218/INDEX($C213:$AJ223,6,MATCH(IF('Data-solution'!$A$3="Maximize",MAX($C224:$AI224),MIN($C224:$AI224)),$C224:$AI224,0)),F218-INDEX($C213:$AJ223,6,MATCH(IF('Data-solution'!$A$3="Maximize",MAX($C224:$AI224),MIN($C224:$AI224)),$C224:$AI224,0))*INDEX(F213:$AJ223,MATCH(MIN($AK213:$AK223),$AK213:$AK223,0),1)/INDEX($C213:$AJ223,MATCH(MIN($AK213:$AK223),$AK213:$AK223,0),MATCH(IF('Data-solution'!$A$3="Maximize",MAX($C224:$AI224),MIN($C224:$AI224)),$C224:$AI224,0))),F218)</f>
        <v>0</v>
      </c>
      <c r="G233" s="1">
        <f>IF(OR($B228&lt;&gt;$B213,$B229&lt;&gt;$B214,$B230&lt;&gt;$B215,$B231&lt;&gt;$B216,$B232&lt;&gt;$B217,$B233&lt;&gt;$B218,$B234&lt;&gt;$B219,$B235&lt;&gt;$B220,$B236&lt;&gt;$B221,$B237&lt;&gt;$B222,$B238&lt;&gt;$B223),IF($B233&lt;&gt;$B218,G218/INDEX($C213:$AJ223,6,MATCH(IF('Data-solution'!$A$3="Maximize",MAX($C224:$AI224),MIN($C224:$AI224)),$C224:$AI224,0)),G218-INDEX($C213:$AJ223,6,MATCH(IF('Data-solution'!$A$3="Maximize",MAX($C224:$AI224),MIN($C224:$AI224)),$C224:$AI224,0))*INDEX(G213:$AJ223,MATCH(MIN($AK213:$AK223),$AK213:$AK223,0),1)/INDEX($C213:$AJ223,MATCH(MIN($AK213:$AK223),$AK213:$AK223,0),MATCH(IF('Data-solution'!$A$3="Maximize",MAX($C224:$AI224),MIN($C224:$AI224)),$C224:$AI224,0))),G218)</f>
        <v>0</v>
      </c>
      <c r="H233" s="1">
        <f>IF(OR($B228&lt;&gt;$B213,$B229&lt;&gt;$B214,$B230&lt;&gt;$B215,$B231&lt;&gt;$B216,$B232&lt;&gt;$B217,$B233&lt;&gt;$B218,$B234&lt;&gt;$B219,$B235&lt;&gt;$B220,$B236&lt;&gt;$B221,$B237&lt;&gt;$B222,$B238&lt;&gt;$B223),IF($B233&lt;&gt;$B218,H218/INDEX($C213:$AJ223,6,MATCH(IF('Data-solution'!$A$3="Maximize",MAX($C224:$AI224),MIN($C224:$AI224)),$C224:$AI224,0)),H218-INDEX($C213:$AJ223,6,MATCH(IF('Data-solution'!$A$3="Maximize",MAX($C224:$AI224),MIN($C224:$AI224)),$C224:$AI224,0))*INDEX(H213:$AJ223,MATCH(MIN($AK213:$AK223),$AK213:$AK223,0),1)/INDEX($C213:$AJ223,MATCH(MIN($AK213:$AK223),$AK213:$AK223,0),MATCH(IF('Data-solution'!$A$3="Maximize",MAX($C224:$AI224),MIN($C224:$AI224)),$C224:$AI224,0))),H218)</f>
        <v>0</v>
      </c>
      <c r="I233" s="1">
        <f>IF(OR($B228&lt;&gt;$B213,$B229&lt;&gt;$B214,$B230&lt;&gt;$B215,$B231&lt;&gt;$B216,$B232&lt;&gt;$B217,$B233&lt;&gt;$B218,$B234&lt;&gt;$B219,$B235&lt;&gt;$B220,$B236&lt;&gt;$B221,$B237&lt;&gt;$B222,$B238&lt;&gt;$B223),IF($B233&lt;&gt;$B218,I218/INDEX($C213:$AJ223,6,MATCH(IF('Data-solution'!$A$3="Maximize",MAX($C224:$AI224),MIN($C224:$AI224)),$C224:$AI224,0)),I218-INDEX($C213:$AJ223,6,MATCH(IF('Data-solution'!$A$3="Maximize",MAX($C224:$AI224),MIN($C224:$AI224)),$C224:$AI224,0))*INDEX(I213:$AJ223,MATCH(MIN($AK213:$AK223),$AK213:$AK223,0),1)/INDEX($C213:$AJ223,MATCH(MIN($AK213:$AK223),$AK213:$AK223,0),MATCH(IF('Data-solution'!$A$3="Maximize",MAX($C224:$AI224),MIN($C224:$AI224)),$C224:$AI224,0))),I218)</f>
        <v>0</v>
      </c>
      <c r="J233" s="1">
        <f>IF(OR($B228&lt;&gt;$B213,$B229&lt;&gt;$B214,$B230&lt;&gt;$B215,$B231&lt;&gt;$B216,$B232&lt;&gt;$B217,$B233&lt;&gt;$B218,$B234&lt;&gt;$B219,$B235&lt;&gt;$B220,$B236&lt;&gt;$B221,$B237&lt;&gt;$B222,$B238&lt;&gt;$B223),IF($B233&lt;&gt;$B218,J218/INDEX($C213:$AJ223,6,MATCH(IF('Data-solution'!$A$3="Maximize",MAX($C224:$AI224),MIN($C224:$AI224)),$C224:$AI224,0)),J218-INDEX($C213:$AJ223,6,MATCH(IF('Data-solution'!$A$3="Maximize",MAX($C224:$AI224),MIN($C224:$AI224)),$C224:$AI224,0))*INDEX(J213:$AJ223,MATCH(MIN($AK213:$AK223),$AK213:$AK223,0),1)/INDEX($C213:$AJ223,MATCH(MIN($AK213:$AK223),$AK213:$AK223,0),MATCH(IF('Data-solution'!$A$3="Maximize",MAX($C224:$AI224),MIN($C224:$AI224)),$C224:$AI224,0))),J218)</f>
        <v>0</v>
      </c>
      <c r="K233" s="1">
        <f>IF(OR($B228&lt;&gt;$B213,$B229&lt;&gt;$B214,$B230&lt;&gt;$B215,$B231&lt;&gt;$B216,$B232&lt;&gt;$B217,$B233&lt;&gt;$B218,$B234&lt;&gt;$B219,$B235&lt;&gt;$B220,$B236&lt;&gt;$B221,$B237&lt;&gt;$B222,$B238&lt;&gt;$B223),IF($B233&lt;&gt;$B218,K218/INDEX($C213:$AJ223,6,MATCH(IF('Data-solution'!$A$3="Maximize",MAX($C224:$AI224),MIN($C224:$AI224)),$C224:$AI224,0)),K218-INDEX($C213:$AJ223,6,MATCH(IF('Data-solution'!$A$3="Maximize",MAX($C224:$AI224),MIN($C224:$AI224)),$C224:$AI224,0))*INDEX(K213:$AJ223,MATCH(MIN($AK213:$AK223),$AK213:$AK223,0),1)/INDEX($C213:$AJ223,MATCH(MIN($AK213:$AK223),$AK213:$AK223,0),MATCH(IF('Data-solution'!$A$3="Maximize",MAX($C224:$AI224),MIN($C224:$AI224)),$C224:$AI224,0))),K218)</f>
        <v>0</v>
      </c>
      <c r="L233" s="1">
        <f>IF(OR($B228&lt;&gt;$B213,$B229&lt;&gt;$B214,$B230&lt;&gt;$B215,$B231&lt;&gt;$B216,$B232&lt;&gt;$B217,$B233&lt;&gt;$B218,$B234&lt;&gt;$B219,$B235&lt;&gt;$B220,$B236&lt;&gt;$B221,$B237&lt;&gt;$B222,$B238&lt;&gt;$B223),IF($B233&lt;&gt;$B218,L218/INDEX($C213:$AJ223,6,MATCH(IF('Data-solution'!$A$3="Maximize",MAX($C224:$AI224),MIN($C224:$AI224)),$C224:$AI224,0)),L218-INDEX($C213:$AJ223,6,MATCH(IF('Data-solution'!$A$3="Maximize",MAX($C224:$AI224),MIN($C224:$AI224)),$C224:$AI224,0))*INDEX(L213:$AJ223,MATCH(MIN($AK213:$AK223),$AK213:$AK223,0),1)/INDEX($C213:$AJ223,MATCH(MIN($AK213:$AK223),$AK213:$AK223,0),MATCH(IF('Data-solution'!$A$3="Maximize",MAX($C224:$AI224),MIN($C224:$AI224)),$C224:$AI224,0))),L218)</f>
        <v>0</v>
      </c>
      <c r="M233" s="1">
        <f>IF(OR($B228&lt;&gt;$B213,$B229&lt;&gt;$B214,$B230&lt;&gt;$B215,$B231&lt;&gt;$B216,$B232&lt;&gt;$B217,$B233&lt;&gt;$B218,$B234&lt;&gt;$B219,$B235&lt;&gt;$B220,$B236&lt;&gt;$B221,$B237&lt;&gt;$B222,$B238&lt;&gt;$B223),IF($B233&lt;&gt;$B218,M218/INDEX($C213:$AJ223,6,MATCH(IF('Data-solution'!$A$3="Maximize",MAX($C224:$AI224),MIN($C224:$AI224)),$C224:$AI224,0)),M218-INDEX($C213:$AJ223,6,MATCH(IF('Data-solution'!$A$3="Maximize",MAX($C224:$AI224),MIN($C224:$AI224)),$C224:$AI224,0))*INDEX(M213:$AJ223,MATCH(MIN($AK213:$AK223),$AK213:$AK223,0),1)/INDEX($C213:$AJ223,MATCH(MIN($AK213:$AK223),$AK213:$AK223,0),MATCH(IF('Data-solution'!$A$3="Maximize",MAX($C224:$AI224),MIN($C224:$AI224)),$C224:$AI224,0))),M218)</f>
        <v>0</v>
      </c>
      <c r="N233" s="1">
        <f>IF(OR($B228&lt;&gt;$B213,$B229&lt;&gt;$B214,$B230&lt;&gt;$B215,$B231&lt;&gt;$B216,$B232&lt;&gt;$B217,$B233&lt;&gt;$B218,$B234&lt;&gt;$B219,$B235&lt;&gt;$B220,$B236&lt;&gt;$B221,$B237&lt;&gt;$B222,$B238&lt;&gt;$B223),IF($B233&lt;&gt;$B218,N218/INDEX($C213:$AJ223,6,MATCH(IF('Data-solution'!$A$3="Maximize",MAX($C224:$AI224),MIN($C224:$AI224)),$C224:$AI224,0)),N218-INDEX($C213:$AJ223,6,MATCH(IF('Data-solution'!$A$3="Maximize",MAX($C224:$AI224),MIN($C224:$AI224)),$C224:$AI224,0))*INDEX(N213:$AJ223,MATCH(MIN($AK213:$AK223),$AK213:$AK223,0),1)/INDEX($C213:$AJ223,MATCH(MIN($AK213:$AK223),$AK213:$AK223,0),MATCH(IF('Data-solution'!$A$3="Maximize",MAX($C224:$AI224),MIN($C224:$AI224)),$C224:$AI224,0))),N218)</f>
        <v>0</v>
      </c>
      <c r="O233" s="1">
        <f>IF(OR($B228&lt;&gt;$B213,$B229&lt;&gt;$B214,$B230&lt;&gt;$B215,$B231&lt;&gt;$B216,$B232&lt;&gt;$B217,$B233&lt;&gt;$B218,$B234&lt;&gt;$B219,$B235&lt;&gt;$B220,$B236&lt;&gt;$B221,$B237&lt;&gt;$B222,$B238&lt;&gt;$B223),IF($B233&lt;&gt;$B218,O218/INDEX($C213:$AJ223,6,MATCH(IF('Data-solution'!$A$3="Maximize",MAX($C224:$AI224),MIN($C224:$AI224)),$C224:$AI224,0)),O218-INDEX($C213:$AJ223,6,MATCH(IF('Data-solution'!$A$3="Maximize",MAX($C224:$AI224),MIN($C224:$AI224)),$C224:$AI224,0))*INDEX(O213:$AJ223,MATCH(MIN($AK213:$AK223),$AK213:$AK223,0),1)/INDEX($C213:$AJ223,MATCH(MIN($AK213:$AK223),$AK213:$AK223,0),MATCH(IF('Data-solution'!$A$3="Maximize",MAX($C224:$AI224),MIN($C224:$AI224)),$C224:$AI224,0))),O218)</f>
        <v>0</v>
      </c>
      <c r="P233" s="1">
        <f>IF(OR($B228&lt;&gt;$B213,$B229&lt;&gt;$B214,$B230&lt;&gt;$B215,$B231&lt;&gt;$B216,$B232&lt;&gt;$B217,$B233&lt;&gt;$B218,$B234&lt;&gt;$B219,$B235&lt;&gt;$B220,$B236&lt;&gt;$B221,$B237&lt;&gt;$B222,$B238&lt;&gt;$B223),IF($B233&lt;&gt;$B218,P218/INDEX($C213:$AJ223,6,MATCH(IF('Data-solution'!$A$3="Maximize",MAX($C224:$AI224),MIN($C224:$AI224)),$C224:$AI224,0)),P218-INDEX($C213:$AJ223,6,MATCH(IF('Data-solution'!$A$3="Maximize",MAX($C224:$AI224),MIN($C224:$AI224)),$C224:$AI224,0))*INDEX(P213:$AJ223,MATCH(MIN($AK213:$AK223),$AK213:$AK223,0),1)/INDEX($C213:$AJ223,MATCH(MIN($AK213:$AK223),$AK213:$AK223,0),MATCH(IF('Data-solution'!$A$3="Maximize",MAX($C224:$AI224),MIN($C224:$AI224)),$C224:$AI224,0))),P218)</f>
        <v>0</v>
      </c>
      <c r="Q233" s="1">
        <f>IF(OR($B228&lt;&gt;$B213,$B229&lt;&gt;$B214,$B230&lt;&gt;$B215,$B231&lt;&gt;$B216,$B232&lt;&gt;$B217,$B233&lt;&gt;$B218,$B234&lt;&gt;$B219,$B235&lt;&gt;$B220,$B236&lt;&gt;$B221,$B237&lt;&gt;$B222,$B238&lt;&gt;$B223),IF($B233&lt;&gt;$B218,Q218/INDEX($C213:$AJ223,6,MATCH(IF('Data-solution'!$A$3="Maximize",MAX($C224:$AI224),MIN($C224:$AI224)),$C224:$AI224,0)),Q218-INDEX($C213:$AJ223,6,MATCH(IF('Data-solution'!$A$3="Maximize",MAX($C224:$AI224),MIN($C224:$AI224)),$C224:$AI224,0))*INDEX(Q213:$AJ223,MATCH(MIN($AK213:$AK223),$AK213:$AK223,0),1)/INDEX($C213:$AJ223,MATCH(MIN($AK213:$AK223),$AK213:$AK223,0),MATCH(IF('Data-solution'!$A$3="Maximize",MAX($C224:$AI224),MIN($C224:$AI224)),$C224:$AI224,0))),Q218)</f>
        <v>0</v>
      </c>
      <c r="R233" s="1">
        <f>IF(OR($B228&lt;&gt;$B213,$B229&lt;&gt;$B214,$B230&lt;&gt;$B215,$B231&lt;&gt;$B216,$B232&lt;&gt;$B217,$B233&lt;&gt;$B218,$B234&lt;&gt;$B219,$B235&lt;&gt;$B220,$B236&lt;&gt;$B221,$B237&lt;&gt;$B222,$B238&lt;&gt;$B223),IF($B233&lt;&gt;$B218,R218/INDEX($C213:$AJ223,6,MATCH(IF('Data-solution'!$A$3="Maximize",MAX($C224:$AI224),MIN($C224:$AI224)),$C224:$AI224,0)),R218-INDEX($C213:$AJ223,6,MATCH(IF('Data-solution'!$A$3="Maximize",MAX($C224:$AI224),MIN($C224:$AI224)),$C224:$AI224,0))*INDEX(R213:$AJ223,MATCH(MIN($AK213:$AK223),$AK213:$AK223,0),1)/INDEX($C213:$AJ223,MATCH(MIN($AK213:$AK223),$AK213:$AK223,0),MATCH(IF('Data-solution'!$A$3="Maximize",MAX($C224:$AI224),MIN($C224:$AI224)),$C224:$AI224,0))),R218)</f>
        <v>0</v>
      </c>
      <c r="S233" s="1">
        <f>IF(OR($B228&lt;&gt;$B213,$B229&lt;&gt;$B214,$B230&lt;&gt;$B215,$B231&lt;&gt;$B216,$B232&lt;&gt;$B217,$B233&lt;&gt;$B218,$B234&lt;&gt;$B219,$B235&lt;&gt;$B220,$B236&lt;&gt;$B221,$B237&lt;&gt;$B222,$B238&lt;&gt;$B223),IF($B233&lt;&gt;$B218,S218/INDEX($C213:$AJ223,6,MATCH(IF('Data-solution'!$A$3="Maximize",MAX($C224:$AI224),MIN($C224:$AI224)),$C224:$AI224,0)),S218-INDEX($C213:$AJ223,6,MATCH(IF('Data-solution'!$A$3="Maximize",MAX($C224:$AI224),MIN($C224:$AI224)),$C224:$AI224,0))*INDEX(S213:$AJ223,MATCH(MIN($AK213:$AK223),$AK213:$AK223,0),1)/INDEX($C213:$AJ223,MATCH(MIN($AK213:$AK223),$AK213:$AK223,0),MATCH(IF('Data-solution'!$A$3="Maximize",MAX($C224:$AI224),MIN($C224:$AI224)),$C224:$AI224,0))),S218)</f>
        <v>1</v>
      </c>
      <c r="T233" s="1">
        <f>IF(OR($B228&lt;&gt;$B213,$B229&lt;&gt;$B214,$B230&lt;&gt;$B215,$B231&lt;&gt;$B216,$B232&lt;&gt;$B217,$B233&lt;&gt;$B218,$B234&lt;&gt;$B219,$B235&lt;&gt;$B220,$B236&lt;&gt;$B221,$B237&lt;&gt;$B222,$B238&lt;&gt;$B223),IF($B233&lt;&gt;$B218,T218/INDEX($C213:$AJ223,6,MATCH(IF('Data-solution'!$A$3="Maximize",MAX($C224:$AI224),MIN($C224:$AI224)),$C224:$AI224,0)),T218-INDEX($C213:$AJ223,6,MATCH(IF('Data-solution'!$A$3="Maximize",MAX($C224:$AI224),MIN($C224:$AI224)),$C224:$AI224,0))*INDEX(T213:$AJ223,MATCH(MIN($AK213:$AK223),$AK213:$AK223,0),1)/INDEX($C213:$AJ223,MATCH(MIN($AK213:$AK223),$AK213:$AK223,0),MATCH(IF('Data-solution'!$A$3="Maximize",MAX($C224:$AI224),MIN($C224:$AI224)),$C224:$AI224,0))),T218)</f>
        <v>0</v>
      </c>
      <c r="U233" s="1">
        <f>IF(OR($B228&lt;&gt;$B213,$B229&lt;&gt;$B214,$B230&lt;&gt;$B215,$B231&lt;&gt;$B216,$B232&lt;&gt;$B217,$B233&lt;&gt;$B218,$B234&lt;&gt;$B219,$B235&lt;&gt;$B220,$B236&lt;&gt;$B221,$B237&lt;&gt;$B222,$B238&lt;&gt;$B223),IF($B233&lt;&gt;$B218,U218/INDEX($C213:$AJ223,6,MATCH(IF('Data-solution'!$A$3="Maximize",MAX($C224:$AI224),MIN($C224:$AI224)),$C224:$AI224,0)),U218-INDEX($C213:$AJ223,6,MATCH(IF('Data-solution'!$A$3="Maximize",MAX($C224:$AI224),MIN($C224:$AI224)),$C224:$AI224,0))*INDEX(U213:$AJ223,MATCH(MIN($AK213:$AK223),$AK213:$AK223,0),1)/INDEX($C213:$AJ223,MATCH(MIN($AK213:$AK223),$AK213:$AK223,0),MATCH(IF('Data-solution'!$A$3="Maximize",MAX($C224:$AI224),MIN($C224:$AI224)),$C224:$AI224,0))),U218)</f>
        <v>0</v>
      </c>
      <c r="V233" s="1">
        <f>IF(OR($B228&lt;&gt;$B213,$B229&lt;&gt;$B214,$B230&lt;&gt;$B215,$B231&lt;&gt;$B216,$B232&lt;&gt;$B217,$B233&lt;&gt;$B218,$B234&lt;&gt;$B219,$B235&lt;&gt;$B220,$B236&lt;&gt;$B221,$B237&lt;&gt;$B222,$B238&lt;&gt;$B223),IF($B233&lt;&gt;$B218,V218/INDEX($C213:$AJ223,6,MATCH(IF('Data-solution'!$A$3="Maximize",MAX($C224:$AI224),MIN($C224:$AI224)),$C224:$AI224,0)),V218-INDEX($C213:$AJ223,6,MATCH(IF('Data-solution'!$A$3="Maximize",MAX($C224:$AI224),MIN($C224:$AI224)),$C224:$AI224,0))*INDEX(V213:$AJ223,MATCH(MIN($AK213:$AK223),$AK213:$AK223,0),1)/INDEX($C213:$AJ223,MATCH(MIN($AK213:$AK223),$AK213:$AK223,0),MATCH(IF('Data-solution'!$A$3="Maximize",MAX($C224:$AI224),MIN($C224:$AI224)),$C224:$AI224,0))),V218)</f>
        <v>0</v>
      </c>
      <c r="W233" s="1">
        <f>IF(OR($B228&lt;&gt;$B213,$B229&lt;&gt;$B214,$B230&lt;&gt;$B215,$B231&lt;&gt;$B216,$B232&lt;&gt;$B217,$B233&lt;&gt;$B218,$B234&lt;&gt;$B219,$B235&lt;&gt;$B220,$B236&lt;&gt;$B221,$B237&lt;&gt;$B222,$B238&lt;&gt;$B223),IF($B233&lt;&gt;$B218,W218/INDEX($C213:$AJ223,6,MATCH(IF('Data-solution'!$A$3="Maximize",MAX($C224:$AI224),MIN($C224:$AI224)),$C224:$AI224,0)),W218-INDEX($C213:$AJ223,6,MATCH(IF('Data-solution'!$A$3="Maximize",MAX($C224:$AI224),MIN($C224:$AI224)),$C224:$AI224,0))*INDEX(W213:$AJ223,MATCH(MIN($AK213:$AK223),$AK213:$AK223,0),1)/INDEX($C213:$AJ223,MATCH(MIN($AK213:$AK223),$AK213:$AK223,0),MATCH(IF('Data-solution'!$A$3="Maximize",MAX($C224:$AI224),MIN($C224:$AI224)),$C224:$AI224,0))),W218)</f>
        <v>0</v>
      </c>
      <c r="X233" s="1">
        <f>IF(OR($B228&lt;&gt;$B213,$B229&lt;&gt;$B214,$B230&lt;&gt;$B215,$B231&lt;&gt;$B216,$B232&lt;&gt;$B217,$B233&lt;&gt;$B218,$B234&lt;&gt;$B219,$B235&lt;&gt;$B220,$B236&lt;&gt;$B221,$B237&lt;&gt;$B222,$B238&lt;&gt;$B223),IF($B233&lt;&gt;$B218,X218/INDEX($C213:$AJ223,6,MATCH(IF('Data-solution'!$A$3="Maximize",MAX($C224:$AI224),MIN($C224:$AI224)),$C224:$AI224,0)),X218-INDEX($C213:$AJ223,6,MATCH(IF('Data-solution'!$A$3="Maximize",MAX($C224:$AI224),MIN($C224:$AI224)),$C224:$AI224,0))*INDEX(X213:$AJ223,MATCH(MIN($AK213:$AK223),$AK213:$AK223,0),1)/INDEX($C213:$AJ223,MATCH(MIN($AK213:$AK223),$AK213:$AK223,0),MATCH(IF('Data-solution'!$A$3="Maximize",MAX($C224:$AI224),MIN($C224:$AI224)),$C224:$AI224,0))),X218)</f>
        <v>0</v>
      </c>
      <c r="Y233" s="1">
        <f>IF(OR($B228&lt;&gt;$B213,$B229&lt;&gt;$B214,$B230&lt;&gt;$B215,$B231&lt;&gt;$B216,$B232&lt;&gt;$B217,$B233&lt;&gt;$B218,$B234&lt;&gt;$B219,$B235&lt;&gt;$B220,$B236&lt;&gt;$B221,$B237&lt;&gt;$B222,$B238&lt;&gt;$B223),IF($B233&lt;&gt;$B218,Y218/INDEX($C213:$AJ223,6,MATCH(IF('Data-solution'!$A$3="Maximize",MAX($C224:$AI224),MIN($C224:$AI224)),$C224:$AI224,0)),Y218-INDEX($C213:$AJ223,6,MATCH(IF('Data-solution'!$A$3="Maximize",MAX($C224:$AI224),MIN($C224:$AI224)),$C224:$AI224,0))*INDEX(Y213:$AJ223,MATCH(MIN($AK213:$AK223),$AK213:$AK223,0),1)/INDEX($C213:$AJ223,MATCH(MIN($AK213:$AK223),$AK213:$AK223,0),MATCH(IF('Data-solution'!$A$3="Maximize",MAX($C224:$AI224),MIN($C224:$AI224)),$C224:$AI224,0))),Y218)</f>
        <v>0</v>
      </c>
      <c r="Z233" s="1">
        <f>IF(OR($B228&lt;&gt;$B213,$B229&lt;&gt;$B214,$B230&lt;&gt;$B215,$B231&lt;&gt;$B216,$B232&lt;&gt;$B217,$B233&lt;&gt;$B218,$B234&lt;&gt;$B219,$B235&lt;&gt;$B220,$B236&lt;&gt;$B221,$B237&lt;&gt;$B222,$B238&lt;&gt;$B223),IF($B233&lt;&gt;$B218,Z218/INDEX($C213:$AJ223,6,MATCH(IF('Data-solution'!$A$3="Maximize",MAX($C224:$AI224),MIN($C224:$AI224)),$C224:$AI224,0)),Z218-INDEX($C213:$AJ223,6,MATCH(IF('Data-solution'!$A$3="Maximize",MAX($C224:$AI224),MIN($C224:$AI224)),$C224:$AI224,0))*INDEX(Z213:$AJ223,MATCH(MIN($AK213:$AK223),$AK213:$AK223,0),1)/INDEX($C213:$AJ223,MATCH(MIN($AK213:$AK223),$AK213:$AK223,0),MATCH(IF('Data-solution'!$A$3="Maximize",MAX($C224:$AI224),MIN($C224:$AI224)),$C224:$AI224,0))),Z218)</f>
        <v>0</v>
      </c>
      <c r="AA233" s="1">
        <f>IF(OR($B228&lt;&gt;$B213,$B229&lt;&gt;$B214,$B230&lt;&gt;$B215,$B231&lt;&gt;$B216,$B232&lt;&gt;$B217,$B233&lt;&gt;$B218,$B234&lt;&gt;$B219,$B235&lt;&gt;$B220,$B236&lt;&gt;$B221,$B237&lt;&gt;$B222,$B238&lt;&gt;$B223),IF($B233&lt;&gt;$B218,AA218/INDEX($C213:$AJ223,6,MATCH(IF('Data-solution'!$A$3="Maximize",MAX($C224:$AI224),MIN($C224:$AI224)),$C224:$AI224,0)),AA218-INDEX($C213:$AJ223,6,MATCH(IF('Data-solution'!$A$3="Maximize",MAX($C224:$AI224),MIN($C224:$AI224)),$C224:$AI224,0))*INDEX(AA213:$AJ223,MATCH(MIN($AK213:$AK223),$AK213:$AK223,0),1)/INDEX($C213:$AJ223,MATCH(MIN($AK213:$AK223),$AK213:$AK223,0),MATCH(IF('Data-solution'!$A$3="Maximize",MAX($C224:$AI224),MIN($C224:$AI224)),$C224:$AI224,0))),AA218)</f>
        <v>0</v>
      </c>
      <c r="AB233" s="1">
        <f>IF(OR($B228&lt;&gt;$B213,$B229&lt;&gt;$B214,$B230&lt;&gt;$B215,$B231&lt;&gt;$B216,$B232&lt;&gt;$B217,$B233&lt;&gt;$B218,$B234&lt;&gt;$B219,$B235&lt;&gt;$B220,$B236&lt;&gt;$B221,$B237&lt;&gt;$B222,$B238&lt;&gt;$B223),IF($B233&lt;&gt;$B218,AB218/INDEX($C213:$AJ223,6,MATCH(IF('Data-solution'!$A$3="Maximize",MAX($C224:$AI224),MIN($C224:$AI224)),$C224:$AI224,0)),AB218-INDEX($C213:$AJ223,6,MATCH(IF('Data-solution'!$A$3="Maximize",MAX($C224:$AI224),MIN($C224:$AI224)),$C224:$AI224,0))*INDEX(AB213:$AJ223,MATCH(MIN($AK213:$AK223),$AK213:$AK223,0),1)/INDEX($C213:$AJ223,MATCH(MIN($AK213:$AK223),$AK213:$AK223,0),MATCH(IF('Data-solution'!$A$3="Maximize",MAX($C224:$AI224),MIN($C224:$AI224)),$C224:$AI224,0))),AB218)</f>
        <v>0</v>
      </c>
      <c r="AC233" s="1">
        <f>IF(OR($B228&lt;&gt;$B213,$B229&lt;&gt;$B214,$B230&lt;&gt;$B215,$B231&lt;&gt;$B216,$B232&lt;&gt;$B217,$B233&lt;&gt;$B218,$B234&lt;&gt;$B219,$B235&lt;&gt;$B220,$B236&lt;&gt;$B221,$B237&lt;&gt;$B222,$B238&lt;&gt;$B223),IF($B233&lt;&gt;$B218,AC218/INDEX($C213:$AJ223,6,MATCH(IF('Data-solution'!$A$3="Maximize",MAX($C224:$AI224),MIN($C224:$AI224)),$C224:$AI224,0)),AC218-INDEX($C213:$AJ223,6,MATCH(IF('Data-solution'!$A$3="Maximize",MAX($C224:$AI224),MIN($C224:$AI224)),$C224:$AI224,0))*INDEX(AC213:$AJ223,MATCH(MIN($AK213:$AK223),$AK213:$AK223,0),1)/INDEX($C213:$AJ223,MATCH(MIN($AK213:$AK223),$AK213:$AK223,0),MATCH(IF('Data-solution'!$A$3="Maximize",MAX($C224:$AI224),MIN($C224:$AI224)),$C224:$AI224,0))),AC218)</f>
        <v>0</v>
      </c>
      <c r="AD233" s="1">
        <f>IF(OR($B228&lt;&gt;$B213,$B229&lt;&gt;$B214,$B230&lt;&gt;$B215,$B231&lt;&gt;$B216,$B232&lt;&gt;$B217,$B233&lt;&gt;$B218,$B234&lt;&gt;$B219,$B235&lt;&gt;$B220,$B236&lt;&gt;$B221,$B237&lt;&gt;$B222,$B238&lt;&gt;$B223),IF($B233&lt;&gt;$B218,AD218/INDEX($C213:$AJ223,6,MATCH(IF('Data-solution'!$A$3="Maximize",MAX($C224:$AI224),MIN($C224:$AI224)),$C224:$AI224,0)),AD218-INDEX($C213:$AJ223,6,MATCH(IF('Data-solution'!$A$3="Maximize",MAX($C224:$AI224),MIN($C224:$AI224)),$C224:$AI224,0))*INDEX(AD213:$AJ223,MATCH(MIN($AK213:$AK223),$AK213:$AK223,0),1)/INDEX($C213:$AJ223,MATCH(MIN($AK213:$AK223),$AK213:$AK223,0),MATCH(IF('Data-solution'!$A$3="Maximize",MAX($C224:$AI224),MIN($C224:$AI224)),$C224:$AI224,0))),AD218)</f>
        <v>1</v>
      </c>
      <c r="AE233" s="1">
        <f>IF(OR($B228&lt;&gt;$B213,$B229&lt;&gt;$B214,$B230&lt;&gt;$B215,$B231&lt;&gt;$B216,$B232&lt;&gt;$B217,$B233&lt;&gt;$B218,$B234&lt;&gt;$B219,$B235&lt;&gt;$B220,$B236&lt;&gt;$B221,$B237&lt;&gt;$B222,$B238&lt;&gt;$B223),IF($B233&lt;&gt;$B218,AE218/INDEX($C213:$AJ223,6,MATCH(IF('Data-solution'!$A$3="Maximize",MAX($C224:$AI224),MIN($C224:$AI224)),$C224:$AI224,0)),AE218-INDEX($C213:$AJ223,6,MATCH(IF('Data-solution'!$A$3="Maximize",MAX($C224:$AI224),MIN($C224:$AI224)),$C224:$AI224,0))*INDEX(AE213:$AJ223,MATCH(MIN($AK213:$AK223),$AK213:$AK223,0),1)/INDEX($C213:$AJ223,MATCH(MIN($AK213:$AK223),$AK213:$AK223,0),MATCH(IF('Data-solution'!$A$3="Maximize",MAX($C224:$AI224),MIN($C224:$AI224)),$C224:$AI224,0))),AE218)</f>
        <v>0</v>
      </c>
      <c r="AF233" s="1">
        <f>IF(OR($B228&lt;&gt;$B213,$B229&lt;&gt;$B214,$B230&lt;&gt;$B215,$B231&lt;&gt;$B216,$B232&lt;&gt;$B217,$B233&lt;&gt;$B218,$B234&lt;&gt;$B219,$B235&lt;&gt;$B220,$B236&lt;&gt;$B221,$B237&lt;&gt;$B222,$B238&lt;&gt;$B223),IF($B233&lt;&gt;$B218,AF218/INDEX($C213:$AJ223,6,MATCH(IF('Data-solution'!$A$3="Maximize",MAX($C224:$AI224),MIN($C224:$AI224)),$C224:$AI224,0)),AF218-INDEX($C213:$AJ223,6,MATCH(IF('Data-solution'!$A$3="Maximize",MAX($C224:$AI224),MIN($C224:$AI224)),$C224:$AI224,0))*INDEX(AF213:$AJ223,MATCH(MIN($AK213:$AK223),$AK213:$AK223,0),1)/INDEX($C213:$AJ223,MATCH(MIN($AK213:$AK223),$AK213:$AK223,0),MATCH(IF('Data-solution'!$A$3="Maximize",MAX($C224:$AI224),MIN($C224:$AI224)),$C224:$AI224,0))),AF218)</f>
        <v>0</v>
      </c>
      <c r="AG233" s="1">
        <f>IF(OR($B228&lt;&gt;$B213,$B229&lt;&gt;$B214,$B230&lt;&gt;$B215,$B231&lt;&gt;$B216,$B232&lt;&gt;$B217,$B233&lt;&gt;$B218,$B234&lt;&gt;$B219,$B235&lt;&gt;$B220,$B236&lt;&gt;$B221,$B237&lt;&gt;$B222,$B238&lt;&gt;$B223),IF($B233&lt;&gt;$B218,AG218/INDEX($C213:$AJ223,6,MATCH(IF('Data-solution'!$A$3="Maximize",MAX($C224:$AI224),MIN($C224:$AI224)),$C224:$AI224,0)),AG218-INDEX($C213:$AJ223,6,MATCH(IF('Data-solution'!$A$3="Maximize",MAX($C224:$AI224),MIN($C224:$AI224)),$C224:$AI224,0))*INDEX(AG213:$AJ223,MATCH(MIN($AK213:$AK223),$AK213:$AK223,0),1)/INDEX($C213:$AJ223,MATCH(MIN($AK213:$AK223),$AK213:$AK223,0),MATCH(IF('Data-solution'!$A$3="Maximize",MAX($C224:$AI224),MIN($C224:$AI224)),$C224:$AI224,0))),AG218)</f>
        <v>0</v>
      </c>
      <c r="AH233" s="1">
        <f>IF(OR($B228&lt;&gt;$B213,$B229&lt;&gt;$B214,$B230&lt;&gt;$B215,$B231&lt;&gt;$B216,$B232&lt;&gt;$B217,$B233&lt;&gt;$B218,$B234&lt;&gt;$B219,$B235&lt;&gt;$B220,$B236&lt;&gt;$B221,$B237&lt;&gt;$B222,$B238&lt;&gt;$B223),IF($B233&lt;&gt;$B218,AH218/INDEX($C213:$AJ223,6,MATCH(IF('Data-solution'!$A$3="Maximize",MAX($C224:$AI224),MIN($C224:$AI224)),$C224:$AI224,0)),AH218-INDEX($C213:$AJ223,6,MATCH(IF('Data-solution'!$A$3="Maximize",MAX($C224:$AI224),MIN($C224:$AI224)),$C224:$AI224,0))*INDEX(AH213:$AJ223,MATCH(MIN($AK213:$AK223),$AK213:$AK223,0),1)/INDEX($C213:$AJ223,MATCH(MIN($AK213:$AK223),$AK213:$AK223,0),MATCH(IF('Data-solution'!$A$3="Maximize",MAX($C224:$AI224),MIN($C224:$AI224)),$C224:$AI224,0))),AH218)</f>
        <v>0</v>
      </c>
      <c r="AI233" s="1">
        <f>IF(OR($B228&lt;&gt;$B213,$B229&lt;&gt;$B214,$B230&lt;&gt;$B215,$B231&lt;&gt;$B216,$B232&lt;&gt;$B217,$B233&lt;&gt;$B218,$B234&lt;&gt;$B219,$B235&lt;&gt;$B220,$B236&lt;&gt;$B221,$B237&lt;&gt;$B222,$B238&lt;&gt;$B223),IF($B233&lt;&gt;$B218,AI218/INDEX($C213:$AJ223,6,MATCH(IF('Data-solution'!$A$3="Maximize",MAX($C224:$AI224),MIN($C224:$AI224)),$C224:$AI224,0)),AI218-INDEX($C213:$AJ223,6,MATCH(IF('Data-solution'!$A$3="Maximize",MAX($C224:$AI224),MIN($C224:$AI224)),$C224:$AI224,0))*INDEX(AI213:$AJ223,MATCH(MIN($AK213:$AK223),$AK213:$AK223,0),1)/INDEX($C213:$AJ223,MATCH(MIN($AK213:$AK223),$AK213:$AK223,0),MATCH(IF('Data-solution'!$A$3="Maximize",MAX($C224:$AI224),MIN($C224:$AI224)),$C224:$AI224,0))),AI218)</f>
        <v>0</v>
      </c>
      <c r="AJ233" s="1">
        <f>IF(OR($B228&lt;&gt;$B213,$B229&lt;&gt;$B214,$B230&lt;&gt;$B215,$B231&lt;&gt;$B216,$B232&lt;&gt;$B217,$B233&lt;&gt;$B218,$B234&lt;&gt;$B219,$B235&lt;&gt;$B220,$B236&lt;&gt;$B221,$B237&lt;&gt;$B222,$B238&lt;&gt;$B223),IF($B233&lt;&gt;$B218,AJ218/INDEX($C213:$AJ223,6,MATCH(IF('Data-solution'!$A$3="Maximize",MAX($C224:$AI224),MIN($C224:$AI224)),$C224:$AI224,0)),AJ218-INDEX($C213:$AJ223,6,MATCH(IF('Data-solution'!$A$3="Maximize",MAX($C224:$AI224),MIN($C224:$AI224)),$C224:$AI224,0))*INDEX(AJ213:$AJ223,MATCH(MIN($AK213:$AK223),$AK213:$AK223,0),1)/INDEX($C213:$AJ223,MATCH(MIN($AK213:$AK223),$AK213:$AK223,0),MATCH(IF('Data-solution'!$A$3="Maximize",MAX($C224:$AI224),MIN($C224:$AI224)),$C224:$AI224,0))),AJ218)</f>
        <v>0</v>
      </c>
      <c r="AK233" s="1" t="str">
        <f>IF(INDEX(C233:X233,1,MATCH(IF('Data-solution'!A$3="Maximize",MAX(C239:X239),MIN(C239:X239)),C239:X239,0))&gt;0,AJ233/INDEX(C233:X233,1,MATCH(IF('Data-solution'!A$3="Maximize",MAX(C239:X239),MIN(C239:X239)),C239:X239,0))," ")</f>
        <v xml:space="preserve"> </v>
      </c>
    </row>
    <row r="234" spans="1:37" ht="18" customHeight="1" x14ac:dyDescent="0.2">
      <c r="A234" s="1">
        <f t="shared" ref="A234" si="204">INDEX(C226:AI226,1,MATCH(B234,C227:AI227,0))</f>
        <v>0</v>
      </c>
      <c r="B234" s="2" t="str">
        <f>IF(AND('Data-solution'!A$3="Maximize",COUNTIF(C224:X224,"&gt;"&amp;0)&gt;0,AK219=MIN(AK213:AK223),COUNTIF(B228:B233,INDEX(C212:X212,1,MATCH(MAX(C224:X224),C224:X224,0)))=0),INDEX(C212:X212,1,MATCH(MAX(C224:X224),C224:X224,0)),IF(AND('Data-solution'!A$3="Minimize",COUNTIF(C224:X224,"&lt;"&amp;0)&gt;0,AK219=MIN(AK213:AK223),COUNTIF(B228:B233,INDEX(C212:X212,1,MATCH(MIN(C224:X224),C224:X224,0)))=0),INDEX(C212:X212,1,MATCH(MIN(C224:X224),C224:X224,0)),B219))</f>
        <v>S7</v>
      </c>
      <c r="C234" s="1">
        <f>IF(OR($B228&lt;&gt;$B213,$B229&lt;&gt;$B214,$B230&lt;&gt;$B215,$B231&lt;&gt;$B216,$B232&lt;&gt;$B217,$B233&lt;&gt;$B218,$B234&lt;&gt;$B219,$B235&lt;&gt;$B220,$B236&lt;&gt;$B221,$B237&lt;&gt;$B222,$B238&lt;&gt;$B223),IF($B234&lt;&gt;$B219,C219/INDEX($C213:$AJ223,7,MATCH(IF('Data-solution'!$A$3="Maximize",MAX($C224:$AI224),MIN($C224:$AI224)),$C224:$AI224,0)),C219-INDEX($C213:$AJ223,7,MATCH(IF('Data-solution'!$A$3="Maximize",MAX($C224:$AI224),MIN($C224:$AI224)),$C224:$AI224,0))*INDEX(C213:$AJ223,MATCH(MIN($AK213:$AK223),$AK213:$AK223,0),1)/INDEX($C213:$AJ223,MATCH(MIN($AK213:$AK223),$AK213:$AK223,0),MATCH(IF('Data-solution'!$A$3="Maximize",MAX($C224:$AI224),MIN($C224:$AI224)),$C224:$AI224,0))),C219)</f>
        <v>0</v>
      </c>
      <c r="D234" s="1">
        <f>IF(OR($B228&lt;&gt;$B213,$B229&lt;&gt;$B214,$B230&lt;&gt;$B215,$B231&lt;&gt;$B216,$B232&lt;&gt;$B217,$B233&lt;&gt;$B218,$B234&lt;&gt;$B219,$B235&lt;&gt;$B220,$B236&lt;&gt;$B221,$B237&lt;&gt;$B222,$B238&lt;&gt;$B223),IF($B234&lt;&gt;$B219,D219/INDEX($C213:$AJ223,7,MATCH(IF('Data-solution'!$A$3="Maximize",MAX($C224:$AI224),MIN($C224:$AI224)),$C224:$AI224,0)),D219-INDEX($C213:$AJ223,7,MATCH(IF('Data-solution'!$A$3="Maximize",MAX($C224:$AI224),MIN($C224:$AI224)),$C224:$AI224,0))*INDEX(D213:$AJ223,MATCH(MIN($AK213:$AK223),$AK213:$AK223,0),1)/INDEX($C213:$AJ223,MATCH(MIN($AK213:$AK223),$AK213:$AK223,0),MATCH(IF('Data-solution'!$A$3="Maximize",MAX($C224:$AI224),MIN($C224:$AI224)),$C224:$AI224,0))),D219)</f>
        <v>0</v>
      </c>
      <c r="E234" s="1">
        <f>IF(OR($B228&lt;&gt;$B213,$B229&lt;&gt;$B214,$B230&lt;&gt;$B215,$B231&lt;&gt;$B216,$B232&lt;&gt;$B217,$B233&lt;&gt;$B218,$B234&lt;&gt;$B219,$B235&lt;&gt;$B220,$B236&lt;&gt;$B221,$B237&lt;&gt;$B222,$B238&lt;&gt;$B223),IF($B234&lt;&gt;$B219,E219/INDEX($C213:$AJ223,7,MATCH(IF('Data-solution'!$A$3="Maximize",MAX($C224:$AI224),MIN($C224:$AI224)),$C224:$AI224,0)),E219-INDEX($C213:$AJ223,7,MATCH(IF('Data-solution'!$A$3="Maximize",MAX($C224:$AI224),MIN($C224:$AI224)),$C224:$AI224,0))*INDEX(E213:$AJ223,MATCH(MIN($AK213:$AK223),$AK213:$AK223,0),1)/INDEX($C213:$AJ223,MATCH(MIN($AK213:$AK223),$AK213:$AK223,0),MATCH(IF('Data-solution'!$A$3="Maximize",MAX($C224:$AI224),MIN($C224:$AI224)),$C224:$AI224,0))),E219)</f>
        <v>0</v>
      </c>
      <c r="F234" s="1">
        <f>IF(OR($B228&lt;&gt;$B213,$B229&lt;&gt;$B214,$B230&lt;&gt;$B215,$B231&lt;&gt;$B216,$B232&lt;&gt;$B217,$B233&lt;&gt;$B218,$B234&lt;&gt;$B219,$B235&lt;&gt;$B220,$B236&lt;&gt;$B221,$B237&lt;&gt;$B222,$B238&lt;&gt;$B223),IF($B234&lt;&gt;$B219,F219/INDEX($C213:$AJ223,7,MATCH(IF('Data-solution'!$A$3="Maximize",MAX($C224:$AI224),MIN($C224:$AI224)),$C224:$AI224,0)),F219-INDEX($C213:$AJ223,7,MATCH(IF('Data-solution'!$A$3="Maximize",MAX($C224:$AI224),MIN($C224:$AI224)),$C224:$AI224,0))*INDEX(F213:$AJ223,MATCH(MIN($AK213:$AK223),$AK213:$AK223,0),1)/INDEX($C213:$AJ223,MATCH(MIN($AK213:$AK223),$AK213:$AK223,0),MATCH(IF('Data-solution'!$A$3="Maximize",MAX($C224:$AI224),MIN($C224:$AI224)),$C224:$AI224,0))),F219)</f>
        <v>0</v>
      </c>
      <c r="G234" s="1">
        <f>IF(OR($B228&lt;&gt;$B213,$B229&lt;&gt;$B214,$B230&lt;&gt;$B215,$B231&lt;&gt;$B216,$B232&lt;&gt;$B217,$B233&lt;&gt;$B218,$B234&lt;&gt;$B219,$B235&lt;&gt;$B220,$B236&lt;&gt;$B221,$B237&lt;&gt;$B222,$B238&lt;&gt;$B223),IF($B234&lt;&gt;$B219,G219/INDEX($C213:$AJ223,7,MATCH(IF('Data-solution'!$A$3="Maximize",MAX($C224:$AI224),MIN($C224:$AI224)),$C224:$AI224,0)),G219-INDEX($C213:$AJ223,7,MATCH(IF('Data-solution'!$A$3="Maximize",MAX($C224:$AI224),MIN($C224:$AI224)),$C224:$AI224,0))*INDEX(G213:$AJ223,MATCH(MIN($AK213:$AK223),$AK213:$AK223,0),1)/INDEX($C213:$AJ223,MATCH(MIN($AK213:$AK223),$AK213:$AK223,0),MATCH(IF('Data-solution'!$A$3="Maximize",MAX($C224:$AI224),MIN($C224:$AI224)),$C224:$AI224,0))),G219)</f>
        <v>0</v>
      </c>
      <c r="H234" s="1">
        <f>IF(OR($B228&lt;&gt;$B213,$B229&lt;&gt;$B214,$B230&lt;&gt;$B215,$B231&lt;&gt;$B216,$B232&lt;&gt;$B217,$B233&lt;&gt;$B218,$B234&lt;&gt;$B219,$B235&lt;&gt;$B220,$B236&lt;&gt;$B221,$B237&lt;&gt;$B222,$B238&lt;&gt;$B223),IF($B234&lt;&gt;$B219,H219/INDEX($C213:$AJ223,7,MATCH(IF('Data-solution'!$A$3="Maximize",MAX($C224:$AI224),MIN($C224:$AI224)),$C224:$AI224,0)),H219-INDEX($C213:$AJ223,7,MATCH(IF('Data-solution'!$A$3="Maximize",MAX($C224:$AI224),MIN($C224:$AI224)),$C224:$AI224,0))*INDEX(H213:$AJ223,MATCH(MIN($AK213:$AK223),$AK213:$AK223,0),1)/INDEX($C213:$AJ223,MATCH(MIN($AK213:$AK223),$AK213:$AK223,0),MATCH(IF('Data-solution'!$A$3="Maximize",MAX($C224:$AI224),MIN($C224:$AI224)),$C224:$AI224,0))),H219)</f>
        <v>0</v>
      </c>
      <c r="I234" s="1">
        <f>IF(OR($B228&lt;&gt;$B213,$B229&lt;&gt;$B214,$B230&lt;&gt;$B215,$B231&lt;&gt;$B216,$B232&lt;&gt;$B217,$B233&lt;&gt;$B218,$B234&lt;&gt;$B219,$B235&lt;&gt;$B220,$B236&lt;&gt;$B221,$B237&lt;&gt;$B222,$B238&lt;&gt;$B223),IF($B234&lt;&gt;$B219,I219/INDEX($C213:$AJ223,7,MATCH(IF('Data-solution'!$A$3="Maximize",MAX($C224:$AI224),MIN($C224:$AI224)),$C224:$AI224,0)),I219-INDEX($C213:$AJ223,7,MATCH(IF('Data-solution'!$A$3="Maximize",MAX($C224:$AI224),MIN($C224:$AI224)),$C224:$AI224,0))*INDEX(I213:$AJ223,MATCH(MIN($AK213:$AK223),$AK213:$AK223,0),1)/INDEX($C213:$AJ223,MATCH(MIN($AK213:$AK223),$AK213:$AK223,0),MATCH(IF('Data-solution'!$A$3="Maximize",MAX($C224:$AI224),MIN($C224:$AI224)),$C224:$AI224,0))),I219)</f>
        <v>0</v>
      </c>
      <c r="J234" s="1">
        <f>IF(OR($B228&lt;&gt;$B213,$B229&lt;&gt;$B214,$B230&lt;&gt;$B215,$B231&lt;&gt;$B216,$B232&lt;&gt;$B217,$B233&lt;&gt;$B218,$B234&lt;&gt;$B219,$B235&lt;&gt;$B220,$B236&lt;&gt;$B221,$B237&lt;&gt;$B222,$B238&lt;&gt;$B223),IF($B234&lt;&gt;$B219,J219/INDEX($C213:$AJ223,7,MATCH(IF('Data-solution'!$A$3="Maximize",MAX($C224:$AI224),MIN($C224:$AI224)),$C224:$AI224,0)),J219-INDEX($C213:$AJ223,7,MATCH(IF('Data-solution'!$A$3="Maximize",MAX($C224:$AI224),MIN($C224:$AI224)),$C224:$AI224,0))*INDEX(J213:$AJ223,MATCH(MIN($AK213:$AK223),$AK213:$AK223,0),1)/INDEX($C213:$AJ223,MATCH(MIN($AK213:$AK223),$AK213:$AK223,0),MATCH(IF('Data-solution'!$A$3="Maximize",MAX($C224:$AI224),MIN($C224:$AI224)),$C224:$AI224,0))),J219)</f>
        <v>0</v>
      </c>
      <c r="K234" s="1">
        <f>IF(OR($B228&lt;&gt;$B213,$B229&lt;&gt;$B214,$B230&lt;&gt;$B215,$B231&lt;&gt;$B216,$B232&lt;&gt;$B217,$B233&lt;&gt;$B218,$B234&lt;&gt;$B219,$B235&lt;&gt;$B220,$B236&lt;&gt;$B221,$B237&lt;&gt;$B222,$B238&lt;&gt;$B223),IF($B234&lt;&gt;$B219,K219/INDEX($C213:$AJ223,7,MATCH(IF('Data-solution'!$A$3="Maximize",MAX($C224:$AI224),MIN($C224:$AI224)),$C224:$AI224,0)),K219-INDEX($C213:$AJ223,7,MATCH(IF('Data-solution'!$A$3="Maximize",MAX($C224:$AI224),MIN($C224:$AI224)),$C224:$AI224,0))*INDEX(K213:$AJ223,MATCH(MIN($AK213:$AK223),$AK213:$AK223,0),1)/INDEX($C213:$AJ223,MATCH(MIN($AK213:$AK223),$AK213:$AK223,0),MATCH(IF('Data-solution'!$A$3="Maximize",MAX($C224:$AI224),MIN($C224:$AI224)),$C224:$AI224,0))),K219)</f>
        <v>0</v>
      </c>
      <c r="L234" s="1">
        <f>IF(OR($B228&lt;&gt;$B213,$B229&lt;&gt;$B214,$B230&lt;&gt;$B215,$B231&lt;&gt;$B216,$B232&lt;&gt;$B217,$B233&lt;&gt;$B218,$B234&lt;&gt;$B219,$B235&lt;&gt;$B220,$B236&lt;&gt;$B221,$B237&lt;&gt;$B222,$B238&lt;&gt;$B223),IF($B234&lt;&gt;$B219,L219/INDEX($C213:$AJ223,7,MATCH(IF('Data-solution'!$A$3="Maximize",MAX($C224:$AI224),MIN($C224:$AI224)),$C224:$AI224,0)),L219-INDEX($C213:$AJ223,7,MATCH(IF('Data-solution'!$A$3="Maximize",MAX($C224:$AI224),MIN($C224:$AI224)),$C224:$AI224,0))*INDEX(L213:$AJ223,MATCH(MIN($AK213:$AK223),$AK213:$AK223,0),1)/INDEX($C213:$AJ223,MATCH(MIN($AK213:$AK223),$AK213:$AK223,0),MATCH(IF('Data-solution'!$A$3="Maximize",MAX($C224:$AI224),MIN($C224:$AI224)),$C224:$AI224,0))),L219)</f>
        <v>0</v>
      </c>
      <c r="M234" s="1">
        <f>IF(OR($B228&lt;&gt;$B213,$B229&lt;&gt;$B214,$B230&lt;&gt;$B215,$B231&lt;&gt;$B216,$B232&lt;&gt;$B217,$B233&lt;&gt;$B218,$B234&lt;&gt;$B219,$B235&lt;&gt;$B220,$B236&lt;&gt;$B221,$B237&lt;&gt;$B222,$B238&lt;&gt;$B223),IF($B234&lt;&gt;$B219,M219/INDEX($C213:$AJ223,7,MATCH(IF('Data-solution'!$A$3="Maximize",MAX($C224:$AI224),MIN($C224:$AI224)),$C224:$AI224,0)),M219-INDEX($C213:$AJ223,7,MATCH(IF('Data-solution'!$A$3="Maximize",MAX($C224:$AI224),MIN($C224:$AI224)),$C224:$AI224,0))*INDEX(M213:$AJ223,MATCH(MIN($AK213:$AK223),$AK213:$AK223,0),1)/INDEX($C213:$AJ223,MATCH(MIN($AK213:$AK223),$AK213:$AK223,0),MATCH(IF('Data-solution'!$A$3="Maximize",MAX($C224:$AI224),MIN($C224:$AI224)),$C224:$AI224,0))),M219)</f>
        <v>0</v>
      </c>
      <c r="N234" s="1">
        <f>IF(OR($B228&lt;&gt;$B213,$B229&lt;&gt;$B214,$B230&lt;&gt;$B215,$B231&lt;&gt;$B216,$B232&lt;&gt;$B217,$B233&lt;&gt;$B218,$B234&lt;&gt;$B219,$B235&lt;&gt;$B220,$B236&lt;&gt;$B221,$B237&lt;&gt;$B222,$B238&lt;&gt;$B223),IF($B234&lt;&gt;$B219,N219/INDEX($C213:$AJ223,7,MATCH(IF('Data-solution'!$A$3="Maximize",MAX($C224:$AI224),MIN($C224:$AI224)),$C224:$AI224,0)),N219-INDEX($C213:$AJ223,7,MATCH(IF('Data-solution'!$A$3="Maximize",MAX($C224:$AI224),MIN($C224:$AI224)),$C224:$AI224,0))*INDEX(N213:$AJ223,MATCH(MIN($AK213:$AK223),$AK213:$AK223,0),1)/INDEX($C213:$AJ223,MATCH(MIN($AK213:$AK223),$AK213:$AK223,0),MATCH(IF('Data-solution'!$A$3="Maximize",MAX($C224:$AI224),MIN($C224:$AI224)),$C224:$AI224,0))),N219)</f>
        <v>0</v>
      </c>
      <c r="O234" s="1">
        <f>IF(OR($B228&lt;&gt;$B213,$B229&lt;&gt;$B214,$B230&lt;&gt;$B215,$B231&lt;&gt;$B216,$B232&lt;&gt;$B217,$B233&lt;&gt;$B218,$B234&lt;&gt;$B219,$B235&lt;&gt;$B220,$B236&lt;&gt;$B221,$B237&lt;&gt;$B222,$B238&lt;&gt;$B223),IF($B234&lt;&gt;$B219,O219/INDEX($C213:$AJ223,7,MATCH(IF('Data-solution'!$A$3="Maximize",MAX($C224:$AI224),MIN($C224:$AI224)),$C224:$AI224,0)),O219-INDEX($C213:$AJ223,7,MATCH(IF('Data-solution'!$A$3="Maximize",MAX($C224:$AI224),MIN($C224:$AI224)),$C224:$AI224,0))*INDEX(O213:$AJ223,MATCH(MIN($AK213:$AK223),$AK213:$AK223,0),1)/INDEX($C213:$AJ223,MATCH(MIN($AK213:$AK223),$AK213:$AK223,0),MATCH(IF('Data-solution'!$A$3="Maximize",MAX($C224:$AI224),MIN($C224:$AI224)),$C224:$AI224,0))),O219)</f>
        <v>0</v>
      </c>
      <c r="P234" s="1">
        <f>IF(OR($B228&lt;&gt;$B213,$B229&lt;&gt;$B214,$B230&lt;&gt;$B215,$B231&lt;&gt;$B216,$B232&lt;&gt;$B217,$B233&lt;&gt;$B218,$B234&lt;&gt;$B219,$B235&lt;&gt;$B220,$B236&lt;&gt;$B221,$B237&lt;&gt;$B222,$B238&lt;&gt;$B223),IF($B234&lt;&gt;$B219,P219/INDEX($C213:$AJ223,7,MATCH(IF('Data-solution'!$A$3="Maximize",MAX($C224:$AI224),MIN($C224:$AI224)),$C224:$AI224,0)),P219-INDEX($C213:$AJ223,7,MATCH(IF('Data-solution'!$A$3="Maximize",MAX($C224:$AI224),MIN($C224:$AI224)),$C224:$AI224,0))*INDEX(P213:$AJ223,MATCH(MIN($AK213:$AK223),$AK213:$AK223,0),1)/INDEX($C213:$AJ223,MATCH(MIN($AK213:$AK223),$AK213:$AK223,0),MATCH(IF('Data-solution'!$A$3="Maximize",MAX($C224:$AI224),MIN($C224:$AI224)),$C224:$AI224,0))),P219)</f>
        <v>0</v>
      </c>
      <c r="Q234" s="1">
        <f>IF(OR($B228&lt;&gt;$B213,$B229&lt;&gt;$B214,$B230&lt;&gt;$B215,$B231&lt;&gt;$B216,$B232&lt;&gt;$B217,$B233&lt;&gt;$B218,$B234&lt;&gt;$B219,$B235&lt;&gt;$B220,$B236&lt;&gt;$B221,$B237&lt;&gt;$B222,$B238&lt;&gt;$B223),IF($B234&lt;&gt;$B219,Q219/INDEX($C213:$AJ223,7,MATCH(IF('Data-solution'!$A$3="Maximize",MAX($C224:$AI224),MIN($C224:$AI224)),$C224:$AI224,0)),Q219-INDEX($C213:$AJ223,7,MATCH(IF('Data-solution'!$A$3="Maximize",MAX($C224:$AI224),MIN($C224:$AI224)),$C224:$AI224,0))*INDEX(Q213:$AJ223,MATCH(MIN($AK213:$AK223),$AK213:$AK223,0),1)/INDEX($C213:$AJ223,MATCH(MIN($AK213:$AK223),$AK213:$AK223,0),MATCH(IF('Data-solution'!$A$3="Maximize",MAX($C224:$AI224),MIN($C224:$AI224)),$C224:$AI224,0))),Q219)</f>
        <v>0</v>
      </c>
      <c r="R234" s="1">
        <f>IF(OR($B228&lt;&gt;$B213,$B229&lt;&gt;$B214,$B230&lt;&gt;$B215,$B231&lt;&gt;$B216,$B232&lt;&gt;$B217,$B233&lt;&gt;$B218,$B234&lt;&gt;$B219,$B235&lt;&gt;$B220,$B236&lt;&gt;$B221,$B237&lt;&gt;$B222,$B238&lt;&gt;$B223),IF($B234&lt;&gt;$B219,R219/INDEX($C213:$AJ223,7,MATCH(IF('Data-solution'!$A$3="Maximize",MAX($C224:$AI224),MIN($C224:$AI224)),$C224:$AI224,0)),R219-INDEX($C213:$AJ223,7,MATCH(IF('Data-solution'!$A$3="Maximize",MAX($C224:$AI224),MIN($C224:$AI224)),$C224:$AI224,0))*INDEX(R213:$AJ223,MATCH(MIN($AK213:$AK223),$AK213:$AK223,0),1)/INDEX($C213:$AJ223,MATCH(MIN($AK213:$AK223),$AK213:$AK223,0),MATCH(IF('Data-solution'!$A$3="Maximize",MAX($C224:$AI224),MIN($C224:$AI224)),$C224:$AI224,0))),R219)</f>
        <v>0</v>
      </c>
      <c r="S234" s="1">
        <f>IF(OR($B228&lt;&gt;$B213,$B229&lt;&gt;$B214,$B230&lt;&gt;$B215,$B231&lt;&gt;$B216,$B232&lt;&gt;$B217,$B233&lt;&gt;$B218,$B234&lt;&gt;$B219,$B235&lt;&gt;$B220,$B236&lt;&gt;$B221,$B237&lt;&gt;$B222,$B238&lt;&gt;$B223),IF($B234&lt;&gt;$B219,S219/INDEX($C213:$AJ223,7,MATCH(IF('Data-solution'!$A$3="Maximize",MAX($C224:$AI224),MIN($C224:$AI224)),$C224:$AI224,0)),S219-INDEX($C213:$AJ223,7,MATCH(IF('Data-solution'!$A$3="Maximize",MAX($C224:$AI224),MIN($C224:$AI224)),$C224:$AI224,0))*INDEX(S213:$AJ223,MATCH(MIN($AK213:$AK223),$AK213:$AK223,0),1)/INDEX($C213:$AJ223,MATCH(MIN($AK213:$AK223),$AK213:$AK223,0),MATCH(IF('Data-solution'!$A$3="Maximize",MAX($C224:$AI224),MIN($C224:$AI224)),$C224:$AI224,0))),S219)</f>
        <v>0</v>
      </c>
      <c r="T234" s="1">
        <f>IF(OR($B228&lt;&gt;$B213,$B229&lt;&gt;$B214,$B230&lt;&gt;$B215,$B231&lt;&gt;$B216,$B232&lt;&gt;$B217,$B233&lt;&gt;$B218,$B234&lt;&gt;$B219,$B235&lt;&gt;$B220,$B236&lt;&gt;$B221,$B237&lt;&gt;$B222,$B238&lt;&gt;$B223),IF($B234&lt;&gt;$B219,T219/INDEX($C213:$AJ223,7,MATCH(IF('Data-solution'!$A$3="Maximize",MAX($C224:$AI224),MIN($C224:$AI224)),$C224:$AI224,0)),T219-INDEX($C213:$AJ223,7,MATCH(IF('Data-solution'!$A$3="Maximize",MAX($C224:$AI224),MIN($C224:$AI224)),$C224:$AI224,0))*INDEX(T213:$AJ223,MATCH(MIN($AK213:$AK223),$AK213:$AK223,0),1)/INDEX($C213:$AJ223,MATCH(MIN($AK213:$AK223),$AK213:$AK223,0),MATCH(IF('Data-solution'!$A$3="Maximize",MAX($C224:$AI224),MIN($C224:$AI224)),$C224:$AI224,0))),T219)</f>
        <v>1</v>
      </c>
      <c r="U234" s="1">
        <f>IF(OR($B228&lt;&gt;$B213,$B229&lt;&gt;$B214,$B230&lt;&gt;$B215,$B231&lt;&gt;$B216,$B232&lt;&gt;$B217,$B233&lt;&gt;$B218,$B234&lt;&gt;$B219,$B235&lt;&gt;$B220,$B236&lt;&gt;$B221,$B237&lt;&gt;$B222,$B238&lt;&gt;$B223),IF($B234&lt;&gt;$B219,U219/INDEX($C213:$AJ223,7,MATCH(IF('Data-solution'!$A$3="Maximize",MAX($C224:$AI224),MIN($C224:$AI224)),$C224:$AI224,0)),U219-INDEX($C213:$AJ223,7,MATCH(IF('Data-solution'!$A$3="Maximize",MAX($C224:$AI224),MIN($C224:$AI224)),$C224:$AI224,0))*INDEX(U213:$AJ223,MATCH(MIN($AK213:$AK223),$AK213:$AK223,0),1)/INDEX($C213:$AJ223,MATCH(MIN($AK213:$AK223),$AK213:$AK223,0),MATCH(IF('Data-solution'!$A$3="Maximize",MAX($C224:$AI224),MIN($C224:$AI224)),$C224:$AI224,0))),U219)</f>
        <v>0</v>
      </c>
      <c r="V234" s="1">
        <f>IF(OR($B228&lt;&gt;$B213,$B229&lt;&gt;$B214,$B230&lt;&gt;$B215,$B231&lt;&gt;$B216,$B232&lt;&gt;$B217,$B233&lt;&gt;$B218,$B234&lt;&gt;$B219,$B235&lt;&gt;$B220,$B236&lt;&gt;$B221,$B237&lt;&gt;$B222,$B238&lt;&gt;$B223),IF($B234&lt;&gt;$B219,V219/INDEX($C213:$AJ223,7,MATCH(IF('Data-solution'!$A$3="Maximize",MAX($C224:$AI224),MIN($C224:$AI224)),$C224:$AI224,0)),V219-INDEX($C213:$AJ223,7,MATCH(IF('Data-solution'!$A$3="Maximize",MAX($C224:$AI224),MIN($C224:$AI224)),$C224:$AI224,0))*INDEX(V213:$AJ223,MATCH(MIN($AK213:$AK223),$AK213:$AK223,0),1)/INDEX($C213:$AJ223,MATCH(MIN($AK213:$AK223),$AK213:$AK223,0),MATCH(IF('Data-solution'!$A$3="Maximize",MAX($C224:$AI224),MIN($C224:$AI224)),$C224:$AI224,0))),V219)</f>
        <v>0</v>
      </c>
      <c r="W234" s="1">
        <f>IF(OR($B228&lt;&gt;$B213,$B229&lt;&gt;$B214,$B230&lt;&gt;$B215,$B231&lt;&gt;$B216,$B232&lt;&gt;$B217,$B233&lt;&gt;$B218,$B234&lt;&gt;$B219,$B235&lt;&gt;$B220,$B236&lt;&gt;$B221,$B237&lt;&gt;$B222,$B238&lt;&gt;$B223),IF($B234&lt;&gt;$B219,W219/INDEX($C213:$AJ223,7,MATCH(IF('Data-solution'!$A$3="Maximize",MAX($C224:$AI224),MIN($C224:$AI224)),$C224:$AI224,0)),W219-INDEX($C213:$AJ223,7,MATCH(IF('Data-solution'!$A$3="Maximize",MAX($C224:$AI224),MIN($C224:$AI224)),$C224:$AI224,0))*INDEX(W213:$AJ223,MATCH(MIN($AK213:$AK223),$AK213:$AK223,0),1)/INDEX($C213:$AJ223,MATCH(MIN($AK213:$AK223),$AK213:$AK223,0),MATCH(IF('Data-solution'!$A$3="Maximize",MAX($C224:$AI224),MIN($C224:$AI224)),$C224:$AI224,0))),W219)</f>
        <v>0</v>
      </c>
      <c r="X234" s="1">
        <f>IF(OR($B228&lt;&gt;$B213,$B229&lt;&gt;$B214,$B230&lt;&gt;$B215,$B231&lt;&gt;$B216,$B232&lt;&gt;$B217,$B233&lt;&gt;$B218,$B234&lt;&gt;$B219,$B235&lt;&gt;$B220,$B236&lt;&gt;$B221,$B237&lt;&gt;$B222,$B238&lt;&gt;$B223),IF($B234&lt;&gt;$B219,X219/INDEX($C213:$AJ223,7,MATCH(IF('Data-solution'!$A$3="Maximize",MAX($C224:$AI224),MIN($C224:$AI224)),$C224:$AI224,0)),X219-INDEX($C213:$AJ223,7,MATCH(IF('Data-solution'!$A$3="Maximize",MAX($C224:$AI224),MIN($C224:$AI224)),$C224:$AI224,0))*INDEX(X213:$AJ223,MATCH(MIN($AK213:$AK223),$AK213:$AK223,0),1)/INDEX($C213:$AJ223,MATCH(MIN($AK213:$AK223),$AK213:$AK223,0),MATCH(IF('Data-solution'!$A$3="Maximize",MAX($C224:$AI224),MIN($C224:$AI224)),$C224:$AI224,0))),X219)</f>
        <v>0</v>
      </c>
      <c r="Y234" s="1">
        <f>IF(OR($B228&lt;&gt;$B213,$B229&lt;&gt;$B214,$B230&lt;&gt;$B215,$B231&lt;&gt;$B216,$B232&lt;&gt;$B217,$B233&lt;&gt;$B218,$B234&lt;&gt;$B219,$B235&lt;&gt;$B220,$B236&lt;&gt;$B221,$B237&lt;&gt;$B222,$B238&lt;&gt;$B223),IF($B234&lt;&gt;$B219,Y219/INDEX($C213:$AJ223,7,MATCH(IF('Data-solution'!$A$3="Maximize",MAX($C224:$AI224),MIN($C224:$AI224)),$C224:$AI224,0)),Y219-INDEX($C213:$AJ223,7,MATCH(IF('Data-solution'!$A$3="Maximize",MAX($C224:$AI224),MIN($C224:$AI224)),$C224:$AI224,0))*INDEX(Y213:$AJ223,MATCH(MIN($AK213:$AK223),$AK213:$AK223,0),1)/INDEX($C213:$AJ223,MATCH(MIN($AK213:$AK223),$AK213:$AK223,0),MATCH(IF('Data-solution'!$A$3="Maximize",MAX($C224:$AI224),MIN($C224:$AI224)),$C224:$AI224,0))),Y219)</f>
        <v>0</v>
      </c>
      <c r="Z234" s="1">
        <f>IF(OR($B228&lt;&gt;$B213,$B229&lt;&gt;$B214,$B230&lt;&gt;$B215,$B231&lt;&gt;$B216,$B232&lt;&gt;$B217,$B233&lt;&gt;$B218,$B234&lt;&gt;$B219,$B235&lt;&gt;$B220,$B236&lt;&gt;$B221,$B237&lt;&gt;$B222,$B238&lt;&gt;$B223),IF($B234&lt;&gt;$B219,Z219/INDEX($C213:$AJ223,7,MATCH(IF('Data-solution'!$A$3="Maximize",MAX($C224:$AI224),MIN($C224:$AI224)),$C224:$AI224,0)),Z219-INDEX($C213:$AJ223,7,MATCH(IF('Data-solution'!$A$3="Maximize",MAX($C224:$AI224),MIN($C224:$AI224)),$C224:$AI224,0))*INDEX(Z213:$AJ223,MATCH(MIN($AK213:$AK223),$AK213:$AK223,0),1)/INDEX($C213:$AJ223,MATCH(MIN($AK213:$AK223),$AK213:$AK223,0),MATCH(IF('Data-solution'!$A$3="Maximize",MAX($C224:$AI224),MIN($C224:$AI224)),$C224:$AI224,0))),Z219)</f>
        <v>0</v>
      </c>
      <c r="AA234" s="1">
        <f>IF(OR($B228&lt;&gt;$B213,$B229&lt;&gt;$B214,$B230&lt;&gt;$B215,$B231&lt;&gt;$B216,$B232&lt;&gt;$B217,$B233&lt;&gt;$B218,$B234&lt;&gt;$B219,$B235&lt;&gt;$B220,$B236&lt;&gt;$B221,$B237&lt;&gt;$B222,$B238&lt;&gt;$B223),IF($B234&lt;&gt;$B219,AA219/INDEX($C213:$AJ223,7,MATCH(IF('Data-solution'!$A$3="Maximize",MAX($C224:$AI224),MIN($C224:$AI224)),$C224:$AI224,0)),AA219-INDEX($C213:$AJ223,7,MATCH(IF('Data-solution'!$A$3="Maximize",MAX($C224:$AI224),MIN($C224:$AI224)),$C224:$AI224,0))*INDEX(AA213:$AJ223,MATCH(MIN($AK213:$AK223),$AK213:$AK223,0),1)/INDEX($C213:$AJ223,MATCH(MIN($AK213:$AK223),$AK213:$AK223,0),MATCH(IF('Data-solution'!$A$3="Maximize",MAX($C224:$AI224),MIN($C224:$AI224)),$C224:$AI224,0))),AA219)</f>
        <v>0</v>
      </c>
      <c r="AB234" s="1">
        <f>IF(OR($B228&lt;&gt;$B213,$B229&lt;&gt;$B214,$B230&lt;&gt;$B215,$B231&lt;&gt;$B216,$B232&lt;&gt;$B217,$B233&lt;&gt;$B218,$B234&lt;&gt;$B219,$B235&lt;&gt;$B220,$B236&lt;&gt;$B221,$B237&lt;&gt;$B222,$B238&lt;&gt;$B223),IF($B234&lt;&gt;$B219,AB219/INDEX($C213:$AJ223,7,MATCH(IF('Data-solution'!$A$3="Maximize",MAX($C224:$AI224),MIN($C224:$AI224)),$C224:$AI224,0)),AB219-INDEX($C213:$AJ223,7,MATCH(IF('Data-solution'!$A$3="Maximize",MAX($C224:$AI224),MIN($C224:$AI224)),$C224:$AI224,0))*INDEX(AB213:$AJ223,MATCH(MIN($AK213:$AK223),$AK213:$AK223,0),1)/INDEX($C213:$AJ223,MATCH(MIN($AK213:$AK223),$AK213:$AK223,0),MATCH(IF('Data-solution'!$A$3="Maximize",MAX($C224:$AI224),MIN($C224:$AI224)),$C224:$AI224,0))),AB219)</f>
        <v>0</v>
      </c>
      <c r="AC234" s="1">
        <f>IF(OR($B228&lt;&gt;$B213,$B229&lt;&gt;$B214,$B230&lt;&gt;$B215,$B231&lt;&gt;$B216,$B232&lt;&gt;$B217,$B233&lt;&gt;$B218,$B234&lt;&gt;$B219,$B235&lt;&gt;$B220,$B236&lt;&gt;$B221,$B237&lt;&gt;$B222,$B238&lt;&gt;$B223),IF($B234&lt;&gt;$B219,AC219/INDEX($C213:$AJ223,7,MATCH(IF('Data-solution'!$A$3="Maximize",MAX($C224:$AI224),MIN($C224:$AI224)),$C224:$AI224,0)),AC219-INDEX($C213:$AJ223,7,MATCH(IF('Data-solution'!$A$3="Maximize",MAX($C224:$AI224),MIN($C224:$AI224)),$C224:$AI224,0))*INDEX(AC213:$AJ223,MATCH(MIN($AK213:$AK223),$AK213:$AK223,0),1)/INDEX($C213:$AJ223,MATCH(MIN($AK213:$AK223),$AK213:$AK223,0),MATCH(IF('Data-solution'!$A$3="Maximize",MAX($C224:$AI224),MIN($C224:$AI224)),$C224:$AI224,0))),AC219)</f>
        <v>0</v>
      </c>
      <c r="AD234" s="1">
        <f>IF(OR($B228&lt;&gt;$B213,$B229&lt;&gt;$B214,$B230&lt;&gt;$B215,$B231&lt;&gt;$B216,$B232&lt;&gt;$B217,$B233&lt;&gt;$B218,$B234&lt;&gt;$B219,$B235&lt;&gt;$B220,$B236&lt;&gt;$B221,$B237&lt;&gt;$B222,$B238&lt;&gt;$B223),IF($B234&lt;&gt;$B219,AD219/INDEX($C213:$AJ223,7,MATCH(IF('Data-solution'!$A$3="Maximize",MAX($C224:$AI224),MIN($C224:$AI224)),$C224:$AI224,0)),AD219-INDEX($C213:$AJ223,7,MATCH(IF('Data-solution'!$A$3="Maximize",MAX($C224:$AI224),MIN($C224:$AI224)),$C224:$AI224,0))*INDEX(AD213:$AJ223,MATCH(MIN($AK213:$AK223),$AK213:$AK223,0),1)/INDEX($C213:$AJ223,MATCH(MIN($AK213:$AK223),$AK213:$AK223,0),MATCH(IF('Data-solution'!$A$3="Maximize",MAX($C224:$AI224),MIN($C224:$AI224)),$C224:$AI224,0))),AD219)</f>
        <v>0</v>
      </c>
      <c r="AE234" s="1">
        <f>IF(OR($B228&lt;&gt;$B213,$B229&lt;&gt;$B214,$B230&lt;&gt;$B215,$B231&lt;&gt;$B216,$B232&lt;&gt;$B217,$B233&lt;&gt;$B218,$B234&lt;&gt;$B219,$B235&lt;&gt;$B220,$B236&lt;&gt;$B221,$B237&lt;&gt;$B222,$B238&lt;&gt;$B223),IF($B234&lt;&gt;$B219,AE219/INDEX($C213:$AJ223,7,MATCH(IF('Data-solution'!$A$3="Maximize",MAX($C224:$AI224),MIN($C224:$AI224)),$C224:$AI224,0)),AE219-INDEX($C213:$AJ223,7,MATCH(IF('Data-solution'!$A$3="Maximize",MAX($C224:$AI224),MIN($C224:$AI224)),$C224:$AI224,0))*INDEX(AE213:$AJ223,MATCH(MIN($AK213:$AK223),$AK213:$AK223,0),1)/INDEX($C213:$AJ223,MATCH(MIN($AK213:$AK223),$AK213:$AK223,0),MATCH(IF('Data-solution'!$A$3="Maximize",MAX($C224:$AI224),MIN($C224:$AI224)),$C224:$AI224,0))),AE219)</f>
        <v>1</v>
      </c>
      <c r="AF234" s="1">
        <f>IF(OR($B228&lt;&gt;$B213,$B229&lt;&gt;$B214,$B230&lt;&gt;$B215,$B231&lt;&gt;$B216,$B232&lt;&gt;$B217,$B233&lt;&gt;$B218,$B234&lt;&gt;$B219,$B235&lt;&gt;$B220,$B236&lt;&gt;$B221,$B237&lt;&gt;$B222,$B238&lt;&gt;$B223),IF($B234&lt;&gt;$B219,AF219/INDEX($C213:$AJ223,7,MATCH(IF('Data-solution'!$A$3="Maximize",MAX($C224:$AI224),MIN($C224:$AI224)),$C224:$AI224,0)),AF219-INDEX($C213:$AJ223,7,MATCH(IF('Data-solution'!$A$3="Maximize",MAX($C224:$AI224),MIN($C224:$AI224)),$C224:$AI224,0))*INDEX(AF213:$AJ223,MATCH(MIN($AK213:$AK223),$AK213:$AK223,0),1)/INDEX($C213:$AJ223,MATCH(MIN($AK213:$AK223),$AK213:$AK223,0),MATCH(IF('Data-solution'!$A$3="Maximize",MAX($C224:$AI224),MIN($C224:$AI224)),$C224:$AI224,0))),AF219)</f>
        <v>0</v>
      </c>
      <c r="AG234" s="1">
        <f>IF(OR($B228&lt;&gt;$B213,$B229&lt;&gt;$B214,$B230&lt;&gt;$B215,$B231&lt;&gt;$B216,$B232&lt;&gt;$B217,$B233&lt;&gt;$B218,$B234&lt;&gt;$B219,$B235&lt;&gt;$B220,$B236&lt;&gt;$B221,$B237&lt;&gt;$B222,$B238&lt;&gt;$B223),IF($B234&lt;&gt;$B219,AG219/INDEX($C213:$AJ223,7,MATCH(IF('Data-solution'!$A$3="Maximize",MAX($C224:$AI224),MIN($C224:$AI224)),$C224:$AI224,0)),AG219-INDEX($C213:$AJ223,7,MATCH(IF('Data-solution'!$A$3="Maximize",MAX($C224:$AI224),MIN($C224:$AI224)),$C224:$AI224,0))*INDEX(AG213:$AJ223,MATCH(MIN($AK213:$AK223),$AK213:$AK223,0),1)/INDEX($C213:$AJ223,MATCH(MIN($AK213:$AK223),$AK213:$AK223,0),MATCH(IF('Data-solution'!$A$3="Maximize",MAX($C224:$AI224),MIN($C224:$AI224)),$C224:$AI224,0))),AG219)</f>
        <v>0</v>
      </c>
      <c r="AH234" s="1">
        <f>IF(OR($B228&lt;&gt;$B213,$B229&lt;&gt;$B214,$B230&lt;&gt;$B215,$B231&lt;&gt;$B216,$B232&lt;&gt;$B217,$B233&lt;&gt;$B218,$B234&lt;&gt;$B219,$B235&lt;&gt;$B220,$B236&lt;&gt;$B221,$B237&lt;&gt;$B222,$B238&lt;&gt;$B223),IF($B234&lt;&gt;$B219,AH219/INDEX($C213:$AJ223,7,MATCH(IF('Data-solution'!$A$3="Maximize",MAX($C224:$AI224),MIN($C224:$AI224)),$C224:$AI224,0)),AH219-INDEX($C213:$AJ223,7,MATCH(IF('Data-solution'!$A$3="Maximize",MAX($C224:$AI224),MIN($C224:$AI224)),$C224:$AI224,0))*INDEX(AH213:$AJ223,MATCH(MIN($AK213:$AK223),$AK213:$AK223,0),1)/INDEX($C213:$AJ223,MATCH(MIN($AK213:$AK223),$AK213:$AK223,0),MATCH(IF('Data-solution'!$A$3="Maximize",MAX($C224:$AI224),MIN($C224:$AI224)),$C224:$AI224,0))),AH219)</f>
        <v>0</v>
      </c>
      <c r="AI234" s="1">
        <f>IF(OR($B228&lt;&gt;$B213,$B229&lt;&gt;$B214,$B230&lt;&gt;$B215,$B231&lt;&gt;$B216,$B232&lt;&gt;$B217,$B233&lt;&gt;$B218,$B234&lt;&gt;$B219,$B235&lt;&gt;$B220,$B236&lt;&gt;$B221,$B237&lt;&gt;$B222,$B238&lt;&gt;$B223),IF($B234&lt;&gt;$B219,AI219/INDEX($C213:$AJ223,7,MATCH(IF('Data-solution'!$A$3="Maximize",MAX($C224:$AI224),MIN($C224:$AI224)),$C224:$AI224,0)),AI219-INDEX($C213:$AJ223,7,MATCH(IF('Data-solution'!$A$3="Maximize",MAX($C224:$AI224),MIN($C224:$AI224)),$C224:$AI224,0))*INDEX(AI213:$AJ223,MATCH(MIN($AK213:$AK223),$AK213:$AK223,0),1)/INDEX($C213:$AJ223,MATCH(MIN($AK213:$AK223),$AK213:$AK223,0),MATCH(IF('Data-solution'!$A$3="Maximize",MAX($C224:$AI224),MIN($C224:$AI224)),$C224:$AI224,0))),AI219)</f>
        <v>0</v>
      </c>
      <c r="AJ234" s="1">
        <f>IF(OR($B228&lt;&gt;$B213,$B229&lt;&gt;$B214,$B230&lt;&gt;$B215,$B231&lt;&gt;$B216,$B232&lt;&gt;$B217,$B233&lt;&gt;$B218,$B234&lt;&gt;$B219,$B235&lt;&gt;$B220,$B236&lt;&gt;$B221,$B237&lt;&gt;$B222,$B238&lt;&gt;$B223),IF($B234&lt;&gt;$B219,AJ219/INDEX($C213:$AJ223,7,MATCH(IF('Data-solution'!$A$3="Maximize",MAX($C224:$AI224),MIN($C224:$AI224)),$C224:$AI224,0)),AJ219-INDEX($C213:$AJ223,7,MATCH(IF('Data-solution'!$A$3="Maximize",MAX($C224:$AI224),MIN($C224:$AI224)),$C224:$AI224,0))*INDEX(AJ213:$AJ223,MATCH(MIN($AK213:$AK223),$AK213:$AK223,0),1)/INDEX($C213:$AJ223,MATCH(MIN($AK213:$AK223),$AK213:$AK223,0),MATCH(IF('Data-solution'!$A$3="Maximize",MAX($C224:$AI224),MIN($C224:$AI224)),$C224:$AI224,0))),AJ219)</f>
        <v>0</v>
      </c>
      <c r="AK234" s="1" t="str">
        <f>IF(INDEX(C234:X234,1,MATCH(IF('Data-solution'!A$3="Maximize",MAX(C239:X239),MIN(C239:X239)),C239:X239,0))&gt;0,AJ234/INDEX(C234:X234,1,MATCH(IF('Data-solution'!A$3="Maximize",MAX(C239:X239),MIN(C239:X239)),C239:X239,0))," ")</f>
        <v xml:space="preserve"> </v>
      </c>
    </row>
    <row r="235" spans="1:37" ht="18" customHeight="1" x14ac:dyDescent="0.2">
      <c r="A235" s="1">
        <f t="shared" ref="A235" si="205">INDEX(C226:AI226,1,MATCH(B235,C227:AI227,0))</f>
        <v>0</v>
      </c>
      <c r="B235" s="2" t="str">
        <f>IF(AND('Data-solution'!A$3="Maximize",COUNTIF(C224:X224,"&gt;"&amp;0)&gt;0,AK220=MIN(AK213:AK223),COUNTIF(B228:B234,INDEX(C212:X212,1,MATCH(MAX(C224:X224),C224:X224,0)))=0),INDEX(C212:X212,1,MATCH(MAX(C224:X224),C224:X224,0)),IF(AND('Data-solution'!A$3="Minimize",COUNTIF(C224:X224,"&lt;"&amp;0)&gt;0,AK220=MIN(AK213:AK223),COUNTIF(B228:B234,INDEX(C212:X212,1,MATCH(MIN(C224:X224),C224:X224,0)))=0),INDEX(C212:X212,1,MATCH(MIN(C224:X224),C224:X224,0)),B220))</f>
        <v>S8</v>
      </c>
      <c r="C235" s="1">
        <f>IF(OR($B228&lt;&gt;$B213,$B229&lt;&gt;$B214,$B230&lt;&gt;$B215,$B231&lt;&gt;$B216,$B232&lt;&gt;$B217,$B233&lt;&gt;$B218,$B234&lt;&gt;$B219,$B235&lt;&gt;$B220,$B236&lt;&gt;$B221,$B237&lt;&gt;$B222,$B238&lt;&gt;$B223),IF($B235&lt;&gt;$B220,C220/INDEX($C213:$AJ223,8,MATCH(IF('Data-solution'!$A$3="Maximize",MAX($C224:$AI224),MIN($C224:$AI224)),$C224:$AI224,0)),C220-INDEX($C213:$AJ223,8,MATCH(IF('Data-solution'!$A$3="Maximize",MAX($C224:$AI224),MIN($C224:$AI224)),$C224:$AI224,0))*INDEX(C213:$AJ223,MATCH(MIN($AK213:$AK223),$AK213:$AK223,0),1)/INDEX($C213:$AJ223,MATCH(MIN($AK213:$AK223),$AK213:$AK223,0),MATCH(IF('Data-solution'!$A$3="Maximize",MAX($C224:$AI224),MIN($C224:$AI224)),$C224:$AI224,0))),C220)</f>
        <v>0</v>
      </c>
      <c r="D235" s="1">
        <f>IF(OR($B228&lt;&gt;$B213,$B229&lt;&gt;$B214,$B230&lt;&gt;$B215,$B231&lt;&gt;$B216,$B232&lt;&gt;$B217,$B233&lt;&gt;$B218,$B234&lt;&gt;$B219,$B235&lt;&gt;$B220,$B236&lt;&gt;$B221,$B237&lt;&gt;$B222,$B238&lt;&gt;$B223),IF($B235&lt;&gt;$B220,D220/INDEX($C213:$AJ223,8,MATCH(IF('Data-solution'!$A$3="Maximize",MAX($C224:$AI224),MIN($C224:$AI224)),$C224:$AI224,0)),D220-INDEX($C213:$AJ223,8,MATCH(IF('Data-solution'!$A$3="Maximize",MAX($C224:$AI224),MIN($C224:$AI224)),$C224:$AI224,0))*INDEX(D213:$AJ223,MATCH(MIN($AK213:$AK223),$AK213:$AK223,0),1)/INDEX($C213:$AJ223,MATCH(MIN($AK213:$AK223),$AK213:$AK223,0),MATCH(IF('Data-solution'!$A$3="Maximize",MAX($C224:$AI224),MIN($C224:$AI224)),$C224:$AI224,0))),D220)</f>
        <v>0</v>
      </c>
      <c r="E235" s="1">
        <f>IF(OR($B228&lt;&gt;$B213,$B229&lt;&gt;$B214,$B230&lt;&gt;$B215,$B231&lt;&gt;$B216,$B232&lt;&gt;$B217,$B233&lt;&gt;$B218,$B234&lt;&gt;$B219,$B235&lt;&gt;$B220,$B236&lt;&gt;$B221,$B237&lt;&gt;$B222,$B238&lt;&gt;$B223),IF($B235&lt;&gt;$B220,E220/INDEX($C213:$AJ223,8,MATCH(IF('Data-solution'!$A$3="Maximize",MAX($C224:$AI224),MIN($C224:$AI224)),$C224:$AI224,0)),E220-INDEX($C213:$AJ223,8,MATCH(IF('Data-solution'!$A$3="Maximize",MAX($C224:$AI224),MIN($C224:$AI224)),$C224:$AI224,0))*INDEX(E213:$AJ223,MATCH(MIN($AK213:$AK223),$AK213:$AK223,0),1)/INDEX($C213:$AJ223,MATCH(MIN($AK213:$AK223),$AK213:$AK223,0),MATCH(IF('Data-solution'!$A$3="Maximize",MAX($C224:$AI224),MIN($C224:$AI224)),$C224:$AI224,0))),E220)</f>
        <v>0</v>
      </c>
      <c r="F235" s="1">
        <f>IF(OR($B228&lt;&gt;$B213,$B229&lt;&gt;$B214,$B230&lt;&gt;$B215,$B231&lt;&gt;$B216,$B232&lt;&gt;$B217,$B233&lt;&gt;$B218,$B234&lt;&gt;$B219,$B235&lt;&gt;$B220,$B236&lt;&gt;$B221,$B237&lt;&gt;$B222,$B238&lt;&gt;$B223),IF($B235&lt;&gt;$B220,F220/INDEX($C213:$AJ223,8,MATCH(IF('Data-solution'!$A$3="Maximize",MAX($C224:$AI224),MIN($C224:$AI224)),$C224:$AI224,0)),F220-INDEX($C213:$AJ223,8,MATCH(IF('Data-solution'!$A$3="Maximize",MAX($C224:$AI224),MIN($C224:$AI224)),$C224:$AI224,0))*INDEX(F213:$AJ223,MATCH(MIN($AK213:$AK223),$AK213:$AK223,0),1)/INDEX($C213:$AJ223,MATCH(MIN($AK213:$AK223),$AK213:$AK223,0),MATCH(IF('Data-solution'!$A$3="Maximize",MAX($C224:$AI224),MIN($C224:$AI224)),$C224:$AI224,0))),F220)</f>
        <v>0</v>
      </c>
      <c r="G235" s="1">
        <f>IF(OR($B228&lt;&gt;$B213,$B229&lt;&gt;$B214,$B230&lt;&gt;$B215,$B231&lt;&gt;$B216,$B232&lt;&gt;$B217,$B233&lt;&gt;$B218,$B234&lt;&gt;$B219,$B235&lt;&gt;$B220,$B236&lt;&gt;$B221,$B237&lt;&gt;$B222,$B238&lt;&gt;$B223),IF($B235&lt;&gt;$B220,G220/INDEX($C213:$AJ223,8,MATCH(IF('Data-solution'!$A$3="Maximize",MAX($C224:$AI224),MIN($C224:$AI224)),$C224:$AI224,0)),G220-INDEX($C213:$AJ223,8,MATCH(IF('Data-solution'!$A$3="Maximize",MAX($C224:$AI224),MIN($C224:$AI224)),$C224:$AI224,0))*INDEX(G213:$AJ223,MATCH(MIN($AK213:$AK223),$AK213:$AK223,0),1)/INDEX($C213:$AJ223,MATCH(MIN($AK213:$AK223),$AK213:$AK223,0),MATCH(IF('Data-solution'!$A$3="Maximize",MAX($C224:$AI224),MIN($C224:$AI224)),$C224:$AI224,0))),G220)</f>
        <v>0</v>
      </c>
      <c r="H235" s="1">
        <f>IF(OR($B228&lt;&gt;$B213,$B229&lt;&gt;$B214,$B230&lt;&gt;$B215,$B231&lt;&gt;$B216,$B232&lt;&gt;$B217,$B233&lt;&gt;$B218,$B234&lt;&gt;$B219,$B235&lt;&gt;$B220,$B236&lt;&gt;$B221,$B237&lt;&gt;$B222,$B238&lt;&gt;$B223),IF($B235&lt;&gt;$B220,H220/INDEX($C213:$AJ223,8,MATCH(IF('Data-solution'!$A$3="Maximize",MAX($C224:$AI224),MIN($C224:$AI224)),$C224:$AI224,0)),H220-INDEX($C213:$AJ223,8,MATCH(IF('Data-solution'!$A$3="Maximize",MAX($C224:$AI224),MIN($C224:$AI224)),$C224:$AI224,0))*INDEX(H213:$AJ223,MATCH(MIN($AK213:$AK223),$AK213:$AK223,0),1)/INDEX($C213:$AJ223,MATCH(MIN($AK213:$AK223),$AK213:$AK223,0),MATCH(IF('Data-solution'!$A$3="Maximize",MAX($C224:$AI224),MIN($C224:$AI224)),$C224:$AI224,0))),H220)</f>
        <v>0</v>
      </c>
      <c r="I235" s="1">
        <f>IF(OR($B228&lt;&gt;$B213,$B229&lt;&gt;$B214,$B230&lt;&gt;$B215,$B231&lt;&gt;$B216,$B232&lt;&gt;$B217,$B233&lt;&gt;$B218,$B234&lt;&gt;$B219,$B235&lt;&gt;$B220,$B236&lt;&gt;$B221,$B237&lt;&gt;$B222,$B238&lt;&gt;$B223),IF($B235&lt;&gt;$B220,I220/INDEX($C213:$AJ223,8,MATCH(IF('Data-solution'!$A$3="Maximize",MAX($C224:$AI224),MIN($C224:$AI224)),$C224:$AI224,0)),I220-INDEX($C213:$AJ223,8,MATCH(IF('Data-solution'!$A$3="Maximize",MAX($C224:$AI224),MIN($C224:$AI224)),$C224:$AI224,0))*INDEX(I213:$AJ223,MATCH(MIN($AK213:$AK223),$AK213:$AK223,0),1)/INDEX($C213:$AJ223,MATCH(MIN($AK213:$AK223),$AK213:$AK223,0),MATCH(IF('Data-solution'!$A$3="Maximize",MAX($C224:$AI224),MIN($C224:$AI224)),$C224:$AI224,0))),I220)</f>
        <v>0</v>
      </c>
      <c r="J235" s="1">
        <f>IF(OR($B228&lt;&gt;$B213,$B229&lt;&gt;$B214,$B230&lt;&gt;$B215,$B231&lt;&gt;$B216,$B232&lt;&gt;$B217,$B233&lt;&gt;$B218,$B234&lt;&gt;$B219,$B235&lt;&gt;$B220,$B236&lt;&gt;$B221,$B237&lt;&gt;$B222,$B238&lt;&gt;$B223),IF($B235&lt;&gt;$B220,J220/INDEX($C213:$AJ223,8,MATCH(IF('Data-solution'!$A$3="Maximize",MAX($C224:$AI224),MIN($C224:$AI224)),$C224:$AI224,0)),J220-INDEX($C213:$AJ223,8,MATCH(IF('Data-solution'!$A$3="Maximize",MAX($C224:$AI224),MIN($C224:$AI224)),$C224:$AI224,0))*INDEX(J213:$AJ223,MATCH(MIN($AK213:$AK223),$AK213:$AK223,0),1)/INDEX($C213:$AJ223,MATCH(MIN($AK213:$AK223),$AK213:$AK223,0),MATCH(IF('Data-solution'!$A$3="Maximize",MAX($C224:$AI224),MIN($C224:$AI224)),$C224:$AI224,0))),J220)</f>
        <v>0</v>
      </c>
      <c r="K235" s="1">
        <f>IF(OR($B228&lt;&gt;$B213,$B229&lt;&gt;$B214,$B230&lt;&gt;$B215,$B231&lt;&gt;$B216,$B232&lt;&gt;$B217,$B233&lt;&gt;$B218,$B234&lt;&gt;$B219,$B235&lt;&gt;$B220,$B236&lt;&gt;$B221,$B237&lt;&gt;$B222,$B238&lt;&gt;$B223),IF($B235&lt;&gt;$B220,K220/INDEX($C213:$AJ223,8,MATCH(IF('Data-solution'!$A$3="Maximize",MAX($C224:$AI224),MIN($C224:$AI224)),$C224:$AI224,0)),K220-INDEX($C213:$AJ223,8,MATCH(IF('Data-solution'!$A$3="Maximize",MAX($C224:$AI224),MIN($C224:$AI224)),$C224:$AI224,0))*INDEX(K213:$AJ223,MATCH(MIN($AK213:$AK223),$AK213:$AK223,0),1)/INDEX($C213:$AJ223,MATCH(MIN($AK213:$AK223),$AK213:$AK223,0),MATCH(IF('Data-solution'!$A$3="Maximize",MAX($C224:$AI224),MIN($C224:$AI224)),$C224:$AI224,0))),K220)</f>
        <v>0</v>
      </c>
      <c r="L235" s="1">
        <f>IF(OR($B228&lt;&gt;$B213,$B229&lt;&gt;$B214,$B230&lt;&gt;$B215,$B231&lt;&gt;$B216,$B232&lt;&gt;$B217,$B233&lt;&gt;$B218,$B234&lt;&gt;$B219,$B235&lt;&gt;$B220,$B236&lt;&gt;$B221,$B237&lt;&gt;$B222,$B238&lt;&gt;$B223),IF($B235&lt;&gt;$B220,L220/INDEX($C213:$AJ223,8,MATCH(IF('Data-solution'!$A$3="Maximize",MAX($C224:$AI224),MIN($C224:$AI224)),$C224:$AI224,0)),L220-INDEX($C213:$AJ223,8,MATCH(IF('Data-solution'!$A$3="Maximize",MAX($C224:$AI224),MIN($C224:$AI224)),$C224:$AI224,0))*INDEX(L213:$AJ223,MATCH(MIN($AK213:$AK223),$AK213:$AK223,0),1)/INDEX($C213:$AJ223,MATCH(MIN($AK213:$AK223),$AK213:$AK223,0),MATCH(IF('Data-solution'!$A$3="Maximize",MAX($C224:$AI224),MIN($C224:$AI224)),$C224:$AI224,0))),L220)</f>
        <v>0</v>
      </c>
      <c r="M235" s="1">
        <f>IF(OR($B228&lt;&gt;$B213,$B229&lt;&gt;$B214,$B230&lt;&gt;$B215,$B231&lt;&gt;$B216,$B232&lt;&gt;$B217,$B233&lt;&gt;$B218,$B234&lt;&gt;$B219,$B235&lt;&gt;$B220,$B236&lt;&gt;$B221,$B237&lt;&gt;$B222,$B238&lt;&gt;$B223),IF($B235&lt;&gt;$B220,M220/INDEX($C213:$AJ223,8,MATCH(IF('Data-solution'!$A$3="Maximize",MAX($C224:$AI224),MIN($C224:$AI224)),$C224:$AI224,0)),M220-INDEX($C213:$AJ223,8,MATCH(IF('Data-solution'!$A$3="Maximize",MAX($C224:$AI224),MIN($C224:$AI224)),$C224:$AI224,0))*INDEX(M213:$AJ223,MATCH(MIN($AK213:$AK223),$AK213:$AK223,0),1)/INDEX($C213:$AJ223,MATCH(MIN($AK213:$AK223),$AK213:$AK223,0),MATCH(IF('Data-solution'!$A$3="Maximize",MAX($C224:$AI224),MIN($C224:$AI224)),$C224:$AI224,0))),M220)</f>
        <v>0</v>
      </c>
      <c r="N235" s="1">
        <f>IF(OR($B228&lt;&gt;$B213,$B229&lt;&gt;$B214,$B230&lt;&gt;$B215,$B231&lt;&gt;$B216,$B232&lt;&gt;$B217,$B233&lt;&gt;$B218,$B234&lt;&gt;$B219,$B235&lt;&gt;$B220,$B236&lt;&gt;$B221,$B237&lt;&gt;$B222,$B238&lt;&gt;$B223),IF($B235&lt;&gt;$B220,N220/INDEX($C213:$AJ223,8,MATCH(IF('Data-solution'!$A$3="Maximize",MAX($C224:$AI224),MIN($C224:$AI224)),$C224:$AI224,0)),N220-INDEX($C213:$AJ223,8,MATCH(IF('Data-solution'!$A$3="Maximize",MAX($C224:$AI224),MIN($C224:$AI224)),$C224:$AI224,0))*INDEX(N213:$AJ223,MATCH(MIN($AK213:$AK223),$AK213:$AK223,0),1)/INDEX($C213:$AJ223,MATCH(MIN($AK213:$AK223),$AK213:$AK223,0),MATCH(IF('Data-solution'!$A$3="Maximize",MAX($C224:$AI224),MIN($C224:$AI224)),$C224:$AI224,0))),N220)</f>
        <v>0</v>
      </c>
      <c r="O235" s="1">
        <f>IF(OR($B228&lt;&gt;$B213,$B229&lt;&gt;$B214,$B230&lt;&gt;$B215,$B231&lt;&gt;$B216,$B232&lt;&gt;$B217,$B233&lt;&gt;$B218,$B234&lt;&gt;$B219,$B235&lt;&gt;$B220,$B236&lt;&gt;$B221,$B237&lt;&gt;$B222,$B238&lt;&gt;$B223),IF($B235&lt;&gt;$B220,O220/INDEX($C213:$AJ223,8,MATCH(IF('Data-solution'!$A$3="Maximize",MAX($C224:$AI224),MIN($C224:$AI224)),$C224:$AI224,0)),O220-INDEX($C213:$AJ223,8,MATCH(IF('Data-solution'!$A$3="Maximize",MAX($C224:$AI224),MIN($C224:$AI224)),$C224:$AI224,0))*INDEX(O213:$AJ223,MATCH(MIN($AK213:$AK223),$AK213:$AK223,0),1)/INDEX($C213:$AJ223,MATCH(MIN($AK213:$AK223),$AK213:$AK223,0),MATCH(IF('Data-solution'!$A$3="Maximize",MAX($C224:$AI224),MIN($C224:$AI224)),$C224:$AI224,0))),O220)</f>
        <v>0</v>
      </c>
      <c r="P235" s="1">
        <f>IF(OR($B228&lt;&gt;$B213,$B229&lt;&gt;$B214,$B230&lt;&gt;$B215,$B231&lt;&gt;$B216,$B232&lt;&gt;$B217,$B233&lt;&gt;$B218,$B234&lt;&gt;$B219,$B235&lt;&gt;$B220,$B236&lt;&gt;$B221,$B237&lt;&gt;$B222,$B238&lt;&gt;$B223),IF($B235&lt;&gt;$B220,P220/INDEX($C213:$AJ223,8,MATCH(IF('Data-solution'!$A$3="Maximize",MAX($C224:$AI224),MIN($C224:$AI224)),$C224:$AI224,0)),P220-INDEX($C213:$AJ223,8,MATCH(IF('Data-solution'!$A$3="Maximize",MAX($C224:$AI224),MIN($C224:$AI224)),$C224:$AI224,0))*INDEX(P213:$AJ223,MATCH(MIN($AK213:$AK223),$AK213:$AK223,0),1)/INDEX($C213:$AJ223,MATCH(MIN($AK213:$AK223),$AK213:$AK223,0),MATCH(IF('Data-solution'!$A$3="Maximize",MAX($C224:$AI224),MIN($C224:$AI224)),$C224:$AI224,0))),P220)</f>
        <v>0</v>
      </c>
      <c r="Q235" s="1">
        <f>IF(OR($B228&lt;&gt;$B213,$B229&lt;&gt;$B214,$B230&lt;&gt;$B215,$B231&lt;&gt;$B216,$B232&lt;&gt;$B217,$B233&lt;&gt;$B218,$B234&lt;&gt;$B219,$B235&lt;&gt;$B220,$B236&lt;&gt;$B221,$B237&lt;&gt;$B222,$B238&lt;&gt;$B223),IF($B235&lt;&gt;$B220,Q220/INDEX($C213:$AJ223,8,MATCH(IF('Data-solution'!$A$3="Maximize",MAX($C224:$AI224),MIN($C224:$AI224)),$C224:$AI224,0)),Q220-INDEX($C213:$AJ223,8,MATCH(IF('Data-solution'!$A$3="Maximize",MAX($C224:$AI224),MIN($C224:$AI224)),$C224:$AI224,0))*INDEX(Q213:$AJ223,MATCH(MIN($AK213:$AK223),$AK213:$AK223,0),1)/INDEX($C213:$AJ223,MATCH(MIN($AK213:$AK223),$AK213:$AK223,0),MATCH(IF('Data-solution'!$A$3="Maximize",MAX($C224:$AI224),MIN($C224:$AI224)),$C224:$AI224,0))),Q220)</f>
        <v>0</v>
      </c>
      <c r="R235" s="1">
        <f>IF(OR($B228&lt;&gt;$B213,$B229&lt;&gt;$B214,$B230&lt;&gt;$B215,$B231&lt;&gt;$B216,$B232&lt;&gt;$B217,$B233&lt;&gt;$B218,$B234&lt;&gt;$B219,$B235&lt;&gt;$B220,$B236&lt;&gt;$B221,$B237&lt;&gt;$B222,$B238&lt;&gt;$B223),IF($B235&lt;&gt;$B220,R220/INDEX($C213:$AJ223,8,MATCH(IF('Data-solution'!$A$3="Maximize",MAX($C224:$AI224),MIN($C224:$AI224)),$C224:$AI224,0)),R220-INDEX($C213:$AJ223,8,MATCH(IF('Data-solution'!$A$3="Maximize",MAX($C224:$AI224),MIN($C224:$AI224)),$C224:$AI224,0))*INDEX(R213:$AJ223,MATCH(MIN($AK213:$AK223),$AK213:$AK223,0),1)/INDEX($C213:$AJ223,MATCH(MIN($AK213:$AK223),$AK213:$AK223,0),MATCH(IF('Data-solution'!$A$3="Maximize",MAX($C224:$AI224),MIN($C224:$AI224)),$C224:$AI224,0))),R220)</f>
        <v>0</v>
      </c>
      <c r="S235" s="1">
        <f>IF(OR($B228&lt;&gt;$B213,$B229&lt;&gt;$B214,$B230&lt;&gt;$B215,$B231&lt;&gt;$B216,$B232&lt;&gt;$B217,$B233&lt;&gt;$B218,$B234&lt;&gt;$B219,$B235&lt;&gt;$B220,$B236&lt;&gt;$B221,$B237&lt;&gt;$B222,$B238&lt;&gt;$B223),IF($B235&lt;&gt;$B220,S220/INDEX($C213:$AJ223,8,MATCH(IF('Data-solution'!$A$3="Maximize",MAX($C224:$AI224),MIN($C224:$AI224)),$C224:$AI224,0)),S220-INDEX($C213:$AJ223,8,MATCH(IF('Data-solution'!$A$3="Maximize",MAX($C224:$AI224),MIN($C224:$AI224)),$C224:$AI224,0))*INDEX(S213:$AJ223,MATCH(MIN($AK213:$AK223),$AK213:$AK223,0),1)/INDEX($C213:$AJ223,MATCH(MIN($AK213:$AK223),$AK213:$AK223,0),MATCH(IF('Data-solution'!$A$3="Maximize",MAX($C224:$AI224),MIN($C224:$AI224)),$C224:$AI224,0))),S220)</f>
        <v>0</v>
      </c>
      <c r="T235" s="1">
        <f>IF(OR($B228&lt;&gt;$B213,$B229&lt;&gt;$B214,$B230&lt;&gt;$B215,$B231&lt;&gt;$B216,$B232&lt;&gt;$B217,$B233&lt;&gt;$B218,$B234&lt;&gt;$B219,$B235&lt;&gt;$B220,$B236&lt;&gt;$B221,$B237&lt;&gt;$B222,$B238&lt;&gt;$B223),IF($B235&lt;&gt;$B220,T220/INDEX($C213:$AJ223,8,MATCH(IF('Data-solution'!$A$3="Maximize",MAX($C224:$AI224),MIN($C224:$AI224)),$C224:$AI224,0)),T220-INDEX($C213:$AJ223,8,MATCH(IF('Data-solution'!$A$3="Maximize",MAX($C224:$AI224),MIN($C224:$AI224)),$C224:$AI224,0))*INDEX(T213:$AJ223,MATCH(MIN($AK213:$AK223),$AK213:$AK223,0),1)/INDEX($C213:$AJ223,MATCH(MIN($AK213:$AK223),$AK213:$AK223,0),MATCH(IF('Data-solution'!$A$3="Maximize",MAX($C224:$AI224),MIN($C224:$AI224)),$C224:$AI224,0))),T220)</f>
        <v>0</v>
      </c>
      <c r="U235" s="1">
        <f>IF(OR($B228&lt;&gt;$B213,$B229&lt;&gt;$B214,$B230&lt;&gt;$B215,$B231&lt;&gt;$B216,$B232&lt;&gt;$B217,$B233&lt;&gt;$B218,$B234&lt;&gt;$B219,$B235&lt;&gt;$B220,$B236&lt;&gt;$B221,$B237&lt;&gt;$B222,$B238&lt;&gt;$B223),IF($B235&lt;&gt;$B220,U220/INDEX($C213:$AJ223,8,MATCH(IF('Data-solution'!$A$3="Maximize",MAX($C224:$AI224),MIN($C224:$AI224)),$C224:$AI224,0)),U220-INDEX($C213:$AJ223,8,MATCH(IF('Data-solution'!$A$3="Maximize",MAX($C224:$AI224),MIN($C224:$AI224)),$C224:$AI224,0))*INDEX(U213:$AJ223,MATCH(MIN($AK213:$AK223),$AK213:$AK223,0),1)/INDEX($C213:$AJ223,MATCH(MIN($AK213:$AK223),$AK213:$AK223,0),MATCH(IF('Data-solution'!$A$3="Maximize",MAX($C224:$AI224),MIN($C224:$AI224)),$C224:$AI224,0))),U220)</f>
        <v>1</v>
      </c>
      <c r="V235" s="1">
        <f>IF(OR($B228&lt;&gt;$B213,$B229&lt;&gt;$B214,$B230&lt;&gt;$B215,$B231&lt;&gt;$B216,$B232&lt;&gt;$B217,$B233&lt;&gt;$B218,$B234&lt;&gt;$B219,$B235&lt;&gt;$B220,$B236&lt;&gt;$B221,$B237&lt;&gt;$B222,$B238&lt;&gt;$B223),IF($B235&lt;&gt;$B220,V220/INDEX($C213:$AJ223,8,MATCH(IF('Data-solution'!$A$3="Maximize",MAX($C224:$AI224),MIN($C224:$AI224)),$C224:$AI224,0)),V220-INDEX($C213:$AJ223,8,MATCH(IF('Data-solution'!$A$3="Maximize",MAX($C224:$AI224),MIN($C224:$AI224)),$C224:$AI224,0))*INDEX(V213:$AJ223,MATCH(MIN($AK213:$AK223),$AK213:$AK223,0),1)/INDEX($C213:$AJ223,MATCH(MIN($AK213:$AK223),$AK213:$AK223,0),MATCH(IF('Data-solution'!$A$3="Maximize",MAX($C224:$AI224),MIN($C224:$AI224)),$C224:$AI224,0))),V220)</f>
        <v>0</v>
      </c>
      <c r="W235" s="1">
        <f>IF(OR($B228&lt;&gt;$B213,$B229&lt;&gt;$B214,$B230&lt;&gt;$B215,$B231&lt;&gt;$B216,$B232&lt;&gt;$B217,$B233&lt;&gt;$B218,$B234&lt;&gt;$B219,$B235&lt;&gt;$B220,$B236&lt;&gt;$B221,$B237&lt;&gt;$B222,$B238&lt;&gt;$B223),IF($B235&lt;&gt;$B220,W220/INDEX($C213:$AJ223,8,MATCH(IF('Data-solution'!$A$3="Maximize",MAX($C224:$AI224),MIN($C224:$AI224)),$C224:$AI224,0)),W220-INDEX($C213:$AJ223,8,MATCH(IF('Data-solution'!$A$3="Maximize",MAX($C224:$AI224),MIN($C224:$AI224)),$C224:$AI224,0))*INDEX(W213:$AJ223,MATCH(MIN($AK213:$AK223),$AK213:$AK223,0),1)/INDEX($C213:$AJ223,MATCH(MIN($AK213:$AK223),$AK213:$AK223,0),MATCH(IF('Data-solution'!$A$3="Maximize",MAX($C224:$AI224),MIN($C224:$AI224)),$C224:$AI224,0))),W220)</f>
        <v>0</v>
      </c>
      <c r="X235" s="1">
        <f>IF(OR($B228&lt;&gt;$B213,$B229&lt;&gt;$B214,$B230&lt;&gt;$B215,$B231&lt;&gt;$B216,$B232&lt;&gt;$B217,$B233&lt;&gt;$B218,$B234&lt;&gt;$B219,$B235&lt;&gt;$B220,$B236&lt;&gt;$B221,$B237&lt;&gt;$B222,$B238&lt;&gt;$B223),IF($B235&lt;&gt;$B220,X220/INDEX($C213:$AJ223,8,MATCH(IF('Data-solution'!$A$3="Maximize",MAX($C224:$AI224),MIN($C224:$AI224)),$C224:$AI224,0)),X220-INDEX($C213:$AJ223,8,MATCH(IF('Data-solution'!$A$3="Maximize",MAX($C224:$AI224),MIN($C224:$AI224)),$C224:$AI224,0))*INDEX(X213:$AJ223,MATCH(MIN($AK213:$AK223),$AK213:$AK223,0),1)/INDEX($C213:$AJ223,MATCH(MIN($AK213:$AK223),$AK213:$AK223,0),MATCH(IF('Data-solution'!$A$3="Maximize",MAX($C224:$AI224),MIN($C224:$AI224)),$C224:$AI224,0))),X220)</f>
        <v>0</v>
      </c>
      <c r="Y235" s="1">
        <f>IF(OR($B228&lt;&gt;$B213,$B229&lt;&gt;$B214,$B230&lt;&gt;$B215,$B231&lt;&gt;$B216,$B232&lt;&gt;$B217,$B233&lt;&gt;$B218,$B234&lt;&gt;$B219,$B235&lt;&gt;$B220,$B236&lt;&gt;$B221,$B237&lt;&gt;$B222,$B238&lt;&gt;$B223),IF($B235&lt;&gt;$B220,Y220/INDEX($C213:$AJ223,8,MATCH(IF('Data-solution'!$A$3="Maximize",MAX($C224:$AI224),MIN($C224:$AI224)),$C224:$AI224,0)),Y220-INDEX($C213:$AJ223,8,MATCH(IF('Data-solution'!$A$3="Maximize",MAX($C224:$AI224),MIN($C224:$AI224)),$C224:$AI224,0))*INDEX(Y213:$AJ223,MATCH(MIN($AK213:$AK223),$AK213:$AK223,0),1)/INDEX($C213:$AJ223,MATCH(MIN($AK213:$AK223),$AK213:$AK223,0),MATCH(IF('Data-solution'!$A$3="Maximize",MAX($C224:$AI224),MIN($C224:$AI224)),$C224:$AI224,0))),Y220)</f>
        <v>0</v>
      </c>
      <c r="Z235" s="1">
        <f>IF(OR($B228&lt;&gt;$B213,$B229&lt;&gt;$B214,$B230&lt;&gt;$B215,$B231&lt;&gt;$B216,$B232&lt;&gt;$B217,$B233&lt;&gt;$B218,$B234&lt;&gt;$B219,$B235&lt;&gt;$B220,$B236&lt;&gt;$B221,$B237&lt;&gt;$B222,$B238&lt;&gt;$B223),IF($B235&lt;&gt;$B220,Z220/INDEX($C213:$AJ223,8,MATCH(IF('Data-solution'!$A$3="Maximize",MAX($C224:$AI224),MIN($C224:$AI224)),$C224:$AI224,0)),Z220-INDEX($C213:$AJ223,8,MATCH(IF('Data-solution'!$A$3="Maximize",MAX($C224:$AI224),MIN($C224:$AI224)),$C224:$AI224,0))*INDEX(Z213:$AJ223,MATCH(MIN($AK213:$AK223),$AK213:$AK223,0),1)/INDEX($C213:$AJ223,MATCH(MIN($AK213:$AK223),$AK213:$AK223,0),MATCH(IF('Data-solution'!$A$3="Maximize",MAX($C224:$AI224),MIN($C224:$AI224)),$C224:$AI224,0))),Z220)</f>
        <v>0</v>
      </c>
      <c r="AA235" s="1">
        <f>IF(OR($B228&lt;&gt;$B213,$B229&lt;&gt;$B214,$B230&lt;&gt;$B215,$B231&lt;&gt;$B216,$B232&lt;&gt;$B217,$B233&lt;&gt;$B218,$B234&lt;&gt;$B219,$B235&lt;&gt;$B220,$B236&lt;&gt;$B221,$B237&lt;&gt;$B222,$B238&lt;&gt;$B223),IF($B235&lt;&gt;$B220,AA220/INDEX($C213:$AJ223,8,MATCH(IF('Data-solution'!$A$3="Maximize",MAX($C224:$AI224),MIN($C224:$AI224)),$C224:$AI224,0)),AA220-INDEX($C213:$AJ223,8,MATCH(IF('Data-solution'!$A$3="Maximize",MAX($C224:$AI224),MIN($C224:$AI224)),$C224:$AI224,0))*INDEX(AA213:$AJ223,MATCH(MIN($AK213:$AK223),$AK213:$AK223,0),1)/INDEX($C213:$AJ223,MATCH(MIN($AK213:$AK223),$AK213:$AK223,0),MATCH(IF('Data-solution'!$A$3="Maximize",MAX($C224:$AI224),MIN($C224:$AI224)),$C224:$AI224,0))),AA220)</f>
        <v>0</v>
      </c>
      <c r="AB235" s="1">
        <f>IF(OR($B228&lt;&gt;$B213,$B229&lt;&gt;$B214,$B230&lt;&gt;$B215,$B231&lt;&gt;$B216,$B232&lt;&gt;$B217,$B233&lt;&gt;$B218,$B234&lt;&gt;$B219,$B235&lt;&gt;$B220,$B236&lt;&gt;$B221,$B237&lt;&gt;$B222,$B238&lt;&gt;$B223),IF($B235&lt;&gt;$B220,AB220/INDEX($C213:$AJ223,8,MATCH(IF('Data-solution'!$A$3="Maximize",MAX($C224:$AI224),MIN($C224:$AI224)),$C224:$AI224,0)),AB220-INDEX($C213:$AJ223,8,MATCH(IF('Data-solution'!$A$3="Maximize",MAX($C224:$AI224),MIN($C224:$AI224)),$C224:$AI224,0))*INDEX(AB213:$AJ223,MATCH(MIN($AK213:$AK223),$AK213:$AK223,0),1)/INDEX($C213:$AJ223,MATCH(MIN($AK213:$AK223),$AK213:$AK223,0),MATCH(IF('Data-solution'!$A$3="Maximize",MAX($C224:$AI224),MIN($C224:$AI224)),$C224:$AI224,0))),AB220)</f>
        <v>0</v>
      </c>
      <c r="AC235" s="1">
        <f>IF(OR($B228&lt;&gt;$B213,$B229&lt;&gt;$B214,$B230&lt;&gt;$B215,$B231&lt;&gt;$B216,$B232&lt;&gt;$B217,$B233&lt;&gt;$B218,$B234&lt;&gt;$B219,$B235&lt;&gt;$B220,$B236&lt;&gt;$B221,$B237&lt;&gt;$B222,$B238&lt;&gt;$B223),IF($B235&lt;&gt;$B220,AC220/INDEX($C213:$AJ223,8,MATCH(IF('Data-solution'!$A$3="Maximize",MAX($C224:$AI224),MIN($C224:$AI224)),$C224:$AI224,0)),AC220-INDEX($C213:$AJ223,8,MATCH(IF('Data-solution'!$A$3="Maximize",MAX($C224:$AI224),MIN($C224:$AI224)),$C224:$AI224,0))*INDEX(AC213:$AJ223,MATCH(MIN($AK213:$AK223),$AK213:$AK223,0),1)/INDEX($C213:$AJ223,MATCH(MIN($AK213:$AK223),$AK213:$AK223,0),MATCH(IF('Data-solution'!$A$3="Maximize",MAX($C224:$AI224),MIN($C224:$AI224)),$C224:$AI224,0))),AC220)</f>
        <v>0</v>
      </c>
      <c r="AD235" s="1">
        <f>IF(OR($B228&lt;&gt;$B213,$B229&lt;&gt;$B214,$B230&lt;&gt;$B215,$B231&lt;&gt;$B216,$B232&lt;&gt;$B217,$B233&lt;&gt;$B218,$B234&lt;&gt;$B219,$B235&lt;&gt;$B220,$B236&lt;&gt;$B221,$B237&lt;&gt;$B222,$B238&lt;&gt;$B223),IF($B235&lt;&gt;$B220,AD220/INDEX($C213:$AJ223,8,MATCH(IF('Data-solution'!$A$3="Maximize",MAX($C224:$AI224),MIN($C224:$AI224)),$C224:$AI224,0)),AD220-INDEX($C213:$AJ223,8,MATCH(IF('Data-solution'!$A$3="Maximize",MAX($C224:$AI224),MIN($C224:$AI224)),$C224:$AI224,0))*INDEX(AD213:$AJ223,MATCH(MIN($AK213:$AK223),$AK213:$AK223,0),1)/INDEX($C213:$AJ223,MATCH(MIN($AK213:$AK223),$AK213:$AK223,0),MATCH(IF('Data-solution'!$A$3="Maximize",MAX($C224:$AI224),MIN($C224:$AI224)),$C224:$AI224,0))),AD220)</f>
        <v>0</v>
      </c>
      <c r="AE235" s="1">
        <f>IF(OR($B228&lt;&gt;$B213,$B229&lt;&gt;$B214,$B230&lt;&gt;$B215,$B231&lt;&gt;$B216,$B232&lt;&gt;$B217,$B233&lt;&gt;$B218,$B234&lt;&gt;$B219,$B235&lt;&gt;$B220,$B236&lt;&gt;$B221,$B237&lt;&gt;$B222,$B238&lt;&gt;$B223),IF($B235&lt;&gt;$B220,AE220/INDEX($C213:$AJ223,8,MATCH(IF('Data-solution'!$A$3="Maximize",MAX($C224:$AI224),MIN($C224:$AI224)),$C224:$AI224,0)),AE220-INDEX($C213:$AJ223,8,MATCH(IF('Data-solution'!$A$3="Maximize",MAX($C224:$AI224),MIN($C224:$AI224)),$C224:$AI224,0))*INDEX(AE213:$AJ223,MATCH(MIN($AK213:$AK223),$AK213:$AK223,0),1)/INDEX($C213:$AJ223,MATCH(MIN($AK213:$AK223),$AK213:$AK223,0),MATCH(IF('Data-solution'!$A$3="Maximize",MAX($C224:$AI224),MIN($C224:$AI224)),$C224:$AI224,0))),AE220)</f>
        <v>0</v>
      </c>
      <c r="AF235" s="1">
        <f>IF(OR($B228&lt;&gt;$B213,$B229&lt;&gt;$B214,$B230&lt;&gt;$B215,$B231&lt;&gt;$B216,$B232&lt;&gt;$B217,$B233&lt;&gt;$B218,$B234&lt;&gt;$B219,$B235&lt;&gt;$B220,$B236&lt;&gt;$B221,$B237&lt;&gt;$B222,$B238&lt;&gt;$B223),IF($B235&lt;&gt;$B220,AF220/INDEX($C213:$AJ223,8,MATCH(IF('Data-solution'!$A$3="Maximize",MAX($C224:$AI224),MIN($C224:$AI224)),$C224:$AI224,0)),AF220-INDEX($C213:$AJ223,8,MATCH(IF('Data-solution'!$A$3="Maximize",MAX($C224:$AI224),MIN($C224:$AI224)),$C224:$AI224,0))*INDEX(AF213:$AJ223,MATCH(MIN($AK213:$AK223),$AK213:$AK223,0),1)/INDEX($C213:$AJ223,MATCH(MIN($AK213:$AK223),$AK213:$AK223,0),MATCH(IF('Data-solution'!$A$3="Maximize",MAX($C224:$AI224),MIN($C224:$AI224)),$C224:$AI224,0))),AF220)</f>
        <v>1</v>
      </c>
      <c r="AG235" s="1">
        <f>IF(OR($B228&lt;&gt;$B213,$B229&lt;&gt;$B214,$B230&lt;&gt;$B215,$B231&lt;&gt;$B216,$B232&lt;&gt;$B217,$B233&lt;&gt;$B218,$B234&lt;&gt;$B219,$B235&lt;&gt;$B220,$B236&lt;&gt;$B221,$B237&lt;&gt;$B222,$B238&lt;&gt;$B223),IF($B235&lt;&gt;$B220,AG220/INDEX($C213:$AJ223,8,MATCH(IF('Data-solution'!$A$3="Maximize",MAX($C224:$AI224),MIN($C224:$AI224)),$C224:$AI224,0)),AG220-INDEX($C213:$AJ223,8,MATCH(IF('Data-solution'!$A$3="Maximize",MAX($C224:$AI224),MIN($C224:$AI224)),$C224:$AI224,0))*INDEX(AG213:$AJ223,MATCH(MIN($AK213:$AK223),$AK213:$AK223,0),1)/INDEX($C213:$AJ223,MATCH(MIN($AK213:$AK223),$AK213:$AK223,0),MATCH(IF('Data-solution'!$A$3="Maximize",MAX($C224:$AI224),MIN($C224:$AI224)),$C224:$AI224,0))),AG220)</f>
        <v>0</v>
      </c>
      <c r="AH235" s="1">
        <f>IF(OR($B228&lt;&gt;$B213,$B229&lt;&gt;$B214,$B230&lt;&gt;$B215,$B231&lt;&gt;$B216,$B232&lt;&gt;$B217,$B233&lt;&gt;$B218,$B234&lt;&gt;$B219,$B235&lt;&gt;$B220,$B236&lt;&gt;$B221,$B237&lt;&gt;$B222,$B238&lt;&gt;$B223),IF($B235&lt;&gt;$B220,AH220/INDEX($C213:$AJ223,8,MATCH(IF('Data-solution'!$A$3="Maximize",MAX($C224:$AI224),MIN($C224:$AI224)),$C224:$AI224,0)),AH220-INDEX($C213:$AJ223,8,MATCH(IF('Data-solution'!$A$3="Maximize",MAX($C224:$AI224),MIN($C224:$AI224)),$C224:$AI224,0))*INDEX(AH213:$AJ223,MATCH(MIN($AK213:$AK223),$AK213:$AK223,0),1)/INDEX($C213:$AJ223,MATCH(MIN($AK213:$AK223),$AK213:$AK223,0),MATCH(IF('Data-solution'!$A$3="Maximize",MAX($C224:$AI224),MIN($C224:$AI224)),$C224:$AI224,0))),AH220)</f>
        <v>0</v>
      </c>
      <c r="AI235" s="1">
        <f>IF(OR($B228&lt;&gt;$B213,$B229&lt;&gt;$B214,$B230&lt;&gt;$B215,$B231&lt;&gt;$B216,$B232&lt;&gt;$B217,$B233&lt;&gt;$B218,$B234&lt;&gt;$B219,$B235&lt;&gt;$B220,$B236&lt;&gt;$B221,$B237&lt;&gt;$B222,$B238&lt;&gt;$B223),IF($B235&lt;&gt;$B220,AI220/INDEX($C213:$AJ223,8,MATCH(IF('Data-solution'!$A$3="Maximize",MAX($C224:$AI224),MIN($C224:$AI224)),$C224:$AI224,0)),AI220-INDEX($C213:$AJ223,8,MATCH(IF('Data-solution'!$A$3="Maximize",MAX($C224:$AI224),MIN($C224:$AI224)),$C224:$AI224,0))*INDEX(AI213:$AJ223,MATCH(MIN($AK213:$AK223),$AK213:$AK223,0),1)/INDEX($C213:$AJ223,MATCH(MIN($AK213:$AK223),$AK213:$AK223,0),MATCH(IF('Data-solution'!$A$3="Maximize",MAX($C224:$AI224),MIN($C224:$AI224)),$C224:$AI224,0))),AI220)</f>
        <v>0</v>
      </c>
      <c r="AJ235" s="1">
        <f>IF(OR($B228&lt;&gt;$B213,$B229&lt;&gt;$B214,$B230&lt;&gt;$B215,$B231&lt;&gt;$B216,$B232&lt;&gt;$B217,$B233&lt;&gt;$B218,$B234&lt;&gt;$B219,$B235&lt;&gt;$B220,$B236&lt;&gt;$B221,$B237&lt;&gt;$B222,$B238&lt;&gt;$B223),IF($B235&lt;&gt;$B220,AJ220/INDEX($C213:$AJ223,8,MATCH(IF('Data-solution'!$A$3="Maximize",MAX($C224:$AI224),MIN($C224:$AI224)),$C224:$AI224,0)),AJ220-INDEX($C213:$AJ223,8,MATCH(IF('Data-solution'!$A$3="Maximize",MAX($C224:$AI224),MIN($C224:$AI224)),$C224:$AI224,0))*INDEX(AJ213:$AJ223,MATCH(MIN($AK213:$AK223),$AK213:$AK223,0),1)/INDEX($C213:$AJ223,MATCH(MIN($AK213:$AK223),$AK213:$AK223,0),MATCH(IF('Data-solution'!$A$3="Maximize",MAX($C224:$AI224),MIN($C224:$AI224)),$C224:$AI224,0))),AJ220)</f>
        <v>0</v>
      </c>
      <c r="AK235" s="1" t="str">
        <f>IF(INDEX(C235:X235,1,MATCH(IF('Data-solution'!A$3="Maximize",MAX(C239:X239),MIN(C239:X239)),C239:X239,0))&gt;0,AJ235/INDEX(C235:X235,1,MATCH(IF('Data-solution'!A$3="Maximize",MAX(C239:X239),MIN(C239:X239)),C239:X239,0))," ")</f>
        <v xml:space="preserve"> </v>
      </c>
    </row>
    <row r="236" spans="1:37" ht="18" customHeight="1" x14ac:dyDescent="0.2">
      <c r="A236" s="1">
        <f t="shared" ref="A236" si="206">INDEX(C226:AI226,1,MATCH(B236,C227:AI227,0))</f>
        <v>0</v>
      </c>
      <c r="B236" s="2" t="str">
        <f>IF(AND('Data-solution'!A$3="Maximize",COUNTIF(C224:X224,"&gt;"&amp;0)&gt;0,AK221=MIN(AK213:AK223),COUNTIF(B228:B235,INDEX(C212:X212,1,MATCH(MAX(C224:X224),C224:X224,0)))=0),INDEX(C212:X212,1,MATCH(MAX(C224:X224),C224:X224,0)),IF(AND('Data-solution'!A$3="Minimize",COUNTIF(C224:X224,"&lt;"&amp;0)&gt;0,AK221=MIN(AK213:AK223),COUNTIF(B228:B235,INDEX(C212:X212,1,MATCH(MIN(C224:X224),C224:X224,0)))=0),INDEX(C212:X212,1,MATCH(MIN(C224:X224),C224:X224,0)),B221))</f>
        <v>S9</v>
      </c>
      <c r="C236" s="1">
        <f>IF(OR($B228&lt;&gt;$B213,$B229&lt;&gt;$B214,$B230&lt;&gt;$B215,$B231&lt;&gt;$B216,$B232&lt;&gt;$B217,$B233&lt;&gt;$B218,$B234&lt;&gt;$B219,$B235&lt;&gt;$B220,$B236&lt;&gt;$B221,$B237&lt;&gt;$B222,$B238&lt;&gt;$B223),IF($B236&lt;&gt;$B221,C221/INDEX($C213:$AJ223,9,MATCH(IF('Data-solution'!$A$3="Maximize",MAX($C224:$AI224),MIN($C224:$AI224)),$C224:$AI224,0)),C221-INDEX($C213:$AJ223,9,MATCH(IF('Data-solution'!$A$3="Maximize",MAX($C224:$AI224),MIN($C224:$AI224)),$C224:$AI224,0))*INDEX(C213:$AJ223,MATCH(MIN($AK213:$AK223),$AK213:$AK223,0),1)/INDEX($C213:$AJ223,MATCH(MIN($AK213:$AK223),$AK213:$AK223,0),MATCH(IF('Data-solution'!$A$3="Maximize",MAX($C224:$AI224),MIN($C224:$AI224)),$C224:$AI224,0))),C221)</f>
        <v>0</v>
      </c>
      <c r="D236" s="1">
        <f>IF(OR($B228&lt;&gt;$B213,$B229&lt;&gt;$B214,$B230&lt;&gt;$B215,$B231&lt;&gt;$B216,$B232&lt;&gt;$B217,$B233&lt;&gt;$B218,$B234&lt;&gt;$B219,$B235&lt;&gt;$B220,$B236&lt;&gt;$B221,$B237&lt;&gt;$B222,$B238&lt;&gt;$B223),IF($B236&lt;&gt;$B221,D221/INDEX($C213:$AJ223,9,MATCH(IF('Data-solution'!$A$3="Maximize",MAX($C224:$AI224),MIN($C224:$AI224)),$C224:$AI224,0)),D221-INDEX($C213:$AJ223,9,MATCH(IF('Data-solution'!$A$3="Maximize",MAX($C224:$AI224),MIN($C224:$AI224)),$C224:$AI224,0))*INDEX(D213:$AJ223,MATCH(MIN($AK213:$AK223),$AK213:$AK223,0),1)/INDEX($C213:$AJ223,MATCH(MIN($AK213:$AK223),$AK213:$AK223,0),MATCH(IF('Data-solution'!$A$3="Maximize",MAX($C224:$AI224),MIN($C224:$AI224)),$C224:$AI224,0))),D221)</f>
        <v>0</v>
      </c>
      <c r="E236" s="1">
        <f>IF(OR($B228&lt;&gt;$B213,$B229&lt;&gt;$B214,$B230&lt;&gt;$B215,$B231&lt;&gt;$B216,$B232&lt;&gt;$B217,$B233&lt;&gt;$B218,$B234&lt;&gt;$B219,$B235&lt;&gt;$B220,$B236&lt;&gt;$B221,$B237&lt;&gt;$B222,$B238&lt;&gt;$B223),IF($B236&lt;&gt;$B221,E221/INDEX($C213:$AJ223,9,MATCH(IF('Data-solution'!$A$3="Maximize",MAX($C224:$AI224),MIN($C224:$AI224)),$C224:$AI224,0)),E221-INDEX($C213:$AJ223,9,MATCH(IF('Data-solution'!$A$3="Maximize",MAX($C224:$AI224),MIN($C224:$AI224)),$C224:$AI224,0))*INDEX(E213:$AJ223,MATCH(MIN($AK213:$AK223),$AK213:$AK223,0),1)/INDEX($C213:$AJ223,MATCH(MIN($AK213:$AK223),$AK213:$AK223,0),MATCH(IF('Data-solution'!$A$3="Maximize",MAX($C224:$AI224),MIN($C224:$AI224)),$C224:$AI224,0))),E221)</f>
        <v>0</v>
      </c>
      <c r="F236" s="1">
        <f>IF(OR($B228&lt;&gt;$B213,$B229&lt;&gt;$B214,$B230&lt;&gt;$B215,$B231&lt;&gt;$B216,$B232&lt;&gt;$B217,$B233&lt;&gt;$B218,$B234&lt;&gt;$B219,$B235&lt;&gt;$B220,$B236&lt;&gt;$B221,$B237&lt;&gt;$B222,$B238&lt;&gt;$B223),IF($B236&lt;&gt;$B221,F221/INDEX($C213:$AJ223,9,MATCH(IF('Data-solution'!$A$3="Maximize",MAX($C224:$AI224),MIN($C224:$AI224)),$C224:$AI224,0)),F221-INDEX($C213:$AJ223,9,MATCH(IF('Data-solution'!$A$3="Maximize",MAX($C224:$AI224),MIN($C224:$AI224)),$C224:$AI224,0))*INDEX(F213:$AJ223,MATCH(MIN($AK213:$AK223),$AK213:$AK223,0),1)/INDEX($C213:$AJ223,MATCH(MIN($AK213:$AK223),$AK213:$AK223,0),MATCH(IF('Data-solution'!$A$3="Maximize",MAX($C224:$AI224),MIN($C224:$AI224)),$C224:$AI224,0))),F221)</f>
        <v>0</v>
      </c>
      <c r="G236" s="1">
        <f>IF(OR($B228&lt;&gt;$B213,$B229&lt;&gt;$B214,$B230&lt;&gt;$B215,$B231&lt;&gt;$B216,$B232&lt;&gt;$B217,$B233&lt;&gt;$B218,$B234&lt;&gt;$B219,$B235&lt;&gt;$B220,$B236&lt;&gt;$B221,$B237&lt;&gt;$B222,$B238&lt;&gt;$B223),IF($B236&lt;&gt;$B221,G221/INDEX($C213:$AJ223,9,MATCH(IF('Data-solution'!$A$3="Maximize",MAX($C224:$AI224),MIN($C224:$AI224)),$C224:$AI224,0)),G221-INDEX($C213:$AJ223,9,MATCH(IF('Data-solution'!$A$3="Maximize",MAX($C224:$AI224),MIN($C224:$AI224)),$C224:$AI224,0))*INDEX(G213:$AJ223,MATCH(MIN($AK213:$AK223),$AK213:$AK223,0),1)/INDEX($C213:$AJ223,MATCH(MIN($AK213:$AK223),$AK213:$AK223,0),MATCH(IF('Data-solution'!$A$3="Maximize",MAX($C224:$AI224),MIN($C224:$AI224)),$C224:$AI224,0))),G221)</f>
        <v>0</v>
      </c>
      <c r="H236" s="1">
        <f>IF(OR($B228&lt;&gt;$B213,$B229&lt;&gt;$B214,$B230&lt;&gt;$B215,$B231&lt;&gt;$B216,$B232&lt;&gt;$B217,$B233&lt;&gt;$B218,$B234&lt;&gt;$B219,$B235&lt;&gt;$B220,$B236&lt;&gt;$B221,$B237&lt;&gt;$B222,$B238&lt;&gt;$B223),IF($B236&lt;&gt;$B221,H221/INDEX($C213:$AJ223,9,MATCH(IF('Data-solution'!$A$3="Maximize",MAX($C224:$AI224),MIN($C224:$AI224)),$C224:$AI224,0)),H221-INDEX($C213:$AJ223,9,MATCH(IF('Data-solution'!$A$3="Maximize",MAX($C224:$AI224),MIN($C224:$AI224)),$C224:$AI224,0))*INDEX(H213:$AJ223,MATCH(MIN($AK213:$AK223),$AK213:$AK223,0),1)/INDEX($C213:$AJ223,MATCH(MIN($AK213:$AK223),$AK213:$AK223,0),MATCH(IF('Data-solution'!$A$3="Maximize",MAX($C224:$AI224),MIN($C224:$AI224)),$C224:$AI224,0))),H221)</f>
        <v>0</v>
      </c>
      <c r="I236" s="1">
        <f>IF(OR($B228&lt;&gt;$B213,$B229&lt;&gt;$B214,$B230&lt;&gt;$B215,$B231&lt;&gt;$B216,$B232&lt;&gt;$B217,$B233&lt;&gt;$B218,$B234&lt;&gt;$B219,$B235&lt;&gt;$B220,$B236&lt;&gt;$B221,$B237&lt;&gt;$B222,$B238&lt;&gt;$B223),IF($B236&lt;&gt;$B221,I221/INDEX($C213:$AJ223,9,MATCH(IF('Data-solution'!$A$3="Maximize",MAX($C224:$AI224),MIN($C224:$AI224)),$C224:$AI224,0)),I221-INDEX($C213:$AJ223,9,MATCH(IF('Data-solution'!$A$3="Maximize",MAX($C224:$AI224),MIN($C224:$AI224)),$C224:$AI224,0))*INDEX(I213:$AJ223,MATCH(MIN($AK213:$AK223),$AK213:$AK223,0),1)/INDEX($C213:$AJ223,MATCH(MIN($AK213:$AK223),$AK213:$AK223,0),MATCH(IF('Data-solution'!$A$3="Maximize",MAX($C224:$AI224),MIN($C224:$AI224)),$C224:$AI224,0))),I221)</f>
        <v>0</v>
      </c>
      <c r="J236" s="1">
        <f>IF(OR($B228&lt;&gt;$B213,$B229&lt;&gt;$B214,$B230&lt;&gt;$B215,$B231&lt;&gt;$B216,$B232&lt;&gt;$B217,$B233&lt;&gt;$B218,$B234&lt;&gt;$B219,$B235&lt;&gt;$B220,$B236&lt;&gt;$B221,$B237&lt;&gt;$B222,$B238&lt;&gt;$B223),IF($B236&lt;&gt;$B221,J221/INDEX($C213:$AJ223,9,MATCH(IF('Data-solution'!$A$3="Maximize",MAX($C224:$AI224),MIN($C224:$AI224)),$C224:$AI224,0)),J221-INDEX($C213:$AJ223,9,MATCH(IF('Data-solution'!$A$3="Maximize",MAX($C224:$AI224),MIN($C224:$AI224)),$C224:$AI224,0))*INDEX(J213:$AJ223,MATCH(MIN($AK213:$AK223),$AK213:$AK223,0),1)/INDEX($C213:$AJ223,MATCH(MIN($AK213:$AK223),$AK213:$AK223,0),MATCH(IF('Data-solution'!$A$3="Maximize",MAX($C224:$AI224),MIN($C224:$AI224)),$C224:$AI224,0))),J221)</f>
        <v>0</v>
      </c>
      <c r="K236" s="1">
        <f>IF(OR($B228&lt;&gt;$B213,$B229&lt;&gt;$B214,$B230&lt;&gt;$B215,$B231&lt;&gt;$B216,$B232&lt;&gt;$B217,$B233&lt;&gt;$B218,$B234&lt;&gt;$B219,$B235&lt;&gt;$B220,$B236&lt;&gt;$B221,$B237&lt;&gt;$B222,$B238&lt;&gt;$B223),IF($B236&lt;&gt;$B221,K221/INDEX($C213:$AJ223,9,MATCH(IF('Data-solution'!$A$3="Maximize",MAX($C224:$AI224),MIN($C224:$AI224)),$C224:$AI224,0)),K221-INDEX($C213:$AJ223,9,MATCH(IF('Data-solution'!$A$3="Maximize",MAX($C224:$AI224),MIN($C224:$AI224)),$C224:$AI224,0))*INDEX(K213:$AJ223,MATCH(MIN($AK213:$AK223),$AK213:$AK223,0),1)/INDEX($C213:$AJ223,MATCH(MIN($AK213:$AK223),$AK213:$AK223,0),MATCH(IF('Data-solution'!$A$3="Maximize",MAX($C224:$AI224),MIN($C224:$AI224)),$C224:$AI224,0))),K221)</f>
        <v>0</v>
      </c>
      <c r="L236" s="1">
        <f>IF(OR($B228&lt;&gt;$B213,$B229&lt;&gt;$B214,$B230&lt;&gt;$B215,$B231&lt;&gt;$B216,$B232&lt;&gt;$B217,$B233&lt;&gt;$B218,$B234&lt;&gt;$B219,$B235&lt;&gt;$B220,$B236&lt;&gt;$B221,$B237&lt;&gt;$B222,$B238&lt;&gt;$B223),IF($B236&lt;&gt;$B221,L221/INDEX($C213:$AJ223,9,MATCH(IF('Data-solution'!$A$3="Maximize",MAX($C224:$AI224),MIN($C224:$AI224)),$C224:$AI224,0)),L221-INDEX($C213:$AJ223,9,MATCH(IF('Data-solution'!$A$3="Maximize",MAX($C224:$AI224),MIN($C224:$AI224)),$C224:$AI224,0))*INDEX(L213:$AJ223,MATCH(MIN($AK213:$AK223),$AK213:$AK223,0),1)/INDEX($C213:$AJ223,MATCH(MIN($AK213:$AK223),$AK213:$AK223,0),MATCH(IF('Data-solution'!$A$3="Maximize",MAX($C224:$AI224),MIN($C224:$AI224)),$C224:$AI224,0))),L221)</f>
        <v>0</v>
      </c>
      <c r="M236" s="1">
        <f>IF(OR($B228&lt;&gt;$B213,$B229&lt;&gt;$B214,$B230&lt;&gt;$B215,$B231&lt;&gt;$B216,$B232&lt;&gt;$B217,$B233&lt;&gt;$B218,$B234&lt;&gt;$B219,$B235&lt;&gt;$B220,$B236&lt;&gt;$B221,$B237&lt;&gt;$B222,$B238&lt;&gt;$B223),IF($B236&lt;&gt;$B221,M221/INDEX($C213:$AJ223,9,MATCH(IF('Data-solution'!$A$3="Maximize",MAX($C224:$AI224),MIN($C224:$AI224)),$C224:$AI224,0)),M221-INDEX($C213:$AJ223,9,MATCH(IF('Data-solution'!$A$3="Maximize",MAX($C224:$AI224),MIN($C224:$AI224)),$C224:$AI224,0))*INDEX(M213:$AJ223,MATCH(MIN($AK213:$AK223),$AK213:$AK223,0),1)/INDEX($C213:$AJ223,MATCH(MIN($AK213:$AK223),$AK213:$AK223,0),MATCH(IF('Data-solution'!$A$3="Maximize",MAX($C224:$AI224),MIN($C224:$AI224)),$C224:$AI224,0))),M221)</f>
        <v>0</v>
      </c>
      <c r="N236" s="1">
        <f>IF(OR($B228&lt;&gt;$B213,$B229&lt;&gt;$B214,$B230&lt;&gt;$B215,$B231&lt;&gt;$B216,$B232&lt;&gt;$B217,$B233&lt;&gt;$B218,$B234&lt;&gt;$B219,$B235&lt;&gt;$B220,$B236&lt;&gt;$B221,$B237&lt;&gt;$B222,$B238&lt;&gt;$B223),IF($B236&lt;&gt;$B221,N221/INDEX($C213:$AJ223,9,MATCH(IF('Data-solution'!$A$3="Maximize",MAX($C224:$AI224),MIN($C224:$AI224)),$C224:$AI224,0)),N221-INDEX($C213:$AJ223,9,MATCH(IF('Data-solution'!$A$3="Maximize",MAX($C224:$AI224),MIN($C224:$AI224)),$C224:$AI224,0))*INDEX(N213:$AJ223,MATCH(MIN($AK213:$AK223),$AK213:$AK223,0),1)/INDEX($C213:$AJ223,MATCH(MIN($AK213:$AK223),$AK213:$AK223,0),MATCH(IF('Data-solution'!$A$3="Maximize",MAX($C224:$AI224),MIN($C224:$AI224)),$C224:$AI224,0))),N221)</f>
        <v>0</v>
      </c>
      <c r="O236" s="1">
        <f>IF(OR($B228&lt;&gt;$B213,$B229&lt;&gt;$B214,$B230&lt;&gt;$B215,$B231&lt;&gt;$B216,$B232&lt;&gt;$B217,$B233&lt;&gt;$B218,$B234&lt;&gt;$B219,$B235&lt;&gt;$B220,$B236&lt;&gt;$B221,$B237&lt;&gt;$B222,$B238&lt;&gt;$B223),IF($B236&lt;&gt;$B221,O221/INDEX($C213:$AJ223,9,MATCH(IF('Data-solution'!$A$3="Maximize",MAX($C224:$AI224),MIN($C224:$AI224)),$C224:$AI224,0)),O221-INDEX($C213:$AJ223,9,MATCH(IF('Data-solution'!$A$3="Maximize",MAX($C224:$AI224),MIN($C224:$AI224)),$C224:$AI224,0))*INDEX(O213:$AJ223,MATCH(MIN($AK213:$AK223),$AK213:$AK223,0),1)/INDEX($C213:$AJ223,MATCH(MIN($AK213:$AK223),$AK213:$AK223,0),MATCH(IF('Data-solution'!$A$3="Maximize",MAX($C224:$AI224),MIN($C224:$AI224)),$C224:$AI224,0))),O221)</f>
        <v>0</v>
      </c>
      <c r="P236" s="1">
        <f>IF(OR($B228&lt;&gt;$B213,$B229&lt;&gt;$B214,$B230&lt;&gt;$B215,$B231&lt;&gt;$B216,$B232&lt;&gt;$B217,$B233&lt;&gt;$B218,$B234&lt;&gt;$B219,$B235&lt;&gt;$B220,$B236&lt;&gt;$B221,$B237&lt;&gt;$B222,$B238&lt;&gt;$B223),IF($B236&lt;&gt;$B221,P221/INDEX($C213:$AJ223,9,MATCH(IF('Data-solution'!$A$3="Maximize",MAX($C224:$AI224),MIN($C224:$AI224)),$C224:$AI224,0)),P221-INDEX($C213:$AJ223,9,MATCH(IF('Data-solution'!$A$3="Maximize",MAX($C224:$AI224),MIN($C224:$AI224)),$C224:$AI224,0))*INDEX(P213:$AJ223,MATCH(MIN($AK213:$AK223),$AK213:$AK223,0),1)/INDEX($C213:$AJ223,MATCH(MIN($AK213:$AK223),$AK213:$AK223,0),MATCH(IF('Data-solution'!$A$3="Maximize",MAX($C224:$AI224),MIN($C224:$AI224)),$C224:$AI224,0))),P221)</f>
        <v>0</v>
      </c>
      <c r="Q236" s="1">
        <f>IF(OR($B228&lt;&gt;$B213,$B229&lt;&gt;$B214,$B230&lt;&gt;$B215,$B231&lt;&gt;$B216,$B232&lt;&gt;$B217,$B233&lt;&gt;$B218,$B234&lt;&gt;$B219,$B235&lt;&gt;$B220,$B236&lt;&gt;$B221,$B237&lt;&gt;$B222,$B238&lt;&gt;$B223),IF($B236&lt;&gt;$B221,Q221/INDEX($C213:$AJ223,9,MATCH(IF('Data-solution'!$A$3="Maximize",MAX($C224:$AI224),MIN($C224:$AI224)),$C224:$AI224,0)),Q221-INDEX($C213:$AJ223,9,MATCH(IF('Data-solution'!$A$3="Maximize",MAX($C224:$AI224),MIN($C224:$AI224)),$C224:$AI224,0))*INDEX(Q213:$AJ223,MATCH(MIN($AK213:$AK223),$AK213:$AK223,0),1)/INDEX($C213:$AJ223,MATCH(MIN($AK213:$AK223),$AK213:$AK223,0),MATCH(IF('Data-solution'!$A$3="Maximize",MAX($C224:$AI224),MIN($C224:$AI224)),$C224:$AI224,0))),Q221)</f>
        <v>0</v>
      </c>
      <c r="R236" s="1">
        <f>IF(OR($B228&lt;&gt;$B213,$B229&lt;&gt;$B214,$B230&lt;&gt;$B215,$B231&lt;&gt;$B216,$B232&lt;&gt;$B217,$B233&lt;&gt;$B218,$B234&lt;&gt;$B219,$B235&lt;&gt;$B220,$B236&lt;&gt;$B221,$B237&lt;&gt;$B222,$B238&lt;&gt;$B223),IF($B236&lt;&gt;$B221,R221/INDEX($C213:$AJ223,9,MATCH(IF('Data-solution'!$A$3="Maximize",MAX($C224:$AI224),MIN($C224:$AI224)),$C224:$AI224,0)),R221-INDEX($C213:$AJ223,9,MATCH(IF('Data-solution'!$A$3="Maximize",MAX($C224:$AI224),MIN($C224:$AI224)),$C224:$AI224,0))*INDEX(R213:$AJ223,MATCH(MIN($AK213:$AK223),$AK213:$AK223,0),1)/INDEX($C213:$AJ223,MATCH(MIN($AK213:$AK223),$AK213:$AK223,0),MATCH(IF('Data-solution'!$A$3="Maximize",MAX($C224:$AI224),MIN($C224:$AI224)),$C224:$AI224,0))),R221)</f>
        <v>0</v>
      </c>
      <c r="S236" s="1">
        <f>IF(OR($B228&lt;&gt;$B213,$B229&lt;&gt;$B214,$B230&lt;&gt;$B215,$B231&lt;&gt;$B216,$B232&lt;&gt;$B217,$B233&lt;&gt;$B218,$B234&lt;&gt;$B219,$B235&lt;&gt;$B220,$B236&lt;&gt;$B221,$B237&lt;&gt;$B222,$B238&lt;&gt;$B223),IF($B236&lt;&gt;$B221,S221/INDEX($C213:$AJ223,9,MATCH(IF('Data-solution'!$A$3="Maximize",MAX($C224:$AI224),MIN($C224:$AI224)),$C224:$AI224,0)),S221-INDEX($C213:$AJ223,9,MATCH(IF('Data-solution'!$A$3="Maximize",MAX($C224:$AI224),MIN($C224:$AI224)),$C224:$AI224,0))*INDEX(S213:$AJ223,MATCH(MIN($AK213:$AK223),$AK213:$AK223,0),1)/INDEX($C213:$AJ223,MATCH(MIN($AK213:$AK223),$AK213:$AK223,0),MATCH(IF('Data-solution'!$A$3="Maximize",MAX($C224:$AI224),MIN($C224:$AI224)),$C224:$AI224,0))),S221)</f>
        <v>0</v>
      </c>
      <c r="T236" s="1">
        <f>IF(OR($B228&lt;&gt;$B213,$B229&lt;&gt;$B214,$B230&lt;&gt;$B215,$B231&lt;&gt;$B216,$B232&lt;&gt;$B217,$B233&lt;&gt;$B218,$B234&lt;&gt;$B219,$B235&lt;&gt;$B220,$B236&lt;&gt;$B221,$B237&lt;&gt;$B222,$B238&lt;&gt;$B223),IF($B236&lt;&gt;$B221,T221/INDEX($C213:$AJ223,9,MATCH(IF('Data-solution'!$A$3="Maximize",MAX($C224:$AI224),MIN($C224:$AI224)),$C224:$AI224,0)),T221-INDEX($C213:$AJ223,9,MATCH(IF('Data-solution'!$A$3="Maximize",MAX($C224:$AI224),MIN($C224:$AI224)),$C224:$AI224,0))*INDEX(T213:$AJ223,MATCH(MIN($AK213:$AK223),$AK213:$AK223,0),1)/INDEX($C213:$AJ223,MATCH(MIN($AK213:$AK223),$AK213:$AK223,0),MATCH(IF('Data-solution'!$A$3="Maximize",MAX($C224:$AI224),MIN($C224:$AI224)),$C224:$AI224,0))),T221)</f>
        <v>0</v>
      </c>
      <c r="U236" s="1">
        <f>IF(OR($B228&lt;&gt;$B213,$B229&lt;&gt;$B214,$B230&lt;&gt;$B215,$B231&lt;&gt;$B216,$B232&lt;&gt;$B217,$B233&lt;&gt;$B218,$B234&lt;&gt;$B219,$B235&lt;&gt;$B220,$B236&lt;&gt;$B221,$B237&lt;&gt;$B222,$B238&lt;&gt;$B223),IF($B236&lt;&gt;$B221,U221/INDEX($C213:$AJ223,9,MATCH(IF('Data-solution'!$A$3="Maximize",MAX($C224:$AI224),MIN($C224:$AI224)),$C224:$AI224,0)),U221-INDEX($C213:$AJ223,9,MATCH(IF('Data-solution'!$A$3="Maximize",MAX($C224:$AI224),MIN($C224:$AI224)),$C224:$AI224,0))*INDEX(U213:$AJ223,MATCH(MIN($AK213:$AK223),$AK213:$AK223,0),1)/INDEX($C213:$AJ223,MATCH(MIN($AK213:$AK223),$AK213:$AK223,0),MATCH(IF('Data-solution'!$A$3="Maximize",MAX($C224:$AI224),MIN($C224:$AI224)),$C224:$AI224,0))),U221)</f>
        <v>0</v>
      </c>
      <c r="V236" s="1">
        <f>IF(OR($B228&lt;&gt;$B213,$B229&lt;&gt;$B214,$B230&lt;&gt;$B215,$B231&lt;&gt;$B216,$B232&lt;&gt;$B217,$B233&lt;&gt;$B218,$B234&lt;&gt;$B219,$B235&lt;&gt;$B220,$B236&lt;&gt;$B221,$B237&lt;&gt;$B222,$B238&lt;&gt;$B223),IF($B236&lt;&gt;$B221,V221/INDEX($C213:$AJ223,9,MATCH(IF('Data-solution'!$A$3="Maximize",MAX($C224:$AI224),MIN($C224:$AI224)),$C224:$AI224,0)),V221-INDEX($C213:$AJ223,9,MATCH(IF('Data-solution'!$A$3="Maximize",MAX($C224:$AI224),MIN($C224:$AI224)),$C224:$AI224,0))*INDEX(V213:$AJ223,MATCH(MIN($AK213:$AK223),$AK213:$AK223,0),1)/INDEX($C213:$AJ223,MATCH(MIN($AK213:$AK223),$AK213:$AK223,0),MATCH(IF('Data-solution'!$A$3="Maximize",MAX($C224:$AI224),MIN($C224:$AI224)),$C224:$AI224,0))),V221)</f>
        <v>1</v>
      </c>
      <c r="W236" s="1">
        <f>IF(OR($B228&lt;&gt;$B213,$B229&lt;&gt;$B214,$B230&lt;&gt;$B215,$B231&lt;&gt;$B216,$B232&lt;&gt;$B217,$B233&lt;&gt;$B218,$B234&lt;&gt;$B219,$B235&lt;&gt;$B220,$B236&lt;&gt;$B221,$B237&lt;&gt;$B222,$B238&lt;&gt;$B223),IF($B236&lt;&gt;$B221,W221/INDEX($C213:$AJ223,9,MATCH(IF('Data-solution'!$A$3="Maximize",MAX($C224:$AI224),MIN($C224:$AI224)),$C224:$AI224,0)),W221-INDEX($C213:$AJ223,9,MATCH(IF('Data-solution'!$A$3="Maximize",MAX($C224:$AI224),MIN($C224:$AI224)),$C224:$AI224,0))*INDEX(W213:$AJ223,MATCH(MIN($AK213:$AK223),$AK213:$AK223,0),1)/INDEX($C213:$AJ223,MATCH(MIN($AK213:$AK223),$AK213:$AK223,0),MATCH(IF('Data-solution'!$A$3="Maximize",MAX($C224:$AI224),MIN($C224:$AI224)),$C224:$AI224,0))),W221)</f>
        <v>0</v>
      </c>
      <c r="X236" s="1">
        <f>IF(OR($B228&lt;&gt;$B213,$B229&lt;&gt;$B214,$B230&lt;&gt;$B215,$B231&lt;&gt;$B216,$B232&lt;&gt;$B217,$B233&lt;&gt;$B218,$B234&lt;&gt;$B219,$B235&lt;&gt;$B220,$B236&lt;&gt;$B221,$B237&lt;&gt;$B222,$B238&lt;&gt;$B223),IF($B236&lt;&gt;$B221,X221/INDEX($C213:$AJ223,9,MATCH(IF('Data-solution'!$A$3="Maximize",MAX($C224:$AI224),MIN($C224:$AI224)),$C224:$AI224,0)),X221-INDEX($C213:$AJ223,9,MATCH(IF('Data-solution'!$A$3="Maximize",MAX($C224:$AI224),MIN($C224:$AI224)),$C224:$AI224,0))*INDEX(X213:$AJ223,MATCH(MIN($AK213:$AK223),$AK213:$AK223,0),1)/INDEX($C213:$AJ223,MATCH(MIN($AK213:$AK223),$AK213:$AK223,0),MATCH(IF('Data-solution'!$A$3="Maximize",MAX($C224:$AI224),MIN($C224:$AI224)),$C224:$AI224,0))),X221)</f>
        <v>0</v>
      </c>
      <c r="Y236" s="1">
        <f>IF(OR($B228&lt;&gt;$B213,$B229&lt;&gt;$B214,$B230&lt;&gt;$B215,$B231&lt;&gt;$B216,$B232&lt;&gt;$B217,$B233&lt;&gt;$B218,$B234&lt;&gt;$B219,$B235&lt;&gt;$B220,$B236&lt;&gt;$B221,$B237&lt;&gt;$B222,$B238&lt;&gt;$B223),IF($B236&lt;&gt;$B221,Y221/INDEX($C213:$AJ223,9,MATCH(IF('Data-solution'!$A$3="Maximize",MAX($C224:$AI224),MIN($C224:$AI224)),$C224:$AI224,0)),Y221-INDEX($C213:$AJ223,9,MATCH(IF('Data-solution'!$A$3="Maximize",MAX($C224:$AI224),MIN($C224:$AI224)),$C224:$AI224,0))*INDEX(Y213:$AJ223,MATCH(MIN($AK213:$AK223),$AK213:$AK223,0),1)/INDEX($C213:$AJ223,MATCH(MIN($AK213:$AK223),$AK213:$AK223,0),MATCH(IF('Data-solution'!$A$3="Maximize",MAX($C224:$AI224),MIN($C224:$AI224)),$C224:$AI224,0))),Y221)</f>
        <v>0</v>
      </c>
      <c r="Z236" s="1">
        <f>IF(OR($B228&lt;&gt;$B213,$B229&lt;&gt;$B214,$B230&lt;&gt;$B215,$B231&lt;&gt;$B216,$B232&lt;&gt;$B217,$B233&lt;&gt;$B218,$B234&lt;&gt;$B219,$B235&lt;&gt;$B220,$B236&lt;&gt;$B221,$B237&lt;&gt;$B222,$B238&lt;&gt;$B223),IF($B236&lt;&gt;$B221,Z221/INDEX($C213:$AJ223,9,MATCH(IF('Data-solution'!$A$3="Maximize",MAX($C224:$AI224),MIN($C224:$AI224)),$C224:$AI224,0)),Z221-INDEX($C213:$AJ223,9,MATCH(IF('Data-solution'!$A$3="Maximize",MAX($C224:$AI224),MIN($C224:$AI224)),$C224:$AI224,0))*INDEX(Z213:$AJ223,MATCH(MIN($AK213:$AK223),$AK213:$AK223,0),1)/INDEX($C213:$AJ223,MATCH(MIN($AK213:$AK223),$AK213:$AK223,0),MATCH(IF('Data-solution'!$A$3="Maximize",MAX($C224:$AI224),MIN($C224:$AI224)),$C224:$AI224,0))),Z221)</f>
        <v>0</v>
      </c>
      <c r="AA236" s="1">
        <f>IF(OR($B228&lt;&gt;$B213,$B229&lt;&gt;$B214,$B230&lt;&gt;$B215,$B231&lt;&gt;$B216,$B232&lt;&gt;$B217,$B233&lt;&gt;$B218,$B234&lt;&gt;$B219,$B235&lt;&gt;$B220,$B236&lt;&gt;$B221,$B237&lt;&gt;$B222,$B238&lt;&gt;$B223),IF($B236&lt;&gt;$B221,AA221/INDEX($C213:$AJ223,9,MATCH(IF('Data-solution'!$A$3="Maximize",MAX($C224:$AI224),MIN($C224:$AI224)),$C224:$AI224,0)),AA221-INDEX($C213:$AJ223,9,MATCH(IF('Data-solution'!$A$3="Maximize",MAX($C224:$AI224),MIN($C224:$AI224)),$C224:$AI224,0))*INDEX(AA213:$AJ223,MATCH(MIN($AK213:$AK223),$AK213:$AK223,0),1)/INDEX($C213:$AJ223,MATCH(MIN($AK213:$AK223),$AK213:$AK223,0),MATCH(IF('Data-solution'!$A$3="Maximize",MAX($C224:$AI224),MIN($C224:$AI224)),$C224:$AI224,0))),AA221)</f>
        <v>0</v>
      </c>
      <c r="AB236" s="1">
        <f>IF(OR($B228&lt;&gt;$B213,$B229&lt;&gt;$B214,$B230&lt;&gt;$B215,$B231&lt;&gt;$B216,$B232&lt;&gt;$B217,$B233&lt;&gt;$B218,$B234&lt;&gt;$B219,$B235&lt;&gt;$B220,$B236&lt;&gt;$B221,$B237&lt;&gt;$B222,$B238&lt;&gt;$B223),IF($B236&lt;&gt;$B221,AB221/INDEX($C213:$AJ223,9,MATCH(IF('Data-solution'!$A$3="Maximize",MAX($C224:$AI224),MIN($C224:$AI224)),$C224:$AI224,0)),AB221-INDEX($C213:$AJ223,9,MATCH(IF('Data-solution'!$A$3="Maximize",MAX($C224:$AI224),MIN($C224:$AI224)),$C224:$AI224,0))*INDEX(AB213:$AJ223,MATCH(MIN($AK213:$AK223),$AK213:$AK223,0),1)/INDEX($C213:$AJ223,MATCH(MIN($AK213:$AK223),$AK213:$AK223,0),MATCH(IF('Data-solution'!$A$3="Maximize",MAX($C224:$AI224),MIN($C224:$AI224)),$C224:$AI224,0))),AB221)</f>
        <v>0</v>
      </c>
      <c r="AC236" s="1">
        <f>IF(OR($B228&lt;&gt;$B213,$B229&lt;&gt;$B214,$B230&lt;&gt;$B215,$B231&lt;&gt;$B216,$B232&lt;&gt;$B217,$B233&lt;&gt;$B218,$B234&lt;&gt;$B219,$B235&lt;&gt;$B220,$B236&lt;&gt;$B221,$B237&lt;&gt;$B222,$B238&lt;&gt;$B223),IF($B236&lt;&gt;$B221,AC221/INDEX($C213:$AJ223,9,MATCH(IF('Data-solution'!$A$3="Maximize",MAX($C224:$AI224),MIN($C224:$AI224)),$C224:$AI224,0)),AC221-INDEX($C213:$AJ223,9,MATCH(IF('Data-solution'!$A$3="Maximize",MAX($C224:$AI224),MIN($C224:$AI224)),$C224:$AI224,0))*INDEX(AC213:$AJ223,MATCH(MIN($AK213:$AK223),$AK213:$AK223,0),1)/INDEX($C213:$AJ223,MATCH(MIN($AK213:$AK223),$AK213:$AK223,0),MATCH(IF('Data-solution'!$A$3="Maximize",MAX($C224:$AI224),MIN($C224:$AI224)),$C224:$AI224,0))),AC221)</f>
        <v>0</v>
      </c>
      <c r="AD236" s="1">
        <f>IF(OR($B228&lt;&gt;$B213,$B229&lt;&gt;$B214,$B230&lt;&gt;$B215,$B231&lt;&gt;$B216,$B232&lt;&gt;$B217,$B233&lt;&gt;$B218,$B234&lt;&gt;$B219,$B235&lt;&gt;$B220,$B236&lt;&gt;$B221,$B237&lt;&gt;$B222,$B238&lt;&gt;$B223),IF($B236&lt;&gt;$B221,AD221/INDEX($C213:$AJ223,9,MATCH(IF('Data-solution'!$A$3="Maximize",MAX($C224:$AI224),MIN($C224:$AI224)),$C224:$AI224,0)),AD221-INDEX($C213:$AJ223,9,MATCH(IF('Data-solution'!$A$3="Maximize",MAX($C224:$AI224),MIN($C224:$AI224)),$C224:$AI224,0))*INDEX(AD213:$AJ223,MATCH(MIN($AK213:$AK223),$AK213:$AK223,0),1)/INDEX($C213:$AJ223,MATCH(MIN($AK213:$AK223),$AK213:$AK223,0),MATCH(IF('Data-solution'!$A$3="Maximize",MAX($C224:$AI224),MIN($C224:$AI224)),$C224:$AI224,0))),AD221)</f>
        <v>0</v>
      </c>
      <c r="AE236" s="1">
        <f>IF(OR($B228&lt;&gt;$B213,$B229&lt;&gt;$B214,$B230&lt;&gt;$B215,$B231&lt;&gt;$B216,$B232&lt;&gt;$B217,$B233&lt;&gt;$B218,$B234&lt;&gt;$B219,$B235&lt;&gt;$B220,$B236&lt;&gt;$B221,$B237&lt;&gt;$B222,$B238&lt;&gt;$B223),IF($B236&lt;&gt;$B221,AE221/INDEX($C213:$AJ223,9,MATCH(IF('Data-solution'!$A$3="Maximize",MAX($C224:$AI224),MIN($C224:$AI224)),$C224:$AI224,0)),AE221-INDEX($C213:$AJ223,9,MATCH(IF('Data-solution'!$A$3="Maximize",MAX($C224:$AI224),MIN($C224:$AI224)),$C224:$AI224,0))*INDEX(AE213:$AJ223,MATCH(MIN($AK213:$AK223),$AK213:$AK223,0),1)/INDEX($C213:$AJ223,MATCH(MIN($AK213:$AK223),$AK213:$AK223,0),MATCH(IF('Data-solution'!$A$3="Maximize",MAX($C224:$AI224),MIN($C224:$AI224)),$C224:$AI224,0))),AE221)</f>
        <v>0</v>
      </c>
      <c r="AF236" s="1">
        <f>IF(OR($B228&lt;&gt;$B213,$B229&lt;&gt;$B214,$B230&lt;&gt;$B215,$B231&lt;&gt;$B216,$B232&lt;&gt;$B217,$B233&lt;&gt;$B218,$B234&lt;&gt;$B219,$B235&lt;&gt;$B220,$B236&lt;&gt;$B221,$B237&lt;&gt;$B222,$B238&lt;&gt;$B223),IF($B236&lt;&gt;$B221,AF221/INDEX($C213:$AJ223,9,MATCH(IF('Data-solution'!$A$3="Maximize",MAX($C224:$AI224),MIN($C224:$AI224)),$C224:$AI224,0)),AF221-INDEX($C213:$AJ223,9,MATCH(IF('Data-solution'!$A$3="Maximize",MAX($C224:$AI224),MIN($C224:$AI224)),$C224:$AI224,0))*INDEX(AF213:$AJ223,MATCH(MIN($AK213:$AK223),$AK213:$AK223,0),1)/INDEX($C213:$AJ223,MATCH(MIN($AK213:$AK223),$AK213:$AK223,0),MATCH(IF('Data-solution'!$A$3="Maximize",MAX($C224:$AI224),MIN($C224:$AI224)),$C224:$AI224,0))),AF221)</f>
        <v>0</v>
      </c>
      <c r="AG236" s="1">
        <f>IF(OR($B228&lt;&gt;$B213,$B229&lt;&gt;$B214,$B230&lt;&gt;$B215,$B231&lt;&gt;$B216,$B232&lt;&gt;$B217,$B233&lt;&gt;$B218,$B234&lt;&gt;$B219,$B235&lt;&gt;$B220,$B236&lt;&gt;$B221,$B237&lt;&gt;$B222,$B238&lt;&gt;$B223),IF($B236&lt;&gt;$B221,AG221/INDEX($C213:$AJ223,9,MATCH(IF('Data-solution'!$A$3="Maximize",MAX($C224:$AI224),MIN($C224:$AI224)),$C224:$AI224,0)),AG221-INDEX($C213:$AJ223,9,MATCH(IF('Data-solution'!$A$3="Maximize",MAX($C224:$AI224),MIN($C224:$AI224)),$C224:$AI224,0))*INDEX(AG213:$AJ223,MATCH(MIN($AK213:$AK223),$AK213:$AK223,0),1)/INDEX($C213:$AJ223,MATCH(MIN($AK213:$AK223),$AK213:$AK223,0),MATCH(IF('Data-solution'!$A$3="Maximize",MAX($C224:$AI224),MIN($C224:$AI224)),$C224:$AI224,0))),AG221)</f>
        <v>1</v>
      </c>
      <c r="AH236" s="1">
        <f>IF(OR($B228&lt;&gt;$B213,$B229&lt;&gt;$B214,$B230&lt;&gt;$B215,$B231&lt;&gt;$B216,$B232&lt;&gt;$B217,$B233&lt;&gt;$B218,$B234&lt;&gt;$B219,$B235&lt;&gt;$B220,$B236&lt;&gt;$B221,$B237&lt;&gt;$B222,$B238&lt;&gt;$B223),IF($B236&lt;&gt;$B221,AH221/INDEX($C213:$AJ223,9,MATCH(IF('Data-solution'!$A$3="Maximize",MAX($C224:$AI224),MIN($C224:$AI224)),$C224:$AI224,0)),AH221-INDEX($C213:$AJ223,9,MATCH(IF('Data-solution'!$A$3="Maximize",MAX($C224:$AI224),MIN($C224:$AI224)),$C224:$AI224,0))*INDEX(AH213:$AJ223,MATCH(MIN($AK213:$AK223),$AK213:$AK223,0),1)/INDEX($C213:$AJ223,MATCH(MIN($AK213:$AK223),$AK213:$AK223,0),MATCH(IF('Data-solution'!$A$3="Maximize",MAX($C224:$AI224),MIN($C224:$AI224)),$C224:$AI224,0))),AH221)</f>
        <v>0</v>
      </c>
      <c r="AI236" s="1">
        <f>IF(OR($B228&lt;&gt;$B213,$B229&lt;&gt;$B214,$B230&lt;&gt;$B215,$B231&lt;&gt;$B216,$B232&lt;&gt;$B217,$B233&lt;&gt;$B218,$B234&lt;&gt;$B219,$B235&lt;&gt;$B220,$B236&lt;&gt;$B221,$B237&lt;&gt;$B222,$B238&lt;&gt;$B223),IF($B236&lt;&gt;$B221,AI221/INDEX($C213:$AJ223,9,MATCH(IF('Data-solution'!$A$3="Maximize",MAX($C224:$AI224),MIN($C224:$AI224)),$C224:$AI224,0)),AI221-INDEX($C213:$AJ223,9,MATCH(IF('Data-solution'!$A$3="Maximize",MAX($C224:$AI224),MIN($C224:$AI224)),$C224:$AI224,0))*INDEX(AI213:$AJ223,MATCH(MIN($AK213:$AK223),$AK213:$AK223,0),1)/INDEX($C213:$AJ223,MATCH(MIN($AK213:$AK223),$AK213:$AK223,0),MATCH(IF('Data-solution'!$A$3="Maximize",MAX($C224:$AI224),MIN($C224:$AI224)),$C224:$AI224,0))),AI221)</f>
        <v>0</v>
      </c>
      <c r="AJ236" s="1">
        <f>IF(OR($B228&lt;&gt;$B213,$B229&lt;&gt;$B214,$B230&lt;&gt;$B215,$B231&lt;&gt;$B216,$B232&lt;&gt;$B217,$B233&lt;&gt;$B218,$B234&lt;&gt;$B219,$B235&lt;&gt;$B220,$B236&lt;&gt;$B221,$B237&lt;&gt;$B222,$B238&lt;&gt;$B223),IF($B236&lt;&gt;$B221,AJ221/INDEX($C213:$AJ223,9,MATCH(IF('Data-solution'!$A$3="Maximize",MAX($C224:$AI224),MIN($C224:$AI224)),$C224:$AI224,0)),AJ221-INDEX($C213:$AJ223,9,MATCH(IF('Data-solution'!$A$3="Maximize",MAX($C224:$AI224),MIN($C224:$AI224)),$C224:$AI224,0))*INDEX(AJ213:$AJ223,MATCH(MIN($AK213:$AK223),$AK213:$AK223,0),1)/INDEX($C213:$AJ223,MATCH(MIN($AK213:$AK223),$AK213:$AK223,0),MATCH(IF('Data-solution'!$A$3="Maximize",MAX($C224:$AI224),MIN($C224:$AI224)),$C224:$AI224,0))),AJ221)</f>
        <v>0</v>
      </c>
      <c r="AK236" s="1" t="str">
        <f>IF(INDEX(C236:X236,1,MATCH(IF('Data-solution'!A$3="Maximize",MAX(C239:X239),MIN(C239:X239)),C239:X239,0))&gt;0,AJ236/INDEX(C236:X236,1,MATCH(IF('Data-solution'!A$3="Maximize",MAX(C239:X239),MIN(C239:X239)),C239:X239,0))," ")</f>
        <v xml:space="preserve"> </v>
      </c>
    </row>
    <row r="237" spans="1:37" ht="18" customHeight="1" x14ac:dyDescent="0.2">
      <c r="A237" s="1">
        <f t="shared" ref="A237" si="207">INDEX(C226:AI226,1,MATCH(B237,C227:AI227,0))</f>
        <v>0</v>
      </c>
      <c r="B237" s="2" t="str">
        <f>IF(AND('Data-solution'!A$3="Maximize",COUNTIF(C224:X224,"&gt;"&amp;0)&gt;0,AK222=MIN(AK213:AK223),COUNTIF(B228:B236,INDEX(C212:X212,1,MATCH(MAX(C224:X224),C224:X224,0)))=0),INDEX(C212:X212,1,MATCH(MAX(C224:X224),C224:X224,0)),IF(AND('Data-solution'!A$3="Minimize",COUNTIF(C224:X224,"&lt;"&amp;0)&gt;0,AK222=MIN(AK213:AK223),COUNTIF(B228:B236,INDEX(C212:X212,1,MATCH(MIN(C224:X224),C224:X224,0)))=0),INDEX(C212:X212,1,MATCH(MIN(C224:X224),C224:X224,0)),B222))</f>
        <v>S10</v>
      </c>
      <c r="C237" s="1">
        <f>IF(OR($B228&lt;&gt;$B213,$B229&lt;&gt;$B214,$B230&lt;&gt;$B215,$B231&lt;&gt;$B216,$B232&lt;&gt;$B217,$B233&lt;&gt;$B218,$B234&lt;&gt;$B219,$B235&lt;&gt;$B220,$B236&lt;&gt;$B221,$B237&lt;&gt;$B222,$B238&lt;&gt;$B223),IF($B237&lt;&gt;$B222,C222/INDEX($C213:$AJ223,10,MATCH(IF('Data-solution'!$A$3="Maximize",MAX($C224:$AI224),MIN($C224:$AI224)),$C224:$AI224,0)),C222-INDEX($C213:$AJ223,10,MATCH(IF('Data-solution'!$A$3="Maximize",MAX($C224:$AI224),MIN($C224:$AI224)),$C224:$AI224,0))*INDEX(C213:$AJ223,MATCH(MIN($AK213:$AK223),$AK213:$AK223,0),1)/INDEX($C213:$AJ223,MATCH(MIN($AK213:$AK223),$AK213:$AK223,0),MATCH(IF('Data-solution'!$A$3="Maximize",MAX($C224:$AI224),MIN($C224:$AI224)),$C224:$AI224,0))),C222)</f>
        <v>0</v>
      </c>
      <c r="D237" s="1">
        <f>IF(OR($B228&lt;&gt;$B213,$B229&lt;&gt;$B214,$B230&lt;&gt;$B215,$B231&lt;&gt;$B216,$B232&lt;&gt;$B217,$B233&lt;&gt;$B218,$B234&lt;&gt;$B219,$B235&lt;&gt;$B220,$B236&lt;&gt;$B221,$B237&lt;&gt;$B222,$B238&lt;&gt;$B223),IF($B237&lt;&gt;$B222,D222/INDEX($C213:$AJ223,10,MATCH(IF('Data-solution'!$A$3="Maximize",MAX($C224:$AI224),MIN($C224:$AI224)),$C224:$AI224,0)),D222-INDEX($C213:$AJ223,10,MATCH(IF('Data-solution'!$A$3="Maximize",MAX($C224:$AI224),MIN($C224:$AI224)),$C224:$AI224,0))*INDEX(D213:$AJ223,MATCH(MIN($AK213:$AK223),$AK213:$AK223,0),1)/INDEX($C213:$AJ223,MATCH(MIN($AK213:$AK223),$AK213:$AK223,0),MATCH(IF('Data-solution'!$A$3="Maximize",MAX($C224:$AI224),MIN($C224:$AI224)),$C224:$AI224,0))),D222)</f>
        <v>0</v>
      </c>
      <c r="E237" s="1">
        <f>IF(OR($B228&lt;&gt;$B213,$B229&lt;&gt;$B214,$B230&lt;&gt;$B215,$B231&lt;&gt;$B216,$B232&lt;&gt;$B217,$B233&lt;&gt;$B218,$B234&lt;&gt;$B219,$B235&lt;&gt;$B220,$B236&lt;&gt;$B221,$B237&lt;&gt;$B222,$B238&lt;&gt;$B223),IF($B237&lt;&gt;$B222,E222/INDEX($C213:$AJ223,10,MATCH(IF('Data-solution'!$A$3="Maximize",MAX($C224:$AI224),MIN($C224:$AI224)),$C224:$AI224,0)),E222-INDEX($C213:$AJ223,10,MATCH(IF('Data-solution'!$A$3="Maximize",MAX($C224:$AI224),MIN($C224:$AI224)),$C224:$AI224,0))*INDEX(E213:$AJ223,MATCH(MIN($AK213:$AK223),$AK213:$AK223,0),1)/INDEX($C213:$AJ223,MATCH(MIN($AK213:$AK223),$AK213:$AK223,0),MATCH(IF('Data-solution'!$A$3="Maximize",MAX($C224:$AI224),MIN($C224:$AI224)),$C224:$AI224,0))),E222)</f>
        <v>0</v>
      </c>
      <c r="F237" s="1">
        <f>IF(OR($B228&lt;&gt;$B213,$B229&lt;&gt;$B214,$B230&lt;&gt;$B215,$B231&lt;&gt;$B216,$B232&lt;&gt;$B217,$B233&lt;&gt;$B218,$B234&lt;&gt;$B219,$B235&lt;&gt;$B220,$B236&lt;&gt;$B221,$B237&lt;&gt;$B222,$B238&lt;&gt;$B223),IF($B237&lt;&gt;$B222,F222/INDEX($C213:$AJ223,10,MATCH(IF('Data-solution'!$A$3="Maximize",MAX($C224:$AI224),MIN($C224:$AI224)),$C224:$AI224,0)),F222-INDEX($C213:$AJ223,10,MATCH(IF('Data-solution'!$A$3="Maximize",MAX($C224:$AI224),MIN($C224:$AI224)),$C224:$AI224,0))*INDEX(F213:$AJ223,MATCH(MIN($AK213:$AK223),$AK213:$AK223,0),1)/INDEX($C213:$AJ223,MATCH(MIN($AK213:$AK223),$AK213:$AK223,0),MATCH(IF('Data-solution'!$A$3="Maximize",MAX($C224:$AI224),MIN($C224:$AI224)),$C224:$AI224,0))),F222)</f>
        <v>0</v>
      </c>
      <c r="G237" s="1">
        <f>IF(OR($B228&lt;&gt;$B213,$B229&lt;&gt;$B214,$B230&lt;&gt;$B215,$B231&lt;&gt;$B216,$B232&lt;&gt;$B217,$B233&lt;&gt;$B218,$B234&lt;&gt;$B219,$B235&lt;&gt;$B220,$B236&lt;&gt;$B221,$B237&lt;&gt;$B222,$B238&lt;&gt;$B223),IF($B237&lt;&gt;$B222,G222/INDEX($C213:$AJ223,10,MATCH(IF('Data-solution'!$A$3="Maximize",MAX($C224:$AI224),MIN($C224:$AI224)),$C224:$AI224,0)),G222-INDEX($C213:$AJ223,10,MATCH(IF('Data-solution'!$A$3="Maximize",MAX($C224:$AI224),MIN($C224:$AI224)),$C224:$AI224,0))*INDEX(G213:$AJ223,MATCH(MIN($AK213:$AK223),$AK213:$AK223,0),1)/INDEX($C213:$AJ223,MATCH(MIN($AK213:$AK223),$AK213:$AK223,0),MATCH(IF('Data-solution'!$A$3="Maximize",MAX($C224:$AI224),MIN($C224:$AI224)),$C224:$AI224,0))),G222)</f>
        <v>0</v>
      </c>
      <c r="H237" s="1">
        <f>IF(OR($B228&lt;&gt;$B213,$B229&lt;&gt;$B214,$B230&lt;&gt;$B215,$B231&lt;&gt;$B216,$B232&lt;&gt;$B217,$B233&lt;&gt;$B218,$B234&lt;&gt;$B219,$B235&lt;&gt;$B220,$B236&lt;&gt;$B221,$B237&lt;&gt;$B222,$B238&lt;&gt;$B223),IF($B237&lt;&gt;$B222,H222/INDEX($C213:$AJ223,10,MATCH(IF('Data-solution'!$A$3="Maximize",MAX($C224:$AI224),MIN($C224:$AI224)),$C224:$AI224,0)),H222-INDEX($C213:$AJ223,10,MATCH(IF('Data-solution'!$A$3="Maximize",MAX($C224:$AI224),MIN($C224:$AI224)),$C224:$AI224,0))*INDEX(H213:$AJ223,MATCH(MIN($AK213:$AK223),$AK213:$AK223,0),1)/INDEX($C213:$AJ223,MATCH(MIN($AK213:$AK223),$AK213:$AK223,0),MATCH(IF('Data-solution'!$A$3="Maximize",MAX($C224:$AI224),MIN($C224:$AI224)),$C224:$AI224,0))),H222)</f>
        <v>0</v>
      </c>
      <c r="I237" s="1">
        <f>IF(OR($B228&lt;&gt;$B213,$B229&lt;&gt;$B214,$B230&lt;&gt;$B215,$B231&lt;&gt;$B216,$B232&lt;&gt;$B217,$B233&lt;&gt;$B218,$B234&lt;&gt;$B219,$B235&lt;&gt;$B220,$B236&lt;&gt;$B221,$B237&lt;&gt;$B222,$B238&lt;&gt;$B223),IF($B237&lt;&gt;$B222,I222/INDEX($C213:$AJ223,10,MATCH(IF('Data-solution'!$A$3="Maximize",MAX($C224:$AI224),MIN($C224:$AI224)),$C224:$AI224,0)),I222-INDEX($C213:$AJ223,10,MATCH(IF('Data-solution'!$A$3="Maximize",MAX($C224:$AI224),MIN($C224:$AI224)),$C224:$AI224,0))*INDEX(I213:$AJ223,MATCH(MIN($AK213:$AK223),$AK213:$AK223,0),1)/INDEX($C213:$AJ223,MATCH(MIN($AK213:$AK223),$AK213:$AK223,0),MATCH(IF('Data-solution'!$A$3="Maximize",MAX($C224:$AI224),MIN($C224:$AI224)),$C224:$AI224,0))),I222)</f>
        <v>0</v>
      </c>
      <c r="J237" s="1">
        <f>IF(OR($B228&lt;&gt;$B213,$B229&lt;&gt;$B214,$B230&lt;&gt;$B215,$B231&lt;&gt;$B216,$B232&lt;&gt;$B217,$B233&lt;&gt;$B218,$B234&lt;&gt;$B219,$B235&lt;&gt;$B220,$B236&lt;&gt;$B221,$B237&lt;&gt;$B222,$B238&lt;&gt;$B223),IF($B237&lt;&gt;$B222,J222/INDEX($C213:$AJ223,10,MATCH(IF('Data-solution'!$A$3="Maximize",MAX($C224:$AI224),MIN($C224:$AI224)),$C224:$AI224,0)),J222-INDEX($C213:$AJ223,10,MATCH(IF('Data-solution'!$A$3="Maximize",MAX($C224:$AI224),MIN($C224:$AI224)),$C224:$AI224,0))*INDEX(J213:$AJ223,MATCH(MIN($AK213:$AK223),$AK213:$AK223,0),1)/INDEX($C213:$AJ223,MATCH(MIN($AK213:$AK223),$AK213:$AK223,0),MATCH(IF('Data-solution'!$A$3="Maximize",MAX($C224:$AI224),MIN($C224:$AI224)),$C224:$AI224,0))),J222)</f>
        <v>0</v>
      </c>
      <c r="K237" s="1">
        <f>IF(OR($B228&lt;&gt;$B213,$B229&lt;&gt;$B214,$B230&lt;&gt;$B215,$B231&lt;&gt;$B216,$B232&lt;&gt;$B217,$B233&lt;&gt;$B218,$B234&lt;&gt;$B219,$B235&lt;&gt;$B220,$B236&lt;&gt;$B221,$B237&lt;&gt;$B222,$B238&lt;&gt;$B223),IF($B237&lt;&gt;$B222,K222/INDEX($C213:$AJ223,10,MATCH(IF('Data-solution'!$A$3="Maximize",MAX($C224:$AI224),MIN($C224:$AI224)),$C224:$AI224,0)),K222-INDEX($C213:$AJ223,10,MATCH(IF('Data-solution'!$A$3="Maximize",MAX($C224:$AI224),MIN($C224:$AI224)),$C224:$AI224,0))*INDEX(K213:$AJ223,MATCH(MIN($AK213:$AK223),$AK213:$AK223,0),1)/INDEX($C213:$AJ223,MATCH(MIN($AK213:$AK223),$AK213:$AK223,0),MATCH(IF('Data-solution'!$A$3="Maximize",MAX($C224:$AI224),MIN($C224:$AI224)),$C224:$AI224,0))),K222)</f>
        <v>0</v>
      </c>
      <c r="L237" s="1">
        <f>IF(OR($B228&lt;&gt;$B213,$B229&lt;&gt;$B214,$B230&lt;&gt;$B215,$B231&lt;&gt;$B216,$B232&lt;&gt;$B217,$B233&lt;&gt;$B218,$B234&lt;&gt;$B219,$B235&lt;&gt;$B220,$B236&lt;&gt;$B221,$B237&lt;&gt;$B222,$B238&lt;&gt;$B223),IF($B237&lt;&gt;$B222,L222/INDEX($C213:$AJ223,10,MATCH(IF('Data-solution'!$A$3="Maximize",MAX($C224:$AI224),MIN($C224:$AI224)),$C224:$AI224,0)),L222-INDEX($C213:$AJ223,10,MATCH(IF('Data-solution'!$A$3="Maximize",MAX($C224:$AI224),MIN($C224:$AI224)),$C224:$AI224,0))*INDEX(L213:$AJ223,MATCH(MIN($AK213:$AK223),$AK213:$AK223,0),1)/INDEX($C213:$AJ223,MATCH(MIN($AK213:$AK223),$AK213:$AK223,0),MATCH(IF('Data-solution'!$A$3="Maximize",MAX($C224:$AI224),MIN($C224:$AI224)),$C224:$AI224,0))),L222)</f>
        <v>0</v>
      </c>
      <c r="M237" s="1">
        <f>IF(OR($B228&lt;&gt;$B213,$B229&lt;&gt;$B214,$B230&lt;&gt;$B215,$B231&lt;&gt;$B216,$B232&lt;&gt;$B217,$B233&lt;&gt;$B218,$B234&lt;&gt;$B219,$B235&lt;&gt;$B220,$B236&lt;&gt;$B221,$B237&lt;&gt;$B222,$B238&lt;&gt;$B223),IF($B237&lt;&gt;$B222,M222/INDEX($C213:$AJ223,10,MATCH(IF('Data-solution'!$A$3="Maximize",MAX($C224:$AI224),MIN($C224:$AI224)),$C224:$AI224,0)),M222-INDEX($C213:$AJ223,10,MATCH(IF('Data-solution'!$A$3="Maximize",MAX($C224:$AI224),MIN($C224:$AI224)),$C224:$AI224,0))*INDEX(M213:$AJ223,MATCH(MIN($AK213:$AK223),$AK213:$AK223,0),1)/INDEX($C213:$AJ223,MATCH(MIN($AK213:$AK223),$AK213:$AK223,0),MATCH(IF('Data-solution'!$A$3="Maximize",MAX($C224:$AI224),MIN($C224:$AI224)),$C224:$AI224,0))),M222)</f>
        <v>0</v>
      </c>
      <c r="N237" s="1">
        <f>IF(OR($B228&lt;&gt;$B213,$B229&lt;&gt;$B214,$B230&lt;&gt;$B215,$B231&lt;&gt;$B216,$B232&lt;&gt;$B217,$B233&lt;&gt;$B218,$B234&lt;&gt;$B219,$B235&lt;&gt;$B220,$B236&lt;&gt;$B221,$B237&lt;&gt;$B222,$B238&lt;&gt;$B223),IF($B237&lt;&gt;$B222,N222/INDEX($C213:$AJ223,10,MATCH(IF('Data-solution'!$A$3="Maximize",MAX($C224:$AI224),MIN($C224:$AI224)),$C224:$AI224,0)),N222-INDEX($C213:$AJ223,10,MATCH(IF('Data-solution'!$A$3="Maximize",MAX($C224:$AI224),MIN($C224:$AI224)),$C224:$AI224,0))*INDEX(N213:$AJ223,MATCH(MIN($AK213:$AK223),$AK213:$AK223,0),1)/INDEX($C213:$AJ223,MATCH(MIN($AK213:$AK223),$AK213:$AK223,0),MATCH(IF('Data-solution'!$A$3="Maximize",MAX($C224:$AI224),MIN($C224:$AI224)),$C224:$AI224,0))),N222)</f>
        <v>0</v>
      </c>
      <c r="O237" s="1">
        <f>IF(OR($B228&lt;&gt;$B213,$B229&lt;&gt;$B214,$B230&lt;&gt;$B215,$B231&lt;&gt;$B216,$B232&lt;&gt;$B217,$B233&lt;&gt;$B218,$B234&lt;&gt;$B219,$B235&lt;&gt;$B220,$B236&lt;&gt;$B221,$B237&lt;&gt;$B222,$B238&lt;&gt;$B223),IF($B237&lt;&gt;$B222,O222/INDEX($C213:$AJ223,10,MATCH(IF('Data-solution'!$A$3="Maximize",MAX($C224:$AI224),MIN($C224:$AI224)),$C224:$AI224,0)),O222-INDEX($C213:$AJ223,10,MATCH(IF('Data-solution'!$A$3="Maximize",MAX($C224:$AI224),MIN($C224:$AI224)),$C224:$AI224,0))*INDEX(O213:$AJ223,MATCH(MIN($AK213:$AK223),$AK213:$AK223,0),1)/INDEX($C213:$AJ223,MATCH(MIN($AK213:$AK223),$AK213:$AK223,0),MATCH(IF('Data-solution'!$A$3="Maximize",MAX($C224:$AI224),MIN($C224:$AI224)),$C224:$AI224,0))),O222)</f>
        <v>0</v>
      </c>
      <c r="P237" s="1">
        <f>IF(OR($B228&lt;&gt;$B213,$B229&lt;&gt;$B214,$B230&lt;&gt;$B215,$B231&lt;&gt;$B216,$B232&lt;&gt;$B217,$B233&lt;&gt;$B218,$B234&lt;&gt;$B219,$B235&lt;&gt;$B220,$B236&lt;&gt;$B221,$B237&lt;&gt;$B222,$B238&lt;&gt;$B223),IF($B237&lt;&gt;$B222,P222/INDEX($C213:$AJ223,10,MATCH(IF('Data-solution'!$A$3="Maximize",MAX($C224:$AI224),MIN($C224:$AI224)),$C224:$AI224,0)),P222-INDEX($C213:$AJ223,10,MATCH(IF('Data-solution'!$A$3="Maximize",MAX($C224:$AI224),MIN($C224:$AI224)),$C224:$AI224,0))*INDEX(P213:$AJ223,MATCH(MIN($AK213:$AK223),$AK213:$AK223,0),1)/INDEX($C213:$AJ223,MATCH(MIN($AK213:$AK223),$AK213:$AK223,0),MATCH(IF('Data-solution'!$A$3="Maximize",MAX($C224:$AI224),MIN($C224:$AI224)),$C224:$AI224,0))),P222)</f>
        <v>0</v>
      </c>
      <c r="Q237" s="1">
        <f>IF(OR($B228&lt;&gt;$B213,$B229&lt;&gt;$B214,$B230&lt;&gt;$B215,$B231&lt;&gt;$B216,$B232&lt;&gt;$B217,$B233&lt;&gt;$B218,$B234&lt;&gt;$B219,$B235&lt;&gt;$B220,$B236&lt;&gt;$B221,$B237&lt;&gt;$B222,$B238&lt;&gt;$B223),IF($B237&lt;&gt;$B222,Q222/INDEX($C213:$AJ223,10,MATCH(IF('Data-solution'!$A$3="Maximize",MAX($C224:$AI224),MIN($C224:$AI224)),$C224:$AI224,0)),Q222-INDEX($C213:$AJ223,10,MATCH(IF('Data-solution'!$A$3="Maximize",MAX($C224:$AI224),MIN($C224:$AI224)),$C224:$AI224,0))*INDEX(Q213:$AJ223,MATCH(MIN($AK213:$AK223),$AK213:$AK223,0),1)/INDEX($C213:$AJ223,MATCH(MIN($AK213:$AK223),$AK213:$AK223,0),MATCH(IF('Data-solution'!$A$3="Maximize",MAX($C224:$AI224),MIN($C224:$AI224)),$C224:$AI224,0))),Q222)</f>
        <v>0</v>
      </c>
      <c r="R237" s="1">
        <f>IF(OR($B228&lt;&gt;$B213,$B229&lt;&gt;$B214,$B230&lt;&gt;$B215,$B231&lt;&gt;$B216,$B232&lt;&gt;$B217,$B233&lt;&gt;$B218,$B234&lt;&gt;$B219,$B235&lt;&gt;$B220,$B236&lt;&gt;$B221,$B237&lt;&gt;$B222,$B238&lt;&gt;$B223),IF($B237&lt;&gt;$B222,R222/INDEX($C213:$AJ223,10,MATCH(IF('Data-solution'!$A$3="Maximize",MAX($C224:$AI224),MIN($C224:$AI224)),$C224:$AI224,0)),R222-INDEX($C213:$AJ223,10,MATCH(IF('Data-solution'!$A$3="Maximize",MAX($C224:$AI224),MIN($C224:$AI224)),$C224:$AI224,0))*INDEX(R213:$AJ223,MATCH(MIN($AK213:$AK223),$AK213:$AK223,0),1)/INDEX($C213:$AJ223,MATCH(MIN($AK213:$AK223),$AK213:$AK223,0),MATCH(IF('Data-solution'!$A$3="Maximize",MAX($C224:$AI224),MIN($C224:$AI224)),$C224:$AI224,0))),R222)</f>
        <v>0</v>
      </c>
      <c r="S237" s="1">
        <f>IF(OR($B228&lt;&gt;$B213,$B229&lt;&gt;$B214,$B230&lt;&gt;$B215,$B231&lt;&gt;$B216,$B232&lt;&gt;$B217,$B233&lt;&gt;$B218,$B234&lt;&gt;$B219,$B235&lt;&gt;$B220,$B236&lt;&gt;$B221,$B237&lt;&gt;$B222,$B238&lt;&gt;$B223),IF($B237&lt;&gt;$B222,S222/INDEX($C213:$AJ223,10,MATCH(IF('Data-solution'!$A$3="Maximize",MAX($C224:$AI224),MIN($C224:$AI224)),$C224:$AI224,0)),S222-INDEX($C213:$AJ223,10,MATCH(IF('Data-solution'!$A$3="Maximize",MAX($C224:$AI224),MIN($C224:$AI224)),$C224:$AI224,0))*INDEX(S213:$AJ223,MATCH(MIN($AK213:$AK223),$AK213:$AK223,0),1)/INDEX($C213:$AJ223,MATCH(MIN($AK213:$AK223),$AK213:$AK223,0),MATCH(IF('Data-solution'!$A$3="Maximize",MAX($C224:$AI224),MIN($C224:$AI224)),$C224:$AI224,0))),S222)</f>
        <v>0</v>
      </c>
      <c r="T237" s="1">
        <f>IF(OR($B228&lt;&gt;$B213,$B229&lt;&gt;$B214,$B230&lt;&gt;$B215,$B231&lt;&gt;$B216,$B232&lt;&gt;$B217,$B233&lt;&gt;$B218,$B234&lt;&gt;$B219,$B235&lt;&gt;$B220,$B236&lt;&gt;$B221,$B237&lt;&gt;$B222,$B238&lt;&gt;$B223),IF($B237&lt;&gt;$B222,T222/INDEX($C213:$AJ223,10,MATCH(IF('Data-solution'!$A$3="Maximize",MAX($C224:$AI224),MIN($C224:$AI224)),$C224:$AI224,0)),T222-INDEX($C213:$AJ223,10,MATCH(IF('Data-solution'!$A$3="Maximize",MAX($C224:$AI224),MIN($C224:$AI224)),$C224:$AI224,0))*INDEX(T213:$AJ223,MATCH(MIN($AK213:$AK223),$AK213:$AK223,0),1)/INDEX($C213:$AJ223,MATCH(MIN($AK213:$AK223),$AK213:$AK223,0),MATCH(IF('Data-solution'!$A$3="Maximize",MAX($C224:$AI224),MIN($C224:$AI224)),$C224:$AI224,0))),T222)</f>
        <v>0</v>
      </c>
      <c r="U237" s="1">
        <f>IF(OR($B228&lt;&gt;$B213,$B229&lt;&gt;$B214,$B230&lt;&gt;$B215,$B231&lt;&gt;$B216,$B232&lt;&gt;$B217,$B233&lt;&gt;$B218,$B234&lt;&gt;$B219,$B235&lt;&gt;$B220,$B236&lt;&gt;$B221,$B237&lt;&gt;$B222,$B238&lt;&gt;$B223),IF($B237&lt;&gt;$B222,U222/INDEX($C213:$AJ223,10,MATCH(IF('Data-solution'!$A$3="Maximize",MAX($C224:$AI224),MIN($C224:$AI224)),$C224:$AI224,0)),U222-INDEX($C213:$AJ223,10,MATCH(IF('Data-solution'!$A$3="Maximize",MAX($C224:$AI224),MIN($C224:$AI224)),$C224:$AI224,0))*INDEX(U213:$AJ223,MATCH(MIN($AK213:$AK223),$AK213:$AK223,0),1)/INDEX($C213:$AJ223,MATCH(MIN($AK213:$AK223),$AK213:$AK223,0),MATCH(IF('Data-solution'!$A$3="Maximize",MAX($C224:$AI224),MIN($C224:$AI224)),$C224:$AI224,0))),U222)</f>
        <v>0</v>
      </c>
      <c r="V237" s="1">
        <f>IF(OR($B228&lt;&gt;$B213,$B229&lt;&gt;$B214,$B230&lt;&gt;$B215,$B231&lt;&gt;$B216,$B232&lt;&gt;$B217,$B233&lt;&gt;$B218,$B234&lt;&gt;$B219,$B235&lt;&gt;$B220,$B236&lt;&gt;$B221,$B237&lt;&gt;$B222,$B238&lt;&gt;$B223),IF($B237&lt;&gt;$B222,V222/INDEX($C213:$AJ223,10,MATCH(IF('Data-solution'!$A$3="Maximize",MAX($C224:$AI224),MIN($C224:$AI224)),$C224:$AI224,0)),V222-INDEX($C213:$AJ223,10,MATCH(IF('Data-solution'!$A$3="Maximize",MAX($C224:$AI224),MIN($C224:$AI224)),$C224:$AI224,0))*INDEX(V213:$AJ223,MATCH(MIN($AK213:$AK223),$AK213:$AK223,0),1)/INDEX($C213:$AJ223,MATCH(MIN($AK213:$AK223),$AK213:$AK223,0),MATCH(IF('Data-solution'!$A$3="Maximize",MAX($C224:$AI224),MIN($C224:$AI224)),$C224:$AI224,0))),V222)</f>
        <v>0</v>
      </c>
      <c r="W237" s="1">
        <f>IF(OR($B228&lt;&gt;$B213,$B229&lt;&gt;$B214,$B230&lt;&gt;$B215,$B231&lt;&gt;$B216,$B232&lt;&gt;$B217,$B233&lt;&gt;$B218,$B234&lt;&gt;$B219,$B235&lt;&gt;$B220,$B236&lt;&gt;$B221,$B237&lt;&gt;$B222,$B238&lt;&gt;$B223),IF($B237&lt;&gt;$B222,W222/INDEX($C213:$AJ223,10,MATCH(IF('Data-solution'!$A$3="Maximize",MAX($C224:$AI224),MIN($C224:$AI224)),$C224:$AI224,0)),W222-INDEX($C213:$AJ223,10,MATCH(IF('Data-solution'!$A$3="Maximize",MAX($C224:$AI224),MIN($C224:$AI224)),$C224:$AI224,0))*INDEX(W213:$AJ223,MATCH(MIN($AK213:$AK223),$AK213:$AK223,0),1)/INDEX($C213:$AJ223,MATCH(MIN($AK213:$AK223),$AK213:$AK223,0),MATCH(IF('Data-solution'!$A$3="Maximize",MAX($C224:$AI224),MIN($C224:$AI224)),$C224:$AI224,0))),W222)</f>
        <v>1</v>
      </c>
      <c r="X237" s="1">
        <f>IF(OR($B228&lt;&gt;$B213,$B229&lt;&gt;$B214,$B230&lt;&gt;$B215,$B231&lt;&gt;$B216,$B232&lt;&gt;$B217,$B233&lt;&gt;$B218,$B234&lt;&gt;$B219,$B235&lt;&gt;$B220,$B236&lt;&gt;$B221,$B237&lt;&gt;$B222,$B238&lt;&gt;$B223),IF($B237&lt;&gt;$B222,X222/INDEX($C213:$AJ223,10,MATCH(IF('Data-solution'!$A$3="Maximize",MAX($C224:$AI224),MIN($C224:$AI224)),$C224:$AI224,0)),X222-INDEX($C213:$AJ223,10,MATCH(IF('Data-solution'!$A$3="Maximize",MAX($C224:$AI224),MIN($C224:$AI224)),$C224:$AI224,0))*INDEX(X213:$AJ223,MATCH(MIN($AK213:$AK223),$AK213:$AK223,0),1)/INDEX($C213:$AJ223,MATCH(MIN($AK213:$AK223),$AK213:$AK223,0),MATCH(IF('Data-solution'!$A$3="Maximize",MAX($C224:$AI224),MIN($C224:$AI224)),$C224:$AI224,0))),X222)</f>
        <v>0</v>
      </c>
      <c r="Y237" s="1">
        <f>IF(OR($B228&lt;&gt;$B213,$B229&lt;&gt;$B214,$B230&lt;&gt;$B215,$B231&lt;&gt;$B216,$B232&lt;&gt;$B217,$B233&lt;&gt;$B218,$B234&lt;&gt;$B219,$B235&lt;&gt;$B220,$B236&lt;&gt;$B221,$B237&lt;&gt;$B222,$B238&lt;&gt;$B223),IF($B237&lt;&gt;$B222,Y222/INDEX($C213:$AJ223,10,MATCH(IF('Data-solution'!$A$3="Maximize",MAX($C224:$AI224),MIN($C224:$AI224)),$C224:$AI224,0)),Y222-INDEX($C213:$AJ223,10,MATCH(IF('Data-solution'!$A$3="Maximize",MAX($C224:$AI224),MIN($C224:$AI224)),$C224:$AI224,0))*INDEX(Y213:$AJ223,MATCH(MIN($AK213:$AK223),$AK213:$AK223,0),1)/INDEX($C213:$AJ223,MATCH(MIN($AK213:$AK223),$AK213:$AK223,0),MATCH(IF('Data-solution'!$A$3="Maximize",MAX($C224:$AI224),MIN($C224:$AI224)),$C224:$AI224,0))),Y222)</f>
        <v>0</v>
      </c>
      <c r="Z237" s="1">
        <f>IF(OR($B228&lt;&gt;$B213,$B229&lt;&gt;$B214,$B230&lt;&gt;$B215,$B231&lt;&gt;$B216,$B232&lt;&gt;$B217,$B233&lt;&gt;$B218,$B234&lt;&gt;$B219,$B235&lt;&gt;$B220,$B236&lt;&gt;$B221,$B237&lt;&gt;$B222,$B238&lt;&gt;$B223),IF($B237&lt;&gt;$B222,Z222/INDEX($C213:$AJ223,10,MATCH(IF('Data-solution'!$A$3="Maximize",MAX($C224:$AI224),MIN($C224:$AI224)),$C224:$AI224,0)),Z222-INDEX($C213:$AJ223,10,MATCH(IF('Data-solution'!$A$3="Maximize",MAX($C224:$AI224),MIN($C224:$AI224)),$C224:$AI224,0))*INDEX(Z213:$AJ223,MATCH(MIN($AK213:$AK223),$AK213:$AK223,0),1)/INDEX($C213:$AJ223,MATCH(MIN($AK213:$AK223),$AK213:$AK223,0),MATCH(IF('Data-solution'!$A$3="Maximize",MAX($C224:$AI224),MIN($C224:$AI224)),$C224:$AI224,0))),Z222)</f>
        <v>0</v>
      </c>
      <c r="AA237" s="1">
        <f>IF(OR($B228&lt;&gt;$B213,$B229&lt;&gt;$B214,$B230&lt;&gt;$B215,$B231&lt;&gt;$B216,$B232&lt;&gt;$B217,$B233&lt;&gt;$B218,$B234&lt;&gt;$B219,$B235&lt;&gt;$B220,$B236&lt;&gt;$B221,$B237&lt;&gt;$B222,$B238&lt;&gt;$B223),IF($B237&lt;&gt;$B222,AA222/INDEX($C213:$AJ223,10,MATCH(IF('Data-solution'!$A$3="Maximize",MAX($C224:$AI224),MIN($C224:$AI224)),$C224:$AI224,0)),AA222-INDEX($C213:$AJ223,10,MATCH(IF('Data-solution'!$A$3="Maximize",MAX($C224:$AI224),MIN($C224:$AI224)),$C224:$AI224,0))*INDEX(AA213:$AJ223,MATCH(MIN($AK213:$AK223),$AK213:$AK223,0),1)/INDEX($C213:$AJ223,MATCH(MIN($AK213:$AK223),$AK213:$AK223,0),MATCH(IF('Data-solution'!$A$3="Maximize",MAX($C224:$AI224),MIN($C224:$AI224)),$C224:$AI224,0))),AA222)</f>
        <v>0</v>
      </c>
      <c r="AB237" s="1">
        <f>IF(OR($B228&lt;&gt;$B213,$B229&lt;&gt;$B214,$B230&lt;&gt;$B215,$B231&lt;&gt;$B216,$B232&lt;&gt;$B217,$B233&lt;&gt;$B218,$B234&lt;&gt;$B219,$B235&lt;&gt;$B220,$B236&lt;&gt;$B221,$B237&lt;&gt;$B222,$B238&lt;&gt;$B223),IF($B237&lt;&gt;$B222,AB222/INDEX($C213:$AJ223,10,MATCH(IF('Data-solution'!$A$3="Maximize",MAX($C224:$AI224),MIN($C224:$AI224)),$C224:$AI224,0)),AB222-INDEX($C213:$AJ223,10,MATCH(IF('Data-solution'!$A$3="Maximize",MAX($C224:$AI224),MIN($C224:$AI224)),$C224:$AI224,0))*INDEX(AB213:$AJ223,MATCH(MIN($AK213:$AK223),$AK213:$AK223,0),1)/INDEX($C213:$AJ223,MATCH(MIN($AK213:$AK223),$AK213:$AK223,0),MATCH(IF('Data-solution'!$A$3="Maximize",MAX($C224:$AI224),MIN($C224:$AI224)),$C224:$AI224,0))),AB222)</f>
        <v>0</v>
      </c>
      <c r="AC237" s="1">
        <f>IF(OR($B228&lt;&gt;$B213,$B229&lt;&gt;$B214,$B230&lt;&gt;$B215,$B231&lt;&gt;$B216,$B232&lt;&gt;$B217,$B233&lt;&gt;$B218,$B234&lt;&gt;$B219,$B235&lt;&gt;$B220,$B236&lt;&gt;$B221,$B237&lt;&gt;$B222,$B238&lt;&gt;$B223),IF($B237&lt;&gt;$B222,AC222/INDEX($C213:$AJ223,10,MATCH(IF('Data-solution'!$A$3="Maximize",MAX($C224:$AI224),MIN($C224:$AI224)),$C224:$AI224,0)),AC222-INDEX($C213:$AJ223,10,MATCH(IF('Data-solution'!$A$3="Maximize",MAX($C224:$AI224),MIN($C224:$AI224)),$C224:$AI224,0))*INDEX(AC213:$AJ223,MATCH(MIN($AK213:$AK223),$AK213:$AK223,0),1)/INDEX($C213:$AJ223,MATCH(MIN($AK213:$AK223),$AK213:$AK223,0),MATCH(IF('Data-solution'!$A$3="Maximize",MAX($C224:$AI224),MIN($C224:$AI224)),$C224:$AI224,0))),AC222)</f>
        <v>0</v>
      </c>
      <c r="AD237" s="1">
        <f>IF(OR($B228&lt;&gt;$B213,$B229&lt;&gt;$B214,$B230&lt;&gt;$B215,$B231&lt;&gt;$B216,$B232&lt;&gt;$B217,$B233&lt;&gt;$B218,$B234&lt;&gt;$B219,$B235&lt;&gt;$B220,$B236&lt;&gt;$B221,$B237&lt;&gt;$B222,$B238&lt;&gt;$B223),IF($B237&lt;&gt;$B222,AD222/INDEX($C213:$AJ223,10,MATCH(IF('Data-solution'!$A$3="Maximize",MAX($C224:$AI224),MIN($C224:$AI224)),$C224:$AI224,0)),AD222-INDEX($C213:$AJ223,10,MATCH(IF('Data-solution'!$A$3="Maximize",MAX($C224:$AI224),MIN($C224:$AI224)),$C224:$AI224,0))*INDEX(AD213:$AJ223,MATCH(MIN($AK213:$AK223),$AK213:$AK223,0),1)/INDEX($C213:$AJ223,MATCH(MIN($AK213:$AK223),$AK213:$AK223,0),MATCH(IF('Data-solution'!$A$3="Maximize",MAX($C224:$AI224),MIN($C224:$AI224)),$C224:$AI224,0))),AD222)</f>
        <v>0</v>
      </c>
      <c r="AE237" s="1">
        <f>IF(OR($B228&lt;&gt;$B213,$B229&lt;&gt;$B214,$B230&lt;&gt;$B215,$B231&lt;&gt;$B216,$B232&lt;&gt;$B217,$B233&lt;&gt;$B218,$B234&lt;&gt;$B219,$B235&lt;&gt;$B220,$B236&lt;&gt;$B221,$B237&lt;&gt;$B222,$B238&lt;&gt;$B223),IF($B237&lt;&gt;$B222,AE222/INDEX($C213:$AJ223,10,MATCH(IF('Data-solution'!$A$3="Maximize",MAX($C224:$AI224),MIN($C224:$AI224)),$C224:$AI224,0)),AE222-INDEX($C213:$AJ223,10,MATCH(IF('Data-solution'!$A$3="Maximize",MAX($C224:$AI224),MIN($C224:$AI224)),$C224:$AI224,0))*INDEX(AE213:$AJ223,MATCH(MIN($AK213:$AK223),$AK213:$AK223,0),1)/INDEX($C213:$AJ223,MATCH(MIN($AK213:$AK223),$AK213:$AK223,0),MATCH(IF('Data-solution'!$A$3="Maximize",MAX($C224:$AI224),MIN($C224:$AI224)),$C224:$AI224,0))),AE222)</f>
        <v>0</v>
      </c>
      <c r="AF237" s="1">
        <f>IF(OR($B228&lt;&gt;$B213,$B229&lt;&gt;$B214,$B230&lt;&gt;$B215,$B231&lt;&gt;$B216,$B232&lt;&gt;$B217,$B233&lt;&gt;$B218,$B234&lt;&gt;$B219,$B235&lt;&gt;$B220,$B236&lt;&gt;$B221,$B237&lt;&gt;$B222,$B238&lt;&gt;$B223),IF($B237&lt;&gt;$B222,AF222/INDEX($C213:$AJ223,10,MATCH(IF('Data-solution'!$A$3="Maximize",MAX($C224:$AI224),MIN($C224:$AI224)),$C224:$AI224,0)),AF222-INDEX($C213:$AJ223,10,MATCH(IF('Data-solution'!$A$3="Maximize",MAX($C224:$AI224),MIN($C224:$AI224)),$C224:$AI224,0))*INDEX(AF213:$AJ223,MATCH(MIN($AK213:$AK223),$AK213:$AK223,0),1)/INDEX($C213:$AJ223,MATCH(MIN($AK213:$AK223),$AK213:$AK223,0),MATCH(IF('Data-solution'!$A$3="Maximize",MAX($C224:$AI224),MIN($C224:$AI224)),$C224:$AI224,0))),AF222)</f>
        <v>0</v>
      </c>
      <c r="AG237" s="1">
        <f>IF(OR($B228&lt;&gt;$B213,$B229&lt;&gt;$B214,$B230&lt;&gt;$B215,$B231&lt;&gt;$B216,$B232&lt;&gt;$B217,$B233&lt;&gt;$B218,$B234&lt;&gt;$B219,$B235&lt;&gt;$B220,$B236&lt;&gt;$B221,$B237&lt;&gt;$B222,$B238&lt;&gt;$B223),IF($B237&lt;&gt;$B222,AG222/INDEX($C213:$AJ223,10,MATCH(IF('Data-solution'!$A$3="Maximize",MAX($C224:$AI224),MIN($C224:$AI224)),$C224:$AI224,0)),AG222-INDEX($C213:$AJ223,10,MATCH(IF('Data-solution'!$A$3="Maximize",MAX($C224:$AI224),MIN($C224:$AI224)),$C224:$AI224,0))*INDEX(AG213:$AJ223,MATCH(MIN($AK213:$AK223),$AK213:$AK223,0),1)/INDEX($C213:$AJ223,MATCH(MIN($AK213:$AK223),$AK213:$AK223,0),MATCH(IF('Data-solution'!$A$3="Maximize",MAX($C224:$AI224),MIN($C224:$AI224)),$C224:$AI224,0))),AG222)</f>
        <v>0</v>
      </c>
      <c r="AH237" s="1">
        <f>IF(OR($B228&lt;&gt;$B213,$B229&lt;&gt;$B214,$B230&lt;&gt;$B215,$B231&lt;&gt;$B216,$B232&lt;&gt;$B217,$B233&lt;&gt;$B218,$B234&lt;&gt;$B219,$B235&lt;&gt;$B220,$B236&lt;&gt;$B221,$B237&lt;&gt;$B222,$B238&lt;&gt;$B223),IF($B237&lt;&gt;$B222,AH222/INDEX($C213:$AJ223,10,MATCH(IF('Data-solution'!$A$3="Maximize",MAX($C224:$AI224),MIN($C224:$AI224)),$C224:$AI224,0)),AH222-INDEX($C213:$AJ223,10,MATCH(IF('Data-solution'!$A$3="Maximize",MAX($C224:$AI224),MIN($C224:$AI224)),$C224:$AI224,0))*INDEX(AH213:$AJ223,MATCH(MIN($AK213:$AK223),$AK213:$AK223,0),1)/INDEX($C213:$AJ223,MATCH(MIN($AK213:$AK223),$AK213:$AK223,0),MATCH(IF('Data-solution'!$A$3="Maximize",MAX($C224:$AI224),MIN($C224:$AI224)),$C224:$AI224,0))),AH222)</f>
        <v>1</v>
      </c>
      <c r="AI237" s="1">
        <f>IF(OR($B228&lt;&gt;$B213,$B229&lt;&gt;$B214,$B230&lt;&gt;$B215,$B231&lt;&gt;$B216,$B232&lt;&gt;$B217,$B233&lt;&gt;$B218,$B234&lt;&gt;$B219,$B235&lt;&gt;$B220,$B236&lt;&gt;$B221,$B237&lt;&gt;$B222,$B238&lt;&gt;$B223),IF($B237&lt;&gt;$B222,AI222/INDEX($C213:$AJ223,10,MATCH(IF('Data-solution'!$A$3="Maximize",MAX($C224:$AI224),MIN($C224:$AI224)),$C224:$AI224,0)),AI222-INDEX($C213:$AJ223,10,MATCH(IF('Data-solution'!$A$3="Maximize",MAX($C224:$AI224),MIN($C224:$AI224)),$C224:$AI224,0))*INDEX(AI213:$AJ223,MATCH(MIN($AK213:$AK223),$AK213:$AK223,0),1)/INDEX($C213:$AJ223,MATCH(MIN($AK213:$AK223),$AK213:$AK223,0),MATCH(IF('Data-solution'!$A$3="Maximize",MAX($C224:$AI224),MIN($C224:$AI224)),$C224:$AI224,0))),AI222)</f>
        <v>0</v>
      </c>
      <c r="AJ237" s="1">
        <f>IF(OR($B228&lt;&gt;$B213,$B229&lt;&gt;$B214,$B230&lt;&gt;$B215,$B231&lt;&gt;$B216,$B232&lt;&gt;$B217,$B233&lt;&gt;$B218,$B234&lt;&gt;$B219,$B235&lt;&gt;$B220,$B236&lt;&gt;$B221,$B237&lt;&gt;$B222,$B238&lt;&gt;$B223),IF($B237&lt;&gt;$B222,AJ222/INDEX($C213:$AJ223,10,MATCH(IF('Data-solution'!$A$3="Maximize",MAX($C224:$AI224),MIN($C224:$AI224)),$C224:$AI224,0)),AJ222-INDEX($C213:$AJ223,10,MATCH(IF('Data-solution'!$A$3="Maximize",MAX($C224:$AI224),MIN($C224:$AI224)),$C224:$AI224,0))*INDEX(AJ213:$AJ223,MATCH(MIN($AK213:$AK223),$AK213:$AK223,0),1)/INDEX($C213:$AJ223,MATCH(MIN($AK213:$AK223),$AK213:$AK223,0),MATCH(IF('Data-solution'!$A$3="Maximize",MAX($C224:$AI224),MIN($C224:$AI224)),$C224:$AI224,0))),AJ222)</f>
        <v>0</v>
      </c>
      <c r="AK237" s="1" t="str">
        <f>IF(INDEX(C237:X237,1,MATCH(IF('Data-solution'!A$3="Maximize",MAX(C239:X239),MIN(C239:X239)),C239:X239,0))&gt;0,AJ237/INDEX(C237:X237,1,MATCH(IF('Data-solution'!A$3="Maximize",MAX(C239:X239),MIN(C239:X239)),C239:X239,0))," ")</f>
        <v xml:space="preserve"> </v>
      </c>
    </row>
    <row r="238" spans="1:37" ht="18" customHeight="1" x14ac:dyDescent="0.2">
      <c r="A238" s="1">
        <f t="shared" ref="A238" si="208">INDEX(C226:AI226,1,MATCH(B238,C227:AI227,0))</f>
        <v>0</v>
      </c>
      <c r="B238" s="2" t="str">
        <f>IF(AND('Data-solution'!A$3="Maximize",COUNTIF(C224:X224,"&gt;"&amp;0)&gt;0,AK223=MIN(AK213:AK223),COUNTIF(B228:B237,INDEX(C212:X212,1,MATCH(MAX(C224:X224),C224:X224,0)))=0),INDEX(C212:X212,1,MATCH(MAX(C224:X224),C224:X224,0)),IF(AND('Data-solution'!A$3="Minimize",COUNTIF(C224:X224,"&lt;"&amp;0)&gt;0,AK223=MIN(AK213:AK223),COUNTIF(B228:B237,INDEX(C212:X212,1,MATCH(MIN(C224:X224),C224:X224,0)))=0),INDEX(C212:X212,1,MATCH(MIN(C224:X224),C224:X224,0)),B223))</f>
        <v>S11</v>
      </c>
      <c r="C238" s="1">
        <f>IF(OR($B228&lt;&gt;$B213,$B229&lt;&gt;$B214,$B230&lt;&gt;$B215,$B231&lt;&gt;$B216,$B232&lt;&gt;$B217,$B233&lt;&gt;$B218,$B234&lt;&gt;$B219,$B235&lt;&gt;$B220,$B236&lt;&gt;$B221,$B237&lt;&gt;$B222,$B238&lt;&gt;$B223),IF($B238&lt;&gt;$B223,C223/INDEX($C213:$AJ223,11,MATCH(IF('Data-solution'!$A$3="Maximize",MAX($C224:$AI224),MIN($C224:$AI224)),$C224:$AI224,0)),C223-INDEX($C213:$AJ223,11,MATCH(IF('Data-solution'!$A$3="Maximize",MAX($C224:$AI224),MIN($C224:$AI224)),$C224:$AI224,0))*INDEX(C213:$AJ223,MATCH(MIN($AK213:$AK223),$AK213:$AK223,0),1)/INDEX($C213:$AJ223,MATCH(MIN($AK213:$AK223),$AK213:$AK223,0),MATCH(IF('Data-solution'!$A$3="Maximize",MAX($C224:$AI224),MIN($C224:$AI224)),$C224:$AI224,0))),C223)</f>
        <v>0</v>
      </c>
      <c r="D238" s="1">
        <f>IF(OR($B228&lt;&gt;$B213,$B229&lt;&gt;$B214,$B230&lt;&gt;$B215,$B231&lt;&gt;$B216,$B232&lt;&gt;$B217,$B233&lt;&gt;$B218,$B234&lt;&gt;$B219,$B235&lt;&gt;$B220,$B236&lt;&gt;$B221,$B237&lt;&gt;$B222,$B238&lt;&gt;$B223),IF($B238&lt;&gt;$B223,D223/INDEX($C213:$AJ223,11,MATCH(IF('Data-solution'!$A$3="Maximize",MAX($C224:$AI224),MIN($C224:$AI224)),$C224:$AI224,0)),D223-INDEX($C213:$AJ223,11,MATCH(IF('Data-solution'!$A$3="Maximize",MAX($C224:$AI224),MIN($C224:$AI224)),$C224:$AI224,0))*INDEX(D213:$AJ223,MATCH(MIN($AK213:$AK223),$AK213:$AK223,0),1)/INDEX($C213:$AJ223,MATCH(MIN($AK213:$AK223),$AK213:$AK223,0),MATCH(IF('Data-solution'!$A$3="Maximize",MAX($C224:$AI224),MIN($C224:$AI224)),$C224:$AI224,0))),D223)</f>
        <v>0</v>
      </c>
      <c r="E238" s="1">
        <f>IF(OR($B228&lt;&gt;$B213,$B229&lt;&gt;$B214,$B230&lt;&gt;$B215,$B231&lt;&gt;$B216,$B232&lt;&gt;$B217,$B233&lt;&gt;$B218,$B234&lt;&gt;$B219,$B235&lt;&gt;$B220,$B236&lt;&gt;$B221,$B237&lt;&gt;$B222,$B238&lt;&gt;$B223),IF($B238&lt;&gt;$B223,E223/INDEX($C213:$AJ223,11,MATCH(IF('Data-solution'!$A$3="Maximize",MAX($C224:$AI224),MIN($C224:$AI224)),$C224:$AI224,0)),E223-INDEX($C213:$AJ223,11,MATCH(IF('Data-solution'!$A$3="Maximize",MAX($C224:$AI224),MIN($C224:$AI224)),$C224:$AI224,0))*INDEX(E213:$AJ223,MATCH(MIN($AK213:$AK223),$AK213:$AK223,0),1)/INDEX($C213:$AJ223,MATCH(MIN($AK213:$AK223),$AK213:$AK223,0),MATCH(IF('Data-solution'!$A$3="Maximize",MAX($C224:$AI224),MIN($C224:$AI224)),$C224:$AI224,0))),E223)</f>
        <v>0</v>
      </c>
      <c r="F238" s="1">
        <f>IF(OR($B228&lt;&gt;$B213,$B229&lt;&gt;$B214,$B230&lt;&gt;$B215,$B231&lt;&gt;$B216,$B232&lt;&gt;$B217,$B233&lt;&gt;$B218,$B234&lt;&gt;$B219,$B235&lt;&gt;$B220,$B236&lt;&gt;$B221,$B237&lt;&gt;$B222,$B238&lt;&gt;$B223),IF($B238&lt;&gt;$B223,F223/INDEX($C213:$AJ223,11,MATCH(IF('Data-solution'!$A$3="Maximize",MAX($C224:$AI224),MIN($C224:$AI224)),$C224:$AI224,0)),F223-INDEX($C213:$AJ223,11,MATCH(IF('Data-solution'!$A$3="Maximize",MAX($C224:$AI224),MIN($C224:$AI224)),$C224:$AI224,0))*INDEX(F213:$AJ223,MATCH(MIN($AK213:$AK223),$AK213:$AK223,0),1)/INDEX($C213:$AJ223,MATCH(MIN($AK213:$AK223),$AK213:$AK223,0),MATCH(IF('Data-solution'!$A$3="Maximize",MAX($C224:$AI224),MIN($C224:$AI224)),$C224:$AI224,0))),F223)</f>
        <v>0</v>
      </c>
      <c r="G238" s="1">
        <f>IF(OR($B228&lt;&gt;$B213,$B229&lt;&gt;$B214,$B230&lt;&gt;$B215,$B231&lt;&gt;$B216,$B232&lt;&gt;$B217,$B233&lt;&gt;$B218,$B234&lt;&gt;$B219,$B235&lt;&gt;$B220,$B236&lt;&gt;$B221,$B237&lt;&gt;$B222,$B238&lt;&gt;$B223),IF($B238&lt;&gt;$B223,G223/INDEX($C213:$AJ223,11,MATCH(IF('Data-solution'!$A$3="Maximize",MAX($C224:$AI224),MIN($C224:$AI224)),$C224:$AI224,0)),G223-INDEX($C213:$AJ223,11,MATCH(IF('Data-solution'!$A$3="Maximize",MAX($C224:$AI224),MIN($C224:$AI224)),$C224:$AI224,0))*INDEX(G213:$AJ223,MATCH(MIN($AK213:$AK223),$AK213:$AK223,0),1)/INDEX($C213:$AJ223,MATCH(MIN($AK213:$AK223),$AK213:$AK223,0),MATCH(IF('Data-solution'!$A$3="Maximize",MAX($C224:$AI224),MIN($C224:$AI224)),$C224:$AI224,0))),G223)</f>
        <v>0</v>
      </c>
      <c r="H238" s="1">
        <f>IF(OR($B228&lt;&gt;$B213,$B229&lt;&gt;$B214,$B230&lt;&gt;$B215,$B231&lt;&gt;$B216,$B232&lt;&gt;$B217,$B233&lt;&gt;$B218,$B234&lt;&gt;$B219,$B235&lt;&gt;$B220,$B236&lt;&gt;$B221,$B237&lt;&gt;$B222,$B238&lt;&gt;$B223),IF($B238&lt;&gt;$B223,H223/INDEX($C213:$AJ223,11,MATCH(IF('Data-solution'!$A$3="Maximize",MAX($C224:$AI224),MIN($C224:$AI224)),$C224:$AI224,0)),H223-INDEX($C213:$AJ223,11,MATCH(IF('Data-solution'!$A$3="Maximize",MAX($C224:$AI224),MIN($C224:$AI224)),$C224:$AI224,0))*INDEX(H213:$AJ223,MATCH(MIN($AK213:$AK223),$AK213:$AK223,0),1)/INDEX($C213:$AJ223,MATCH(MIN($AK213:$AK223),$AK213:$AK223,0),MATCH(IF('Data-solution'!$A$3="Maximize",MAX($C224:$AI224),MIN($C224:$AI224)),$C224:$AI224,0))),H223)</f>
        <v>0</v>
      </c>
      <c r="I238" s="1">
        <f>IF(OR($B228&lt;&gt;$B213,$B229&lt;&gt;$B214,$B230&lt;&gt;$B215,$B231&lt;&gt;$B216,$B232&lt;&gt;$B217,$B233&lt;&gt;$B218,$B234&lt;&gt;$B219,$B235&lt;&gt;$B220,$B236&lt;&gt;$B221,$B237&lt;&gt;$B222,$B238&lt;&gt;$B223),IF($B238&lt;&gt;$B223,I223/INDEX($C213:$AJ223,11,MATCH(IF('Data-solution'!$A$3="Maximize",MAX($C224:$AI224),MIN($C224:$AI224)),$C224:$AI224,0)),I223-INDEX($C213:$AJ223,11,MATCH(IF('Data-solution'!$A$3="Maximize",MAX($C224:$AI224),MIN($C224:$AI224)),$C224:$AI224,0))*INDEX(I213:$AJ223,MATCH(MIN($AK213:$AK223),$AK213:$AK223,0),1)/INDEX($C213:$AJ223,MATCH(MIN($AK213:$AK223),$AK213:$AK223,0),MATCH(IF('Data-solution'!$A$3="Maximize",MAX($C224:$AI224),MIN($C224:$AI224)),$C224:$AI224,0))),I223)</f>
        <v>0</v>
      </c>
      <c r="J238" s="1">
        <f>IF(OR($B228&lt;&gt;$B213,$B229&lt;&gt;$B214,$B230&lt;&gt;$B215,$B231&lt;&gt;$B216,$B232&lt;&gt;$B217,$B233&lt;&gt;$B218,$B234&lt;&gt;$B219,$B235&lt;&gt;$B220,$B236&lt;&gt;$B221,$B237&lt;&gt;$B222,$B238&lt;&gt;$B223),IF($B238&lt;&gt;$B223,J223/INDEX($C213:$AJ223,11,MATCH(IF('Data-solution'!$A$3="Maximize",MAX($C224:$AI224),MIN($C224:$AI224)),$C224:$AI224,0)),J223-INDEX($C213:$AJ223,11,MATCH(IF('Data-solution'!$A$3="Maximize",MAX($C224:$AI224),MIN($C224:$AI224)),$C224:$AI224,0))*INDEX(J213:$AJ223,MATCH(MIN($AK213:$AK223),$AK213:$AK223,0),1)/INDEX($C213:$AJ223,MATCH(MIN($AK213:$AK223),$AK213:$AK223,0),MATCH(IF('Data-solution'!$A$3="Maximize",MAX($C224:$AI224),MIN($C224:$AI224)),$C224:$AI224,0))),J223)</f>
        <v>0</v>
      </c>
      <c r="K238" s="1">
        <f>IF(OR($B228&lt;&gt;$B213,$B229&lt;&gt;$B214,$B230&lt;&gt;$B215,$B231&lt;&gt;$B216,$B232&lt;&gt;$B217,$B233&lt;&gt;$B218,$B234&lt;&gt;$B219,$B235&lt;&gt;$B220,$B236&lt;&gt;$B221,$B237&lt;&gt;$B222,$B238&lt;&gt;$B223),IF($B238&lt;&gt;$B223,K223/INDEX($C213:$AJ223,11,MATCH(IF('Data-solution'!$A$3="Maximize",MAX($C224:$AI224),MIN($C224:$AI224)),$C224:$AI224,0)),K223-INDEX($C213:$AJ223,11,MATCH(IF('Data-solution'!$A$3="Maximize",MAX($C224:$AI224),MIN($C224:$AI224)),$C224:$AI224,0))*INDEX(K213:$AJ223,MATCH(MIN($AK213:$AK223),$AK213:$AK223,0),1)/INDEX($C213:$AJ223,MATCH(MIN($AK213:$AK223),$AK213:$AK223,0),MATCH(IF('Data-solution'!$A$3="Maximize",MAX($C224:$AI224),MIN($C224:$AI224)),$C224:$AI224,0))),K223)</f>
        <v>0</v>
      </c>
      <c r="L238" s="1">
        <f>IF(OR($B228&lt;&gt;$B213,$B229&lt;&gt;$B214,$B230&lt;&gt;$B215,$B231&lt;&gt;$B216,$B232&lt;&gt;$B217,$B233&lt;&gt;$B218,$B234&lt;&gt;$B219,$B235&lt;&gt;$B220,$B236&lt;&gt;$B221,$B237&lt;&gt;$B222,$B238&lt;&gt;$B223),IF($B238&lt;&gt;$B223,L223/INDEX($C213:$AJ223,11,MATCH(IF('Data-solution'!$A$3="Maximize",MAX($C224:$AI224),MIN($C224:$AI224)),$C224:$AI224,0)),L223-INDEX($C213:$AJ223,11,MATCH(IF('Data-solution'!$A$3="Maximize",MAX($C224:$AI224),MIN($C224:$AI224)),$C224:$AI224,0))*INDEX(L213:$AJ223,MATCH(MIN($AK213:$AK223),$AK213:$AK223,0),1)/INDEX($C213:$AJ223,MATCH(MIN($AK213:$AK223),$AK213:$AK223,0),MATCH(IF('Data-solution'!$A$3="Maximize",MAX($C224:$AI224),MIN($C224:$AI224)),$C224:$AI224,0))),L223)</f>
        <v>0</v>
      </c>
      <c r="M238" s="1">
        <f>IF(OR($B228&lt;&gt;$B213,$B229&lt;&gt;$B214,$B230&lt;&gt;$B215,$B231&lt;&gt;$B216,$B232&lt;&gt;$B217,$B233&lt;&gt;$B218,$B234&lt;&gt;$B219,$B235&lt;&gt;$B220,$B236&lt;&gt;$B221,$B237&lt;&gt;$B222,$B238&lt;&gt;$B223),IF($B238&lt;&gt;$B223,M223/INDEX($C213:$AJ223,11,MATCH(IF('Data-solution'!$A$3="Maximize",MAX($C224:$AI224),MIN($C224:$AI224)),$C224:$AI224,0)),M223-INDEX($C213:$AJ223,11,MATCH(IF('Data-solution'!$A$3="Maximize",MAX($C224:$AI224),MIN($C224:$AI224)),$C224:$AI224,0))*INDEX(M213:$AJ223,MATCH(MIN($AK213:$AK223),$AK213:$AK223,0),1)/INDEX($C213:$AJ223,MATCH(MIN($AK213:$AK223),$AK213:$AK223,0),MATCH(IF('Data-solution'!$A$3="Maximize",MAX($C224:$AI224),MIN($C224:$AI224)),$C224:$AI224,0))),M223)</f>
        <v>0</v>
      </c>
      <c r="N238" s="1">
        <f>IF(OR($B228&lt;&gt;$B213,$B229&lt;&gt;$B214,$B230&lt;&gt;$B215,$B231&lt;&gt;$B216,$B232&lt;&gt;$B217,$B233&lt;&gt;$B218,$B234&lt;&gt;$B219,$B235&lt;&gt;$B220,$B236&lt;&gt;$B221,$B237&lt;&gt;$B222,$B238&lt;&gt;$B223),IF($B238&lt;&gt;$B223,N223/INDEX($C213:$AJ223,11,MATCH(IF('Data-solution'!$A$3="Maximize",MAX($C224:$AI224),MIN($C224:$AI224)),$C224:$AI224,0)),N223-INDEX($C213:$AJ223,11,MATCH(IF('Data-solution'!$A$3="Maximize",MAX($C224:$AI224),MIN($C224:$AI224)),$C224:$AI224,0))*INDEX(N213:$AJ223,MATCH(MIN($AK213:$AK223),$AK213:$AK223,0),1)/INDEX($C213:$AJ223,MATCH(MIN($AK213:$AK223),$AK213:$AK223,0),MATCH(IF('Data-solution'!$A$3="Maximize",MAX($C224:$AI224),MIN($C224:$AI224)),$C224:$AI224,0))),N223)</f>
        <v>0</v>
      </c>
      <c r="O238" s="1">
        <f>IF(OR($B228&lt;&gt;$B213,$B229&lt;&gt;$B214,$B230&lt;&gt;$B215,$B231&lt;&gt;$B216,$B232&lt;&gt;$B217,$B233&lt;&gt;$B218,$B234&lt;&gt;$B219,$B235&lt;&gt;$B220,$B236&lt;&gt;$B221,$B237&lt;&gt;$B222,$B238&lt;&gt;$B223),IF($B238&lt;&gt;$B223,O223/INDEX($C213:$AJ223,11,MATCH(IF('Data-solution'!$A$3="Maximize",MAX($C224:$AI224),MIN($C224:$AI224)),$C224:$AI224,0)),O223-INDEX($C213:$AJ223,11,MATCH(IF('Data-solution'!$A$3="Maximize",MAX($C224:$AI224),MIN($C224:$AI224)),$C224:$AI224,0))*INDEX(O213:$AJ223,MATCH(MIN($AK213:$AK223),$AK213:$AK223,0),1)/INDEX($C213:$AJ223,MATCH(MIN($AK213:$AK223),$AK213:$AK223,0),MATCH(IF('Data-solution'!$A$3="Maximize",MAX($C224:$AI224),MIN($C224:$AI224)),$C224:$AI224,0))),O223)</f>
        <v>0</v>
      </c>
      <c r="P238" s="1">
        <f>IF(OR($B228&lt;&gt;$B213,$B229&lt;&gt;$B214,$B230&lt;&gt;$B215,$B231&lt;&gt;$B216,$B232&lt;&gt;$B217,$B233&lt;&gt;$B218,$B234&lt;&gt;$B219,$B235&lt;&gt;$B220,$B236&lt;&gt;$B221,$B237&lt;&gt;$B222,$B238&lt;&gt;$B223),IF($B238&lt;&gt;$B223,P223/INDEX($C213:$AJ223,11,MATCH(IF('Data-solution'!$A$3="Maximize",MAX($C224:$AI224),MIN($C224:$AI224)),$C224:$AI224,0)),P223-INDEX($C213:$AJ223,11,MATCH(IF('Data-solution'!$A$3="Maximize",MAX($C224:$AI224),MIN($C224:$AI224)),$C224:$AI224,0))*INDEX(P213:$AJ223,MATCH(MIN($AK213:$AK223),$AK213:$AK223,0),1)/INDEX($C213:$AJ223,MATCH(MIN($AK213:$AK223),$AK213:$AK223,0),MATCH(IF('Data-solution'!$A$3="Maximize",MAX($C224:$AI224),MIN($C224:$AI224)),$C224:$AI224,0))),P223)</f>
        <v>0</v>
      </c>
      <c r="Q238" s="1">
        <f>IF(OR($B228&lt;&gt;$B213,$B229&lt;&gt;$B214,$B230&lt;&gt;$B215,$B231&lt;&gt;$B216,$B232&lt;&gt;$B217,$B233&lt;&gt;$B218,$B234&lt;&gt;$B219,$B235&lt;&gt;$B220,$B236&lt;&gt;$B221,$B237&lt;&gt;$B222,$B238&lt;&gt;$B223),IF($B238&lt;&gt;$B223,Q223/INDEX($C213:$AJ223,11,MATCH(IF('Data-solution'!$A$3="Maximize",MAX($C224:$AI224),MIN($C224:$AI224)),$C224:$AI224,0)),Q223-INDEX($C213:$AJ223,11,MATCH(IF('Data-solution'!$A$3="Maximize",MAX($C224:$AI224),MIN($C224:$AI224)),$C224:$AI224,0))*INDEX(Q213:$AJ223,MATCH(MIN($AK213:$AK223),$AK213:$AK223,0),1)/INDEX($C213:$AJ223,MATCH(MIN($AK213:$AK223),$AK213:$AK223,0),MATCH(IF('Data-solution'!$A$3="Maximize",MAX($C224:$AI224),MIN($C224:$AI224)),$C224:$AI224,0))),Q223)</f>
        <v>0</v>
      </c>
      <c r="R238" s="1">
        <f>IF(OR($B228&lt;&gt;$B213,$B229&lt;&gt;$B214,$B230&lt;&gt;$B215,$B231&lt;&gt;$B216,$B232&lt;&gt;$B217,$B233&lt;&gt;$B218,$B234&lt;&gt;$B219,$B235&lt;&gt;$B220,$B236&lt;&gt;$B221,$B237&lt;&gt;$B222,$B238&lt;&gt;$B223),IF($B238&lt;&gt;$B223,R223/INDEX($C213:$AJ223,11,MATCH(IF('Data-solution'!$A$3="Maximize",MAX($C224:$AI224),MIN($C224:$AI224)),$C224:$AI224,0)),R223-INDEX($C213:$AJ223,11,MATCH(IF('Data-solution'!$A$3="Maximize",MAX($C224:$AI224),MIN($C224:$AI224)),$C224:$AI224,0))*INDEX(R213:$AJ223,MATCH(MIN($AK213:$AK223),$AK213:$AK223,0),1)/INDEX($C213:$AJ223,MATCH(MIN($AK213:$AK223),$AK213:$AK223,0),MATCH(IF('Data-solution'!$A$3="Maximize",MAX($C224:$AI224),MIN($C224:$AI224)),$C224:$AI224,0))),R223)</f>
        <v>0</v>
      </c>
      <c r="S238" s="1">
        <f>IF(OR($B228&lt;&gt;$B213,$B229&lt;&gt;$B214,$B230&lt;&gt;$B215,$B231&lt;&gt;$B216,$B232&lt;&gt;$B217,$B233&lt;&gt;$B218,$B234&lt;&gt;$B219,$B235&lt;&gt;$B220,$B236&lt;&gt;$B221,$B237&lt;&gt;$B222,$B238&lt;&gt;$B223),IF($B238&lt;&gt;$B223,S223/INDEX($C213:$AJ223,11,MATCH(IF('Data-solution'!$A$3="Maximize",MAX($C224:$AI224),MIN($C224:$AI224)),$C224:$AI224,0)),S223-INDEX($C213:$AJ223,11,MATCH(IF('Data-solution'!$A$3="Maximize",MAX($C224:$AI224),MIN($C224:$AI224)),$C224:$AI224,0))*INDEX(S213:$AJ223,MATCH(MIN($AK213:$AK223),$AK213:$AK223,0),1)/INDEX($C213:$AJ223,MATCH(MIN($AK213:$AK223),$AK213:$AK223,0),MATCH(IF('Data-solution'!$A$3="Maximize",MAX($C224:$AI224),MIN($C224:$AI224)),$C224:$AI224,0))),S223)</f>
        <v>0</v>
      </c>
      <c r="T238" s="1">
        <f>IF(OR($B228&lt;&gt;$B213,$B229&lt;&gt;$B214,$B230&lt;&gt;$B215,$B231&lt;&gt;$B216,$B232&lt;&gt;$B217,$B233&lt;&gt;$B218,$B234&lt;&gt;$B219,$B235&lt;&gt;$B220,$B236&lt;&gt;$B221,$B237&lt;&gt;$B222,$B238&lt;&gt;$B223),IF($B238&lt;&gt;$B223,T223/INDEX($C213:$AJ223,11,MATCH(IF('Data-solution'!$A$3="Maximize",MAX($C224:$AI224),MIN($C224:$AI224)),$C224:$AI224,0)),T223-INDEX($C213:$AJ223,11,MATCH(IF('Data-solution'!$A$3="Maximize",MAX($C224:$AI224),MIN($C224:$AI224)),$C224:$AI224,0))*INDEX(T213:$AJ223,MATCH(MIN($AK213:$AK223),$AK213:$AK223,0),1)/INDEX($C213:$AJ223,MATCH(MIN($AK213:$AK223),$AK213:$AK223,0),MATCH(IF('Data-solution'!$A$3="Maximize",MAX($C224:$AI224),MIN($C224:$AI224)),$C224:$AI224,0))),T223)</f>
        <v>0</v>
      </c>
      <c r="U238" s="1">
        <f>IF(OR($B228&lt;&gt;$B213,$B229&lt;&gt;$B214,$B230&lt;&gt;$B215,$B231&lt;&gt;$B216,$B232&lt;&gt;$B217,$B233&lt;&gt;$B218,$B234&lt;&gt;$B219,$B235&lt;&gt;$B220,$B236&lt;&gt;$B221,$B237&lt;&gt;$B222,$B238&lt;&gt;$B223),IF($B238&lt;&gt;$B223,U223/INDEX($C213:$AJ223,11,MATCH(IF('Data-solution'!$A$3="Maximize",MAX($C224:$AI224),MIN($C224:$AI224)),$C224:$AI224,0)),U223-INDEX($C213:$AJ223,11,MATCH(IF('Data-solution'!$A$3="Maximize",MAX($C224:$AI224),MIN($C224:$AI224)),$C224:$AI224,0))*INDEX(U213:$AJ223,MATCH(MIN($AK213:$AK223),$AK213:$AK223,0),1)/INDEX($C213:$AJ223,MATCH(MIN($AK213:$AK223),$AK213:$AK223,0),MATCH(IF('Data-solution'!$A$3="Maximize",MAX($C224:$AI224),MIN($C224:$AI224)),$C224:$AI224,0))),U223)</f>
        <v>0</v>
      </c>
      <c r="V238" s="1">
        <f>IF(OR($B228&lt;&gt;$B213,$B229&lt;&gt;$B214,$B230&lt;&gt;$B215,$B231&lt;&gt;$B216,$B232&lt;&gt;$B217,$B233&lt;&gt;$B218,$B234&lt;&gt;$B219,$B235&lt;&gt;$B220,$B236&lt;&gt;$B221,$B237&lt;&gt;$B222,$B238&lt;&gt;$B223),IF($B238&lt;&gt;$B223,V223/INDEX($C213:$AJ223,11,MATCH(IF('Data-solution'!$A$3="Maximize",MAX($C224:$AI224),MIN($C224:$AI224)),$C224:$AI224,0)),V223-INDEX($C213:$AJ223,11,MATCH(IF('Data-solution'!$A$3="Maximize",MAX($C224:$AI224),MIN($C224:$AI224)),$C224:$AI224,0))*INDEX(V213:$AJ223,MATCH(MIN($AK213:$AK223),$AK213:$AK223,0),1)/INDEX($C213:$AJ223,MATCH(MIN($AK213:$AK223),$AK213:$AK223,0),MATCH(IF('Data-solution'!$A$3="Maximize",MAX($C224:$AI224),MIN($C224:$AI224)),$C224:$AI224,0))),V223)</f>
        <v>0</v>
      </c>
      <c r="W238" s="1">
        <f>IF(OR($B228&lt;&gt;$B213,$B229&lt;&gt;$B214,$B230&lt;&gt;$B215,$B231&lt;&gt;$B216,$B232&lt;&gt;$B217,$B233&lt;&gt;$B218,$B234&lt;&gt;$B219,$B235&lt;&gt;$B220,$B236&lt;&gt;$B221,$B237&lt;&gt;$B222,$B238&lt;&gt;$B223),IF($B238&lt;&gt;$B223,W223/INDEX($C213:$AJ223,11,MATCH(IF('Data-solution'!$A$3="Maximize",MAX($C224:$AI224),MIN($C224:$AI224)),$C224:$AI224,0)),W223-INDEX($C213:$AJ223,11,MATCH(IF('Data-solution'!$A$3="Maximize",MAX($C224:$AI224),MIN($C224:$AI224)),$C224:$AI224,0))*INDEX(W213:$AJ223,MATCH(MIN($AK213:$AK223),$AK213:$AK223,0),1)/INDEX($C213:$AJ223,MATCH(MIN($AK213:$AK223),$AK213:$AK223,0),MATCH(IF('Data-solution'!$A$3="Maximize",MAX($C224:$AI224),MIN($C224:$AI224)),$C224:$AI224,0))),W223)</f>
        <v>0</v>
      </c>
      <c r="X238" s="1">
        <f>IF(OR($B228&lt;&gt;$B213,$B229&lt;&gt;$B214,$B230&lt;&gt;$B215,$B231&lt;&gt;$B216,$B232&lt;&gt;$B217,$B233&lt;&gt;$B218,$B234&lt;&gt;$B219,$B235&lt;&gt;$B220,$B236&lt;&gt;$B221,$B237&lt;&gt;$B222,$B238&lt;&gt;$B223),IF($B238&lt;&gt;$B223,X223/INDEX($C213:$AJ223,11,MATCH(IF('Data-solution'!$A$3="Maximize",MAX($C224:$AI224),MIN($C224:$AI224)),$C224:$AI224,0)),X223-INDEX($C213:$AJ223,11,MATCH(IF('Data-solution'!$A$3="Maximize",MAX($C224:$AI224),MIN($C224:$AI224)),$C224:$AI224,0))*INDEX(X213:$AJ223,MATCH(MIN($AK213:$AK223),$AK213:$AK223,0),1)/INDEX($C213:$AJ223,MATCH(MIN($AK213:$AK223),$AK213:$AK223,0),MATCH(IF('Data-solution'!$A$3="Maximize",MAX($C224:$AI224),MIN($C224:$AI224)),$C224:$AI224,0))),X223)</f>
        <v>1</v>
      </c>
      <c r="Y238" s="1">
        <f>IF(OR($B228&lt;&gt;$B213,$B229&lt;&gt;$B214,$B230&lt;&gt;$B215,$B231&lt;&gt;$B216,$B232&lt;&gt;$B217,$B233&lt;&gt;$B218,$B234&lt;&gt;$B219,$B235&lt;&gt;$B220,$B236&lt;&gt;$B221,$B237&lt;&gt;$B222,$B238&lt;&gt;$B223),IF($B238&lt;&gt;$B223,Y223/INDEX($C213:$AJ223,11,MATCH(IF('Data-solution'!$A$3="Maximize",MAX($C224:$AI224),MIN($C224:$AI224)),$C224:$AI224,0)),Y223-INDEX($C213:$AJ223,11,MATCH(IF('Data-solution'!$A$3="Maximize",MAX($C224:$AI224),MIN($C224:$AI224)),$C224:$AI224,0))*INDEX(Y213:$AJ223,MATCH(MIN($AK213:$AK223),$AK213:$AK223,0),1)/INDEX($C213:$AJ223,MATCH(MIN($AK213:$AK223),$AK213:$AK223,0),MATCH(IF('Data-solution'!$A$3="Maximize",MAX($C224:$AI224),MIN($C224:$AI224)),$C224:$AI224,0))),Y223)</f>
        <v>0</v>
      </c>
      <c r="Z238" s="1">
        <f>IF(OR($B228&lt;&gt;$B213,$B229&lt;&gt;$B214,$B230&lt;&gt;$B215,$B231&lt;&gt;$B216,$B232&lt;&gt;$B217,$B233&lt;&gt;$B218,$B234&lt;&gt;$B219,$B235&lt;&gt;$B220,$B236&lt;&gt;$B221,$B237&lt;&gt;$B222,$B238&lt;&gt;$B223),IF($B238&lt;&gt;$B223,Z223/INDEX($C213:$AJ223,11,MATCH(IF('Data-solution'!$A$3="Maximize",MAX($C224:$AI224),MIN($C224:$AI224)),$C224:$AI224,0)),Z223-INDEX($C213:$AJ223,11,MATCH(IF('Data-solution'!$A$3="Maximize",MAX($C224:$AI224),MIN($C224:$AI224)),$C224:$AI224,0))*INDEX(Z213:$AJ223,MATCH(MIN($AK213:$AK223),$AK213:$AK223,0),1)/INDEX($C213:$AJ223,MATCH(MIN($AK213:$AK223),$AK213:$AK223,0),MATCH(IF('Data-solution'!$A$3="Maximize",MAX($C224:$AI224),MIN($C224:$AI224)),$C224:$AI224,0))),Z223)</f>
        <v>0</v>
      </c>
      <c r="AA238" s="1">
        <f>IF(OR($B228&lt;&gt;$B213,$B229&lt;&gt;$B214,$B230&lt;&gt;$B215,$B231&lt;&gt;$B216,$B232&lt;&gt;$B217,$B233&lt;&gt;$B218,$B234&lt;&gt;$B219,$B235&lt;&gt;$B220,$B236&lt;&gt;$B221,$B237&lt;&gt;$B222,$B238&lt;&gt;$B223),IF($B238&lt;&gt;$B223,AA223/INDEX($C213:$AJ223,11,MATCH(IF('Data-solution'!$A$3="Maximize",MAX($C224:$AI224),MIN($C224:$AI224)),$C224:$AI224,0)),AA223-INDEX($C213:$AJ223,11,MATCH(IF('Data-solution'!$A$3="Maximize",MAX($C224:$AI224),MIN($C224:$AI224)),$C224:$AI224,0))*INDEX(AA213:$AJ223,MATCH(MIN($AK213:$AK223),$AK213:$AK223,0),1)/INDEX($C213:$AJ223,MATCH(MIN($AK213:$AK223),$AK213:$AK223,0),MATCH(IF('Data-solution'!$A$3="Maximize",MAX($C224:$AI224),MIN($C224:$AI224)),$C224:$AI224,0))),AA223)</f>
        <v>0</v>
      </c>
      <c r="AB238" s="1">
        <f>IF(OR($B228&lt;&gt;$B213,$B229&lt;&gt;$B214,$B230&lt;&gt;$B215,$B231&lt;&gt;$B216,$B232&lt;&gt;$B217,$B233&lt;&gt;$B218,$B234&lt;&gt;$B219,$B235&lt;&gt;$B220,$B236&lt;&gt;$B221,$B237&lt;&gt;$B222,$B238&lt;&gt;$B223),IF($B238&lt;&gt;$B223,AB223/INDEX($C213:$AJ223,11,MATCH(IF('Data-solution'!$A$3="Maximize",MAX($C224:$AI224),MIN($C224:$AI224)),$C224:$AI224,0)),AB223-INDEX($C213:$AJ223,11,MATCH(IF('Data-solution'!$A$3="Maximize",MAX($C224:$AI224),MIN($C224:$AI224)),$C224:$AI224,0))*INDEX(AB213:$AJ223,MATCH(MIN($AK213:$AK223),$AK213:$AK223,0),1)/INDEX($C213:$AJ223,MATCH(MIN($AK213:$AK223),$AK213:$AK223,0),MATCH(IF('Data-solution'!$A$3="Maximize",MAX($C224:$AI224),MIN($C224:$AI224)),$C224:$AI224,0))),AB223)</f>
        <v>0</v>
      </c>
      <c r="AC238" s="1">
        <f>IF(OR($B228&lt;&gt;$B213,$B229&lt;&gt;$B214,$B230&lt;&gt;$B215,$B231&lt;&gt;$B216,$B232&lt;&gt;$B217,$B233&lt;&gt;$B218,$B234&lt;&gt;$B219,$B235&lt;&gt;$B220,$B236&lt;&gt;$B221,$B237&lt;&gt;$B222,$B238&lt;&gt;$B223),IF($B238&lt;&gt;$B223,AC223/INDEX($C213:$AJ223,11,MATCH(IF('Data-solution'!$A$3="Maximize",MAX($C224:$AI224),MIN($C224:$AI224)),$C224:$AI224,0)),AC223-INDEX($C213:$AJ223,11,MATCH(IF('Data-solution'!$A$3="Maximize",MAX($C224:$AI224),MIN($C224:$AI224)),$C224:$AI224,0))*INDEX(AC213:$AJ223,MATCH(MIN($AK213:$AK223),$AK213:$AK223,0),1)/INDEX($C213:$AJ223,MATCH(MIN($AK213:$AK223),$AK213:$AK223,0),MATCH(IF('Data-solution'!$A$3="Maximize",MAX($C224:$AI224),MIN($C224:$AI224)),$C224:$AI224,0))),AC223)</f>
        <v>0</v>
      </c>
      <c r="AD238" s="1">
        <f>IF(OR($B228&lt;&gt;$B213,$B229&lt;&gt;$B214,$B230&lt;&gt;$B215,$B231&lt;&gt;$B216,$B232&lt;&gt;$B217,$B233&lt;&gt;$B218,$B234&lt;&gt;$B219,$B235&lt;&gt;$B220,$B236&lt;&gt;$B221,$B237&lt;&gt;$B222,$B238&lt;&gt;$B223),IF($B238&lt;&gt;$B223,AD223/INDEX($C213:$AJ223,11,MATCH(IF('Data-solution'!$A$3="Maximize",MAX($C224:$AI224),MIN($C224:$AI224)),$C224:$AI224,0)),AD223-INDEX($C213:$AJ223,11,MATCH(IF('Data-solution'!$A$3="Maximize",MAX($C224:$AI224),MIN($C224:$AI224)),$C224:$AI224,0))*INDEX(AD213:$AJ223,MATCH(MIN($AK213:$AK223),$AK213:$AK223,0),1)/INDEX($C213:$AJ223,MATCH(MIN($AK213:$AK223),$AK213:$AK223,0),MATCH(IF('Data-solution'!$A$3="Maximize",MAX($C224:$AI224),MIN($C224:$AI224)),$C224:$AI224,0))),AD223)</f>
        <v>0</v>
      </c>
      <c r="AE238" s="1">
        <f>IF(OR($B228&lt;&gt;$B213,$B229&lt;&gt;$B214,$B230&lt;&gt;$B215,$B231&lt;&gt;$B216,$B232&lt;&gt;$B217,$B233&lt;&gt;$B218,$B234&lt;&gt;$B219,$B235&lt;&gt;$B220,$B236&lt;&gt;$B221,$B237&lt;&gt;$B222,$B238&lt;&gt;$B223),IF($B238&lt;&gt;$B223,AE223/INDEX($C213:$AJ223,11,MATCH(IF('Data-solution'!$A$3="Maximize",MAX($C224:$AI224),MIN($C224:$AI224)),$C224:$AI224,0)),AE223-INDEX($C213:$AJ223,11,MATCH(IF('Data-solution'!$A$3="Maximize",MAX($C224:$AI224),MIN($C224:$AI224)),$C224:$AI224,0))*INDEX(AE213:$AJ223,MATCH(MIN($AK213:$AK223),$AK213:$AK223,0),1)/INDEX($C213:$AJ223,MATCH(MIN($AK213:$AK223),$AK213:$AK223,0),MATCH(IF('Data-solution'!$A$3="Maximize",MAX($C224:$AI224),MIN($C224:$AI224)),$C224:$AI224,0))),AE223)</f>
        <v>0</v>
      </c>
      <c r="AF238" s="1">
        <f>IF(OR($B228&lt;&gt;$B213,$B229&lt;&gt;$B214,$B230&lt;&gt;$B215,$B231&lt;&gt;$B216,$B232&lt;&gt;$B217,$B233&lt;&gt;$B218,$B234&lt;&gt;$B219,$B235&lt;&gt;$B220,$B236&lt;&gt;$B221,$B237&lt;&gt;$B222,$B238&lt;&gt;$B223),IF($B238&lt;&gt;$B223,AF223/INDEX($C213:$AJ223,11,MATCH(IF('Data-solution'!$A$3="Maximize",MAX($C224:$AI224),MIN($C224:$AI224)),$C224:$AI224,0)),AF223-INDEX($C213:$AJ223,11,MATCH(IF('Data-solution'!$A$3="Maximize",MAX($C224:$AI224),MIN($C224:$AI224)),$C224:$AI224,0))*INDEX(AF213:$AJ223,MATCH(MIN($AK213:$AK223),$AK213:$AK223,0),1)/INDEX($C213:$AJ223,MATCH(MIN($AK213:$AK223),$AK213:$AK223,0),MATCH(IF('Data-solution'!$A$3="Maximize",MAX($C224:$AI224),MIN($C224:$AI224)),$C224:$AI224,0))),AF223)</f>
        <v>0</v>
      </c>
      <c r="AG238" s="1">
        <f>IF(OR($B228&lt;&gt;$B213,$B229&lt;&gt;$B214,$B230&lt;&gt;$B215,$B231&lt;&gt;$B216,$B232&lt;&gt;$B217,$B233&lt;&gt;$B218,$B234&lt;&gt;$B219,$B235&lt;&gt;$B220,$B236&lt;&gt;$B221,$B237&lt;&gt;$B222,$B238&lt;&gt;$B223),IF($B238&lt;&gt;$B223,AG223/INDEX($C213:$AJ223,11,MATCH(IF('Data-solution'!$A$3="Maximize",MAX($C224:$AI224),MIN($C224:$AI224)),$C224:$AI224,0)),AG223-INDEX($C213:$AJ223,11,MATCH(IF('Data-solution'!$A$3="Maximize",MAX($C224:$AI224),MIN($C224:$AI224)),$C224:$AI224,0))*INDEX(AG213:$AJ223,MATCH(MIN($AK213:$AK223),$AK213:$AK223,0),1)/INDEX($C213:$AJ223,MATCH(MIN($AK213:$AK223),$AK213:$AK223,0),MATCH(IF('Data-solution'!$A$3="Maximize",MAX($C224:$AI224),MIN($C224:$AI224)),$C224:$AI224,0))),AG223)</f>
        <v>0</v>
      </c>
      <c r="AH238" s="1">
        <f>IF(OR($B228&lt;&gt;$B213,$B229&lt;&gt;$B214,$B230&lt;&gt;$B215,$B231&lt;&gt;$B216,$B232&lt;&gt;$B217,$B233&lt;&gt;$B218,$B234&lt;&gt;$B219,$B235&lt;&gt;$B220,$B236&lt;&gt;$B221,$B237&lt;&gt;$B222,$B238&lt;&gt;$B223),IF($B238&lt;&gt;$B223,AH223/INDEX($C213:$AJ223,11,MATCH(IF('Data-solution'!$A$3="Maximize",MAX($C224:$AI224),MIN($C224:$AI224)),$C224:$AI224,0)),AH223-INDEX($C213:$AJ223,11,MATCH(IF('Data-solution'!$A$3="Maximize",MAX($C224:$AI224),MIN($C224:$AI224)),$C224:$AI224,0))*INDEX(AH213:$AJ223,MATCH(MIN($AK213:$AK223),$AK213:$AK223,0),1)/INDEX($C213:$AJ223,MATCH(MIN($AK213:$AK223),$AK213:$AK223,0),MATCH(IF('Data-solution'!$A$3="Maximize",MAX($C224:$AI224),MIN($C224:$AI224)),$C224:$AI224,0))),AH223)</f>
        <v>0</v>
      </c>
      <c r="AI238" s="1">
        <f>IF(OR($B228&lt;&gt;$B213,$B229&lt;&gt;$B214,$B230&lt;&gt;$B215,$B231&lt;&gt;$B216,$B232&lt;&gt;$B217,$B233&lt;&gt;$B218,$B234&lt;&gt;$B219,$B235&lt;&gt;$B220,$B236&lt;&gt;$B221,$B237&lt;&gt;$B222,$B238&lt;&gt;$B223),IF($B238&lt;&gt;$B223,AI223/INDEX($C213:$AJ223,11,MATCH(IF('Data-solution'!$A$3="Maximize",MAX($C224:$AI224),MIN($C224:$AI224)),$C224:$AI224,0)),AI223-INDEX($C213:$AJ223,11,MATCH(IF('Data-solution'!$A$3="Maximize",MAX($C224:$AI224),MIN($C224:$AI224)),$C224:$AI224,0))*INDEX(AI213:$AJ223,MATCH(MIN($AK213:$AK223),$AK213:$AK223,0),1)/INDEX($C213:$AJ223,MATCH(MIN($AK213:$AK223),$AK213:$AK223,0),MATCH(IF('Data-solution'!$A$3="Maximize",MAX($C224:$AI224),MIN($C224:$AI224)),$C224:$AI224,0))),AI223)</f>
        <v>1</v>
      </c>
      <c r="AJ238" s="1">
        <f>IF(OR($B228&lt;&gt;$B213,$B229&lt;&gt;$B214,$B230&lt;&gt;$B215,$B231&lt;&gt;$B216,$B232&lt;&gt;$B217,$B233&lt;&gt;$B218,$B234&lt;&gt;$B219,$B235&lt;&gt;$B220,$B236&lt;&gt;$B221,$B237&lt;&gt;$B222,$B238&lt;&gt;$B223),IF($B238&lt;&gt;$B223,AJ223/INDEX($C213:$AJ223,11,MATCH(IF('Data-solution'!$A$3="Maximize",MAX($C224:$AI224),MIN($C224:$AI224)),$C224:$AI224,0)),AJ223-INDEX($C213:$AJ223,11,MATCH(IF('Data-solution'!$A$3="Maximize",MAX($C224:$AI224),MIN($C224:$AI224)),$C224:$AI224,0))*INDEX(AJ213:$AJ223,MATCH(MIN($AK213:$AK223),$AK213:$AK223,0),1)/INDEX($C213:$AJ223,MATCH(MIN($AK213:$AK223),$AK213:$AK223,0),MATCH(IF('Data-solution'!$A$3="Maximize",MAX($C224:$AI224),MIN($C224:$AI224)),$C224:$AI224,0))),AJ223)</f>
        <v>0</v>
      </c>
      <c r="AK238" s="1" t="str">
        <f>IF(INDEX(C238:X238,1,MATCH(IF('Data-solution'!A$3="Maximize",MAX(C239:X239),MIN(C239:X239)),C239:X239,0))&gt;0,AJ238/INDEX(C238:X238,1,MATCH(IF('Data-solution'!A$3="Maximize",MAX(C239:X239),MIN(C239:X239)),C239:X239,0))," ")</f>
        <v xml:space="preserve"> </v>
      </c>
    </row>
    <row r="239" spans="1:37" ht="18" customHeight="1" x14ac:dyDescent="0.2">
      <c r="B239" s="2" t="s">
        <v>5</v>
      </c>
      <c r="C239" s="1">
        <f>IF(SUM(COUNTIF($B228:$B238,$Y227),COUNTIF($B228:$B238,$Z227),COUNTIF($B228:$B238,$AA227),COUNTIF($B228:$B238,$AB227),COUNTIF($B228:$B238,$AC227),COUNTIF($B228:$B238,$AD227),COUNTIF($B228:$B238,$AE227),COUNTIF($B228:$B238,$AF227),COUNTIF($B228:$B238,$AG227),COUNTIF($B228:$B238,$AH227),COUNTIF($B228:$B238,$AI227))=0,C226-SUMPRODUCT($A228:$A238,C228:C238),IF('Data-solution'!$A$3="Maximize",1,-1)*SUM(SUMIF($B228:$B238,$Y227,C228:C238),SUMIF($B228:$B238,$Z227,C228:C238),SUMIF($B228:$B238,$AA227,C228:C238),SUMIF($B228:$B238,$AB227,C228:C238),SUMIF($B228:$B238,$AC227,C228:C238),SUMIF($B228:$B238,$AD227,C228:C238),SUMIF($B228:$B238,$AE227,C228:C238),SUMIF($B228:$B238,$AF227,C228:C238),SUMIF($B228:$B238,$AG227,C228:C238),SUMIF($B228:$B238,$AH227,C228:C238),SUMIF($B228:$B238,$AI227,C228:C238)))</f>
        <v>0</v>
      </c>
      <c r="D239" s="1">
        <f>IF(SUM(COUNTIF($B228:$B238,$Y227),COUNTIF($B228:$B238,$Z227),COUNTIF($B228:$B238,$AA227),COUNTIF($B228:$B238,$AB227),COUNTIF($B228:$B238,$AC227),COUNTIF($B228:$B238,$AD227),COUNTIF($B228:$B238,$AE227),COUNTIF($B228:$B238,$AF227),COUNTIF($B228:$B238,$AG227),COUNTIF($B228:$B238,$AH227),COUNTIF($B228:$B238,$AI227))=0,D226-SUMPRODUCT($A228:$A238,D228:D238),IF('Data-solution'!$A$3="Maximize",1,-1)*SUM(SUMIF($B228:$B238,$Y227,D228:D238),SUMIF($B228:$B238,$Z227,D228:D238),SUMIF($B228:$B238,$AA227,D228:D238),SUMIF($B228:$B238,$AB227,D228:D238),SUMIF($B228:$B238,$AC227,D228:D238),SUMIF($B228:$B238,$AD227,D228:D238),SUMIF($B228:$B238,$AE227,D228:D238),SUMIF($B228:$B238,$AF227,D228:D238),SUMIF($B228:$B238,$AG227,D228:D238),SUMIF($B228:$B238,$AH227,D228:D238),SUMIF($B228:$B238,$AI227,D228:D238)))</f>
        <v>-50</v>
      </c>
      <c r="E239" s="1">
        <f>IF(SUM(COUNTIF($B228:$B238,$Y227),COUNTIF($B228:$B238,$Z227),COUNTIF($B228:$B238,$AA227),COUNTIF($B228:$B238,$AB227),COUNTIF($B228:$B238,$AC227),COUNTIF($B228:$B238,$AD227),COUNTIF($B228:$B238,$AE227),COUNTIF($B228:$B238,$AF227),COUNTIF($B228:$B238,$AG227),COUNTIF($B228:$B238,$AH227),COUNTIF($B228:$B238,$AI227))=0,E226-SUMPRODUCT($A228:$A238,E228:E238),IF('Data-solution'!$A$3="Maximize",1,-1)*SUM(SUMIF($B228:$B238,$Y227,E228:E238),SUMIF($B228:$B238,$Z227,E228:E238),SUMIF($B228:$B238,$AA227,E228:E238),SUMIF($B228:$B238,$AB227,E228:E238),SUMIF($B228:$B238,$AC227,E228:E238),SUMIF($B228:$B238,$AD227,E228:E238),SUMIF($B228:$B238,$AE227,E228:E238),SUMIF($B228:$B238,$AF227,E228:E238),SUMIF($B228:$B238,$AG227,E228:E238),SUMIF($B228:$B238,$AH227,E228:E238),SUMIF($B228:$B238,$AI227,E228:E238)))</f>
        <v>0</v>
      </c>
      <c r="F239" s="1">
        <f>IF(SUM(COUNTIF($B228:$B238,$Y227),COUNTIF($B228:$B238,$Z227),COUNTIF($B228:$B238,$AA227),COUNTIF($B228:$B238,$AB227),COUNTIF($B228:$B238,$AC227),COUNTIF($B228:$B238,$AD227),COUNTIF($B228:$B238,$AE227),COUNTIF($B228:$B238,$AF227),COUNTIF($B228:$B238,$AG227),COUNTIF($B228:$B238,$AH227),COUNTIF($B228:$B238,$AI227))=0,F226-SUMPRODUCT($A228:$A238,F228:F238),IF('Data-solution'!$A$3="Maximize",1,-1)*SUM(SUMIF($B228:$B238,$Y227,F228:F238),SUMIF($B228:$B238,$Z227,F228:F238),SUMIF($B228:$B238,$AA227,F228:F238),SUMIF($B228:$B238,$AB227,F228:F238),SUMIF($B228:$B238,$AC227,F228:F238),SUMIF($B228:$B238,$AD227,F228:F238),SUMIF($B228:$B238,$AE227,F228:F238),SUMIF($B228:$B238,$AF227,F228:F238),SUMIF($B228:$B238,$AG227,F228:F238),SUMIF($B228:$B238,$AH227,F228:F238),SUMIF($B228:$B238,$AI227,F228:F238)))</f>
        <v>0</v>
      </c>
      <c r="G239" s="1">
        <f>IF(SUM(COUNTIF($B228:$B238,$Y227),COUNTIF($B228:$B238,$Z227),COUNTIF($B228:$B238,$AA227),COUNTIF($B228:$B238,$AB227),COUNTIF($B228:$B238,$AC227),COUNTIF($B228:$B238,$AD227),COUNTIF($B228:$B238,$AE227),COUNTIF($B228:$B238,$AF227),COUNTIF($B228:$B238,$AG227),COUNTIF($B228:$B238,$AH227),COUNTIF($B228:$B238,$AI227))=0,G226-SUMPRODUCT($A228:$A238,G228:G238),IF('Data-solution'!$A$3="Maximize",1,-1)*SUM(SUMIF($B228:$B238,$Y227,G228:G238),SUMIF($B228:$B238,$Z227,G228:G238),SUMIF($B228:$B238,$AA227,G228:G238),SUMIF($B228:$B238,$AB227,G228:G238),SUMIF($B228:$B238,$AC227,G228:G238),SUMIF($B228:$B238,$AD227,G228:G238),SUMIF($B228:$B238,$AE227,G228:G238),SUMIF($B228:$B238,$AF227,G228:G238),SUMIF($B228:$B238,$AG227,G228:G238),SUMIF($B228:$B238,$AH227,G228:G238),SUMIF($B228:$B238,$AI227,G228:G238)))</f>
        <v>0</v>
      </c>
      <c r="H239" s="1">
        <f>IF(SUM(COUNTIF($B228:$B238,$Y227),COUNTIF($B228:$B238,$Z227),COUNTIF($B228:$B238,$AA227),COUNTIF($B228:$B238,$AB227),COUNTIF($B228:$B238,$AC227),COUNTIF($B228:$B238,$AD227),COUNTIF($B228:$B238,$AE227),COUNTIF($B228:$B238,$AF227),COUNTIF($B228:$B238,$AG227),COUNTIF($B228:$B238,$AH227),COUNTIF($B228:$B238,$AI227))=0,H226-SUMPRODUCT($A228:$A238,H228:H238),IF('Data-solution'!$A$3="Maximize",1,-1)*SUM(SUMIF($B228:$B238,$Y227,H228:H238),SUMIF($B228:$B238,$Z227,H228:H238),SUMIF($B228:$B238,$AA227,H228:H238),SUMIF($B228:$B238,$AB227,H228:H238),SUMIF($B228:$B238,$AC227,H228:H238),SUMIF($B228:$B238,$AD227,H228:H238),SUMIF($B228:$B238,$AE227,H228:H238),SUMIF($B228:$B238,$AF227,H228:H238),SUMIF($B228:$B238,$AG227,H228:H238),SUMIF($B228:$B238,$AH227,H228:H238),SUMIF($B228:$B238,$AI227,H228:H238)))</f>
        <v>0</v>
      </c>
      <c r="I239" s="1">
        <f>IF(SUM(COUNTIF($B228:$B238,$Y227),COUNTIF($B228:$B238,$Z227),COUNTIF($B228:$B238,$AA227),COUNTIF($B228:$B238,$AB227),COUNTIF($B228:$B238,$AC227),COUNTIF($B228:$B238,$AD227),COUNTIF($B228:$B238,$AE227),COUNTIF($B228:$B238,$AF227),COUNTIF($B228:$B238,$AG227),COUNTIF($B228:$B238,$AH227),COUNTIF($B228:$B238,$AI227))=0,I226-SUMPRODUCT($A228:$A238,I228:I238),IF('Data-solution'!$A$3="Maximize",1,-1)*SUM(SUMIF($B228:$B238,$Y227,I228:I238),SUMIF($B228:$B238,$Z227,I228:I238),SUMIF($B228:$B238,$AA227,I228:I238),SUMIF($B228:$B238,$AB227,I228:I238),SUMIF($B228:$B238,$AC227,I228:I238),SUMIF($B228:$B238,$AD227,I228:I238),SUMIF($B228:$B238,$AE227,I228:I238),SUMIF($B228:$B238,$AF227,I228:I238),SUMIF($B228:$B238,$AG227,I228:I238),SUMIF($B228:$B238,$AH227,I228:I238),SUMIF($B228:$B238,$AI227,I228:I238)))</f>
        <v>0</v>
      </c>
      <c r="J239" s="1">
        <f>IF(SUM(COUNTIF($B228:$B238,$Y227),COUNTIF($B228:$B238,$Z227),COUNTIF($B228:$B238,$AA227),COUNTIF($B228:$B238,$AB227),COUNTIF($B228:$B238,$AC227),COUNTIF($B228:$B238,$AD227),COUNTIF($B228:$B238,$AE227),COUNTIF($B228:$B238,$AF227),COUNTIF($B228:$B238,$AG227),COUNTIF($B228:$B238,$AH227),COUNTIF($B228:$B238,$AI227))=0,J226-SUMPRODUCT($A228:$A238,J228:J238),IF('Data-solution'!$A$3="Maximize",1,-1)*SUM(SUMIF($B228:$B238,$Y227,J228:J238),SUMIF($B228:$B238,$Z227,J228:J238),SUMIF($B228:$B238,$AA227,J228:J238),SUMIF($B228:$B238,$AB227,J228:J238),SUMIF($B228:$B238,$AC227,J228:J238),SUMIF($B228:$B238,$AD227,J228:J238),SUMIF($B228:$B238,$AE227,J228:J238),SUMIF($B228:$B238,$AF227,J228:J238),SUMIF($B228:$B238,$AG227,J228:J238),SUMIF($B228:$B238,$AH227,J228:J238),SUMIF($B228:$B238,$AI227,J228:J238)))</f>
        <v>0</v>
      </c>
      <c r="K239" s="1">
        <f>IF(SUM(COUNTIF($B228:$B238,$Y227),COUNTIF($B228:$B238,$Z227),COUNTIF($B228:$B238,$AA227),COUNTIF($B228:$B238,$AB227),COUNTIF($B228:$B238,$AC227),COUNTIF($B228:$B238,$AD227),COUNTIF($B228:$B238,$AE227),COUNTIF($B228:$B238,$AF227),COUNTIF($B228:$B238,$AG227),COUNTIF($B228:$B238,$AH227),COUNTIF($B228:$B238,$AI227))=0,K226-SUMPRODUCT($A228:$A238,K228:K238),IF('Data-solution'!$A$3="Maximize",1,-1)*SUM(SUMIF($B228:$B238,$Y227,K228:K238),SUMIF($B228:$B238,$Z227,K228:K238),SUMIF($B228:$B238,$AA227,K228:K238),SUMIF($B228:$B238,$AB227,K228:K238),SUMIF($B228:$B238,$AC227,K228:K238),SUMIF($B228:$B238,$AD227,K228:K238),SUMIF($B228:$B238,$AE227,K228:K238),SUMIF($B228:$B238,$AF227,K228:K238),SUMIF($B228:$B238,$AG227,K228:K238),SUMIF($B228:$B238,$AH227,K228:K238),SUMIF($B228:$B238,$AI227,K228:K238)))</f>
        <v>0</v>
      </c>
      <c r="L239" s="1">
        <f>IF(SUM(COUNTIF($B228:$B238,$Y227),COUNTIF($B228:$B238,$Z227),COUNTIF($B228:$B238,$AA227),COUNTIF($B228:$B238,$AB227),COUNTIF($B228:$B238,$AC227),COUNTIF($B228:$B238,$AD227),COUNTIF($B228:$B238,$AE227),COUNTIF($B228:$B238,$AF227),COUNTIF($B228:$B238,$AG227),COUNTIF($B228:$B238,$AH227),COUNTIF($B228:$B238,$AI227))=0,L226-SUMPRODUCT($A228:$A238,L228:L238),IF('Data-solution'!$A$3="Maximize",1,-1)*SUM(SUMIF($B228:$B238,$Y227,L228:L238),SUMIF($B228:$B238,$Z227,L228:L238),SUMIF($B228:$B238,$AA227,L228:L238),SUMIF($B228:$B238,$AB227,L228:L238),SUMIF($B228:$B238,$AC227,L228:L238),SUMIF($B228:$B238,$AD227,L228:L238),SUMIF($B228:$B238,$AE227,L228:L238),SUMIF($B228:$B238,$AF227,L228:L238),SUMIF($B228:$B238,$AG227,L228:L238),SUMIF($B228:$B238,$AH227,L228:L238),SUMIF($B228:$B238,$AI227,L228:L238)))</f>
        <v>0</v>
      </c>
      <c r="M239" s="1">
        <f>IF(SUM(COUNTIF($B228:$B238,$Y227),COUNTIF($B228:$B238,$Z227),COUNTIF($B228:$B238,$AA227),COUNTIF($B228:$B238,$AB227),COUNTIF($B228:$B238,$AC227),COUNTIF($B228:$B238,$AD227),COUNTIF($B228:$B238,$AE227),COUNTIF($B228:$B238,$AF227),COUNTIF($B228:$B238,$AG227),COUNTIF($B228:$B238,$AH227),COUNTIF($B228:$B238,$AI227))=0,M226-SUMPRODUCT($A228:$A238,M228:M238),IF('Data-solution'!$A$3="Maximize",1,-1)*SUM(SUMIF($B228:$B238,$Y227,M228:M238),SUMIF($B228:$B238,$Z227,M228:M238),SUMIF($B228:$B238,$AA227,M228:M238),SUMIF($B228:$B238,$AB227,M228:M238),SUMIF($B228:$B238,$AC227,M228:M238),SUMIF($B228:$B238,$AD227,M228:M238),SUMIF($B228:$B238,$AE227,M228:M238),SUMIF($B228:$B238,$AF227,M228:M238),SUMIF($B228:$B238,$AG227,M228:M238),SUMIF($B228:$B238,$AH227,M228:M238),SUMIF($B228:$B238,$AI227,M228:M238)))</f>
        <v>0</v>
      </c>
      <c r="N239" s="1">
        <f>IF(SUM(COUNTIF($B228:$B238,$Y227),COUNTIF($B228:$B238,$Z227),COUNTIF($B228:$B238,$AA227),COUNTIF($B228:$B238,$AB227),COUNTIF($B228:$B238,$AC227),COUNTIF($B228:$B238,$AD227),COUNTIF($B228:$B238,$AE227),COUNTIF($B228:$B238,$AF227),COUNTIF($B228:$B238,$AG227),COUNTIF($B228:$B238,$AH227),COUNTIF($B228:$B238,$AI227))=0,N226-SUMPRODUCT($A228:$A238,N228:N238),IF('Data-solution'!$A$3="Maximize",1,-1)*SUM(SUMIF($B228:$B238,$Y227,N228:N238),SUMIF($B228:$B238,$Z227,N228:N238),SUMIF($B228:$B238,$AA227,N228:N238),SUMIF($B228:$B238,$AB227,N228:N238),SUMIF($B228:$B238,$AC227,N228:N238),SUMIF($B228:$B238,$AD227,N228:N238),SUMIF($B228:$B238,$AE227,N228:N238),SUMIF($B228:$B238,$AF227,N228:N238),SUMIF($B228:$B238,$AG227,N228:N238),SUMIF($B228:$B238,$AH227,N228:N238),SUMIF($B228:$B238,$AI227,N228:N238)))</f>
        <v>0</v>
      </c>
      <c r="O239" s="1">
        <f>IF(SUM(COUNTIF($B228:$B238,$Y227),COUNTIF($B228:$B238,$Z227),COUNTIF($B228:$B238,$AA227),COUNTIF($B228:$B238,$AB227),COUNTIF($B228:$B238,$AC227),COUNTIF($B228:$B238,$AD227),COUNTIF($B228:$B238,$AE227),COUNTIF($B228:$B238,$AF227),COUNTIF($B228:$B238,$AG227),COUNTIF($B228:$B238,$AH227),COUNTIF($B228:$B238,$AI227))=0,O226-SUMPRODUCT($A228:$A238,O228:O238),IF('Data-solution'!$A$3="Maximize",1,-1)*SUM(SUMIF($B228:$B238,$Y227,O228:O238),SUMIF($B228:$B238,$Z227,O228:O238),SUMIF($B228:$B238,$AA227,O228:O238),SUMIF($B228:$B238,$AB227,O228:O238),SUMIF($B228:$B238,$AC227,O228:O238),SUMIF($B228:$B238,$AD227,O228:O238),SUMIF($B228:$B238,$AE227,O228:O238),SUMIF($B228:$B238,$AF227,O228:O238),SUMIF($B228:$B238,$AG227,O228:O238),SUMIF($B228:$B238,$AH227,O228:O238),SUMIF($B228:$B238,$AI227,O228:O238)))</f>
        <v>0</v>
      </c>
      <c r="P239" s="1">
        <f>IF(SUM(COUNTIF($B228:$B238,$Y227),COUNTIF($B228:$B238,$Z227),COUNTIF($B228:$B238,$AA227),COUNTIF($B228:$B238,$AB227),COUNTIF($B228:$B238,$AC227),COUNTIF($B228:$B238,$AD227),COUNTIF($B228:$B238,$AE227),COUNTIF($B228:$B238,$AF227),COUNTIF($B228:$B238,$AG227),COUNTIF($B228:$B238,$AH227),COUNTIF($B228:$B238,$AI227))=0,P226-SUMPRODUCT($A228:$A238,P228:P238),IF('Data-solution'!$A$3="Maximize",1,-1)*SUM(SUMIF($B228:$B238,$Y227,P228:P238),SUMIF($B228:$B238,$Z227,P228:P238),SUMIF($B228:$B238,$AA227,P228:P238),SUMIF($B228:$B238,$AB227,P228:P238),SUMIF($B228:$B238,$AC227,P228:P238),SUMIF($B228:$B238,$AD227,P228:P238),SUMIF($B228:$B238,$AE227,P228:P238),SUMIF($B228:$B238,$AF227,P228:P238),SUMIF($B228:$B238,$AG227,P228:P238),SUMIF($B228:$B238,$AH227,P228:P238),SUMIF($B228:$B238,$AI227,P228:P238)))</f>
        <v>-49.999999999999993</v>
      </c>
      <c r="Q239" s="1">
        <f>IF(SUM(COUNTIF($B228:$B238,$Y227),COUNTIF($B228:$B238,$Z227),COUNTIF($B228:$B238,$AA227),COUNTIF($B228:$B238,$AB227),COUNTIF($B228:$B238,$AC227),COUNTIF($B228:$B238,$AD227),COUNTIF($B228:$B238,$AE227),COUNTIF($B228:$B238,$AF227),COUNTIF($B228:$B238,$AG227),COUNTIF($B228:$B238,$AH227),COUNTIF($B228:$B238,$AI227))=0,Q226-SUMPRODUCT($A228:$A238,Q228:Q238),IF('Data-solution'!$A$3="Maximize",1,-1)*SUM(SUMIF($B228:$B238,$Y227,Q228:Q238),SUMIF($B228:$B238,$Z227,Q228:Q238),SUMIF($B228:$B238,$AA227,Q228:Q238),SUMIF($B228:$B238,$AB227,Q228:Q238),SUMIF($B228:$B238,$AC227,Q228:Q238),SUMIF($B228:$B238,$AD227,Q228:Q238),SUMIF($B228:$B238,$AE227,Q228:Q238),SUMIF($B228:$B238,$AF227,Q228:Q238),SUMIF($B228:$B238,$AG227,Q228:Q238),SUMIF($B228:$B238,$AH227,Q228:Q238),SUMIF($B228:$B238,$AI227,Q228:Q238)))</f>
        <v>-50</v>
      </c>
      <c r="R239" s="1">
        <f>IF(SUM(COUNTIF($B228:$B238,$Y227),COUNTIF($B228:$B238,$Z227),COUNTIF($B228:$B238,$AA227),COUNTIF($B228:$B238,$AB227),COUNTIF($B228:$B238,$AC227),COUNTIF($B228:$B238,$AD227),COUNTIF($B228:$B238,$AE227),COUNTIF($B228:$B238,$AF227),COUNTIF($B228:$B238,$AG227),COUNTIF($B228:$B238,$AH227),COUNTIF($B228:$B238,$AI227))=0,R226-SUMPRODUCT($A228:$A238,R228:R238),IF('Data-solution'!$A$3="Maximize",1,-1)*SUM(SUMIF($B228:$B238,$Y227,R228:R238),SUMIF($B228:$B238,$Z227,R228:R238),SUMIF($B228:$B238,$AA227,R228:R238),SUMIF($B228:$B238,$AB227,R228:R238),SUMIF($B228:$B238,$AC227,R228:R238),SUMIF($B228:$B238,$AD227,R228:R238),SUMIF($B228:$B238,$AE227,R228:R238),SUMIF($B228:$B238,$AF227,R228:R238),SUMIF($B228:$B238,$AG227,R228:R238),SUMIF($B228:$B238,$AH227,R228:R238),SUMIF($B228:$B238,$AI227,R228:R238)))</f>
        <v>0</v>
      </c>
      <c r="S239" s="1">
        <f>IF(SUM(COUNTIF($B228:$B238,$Y227),COUNTIF($B228:$B238,$Z227),COUNTIF($B228:$B238,$AA227),COUNTIF($B228:$B238,$AB227),COUNTIF($B228:$B238,$AC227),COUNTIF($B228:$B238,$AD227),COUNTIF($B228:$B238,$AE227),COUNTIF($B228:$B238,$AF227),COUNTIF($B228:$B238,$AG227),COUNTIF($B228:$B238,$AH227),COUNTIF($B228:$B238,$AI227))=0,S226-SUMPRODUCT($A228:$A238,S228:S238),IF('Data-solution'!$A$3="Maximize",1,-1)*SUM(SUMIF($B228:$B238,$Y227,S228:S238),SUMIF($B228:$B238,$Z227,S228:S238),SUMIF($B228:$B238,$AA227,S228:S238),SUMIF($B228:$B238,$AB227,S228:S238),SUMIF($B228:$B238,$AC227,S228:S238),SUMIF($B228:$B238,$AD227,S228:S238),SUMIF($B228:$B238,$AE227,S228:S238),SUMIF($B228:$B238,$AF227,S228:S238),SUMIF($B228:$B238,$AG227,S228:S238),SUMIF($B228:$B238,$AH227,S228:S238),SUMIF($B228:$B238,$AI227,S228:S238)))</f>
        <v>0</v>
      </c>
      <c r="T239" s="1">
        <f>IF(SUM(COUNTIF($B228:$B238,$Y227),COUNTIF($B228:$B238,$Z227),COUNTIF($B228:$B238,$AA227),COUNTIF($B228:$B238,$AB227),COUNTIF($B228:$B238,$AC227),COUNTIF($B228:$B238,$AD227),COUNTIF($B228:$B238,$AE227),COUNTIF($B228:$B238,$AF227),COUNTIF($B228:$B238,$AG227),COUNTIF($B228:$B238,$AH227),COUNTIF($B228:$B238,$AI227))=0,T226-SUMPRODUCT($A228:$A238,T228:T238),IF('Data-solution'!$A$3="Maximize",1,-1)*SUM(SUMIF($B228:$B238,$Y227,T228:T238),SUMIF($B228:$B238,$Z227,T228:T238),SUMIF($B228:$B238,$AA227,T228:T238),SUMIF($B228:$B238,$AB227,T228:T238),SUMIF($B228:$B238,$AC227,T228:T238),SUMIF($B228:$B238,$AD227,T228:T238),SUMIF($B228:$B238,$AE227,T228:T238),SUMIF($B228:$B238,$AF227,T228:T238),SUMIF($B228:$B238,$AG227,T228:T238),SUMIF($B228:$B238,$AH227,T228:T238),SUMIF($B228:$B238,$AI227,T228:T238)))</f>
        <v>0</v>
      </c>
      <c r="U239" s="1">
        <f>IF(SUM(COUNTIF($B228:$B238,$Y227),COUNTIF($B228:$B238,$Z227),COUNTIF($B228:$B238,$AA227),COUNTIF($B228:$B238,$AB227),COUNTIF($B228:$B238,$AC227),COUNTIF($B228:$B238,$AD227),COUNTIF($B228:$B238,$AE227),COUNTIF($B228:$B238,$AF227),COUNTIF($B228:$B238,$AG227),COUNTIF($B228:$B238,$AH227),COUNTIF($B228:$B238,$AI227))=0,U226-SUMPRODUCT($A228:$A238,U228:U238),IF('Data-solution'!$A$3="Maximize",1,-1)*SUM(SUMIF($B228:$B238,$Y227,U228:U238),SUMIF($B228:$B238,$Z227,U228:U238),SUMIF($B228:$B238,$AA227,U228:U238),SUMIF($B228:$B238,$AB227,U228:U238),SUMIF($B228:$B238,$AC227,U228:U238),SUMIF($B228:$B238,$AD227,U228:U238),SUMIF($B228:$B238,$AE227,U228:U238),SUMIF($B228:$B238,$AF227,U228:U238),SUMIF($B228:$B238,$AG227,U228:U238),SUMIF($B228:$B238,$AH227,U228:U238),SUMIF($B228:$B238,$AI227,U228:U238)))</f>
        <v>0</v>
      </c>
      <c r="V239" s="1">
        <f>IF(SUM(COUNTIF($B228:$B238,$Y227),COUNTIF($B228:$B238,$Z227),COUNTIF($B228:$B238,$AA227),COUNTIF($B228:$B238,$AB227),COUNTIF($B228:$B238,$AC227),COUNTIF($B228:$B238,$AD227),COUNTIF($B228:$B238,$AE227),COUNTIF($B228:$B238,$AF227),COUNTIF($B228:$B238,$AG227),COUNTIF($B228:$B238,$AH227),COUNTIF($B228:$B238,$AI227))=0,V226-SUMPRODUCT($A228:$A238,V228:V238),IF('Data-solution'!$A$3="Maximize",1,-1)*SUM(SUMIF($B228:$B238,$Y227,V228:V238),SUMIF($B228:$B238,$Z227,V228:V238),SUMIF($B228:$B238,$AA227,V228:V238),SUMIF($B228:$B238,$AB227,V228:V238),SUMIF($B228:$B238,$AC227,V228:V238),SUMIF($B228:$B238,$AD227,V228:V238),SUMIF($B228:$B238,$AE227,V228:V238),SUMIF($B228:$B238,$AF227,V228:V238),SUMIF($B228:$B238,$AG227,V228:V238),SUMIF($B228:$B238,$AH227,V228:V238),SUMIF($B228:$B238,$AI227,V228:V238)))</f>
        <v>0</v>
      </c>
      <c r="W239" s="1">
        <f>IF(SUM(COUNTIF($B228:$B238,$Y227),COUNTIF($B228:$B238,$Z227),COUNTIF($B228:$B238,$AA227),COUNTIF($B228:$B238,$AB227),COUNTIF($B228:$B238,$AC227),COUNTIF($B228:$B238,$AD227),COUNTIF($B228:$B238,$AE227),COUNTIF($B228:$B238,$AF227),COUNTIF($B228:$B238,$AG227),COUNTIF($B228:$B238,$AH227),COUNTIF($B228:$B238,$AI227))=0,W226-SUMPRODUCT($A228:$A238,W228:W238),IF('Data-solution'!$A$3="Maximize",1,-1)*SUM(SUMIF($B228:$B238,$Y227,W228:W238),SUMIF($B228:$B238,$Z227,W228:W238),SUMIF($B228:$B238,$AA227,W228:W238),SUMIF($B228:$B238,$AB227,W228:W238),SUMIF($B228:$B238,$AC227,W228:W238),SUMIF($B228:$B238,$AD227,W228:W238),SUMIF($B228:$B238,$AE227,W228:W238),SUMIF($B228:$B238,$AF227,W228:W238),SUMIF($B228:$B238,$AG227,W228:W238),SUMIF($B228:$B238,$AH227,W228:W238),SUMIF($B228:$B238,$AI227,W228:W238)))</f>
        <v>0</v>
      </c>
      <c r="X239" s="1">
        <f>IF(SUM(COUNTIF($B228:$B238,$Y227),COUNTIF($B228:$B238,$Z227),COUNTIF($B228:$B238,$AA227),COUNTIF($B228:$B238,$AB227),COUNTIF($B228:$B238,$AC227),COUNTIF($B228:$B238,$AD227),COUNTIF($B228:$B238,$AE227),COUNTIF($B228:$B238,$AF227),COUNTIF($B228:$B238,$AG227),COUNTIF($B228:$B238,$AH227),COUNTIF($B228:$B238,$AI227))=0,X226-SUMPRODUCT($A228:$A238,X228:X238),IF('Data-solution'!$A$3="Maximize",1,-1)*SUM(SUMIF($B228:$B238,$Y227,X228:X238),SUMIF($B228:$B238,$Z227,X228:X238),SUMIF($B228:$B238,$AA227,X228:X238),SUMIF($B228:$B238,$AB227,X228:X238),SUMIF($B228:$B238,$AC227,X228:X238),SUMIF($B228:$B238,$AD227,X228:X238),SUMIF($B228:$B238,$AE227,X228:X238),SUMIF($B228:$B238,$AF227,X228:X238),SUMIF($B228:$B238,$AG227,X228:X238),SUMIF($B228:$B238,$AH227,X228:X238),SUMIF($B228:$B238,$AI227,X228:X238)))</f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2">
        <f t="shared" ref="AJ239" si="209">IF(SUMPRODUCT(A228:A238,AJ228:AJ238)&gt;=0,SUMPRODUCT(A228:A238,AJ228:AJ238),0)</f>
        <v>120000</v>
      </c>
    </row>
    <row r="241" spans="1:37" ht="18" customHeight="1" x14ac:dyDescent="0.2">
      <c r="A241" s="1" t="s">
        <v>76</v>
      </c>
      <c r="B241" s="2" t="s">
        <v>4</v>
      </c>
      <c r="C241" s="1">
        <f t="shared" ref="C241" si="210">C$1</f>
        <v>150</v>
      </c>
      <c r="D241" s="1">
        <f t="shared" si="152"/>
        <v>200</v>
      </c>
      <c r="E241" s="1">
        <f t="shared" si="152"/>
        <v>350</v>
      </c>
      <c r="F241" s="1">
        <f t="shared" si="152"/>
        <v>0</v>
      </c>
      <c r="G241" s="1">
        <f t="shared" si="152"/>
        <v>0</v>
      </c>
      <c r="H241" s="1">
        <f t="shared" si="152"/>
        <v>0</v>
      </c>
      <c r="I241" s="1">
        <f t="shared" si="152"/>
        <v>0</v>
      </c>
      <c r="J241" s="1">
        <f t="shared" si="152"/>
        <v>0</v>
      </c>
      <c r="K241" s="1">
        <f t="shared" si="152"/>
        <v>0</v>
      </c>
      <c r="L241" s="1">
        <f t="shared" si="152"/>
        <v>0</v>
      </c>
      <c r="M241" s="1">
        <f t="shared" si="152"/>
        <v>0</v>
      </c>
      <c r="N241" s="1">
        <f t="shared" si="152"/>
        <v>0</v>
      </c>
      <c r="O241" s="1">
        <f t="shared" si="152"/>
        <v>0</v>
      </c>
      <c r="P241" s="1">
        <f t="shared" si="152"/>
        <v>0</v>
      </c>
      <c r="Q241" s="1">
        <f t="shared" si="152"/>
        <v>0</v>
      </c>
      <c r="R241" s="1">
        <f t="shared" si="152"/>
        <v>0</v>
      </c>
      <c r="S241" s="1">
        <f t="shared" si="152"/>
        <v>0</v>
      </c>
      <c r="T241" s="1">
        <f t="shared" si="152"/>
        <v>0</v>
      </c>
      <c r="U241" s="1">
        <f t="shared" si="152"/>
        <v>0</v>
      </c>
      <c r="V241" s="1">
        <f t="shared" si="152"/>
        <v>0</v>
      </c>
      <c r="W241" s="1">
        <f t="shared" si="152"/>
        <v>0</v>
      </c>
      <c r="X241" s="1">
        <f t="shared" si="152"/>
        <v>0</v>
      </c>
      <c r="Y241" s="1">
        <f t="shared" si="152"/>
        <v>-999999</v>
      </c>
      <c r="Z241" s="1">
        <f t="shared" si="152"/>
        <v>-999999</v>
      </c>
      <c r="AA241" s="1">
        <f t="shared" si="152"/>
        <v>-999999</v>
      </c>
      <c r="AB241" s="1">
        <f t="shared" si="152"/>
        <v>-999999</v>
      </c>
      <c r="AC241" s="1">
        <f t="shared" si="152"/>
        <v>-999999</v>
      </c>
      <c r="AD241" s="1">
        <f t="shared" si="152"/>
        <v>-999999</v>
      </c>
      <c r="AE241" s="1">
        <f t="shared" si="152"/>
        <v>-999999</v>
      </c>
      <c r="AF241" s="1">
        <f t="shared" si="152"/>
        <v>-999999</v>
      </c>
      <c r="AG241" s="1">
        <f t="shared" si="152"/>
        <v>-999999</v>
      </c>
      <c r="AH241" s="1">
        <f t="shared" si="152"/>
        <v>-999999</v>
      </c>
      <c r="AI241" s="1">
        <f t="shared" si="152"/>
        <v>-999999</v>
      </c>
    </row>
    <row r="242" spans="1:37" ht="18" customHeight="1" x14ac:dyDescent="0.2">
      <c r="A242" s="2" t="s">
        <v>3</v>
      </c>
      <c r="B242" s="2" t="s">
        <v>1</v>
      </c>
      <c r="C242" s="2" t="str">
        <f t="shared" ref="C242" si="211">C$2</f>
        <v>X1</v>
      </c>
      <c r="D242" s="2" t="str">
        <f t="shared" si="155"/>
        <v>X2</v>
      </c>
      <c r="E242" s="2" t="str">
        <f t="shared" si="155"/>
        <v>X3</v>
      </c>
      <c r="F242" s="2" t="str">
        <f t="shared" si="155"/>
        <v>X4</v>
      </c>
      <c r="G242" s="2" t="str">
        <f t="shared" si="155"/>
        <v>X5</v>
      </c>
      <c r="H242" s="2" t="str">
        <f t="shared" si="155"/>
        <v>X6</v>
      </c>
      <c r="I242" s="2" t="str">
        <f t="shared" si="155"/>
        <v>X7</v>
      </c>
      <c r="J242" s="2" t="str">
        <f t="shared" si="155"/>
        <v>X8</v>
      </c>
      <c r="K242" s="2" t="str">
        <f t="shared" si="155"/>
        <v>X9</v>
      </c>
      <c r="L242" s="2" t="str">
        <f t="shared" si="155"/>
        <v>X10</v>
      </c>
      <c r="M242" s="2" t="str">
        <f t="shared" si="155"/>
        <v>X11</v>
      </c>
      <c r="N242" s="2" t="str">
        <f t="shared" si="155"/>
        <v>S1</v>
      </c>
      <c r="O242" s="2" t="str">
        <f t="shared" si="155"/>
        <v>S2</v>
      </c>
      <c r="P242" s="2" t="str">
        <f t="shared" si="155"/>
        <v>S3</v>
      </c>
      <c r="Q242" s="2" t="str">
        <f t="shared" si="155"/>
        <v>S4</v>
      </c>
      <c r="R242" s="2" t="str">
        <f t="shared" si="155"/>
        <v>S5</v>
      </c>
      <c r="S242" s="2" t="str">
        <f t="shared" si="155"/>
        <v>S6</v>
      </c>
      <c r="T242" s="2" t="str">
        <f t="shared" si="155"/>
        <v>S7</v>
      </c>
      <c r="U242" s="2" t="str">
        <f t="shared" si="155"/>
        <v>S8</v>
      </c>
      <c r="V242" s="2" t="str">
        <f t="shared" si="155"/>
        <v>S9</v>
      </c>
      <c r="W242" s="2" t="str">
        <f t="shared" si="155"/>
        <v>S10</v>
      </c>
      <c r="X242" s="2" t="str">
        <f t="shared" si="155"/>
        <v>S11</v>
      </c>
      <c r="Y242" s="2" t="str">
        <f t="shared" si="155"/>
        <v xml:space="preserve"> </v>
      </c>
      <c r="Z242" s="2" t="str">
        <f t="shared" si="155"/>
        <v xml:space="preserve"> </v>
      </c>
      <c r="AA242" s="2" t="str">
        <f t="shared" si="155"/>
        <v xml:space="preserve"> </v>
      </c>
      <c r="AB242" s="2" t="str">
        <f t="shared" si="155"/>
        <v xml:space="preserve"> </v>
      </c>
      <c r="AC242" s="2" t="str">
        <f t="shared" si="155"/>
        <v xml:space="preserve"> </v>
      </c>
      <c r="AD242" s="2" t="str">
        <f t="shared" si="155"/>
        <v xml:space="preserve"> </v>
      </c>
      <c r="AE242" s="2" t="str">
        <f t="shared" si="155"/>
        <v xml:space="preserve"> </v>
      </c>
      <c r="AF242" s="2" t="str">
        <f t="shared" si="155"/>
        <v xml:space="preserve"> </v>
      </c>
      <c r="AG242" s="2" t="str">
        <f t="shared" si="155"/>
        <v xml:space="preserve"> </v>
      </c>
      <c r="AH242" s="2" t="str">
        <f t="shared" si="155"/>
        <v xml:space="preserve"> </v>
      </c>
      <c r="AI242" s="2" t="str">
        <f t="shared" si="155"/>
        <v xml:space="preserve"> </v>
      </c>
      <c r="AJ242" s="2" t="s">
        <v>9</v>
      </c>
      <c r="AK242" s="2" t="s">
        <v>10</v>
      </c>
    </row>
    <row r="243" spans="1:37" ht="18" customHeight="1" x14ac:dyDescent="0.2">
      <c r="A243" s="1">
        <f t="shared" ref="A243" si="212">INDEX(C241:AI241,1,MATCH(B243,C242:AI242,0))</f>
        <v>0</v>
      </c>
      <c r="B243" s="2" t="str">
        <f>IF(AND('Data-solution'!A$3="Maximize",COUNTIF(C239:X239,"&gt;"&amp;0)&gt;0,AK228=MIN(AK228:AK238)),INDEX(C227:X227,1,MATCH(MAX(C239:X239),C239:X239,0)),IF(AND('Data-solution'!A$3="Minimize",COUNTIF(C239:X239,"&lt;"&amp;0)&gt;0,AK228=MIN(AK228:AK238)),INDEX(C227:X227,1,MATCH(MIN(C239:X239),C239:X239,0)),B228))</f>
        <v>S1</v>
      </c>
      <c r="C243" s="1">
        <f>IF(OR($B243&lt;&gt;$B228,$B244&lt;&gt;$B229,$B245&lt;&gt;$B230,$B246&lt;&gt;$B231,$B247&lt;&gt;$B232,$B248&lt;&gt;$B233,$B249&lt;&gt;$B234,$B250&lt;&gt;$B235,$B251&lt;&gt;$B236,$B252&lt;&gt;$B237,$B253&lt;&gt;$B238),IF($B243&lt;&gt;$B228,C228/INDEX($C228:$AJ238,1,MATCH(IF('Data-solution'!$A$3="Maximize",MAX($C239:$AI239),MIN($C239:$AI239)),$C239:$AI239,0)),C228-INDEX($C228:$AJ238,1,MATCH(IF('Data-solution'!$A$3="Maximize",MAX($C239:$AI239),MIN($C239:$AI239)),$C239:$AI239,0))*INDEX(C228:$AJ238,MATCH(MIN($AK228:$AK238),$AK228:$AK238,0),1)/INDEX($C228:$AJ238,MATCH(MIN($AK228:$AK238),$AK228:$AK238,0),MATCH(IF('Data-solution'!$A$3="Maximize",MAX($C239:$AI239),MIN($C239:$AI239)),$C239:$AI239,0))),C228)</f>
        <v>0</v>
      </c>
      <c r="D243" s="1">
        <f>IF(OR($B243&lt;&gt;$B228,$B244&lt;&gt;$B229,$B245&lt;&gt;$B230,$B246&lt;&gt;$B231,$B247&lt;&gt;$B232,$B248&lt;&gt;$B233,$B249&lt;&gt;$B234,$B250&lt;&gt;$B235,$B251&lt;&gt;$B236,$B252&lt;&gt;$B237,$B253&lt;&gt;$B238),IF($B243&lt;&gt;$B228,D228/INDEX($C228:$AJ238,1,MATCH(IF('Data-solution'!$A$3="Maximize",MAX($C239:$AI239),MIN($C239:$AI239)),$C239:$AI239,0)),D228-INDEX($C228:$AJ238,1,MATCH(IF('Data-solution'!$A$3="Maximize",MAX($C239:$AI239),MIN($C239:$AI239)),$C239:$AI239,0))*INDEX(D228:$AJ238,MATCH(MIN($AK228:$AK238),$AK228:$AK238,0),1)/INDEX($C228:$AJ238,MATCH(MIN($AK228:$AK238),$AK228:$AK238,0),MATCH(IF('Data-solution'!$A$3="Maximize",MAX($C239:$AI239),MIN($C239:$AI239)),$C239:$AI239,0))),D228)</f>
        <v>1</v>
      </c>
      <c r="E243" s="1">
        <f>IF(OR($B243&lt;&gt;$B228,$B244&lt;&gt;$B229,$B245&lt;&gt;$B230,$B246&lt;&gt;$B231,$B247&lt;&gt;$B232,$B248&lt;&gt;$B233,$B249&lt;&gt;$B234,$B250&lt;&gt;$B235,$B251&lt;&gt;$B236,$B252&lt;&gt;$B237,$B253&lt;&gt;$B238),IF($B243&lt;&gt;$B228,E228/INDEX($C228:$AJ238,1,MATCH(IF('Data-solution'!$A$3="Maximize",MAX($C239:$AI239),MIN($C239:$AI239)),$C239:$AI239,0)),E228-INDEX($C228:$AJ238,1,MATCH(IF('Data-solution'!$A$3="Maximize",MAX($C239:$AI239),MIN($C239:$AI239)),$C239:$AI239,0))*INDEX(E228:$AJ238,MATCH(MIN($AK228:$AK238),$AK228:$AK238,0),1)/INDEX($C228:$AJ238,MATCH(MIN($AK228:$AK238),$AK228:$AK238,0),MATCH(IF('Data-solution'!$A$3="Maximize",MAX($C239:$AI239),MIN($C239:$AI239)),$C239:$AI239,0))),E228)</f>
        <v>0</v>
      </c>
      <c r="F243" s="1">
        <f>IF(OR($B243&lt;&gt;$B228,$B244&lt;&gt;$B229,$B245&lt;&gt;$B230,$B246&lt;&gt;$B231,$B247&lt;&gt;$B232,$B248&lt;&gt;$B233,$B249&lt;&gt;$B234,$B250&lt;&gt;$B235,$B251&lt;&gt;$B236,$B252&lt;&gt;$B237,$B253&lt;&gt;$B238),IF($B243&lt;&gt;$B228,F228/INDEX($C228:$AJ238,1,MATCH(IF('Data-solution'!$A$3="Maximize",MAX($C239:$AI239),MIN($C239:$AI239)),$C239:$AI239,0)),F228-INDEX($C228:$AJ238,1,MATCH(IF('Data-solution'!$A$3="Maximize",MAX($C239:$AI239),MIN($C239:$AI239)),$C239:$AI239,0))*INDEX(F228:$AJ238,MATCH(MIN($AK228:$AK238),$AK228:$AK238,0),1)/INDEX($C228:$AJ238,MATCH(MIN($AK228:$AK238),$AK228:$AK238,0),MATCH(IF('Data-solution'!$A$3="Maximize",MAX($C239:$AI239),MIN($C239:$AI239)),$C239:$AI239,0))),F228)</f>
        <v>0</v>
      </c>
      <c r="G243" s="1">
        <f>IF(OR($B243&lt;&gt;$B228,$B244&lt;&gt;$B229,$B245&lt;&gt;$B230,$B246&lt;&gt;$B231,$B247&lt;&gt;$B232,$B248&lt;&gt;$B233,$B249&lt;&gt;$B234,$B250&lt;&gt;$B235,$B251&lt;&gt;$B236,$B252&lt;&gt;$B237,$B253&lt;&gt;$B238),IF($B243&lt;&gt;$B228,G228/INDEX($C228:$AJ238,1,MATCH(IF('Data-solution'!$A$3="Maximize",MAX($C239:$AI239),MIN($C239:$AI239)),$C239:$AI239,0)),G228-INDEX($C228:$AJ238,1,MATCH(IF('Data-solution'!$A$3="Maximize",MAX($C239:$AI239),MIN($C239:$AI239)),$C239:$AI239,0))*INDEX(G228:$AJ238,MATCH(MIN($AK228:$AK238),$AK228:$AK238,0),1)/INDEX($C228:$AJ238,MATCH(MIN($AK228:$AK238),$AK228:$AK238,0),MATCH(IF('Data-solution'!$A$3="Maximize",MAX($C239:$AI239),MIN($C239:$AI239)),$C239:$AI239,0))),G228)</f>
        <v>0</v>
      </c>
      <c r="H243" s="1">
        <f>IF(OR($B243&lt;&gt;$B228,$B244&lt;&gt;$B229,$B245&lt;&gt;$B230,$B246&lt;&gt;$B231,$B247&lt;&gt;$B232,$B248&lt;&gt;$B233,$B249&lt;&gt;$B234,$B250&lt;&gt;$B235,$B251&lt;&gt;$B236,$B252&lt;&gt;$B237,$B253&lt;&gt;$B238),IF($B243&lt;&gt;$B228,H228/INDEX($C228:$AJ238,1,MATCH(IF('Data-solution'!$A$3="Maximize",MAX($C239:$AI239),MIN($C239:$AI239)),$C239:$AI239,0)),H228-INDEX($C228:$AJ238,1,MATCH(IF('Data-solution'!$A$3="Maximize",MAX($C239:$AI239),MIN($C239:$AI239)),$C239:$AI239,0))*INDEX(H228:$AJ238,MATCH(MIN($AK228:$AK238),$AK228:$AK238,0),1)/INDEX($C228:$AJ238,MATCH(MIN($AK228:$AK238),$AK228:$AK238,0),MATCH(IF('Data-solution'!$A$3="Maximize",MAX($C239:$AI239),MIN($C239:$AI239)),$C239:$AI239,0))),H228)</f>
        <v>0</v>
      </c>
      <c r="I243" s="1">
        <f>IF(OR($B243&lt;&gt;$B228,$B244&lt;&gt;$B229,$B245&lt;&gt;$B230,$B246&lt;&gt;$B231,$B247&lt;&gt;$B232,$B248&lt;&gt;$B233,$B249&lt;&gt;$B234,$B250&lt;&gt;$B235,$B251&lt;&gt;$B236,$B252&lt;&gt;$B237,$B253&lt;&gt;$B238),IF($B243&lt;&gt;$B228,I228/INDEX($C228:$AJ238,1,MATCH(IF('Data-solution'!$A$3="Maximize",MAX($C239:$AI239),MIN($C239:$AI239)),$C239:$AI239,0)),I228-INDEX($C228:$AJ238,1,MATCH(IF('Data-solution'!$A$3="Maximize",MAX($C239:$AI239),MIN($C239:$AI239)),$C239:$AI239,0))*INDEX(I228:$AJ238,MATCH(MIN($AK228:$AK238),$AK228:$AK238,0),1)/INDEX($C228:$AJ238,MATCH(MIN($AK228:$AK238),$AK228:$AK238,0),MATCH(IF('Data-solution'!$A$3="Maximize",MAX($C239:$AI239),MIN($C239:$AI239)),$C239:$AI239,0))),I228)</f>
        <v>0</v>
      </c>
      <c r="J243" s="1">
        <f>IF(OR($B243&lt;&gt;$B228,$B244&lt;&gt;$B229,$B245&lt;&gt;$B230,$B246&lt;&gt;$B231,$B247&lt;&gt;$B232,$B248&lt;&gt;$B233,$B249&lt;&gt;$B234,$B250&lt;&gt;$B235,$B251&lt;&gt;$B236,$B252&lt;&gt;$B237,$B253&lt;&gt;$B238),IF($B243&lt;&gt;$B228,J228/INDEX($C228:$AJ238,1,MATCH(IF('Data-solution'!$A$3="Maximize",MAX($C239:$AI239),MIN($C239:$AI239)),$C239:$AI239,0)),J228-INDEX($C228:$AJ238,1,MATCH(IF('Data-solution'!$A$3="Maximize",MAX($C239:$AI239),MIN($C239:$AI239)),$C239:$AI239,0))*INDEX(J228:$AJ238,MATCH(MIN($AK228:$AK238),$AK228:$AK238,0),1)/INDEX($C228:$AJ238,MATCH(MIN($AK228:$AK238),$AK228:$AK238,0),MATCH(IF('Data-solution'!$A$3="Maximize",MAX($C239:$AI239),MIN($C239:$AI239)),$C239:$AI239,0))),J228)</f>
        <v>0</v>
      </c>
      <c r="K243" s="1">
        <f>IF(OR($B243&lt;&gt;$B228,$B244&lt;&gt;$B229,$B245&lt;&gt;$B230,$B246&lt;&gt;$B231,$B247&lt;&gt;$B232,$B248&lt;&gt;$B233,$B249&lt;&gt;$B234,$B250&lt;&gt;$B235,$B251&lt;&gt;$B236,$B252&lt;&gt;$B237,$B253&lt;&gt;$B238),IF($B243&lt;&gt;$B228,K228/INDEX($C228:$AJ238,1,MATCH(IF('Data-solution'!$A$3="Maximize",MAX($C239:$AI239),MIN($C239:$AI239)),$C239:$AI239,0)),K228-INDEX($C228:$AJ238,1,MATCH(IF('Data-solution'!$A$3="Maximize",MAX($C239:$AI239),MIN($C239:$AI239)),$C239:$AI239,0))*INDEX(K228:$AJ238,MATCH(MIN($AK228:$AK238),$AK228:$AK238,0),1)/INDEX($C228:$AJ238,MATCH(MIN($AK228:$AK238),$AK228:$AK238,0),MATCH(IF('Data-solution'!$A$3="Maximize",MAX($C239:$AI239),MIN($C239:$AI239)),$C239:$AI239,0))),K228)</f>
        <v>0</v>
      </c>
      <c r="L243" s="1">
        <f>IF(OR($B243&lt;&gt;$B228,$B244&lt;&gt;$B229,$B245&lt;&gt;$B230,$B246&lt;&gt;$B231,$B247&lt;&gt;$B232,$B248&lt;&gt;$B233,$B249&lt;&gt;$B234,$B250&lt;&gt;$B235,$B251&lt;&gt;$B236,$B252&lt;&gt;$B237,$B253&lt;&gt;$B238),IF($B243&lt;&gt;$B228,L228/INDEX($C228:$AJ238,1,MATCH(IF('Data-solution'!$A$3="Maximize",MAX($C239:$AI239),MIN($C239:$AI239)),$C239:$AI239,0)),L228-INDEX($C228:$AJ238,1,MATCH(IF('Data-solution'!$A$3="Maximize",MAX($C239:$AI239),MIN($C239:$AI239)),$C239:$AI239,0))*INDEX(L228:$AJ238,MATCH(MIN($AK228:$AK238),$AK228:$AK238,0),1)/INDEX($C228:$AJ238,MATCH(MIN($AK228:$AK238),$AK228:$AK238,0),MATCH(IF('Data-solution'!$A$3="Maximize",MAX($C239:$AI239),MIN($C239:$AI239)),$C239:$AI239,0))),L228)</f>
        <v>0</v>
      </c>
      <c r="M243" s="1">
        <f>IF(OR($B243&lt;&gt;$B228,$B244&lt;&gt;$B229,$B245&lt;&gt;$B230,$B246&lt;&gt;$B231,$B247&lt;&gt;$B232,$B248&lt;&gt;$B233,$B249&lt;&gt;$B234,$B250&lt;&gt;$B235,$B251&lt;&gt;$B236,$B252&lt;&gt;$B237,$B253&lt;&gt;$B238),IF($B243&lt;&gt;$B228,M228/INDEX($C228:$AJ238,1,MATCH(IF('Data-solution'!$A$3="Maximize",MAX($C239:$AI239),MIN($C239:$AI239)),$C239:$AI239,0)),M228-INDEX($C228:$AJ238,1,MATCH(IF('Data-solution'!$A$3="Maximize",MAX($C239:$AI239),MIN($C239:$AI239)),$C239:$AI239,0))*INDEX(M228:$AJ238,MATCH(MIN($AK228:$AK238),$AK228:$AK238,0),1)/INDEX($C228:$AJ238,MATCH(MIN($AK228:$AK238),$AK228:$AK238,0),MATCH(IF('Data-solution'!$A$3="Maximize",MAX($C239:$AI239),MIN($C239:$AI239)),$C239:$AI239,0))),M228)</f>
        <v>0</v>
      </c>
      <c r="N243" s="1">
        <f>IF(OR($B243&lt;&gt;$B228,$B244&lt;&gt;$B229,$B245&lt;&gt;$B230,$B246&lt;&gt;$B231,$B247&lt;&gt;$B232,$B248&lt;&gt;$B233,$B249&lt;&gt;$B234,$B250&lt;&gt;$B235,$B251&lt;&gt;$B236,$B252&lt;&gt;$B237,$B253&lt;&gt;$B238),IF($B243&lt;&gt;$B228,N228/INDEX($C228:$AJ238,1,MATCH(IF('Data-solution'!$A$3="Maximize",MAX($C239:$AI239),MIN($C239:$AI239)),$C239:$AI239,0)),N228-INDEX($C228:$AJ238,1,MATCH(IF('Data-solution'!$A$3="Maximize",MAX($C239:$AI239),MIN($C239:$AI239)),$C239:$AI239,0))*INDEX(N228:$AJ238,MATCH(MIN($AK228:$AK238),$AK228:$AK238,0),1)/INDEX($C228:$AJ238,MATCH(MIN($AK228:$AK238),$AK228:$AK238,0),MATCH(IF('Data-solution'!$A$3="Maximize",MAX($C239:$AI239),MIN($C239:$AI239)),$C239:$AI239,0))),N228)</f>
        <v>1</v>
      </c>
      <c r="O243" s="1">
        <f>IF(OR($B243&lt;&gt;$B228,$B244&lt;&gt;$B229,$B245&lt;&gt;$B230,$B246&lt;&gt;$B231,$B247&lt;&gt;$B232,$B248&lt;&gt;$B233,$B249&lt;&gt;$B234,$B250&lt;&gt;$B235,$B251&lt;&gt;$B236,$B252&lt;&gt;$B237,$B253&lt;&gt;$B238),IF($B243&lt;&gt;$B228,O228/INDEX($C228:$AJ238,1,MATCH(IF('Data-solution'!$A$3="Maximize",MAX($C239:$AI239),MIN($C239:$AI239)),$C239:$AI239,0)),O228-INDEX($C228:$AJ238,1,MATCH(IF('Data-solution'!$A$3="Maximize",MAX($C239:$AI239),MIN($C239:$AI239)),$C239:$AI239,0))*INDEX(O228:$AJ238,MATCH(MIN($AK228:$AK238),$AK228:$AK238,0),1)/INDEX($C228:$AJ238,MATCH(MIN($AK228:$AK238),$AK228:$AK238,0),MATCH(IF('Data-solution'!$A$3="Maximize",MAX($C239:$AI239),MIN($C239:$AI239)),$C239:$AI239,0))),O228)</f>
        <v>0</v>
      </c>
      <c r="P243" s="1">
        <f>IF(OR($B243&lt;&gt;$B228,$B244&lt;&gt;$B229,$B245&lt;&gt;$B230,$B246&lt;&gt;$B231,$B247&lt;&gt;$B232,$B248&lt;&gt;$B233,$B249&lt;&gt;$B234,$B250&lt;&gt;$B235,$B251&lt;&gt;$B236,$B252&lt;&gt;$B237,$B253&lt;&gt;$B238),IF($B243&lt;&gt;$B228,P228/INDEX($C228:$AJ238,1,MATCH(IF('Data-solution'!$A$3="Maximize",MAX($C239:$AI239),MIN($C239:$AI239)),$C239:$AI239,0)),P228-INDEX($C228:$AJ238,1,MATCH(IF('Data-solution'!$A$3="Maximize",MAX($C239:$AI239),MIN($C239:$AI239)),$C239:$AI239,0))*INDEX(P228:$AJ238,MATCH(MIN($AK228:$AK238),$AK228:$AK238,0),1)/INDEX($C228:$AJ238,MATCH(MIN($AK228:$AK238),$AK228:$AK238,0),MATCH(IF('Data-solution'!$A$3="Maximize",MAX($C239:$AI239),MIN($C239:$AI239)),$C239:$AI239,0))),P228)</f>
        <v>0</v>
      </c>
      <c r="Q243" s="1">
        <f>IF(OR($B243&lt;&gt;$B228,$B244&lt;&gt;$B229,$B245&lt;&gt;$B230,$B246&lt;&gt;$B231,$B247&lt;&gt;$B232,$B248&lt;&gt;$B233,$B249&lt;&gt;$B234,$B250&lt;&gt;$B235,$B251&lt;&gt;$B236,$B252&lt;&gt;$B237,$B253&lt;&gt;$B238),IF($B243&lt;&gt;$B228,Q228/INDEX($C228:$AJ238,1,MATCH(IF('Data-solution'!$A$3="Maximize",MAX($C239:$AI239),MIN($C239:$AI239)),$C239:$AI239,0)),Q228-INDEX($C228:$AJ238,1,MATCH(IF('Data-solution'!$A$3="Maximize",MAX($C239:$AI239),MIN($C239:$AI239)),$C239:$AI239,0))*INDEX(Q228:$AJ238,MATCH(MIN($AK228:$AK238),$AK228:$AK238,0),1)/INDEX($C228:$AJ238,MATCH(MIN($AK228:$AK238),$AK228:$AK238,0),MATCH(IF('Data-solution'!$A$3="Maximize",MAX($C239:$AI239),MIN($C239:$AI239)),$C239:$AI239,0))),Q228)</f>
        <v>-1</v>
      </c>
      <c r="R243" s="1">
        <f>IF(OR($B243&lt;&gt;$B228,$B244&lt;&gt;$B229,$B245&lt;&gt;$B230,$B246&lt;&gt;$B231,$B247&lt;&gt;$B232,$B248&lt;&gt;$B233,$B249&lt;&gt;$B234,$B250&lt;&gt;$B235,$B251&lt;&gt;$B236,$B252&lt;&gt;$B237,$B253&lt;&gt;$B238),IF($B243&lt;&gt;$B228,R228/INDEX($C228:$AJ238,1,MATCH(IF('Data-solution'!$A$3="Maximize",MAX($C239:$AI239),MIN($C239:$AI239)),$C239:$AI239,0)),R228-INDEX($C228:$AJ238,1,MATCH(IF('Data-solution'!$A$3="Maximize",MAX($C239:$AI239),MIN($C239:$AI239)),$C239:$AI239,0))*INDEX(R228:$AJ238,MATCH(MIN($AK228:$AK238),$AK228:$AK238,0),1)/INDEX($C228:$AJ238,MATCH(MIN($AK228:$AK238),$AK228:$AK238,0),MATCH(IF('Data-solution'!$A$3="Maximize",MAX($C239:$AI239),MIN($C239:$AI239)),$C239:$AI239,0))),R228)</f>
        <v>0</v>
      </c>
      <c r="S243" s="1">
        <f>IF(OR($B243&lt;&gt;$B228,$B244&lt;&gt;$B229,$B245&lt;&gt;$B230,$B246&lt;&gt;$B231,$B247&lt;&gt;$B232,$B248&lt;&gt;$B233,$B249&lt;&gt;$B234,$B250&lt;&gt;$B235,$B251&lt;&gt;$B236,$B252&lt;&gt;$B237,$B253&lt;&gt;$B238),IF($B243&lt;&gt;$B228,S228/INDEX($C228:$AJ238,1,MATCH(IF('Data-solution'!$A$3="Maximize",MAX($C239:$AI239),MIN($C239:$AI239)),$C239:$AI239,0)),S228-INDEX($C228:$AJ238,1,MATCH(IF('Data-solution'!$A$3="Maximize",MAX($C239:$AI239),MIN($C239:$AI239)),$C239:$AI239,0))*INDEX(S228:$AJ238,MATCH(MIN($AK228:$AK238),$AK228:$AK238,0),1)/INDEX($C228:$AJ238,MATCH(MIN($AK228:$AK238),$AK228:$AK238,0),MATCH(IF('Data-solution'!$A$3="Maximize",MAX($C239:$AI239),MIN($C239:$AI239)),$C239:$AI239,0))),S228)</f>
        <v>0</v>
      </c>
      <c r="T243" s="1">
        <f>IF(OR($B243&lt;&gt;$B228,$B244&lt;&gt;$B229,$B245&lt;&gt;$B230,$B246&lt;&gt;$B231,$B247&lt;&gt;$B232,$B248&lt;&gt;$B233,$B249&lt;&gt;$B234,$B250&lt;&gt;$B235,$B251&lt;&gt;$B236,$B252&lt;&gt;$B237,$B253&lt;&gt;$B238),IF($B243&lt;&gt;$B228,T228/INDEX($C228:$AJ238,1,MATCH(IF('Data-solution'!$A$3="Maximize",MAX($C239:$AI239),MIN($C239:$AI239)),$C239:$AI239,0)),T228-INDEX($C228:$AJ238,1,MATCH(IF('Data-solution'!$A$3="Maximize",MAX($C239:$AI239),MIN($C239:$AI239)),$C239:$AI239,0))*INDEX(T228:$AJ238,MATCH(MIN($AK228:$AK238),$AK228:$AK238,0),1)/INDEX($C228:$AJ238,MATCH(MIN($AK228:$AK238),$AK228:$AK238,0),MATCH(IF('Data-solution'!$A$3="Maximize",MAX($C239:$AI239),MIN($C239:$AI239)),$C239:$AI239,0))),T228)</f>
        <v>0</v>
      </c>
      <c r="U243" s="1">
        <f>IF(OR($B243&lt;&gt;$B228,$B244&lt;&gt;$B229,$B245&lt;&gt;$B230,$B246&lt;&gt;$B231,$B247&lt;&gt;$B232,$B248&lt;&gt;$B233,$B249&lt;&gt;$B234,$B250&lt;&gt;$B235,$B251&lt;&gt;$B236,$B252&lt;&gt;$B237,$B253&lt;&gt;$B238),IF($B243&lt;&gt;$B228,U228/INDEX($C228:$AJ238,1,MATCH(IF('Data-solution'!$A$3="Maximize",MAX($C239:$AI239),MIN($C239:$AI239)),$C239:$AI239,0)),U228-INDEX($C228:$AJ238,1,MATCH(IF('Data-solution'!$A$3="Maximize",MAX($C239:$AI239),MIN($C239:$AI239)),$C239:$AI239,0))*INDEX(U228:$AJ238,MATCH(MIN($AK228:$AK238),$AK228:$AK238,0),1)/INDEX($C228:$AJ238,MATCH(MIN($AK228:$AK238),$AK228:$AK238,0),MATCH(IF('Data-solution'!$A$3="Maximize",MAX($C239:$AI239),MIN($C239:$AI239)),$C239:$AI239,0))),U228)</f>
        <v>0</v>
      </c>
      <c r="V243" s="1">
        <f>IF(OR($B243&lt;&gt;$B228,$B244&lt;&gt;$B229,$B245&lt;&gt;$B230,$B246&lt;&gt;$B231,$B247&lt;&gt;$B232,$B248&lt;&gt;$B233,$B249&lt;&gt;$B234,$B250&lt;&gt;$B235,$B251&lt;&gt;$B236,$B252&lt;&gt;$B237,$B253&lt;&gt;$B238),IF($B243&lt;&gt;$B228,V228/INDEX($C228:$AJ238,1,MATCH(IF('Data-solution'!$A$3="Maximize",MAX($C239:$AI239),MIN($C239:$AI239)),$C239:$AI239,0)),V228-INDEX($C228:$AJ238,1,MATCH(IF('Data-solution'!$A$3="Maximize",MAX($C239:$AI239),MIN($C239:$AI239)),$C239:$AI239,0))*INDEX(V228:$AJ238,MATCH(MIN($AK228:$AK238),$AK228:$AK238,0),1)/INDEX($C228:$AJ238,MATCH(MIN($AK228:$AK238),$AK228:$AK238,0),MATCH(IF('Data-solution'!$A$3="Maximize",MAX($C239:$AI239),MIN($C239:$AI239)),$C239:$AI239,0))),V228)</f>
        <v>0</v>
      </c>
      <c r="W243" s="1">
        <f>IF(OR($B243&lt;&gt;$B228,$B244&lt;&gt;$B229,$B245&lt;&gt;$B230,$B246&lt;&gt;$B231,$B247&lt;&gt;$B232,$B248&lt;&gt;$B233,$B249&lt;&gt;$B234,$B250&lt;&gt;$B235,$B251&lt;&gt;$B236,$B252&lt;&gt;$B237,$B253&lt;&gt;$B238),IF($B243&lt;&gt;$B228,W228/INDEX($C228:$AJ238,1,MATCH(IF('Data-solution'!$A$3="Maximize",MAX($C239:$AI239),MIN($C239:$AI239)),$C239:$AI239,0)),W228-INDEX($C228:$AJ238,1,MATCH(IF('Data-solution'!$A$3="Maximize",MAX($C239:$AI239),MIN($C239:$AI239)),$C239:$AI239,0))*INDEX(W228:$AJ238,MATCH(MIN($AK228:$AK238),$AK228:$AK238,0),1)/INDEX($C228:$AJ238,MATCH(MIN($AK228:$AK238),$AK228:$AK238,0),MATCH(IF('Data-solution'!$A$3="Maximize",MAX($C239:$AI239),MIN($C239:$AI239)),$C239:$AI239,0))),W228)</f>
        <v>0</v>
      </c>
      <c r="X243" s="1">
        <f>IF(OR($B243&lt;&gt;$B228,$B244&lt;&gt;$B229,$B245&lt;&gt;$B230,$B246&lt;&gt;$B231,$B247&lt;&gt;$B232,$B248&lt;&gt;$B233,$B249&lt;&gt;$B234,$B250&lt;&gt;$B235,$B251&lt;&gt;$B236,$B252&lt;&gt;$B237,$B253&lt;&gt;$B238),IF($B243&lt;&gt;$B228,X228/INDEX($C228:$AJ238,1,MATCH(IF('Data-solution'!$A$3="Maximize",MAX($C239:$AI239),MIN($C239:$AI239)),$C239:$AI239,0)),X228-INDEX($C228:$AJ238,1,MATCH(IF('Data-solution'!$A$3="Maximize",MAX($C239:$AI239),MIN($C239:$AI239)),$C239:$AI239,0))*INDEX(X228:$AJ238,MATCH(MIN($AK228:$AK238),$AK228:$AK238,0),1)/INDEX($C228:$AJ238,MATCH(MIN($AK228:$AK238),$AK228:$AK238,0),MATCH(IF('Data-solution'!$A$3="Maximize",MAX($C239:$AI239),MIN($C239:$AI239)),$C239:$AI239,0))),X228)</f>
        <v>0</v>
      </c>
      <c r="Y243" s="1">
        <f>IF(OR($B243&lt;&gt;$B228,$B244&lt;&gt;$B229,$B245&lt;&gt;$B230,$B246&lt;&gt;$B231,$B247&lt;&gt;$B232,$B248&lt;&gt;$B233,$B249&lt;&gt;$B234,$B250&lt;&gt;$B235,$B251&lt;&gt;$B236,$B252&lt;&gt;$B237,$B253&lt;&gt;$B238),IF($B243&lt;&gt;$B228,Y228/INDEX($C228:$AJ238,1,MATCH(IF('Data-solution'!$A$3="Maximize",MAX($C239:$AI239),MIN($C239:$AI239)),$C239:$AI239,0)),Y228-INDEX($C228:$AJ238,1,MATCH(IF('Data-solution'!$A$3="Maximize",MAX($C239:$AI239),MIN($C239:$AI239)),$C239:$AI239,0))*INDEX(Y228:$AJ238,MATCH(MIN($AK228:$AK238),$AK228:$AK238,0),1)/INDEX($C228:$AJ238,MATCH(MIN($AK228:$AK238),$AK228:$AK238,0),MATCH(IF('Data-solution'!$A$3="Maximize",MAX($C239:$AI239),MIN($C239:$AI239)),$C239:$AI239,0))),Y228)</f>
        <v>1</v>
      </c>
      <c r="Z243" s="1">
        <f>IF(OR($B243&lt;&gt;$B228,$B244&lt;&gt;$B229,$B245&lt;&gt;$B230,$B246&lt;&gt;$B231,$B247&lt;&gt;$B232,$B248&lt;&gt;$B233,$B249&lt;&gt;$B234,$B250&lt;&gt;$B235,$B251&lt;&gt;$B236,$B252&lt;&gt;$B237,$B253&lt;&gt;$B238),IF($B243&lt;&gt;$B228,Z228/INDEX($C228:$AJ238,1,MATCH(IF('Data-solution'!$A$3="Maximize",MAX($C239:$AI239),MIN($C239:$AI239)),$C239:$AI239,0)),Z228-INDEX($C228:$AJ238,1,MATCH(IF('Data-solution'!$A$3="Maximize",MAX($C239:$AI239),MIN($C239:$AI239)),$C239:$AI239,0))*INDEX(Z228:$AJ238,MATCH(MIN($AK228:$AK238),$AK228:$AK238,0),1)/INDEX($C228:$AJ238,MATCH(MIN($AK228:$AK238),$AK228:$AK238,0),MATCH(IF('Data-solution'!$A$3="Maximize",MAX($C239:$AI239),MIN($C239:$AI239)),$C239:$AI239,0))),Z228)</f>
        <v>0</v>
      </c>
      <c r="AA243" s="1">
        <f>IF(OR($B243&lt;&gt;$B228,$B244&lt;&gt;$B229,$B245&lt;&gt;$B230,$B246&lt;&gt;$B231,$B247&lt;&gt;$B232,$B248&lt;&gt;$B233,$B249&lt;&gt;$B234,$B250&lt;&gt;$B235,$B251&lt;&gt;$B236,$B252&lt;&gt;$B237,$B253&lt;&gt;$B238),IF($B243&lt;&gt;$B228,AA228/INDEX($C228:$AJ238,1,MATCH(IF('Data-solution'!$A$3="Maximize",MAX($C239:$AI239),MIN($C239:$AI239)),$C239:$AI239,0)),AA228-INDEX($C228:$AJ238,1,MATCH(IF('Data-solution'!$A$3="Maximize",MAX($C239:$AI239),MIN($C239:$AI239)),$C239:$AI239,0))*INDEX(AA228:$AJ238,MATCH(MIN($AK228:$AK238),$AK228:$AK238,0),1)/INDEX($C228:$AJ238,MATCH(MIN($AK228:$AK238),$AK228:$AK238,0),MATCH(IF('Data-solution'!$A$3="Maximize",MAX($C239:$AI239),MIN($C239:$AI239)),$C239:$AI239,0))),AA228)</f>
        <v>0</v>
      </c>
      <c r="AB243" s="1">
        <f>IF(OR($B243&lt;&gt;$B228,$B244&lt;&gt;$B229,$B245&lt;&gt;$B230,$B246&lt;&gt;$B231,$B247&lt;&gt;$B232,$B248&lt;&gt;$B233,$B249&lt;&gt;$B234,$B250&lt;&gt;$B235,$B251&lt;&gt;$B236,$B252&lt;&gt;$B237,$B253&lt;&gt;$B238),IF($B243&lt;&gt;$B228,AB228/INDEX($C228:$AJ238,1,MATCH(IF('Data-solution'!$A$3="Maximize",MAX($C239:$AI239),MIN($C239:$AI239)),$C239:$AI239,0)),AB228-INDEX($C228:$AJ238,1,MATCH(IF('Data-solution'!$A$3="Maximize",MAX($C239:$AI239),MIN($C239:$AI239)),$C239:$AI239,0))*INDEX(AB228:$AJ238,MATCH(MIN($AK228:$AK238),$AK228:$AK238,0),1)/INDEX($C228:$AJ238,MATCH(MIN($AK228:$AK238),$AK228:$AK238,0),MATCH(IF('Data-solution'!$A$3="Maximize",MAX($C239:$AI239),MIN($C239:$AI239)),$C239:$AI239,0))),AB228)</f>
        <v>-1</v>
      </c>
      <c r="AC243" s="1">
        <f>IF(OR($B243&lt;&gt;$B228,$B244&lt;&gt;$B229,$B245&lt;&gt;$B230,$B246&lt;&gt;$B231,$B247&lt;&gt;$B232,$B248&lt;&gt;$B233,$B249&lt;&gt;$B234,$B250&lt;&gt;$B235,$B251&lt;&gt;$B236,$B252&lt;&gt;$B237,$B253&lt;&gt;$B238),IF($B243&lt;&gt;$B228,AC228/INDEX($C228:$AJ238,1,MATCH(IF('Data-solution'!$A$3="Maximize",MAX($C239:$AI239),MIN($C239:$AI239)),$C239:$AI239,0)),AC228-INDEX($C228:$AJ238,1,MATCH(IF('Data-solution'!$A$3="Maximize",MAX($C239:$AI239),MIN($C239:$AI239)),$C239:$AI239,0))*INDEX(AC228:$AJ238,MATCH(MIN($AK228:$AK238),$AK228:$AK238,0),1)/INDEX($C228:$AJ238,MATCH(MIN($AK228:$AK238),$AK228:$AK238,0),MATCH(IF('Data-solution'!$A$3="Maximize",MAX($C239:$AI239),MIN($C239:$AI239)),$C239:$AI239,0))),AC228)</f>
        <v>0</v>
      </c>
      <c r="AD243" s="1">
        <f>IF(OR($B243&lt;&gt;$B228,$B244&lt;&gt;$B229,$B245&lt;&gt;$B230,$B246&lt;&gt;$B231,$B247&lt;&gt;$B232,$B248&lt;&gt;$B233,$B249&lt;&gt;$B234,$B250&lt;&gt;$B235,$B251&lt;&gt;$B236,$B252&lt;&gt;$B237,$B253&lt;&gt;$B238),IF($B243&lt;&gt;$B228,AD228/INDEX($C228:$AJ238,1,MATCH(IF('Data-solution'!$A$3="Maximize",MAX($C239:$AI239),MIN($C239:$AI239)),$C239:$AI239,0)),AD228-INDEX($C228:$AJ238,1,MATCH(IF('Data-solution'!$A$3="Maximize",MAX($C239:$AI239),MIN($C239:$AI239)),$C239:$AI239,0))*INDEX(AD228:$AJ238,MATCH(MIN($AK228:$AK238),$AK228:$AK238,0),1)/INDEX($C228:$AJ238,MATCH(MIN($AK228:$AK238),$AK228:$AK238,0),MATCH(IF('Data-solution'!$A$3="Maximize",MAX($C239:$AI239),MIN($C239:$AI239)),$C239:$AI239,0))),AD228)</f>
        <v>0</v>
      </c>
      <c r="AE243" s="1">
        <f>IF(OR($B243&lt;&gt;$B228,$B244&lt;&gt;$B229,$B245&lt;&gt;$B230,$B246&lt;&gt;$B231,$B247&lt;&gt;$B232,$B248&lt;&gt;$B233,$B249&lt;&gt;$B234,$B250&lt;&gt;$B235,$B251&lt;&gt;$B236,$B252&lt;&gt;$B237,$B253&lt;&gt;$B238),IF($B243&lt;&gt;$B228,AE228/INDEX($C228:$AJ238,1,MATCH(IF('Data-solution'!$A$3="Maximize",MAX($C239:$AI239),MIN($C239:$AI239)),$C239:$AI239,0)),AE228-INDEX($C228:$AJ238,1,MATCH(IF('Data-solution'!$A$3="Maximize",MAX($C239:$AI239),MIN($C239:$AI239)),$C239:$AI239,0))*INDEX(AE228:$AJ238,MATCH(MIN($AK228:$AK238),$AK228:$AK238,0),1)/INDEX($C228:$AJ238,MATCH(MIN($AK228:$AK238),$AK228:$AK238,0),MATCH(IF('Data-solution'!$A$3="Maximize",MAX($C239:$AI239),MIN($C239:$AI239)),$C239:$AI239,0))),AE228)</f>
        <v>0</v>
      </c>
      <c r="AF243" s="1">
        <f>IF(OR($B243&lt;&gt;$B228,$B244&lt;&gt;$B229,$B245&lt;&gt;$B230,$B246&lt;&gt;$B231,$B247&lt;&gt;$B232,$B248&lt;&gt;$B233,$B249&lt;&gt;$B234,$B250&lt;&gt;$B235,$B251&lt;&gt;$B236,$B252&lt;&gt;$B237,$B253&lt;&gt;$B238),IF($B243&lt;&gt;$B228,AF228/INDEX($C228:$AJ238,1,MATCH(IF('Data-solution'!$A$3="Maximize",MAX($C239:$AI239),MIN($C239:$AI239)),$C239:$AI239,0)),AF228-INDEX($C228:$AJ238,1,MATCH(IF('Data-solution'!$A$3="Maximize",MAX($C239:$AI239),MIN($C239:$AI239)),$C239:$AI239,0))*INDEX(AF228:$AJ238,MATCH(MIN($AK228:$AK238),$AK228:$AK238,0),1)/INDEX($C228:$AJ238,MATCH(MIN($AK228:$AK238),$AK228:$AK238,0),MATCH(IF('Data-solution'!$A$3="Maximize",MAX($C239:$AI239),MIN($C239:$AI239)),$C239:$AI239,0))),AF228)</f>
        <v>0</v>
      </c>
      <c r="AG243" s="1">
        <f>IF(OR($B243&lt;&gt;$B228,$B244&lt;&gt;$B229,$B245&lt;&gt;$B230,$B246&lt;&gt;$B231,$B247&lt;&gt;$B232,$B248&lt;&gt;$B233,$B249&lt;&gt;$B234,$B250&lt;&gt;$B235,$B251&lt;&gt;$B236,$B252&lt;&gt;$B237,$B253&lt;&gt;$B238),IF($B243&lt;&gt;$B228,AG228/INDEX($C228:$AJ238,1,MATCH(IF('Data-solution'!$A$3="Maximize",MAX($C239:$AI239),MIN($C239:$AI239)),$C239:$AI239,0)),AG228-INDEX($C228:$AJ238,1,MATCH(IF('Data-solution'!$A$3="Maximize",MAX($C239:$AI239),MIN($C239:$AI239)),$C239:$AI239,0))*INDEX(AG228:$AJ238,MATCH(MIN($AK228:$AK238),$AK228:$AK238,0),1)/INDEX($C228:$AJ238,MATCH(MIN($AK228:$AK238),$AK228:$AK238,0),MATCH(IF('Data-solution'!$A$3="Maximize",MAX($C239:$AI239),MIN($C239:$AI239)),$C239:$AI239,0))),AG228)</f>
        <v>0</v>
      </c>
      <c r="AH243" s="1">
        <f>IF(OR($B243&lt;&gt;$B228,$B244&lt;&gt;$B229,$B245&lt;&gt;$B230,$B246&lt;&gt;$B231,$B247&lt;&gt;$B232,$B248&lt;&gt;$B233,$B249&lt;&gt;$B234,$B250&lt;&gt;$B235,$B251&lt;&gt;$B236,$B252&lt;&gt;$B237,$B253&lt;&gt;$B238),IF($B243&lt;&gt;$B228,AH228/INDEX($C228:$AJ238,1,MATCH(IF('Data-solution'!$A$3="Maximize",MAX($C239:$AI239),MIN($C239:$AI239)),$C239:$AI239,0)),AH228-INDEX($C228:$AJ238,1,MATCH(IF('Data-solution'!$A$3="Maximize",MAX($C239:$AI239),MIN($C239:$AI239)),$C239:$AI239,0))*INDEX(AH228:$AJ238,MATCH(MIN($AK228:$AK238),$AK228:$AK238,0),1)/INDEX($C228:$AJ238,MATCH(MIN($AK228:$AK238),$AK228:$AK238,0),MATCH(IF('Data-solution'!$A$3="Maximize",MAX($C239:$AI239),MIN($C239:$AI239)),$C239:$AI239,0))),AH228)</f>
        <v>0</v>
      </c>
      <c r="AI243" s="1">
        <f>IF(OR($B243&lt;&gt;$B228,$B244&lt;&gt;$B229,$B245&lt;&gt;$B230,$B246&lt;&gt;$B231,$B247&lt;&gt;$B232,$B248&lt;&gt;$B233,$B249&lt;&gt;$B234,$B250&lt;&gt;$B235,$B251&lt;&gt;$B236,$B252&lt;&gt;$B237,$B253&lt;&gt;$B238),IF($B243&lt;&gt;$B228,AI228/INDEX($C228:$AJ238,1,MATCH(IF('Data-solution'!$A$3="Maximize",MAX($C239:$AI239),MIN($C239:$AI239)),$C239:$AI239,0)),AI228-INDEX($C228:$AJ238,1,MATCH(IF('Data-solution'!$A$3="Maximize",MAX($C239:$AI239),MIN($C239:$AI239)),$C239:$AI239,0))*INDEX(AI228:$AJ238,MATCH(MIN($AK228:$AK238),$AK228:$AK238,0),1)/INDEX($C228:$AJ238,MATCH(MIN($AK228:$AK238),$AK228:$AK238,0),MATCH(IF('Data-solution'!$A$3="Maximize",MAX($C239:$AI239),MIN($C239:$AI239)),$C239:$AI239,0))),AI228)</f>
        <v>0</v>
      </c>
      <c r="AJ243" s="1">
        <f>IF(OR($B243&lt;&gt;$B228,$B244&lt;&gt;$B229,$B245&lt;&gt;$B230,$B246&lt;&gt;$B231,$B247&lt;&gt;$B232,$B248&lt;&gt;$B233,$B249&lt;&gt;$B234,$B250&lt;&gt;$B235,$B251&lt;&gt;$B236,$B252&lt;&gt;$B237,$B253&lt;&gt;$B238),IF($B243&lt;&gt;$B228,AJ228/INDEX($C228:$AJ238,1,MATCH(IF('Data-solution'!$A$3="Maximize",MAX($C239:$AI239),MIN($C239:$AI239)),$C239:$AI239,0)),AJ228-INDEX($C228:$AJ238,1,MATCH(IF('Data-solution'!$A$3="Maximize",MAX($C239:$AI239),MIN($C239:$AI239)),$C239:$AI239,0))*INDEX(AJ228:$AJ238,MATCH(MIN($AK228:$AK238),$AK228:$AK238,0),1)/INDEX($C228:$AJ238,MATCH(MIN($AK228:$AK238),$AK228:$AK238,0),MATCH(IF('Data-solution'!$A$3="Maximize",MAX($C239:$AI239),MIN($C239:$AI239)),$C239:$AI239,0))),AJ228)</f>
        <v>150</v>
      </c>
      <c r="AK243" s="1" t="str">
        <f>IF(INDEX(C243:X243,1,MATCH(IF('Data-solution'!A$3="Maximize",MAX(C254:X254),MIN(C254:X254)),C254:X254,0))&gt;0,AJ243/INDEX(C243:X243,1,MATCH(IF('Data-solution'!A$3="Maximize",MAX(C254:X254),MIN(C254:X254)),C254:X254,0))," ")</f>
        <v xml:space="preserve"> </v>
      </c>
    </row>
    <row r="244" spans="1:37" ht="18" customHeight="1" x14ac:dyDescent="0.2">
      <c r="A244" s="1">
        <f t="shared" ref="A244" si="213">INDEX(C241:AI241,1,MATCH(B244,C242:AI242,0))</f>
        <v>0</v>
      </c>
      <c r="B244" s="2" t="str">
        <f>IF(AND('Data-solution'!A$3="Maximize",COUNTIF(C239:X239,"&gt;"&amp;0)&gt;0,AK229=MIN(AK228:AK238),COUNTIF(B243,INDEX(C227:X227,1,MATCH(MAX(C239:X239),C239:X239,0)))=0),INDEX(C227:X227,1,MATCH(MAX(C239:X239),C239:X239,0)),IF(AND('Data-solution'!A$3="Minimize",COUNTIF(C239:X239,"&lt;"&amp;0)&gt;0,AK229=MIN(AK228:AK238),COUNTIF(B243,INDEX(C227:X227,1,MATCH(MIN(C239:X239),C239:X239,0)))=0),INDEX(C227:X227,1,MATCH(MIN(C239:X239),C239:X239,0)),B229))</f>
        <v>S2</v>
      </c>
      <c r="C244" s="1">
        <f>IF(OR($B243&lt;&gt;$B228,$B244&lt;&gt;$B229,$B245&lt;&gt;$B230,$B246&lt;&gt;$B231,$B247&lt;&gt;$B232,$B248&lt;&gt;$B233,$B249&lt;&gt;$B234,$B250&lt;&gt;$B235,$B251&lt;&gt;$B236,$B252&lt;&gt;$B237,$B253&lt;&gt;$B238),IF($B244&lt;&gt;$B229,C229/INDEX($C228:$AJ238,2,MATCH(IF('Data-solution'!$A$3="Maximize",MAX($C239:$AI239),MIN($C239:$AI239)),$C239:$AI239,0)),C229-INDEX($C228:$AJ238,2,MATCH(IF('Data-solution'!$A$3="Maximize",MAX($C239:$AI239),MIN($C239:$AI239)),$C239:$AI239,0))*INDEX(C228:$AJ238,MATCH(MIN($AK228:$AK238),$AK228:$AK238,0),1)/INDEX($C228:$AJ238,MATCH(MIN($AK228:$AK238),$AK228:$AK238,0),MATCH(IF('Data-solution'!$A$3="Maximize",MAX($C239:$AI239),MIN($C239:$AI239)),$C239:$AI239,0))),C229)</f>
        <v>0</v>
      </c>
      <c r="D244" s="1">
        <f>IF(OR($B243&lt;&gt;$B228,$B244&lt;&gt;$B229,$B245&lt;&gt;$B230,$B246&lt;&gt;$B231,$B247&lt;&gt;$B232,$B248&lt;&gt;$B233,$B249&lt;&gt;$B234,$B250&lt;&gt;$B235,$B251&lt;&gt;$B236,$B252&lt;&gt;$B237,$B253&lt;&gt;$B238),IF($B244&lt;&gt;$B229,D229/INDEX($C228:$AJ238,2,MATCH(IF('Data-solution'!$A$3="Maximize",MAX($C239:$AI239),MIN($C239:$AI239)),$C239:$AI239,0)),D229-INDEX($C228:$AJ238,2,MATCH(IF('Data-solution'!$A$3="Maximize",MAX($C239:$AI239),MIN($C239:$AI239)),$C239:$AI239,0))*INDEX(D228:$AJ238,MATCH(MIN($AK228:$AK238),$AK228:$AK238,0),1)/INDEX($C228:$AJ238,MATCH(MIN($AK228:$AK238),$AK228:$AK238,0),MATCH(IF('Data-solution'!$A$3="Maximize",MAX($C239:$AI239),MIN($C239:$AI239)),$C239:$AI239,0))),D229)</f>
        <v>1.75</v>
      </c>
      <c r="E244" s="1">
        <f>IF(OR($B243&lt;&gt;$B228,$B244&lt;&gt;$B229,$B245&lt;&gt;$B230,$B246&lt;&gt;$B231,$B247&lt;&gt;$B232,$B248&lt;&gt;$B233,$B249&lt;&gt;$B234,$B250&lt;&gt;$B235,$B251&lt;&gt;$B236,$B252&lt;&gt;$B237,$B253&lt;&gt;$B238),IF($B244&lt;&gt;$B229,E229/INDEX($C228:$AJ238,2,MATCH(IF('Data-solution'!$A$3="Maximize",MAX($C239:$AI239),MIN($C239:$AI239)),$C239:$AI239,0)),E229-INDEX($C228:$AJ238,2,MATCH(IF('Data-solution'!$A$3="Maximize",MAX($C239:$AI239),MIN($C239:$AI239)),$C239:$AI239,0))*INDEX(E228:$AJ238,MATCH(MIN($AK228:$AK238),$AK228:$AK238,0),1)/INDEX($C228:$AJ238,MATCH(MIN($AK228:$AK238),$AK228:$AK238,0),MATCH(IF('Data-solution'!$A$3="Maximize",MAX($C239:$AI239),MIN($C239:$AI239)),$C239:$AI239,0))),E229)</f>
        <v>0</v>
      </c>
      <c r="F244" s="1">
        <f>IF(OR($B243&lt;&gt;$B228,$B244&lt;&gt;$B229,$B245&lt;&gt;$B230,$B246&lt;&gt;$B231,$B247&lt;&gt;$B232,$B248&lt;&gt;$B233,$B249&lt;&gt;$B234,$B250&lt;&gt;$B235,$B251&lt;&gt;$B236,$B252&lt;&gt;$B237,$B253&lt;&gt;$B238),IF($B244&lt;&gt;$B229,F229/INDEX($C228:$AJ238,2,MATCH(IF('Data-solution'!$A$3="Maximize",MAX($C239:$AI239),MIN($C239:$AI239)),$C239:$AI239,0)),F229-INDEX($C228:$AJ238,2,MATCH(IF('Data-solution'!$A$3="Maximize",MAX($C239:$AI239),MIN($C239:$AI239)),$C239:$AI239,0))*INDEX(F228:$AJ238,MATCH(MIN($AK228:$AK238),$AK228:$AK238,0),1)/INDEX($C228:$AJ238,MATCH(MIN($AK228:$AK238),$AK228:$AK238,0),MATCH(IF('Data-solution'!$A$3="Maximize",MAX($C239:$AI239),MIN($C239:$AI239)),$C239:$AI239,0))),F229)</f>
        <v>0</v>
      </c>
      <c r="G244" s="1">
        <f>IF(OR($B243&lt;&gt;$B228,$B244&lt;&gt;$B229,$B245&lt;&gt;$B230,$B246&lt;&gt;$B231,$B247&lt;&gt;$B232,$B248&lt;&gt;$B233,$B249&lt;&gt;$B234,$B250&lt;&gt;$B235,$B251&lt;&gt;$B236,$B252&lt;&gt;$B237,$B253&lt;&gt;$B238),IF($B244&lt;&gt;$B229,G229/INDEX($C228:$AJ238,2,MATCH(IF('Data-solution'!$A$3="Maximize",MAX($C239:$AI239),MIN($C239:$AI239)),$C239:$AI239,0)),G229-INDEX($C228:$AJ238,2,MATCH(IF('Data-solution'!$A$3="Maximize",MAX($C239:$AI239),MIN($C239:$AI239)),$C239:$AI239,0))*INDEX(G228:$AJ238,MATCH(MIN($AK228:$AK238),$AK228:$AK238,0),1)/INDEX($C228:$AJ238,MATCH(MIN($AK228:$AK238),$AK228:$AK238,0),MATCH(IF('Data-solution'!$A$3="Maximize",MAX($C239:$AI239),MIN($C239:$AI239)),$C239:$AI239,0))),G229)</f>
        <v>0</v>
      </c>
      <c r="H244" s="1">
        <f>IF(OR($B243&lt;&gt;$B228,$B244&lt;&gt;$B229,$B245&lt;&gt;$B230,$B246&lt;&gt;$B231,$B247&lt;&gt;$B232,$B248&lt;&gt;$B233,$B249&lt;&gt;$B234,$B250&lt;&gt;$B235,$B251&lt;&gt;$B236,$B252&lt;&gt;$B237,$B253&lt;&gt;$B238),IF($B244&lt;&gt;$B229,H229/INDEX($C228:$AJ238,2,MATCH(IF('Data-solution'!$A$3="Maximize",MAX($C239:$AI239),MIN($C239:$AI239)),$C239:$AI239,0)),H229-INDEX($C228:$AJ238,2,MATCH(IF('Data-solution'!$A$3="Maximize",MAX($C239:$AI239),MIN($C239:$AI239)),$C239:$AI239,0))*INDEX(H228:$AJ238,MATCH(MIN($AK228:$AK238),$AK228:$AK238,0),1)/INDEX($C228:$AJ238,MATCH(MIN($AK228:$AK238),$AK228:$AK238,0),MATCH(IF('Data-solution'!$A$3="Maximize",MAX($C239:$AI239),MIN($C239:$AI239)),$C239:$AI239,0))),H229)</f>
        <v>0</v>
      </c>
      <c r="I244" s="1">
        <f>IF(OR($B243&lt;&gt;$B228,$B244&lt;&gt;$B229,$B245&lt;&gt;$B230,$B246&lt;&gt;$B231,$B247&lt;&gt;$B232,$B248&lt;&gt;$B233,$B249&lt;&gt;$B234,$B250&lt;&gt;$B235,$B251&lt;&gt;$B236,$B252&lt;&gt;$B237,$B253&lt;&gt;$B238),IF($B244&lt;&gt;$B229,I229/INDEX($C228:$AJ238,2,MATCH(IF('Data-solution'!$A$3="Maximize",MAX($C239:$AI239),MIN($C239:$AI239)),$C239:$AI239,0)),I229-INDEX($C228:$AJ238,2,MATCH(IF('Data-solution'!$A$3="Maximize",MAX($C239:$AI239),MIN($C239:$AI239)),$C239:$AI239,0))*INDEX(I228:$AJ238,MATCH(MIN($AK228:$AK238),$AK228:$AK238,0),1)/INDEX($C228:$AJ238,MATCH(MIN($AK228:$AK238),$AK228:$AK238,0),MATCH(IF('Data-solution'!$A$3="Maximize",MAX($C239:$AI239),MIN($C239:$AI239)),$C239:$AI239,0))),I229)</f>
        <v>0</v>
      </c>
      <c r="J244" s="1">
        <f>IF(OR($B243&lt;&gt;$B228,$B244&lt;&gt;$B229,$B245&lt;&gt;$B230,$B246&lt;&gt;$B231,$B247&lt;&gt;$B232,$B248&lt;&gt;$B233,$B249&lt;&gt;$B234,$B250&lt;&gt;$B235,$B251&lt;&gt;$B236,$B252&lt;&gt;$B237,$B253&lt;&gt;$B238),IF($B244&lt;&gt;$B229,J229/INDEX($C228:$AJ238,2,MATCH(IF('Data-solution'!$A$3="Maximize",MAX($C239:$AI239),MIN($C239:$AI239)),$C239:$AI239,0)),J229-INDEX($C228:$AJ238,2,MATCH(IF('Data-solution'!$A$3="Maximize",MAX($C239:$AI239),MIN($C239:$AI239)),$C239:$AI239,0))*INDEX(J228:$AJ238,MATCH(MIN($AK228:$AK238),$AK228:$AK238,0),1)/INDEX($C228:$AJ238,MATCH(MIN($AK228:$AK238),$AK228:$AK238,0),MATCH(IF('Data-solution'!$A$3="Maximize",MAX($C239:$AI239),MIN($C239:$AI239)),$C239:$AI239,0))),J229)</f>
        <v>0</v>
      </c>
      <c r="K244" s="1">
        <f>IF(OR($B243&lt;&gt;$B228,$B244&lt;&gt;$B229,$B245&lt;&gt;$B230,$B246&lt;&gt;$B231,$B247&lt;&gt;$B232,$B248&lt;&gt;$B233,$B249&lt;&gt;$B234,$B250&lt;&gt;$B235,$B251&lt;&gt;$B236,$B252&lt;&gt;$B237,$B253&lt;&gt;$B238),IF($B244&lt;&gt;$B229,K229/INDEX($C228:$AJ238,2,MATCH(IF('Data-solution'!$A$3="Maximize",MAX($C239:$AI239),MIN($C239:$AI239)),$C239:$AI239,0)),K229-INDEX($C228:$AJ238,2,MATCH(IF('Data-solution'!$A$3="Maximize",MAX($C239:$AI239),MIN($C239:$AI239)),$C239:$AI239,0))*INDEX(K228:$AJ238,MATCH(MIN($AK228:$AK238),$AK228:$AK238,0),1)/INDEX($C228:$AJ238,MATCH(MIN($AK228:$AK238),$AK228:$AK238,0),MATCH(IF('Data-solution'!$A$3="Maximize",MAX($C239:$AI239),MIN($C239:$AI239)),$C239:$AI239,0))),K229)</f>
        <v>0</v>
      </c>
      <c r="L244" s="1">
        <f>IF(OR($B243&lt;&gt;$B228,$B244&lt;&gt;$B229,$B245&lt;&gt;$B230,$B246&lt;&gt;$B231,$B247&lt;&gt;$B232,$B248&lt;&gt;$B233,$B249&lt;&gt;$B234,$B250&lt;&gt;$B235,$B251&lt;&gt;$B236,$B252&lt;&gt;$B237,$B253&lt;&gt;$B238),IF($B244&lt;&gt;$B229,L229/INDEX($C228:$AJ238,2,MATCH(IF('Data-solution'!$A$3="Maximize",MAX($C239:$AI239),MIN($C239:$AI239)),$C239:$AI239,0)),L229-INDEX($C228:$AJ238,2,MATCH(IF('Data-solution'!$A$3="Maximize",MAX($C239:$AI239),MIN($C239:$AI239)),$C239:$AI239,0))*INDEX(L228:$AJ238,MATCH(MIN($AK228:$AK238),$AK228:$AK238,0),1)/INDEX($C228:$AJ238,MATCH(MIN($AK228:$AK238),$AK228:$AK238,0),MATCH(IF('Data-solution'!$A$3="Maximize",MAX($C239:$AI239),MIN($C239:$AI239)),$C239:$AI239,0))),L229)</f>
        <v>0</v>
      </c>
      <c r="M244" s="1">
        <f>IF(OR($B243&lt;&gt;$B228,$B244&lt;&gt;$B229,$B245&lt;&gt;$B230,$B246&lt;&gt;$B231,$B247&lt;&gt;$B232,$B248&lt;&gt;$B233,$B249&lt;&gt;$B234,$B250&lt;&gt;$B235,$B251&lt;&gt;$B236,$B252&lt;&gt;$B237,$B253&lt;&gt;$B238),IF($B244&lt;&gt;$B229,M229/INDEX($C228:$AJ238,2,MATCH(IF('Data-solution'!$A$3="Maximize",MAX($C239:$AI239),MIN($C239:$AI239)),$C239:$AI239,0)),M229-INDEX($C228:$AJ238,2,MATCH(IF('Data-solution'!$A$3="Maximize",MAX($C239:$AI239),MIN($C239:$AI239)),$C239:$AI239,0))*INDEX(M228:$AJ238,MATCH(MIN($AK228:$AK238),$AK228:$AK238,0),1)/INDEX($C228:$AJ238,MATCH(MIN($AK228:$AK238),$AK228:$AK238,0),MATCH(IF('Data-solution'!$A$3="Maximize",MAX($C239:$AI239),MIN($C239:$AI239)),$C239:$AI239,0))),M229)</f>
        <v>0</v>
      </c>
      <c r="N244" s="1">
        <f>IF(OR($B243&lt;&gt;$B228,$B244&lt;&gt;$B229,$B245&lt;&gt;$B230,$B246&lt;&gt;$B231,$B247&lt;&gt;$B232,$B248&lt;&gt;$B233,$B249&lt;&gt;$B234,$B250&lt;&gt;$B235,$B251&lt;&gt;$B236,$B252&lt;&gt;$B237,$B253&lt;&gt;$B238),IF($B244&lt;&gt;$B229,N229/INDEX($C228:$AJ238,2,MATCH(IF('Data-solution'!$A$3="Maximize",MAX($C239:$AI239),MIN($C239:$AI239)),$C239:$AI239,0)),N229-INDEX($C228:$AJ238,2,MATCH(IF('Data-solution'!$A$3="Maximize",MAX($C239:$AI239),MIN($C239:$AI239)),$C239:$AI239,0))*INDEX(N228:$AJ238,MATCH(MIN($AK228:$AK238),$AK228:$AK238,0),1)/INDEX($C228:$AJ238,MATCH(MIN($AK228:$AK238),$AK228:$AK238,0),MATCH(IF('Data-solution'!$A$3="Maximize",MAX($C239:$AI239),MIN($C239:$AI239)),$C239:$AI239,0))),N229)</f>
        <v>0</v>
      </c>
      <c r="O244" s="1">
        <f>IF(OR($B243&lt;&gt;$B228,$B244&lt;&gt;$B229,$B245&lt;&gt;$B230,$B246&lt;&gt;$B231,$B247&lt;&gt;$B232,$B248&lt;&gt;$B233,$B249&lt;&gt;$B234,$B250&lt;&gt;$B235,$B251&lt;&gt;$B236,$B252&lt;&gt;$B237,$B253&lt;&gt;$B238),IF($B244&lt;&gt;$B229,O229/INDEX($C228:$AJ238,2,MATCH(IF('Data-solution'!$A$3="Maximize",MAX($C239:$AI239),MIN($C239:$AI239)),$C239:$AI239,0)),O229-INDEX($C228:$AJ238,2,MATCH(IF('Data-solution'!$A$3="Maximize",MAX($C239:$AI239),MIN($C239:$AI239)),$C239:$AI239,0))*INDEX(O228:$AJ238,MATCH(MIN($AK228:$AK238),$AK228:$AK238,0),1)/INDEX($C228:$AJ238,MATCH(MIN($AK228:$AK238),$AK228:$AK238,0),MATCH(IF('Data-solution'!$A$3="Maximize",MAX($C239:$AI239),MIN($C239:$AI239)),$C239:$AI239,0))),O229)</f>
        <v>1</v>
      </c>
      <c r="P244" s="1">
        <f>IF(OR($B243&lt;&gt;$B228,$B244&lt;&gt;$B229,$B245&lt;&gt;$B230,$B246&lt;&gt;$B231,$B247&lt;&gt;$B232,$B248&lt;&gt;$B233,$B249&lt;&gt;$B234,$B250&lt;&gt;$B235,$B251&lt;&gt;$B236,$B252&lt;&gt;$B237,$B253&lt;&gt;$B238),IF($B244&lt;&gt;$B229,P229/INDEX($C228:$AJ238,2,MATCH(IF('Data-solution'!$A$3="Maximize",MAX($C239:$AI239),MIN($C239:$AI239)),$C239:$AI239,0)),P229-INDEX($C228:$AJ238,2,MATCH(IF('Data-solution'!$A$3="Maximize",MAX($C239:$AI239),MIN($C239:$AI239)),$C239:$AI239,0))*INDEX(P228:$AJ238,MATCH(MIN($AK228:$AK238),$AK228:$AK238,0),1)/INDEX($C228:$AJ238,MATCH(MIN($AK228:$AK238),$AK228:$AK238,0),MATCH(IF('Data-solution'!$A$3="Maximize",MAX($C239:$AI239),MIN($C239:$AI239)),$C239:$AI239,0))),P229)</f>
        <v>-0.25</v>
      </c>
      <c r="Q244" s="1">
        <f>IF(OR($B243&lt;&gt;$B228,$B244&lt;&gt;$B229,$B245&lt;&gt;$B230,$B246&lt;&gt;$B231,$B247&lt;&gt;$B232,$B248&lt;&gt;$B233,$B249&lt;&gt;$B234,$B250&lt;&gt;$B235,$B251&lt;&gt;$B236,$B252&lt;&gt;$B237,$B253&lt;&gt;$B238),IF($B244&lt;&gt;$B229,Q229/INDEX($C228:$AJ238,2,MATCH(IF('Data-solution'!$A$3="Maximize",MAX($C239:$AI239),MIN($C239:$AI239)),$C239:$AI239,0)),Q229-INDEX($C228:$AJ238,2,MATCH(IF('Data-solution'!$A$3="Maximize",MAX($C239:$AI239),MIN($C239:$AI239)),$C239:$AI239,0))*INDEX(Q228:$AJ238,MATCH(MIN($AK228:$AK238),$AK228:$AK238,0),1)/INDEX($C228:$AJ238,MATCH(MIN($AK228:$AK238),$AK228:$AK238,0),MATCH(IF('Data-solution'!$A$3="Maximize",MAX($C239:$AI239),MIN($C239:$AI239)),$C239:$AI239,0))),Q229)</f>
        <v>-0.5</v>
      </c>
      <c r="R244" s="1">
        <f>IF(OR($B243&lt;&gt;$B228,$B244&lt;&gt;$B229,$B245&lt;&gt;$B230,$B246&lt;&gt;$B231,$B247&lt;&gt;$B232,$B248&lt;&gt;$B233,$B249&lt;&gt;$B234,$B250&lt;&gt;$B235,$B251&lt;&gt;$B236,$B252&lt;&gt;$B237,$B253&lt;&gt;$B238),IF($B244&lt;&gt;$B229,R229/INDEX($C228:$AJ238,2,MATCH(IF('Data-solution'!$A$3="Maximize",MAX($C239:$AI239),MIN($C239:$AI239)),$C239:$AI239,0)),R229-INDEX($C228:$AJ238,2,MATCH(IF('Data-solution'!$A$3="Maximize",MAX($C239:$AI239),MIN($C239:$AI239)),$C239:$AI239,0))*INDEX(R228:$AJ238,MATCH(MIN($AK228:$AK238),$AK228:$AK238,0),1)/INDEX($C228:$AJ238,MATCH(MIN($AK228:$AK238),$AK228:$AK238,0),MATCH(IF('Data-solution'!$A$3="Maximize",MAX($C239:$AI239),MIN($C239:$AI239)),$C239:$AI239,0))),R229)</f>
        <v>0</v>
      </c>
      <c r="S244" s="1">
        <f>IF(OR($B243&lt;&gt;$B228,$B244&lt;&gt;$B229,$B245&lt;&gt;$B230,$B246&lt;&gt;$B231,$B247&lt;&gt;$B232,$B248&lt;&gt;$B233,$B249&lt;&gt;$B234,$B250&lt;&gt;$B235,$B251&lt;&gt;$B236,$B252&lt;&gt;$B237,$B253&lt;&gt;$B238),IF($B244&lt;&gt;$B229,S229/INDEX($C228:$AJ238,2,MATCH(IF('Data-solution'!$A$3="Maximize",MAX($C239:$AI239),MIN($C239:$AI239)),$C239:$AI239,0)),S229-INDEX($C228:$AJ238,2,MATCH(IF('Data-solution'!$A$3="Maximize",MAX($C239:$AI239),MIN($C239:$AI239)),$C239:$AI239,0))*INDEX(S228:$AJ238,MATCH(MIN($AK228:$AK238),$AK228:$AK238,0),1)/INDEX($C228:$AJ238,MATCH(MIN($AK228:$AK238),$AK228:$AK238,0),MATCH(IF('Data-solution'!$A$3="Maximize",MAX($C239:$AI239),MIN($C239:$AI239)),$C239:$AI239,0))),S229)</f>
        <v>0</v>
      </c>
      <c r="T244" s="1">
        <f>IF(OR($B243&lt;&gt;$B228,$B244&lt;&gt;$B229,$B245&lt;&gt;$B230,$B246&lt;&gt;$B231,$B247&lt;&gt;$B232,$B248&lt;&gt;$B233,$B249&lt;&gt;$B234,$B250&lt;&gt;$B235,$B251&lt;&gt;$B236,$B252&lt;&gt;$B237,$B253&lt;&gt;$B238),IF($B244&lt;&gt;$B229,T229/INDEX($C228:$AJ238,2,MATCH(IF('Data-solution'!$A$3="Maximize",MAX($C239:$AI239),MIN($C239:$AI239)),$C239:$AI239,0)),T229-INDEX($C228:$AJ238,2,MATCH(IF('Data-solution'!$A$3="Maximize",MAX($C239:$AI239),MIN($C239:$AI239)),$C239:$AI239,0))*INDEX(T228:$AJ238,MATCH(MIN($AK228:$AK238),$AK228:$AK238,0),1)/INDEX($C228:$AJ238,MATCH(MIN($AK228:$AK238),$AK228:$AK238,0),MATCH(IF('Data-solution'!$A$3="Maximize",MAX($C239:$AI239),MIN($C239:$AI239)),$C239:$AI239,0))),T229)</f>
        <v>0</v>
      </c>
      <c r="U244" s="1">
        <f>IF(OR($B243&lt;&gt;$B228,$B244&lt;&gt;$B229,$B245&lt;&gt;$B230,$B246&lt;&gt;$B231,$B247&lt;&gt;$B232,$B248&lt;&gt;$B233,$B249&lt;&gt;$B234,$B250&lt;&gt;$B235,$B251&lt;&gt;$B236,$B252&lt;&gt;$B237,$B253&lt;&gt;$B238),IF($B244&lt;&gt;$B229,U229/INDEX($C228:$AJ238,2,MATCH(IF('Data-solution'!$A$3="Maximize",MAX($C239:$AI239),MIN($C239:$AI239)),$C239:$AI239,0)),U229-INDEX($C228:$AJ238,2,MATCH(IF('Data-solution'!$A$3="Maximize",MAX($C239:$AI239),MIN($C239:$AI239)),$C239:$AI239,0))*INDEX(U228:$AJ238,MATCH(MIN($AK228:$AK238),$AK228:$AK238,0),1)/INDEX($C228:$AJ238,MATCH(MIN($AK228:$AK238),$AK228:$AK238,0),MATCH(IF('Data-solution'!$A$3="Maximize",MAX($C239:$AI239),MIN($C239:$AI239)),$C239:$AI239,0))),U229)</f>
        <v>0</v>
      </c>
      <c r="V244" s="1">
        <f>IF(OR($B243&lt;&gt;$B228,$B244&lt;&gt;$B229,$B245&lt;&gt;$B230,$B246&lt;&gt;$B231,$B247&lt;&gt;$B232,$B248&lt;&gt;$B233,$B249&lt;&gt;$B234,$B250&lt;&gt;$B235,$B251&lt;&gt;$B236,$B252&lt;&gt;$B237,$B253&lt;&gt;$B238),IF($B244&lt;&gt;$B229,V229/INDEX($C228:$AJ238,2,MATCH(IF('Data-solution'!$A$3="Maximize",MAX($C239:$AI239),MIN($C239:$AI239)),$C239:$AI239,0)),V229-INDEX($C228:$AJ238,2,MATCH(IF('Data-solution'!$A$3="Maximize",MAX($C239:$AI239),MIN($C239:$AI239)),$C239:$AI239,0))*INDEX(V228:$AJ238,MATCH(MIN($AK228:$AK238),$AK228:$AK238,0),1)/INDEX($C228:$AJ238,MATCH(MIN($AK228:$AK238),$AK228:$AK238,0),MATCH(IF('Data-solution'!$A$3="Maximize",MAX($C239:$AI239),MIN($C239:$AI239)),$C239:$AI239,0))),V229)</f>
        <v>0</v>
      </c>
      <c r="W244" s="1">
        <f>IF(OR($B243&lt;&gt;$B228,$B244&lt;&gt;$B229,$B245&lt;&gt;$B230,$B246&lt;&gt;$B231,$B247&lt;&gt;$B232,$B248&lt;&gt;$B233,$B249&lt;&gt;$B234,$B250&lt;&gt;$B235,$B251&lt;&gt;$B236,$B252&lt;&gt;$B237,$B253&lt;&gt;$B238),IF($B244&lt;&gt;$B229,W229/INDEX($C228:$AJ238,2,MATCH(IF('Data-solution'!$A$3="Maximize",MAX($C239:$AI239),MIN($C239:$AI239)),$C239:$AI239,0)),W229-INDEX($C228:$AJ238,2,MATCH(IF('Data-solution'!$A$3="Maximize",MAX($C239:$AI239),MIN($C239:$AI239)),$C239:$AI239,0))*INDEX(W228:$AJ238,MATCH(MIN($AK228:$AK238),$AK228:$AK238,0),1)/INDEX($C228:$AJ238,MATCH(MIN($AK228:$AK238),$AK228:$AK238,0),MATCH(IF('Data-solution'!$A$3="Maximize",MAX($C239:$AI239),MIN($C239:$AI239)),$C239:$AI239,0))),W229)</f>
        <v>0</v>
      </c>
      <c r="X244" s="1">
        <f>IF(OR($B243&lt;&gt;$B228,$B244&lt;&gt;$B229,$B245&lt;&gt;$B230,$B246&lt;&gt;$B231,$B247&lt;&gt;$B232,$B248&lt;&gt;$B233,$B249&lt;&gt;$B234,$B250&lt;&gt;$B235,$B251&lt;&gt;$B236,$B252&lt;&gt;$B237,$B253&lt;&gt;$B238),IF($B244&lt;&gt;$B229,X229/INDEX($C228:$AJ238,2,MATCH(IF('Data-solution'!$A$3="Maximize",MAX($C239:$AI239),MIN($C239:$AI239)),$C239:$AI239,0)),X229-INDEX($C228:$AJ238,2,MATCH(IF('Data-solution'!$A$3="Maximize",MAX($C239:$AI239),MIN($C239:$AI239)),$C239:$AI239,0))*INDEX(X228:$AJ238,MATCH(MIN($AK228:$AK238),$AK228:$AK238,0),1)/INDEX($C228:$AJ238,MATCH(MIN($AK228:$AK238),$AK228:$AK238,0),MATCH(IF('Data-solution'!$A$3="Maximize",MAX($C239:$AI239),MIN($C239:$AI239)),$C239:$AI239,0))),X229)</f>
        <v>0</v>
      </c>
      <c r="Y244" s="1">
        <f>IF(OR($B243&lt;&gt;$B228,$B244&lt;&gt;$B229,$B245&lt;&gt;$B230,$B246&lt;&gt;$B231,$B247&lt;&gt;$B232,$B248&lt;&gt;$B233,$B249&lt;&gt;$B234,$B250&lt;&gt;$B235,$B251&lt;&gt;$B236,$B252&lt;&gt;$B237,$B253&lt;&gt;$B238),IF($B244&lt;&gt;$B229,Y229/INDEX($C228:$AJ238,2,MATCH(IF('Data-solution'!$A$3="Maximize",MAX($C239:$AI239),MIN($C239:$AI239)),$C239:$AI239,0)),Y229-INDEX($C228:$AJ238,2,MATCH(IF('Data-solution'!$A$3="Maximize",MAX($C239:$AI239),MIN($C239:$AI239)),$C239:$AI239,0))*INDEX(Y228:$AJ238,MATCH(MIN($AK228:$AK238),$AK228:$AK238,0),1)/INDEX($C228:$AJ238,MATCH(MIN($AK228:$AK238),$AK228:$AK238,0),MATCH(IF('Data-solution'!$A$3="Maximize",MAX($C239:$AI239),MIN($C239:$AI239)),$C239:$AI239,0))),Y229)</f>
        <v>0</v>
      </c>
      <c r="Z244" s="1">
        <f>IF(OR($B243&lt;&gt;$B228,$B244&lt;&gt;$B229,$B245&lt;&gt;$B230,$B246&lt;&gt;$B231,$B247&lt;&gt;$B232,$B248&lt;&gt;$B233,$B249&lt;&gt;$B234,$B250&lt;&gt;$B235,$B251&lt;&gt;$B236,$B252&lt;&gt;$B237,$B253&lt;&gt;$B238),IF($B244&lt;&gt;$B229,Z229/INDEX($C228:$AJ238,2,MATCH(IF('Data-solution'!$A$3="Maximize",MAX($C239:$AI239),MIN($C239:$AI239)),$C239:$AI239,0)),Z229-INDEX($C228:$AJ238,2,MATCH(IF('Data-solution'!$A$3="Maximize",MAX($C239:$AI239),MIN($C239:$AI239)),$C239:$AI239,0))*INDEX(Z228:$AJ238,MATCH(MIN($AK228:$AK238),$AK228:$AK238,0),1)/INDEX($C228:$AJ238,MATCH(MIN($AK228:$AK238),$AK228:$AK238,0),MATCH(IF('Data-solution'!$A$3="Maximize",MAX($C239:$AI239),MIN($C239:$AI239)),$C239:$AI239,0))),Z229)</f>
        <v>1</v>
      </c>
      <c r="AA244" s="1">
        <f>IF(OR($B243&lt;&gt;$B228,$B244&lt;&gt;$B229,$B245&lt;&gt;$B230,$B246&lt;&gt;$B231,$B247&lt;&gt;$B232,$B248&lt;&gt;$B233,$B249&lt;&gt;$B234,$B250&lt;&gt;$B235,$B251&lt;&gt;$B236,$B252&lt;&gt;$B237,$B253&lt;&gt;$B238),IF($B244&lt;&gt;$B229,AA229/INDEX($C228:$AJ238,2,MATCH(IF('Data-solution'!$A$3="Maximize",MAX($C239:$AI239),MIN($C239:$AI239)),$C239:$AI239,0)),AA229-INDEX($C228:$AJ238,2,MATCH(IF('Data-solution'!$A$3="Maximize",MAX($C239:$AI239),MIN($C239:$AI239)),$C239:$AI239,0))*INDEX(AA228:$AJ238,MATCH(MIN($AK228:$AK238),$AK228:$AK238,0),1)/INDEX($C228:$AJ238,MATCH(MIN($AK228:$AK238),$AK228:$AK238,0),MATCH(IF('Data-solution'!$A$3="Maximize",MAX($C239:$AI239),MIN($C239:$AI239)),$C239:$AI239,0))),AA229)</f>
        <v>-0.25</v>
      </c>
      <c r="AB244" s="1">
        <f>IF(OR($B243&lt;&gt;$B228,$B244&lt;&gt;$B229,$B245&lt;&gt;$B230,$B246&lt;&gt;$B231,$B247&lt;&gt;$B232,$B248&lt;&gt;$B233,$B249&lt;&gt;$B234,$B250&lt;&gt;$B235,$B251&lt;&gt;$B236,$B252&lt;&gt;$B237,$B253&lt;&gt;$B238),IF($B244&lt;&gt;$B229,AB229/INDEX($C228:$AJ238,2,MATCH(IF('Data-solution'!$A$3="Maximize",MAX($C239:$AI239),MIN($C239:$AI239)),$C239:$AI239,0)),AB229-INDEX($C228:$AJ238,2,MATCH(IF('Data-solution'!$A$3="Maximize",MAX($C239:$AI239),MIN($C239:$AI239)),$C239:$AI239,0))*INDEX(AB228:$AJ238,MATCH(MIN($AK228:$AK238),$AK228:$AK238,0),1)/INDEX($C228:$AJ238,MATCH(MIN($AK228:$AK238),$AK228:$AK238,0),MATCH(IF('Data-solution'!$A$3="Maximize",MAX($C239:$AI239),MIN($C239:$AI239)),$C239:$AI239,0))),AB229)</f>
        <v>-0.5</v>
      </c>
      <c r="AC244" s="1">
        <f>IF(OR($B243&lt;&gt;$B228,$B244&lt;&gt;$B229,$B245&lt;&gt;$B230,$B246&lt;&gt;$B231,$B247&lt;&gt;$B232,$B248&lt;&gt;$B233,$B249&lt;&gt;$B234,$B250&lt;&gt;$B235,$B251&lt;&gt;$B236,$B252&lt;&gt;$B237,$B253&lt;&gt;$B238),IF($B244&lt;&gt;$B229,AC229/INDEX($C228:$AJ238,2,MATCH(IF('Data-solution'!$A$3="Maximize",MAX($C239:$AI239),MIN($C239:$AI239)),$C239:$AI239,0)),AC229-INDEX($C228:$AJ238,2,MATCH(IF('Data-solution'!$A$3="Maximize",MAX($C239:$AI239),MIN($C239:$AI239)),$C239:$AI239,0))*INDEX(AC228:$AJ238,MATCH(MIN($AK228:$AK238),$AK228:$AK238,0),1)/INDEX($C228:$AJ238,MATCH(MIN($AK228:$AK238),$AK228:$AK238,0),MATCH(IF('Data-solution'!$A$3="Maximize",MAX($C239:$AI239),MIN($C239:$AI239)),$C239:$AI239,0))),AC229)</f>
        <v>0</v>
      </c>
      <c r="AD244" s="1">
        <f>IF(OR($B243&lt;&gt;$B228,$B244&lt;&gt;$B229,$B245&lt;&gt;$B230,$B246&lt;&gt;$B231,$B247&lt;&gt;$B232,$B248&lt;&gt;$B233,$B249&lt;&gt;$B234,$B250&lt;&gt;$B235,$B251&lt;&gt;$B236,$B252&lt;&gt;$B237,$B253&lt;&gt;$B238),IF($B244&lt;&gt;$B229,AD229/INDEX($C228:$AJ238,2,MATCH(IF('Data-solution'!$A$3="Maximize",MAX($C239:$AI239),MIN($C239:$AI239)),$C239:$AI239,0)),AD229-INDEX($C228:$AJ238,2,MATCH(IF('Data-solution'!$A$3="Maximize",MAX($C239:$AI239),MIN($C239:$AI239)),$C239:$AI239,0))*INDEX(AD228:$AJ238,MATCH(MIN($AK228:$AK238),$AK228:$AK238,0),1)/INDEX($C228:$AJ238,MATCH(MIN($AK228:$AK238),$AK228:$AK238,0),MATCH(IF('Data-solution'!$A$3="Maximize",MAX($C239:$AI239),MIN($C239:$AI239)),$C239:$AI239,0))),AD229)</f>
        <v>0</v>
      </c>
      <c r="AE244" s="1">
        <f>IF(OR($B243&lt;&gt;$B228,$B244&lt;&gt;$B229,$B245&lt;&gt;$B230,$B246&lt;&gt;$B231,$B247&lt;&gt;$B232,$B248&lt;&gt;$B233,$B249&lt;&gt;$B234,$B250&lt;&gt;$B235,$B251&lt;&gt;$B236,$B252&lt;&gt;$B237,$B253&lt;&gt;$B238),IF($B244&lt;&gt;$B229,AE229/INDEX($C228:$AJ238,2,MATCH(IF('Data-solution'!$A$3="Maximize",MAX($C239:$AI239),MIN($C239:$AI239)),$C239:$AI239,0)),AE229-INDEX($C228:$AJ238,2,MATCH(IF('Data-solution'!$A$3="Maximize",MAX($C239:$AI239),MIN($C239:$AI239)),$C239:$AI239,0))*INDEX(AE228:$AJ238,MATCH(MIN($AK228:$AK238),$AK228:$AK238,0),1)/INDEX($C228:$AJ238,MATCH(MIN($AK228:$AK238),$AK228:$AK238,0),MATCH(IF('Data-solution'!$A$3="Maximize",MAX($C239:$AI239),MIN($C239:$AI239)),$C239:$AI239,0))),AE229)</f>
        <v>0</v>
      </c>
      <c r="AF244" s="1">
        <f>IF(OR($B243&lt;&gt;$B228,$B244&lt;&gt;$B229,$B245&lt;&gt;$B230,$B246&lt;&gt;$B231,$B247&lt;&gt;$B232,$B248&lt;&gt;$B233,$B249&lt;&gt;$B234,$B250&lt;&gt;$B235,$B251&lt;&gt;$B236,$B252&lt;&gt;$B237,$B253&lt;&gt;$B238),IF($B244&lt;&gt;$B229,AF229/INDEX($C228:$AJ238,2,MATCH(IF('Data-solution'!$A$3="Maximize",MAX($C239:$AI239),MIN($C239:$AI239)),$C239:$AI239,0)),AF229-INDEX($C228:$AJ238,2,MATCH(IF('Data-solution'!$A$3="Maximize",MAX($C239:$AI239),MIN($C239:$AI239)),$C239:$AI239,0))*INDEX(AF228:$AJ238,MATCH(MIN($AK228:$AK238),$AK228:$AK238,0),1)/INDEX($C228:$AJ238,MATCH(MIN($AK228:$AK238),$AK228:$AK238,0),MATCH(IF('Data-solution'!$A$3="Maximize",MAX($C239:$AI239),MIN($C239:$AI239)),$C239:$AI239,0))),AF229)</f>
        <v>0</v>
      </c>
      <c r="AG244" s="1">
        <f>IF(OR($B243&lt;&gt;$B228,$B244&lt;&gt;$B229,$B245&lt;&gt;$B230,$B246&lt;&gt;$B231,$B247&lt;&gt;$B232,$B248&lt;&gt;$B233,$B249&lt;&gt;$B234,$B250&lt;&gt;$B235,$B251&lt;&gt;$B236,$B252&lt;&gt;$B237,$B253&lt;&gt;$B238),IF($B244&lt;&gt;$B229,AG229/INDEX($C228:$AJ238,2,MATCH(IF('Data-solution'!$A$3="Maximize",MAX($C239:$AI239),MIN($C239:$AI239)),$C239:$AI239,0)),AG229-INDEX($C228:$AJ238,2,MATCH(IF('Data-solution'!$A$3="Maximize",MAX($C239:$AI239),MIN($C239:$AI239)),$C239:$AI239,0))*INDEX(AG228:$AJ238,MATCH(MIN($AK228:$AK238),$AK228:$AK238,0),1)/INDEX($C228:$AJ238,MATCH(MIN($AK228:$AK238),$AK228:$AK238,0),MATCH(IF('Data-solution'!$A$3="Maximize",MAX($C239:$AI239),MIN($C239:$AI239)),$C239:$AI239,0))),AG229)</f>
        <v>0</v>
      </c>
      <c r="AH244" s="1">
        <f>IF(OR($B243&lt;&gt;$B228,$B244&lt;&gt;$B229,$B245&lt;&gt;$B230,$B246&lt;&gt;$B231,$B247&lt;&gt;$B232,$B248&lt;&gt;$B233,$B249&lt;&gt;$B234,$B250&lt;&gt;$B235,$B251&lt;&gt;$B236,$B252&lt;&gt;$B237,$B253&lt;&gt;$B238),IF($B244&lt;&gt;$B229,AH229/INDEX($C228:$AJ238,2,MATCH(IF('Data-solution'!$A$3="Maximize",MAX($C239:$AI239),MIN($C239:$AI239)),$C239:$AI239,0)),AH229-INDEX($C228:$AJ238,2,MATCH(IF('Data-solution'!$A$3="Maximize",MAX($C239:$AI239),MIN($C239:$AI239)),$C239:$AI239,0))*INDEX(AH228:$AJ238,MATCH(MIN($AK228:$AK238),$AK228:$AK238,0),1)/INDEX($C228:$AJ238,MATCH(MIN($AK228:$AK238),$AK228:$AK238,0),MATCH(IF('Data-solution'!$A$3="Maximize",MAX($C239:$AI239),MIN($C239:$AI239)),$C239:$AI239,0))),AH229)</f>
        <v>0</v>
      </c>
      <c r="AI244" s="1">
        <f>IF(OR($B243&lt;&gt;$B228,$B244&lt;&gt;$B229,$B245&lt;&gt;$B230,$B246&lt;&gt;$B231,$B247&lt;&gt;$B232,$B248&lt;&gt;$B233,$B249&lt;&gt;$B234,$B250&lt;&gt;$B235,$B251&lt;&gt;$B236,$B252&lt;&gt;$B237,$B253&lt;&gt;$B238),IF($B244&lt;&gt;$B229,AI229/INDEX($C228:$AJ238,2,MATCH(IF('Data-solution'!$A$3="Maximize",MAX($C239:$AI239),MIN($C239:$AI239)),$C239:$AI239,0)),AI229-INDEX($C228:$AJ238,2,MATCH(IF('Data-solution'!$A$3="Maximize",MAX($C239:$AI239),MIN($C239:$AI239)),$C239:$AI239,0))*INDEX(AI228:$AJ238,MATCH(MIN($AK228:$AK238),$AK228:$AK238,0),1)/INDEX($C228:$AJ238,MATCH(MIN($AK228:$AK238),$AK228:$AK238,0),MATCH(IF('Data-solution'!$A$3="Maximize",MAX($C239:$AI239),MIN($C239:$AI239)),$C239:$AI239,0))),AI229)</f>
        <v>0</v>
      </c>
      <c r="AJ244" s="1">
        <f>IF(OR($B243&lt;&gt;$B228,$B244&lt;&gt;$B229,$B245&lt;&gt;$B230,$B246&lt;&gt;$B231,$B247&lt;&gt;$B232,$B248&lt;&gt;$B233,$B249&lt;&gt;$B234,$B250&lt;&gt;$B235,$B251&lt;&gt;$B236,$B252&lt;&gt;$B237,$B253&lt;&gt;$B238),IF($B244&lt;&gt;$B229,AJ229/INDEX($C228:$AJ238,2,MATCH(IF('Data-solution'!$A$3="Maximize",MAX($C239:$AI239),MIN($C239:$AI239)),$C239:$AI239,0)),AJ229-INDEX($C228:$AJ238,2,MATCH(IF('Data-solution'!$A$3="Maximize",MAX($C239:$AI239),MIN($C239:$AI239)),$C239:$AI239,0))*INDEX(AJ228:$AJ238,MATCH(MIN($AK228:$AK238),$AK228:$AK238,0),1)/INDEX($C228:$AJ238,MATCH(MIN($AK228:$AK238),$AK228:$AK238,0),MATCH(IF('Data-solution'!$A$3="Maximize",MAX($C239:$AI239),MIN($C239:$AI239)),$C239:$AI239,0))),AJ229)</f>
        <v>300</v>
      </c>
      <c r="AK244" s="1" t="str">
        <f>IF(INDEX(C244:X244,1,MATCH(IF('Data-solution'!A$3="Maximize",MAX(C254:X254),MIN(C254:X254)),C254:X254,0))&gt;0,AJ244/INDEX(C244:X244,1,MATCH(IF('Data-solution'!A$3="Maximize",MAX(C254:X254),MIN(C254:X254)),C254:X254,0))," ")</f>
        <v xml:space="preserve"> </v>
      </c>
    </row>
    <row r="245" spans="1:37" ht="18" customHeight="1" x14ac:dyDescent="0.2">
      <c r="A245" s="1">
        <f t="shared" ref="A245" si="214">INDEX(C241:AI241,1,MATCH(B245,C242:AI242,0))</f>
        <v>350</v>
      </c>
      <c r="B245" s="2" t="str">
        <f>IF(AND('Data-solution'!A$3="Maximize",COUNTIF(C239:X239,"&gt;"&amp;0)&gt;0,AK230=MIN(AK228:AK238),COUNTIF(B243:B244,INDEX(C227:X227,1,MATCH(MAX(C239:X239),C239:X239,0)))=0),INDEX(C227:X227,1,MATCH(MAX(C239:X239),C239:X239,0)),IF(AND('Data-solution'!A$3="Minimize",COUNTIF(C239:X239,"&lt;"&amp;0)&gt;0,AK230=MIN(AK228:AK238),COUNTIF(B243:B244,INDEX(C227:X227,1,MATCH(MIN(C239:X239),C239:X239,0)))=0),INDEX(C227:X227,1,MATCH(MIN(C239:X239),C239:X239,0)),B230))</f>
        <v>X3</v>
      </c>
      <c r="C245" s="1">
        <f>IF(OR($B243&lt;&gt;$B228,$B244&lt;&gt;$B229,$B245&lt;&gt;$B230,$B246&lt;&gt;$B231,$B247&lt;&gt;$B232,$B248&lt;&gt;$B233,$B249&lt;&gt;$B234,$B250&lt;&gt;$B235,$B251&lt;&gt;$B236,$B252&lt;&gt;$B237,$B253&lt;&gt;$B238),IF($B245&lt;&gt;$B230,C230/INDEX($C228:$AJ238,3,MATCH(IF('Data-solution'!$A$3="Maximize",MAX($C239:$AI239),MIN($C239:$AI239)),$C239:$AI239,0)),C230-INDEX($C228:$AJ238,3,MATCH(IF('Data-solution'!$A$3="Maximize",MAX($C239:$AI239),MIN($C239:$AI239)),$C239:$AI239,0))*INDEX(C228:$AJ238,MATCH(MIN($AK228:$AK238),$AK228:$AK238,0),1)/INDEX($C228:$AJ238,MATCH(MIN($AK228:$AK238),$AK228:$AK238,0),MATCH(IF('Data-solution'!$A$3="Maximize",MAX($C239:$AI239),MIN($C239:$AI239)),$C239:$AI239,0))),C230)</f>
        <v>0</v>
      </c>
      <c r="D245" s="1">
        <f>IF(OR($B243&lt;&gt;$B228,$B244&lt;&gt;$B229,$B245&lt;&gt;$B230,$B246&lt;&gt;$B231,$B247&lt;&gt;$B232,$B248&lt;&gt;$B233,$B249&lt;&gt;$B234,$B250&lt;&gt;$B235,$B251&lt;&gt;$B236,$B252&lt;&gt;$B237,$B253&lt;&gt;$B238),IF($B245&lt;&gt;$B230,D230/INDEX($C228:$AJ238,3,MATCH(IF('Data-solution'!$A$3="Maximize",MAX($C239:$AI239),MIN($C239:$AI239)),$C239:$AI239,0)),D230-INDEX($C228:$AJ238,3,MATCH(IF('Data-solution'!$A$3="Maximize",MAX($C239:$AI239),MIN($C239:$AI239)),$C239:$AI239,0))*INDEX(D228:$AJ238,MATCH(MIN($AK228:$AK238),$AK228:$AK238,0),1)/INDEX($C228:$AJ238,MATCH(MIN($AK228:$AK238),$AK228:$AK238,0),MATCH(IF('Data-solution'!$A$3="Maximize",MAX($C239:$AI239),MIN($C239:$AI239)),$C239:$AI239,0))),D230)</f>
        <v>1.25</v>
      </c>
      <c r="E245" s="1">
        <f>IF(OR($B243&lt;&gt;$B228,$B244&lt;&gt;$B229,$B245&lt;&gt;$B230,$B246&lt;&gt;$B231,$B247&lt;&gt;$B232,$B248&lt;&gt;$B233,$B249&lt;&gt;$B234,$B250&lt;&gt;$B235,$B251&lt;&gt;$B236,$B252&lt;&gt;$B237,$B253&lt;&gt;$B238),IF($B245&lt;&gt;$B230,E230/INDEX($C228:$AJ238,3,MATCH(IF('Data-solution'!$A$3="Maximize",MAX($C239:$AI239),MIN($C239:$AI239)),$C239:$AI239,0)),E230-INDEX($C228:$AJ238,3,MATCH(IF('Data-solution'!$A$3="Maximize",MAX($C239:$AI239),MIN($C239:$AI239)),$C239:$AI239,0))*INDEX(E228:$AJ238,MATCH(MIN($AK228:$AK238),$AK228:$AK238,0),1)/INDEX($C228:$AJ238,MATCH(MIN($AK228:$AK238),$AK228:$AK238,0),MATCH(IF('Data-solution'!$A$3="Maximize",MAX($C239:$AI239),MIN($C239:$AI239)),$C239:$AI239,0))),E230)</f>
        <v>1</v>
      </c>
      <c r="F245" s="1">
        <f>IF(OR($B243&lt;&gt;$B228,$B244&lt;&gt;$B229,$B245&lt;&gt;$B230,$B246&lt;&gt;$B231,$B247&lt;&gt;$B232,$B248&lt;&gt;$B233,$B249&lt;&gt;$B234,$B250&lt;&gt;$B235,$B251&lt;&gt;$B236,$B252&lt;&gt;$B237,$B253&lt;&gt;$B238),IF($B245&lt;&gt;$B230,F230/INDEX($C228:$AJ238,3,MATCH(IF('Data-solution'!$A$3="Maximize",MAX($C239:$AI239),MIN($C239:$AI239)),$C239:$AI239,0)),F230-INDEX($C228:$AJ238,3,MATCH(IF('Data-solution'!$A$3="Maximize",MAX($C239:$AI239),MIN($C239:$AI239)),$C239:$AI239,0))*INDEX(F228:$AJ238,MATCH(MIN($AK228:$AK238),$AK228:$AK238,0),1)/INDEX($C228:$AJ238,MATCH(MIN($AK228:$AK238),$AK228:$AK238,0),MATCH(IF('Data-solution'!$A$3="Maximize",MAX($C239:$AI239),MIN($C239:$AI239)),$C239:$AI239,0))),F230)</f>
        <v>0</v>
      </c>
      <c r="G245" s="1">
        <f>IF(OR($B243&lt;&gt;$B228,$B244&lt;&gt;$B229,$B245&lt;&gt;$B230,$B246&lt;&gt;$B231,$B247&lt;&gt;$B232,$B248&lt;&gt;$B233,$B249&lt;&gt;$B234,$B250&lt;&gt;$B235,$B251&lt;&gt;$B236,$B252&lt;&gt;$B237,$B253&lt;&gt;$B238),IF($B245&lt;&gt;$B230,G230/INDEX($C228:$AJ238,3,MATCH(IF('Data-solution'!$A$3="Maximize",MAX($C239:$AI239),MIN($C239:$AI239)),$C239:$AI239,0)),G230-INDEX($C228:$AJ238,3,MATCH(IF('Data-solution'!$A$3="Maximize",MAX($C239:$AI239),MIN($C239:$AI239)),$C239:$AI239,0))*INDEX(G228:$AJ238,MATCH(MIN($AK228:$AK238),$AK228:$AK238,0),1)/INDEX($C228:$AJ238,MATCH(MIN($AK228:$AK238),$AK228:$AK238,0),MATCH(IF('Data-solution'!$A$3="Maximize",MAX($C239:$AI239),MIN($C239:$AI239)),$C239:$AI239,0))),G230)</f>
        <v>0</v>
      </c>
      <c r="H245" s="1">
        <f>IF(OR($B243&lt;&gt;$B228,$B244&lt;&gt;$B229,$B245&lt;&gt;$B230,$B246&lt;&gt;$B231,$B247&lt;&gt;$B232,$B248&lt;&gt;$B233,$B249&lt;&gt;$B234,$B250&lt;&gt;$B235,$B251&lt;&gt;$B236,$B252&lt;&gt;$B237,$B253&lt;&gt;$B238),IF($B245&lt;&gt;$B230,H230/INDEX($C228:$AJ238,3,MATCH(IF('Data-solution'!$A$3="Maximize",MAX($C239:$AI239),MIN($C239:$AI239)),$C239:$AI239,0)),H230-INDEX($C228:$AJ238,3,MATCH(IF('Data-solution'!$A$3="Maximize",MAX($C239:$AI239),MIN($C239:$AI239)),$C239:$AI239,0))*INDEX(H228:$AJ238,MATCH(MIN($AK228:$AK238),$AK228:$AK238,0),1)/INDEX($C228:$AJ238,MATCH(MIN($AK228:$AK238),$AK228:$AK238,0),MATCH(IF('Data-solution'!$A$3="Maximize",MAX($C239:$AI239),MIN($C239:$AI239)),$C239:$AI239,0))),H230)</f>
        <v>0</v>
      </c>
      <c r="I245" s="1">
        <f>IF(OR($B243&lt;&gt;$B228,$B244&lt;&gt;$B229,$B245&lt;&gt;$B230,$B246&lt;&gt;$B231,$B247&lt;&gt;$B232,$B248&lt;&gt;$B233,$B249&lt;&gt;$B234,$B250&lt;&gt;$B235,$B251&lt;&gt;$B236,$B252&lt;&gt;$B237,$B253&lt;&gt;$B238),IF($B245&lt;&gt;$B230,I230/INDEX($C228:$AJ238,3,MATCH(IF('Data-solution'!$A$3="Maximize",MAX($C239:$AI239),MIN($C239:$AI239)),$C239:$AI239,0)),I230-INDEX($C228:$AJ238,3,MATCH(IF('Data-solution'!$A$3="Maximize",MAX($C239:$AI239),MIN($C239:$AI239)),$C239:$AI239,0))*INDEX(I228:$AJ238,MATCH(MIN($AK228:$AK238),$AK228:$AK238,0),1)/INDEX($C228:$AJ238,MATCH(MIN($AK228:$AK238),$AK228:$AK238,0),MATCH(IF('Data-solution'!$A$3="Maximize",MAX($C239:$AI239),MIN($C239:$AI239)),$C239:$AI239,0))),I230)</f>
        <v>0</v>
      </c>
      <c r="J245" s="1">
        <f>IF(OR($B243&lt;&gt;$B228,$B244&lt;&gt;$B229,$B245&lt;&gt;$B230,$B246&lt;&gt;$B231,$B247&lt;&gt;$B232,$B248&lt;&gt;$B233,$B249&lt;&gt;$B234,$B250&lt;&gt;$B235,$B251&lt;&gt;$B236,$B252&lt;&gt;$B237,$B253&lt;&gt;$B238),IF($B245&lt;&gt;$B230,J230/INDEX($C228:$AJ238,3,MATCH(IF('Data-solution'!$A$3="Maximize",MAX($C239:$AI239),MIN($C239:$AI239)),$C239:$AI239,0)),J230-INDEX($C228:$AJ238,3,MATCH(IF('Data-solution'!$A$3="Maximize",MAX($C239:$AI239),MIN($C239:$AI239)),$C239:$AI239,0))*INDEX(J228:$AJ238,MATCH(MIN($AK228:$AK238),$AK228:$AK238,0),1)/INDEX($C228:$AJ238,MATCH(MIN($AK228:$AK238),$AK228:$AK238,0),MATCH(IF('Data-solution'!$A$3="Maximize",MAX($C239:$AI239),MIN($C239:$AI239)),$C239:$AI239,0))),J230)</f>
        <v>0</v>
      </c>
      <c r="K245" s="1">
        <f>IF(OR($B243&lt;&gt;$B228,$B244&lt;&gt;$B229,$B245&lt;&gt;$B230,$B246&lt;&gt;$B231,$B247&lt;&gt;$B232,$B248&lt;&gt;$B233,$B249&lt;&gt;$B234,$B250&lt;&gt;$B235,$B251&lt;&gt;$B236,$B252&lt;&gt;$B237,$B253&lt;&gt;$B238),IF($B245&lt;&gt;$B230,K230/INDEX($C228:$AJ238,3,MATCH(IF('Data-solution'!$A$3="Maximize",MAX($C239:$AI239),MIN($C239:$AI239)),$C239:$AI239,0)),K230-INDEX($C228:$AJ238,3,MATCH(IF('Data-solution'!$A$3="Maximize",MAX($C239:$AI239),MIN($C239:$AI239)),$C239:$AI239,0))*INDEX(K228:$AJ238,MATCH(MIN($AK228:$AK238),$AK228:$AK238,0),1)/INDEX($C228:$AJ238,MATCH(MIN($AK228:$AK238),$AK228:$AK238,0),MATCH(IF('Data-solution'!$A$3="Maximize",MAX($C239:$AI239),MIN($C239:$AI239)),$C239:$AI239,0))),K230)</f>
        <v>0</v>
      </c>
      <c r="L245" s="1">
        <f>IF(OR($B243&lt;&gt;$B228,$B244&lt;&gt;$B229,$B245&lt;&gt;$B230,$B246&lt;&gt;$B231,$B247&lt;&gt;$B232,$B248&lt;&gt;$B233,$B249&lt;&gt;$B234,$B250&lt;&gt;$B235,$B251&lt;&gt;$B236,$B252&lt;&gt;$B237,$B253&lt;&gt;$B238),IF($B245&lt;&gt;$B230,L230/INDEX($C228:$AJ238,3,MATCH(IF('Data-solution'!$A$3="Maximize",MAX($C239:$AI239),MIN($C239:$AI239)),$C239:$AI239,0)),L230-INDEX($C228:$AJ238,3,MATCH(IF('Data-solution'!$A$3="Maximize",MAX($C239:$AI239),MIN($C239:$AI239)),$C239:$AI239,0))*INDEX(L228:$AJ238,MATCH(MIN($AK228:$AK238),$AK228:$AK238,0),1)/INDEX($C228:$AJ238,MATCH(MIN($AK228:$AK238),$AK228:$AK238,0),MATCH(IF('Data-solution'!$A$3="Maximize",MAX($C239:$AI239),MIN($C239:$AI239)),$C239:$AI239,0))),L230)</f>
        <v>0</v>
      </c>
      <c r="M245" s="1">
        <f>IF(OR($B243&lt;&gt;$B228,$B244&lt;&gt;$B229,$B245&lt;&gt;$B230,$B246&lt;&gt;$B231,$B247&lt;&gt;$B232,$B248&lt;&gt;$B233,$B249&lt;&gt;$B234,$B250&lt;&gt;$B235,$B251&lt;&gt;$B236,$B252&lt;&gt;$B237,$B253&lt;&gt;$B238),IF($B245&lt;&gt;$B230,M230/INDEX($C228:$AJ238,3,MATCH(IF('Data-solution'!$A$3="Maximize",MAX($C239:$AI239),MIN($C239:$AI239)),$C239:$AI239,0)),M230-INDEX($C228:$AJ238,3,MATCH(IF('Data-solution'!$A$3="Maximize",MAX($C239:$AI239),MIN($C239:$AI239)),$C239:$AI239,0))*INDEX(M228:$AJ238,MATCH(MIN($AK228:$AK238),$AK228:$AK238,0),1)/INDEX($C228:$AJ238,MATCH(MIN($AK228:$AK238),$AK228:$AK238,0),MATCH(IF('Data-solution'!$A$3="Maximize",MAX($C239:$AI239),MIN($C239:$AI239)),$C239:$AI239,0))),M230)</f>
        <v>0</v>
      </c>
      <c r="N245" s="1">
        <f>IF(OR($B243&lt;&gt;$B228,$B244&lt;&gt;$B229,$B245&lt;&gt;$B230,$B246&lt;&gt;$B231,$B247&lt;&gt;$B232,$B248&lt;&gt;$B233,$B249&lt;&gt;$B234,$B250&lt;&gt;$B235,$B251&lt;&gt;$B236,$B252&lt;&gt;$B237,$B253&lt;&gt;$B238),IF($B245&lt;&gt;$B230,N230/INDEX($C228:$AJ238,3,MATCH(IF('Data-solution'!$A$3="Maximize",MAX($C239:$AI239),MIN($C239:$AI239)),$C239:$AI239,0)),N230-INDEX($C228:$AJ238,3,MATCH(IF('Data-solution'!$A$3="Maximize",MAX($C239:$AI239),MIN($C239:$AI239)),$C239:$AI239,0))*INDEX(N228:$AJ238,MATCH(MIN($AK228:$AK238),$AK228:$AK238,0),1)/INDEX($C228:$AJ238,MATCH(MIN($AK228:$AK238),$AK228:$AK238,0),MATCH(IF('Data-solution'!$A$3="Maximize",MAX($C239:$AI239),MIN($C239:$AI239)),$C239:$AI239,0))),N230)</f>
        <v>0</v>
      </c>
      <c r="O245" s="1">
        <f>IF(OR($B243&lt;&gt;$B228,$B244&lt;&gt;$B229,$B245&lt;&gt;$B230,$B246&lt;&gt;$B231,$B247&lt;&gt;$B232,$B248&lt;&gt;$B233,$B249&lt;&gt;$B234,$B250&lt;&gt;$B235,$B251&lt;&gt;$B236,$B252&lt;&gt;$B237,$B253&lt;&gt;$B238),IF($B245&lt;&gt;$B230,O230/INDEX($C228:$AJ238,3,MATCH(IF('Data-solution'!$A$3="Maximize",MAX($C239:$AI239),MIN($C239:$AI239)),$C239:$AI239,0)),O230-INDEX($C228:$AJ238,3,MATCH(IF('Data-solution'!$A$3="Maximize",MAX($C239:$AI239),MIN($C239:$AI239)),$C239:$AI239,0))*INDEX(O228:$AJ238,MATCH(MIN($AK228:$AK238),$AK228:$AK238,0),1)/INDEX($C228:$AJ238,MATCH(MIN($AK228:$AK238),$AK228:$AK238,0),MATCH(IF('Data-solution'!$A$3="Maximize",MAX($C239:$AI239),MIN($C239:$AI239)),$C239:$AI239,0))),O230)</f>
        <v>0</v>
      </c>
      <c r="P245" s="1">
        <f>IF(OR($B243&lt;&gt;$B228,$B244&lt;&gt;$B229,$B245&lt;&gt;$B230,$B246&lt;&gt;$B231,$B247&lt;&gt;$B232,$B248&lt;&gt;$B233,$B249&lt;&gt;$B234,$B250&lt;&gt;$B235,$B251&lt;&gt;$B236,$B252&lt;&gt;$B237,$B253&lt;&gt;$B238),IF($B245&lt;&gt;$B230,P230/INDEX($C228:$AJ238,3,MATCH(IF('Data-solution'!$A$3="Maximize",MAX($C239:$AI239),MIN($C239:$AI239)),$C239:$AI239,0)),P230-INDEX($C228:$AJ238,3,MATCH(IF('Data-solution'!$A$3="Maximize",MAX($C239:$AI239),MIN($C239:$AI239)),$C239:$AI239,0))*INDEX(P228:$AJ238,MATCH(MIN($AK228:$AK238),$AK228:$AK238,0),1)/INDEX($C228:$AJ238,MATCH(MIN($AK228:$AK238),$AK228:$AK238,0),MATCH(IF('Data-solution'!$A$3="Maximize",MAX($C239:$AI239),MIN($C239:$AI239)),$C239:$AI239,0))),P230)</f>
        <v>0.24999999999999997</v>
      </c>
      <c r="Q245" s="1">
        <f>IF(OR($B243&lt;&gt;$B228,$B244&lt;&gt;$B229,$B245&lt;&gt;$B230,$B246&lt;&gt;$B231,$B247&lt;&gt;$B232,$B248&lt;&gt;$B233,$B249&lt;&gt;$B234,$B250&lt;&gt;$B235,$B251&lt;&gt;$B236,$B252&lt;&gt;$B237,$B253&lt;&gt;$B238),IF($B245&lt;&gt;$B230,Q230/INDEX($C228:$AJ238,3,MATCH(IF('Data-solution'!$A$3="Maximize",MAX($C239:$AI239),MIN($C239:$AI239)),$C239:$AI239,0)),Q230-INDEX($C228:$AJ238,3,MATCH(IF('Data-solution'!$A$3="Maximize",MAX($C239:$AI239),MIN($C239:$AI239)),$C239:$AI239,0))*INDEX(Q228:$AJ238,MATCH(MIN($AK228:$AK238),$AK228:$AK238,0),1)/INDEX($C228:$AJ238,MATCH(MIN($AK228:$AK238),$AK228:$AK238,0),MATCH(IF('Data-solution'!$A$3="Maximize",MAX($C239:$AI239),MIN($C239:$AI239)),$C239:$AI239,0))),Q230)</f>
        <v>-0.49999999999999989</v>
      </c>
      <c r="R245" s="1">
        <f>IF(OR($B243&lt;&gt;$B228,$B244&lt;&gt;$B229,$B245&lt;&gt;$B230,$B246&lt;&gt;$B231,$B247&lt;&gt;$B232,$B248&lt;&gt;$B233,$B249&lt;&gt;$B234,$B250&lt;&gt;$B235,$B251&lt;&gt;$B236,$B252&lt;&gt;$B237,$B253&lt;&gt;$B238),IF($B245&lt;&gt;$B230,R230/INDEX($C228:$AJ238,3,MATCH(IF('Data-solution'!$A$3="Maximize",MAX($C239:$AI239),MIN($C239:$AI239)),$C239:$AI239,0)),R230-INDEX($C228:$AJ238,3,MATCH(IF('Data-solution'!$A$3="Maximize",MAX($C239:$AI239),MIN($C239:$AI239)),$C239:$AI239,0))*INDEX(R228:$AJ238,MATCH(MIN($AK228:$AK238),$AK228:$AK238,0),1)/INDEX($C228:$AJ238,MATCH(MIN($AK228:$AK238),$AK228:$AK238,0),MATCH(IF('Data-solution'!$A$3="Maximize",MAX($C239:$AI239),MIN($C239:$AI239)),$C239:$AI239,0))),R230)</f>
        <v>0</v>
      </c>
      <c r="S245" s="1">
        <f>IF(OR($B243&lt;&gt;$B228,$B244&lt;&gt;$B229,$B245&lt;&gt;$B230,$B246&lt;&gt;$B231,$B247&lt;&gt;$B232,$B248&lt;&gt;$B233,$B249&lt;&gt;$B234,$B250&lt;&gt;$B235,$B251&lt;&gt;$B236,$B252&lt;&gt;$B237,$B253&lt;&gt;$B238),IF($B245&lt;&gt;$B230,S230/INDEX($C228:$AJ238,3,MATCH(IF('Data-solution'!$A$3="Maximize",MAX($C239:$AI239),MIN($C239:$AI239)),$C239:$AI239,0)),S230-INDEX($C228:$AJ238,3,MATCH(IF('Data-solution'!$A$3="Maximize",MAX($C239:$AI239),MIN($C239:$AI239)),$C239:$AI239,0))*INDEX(S228:$AJ238,MATCH(MIN($AK228:$AK238),$AK228:$AK238,0),1)/INDEX($C228:$AJ238,MATCH(MIN($AK228:$AK238),$AK228:$AK238,0),MATCH(IF('Data-solution'!$A$3="Maximize",MAX($C239:$AI239),MIN($C239:$AI239)),$C239:$AI239,0))),S230)</f>
        <v>0</v>
      </c>
      <c r="T245" s="1">
        <f>IF(OR($B243&lt;&gt;$B228,$B244&lt;&gt;$B229,$B245&lt;&gt;$B230,$B246&lt;&gt;$B231,$B247&lt;&gt;$B232,$B248&lt;&gt;$B233,$B249&lt;&gt;$B234,$B250&lt;&gt;$B235,$B251&lt;&gt;$B236,$B252&lt;&gt;$B237,$B253&lt;&gt;$B238),IF($B245&lt;&gt;$B230,T230/INDEX($C228:$AJ238,3,MATCH(IF('Data-solution'!$A$3="Maximize",MAX($C239:$AI239),MIN($C239:$AI239)),$C239:$AI239,0)),T230-INDEX($C228:$AJ238,3,MATCH(IF('Data-solution'!$A$3="Maximize",MAX($C239:$AI239),MIN($C239:$AI239)),$C239:$AI239,0))*INDEX(T228:$AJ238,MATCH(MIN($AK228:$AK238),$AK228:$AK238,0),1)/INDEX($C228:$AJ238,MATCH(MIN($AK228:$AK238),$AK228:$AK238,0),MATCH(IF('Data-solution'!$A$3="Maximize",MAX($C239:$AI239),MIN($C239:$AI239)),$C239:$AI239,0))),T230)</f>
        <v>0</v>
      </c>
      <c r="U245" s="1">
        <f>IF(OR($B243&lt;&gt;$B228,$B244&lt;&gt;$B229,$B245&lt;&gt;$B230,$B246&lt;&gt;$B231,$B247&lt;&gt;$B232,$B248&lt;&gt;$B233,$B249&lt;&gt;$B234,$B250&lt;&gt;$B235,$B251&lt;&gt;$B236,$B252&lt;&gt;$B237,$B253&lt;&gt;$B238),IF($B245&lt;&gt;$B230,U230/INDEX($C228:$AJ238,3,MATCH(IF('Data-solution'!$A$3="Maximize",MAX($C239:$AI239),MIN($C239:$AI239)),$C239:$AI239,0)),U230-INDEX($C228:$AJ238,3,MATCH(IF('Data-solution'!$A$3="Maximize",MAX($C239:$AI239),MIN($C239:$AI239)),$C239:$AI239,0))*INDEX(U228:$AJ238,MATCH(MIN($AK228:$AK238),$AK228:$AK238,0),1)/INDEX($C228:$AJ238,MATCH(MIN($AK228:$AK238),$AK228:$AK238,0),MATCH(IF('Data-solution'!$A$3="Maximize",MAX($C239:$AI239),MIN($C239:$AI239)),$C239:$AI239,0))),U230)</f>
        <v>0</v>
      </c>
      <c r="V245" s="1">
        <f>IF(OR($B243&lt;&gt;$B228,$B244&lt;&gt;$B229,$B245&lt;&gt;$B230,$B246&lt;&gt;$B231,$B247&lt;&gt;$B232,$B248&lt;&gt;$B233,$B249&lt;&gt;$B234,$B250&lt;&gt;$B235,$B251&lt;&gt;$B236,$B252&lt;&gt;$B237,$B253&lt;&gt;$B238),IF($B245&lt;&gt;$B230,V230/INDEX($C228:$AJ238,3,MATCH(IF('Data-solution'!$A$3="Maximize",MAX($C239:$AI239),MIN($C239:$AI239)),$C239:$AI239,0)),V230-INDEX($C228:$AJ238,3,MATCH(IF('Data-solution'!$A$3="Maximize",MAX($C239:$AI239),MIN($C239:$AI239)),$C239:$AI239,0))*INDEX(V228:$AJ238,MATCH(MIN($AK228:$AK238),$AK228:$AK238,0),1)/INDEX($C228:$AJ238,MATCH(MIN($AK228:$AK238),$AK228:$AK238,0),MATCH(IF('Data-solution'!$A$3="Maximize",MAX($C239:$AI239),MIN($C239:$AI239)),$C239:$AI239,0))),V230)</f>
        <v>0</v>
      </c>
      <c r="W245" s="1">
        <f>IF(OR($B243&lt;&gt;$B228,$B244&lt;&gt;$B229,$B245&lt;&gt;$B230,$B246&lt;&gt;$B231,$B247&lt;&gt;$B232,$B248&lt;&gt;$B233,$B249&lt;&gt;$B234,$B250&lt;&gt;$B235,$B251&lt;&gt;$B236,$B252&lt;&gt;$B237,$B253&lt;&gt;$B238),IF($B245&lt;&gt;$B230,W230/INDEX($C228:$AJ238,3,MATCH(IF('Data-solution'!$A$3="Maximize",MAX($C239:$AI239),MIN($C239:$AI239)),$C239:$AI239,0)),W230-INDEX($C228:$AJ238,3,MATCH(IF('Data-solution'!$A$3="Maximize",MAX($C239:$AI239),MIN($C239:$AI239)),$C239:$AI239,0))*INDEX(W228:$AJ238,MATCH(MIN($AK228:$AK238),$AK228:$AK238,0),1)/INDEX($C228:$AJ238,MATCH(MIN($AK228:$AK238),$AK228:$AK238,0),MATCH(IF('Data-solution'!$A$3="Maximize",MAX($C239:$AI239),MIN($C239:$AI239)),$C239:$AI239,0))),W230)</f>
        <v>0</v>
      </c>
      <c r="X245" s="1">
        <f>IF(OR($B243&lt;&gt;$B228,$B244&lt;&gt;$B229,$B245&lt;&gt;$B230,$B246&lt;&gt;$B231,$B247&lt;&gt;$B232,$B248&lt;&gt;$B233,$B249&lt;&gt;$B234,$B250&lt;&gt;$B235,$B251&lt;&gt;$B236,$B252&lt;&gt;$B237,$B253&lt;&gt;$B238),IF($B245&lt;&gt;$B230,X230/INDEX($C228:$AJ238,3,MATCH(IF('Data-solution'!$A$3="Maximize",MAX($C239:$AI239),MIN($C239:$AI239)),$C239:$AI239,0)),X230-INDEX($C228:$AJ238,3,MATCH(IF('Data-solution'!$A$3="Maximize",MAX($C239:$AI239),MIN($C239:$AI239)),$C239:$AI239,0))*INDEX(X228:$AJ238,MATCH(MIN($AK228:$AK238),$AK228:$AK238,0),1)/INDEX($C228:$AJ238,MATCH(MIN($AK228:$AK238),$AK228:$AK238,0),MATCH(IF('Data-solution'!$A$3="Maximize",MAX($C239:$AI239),MIN($C239:$AI239)),$C239:$AI239,0))),X230)</f>
        <v>0</v>
      </c>
      <c r="Y245" s="1">
        <f>IF(OR($B243&lt;&gt;$B228,$B244&lt;&gt;$B229,$B245&lt;&gt;$B230,$B246&lt;&gt;$B231,$B247&lt;&gt;$B232,$B248&lt;&gt;$B233,$B249&lt;&gt;$B234,$B250&lt;&gt;$B235,$B251&lt;&gt;$B236,$B252&lt;&gt;$B237,$B253&lt;&gt;$B238),IF($B245&lt;&gt;$B230,Y230/INDEX($C228:$AJ238,3,MATCH(IF('Data-solution'!$A$3="Maximize",MAX($C239:$AI239),MIN($C239:$AI239)),$C239:$AI239,0)),Y230-INDEX($C228:$AJ238,3,MATCH(IF('Data-solution'!$A$3="Maximize",MAX($C239:$AI239),MIN($C239:$AI239)),$C239:$AI239,0))*INDEX(Y228:$AJ238,MATCH(MIN($AK228:$AK238),$AK228:$AK238,0),1)/INDEX($C228:$AJ238,MATCH(MIN($AK228:$AK238),$AK228:$AK238,0),MATCH(IF('Data-solution'!$A$3="Maximize",MAX($C239:$AI239),MIN($C239:$AI239)),$C239:$AI239,0))),Y230)</f>
        <v>0</v>
      </c>
      <c r="Z245" s="1">
        <f>IF(OR($B243&lt;&gt;$B228,$B244&lt;&gt;$B229,$B245&lt;&gt;$B230,$B246&lt;&gt;$B231,$B247&lt;&gt;$B232,$B248&lt;&gt;$B233,$B249&lt;&gt;$B234,$B250&lt;&gt;$B235,$B251&lt;&gt;$B236,$B252&lt;&gt;$B237,$B253&lt;&gt;$B238),IF($B245&lt;&gt;$B230,Z230/INDEX($C228:$AJ238,3,MATCH(IF('Data-solution'!$A$3="Maximize",MAX($C239:$AI239),MIN($C239:$AI239)),$C239:$AI239,0)),Z230-INDEX($C228:$AJ238,3,MATCH(IF('Data-solution'!$A$3="Maximize",MAX($C239:$AI239),MIN($C239:$AI239)),$C239:$AI239,0))*INDEX(Z228:$AJ238,MATCH(MIN($AK228:$AK238),$AK228:$AK238,0),1)/INDEX($C228:$AJ238,MATCH(MIN($AK228:$AK238),$AK228:$AK238,0),MATCH(IF('Data-solution'!$A$3="Maximize",MAX($C239:$AI239),MIN($C239:$AI239)),$C239:$AI239,0))),Z230)</f>
        <v>0</v>
      </c>
      <c r="AA245" s="1">
        <f>IF(OR($B243&lt;&gt;$B228,$B244&lt;&gt;$B229,$B245&lt;&gt;$B230,$B246&lt;&gt;$B231,$B247&lt;&gt;$B232,$B248&lt;&gt;$B233,$B249&lt;&gt;$B234,$B250&lt;&gt;$B235,$B251&lt;&gt;$B236,$B252&lt;&gt;$B237,$B253&lt;&gt;$B238),IF($B245&lt;&gt;$B230,AA230/INDEX($C228:$AJ238,3,MATCH(IF('Data-solution'!$A$3="Maximize",MAX($C239:$AI239),MIN($C239:$AI239)),$C239:$AI239,0)),AA230-INDEX($C228:$AJ238,3,MATCH(IF('Data-solution'!$A$3="Maximize",MAX($C239:$AI239),MIN($C239:$AI239)),$C239:$AI239,0))*INDEX(AA228:$AJ238,MATCH(MIN($AK228:$AK238),$AK228:$AK238,0),1)/INDEX($C228:$AJ238,MATCH(MIN($AK228:$AK238),$AK228:$AK238,0),MATCH(IF('Data-solution'!$A$3="Maximize",MAX($C239:$AI239),MIN($C239:$AI239)),$C239:$AI239,0))),AA230)</f>
        <v>0.24999999999999997</v>
      </c>
      <c r="AB245" s="1">
        <f>IF(OR($B243&lt;&gt;$B228,$B244&lt;&gt;$B229,$B245&lt;&gt;$B230,$B246&lt;&gt;$B231,$B247&lt;&gt;$B232,$B248&lt;&gt;$B233,$B249&lt;&gt;$B234,$B250&lt;&gt;$B235,$B251&lt;&gt;$B236,$B252&lt;&gt;$B237,$B253&lt;&gt;$B238),IF($B245&lt;&gt;$B230,AB230/INDEX($C228:$AJ238,3,MATCH(IF('Data-solution'!$A$3="Maximize",MAX($C239:$AI239),MIN($C239:$AI239)),$C239:$AI239,0)),AB230-INDEX($C228:$AJ238,3,MATCH(IF('Data-solution'!$A$3="Maximize",MAX($C239:$AI239),MIN($C239:$AI239)),$C239:$AI239,0))*INDEX(AB228:$AJ238,MATCH(MIN($AK228:$AK238),$AK228:$AK238,0),1)/INDEX($C228:$AJ238,MATCH(MIN($AK228:$AK238),$AK228:$AK238,0),MATCH(IF('Data-solution'!$A$3="Maximize",MAX($C239:$AI239),MIN($C239:$AI239)),$C239:$AI239,0))),AB230)</f>
        <v>-0.49999999999999989</v>
      </c>
      <c r="AC245" s="1">
        <f>IF(OR($B243&lt;&gt;$B228,$B244&lt;&gt;$B229,$B245&lt;&gt;$B230,$B246&lt;&gt;$B231,$B247&lt;&gt;$B232,$B248&lt;&gt;$B233,$B249&lt;&gt;$B234,$B250&lt;&gt;$B235,$B251&lt;&gt;$B236,$B252&lt;&gt;$B237,$B253&lt;&gt;$B238),IF($B245&lt;&gt;$B230,AC230/INDEX($C228:$AJ238,3,MATCH(IF('Data-solution'!$A$3="Maximize",MAX($C239:$AI239),MIN($C239:$AI239)),$C239:$AI239,0)),AC230-INDEX($C228:$AJ238,3,MATCH(IF('Data-solution'!$A$3="Maximize",MAX($C239:$AI239),MIN($C239:$AI239)),$C239:$AI239,0))*INDEX(AC228:$AJ238,MATCH(MIN($AK228:$AK238),$AK228:$AK238,0),1)/INDEX($C228:$AJ238,MATCH(MIN($AK228:$AK238),$AK228:$AK238,0),MATCH(IF('Data-solution'!$A$3="Maximize",MAX($C239:$AI239),MIN($C239:$AI239)),$C239:$AI239,0))),AC230)</f>
        <v>0</v>
      </c>
      <c r="AD245" s="1">
        <f>IF(OR($B243&lt;&gt;$B228,$B244&lt;&gt;$B229,$B245&lt;&gt;$B230,$B246&lt;&gt;$B231,$B247&lt;&gt;$B232,$B248&lt;&gt;$B233,$B249&lt;&gt;$B234,$B250&lt;&gt;$B235,$B251&lt;&gt;$B236,$B252&lt;&gt;$B237,$B253&lt;&gt;$B238),IF($B245&lt;&gt;$B230,AD230/INDEX($C228:$AJ238,3,MATCH(IF('Data-solution'!$A$3="Maximize",MAX($C239:$AI239),MIN($C239:$AI239)),$C239:$AI239,0)),AD230-INDEX($C228:$AJ238,3,MATCH(IF('Data-solution'!$A$3="Maximize",MAX($C239:$AI239),MIN($C239:$AI239)),$C239:$AI239,0))*INDEX(AD228:$AJ238,MATCH(MIN($AK228:$AK238),$AK228:$AK238,0),1)/INDEX($C228:$AJ238,MATCH(MIN($AK228:$AK238),$AK228:$AK238,0),MATCH(IF('Data-solution'!$A$3="Maximize",MAX($C239:$AI239),MIN($C239:$AI239)),$C239:$AI239,0))),AD230)</f>
        <v>0</v>
      </c>
      <c r="AE245" s="1">
        <f>IF(OR($B243&lt;&gt;$B228,$B244&lt;&gt;$B229,$B245&lt;&gt;$B230,$B246&lt;&gt;$B231,$B247&lt;&gt;$B232,$B248&lt;&gt;$B233,$B249&lt;&gt;$B234,$B250&lt;&gt;$B235,$B251&lt;&gt;$B236,$B252&lt;&gt;$B237,$B253&lt;&gt;$B238),IF($B245&lt;&gt;$B230,AE230/INDEX($C228:$AJ238,3,MATCH(IF('Data-solution'!$A$3="Maximize",MAX($C239:$AI239),MIN($C239:$AI239)),$C239:$AI239,0)),AE230-INDEX($C228:$AJ238,3,MATCH(IF('Data-solution'!$A$3="Maximize",MAX($C239:$AI239),MIN($C239:$AI239)),$C239:$AI239,0))*INDEX(AE228:$AJ238,MATCH(MIN($AK228:$AK238),$AK228:$AK238,0),1)/INDEX($C228:$AJ238,MATCH(MIN($AK228:$AK238),$AK228:$AK238,0),MATCH(IF('Data-solution'!$A$3="Maximize",MAX($C239:$AI239),MIN($C239:$AI239)),$C239:$AI239,0))),AE230)</f>
        <v>0</v>
      </c>
      <c r="AF245" s="1">
        <f>IF(OR($B243&lt;&gt;$B228,$B244&lt;&gt;$B229,$B245&lt;&gt;$B230,$B246&lt;&gt;$B231,$B247&lt;&gt;$B232,$B248&lt;&gt;$B233,$B249&lt;&gt;$B234,$B250&lt;&gt;$B235,$B251&lt;&gt;$B236,$B252&lt;&gt;$B237,$B253&lt;&gt;$B238),IF($B245&lt;&gt;$B230,AF230/INDEX($C228:$AJ238,3,MATCH(IF('Data-solution'!$A$3="Maximize",MAX($C239:$AI239),MIN($C239:$AI239)),$C239:$AI239,0)),AF230-INDEX($C228:$AJ238,3,MATCH(IF('Data-solution'!$A$3="Maximize",MAX($C239:$AI239),MIN($C239:$AI239)),$C239:$AI239,0))*INDEX(AF228:$AJ238,MATCH(MIN($AK228:$AK238),$AK228:$AK238,0),1)/INDEX($C228:$AJ238,MATCH(MIN($AK228:$AK238),$AK228:$AK238,0),MATCH(IF('Data-solution'!$A$3="Maximize",MAX($C239:$AI239),MIN($C239:$AI239)),$C239:$AI239,0))),AF230)</f>
        <v>0</v>
      </c>
      <c r="AG245" s="1">
        <f>IF(OR($B243&lt;&gt;$B228,$B244&lt;&gt;$B229,$B245&lt;&gt;$B230,$B246&lt;&gt;$B231,$B247&lt;&gt;$B232,$B248&lt;&gt;$B233,$B249&lt;&gt;$B234,$B250&lt;&gt;$B235,$B251&lt;&gt;$B236,$B252&lt;&gt;$B237,$B253&lt;&gt;$B238),IF($B245&lt;&gt;$B230,AG230/INDEX($C228:$AJ238,3,MATCH(IF('Data-solution'!$A$3="Maximize",MAX($C239:$AI239),MIN($C239:$AI239)),$C239:$AI239,0)),AG230-INDEX($C228:$AJ238,3,MATCH(IF('Data-solution'!$A$3="Maximize",MAX($C239:$AI239),MIN($C239:$AI239)),$C239:$AI239,0))*INDEX(AG228:$AJ238,MATCH(MIN($AK228:$AK238),$AK228:$AK238,0),1)/INDEX($C228:$AJ238,MATCH(MIN($AK228:$AK238),$AK228:$AK238,0),MATCH(IF('Data-solution'!$A$3="Maximize",MAX($C239:$AI239),MIN($C239:$AI239)),$C239:$AI239,0))),AG230)</f>
        <v>0</v>
      </c>
      <c r="AH245" s="1">
        <f>IF(OR($B243&lt;&gt;$B228,$B244&lt;&gt;$B229,$B245&lt;&gt;$B230,$B246&lt;&gt;$B231,$B247&lt;&gt;$B232,$B248&lt;&gt;$B233,$B249&lt;&gt;$B234,$B250&lt;&gt;$B235,$B251&lt;&gt;$B236,$B252&lt;&gt;$B237,$B253&lt;&gt;$B238),IF($B245&lt;&gt;$B230,AH230/INDEX($C228:$AJ238,3,MATCH(IF('Data-solution'!$A$3="Maximize",MAX($C239:$AI239),MIN($C239:$AI239)),$C239:$AI239,0)),AH230-INDEX($C228:$AJ238,3,MATCH(IF('Data-solution'!$A$3="Maximize",MAX($C239:$AI239),MIN($C239:$AI239)),$C239:$AI239,0))*INDEX(AH228:$AJ238,MATCH(MIN($AK228:$AK238),$AK228:$AK238,0),1)/INDEX($C228:$AJ238,MATCH(MIN($AK228:$AK238),$AK228:$AK238,0),MATCH(IF('Data-solution'!$A$3="Maximize",MAX($C239:$AI239),MIN($C239:$AI239)),$C239:$AI239,0))),AH230)</f>
        <v>0</v>
      </c>
      <c r="AI245" s="1">
        <f>IF(OR($B243&lt;&gt;$B228,$B244&lt;&gt;$B229,$B245&lt;&gt;$B230,$B246&lt;&gt;$B231,$B247&lt;&gt;$B232,$B248&lt;&gt;$B233,$B249&lt;&gt;$B234,$B250&lt;&gt;$B235,$B251&lt;&gt;$B236,$B252&lt;&gt;$B237,$B253&lt;&gt;$B238),IF($B245&lt;&gt;$B230,AI230/INDEX($C228:$AJ238,3,MATCH(IF('Data-solution'!$A$3="Maximize",MAX($C239:$AI239),MIN($C239:$AI239)),$C239:$AI239,0)),AI230-INDEX($C228:$AJ238,3,MATCH(IF('Data-solution'!$A$3="Maximize",MAX($C239:$AI239),MIN($C239:$AI239)),$C239:$AI239,0))*INDEX(AI228:$AJ238,MATCH(MIN($AK228:$AK238),$AK228:$AK238,0),1)/INDEX($C228:$AJ238,MATCH(MIN($AK228:$AK238),$AK228:$AK238,0),MATCH(IF('Data-solution'!$A$3="Maximize",MAX($C239:$AI239),MIN($C239:$AI239)),$C239:$AI239,0))),AI230)</f>
        <v>0</v>
      </c>
      <c r="AJ245" s="1">
        <f>IF(OR($B243&lt;&gt;$B228,$B244&lt;&gt;$B229,$B245&lt;&gt;$B230,$B246&lt;&gt;$B231,$B247&lt;&gt;$B232,$B248&lt;&gt;$B233,$B249&lt;&gt;$B234,$B250&lt;&gt;$B235,$B251&lt;&gt;$B236,$B252&lt;&gt;$B237,$B253&lt;&gt;$B238),IF($B245&lt;&gt;$B230,AJ230/INDEX($C228:$AJ238,3,MATCH(IF('Data-solution'!$A$3="Maximize",MAX($C239:$AI239),MIN($C239:$AI239)),$C239:$AI239,0)),AJ230-INDEX($C228:$AJ238,3,MATCH(IF('Data-solution'!$A$3="Maximize",MAX($C239:$AI239),MIN($C239:$AI239)),$C239:$AI239,0))*INDEX(AJ228:$AJ238,MATCH(MIN($AK228:$AK238),$AK228:$AK238,0),1)/INDEX($C228:$AJ238,MATCH(MIN($AK228:$AK238),$AK228:$AK238,0),MATCH(IF('Data-solution'!$A$3="Maximize",MAX($C239:$AI239),MIN($C239:$AI239)),$C239:$AI239,0))),AJ230)</f>
        <v>300</v>
      </c>
      <c r="AK245" s="1" t="str">
        <f>IF(INDEX(C245:X245,1,MATCH(IF('Data-solution'!A$3="Maximize",MAX(C254:X254),MIN(C254:X254)),C254:X254,0))&gt;0,AJ245/INDEX(C245:X245,1,MATCH(IF('Data-solution'!A$3="Maximize",MAX(C254:X254),MIN(C254:X254)),C254:X254,0))," ")</f>
        <v xml:space="preserve"> </v>
      </c>
    </row>
    <row r="246" spans="1:37" ht="18" customHeight="1" x14ac:dyDescent="0.2">
      <c r="A246" s="1">
        <f t="shared" ref="A246" si="215">INDEX(C241:AI241,1,MATCH(B246,C242:AI242,0))</f>
        <v>150</v>
      </c>
      <c r="B246" s="2" t="str">
        <f>IF(AND('Data-solution'!A$3="Maximize",COUNTIF(C239:X239,"&gt;"&amp;0)&gt;0,AK231=MIN(AK228:AK238),COUNTIF(B243:B245,INDEX(C227:X227,1,MATCH(MAX(C239:X239),C239:X239,0)))=0),INDEX(C227:X227,1,MATCH(MAX(C239:X239),C239:X239,0)),IF(AND('Data-solution'!A$3="Minimize",COUNTIF(C239:X239,"&lt;"&amp;0)&gt;0,AK231=MIN(AK228:AK238),COUNTIF(B243:B245,INDEX(C227:X227,1,MATCH(MIN(C239:X239),C239:X239,0)))=0),INDEX(C227:X227,1,MATCH(MIN(C239:X239),C239:X239,0)),B231))</f>
        <v>X1</v>
      </c>
      <c r="C246" s="1">
        <f>IF(OR($B243&lt;&gt;$B228,$B244&lt;&gt;$B229,$B245&lt;&gt;$B230,$B246&lt;&gt;$B231,$B247&lt;&gt;$B232,$B248&lt;&gt;$B233,$B249&lt;&gt;$B234,$B250&lt;&gt;$B235,$B251&lt;&gt;$B236,$B252&lt;&gt;$B237,$B253&lt;&gt;$B238),IF($B246&lt;&gt;$B231,C231/INDEX($C228:$AJ238,4,MATCH(IF('Data-solution'!$A$3="Maximize",MAX($C239:$AI239),MIN($C239:$AI239)),$C239:$AI239,0)),C231-INDEX($C228:$AJ238,4,MATCH(IF('Data-solution'!$A$3="Maximize",MAX($C239:$AI239),MIN($C239:$AI239)),$C239:$AI239,0))*INDEX(C228:$AJ238,MATCH(MIN($AK228:$AK238),$AK228:$AK238,0),1)/INDEX($C228:$AJ238,MATCH(MIN($AK228:$AK238),$AK228:$AK238,0),MATCH(IF('Data-solution'!$A$3="Maximize",MAX($C239:$AI239),MIN($C239:$AI239)),$C239:$AI239,0))),C231)</f>
        <v>1</v>
      </c>
      <c r="D246" s="1">
        <f>IF(OR($B243&lt;&gt;$B228,$B244&lt;&gt;$B229,$B245&lt;&gt;$B230,$B246&lt;&gt;$B231,$B247&lt;&gt;$B232,$B248&lt;&gt;$B233,$B249&lt;&gt;$B234,$B250&lt;&gt;$B235,$B251&lt;&gt;$B236,$B252&lt;&gt;$B237,$B253&lt;&gt;$B238),IF($B246&lt;&gt;$B231,D231/INDEX($C228:$AJ238,4,MATCH(IF('Data-solution'!$A$3="Maximize",MAX($C239:$AI239),MIN($C239:$AI239)),$C239:$AI239,0)),D231-INDEX($C228:$AJ238,4,MATCH(IF('Data-solution'!$A$3="Maximize",MAX($C239:$AI239),MIN($C239:$AI239)),$C239:$AI239,0))*INDEX(D228:$AJ238,MATCH(MIN($AK228:$AK238),$AK228:$AK238,0),1)/INDEX($C228:$AJ238,MATCH(MIN($AK228:$AK238),$AK228:$AK238,0),MATCH(IF('Data-solution'!$A$3="Maximize",MAX($C239:$AI239),MIN($C239:$AI239)),$C239:$AI239,0))),D231)</f>
        <v>-1.25</v>
      </c>
      <c r="E246" s="1">
        <f>IF(OR($B243&lt;&gt;$B228,$B244&lt;&gt;$B229,$B245&lt;&gt;$B230,$B246&lt;&gt;$B231,$B247&lt;&gt;$B232,$B248&lt;&gt;$B233,$B249&lt;&gt;$B234,$B250&lt;&gt;$B235,$B251&lt;&gt;$B236,$B252&lt;&gt;$B237,$B253&lt;&gt;$B238),IF($B246&lt;&gt;$B231,E231/INDEX($C228:$AJ238,4,MATCH(IF('Data-solution'!$A$3="Maximize",MAX($C239:$AI239),MIN($C239:$AI239)),$C239:$AI239,0)),E231-INDEX($C228:$AJ238,4,MATCH(IF('Data-solution'!$A$3="Maximize",MAX($C239:$AI239),MIN($C239:$AI239)),$C239:$AI239,0))*INDEX(E228:$AJ238,MATCH(MIN($AK228:$AK238),$AK228:$AK238,0),1)/INDEX($C228:$AJ238,MATCH(MIN($AK228:$AK238),$AK228:$AK238,0),MATCH(IF('Data-solution'!$A$3="Maximize",MAX($C239:$AI239),MIN($C239:$AI239)),$C239:$AI239,0))),E231)</f>
        <v>0</v>
      </c>
      <c r="F246" s="1">
        <f>IF(OR($B243&lt;&gt;$B228,$B244&lt;&gt;$B229,$B245&lt;&gt;$B230,$B246&lt;&gt;$B231,$B247&lt;&gt;$B232,$B248&lt;&gt;$B233,$B249&lt;&gt;$B234,$B250&lt;&gt;$B235,$B251&lt;&gt;$B236,$B252&lt;&gt;$B237,$B253&lt;&gt;$B238),IF($B246&lt;&gt;$B231,F231/INDEX($C228:$AJ238,4,MATCH(IF('Data-solution'!$A$3="Maximize",MAX($C239:$AI239),MIN($C239:$AI239)),$C239:$AI239,0)),F231-INDEX($C228:$AJ238,4,MATCH(IF('Data-solution'!$A$3="Maximize",MAX($C239:$AI239),MIN($C239:$AI239)),$C239:$AI239,0))*INDEX(F228:$AJ238,MATCH(MIN($AK228:$AK238),$AK228:$AK238,0),1)/INDEX($C228:$AJ238,MATCH(MIN($AK228:$AK238),$AK228:$AK238,0),MATCH(IF('Data-solution'!$A$3="Maximize",MAX($C239:$AI239),MIN($C239:$AI239)),$C239:$AI239,0))),F231)</f>
        <v>0</v>
      </c>
      <c r="G246" s="1">
        <f>IF(OR($B243&lt;&gt;$B228,$B244&lt;&gt;$B229,$B245&lt;&gt;$B230,$B246&lt;&gt;$B231,$B247&lt;&gt;$B232,$B248&lt;&gt;$B233,$B249&lt;&gt;$B234,$B250&lt;&gt;$B235,$B251&lt;&gt;$B236,$B252&lt;&gt;$B237,$B253&lt;&gt;$B238),IF($B246&lt;&gt;$B231,G231/INDEX($C228:$AJ238,4,MATCH(IF('Data-solution'!$A$3="Maximize",MAX($C239:$AI239),MIN($C239:$AI239)),$C239:$AI239,0)),G231-INDEX($C228:$AJ238,4,MATCH(IF('Data-solution'!$A$3="Maximize",MAX($C239:$AI239),MIN($C239:$AI239)),$C239:$AI239,0))*INDEX(G228:$AJ238,MATCH(MIN($AK228:$AK238),$AK228:$AK238,0),1)/INDEX($C228:$AJ238,MATCH(MIN($AK228:$AK238),$AK228:$AK238,0),MATCH(IF('Data-solution'!$A$3="Maximize",MAX($C239:$AI239),MIN($C239:$AI239)),$C239:$AI239,0))),G231)</f>
        <v>0</v>
      </c>
      <c r="H246" s="1">
        <f>IF(OR($B243&lt;&gt;$B228,$B244&lt;&gt;$B229,$B245&lt;&gt;$B230,$B246&lt;&gt;$B231,$B247&lt;&gt;$B232,$B248&lt;&gt;$B233,$B249&lt;&gt;$B234,$B250&lt;&gt;$B235,$B251&lt;&gt;$B236,$B252&lt;&gt;$B237,$B253&lt;&gt;$B238),IF($B246&lt;&gt;$B231,H231/INDEX($C228:$AJ238,4,MATCH(IF('Data-solution'!$A$3="Maximize",MAX($C239:$AI239),MIN($C239:$AI239)),$C239:$AI239,0)),H231-INDEX($C228:$AJ238,4,MATCH(IF('Data-solution'!$A$3="Maximize",MAX($C239:$AI239),MIN($C239:$AI239)),$C239:$AI239,0))*INDEX(H228:$AJ238,MATCH(MIN($AK228:$AK238),$AK228:$AK238,0),1)/INDEX($C228:$AJ238,MATCH(MIN($AK228:$AK238),$AK228:$AK238,0),MATCH(IF('Data-solution'!$A$3="Maximize",MAX($C239:$AI239),MIN($C239:$AI239)),$C239:$AI239,0))),H231)</f>
        <v>0</v>
      </c>
      <c r="I246" s="1">
        <f>IF(OR($B243&lt;&gt;$B228,$B244&lt;&gt;$B229,$B245&lt;&gt;$B230,$B246&lt;&gt;$B231,$B247&lt;&gt;$B232,$B248&lt;&gt;$B233,$B249&lt;&gt;$B234,$B250&lt;&gt;$B235,$B251&lt;&gt;$B236,$B252&lt;&gt;$B237,$B253&lt;&gt;$B238),IF($B246&lt;&gt;$B231,I231/INDEX($C228:$AJ238,4,MATCH(IF('Data-solution'!$A$3="Maximize",MAX($C239:$AI239),MIN($C239:$AI239)),$C239:$AI239,0)),I231-INDEX($C228:$AJ238,4,MATCH(IF('Data-solution'!$A$3="Maximize",MAX($C239:$AI239),MIN($C239:$AI239)),$C239:$AI239,0))*INDEX(I228:$AJ238,MATCH(MIN($AK228:$AK238),$AK228:$AK238,0),1)/INDEX($C228:$AJ238,MATCH(MIN($AK228:$AK238),$AK228:$AK238,0),MATCH(IF('Data-solution'!$A$3="Maximize",MAX($C239:$AI239),MIN($C239:$AI239)),$C239:$AI239,0))),I231)</f>
        <v>0</v>
      </c>
      <c r="J246" s="1">
        <f>IF(OR($B243&lt;&gt;$B228,$B244&lt;&gt;$B229,$B245&lt;&gt;$B230,$B246&lt;&gt;$B231,$B247&lt;&gt;$B232,$B248&lt;&gt;$B233,$B249&lt;&gt;$B234,$B250&lt;&gt;$B235,$B251&lt;&gt;$B236,$B252&lt;&gt;$B237,$B253&lt;&gt;$B238),IF($B246&lt;&gt;$B231,J231/INDEX($C228:$AJ238,4,MATCH(IF('Data-solution'!$A$3="Maximize",MAX($C239:$AI239),MIN($C239:$AI239)),$C239:$AI239,0)),J231-INDEX($C228:$AJ238,4,MATCH(IF('Data-solution'!$A$3="Maximize",MAX($C239:$AI239),MIN($C239:$AI239)),$C239:$AI239,0))*INDEX(J228:$AJ238,MATCH(MIN($AK228:$AK238),$AK228:$AK238,0),1)/INDEX($C228:$AJ238,MATCH(MIN($AK228:$AK238),$AK228:$AK238,0),MATCH(IF('Data-solution'!$A$3="Maximize",MAX($C239:$AI239),MIN($C239:$AI239)),$C239:$AI239,0))),J231)</f>
        <v>0</v>
      </c>
      <c r="K246" s="1">
        <f>IF(OR($B243&lt;&gt;$B228,$B244&lt;&gt;$B229,$B245&lt;&gt;$B230,$B246&lt;&gt;$B231,$B247&lt;&gt;$B232,$B248&lt;&gt;$B233,$B249&lt;&gt;$B234,$B250&lt;&gt;$B235,$B251&lt;&gt;$B236,$B252&lt;&gt;$B237,$B253&lt;&gt;$B238),IF($B246&lt;&gt;$B231,K231/INDEX($C228:$AJ238,4,MATCH(IF('Data-solution'!$A$3="Maximize",MAX($C239:$AI239),MIN($C239:$AI239)),$C239:$AI239,0)),K231-INDEX($C228:$AJ238,4,MATCH(IF('Data-solution'!$A$3="Maximize",MAX($C239:$AI239),MIN($C239:$AI239)),$C239:$AI239,0))*INDEX(K228:$AJ238,MATCH(MIN($AK228:$AK238),$AK228:$AK238,0),1)/INDEX($C228:$AJ238,MATCH(MIN($AK228:$AK238),$AK228:$AK238,0),MATCH(IF('Data-solution'!$A$3="Maximize",MAX($C239:$AI239),MIN($C239:$AI239)),$C239:$AI239,0))),K231)</f>
        <v>0</v>
      </c>
      <c r="L246" s="1">
        <f>IF(OR($B243&lt;&gt;$B228,$B244&lt;&gt;$B229,$B245&lt;&gt;$B230,$B246&lt;&gt;$B231,$B247&lt;&gt;$B232,$B248&lt;&gt;$B233,$B249&lt;&gt;$B234,$B250&lt;&gt;$B235,$B251&lt;&gt;$B236,$B252&lt;&gt;$B237,$B253&lt;&gt;$B238),IF($B246&lt;&gt;$B231,L231/INDEX($C228:$AJ238,4,MATCH(IF('Data-solution'!$A$3="Maximize",MAX($C239:$AI239),MIN($C239:$AI239)),$C239:$AI239,0)),L231-INDEX($C228:$AJ238,4,MATCH(IF('Data-solution'!$A$3="Maximize",MAX($C239:$AI239),MIN($C239:$AI239)),$C239:$AI239,0))*INDEX(L228:$AJ238,MATCH(MIN($AK228:$AK238),$AK228:$AK238,0),1)/INDEX($C228:$AJ238,MATCH(MIN($AK228:$AK238),$AK228:$AK238,0),MATCH(IF('Data-solution'!$A$3="Maximize",MAX($C239:$AI239),MIN($C239:$AI239)),$C239:$AI239,0))),L231)</f>
        <v>0</v>
      </c>
      <c r="M246" s="1">
        <f>IF(OR($B243&lt;&gt;$B228,$B244&lt;&gt;$B229,$B245&lt;&gt;$B230,$B246&lt;&gt;$B231,$B247&lt;&gt;$B232,$B248&lt;&gt;$B233,$B249&lt;&gt;$B234,$B250&lt;&gt;$B235,$B251&lt;&gt;$B236,$B252&lt;&gt;$B237,$B253&lt;&gt;$B238),IF($B246&lt;&gt;$B231,M231/INDEX($C228:$AJ238,4,MATCH(IF('Data-solution'!$A$3="Maximize",MAX($C239:$AI239),MIN($C239:$AI239)),$C239:$AI239,0)),M231-INDEX($C228:$AJ238,4,MATCH(IF('Data-solution'!$A$3="Maximize",MAX($C239:$AI239),MIN($C239:$AI239)),$C239:$AI239,0))*INDEX(M228:$AJ238,MATCH(MIN($AK228:$AK238),$AK228:$AK238,0),1)/INDEX($C228:$AJ238,MATCH(MIN($AK228:$AK238),$AK228:$AK238,0),MATCH(IF('Data-solution'!$A$3="Maximize",MAX($C239:$AI239),MIN($C239:$AI239)),$C239:$AI239,0))),M231)</f>
        <v>0</v>
      </c>
      <c r="N246" s="1">
        <f>IF(OR($B243&lt;&gt;$B228,$B244&lt;&gt;$B229,$B245&lt;&gt;$B230,$B246&lt;&gt;$B231,$B247&lt;&gt;$B232,$B248&lt;&gt;$B233,$B249&lt;&gt;$B234,$B250&lt;&gt;$B235,$B251&lt;&gt;$B236,$B252&lt;&gt;$B237,$B253&lt;&gt;$B238),IF($B246&lt;&gt;$B231,N231/INDEX($C228:$AJ238,4,MATCH(IF('Data-solution'!$A$3="Maximize",MAX($C239:$AI239),MIN($C239:$AI239)),$C239:$AI239,0)),N231-INDEX($C228:$AJ238,4,MATCH(IF('Data-solution'!$A$3="Maximize",MAX($C239:$AI239),MIN($C239:$AI239)),$C239:$AI239,0))*INDEX(N228:$AJ238,MATCH(MIN($AK228:$AK238),$AK228:$AK238,0),1)/INDEX($C228:$AJ238,MATCH(MIN($AK228:$AK238),$AK228:$AK238,0),MATCH(IF('Data-solution'!$A$3="Maximize",MAX($C239:$AI239),MIN($C239:$AI239)),$C239:$AI239,0))),N231)</f>
        <v>0</v>
      </c>
      <c r="O246" s="1">
        <f>IF(OR($B243&lt;&gt;$B228,$B244&lt;&gt;$B229,$B245&lt;&gt;$B230,$B246&lt;&gt;$B231,$B247&lt;&gt;$B232,$B248&lt;&gt;$B233,$B249&lt;&gt;$B234,$B250&lt;&gt;$B235,$B251&lt;&gt;$B236,$B252&lt;&gt;$B237,$B253&lt;&gt;$B238),IF($B246&lt;&gt;$B231,O231/INDEX($C228:$AJ238,4,MATCH(IF('Data-solution'!$A$3="Maximize",MAX($C239:$AI239),MIN($C239:$AI239)),$C239:$AI239,0)),O231-INDEX($C228:$AJ238,4,MATCH(IF('Data-solution'!$A$3="Maximize",MAX($C239:$AI239),MIN($C239:$AI239)),$C239:$AI239,0))*INDEX(O228:$AJ238,MATCH(MIN($AK228:$AK238),$AK228:$AK238,0),1)/INDEX($C228:$AJ238,MATCH(MIN($AK228:$AK238),$AK228:$AK238,0),MATCH(IF('Data-solution'!$A$3="Maximize",MAX($C239:$AI239),MIN($C239:$AI239)),$C239:$AI239,0))),O231)</f>
        <v>0</v>
      </c>
      <c r="P246" s="1">
        <f>IF(OR($B243&lt;&gt;$B228,$B244&lt;&gt;$B229,$B245&lt;&gt;$B230,$B246&lt;&gt;$B231,$B247&lt;&gt;$B232,$B248&lt;&gt;$B233,$B249&lt;&gt;$B234,$B250&lt;&gt;$B235,$B251&lt;&gt;$B236,$B252&lt;&gt;$B237,$B253&lt;&gt;$B238),IF($B246&lt;&gt;$B231,P231/INDEX($C228:$AJ238,4,MATCH(IF('Data-solution'!$A$3="Maximize",MAX($C239:$AI239),MIN($C239:$AI239)),$C239:$AI239,0)),P231-INDEX($C228:$AJ238,4,MATCH(IF('Data-solution'!$A$3="Maximize",MAX($C239:$AI239),MIN($C239:$AI239)),$C239:$AI239,0))*INDEX(P228:$AJ238,MATCH(MIN($AK228:$AK238),$AK228:$AK238,0),1)/INDEX($C228:$AJ238,MATCH(MIN($AK228:$AK238),$AK228:$AK238,0),MATCH(IF('Data-solution'!$A$3="Maximize",MAX($C239:$AI239),MIN($C239:$AI239)),$C239:$AI239,0))),P231)</f>
        <v>-0.24999999999999994</v>
      </c>
      <c r="Q246" s="1">
        <f>IF(OR($B243&lt;&gt;$B228,$B244&lt;&gt;$B229,$B245&lt;&gt;$B230,$B246&lt;&gt;$B231,$B247&lt;&gt;$B232,$B248&lt;&gt;$B233,$B249&lt;&gt;$B234,$B250&lt;&gt;$B235,$B251&lt;&gt;$B236,$B252&lt;&gt;$B237,$B253&lt;&gt;$B238),IF($B246&lt;&gt;$B231,Q231/INDEX($C228:$AJ238,4,MATCH(IF('Data-solution'!$A$3="Maximize",MAX($C239:$AI239),MIN($C239:$AI239)),$C239:$AI239,0)),Q231-INDEX($C228:$AJ238,4,MATCH(IF('Data-solution'!$A$3="Maximize",MAX($C239:$AI239),MIN($C239:$AI239)),$C239:$AI239,0))*INDEX(Q228:$AJ238,MATCH(MIN($AK228:$AK238),$AK228:$AK238,0),1)/INDEX($C228:$AJ238,MATCH(MIN($AK228:$AK238),$AK228:$AK238,0),MATCH(IF('Data-solution'!$A$3="Maximize",MAX($C239:$AI239),MIN($C239:$AI239)),$C239:$AI239,0))),Q231)</f>
        <v>1.4999999999999998</v>
      </c>
      <c r="R246" s="1">
        <f>IF(OR($B243&lt;&gt;$B228,$B244&lt;&gt;$B229,$B245&lt;&gt;$B230,$B246&lt;&gt;$B231,$B247&lt;&gt;$B232,$B248&lt;&gt;$B233,$B249&lt;&gt;$B234,$B250&lt;&gt;$B235,$B251&lt;&gt;$B236,$B252&lt;&gt;$B237,$B253&lt;&gt;$B238),IF($B246&lt;&gt;$B231,R231/INDEX($C228:$AJ238,4,MATCH(IF('Data-solution'!$A$3="Maximize",MAX($C239:$AI239),MIN($C239:$AI239)),$C239:$AI239,0)),R231-INDEX($C228:$AJ238,4,MATCH(IF('Data-solution'!$A$3="Maximize",MAX($C239:$AI239),MIN($C239:$AI239)),$C239:$AI239,0))*INDEX(R228:$AJ238,MATCH(MIN($AK228:$AK238),$AK228:$AK238,0),1)/INDEX($C228:$AJ238,MATCH(MIN($AK228:$AK238),$AK228:$AK238,0),MATCH(IF('Data-solution'!$A$3="Maximize",MAX($C239:$AI239),MIN($C239:$AI239)),$C239:$AI239,0))),R231)</f>
        <v>0</v>
      </c>
      <c r="S246" s="1">
        <f>IF(OR($B243&lt;&gt;$B228,$B244&lt;&gt;$B229,$B245&lt;&gt;$B230,$B246&lt;&gt;$B231,$B247&lt;&gt;$B232,$B248&lt;&gt;$B233,$B249&lt;&gt;$B234,$B250&lt;&gt;$B235,$B251&lt;&gt;$B236,$B252&lt;&gt;$B237,$B253&lt;&gt;$B238),IF($B246&lt;&gt;$B231,S231/INDEX($C228:$AJ238,4,MATCH(IF('Data-solution'!$A$3="Maximize",MAX($C239:$AI239),MIN($C239:$AI239)),$C239:$AI239,0)),S231-INDEX($C228:$AJ238,4,MATCH(IF('Data-solution'!$A$3="Maximize",MAX($C239:$AI239),MIN($C239:$AI239)),$C239:$AI239,0))*INDEX(S228:$AJ238,MATCH(MIN($AK228:$AK238),$AK228:$AK238,0),1)/INDEX($C228:$AJ238,MATCH(MIN($AK228:$AK238),$AK228:$AK238,0),MATCH(IF('Data-solution'!$A$3="Maximize",MAX($C239:$AI239),MIN($C239:$AI239)),$C239:$AI239,0))),S231)</f>
        <v>0</v>
      </c>
      <c r="T246" s="1">
        <f>IF(OR($B243&lt;&gt;$B228,$B244&lt;&gt;$B229,$B245&lt;&gt;$B230,$B246&lt;&gt;$B231,$B247&lt;&gt;$B232,$B248&lt;&gt;$B233,$B249&lt;&gt;$B234,$B250&lt;&gt;$B235,$B251&lt;&gt;$B236,$B252&lt;&gt;$B237,$B253&lt;&gt;$B238),IF($B246&lt;&gt;$B231,T231/INDEX($C228:$AJ238,4,MATCH(IF('Data-solution'!$A$3="Maximize",MAX($C239:$AI239),MIN($C239:$AI239)),$C239:$AI239,0)),T231-INDEX($C228:$AJ238,4,MATCH(IF('Data-solution'!$A$3="Maximize",MAX($C239:$AI239),MIN($C239:$AI239)),$C239:$AI239,0))*INDEX(T228:$AJ238,MATCH(MIN($AK228:$AK238),$AK228:$AK238,0),1)/INDEX($C228:$AJ238,MATCH(MIN($AK228:$AK238),$AK228:$AK238,0),MATCH(IF('Data-solution'!$A$3="Maximize",MAX($C239:$AI239),MIN($C239:$AI239)),$C239:$AI239,0))),T231)</f>
        <v>0</v>
      </c>
      <c r="U246" s="1">
        <f>IF(OR($B243&lt;&gt;$B228,$B244&lt;&gt;$B229,$B245&lt;&gt;$B230,$B246&lt;&gt;$B231,$B247&lt;&gt;$B232,$B248&lt;&gt;$B233,$B249&lt;&gt;$B234,$B250&lt;&gt;$B235,$B251&lt;&gt;$B236,$B252&lt;&gt;$B237,$B253&lt;&gt;$B238),IF($B246&lt;&gt;$B231,U231/INDEX($C228:$AJ238,4,MATCH(IF('Data-solution'!$A$3="Maximize",MAX($C239:$AI239),MIN($C239:$AI239)),$C239:$AI239,0)),U231-INDEX($C228:$AJ238,4,MATCH(IF('Data-solution'!$A$3="Maximize",MAX($C239:$AI239),MIN($C239:$AI239)),$C239:$AI239,0))*INDEX(U228:$AJ238,MATCH(MIN($AK228:$AK238),$AK228:$AK238,0),1)/INDEX($C228:$AJ238,MATCH(MIN($AK228:$AK238),$AK228:$AK238,0),MATCH(IF('Data-solution'!$A$3="Maximize",MAX($C239:$AI239),MIN($C239:$AI239)),$C239:$AI239,0))),U231)</f>
        <v>0</v>
      </c>
      <c r="V246" s="1">
        <f>IF(OR($B243&lt;&gt;$B228,$B244&lt;&gt;$B229,$B245&lt;&gt;$B230,$B246&lt;&gt;$B231,$B247&lt;&gt;$B232,$B248&lt;&gt;$B233,$B249&lt;&gt;$B234,$B250&lt;&gt;$B235,$B251&lt;&gt;$B236,$B252&lt;&gt;$B237,$B253&lt;&gt;$B238),IF($B246&lt;&gt;$B231,V231/INDEX($C228:$AJ238,4,MATCH(IF('Data-solution'!$A$3="Maximize",MAX($C239:$AI239),MIN($C239:$AI239)),$C239:$AI239,0)),V231-INDEX($C228:$AJ238,4,MATCH(IF('Data-solution'!$A$3="Maximize",MAX($C239:$AI239),MIN($C239:$AI239)),$C239:$AI239,0))*INDEX(V228:$AJ238,MATCH(MIN($AK228:$AK238),$AK228:$AK238,0),1)/INDEX($C228:$AJ238,MATCH(MIN($AK228:$AK238),$AK228:$AK238,0),MATCH(IF('Data-solution'!$A$3="Maximize",MAX($C239:$AI239),MIN($C239:$AI239)),$C239:$AI239,0))),V231)</f>
        <v>0</v>
      </c>
      <c r="W246" s="1">
        <f>IF(OR($B243&lt;&gt;$B228,$B244&lt;&gt;$B229,$B245&lt;&gt;$B230,$B246&lt;&gt;$B231,$B247&lt;&gt;$B232,$B248&lt;&gt;$B233,$B249&lt;&gt;$B234,$B250&lt;&gt;$B235,$B251&lt;&gt;$B236,$B252&lt;&gt;$B237,$B253&lt;&gt;$B238),IF($B246&lt;&gt;$B231,W231/INDEX($C228:$AJ238,4,MATCH(IF('Data-solution'!$A$3="Maximize",MAX($C239:$AI239),MIN($C239:$AI239)),$C239:$AI239,0)),W231-INDEX($C228:$AJ238,4,MATCH(IF('Data-solution'!$A$3="Maximize",MAX($C239:$AI239),MIN($C239:$AI239)),$C239:$AI239,0))*INDEX(W228:$AJ238,MATCH(MIN($AK228:$AK238),$AK228:$AK238,0),1)/INDEX($C228:$AJ238,MATCH(MIN($AK228:$AK238),$AK228:$AK238,0),MATCH(IF('Data-solution'!$A$3="Maximize",MAX($C239:$AI239),MIN($C239:$AI239)),$C239:$AI239,0))),W231)</f>
        <v>0</v>
      </c>
      <c r="X246" s="1">
        <f>IF(OR($B243&lt;&gt;$B228,$B244&lt;&gt;$B229,$B245&lt;&gt;$B230,$B246&lt;&gt;$B231,$B247&lt;&gt;$B232,$B248&lt;&gt;$B233,$B249&lt;&gt;$B234,$B250&lt;&gt;$B235,$B251&lt;&gt;$B236,$B252&lt;&gt;$B237,$B253&lt;&gt;$B238),IF($B246&lt;&gt;$B231,X231/INDEX($C228:$AJ238,4,MATCH(IF('Data-solution'!$A$3="Maximize",MAX($C239:$AI239),MIN($C239:$AI239)),$C239:$AI239,0)),X231-INDEX($C228:$AJ238,4,MATCH(IF('Data-solution'!$A$3="Maximize",MAX($C239:$AI239),MIN($C239:$AI239)),$C239:$AI239,0))*INDEX(X228:$AJ238,MATCH(MIN($AK228:$AK238),$AK228:$AK238,0),1)/INDEX($C228:$AJ238,MATCH(MIN($AK228:$AK238),$AK228:$AK238,0),MATCH(IF('Data-solution'!$A$3="Maximize",MAX($C239:$AI239),MIN($C239:$AI239)),$C239:$AI239,0))),X231)</f>
        <v>0</v>
      </c>
      <c r="Y246" s="1">
        <f>IF(OR($B243&lt;&gt;$B228,$B244&lt;&gt;$B229,$B245&lt;&gt;$B230,$B246&lt;&gt;$B231,$B247&lt;&gt;$B232,$B248&lt;&gt;$B233,$B249&lt;&gt;$B234,$B250&lt;&gt;$B235,$B251&lt;&gt;$B236,$B252&lt;&gt;$B237,$B253&lt;&gt;$B238),IF($B246&lt;&gt;$B231,Y231/INDEX($C228:$AJ238,4,MATCH(IF('Data-solution'!$A$3="Maximize",MAX($C239:$AI239),MIN($C239:$AI239)),$C239:$AI239,0)),Y231-INDEX($C228:$AJ238,4,MATCH(IF('Data-solution'!$A$3="Maximize",MAX($C239:$AI239),MIN($C239:$AI239)),$C239:$AI239,0))*INDEX(Y228:$AJ238,MATCH(MIN($AK228:$AK238),$AK228:$AK238,0),1)/INDEX($C228:$AJ238,MATCH(MIN($AK228:$AK238),$AK228:$AK238,0),MATCH(IF('Data-solution'!$A$3="Maximize",MAX($C239:$AI239),MIN($C239:$AI239)),$C239:$AI239,0))),Y231)</f>
        <v>0</v>
      </c>
      <c r="Z246" s="1">
        <f>IF(OR($B243&lt;&gt;$B228,$B244&lt;&gt;$B229,$B245&lt;&gt;$B230,$B246&lt;&gt;$B231,$B247&lt;&gt;$B232,$B248&lt;&gt;$B233,$B249&lt;&gt;$B234,$B250&lt;&gt;$B235,$B251&lt;&gt;$B236,$B252&lt;&gt;$B237,$B253&lt;&gt;$B238),IF($B246&lt;&gt;$B231,Z231/INDEX($C228:$AJ238,4,MATCH(IF('Data-solution'!$A$3="Maximize",MAX($C239:$AI239),MIN($C239:$AI239)),$C239:$AI239,0)),Z231-INDEX($C228:$AJ238,4,MATCH(IF('Data-solution'!$A$3="Maximize",MAX($C239:$AI239),MIN($C239:$AI239)),$C239:$AI239,0))*INDEX(Z228:$AJ238,MATCH(MIN($AK228:$AK238),$AK228:$AK238,0),1)/INDEX($C228:$AJ238,MATCH(MIN($AK228:$AK238),$AK228:$AK238,0),MATCH(IF('Data-solution'!$A$3="Maximize",MAX($C239:$AI239),MIN($C239:$AI239)),$C239:$AI239,0))),Z231)</f>
        <v>0</v>
      </c>
      <c r="AA246" s="1">
        <f>IF(OR($B243&lt;&gt;$B228,$B244&lt;&gt;$B229,$B245&lt;&gt;$B230,$B246&lt;&gt;$B231,$B247&lt;&gt;$B232,$B248&lt;&gt;$B233,$B249&lt;&gt;$B234,$B250&lt;&gt;$B235,$B251&lt;&gt;$B236,$B252&lt;&gt;$B237,$B253&lt;&gt;$B238),IF($B246&lt;&gt;$B231,AA231/INDEX($C228:$AJ238,4,MATCH(IF('Data-solution'!$A$3="Maximize",MAX($C239:$AI239),MIN($C239:$AI239)),$C239:$AI239,0)),AA231-INDEX($C228:$AJ238,4,MATCH(IF('Data-solution'!$A$3="Maximize",MAX($C239:$AI239),MIN($C239:$AI239)),$C239:$AI239,0))*INDEX(AA228:$AJ238,MATCH(MIN($AK228:$AK238),$AK228:$AK238,0),1)/INDEX($C228:$AJ238,MATCH(MIN($AK228:$AK238),$AK228:$AK238,0),MATCH(IF('Data-solution'!$A$3="Maximize",MAX($C239:$AI239),MIN($C239:$AI239)),$C239:$AI239,0))),AA231)</f>
        <v>-0.24999999999999994</v>
      </c>
      <c r="AB246" s="1">
        <f>IF(OR($B243&lt;&gt;$B228,$B244&lt;&gt;$B229,$B245&lt;&gt;$B230,$B246&lt;&gt;$B231,$B247&lt;&gt;$B232,$B248&lt;&gt;$B233,$B249&lt;&gt;$B234,$B250&lt;&gt;$B235,$B251&lt;&gt;$B236,$B252&lt;&gt;$B237,$B253&lt;&gt;$B238),IF($B246&lt;&gt;$B231,AB231/INDEX($C228:$AJ238,4,MATCH(IF('Data-solution'!$A$3="Maximize",MAX($C239:$AI239),MIN($C239:$AI239)),$C239:$AI239,0)),AB231-INDEX($C228:$AJ238,4,MATCH(IF('Data-solution'!$A$3="Maximize",MAX($C239:$AI239),MIN($C239:$AI239)),$C239:$AI239,0))*INDEX(AB228:$AJ238,MATCH(MIN($AK228:$AK238),$AK228:$AK238,0),1)/INDEX($C228:$AJ238,MATCH(MIN($AK228:$AK238),$AK228:$AK238,0),MATCH(IF('Data-solution'!$A$3="Maximize",MAX($C239:$AI239),MIN($C239:$AI239)),$C239:$AI239,0))),AB231)</f>
        <v>1.4999999999999998</v>
      </c>
      <c r="AC246" s="1">
        <f>IF(OR($B243&lt;&gt;$B228,$B244&lt;&gt;$B229,$B245&lt;&gt;$B230,$B246&lt;&gt;$B231,$B247&lt;&gt;$B232,$B248&lt;&gt;$B233,$B249&lt;&gt;$B234,$B250&lt;&gt;$B235,$B251&lt;&gt;$B236,$B252&lt;&gt;$B237,$B253&lt;&gt;$B238),IF($B246&lt;&gt;$B231,AC231/INDEX($C228:$AJ238,4,MATCH(IF('Data-solution'!$A$3="Maximize",MAX($C239:$AI239),MIN($C239:$AI239)),$C239:$AI239,0)),AC231-INDEX($C228:$AJ238,4,MATCH(IF('Data-solution'!$A$3="Maximize",MAX($C239:$AI239),MIN($C239:$AI239)),$C239:$AI239,0))*INDEX(AC228:$AJ238,MATCH(MIN($AK228:$AK238),$AK228:$AK238,0),1)/INDEX($C228:$AJ238,MATCH(MIN($AK228:$AK238),$AK228:$AK238,0),MATCH(IF('Data-solution'!$A$3="Maximize",MAX($C239:$AI239),MIN($C239:$AI239)),$C239:$AI239,0))),AC231)</f>
        <v>0</v>
      </c>
      <c r="AD246" s="1">
        <f>IF(OR($B243&lt;&gt;$B228,$B244&lt;&gt;$B229,$B245&lt;&gt;$B230,$B246&lt;&gt;$B231,$B247&lt;&gt;$B232,$B248&lt;&gt;$B233,$B249&lt;&gt;$B234,$B250&lt;&gt;$B235,$B251&lt;&gt;$B236,$B252&lt;&gt;$B237,$B253&lt;&gt;$B238),IF($B246&lt;&gt;$B231,AD231/INDEX($C228:$AJ238,4,MATCH(IF('Data-solution'!$A$3="Maximize",MAX($C239:$AI239),MIN($C239:$AI239)),$C239:$AI239,0)),AD231-INDEX($C228:$AJ238,4,MATCH(IF('Data-solution'!$A$3="Maximize",MAX($C239:$AI239),MIN($C239:$AI239)),$C239:$AI239,0))*INDEX(AD228:$AJ238,MATCH(MIN($AK228:$AK238),$AK228:$AK238,0),1)/INDEX($C228:$AJ238,MATCH(MIN($AK228:$AK238),$AK228:$AK238,0),MATCH(IF('Data-solution'!$A$3="Maximize",MAX($C239:$AI239),MIN($C239:$AI239)),$C239:$AI239,0))),AD231)</f>
        <v>0</v>
      </c>
      <c r="AE246" s="1">
        <f>IF(OR($B243&lt;&gt;$B228,$B244&lt;&gt;$B229,$B245&lt;&gt;$B230,$B246&lt;&gt;$B231,$B247&lt;&gt;$B232,$B248&lt;&gt;$B233,$B249&lt;&gt;$B234,$B250&lt;&gt;$B235,$B251&lt;&gt;$B236,$B252&lt;&gt;$B237,$B253&lt;&gt;$B238),IF($B246&lt;&gt;$B231,AE231/INDEX($C228:$AJ238,4,MATCH(IF('Data-solution'!$A$3="Maximize",MAX($C239:$AI239),MIN($C239:$AI239)),$C239:$AI239,0)),AE231-INDEX($C228:$AJ238,4,MATCH(IF('Data-solution'!$A$3="Maximize",MAX($C239:$AI239),MIN($C239:$AI239)),$C239:$AI239,0))*INDEX(AE228:$AJ238,MATCH(MIN($AK228:$AK238),$AK228:$AK238,0),1)/INDEX($C228:$AJ238,MATCH(MIN($AK228:$AK238),$AK228:$AK238,0),MATCH(IF('Data-solution'!$A$3="Maximize",MAX($C239:$AI239),MIN($C239:$AI239)),$C239:$AI239,0))),AE231)</f>
        <v>0</v>
      </c>
      <c r="AF246" s="1">
        <f>IF(OR($B243&lt;&gt;$B228,$B244&lt;&gt;$B229,$B245&lt;&gt;$B230,$B246&lt;&gt;$B231,$B247&lt;&gt;$B232,$B248&lt;&gt;$B233,$B249&lt;&gt;$B234,$B250&lt;&gt;$B235,$B251&lt;&gt;$B236,$B252&lt;&gt;$B237,$B253&lt;&gt;$B238),IF($B246&lt;&gt;$B231,AF231/INDEX($C228:$AJ238,4,MATCH(IF('Data-solution'!$A$3="Maximize",MAX($C239:$AI239),MIN($C239:$AI239)),$C239:$AI239,0)),AF231-INDEX($C228:$AJ238,4,MATCH(IF('Data-solution'!$A$3="Maximize",MAX($C239:$AI239),MIN($C239:$AI239)),$C239:$AI239,0))*INDEX(AF228:$AJ238,MATCH(MIN($AK228:$AK238),$AK228:$AK238,0),1)/INDEX($C228:$AJ238,MATCH(MIN($AK228:$AK238),$AK228:$AK238,0),MATCH(IF('Data-solution'!$A$3="Maximize",MAX($C239:$AI239),MIN($C239:$AI239)),$C239:$AI239,0))),AF231)</f>
        <v>0</v>
      </c>
      <c r="AG246" s="1">
        <f>IF(OR($B243&lt;&gt;$B228,$B244&lt;&gt;$B229,$B245&lt;&gt;$B230,$B246&lt;&gt;$B231,$B247&lt;&gt;$B232,$B248&lt;&gt;$B233,$B249&lt;&gt;$B234,$B250&lt;&gt;$B235,$B251&lt;&gt;$B236,$B252&lt;&gt;$B237,$B253&lt;&gt;$B238),IF($B246&lt;&gt;$B231,AG231/INDEX($C228:$AJ238,4,MATCH(IF('Data-solution'!$A$3="Maximize",MAX($C239:$AI239),MIN($C239:$AI239)),$C239:$AI239,0)),AG231-INDEX($C228:$AJ238,4,MATCH(IF('Data-solution'!$A$3="Maximize",MAX($C239:$AI239),MIN($C239:$AI239)),$C239:$AI239,0))*INDEX(AG228:$AJ238,MATCH(MIN($AK228:$AK238),$AK228:$AK238,0),1)/INDEX($C228:$AJ238,MATCH(MIN($AK228:$AK238),$AK228:$AK238,0),MATCH(IF('Data-solution'!$A$3="Maximize",MAX($C239:$AI239),MIN($C239:$AI239)),$C239:$AI239,0))),AG231)</f>
        <v>0</v>
      </c>
      <c r="AH246" s="1">
        <f>IF(OR($B243&lt;&gt;$B228,$B244&lt;&gt;$B229,$B245&lt;&gt;$B230,$B246&lt;&gt;$B231,$B247&lt;&gt;$B232,$B248&lt;&gt;$B233,$B249&lt;&gt;$B234,$B250&lt;&gt;$B235,$B251&lt;&gt;$B236,$B252&lt;&gt;$B237,$B253&lt;&gt;$B238),IF($B246&lt;&gt;$B231,AH231/INDEX($C228:$AJ238,4,MATCH(IF('Data-solution'!$A$3="Maximize",MAX($C239:$AI239),MIN($C239:$AI239)),$C239:$AI239,0)),AH231-INDEX($C228:$AJ238,4,MATCH(IF('Data-solution'!$A$3="Maximize",MAX($C239:$AI239),MIN($C239:$AI239)),$C239:$AI239,0))*INDEX(AH228:$AJ238,MATCH(MIN($AK228:$AK238),$AK228:$AK238,0),1)/INDEX($C228:$AJ238,MATCH(MIN($AK228:$AK238),$AK228:$AK238,0),MATCH(IF('Data-solution'!$A$3="Maximize",MAX($C239:$AI239),MIN($C239:$AI239)),$C239:$AI239,0))),AH231)</f>
        <v>0</v>
      </c>
      <c r="AI246" s="1">
        <f>IF(OR($B243&lt;&gt;$B228,$B244&lt;&gt;$B229,$B245&lt;&gt;$B230,$B246&lt;&gt;$B231,$B247&lt;&gt;$B232,$B248&lt;&gt;$B233,$B249&lt;&gt;$B234,$B250&lt;&gt;$B235,$B251&lt;&gt;$B236,$B252&lt;&gt;$B237,$B253&lt;&gt;$B238),IF($B246&lt;&gt;$B231,AI231/INDEX($C228:$AJ238,4,MATCH(IF('Data-solution'!$A$3="Maximize",MAX($C239:$AI239),MIN($C239:$AI239)),$C239:$AI239,0)),AI231-INDEX($C228:$AJ238,4,MATCH(IF('Data-solution'!$A$3="Maximize",MAX($C239:$AI239),MIN($C239:$AI239)),$C239:$AI239,0))*INDEX(AI228:$AJ238,MATCH(MIN($AK228:$AK238),$AK228:$AK238,0),1)/INDEX($C228:$AJ238,MATCH(MIN($AK228:$AK238),$AK228:$AK238,0),MATCH(IF('Data-solution'!$A$3="Maximize",MAX($C239:$AI239),MIN($C239:$AI239)),$C239:$AI239,0))),AI231)</f>
        <v>0</v>
      </c>
      <c r="AJ246" s="1">
        <f>IF(OR($B243&lt;&gt;$B228,$B244&lt;&gt;$B229,$B245&lt;&gt;$B230,$B246&lt;&gt;$B231,$B247&lt;&gt;$B232,$B248&lt;&gt;$B233,$B249&lt;&gt;$B234,$B250&lt;&gt;$B235,$B251&lt;&gt;$B236,$B252&lt;&gt;$B237,$B253&lt;&gt;$B238),IF($B246&lt;&gt;$B231,AJ231/INDEX($C228:$AJ238,4,MATCH(IF('Data-solution'!$A$3="Maximize",MAX($C239:$AI239),MIN($C239:$AI239)),$C239:$AI239,0)),AJ231-INDEX($C228:$AJ238,4,MATCH(IF('Data-solution'!$A$3="Maximize",MAX($C239:$AI239),MIN($C239:$AI239)),$C239:$AI239,0))*INDEX(AJ228:$AJ238,MATCH(MIN($AK228:$AK238),$AK228:$AK238,0),1)/INDEX($C228:$AJ238,MATCH(MIN($AK228:$AK238),$AK228:$AK238,0),MATCH(IF('Data-solution'!$A$3="Maximize",MAX($C239:$AI239),MIN($C239:$AI239)),$C239:$AI239,0))),AJ231)</f>
        <v>100.00000000000001</v>
      </c>
      <c r="AK246" s="1">
        <f>IF(INDEX(C246:X246,1,MATCH(IF('Data-solution'!A$3="Maximize",MAX(C254:X254),MIN(C254:X254)),C254:X254,0))&gt;0,AJ246/INDEX(C246:X246,1,MATCH(IF('Data-solution'!A$3="Maximize",MAX(C254:X254),MIN(C254:X254)),C254:X254,0))," ")</f>
        <v>100.00000000000001</v>
      </c>
    </row>
    <row r="247" spans="1:37" ht="18" customHeight="1" x14ac:dyDescent="0.2">
      <c r="A247" s="1">
        <f t="shared" ref="A247" si="216">INDEX(C241:AI241,1,MATCH(B247,C242:AI242,0))</f>
        <v>0</v>
      </c>
      <c r="B247" s="2" t="str">
        <f>IF(AND('Data-solution'!A$3="Maximize",COUNTIF(C239:X239,"&gt;"&amp;0)&gt;0,AK232=MIN(AK228:AK238),COUNTIF(B243:B246,INDEX(C227:X227,1,MATCH(MAX(C239:X239),C239:X239,0)))=0),INDEX(C227:X227,1,MATCH(MAX(C239:X239),C239:X239,0)),IF(AND('Data-solution'!A$3="Minimize",COUNTIF(C239:X239,"&lt;"&amp;0)&gt;0,AK232=MIN(AK228:AK238),COUNTIF(B243:B246,INDEX(C227:X227,1,MATCH(MIN(C239:X239),C239:X239,0)))=0),INDEX(C227:X227,1,MATCH(MIN(C239:X239),C239:X239,0)),B232))</f>
        <v>S5</v>
      </c>
      <c r="C247" s="1">
        <f>IF(OR($B243&lt;&gt;$B228,$B244&lt;&gt;$B229,$B245&lt;&gt;$B230,$B246&lt;&gt;$B231,$B247&lt;&gt;$B232,$B248&lt;&gt;$B233,$B249&lt;&gt;$B234,$B250&lt;&gt;$B235,$B251&lt;&gt;$B236,$B252&lt;&gt;$B237,$B253&lt;&gt;$B238),IF($B247&lt;&gt;$B232,C232/INDEX($C228:$AJ238,5,MATCH(IF('Data-solution'!$A$3="Maximize",MAX($C239:$AI239),MIN($C239:$AI239)),$C239:$AI239,0)),C232-INDEX($C228:$AJ238,5,MATCH(IF('Data-solution'!$A$3="Maximize",MAX($C239:$AI239),MIN($C239:$AI239)),$C239:$AI239,0))*INDEX(C228:$AJ238,MATCH(MIN($AK228:$AK238),$AK228:$AK238,0),1)/INDEX($C228:$AJ238,MATCH(MIN($AK228:$AK238),$AK228:$AK238,0),MATCH(IF('Data-solution'!$A$3="Maximize",MAX($C239:$AI239),MIN($C239:$AI239)),$C239:$AI239,0))),C232)</f>
        <v>0</v>
      </c>
      <c r="D247" s="1">
        <f>IF(OR($B243&lt;&gt;$B228,$B244&lt;&gt;$B229,$B245&lt;&gt;$B230,$B246&lt;&gt;$B231,$B247&lt;&gt;$B232,$B248&lt;&gt;$B233,$B249&lt;&gt;$B234,$B250&lt;&gt;$B235,$B251&lt;&gt;$B236,$B252&lt;&gt;$B237,$B253&lt;&gt;$B238),IF($B247&lt;&gt;$B232,D232/INDEX($C228:$AJ238,5,MATCH(IF('Data-solution'!$A$3="Maximize",MAX($C239:$AI239),MIN($C239:$AI239)),$C239:$AI239,0)),D232-INDEX($C228:$AJ238,5,MATCH(IF('Data-solution'!$A$3="Maximize",MAX($C239:$AI239),MIN($C239:$AI239)),$C239:$AI239,0))*INDEX(D228:$AJ238,MATCH(MIN($AK228:$AK238),$AK228:$AK238,0),1)/INDEX($C228:$AJ238,MATCH(MIN($AK228:$AK238),$AK228:$AK238,0),MATCH(IF('Data-solution'!$A$3="Maximize",MAX($C239:$AI239),MIN($C239:$AI239)),$C239:$AI239,0))),D232)</f>
        <v>0</v>
      </c>
      <c r="E247" s="1">
        <f>IF(OR($B243&lt;&gt;$B228,$B244&lt;&gt;$B229,$B245&lt;&gt;$B230,$B246&lt;&gt;$B231,$B247&lt;&gt;$B232,$B248&lt;&gt;$B233,$B249&lt;&gt;$B234,$B250&lt;&gt;$B235,$B251&lt;&gt;$B236,$B252&lt;&gt;$B237,$B253&lt;&gt;$B238),IF($B247&lt;&gt;$B232,E232/INDEX($C228:$AJ238,5,MATCH(IF('Data-solution'!$A$3="Maximize",MAX($C239:$AI239),MIN($C239:$AI239)),$C239:$AI239,0)),E232-INDEX($C228:$AJ238,5,MATCH(IF('Data-solution'!$A$3="Maximize",MAX($C239:$AI239),MIN($C239:$AI239)),$C239:$AI239,0))*INDEX(E228:$AJ238,MATCH(MIN($AK228:$AK238),$AK228:$AK238,0),1)/INDEX($C228:$AJ238,MATCH(MIN($AK228:$AK238),$AK228:$AK238,0),MATCH(IF('Data-solution'!$A$3="Maximize",MAX($C239:$AI239),MIN($C239:$AI239)),$C239:$AI239,0))),E232)</f>
        <v>0</v>
      </c>
      <c r="F247" s="1">
        <f>IF(OR($B243&lt;&gt;$B228,$B244&lt;&gt;$B229,$B245&lt;&gt;$B230,$B246&lt;&gt;$B231,$B247&lt;&gt;$B232,$B248&lt;&gt;$B233,$B249&lt;&gt;$B234,$B250&lt;&gt;$B235,$B251&lt;&gt;$B236,$B252&lt;&gt;$B237,$B253&lt;&gt;$B238),IF($B247&lt;&gt;$B232,F232/INDEX($C228:$AJ238,5,MATCH(IF('Data-solution'!$A$3="Maximize",MAX($C239:$AI239),MIN($C239:$AI239)),$C239:$AI239,0)),F232-INDEX($C228:$AJ238,5,MATCH(IF('Data-solution'!$A$3="Maximize",MAX($C239:$AI239),MIN($C239:$AI239)),$C239:$AI239,0))*INDEX(F228:$AJ238,MATCH(MIN($AK228:$AK238),$AK228:$AK238,0),1)/INDEX($C228:$AJ238,MATCH(MIN($AK228:$AK238),$AK228:$AK238,0),MATCH(IF('Data-solution'!$A$3="Maximize",MAX($C239:$AI239),MIN($C239:$AI239)),$C239:$AI239,0))),F232)</f>
        <v>0</v>
      </c>
      <c r="G247" s="1">
        <f>IF(OR($B243&lt;&gt;$B228,$B244&lt;&gt;$B229,$B245&lt;&gt;$B230,$B246&lt;&gt;$B231,$B247&lt;&gt;$B232,$B248&lt;&gt;$B233,$B249&lt;&gt;$B234,$B250&lt;&gt;$B235,$B251&lt;&gt;$B236,$B252&lt;&gt;$B237,$B253&lt;&gt;$B238),IF($B247&lt;&gt;$B232,G232/INDEX($C228:$AJ238,5,MATCH(IF('Data-solution'!$A$3="Maximize",MAX($C239:$AI239),MIN($C239:$AI239)),$C239:$AI239,0)),G232-INDEX($C228:$AJ238,5,MATCH(IF('Data-solution'!$A$3="Maximize",MAX($C239:$AI239),MIN($C239:$AI239)),$C239:$AI239,0))*INDEX(G228:$AJ238,MATCH(MIN($AK228:$AK238),$AK228:$AK238,0),1)/INDEX($C228:$AJ238,MATCH(MIN($AK228:$AK238),$AK228:$AK238,0),MATCH(IF('Data-solution'!$A$3="Maximize",MAX($C239:$AI239),MIN($C239:$AI239)),$C239:$AI239,0))),G232)</f>
        <v>0</v>
      </c>
      <c r="H247" s="1">
        <f>IF(OR($B243&lt;&gt;$B228,$B244&lt;&gt;$B229,$B245&lt;&gt;$B230,$B246&lt;&gt;$B231,$B247&lt;&gt;$B232,$B248&lt;&gt;$B233,$B249&lt;&gt;$B234,$B250&lt;&gt;$B235,$B251&lt;&gt;$B236,$B252&lt;&gt;$B237,$B253&lt;&gt;$B238),IF($B247&lt;&gt;$B232,H232/INDEX($C228:$AJ238,5,MATCH(IF('Data-solution'!$A$3="Maximize",MAX($C239:$AI239),MIN($C239:$AI239)),$C239:$AI239,0)),H232-INDEX($C228:$AJ238,5,MATCH(IF('Data-solution'!$A$3="Maximize",MAX($C239:$AI239),MIN($C239:$AI239)),$C239:$AI239,0))*INDEX(H228:$AJ238,MATCH(MIN($AK228:$AK238),$AK228:$AK238,0),1)/INDEX($C228:$AJ238,MATCH(MIN($AK228:$AK238),$AK228:$AK238,0),MATCH(IF('Data-solution'!$A$3="Maximize",MAX($C239:$AI239),MIN($C239:$AI239)),$C239:$AI239,0))),H232)</f>
        <v>0</v>
      </c>
      <c r="I247" s="1">
        <f>IF(OR($B243&lt;&gt;$B228,$B244&lt;&gt;$B229,$B245&lt;&gt;$B230,$B246&lt;&gt;$B231,$B247&lt;&gt;$B232,$B248&lt;&gt;$B233,$B249&lt;&gt;$B234,$B250&lt;&gt;$B235,$B251&lt;&gt;$B236,$B252&lt;&gt;$B237,$B253&lt;&gt;$B238),IF($B247&lt;&gt;$B232,I232/INDEX($C228:$AJ238,5,MATCH(IF('Data-solution'!$A$3="Maximize",MAX($C239:$AI239),MIN($C239:$AI239)),$C239:$AI239,0)),I232-INDEX($C228:$AJ238,5,MATCH(IF('Data-solution'!$A$3="Maximize",MAX($C239:$AI239),MIN($C239:$AI239)),$C239:$AI239,0))*INDEX(I228:$AJ238,MATCH(MIN($AK228:$AK238),$AK228:$AK238,0),1)/INDEX($C228:$AJ238,MATCH(MIN($AK228:$AK238),$AK228:$AK238,0),MATCH(IF('Data-solution'!$A$3="Maximize",MAX($C239:$AI239),MIN($C239:$AI239)),$C239:$AI239,0))),I232)</f>
        <v>0</v>
      </c>
      <c r="J247" s="1">
        <f>IF(OR($B243&lt;&gt;$B228,$B244&lt;&gt;$B229,$B245&lt;&gt;$B230,$B246&lt;&gt;$B231,$B247&lt;&gt;$B232,$B248&lt;&gt;$B233,$B249&lt;&gt;$B234,$B250&lt;&gt;$B235,$B251&lt;&gt;$B236,$B252&lt;&gt;$B237,$B253&lt;&gt;$B238),IF($B247&lt;&gt;$B232,J232/INDEX($C228:$AJ238,5,MATCH(IF('Data-solution'!$A$3="Maximize",MAX($C239:$AI239),MIN($C239:$AI239)),$C239:$AI239,0)),J232-INDEX($C228:$AJ238,5,MATCH(IF('Data-solution'!$A$3="Maximize",MAX($C239:$AI239),MIN($C239:$AI239)),$C239:$AI239,0))*INDEX(J228:$AJ238,MATCH(MIN($AK228:$AK238),$AK228:$AK238,0),1)/INDEX($C228:$AJ238,MATCH(MIN($AK228:$AK238),$AK228:$AK238,0),MATCH(IF('Data-solution'!$A$3="Maximize",MAX($C239:$AI239),MIN($C239:$AI239)),$C239:$AI239,0))),J232)</f>
        <v>0</v>
      </c>
      <c r="K247" s="1">
        <f>IF(OR($B243&lt;&gt;$B228,$B244&lt;&gt;$B229,$B245&lt;&gt;$B230,$B246&lt;&gt;$B231,$B247&lt;&gt;$B232,$B248&lt;&gt;$B233,$B249&lt;&gt;$B234,$B250&lt;&gt;$B235,$B251&lt;&gt;$B236,$B252&lt;&gt;$B237,$B253&lt;&gt;$B238),IF($B247&lt;&gt;$B232,K232/INDEX($C228:$AJ238,5,MATCH(IF('Data-solution'!$A$3="Maximize",MAX($C239:$AI239),MIN($C239:$AI239)),$C239:$AI239,0)),K232-INDEX($C228:$AJ238,5,MATCH(IF('Data-solution'!$A$3="Maximize",MAX($C239:$AI239),MIN($C239:$AI239)),$C239:$AI239,0))*INDEX(K228:$AJ238,MATCH(MIN($AK228:$AK238),$AK228:$AK238,0),1)/INDEX($C228:$AJ238,MATCH(MIN($AK228:$AK238),$AK228:$AK238,0),MATCH(IF('Data-solution'!$A$3="Maximize",MAX($C239:$AI239),MIN($C239:$AI239)),$C239:$AI239,0))),K232)</f>
        <v>0</v>
      </c>
      <c r="L247" s="1">
        <f>IF(OR($B243&lt;&gt;$B228,$B244&lt;&gt;$B229,$B245&lt;&gt;$B230,$B246&lt;&gt;$B231,$B247&lt;&gt;$B232,$B248&lt;&gt;$B233,$B249&lt;&gt;$B234,$B250&lt;&gt;$B235,$B251&lt;&gt;$B236,$B252&lt;&gt;$B237,$B253&lt;&gt;$B238),IF($B247&lt;&gt;$B232,L232/INDEX($C228:$AJ238,5,MATCH(IF('Data-solution'!$A$3="Maximize",MAX($C239:$AI239),MIN($C239:$AI239)),$C239:$AI239,0)),L232-INDEX($C228:$AJ238,5,MATCH(IF('Data-solution'!$A$3="Maximize",MAX($C239:$AI239),MIN($C239:$AI239)),$C239:$AI239,0))*INDEX(L228:$AJ238,MATCH(MIN($AK228:$AK238),$AK228:$AK238,0),1)/INDEX($C228:$AJ238,MATCH(MIN($AK228:$AK238),$AK228:$AK238,0),MATCH(IF('Data-solution'!$A$3="Maximize",MAX($C239:$AI239),MIN($C239:$AI239)),$C239:$AI239,0))),L232)</f>
        <v>0</v>
      </c>
      <c r="M247" s="1">
        <f>IF(OR($B243&lt;&gt;$B228,$B244&lt;&gt;$B229,$B245&lt;&gt;$B230,$B246&lt;&gt;$B231,$B247&lt;&gt;$B232,$B248&lt;&gt;$B233,$B249&lt;&gt;$B234,$B250&lt;&gt;$B235,$B251&lt;&gt;$B236,$B252&lt;&gt;$B237,$B253&lt;&gt;$B238),IF($B247&lt;&gt;$B232,M232/INDEX($C228:$AJ238,5,MATCH(IF('Data-solution'!$A$3="Maximize",MAX($C239:$AI239),MIN($C239:$AI239)),$C239:$AI239,0)),M232-INDEX($C228:$AJ238,5,MATCH(IF('Data-solution'!$A$3="Maximize",MAX($C239:$AI239),MIN($C239:$AI239)),$C239:$AI239,0))*INDEX(M228:$AJ238,MATCH(MIN($AK228:$AK238),$AK228:$AK238,0),1)/INDEX($C228:$AJ238,MATCH(MIN($AK228:$AK238),$AK228:$AK238,0),MATCH(IF('Data-solution'!$A$3="Maximize",MAX($C239:$AI239),MIN($C239:$AI239)),$C239:$AI239,0))),M232)</f>
        <v>0</v>
      </c>
      <c r="N247" s="1">
        <f>IF(OR($B243&lt;&gt;$B228,$B244&lt;&gt;$B229,$B245&lt;&gt;$B230,$B246&lt;&gt;$B231,$B247&lt;&gt;$B232,$B248&lt;&gt;$B233,$B249&lt;&gt;$B234,$B250&lt;&gt;$B235,$B251&lt;&gt;$B236,$B252&lt;&gt;$B237,$B253&lt;&gt;$B238),IF($B247&lt;&gt;$B232,N232/INDEX($C228:$AJ238,5,MATCH(IF('Data-solution'!$A$3="Maximize",MAX($C239:$AI239),MIN($C239:$AI239)),$C239:$AI239,0)),N232-INDEX($C228:$AJ238,5,MATCH(IF('Data-solution'!$A$3="Maximize",MAX($C239:$AI239),MIN($C239:$AI239)),$C239:$AI239,0))*INDEX(N228:$AJ238,MATCH(MIN($AK228:$AK238),$AK228:$AK238,0),1)/INDEX($C228:$AJ238,MATCH(MIN($AK228:$AK238),$AK228:$AK238,0),MATCH(IF('Data-solution'!$A$3="Maximize",MAX($C239:$AI239),MIN($C239:$AI239)),$C239:$AI239,0))),N232)</f>
        <v>0</v>
      </c>
      <c r="O247" s="1">
        <f>IF(OR($B243&lt;&gt;$B228,$B244&lt;&gt;$B229,$B245&lt;&gt;$B230,$B246&lt;&gt;$B231,$B247&lt;&gt;$B232,$B248&lt;&gt;$B233,$B249&lt;&gt;$B234,$B250&lt;&gt;$B235,$B251&lt;&gt;$B236,$B252&lt;&gt;$B237,$B253&lt;&gt;$B238),IF($B247&lt;&gt;$B232,O232/INDEX($C228:$AJ238,5,MATCH(IF('Data-solution'!$A$3="Maximize",MAX($C239:$AI239),MIN($C239:$AI239)),$C239:$AI239,0)),O232-INDEX($C228:$AJ238,5,MATCH(IF('Data-solution'!$A$3="Maximize",MAX($C239:$AI239),MIN($C239:$AI239)),$C239:$AI239,0))*INDEX(O228:$AJ238,MATCH(MIN($AK228:$AK238),$AK228:$AK238,0),1)/INDEX($C228:$AJ238,MATCH(MIN($AK228:$AK238),$AK228:$AK238,0),MATCH(IF('Data-solution'!$A$3="Maximize",MAX($C239:$AI239),MIN($C239:$AI239)),$C239:$AI239,0))),O232)</f>
        <v>0</v>
      </c>
      <c r="P247" s="1">
        <f>IF(OR($B243&lt;&gt;$B228,$B244&lt;&gt;$B229,$B245&lt;&gt;$B230,$B246&lt;&gt;$B231,$B247&lt;&gt;$B232,$B248&lt;&gt;$B233,$B249&lt;&gt;$B234,$B250&lt;&gt;$B235,$B251&lt;&gt;$B236,$B252&lt;&gt;$B237,$B253&lt;&gt;$B238),IF($B247&lt;&gt;$B232,P232/INDEX($C228:$AJ238,5,MATCH(IF('Data-solution'!$A$3="Maximize",MAX($C239:$AI239),MIN($C239:$AI239)),$C239:$AI239,0)),P232-INDEX($C228:$AJ238,5,MATCH(IF('Data-solution'!$A$3="Maximize",MAX($C239:$AI239),MIN($C239:$AI239)),$C239:$AI239,0))*INDEX(P228:$AJ238,MATCH(MIN($AK228:$AK238),$AK228:$AK238,0),1)/INDEX($C228:$AJ238,MATCH(MIN($AK228:$AK238),$AK228:$AK238,0),MATCH(IF('Data-solution'!$A$3="Maximize",MAX($C239:$AI239),MIN($C239:$AI239)),$C239:$AI239,0))),P232)</f>
        <v>0</v>
      </c>
      <c r="Q247" s="1">
        <f>IF(OR($B243&lt;&gt;$B228,$B244&lt;&gt;$B229,$B245&lt;&gt;$B230,$B246&lt;&gt;$B231,$B247&lt;&gt;$B232,$B248&lt;&gt;$B233,$B249&lt;&gt;$B234,$B250&lt;&gt;$B235,$B251&lt;&gt;$B236,$B252&lt;&gt;$B237,$B253&lt;&gt;$B238),IF($B247&lt;&gt;$B232,Q232/INDEX($C228:$AJ238,5,MATCH(IF('Data-solution'!$A$3="Maximize",MAX($C239:$AI239),MIN($C239:$AI239)),$C239:$AI239,0)),Q232-INDEX($C228:$AJ238,5,MATCH(IF('Data-solution'!$A$3="Maximize",MAX($C239:$AI239),MIN($C239:$AI239)),$C239:$AI239,0))*INDEX(Q228:$AJ238,MATCH(MIN($AK228:$AK238),$AK228:$AK238,0),1)/INDEX($C228:$AJ238,MATCH(MIN($AK228:$AK238),$AK228:$AK238,0),MATCH(IF('Data-solution'!$A$3="Maximize",MAX($C239:$AI239),MIN($C239:$AI239)),$C239:$AI239,0))),Q232)</f>
        <v>0</v>
      </c>
      <c r="R247" s="1">
        <f>IF(OR($B243&lt;&gt;$B228,$B244&lt;&gt;$B229,$B245&lt;&gt;$B230,$B246&lt;&gt;$B231,$B247&lt;&gt;$B232,$B248&lt;&gt;$B233,$B249&lt;&gt;$B234,$B250&lt;&gt;$B235,$B251&lt;&gt;$B236,$B252&lt;&gt;$B237,$B253&lt;&gt;$B238),IF($B247&lt;&gt;$B232,R232/INDEX($C228:$AJ238,5,MATCH(IF('Data-solution'!$A$3="Maximize",MAX($C239:$AI239),MIN($C239:$AI239)),$C239:$AI239,0)),R232-INDEX($C228:$AJ238,5,MATCH(IF('Data-solution'!$A$3="Maximize",MAX($C239:$AI239),MIN($C239:$AI239)),$C239:$AI239,0))*INDEX(R228:$AJ238,MATCH(MIN($AK228:$AK238),$AK228:$AK238,0),1)/INDEX($C228:$AJ238,MATCH(MIN($AK228:$AK238),$AK228:$AK238,0),MATCH(IF('Data-solution'!$A$3="Maximize",MAX($C239:$AI239),MIN($C239:$AI239)),$C239:$AI239,0))),R232)</f>
        <v>1</v>
      </c>
      <c r="S247" s="1">
        <f>IF(OR($B243&lt;&gt;$B228,$B244&lt;&gt;$B229,$B245&lt;&gt;$B230,$B246&lt;&gt;$B231,$B247&lt;&gt;$B232,$B248&lt;&gt;$B233,$B249&lt;&gt;$B234,$B250&lt;&gt;$B235,$B251&lt;&gt;$B236,$B252&lt;&gt;$B237,$B253&lt;&gt;$B238),IF($B247&lt;&gt;$B232,S232/INDEX($C228:$AJ238,5,MATCH(IF('Data-solution'!$A$3="Maximize",MAX($C239:$AI239),MIN($C239:$AI239)),$C239:$AI239,0)),S232-INDEX($C228:$AJ238,5,MATCH(IF('Data-solution'!$A$3="Maximize",MAX($C239:$AI239),MIN($C239:$AI239)),$C239:$AI239,0))*INDEX(S228:$AJ238,MATCH(MIN($AK228:$AK238),$AK228:$AK238,0),1)/INDEX($C228:$AJ238,MATCH(MIN($AK228:$AK238),$AK228:$AK238,0),MATCH(IF('Data-solution'!$A$3="Maximize",MAX($C239:$AI239),MIN($C239:$AI239)),$C239:$AI239,0))),S232)</f>
        <v>0</v>
      </c>
      <c r="T247" s="1">
        <f>IF(OR($B243&lt;&gt;$B228,$B244&lt;&gt;$B229,$B245&lt;&gt;$B230,$B246&lt;&gt;$B231,$B247&lt;&gt;$B232,$B248&lt;&gt;$B233,$B249&lt;&gt;$B234,$B250&lt;&gt;$B235,$B251&lt;&gt;$B236,$B252&lt;&gt;$B237,$B253&lt;&gt;$B238),IF($B247&lt;&gt;$B232,T232/INDEX($C228:$AJ238,5,MATCH(IF('Data-solution'!$A$3="Maximize",MAX($C239:$AI239),MIN($C239:$AI239)),$C239:$AI239,0)),T232-INDEX($C228:$AJ238,5,MATCH(IF('Data-solution'!$A$3="Maximize",MAX($C239:$AI239),MIN($C239:$AI239)),$C239:$AI239,0))*INDEX(T228:$AJ238,MATCH(MIN($AK228:$AK238),$AK228:$AK238,0),1)/INDEX($C228:$AJ238,MATCH(MIN($AK228:$AK238),$AK228:$AK238,0),MATCH(IF('Data-solution'!$A$3="Maximize",MAX($C239:$AI239),MIN($C239:$AI239)),$C239:$AI239,0))),T232)</f>
        <v>0</v>
      </c>
      <c r="U247" s="1">
        <f>IF(OR($B243&lt;&gt;$B228,$B244&lt;&gt;$B229,$B245&lt;&gt;$B230,$B246&lt;&gt;$B231,$B247&lt;&gt;$B232,$B248&lt;&gt;$B233,$B249&lt;&gt;$B234,$B250&lt;&gt;$B235,$B251&lt;&gt;$B236,$B252&lt;&gt;$B237,$B253&lt;&gt;$B238),IF($B247&lt;&gt;$B232,U232/INDEX($C228:$AJ238,5,MATCH(IF('Data-solution'!$A$3="Maximize",MAX($C239:$AI239),MIN($C239:$AI239)),$C239:$AI239,0)),U232-INDEX($C228:$AJ238,5,MATCH(IF('Data-solution'!$A$3="Maximize",MAX($C239:$AI239),MIN($C239:$AI239)),$C239:$AI239,0))*INDEX(U228:$AJ238,MATCH(MIN($AK228:$AK238),$AK228:$AK238,0),1)/INDEX($C228:$AJ238,MATCH(MIN($AK228:$AK238),$AK228:$AK238,0),MATCH(IF('Data-solution'!$A$3="Maximize",MAX($C239:$AI239),MIN($C239:$AI239)),$C239:$AI239,0))),U232)</f>
        <v>0</v>
      </c>
      <c r="V247" s="1">
        <f>IF(OR($B243&lt;&gt;$B228,$B244&lt;&gt;$B229,$B245&lt;&gt;$B230,$B246&lt;&gt;$B231,$B247&lt;&gt;$B232,$B248&lt;&gt;$B233,$B249&lt;&gt;$B234,$B250&lt;&gt;$B235,$B251&lt;&gt;$B236,$B252&lt;&gt;$B237,$B253&lt;&gt;$B238),IF($B247&lt;&gt;$B232,V232/INDEX($C228:$AJ238,5,MATCH(IF('Data-solution'!$A$3="Maximize",MAX($C239:$AI239),MIN($C239:$AI239)),$C239:$AI239,0)),V232-INDEX($C228:$AJ238,5,MATCH(IF('Data-solution'!$A$3="Maximize",MAX($C239:$AI239),MIN($C239:$AI239)),$C239:$AI239,0))*INDEX(V228:$AJ238,MATCH(MIN($AK228:$AK238),$AK228:$AK238,0),1)/INDEX($C228:$AJ238,MATCH(MIN($AK228:$AK238),$AK228:$AK238,0),MATCH(IF('Data-solution'!$A$3="Maximize",MAX($C239:$AI239),MIN($C239:$AI239)),$C239:$AI239,0))),V232)</f>
        <v>0</v>
      </c>
      <c r="W247" s="1">
        <f>IF(OR($B243&lt;&gt;$B228,$B244&lt;&gt;$B229,$B245&lt;&gt;$B230,$B246&lt;&gt;$B231,$B247&lt;&gt;$B232,$B248&lt;&gt;$B233,$B249&lt;&gt;$B234,$B250&lt;&gt;$B235,$B251&lt;&gt;$B236,$B252&lt;&gt;$B237,$B253&lt;&gt;$B238),IF($B247&lt;&gt;$B232,W232/INDEX($C228:$AJ238,5,MATCH(IF('Data-solution'!$A$3="Maximize",MAX($C239:$AI239),MIN($C239:$AI239)),$C239:$AI239,0)),W232-INDEX($C228:$AJ238,5,MATCH(IF('Data-solution'!$A$3="Maximize",MAX($C239:$AI239),MIN($C239:$AI239)),$C239:$AI239,0))*INDEX(W228:$AJ238,MATCH(MIN($AK228:$AK238),$AK228:$AK238,0),1)/INDEX($C228:$AJ238,MATCH(MIN($AK228:$AK238),$AK228:$AK238,0),MATCH(IF('Data-solution'!$A$3="Maximize",MAX($C239:$AI239),MIN($C239:$AI239)),$C239:$AI239,0))),W232)</f>
        <v>0</v>
      </c>
      <c r="X247" s="1">
        <f>IF(OR($B243&lt;&gt;$B228,$B244&lt;&gt;$B229,$B245&lt;&gt;$B230,$B246&lt;&gt;$B231,$B247&lt;&gt;$B232,$B248&lt;&gt;$B233,$B249&lt;&gt;$B234,$B250&lt;&gt;$B235,$B251&lt;&gt;$B236,$B252&lt;&gt;$B237,$B253&lt;&gt;$B238),IF($B247&lt;&gt;$B232,X232/INDEX($C228:$AJ238,5,MATCH(IF('Data-solution'!$A$3="Maximize",MAX($C239:$AI239),MIN($C239:$AI239)),$C239:$AI239,0)),X232-INDEX($C228:$AJ238,5,MATCH(IF('Data-solution'!$A$3="Maximize",MAX($C239:$AI239),MIN($C239:$AI239)),$C239:$AI239,0))*INDEX(X228:$AJ238,MATCH(MIN($AK228:$AK238),$AK228:$AK238,0),1)/INDEX($C228:$AJ238,MATCH(MIN($AK228:$AK238),$AK228:$AK238,0),MATCH(IF('Data-solution'!$A$3="Maximize",MAX($C239:$AI239),MIN($C239:$AI239)),$C239:$AI239,0))),X232)</f>
        <v>0</v>
      </c>
      <c r="Y247" s="1">
        <f>IF(OR($B243&lt;&gt;$B228,$B244&lt;&gt;$B229,$B245&lt;&gt;$B230,$B246&lt;&gt;$B231,$B247&lt;&gt;$B232,$B248&lt;&gt;$B233,$B249&lt;&gt;$B234,$B250&lt;&gt;$B235,$B251&lt;&gt;$B236,$B252&lt;&gt;$B237,$B253&lt;&gt;$B238),IF($B247&lt;&gt;$B232,Y232/INDEX($C228:$AJ238,5,MATCH(IF('Data-solution'!$A$3="Maximize",MAX($C239:$AI239),MIN($C239:$AI239)),$C239:$AI239,0)),Y232-INDEX($C228:$AJ238,5,MATCH(IF('Data-solution'!$A$3="Maximize",MAX($C239:$AI239),MIN($C239:$AI239)),$C239:$AI239,0))*INDEX(Y228:$AJ238,MATCH(MIN($AK228:$AK238),$AK228:$AK238,0),1)/INDEX($C228:$AJ238,MATCH(MIN($AK228:$AK238),$AK228:$AK238,0),MATCH(IF('Data-solution'!$A$3="Maximize",MAX($C239:$AI239),MIN($C239:$AI239)),$C239:$AI239,0))),Y232)</f>
        <v>0</v>
      </c>
      <c r="Z247" s="1">
        <f>IF(OR($B243&lt;&gt;$B228,$B244&lt;&gt;$B229,$B245&lt;&gt;$B230,$B246&lt;&gt;$B231,$B247&lt;&gt;$B232,$B248&lt;&gt;$B233,$B249&lt;&gt;$B234,$B250&lt;&gt;$B235,$B251&lt;&gt;$B236,$B252&lt;&gt;$B237,$B253&lt;&gt;$B238),IF($B247&lt;&gt;$B232,Z232/INDEX($C228:$AJ238,5,MATCH(IF('Data-solution'!$A$3="Maximize",MAX($C239:$AI239),MIN($C239:$AI239)),$C239:$AI239,0)),Z232-INDEX($C228:$AJ238,5,MATCH(IF('Data-solution'!$A$3="Maximize",MAX($C239:$AI239),MIN($C239:$AI239)),$C239:$AI239,0))*INDEX(Z228:$AJ238,MATCH(MIN($AK228:$AK238),$AK228:$AK238,0),1)/INDEX($C228:$AJ238,MATCH(MIN($AK228:$AK238),$AK228:$AK238,0),MATCH(IF('Data-solution'!$A$3="Maximize",MAX($C239:$AI239),MIN($C239:$AI239)),$C239:$AI239,0))),Z232)</f>
        <v>0</v>
      </c>
      <c r="AA247" s="1">
        <f>IF(OR($B243&lt;&gt;$B228,$B244&lt;&gt;$B229,$B245&lt;&gt;$B230,$B246&lt;&gt;$B231,$B247&lt;&gt;$B232,$B248&lt;&gt;$B233,$B249&lt;&gt;$B234,$B250&lt;&gt;$B235,$B251&lt;&gt;$B236,$B252&lt;&gt;$B237,$B253&lt;&gt;$B238),IF($B247&lt;&gt;$B232,AA232/INDEX($C228:$AJ238,5,MATCH(IF('Data-solution'!$A$3="Maximize",MAX($C239:$AI239),MIN($C239:$AI239)),$C239:$AI239,0)),AA232-INDEX($C228:$AJ238,5,MATCH(IF('Data-solution'!$A$3="Maximize",MAX($C239:$AI239),MIN($C239:$AI239)),$C239:$AI239,0))*INDEX(AA228:$AJ238,MATCH(MIN($AK228:$AK238),$AK228:$AK238,0),1)/INDEX($C228:$AJ238,MATCH(MIN($AK228:$AK238),$AK228:$AK238,0),MATCH(IF('Data-solution'!$A$3="Maximize",MAX($C239:$AI239),MIN($C239:$AI239)),$C239:$AI239,0))),AA232)</f>
        <v>0</v>
      </c>
      <c r="AB247" s="1">
        <f>IF(OR($B243&lt;&gt;$B228,$B244&lt;&gt;$B229,$B245&lt;&gt;$B230,$B246&lt;&gt;$B231,$B247&lt;&gt;$B232,$B248&lt;&gt;$B233,$B249&lt;&gt;$B234,$B250&lt;&gt;$B235,$B251&lt;&gt;$B236,$B252&lt;&gt;$B237,$B253&lt;&gt;$B238),IF($B247&lt;&gt;$B232,AB232/INDEX($C228:$AJ238,5,MATCH(IF('Data-solution'!$A$3="Maximize",MAX($C239:$AI239),MIN($C239:$AI239)),$C239:$AI239,0)),AB232-INDEX($C228:$AJ238,5,MATCH(IF('Data-solution'!$A$3="Maximize",MAX($C239:$AI239),MIN($C239:$AI239)),$C239:$AI239,0))*INDEX(AB228:$AJ238,MATCH(MIN($AK228:$AK238),$AK228:$AK238,0),1)/INDEX($C228:$AJ238,MATCH(MIN($AK228:$AK238),$AK228:$AK238,0),MATCH(IF('Data-solution'!$A$3="Maximize",MAX($C239:$AI239),MIN($C239:$AI239)),$C239:$AI239,0))),AB232)</f>
        <v>0</v>
      </c>
      <c r="AC247" s="1">
        <f>IF(OR($B243&lt;&gt;$B228,$B244&lt;&gt;$B229,$B245&lt;&gt;$B230,$B246&lt;&gt;$B231,$B247&lt;&gt;$B232,$B248&lt;&gt;$B233,$B249&lt;&gt;$B234,$B250&lt;&gt;$B235,$B251&lt;&gt;$B236,$B252&lt;&gt;$B237,$B253&lt;&gt;$B238),IF($B247&lt;&gt;$B232,AC232/INDEX($C228:$AJ238,5,MATCH(IF('Data-solution'!$A$3="Maximize",MAX($C239:$AI239),MIN($C239:$AI239)),$C239:$AI239,0)),AC232-INDEX($C228:$AJ238,5,MATCH(IF('Data-solution'!$A$3="Maximize",MAX($C239:$AI239),MIN($C239:$AI239)),$C239:$AI239,0))*INDEX(AC228:$AJ238,MATCH(MIN($AK228:$AK238),$AK228:$AK238,0),1)/INDEX($C228:$AJ238,MATCH(MIN($AK228:$AK238),$AK228:$AK238,0),MATCH(IF('Data-solution'!$A$3="Maximize",MAX($C239:$AI239),MIN($C239:$AI239)),$C239:$AI239,0))),AC232)</f>
        <v>1</v>
      </c>
      <c r="AD247" s="1">
        <f>IF(OR($B243&lt;&gt;$B228,$B244&lt;&gt;$B229,$B245&lt;&gt;$B230,$B246&lt;&gt;$B231,$B247&lt;&gt;$B232,$B248&lt;&gt;$B233,$B249&lt;&gt;$B234,$B250&lt;&gt;$B235,$B251&lt;&gt;$B236,$B252&lt;&gt;$B237,$B253&lt;&gt;$B238),IF($B247&lt;&gt;$B232,AD232/INDEX($C228:$AJ238,5,MATCH(IF('Data-solution'!$A$3="Maximize",MAX($C239:$AI239),MIN($C239:$AI239)),$C239:$AI239,0)),AD232-INDEX($C228:$AJ238,5,MATCH(IF('Data-solution'!$A$3="Maximize",MAX($C239:$AI239),MIN($C239:$AI239)),$C239:$AI239,0))*INDEX(AD228:$AJ238,MATCH(MIN($AK228:$AK238),$AK228:$AK238,0),1)/INDEX($C228:$AJ238,MATCH(MIN($AK228:$AK238),$AK228:$AK238,0),MATCH(IF('Data-solution'!$A$3="Maximize",MAX($C239:$AI239),MIN($C239:$AI239)),$C239:$AI239,0))),AD232)</f>
        <v>0</v>
      </c>
      <c r="AE247" s="1">
        <f>IF(OR($B243&lt;&gt;$B228,$B244&lt;&gt;$B229,$B245&lt;&gt;$B230,$B246&lt;&gt;$B231,$B247&lt;&gt;$B232,$B248&lt;&gt;$B233,$B249&lt;&gt;$B234,$B250&lt;&gt;$B235,$B251&lt;&gt;$B236,$B252&lt;&gt;$B237,$B253&lt;&gt;$B238),IF($B247&lt;&gt;$B232,AE232/INDEX($C228:$AJ238,5,MATCH(IF('Data-solution'!$A$3="Maximize",MAX($C239:$AI239),MIN($C239:$AI239)),$C239:$AI239,0)),AE232-INDEX($C228:$AJ238,5,MATCH(IF('Data-solution'!$A$3="Maximize",MAX($C239:$AI239),MIN($C239:$AI239)),$C239:$AI239,0))*INDEX(AE228:$AJ238,MATCH(MIN($AK228:$AK238),$AK228:$AK238,0),1)/INDEX($C228:$AJ238,MATCH(MIN($AK228:$AK238),$AK228:$AK238,0),MATCH(IF('Data-solution'!$A$3="Maximize",MAX($C239:$AI239),MIN($C239:$AI239)),$C239:$AI239,0))),AE232)</f>
        <v>0</v>
      </c>
      <c r="AF247" s="1">
        <f>IF(OR($B243&lt;&gt;$B228,$B244&lt;&gt;$B229,$B245&lt;&gt;$B230,$B246&lt;&gt;$B231,$B247&lt;&gt;$B232,$B248&lt;&gt;$B233,$B249&lt;&gt;$B234,$B250&lt;&gt;$B235,$B251&lt;&gt;$B236,$B252&lt;&gt;$B237,$B253&lt;&gt;$B238),IF($B247&lt;&gt;$B232,AF232/INDEX($C228:$AJ238,5,MATCH(IF('Data-solution'!$A$3="Maximize",MAX($C239:$AI239),MIN($C239:$AI239)),$C239:$AI239,0)),AF232-INDEX($C228:$AJ238,5,MATCH(IF('Data-solution'!$A$3="Maximize",MAX($C239:$AI239),MIN($C239:$AI239)),$C239:$AI239,0))*INDEX(AF228:$AJ238,MATCH(MIN($AK228:$AK238),$AK228:$AK238,0),1)/INDEX($C228:$AJ238,MATCH(MIN($AK228:$AK238),$AK228:$AK238,0),MATCH(IF('Data-solution'!$A$3="Maximize",MAX($C239:$AI239),MIN($C239:$AI239)),$C239:$AI239,0))),AF232)</f>
        <v>0</v>
      </c>
      <c r="AG247" s="1">
        <f>IF(OR($B243&lt;&gt;$B228,$B244&lt;&gt;$B229,$B245&lt;&gt;$B230,$B246&lt;&gt;$B231,$B247&lt;&gt;$B232,$B248&lt;&gt;$B233,$B249&lt;&gt;$B234,$B250&lt;&gt;$B235,$B251&lt;&gt;$B236,$B252&lt;&gt;$B237,$B253&lt;&gt;$B238),IF($B247&lt;&gt;$B232,AG232/INDEX($C228:$AJ238,5,MATCH(IF('Data-solution'!$A$3="Maximize",MAX($C239:$AI239),MIN($C239:$AI239)),$C239:$AI239,0)),AG232-INDEX($C228:$AJ238,5,MATCH(IF('Data-solution'!$A$3="Maximize",MAX($C239:$AI239),MIN($C239:$AI239)),$C239:$AI239,0))*INDEX(AG228:$AJ238,MATCH(MIN($AK228:$AK238),$AK228:$AK238,0),1)/INDEX($C228:$AJ238,MATCH(MIN($AK228:$AK238),$AK228:$AK238,0),MATCH(IF('Data-solution'!$A$3="Maximize",MAX($C239:$AI239),MIN($C239:$AI239)),$C239:$AI239,0))),AG232)</f>
        <v>0</v>
      </c>
      <c r="AH247" s="1">
        <f>IF(OR($B243&lt;&gt;$B228,$B244&lt;&gt;$B229,$B245&lt;&gt;$B230,$B246&lt;&gt;$B231,$B247&lt;&gt;$B232,$B248&lt;&gt;$B233,$B249&lt;&gt;$B234,$B250&lt;&gt;$B235,$B251&lt;&gt;$B236,$B252&lt;&gt;$B237,$B253&lt;&gt;$B238),IF($B247&lt;&gt;$B232,AH232/INDEX($C228:$AJ238,5,MATCH(IF('Data-solution'!$A$3="Maximize",MAX($C239:$AI239),MIN($C239:$AI239)),$C239:$AI239,0)),AH232-INDEX($C228:$AJ238,5,MATCH(IF('Data-solution'!$A$3="Maximize",MAX($C239:$AI239),MIN($C239:$AI239)),$C239:$AI239,0))*INDEX(AH228:$AJ238,MATCH(MIN($AK228:$AK238),$AK228:$AK238,0),1)/INDEX($C228:$AJ238,MATCH(MIN($AK228:$AK238),$AK228:$AK238,0),MATCH(IF('Data-solution'!$A$3="Maximize",MAX($C239:$AI239),MIN($C239:$AI239)),$C239:$AI239,0))),AH232)</f>
        <v>0</v>
      </c>
      <c r="AI247" s="1">
        <f>IF(OR($B243&lt;&gt;$B228,$B244&lt;&gt;$B229,$B245&lt;&gt;$B230,$B246&lt;&gt;$B231,$B247&lt;&gt;$B232,$B248&lt;&gt;$B233,$B249&lt;&gt;$B234,$B250&lt;&gt;$B235,$B251&lt;&gt;$B236,$B252&lt;&gt;$B237,$B253&lt;&gt;$B238),IF($B247&lt;&gt;$B232,AI232/INDEX($C228:$AJ238,5,MATCH(IF('Data-solution'!$A$3="Maximize",MAX($C239:$AI239),MIN($C239:$AI239)),$C239:$AI239,0)),AI232-INDEX($C228:$AJ238,5,MATCH(IF('Data-solution'!$A$3="Maximize",MAX($C239:$AI239),MIN($C239:$AI239)),$C239:$AI239,0))*INDEX(AI228:$AJ238,MATCH(MIN($AK228:$AK238),$AK228:$AK238,0),1)/INDEX($C228:$AJ238,MATCH(MIN($AK228:$AK238),$AK228:$AK238,0),MATCH(IF('Data-solution'!$A$3="Maximize",MAX($C239:$AI239),MIN($C239:$AI239)),$C239:$AI239,0))),AI232)</f>
        <v>0</v>
      </c>
      <c r="AJ247" s="1">
        <f>IF(OR($B243&lt;&gt;$B228,$B244&lt;&gt;$B229,$B245&lt;&gt;$B230,$B246&lt;&gt;$B231,$B247&lt;&gt;$B232,$B248&lt;&gt;$B233,$B249&lt;&gt;$B234,$B250&lt;&gt;$B235,$B251&lt;&gt;$B236,$B252&lt;&gt;$B237,$B253&lt;&gt;$B238),IF($B247&lt;&gt;$B232,AJ232/INDEX($C228:$AJ238,5,MATCH(IF('Data-solution'!$A$3="Maximize",MAX($C239:$AI239),MIN($C239:$AI239)),$C239:$AI239,0)),AJ232-INDEX($C228:$AJ238,5,MATCH(IF('Data-solution'!$A$3="Maximize",MAX($C239:$AI239),MIN($C239:$AI239)),$C239:$AI239,0))*INDEX(AJ228:$AJ238,MATCH(MIN($AK228:$AK238),$AK228:$AK238,0),1)/INDEX($C228:$AJ238,MATCH(MIN($AK228:$AK238),$AK228:$AK238,0),MATCH(IF('Data-solution'!$A$3="Maximize",MAX($C239:$AI239),MIN($C239:$AI239)),$C239:$AI239,0))),AJ232)</f>
        <v>0</v>
      </c>
      <c r="AK247" s="1" t="str">
        <f>IF(INDEX(C247:X247,1,MATCH(IF('Data-solution'!A$3="Maximize",MAX(C254:X254),MIN(C254:X254)),C254:X254,0))&gt;0,AJ247/INDEX(C247:X247,1,MATCH(IF('Data-solution'!A$3="Maximize",MAX(C254:X254),MIN(C254:X254)),C254:X254,0))," ")</f>
        <v xml:space="preserve"> </v>
      </c>
    </row>
    <row r="248" spans="1:37" ht="18" customHeight="1" x14ac:dyDescent="0.2">
      <c r="A248" s="1">
        <f t="shared" ref="A248" si="217">INDEX(C241:AI241,1,MATCH(B248,C242:AI242,0))</f>
        <v>0</v>
      </c>
      <c r="B248" s="2" t="str">
        <f>IF(AND('Data-solution'!A$3="Maximize",COUNTIF(C239:X239,"&gt;"&amp;0)&gt;0,AK233=MIN(AK228:AK238),COUNTIF(B243:B247,INDEX(C227:X227,1,MATCH(MAX(C239:X239),C239:X239,0)))=0),INDEX(C227:X227,1,MATCH(MAX(C239:X239),C239:X239,0)),IF(AND('Data-solution'!A$3="Minimize",COUNTIF(C239:X239,"&lt;"&amp;0)&gt;0,AK233=MIN(AK228:AK238),COUNTIF(B243:B247,INDEX(C227:X227,1,MATCH(MIN(C239:X239),C239:X239,0)))=0),INDEX(C227:X227,1,MATCH(MIN(C239:X239),C239:X239,0)),B233))</f>
        <v>S6</v>
      </c>
      <c r="C248" s="1">
        <f>IF(OR($B243&lt;&gt;$B228,$B244&lt;&gt;$B229,$B245&lt;&gt;$B230,$B246&lt;&gt;$B231,$B247&lt;&gt;$B232,$B248&lt;&gt;$B233,$B249&lt;&gt;$B234,$B250&lt;&gt;$B235,$B251&lt;&gt;$B236,$B252&lt;&gt;$B237,$B253&lt;&gt;$B238),IF($B248&lt;&gt;$B233,C233/INDEX($C228:$AJ238,6,MATCH(IF('Data-solution'!$A$3="Maximize",MAX($C239:$AI239),MIN($C239:$AI239)),$C239:$AI239,0)),C233-INDEX($C228:$AJ238,6,MATCH(IF('Data-solution'!$A$3="Maximize",MAX($C239:$AI239),MIN($C239:$AI239)),$C239:$AI239,0))*INDEX(C228:$AJ238,MATCH(MIN($AK228:$AK238),$AK228:$AK238,0),1)/INDEX($C228:$AJ238,MATCH(MIN($AK228:$AK238),$AK228:$AK238,0),MATCH(IF('Data-solution'!$A$3="Maximize",MAX($C239:$AI239),MIN($C239:$AI239)),$C239:$AI239,0))),C233)</f>
        <v>0</v>
      </c>
      <c r="D248" s="1">
        <f>IF(OR($B243&lt;&gt;$B228,$B244&lt;&gt;$B229,$B245&lt;&gt;$B230,$B246&lt;&gt;$B231,$B247&lt;&gt;$B232,$B248&lt;&gt;$B233,$B249&lt;&gt;$B234,$B250&lt;&gt;$B235,$B251&lt;&gt;$B236,$B252&lt;&gt;$B237,$B253&lt;&gt;$B238),IF($B248&lt;&gt;$B233,D233/INDEX($C228:$AJ238,6,MATCH(IF('Data-solution'!$A$3="Maximize",MAX($C239:$AI239),MIN($C239:$AI239)),$C239:$AI239,0)),D233-INDEX($C228:$AJ238,6,MATCH(IF('Data-solution'!$A$3="Maximize",MAX($C239:$AI239),MIN($C239:$AI239)),$C239:$AI239,0))*INDEX(D228:$AJ238,MATCH(MIN($AK228:$AK238),$AK228:$AK238,0),1)/INDEX($C228:$AJ238,MATCH(MIN($AK228:$AK238),$AK228:$AK238,0),MATCH(IF('Data-solution'!$A$3="Maximize",MAX($C239:$AI239),MIN($C239:$AI239)),$C239:$AI239,0))),D233)</f>
        <v>0</v>
      </c>
      <c r="E248" s="1">
        <f>IF(OR($B243&lt;&gt;$B228,$B244&lt;&gt;$B229,$B245&lt;&gt;$B230,$B246&lt;&gt;$B231,$B247&lt;&gt;$B232,$B248&lt;&gt;$B233,$B249&lt;&gt;$B234,$B250&lt;&gt;$B235,$B251&lt;&gt;$B236,$B252&lt;&gt;$B237,$B253&lt;&gt;$B238),IF($B248&lt;&gt;$B233,E233/INDEX($C228:$AJ238,6,MATCH(IF('Data-solution'!$A$3="Maximize",MAX($C239:$AI239),MIN($C239:$AI239)),$C239:$AI239,0)),E233-INDEX($C228:$AJ238,6,MATCH(IF('Data-solution'!$A$3="Maximize",MAX($C239:$AI239),MIN($C239:$AI239)),$C239:$AI239,0))*INDEX(E228:$AJ238,MATCH(MIN($AK228:$AK238),$AK228:$AK238,0),1)/INDEX($C228:$AJ238,MATCH(MIN($AK228:$AK238),$AK228:$AK238,0),MATCH(IF('Data-solution'!$A$3="Maximize",MAX($C239:$AI239),MIN($C239:$AI239)),$C239:$AI239,0))),E233)</f>
        <v>0</v>
      </c>
      <c r="F248" s="1">
        <f>IF(OR($B243&lt;&gt;$B228,$B244&lt;&gt;$B229,$B245&lt;&gt;$B230,$B246&lt;&gt;$B231,$B247&lt;&gt;$B232,$B248&lt;&gt;$B233,$B249&lt;&gt;$B234,$B250&lt;&gt;$B235,$B251&lt;&gt;$B236,$B252&lt;&gt;$B237,$B253&lt;&gt;$B238),IF($B248&lt;&gt;$B233,F233/INDEX($C228:$AJ238,6,MATCH(IF('Data-solution'!$A$3="Maximize",MAX($C239:$AI239),MIN($C239:$AI239)),$C239:$AI239,0)),F233-INDEX($C228:$AJ238,6,MATCH(IF('Data-solution'!$A$3="Maximize",MAX($C239:$AI239),MIN($C239:$AI239)),$C239:$AI239,0))*INDEX(F228:$AJ238,MATCH(MIN($AK228:$AK238),$AK228:$AK238,0),1)/INDEX($C228:$AJ238,MATCH(MIN($AK228:$AK238),$AK228:$AK238,0),MATCH(IF('Data-solution'!$A$3="Maximize",MAX($C239:$AI239),MIN($C239:$AI239)),$C239:$AI239,0))),F233)</f>
        <v>0</v>
      </c>
      <c r="G248" s="1">
        <f>IF(OR($B243&lt;&gt;$B228,$B244&lt;&gt;$B229,$B245&lt;&gt;$B230,$B246&lt;&gt;$B231,$B247&lt;&gt;$B232,$B248&lt;&gt;$B233,$B249&lt;&gt;$B234,$B250&lt;&gt;$B235,$B251&lt;&gt;$B236,$B252&lt;&gt;$B237,$B253&lt;&gt;$B238),IF($B248&lt;&gt;$B233,G233/INDEX($C228:$AJ238,6,MATCH(IF('Data-solution'!$A$3="Maximize",MAX($C239:$AI239),MIN($C239:$AI239)),$C239:$AI239,0)),G233-INDEX($C228:$AJ238,6,MATCH(IF('Data-solution'!$A$3="Maximize",MAX($C239:$AI239),MIN($C239:$AI239)),$C239:$AI239,0))*INDEX(G228:$AJ238,MATCH(MIN($AK228:$AK238),$AK228:$AK238,0),1)/INDEX($C228:$AJ238,MATCH(MIN($AK228:$AK238),$AK228:$AK238,0),MATCH(IF('Data-solution'!$A$3="Maximize",MAX($C239:$AI239),MIN($C239:$AI239)),$C239:$AI239,0))),G233)</f>
        <v>0</v>
      </c>
      <c r="H248" s="1">
        <f>IF(OR($B243&lt;&gt;$B228,$B244&lt;&gt;$B229,$B245&lt;&gt;$B230,$B246&lt;&gt;$B231,$B247&lt;&gt;$B232,$B248&lt;&gt;$B233,$B249&lt;&gt;$B234,$B250&lt;&gt;$B235,$B251&lt;&gt;$B236,$B252&lt;&gt;$B237,$B253&lt;&gt;$B238),IF($B248&lt;&gt;$B233,H233/INDEX($C228:$AJ238,6,MATCH(IF('Data-solution'!$A$3="Maximize",MAX($C239:$AI239),MIN($C239:$AI239)),$C239:$AI239,0)),H233-INDEX($C228:$AJ238,6,MATCH(IF('Data-solution'!$A$3="Maximize",MAX($C239:$AI239),MIN($C239:$AI239)),$C239:$AI239,0))*INDEX(H228:$AJ238,MATCH(MIN($AK228:$AK238),$AK228:$AK238,0),1)/INDEX($C228:$AJ238,MATCH(MIN($AK228:$AK238),$AK228:$AK238,0),MATCH(IF('Data-solution'!$A$3="Maximize",MAX($C239:$AI239),MIN($C239:$AI239)),$C239:$AI239,0))),H233)</f>
        <v>0</v>
      </c>
      <c r="I248" s="1">
        <f>IF(OR($B243&lt;&gt;$B228,$B244&lt;&gt;$B229,$B245&lt;&gt;$B230,$B246&lt;&gt;$B231,$B247&lt;&gt;$B232,$B248&lt;&gt;$B233,$B249&lt;&gt;$B234,$B250&lt;&gt;$B235,$B251&lt;&gt;$B236,$B252&lt;&gt;$B237,$B253&lt;&gt;$B238),IF($B248&lt;&gt;$B233,I233/INDEX($C228:$AJ238,6,MATCH(IF('Data-solution'!$A$3="Maximize",MAX($C239:$AI239),MIN($C239:$AI239)),$C239:$AI239,0)),I233-INDEX($C228:$AJ238,6,MATCH(IF('Data-solution'!$A$3="Maximize",MAX($C239:$AI239),MIN($C239:$AI239)),$C239:$AI239,0))*INDEX(I228:$AJ238,MATCH(MIN($AK228:$AK238),$AK228:$AK238,0),1)/INDEX($C228:$AJ238,MATCH(MIN($AK228:$AK238),$AK228:$AK238,0),MATCH(IF('Data-solution'!$A$3="Maximize",MAX($C239:$AI239),MIN($C239:$AI239)),$C239:$AI239,0))),I233)</f>
        <v>0</v>
      </c>
      <c r="J248" s="1">
        <f>IF(OR($B243&lt;&gt;$B228,$B244&lt;&gt;$B229,$B245&lt;&gt;$B230,$B246&lt;&gt;$B231,$B247&lt;&gt;$B232,$B248&lt;&gt;$B233,$B249&lt;&gt;$B234,$B250&lt;&gt;$B235,$B251&lt;&gt;$B236,$B252&lt;&gt;$B237,$B253&lt;&gt;$B238),IF($B248&lt;&gt;$B233,J233/INDEX($C228:$AJ238,6,MATCH(IF('Data-solution'!$A$3="Maximize",MAX($C239:$AI239),MIN($C239:$AI239)),$C239:$AI239,0)),J233-INDEX($C228:$AJ238,6,MATCH(IF('Data-solution'!$A$3="Maximize",MAX($C239:$AI239),MIN($C239:$AI239)),$C239:$AI239,0))*INDEX(J228:$AJ238,MATCH(MIN($AK228:$AK238),$AK228:$AK238,0),1)/INDEX($C228:$AJ238,MATCH(MIN($AK228:$AK238),$AK228:$AK238,0),MATCH(IF('Data-solution'!$A$3="Maximize",MAX($C239:$AI239),MIN($C239:$AI239)),$C239:$AI239,0))),J233)</f>
        <v>0</v>
      </c>
      <c r="K248" s="1">
        <f>IF(OR($B243&lt;&gt;$B228,$B244&lt;&gt;$B229,$B245&lt;&gt;$B230,$B246&lt;&gt;$B231,$B247&lt;&gt;$B232,$B248&lt;&gt;$B233,$B249&lt;&gt;$B234,$B250&lt;&gt;$B235,$B251&lt;&gt;$B236,$B252&lt;&gt;$B237,$B253&lt;&gt;$B238),IF($B248&lt;&gt;$B233,K233/INDEX($C228:$AJ238,6,MATCH(IF('Data-solution'!$A$3="Maximize",MAX($C239:$AI239),MIN($C239:$AI239)),$C239:$AI239,0)),K233-INDEX($C228:$AJ238,6,MATCH(IF('Data-solution'!$A$3="Maximize",MAX($C239:$AI239),MIN($C239:$AI239)),$C239:$AI239,0))*INDEX(K228:$AJ238,MATCH(MIN($AK228:$AK238),$AK228:$AK238,0),1)/INDEX($C228:$AJ238,MATCH(MIN($AK228:$AK238),$AK228:$AK238,0),MATCH(IF('Data-solution'!$A$3="Maximize",MAX($C239:$AI239),MIN($C239:$AI239)),$C239:$AI239,0))),K233)</f>
        <v>0</v>
      </c>
      <c r="L248" s="1">
        <f>IF(OR($B243&lt;&gt;$B228,$B244&lt;&gt;$B229,$B245&lt;&gt;$B230,$B246&lt;&gt;$B231,$B247&lt;&gt;$B232,$B248&lt;&gt;$B233,$B249&lt;&gt;$B234,$B250&lt;&gt;$B235,$B251&lt;&gt;$B236,$B252&lt;&gt;$B237,$B253&lt;&gt;$B238),IF($B248&lt;&gt;$B233,L233/INDEX($C228:$AJ238,6,MATCH(IF('Data-solution'!$A$3="Maximize",MAX($C239:$AI239),MIN($C239:$AI239)),$C239:$AI239,0)),L233-INDEX($C228:$AJ238,6,MATCH(IF('Data-solution'!$A$3="Maximize",MAX($C239:$AI239),MIN($C239:$AI239)),$C239:$AI239,0))*INDEX(L228:$AJ238,MATCH(MIN($AK228:$AK238),$AK228:$AK238,0),1)/INDEX($C228:$AJ238,MATCH(MIN($AK228:$AK238),$AK228:$AK238,0),MATCH(IF('Data-solution'!$A$3="Maximize",MAX($C239:$AI239),MIN($C239:$AI239)),$C239:$AI239,0))),L233)</f>
        <v>0</v>
      </c>
      <c r="M248" s="1">
        <f>IF(OR($B243&lt;&gt;$B228,$B244&lt;&gt;$B229,$B245&lt;&gt;$B230,$B246&lt;&gt;$B231,$B247&lt;&gt;$B232,$B248&lt;&gt;$B233,$B249&lt;&gt;$B234,$B250&lt;&gt;$B235,$B251&lt;&gt;$B236,$B252&lt;&gt;$B237,$B253&lt;&gt;$B238),IF($B248&lt;&gt;$B233,M233/INDEX($C228:$AJ238,6,MATCH(IF('Data-solution'!$A$3="Maximize",MAX($C239:$AI239),MIN($C239:$AI239)),$C239:$AI239,0)),M233-INDEX($C228:$AJ238,6,MATCH(IF('Data-solution'!$A$3="Maximize",MAX($C239:$AI239),MIN($C239:$AI239)),$C239:$AI239,0))*INDEX(M228:$AJ238,MATCH(MIN($AK228:$AK238),$AK228:$AK238,0),1)/INDEX($C228:$AJ238,MATCH(MIN($AK228:$AK238),$AK228:$AK238,0),MATCH(IF('Data-solution'!$A$3="Maximize",MAX($C239:$AI239),MIN($C239:$AI239)),$C239:$AI239,0))),M233)</f>
        <v>0</v>
      </c>
      <c r="N248" s="1">
        <f>IF(OR($B243&lt;&gt;$B228,$B244&lt;&gt;$B229,$B245&lt;&gt;$B230,$B246&lt;&gt;$B231,$B247&lt;&gt;$B232,$B248&lt;&gt;$B233,$B249&lt;&gt;$B234,$B250&lt;&gt;$B235,$B251&lt;&gt;$B236,$B252&lt;&gt;$B237,$B253&lt;&gt;$B238),IF($B248&lt;&gt;$B233,N233/INDEX($C228:$AJ238,6,MATCH(IF('Data-solution'!$A$3="Maximize",MAX($C239:$AI239),MIN($C239:$AI239)),$C239:$AI239,0)),N233-INDEX($C228:$AJ238,6,MATCH(IF('Data-solution'!$A$3="Maximize",MAX($C239:$AI239),MIN($C239:$AI239)),$C239:$AI239,0))*INDEX(N228:$AJ238,MATCH(MIN($AK228:$AK238),$AK228:$AK238,0),1)/INDEX($C228:$AJ238,MATCH(MIN($AK228:$AK238),$AK228:$AK238,0),MATCH(IF('Data-solution'!$A$3="Maximize",MAX($C239:$AI239),MIN($C239:$AI239)),$C239:$AI239,0))),N233)</f>
        <v>0</v>
      </c>
      <c r="O248" s="1">
        <f>IF(OR($B243&lt;&gt;$B228,$B244&lt;&gt;$B229,$B245&lt;&gt;$B230,$B246&lt;&gt;$B231,$B247&lt;&gt;$B232,$B248&lt;&gt;$B233,$B249&lt;&gt;$B234,$B250&lt;&gt;$B235,$B251&lt;&gt;$B236,$B252&lt;&gt;$B237,$B253&lt;&gt;$B238),IF($B248&lt;&gt;$B233,O233/INDEX($C228:$AJ238,6,MATCH(IF('Data-solution'!$A$3="Maximize",MAX($C239:$AI239),MIN($C239:$AI239)),$C239:$AI239,0)),O233-INDEX($C228:$AJ238,6,MATCH(IF('Data-solution'!$A$3="Maximize",MAX($C239:$AI239),MIN($C239:$AI239)),$C239:$AI239,0))*INDEX(O228:$AJ238,MATCH(MIN($AK228:$AK238),$AK228:$AK238,0),1)/INDEX($C228:$AJ238,MATCH(MIN($AK228:$AK238),$AK228:$AK238,0),MATCH(IF('Data-solution'!$A$3="Maximize",MAX($C239:$AI239),MIN($C239:$AI239)),$C239:$AI239,0))),O233)</f>
        <v>0</v>
      </c>
      <c r="P248" s="1">
        <f>IF(OR($B243&lt;&gt;$B228,$B244&lt;&gt;$B229,$B245&lt;&gt;$B230,$B246&lt;&gt;$B231,$B247&lt;&gt;$B232,$B248&lt;&gt;$B233,$B249&lt;&gt;$B234,$B250&lt;&gt;$B235,$B251&lt;&gt;$B236,$B252&lt;&gt;$B237,$B253&lt;&gt;$B238),IF($B248&lt;&gt;$B233,P233/INDEX($C228:$AJ238,6,MATCH(IF('Data-solution'!$A$3="Maximize",MAX($C239:$AI239),MIN($C239:$AI239)),$C239:$AI239,0)),P233-INDEX($C228:$AJ238,6,MATCH(IF('Data-solution'!$A$3="Maximize",MAX($C239:$AI239),MIN($C239:$AI239)),$C239:$AI239,0))*INDEX(P228:$AJ238,MATCH(MIN($AK228:$AK238),$AK228:$AK238,0),1)/INDEX($C228:$AJ238,MATCH(MIN($AK228:$AK238),$AK228:$AK238,0),MATCH(IF('Data-solution'!$A$3="Maximize",MAX($C239:$AI239),MIN($C239:$AI239)),$C239:$AI239,0))),P233)</f>
        <v>0</v>
      </c>
      <c r="Q248" s="1">
        <f>IF(OR($B243&lt;&gt;$B228,$B244&lt;&gt;$B229,$B245&lt;&gt;$B230,$B246&lt;&gt;$B231,$B247&lt;&gt;$B232,$B248&lt;&gt;$B233,$B249&lt;&gt;$B234,$B250&lt;&gt;$B235,$B251&lt;&gt;$B236,$B252&lt;&gt;$B237,$B253&lt;&gt;$B238),IF($B248&lt;&gt;$B233,Q233/INDEX($C228:$AJ238,6,MATCH(IF('Data-solution'!$A$3="Maximize",MAX($C239:$AI239),MIN($C239:$AI239)),$C239:$AI239,0)),Q233-INDEX($C228:$AJ238,6,MATCH(IF('Data-solution'!$A$3="Maximize",MAX($C239:$AI239),MIN($C239:$AI239)),$C239:$AI239,0))*INDEX(Q228:$AJ238,MATCH(MIN($AK228:$AK238),$AK228:$AK238,0),1)/INDEX($C228:$AJ238,MATCH(MIN($AK228:$AK238),$AK228:$AK238,0),MATCH(IF('Data-solution'!$A$3="Maximize",MAX($C239:$AI239),MIN($C239:$AI239)),$C239:$AI239,0))),Q233)</f>
        <v>0</v>
      </c>
      <c r="R248" s="1">
        <f>IF(OR($B243&lt;&gt;$B228,$B244&lt;&gt;$B229,$B245&lt;&gt;$B230,$B246&lt;&gt;$B231,$B247&lt;&gt;$B232,$B248&lt;&gt;$B233,$B249&lt;&gt;$B234,$B250&lt;&gt;$B235,$B251&lt;&gt;$B236,$B252&lt;&gt;$B237,$B253&lt;&gt;$B238),IF($B248&lt;&gt;$B233,R233/INDEX($C228:$AJ238,6,MATCH(IF('Data-solution'!$A$3="Maximize",MAX($C239:$AI239),MIN($C239:$AI239)),$C239:$AI239,0)),R233-INDEX($C228:$AJ238,6,MATCH(IF('Data-solution'!$A$3="Maximize",MAX($C239:$AI239),MIN($C239:$AI239)),$C239:$AI239,0))*INDEX(R228:$AJ238,MATCH(MIN($AK228:$AK238),$AK228:$AK238,0),1)/INDEX($C228:$AJ238,MATCH(MIN($AK228:$AK238),$AK228:$AK238,0),MATCH(IF('Data-solution'!$A$3="Maximize",MAX($C239:$AI239),MIN($C239:$AI239)),$C239:$AI239,0))),R233)</f>
        <v>0</v>
      </c>
      <c r="S248" s="1">
        <f>IF(OR($B243&lt;&gt;$B228,$B244&lt;&gt;$B229,$B245&lt;&gt;$B230,$B246&lt;&gt;$B231,$B247&lt;&gt;$B232,$B248&lt;&gt;$B233,$B249&lt;&gt;$B234,$B250&lt;&gt;$B235,$B251&lt;&gt;$B236,$B252&lt;&gt;$B237,$B253&lt;&gt;$B238),IF($B248&lt;&gt;$B233,S233/INDEX($C228:$AJ238,6,MATCH(IF('Data-solution'!$A$3="Maximize",MAX($C239:$AI239),MIN($C239:$AI239)),$C239:$AI239,0)),S233-INDEX($C228:$AJ238,6,MATCH(IF('Data-solution'!$A$3="Maximize",MAX($C239:$AI239),MIN($C239:$AI239)),$C239:$AI239,0))*INDEX(S228:$AJ238,MATCH(MIN($AK228:$AK238),$AK228:$AK238,0),1)/INDEX($C228:$AJ238,MATCH(MIN($AK228:$AK238),$AK228:$AK238,0),MATCH(IF('Data-solution'!$A$3="Maximize",MAX($C239:$AI239),MIN($C239:$AI239)),$C239:$AI239,0))),S233)</f>
        <v>1</v>
      </c>
      <c r="T248" s="1">
        <f>IF(OR($B243&lt;&gt;$B228,$B244&lt;&gt;$B229,$B245&lt;&gt;$B230,$B246&lt;&gt;$B231,$B247&lt;&gt;$B232,$B248&lt;&gt;$B233,$B249&lt;&gt;$B234,$B250&lt;&gt;$B235,$B251&lt;&gt;$B236,$B252&lt;&gt;$B237,$B253&lt;&gt;$B238),IF($B248&lt;&gt;$B233,T233/INDEX($C228:$AJ238,6,MATCH(IF('Data-solution'!$A$3="Maximize",MAX($C239:$AI239),MIN($C239:$AI239)),$C239:$AI239,0)),T233-INDEX($C228:$AJ238,6,MATCH(IF('Data-solution'!$A$3="Maximize",MAX($C239:$AI239),MIN($C239:$AI239)),$C239:$AI239,0))*INDEX(T228:$AJ238,MATCH(MIN($AK228:$AK238),$AK228:$AK238,0),1)/INDEX($C228:$AJ238,MATCH(MIN($AK228:$AK238),$AK228:$AK238,0),MATCH(IF('Data-solution'!$A$3="Maximize",MAX($C239:$AI239),MIN($C239:$AI239)),$C239:$AI239,0))),T233)</f>
        <v>0</v>
      </c>
      <c r="U248" s="1">
        <f>IF(OR($B243&lt;&gt;$B228,$B244&lt;&gt;$B229,$B245&lt;&gt;$B230,$B246&lt;&gt;$B231,$B247&lt;&gt;$B232,$B248&lt;&gt;$B233,$B249&lt;&gt;$B234,$B250&lt;&gt;$B235,$B251&lt;&gt;$B236,$B252&lt;&gt;$B237,$B253&lt;&gt;$B238),IF($B248&lt;&gt;$B233,U233/INDEX($C228:$AJ238,6,MATCH(IF('Data-solution'!$A$3="Maximize",MAX($C239:$AI239),MIN($C239:$AI239)),$C239:$AI239,0)),U233-INDEX($C228:$AJ238,6,MATCH(IF('Data-solution'!$A$3="Maximize",MAX($C239:$AI239),MIN($C239:$AI239)),$C239:$AI239,0))*INDEX(U228:$AJ238,MATCH(MIN($AK228:$AK238),$AK228:$AK238,0),1)/INDEX($C228:$AJ238,MATCH(MIN($AK228:$AK238),$AK228:$AK238,0),MATCH(IF('Data-solution'!$A$3="Maximize",MAX($C239:$AI239),MIN($C239:$AI239)),$C239:$AI239,0))),U233)</f>
        <v>0</v>
      </c>
      <c r="V248" s="1">
        <f>IF(OR($B243&lt;&gt;$B228,$B244&lt;&gt;$B229,$B245&lt;&gt;$B230,$B246&lt;&gt;$B231,$B247&lt;&gt;$B232,$B248&lt;&gt;$B233,$B249&lt;&gt;$B234,$B250&lt;&gt;$B235,$B251&lt;&gt;$B236,$B252&lt;&gt;$B237,$B253&lt;&gt;$B238),IF($B248&lt;&gt;$B233,V233/INDEX($C228:$AJ238,6,MATCH(IF('Data-solution'!$A$3="Maximize",MAX($C239:$AI239),MIN($C239:$AI239)),$C239:$AI239,0)),V233-INDEX($C228:$AJ238,6,MATCH(IF('Data-solution'!$A$3="Maximize",MAX($C239:$AI239),MIN($C239:$AI239)),$C239:$AI239,0))*INDEX(V228:$AJ238,MATCH(MIN($AK228:$AK238),$AK228:$AK238,0),1)/INDEX($C228:$AJ238,MATCH(MIN($AK228:$AK238),$AK228:$AK238,0),MATCH(IF('Data-solution'!$A$3="Maximize",MAX($C239:$AI239),MIN($C239:$AI239)),$C239:$AI239,0))),V233)</f>
        <v>0</v>
      </c>
      <c r="W248" s="1">
        <f>IF(OR($B243&lt;&gt;$B228,$B244&lt;&gt;$B229,$B245&lt;&gt;$B230,$B246&lt;&gt;$B231,$B247&lt;&gt;$B232,$B248&lt;&gt;$B233,$B249&lt;&gt;$B234,$B250&lt;&gt;$B235,$B251&lt;&gt;$B236,$B252&lt;&gt;$B237,$B253&lt;&gt;$B238),IF($B248&lt;&gt;$B233,W233/INDEX($C228:$AJ238,6,MATCH(IF('Data-solution'!$A$3="Maximize",MAX($C239:$AI239),MIN($C239:$AI239)),$C239:$AI239,0)),W233-INDEX($C228:$AJ238,6,MATCH(IF('Data-solution'!$A$3="Maximize",MAX($C239:$AI239),MIN($C239:$AI239)),$C239:$AI239,0))*INDEX(W228:$AJ238,MATCH(MIN($AK228:$AK238),$AK228:$AK238,0),1)/INDEX($C228:$AJ238,MATCH(MIN($AK228:$AK238),$AK228:$AK238,0),MATCH(IF('Data-solution'!$A$3="Maximize",MAX($C239:$AI239),MIN($C239:$AI239)),$C239:$AI239,0))),W233)</f>
        <v>0</v>
      </c>
      <c r="X248" s="1">
        <f>IF(OR($B243&lt;&gt;$B228,$B244&lt;&gt;$B229,$B245&lt;&gt;$B230,$B246&lt;&gt;$B231,$B247&lt;&gt;$B232,$B248&lt;&gt;$B233,$B249&lt;&gt;$B234,$B250&lt;&gt;$B235,$B251&lt;&gt;$B236,$B252&lt;&gt;$B237,$B253&lt;&gt;$B238),IF($B248&lt;&gt;$B233,X233/INDEX($C228:$AJ238,6,MATCH(IF('Data-solution'!$A$3="Maximize",MAX($C239:$AI239),MIN($C239:$AI239)),$C239:$AI239,0)),X233-INDEX($C228:$AJ238,6,MATCH(IF('Data-solution'!$A$3="Maximize",MAX($C239:$AI239),MIN($C239:$AI239)),$C239:$AI239,0))*INDEX(X228:$AJ238,MATCH(MIN($AK228:$AK238),$AK228:$AK238,0),1)/INDEX($C228:$AJ238,MATCH(MIN($AK228:$AK238),$AK228:$AK238,0),MATCH(IF('Data-solution'!$A$3="Maximize",MAX($C239:$AI239),MIN($C239:$AI239)),$C239:$AI239,0))),X233)</f>
        <v>0</v>
      </c>
      <c r="Y248" s="1">
        <f>IF(OR($B243&lt;&gt;$B228,$B244&lt;&gt;$B229,$B245&lt;&gt;$B230,$B246&lt;&gt;$B231,$B247&lt;&gt;$B232,$B248&lt;&gt;$B233,$B249&lt;&gt;$B234,$B250&lt;&gt;$B235,$B251&lt;&gt;$B236,$B252&lt;&gt;$B237,$B253&lt;&gt;$B238),IF($B248&lt;&gt;$B233,Y233/INDEX($C228:$AJ238,6,MATCH(IF('Data-solution'!$A$3="Maximize",MAX($C239:$AI239),MIN($C239:$AI239)),$C239:$AI239,0)),Y233-INDEX($C228:$AJ238,6,MATCH(IF('Data-solution'!$A$3="Maximize",MAX($C239:$AI239),MIN($C239:$AI239)),$C239:$AI239,0))*INDEX(Y228:$AJ238,MATCH(MIN($AK228:$AK238),$AK228:$AK238,0),1)/INDEX($C228:$AJ238,MATCH(MIN($AK228:$AK238),$AK228:$AK238,0),MATCH(IF('Data-solution'!$A$3="Maximize",MAX($C239:$AI239),MIN($C239:$AI239)),$C239:$AI239,0))),Y233)</f>
        <v>0</v>
      </c>
      <c r="Z248" s="1">
        <f>IF(OR($B243&lt;&gt;$B228,$B244&lt;&gt;$B229,$B245&lt;&gt;$B230,$B246&lt;&gt;$B231,$B247&lt;&gt;$B232,$B248&lt;&gt;$B233,$B249&lt;&gt;$B234,$B250&lt;&gt;$B235,$B251&lt;&gt;$B236,$B252&lt;&gt;$B237,$B253&lt;&gt;$B238),IF($B248&lt;&gt;$B233,Z233/INDEX($C228:$AJ238,6,MATCH(IF('Data-solution'!$A$3="Maximize",MAX($C239:$AI239),MIN($C239:$AI239)),$C239:$AI239,0)),Z233-INDEX($C228:$AJ238,6,MATCH(IF('Data-solution'!$A$3="Maximize",MAX($C239:$AI239),MIN($C239:$AI239)),$C239:$AI239,0))*INDEX(Z228:$AJ238,MATCH(MIN($AK228:$AK238),$AK228:$AK238,0),1)/INDEX($C228:$AJ238,MATCH(MIN($AK228:$AK238),$AK228:$AK238,0),MATCH(IF('Data-solution'!$A$3="Maximize",MAX($C239:$AI239),MIN($C239:$AI239)),$C239:$AI239,0))),Z233)</f>
        <v>0</v>
      </c>
      <c r="AA248" s="1">
        <f>IF(OR($B243&lt;&gt;$B228,$B244&lt;&gt;$B229,$B245&lt;&gt;$B230,$B246&lt;&gt;$B231,$B247&lt;&gt;$B232,$B248&lt;&gt;$B233,$B249&lt;&gt;$B234,$B250&lt;&gt;$B235,$B251&lt;&gt;$B236,$B252&lt;&gt;$B237,$B253&lt;&gt;$B238),IF($B248&lt;&gt;$B233,AA233/INDEX($C228:$AJ238,6,MATCH(IF('Data-solution'!$A$3="Maximize",MAX($C239:$AI239),MIN($C239:$AI239)),$C239:$AI239,0)),AA233-INDEX($C228:$AJ238,6,MATCH(IF('Data-solution'!$A$3="Maximize",MAX($C239:$AI239),MIN($C239:$AI239)),$C239:$AI239,0))*INDEX(AA228:$AJ238,MATCH(MIN($AK228:$AK238),$AK228:$AK238,0),1)/INDEX($C228:$AJ238,MATCH(MIN($AK228:$AK238),$AK228:$AK238,0),MATCH(IF('Data-solution'!$A$3="Maximize",MAX($C239:$AI239),MIN($C239:$AI239)),$C239:$AI239,0))),AA233)</f>
        <v>0</v>
      </c>
      <c r="AB248" s="1">
        <f>IF(OR($B243&lt;&gt;$B228,$B244&lt;&gt;$B229,$B245&lt;&gt;$B230,$B246&lt;&gt;$B231,$B247&lt;&gt;$B232,$B248&lt;&gt;$B233,$B249&lt;&gt;$B234,$B250&lt;&gt;$B235,$B251&lt;&gt;$B236,$B252&lt;&gt;$B237,$B253&lt;&gt;$B238),IF($B248&lt;&gt;$B233,AB233/INDEX($C228:$AJ238,6,MATCH(IF('Data-solution'!$A$3="Maximize",MAX($C239:$AI239),MIN($C239:$AI239)),$C239:$AI239,0)),AB233-INDEX($C228:$AJ238,6,MATCH(IF('Data-solution'!$A$3="Maximize",MAX($C239:$AI239),MIN($C239:$AI239)),$C239:$AI239,0))*INDEX(AB228:$AJ238,MATCH(MIN($AK228:$AK238),$AK228:$AK238,0),1)/INDEX($C228:$AJ238,MATCH(MIN($AK228:$AK238),$AK228:$AK238,0),MATCH(IF('Data-solution'!$A$3="Maximize",MAX($C239:$AI239),MIN($C239:$AI239)),$C239:$AI239,0))),AB233)</f>
        <v>0</v>
      </c>
      <c r="AC248" s="1">
        <f>IF(OR($B243&lt;&gt;$B228,$B244&lt;&gt;$B229,$B245&lt;&gt;$B230,$B246&lt;&gt;$B231,$B247&lt;&gt;$B232,$B248&lt;&gt;$B233,$B249&lt;&gt;$B234,$B250&lt;&gt;$B235,$B251&lt;&gt;$B236,$B252&lt;&gt;$B237,$B253&lt;&gt;$B238),IF($B248&lt;&gt;$B233,AC233/INDEX($C228:$AJ238,6,MATCH(IF('Data-solution'!$A$3="Maximize",MAX($C239:$AI239),MIN($C239:$AI239)),$C239:$AI239,0)),AC233-INDEX($C228:$AJ238,6,MATCH(IF('Data-solution'!$A$3="Maximize",MAX($C239:$AI239),MIN($C239:$AI239)),$C239:$AI239,0))*INDEX(AC228:$AJ238,MATCH(MIN($AK228:$AK238),$AK228:$AK238,0),1)/INDEX($C228:$AJ238,MATCH(MIN($AK228:$AK238),$AK228:$AK238,0),MATCH(IF('Data-solution'!$A$3="Maximize",MAX($C239:$AI239),MIN($C239:$AI239)),$C239:$AI239,0))),AC233)</f>
        <v>0</v>
      </c>
      <c r="AD248" s="1">
        <f>IF(OR($B243&lt;&gt;$B228,$B244&lt;&gt;$B229,$B245&lt;&gt;$B230,$B246&lt;&gt;$B231,$B247&lt;&gt;$B232,$B248&lt;&gt;$B233,$B249&lt;&gt;$B234,$B250&lt;&gt;$B235,$B251&lt;&gt;$B236,$B252&lt;&gt;$B237,$B253&lt;&gt;$B238),IF($B248&lt;&gt;$B233,AD233/INDEX($C228:$AJ238,6,MATCH(IF('Data-solution'!$A$3="Maximize",MAX($C239:$AI239),MIN($C239:$AI239)),$C239:$AI239,0)),AD233-INDEX($C228:$AJ238,6,MATCH(IF('Data-solution'!$A$3="Maximize",MAX($C239:$AI239),MIN($C239:$AI239)),$C239:$AI239,0))*INDEX(AD228:$AJ238,MATCH(MIN($AK228:$AK238),$AK228:$AK238,0),1)/INDEX($C228:$AJ238,MATCH(MIN($AK228:$AK238),$AK228:$AK238,0),MATCH(IF('Data-solution'!$A$3="Maximize",MAX($C239:$AI239),MIN($C239:$AI239)),$C239:$AI239,0))),AD233)</f>
        <v>1</v>
      </c>
      <c r="AE248" s="1">
        <f>IF(OR($B243&lt;&gt;$B228,$B244&lt;&gt;$B229,$B245&lt;&gt;$B230,$B246&lt;&gt;$B231,$B247&lt;&gt;$B232,$B248&lt;&gt;$B233,$B249&lt;&gt;$B234,$B250&lt;&gt;$B235,$B251&lt;&gt;$B236,$B252&lt;&gt;$B237,$B253&lt;&gt;$B238),IF($B248&lt;&gt;$B233,AE233/INDEX($C228:$AJ238,6,MATCH(IF('Data-solution'!$A$3="Maximize",MAX($C239:$AI239),MIN($C239:$AI239)),$C239:$AI239,0)),AE233-INDEX($C228:$AJ238,6,MATCH(IF('Data-solution'!$A$3="Maximize",MAX($C239:$AI239),MIN($C239:$AI239)),$C239:$AI239,0))*INDEX(AE228:$AJ238,MATCH(MIN($AK228:$AK238),$AK228:$AK238,0),1)/INDEX($C228:$AJ238,MATCH(MIN($AK228:$AK238),$AK228:$AK238,0),MATCH(IF('Data-solution'!$A$3="Maximize",MAX($C239:$AI239),MIN($C239:$AI239)),$C239:$AI239,0))),AE233)</f>
        <v>0</v>
      </c>
      <c r="AF248" s="1">
        <f>IF(OR($B243&lt;&gt;$B228,$B244&lt;&gt;$B229,$B245&lt;&gt;$B230,$B246&lt;&gt;$B231,$B247&lt;&gt;$B232,$B248&lt;&gt;$B233,$B249&lt;&gt;$B234,$B250&lt;&gt;$B235,$B251&lt;&gt;$B236,$B252&lt;&gt;$B237,$B253&lt;&gt;$B238),IF($B248&lt;&gt;$B233,AF233/INDEX($C228:$AJ238,6,MATCH(IF('Data-solution'!$A$3="Maximize",MAX($C239:$AI239),MIN($C239:$AI239)),$C239:$AI239,0)),AF233-INDEX($C228:$AJ238,6,MATCH(IF('Data-solution'!$A$3="Maximize",MAX($C239:$AI239),MIN($C239:$AI239)),$C239:$AI239,0))*INDEX(AF228:$AJ238,MATCH(MIN($AK228:$AK238),$AK228:$AK238,0),1)/INDEX($C228:$AJ238,MATCH(MIN($AK228:$AK238),$AK228:$AK238,0),MATCH(IF('Data-solution'!$A$3="Maximize",MAX($C239:$AI239),MIN($C239:$AI239)),$C239:$AI239,0))),AF233)</f>
        <v>0</v>
      </c>
      <c r="AG248" s="1">
        <f>IF(OR($B243&lt;&gt;$B228,$B244&lt;&gt;$B229,$B245&lt;&gt;$B230,$B246&lt;&gt;$B231,$B247&lt;&gt;$B232,$B248&lt;&gt;$B233,$B249&lt;&gt;$B234,$B250&lt;&gt;$B235,$B251&lt;&gt;$B236,$B252&lt;&gt;$B237,$B253&lt;&gt;$B238),IF($B248&lt;&gt;$B233,AG233/INDEX($C228:$AJ238,6,MATCH(IF('Data-solution'!$A$3="Maximize",MAX($C239:$AI239),MIN($C239:$AI239)),$C239:$AI239,0)),AG233-INDEX($C228:$AJ238,6,MATCH(IF('Data-solution'!$A$3="Maximize",MAX($C239:$AI239),MIN($C239:$AI239)),$C239:$AI239,0))*INDEX(AG228:$AJ238,MATCH(MIN($AK228:$AK238),$AK228:$AK238,0),1)/INDEX($C228:$AJ238,MATCH(MIN($AK228:$AK238),$AK228:$AK238,0),MATCH(IF('Data-solution'!$A$3="Maximize",MAX($C239:$AI239),MIN($C239:$AI239)),$C239:$AI239,0))),AG233)</f>
        <v>0</v>
      </c>
      <c r="AH248" s="1">
        <f>IF(OR($B243&lt;&gt;$B228,$B244&lt;&gt;$B229,$B245&lt;&gt;$B230,$B246&lt;&gt;$B231,$B247&lt;&gt;$B232,$B248&lt;&gt;$B233,$B249&lt;&gt;$B234,$B250&lt;&gt;$B235,$B251&lt;&gt;$B236,$B252&lt;&gt;$B237,$B253&lt;&gt;$B238),IF($B248&lt;&gt;$B233,AH233/INDEX($C228:$AJ238,6,MATCH(IF('Data-solution'!$A$3="Maximize",MAX($C239:$AI239),MIN($C239:$AI239)),$C239:$AI239,0)),AH233-INDEX($C228:$AJ238,6,MATCH(IF('Data-solution'!$A$3="Maximize",MAX($C239:$AI239),MIN($C239:$AI239)),$C239:$AI239,0))*INDEX(AH228:$AJ238,MATCH(MIN($AK228:$AK238),$AK228:$AK238,0),1)/INDEX($C228:$AJ238,MATCH(MIN($AK228:$AK238),$AK228:$AK238,0),MATCH(IF('Data-solution'!$A$3="Maximize",MAX($C239:$AI239),MIN($C239:$AI239)),$C239:$AI239,0))),AH233)</f>
        <v>0</v>
      </c>
      <c r="AI248" s="1">
        <f>IF(OR($B243&lt;&gt;$B228,$B244&lt;&gt;$B229,$B245&lt;&gt;$B230,$B246&lt;&gt;$B231,$B247&lt;&gt;$B232,$B248&lt;&gt;$B233,$B249&lt;&gt;$B234,$B250&lt;&gt;$B235,$B251&lt;&gt;$B236,$B252&lt;&gt;$B237,$B253&lt;&gt;$B238),IF($B248&lt;&gt;$B233,AI233/INDEX($C228:$AJ238,6,MATCH(IF('Data-solution'!$A$3="Maximize",MAX($C239:$AI239),MIN($C239:$AI239)),$C239:$AI239,0)),AI233-INDEX($C228:$AJ238,6,MATCH(IF('Data-solution'!$A$3="Maximize",MAX($C239:$AI239),MIN($C239:$AI239)),$C239:$AI239,0))*INDEX(AI228:$AJ238,MATCH(MIN($AK228:$AK238),$AK228:$AK238,0),1)/INDEX($C228:$AJ238,MATCH(MIN($AK228:$AK238),$AK228:$AK238,0),MATCH(IF('Data-solution'!$A$3="Maximize",MAX($C239:$AI239),MIN($C239:$AI239)),$C239:$AI239,0))),AI233)</f>
        <v>0</v>
      </c>
      <c r="AJ248" s="1">
        <f>IF(OR($B243&lt;&gt;$B228,$B244&lt;&gt;$B229,$B245&lt;&gt;$B230,$B246&lt;&gt;$B231,$B247&lt;&gt;$B232,$B248&lt;&gt;$B233,$B249&lt;&gt;$B234,$B250&lt;&gt;$B235,$B251&lt;&gt;$B236,$B252&lt;&gt;$B237,$B253&lt;&gt;$B238),IF($B248&lt;&gt;$B233,AJ233/INDEX($C228:$AJ238,6,MATCH(IF('Data-solution'!$A$3="Maximize",MAX($C239:$AI239),MIN($C239:$AI239)),$C239:$AI239,0)),AJ233-INDEX($C228:$AJ238,6,MATCH(IF('Data-solution'!$A$3="Maximize",MAX($C239:$AI239),MIN($C239:$AI239)),$C239:$AI239,0))*INDEX(AJ228:$AJ238,MATCH(MIN($AK228:$AK238),$AK228:$AK238,0),1)/INDEX($C228:$AJ238,MATCH(MIN($AK228:$AK238),$AK228:$AK238,0),MATCH(IF('Data-solution'!$A$3="Maximize",MAX($C239:$AI239),MIN($C239:$AI239)),$C239:$AI239,0))),AJ233)</f>
        <v>0</v>
      </c>
      <c r="AK248" s="1" t="str">
        <f>IF(INDEX(C248:X248,1,MATCH(IF('Data-solution'!A$3="Maximize",MAX(C254:X254),MIN(C254:X254)),C254:X254,0))&gt;0,AJ248/INDEX(C248:X248,1,MATCH(IF('Data-solution'!A$3="Maximize",MAX(C254:X254),MIN(C254:X254)),C254:X254,0))," ")</f>
        <v xml:space="preserve"> </v>
      </c>
    </row>
    <row r="249" spans="1:37" ht="18" customHeight="1" x14ac:dyDescent="0.2">
      <c r="A249" s="1">
        <f t="shared" ref="A249" si="218">INDEX(C241:AI241,1,MATCH(B249,C242:AI242,0))</f>
        <v>0</v>
      </c>
      <c r="B249" s="2" t="str">
        <f>IF(AND('Data-solution'!A$3="Maximize",COUNTIF(C239:X239,"&gt;"&amp;0)&gt;0,AK234=MIN(AK228:AK238),COUNTIF(B243:B248,INDEX(C227:X227,1,MATCH(MAX(C239:X239),C239:X239,0)))=0),INDEX(C227:X227,1,MATCH(MAX(C239:X239),C239:X239,0)),IF(AND('Data-solution'!A$3="Minimize",COUNTIF(C239:X239,"&lt;"&amp;0)&gt;0,AK234=MIN(AK228:AK238),COUNTIF(B243:B248,INDEX(C227:X227,1,MATCH(MIN(C239:X239),C239:X239,0)))=0),INDEX(C227:X227,1,MATCH(MIN(C239:X239),C239:X239,0)),B234))</f>
        <v>S7</v>
      </c>
      <c r="C249" s="1">
        <f>IF(OR($B243&lt;&gt;$B228,$B244&lt;&gt;$B229,$B245&lt;&gt;$B230,$B246&lt;&gt;$B231,$B247&lt;&gt;$B232,$B248&lt;&gt;$B233,$B249&lt;&gt;$B234,$B250&lt;&gt;$B235,$B251&lt;&gt;$B236,$B252&lt;&gt;$B237,$B253&lt;&gt;$B238),IF($B249&lt;&gt;$B234,C234/INDEX($C228:$AJ238,7,MATCH(IF('Data-solution'!$A$3="Maximize",MAX($C239:$AI239),MIN($C239:$AI239)),$C239:$AI239,0)),C234-INDEX($C228:$AJ238,7,MATCH(IF('Data-solution'!$A$3="Maximize",MAX($C239:$AI239),MIN($C239:$AI239)),$C239:$AI239,0))*INDEX(C228:$AJ238,MATCH(MIN($AK228:$AK238),$AK228:$AK238,0),1)/INDEX($C228:$AJ238,MATCH(MIN($AK228:$AK238),$AK228:$AK238,0),MATCH(IF('Data-solution'!$A$3="Maximize",MAX($C239:$AI239),MIN($C239:$AI239)),$C239:$AI239,0))),C234)</f>
        <v>0</v>
      </c>
      <c r="D249" s="1">
        <f>IF(OR($B243&lt;&gt;$B228,$B244&lt;&gt;$B229,$B245&lt;&gt;$B230,$B246&lt;&gt;$B231,$B247&lt;&gt;$B232,$B248&lt;&gt;$B233,$B249&lt;&gt;$B234,$B250&lt;&gt;$B235,$B251&lt;&gt;$B236,$B252&lt;&gt;$B237,$B253&lt;&gt;$B238),IF($B249&lt;&gt;$B234,D234/INDEX($C228:$AJ238,7,MATCH(IF('Data-solution'!$A$3="Maximize",MAX($C239:$AI239),MIN($C239:$AI239)),$C239:$AI239,0)),D234-INDEX($C228:$AJ238,7,MATCH(IF('Data-solution'!$A$3="Maximize",MAX($C239:$AI239),MIN($C239:$AI239)),$C239:$AI239,0))*INDEX(D228:$AJ238,MATCH(MIN($AK228:$AK238),$AK228:$AK238,0),1)/INDEX($C228:$AJ238,MATCH(MIN($AK228:$AK238),$AK228:$AK238,0),MATCH(IF('Data-solution'!$A$3="Maximize",MAX($C239:$AI239),MIN($C239:$AI239)),$C239:$AI239,0))),D234)</f>
        <v>0</v>
      </c>
      <c r="E249" s="1">
        <f>IF(OR($B243&lt;&gt;$B228,$B244&lt;&gt;$B229,$B245&lt;&gt;$B230,$B246&lt;&gt;$B231,$B247&lt;&gt;$B232,$B248&lt;&gt;$B233,$B249&lt;&gt;$B234,$B250&lt;&gt;$B235,$B251&lt;&gt;$B236,$B252&lt;&gt;$B237,$B253&lt;&gt;$B238),IF($B249&lt;&gt;$B234,E234/INDEX($C228:$AJ238,7,MATCH(IF('Data-solution'!$A$3="Maximize",MAX($C239:$AI239),MIN($C239:$AI239)),$C239:$AI239,0)),E234-INDEX($C228:$AJ238,7,MATCH(IF('Data-solution'!$A$3="Maximize",MAX($C239:$AI239),MIN($C239:$AI239)),$C239:$AI239,0))*INDEX(E228:$AJ238,MATCH(MIN($AK228:$AK238),$AK228:$AK238,0),1)/INDEX($C228:$AJ238,MATCH(MIN($AK228:$AK238),$AK228:$AK238,0),MATCH(IF('Data-solution'!$A$3="Maximize",MAX($C239:$AI239),MIN($C239:$AI239)),$C239:$AI239,0))),E234)</f>
        <v>0</v>
      </c>
      <c r="F249" s="1">
        <f>IF(OR($B243&lt;&gt;$B228,$B244&lt;&gt;$B229,$B245&lt;&gt;$B230,$B246&lt;&gt;$B231,$B247&lt;&gt;$B232,$B248&lt;&gt;$B233,$B249&lt;&gt;$B234,$B250&lt;&gt;$B235,$B251&lt;&gt;$B236,$B252&lt;&gt;$B237,$B253&lt;&gt;$B238),IF($B249&lt;&gt;$B234,F234/INDEX($C228:$AJ238,7,MATCH(IF('Data-solution'!$A$3="Maximize",MAX($C239:$AI239),MIN($C239:$AI239)),$C239:$AI239,0)),F234-INDEX($C228:$AJ238,7,MATCH(IF('Data-solution'!$A$3="Maximize",MAX($C239:$AI239),MIN($C239:$AI239)),$C239:$AI239,0))*INDEX(F228:$AJ238,MATCH(MIN($AK228:$AK238),$AK228:$AK238,0),1)/INDEX($C228:$AJ238,MATCH(MIN($AK228:$AK238),$AK228:$AK238,0),MATCH(IF('Data-solution'!$A$3="Maximize",MAX($C239:$AI239),MIN($C239:$AI239)),$C239:$AI239,0))),F234)</f>
        <v>0</v>
      </c>
      <c r="G249" s="1">
        <f>IF(OR($B243&lt;&gt;$B228,$B244&lt;&gt;$B229,$B245&lt;&gt;$B230,$B246&lt;&gt;$B231,$B247&lt;&gt;$B232,$B248&lt;&gt;$B233,$B249&lt;&gt;$B234,$B250&lt;&gt;$B235,$B251&lt;&gt;$B236,$B252&lt;&gt;$B237,$B253&lt;&gt;$B238),IF($B249&lt;&gt;$B234,G234/INDEX($C228:$AJ238,7,MATCH(IF('Data-solution'!$A$3="Maximize",MAX($C239:$AI239),MIN($C239:$AI239)),$C239:$AI239,0)),G234-INDEX($C228:$AJ238,7,MATCH(IF('Data-solution'!$A$3="Maximize",MAX($C239:$AI239),MIN($C239:$AI239)),$C239:$AI239,0))*INDEX(G228:$AJ238,MATCH(MIN($AK228:$AK238),$AK228:$AK238,0),1)/INDEX($C228:$AJ238,MATCH(MIN($AK228:$AK238),$AK228:$AK238,0),MATCH(IF('Data-solution'!$A$3="Maximize",MAX($C239:$AI239),MIN($C239:$AI239)),$C239:$AI239,0))),G234)</f>
        <v>0</v>
      </c>
      <c r="H249" s="1">
        <f>IF(OR($B243&lt;&gt;$B228,$B244&lt;&gt;$B229,$B245&lt;&gt;$B230,$B246&lt;&gt;$B231,$B247&lt;&gt;$B232,$B248&lt;&gt;$B233,$B249&lt;&gt;$B234,$B250&lt;&gt;$B235,$B251&lt;&gt;$B236,$B252&lt;&gt;$B237,$B253&lt;&gt;$B238),IF($B249&lt;&gt;$B234,H234/INDEX($C228:$AJ238,7,MATCH(IF('Data-solution'!$A$3="Maximize",MAX($C239:$AI239),MIN($C239:$AI239)),$C239:$AI239,0)),H234-INDEX($C228:$AJ238,7,MATCH(IF('Data-solution'!$A$3="Maximize",MAX($C239:$AI239),MIN($C239:$AI239)),$C239:$AI239,0))*INDEX(H228:$AJ238,MATCH(MIN($AK228:$AK238),$AK228:$AK238,0),1)/INDEX($C228:$AJ238,MATCH(MIN($AK228:$AK238),$AK228:$AK238,0),MATCH(IF('Data-solution'!$A$3="Maximize",MAX($C239:$AI239),MIN($C239:$AI239)),$C239:$AI239,0))),H234)</f>
        <v>0</v>
      </c>
      <c r="I249" s="1">
        <f>IF(OR($B243&lt;&gt;$B228,$B244&lt;&gt;$B229,$B245&lt;&gt;$B230,$B246&lt;&gt;$B231,$B247&lt;&gt;$B232,$B248&lt;&gt;$B233,$B249&lt;&gt;$B234,$B250&lt;&gt;$B235,$B251&lt;&gt;$B236,$B252&lt;&gt;$B237,$B253&lt;&gt;$B238),IF($B249&lt;&gt;$B234,I234/INDEX($C228:$AJ238,7,MATCH(IF('Data-solution'!$A$3="Maximize",MAX($C239:$AI239),MIN($C239:$AI239)),$C239:$AI239,0)),I234-INDEX($C228:$AJ238,7,MATCH(IF('Data-solution'!$A$3="Maximize",MAX($C239:$AI239),MIN($C239:$AI239)),$C239:$AI239,0))*INDEX(I228:$AJ238,MATCH(MIN($AK228:$AK238),$AK228:$AK238,0),1)/INDEX($C228:$AJ238,MATCH(MIN($AK228:$AK238),$AK228:$AK238,0),MATCH(IF('Data-solution'!$A$3="Maximize",MAX($C239:$AI239),MIN($C239:$AI239)),$C239:$AI239,0))),I234)</f>
        <v>0</v>
      </c>
      <c r="J249" s="1">
        <f>IF(OR($B243&lt;&gt;$B228,$B244&lt;&gt;$B229,$B245&lt;&gt;$B230,$B246&lt;&gt;$B231,$B247&lt;&gt;$B232,$B248&lt;&gt;$B233,$B249&lt;&gt;$B234,$B250&lt;&gt;$B235,$B251&lt;&gt;$B236,$B252&lt;&gt;$B237,$B253&lt;&gt;$B238),IF($B249&lt;&gt;$B234,J234/INDEX($C228:$AJ238,7,MATCH(IF('Data-solution'!$A$3="Maximize",MAX($C239:$AI239),MIN($C239:$AI239)),$C239:$AI239,0)),J234-INDEX($C228:$AJ238,7,MATCH(IF('Data-solution'!$A$3="Maximize",MAX($C239:$AI239),MIN($C239:$AI239)),$C239:$AI239,0))*INDEX(J228:$AJ238,MATCH(MIN($AK228:$AK238),$AK228:$AK238,0),1)/INDEX($C228:$AJ238,MATCH(MIN($AK228:$AK238),$AK228:$AK238,0),MATCH(IF('Data-solution'!$A$3="Maximize",MAX($C239:$AI239),MIN($C239:$AI239)),$C239:$AI239,0))),J234)</f>
        <v>0</v>
      </c>
      <c r="K249" s="1">
        <f>IF(OR($B243&lt;&gt;$B228,$B244&lt;&gt;$B229,$B245&lt;&gt;$B230,$B246&lt;&gt;$B231,$B247&lt;&gt;$B232,$B248&lt;&gt;$B233,$B249&lt;&gt;$B234,$B250&lt;&gt;$B235,$B251&lt;&gt;$B236,$B252&lt;&gt;$B237,$B253&lt;&gt;$B238),IF($B249&lt;&gt;$B234,K234/INDEX($C228:$AJ238,7,MATCH(IF('Data-solution'!$A$3="Maximize",MAX($C239:$AI239),MIN($C239:$AI239)),$C239:$AI239,0)),K234-INDEX($C228:$AJ238,7,MATCH(IF('Data-solution'!$A$3="Maximize",MAX($C239:$AI239),MIN($C239:$AI239)),$C239:$AI239,0))*INDEX(K228:$AJ238,MATCH(MIN($AK228:$AK238),$AK228:$AK238,0),1)/INDEX($C228:$AJ238,MATCH(MIN($AK228:$AK238),$AK228:$AK238,0),MATCH(IF('Data-solution'!$A$3="Maximize",MAX($C239:$AI239),MIN($C239:$AI239)),$C239:$AI239,0))),K234)</f>
        <v>0</v>
      </c>
      <c r="L249" s="1">
        <f>IF(OR($B243&lt;&gt;$B228,$B244&lt;&gt;$B229,$B245&lt;&gt;$B230,$B246&lt;&gt;$B231,$B247&lt;&gt;$B232,$B248&lt;&gt;$B233,$B249&lt;&gt;$B234,$B250&lt;&gt;$B235,$B251&lt;&gt;$B236,$B252&lt;&gt;$B237,$B253&lt;&gt;$B238),IF($B249&lt;&gt;$B234,L234/INDEX($C228:$AJ238,7,MATCH(IF('Data-solution'!$A$3="Maximize",MAX($C239:$AI239),MIN($C239:$AI239)),$C239:$AI239,0)),L234-INDEX($C228:$AJ238,7,MATCH(IF('Data-solution'!$A$3="Maximize",MAX($C239:$AI239),MIN($C239:$AI239)),$C239:$AI239,0))*INDEX(L228:$AJ238,MATCH(MIN($AK228:$AK238),$AK228:$AK238,0),1)/INDEX($C228:$AJ238,MATCH(MIN($AK228:$AK238),$AK228:$AK238,0),MATCH(IF('Data-solution'!$A$3="Maximize",MAX($C239:$AI239),MIN($C239:$AI239)),$C239:$AI239,0))),L234)</f>
        <v>0</v>
      </c>
      <c r="M249" s="1">
        <f>IF(OR($B243&lt;&gt;$B228,$B244&lt;&gt;$B229,$B245&lt;&gt;$B230,$B246&lt;&gt;$B231,$B247&lt;&gt;$B232,$B248&lt;&gt;$B233,$B249&lt;&gt;$B234,$B250&lt;&gt;$B235,$B251&lt;&gt;$B236,$B252&lt;&gt;$B237,$B253&lt;&gt;$B238),IF($B249&lt;&gt;$B234,M234/INDEX($C228:$AJ238,7,MATCH(IF('Data-solution'!$A$3="Maximize",MAX($C239:$AI239),MIN($C239:$AI239)),$C239:$AI239,0)),M234-INDEX($C228:$AJ238,7,MATCH(IF('Data-solution'!$A$3="Maximize",MAX($C239:$AI239),MIN($C239:$AI239)),$C239:$AI239,0))*INDEX(M228:$AJ238,MATCH(MIN($AK228:$AK238),$AK228:$AK238,0),1)/INDEX($C228:$AJ238,MATCH(MIN($AK228:$AK238),$AK228:$AK238,0),MATCH(IF('Data-solution'!$A$3="Maximize",MAX($C239:$AI239),MIN($C239:$AI239)),$C239:$AI239,0))),M234)</f>
        <v>0</v>
      </c>
      <c r="N249" s="1">
        <f>IF(OR($B243&lt;&gt;$B228,$B244&lt;&gt;$B229,$B245&lt;&gt;$B230,$B246&lt;&gt;$B231,$B247&lt;&gt;$B232,$B248&lt;&gt;$B233,$B249&lt;&gt;$B234,$B250&lt;&gt;$B235,$B251&lt;&gt;$B236,$B252&lt;&gt;$B237,$B253&lt;&gt;$B238),IF($B249&lt;&gt;$B234,N234/INDEX($C228:$AJ238,7,MATCH(IF('Data-solution'!$A$3="Maximize",MAX($C239:$AI239),MIN($C239:$AI239)),$C239:$AI239,0)),N234-INDEX($C228:$AJ238,7,MATCH(IF('Data-solution'!$A$3="Maximize",MAX($C239:$AI239),MIN($C239:$AI239)),$C239:$AI239,0))*INDEX(N228:$AJ238,MATCH(MIN($AK228:$AK238),$AK228:$AK238,0),1)/INDEX($C228:$AJ238,MATCH(MIN($AK228:$AK238),$AK228:$AK238,0),MATCH(IF('Data-solution'!$A$3="Maximize",MAX($C239:$AI239),MIN($C239:$AI239)),$C239:$AI239,0))),N234)</f>
        <v>0</v>
      </c>
      <c r="O249" s="1">
        <f>IF(OR($B243&lt;&gt;$B228,$B244&lt;&gt;$B229,$B245&lt;&gt;$B230,$B246&lt;&gt;$B231,$B247&lt;&gt;$B232,$B248&lt;&gt;$B233,$B249&lt;&gt;$B234,$B250&lt;&gt;$B235,$B251&lt;&gt;$B236,$B252&lt;&gt;$B237,$B253&lt;&gt;$B238),IF($B249&lt;&gt;$B234,O234/INDEX($C228:$AJ238,7,MATCH(IF('Data-solution'!$A$3="Maximize",MAX($C239:$AI239),MIN($C239:$AI239)),$C239:$AI239,0)),O234-INDEX($C228:$AJ238,7,MATCH(IF('Data-solution'!$A$3="Maximize",MAX($C239:$AI239),MIN($C239:$AI239)),$C239:$AI239,0))*INDEX(O228:$AJ238,MATCH(MIN($AK228:$AK238),$AK228:$AK238,0),1)/INDEX($C228:$AJ238,MATCH(MIN($AK228:$AK238),$AK228:$AK238,0),MATCH(IF('Data-solution'!$A$3="Maximize",MAX($C239:$AI239),MIN($C239:$AI239)),$C239:$AI239,0))),O234)</f>
        <v>0</v>
      </c>
      <c r="P249" s="1">
        <f>IF(OR($B243&lt;&gt;$B228,$B244&lt;&gt;$B229,$B245&lt;&gt;$B230,$B246&lt;&gt;$B231,$B247&lt;&gt;$B232,$B248&lt;&gt;$B233,$B249&lt;&gt;$B234,$B250&lt;&gt;$B235,$B251&lt;&gt;$B236,$B252&lt;&gt;$B237,$B253&lt;&gt;$B238),IF($B249&lt;&gt;$B234,P234/INDEX($C228:$AJ238,7,MATCH(IF('Data-solution'!$A$3="Maximize",MAX($C239:$AI239),MIN($C239:$AI239)),$C239:$AI239,0)),P234-INDEX($C228:$AJ238,7,MATCH(IF('Data-solution'!$A$3="Maximize",MAX($C239:$AI239),MIN($C239:$AI239)),$C239:$AI239,0))*INDEX(P228:$AJ238,MATCH(MIN($AK228:$AK238),$AK228:$AK238,0),1)/INDEX($C228:$AJ238,MATCH(MIN($AK228:$AK238),$AK228:$AK238,0),MATCH(IF('Data-solution'!$A$3="Maximize",MAX($C239:$AI239),MIN($C239:$AI239)),$C239:$AI239,0))),P234)</f>
        <v>0</v>
      </c>
      <c r="Q249" s="1">
        <f>IF(OR($B243&lt;&gt;$B228,$B244&lt;&gt;$B229,$B245&lt;&gt;$B230,$B246&lt;&gt;$B231,$B247&lt;&gt;$B232,$B248&lt;&gt;$B233,$B249&lt;&gt;$B234,$B250&lt;&gt;$B235,$B251&lt;&gt;$B236,$B252&lt;&gt;$B237,$B253&lt;&gt;$B238),IF($B249&lt;&gt;$B234,Q234/INDEX($C228:$AJ238,7,MATCH(IF('Data-solution'!$A$3="Maximize",MAX($C239:$AI239),MIN($C239:$AI239)),$C239:$AI239,0)),Q234-INDEX($C228:$AJ238,7,MATCH(IF('Data-solution'!$A$3="Maximize",MAX($C239:$AI239),MIN($C239:$AI239)),$C239:$AI239,0))*INDEX(Q228:$AJ238,MATCH(MIN($AK228:$AK238),$AK228:$AK238,0),1)/INDEX($C228:$AJ238,MATCH(MIN($AK228:$AK238),$AK228:$AK238,0),MATCH(IF('Data-solution'!$A$3="Maximize",MAX($C239:$AI239),MIN($C239:$AI239)),$C239:$AI239,0))),Q234)</f>
        <v>0</v>
      </c>
      <c r="R249" s="1">
        <f>IF(OR($B243&lt;&gt;$B228,$B244&lt;&gt;$B229,$B245&lt;&gt;$B230,$B246&lt;&gt;$B231,$B247&lt;&gt;$B232,$B248&lt;&gt;$B233,$B249&lt;&gt;$B234,$B250&lt;&gt;$B235,$B251&lt;&gt;$B236,$B252&lt;&gt;$B237,$B253&lt;&gt;$B238),IF($B249&lt;&gt;$B234,R234/INDEX($C228:$AJ238,7,MATCH(IF('Data-solution'!$A$3="Maximize",MAX($C239:$AI239),MIN($C239:$AI239)),$C239:$AI239,0)),R234-INDEX($C228:$AJ238,7,MATCH(IF('Data-solution'!$A$3="Maximize",MAX($C239:$AI239),MIN($C239:$AI239)),$C239:$AI239,0))*INDEX(R228:$AJ238,MATCH(MIN($AK228:$AK238),$AK228:$AK238,0),1)/INDEX($C228:$AJ238,MATCH(MIN($AK228:$AK238),$AK228:$AK238,0),MATCH(IF('Data-solution'!$A$3="Maximize",MAX($C239:$AI239),MIN($C239:$AI239)),$C239:$AI239,0))),R234)</f>
        <v>0</v>
      </c>
      <c r="S249" s="1">
        <f>IF(OR($B243&lt;&gt;$B228,$B244&lt;&gt;$B229,$B245&lt;&gt;$B230,$B246&lt;&gt;$B231,$B247&lt;&gt;$B232,$B248&lt;&gt;$B233,$B249&lt;&gt;$B234,$B250&lt;&gt;$B235,$B251&lt;&gt;$B236,$B252&lt;&gt;$B237,$B253&lt;&gt;$B238),IF($B249&lt;&gt;$B234,S234/INDEX($C228:$AJ238,7,MATCH(IF('Data-solution'!$A$3="Maximize",MAX($C239:$AI239),MIN($C239:$AI239)),$C239:$AI239,0)),S234-INDEX($C228:$AJ238,7,MATCH(IF('Data-solution'!$A$3="Maximize",MAX($C239:$AI239),MIN($C239:$AI239)),$C239:$AI239,0))*INDEX(S228:$AJ238,MATCH(MIN($AK228:$AK238),$AK228:$AK238,0),1)/INDEX($C228:$AJ238,MATCH(MIN($AK228:$AK238),$AK228:$AK238,0),MATCH(IF('Data-solution'!$A$3="Maximize",MAX($C239:$AI239),MIN($C239:$AI239)),$C239:$AI239,0))),S234)</f>
        <v>0</v>
      </c>
      <c r="T249" s="1">
        <f>IF(OR($B243&lt;&gt;$B228,$B244&lt;&gt;$B229,$B245&lt;&gt;$B230,$B246&lt;&gt;$B231,$B247&lt;&gt;$B232,$B248&lt;&gt;$B233,$B249&lt;&gt;$B234,$B250&lt;&gt;$B235,$B251&lt;&gt;$B236,$B252&lt;&gt;$B237,$B253&lt;&gt;$B238),IF($B249&lt;&gt;$B234,T234/INDEX($C228:$AJ238,7,MATCH(IF('Data-solution'!$A$3="Maximize",MAX($C239:$AI239),MIN($C239:$AI239)),$C239:$AI239,0)),T234-INDEX($C228:$AJ238,7,MATCH(IF('Data-solution'!$A$3="Maximize",MAX($C239:$AI239),MIN($C239:$AI239)),$C239:$AI239,0))*INDEX(T228:$AJ238,MATCH(MIN($AK228:$AK238),$AK228:$AK238,0),1)/INDEX($C228:$AJ238,MATCH(MIN($AK228:$AK238),$AK228:$AK238,0),MATCH(IF('Data-solution'!$A$3="Maximize",MAX($C239:$AI239),MIN($C239:$AI239)),$C239:$AI239,0))),T234)</f>
        <v>1</v>
      </c>
      <c r="U249" s="1">
        <f>IF(OR($B243&lt;&gt;$B228,$B244&lt;&gt;$B229,$B245&lt;&gt;$B230,$B246&lt;&gt;$B231,$B247&lt;&gt;$B232,$B248&lt;&gt;$B233,$B249&lt;&gt;$B234,$B250&lt;&gt;$B235,$B251&lt;&gt;$B236,$B252&lt;&gt;$B237,$B253&lt;&gt;$B238),IF($B249&lt;&gt;$B234,U234/INDEX($C228:$AJ238,7,MATCH(IF('Data-solution'!$A$3="Maximize",MAX($C239:$AI239),MIN($C239:$AI239)),$C239:$AI239,0)),U234-INDEX($C228:$AJ238,7,MATCH(IF('Data-solution'!$A$3="Maximize",MAX($C239:$AI239),MIN($C239:$AI239)),$C239:$AI239,0))*INDEX(U228:$AJ238,MATCH(MIN($AK228:$AK238),$AK228:$AK238,0),1)/INDEX($C228:$AJ238,MATCH(MIN($AK228:$AK238),$AK228:$AK238,0),MATCH(IF('Data-solution'!$A$3="Maximize",MAX($C239:$AI239),MIN($C239:$AI239)),$C239:$AI239,0))),U234)</f>
        <v>0</v>
      </c>
      <c r="V249" s="1">
        <f>IF(OR($B243&lt;&gt;$B228,$B244&lt;&gt;$B229,$B245&lt;&gt;$B230,$B246&lt;&gt;$B231,$B247&lt;&gt;$B232,$B248&lt;&gt;$B233,$B249&lt;&gt;$B234,$B250&lt;&gt;$B235,$B251&lt;&gt;$B236,$B252&lt;&gt;$B237,$B253&lt;&gt;$B238),IF($B249&lt;&gt;$B234,V234/INDEX($C228:$AJ238,7,MATCH(IF('Data-solution'!$A$3="Maximize",MAX($C239:$AI239),MIN($C239:$AI239)),$C239:$AI239,0)),V234-INDEX($C228:$AJ238,7,MATCH(IF('Data-solution'!$A$3="Maximize",MAX($C239:$AI239),MIN($C239:$AI239)),$C239:$AI239,0))*INDEX(V228:$AJ238,MATCH(MIN($AK228:$AK238),$AK228:$AK238,0),1)/INDEX($C228:$AJ238,MATCH(MIN($AK228:$AK238),$AK228:$AK238,0),MATCH(IF('Data-solution'!$A$3="Maximize",MAX($C239:$AI239),MIN($C239:$AI239)),$C239:$AI239,0))),V234)</f>
        <v>0</v>
      </c>
      <c r="W249" s="1">
        <f>IF(OR($B243&lt;&gt;$B228,$B244&lt;&gt;$B229,$B245&lt;&gt;$B230,$B246&lt;&gt;$B231,$B247&lt;&gt;$B232,$B248&lt;&gt;$B233,$B249&lt;&gt;$B234,$B250&lt;&gt;$B235,$B251&lt;&gt;$B236,$B252&lt;&gt;$B237,$B253&lt;&gt;$B238),IF($B249&lt;&gt;$B234,W234/INDEX($C228:$AJ238,7,MATCH(IF('Data-solution'!$A$3="Maximize",MAX($C239:$AI239),MIN($C239:$AI239)),$C239:$AI239,0)),W234-INDEX($C228:$AJ238,7,MATCH(IF('Data-solution'!$A$3="Maximize",MAX($C239:$AI239),MIN($C239:$AI239)),$C239:$AI239,0))*INDEX(W228:$AJ238,MATCH(MIN($AK228:$AK238),$AK228:$AK238,0),1)/INDEX($C228:$AJ238,MATCH(MIN($AK228:$AK238),$AK228:$AK238,0),MATCH(IF('Data-solution'!$A$3="Maximize",MAX($C239:$AI239),MIN($C239:$AI239)),$C239:$AI239,0))),W234)</f>
        <v>0</v>
      </c>
      <c r="X249" s="1">
        <f>IF(OR($B243&lt;&gt;$B228,$B244&lt;&gt;$B229,$B245&lt;&gt;$B230,$B246&lt;&gt;$B231,$B247&lt;&gt;$B232,$B248&lt;&gt;$B233,$B249&lt;&gt;$B234,$B250&lt;&gt;$B235,$B251&lt;&gt;$B236,$B252&lt;&gt;$B237,$B253&lt;&gt;$B238),IF($B249&lt;&gt;$B234,X234/INDEX($C228:$AJ238,7,MATCH(IF('Data-solution'!$A$3="Maximize",MAX($C239:$AI239),MIN($C239:$AI239)),$C239:$AI239,0)),X234-INDEX($C228:$AJ238,7,MATCH(IF('Data-solution'!$A$3="Maximize",MAX($C239:$AI239),MIN($C239:$AI239)),$C239:$AI239,0))*INDEX(X228:$AJ238,MATCH(MIN($AK228:$AK238),$AK228:$AK238,0),1)/INDEX($C228:$AJ238,MATCH(MIN($AK228:$AK238),$AK228:$AK238,0),MATCH(IF('Data-solution'!$A$3="Maximize",MAX($C239:$AI239),MIN($C239:$AI239)),$C239:$AI239,0))),X234)</f>
        <v>0</v>
      </c>
      <c r="Y249" s="1">
        <f>IF(OR($B243&lt;&gt;$B228,$B244&lt;&gt;$B229,$B245&lt;&gt;$B230,$B246&lt;&gt;$B231,$B247&lt;&gt;$B232,$B248&lt;&gt;$B233,$B249&lt;&gt;$B234,$B250&lt;&gt;$B235,$B251&lt;&gt;$B236,$B252&lt;&gt;$B237,$B253&lt;&gt;$B238),IF($B249&lt;&gt;$B234,Y234/INDEX($C228:$AJ238,7,MATCH(IF('Data-solution'!$A$3="Maximize",MAX($C239:$AI239),MIN($C239:$AI239)),$C239:$AI239,0)),Y234-INDEX($C228:$AJ238,7,MATCH(IF('Data-solution'!$A$3="Maximize",MAX($C239:$AI239),MIN($C239:$AI239)),$C239:$AI239,0))*INDEX(Y228:$AJ238,MATCH(MIN($AK228:$AK238),$AK228:$AK238,0),1)/INDEX($C228:$AJ238,MATCH(MIN($AK228:$AK238),$AK228:$AK238,0),MATCH(IF('Data-solution'!$A$3="Maximize",MAX($C239:$AI239),MIN($C239:$AI239)),$C239:$AI239,0))),Y234)</f>
        <v>0</v>
      </c>
      <c r="Z249" s="1">
        <f>IF(OR($B243&lt;&gt;$B228,$B244&lt;&gt;$B229,$B245&lt;&gt;$B230,$B246&lt;&gt;$B231,$B247&lt;&gt;$B232,$B248&lt;&gt;$B233,$B249&lt;&gt;$B234,$B250&lt;&gt;$B235,$B251&lt;&gt;$B236,$B252&lt;&gt;$B237,$B253&lt;&gt;$B238),IF($B249&lt;&gt;$B234,Z234/INDEX($C228:$AJ238,7,MATCH(IF('Data-solution'!$A$3="Maximize",MAX($C239:$AI239),MIN($C239:$AI239)),$C239:$AI239,0)),Z234-INDEX($C228:$AJ238,7,MATCH(IF('Data-solution'!$A$3="Maximize",MAX($C239:$AI239),MIN($C239:$AI239)),$C239:$AI239,0))*INDEX(Z228:$AJ238,MATCH(MIN($AK228:$AK238),$AK228:$AK238,0),1)/INDEX($C228:$AJ238,MATCH(MIN($AK228:$AK238),$AK228:$AK238,0),MATCH(IF('Data-solution'!$A$3="Maximize",MAX($C239:$AI239),MIN($C239:$AI239)),$C239:$AI239,0))),Z234)</f>
        <v>0</v>
      </c>
      <c r="AA249" s="1">
        <f>IF(OR($B243&lt;&gt;$B228,$B244&lt;&gt;$B229,$B245&lt;&gt;$B230,$B246&lt;&gt;$B231,$B247&lt;&gt;$B232,$B248&lt;&gt;$B233,$B249&lt;&gt;$B234,$B250&lt;&gt;$B235,$B251&lt;&gt;$B236,$B252&lt;&gt;$B237,$B253&lt;&gt;$B238),IF($B249&lt;&gt;$B234,AA234/INDEX($C228:$AJ238,7,MATCH(IF('Data-solution'!$A$3="Maximize",MAX($C239:$AI239),MIN($C239:$AI239)),$C239:$AI239,0)),AA234-INDEX($C228:$AJ238,7,MATCH(IF('Data-solution'!$A$3="Maximize",MAX($C239:$AI239),MIN($C239:$AI239)),$C239:$AI239,0))*INDEX(AA228:$AJ238,MATCH(MIN($AK228:$AK238),$AK228:$AK238,0),1)/INDEX($C228:$AJ238,MATCH(MIN($AK228:$AK238),$AK228:$AK238,0),MATCH(IF('Data-solution'!$A$3="Maximize",MAX($C239:$AI239),MIN($C239:$AI239)),$C239:$AI239,0))),AA234)</f>
        <v>0</v>
      </c>
      <c r="AB249" s="1">
        <f>IF(OR($B243&lt;&gt;$B228,$B244&lt;&gt;$B229,$B245&lt;&gt;$B230,$B246&lt;&gt;$B231,$B247&lt;&gt;$B232,$B248&lt;&gt;$B233,$B249&lt;&gt;$B234,$B250&lt;&gt;$B235,$B251&lt;&gt;$B236,$B252&lt;&gt;$B237,$B253&lt;&gt;$B238),IF($B249&lt;&gt;$B234,AB234/INDEX($C228:$AJ238,7,MATCH(IF('Data-solution'!$A$3="Maximize",MAX($C239:$AI239),MIN($C239:$AI239)),$C239:$AI239,0)),AB234-INDEX($C228:$AJ238,7,MATCH(IF('Data-solution'!$A$3="Maximize",MAX($C239:$AI239),MIN($C239:$AI239)),$C239:$AI239,0))*INDEX(AB228:$AJ238,MATCH(MIN($AK228:$AK238),$AK228:$AK238,0),1)/INDEX($C228:$AJ238,MATCH(MIN($AK228:$AK238),$AK228:$AK238,0),MATCH(IF('Data-solution'!$A$3="Maximize",MAX($C239:$AI239),MIN($C239:$AI239)),$C239:$AI239,0))),AB234)</f>
        <v>0</v>
      </c>
      <c r="AC249" s="1">
        <f>IF(OR($B243&lt;&gt;$B228,$B244&lt;&gt;$B229,$B245&lt;&gt;$B230,$B246&lt;&gt;$B231,$B247&lt;&gt;$B232,$B248&lt;&gt;$B233,$B249&lt;&gt;$B234,$B250&lt;&gt;$B235,$B251&lt;&gt;$B236,$B252&lt;&gt;$B237,$B253&lt;&gt;$B238),IF($B249&lt;&gt;$B234,AC234/INDEX($C228:$AJ238,7,MATCH(IF('Data-solution'!$A$3="Maximize",MAX($C239:$AI239),MIN($C239:$AI239)),$C239:$AI239,0)),AC234-INDEX($C228:$AJ238,7,MATCH(IF('Data-solution'!$A$3="Maximize",MAX($C239:$AI239),MIN($C239:$AI239)),$C239:$AI239,0))*INDEX(AC228:$AJ238,MATCH(MIN($AK228:$AK238),$AK228:$AK238,0),1)/INDEX($C228:$AJ238,MATCH(MIN($AK228:$AK238),$AK228:$AK238,0),MATCH(IF('Data-solution'!$A$3="Maximize",MAX($C239:$AI239),MIN($C239:$AI239)),$C239:$AI239,0))),AC234)</f>
        <v>0</v>
      </c>
      <c r="AD249" s="1">
        <f>IF(OR($B243&lt;&gt;$B228,$B244&lt;&gt;$B229,$B245&lt;&gt;$B230,$B246&lt;&gt;$B231,$B247&lt;&gt;$B232,$B248&lt;&gt;$B233,$B249&lt;&gt;$B234,$B250&lt;&gt;$B235,$B251&lt;&gt;$B236,$B252&lt;&gt;$B237,$B253&lt;&gt;$B238),IF($B249&lt;&gt;$B234,AD234/INDEX($C228:$AJ238,7,MATCH(IF('Data-solution'!$A$3="Maximize",MAX($C239:$AI239),MIN($C239:$AI239)),$C239:$AI239,0)),AD234-INDEX($C228:$AJ238,7,MATCH(IF('Data-solution'!$A$3="Maximize",MAX($C239:$AI239),MIN($C239:$AI239)),$C239:$AI239,0))*INDEX(AD228:$AJ238,MATCH(MIN($AK228:$AK238),$AK228:$AK238,0),1)/INDEX($C228:$AJ238,MATCH(MIN($AK228:$AK238),$AK228:$AK238,0),MATCH(IF('Data-solution'!$A$3="Maximize",MAX($C239:$AI239),MIN($C239:$AI239)),$C239:$AI239,0))),AD234)</f>
        <v>0</v>
      </c>
      <c r="AE249" s="1">
        <f>IF(OR($B243&lt;&gt;$B228,$B244&lt;&gt;$B229,$B245&lt;&gt;$B230,$B246&lt;&gt;$B231,$B247&lt;&gt;$B232,$B248&lt;&gt;$B233,$B249&lt;&gt;$B234,$B250&lt;&gt;$B235,$B251&lt;&gt;$B236,$B252&lt;&gt;$B237,$B253&lt;&gt;$B238),IF($B249&lt;&gt;$B234,AE234/INDEX($C228:$AJ238,7,MATCH(IF('Data-solution'!$A$3="Maximize",MAX($C239:$AI239),MIN($C239:$AI239)),$C239:$AI239,0)),AE234-INDEX($C228:$AJ238,7,MATCH(IF('Data-solution'!$A$3="Maximize",MAX($C239:$AI239),MIN($C239:$AI239)),$C239:$AI239,0))*INDEX(AE228:$AJ238,MATCH(MIN($AK228:$AK238),$AK228:$AK238,0),1)/INDEX($C228:$AJ238,MATCH(MIN($AK228:$AK238),$AK228:$AK238,0),MATCH(IF('Data-solution'!$A$3="Maximize",MAX($C239:$AI239),MIN($C239:$AI239)),$C239:$AI239,0))),AE234)</f>
        <v>1</v>
      </c>
      <c r="AF249" s="1">
        <f>IF(OR($B243&lt;&gt;$B228,$B244&lt;&gt;$B229,$B245&lt;&gt;$B230,$B246&lt;&gt;$B231,$B247&lt;&gt;$B232,$B248&lt;&gt;$B233,$B249&lt;&gt;$B234,$B250&lt;&gt;$B235,$B251&lt;&gt;$B236,$B252&lt;&gt;$B237,$B253&lt;&gt;$B238),IF($B249&lt;&gt;$B234,AF234/INDEX($C228:$AJ238,7,MATCH(IF('Data-solution'!$A$3="Maximize",MAX($C239:$AI239),MIN($C239:$AI239)),$C239:$AI239,0)),AF234-INDEX($C228:$AJ238,7,MATCH(IF('Data-solution'!$A$3="Maximize",MAX($C239:$AI239),MIN($C239:$AI239)),$C239:$AI239,0))*INDEX(AF228:$AJ238,MATCH(MIN($AK228:$AK238),$AK228:$AK238,0),1)/INDEX($C228:$AJ238,MATCH(MIN($AK228:$AK238),$AK228:$AK238,0),MATCH(IF('Data-solution'!$A$3="Maximize",MAX($C239:$AI239),MIN($C239:$AI239)),$C239:$AI239,0))),AF234)</f>
        <v>0</v>
      </c>
      <c r="AG249" s="1">
        <f>IF(OR($B243&lt;&gt;$B228,$B244&lt;&gt;$B229,$B245&lt;&gt;$B230,$B246&lt;&gt;$B231,$B247&lt;&gt;$B232,$B248&lt;&gt;$B233,$B249&lt;&gt;$B234,$B250&lt;&gt;$B235,$B251&lt;&gt;$B236,$B252&lt;&gt;$B237,$B253&lt;&gt;$B238),IF($B249&lt;&gt;$B234,AG234/INDEX($C228:$AJ238,7,MATCH(IF('Data-solution'!$A$3="Maximize",MAX($C239:$AI239),MIN($C239:$AI239)),$C239:$AI239,0)),AG234-INDEX($C228:$AJ238,7,MATCH(IF('Data-solution'!$A$3="Maximize",MAX($C239:$AI239),MIN($C239:$AI239)),$C239:$AI239,0))*INDEX(AG228:$AJ238,MATCH(MIN($AK228:$AK238),$AK228:$AK238,0),1)/INDEX($C228:$AJ238,MATCH(MIN($AK228:$AK238),$AK228:$AK238,0),MATCH(IF('Data-solution'!$A$3="Maximize",MAX($C239:$AI239),MIN($C239:$AI239)),$C239:$AI239,0))),AG234)</f>
        <v>0</v>
      </c>
      <c r="AH249" s="1">
        <f>IF(OR($B243&lt;&gt;$B228,$B244&lt;&gt;$B229,$B245&lt;&gt;$B230,$B246&lt;&gt;$B231,$B247&lt;&gt;$B232,$B248&lt;&gt;$B233,$B249&lt;&gt;$B234,$B250&lt;&gt;$B235,$B251&lt;&gt;$B236,$B252&lt;&gt;$B237,$B253&lt;&gt;$B238),IF($B249&lt;&gt;$B234,AH234/INDEX($C228:$AJ238,7,MATCH(IF('Data-solution'!$A$3="Maximize",MAX($C239:$AI239),MIN($C239:$AI239)),$C239:$AI239,0)),AH234-INDEX($C228:$AJ238,7,MATCH(IF('Data-solution'!$A$3="Maximize",MAX($C239:$AI239),MIN($C239:$AI239)),$C239:$AI239,0))*INDEX(AH228:$AJ238,MATCH(MIN($AK228:$AK238),$AK228:$AK238,0),1)/INDEX($C228:$AJ238,MATCH(MIN($AK228:$AK238),$AK228:$AK238,0),MATCH(IF('Data-solution'!$A$3="Maximize",MAX($C239:$AI239),MIN($C239:$AI239)),$C239:$AI239,0))),AH234)</f>
        <v>0</v>
      </c>
      <c r="AI249" s="1">
        <f>IF(OR($B243&lt;&gt;$B228,$B244&lt;&gt;$B229,$B245&lt;&gt;$B230,$B246&lt;&gt;$B231,$B247&lt;&gt;$B232,$B248&lt;&gt;$B233,$B249&lt;&gt;$B234,$B250&lt;&gt;$B235,$B251&lt;&gt;$B236,$B252&lt;&gt;$B237,$B253&lt;&gt;$B238),IF($B249&lt;&gt;$B234,AI234/INDEX($C228:$AJ238,7,MATCH(IF('Data-solution'!$A$3="Maximize",MAX($C239:$AI239),MIN($C239:$AI239)),$C239:$AI239,0)),AI234-INDEX($C228:$AJ238,7,MATCH(IF('Data-solution'!$A$3="Maximize",MAX($C239:$AI239),MIN($C239:$AI239)),$C239:$AI239,0))*INDEX(AI228:$AJ238,MATCH(MIN($AK228:$AK238),$AK228:$AK238,0),1)/INDEX($C228:$AJ238,MATCH(MIN($AK228:$AK238),$AK228:$AK238,0),MATCH(IF('Data-solution'!$A$3="Maximize",MAX($C239:$AI239),MIN($C239:$AI239)),$C239:$AI239,0))),AI234)</f>
        <v>0</v>
      </c>
      <c r="AJ249" s="1">
        <f>IF(OR($B243&lt;&gt;$B228,$B244&lt;&gt;$B229,$B245&lt;&gt;$B230,$B246&lt;&gt;$B231,$B247&lt;&gt;$B232,$B248&lt;&gt;$B233,$B249&lt;&gt;$B234,$B250&lt;&gt;$B235,$B251&lt;&gt;$B236,$B252&lt;&gt;$B237,$B253&lt;&gt;$B238),IF($B249&lt;&gt;$B234,AJ234/INDEX($C228:$AJ238,7,MATCH(IF('Data-solution'!$A$3="Maximize",MAX($C239:$AI239),MIN($C239:$AI239)),$C239:$AI239,0)),AJ234-INDEX($C228:$AJ238,7,MATCH(IF('Data-solution'!$A$3="Maximize",MAX($C239:$AI239),MIN($C239:$AI239)),$C239:$AI239,0))*INDEX(AJ228:$AJ238,MATCH(MIN($AK228:$AK238),$AK228:$AK238,0),1)/INDEX($C228:$AJ238,MATCH(MIN($AK228:$AK238),$AK228:$AK238,0),MATCH(IF('Data-solution'!$A$3="Maximize",MAX($C239:$AI239),MIN($C239:$AI239)),$C239:$AI239,0))),AJ234)</f>
        <v>0</v>
      </c>
      <c r="AK249" s="1" t="str">
        <f>IF(INDEX(C249:X249,1,MATCH(IF('Data-solution'!A$3="Maximize",MAX(C254:X254),MIN(C254:X254)),C254:X254,0))&gt;0,AJ249/INDEX(C249:X249,1,MATCH(IF('Data-solution'!A$3="Maximize",MAX(C254:X254),MIN(C254:X254)),C254:X254,0))," ")</f>
        <v xml:space="preserve"> </v>
      </c>
    </row>
    <row r="250" spans="1:37" ht="18" customHeight="1" x14ac:dyDescent="0.2">
      <c r="A250" s="1">
        <f t="shared" ref="A250" si="219">INDEX(C241:AI241,1,MATCH(B250,C242:AI242,0))</f>
        <v>0</v>
      </c>
      <c r="B250" s="2" t="str">
        <f>IF(AND('Data-solution'!A$3="Maximize",COUNTIF(C239:X239,"&gt;"&amp;0)&gt;0,AK235=MIN(AK228:AK238),COUNTIF(B243:B249,INDEX(C227:X227,1,MATCH(MAX(C239:X239),C239:X239,0)))=0),INDEX(C227:X227,1,MATCH(MAX(C239:X239),C239:X239,0)),IF(AND('Data-solution'!A$3="Minimize",COUNTIF(C239:X239,"&lt;"&amp;0)&gt;0,AK235=MIN(AK228:AK238),COUNTIF(B243:B249,INDEX(C227:X227,1,MATCH(MIN(C239:X239),C239:X239,0)))=0),INDEX(C227:X227,1,MATCH(MIN(C239:X239),C239:X239,0)),B235))</f>
        <v>S8</v>
      </c>
      <c r="C250" s="1">
        <f>IF(OR($B243&lt;&gt;$B228,$B244&lt;&gt;$B229,$B245&lt;&gt;$B230,$B246&lt;&gt;$B231,$B247&lt;&gt;$B232,$B248&lt;&gt;$B233,$B249&lt;&gt;$B234,$B250&lt;&gt;$B235,$B251&lt;&gt;$B236,$B252&lt;&gt;$B237,$B253&lt;&gt;$B238),IF($B250&lt;&gt;$B235,C235/INDEX($C228:$AJ238,8,MATCH(IF('Data-solution'!$A$3="Maximize",MAX($C239:$AI239),MIN($C239:$AI239)),$C239:$AI239,0)),C235-INDEX($C228:$AJ238,8,MATCH(IF('Data-solution'!$A$3="Maximize",MAX($C239:$AI239),MIN($C239:$AI239)),$C239:$AI239,0))*INDEX(C228:$AJ238,MATCH(MIN($AK228:$AK238),$AK228:$AK238,0),1)/INDEX($C228:$AJ238,MATCH(MIN($AK228:$AK238),$AK228:$AK238,0),MATCH(IF('Data-solution'!$A$3="Maximize",MAX($C239:$AI239),MIN($C239:$AI239)),$C239:$AI239,0))),C235)</f>
        <v>0</v>
      </c>
      <c r="D250" s="1">
        <f>IF(OR($B243&lt;&gt;$B228,$B244&lt;&gt;$B229,$B245&lt;&gt;$B230,$B246&lt;&gt;$B231,$B247&lt;&gt;$B232,$B248&lt;&gt;$B233,$B249&lt;&gt;$B234,$B250&lt;&gt;$B235,$B251&lt;&gt;$B236,$B252&lt;&gt;$B237,$B253&lt;&gt;$B238),IF($B250&lt;&gt;$B235,D235/INDEX($C228:$AJ238,8,MATCH(IF('Data-solution'!$A$3="Maximize",MAX($C239:$AI239),MIN($C239:$AI239)),$C239:$AI239,0)),D235-INDEX($C228:$AJ238,8,MATCH(IF('Data-solution'!$A$3="Maximize",MAX($C239:$AI239),MIN($C239:$AI239)),$C239:$AI239,0))*INDEX(D228:$AJ238,MATCH(MIN($AK228:$AK238),$AK228:$AK238,0),1)/INDEX($C228:$AJ238,MATCH(MIN($AK228:$AK238),$AK228:$AK238,0),MATCH(IF('Data-solution'!$A$3="Maximize",MAX($C239:$AI239),MIN($C239:$AI239)),$C239:$AI239,0))),D235)</f>
        <v>0</v>
      </c>
      <c r="E250" s="1">
        <f>IF(OR($B243&lt;&gt;$B228,$B244&lt;&gt;$B229,$B245&lt;&gt;$B230,$B246&lt;&gt;$B231,$B247&lt;&gt;$B232,$B248&lt;&gt;$B233,$B249&lt;&gt;$B234,$B250&lt;&gt;$B235,$B251&lt;&gt;$B236,$B252&lt;&gt;$B237,$B253&lt;&gt;$B238),IF($B250&lt;&gt;$B235,E235/INDEX($C228:$AJ238,8,MATCH(IF('Data-solution'!$A$3="Maximize",MAX($C239:$AI239),MIN($C239:$AI239)),$C239:$AI239,0)),E235-INDEX($C228:$AJ238,8,MATCH(IF('Data-solution'!$A$3="Maximize",MAX($C239:$AI239),MIN($C239:$AI239)),$C239:$AI239,0))*INDEX(E228:$AJ238,MATCH(MIN($AK228:$AK238),$AK228:$AK238,0),1)/INDEX($C228:$AJ238,MATCH(MIN($AK228:$AK238),$AK228:$AK238,0),MATCH(IF('Data-solution'!$A$3="Maximize",MAX($C239:$AI239),MIN($C239:$AI239)),$C239:$AI239,0))),E235)</f>
        <v>0</v>
      </c>
      <c r="F250" s="1">
        <f>IF(OR($B243&lt;&gt;$B228,$B244&lt;&gt;$B229,$B245&lt;&gt;$B230,$B246&lt;&gt;$B231,$B247&lt;&gt;$B232,$B248&lt;&gt;$B233,$B249&lt;&gt;$B234,$B250&lt;&gt;$B235,$B251&lt;&gt;$B236,$B252&lt;&gt;$B237,$B253&lt;&gt;$B238),IF($B250&lt;&gt;$B235,F235/INDEX($C228:$AJ238,8,MATCH(IF('Data-solution'!$A$3="Maximize",MAX($C239:$AI239),MIN($C239:$AI239)),$C239:$AI239,0)),F235-INDEX($C228:$AJ238,8,MATCH(IF('Data-solution'!$A$3="Maximize",MAX($C239:$AI239),MIN($C239:$AI239)),$C239:$AI239,0))*INDEX(F228:$AJ238,MATCH(MIN($AK228:$AK238),$AK228:$AK238,0),1)/INDEX($C228:$AJ238,MATCH(MIN($AK228:$AK238),$AK228:$AK238,0),MATCH(IF('Data-solution'!$A$3="Maximize",MAX($C239:$AI239),MIN($C239:$AI239)),$C239:$AI239,0))),F235)</f>
        <v>0</v>
      </c>
      <c r="G250" s="1">
        <f>IF(OR($B243&lt;&gt;$B228,$B244&lt;&gt;$B229,$B245&lt;&gt;$B230,$B246&lt;&gt;$B231,$B247&lt;&gt;$B232,$B248&lt;&gt;$B233,$B249&lt;&gt;$B234,$B250&lt;&gt;$B235,$B251&lt;&gt;$B236,$B252&lt;&gt;$B237,$B253&lt;&gt;$B238),IF($B250&lt;&gt;$B235,G235/INDEX($C228:$AJ238,8,MATCH(IF('Data-solution'!$A$3="Maximize",MAX($C239:$AI239),MIN($C239:$AI239)),$C239:$AI239,0)),G235-INDEX($C228:$AJ238,8,MATCH(IF('Data-solution'!$A$3="Maximize",MAX($C239:$AI239),MIN($C239:$AI239)),$C239:$AI239,0))*INDEX(G228:$AJ238,MATCH(MIN($AK228:$AK238),$AK228:$AK238,0),1)/INDEX($C228:$AJ238,MATCH(MIN($AK228:$AK238),$AK228:$AK238,0),MATCH(IF('Data-solution'!$A$3="Maximize",MAX($C239:$AI239),MIN($C239:$AI239)),$C239:$AI239,0))),G235)</f>
        <v>0</v>
      </c>
      <c r="H250" s="1">
        <f>IF(OR($B243&lt;&gt;$B228,$B244&lt;&gt;$B229,$B245&lt;&gt;$B230,$B246&lt;&gt;$B231,$B247&lt;&gt;$B232,$B248&lt;&gt;$B233,$B249&lt;&gt;$B234,$B250&lt;&gt;$B235,$B251&lt;&gt;$B236,$B252&lt;&gt;$B237,$B253&lt;&gt;$B238),IF($B250&lt;&gt;$B235,H235/INDEX($C228:$AJ238,8,MATCH(IF('Data-solution'!$A$3="Maximize",MAX($C239:$AI239),MIN($C239:$AI239)),$C239:$AI239,0)),H235-INDEX($C228:$AJ238,8,MATCH(IF('Data-solution'!$A$3="Maximize",MAX($C239:$AI239),MIN($C239:$AI239)),$C239:$AI239,0))*INDEX(H228:$AJ238,MATCH(MIN($AK228:$AK238),$AK228:$AK238,0),1)/INDEX($C228:$AJ238,MATCH(MIN($AK228:$AK238),$AK228:$AK238,0),MATCH(IF('Data-solution'!$A$3="Maximize",MAX($C239:$AI239),MIN($C239:$AI239)),$C239:$AI239,0))),H235)</f>
        <v>0</v>
      </c>
      <c r="I250" s="1">
        <f>IF(OR($B243&lt;&gt;$B228,$B244&lt;&gt;$B229,$B245&lt;&gt;$B230,$B246&lt;&gt;$B231,$B247&lt;&gt;$B232,$B248&lt;&gt;$B233,$B249&lt;&gt;$B234,$B250&lt;&gt;$B235,$B251&lt;&gt;$B236,$B252&lt;&gt;$B237,$B253&lt;&gt;$B238),IF($B250&lt;&gt;$B235,I235/INDEX($C228:$AJ238,8,MATCH(IF('Data-solution'!$A$3="Maximize",MAX($C239:$AI239),MIN($C239:$AI239)),$C239:$AI239,0)),I235-INDEX($C228:$AJ238,8,MATCH(IF('Data-solution'!$A$3="Maximize",MAX($C239:$AI239),MIN($C239:$AI239)),$C239:$AI239,0))*INDEX(I228:$AJ238,MATCH(MIN($AK228:$AK238),$AK228:$AK238,0),1)/INDEX($C228:$AJ238,MATCH(MIN($AK228:$AK238),$AK228:$AK238,0),MATCH(IF('Data-solution'!$A$3="Maximize",MAX($C239:$AI239),MIN($C239:$AI239)),$C239:$AI239,0))),I235)</f>
        <v>0</v>
      </c>
      <c r="J250" s="1">
        <f>IF(OR($B243&lt;&gt;$B228,$B244&lt;&gt;$B229,$B245&lt;&gt;$B230,$B246&lt;&gt;$B231,$B247&lt;&gt;$B232,$B248&lt;&gt;$B233,$B249&lt;&gt;$B234,$B250&lt;&gt;$B235,$B251&lt;&gt;$B236,$B252&lt;&gt;$B237,$B253&lt;&gt;$B238),IF($B250&lt;&gt;$B235,J235/INDEX($C228:$AJ238,8,MATCH(IF('Data-solution'!$A$3="Maximize",MAX($C239:$AI239),MIN($C239:$AI239)),$C239:$AI239,0)),J235-INDEX($C228:$AJ238,8,MATCH(IF('Data-solution'!$A$3="Maximize",MAX($C239:$AI239),MIN($C239:$AI239)),$C239:$AI239,0))*INDEX(J228:$AJ238,MATCH(MIN($AK228:$AK238),$AK228:$AK238,0),1)/INDEX($C228:$AJ238,MATCH(MIN($AK228:$AK238),$AK228:$AK238,0),MATCH(IF('Data-solution'!$A$3="Maximize",MAX($C239:$AI239),MIN($C239:$AI239)),$C239:$AI239,0))),J235)</f>
        <v>0</v>
      </c>
      <c r="K250" s="1">
        <f>IF(OR($B243&lt;&gt;$B228,$B244&lt;&gt;$B229,$B245&lt;&gt;$B230,$B246&lt;&gt;$B231,$B247&lt;&gt;$B232,$B248&lt;&gt;$B233,$B249&lt;&gt;$B234,$B250&lt;&gt;$B235,$B251&lt;&gt;$B236,$B252&lt;&gt;$B237,$B253&lt;&gt;$B238),IF($B250&lt;&gt;$B235,K235/INDEX($C228:$AJ238,8,MATCH(IF('Data-solution'!$A$3="Maximize",MAX($C239:$AI239),MIN($C239:$AI239)),$C239:$AI239,0)),K235-INDEX($C228:$AJ238,8,MATCH(IF('Data-solution'!$A$3="Maximize",MAX($C239:$AI239),MIN($C239:$AI239)),$C239:$AI239,0))*INDEX(K228:$AJ238,MATCH(MIN($AK228:$AK238),$AK228:$AK238,0),1)/INDEX($C228:$AJ238,MATCH(MIN($AK228:$AK238),$AK228:$AK238,0),MATCH(IF('Data-solution'!$A$3="Maximize",MAX($C239:$AI239),MIN($C239:$AI239)),$C239:$AI239,0))),K235)</f>
        <v>0</v>
      </c>
      <c r="L250" s="1">
        <f>IF(OR($B243&lt;&gt;$B228,$B244&lt;&gt;$B229,$B245&lt;&gt;$B230,$B246&lt;&gt;$B231,$B247&lt;&gt;$B232,$B248&lt;&gt;$B233,$B249&lt;&gt;$B234,$B250&lt;&gt;$B235,$B251&lt;&gt;$B236,$B252&lt;&gt;$B237,$B253&lt;&gt;$B238),IF($B250&lt;&gt;$B235,L235/INDEX($C228:$AJ238,8,MATCH(IF('Data-solution'!$A$3="Maximize",MAX($C239:$AI239),MIN($C239:$AI239)),$C239:$AI239,0)),L235-INDEX($C228:$AJ238,8,MATCH(IF('Data-solution'!$A$3="Maximize",MAX($C239:$AI239),MIN($C239:$AI239)),$C239:$AI239,0))*INDEX(L228:$AJ238,MATCH(MIN($AK228:$AK238),$AK228:$AK238,0),1)/INDEX($C228:$AJ238,MATCH(MIN($AK228:$AK238),$AK228:$AK238,0),MATCH(IF('Data-solution'!$A$3="Maximize",MAX($C239:$AI239),MIN($C239:$AI239)),$C239:$AI239,0))),L235)</f>
        <v>0</v>
      </c>
      <c r="M250" s="1">
        <f>IF(OR($B243&lt;&gt;$B228,$B244&lt;&gt;$B229,$B245&lt;&gt;$B230,$B246&lt;&gt;$B231,$B247&lt;&gt;$B232,$B248&lt;&gt;$B233,$B249&lt;&gt;$B234,$B250&lt;&gt;$B235,$B251&lt;&gt;$B236,$B252&lt;&gt;$B237,$B253&lt;&gt;$B238),IF($B250&lt;&gt;$B235,M235/INDEX($C228:$AJ238,8,MATCH(IF('Data-solution'!$A$3="Maximize",MAX($C239:$AI239),MIN($C239:$AI239)),$C239:$AI239,0)),M235-INDEX($C228:$AJ238,8,MATCH(IF('Data-solution'!$A$3="Maximize",MAX($C239:$AI239),MIN($C239:$AI239)),$C239:$AI239,0))*INDEX(M228:$AJ238,MATCH(MIN($AK228:$AK238),$AK228:$AK238,0),1)/INDEX($C228:$AJ238,MATCH(MIN($AK228:$AK238),$AK228:$AK238,0),MATCH(IF('Data-solution'!$A$3="Maximize",MAX($C239:$AI239),MIN($C239:$AI239)),$C239:$AI239,0))),M235)</f>
        <v>0</v>
      </c>
      <c r="N250" s="1">
        <f>IF(OR($B243&lt;&gt;$B228,$B244&lt;&gt;$B229,$B245&lt;&gt;$B230,$B246&lt;&gt;$B231,$B247&lt;&gt;$B232,$B248&lt;&gt;$B233,$B249&lt;&gt;$B234,$B250&lt;&gt;$B235,$B251&lt;&gt;$B236,$B252&lt;&gt;$B237,$B253&lt;&gt;$B238),IF($B250&lt;&gt;$B235,N235/INDEX($C228:$AJ238,8,MATCH(IF('Data-solution'!$A$3="Maximize",MAX($C239:$AI239),MIN($C239:$AI239)),$C239:$AI239,0)),N235-INDEX($C228:$AJ238,8,MATCH(IF('Data-solution'!$A$3="Maximize",MAX($C239:$AI239),MIN($C239:$AI239)),$C239:$AI239,0))*INDEX(N228:$AJ238,MATCH(MIN($AK228:$AK238),$AK228:$AK238,0),1)/INDEX($C228:$AJ238,MATCH(MIN($AK228:$AK238),$AK228:$AK238,0),MATCH(IF('Data-solution'!$A$3="Maximize",MAX($C239:$AI239),MIN($C239:$AI239)),$C239:$AI239,0))),N235)</f>
        <v>0</v>
      </c>
      <c r="O250" s="1">
        <f>IF(OR($B243&lt;&gt;$B228,$B244&lt;&gt;$B229,$B245&lt;&gt;$B230,$B246&lt;&gt;$B231,$B247&lt;&gt;$B232,$B248&lt;&gt;$B233,$B249&lt;&gt;$B234,$B250&lt;&gt;$B235,$B251&lt;&gt;$B236,$B252&lt;&gt;$B237,$B253&lt;&gt;$B238),IF($B250&lt;&gt;$B235,O235/INDEX($C228:$AJ238,8,MATCH(IF('Data-solution'!$A$3="Maximize",MAX($C239:$AI239),MIN($C239:$AI239)),$C239:$AI239,0)),O235-INDEX($C228:$AJ238,8,MATCH(IF('Data-solution'!$A$3="Maximize",MAX($C239:$AI239),MIN($C239:$AI239)),$C239:$AI239,0))*INDEX(O228:$AJ238,MATCH(MIN($AK228:$AK238),$AK228:$AK238,0),1)/INDEX($C228:$AJ238,MATCH(MIN($AK228:$AK238),$AK228:$AK238,0),MATCH(IF('Data-solution'!$A$3="Maximize",MAX($C239:$AI239),MIN($C239:$AI239)),$C239:$AI239,0))),O235)</f>
        <v>0</v>
      </c>
      <c r="P250" s="1">
        <f>IF(OR($B243&lt;&gt;$B228,$B244&lt;&gt;$B229,$B245&lt;&gt;$B230,$B246&lt;&gt;$B231,$B247&lt;&gt;$B232,$B248&lt;&gt;$B233,$B249&lt;&gt;$B234,$B250&lt;&gt;$B235,$B251&lt;&gt;$B236,$B252&lt;&gt;$B237,$B253&lt;&gt;$B238),IF($B250&lt;&gt;$B235,P235/INDEX($C228:$AJ238,8,MATCH(IF('Data-solution'!$A$3="Maximize",MAX($C239:$AI239),MIN($C239:$AI239)),$C239:$AI239,0)),P235-INDEX($C228:$AJ238,8,MATCH(IF('Data-solution'!$A$3="Maximize",MAX($C239:$AI239),MIN($C239:$AI239)),$C239:$AI239,0))*INDEX(P228:$AJ238,MATCH(MIN($AK228:$AK238),$AK228:$AK238,0),1)/INDEX($C228:$AJ238,MATCH(MIN($AK228:$AK238),$AK228:$AK238,0),MATCH(IF('Data-solution'!$A$3="Maximize",MAX($C239:$AI239),MIN($C239:$AI239)),$C239:$AI239,0))),P235)</f>
        <v>0</v>
      </c>
      <c r="Q250" s="1">
        <f>IF(OR($B243&lt;&gt;$B228,$B244&lt;&gt;$B229,$B245&lt;&gt;$B230,$B246&lt;&gt;$B231,$B247&lt;&gt;$B232,$B248&lt;&gt;$B233,$B249&lt;&gt;$B234,$B250&lt;&gt;$B235,$B251&lt;&gt;$B236,$B252&lt;&gt;$B237,$B253&lt;&gt;$B238),IF($B250&lt;&gt;$B235,Q235/INDEX($C228:$AJ238,8,MATCH(IF('Data-solution'!$A$3="Maximize",MAX($C239:$AI239),MIN($C239:$AI239)),$C239:$AI239,0)),Q235-INDEX($C228:$AJ238,8,MATCH(IF('Data-solution'!$A$3="Maximize",MAX($C239:$AI239),MIN($C239:$AI239)),$C239:$AI239,0))*INDEX(Q228:$AJ238,MATCH(MIN($AK228:$AK238),$AK228:$AK238,0),1)/INDEX($C228:$AJ238,MATCH(MIN($AK228:$AK238),$AK228:$AK238,0),MATCH(IF('Data-solution'!$A$3="Maximize",MAX($C239:$AI239),MIN($C239:$AI239)),$C239:$AI239,0))),Q235)</f>
        <v>0</v>
      </c>
      <c r="R250" s="1">
        <f>IF(OR($B243&lt;&gt;$B228,$B244&lt;&gt;$B229,$B245&lt;&gt;$B230,$B246&lt;&gt;$B231,$B247&lt;&gt;$B232,$B248&lt;&gt;$B233,$B249&lt;&gt;$B234,$B250&lt;&gt;$B235,$B251&lt;&gt;$B236,$B252&lt;&gt;$B237,$B253&lt;&gt;$B238),IF($B250&lt;&gt;$B235,R235/INDEX($C228:$AJ238,8,MATCH(IF('Data-solution'!$A$3="Maximize",MAX($C239:$AI239),MIN($C239:$AI239)),$C239:$AI239,0)),R235-INDEX($C228:$AJ238,8,MATCH(IF('Data-solution'!$A$3="Maximize",MAX($C239:$AI239),MIN($C239:$AI239)),$C239:$AI239,0))*INDEX(R228:$AJ238,MATCH(MIN($AK228:$AK238),$AK228:$AK238,0),1)/INDEX($C228:$AJ238,MATCH(MIN($AK228:$AK238),$AK228:$AK238,0),MATCH(IF('Data-solution'!$A$3="Maximize",MAX($C239:$AI239),MIN($C239:$AI239)),$C239:$AI239,0))),R235)</f>
        <v>0</v>
      </c>
      <c r="S250" s="1">
        <f>IF(OR($B243&lt;&gt;$B228,$B244&lt;&gt;$B229,$B245&lt;&gt;$B230,$B246&lt;&gt;$B231,$B247&lt;&gt;$B232,$B248&lt;&gt;$B233,$B249&lt;&gt;$B234,$B250&lt;&gt;$B235,$B251&lt;&gt;$B236,$B252&lt;&gt;$B237,$B253&lt;&gt;$B238),IF($B250&lt;&gt;$B235,S235/INDEX($C228:$AJ238,8,MATCH(IF('Data-solution'!$A$3="Maximize",MAX($C239:$AI239),MIN($C239:$AI239)),$C239:$AI239,0)),S235-INDEX($C228:$AJ238,8,MATCH(IF('Data-solution'!$A$3="Maximize",MAX($C239:$AI239),MIN($C239:$AI239)),$C239:$AI239,0))*INDEX(S228:$AJ238,MATCH(MIN($AK228:$AK238),$AK228:$AK238,0),1)/INDEX($C228:$AJ238,MATCH(MIN($AK228:$AK238),$AK228:$AK238,0),MATCH(IF('Data-solution'!$A$3="Maximize",MAX($C239:$AI239),MIN($C239:$AI239)),$C239:$AI239,0))),S235)</f>
        <v>0</v>
      </c>
      <c r="T250" s="1">
        <f>IF(OR($B243&lt;&gt;$B228,$B244&lt;&gt;$B229,$B245&lt;&gt;$B230,$B246&lt;&gt;$B231,$B247&lt;&gt;$B232,$B248&lt;&gt;$B233,$B249&lt;&gt;$B234,$B250&lt;&gt;$B235,$B251&lt;&gt;$B236,$B252&lt;&gt;$B237,$B253&lt;&gt;$B238),IF($B250&lt;&gt;$B235,T235/INDEX($C228:$AJ238,8,MATCH(IF('Data-solution'!$A$3="Maximize",MAX($C239:$AI239),MIN($C239:$AI239)),$C239:$AI239,0)),T235-INDEX($C228:$AJ238,8,MATCH(IF('Data-solution'!$A$3="Maximize",MAX($C239:$AI239),MIN($C239:$AI239)),$C239:$AI239,0))*INDEX(T228:$AJ238,MATCH(MIN($AK228:$AK238),$AK228:$AK238,0),1)/INDEX($C228:$AJ238,MATCH(MIN($AK228:$AK238),$AK228:$AK238,0),MATCH(IF('Data-solution'!$A$3="Maximize",MAX($C239:$AI239),MIN($C239:$AI239)),$C239:$AI239,0))),T235)</f>
        <v>0</v>
      </c>
      <c r="U250" s="1">
        <f>IF(OR($B243&lt;&gt;$B228,$B244&lt;&gt;$B229,$B245&lt;&gt;$B230,$B246&lt;&gt;$B231,$B247&lt;&gt;$B232,$B248&lt;&gt;$B233,$B249&lt;&gt;$B234,$B250&lt;&gt;$B235,$B251&lt;&gt;$B236,$B252&lt;&gt;$B237,$B253&lt;&gt;$B238),IF($B250&lt;&gt;$B235,U235/INDEX($C228:$AJ238,8,MATCH(IF('Data-solution'!$A$3="Maximize",MAX($C239:$AI239),MIN($C239:$AI239)),$C239:$AI239,0)),U235-INDEX($C228:$AJ238,8,MATCH(IF('Data-solution'!$A$3="Maximize",MAX($C239:$AI239),MIN($C239:$AI239)),$C239:$AI239,0))*INDEX(U228:$AJ238,MATCH(MIN($AK228:$AK238),$AK228:$AK238,0),1)/INDEX($C228:$AJ238,MATCH(MIN($AK228:$AK238),$AK228:$AK238,0),MATCH(IF('Data-solution'!$A$3="Maximize",MAX($C239:$AI239),MIN($C239:$AI239)),$C239:$AI239,0))),U235)</f>
        <v>1</v>
      </c>
      <c r="V250" s="1">
        <f>IF(OR($B243&lt;&gt;$B228,$B244&lt;&gt;$B229,$B245&lt;&gt;$B230,$B246&lt;&gt;$B231,$B247&lt;&gt;$B232,$B248&lt;&gt;$B233,$B249&lt;&gt;$B234,$B250&lt;&gt;$B235,$B251&lt;&gt;$B236,$B252&lt;&gt;$B237,$B253&lt;&gt;$B238),IF($B250&lt;&gt;$B235,V235/INDEX($C228:$AJ238,8,MATCH(IF('Data-solution'!$A$3="Maximize",MAX($C239:$AI239),MIN($C239:$AI239)),$C239:$AI239,0)),V235-INDEX($C228:$AJ238,8,MATCH(IF('Data-solution'!$A$3="Maximize",MAX($C239:$AI239),MIN($C239:$AI239)),$C239:$AI239,0))*INDEX(V228:$AJ238,MATCH(MIN($AK228:$AK238),$AK228:$AK238,0),1)/INDEX($C228:$AJ238,MATCH(MIN($AK228:$AK238),$AK228:$AK238,0),MATCH(IF('Data-solution'!$A$3="Maximize",MAX($C239:$AI239),MIN($C239:$AI239)),$C239:$AI239,0))),V235)</f>
        <v>0</v>
      </c>
      <c r="W250" s="1">
        <f>IF(OR($B243&lt;&gt;$B228,$B244&lt;&gt;$B229,$B245&lt;&gt;$B230,$B246&lt;&gt;$B231,$B247&lt;&gt;$B232,$B248&lt;&gt;$B233,$B249&lt;&gt;$B234,$B250&lt;&gt;$B235,$B251&lt;&gt;$B236,$B252&lt;&gt;$B237,$B253&lt;&gt;$B238),IF($B250&lt;&gt;$B235,W235/INDEX($C228:$AJ238,8,MATCH(IF('Data-solution'!$A$3="Maximize",MAX($C239:$AI239),MIN($C239:$AI239)),$C239:$AI239,0)),W235-INDEX($C228:$AJ238,8,MATCH(IF('Data-solution'!$A$3="Maximize",MAX($C239:$AI239),MIN($C239:$AI239)),$C239:$AI239,0))*INDEX(W228:$AJ238,MATCH(MIN($AK228:$AK238),$AK228:$AK238,0),1)/INDEX($C228:$AJ238,MATCH(MIN($AK228:$AK238),$AK228:$AK238,0),MATCH(IF('Data-solution'!$A$3="Maximize",MAX($C239:$AI239),MIN($C239:$AI239)),$C239:$AI239,0))),W235)</f>
        <v>0</v>
      </c>
      <c r="X250" s="1">
        <f>IF(OR($B243&lt;&gt;$B228,$B244&lt;&gt;$B229,$B245&lt;&gt;$B230,$B246&lt;&gt;$B231,$B247&lt;&gt;$B232,$B248&lt;&gt;$B233,$B249&lt;&gt;$B234,$B250&lt;&gt;$B235,$B251&lt;&gt;$B236,$B252&lt;&gt;$B237,$B253&lt;&gt;$B238),IF($B250&lt;&gt;$B235,X235/INDEX($C228:$AJ238,8,MATCH(IF('Data-solution'!$A$3="Maximize",MAX($C239:$AI239),MIN($C239:$AI239)),$C239:$AI239,0)),X235-INDEX($C228:$AJ238,8,MATCH(IF('Data-solution'!$A$3="Maximize",MAX($C239:$AI239),MIN($C239:$AI239)),$C239:$AI239,0))*INDEX(X228:$AJ238,MATCH(MIN($AK228:$AK238),$AK228:$AK238,0),1)/INDEX($C228:$AJ238,MATCH(MIN($AK228:$AK238),$AK228:$AK238,0),MATCH(IF('Data-solution'!$A$3="Maximize",MAX($C239:$AI239),MIN($C239:$AI239)),$C239:$AI239,0))),X235)</f>
        <v>0</v>
      </c>
      <c r="Y250" s="1">
        <f>IF(OR($B243&lt;&gt;$B228,$B244&lt;&gt;$B229,$B245&lt;&gt;$B230,$B246&lt;&gt;$B231,$B247&lt;&gt;$B232,$B248&lt;&gt;$B233,$B249&lt;&gt;$B234,$B250&lt;&gt;$B235,$B251&lt;&gt;$B236,$B252&lt;&gt;$B237,$B253&lt;&gt;$B238),IF($B250&lt;&gt;$B235,Y235/INDEX($C228:$AJ238,8,MATCH(IF('Data-solution'!$A$3="Maximize",MAX($C239:$AI239),MIN($C239:$AI239)),$C239:$AI239,0)),Y235-INDEX($C228:$AJ238,8,MATCH(IF('Data-solution'!$A$3="Maximize",MAX($C239:$AI239),MIN($C239:$AI239)),$C239:$AI239,0))*INDEX(Y228:$AJ238,MATCH(MIN($AK228:$AK238),$AK228:$AK238,0),1)/INDEX($C228:$AJ238,MATCH(MIN($AK228:$AK238),$AK228:$AK238,0),MATCH(IF('Data-solution'!$A$3="Maximize",MAX($C239:$AI239),MIN($C239:$AI239)),$C239:$AI239,0))),Y235)</f>
        <v>0</v>
      </c>
      <c r="Z250" s="1">
        <f>IF(OR($B243&lt;&gt;$B228,$B244&lt;&gt;$B229,$B245&lt;&gt;$B230,$B246&lt;&gt;$B231,$B247&lt;&gt;$B232,$B248&lt;&gt;$B233,$B249&lt;&gt;$B234,$B250&lt;&gt;$B235,$B251&lt;&gt;$B236,$B252&lt;&gt;$B237,$B253&lt;&gt;$B238),IF($B250&lt;&gt;$B235,Z235/INDEX($C228:$AJ238,8,MATCH(IF('Data-solution'!$A$3="Maximize",MAX($C239:$AI239),MIN($C239:$AI239)),$C239:$AI239,0)),Z235-INDEX($C228:$AJ238,8,MATCH(IF('Data-solution'!$A$3="Maximize",MAX($C239:$AI239),MIN($C239:$AI239)),$C239:$AI239,0))*INDEX(Z228:$AJ238,MATCH(MIN($AK228:$AK238),$AK228:$AK238,0),1)/INDEX($C228:$AJ238,MATCH(MIN($AK228:$AK238),$AK228:$AK238,0),MATCH(IF('Data-solution'!$A$3="Maximize",MAX($C239:$AI239),MIN($C239:$AI239)),$C239:$AI239,0))),Z235)</f>
        <v>0</v>
      </c>
      <c r="AA250" s="1">
        <f>IF(OR($B243&lt;&gt;$B228,$B244&lt;&gt;$B229,$B245&lt;&gt;$B230,$B246&lt;&gt;$B231,$B247&lt;&gt;$B232,$B248&lt;&gt;$B233,$B249&lt;&gt;$B234,$B250&lt;&gt;$B235,$B251&lt;&gt;$B236,$B252&lt;&gt;$B237,$B253&lt;&gt;$B238),IF($B250&lt;&gt;$B235,AA235/INDEX($C228:$AJ238,8,MATCH(IF('Data-solution'!$A$3="Maximize",MAX($C239:$AI239),MIN($C239:$AI239)),$C239:$AI239,0)),AA235-INDEX($C228:$AJ238,8,MATCH(IF('Data-solution'!$A$3="Maximize",MAX($C239:$AI239),MIN($C239:$AI239)),$C239:$AI239,0))*INDEX(AA228:$AJ238,MATCH(MIN($AK228:$AK238),$AK228:$AK238,0),1)/INDEX($C228:$AJ238,MATCH(MIN($AK228:$AK238),$AK228:$AK238,0),MATCH(IF('Data-solution'!$A$3="Maximize",MAX($C239:$AI239),MIN($C239:$AI239)),$C239:$AI239,0))),AA235)</f>
        <v>0</v>
      </c>
      <c r="AB250" s="1">
        <f>IF(OR($B243&lt;&gt;$B228,$B244&lt;&gt;$B229,$B245&lt;&gt;$B230,$B246&lt;&gt;$B231,$B247&lt;&gt;$B232,$B248&lt;&gt;$B233,$B249&lt;&gt;$B234,$B250&lt;&gt;$B235,$B251&lt;&gt;$B236,$B252&lt;&gt;$B237,$B253&lt;&gt;$B238),IF($B250&lt;&gt;$B235,AB235/INDEX($C228:$AJ238,8,MATCH(IF('Data-solution'!$A$3="Maximize",MAX($C239:$AI239),MIN($C239:$AI239)),$C239:$AI239,0)),AB235-INDEX($C228:$AJ238,8,MATCH(IF('Data-solution'!$A$3="Maximize",MAX($C239:$AI239),MIN($C239:$AI239)),$C239:$AI239,0))*INDEX(AB228:$AJ238,MATCH(MIN($AK228:$AK238),$AK228:$AK238,0),1)/INDEX($C228:$AJ238,MATCH(MIN($AK228:$AK238),$AK228:$AK238,0),MATCH(IF('Data-solution'!$A$3="Maximize",MAX($C239:$AI239),MIN($C239:$AI239)),$C239:$AI239,0))),AB235)</f>
        <v>0</v>
      </c>
      <c r="AC250" s="1">
        <f>IF(OR($B243&lt;&gt;$B228,$B244&lt;&gt;$B229,$B245&lt;&gt;$B230,$B246&lt;&gt;$B231,$B247&lt;&gt;$B232,$B248&lt;&gt;$B233,$B249&lt;&gt;$B234,$B250&lt;&gt;$B235,$B251&lt;&gt;$B236,$B252&lt;&gt;$B237,$B253&lt;&gt;$B238),IF($B250&lt;&gt;$B235,AC235/INDEX($C228:$AJ238,8,MATCH(IF('Data-solution'!$A$3="Maximize",MAX($C239:$AI239),MIN($C239:$AI239)),$C239:$AI239,0)),AC235-INDEX($C228:$AJ238,8,MATCH(IF('Data-solution'!$A$3="Maximize",MAX($C239:$AI239),MIN($C239:$AI239)),$C239:$AI239,0))*INDEX(AC228:$AJ238,MATCH(MIN($AK228:$AK238),$AK228:$AK238,0),1)/INDEX($C228:$AJ238,MATCH(MIN($AK228:$AK238),$AK228:$AK238,0),MATCH(IF('Data-solution'!$A$3="Maximize",MAX($C239:$AI239),MIN($C239:$AI239)),$C239:$AI239,0))),AC235)</f>
        <v>0</v>
      </c>
      <c r="AD250" s="1">
        <f>IF(OR($B243&lt;&gt;$B228,$B244&lt;&gt;$B229,$B245&lt;&gt;$B230,$B246&lt;&gt;$B231,$B247&lt;&gt;$B232,$B248&lt;&gt;$B233,$B249&lt;&gt;$B234,$B250&lt;&gt;$B235,$B251&lt;&gt;$B236,$B252&lt;&gt;$B237,$B253&lt;&gt;$B238),IF($B250&lt;&gt;$B235,AD235/INDEX($C228:$AJ238,8,MATCH(IF('Data-solution'!$A$3="Maximize",MAX($C239:$AI239),MIN($C239:$AI239)),$C239:$AI239,0)),AD235-INDEX($C228:$AJ238,8,MATCH(IF('Data-solution'!$A$3="Maximize",MAX($C239:$AI239),MIN($C239:$AI239)),$C239:$AI239,0))*INDEX(AD228:$AJ238,MATCH(MIN($AK228:$AK238),$AK228:$AK238,0),1)/INDEX($C228:$AJ238,MATCH(MIN($AK228:$AK238),$AK228:$AK238,0),MATCH(IF('Data-solution'!$A$3="Maximize",MAX($C239:$AI239),MIN($C239:$AI239)),$C239:$AI239,0))),AD235)</f>
        <v>0</v>
      </c>
      <c r="AE250" s="1">
        <f>IF(OR($B243&lt;&gt;$B228,$B244&lt;&gt;$B229,$B245&lt;&gt;$B230,$B246&lt;&gt;$B231,$B247&lt;&gt;$B232,$B248&lt;&gt;$B233,$B249&lt;&gt;$B234,$B250&lt;&gt;$B235,$B251&lt;&gt;$B236,$B252&lt;&gt;$B237,$B253&lt;&gt;$B238),IF($B250&lt;&gt;$B235,AE235/INDEX($C228:$AJ238,8,MATCH(IF('Data-solution'!$A$3="Maximize",MAX($C239:$AI239),MIN($C239:$AI239)),$C239:$AI239,0)),AE235-INDEX($C228:$AJ238,8,MATCH(IF('Data-solution'!$A$3="Maximize",MAX($C239:$AI239),MIN($C239:$AI239)),$C239:$AI239,0))*INDEX(AE228:$AJ238,MATCH(MIN($AK228:$AK238),$AK228:$AK238,0),1)/INDEX($C228:$AJ238,MATCH(MIN($AK228:$AK238),$AK228:$AK238,0),MATCH(IF('Data-solution'!$A$3="Maximize",MAX($C239:$AI239),MIN($C239:$AI239)),$C239:$AI239,0))),AE235)</f>
        <v>0</v>
      </c>
      <c r="AF250" s="1">
        <f>IF(OR($B243&lt;&gt;$B228,$B244&lt;&gt;$B229,$B245&lt;&gt;$B230,$B246&lt;&gt;$B231,$B247&lt;&gt;$B232,$B248&lt;&gt;$B233,$B249&lt;&gt;$B234,$B250&lt;&gt;$B235,$B251&lt;&gt;$B236,$B252&lt;&gt;$B237,$B253&lt;&gt;$B238),IF($B250&lt;&gt;$B235,AF235/INDEX($C228:$AJ238,8,MATCH(IF('Data-solution'!$A$3="Maximize",MAX($C239:$AI239),MIN($C239:$AI239)),$C239:$AI239,0)),AF235-INDEX($C228:$AJ238,8,MATCH(IF('Data-solution'!$A$3="Maximize",MAX($C239:$AI239),MIN($C239:$AI239)),$C239:$AI239,0))*INDEX(AF228:$AJ238,MATCH(MIN($AK228:$AK238),$AK228:$AK238,0),1)/INDEX($C228:$AJ238,MATCH(MIN($AK228:$AK238),$AK228:$AK238,0),MATCH(IF('Data-solution'!$A$3="Maximize",MAX($C239:$AI239),MIN($C239:$AI239)),$C239:$AI239,0))),AF235)</f>
        <v>1</v>
      </c>
      <c r="AG250" s="1">
        <f>IF(OR($B243&lt;&gt;$B228,$B244&lt;&gt;$B229,$B245&lt;&gt;$B230,$B246&lt;&gt;$B231,$B247&lt;&gt;$B232,$B248&lt;&gt;$B233,$B249&lt;&gt;$B234,$B250&lt;&gt;$B235,$B251&lt;&gt;$B236,$B252&lt;&gt;$B237,$B253&lt;&gt;$B238),IF($B250&lt;&gt;$B235,AG235/INDEX($C228:$AJ238,8,MATCH(IF('Data-solution'!$A$3="Maximize",MAX($C239:$AI239),MIN($C239:$AI239)),$C239:$AI239,0)),AG235-INDEX($C228:$AJ238,8,MATCH(IF('Data-solution'!$A$3="Maximize",MAX($C239:$AI239),MIN($C239:$AI239)),$C239:$AI239,0))*INDEX(AG228:$AJ238,MATCH(MIN($AK228:$AK238),$AK228:$AK238,0),1)/INDEX($C228:$AJ238,MATCH(MIN($AK228:$AK238),$AK228:$AK238,0),MATCH(IF('Data-solution'!$A$3="Maximize",MAX($C239:$AI239),MIN($C239:$AI239)),$C239:$AI239,0))),AG235)</f>
        <v>0</v>
      </c>
      <c r="AH250" s="1">
        <f>IF(OR($B243&lt;&gt;$B228,$B244&lt;&gt;$B229,$B245&lt;&gt;$B230,$B246&lt;&gt;$B231,$B247&lt;&gt;$B232,$B248&lt;&gt;$B233,$B249&lt;&gt;$B234,$B250&lt;&gt;$B235,$B251&lt;&gt;$B236,$B252&lt;&gt;$B237,$B253&lt;&gt;$B238),IF($B250&lt;&gt;$B235,AH235/INDEX($C228:$AJ238,8,MATCH(IF('Data-solution'!$A$3="Maximize",MAX($C239:$AI239),MIN($C239:$AI239)),$C239:$AI239,0)),AH235-INDEX($C228:$AJ238,8,MATCH(IF('Data-solution'!$A$3="Maximize",MAX($C239:$AI239),MIN($C239:$AI239)),$C239:$AI239,0))*INDEX(AH228:$AJ238,MATCH(MIN($AK228:$AK238),$AK228:$AK238,0),1)/INDEX($C228:$AJ238,MATCH(MIN($AK228:$AK238),$AK228:$AK238,0),MATCH(IF('Data-solution'!$A$3="Maximize",MAX($C239:$AI239),MIN($C239:$AI239)),$C239:$AI239,0))),AH235)</f>
        <v>0</v>
      </c>
      <c r="AI250" s="1">
        <f>IF(OR($B243&lt;&gt;$B228,$B244&lt;&gt;$B229,$B245&lt;&gt;$B230,$B246&lt;&gt;$B231,$B247&lt;&gt;$B232,$B248&lt;&gt;$B233,$B249&lt;&gt;$B234,$B250&lt;&gt;$B235,$B251&lt;&gt;$B236,$B252&lt;&gt;$B237,$B253&lt;&gt;$B238),IF($B250&lt;&gt;$B235,AI235/INDEX($C228:$AJ238,8,MATCH(IF('Data-solution'!$A$3="Maximize",MAX($C239:$AI239),MIN($C239:$AI239)),$C239:$AI239,0)),AI235-INDEX($C228:$AJ238,8,MATCH(IF('Data-solution'!$A$3="Maximize",MAX($C239:$AI239),MIN($C239:$AI239)),$C239:$AI239,0))*INDEX(AI228:$AJ238,MATCH(MIN($AK228:$AK238),$AK228:$AK238,0),1)/INDEX($C228:$AJ238,MATCH(MIN($AK228:$AK238),$AK228:$AK238,0),MATCH(IF('Data-solution'!$A$3="Maximize",MAX($C239:$AI239),MIN($C239:$AI239)),$C239:$AI239,0))),AI235)</f>
        <v>0</v>
      </c>
      <c r="AJ250" s="1">
        <f>IF(OR($B243&lt;&gt;$B228,$B244&lt;&gt;$B229,$B245&lt;&gt;$B230,$B246&lt;&gt;$B231,$B247&lt;&gt;$B232,$B248&lt;&gt;$B233,$B249&lt;&gt;$B234,$B250&lt;&gt;$B235,$B251&lt;&gt;$B236,$B252&lt;&gt;$B237,$B253&lt;&gt;$B238),IF($B250&lt;&gt;$B235,AJ235/INDEX($C228:$AJ238,8,MATCH(IF('Data-solution'!$A$3="Maximize",MAX($C239:$AI239),MIN($C239:$AI239)),$C239:$AI239,0)),AJ235-INDEX($C228:$AJ238,8,MATCH(IF('Data-solution'!$A$3="Maximize",MAX($C239:$AI239),MIN($C239:$AI239)),$C239:$AI239,0))*INDEX(AJ228:$AJ238,MATCH(MIN($AK228:$AK238),$AK228:$AK238,0),1)/INDEX($C228:$AJ238,MATCH(MIN($AK228:$AK238),$AK228:$AK238,0),MATCH(IF('Data-solution'!$A$3="Maximize",MAX($C239:$AI239),MIN($C239:$AI239)),$C239:$AI239,0))),AJ235)</f>
        <v>0</v>
      </c>
      <c r="AK250" s="1" t="str">
        <f>IF(INDEX(C250:X250,1,MATCH(IF('Data-solution'!A$3="Maximize",MAX(C254:X254),MIN(C254:X254)),C254:X254,0))&gt;0,AJ250/INDEX(C250:X250,1,MATCH(IF('Data-solution'!A$3="Maximize",MAX(C254:X254),MIN(C254:X254)),C254:X254,0))," ")</f>
        <v xml:space="preserve"> </v>
      </c>
    </row>
    <row r="251" spans="1:37" ht="18" customHeight="1" x14ac:dyDescent="0.2">
      <c r="A251" s="1">
        <f t="shared" ref="A251" si="220">INDEX(C241:AI241,1,MATCH(B251,C242:AI242,0))</f>
        <v>0</v>
      </c>
      <c r="B251" s="2" t="str">
        <f>IF(AND('Data-solution'!A$3="Maximize",COUNTIF(C239:X239,"&gt;"&amp;0)&gt;0,AK236=MIN(AK228:AK238),COUNTIF(B243:B250,INDEX(C227:X227,1,MATCH(MAX(C239:X239),C239:X239,0)))=0),INDEX(C227:X227,1,MATCH(MAX(C239:X239),C239:X239,0)),IF(AND('Data-solution'!A$3="Minimize",COUNTIF(C239:X239,"&lt;"&amp;0)&gt;0,AK236=MIN(AK228:AK238),COUNTIF(B243:B250,INDEX(C227:X227,1,MATCH(MIN(C239:X239),C239:X239,0)))=0),INDEX(C227:X227,1,MATCH(MIN(C239:X239),C239:X239,0)),B236))</f>
        <v>S9</v>
      </c>
      <c r="C251" s="1">
        <f>IF(OR($B243&lt;&gt;$B228,$B244&lt;&gt;$B229,$B245&lt;&gt;$B230,$B246&lt;&gt;$B231,$B247&lt;&gt;$B232,$B248&lt;&gt;$B233,$B249&lt;&gt;$B234,$B250&lt;&gt;$B235,$B251&lt;&gt;$B236,$B252&lt;&gt;$B237,$B253&lt;&gt;$B238),IF($B251&lt;&gt;$B236,C236/INDEX($C228:$AJ238,9,MATCH(IF('Data-solution'!$A$3="Maximize",MAX($C239:$AI239),MIN($C239:$AI239)),$C239:$AI239,0)),C236-INDEX($C228:$AJ238,9,MATCH(IF('Data-solution'!$A$3="Maximize",MAX($C239:$AI239),MIN($C239:$AI239)),$C239:$AI239,0))*INDEX(C228:$AJ238,MATCH(MIN($AK228:$AK238),$AK228:$AK238,0),1)/INDEX($C228:$AJ238,MATCH(MIN($AK228:$AK238),$AK228:$AK238,0),MATCH(IF('Data-solution'!$A$3="Maximize",MAX($C239:$AI239),MIN($C239:$AI239)),$C239:$AI239,0))),C236)</f>
        <v>0</v>
      </c>
      <c r="D251" s="1">
        <f>IF(OR($B243&lt;&gt;$B228,$B244&lt;&gt;$B229,$B245&lt;&gt;$B230,$B246&lt;&gt;$B231,$B247&lt;&gt;$B232,$B248&lt;&gt;$B233,$B249&lt;&gt;$B234,$B250&lt;&gt;$B235,$B251&lt;&gt;$B236,$B252&lt;&gt;$B237,$B253&lt;&gt;$B238),IF($B251&lt;&gt;$B236,D236/INDEX($C228:$AJ238,9,MATCH(IF('Data-solution'!$A$3="Maximize",MAX($C239:$AI239),MIN($C239:$AI239)),$C239:$AI239,0)),D236-INDEX($C228:$AJ238,9,MATCH(IF('Data-solution'!$A$3="Maximize",MAX($C239:$AI239),MIN($C239:$AI239)),$C239:$AI239,0))*INDEX(D228:$AJ238,MATCH(MIN($AK228:$AK238),$AK228:$AK238,0),1)/INDEX($C228:$AJ238,MATCH(MIN($AK228:$AK238),$AK228:$AK238,0),MATCH(IF('Data-solution'!$A$3="Maximize",MAX($C239:$AI239),MIN($C239:$AI239)),$C239:$AI239,0))),D236)</f>
        <v>0</v>
      </c>
      <c r="E251" s="1">
        <f>IF(OR($B243&lt;&gt;$B228,$B244&lt;&gt;$B229,$B245&lt;&gt;$B230,$B246&lt;&gt;$B231,$B247&lt;&gt;$B232,$B248&lt;&gt;$B233,$B249&lt;&gt;$B234,$B250&lt;&gt;$B235,$B251&lt;&gt;$B236,$B252&lt;&gt;$B237,$B253&lt;&gt;$B238),IF($B251&lt;&gt;$B236,E236/INDEX($C228:$AJ238,9,MATCH(IF('Data-solution'!$A$3="Maximize",MAX($C239:$AI239),MIN($C239:$AI239)),$C239:$AI239,0)),E236-INDEX($C228:$AJ238,9,MATCH(IF('Data-solution'!$A$3="Maximize",MAX($C239:$AI239),MIN($C239:$AI239)),$C239:$AI239,0))*INDEX(E228:$AJ238,MATCH(MIN($AK228:$AK238),$AK228:$AK238,0),1)/INDEX($C228:$AJ238,MATCH(MIN($AK228:$AK238),$AK228:$AK238,0),MATCH(IF('Data-solution'!$A$3="Maximize",MAX($C239:$AI239),MIN($C239:$AI239)),$C239:$AI239,0))),E236)</f>
        <v>0</v>
      </c>
      <c r="F251" s="1">
        <f>IF(OR($B243&lt;&gt;$B228,$B244&lt;&gt;$B229,$B245&lt;&gt;$B230,$B246&lt;&gt;$B231,$B247&lt;&gt;$B232,$B248&lt;&gt;$B233,$B249&lt;&gt;$B234,$B250&lt;&gt;$B235,$B251&lt;&gt;$B236,$B252&lt;&gt;$B237,$B253&lt;&gt;$B238),IF($B251&lt;&gt;$B236,F236/INDEX($C228:$AJ238,9,MATCH(IF('Data-solution'!$A$3="Maximize",MAX($C239:$AI239),MIN($C239:$AI239)),$C239:$AI239,0)),F236-INDEX($C228:$AJ238,9,MATCH(IF('Data-solution'!$A$3="Maximize",MAX($C239:$AI239),MIN($C239:$AI239)),$C239:$AI239,0))*INDEX(F228:$AJ238,MATCH(MIN($AK228:$AK238),$AK228:$AK238,0),1)/INDEX($C228:$AJ238,MATCH(MIN($AK228:$AK238),$AK228:$AK238,0),MATCH(IF('Data-solution'!$A$3="Maximize",MAX($C239:$AI239),MIN($C239:$AI239)),$C239:$AI239,0))),F236)</f>
        <v>0</v>
      </c>
      <c r="G251" s="1">
        <f>IF(OR($B243&lt;&gt;$B228,$B244&lt;&gt;$B229,$B245&lt;&gt;$B230,$B246&lt;&gt;$B231,$B247&lt;&gt;$B232,$B248&lt;&gt;$B233,$B249&lt;&gt;$B234,$B250&lt;&gt;$B235,$B251&lt;&gt;$B236,$B252&lt;&gt;$B237,$B253&lt;&gt;$B238),IF($B251&lt;&gt;$B236,G236/INDEX($C228:$AJ238,9,MATCH(IF('Data-solution'!$A$3="Maximize",MAX($C239:$AI239),MIN($C239:$AI239)),$C239:$AI239,0)),G236-INDEX($C228:$AJ238,9,MATCH(IF('Data-solution'!$A$3="Maximize",MAX($C239:$AI239),MIN($C239:$AI239)),$C239:$AI239,0))*INDEX(G228:$AJ238,MATCH(MIN($AK228:$AK238),$AK228:$AK238,0),1)/INDEX($C228:$AJ238,MATCH(MIN($AK228:$AK238),$AK228:$AK238,0),MATCH(IF('Data-solution'!$A$3="Maximize",MAX($C239:$AI239),MIN($C239:$AI239)),$C239:$AI239,0))),G236)</f>
        <v>0</v>
      </c>
      <c r="H251" s="1">
        <f>IF(OR($B243&lt;&gt;$B228,$B244&lt;&gt;$B229,$B245&lt;&gt;$B230,$B246&lt;&gt;$B231,$B247&lt;&gt;$B232,$B248&lt;&gt;$B233,$B249&lt;&gt;$B234,$B250&lt;&gt;$B235,$B251&lt;&gt;$B236,$B252&lt;&gt;$B237,$B253&lt;&gt;$B238),IF($B251&lt;&gt;$B236,H236/INDEX($C228:$AJ238,9,MATCH(IF('Data-solution'!$A$3="Maximize",MAX($C239:$AI239),MIN($C239:$AI239)),$C239:$AI239,0)),H236-INDEX($C228:$AJ238,9,MATCH(IF('Data-solution'!$A$3="Maximize",MAX($C239:$AI239),MIN($C239:$AI239)),$C239:$AI239,0))*INDEX(H228:$AJ238,MATCH(MIN($AK228:$AK238),$AK228:$AK238,0),1)/INDEX($C228:$AJ238,MATCH(MIN($AK228:$AK238),$AK228:$AK238,0),MATCH(IF('Data-solution'!$A$3="Maximize",MAX($C239:$AI239),MIN($C239:$AI239)),$C239:$AI239,0))),H236)</f>
        <v>0</v>
      </c>
      <c r="I251" s="1">
        <f>IF(OR($B243&lt;&gt;$B228,$B244&lt;&gt;$B229,$B245&lt;&gt;$B230,$B246&lt;&gt;$B231,$B247&lt;&gt;$B232,$B248&lt;&gt;$B233,$B249&lt;&gt;$B234,$B250&lt;&gt;$B235,$B251&lt;&gt;$B236,$B252&lt;&gt;$B237,$B253&lt;&gt;$B238),IF($B251&lt;&gt;$B236,I236/INDEX($C228:$AJ238,9,MATCH(IF('Data-solution'!$A$3="Maximize",MAX($C239:$AI239),MIN($C239:$AI239)),$C239:$AI239,0)),I236-INDEX($C228:$AJ238,9,MATCH(IF('Data-solution'!$A$3="Maximize",MAX($C239:$AI239),MIN($C239:$AI239)),$C239:$AI239,0))*INDEX(I228:$AJ238,MATCH(MIN($AK228:$AK238),$AK228:$AK238,0),1)/INDEX($C228:$AJ238,MATCH(MIN($AK228:$AK238),$AK228:$AK238,0),MATCH(IF('Data-solution'!$A$3="Maximize",MAX($C239:$AI239),MIN($C239:$AI239)),$C239:$AI239,0))),I236)</f>
        <v>0</v>
      </c>
      <c r="J251" s="1">
        <f>IF(OR($B243&lt;&gt;$B228,$B244&lt;&gt;$B229,$B245&lt;&gt;$B230,$B246&lt;&gt;$B231,$B247&lt;&gt;$B232,$B248&lt;&gt;$B233,$B249&lt;&gt;$B234,$B250&lt;&gt;$B235,$B251&lt;&gt;$B236,$B252&lt;&gt;$B237,$B253&lt;&gt;$B238),IF($B251&lt;&gt;$B236,J236/INDEX($C228:$AJ238,9,MATCH(IF('Data-solution'!$A$3="Maximize",MAX($C239:$AI239),MIN($C239:$AI239)),$C239:$AI239,0)),J236-INDEX($C228:$AJ238,9,MATCH(IF('Data-solution'!$A$3="Maximize",MAX($C239:$AI239),MIN($C239:$AI239)),$C239:$AI239,0))*INDEX(J228:$AJ238,MATCH(MIN($AK228:$AK238),$AK228:$AK238,0),1)/INDEX($C228:$AJ238,MATCH(MIN($AK228:$AK238),$AK228:$AK238,0),MATCH(IF('Data-solution'!$A$3="Maximize",MAX($C239:$AI239),MIN($C239:$AI239)),$C239:$AI239,0))),J236)</f>
        <v>0</v>
      </c>
      <c r="K251" s="1">
        <f>IF(OR($B243&lt;&gt;$B228,$B244&lt;&gt;$B229,$B245&lt;&gt;$B230,$B246&lt;&gt;$B231,$B247&lt;&gt;$B232,$B248&lt;&gt;$B233,$B249&lt;&gt;$B234,$B250&lt;&gt;$B235,$B251&lt;&gt;$B236,$B252&lt;&gt;$B237,$B253&lt;&gt;$B238),IF($B251&lt;&gt;$B236,K236/INDEX($C228:$AJ238,9,MATCH(IF('Data-solution'!$A$3="Maximize",MAX($C239:$AI239),MIN($C239:$AI239)),$C239:$AI239,0)),K236-INDEX($C228:$AJ238,9,MATCH(IF('Data-solution'!$A$3="Maximize",MAX($C239:$AI239),MIN($C239:$AI239)),$C239:$AI239,0))*INDEX(K228:$AJ238,MATCH(MIN($AK228:$AK238),$AK228:$AK238,0),1)/INDEX($C228:$AJ238,MATCH(MIN($AK228:$AK238),$AK228:$AK238,0),MATCH(IF('Data-solution'!$A$3="Maximize",MAX($C239:$AI239),MIN($C239:$AI239)),$C239:$AI239,0))),K236)</f>
        <v>0</v>
      </c>
      <c r="L251" s="1">
        <f>IF(OR($B243&lt;&gt;$B228,$B244&lt;&gt;$B229,$B245&lt;&gt;$B230,$B246&lt;&gt;$B231,$B247&lt;&gt;$B232,$B248&lt;&gt;$B233,$B249&lt;&gt;$B234,$B250&lt;&gt;$B235,$B251&lt;&gt;$B236,$B252&lt;&gt;$B237,$B253&lt;&gt;$B238),IF($B251&lt;&gt;$B236,L236/INDEX($C228:$AJ238,9,MATCH(IF('Data-solution'!$A$3="Maximize",MAX($C239:$AI239),MIN($C239:$AI239)),$C239:$AI239,0)),L236-INDEX($C228:$AJ238,9,MATCH(IF('Data-solution'!$A$3="Maximize",MAX($C239:$AI239),MIN($C239:$AI239)),$C239:$AI239,0))*INDEX(L228:$AJ238,MATCH(MIN($AK228:$AK238),$AK228:$AK238,0),1)/INDEX($C228:$AJ238,MATCH(MIN($AK228:$AK238),$AK228:$AK238,0),MATCH(IF('Data-solution'!$A$3="Maximize",MAX($C239:$AI239),MIN($C239:$AI239)),$C239:$AI239,0))),L236)</f>
        <v>0</v>
      </c>
      <c r="M251" s="1">
        <f>IF(OR($B243&lt;&gt;$B228,$B244&lt;&gt;$B229,$B245&lt;&gt;$B230,$B246&lt;&gt;$B231,$B247&lt;&gt;$B232,$B248&lt;&gt;$B233,$B249&lt;&gt;$B234,$B250&lt;&gt;$B235,$B251&lt;&gt;$B236,$B252&lt;&gt;$B237,$B253&lt;&gt;$B238),IF($B251&lt;&gt;$B236,M236/INDEX($C228:$AJ238,9,MATCH(IF('Data-solution'!$A$3="Maximize",MAX($C239:$AI239),MIN($C239:$AI239)),$C239:$AI239,0)),M236-INDEX($C228:$AJ238,9,MATCH(IF('Data-solution'!$A$3="Maximize",MAX($C239:$AI239),MIN($C239:$AI239)),$C239:$AI239,0))*INDEX(M228:$AJ238,MATCH(MIN($AK228:$AK238),$AK228:$AK238,0),1)/INDEX($C228:$AJ238,MATCH(MIN($AK228:$AK238),$AK228:$AK238,0),MATCH(IF('Data-solution'!$A$3="Maximize",MAX($C239:$AI239),MIN($C239:$AI239)),$C239:$AI239,0))),M236)</f>
        <v>0</v>
      </c>
      <c r="N251" s="1">
        <f>IF(OR($B243&lt;&gt;$B228,$B244&lt;&gt;$B229,$B245&lt;&gt;$B230,$B246&lt;&gt;$B231,$B247&lt;&gt;$B232,$B248&lt;&gt;$B233,$B249&lt;&gt;$B234,$B250&lt;&gt;$B235,$B251&lt;&gt;$B236,$B252&lt;&gt;$B237,$B253&lt;&gt;$B238),IF($B251&lt;&gt;$B236,N236/INDEX($C228:$AJ238,9,MATCH(IF('Data-solution'!$A$3="Maximize",MAX($C239:$AI239),MIN($C239:$AI239)),$C239:$AI239,0)),N236-INDEX($C228:$AJ238,9,MATCH(IF('Data-solution'!$A$3="Maximize",MAX($C239:$AI239),MIN($C239:$AI239)),$C239:$AI239,0))*INDEX(N228:$AJ238,MATCH(MIN($AK228:$AK238),$AK228:$AK238,0),1)/INDEX($C228:$AJ238,MATCH(MIN($AK228:$AK238),$AK228:$AK238,0),MATCH(IF('Data-solution'!$A$3="Maximize",MAX($C239:$AI239),MIN($C239:$AI239)),$C239:$AI239,0))),N236)</f>
        <v>0</v>
      </c>
      <c r="O251" s="1">
        <f>IF(OR($B243&lt;&gt;$B228,$B244&lt;&gt;$B229,$B245&lt;&gt;$B230,$B246&lt;&gt;$B231,$B247&lt;&gt;$B232,$B248&lt;&gt;$B233,$B249&lt;&gt;$B234,$B250&lt;&gt;$B235,$B251&lt;&gt;$B236,$B252&lt;&gt;$B237,$B253&lt;&gt;$B238),IF($B251&lt;&gt;$B236,O236/INDEX($C228:$AJ238,9,MATCH(IF('Data-solution'!$A$3="Maximize",MAX($C239:$AI239),MIN($C239:$AI239)),$C239:$AI239,0)),O236-INDEX($C228:$AJ238,9,MATCH(IF('Data-solution'!$A$3="Maximize",MAX($C239:$AI239),MIN($C239:$AI239)),$C239:$AI239,0))*INDEX(O228:$AJ238,MATCH(MIN($AK228:$AK238),$AK228:$AK238,0),1)/INDEX($C228:$AJ238,MATCH(MIN($AK228:$AK238),$AK228:$AK238,0),MATCH(IF('Data-solution'!$A$3="Maximize",MAX($C239:$AI239),MIN($C239:$AI239)),$C239:$AI239,0))),O236)</f>
        <v>0</v>
      </c>
      <c r="P251" s="1">
        <f>IF(OR($B243&lt;&gt;$B228,$B244&lt;&gt;$B229,$B245&lt;&gt;$B230,$B246&lt;&gt;$B231,$B247&lt;&gt;$B232,$B248&lt;&gt;$B233,$B249&lt;&gt;$B234,$B250&lt;&gt;$B235,$B251&lt;&gt;$B236,$B252&lt;&gt;$B237,$B253&lt;&gt;$B238),IF($B251&lt;&gt;$B236,P236/INDEX($C228:$AJ238,9,MATCH(IF('Data-solution'!$A$3="Maximize",MAX($C239:$AI239),MIN($C239:$AI239)),$C239:$AI239,0)),P236-INDEX($C228:$AJ238,9,MATCH(IF('Data-solution'!$A$3="Maximize",MAX($C239:$AI239),MIN($C239:$AI239)),$C239:$AI239,0))*INDEX(P228:$AJ238,MATCH(MIN($AK228:$AK238),$AK228:$AK238,0),1)/INDEX($C228:$AJ238,MATCH(MIN($AK228:$AK238),$AK228:$AK238,0),MATCH(IF('Data-solution'!$A$3="Maximize",MAX($C239:$AI239),MIN($C239:$AI239)),$C239:$AI239,0))),P236)</f>
        <v>0</v>
      </c>
      <c r="Q251" s="1">
        <f>IF(OR($B243&lt;&gt;$B228,$B244&lt;&gt;$B229,$B245&lt;&gt;$B230,$B246&lt;&gt;$B231,$B247&lt;&gt;$B232,$B248&lt;&gt;$B233,$B249&lt;&gt;$B234,$B250&lt;&gt;$B235,$B251&lt;&gt;$B236,$B252&lt;&gt;$B237,$B253&lt;&gt;$B238),IF($B251&lt;&gt;$B236,Q236/INDEX($C228:$AJ238,9,MATCH(IF('Data-solution'!$A$3="Maximize",MAX($C239:$AI239),MIN($C239:$AI239)),$C239:$AI239,0)),Q236-INDEX($C228:$AJ238,9,MATCH(IF('Data-solution'!$A$3="Maximize",MAX($C239:$AI239),MIN($C239:$AI239)),$C239:$AI239,0))*INDEX(Q228:$AJ238,MATCH(MIN($AK228:$AK238),$AK228:$AK238,0),1)/INDEX($C228:$AJ238,MATCH(MIN($AK228:$AK238),$AK228:$AK238,0),MATCH(IF('Data-solution'!$A$3="Maximize",MAX($C239:$AI239),MIN($C239:$AI239)),$C239:$AI239,0))),Q236)</f>
        <v>0</v>
      </c>
      <c r="R251" s="1">
        <f>IF(OR($B243&lt;&gt;$B228,$B244&lt;&gt;$B229,$B245&lt;&gt;$B230,$B246&lt;&gt;$B231,$B247&lt;&gt;$B232,$B248&lt;&gt;$B233,$B249&lt;&gt;$B234,$B250&lt;&gt;$B235,$B251&lt;&gt;$B236,$B252&lt;&gt;$B237,$B253&lt;&gt;$B238),IF($B251&lt;&gt;$B236,R236/INDEX($C228:$AJ238,9,MATCH(IF('Data-solution'!$A$3="Maximize",MAX($C239:$AI239),MIN($C239:$AI239)),$C239:$AI239,0)),R236-INDEX($C228:$AJ238,9,MATCH(IF('Data-solution'!$A$3="Maximize",MAX($C239:$AI239),MIN($C239:$AI239)),$C239:$AI239,0))*INDEX(R228:$AJ238,MATCH(MIN($AK228:$AK238),$AK228:$AK238,0),1)/INDEX($C228:$AJ238,MATCH(MIN($AK228:$AK238),$AK228:$AK238,0),MATCH(IF('Data-solution'!$A$3="Maximize",MAX($C239:$AI239),MIN($C239:$AI239)),$C239:$AI239,0))),R236)</f>
        <v>0</v>
      </c>
      <c r="S251" s="1">
        <f>IF(OR($B243&lt;&gt;$B228,$B244&lt;&gt;$B229,$B245&lt;&gt;$B230,$B246&lt;&gt;$B231,$B247&lt;&gt;$B232,$B248&lt;&gt;$B233,$B249&lt;&gt;$B234,$B250&lt;&gt;$B235,$B251&lt;&gt;$B236,$B252&lt;&gt;$B237,$B253&lt;&gt;$B238),IF($B251&lt;&gt;$B236,S236/INDEX($C228:$AJ238,9,MATCH(IF('Data-solution'!$A$3="Maximize",MAX($C239:$AI239),MIN($C239:$AI239)),$C239:$AI239,0)),S236-INDEX($C228:$AJ238,9,MATCH(IF('Data-solution'!$A$3="Maximize",MAX($C239:$AI239),MIN($C239:$AI239)),$C239:$AI239,0))*INDEX(S228:$AJ238,MATCH(MIN($AK228:$AK238),$AK228:$AK238,0),1)/INDEX($C228:$AJ238,MATCH(MIN($AK228:$AK238),$AK228:$AK238,0),MATCH(IF('Data-solution'!$A$3="Maximize",MAX($C239:$AI239),MIN($C239:$AI239)),$C239:$AI239,0))),S236)</f>
        <v>0</v>
      </c>
      <c r="T251" s="1">
        <f>IF(OR($B243&lt;&gt;$B228,$B244&lt;&gt;$B229,$B245&lt;&gt;$B230,$B246&lt;&gt;$B231,$B247&lt;&gt;$B232,$B248&lt;&gt;$B233,$B249&lt;&gt;$B234,$B250&lt;&gt;$B235,$B251&lt;&gt;$B236,$B252&lt;&gt;$B237,$B253&lt;&gt;$B238),IF($B251&lt;&gt;$B236,T236/INDEX($C228:$AJ238,9,MATCH(IF('Data-solution'!$A$3="Maximize",MAX($C239:$AI239),MIN($C239:$AI239)),$C239:$AI239,0)),T236-INDEX($C228:$AJ238,9,MATCH(IF('Data-solution'!$A$3="Maximize",MAX($C239:$AI239),MIN($C239:$AI239)),$C239:$AI239,0))*INDEX(T228:$AJ238,MATCH(MIN($AK228:$AK238),$AK228:$AK238,0),1)/INDEX($C228:$AJ238,MATCH(MIN($AK228:$AK238),$AK228:$AK238,0),MATCH(IF('Data-solution'!$A$3="Maximize",MAX($C239:$AI239),MIN($C239:$AI239)),$C239:$AI239,0))),T236)</f>
        <v>0</v>
      </c>
      <c r="U251" s="1">
        <f>IF(OR($B243&lt;&gt;$B228,$B244&lt;&gt;$B229,$B245&lt;&gt;$B230,$B246&lt;&gt;$B231,$B247&lt;&gt;$B232,$B248&lt;&gt;$B233,$B249&lt;&gt;$B234,$B250&lt;&gt;$B235,$B251&lt;&gt;$B236,$B252&lt;&gt;$B237,$B253&lt;&gt;$B238),IF($B251&lt;&gt;$B236,U236/INDEX($C228:$AJ238,9,MATCH(IF('Data-solution'!$A$3="Maximize",MAX($C239:$AI239),MIN($C239:$AI239)),$C239:$AI239,0)),U236-INDEX($C228:$AJ238,9,MATCH(IF('Data-solution'!$A$3="Maximize",MAX($C239:$AI239),MIN($C239:$AI239)),$C239:$AI239,0))*INDEX(U228:$AJ238,MATCH(MIN($AK228:$AK238),$AK228:$AK238,0),1)/INDEX($C228:$AJ238,MATCH(MIN($AK228:$AK238),$AK228:$AK238,0),MATCH(IF('Data-solution'!$A$3="Maximize",MAX($C239:$AI239),MIN($C239:$AI239)),$C239:$AI239,0))),U236)</f>
        <v>0</v>
      </c>
      <c r="V251" s="1">
        <f>IF(OR($B243&lt;&gt;$B228,$B244&lt;&gt;$B229,$B245&lt;&gt;$B230,$B246&lt;&gt;$B231,$B247&lt;&gt;$B232,$B248&lt;&gt;$B233,$B249&lt;&gt;$B234,$B250&lt;&gt;$B235,$B251&lt;&gt;$B236,$B252&lt;&gt;$B237,$B253&lt;&gt;$B238),IF($B251&lt;&gt;$B236,V236/INDEX($C228:$AJ238,9,MATCH(IF('Data-solution'!$A$3="Maximize",MAX($C239:$AI239),MIN($C239:$AI239)),$C239:$AI239,0)),V236-INDEX($C228:$AJ238,9,MATCH(IF('Data-solution'!$A$3="Maximize",MAX($C239:$AI239),MIN($C239:$AI239)),$C239:$AI239,0))*INDEX(V228:$AJ238,MATCH(MIN($AK228:$AK238),$AK228:$AK238,0),1)/INDEX($C228:$AJ238,MATCH(MIN($AK228:$AK238),$AK228:$AK238,0),MATCH(IF('Data-solution'!$A$3="Maximize",MAX($C239:$AI239),MIN($C239:$AI239)),$C239:$AI239,0))),V236)</f>
        <v>1</v>
      </c>
      <c r="W251" s="1">
        <f>IF(OR($B243&lt;&gt;$B228,$B244&lt;&gt;$B229,$B245&lt;&gt;$B230,$B246&lt;&gt;$B231,$B247&lt;&gt;$B232,$B248&lt;&gt;$B233,$B249&lt;&gt;$B234,$B250&lt;&gt;$B235,$B251&lt;&gt;$B236,$B252&lt;&gt;$B237,$B253&lt;&gt;$B238),IF($B251&lt;&gt;$B236,W236/INDEX($C228:$AJ238,9,MATCH(IF('Data-solution'!$A$3="Maximize",MAX($C239:$AI239),MIN($C239:$AI239)),$C239:$AI239,0)),W236-INDEX($C228:$AJ238,9,MATCH(IF('Data-solution'!$A$3="Maximize",MAX($C239:$AI239),MIN($C239:$AI239)),$C239:$AI239,0))*INDEX(W228:$AJ238,MATCH(MIN($AK228:$AK238),$AK228:$AK238,0),1)/INDEX($C228:$AJ238,MATCH(MIN($AK228:$AK238),$AK228:$AK238,0),MATCH(IF('Data-solution'!$A$3="Maximize",MAX($C239:$AI239),MIN($C239:$AI239)),$C239:$AI239,0))),W236)</f>
        <v>0</v>
      </c>
      <c r="X251" s="1">
        <f>IF(OR($B243&lt;&gt;$B228,$B244&lt;&gt;$B229,$B245&lt;&gt;$B230,$B246&lt;&gt;$B231,$B247&lt;&gt;$B232,$B248&lt;&gt;$B233,$B249&lt;&gt;$B234,$B250&lt;&gt;$B235,$B251&lt;&gt;$B236,$B252&lt;&gt;$B237,$B253&lt;&gt;$B238),IF($B251&lt;&gt;$B236,X236/INDEX($C228:$AJ238,9,MATCH(IF('Data-solution'!$A$3="Maximize",MAX($C239:$AI239),MIN($C239:$AI239)),$C239:$AI239,0)),X236-INDEX($C228:$AJ238,9,MATCH(IF('Data-solution'!$A$3="Maximize",MAX($C239:$AI239),MIN($C239:$AI239)),$C239:$AI239,0))*INDEX(X228:$AJ238,MATCH(MIN($AK228:$AK238),$AK228:$AK238,0),1)/INDEX($C228:$AJ238,MATCH(MIN($AK228:$AK238),$AK228:$AK238,0),MATCH(IF('Data-solution'!$A$3="Maximize",MAX($C239:$AI239),MIN($C239:$AI239)),$C239:$AI239,0))),X236)</f>
        <v>0</v>
      </c>
      <c r="Y251" s="1">
        <f>IF(OR($B243&lt;&gt;$B228,$B244&lt;&gt;$B229,$B245&lt;&gt;$B230,$B246&lt;&gt;$B231,$B247&lt;&gt;$B232,$B248&lt;&gt;$B233,$B249&lt;&gt;$B234,$B250&lt;&gt;$B235,$B251&lt;&gt;$B236,$B252&lt;&gt;$B237,$B253&lt;&gt;$B238),IF($B251&lt;&gt;$B236,Y236/INDEX($C228:$AJ238,9,MATCH(IF('Data-solution'!$A$3="Maximize",MAX($C239:$AI239),MIN($C239:$AI239)),$C239:$AI239,0)),Y236-INDEX($C228:$AJ238,9,MATCH(IF('Data-solution'!$A$3="Maximize",MAX($C239:$AI239),MIN($C239:$AI239)),$C239:$AI239,0))*INDEX(Y228:$AJ238,MATCH(MIN($AK228:$AK238),$AK228:$AK238,0),1)/INDEX($C228:$AJ238,MATCH(MIN($AK228:$AK238),$AK228:$AK238,0),MATCH(IF('Data-solution'!$A$3="Maximize",MAX($C239:$AI239),MIN($C239:$AI239)),$C239:$AI239,0))),Y236)</f>
        <v>0</v>
      </c>
      <c r="Z251" s="1">
        <f>IF(OR($B243&lt;&gt;$B228,$B244&lt;&gt;$B229,$B245&lt;&gt;$B230,$B246&lt;&gt;$B231,$B247&lt;&gt;$B232,$B248&lt;&gt;$B233,$B249&lt;&gt;$B234,$B250&lt;&gt;$B235,$B251&lt;&gt;$B236,$B252&lt;&gt;$B237,$B253&lt;&gt;$B238),IF($B251&lt;&gt;$B236,Z236/INDEX($C228:$AJ238,9,MATCH(IF('Data-solution'!$A$3="Maximize",MAX($C239:$AI239),MIN($C239:$AI239)),$C239:$AI239,0)),Z236-INDEX($C228:$AJ238,9,MATCH(IF('Data-solution'!$A$3="Maximize",MAX($C239:$AI239),MIN($C239:$AI239)),$C239:$AI239,0))*INDEX(Z228:$AJ238,MATCH(MIN($AK228:$AK238),$AK228:$AK238,0),1)/INDEX($C228:$AJ238,MATCH(MIN($AK228:$AK238),$AK228:$AK238,0),MATCH(IF('Data-solution'!$A$3="Maximize",MAX($C239:$AI239),MIN($C239:$AI239)),$C239:$AI239,0))),Z236)</f>
        <v>0</v>
      </c>
      <c r="AA251" s="1">
        <f>IF(OR($B243&lt;&gt;$B228,$B244&lt;&gt;$B229,$B245&lt;&gt;$B230,$B246&lt;&gt;$B231,$B247&lt;&gt;$B232,$B248&lt;&gt;$B233,$B249&lt;&gt;$B234,$B250&lt;&gt;$B235,$B251&lt;&gt;$B236,$B252&lt;&gt;$B237,$B253&lt;&gt;$B238),IF($B251&lt;&gt;$B236,AA236/INDEX($C228:$AJ238,9,MATCH(IF('Data-solution'!$A$3="Maximize",MAX($C239:$AI239),MIN($C239:$AI239)),$C239:$AI239,0)),AA236-INDEX($C228:$AJ238,9,MATCH(IF('Data-solution'!$A$3="Maximize",MAX($C239:$AI239),MIN($C239:$AI239)),$C239:$AI239,0))*INDEX(AA228:$AJ238,MATCH(MIN($AK228:$AK238),$AK228:$AK238,0),1)/INDEX($C228:$AJ238,MATCH(MIN($AK228:$AK238),$AK228:$AK238,0),MATCH(IF('Data-solution'!$A$3="Maximize",MAX($C239:$AI239),MIN($C239:$AI239)),$C239:$AI239,0))),AA236)</f>
        <v>0</v>
      </c>
      <c r="AB251" s="1">
        <f>IF(OR($B243&lt;&gt;$B228,$B244&lt;&gt;$B229,$B245&lt;&gt;$B230,$B246&lt;&gt;$B231,$B247&lt;&gt;$B232,$B248&lt;&gt;$B233,$B249&lt;&gt;$B234,$B250&lt;&gt;$B235,$B251&lt;&gt;$B236,$B252&lt;&gt;$B237,$B253&lt;&gt;$B238),IF($B251&lt;&gt;$B236,AB236/INDEX($C228:$AJ238,9,MATCH(IF('Data-solution'!$A$3="Maximize",MAX($C239:$AI239),MIN($C239:$AI239)),$C239:$AI239,0)),AB236-INDEX($C228:$AJ238,9,MATCH(IF('Data-solution'!$A$3="Maximize",MAX($C239:$AI239),MIN($C239:$AI239)),$C239:$AI239,0))*INDEX(AB228:$AJ238,MATCH(MIN($AK228:$AK238),$AK228:$AK238,0),1)/INDEX($C228:$AJ238,MATCH(MIN($AK228:$AK238),$AK228:$AK238,0),MATCH(IF('Data-solution'!$A$3="Maximize",MAX($C239:$AI239),MIN($C239:$AI239)),$C239:$AI239,0))),AB236)</f>
        <v>0</v>
      </c>
      <c r="AC251" s="1">
        <f>IF(OR($B243&lt;&gt;$B228,$B244&lt;&gt;$B229,$B245&lt;&gt;$B230,$B246&lt;&gt;$B231,$B247&lt;&gt;$B232,$B248&lt;&gt;$B233,$B249&lt;&gt;$B234,$B250&lt;&gt;$B235,$B251&lt;&gt;$B236,$B252&lt;&gt;$B237,$B253&lt;&gt;$B238),IF($B251&lt;&gt;$B236,AC236/INDEX($C228:$AJ238,9,MATCH(IF('Data-solution'!$A$3="Maximize",MAX($C239:$AI239),MIN($C239:$AI239)),$C239:$AI239,0)),AC236-INDEX($C228:$AJ238,9,MATCH(IF('Data-solution'!$A$3="Maximize",MAX($C239:$AI239),MIN($C239:$AI239)),$C239:$AI239,0))*INDEX(AC228:$AJ238,MATCH(MIN($AK228:$AK238),$AK228:$AK238,0),1)/INDEX($C228:$AJ238,MATCH(MIN($AK228:$AK238),$AK228:$AK238,0),MATCH(IF('Data-solution'!$A$3="Maximize",MAX($C239:$AI239),MIN($C239:$AI239)),$C239:$AI239,0))),AC236)</f>
        <v>0</v>
      </c>
      <c r="AD251" s="1">
        <f>IF(OR($B243&lt;&gt;$B228,$B244&lt;&gt;$B229,$B245&lt;&gt;$B230,$B246&lt;&gt;$B231,$B247&lt;&gt;$B232,$B248&lt;&gt;$B233,$B249&lt;&gt;$B234,$B250&lt;&gt;$B235,$B251&lt;&gt;$B236,$B252&lt;&gt;$B237,$B253&lt;&gt;$B238),IF($B251&lt;&gt;$B236,AD236/INDEX($C228:$AJ238,9,MATCH(IF('Data-solution'!$A$3="Maximize",MAX($C239:$AI239),MIN($C239:$AI239)),$C239:$AI239,0)),AD236-INDEX($C228:$AJ238,9,MATCH(IF('Data-solution'!$A$3="Maximize",MAX($C239:$AI239),MIN($C239:$AI239)),$C239:$AI239,0))*INDEX(AD228:$AJ238,MATCH(MIN($AK228:$AK238),$AK228:$AK238,0),1)/INDEX($C228:$AJ238,MATCH(MIN($AK228:$AK238),$AK228:$AK238,0),MATCH(IF('Data-solution'!$A$3="Maximize",MAX($C239:$AI239),MIN($C239:$AI239)),$C239:$AI239,0))),AD236)</f>
        <v>0</v>
      </c>
      <c r="AE251" s="1">
        <f>IF(OR($B243&lt;&gt;$B228,$B244&lt;&gt;$B229,$B245&lt;&gt;$B230,$B246&lt;&gt;$B231,$B247&lt;&gt;$B232,$B248&lt;&gt;$B233,$B249&lt;&gt;$B234,$B250&lt;&gt;$B235,$B251&lt;&gt;$B236,$B252&lt;&gt;$B237,$B253&lt;&gt;$B238),IF($B251&lt;&gt;$B236,AE236/INDEX($C228:$AJ238,9,MATCH(IF('Data-solution'!$A$3="Maximize",MAX($C239:$AI239),MIN($C239:$AI239)),$C239:$AI239,0)),AE236-INDEX($C228:$AJ238,9,MATCH(IF('Data-solution'!$A$3="Maximize",MAX($C239:$AI239),MIN($C239:$AI239)),$C239:$AI239,0))*INDEX(AE228:$AJ238,MATCH(MIN($AK228:$AK238),$AK228:$AK238,0),1)/INDEX($C228:$AJ238,MATCH(MIN($AK228:$AK238),$AK228:$AK238,0),MATCH(IF('Data-solution'!$A$3="Maximize",MAX($C239:$AI239),MIN($C239:$AI239)),$C239:$AI239,0))),AE236)</f>
        <v>0</v>
      </c>
      <c r="AF251" s="1">
        <f>IF(OR($B243&lt;&gt;$B228,$B244&lt;&gt;$B229,$B245&lt;&gt;$B230,$B246&lt;&gt;$B231,$B247&lt;&gt;$B232,$B248&lt;&gt;$B233,$B249&lt;&gt;$B234,$B250&lt;&gt;$B235,$B251&lt;&gt;$B236,$B252&lt;&gt;$B237,$B253&lt;&gt;$B238),IF($B251&lt;&gt;$B236,AF236/INDEX($C228:$AJ238,9,MATCH(IF('Data-solution'!$A$3="Maximize",MAX($C239:$AI239),MIN($C239:$AI239)),$C239:$AI239,0)),AF236-INDEX($C228:$AJ238,9,MATCH(IF('Data-solution'!$A$3="Maximize",MAX($C239:$AI239),MIN($C239:$AI239)),$C239:$AI239,0))*INDEX(AF228:$AJ238,MATCH(MIN($AK228:$AK238),$AK228:$AK238,0),1)/INDEX($C228:$AJ238,MATCH(MIN($AK228:$AK238),$AK228:$AK238,0),MATCH(IF('Data-solution'!$A$3="Maximize",MAX($C239:$AI239),MIN($C239:$AI239)),$C239:$AI239,0))),AF236)</f>
        <v>0</v>
      </c>
      <c r="AG251" s="1">
        <f>IF(OR($B243&lt;&gt;$B228,$B244&lt;&gt;$B229,$B245&lt;&gt;$B230,$B246&lt;&gt;$B231,$B247&lt;&gt;$B232,$B248&lt;&gt;$B233,$B249&lt;&gt;$B234,$B250&lt;&gt;$B235,$B251&lt;&gt;$B236,$B252&lt;&gt;$B237,$B253&lt;&gt;$B238),IF($B251&lt;&gt;$B236,AG236/INDEX($C228:$AJ238,9,MATCH(IF('Data-solution'!$A$3="Maximize",MAX($C239:$AI239),MIN($C239:$AI239)),$C239:$AI239,0)),AG236-INDEX($C228:$AJ238,9,MATCH(IF('Data-solution'!$A$3="Maximize",MAX($C239:$AI239),MIN($C239:$AI239)),$C239:$AI239,0))*INDEX(AG228:$AJ238,MATCH(MIN($AK228:$AK238),$AK228:$AK238,0),1)/INDEX($C228:$AJ238,MATCH(MIN($AK228:$AK238),$AK228:$AK238,0),MATCH(IF('Data-solution'!$A$3="Maximize",MAX($C239:$AI239),MIN($C239:$AI239)),$C239:$AI239,0))),AG236)</f>
        <v>1</v>
      </c>
      <c r="AH251" s="1">
        <f>IF(OR($B243&lt;&gt;$B228,$B244&lt;&gt;$B229,$B245&lt;&gt;$B230,$B246&lt;&gt;$B231,$B247&lt;&gt;$B232,$B248&lt;&gt;$B233,$B249&lt;&gt;$B234,$B250&lt;&gt;$B235,$B251&lt;&gt;$B236,$B252&lt;&gt;$B237,$B253&lt;&gt;$B238),IF($B251&lt;&gt;$B236,AH236/INDEX($C228:$AJ238,9,MATCH(IF('Data-solution'!$A$3="Maximize",MAX($C239:$AI239),MIN($C239:$AI239)),$C239:$AI239,0)),AH236-INDEX($C228:$AJ238,9,MATCH(IF('Data-solution'!$A$3="Maximize",MAX($C239:$AI239),MIN($C239:$AI239)),$C239:$AI239,0))*INDEX(AH228:$AJ238,MATCH(MIN($AK228:$AK238),$AK228:$AK238,0),1)/INDEX($C228:$AJ238,MATCH(MIN($AK228:$AK238),$AK228:$AK238,0),MATCH(IF('Data-solution'!$A$3="Maximize",MAX($C239:$AI239),MIN($C239:$AI239)),$C239:$AI239,0))),AH236)</f>
        <v>0</v>
      </c>
      <c r="AI251" s="1">
        <f>IF(OR($B243&lt;&gt;$B228,$B244&lt;&gt;$B229,$B245&lt;&gt;$B230,$B246&lt;&gt;$B231,$B247&lt;&gt;$B232,$B248&lt;&gt;$B233,$B249&lt;&gt;$B234,$B250&lt;&gt;$B235,$B251&lt;&gt;$B236,$B252&lt;&gt;$B237,$B253&lt;&gt;$B238),IF($B251&lt;&gt;$B236,AI236/INDEX($C228:$AJ238,9,MATCH(IF('Data-solution'!$A$3="Maximize",MAX($C239:$AI239),MIN($C239:$AI239)),$C239:$AI239,0)),AI236-INDEX($C228:$AJ238,9,MATCH(IF('Data-solution'!$A$3="Maximize",MAX($C239:$AI239),MIN($C239:$AI239)),$C239:$AI239,0))*INDEX(AI228:$AJ238,MATCH(MIN($AK228:$AK238),$AK228:$AK238,0),1)/INDEX($C228:$AJ238,MATCH(MIN($AK228:$AK238),$AK228:$AK238,0),MATCH(IF('Data-solution'!$A$3="Maximize",MAX($C239:$AI239),MIN($C239:$AI239)),$C239:$AI239,0))),AI236)</f>
        <v>0</v>
      </c>
      <c r="AJ251" s="1">
        <f>IF(OR($B243&lt;&gt;$B228,$B244&lt;&gt;$B229,$B245&lt;&gt;$B230,$B246&lt;&gt;$B231,$B247&lt;&gt;$B232,$B248&lt;&gt;$B233,$B249&lt;&gt;$B234,$B250&lt;&gt;$B235,$B251&lt;&gt;$B236,$B252&lt;&gt;$B237,$B253&lt;&gt;$B238),IF($B251&lt;&gt;$B236,AJ236/INDEX($C228:$AJ238,9,MATCH(IF('Data-solution'!$A$3="Maximize",MAX($C239:$AI239),MIN($C239:$AI239)),$C239:$AI239,0)),AJ236-INDEX($C228:$AJ238,9,MATCH(IF('Data-solution'!$A$3="Maximize",MAX($C239:$AI239),MIN($C239:$AI239)),$C239:$AI239,0))*INDEX(AJ228:$AJ238,MATCH(MIN($AK228:$AK238),$AK228:$AK238,0),1)/INDEX($C228:$AJ238,MATCH(MIN($AK228:$AK238),$AK228:$AK238,0),MATCH(IF('Data-solution'!$A$3="Maximize",MAX($C239:$AI239),MIN($C239:$AI239)),$C239:$AI239,0))),AJ236)</f>
        <v>0</v>
      </c>
      <c r="AK251" s="1" t="str">
        <f>IF(INDEX(C251:X251,1,MATCH(IF('Data-solution'!A$3="Maximize",MAX(C254:X254),MIN(C254:X254)),C254:X254,0))&gt;0,AJ251/INDEX(C251:X251,1,MATCH(IF('Data-solution'!A$3="Maximize",MAX(C254:X254),MIN(C254:X254)),C254:X254,0))," ")</f>
        <v xml:space="preserve"> </v>
      </c>
    </row>
    <row r="252" spans="1:37" ht="18" customHeight="1" x14ac:dyDescent="0.2">
      <c r="A252" s="1">
        <f t="shared" ref="A252" si="221">INDEX(C241:AI241,1,MATCH(B252,C242:AI242,0))</f>
        <v>0</v>
      </c>
      <c r="B252" s="2" t="str">
        <f>IF(AND('Data-solution'!A$3="Maximize",COUNTIF(C239:X239,"&gt;"&amp;0)&gt;0,AK237=MIN(AK228:AK238),COUNTIF(B243:B251,INDEX(C227:X227,1,MATCH(MAX(C239:X239),C239:X239,0)))=0),INDEX(C227:X227,1,MATCH(MAX(C239:X239),C239:X239,0)),IF(AND('Data-solution'!A$3="Minimize",COUNTIF(C239:X239,"&lt;"&amp;0)&gt;0,AK237=MIN(AK228:AK238),COUNTIF(B243:B251,INDEX(C227:X227,1,MATCH(MIN(C239:X239),C239:X239,0)))=0),INDEX(C227:X227,1,MATCH(MIN(C239:X239),C239:X239,0)),B237))</f>
        <v>S10</v>
      </c>
      <c r="C252" s="1">
        <f>IF(OR($B243&lt;&gt;$B228,$B244&lt;&gt;$B229,$B245&lt;&gt;$B230,$B246&lt;&gt;$B231,$B247&lt;&gt;$B232,$B248&lt;&gt;$B233,$B249&lt;&gt;$B234,$B250&lt;&gt;$B235,$B251&lt;&gt;$B236,$B252&lt;&gt;$B237,$B253&lt;&gt;$B238),IF($B252&lt;&gt;$B237,C237/INDEX($C228:$AJ238,10,MATCH(IF('Data-solution'!$A$3="Maximize",MAX($C239:$AI239),MIN($C239:$AI239)),$C239:$AI239,0)),C237-INDEX($C228:$AJ238,10,MATCH(IF('Data-solution'!$A$3="Maximize",MAX($C239:$AI239),MIN($C239:$AI239)),$C239:$AI239,0))*INDEX(C228:$AJ238,MATCH(MIN($AK228:$AK238),$AK228:$AK238,0),1)/INDEX($C228:$AJ238,MATCH(MIN($AK228:$AK238),$AK228:$AK238,0),MATCH(IF('Data-solution'!$A$3="Maximize",MAX($C239:$AI239),MIN($C239:$AI239)),$C239:$AI239,0))),C237)</f>
        <v>0</v>
      </c>
      <c r="D252" s="1">
        <f>IF(OR($B243&lt;&gt;$B228,$B244&lt;&gt;$B229,$B245&lt;&gt;$B230,$B246&lt;&gt;$B231,$B247&lt;&gt;$B232,$B248&lt;&gt;$B233,$B249&lt;&gt;$B234,$B250&lt;&gt;$B235,$B251&lt;&gt;$B236,$B252&lt;&gt;$B237,$B253&lt;&gt;$B238),IF($B252&lt;&gt;$B237,D237/INDEX($C228:$AJ238,10,MATCH(IF('Data-solution'!$A$3="Maximize",MAX($C239:$AI239),MIN($C239:$AI239)),$C239:$AI239,0)),D237-INDEX($C228:$AJ238,10,MATCH(IF('Data-solution'!$A$3="Maximize",MAX($C239:$AI239),MIN($C239:$AI239)),$C239:$AI239,0))*INDEX(D228:$AJ238,MATCH(MIN($AK228:$AK238),$AK228:$AK238,0),1)/INDEX($C228:$AJ238,MATCH(MIN($AK228:$AK238),$AK228:$AK238,0),MATCH(IF('Data-solution'!$A$3="Maximize",MAX($C239:$AI239),MIN($C239:$AI239)),$C239:$AI239,0))),D237)</f>
        <v>0</v>
      </c>
      <c r="E252" s="1">
        <f>IF(OR($B243&lt;&gt;$B228,$B244&lt;&gt;$B229,$B245&lt;&gt;$B230,$B246&lt;&gt;$B231,$B247&lt;&gt;$B232,$B248&lt;&gt;$B233,$B249&lt;&gt;$B234,$B250&lt;&gt;$B235,$B251&lt;&gt;$B236,$B252&lt;&gt;$B237,$B253&lt;&gt;$B238),IF($B252&lt;&gt;$B237,E237/INDEX($C228:$AJ238,10,MATCH(IF('Data-solution'!$A$3="Maximize",MAX($C239:$AI239),MIN($C239:$AI239)),$C239:$AI239,0)),E237-INDEX($C228:$AJ238,10,MATCH(IF('Data-solution'!$A$3="Maximize",MAX($C239:$AI239),MIN($C239:$AI239)),$C239:$AI239,0))*INDEX(E228:$AJ238,MATCH(MIN($AK228:$AK238),$AK228:$AK238,0),1)/INDEX($C228:$AJ238,MATCH(MIN($AK228:$AK238),$AK228:$AK238,0),MATCH(IF('Data-solution'!$A$3="Maximize",MAX($C239:$AI239),MIN($C239:$AI239)),$C239:$AI239,0))),E237)</f>
        <v>0</v>
      </c>
      <c r="F252" s="1">
        <f>IF(OR($B243&lt;&gt;$B228,$B244&lt;&gt;$B229,$B245&lt;&gt;$B230,$B246&lt;&gt;$B231,$B247&lt;&gt;$B232,$B248&lt;&gt;$B233,$B249&lt;&gt;$B234,$B250&lt;&gt;$B235,$B251&lt;&gt;$B236,$B252&lt;&gt;$B237,$B253&lt;&gt;$B238),IF($B252&lt;&gt;$B237,F237/INDEX($C228:$AJ238,10,MATCH(IF('Data-solution'!$A$3="Maximize",MAX($C239:$AI239),MIN($C239:$AI239)),$C239:$AI239,0)),F237-INDEX($C228:$AJ238,10,MATCH(IF('Data-solution'!$A$3="Maximize",MAX($C239:$AI239),MIN($C239:$AI239)),$C239:$AI239,0))*INDEX(F228:$AJ238,MATCH(MIN($AK228:$AK238),$AK228:$AK238,0),1)/INDEX($C228:$AJ238,MATCH(MIN($AK228:$AK238),$AK228:$AK238,0),MATCH(IF('Data-solution'!$A$3="Maximize",MAX($C239:$AI239),MIN($C239:$AI239)),$C239:$AI239,0))),F237)</f>
        <v>0</v>
      </c>
      <c r="G252" s="1">
        <f>IF(OR($B243&lt;&gt;$B228,$B244&lt;&gt;$B229,$B245&lt;&gt;$B230,$B246&lt;&gt;$B231,$B247&lt;&gt;$B232,$B248&lt;&gt;$B233,$B249&lt;&gt;$B234,$B250&lt;&gt;$B235,$B251&lt;&gt;$B236,$B252&lt;&gt;$B237,$B253&lt;&gt;$B238),IF($B252&lt;&gt;$B237,G237/INDEX($C228:$AJ238,10,MATCH(IF('Data-solution'!$A$3="Maximize",MAX($C239:$AI239),MIN($C239:$AI239)),$C239:$AI239,0)),G237-INDEX($C228:$AJ238,10,MATCH(IF('Data-solution'!$A$3="Maximize",MAX($C239:$AI239),MIN($C239:$AI239)),$C239:$AI239,0))*INDEX(G228:$AJ238,MATCH(MIN($AK228:$AK238),$AK228:$AK238,0),1)/INDEX($C228:$AJ238,MATCH(MIN($AK228:$AK238),$AK228:$AK238,0),MATCH(IF('Data-solution'!$A$3="Maximize",MAX($C239:$AI239),MIN($C239:$AI239)),$C239:$AI239,0))),G237)</f>
        <v>0</v>
      </c>
      <c r="H252" s="1">
        <f>IF(OR($B243&lt;&gt;$B228,$B244&lt;&gt;$B229,$B245&lt;&gt;$B230,$B246&lt;&gt;$B231,$B247&lt;&gt;$B232,$B248&lt;&gt;$B233,$B249&lt;&gt;$B234,$B250&lt;&gt;$B235,$B251&lt;&gt;$B236,$B252&lt;&gt;$B237,$B253&lt;&gt;$B238),IF($B252&lt;&gt;$B237,H237/INDEX($C228:$AJ238,10,MATCH(IF('Data-solution'!$A$3="Maximize",MAX($C239:$AI239),MIN($C239:$AI239)),$C239:$AI239,0)),H237-INDEX($C228:$AJ238,10,MATCH(IF('Data-solution'!$A$3="Maximize",MAX($C239:$AI239),MIN($C239:$AI239)),$C239:$AI239,0))*INDEX(H228:$AJ238,MATCH(MIN($AK228:$AK238),$AK228:$AK238,0),1)/INDEX($C228:$AJ238,MATCH(MIN($AK228:$AK238),$AK228:$AK238,0),MATCH(IF('Data-solution'!$A$3="Maximize",MAX($C239:$AI239),MIN($C239:$AI239)),$C239:$AI239,0))),H237)</f>
        <v>0</v>
      </c>
      <c r="I252" s="1">
        <f>IF(OR($B243&lt;&gt;$B228,$B244&lt;&gt;$B229,$B245&lt;&gt;$B230,$B246&lt;&gt;$B231,$B247&lt;&gt;$B232,$B248&lt;&gt;$B233,$B249&lt;&gt;$B234,$B250&lt;&gt;$B235,$B251&lt;&gt;$B236,$B252&lt;&gt;$B237,$B253&lt;&gt;$B238),IF($B252&lt;&gt;$B237,I237/INDEX($C228:$AJ238,10,MATCH(IF('Data-solution'!$A$3="Maximize",MAX($C239:$AI239),MIN($C239:$AI239)),$C239:$AI239,0)),I237-INDEX($C228:$AJ238,10,MATCH(IF('Data-solution'!$A$3="Maximize",MAX($C239:$AI239),MIN($C239:$AI239)),$C239:$AI239,0))*INDEX(I228:$AJ238,MATCH(MIN($AK228:$AK238),$AK228:$AK238,0),1)/INDEX($C228:$AJ238,MATCH(MIN($AK228:$AK238),$AK228:$AK238,0),MATCH(IF('Data-solution'!$A$3="Maximize",MAX($C239:$AI239),MIN($C239:$AI239)),$C239:$AI239,0))),I237)</f>
        <v>0</v>
      </c>
      <c r="J252" s="1">
        <f>IF(OR($B243&lt;&gt;$B228,$B244&lt;&gt;$B229,$B245&lt;&gt;$B230,$B246&lt;&gt;$B231,$B247&lt;&gt;$B232,$B248&lt;&gt;$B233,$B249&lt;&gt;$B234,$B250&lt;&gt;$B235,$B251&lt;&gt;$B236,$B252&lt;&gt;$B237,$B253&lt;&gt;$B238),IF($B252&lt;&gt;$B237,J237/INDEX($C228:$AJ238,10,MATCH(IF('Data-solution'!$A$3="Maximize",MAX($C239:$AI239),MIN($C239:$AI239)),$C239:$AI239,0)),J237-INDEX($C228:$AJ238,10,MATCH(IF('Data-solution'!$A$3="Maximize",MAX($C239:$AI239),MIN($C239:$AI239)),$C239:$AI239,0))*INDEX(J228:$AJ238,MATCH(MIN($AK228:$AK238),$AK228:$AK238,0),1)/INDEX($C228:$AJ238,MATCH(MIN($AK228:$AK238),$AK228:$AK238,0),MATCH(IF('Data-solution'!$A$3="Maximize",MAX($C239:$AI239),MIN($C239:$AI239)),$C239:$AI239,0))),J237)</f>
        <v>0</v>
      </c>
      <c r="K252" s="1">
        <f>IF(OR($B243&lt;&gt;$B228,$B244&lt;&gt;$B229,$B245&lt;&gt;$B230,$B246&lt;&gt;$B231,$B247&lt;&gt;$B232,$B248&lt;&gt;$B233,$B249&lt;&gt;$B234,$B250&lt;&gt;$B235,$B251&lt;&gt;$B236,$B252&lt;&gt;$B237,$B253&lt;&gt;$B238),IF($B252&lt;&gt;$B237,K237/INDEX($C228:$AJ238,10,MATCH(IF('Data-solution'!$A$3="Maximize",MAX($C239:$AI239),MIN($C239:$AI239)),$C239:$AI239,0)),K237-INDEX($C228:$AJ238,10,MATCH(IF('Data-solution'!$A$3="Maximize",MAX($C239:$AI239),MIN($C239:$AI239)),$C239:$AI239,0))*INDEX(K228:$AJ238,MATCH(MIN($AK228:$AK238),$AK228:$AK238,0),1)/INDEX($C228:$AJ238,MATCH(MIN($AK228:$AK238),$AK228:$AK238,0),MATCH(IF('Data-solution'!$A$3="Maximize",MAX($C239:$AI239),MIN($C239:$AI239)),$C239:$AI239,0))),K237)</f>
        <v>0</v>
      </c>
      <c r="L252" s="1">
        <f>IF(OR($B243&lt;&gt;$B228,$B244&lt;&gt;$B229,$B245&lt;&gt;$B230,$B246&lt;&gt;$B231,$B247&lt;&gt;$B232,$B248&lt;&gt;$B233,$B249&lt;&gt;$B234,$B250&lt;&gt;$B235,$B251&lt;&gt;$B236,$B252&lt;&gt;$B237,$B253&lt;&gt;$B238),IF($B252&lt;&gt;$B237,L237/INDEX($C228:$AJ238,10,MATCH(IF('Data-solution'!$A$3="Maximize",MAX($C239:$AI239),MIN($C239:$AI239)),$C239:$AI239,0)),L237-INDEX($C228:$AJ238,10,MATCH(IF('Data-solution'!$A$3="Maximize",MAX($C239:$AI239),MIN($C239:$AI239)),$C239:$AI239,0))*INDEX(L228:$AJ238,MATCH(MIN($AK228:$AK238),$AK228:$AK238,0),1)/INDEX($C228:$AJ238,MATCH(MIN($AK228:$AK238),$AK228:$AK238,0),MATCH(IF('Data-solution'!$A$3="Maximize",MAX($C239:$AI239),MIN($C239:$AI239)),$C239:$AI239,0))),L237)</f>
        <v>0</v>
      </c>
      <c r="M252" s="1">
        <f>IF(OR($B243&lt;&gt;$B228,$B244&lt;&gt;$B229,$B245&lt;&gt;$B230,$B246&lt;&gt;$B231,$B247&lt;&gt;$B232,$B248&lt;&gt;$B233,$B249&lt;&gt;$B234,$B250&lt;&gt;$B235,$B251&lt;&gt;$B236,$B252&lt;&gt;$B237,$B253&lt;&gt;$B238),IF($B252&lt;&gt;$B237,M237/INDEX($C228:$AJ238,10,MATCH(IF('Data-solution'!$A$3="Maximize",MAX($C239:$AI239),MIN($C239:$AI239)),$C239:$AI239,0)),M237-INDEX($C228:$AJ238,10,MATCH(IF('Data-solution'!$A$3="Maximize",MAX($C239:$AI239),MIN($C239:$AI239)),$C239:$AI239,0))*INDEX(M228:$AJ238,MATCH(MIN($AK228:$AK238),$AK228:$AK238,0),1)/INDEX($C228:$AJ238,MATCH(MIN($AK228:$AK238),$AK228:$AK238,0),MATCH(IF('Data-solution'!$A$3="Maximize",MAX($C239:$AI239),MIN($C239:$AI239)),$C239:$AI239,0))),M237)</f>
        <v>0</v>
      </c>
      <c r="N252" s="1">
        <f>IF(OR($B243&lt;&gt;$B228,$B244&lt;&gt;$B229,$B245&lt;&gt;$B230,$B246&lt;&gt;$B231,$B247&lt;&gt;$B232,$B248&lt;&gt;$B233,$B249&lt;&gt;$B234,$B250&lt;&gt;$B235,$B251&lt;&gt;$B236,$B252&lt;&gt;$B237,$B253&lt;&gt;$B238),IF($B252&lt;&gt;$B237,N237/INDEX($C228:$AJ238,10,MATCH(IF('Data-solution'!$A$3="Maximize",MAX($C239:$AI239),MIN($C239:$AI239)),$C239:$AI239,0)),N237-INDEX($C228:$AJ238,10,MATCH(IF('Data-solution'!$A$3="Maximize",MAX($C239:$AI239),MIN($C239:$AI239)),$C239:$AI239,0))*INDEX(N228:$AJ238,MATCH(MIN($AK228:$AK238),$AK228:$AK238,0),1)/INDEX($C228:$AJ238,MATCH(MIN($AK228:$AK238),$AK228:$AK238,0),MATCH(IF('Data-solution'!$A$3="Maximize",MAX($C239:$AI239),MIN($C239:$AI239)),$C239:$AI239,0))),N237)</f>
        <v>0</v>
      </c>
      <c r="O252" s="1">
        <f>IF(OR($B243&lt;&gt;$B228,$B244&lt;&gt;$B229,$B245&lt;&gt;$B230,$B246&lt;&gt;$B231,$B247&lt;&gt;$B232,$B248&lt;&gt;$B233,$B249&lt;&gt;$B234,$B250&lt;&gt;$B235,$B251&lt;&gt;$B236,$B252&lt;&gt;$B237,$B253&lt;&gt;$B238),IF($B252&lt;&gt;$B237,O237/INDEX($C228:$AJ238,10,MATCH(IF('Data-solution'!$A$3="Maximize",MAX($C239:$AI239),MIN($C239:$AI239)),$C239:$AI239,0)),O237-INDEX($C228:$AJ238,10,MATCH(IF('Data-solution'!$A$3="Maximize",MAX($C239:$AI239),MIN($C239:$AI239)),$C239:$AI239,0))*INDEX(O228:$AJ238,MATCH(MIN($AK228:$AK238),$AK228:$AK238,0),1)/INDEX($C228:$AJ238,MATCH(MIN($AK228:$AK238),$AK228:$AK238,0),MATCH(IF('Data-solution'!$A$3="Maximize",MAX($C239:$AI239),MIN($C239:$AI239)),$C239:$AI239,0))),O237)</f>
        <v>0</v>
      </c>
      <c r="P252" s="1">
        <f>IF(OR($B243&lt;&gt;$B228,$B244&lt;&gt;$B229,$B245&lt;&gt;$B230,$B246&lt;&gt;$B231,$B247&lt;&gt;$B232,$B248&lt;&gt;$B233,$B249&lt;&gt;$B234,$B250&lt;&gt;$B235,$B251&lt;&gt;$B236,$B252&lt;&gt;$B237,$B253&lt;&gt;$B238),IF($B252&lt;&gt;$B237,P237/INDEX($C228:$AJ238,10,MATCH(IF('Data-solution'!$A$3="Maximize",MAX($C239:$AI239),MIN($C239:$AI239)),$C239:$AI239,0)),P237-INDEX($C228:$AJ238,10,MATCH(IF('Data-solution'!$A$3="Maximize",MAX($C239:$AI239),MIN($C239:$AI239)),$C239:$AI239,0))*INDEX(P228:$AJ238,MATCH(MIN($AK228:$AK238),$AK228:$AK238,0),1)/INDEX($C228:$AJ238,MATCH(MIN($AK228:$AK238),$AK228:$AK238,0),MATCH(IF('Data-solution'!$A$3="Maximize",MAX($C239:$AI239),MIN($C239:$AI239)),$C239:$AI239,0))),P237)</f>
        <v>0</v>
      </c>
      <c r="Q252" s="1">
        <f>IF(OR($B243&lt;&gt;$B228,$B244&lt;&gt;$B229,$B245&lt;&gt;$B230,$B246&lt;&gt;$B231,$B247&lt;&gt;$B232,$B248&lt;&gt;$B233,$B249&lt;&gt;$B234,$B250&lt;&gt;$B235,$B251&lt;&gt;$B236,$B252&lt;&gt;$B237,$B253&lt;&gt;$B238),IF($B252&lt;&gt;$B237,Q237/INDEX($C228:$AJ238,10,MATCH(IF('Data-solution'!$A$3="Maximize",MAX($C239:$AI239),MIN($C239:$AI239)),$C239:$AI239,0)),Q237-INDEX($C228:$AJ238,10,MATCH(IF('Data-solution'!$A$3="Maximize",MAX($C239:$AI239),MIN($C239:$AI239)),$C239:$AI239,0))*INDEX(Q228:$AJ238,MATCH(MIN($AK228:$AK238),$AK228:$AK238,0),1)/INDEX($C228:$AJ238,MATCH(MIN($AK228:$AK238),$AK228:$AK238,0),MATCH(IF('Data-solution'!$A$3="Maximize",MAX($C239:$AI239),MIN($C239:$AI239)),$C239:$AI239,0))),Q237)</f>
        <v>0</v>
      </c>
      <c r="R252" s="1">
        <f>IF(OR($B243&lt;&gt;$B228,$B244&lt;&gt;$B229,$B245&lt;&gt;$B230,$B246&lt;&gt;$B231,$B247&lt;&gt;$B232,$B248&lt;&gt;$B233,$B249&lt;&gt;$B234,$B250&lt;&gt;$B235,$B251&lt;&gt;$B236,$B252&lt;&gt;$B237,$B253&lt;&gt;$B238),IF($B252&lt;&gt;$B237,R237/INDEX($C228:$AJ238,10,MATCH(IF('Data-solution'!$A$3="Maximize",MAX($C239:$AI239),MIN($C239:$AI239)),$C239:$AI239,0)),R237-INDEX($C228:$AJ238,10,MATCH(IF('Data-solution'!$A$3="Maximize",MAX($C239:$AI239),MIN($C239:$AI239)),$C239:$AI239,0))*INDEX(R228:$AJ238,MATCH(MIN($AK228:$AK238),$AK228:$AK238,0),1)/INDEX($C228:$AJ238,MATCH(MIN($AK228:$AK238),$AK228:$AK238,0),MATCH(IF('Data-solution'!$A$3="Maximize",MAX($C239:$AI239),MIN($C239:$AI239)),$C239:$AI239,0))),R237)</f>
        <v>0</v>
      </c>
      <c r="S252" s="1">
        <f>IF(OR($B243&lt;&gt;$B228,$B244&lt;&gt;$B229,$B245&lt;&gt;$B230,$B246&lt;&gt;$B231,$B247&lt;&gt;$B232,$B248&lt;&gt;$B233,$B249&lt;&gt;$B234,$B250&lt;&gt;$B235,$B251&lt;&gt;$B236,$B252&lt;&gt;$B237,$B253&lt;&gt;$B238),IF($B252&lt;&gt;$B237,S237/INDEX($C228:$AJ238,10,MATCH(IF('Data-solution'!$A$3="Maximize",MAX($C239:$AI239),MIN($C239:$AI239)),$C239:$AI239,0)),S237-INDEX($C228:$AJ238,10,MATCH(IF('Data-solution'!$A$3="Maximize",MAX($C239:$AI239),MIN($C239:$AI239)),$C239:$AI239,0))*INDEX(S228:$AJ238,MATCH(MIN($AK228:$AK238),$AK228:$AK238,0),1)/INDEX($C228:$AJ238,MATCH(MIN($AK228:$AK238),$AK228:$AK238,0),MATCH(IF('Data-solution'!$A$3="Maximize",MAX($C239:$AI239),MIN($C239:$AI239)),$C239:$AI239,0))),S237)</f>
        <v>0</v>
      </c>
      <c r="T252" s="1">
        <f>IF(OR($B243&lt;&gt;$B228,$B244&lt;&gt;$B229,$B245&lt;&gt;$B230,$B246&lt;&gt;$B231,$B247&lt;&gt;$B232,$B248&lt;&gt;$B233,$B249&lt;&gt;$B234,$B250&lt;&gt;$B235,$B251&lt;&gt;$B236,$B252&lt;&gt;$B237,$B253&lt;&gt;$B238),IF($B252&lt;&gt;$B237,T237/INDEX($C228:$AJ238,10,MATCH(IF('Data-solution'!$A$3="Maximize",MAX($C239:$AI239),MIN($C239:$AI239)),$C239:$AI239,0)),T237-INDEX($C228:$AJ238,10,MATCH(IF('Data-solution'!$A$3="Maximize",MAX($C239:$AI239),MIN($C239:$AI239)),$C239:$AI239,0))*INDEX(T228:$AJ238,MATCH(MIN($AK228:$AK238),$AK228:$AK238,0),1)/INDEX($C228:$AJ238,MATCH(MIN($AK228:$AK238),$AK228:$AK238,0),MATCH(IF('Data-solution'!$A$3="Maximize",MAX($C239:$AI239),MIN($C239:$AI239)),$C239:$AI239,0))),T237)</f>
        <v>0</v>
      </c>
      <c r="U252" s="1">
        <f>IF(OR($B243&lt;&gt;$B228,$B244&lt;&gt;$B229,$B245&lt;&gt;$B230,$B246&lt;&gt;$B231,$B247&lt;&gt;$B232,$B248&lt;&gt;$B233,$B249&lt;&gt;$B234,$B250&lt;&gt;$B235,$B251&lt;&gt;$B236,$B252&lt;&gt;$B237,$B253&lt;&gt;$B238),IF($B252&lt;&gt;$B237,U237/INDEX($C228:$AJ238,10,MATCH(IF('Data-solution'!$A$3="Maximize",MAX($C239:$AI239),MIN($C239:$AI239)),$C239:$AI239,0)),U237-INDEX($C228:$AJ238,10,MATCH(IF('Data-solution'!$A$3="Maximize",MAX($C239:$AI239),MIN($C239:$AI239)),$C239:$AI239,0))*INDEX(U228:$AJ238,MATCH(MIN($AK228:$AK238),$AK228:$AK238,0),1)/INDEX($C228:$AJ238,MATCH(MIN($AK228:$AK238),$AK228:$AK238,0),MATCH(IF('Data-solution'!$A$3="Maximize",MAX($C239:$AI239),MIN($C239:$AI239)),$C239:$AI239,0))),U237)</f>
        <v>0</v>
      </c>
      <c r="V252" s="1">
        <f>IF(OR($B243&lt;&gt;$B228,$B244&lt;&gt;$B229,$B245&lt;&gt;$B230,$B246&lt;&gt;$B231,$B247&lt;&gt;$B232,$B248&lt;&gt;$B233,$B249&lt;&gt;$B234,$B250&lt;&gt;$B235,$B251&lt;&gt;$B236,$B252&lt;&gt;$B237,$B253&lt;&gt;$B238),IF($B252&lt;&gt;$B237,V237/INDEX($C228:$AJ238,10,MATCH(IF('Data-solution'!$A$3="Maximize",MAX($C239:$AI239),MIN($C239:$AI239)),$C239:$AI239,0)),V237-INDEX($C228:$AJ238,10,MATCH(IF('Data-solution'!$A$3="Maximize",MAX($C239:$AI239),MIN($C239:$AI239)),$C239:$AI239,0))*INDEX(V228:$AJ238,MATCH(MIN($AK228:$AK238),$AK228:$AK238,0),1)/INDEX($C228:$AJ238,MATCH(MIN($AK228:$AK238),$AK228:$AK238,0),MATCH(IF('Data-solution'!$A$3="Maximize",MAX($C239:$AI239),MIN($C239:$AI239)),$C239:$AI239,0))),V237)</f>
        <v>0</v>
      </c>
      <c r="W252" s="1">
        <f>IF(OR($B243&lt;&gt;$B228,$B244&lt;&gt;$B229,$B245&lt;&gt;$B230,$B246&lt;&gt;$B231,$B247&lt;&gt;$B232,$B248&lt;&gt;$B233,$B249&lt;&gt;$B234,$B250&lt;&gt;$B235,$B251&lt;&gt;$B236,$B252&lt;&gt;$B237,$B253&lt;&gt;$B238),IF($B252&lt;&gt;$B237,W237/INDEX($C228:$AJ238,10,MATCH(IF('Data-solution'!$A$3="Maximize",MAX($C239:$AI239),MIN($C239:$AI239)),$C239:$AI239,0)),W237-INDEX($C228:$AJ238,10,MATCH(IF('Data-solution'!$A$3="Maximize",MAX($C239:$AI239),MIN($C239:$AI239)),$C239:$AI239,0))*INDEX(W228:$AJ238,MATCH(MIN($AK228:$AK238),$AK228:$AK238,0),1)/INDEX($C228:$AJ238,MATCH(MIN($AK228:$AK238),$AK228:$AK238,0),MATCH(IF('Data-solution'!$A$3="Maximize",MAX($C239:$AI239),MIN($C239:$AI239)),$C239:$AI239,0))),W237)</f>
        <v>1</v>
      </c>
      <c r="X252" s="1">
        <f>IF(OR($B243&lt;&gt;$B228,$B244&lt;&gt;$B229,$B245&lt;&gt;$B230,$B246&lt;&gt;$B231,$B247&lt;&gt;$B232,$B248&lt;&gt;$B233,$B249&lt;&gt;$B234,$B250&lt;&gt;$B235,$B251&lt;&gt;$B236,$B252&lt;&gt;$B237,$B253&lt;&gt;$B238),IF($B252&lt;&gt;$B237,X237/INDEX($C228:$AJ238,10,MATCH(IF('Data-solution'!$A$3="Maximize",MAX($C239:$AI239),MIN($C239:$AI239)),$C239:$AI239,0)),X237-INDEX($C228:$AJ238,10,MATCH(IF('Data-solution'!$A$3="Maximize",MAX($C239:$AI239),MIN($C239:$AI239)),$C239:$AI239,0))*INDEX(X228:$AJ238,MATCH(MIN($AK228:$AK238),$AK228:$AK238,0),1)/INDEX($C228:$AJ238,MATCH(MIN($AK228:$AK238),$AK228:$AK238,0),MATCH(IF('Data-solution'!$A$3="Maximize",MAX($C239:$AI239),MIN($C239:$AI239)),$C239:$AI239,0))),X237)</f>
        <v>0</v>
      </c>
      <c r="Y252" s="1">
        <f>IF(OR($B243&lt;&gt;$B228,$B244&lt;&gt;$B229,$B245&lt;&gt;$B230,$B246&lt;&gt;$B231,$B247&lt;&gt;$B232,$B248&lt;&gt;$B233,$B249&lt;&gt;$B234,$B250&lt;&gt;$B235,$B251&lt;&gt;$B236,$B252&lt;&gt;$B237,$B253&lt;&gt;$B238),IF($B252&lt;&gt;$B237,Y237/INDEX($C228:$AJ238,10,MATCH(IF('Data-solution'!$A$3="Maximize",MAX($C239:$AI239),MIN($C239:$AI239)),$C239:$AI239,0)),Y237-INDEX($C228:$AJ238,10,MATCH(IF('Data-solution'!$A$3="Maximize",MAX($C239:$AI239),MIN($C239:$AI239)),$C239:$AI239,0))*INDEX(Y228:$AJ238,MATCH(MIN($AK228:$AK238),$AK228:$AK238,0),1)/INDEX($C228:$AJ238,MATCH(MIN($AK228:$AK238),$AK228:$AK238,0),MATCH(IF('Data-solution'!$A$3="Maximize",MAX($C239:$AI239),MIN($C239:$AI239)),$C239:$AI239,0))),Y237)</f>
        <v>0</v>
      </c>
      <c r="Z252" s="1">
        <f>IF(OR($B243&lt;&gt;$B228,$B244&lt;&gt;$B229,$B245&lt;&gt;$B230,$B246&lt;&gt;$B231,$B247&lt;&gt;$B232,$B248&lt;&gt;$B233,$B249&lt;&gt;$B234,$B250&lt;&gt;$B235,$B251&lt;&gt;$B236,$B252&lt;&gt;$B237,$B253&lt;&gt;$B238),IF($B252&lt;&gt;$B237,Z237/INDEX($C228:$AJ238,10,MATCH(IF('Data-solution'!$A$3="Maximize",MAX($C239:$AI239),MIN($C239:$AI239)),$C239:$AI239,0)),Z237-INDEX($C228:$AJ238,10,MATCH(IF('Data-solution'!$A$3="Maximize",MAX($C239:$AI239),MIN($C239:$AI239)),$C239:$AI239,0))*INDEX(Z228:$AJ238,MATCH(MIN($AK228:$AK238),$AK228:$AK238,0),1)/INDEX($C228:$AJ238,MATCH(MIN($AK228:$AK238),$AK228:$AK238,0),MATCH(IF('Data-solution'!$A$3="Maximize",MAX($C239:$AI239),MIN($C239:$AI239)),$C239:$AI239,0))),Z237)</f>
        <v>0</v>
      </c>
      <c r="AA252" s="1">
        <f>IF(OR($B243&lt;&gt;$B228,$B244&lt;&gt;$B229,$B245&lt;&gt;$B230,$B246&lt;&gt;$B231,$B247&lt;&gt;$B232,$B248&lt;&gt;$B233,$B249&lt;&gt;$B234,$B250&lt;&gt;$B235,$B251&lt;&gt;$B236,$B252&lt;&gt;$B237,$B253&lt;&gt;$B238),IF($B252&lt;&gt;$B237,AA237/INDEX($C228:$AJ238,10,MATCH(IF('Data-solution'!$A$3="Maximize",MAX($C239:$AI239),MIN($C239:$AI239)),$C239:$AI239,0)),AA237-INDEX($C228:$AJ238,10,MATCH(IF('Data-solution'!$A$3="Maximize",MAX($C239:$AI239),MIN($C239:$AI239)),$C239:$AI239,0))*INDEX(AA228:$AJ238,MATCH(MIN($AK228:$AK238),$AK228:$AK238,0),1)/INDEX($C228:$AJ238,MATCH(MIN($AK228:$AK238),$AK228:$AK238,0),MATCH(IF('Data-solution'!$A$3="Maximize",MAX($C239:$AI239),MIN($C239:$AI239)),$C239:$AI239,0))),AA237)</f>
        <v>0</v>
      </c>
      <c r="AB252" s="1">
        <f>IF(OR($B243&lt;&gt;$B228,$B244&lt;&gt;$B229,$B245&lt;&gt;$B230,$B246&lt;&gt;$B231,$B247&lt;&gt;$B232,$B248&lt;&gt;$B233,$B249&lt;&gt;$B234,$B250&lt;&gt;$B235,$B251&lt;&gt;$B236,$B252&lt;&gt;$B237,$B253&lt;&gt;$B238),IF($B252&lt;&gt;$B237,AB237/INDEX($C228:$AJ238,10,MATCH(IF('Data-solution'!$A$3="Maximize",MAX($C239:$AI239),MIN($C239:$AI239)),$C239:$AI239,0)),AB237-INDEX($C228:$AJ238,10,MATCH(IF('Data-solution'!$A$3="Maximize",MAX($C239:$AI239),MIN($C239:$AI239)),$C239:$AI239,0))*INDEX(AB228:$AJ238,MATCH(MIN($AK228:$AK238),$AK228:$AK238,0),1)/INDEX($C228:$AJ238,MATCH(MIN($AK228:$AK238),$AK228:$AK238,0),MATCH(IF('Data-solution'!$A$3="Maximize",MAX($C239:$AI239),MIN($C239:$AI239)),$C239:$AI239,0))),AB237)</f>
        <v>0</v>
      </c>
      <c r="AC252" s="1">
        <f>IF(OR($B243&lt;&gt;$B228,$B244&lt;&gt;$B229,$B245&lt;&gt;$B230,$B246&lt;&gt;$B231,$B247&lt;&gt;$B232,$B248&lt;&gt;$B233,$B249&lt;&gt;$B234,$B250&lt;&gt;$B235,$B251&lt;&gt;$B236,$B252&lt;&gt;$B237,$B253&lt;&gt;$B238),IF($B252&lt;&gt;$B237,AC237/INDEX($C228:$AJ238,10,MATCH(IF('Data-solution'!$A$3="Maximize",MAX($C239:$AI239),MIN($C239:$AI239)),$C239:$AI239,0)),AC237-INDEX($C228:$AJ238,10,MATCH(IF('Data-solution'!$A$3="Maximize",MAX($C239:$AI239),MIN($C239:$AI239)),$C239:$AI239,0))*INDEX(AC228:$AJ238,MATCH(MIN($AK228:$AK238),$AK228:$AK238,0),1)/INDEX($C228:$AJ238,MATCH(MIN($AK228:$AK238),$AK228:$AK238,0),MATCH(IF('Data-solution'!$A$3="Maximize",MAX($C239:$AI239),MIN($C239:$AI239)),$C239:$AI239,0))),AC237)</f>
        <v>0</v>
      </c>
      <c r="AD252" s="1">
        <f>IF(OR($B243&lt;&gt;$B228,$B244&lt;&gt;$B229,$B245&lt;&gt;$B230,$B246&lt;&gt;$B231,$B247&lt;&gt;$B232,$B248&lt;&gt;$B233,$B249&lt;&gt;$B234,$B250&lt;&gt;$B235,$B251&lt;&gt;$B236,$B252&lt;&gt;$B237,$B253&lt;&gt;$B238),IF($B252&lt;&gt;$B237,AD237/INDEX($C228:$AJ238,10,MATCH(IF('Data-solution'!$A$3="Maximize",MAX($C239:$AI239),MIN($C239:$AI239)),$C239:$AI239,0)),AD237-INDEX($C228:$AJ238,10,MATCH(IF('Data-solution'!$A$3="Maximize",MAX($C239:$AI239),MIN($C239:$AI239)),$C239:$AI239,0))*INDEX(AD228:$AJ238,MATCH(MIN($AK228:$AK238),$AK228:$AK238,0),1)/INDEX($C228:$AJ238,MATCH(MIN($AK228:$AK238),$AK228:$AK238,0),MATCH(IF('Data-solution'!$A$3="Maximize",MAX($C239:$AI239),MIN($C239:$AI239)),$C239:$AI239,0))),AD237)</f>
        <v>0</v>
      </c>
      <c r="AE252" s="1">
        <f>IF(OR($B243&lt;&gt;$B228,$B244&lt;&gt;$B229,$B245&lt;&gt;$B230,$B246&lt;&gt;$B231,$B247&lt;&gt;$B232,$B248&lt;&gt;$B233,$B249&lt;&gt;$B234,$B250&lt;&gt;$B235,$B251&lt;&gt;$B236,$B252&lt;&gt;$B237,$B253&lt;&gt;$B238),IF($B252&lt;&gt;$B237,AE237/INDEX($C228:$AJ238,10,MATCH(IF('Data-solution'!$A$3="Maximize",MAX($C239:$AI239),MIN($C239:$AI239)),$C239:$AI239,0)),AE237-INDEX($C228:$AJ238,10,MATCH(IF('Data-solution'!$A$3="Maximize",MAX($C239:$AI239),MIN($C239:$AI239)),$C239:$AI239,0))*INDEX(AE228:$AJ238,MATCH(MIN($AK228:$AK238),$AK228:$AK238,0),1)/INDEX($C228:$AJ238,MATCH(MIN($AK228:$AK238),$AK228:$AK238,0),MATCH(IF('Data-solution'!$A$3="Maximize",MAX($C239:$AI239),MIN($C239:$AI239)),$C239:$AI239,0))),AE237)</f>
        <v>0</v>
      </c>
      <c r="AF252" s="1">
        <f>IF(OR($B243&lt;&gt;$B228,$B244&lt;&gt;$B229,$B245&lt;&gt;$B230,$B246&lt;&gt;$B231,$B247&lt;&gt;$B232,$B248&lt;&gt;$B233,$B249&lt;&gt;$B234,$B250&lt;&gt;$B235,$B251&lt;&gt;$B236,$B252&lt;&gt;$B237,$B253&lt;&gt;$B238),IF($B252&lt;&gt;$B237,AF237/INDEX($C228:$AJ238,10,MATCH(IF('Data-solution'!$A$3="Maximize",MAX($C239:$AI239),MIN($C239:$AI239)),$C239:$AI239,0)),AF237-INDEX($C228:$AJ238,10,MATCH(IF('Data-solution'!$A$3="Maximize",MAX($C239:$AI239),MIN($C239:$AI239)),$C239:$AI239,0))*INDEX(AF228:$AJ238,MATCH(MIN($AK228:$AK238),$AK228:$AK238,0),1)/INDEX($C228:$AJ238,MATCH(MIN($AK228:$AK238),$AK228:$AK238,0),MATCH(IF('Data-solution'!$A$3="Maximize",MAX($C239:$AI239),MIN($C239:$AI239)),$C239:$AI239,0))),AF237)</f>
        <v>0</v>
      </c>
      <c r="AG252" s="1">
        <f>IF(OR($B243&lt;&gt;$B228,$B244&lt;&gt;$B229,$B245&lt;&gt;$B230,$B246&lt;&gt;$B231,$B247&lt;&gt;$B232,$B248&lt;&gt;$B233,$B249&lt;&gt;$B234,$B250&lt;&gt;$B235,$B251&lt;&gt;$B236,$B252&lt;&gt;$B237,$B253&lt;&gt;$B238),IF($B252&lt;&gt;$B237,AG237/INDEX($C228:$AJ238,10,MATCH(IF('Data-solution'!$A$3="Maximize",MAX($C239:$AI239),MIN($C239:$AI239)),$C239:$AI239,0)),AG237-INDEX($C228:$AJ238,10,MATCH(IF('Data-solution'!$A$3="Maximize",MAX($C239:$AI239),MIN($C239:$AI239)),$C239:$AI239,0))*INDEX(AG228:$AJ238,MATCH(MIN($AK228:$AK238),$AK228:$AK238,0),1)/INDEX($C228:$AJ238,MATCH(MIN($AK228:$AK238),$AK228:$AK238,0),MATCH(IF('Data-solution'!$A$3="Maximize",MAX($C239:$AI239),MIN($C239:$AI239)),$C239:$AI239,0))),AG237)</f>
        <v>0</v>
      </c>
      <c r="AH252" s="1">
        <f>IF(OR($B243&lt;&gt;$B228,$B244&lt;&gt;$B229,$B245&lt;&gt;$B230,$B246&lt;&gt;$B231,$B247&lt;&gt;$B232,$B248&lt;&gt;$B233,$B249&lt;&gt;$B234,$B250&lt;&gt;$B235,$B251&lt;&gt;$B236,$B252&lt;&gt;$B237,$B253&lt;&gt;$B238),IF($B252&lt;&gt;$B237,AH237/INDEX($C228:$AJ238,10,MATCH(IF('Data-solution'!$A$3="Maximize",MAX($C239:$AI239),MIN($C239:$AI239)),$C239:$AI239,0)),AH237-INDEX($C228:$AJ238,10,MATCH(IF('Data-solution'!$A$3="Maximize",MAX($C239:$AI239),MIN($C239:$AI239)),$C239:$AI239,0))*INDEX(AH228:$AJ238,MATCH(MIN($AK228:$AK238),$AK228:$AK238,0),1)/INDEX($C228:$AJ238,MATCH(MIN($AK228:$AK238),$AK228:$AK238,0),MATCH(IF('Data-solution'!$A$3="Maximize",MAX($C239:$AI239),MIN($C239:$AI239)),$C239:$AI239,0))),AH237)</f>
        <v>1</v>
      </c>
      <c r="AI252" s="1">
        <f>IF(OR($B243&lt;&gt;$B228,$B244&lt;&gt;$B229,$B245&lt;&gt;$B230,$B246&lt;&gt;$B231,$B247&lt;&gt;$B232,$B248&lt;&gt;$B233,$B249&lt;&gt;$B234,$B250&lt;&gt;$B235,$B251&lt;&gt;$B236,$B252&lt;&gt;$B237,$B253&lt;&gt;$B238),IF($B252&lt;&gt;$B237,AI237/INDEX($C228:$AJ238,10,MATCH(IF('Data-solution'!$A$3="Maximize",MAX($C239:$AI239),MIN($C239:$AI239)),$C239:$AI239,0)),AI237-INDEX($C228:$AJ238,10,MATCH(IF('Data-solution'!$A$3="Maximize",MAX($C239:$AI239),MIN($C239:$AI239)),$C239:$AI239,0))*INDEX(AI228:$AJ238,MATCH(MIN($AK228:$AK238),$AK228:$AK238,0),1)/INDEX($C228:$AJ238,MATCH(MIN($AK228:$AK238),$AK228:$AK238,0),MATCH(IF('Data-solution'!$A$3="Maximize",MAX($C239:$AI239),MIN($C239:$AI239)),$C239:$AI239,0))),AI237)</f>
        <v>0</v>
      </c>
      <c r="AJ252" s="1">
        <f>IF(OR($B243&lt;&gt;$B228,$B244&lt;&gt;$B229,$B245&lt;&gt;$B230,$B246&lt;&gt;$B231,$B247&lt;&gt;$B232,$B248&lt;&gt;$B233,$B249&lt;&gt;$B234,$B250&lt;&gt;$B235,$B251&lt;&gt;$B236,$B252&lt;&gt;$B237,$B253&lt;&gt;$B238),IF($B252&lt;&gt;$B237,AJ237/INDEX($C228:$AJ238,10,MATCH(IF('Data-solution'!$A$3="Maximize",MAX($C239:$AI239),MIN($C239:$AI239)),$C239:$AI239,0)),AJ237-INDEX($C228:$AJ238,10,MATCH(IF('Data-solution'!$A$3="Maximize",MAX($C239:$AI239),MIN($C239:$AI239)),$C239:$AI239,0))*INDEX(AJ228:$AJ238,MATCH(MIN($AK228:$AK238),$AK228:$AK238,0),1)/INDEX($C228:$AJ238,MATCH(MIN($AK228:$AK238),$AK228:$AK238,0),MATCH(IF('Data-solution'!$A$3="Maximize",MAX($C239:$AI239),MIN($C239:$AI239)),$C239:$AI239,0))),AJ237)</f>
        <v>0</v>
      </c>
      <c r="AK252" s="1" t="str">
        <f>IF(INDEX(C252:X252,1,MATCH(IF('Data-solution'!A$3="Maximize",MAX(C254:X254),MIN(C254:X254)),C254:X254,0))&gt;0,AJ252/INDEX(C252:X252,1,MATCH(IF('Data-solution'!A$3="Maximize",MAX(C254:X254),MIN(C254:X254)),C254:X254,0))," ")</f>
        <v xml:space="preserve"> </v>
      </c>
    </row>
    <row r="253" spans="1:37" ht="18" customHeight="1" x14ac:dyDescent="0.2">
      <c r="A253" s="1">
        <f t="shared" ref="A253" si="222">INDEX(C241:AI241,1,MATCH(B253,C242:AI242,0))</f>
        <v>0</v>
      </c>
      <c r="B253" s="2" t="str">
        <f>IF(AND('Data-solution'!A$3="Maximize",COUNTIF(C239:X239,"&gt;"&amp;0)&gt;0,AK238=MIN(AK228:AK238),COUNTIF(B243:B252,INDEX(C227:X227,1,MATCH(MAX(C239:X239),C239:X239,0)))=0),INDEX(C227:X227,1,MATCH(MAX(C239:X239),C239:X239,0)),IF(AND('Data-solution'!A$3="Minimize",COUNTIF(C239:X239,"&lt;"&amp;0)&gt;0,AK238=MIN(AK228:AK238),COUNTIF(B243:B252,INDEX(C227:X227,1,MATCH(MIN(C239:X239),C239:X239,0)))=0),INDEX(C227:X227,1,MATCH(MIN(C239:X239),C239:X239,0)),B238))</f>
        <v>S11</v>
      </c>
      <c r="C253" s="1">
        <f>IF(OR($B243&lt;&gt;$B228,$B244&lt;&gt;$B229,$B245&lt;&gt;$B230,$B246&lt;&gt;$B231,$B247&lt;&gt;$B232,$B248&lt;&gt;$B233,$B249&lt;&gt;$B234,$B250&lt;&gt;$B235,$B251&lt;&gt;$B236,$B252&lt;&gt;$B237,$B253&lt;&gt;$B238),IF($B253&lt;&gt;$B238,C238/INDEX($C228:$AJ238,11,MATCH(IF('Data-solution'!$A$3="Maximize",MAX($C239:$AI239),MIN($C239:$AI239)),$C239:$AI239,0)),C238-INDEX($C228:$AJ238,11,MATCH(IF('Data-solution'!$A$3="Maximize",MAX($C239:$AI239),MIN($C239:$AI239)),$C239:$AI239,0))*INDEX(C228:$AJ238,MATCH(MIN($AK228:$AK238),$AK228:$AK238,0),1)/INDEX($C228:$AJ238,MATCH(MIN($AK228:$AK238),$AK228:$AK238,0),MATCH(IF('Data-solution'!$A$3="Maximize",MAX($C239:$AI239),MIN($C239:$AI239)),$C239:$AI239,0))),C238)</f>
        <v>0</v>
      </c>
      <c r="D253" s="1">
        <f>IF(OR($B243&lt;&gt;$B228,$B244&lt;&gt;$B229,$B245&lt;&gt;$B230,$B246&lt;&gt;$B231,$B247&lt;&gt;$B232,$B248&lt;&gt;$B233,$B249&lt;&gt;$B234,$B250&lt;&gt;$B235,$B251&lt;&gt;$B236,$B252&lt;&gt;$B237,$B253&lt;&gt;$B238),IF($B253&lt;&gt;$B238,D238/INDEX($C228:$AJ238,11,MATCH(IF('Data-solution'!$A$3="Maximize",MAX($C239:$AI239),MIN($C239:$AI239)),$C239:$AI239,0)),D238-INDEX($C228:$AJ238,11,MATCH(IF('Data-solution'!$A$3="Maximize",MAX($C239:$AI239),MIN($C239:$AI239)),$C239:$AI239,0))*INDEX(D228:$AJ238,MATCH(MIN($AK228:$AK238),$AK228:$AK238,0),1)/INDEX($C228:$AJ238,MATCH(MIN($AK228:$AK238),$AK228:$AK238,0),MATCH(IF('Data-solution'!$A$3="Maximize",MAX($C239:$AI239),MIN($C239:$AI239)),$C239:$AI239,0))),D238)</f>
        <v>0</v>
      </c>
      <c r="E253" s="1">
        <f>IF(OR($B243&lt;&gt;$B228,$B244&lt;&gt;$B229,$B245&lt;&gt;$B230,$B246&lt;&gt;$B231,$B247&lt;&gt;$B232,$B248&lt;&gt;$B233,$B249&lt;&gt;$B234,$B250&lt;&gt;$B235,$B251&lt;&gt;$B236,$B252&lt;&gt;$B237,$B253&lt;&gt;$B238),IF($B253&lt;&gt;$B238,E238/INDEX($C228:$AJ238,11,MATCH(IF('Data-solution'!$A$3="Maximize",MAX($C239:$AI239),MIN($C239:$AI239)),$C239:$AI239,0)),E238-INDEX($C228:$AJ238,11,MATCH(IF('Data-solution'!$A$3="Maximize",MAX($C239:$AI239),MIN($C239:$AI239)),$C239:$AI239,0))*INDEX(E228:$AJ238,MATCH(MIN($AK228:$AK238),$AK228:$AK238,0),1)/INDEX($C228:$AJ238,MATCH(MIN($AK228:$AK238),$AK228:$AK238,0),MATCH(IF('Data-solution'!$A$3="Maximize",MAX($C239:$AI239),MIN($C239:$AI239)),$C239:$AI239,0))),E238)</f>
        <v>0</v>
      </c>
      <c r="F253" s="1">
        <f>IF(OR($B243&lt;&gt;$B228,$B244&lt;&gt;$B229,$B245&lt;&gt;$B230,$B246&lt;&gt;$B231,$B247&lt;&gt;$B232,$B248&lt;&gt;$B233,$B249&lt;&gt;$B234,$B250&lt;&gt;$B235,$B251&lt;&gt;$B236,$B252&lt;&gt;$B237,$B253&lt;&gt;$B238),IF($B253&lt;&gt;$B238,F238/INDEX($C228:$AJ238,11,MATCH(IF('Data-solution'!$A$3="Maximize",MAX($C239:$AI239),MIN($C239:$AI239)),$C239:$AI239,0)),F238-INDEX($C228:$AJ238,11,MATCH(IF('Data-solution'!$A$3="Maximize",MAX($C239:$AI239),MIN($C239:$AI239)),$C239:$AI239,0))*INDEX(F228:$AJ238,MATCH(MIN($AK228:$AK238),$AK228:$AK238,0),1)/INDEX($C228:$AJ238,MATCH(MIN($AK228:$AK238),$AK228:$AK238,0),MATCH(IF('Data-solution'!$A$3="Maximize",MAX($C239:$AI239),MIN($C239:$AI239)),$C239:$AI239,0))),F238)</f>
        <v>0</v>
      </c>
      <c r="G253" s="1">
        <f>IF(OR($B243&lt;&gt;$B228,$B244&lt;&gt;$B229,$B245&lt;&gt;$B230,$B246&lt;&gt;$B231,$B247&lt;&gt;$B232,$B248&lt;&gt;$B233,$B249&lt;&gt;$B234,$B250&lt;&gt;$B235,$B251&lt;&gt;$B236,$B252&lt;&gt;$B237,$B253&lt;&gt;$B238),IF($B253&lt;&gt;$B238,G238/INDEX($C228:$AJ238,11,MATCH(IF('Data-solution'!$A$3="Maximize",MAX($C239:$AI239),MIN($C239:$AI239)),$C239:$AI239,0)),G238-INDEX($C228:$AJ238,11,MATCH(IF('Data-solution'!$A$3="Maximize",MAX($C239:$AI239),MIN($C239:$AI239)),$C239:$AI239,0))*INDEX(G228:$AJ238,MATCH(MIN($AK228:$AK238),$AK228:$AK238,0),1)/INDEX($C228:$AJ238,MATCH(MIN($AK228:$AK238),$AK228:$AK238,0),MATCH(IF('Data-solution'!$A$3="Maximize",MAX($C239:$AI239),MIN($C239:$AI239)),$C239:$AI239,0))),G238)</f>
        <v>0</v>
      </c>
      <c r="H253" s="1">
        <f>IF(OR($B243&lt;&gt;$B228,$B244&lt;&gt;$B229,$B245&lt;&gt;$B230,$B246&lt;&gt;$B231,$B247&lt;&gt;$B232,$B248&lt;&gt;$B233,$B249&lt;&gt;$B234,$B250&lt;&gt;$B235,$B251&lt;&gt;$B236,$B252&lt;&gt;$B237,$B253&lt;&gt;$B238),IF($B253&lt;&gt;$B238,H238/INDEX($C228:$AJ238,11,MATCH(IF('Data-solution'!$A$3="Maximize",MAX($C239:$AI239),MIN($C239:$AI239)),$C239:$AI239,0)),H238-INDEX($C228:$AJ238,11,MATCH(IF('Data-solution'!$A$3="Maximize",MAX($C239:$AI239),MIN($C239:$AI239)),$C239:$AI239,0))*INDEX(H228:$AJ238,MATCH(MIN($AK228:$AK238),$AK228:$AK238,0),1)/INDEX($C228:$AJ238,MATCH(MIN($AK228:$AK238),$AK228:$AK238,0),MATCH(IF('Data-solution'!$A$3="Maximize",MAX($C239:$AI239),MIN($C239:$AI239)),$C239:$AI239,0))),H238)</f>
        <v>0</v>
      </c>
      <c r="I253" s="1">
        <f>IF(OR($B243&lt;&gt;$B228,$B244&lt;&gt;$B229,$B245&lt;&gt;$B230,$B246&lt;&gt;$B231,$B247&lt;&gt;$B232,$B248&lt;&gt;$B233,$B249&lt;&gt;$B234,$B250&lt;&gt;$B235,$B251&lt;&gt;$B236,$B252&lt;&gt;$B237,$B253&lt;&gt;$B238),IF($B253&lt;&gt;$B238,I238/INDEX($C228:$AJ238,11,MATCH(IF('Data-solution'!$A$3="Maximize",MAX($C239:$AI239),MIN($C239:$AI239)),$C239:$AI239,0)),I238-INDEX($C228:$AJ238,11,MATCH(IF('Data-solution'!$A$3="Maximize",MAX($C239:$AI239),MIN($C239:$AI239)),$C239:$AI239,0))*INDEX(I228:$AJ238,MATCH(MIN($AK228:$AK238),$AK228:$AK238,0),1)/INDEX($C228:$AJ238,MATCH(MIN($AK228:$AK238),$AK228:$AK238,0),MATCH(IF('Data-solution'!$A$3="Maximize",MAX($C239:$AI239),MIN($C239:$AI239)),$C239:$AI239,0))),I238)</f>
        <v>0</v>
      </c>
      <c r="J253" s="1">
        <f>IF(OR($B243&lt;&gt;$B228,$B244&lt;&gt;$B229,$B245&lt;&gt;$B230,$B246&lt;&gt;$B231,$B247&lt;&gt;$B232,$B248&lt;&gt;$B233,$B249&lt;&gt;$B234,$B250&lt;&gt;$B235,$B251&lt;&gt;$B236,$B252&lt;&gt;$B237,$B253&lt;&gt;$B238),IF($B253&lt;&gt;$B238,J238/INDEX($C228:$AJ238,11,MATCH(IF('Data-solution'!$A$3="Maximize",MAX($C239:$AI239),MIN($C239:$AI239)),$C239:$AI239,0)),J238-INDEX($C228:$AJ238,11,MATCH(IF('Data-solution'!$A$3="Maximize",MAX($C239:$AI239),MIN($C239:$AI239)),$C239:$AI239,0))*INDEX(J228:$AJ238,MATCH(MIN($AK228:$AK238),$AK228:$AK238,0),1)/INDEX($C228:$AJ238,MATCH(MIN($AK228:$AK238),$AK228:$AK238,0),MATCH(IF('Data-solution'!$A$3="Maximize",MAX($C239:$AI239),MIN($C239:$AI239)),$C239:$AI239,0))),J238)</f>
        <v>0</v>
      </c>
      <c r="K253" s="1">
        <f>IF(OR($B243&lt;&gt;$B228,$B244&lt;&gt;$B229,$B245&lt;&gt;$B230,$B246&lt;&gt;$B231,$B247&lt;&gt;$B232,$B248&lt;&gt;$B233,$B249&lt;&gt;$B234,$B250&lt;&gt;$B235,$B251&lt;&gt;$B236,$B252&lt;&gt;$B237,$B253&lt;&gt;$B238),IF($B253&lt;&gt;$B238,K238/INDEX($C228:$AJ238,11,MATCH(IF('Data-solution'!$A$3="Maximize",MAX($C239:$AI239),MIN($C239:$AI239)),$C239:$AI239,0)),K238-INDEX($C228:$AJ238,11,MATCH(IF('Data-solution'!$A$3="Maximize",MAX($C239:$AI239),MIN($C239:$AI239)),$C239:$AI239,0))*INDEX(K228:$AJ238,MATCH(MIN($AK228:$AK238),$AK228:$AK238,0),1)/INDEX($C228:$AJ238,MATCH(MIN($AK228:$AK238),$AK228:$AK238,0),MATCH(IF('Data-solution'!$A$3="Maximize",MAX($C239:$AI239),MIN($C239:$AI239)),$C239:$AI239,0))),K238)</f>
        <v>0</v>
      </c>
      <c r="L253" s="1">
        <f>IF(OR($B243&lt;&gt;$B228,$B244&lt;&gt;$B229,$B245&lt;&gt;$B230,$B246&lt;&gt;$B231,$B247&lt;&gt;$B232,$B248&lt;&gt;$B233,$B249&lt;&gt;$B234,$B250&lt;&gt;$B235,$B251&lt;&gt;$B236,$B252&lt;&gt;$B237,$B253&lt;&gt;$B238),IF($B253&lt;&gt;$B238,L238/INDEX($C228:$AJ238,11,MATCH(IF('Data-solution'!$A$3="Maximize",MAX($C239:$AI239),MIN($C239:$AI239)),$C239:$AI239,0)),L238-INDEX($C228:$AJ238,11,MATCH(IF('Data-solution'!$A$3="Maximize",MAX($C239:$AI239),MIN($C239:$AI239)),$C239:$AI239,0))*INDEX(L228:$AJ238,MATCH(MIN($AK228:$AK238),$AK228:$AK238,0),1)/INDEX($C228:$AJ238,MATCH(MIN($AK228:$AK238),$AK228:$AK238,0),MATCH(IF('Data-solution'!$A$3="Maximize",MAX($C239:$AI239),MIN($C239:$AI239)),$C239:$AI239,0))),L238)</f>
        <v>0</v>
      </c>
      <c r="M253" s="1">
        <f>IF(OR($B243&lt;&gt;$B228,$B244&lt;&gt;$B229,$B245&lt;&gt;$B230,$B246&lt;&gt;$B231,$B247&lt;&gt;$B232,$B248&lt;&gt;$B233,$B249&lt;&gt;$B234,$B250&lt;&gt;$B235,$B251&lt;&gt;$B236,$B252&lt;&gt;$B237,$B253&lt;&gt;$B238),IF($B253&lt;&gt;$B238,M238/INDEX($C228:$AJ238,11,MATCH(IF('Data-solution'!$A$3="Maximize",MAX($C239:$AI239),MIN($C239:$AI239)),$C239:$AI239,0)),M238-INDEX($C228:$AJ238,11,MATCH(IF('Data-solution'!$A$3="Maximize",MAX($C239:$AI239),MIN($C239:$AI239)),$C239:$AI239,0))*INDEX(M228:$AJ238,MATCH(MIN($AK228:$AK238),$AK228:$AK238,0),1)/INDEX($C228:$AJ238,MATCH(MIN($AK228:$AK238),$AK228:$AK238,0),MATCH(IF('Data-solution'!$A$3="Maximize",MAX($C239:$AI239),MIN($C239:$AI239)),$C239:$AI239,0))),M238)</f>
        <v>0</v>
      </c>
      <c r="N253" s="1">
        <f>IF(OR($B243&lt;&gt;$B228,$B244&lt;&gt;$B229,$B245&lt;&gt;$B230,$B246&lt;&gt;$B231,$B247&lt;&gt;$B232,$B248&lt;&gt;$B233,$B249&lt;&gt;$B234,$B250&lt;&gt;$B235,$B251&lt;&gt;$B236,$B252&lt;&gt;$B237,$B253&lt;&gt;$B238),IF($B253&lt;&gt;$B238,N238/INDEX($C228:$AJ238,11,MATCH(IF('Data-solution'!$A$3="Maximize",MAX($C239:$AI239),MIN($C239:$AI239)),$C239:$AI239,0)),N238-INDEX($C228:$AJ238,11,MATCH(IF('Data-solution'!$A$3="Maximize",MAX($C239:$AI239),MIN($C239:$AI239)),$C239:$AI239,0))*INDEX(N228:$AJ238,MATCH(MIN($AK228:$AK238),$AK228:$AK238,0),1)/INDEX($C228:$AJ238,MATCH(MIN($AK228:$AK238),$AK228:$AK238,0),MATCH(IF('Data-solution'!$A$3="Maximize",MAX($C239:$AI239),MIN($C239:$AI239)),$C239:$AI239,0))),N238)</f>
        <v>0</v>
      </c>
      <c r="O253" s="1">
        <f>IF(OR($B243&lt;&gt;$B228,$B244&lt;&gt;$B229,$B245&lt;&gt;$B230,$B246&lt;&gt;$B231,$B247&lt;&gt;$B232,$B248&lt;&gt;$B233,$B249&lt;&gt;$B234,$B250&lt;&gt;$B235,$B251&lt;&gt;$B236,$B252&lt;&gt;$B237,$B253&lt;&gt;$B238),IF($B253&lt;&gt;$B238,O238/INDEX($C228:$AJ238,11,MATCH(IF('Data-solution'!$A$3="Maximize",MAX($C239:$AI239),MIN($C239:$AI239)),$C239:$AI239,0)),O238-INDEX($C228:$AJ238,11,MATCH(IF('Data-solution'!$A$3="Maximize",MAX($C239:$AI239),MIN($C239:$AI239)),$C239:$AI239,0))*INDEX(O228:$AJ238,MATCH(MIN($AK228:$AK238),$AK228:$AK238,0),1)/INDEX($C228:$AJ238,MATCH(MIN($AK228:$AK238),$AK228:$AK238,0),MATCH(IF('Data-solution'!$A$3="Maximize",MAX($C239:$AI239),MIN($C239:$AI239)),$C239:$AI239,0))),O238)</f>
        <v>0</v>
      </c>
      <c r="P253" s="1">
        <f>IF(OR($B243&lt;&gt;$B228,$B244&lt;&gt;$B229,$B245&lt;&gt;$B230,$B246&lt;&gt;$B231,$B247&lt;&gt;$B232,$B248&lt;&gt;$B233,$B249&lt;&gt;$B234,$B250&lt;&gt;$B235,$B251&lt;&gt;$B236,$B252&lt;&gt;$B237,$B253&lt;&gt;$B238),IF($B253&lt;&gt;$B238,P238/INDEX($C228:$AJ238,11,MATCH(IF('Data-solution'!$A$3="Maximize",MAX($C239:$AI239),MIN($C239:$AI239)),$C239:$AI239,0)),P238-INDEX($C228:$AJ238,11,MATCH(IF('Data-solution'!$A$3="Maximize",MAX($C239:$AI239),MIN($C239:$AI239)),$C239:$AI239,0))*INDEX(P228:$AJ238,MATCH(MIN($AK228:$AK238),$AK228:$AK238,0),1)/INDEX($C228:$AJ238,MATCH(MIN($AK228:$AK238),$AK228:$AK238,0),MATCH(IF('Data-solution'!$A$3="Maximize",MAX($C239:$AI239),MIN($C239:$AI239)),$C239:$AI239,0))),P238)</f>
        <v>0</v>
      </c>
      <c r="Q253" s="1">
        <f>IF(OR($B243&lt;&gt;$B228,$B244&lt;&gt;$B229,$B245&lt;&gt;$B230,$B246&lt;&gt;$B231,$B247&lt;&gt;$B232,$B248&lt;&gt;$B233,$B249&lt;&gt;$B234,$B250&lt;&gt;$B235,$B251&lt;&gt;$B236,$B252&lt;&gt;$B237,$B253&lt;&gt;$B238),IF($B253&lt;&gt;$B238,Q238/INDEX($C228:$AJ238,11,MATCH(IF('Data-solution'!$A$3="Maximize",MAX($C239:$AI239),MIN($C239:$AI239)),$C239:$AI239,0)),Q238-INDEX($C228:$AJ238,11,MATCH(IF('Data-solution'!$A$3="Maximize",MAX($C239:$AI239),MIN($C239:$AI239)),$C239:$AI239,0))*INDEX(Q228:$AJ238,MATCH(MIN($AK228:$AK238),$AK228:$AK238,0),1)/INDEX($C228:$AJ238,MATCH(MIN($AK228:$AK238),$AK228:$AK238,0),MATCH(IF('Data-solution'!$A$3="Maximize",MAX($C239:$AI239),MIN($C239:$AI239)),$C239:$AI239,0))),Q238)</f>
        <v>0</v>
      </c>
      <c r="R253" s="1">
        <f>IF(OR($B243&lt;&gt;$B228,$B244&lt;&gt;$B229,$B245&lt;&gt;$B230,$B246&lt;&gt;$B231,$B247&lt;&gt;$B232,$B248&lt;&gt;$B233,$B249&lt;&gt;$B234,$B250&lt;&gt;$B235,$B251&lt;&gt;$B236,$B252&lt;&gt;$B237,$B253&lt;&gt;$B238),IF($B253&lt;&gt;$B238,R238/INDEX($C228:$AJ238,11,MATCH(IF('Data-solution'!$A$3="Maximize",MAX($C239:$AI239),MIN($C239:$AI239)),$C239:$AI239,0)),R238-INDEX($C228:$AJ238,11,MATCH(IF('Data-solution'!$A$3="Maximize",MAX($C239:$AI239),MIN($C239:$AI239)),$C239:$AI239,0))*INDEX(R228:$AJ238,MATCH(MIN($AK228:$AK238),$AK228:$AK238,0),1)/INDEX($C228:$AJ238,MATCH(MIN($AK228:$AK238),$AK228:$AK238,0),MATCH(IF('Data-solution'!$A$3="Maximize",MAX($C239:$AI239),MIN($C239:$AI239)),$C239:$AI239,0))),R238)</f>
        <v>0</v>
      </c>
      <c r="S253" s="1">
        <f>IF(OR($B243&lt;&gt;$B228,$B244&lt;&gt;$B229,$B245&lt;&gt;$B230,$B246&lt;&gt;$B231,$B247&lt;&gt;$B232,$B248&lt;&gt;$B233,$B249&lt;&gt;$B234,$B250&lt;&gt;$B235,$B251&lt;&gt;$B236,$B252&lt;&gt;$B237,$B253&lt;&gt;$B238),IF($B253&lt;&gt;$B238,S238/INDEX($C228:$AJ238,11,MATCH(IF('Data-solution'!$A$3="Maximize",MAX($C239:$AI239),MIN($C239:$AI239)),$C239:$AI239,0)),S238-INDEX($C228:$AJ238,11,MATCH(IF('Data-solution'!$A$3="Maximize",MAX($C239:$AI239),MIN($C239:$AI239)),$C239:$AI239,0))*INDEX(S228:$AJ238,MATCH(MIN($AK228:$AK238),$AK228:$AK238,0),1)/INDEX($C228:$AJ238,MATCH(MIN($AK228:$AK238),$AK228:$AK238,0),MATCH(IF('Data-solution'!$A$3="Maximize",MAX($C239:$AI239),MIN($C239:$AI239)),$C239:$AI239,0))),S238)</f>
        <v>0</v>
      </c>
      <c r="T253" s="1">
        <f>IF(OR($B243&lt;&gt;$B228,$B244&lt;&gt;$B229,$B245&lt;&gt;$B230,$B246&lt;&gt;$B231,$B247&lt;&gt;$B232,$B248&lt;&gt;$B233,$B249&lt;&gt;$B234,$B250&lt;&gt;$B235,$B251&lt;&gt;$B236,$B252&lt;&gt;$B237,$B253&lt;&gt;$B238),IF($B253&lt;&gt;$B238,T238/INDEX($C228:$AJ238,11,MATCH(IF('Data-solution'!$A$3="Maximize",MAX($C239:$AI239),MIN($C239:$AI239)),$C239:$AI239,0)),T238-INDEX($C228:$AJ238,11,MATCH(IF('Data-solution'!$A$3="Maximize",MAX($C239:$AI239),MIN($C239:$AI239)),$C239:$AI239,0))*INDEX(T228:$AJ238,MATCH(MIN($AK228:$AK238),$AK228:$AK238,0),1)/INDEX($C228:$AJ238,MATCH(MIN($AK228:$AK238),$AK228:$AK238,0),MATCH(IF('Data-solution'!$A$3="Maximize",MAX($C239:$AI239),MIN($C239:$AI239)),$C239:$AI239,0))),T238)</f>
        <v>0</v>
      </c>
      <c r="U253" s="1">
        <f>IF(OR($B243&lt;&gt;$B228,$B244&lt;&gt;$B229,$B245&lt;&gt;$B230,$B246&lt;&gt;$B231,$B247&lt;&gt;$B232,$B248&lt;&gt;$B233,$B249&lt;&gt;$B234,$B250&lt;&gt;$B235,$B251&lt;&gt;$B236,$B252&lt;&gt;$B237,$B253&lt;&gt;$B238),IF($B253&lt;&gt;$B238,U238/INDEX($C228:$AJ238,11,MATCH(IF('Data-solution'!$A$3="Maximize",MAX($C239:$AI239),MIN($C239:$AI239)),$C239:$AI239,0)),U238-INDEX($C228:$AJ238,11,MATCH(IF('Data-solution'!$A$3="Maximize",MAX($C239:$AI239),MIN($C239:$AI239)),$C239:$AI239,0))*INDEX(U228:$AJ238,MATCH(MIN($AK228:$AK238),$AK228:$AK238,0),1)/INDEX($C228:$AJ238,MATCH(MIN($AK228:$AK238),$AK228:$AK238,0),MATCH(IF('Data-solution'!$A$3="Maximize",MAX($C239:$AI239),MIN($C239:$AI239)),$C239:$AI239,0))),U238)</f>
        <v>0</v>
      </c>
      <c r="V253" s="1">
        <f>IF(OR($B243&lt;&gt;$B228,$B244&lt;&gt;$B229,$B245&lt;&gt;$B230,$B246&lt;&gt;$B231,$B247&lt;&gt;$B232,$B248&lt;&gt;$B233,$B249&lt;&gt;$B234,$B250&lt;&gt;$B235,$B251&lt;&gt;$B236,$B252&lt;&gt;$B237,$B253&lt;&gt;$B238),IF($B253&lt;&gt;$B238,V238/INDEX($C228:$AJ238,11,MATCH(IF('Data-solution'!$A$3="Maximize",MAX($C239:$AI239),MIN($C239:$AI239)),$C239:$AI239,0)),V238-INDEX($C228:$AJ238,11,MATCH(IF('Data-solution'!$A$3="Maximize",MAX($C239:$AI239),MIN($C239:$AI239)),$C239:$AI239,0))*INDEX(V228:$AJ238,MATCH(MIN($AK228:$AK238),$AK228:$AK238,0),1)/INDEX($C228:$AJ238,MATCH(MIN($AK228:$AK238),$AK228:$AK238,0),MATCH(IF('Data-solution'!$A$3="Maximize",MAX($C239:$AI239),MIN($C239:$AI239)),$C239:$AI239,0))),V238)</f>
        <v>0</v>
      </c>
      <c r="W253" s="1">
        <f>IF(OR($B243&lt;&gt;$B228,$B244&lt;&gt;$B229,$B245&lt;&gt;$B230,$B246&lt;&gt;$B231,$B247&lt;&gt;$B232,$B248&lt;&gt;$B233,$B249&lt;&gt;$B234,$B250&lt;&gt;$B235,$B251&lt;&gt;$B236,$B252&lt;&gt;$B237,$B253&lt;&gt;$B238),IF($B253&lt;&gt;$B238,W238/INDEX($C228:$AJ238,11,MATCH(IF('Data-solution'!$A$3="Maximize",MAX($C239:$AI239),MIN($C239:$AI239)),$C239:$AI239,0)),W238-INDEX($C228:$AJ238,11,MATCH(IF('Data-solution'!$A$3="Maximize",MAX($C239:$AI239),MIN($C239:$AI239)),$C239:$AI239,0))*INDEX(W228:$AJ238,MATCH(MIN($AK228:$AK238),$AK228:$AK238,0),1)/INDEX($C228:$AJ238,MATCH(MIN($AK228:$AK238),$AK228:$AK238,0),MATCH(IF('Data-solution'!$A$3="Maximize",MAX($C239:$AI239),MIN($C239:$AI239)),$C239:$AI239,0))),W238)</f>
        <v>0</v>
      </c>
      <c r="X253" s="1">
        <f>IF(OR($B243&lt;&gt;$B228,$B244&lt;&gt;$B229,$B245&lt;&gt;$B230,$B246&lt;&gt;$B231,$B247&lt;&gt;$B232,$B248&lt;&gt;$B233,$B249&lt;&gt;$B234,$B250&lt;&gt;$B235,$B251&lt;&gt;$B236,$B252&lt;&gt;$B237,$B253&lt;&gt;$B238),IF($B253&lt;&gt;$B238,X238/INDEX($C228:$AJ238,11,MATCH(IF('Data-solution'!$A$3="Maximize",MAX($C239:$AI239),MIN($C239:$AI239)),$C239:$AI239,0)),X238-INDEX($C228:$AJ238,11,MATCH(IF('Data-solution'!$A$3="Maximize",MAX($C239:$AI239),MIN($C239:$AI239)),$C239:$AI239,0))*INDEX(X228:$AJ238,MATCH(MIN($AK228:$AK238),$AK228:$AK238,0),1)/INDEX($C228:$AJ238,MATCH(MIN($AK228:$AK238),$AK228:$AK238,0),MATCH(IF('Data-solution'!$A$3="Maximize",MAX($C239:$AI239),MIN($C239:$AI239)),$C239:$AI239,0))),X238)</f>
        <v>1</v>
      </c>
      <c r="Y253" s="1">
        <f>IF(OR($B243&lt;&gt;$B228,$B244&lt;&gt;$B229,$B245&lt;&gt;$B230,$B246&lt;&gt;$B231,$B247&lt;&gt;$B232,$B248&lt;&gt;$B233,$B249&lt;&gt;$B234,$B250&lt;&gt;$B235,$B251&lt;&gt;$B236,$B252&lt;&gt;$B237,$B253&lt;&gt;$B238),IF($B253&lt;&gt;$B238,Y238/INDEX($C228:$AJ238,11,MATCH(IF('Data-solution'!$A$3="Maximize",MAX($C239:$AI239),MIN($C239:$AI239)),$C239:$AI239,0)),Y238-INDEX($C228:$AJ238,11,MATCH(IF('Data-solution'!$A$3="Maximize",MAX($C239:$AI239),MIN($C239:$AI239)),$C239:$AI239,0))*INDEX(Y228:$AJ238,MATCH(MIN($AK228:$AK238),$AK228:$AK238,0),1)/INDEX($C228:$AJ238,MATCH(MIN($AK228:$AK238),$AK228:$AK238,0),MATCH(IF('Data-solution'!$A$3="Maximize",MAX($C239:$AI239),MIN($C239:$AI239)),$C239:$AI239,0))),Y238)</f>
        <v>0</v>
      </c>
      <c r="Z253" s="1">
        <f>IF(OR($B243&lt;&gt;$B228,$B244&lt;&gt;$B229,$B245&lt;&gt;$B230,$B246&lt;&gt;$B231,$B247&lt;&gt;$B232,$B248&lt;&gt;$B233,$B249&lt;&gt;$B234,$B250&lt;&gt;$B235,$B251&lt;&gt;$B236,$B252&lt;&gt;$B237,$B253&lt;&gt;$B238),IF($B253&lt;&gt;$B238,Z238/INDEX($C228:$AJ238,11,MATCH(IF('Data-solution'!$A$3="Maximize",MAX($C239:$AI239),MIN($C239:$AI239)),$C239:$AI239,0)),Z238-INDEX($C228:$AJ238,11,MATCH(IF('Data-solution'!$A$3="Maximize",MAX($C239:$AI239),MIN($C239:$AI239)),$C239:$AI239,0))*INDEX(Z228:$AJ238,MATCH(MIN($AK228:$AK238),$AK228:$AK238,0),1)/INDEX($C228:$AJ238,MATCH(MIN($AK228:$AK238),$AK228:$AK238,0),MATCH(IF('Data-solution'!$A$3="Maximize",MAX($C239:$AI239),MIN($C239:$AI239)),$C239:$AI239,0))),Z238)</f>
        <v>0</v>
      </c>
      <c r="AA253" s="1">
        <f>IF(OR($B243&lt;&gt;$B228,$B244&lt;&gt;$B229,$B245&lt;&gt;$B230,$B246&lt;&gt;$B231,$B247&lt;&gt;$B232,$B248&lt;&gt;$B233,$B249&lt;&gt;$B234,$B250&lt;&gt;$B235,$B251&lt;&gt;$B236,$B252&lt;&gt;$B237,$B253&lt;&gt;$B238),IF($B253&lt;&gt;$B238,AA238/INDEX($C228:$AJ238,11,MATCH(IF('Data-solution'!$A$3="Maximize",MAX($C239:$AI239),MIN($C239:$AI239)),$C239:$AI239,0)),AA238-INDEX($C228:$AJ238,11,MATCH(IF('Data-solution'!$A$3="Maximize",MAX($C239:$AI239),MIN($C239:$AI239)),$C239:$AI239,0))*INDEX(AA228:$AJ238,MATCH(MIN($AK228:$AK238),$AK228:$AK238,0),1)/INDEX($C228:$AJ238,MATCH(MIN($AK228:$AK238),$AK228:$AK238,0),MATCH(IF('Data-solution'!$A$3="Maximize",MAX($C239:$AI239),MIN($C239:$AI239)),$C239:$AI239,0))),AA238)</f>
        <v>0</v>
      </c>
      <c r="AB253" s="1">
        <f>IF(OR($B243&lt;&gt;$B228,$B244&lt;&gt;$B229,$B245&lt;&gt;$B230,$B246&lt;&gt;$B231,$B247&lt;&gt;$B232,$B248&lt;&gt;$B233,$B249&lt;&gt;$B234,$B250&lt;&gt;$B235,$B251&lt;&gt;$B236,$B252&lt;&gt;$B237,$B253&lt;&gt;$B238),IF($B253&lt;&gt;$B238,AB238/INDEX($C228:$AJ238,11,MATCH(IF('Data-solution'!$A$3="Maximize",MAX($C239:$AI239),MIN($C239:$AI239)),$C239:$AI239,0)),AB238-INDEX($C228:$AJ238,11,MATCH(IF('Data-solution'!$A$3="Maximize",MAX($C239:$AI239),MIN($C239:$AI239)),$C239:$AI239,0))*INDEX(AB228:$AJ238,MATCH(MIN($AK228:$AK238),$AK228:$AK238,0),1)/INDEX($C228:$AJ238,MATCH(MIN($AK228:$AK238),$AK228:$AK238,0),MATCH(IF('Data-solution'!$A$3="Maximize",MAX($C239:$AI239),MIN($C239:$AI239)),$C239:$AI239,0))),AB238)</f>
        <v>0</v>
      </c>
      <c r="AC253" s="1">
        <f>IF(OR($B243&lt;&gt;$B228,$B244&lt;&gt;$B229,$B245&lt;&gt;$B230,$B246&lt;&gt;$B231,$B247&lt;&gt;$B232,$B248&lt;&gt;$B233,$B249&lt;&gt;$B234,$B250&lt;&gt;$B235,$B251&lt;&gt;$B236,$B252&lt;&gt;$B237,$B253&lt;&gt;$B238),IF($B253&lt;&gt;$B238,AC238/INDEX($C228:$AJ238,11,MATCH(IF('Data-solution'!$A$3="Maximize",MAX($C239:$AI239),MIN($C239:$AI239)),$C239:$AI239,0)),AC238-INDEX($C228:$AJ238,11,MATCH(IF('Data-solution'!$A$3="Maximize",MAX($C239:$AI239),MIN($C239:$AI239)),$C239:$AI239,0))*INDEX(AC228:$AJ238,MATCH(MIN($AK228:$AK238),$AK228:$AK238,0),1)/INDEX($C228:$AJ238,MATCH(MIN($AK228:$AK238),$AK228:$AK238,0),MATCH(IF('Data-solution'!$A$3="Maximize",MAX($C239:$AI239),MIN($C239:$AI239)),$C239:$AI239,0))),AC238)</f>
        <v>0</v>
      </c>
      <c r="AD253" s="1">
        <f>IF(OR($B243&lt;&gt;$B228,$B244&lt;&gt;$B229,$B245&lt;&gt;$B230,$B246&lt;&gt;$B231,$B247&lt;&gt;$B232,$B248&lt;&gt;$B233,$B249&lt;&gt;$B234,$B250&lt;&gt;$B235,$B251&lt;&gt;$B236,$B252&lt;&gt;$B237,$B253&lt;&gt;$B238),IF($B253&lt;&gt;$B238,AD238/INDEX($C228:$AJ238,11,MATCH(IF('Data-solution'!$A$3="Maximize",MAX($C239:$AI239),MIN($C239:$AI239)),$C239:$AI239,0)),AD238-INDEX($C228:$AJ238,11,MATCH(IF('Data-solution'!$A$3="Maximize",MAX($C239:$AI239),MIN($C239:$AI239)),$C239:$AI239,0))*INDEX(AD228:$AJ238,MATCH(MIN($AK228:$AK238),$AK228:$AK238,0),1)/INDEX($C228:$AJ238,MATCH(MIN($AK228:$AK238),$AK228:$AK238,0),MATCH(IF('Data-solution'!$A$3="Maximize",MAX($C239:$AI239),MIN($C239:$AI239)),$C239:$AI239,0))),AD238)</f>
        <v>0</v>
      </c>
      <c r="AE253" s="1">
        <f>IF(OR($B243&lt;&gt;$B228,$B244&lt;&gt;$B229,$B245&lt;&gt;$B230,$B246&lt;&gt;$B231,$B247&lt;&gt;$B232,$B248&lt;&gt;$B233,$B249&lt;&gt;$B234,$B250&lt;&gt;$B235,$B251&lt;&gt;$B236,$B252&lt;&gt;$B237,$B253&lt;&gt;$B238),IF($B253&lt;&gt;$B238,AE238/INDEX($C228:$AJ238,11,MATCH(IF('Data-solution'!$A$3="Maximize",MAX($C239:$AI239),MIN($C239:$AI239)),$C239:$AI239,0)),AE238-INDEX($C228:$AJ238,11,MATCH(IF('Data-solution'!$A$3="Maximize",MAX($C239:$AI239),MIN($C239:$AI239)),$C239:$AI239,0))*INDEX(AE228:$AJ238,MATCH(MIN($AK228:$AK238),$AK228:$AK238,0),1)/INDEX($C228:$AJ238,MATCH(MIN($AK228:$AK238),$AK228:$AK238,0),MATCH(IF('Data-solution'!$A$3="Maximize",MAX($C239:$AI239),MIN($C239:$AI239)),$C239:$AI239,0))),AE238)</f>
        <v>0</v>
      </c>
      <c r="AF253" s="1">
        <f>IF(OR($B243&lt;&gt;$B228,$B244&lt;&gt;$B229,$B245&lt;&gt;$B230,$B246&lt;&gt;$B231,$B247&lt;&gt;$B232,$B248&lt;&gt;$B233,$B249&lt;&gt;$B234,$B250&lt;&gt;$B235,$B251&lt;&gt;$B236,$B252&lt;&gt;$B237,$B253&lt;&gt;$B238),IF($B253&lt;&gt;$B238,AF238/INDEX($C228:$AJ238,11,MATCH(IF('Data-solution'!$A$3="Maximize",MAX($C239:$AI239),MIN($C239:$AI239)),$C239:$AI239,0)),AF238-INDEX($C228:$AJ238,11,MATCH(IF('Data-solution'!$A$3="Maximize",MAX($C239:$AI239),MIN($C239:$AI239)),$C239:$AI239,0))*INDEX(AF228:$AJ238,MATCH(MIN($AK228:$AK238),$AK228:$AK238,0),1)/INDEX($C228:$AJ238,MATCH(MIN($AK228:$AK238),$AK228:$AK238,0),MATCH(IF('Data-solution'!$A$3="Maximize",MAX($C239:$AI239),MIN($C239:$AI239)),$C239:$AI239,0))),AF238)</f>
        <v>0</v>
      </c>
      <c r="AG253" s="1">
        <f>IF(OR($B243&lt;&gt;$B228,$B244&lt;&gt;$B229,$B245&lt;&gt;$B230,$B246&lt;&gt;$B231,$B247&lt;&gt;$B232,$B248&lt;&gt;$B233,$B249&lt;&gt;$B234,$B250&lt;&gt;$B235,$B251&lt;&gt;$B236,$B252&lt;&gt;$B237,$B253&lt;&gt;$B238),IF($B253&lt;&gt;$B238,AG238/INDEX($C228:$AJ238,11,MATCH(IF('Data-solution'!$A$3="Maximize",MAX($C239:$AI239),MIN($C239:$AI239)),$C239:$AI239,0)),AG238-INDEX($C228:$AJ238,11,MATCH(IF('Data-solution'!$A$3="Maximize",MAX($C239:$AI239),MIN($C239:$AI239)),$C239:$AI239,0))*INDEX(AG228:$AJ238,MATCH(MIN($AK228:$AK238),$AK228:$AK238,0),1)/INDEX($C228:$AJ238,MATCH(MIN($AK228:$AK238),$AK228:$AK238,0),MATCH(IF('Data-solution'!$A$3="Maximize",MAX($C239:$AI239),MIN($C239:$AI239)),$C239:$AI239,0))),AG238)</f>
        <v>0</v>
      </c>
      <c r="AH253" s="1">
        <f>IF(OR($B243&lt;&gt;$B228,$B244&lt;&gt;$B229,$B245&lt;&gt;$B230,$B246&lt;&gt;$B231,$B247&lt;&gt;$B232,$B248&lt;&gt;$B233,$B249&lt;&gt;$B234,$B250&lt;&gt;$B235,$B251&lt;&gt;$B236,$B252&lt;&gt;$B237,$B253&lt;&gt;$B238),IF($B253&lt;&gt;$B238,AH238/INDEX($C228:$AJ238,11,MATCH(IF('Data-solution'!$A$3="Maximize",MAX($C239:$AI239),MIN($C239:$AI239)),$C239:$AI239,0)),AH238-INDEX($C228:$AJ238,11,MATCH(IF('Data-solution'!$A$3="Maximize",MAX($C239:$AI239),MIN($C239:$AI239)),$C239:$AI239,0))*INDEX(AH228:$AJ238,MATCH(MIN($AK228:$AK238),$AK228:$AK238,0),1)/INDEX($C228:$AJ238,MATCH(MIN($AK228:$AK238),$AK228:$AK238,0),MATCH(IF('Data-solution'!$A$3="Maximize",MAX($C239:$AI239),MIN($C239:$AI239)),$C239:$AI239,0))),AH238)</f>
        <v>0</v>
      </c>
      <c r="AI253" s="1">
        <f>IF(OR($B243&lt;&gt;$B228,$B244&lt;&gt;$B229,$B245&lt;&gt;$B230,$B246&lt;&gt;$B231,$B247&lt;&gt;$B232,$B248&lt;&gt;$B233,$B249&lt;&gt;$B234,$B250&lt;&gt;$B235,$B251&lt;&gt;$B236,$B252&lt;&gt;$B237,$B253&lt;&gt;$B238),IF($B253&lt;&gt;$B238,AI238/INDEX($C228:$AJ238,11,MATCH(IF('Data-solution'!$A$3="Maximize",MAX($C239:$AI239),MIN($C239:$AI239)),$C239:$AI239,0)),AI238-INDEX($C228:$AJ238,11,MATCH(IF('Data-solution'!$A$3="Maximize",MAX($C239:$AI239),MIN($C239:$AI239)),$C239:$AI239,0))*INDEX(AI228:$AJ238,MATCH(MIN($AK228:$AK238),$AK228:$AK238,0),1)/INDEX($C228:$AJ238,MATCH(MIN($AK228:$AK238),$AK228:$AK238,0),MATCH(IF('Data-solution'!$A$3="Maximize",MAX($C239:$AI239),MIN($C239:$AI239)),$C239:$AI239,0))),AI238)</f>
        <v>1</v>
      </c>
      <c r="AJ253" s="1">
        <f>IF(OR($B243&lt;&gt;$B228,$B244&lt;&gt;$B229,$B245&lt;&gt;$B230,$B246&lt;&gt;$B231,$B247&lt;&gt;$B232,$B248&lt;&gt;$B233,$B249&lt;&gt;$B234,$B250&lt;&gt;$B235,$B251&lt;&gt;$B236,$B252&lt;&gt;$B237,$B253&lt;&gt;$B238),IF($B253&lt;&gt;$B238,AJ238/INDEX($C228:$AJ238,11,MATCH(IF('Data-solution'!$A$3="Maximize",MAX($C239:$AI239),MIN($C239:$AI239)),$C239:$AI239,0)),AJ238-INDEX($C228:$AJ238,11,MATCH(IF('Data-solution'!$A$3="Maximize",MAX($C239:$AI239),MIN($C239:$AI239)),$C239:$AI239,0))*INDEX(AJ228:$AJ238,MATCH(MIN($AK228:$AK238),$AK228:$AK238,0),1)/INDEX($C228:$AJ238,MATCH(MIN($AK228:$AK238),$AK228:$AK238,0),MATCH(IF('Data-solution'!$A$3="Maximize",MAX($C239:$AI239),MIN($C239:$AI239)),$C239:$AI239,0))),AJ238)</f>
        <v>0</v>
      </c>
      <c r="AK253" s="1" t="str">
        <f>IF(INDEX(C253:X253,1,MATCH(IF('Data-solution'!A$3="Maximize",MAX(C254:X254),MIN(C254:X254)),C254:X254,0))&gt;0,AJ253/INDEX(C253:X253,1,MATCH(IF('Data-solution'!A$3="Maximize",MAX(C254:X254),MIN(C254:X254)),C254:X254,0))," ")</f>
        <v xml:space="preserve"> </v>
      </c>
    </row>
    <row r="254" spans="1:37" ht="18" customHeight="1" x14ac:dyDescent="0.2">
      <c r="B254" s="2" t="s">
        <v>5</v>
      </c>
      <c r="C254" s="1">
        <f>IF(SUM(COUNTIF($B243:$B253,$Y242),COUNTIF($B243:$B253,$Z242),COUNTIF($B243:$B253,$AA242),COUNTIF($B243:$B253,$AB242),COUNTIF($B243:$B253,$AC242),COUNTIF($B243:$B253,$AD242),COUNTIF($B243:$B253,$AE242),COUNTIF($B243:$B253,$AF242),COUNTIF($B243:$B253,$AG242),COUNTIF($B243:$B253,$AH242),COUNTIF($B243:$B253,$AI242))=0,C241-SUMPRODUCT($A243:$A253,C243:C253),IF('Data-solution'!$A$3="Maximize",1,-1)*SUM(SUMIF($B243:$B253,$Y242,C243:C253),SUMIF($B243:$B253,$Z242,C243:C253),SUMIF($B243:$B253,$AA242,C243:C253),SUMIF($B243:$B253,$AB242,C243:C253),SUMIF($B243:$B253,$AC242,C243:C253),SUMIF($B243:$B253,$AD242,C243:C253),SUMIF($B243:$B253,$AE242,C243:C253),SUMIF($B243:$B253,$AF242,C243:C253),SUMIF($B243:$B253,$AG242,C243:C253),SUMIF($B243:$B253,$AH242,C243:C253),SUMIF($B243:$B253,$AI242,C243:C253)))</f>
        <v>0</v>
      </c>
      <c r="D254" s="1">
        <f>IF(SUM(COUNTIF($B243:$B253,$Y242),COUNTIF($B243:$B253,$Z242),COUNTIF($B243:$B253,$AA242),COUNTIF($B243:$B253,$AB242),COUNTIF($B243:$B253,$AC242),COUNTIF($B243:$B253,$AD242),COUNTIF($B243:$B253,$AE242),COUNTIF($B243:$B253,$AF242),COUNTIF($B243:$B253,$AG242),COUNTIF($B243:$B253,$AH242),COUNTIF($B243:$B253,$AI242))=0,D241-SUMPRODUCT($A243:$A253,D243:D253),IF('Data-solution'!$A$3="Maximize",1,-1)*SUM(SUMIF($B243:$B253,$Y242,D243:D253),SUMIF($B243:$B253,$Z242,D243:D253),SUMIF($B243:$B253,$AA242,D243:D253),SUMIF($B243:$B253,$AB242,D243:D253),SUMIF($B243:$B253,$AC242,D243:D253),SUMIF($B243:$B253,$AD242,D243:D253),SUMIF($B243:$B253,$AE242,D243:D253),SUMIF($B243:$B253,$AF242,D243:D253),SUMIF($B243:$B253,$AG242,D243:D253),SUMIF($B243:$B253,$AH242,D243:D253),SUMIF($B243:$B253,$AI242,D243:D253)))</f>
        <v>-50</v>
      </c>
      <c r="E254" s="1">
        <f>IF(SUM(COUNTIF($B243:$B253,$Y242),COUNTIF($B243:$B253,$Z242),COUNTIF($B243:$B253,$AA242),COUNTIF($B243:$B253,$AB242),COUNTIF($B243:$B253,$AC242),COUNTIF($B243:$B253,$AD242),COUNTIF($B243:$B253,$AE242),COUNTIF($B243:$B253,$AF242),COUNTIF($B243:$B253,$AG242),COUNTIF($B243:$B253,$AH242),COUNTIF($B243:$B253,$AI242))=0,E241-SUMPRODUCT($A243:$A253,E243:E253),IF('Data-solution'!$A$3="Maximize",1,-1)*SUM(SUMIF($B243:$B253,$Y242,E243:E253),SUMIF($B243:$B253,$Z242,E243:E253),SUMIF($B243:$B253,$AA242,E243:E253),SUMIF($B243:$B253,$AB242,E243:E253),SUMIF($B243:$B253,$AC242,E243:E253),SUMIF($B243:$B253,$AD242,E243:E253),SUMIF($B243:$B253,$AE242,E243:E253),SUMIF($B243:$B253,$AF242,E243:E253),SUMIF($B243:$B253,$AG242,E243:E253),SUMIF($B243:$B253,$AH242,E243:E253),SUMIF($B243:$B253,$AI242,E243:E253)))</f>
        <v>0</v>
      </c>
      <c r="F254" s="1">
        <f>IF(SUM(COUNTIF($B243:$B253,$Y242),COUNTIF($B243:$B253,$Z242),COUNTIF($B243:$B253,$AA242),COUNTIF($B243:$B253,$AB242),COUNTIF($B243:$B253,$AC242),COUNTIF($B243:$B253,$AD242),COUNTIF($B243:$B253,$AE242),COUNTIF($B243:$B253,$AF242),COUNTIF($B243:$B253,$AG242),COUNTIF($B243:$B253,$AH242),COUNTIF($B243:$B253,$AI242))=0,F241-SUMPRODUCT($A243:$A253,F243:F253),IF('Data-solution'!$A$3="Maximize",1,-1)*SUM(SUMIF($B243:$B253,$Y242,F243:F253),SUMIF($B243:$B253,$Z242,F243:F253),SUMIF($B243:$B253,$AA242,F243:F253),SUMIF($B243:$B253,$AB242,F243:F253),SUMIF($B243:$B253,$AC242,F243:F253),SUMIF($B243:$B253,$AD242,F243:F253),SUMIF($B243:$B253,$AE242,F243:F253),SUMIF($B243:$B253,$AF242,F243:F253),SUMIF($B243:$B253,$AG242,F243:F253),SUMIF($B243:$B253,$AH242,F243:F253),SUMIF($B243:$B253,$AI242,F243:F253)))</f>
        <v>0</v>
      </c>
      <c r="G254" s="1">
        <f>IF(SUM(COUNTIF($B243:$B253,$Y242),COUNTIF($B243:$B253,$Z242),COUNTIF($B243:$B253,$AA242),COUNTIF($B243:$B253,$AB242),COUNTIF($B243:$B253,$AC242),COUNTIF($B243:$B253,$AD242),COUNTIF($B243:$B253,$AE242),COUNTIF($B243:$B253,$AF242),COUNTIF($B243:$B253,$AG242),COUNTIF($B243:$B253,$AH242),COUNTIF($B243:$B253,$AI242))=0,G241-SUMPRODUCT($A243:$A253,G243:G253),IF('Data-solution'!$A$3="Maximize",1,-1)*SUM(SUMIF($B243:$B253,$Y242,G243:G253),SUMIF($B243:$B253,$Z242,G243:G253),SUMIF($B243:$B253,$AA242,G243:G253),SUMIF($B243:$B253,$AB242,G243:G253),SUMIF($B243:$B253,$AC242,G243:G253),SUMIF($B243:$B253,$AD242,G243:G253),SUMIF($B243:$B253,$AE242,G243:G253),SUMIF($B243:$B253,$AF242,G243:G253),SUMIF($B243:$B253,$AG242,G243:G253),SUMIF($B243:$B253,$AH242,G243:G253),SUMIF($B243:$B253,$AI242,G243:G253)))</f>
        <v>0</v>
      </c>
      <c r="H254" s="1">
        <f>IF(SUM(COUNTIF($B243:$B253,$Y242),COUNTIF($B243:$B253,$Z242),COUNTIF($B243:$B253,$AA242),COUNTIF($B243:$B253,$AB242),COUNTIF($B243:$B253,$AC242),COUNTIF($B243:$B253,$AD242),COUNTIF($B243:$B253,$AE242),COUNTIF($B243:$B253,$AF242),COUNTIF($B243:$B253,$AG242),COUNTIF($B243:$B253,$AH242),COUNTIF($B243:$B253,$AI242))=0,H241-SUMPRODUCT($A243:$A253,H243:H253),IF('Data-solution'!$A$3="Maximize",1,-1)*SUM(SUMIF($B243:$B253,$Y242,H243:H253),SUMIF($B243:$B253,$Z242,H243:H253),SUMIF($B243:$B253,$AA242,H243:H253),SUMIF($B243:$B253,$AB242,H243:H253),SUMIF($B243:$B253,$AC242,H243:H253),SUMIF($B243:$B253,$AD242,H243:H253),SUMIF($B243:$B253,$AE242,H243:H253),SUMIF($B243:$B253,$AF242,H243:H253),SUMIF($B243:$B253,$AG242,H243:H253),SUMIF($B243:$B253,$AH242,H243:H253),SUMIF($B243:$B253,$AI242,H243:H253)))</f>
        <v>0</v>
      </c>
      <c r="I254" s="1">
        <f>IF(SUM(COUNTIF($B243:$B253,$Y242),COUNTIF($B243:$B253,$Z242),COUNTIF($B243:$B253,$AA242),COUNTIF($B243:$B253,$AB242),COUNTIF($B243:$B253,$AC242),COUNTIF($B243:$B253,$AD242),COUNTIF($B243:$B253,$AE242),COUNTIF($B243:$B253,$AF242),COUNTIF($B243:$B253,$AG242),COUNTIF($B243:$B253,$AH242),COUNTIF($B243:$B253,$AI242))=0,I241-SUMPRODUCT($A243:$A253,I243:I253),IF('Data-solution'!$A$3="Maximize",1,-1)*SUM(SUMIF($B243:$B253,$Y242,I243:I253),SUMIF($B243:$B253,$Z242,I243:I253),SUMIF($B243:$B253,$AA242,I243:I253),SUMIF($B243:$B253,$AB242,I243:I253),SUMIF($B243:$B253,$AC242,I243:I253),SUMIF($B243:$B253,$AD242,I243:I253),SUMIF($B243:$B253,$AE242,I243:I253),SUMIF($B243:$B253,$AF242,I243:I253),SUMIF($B243:$B253,$AG242,I243:I253),SUMIF($B243:$B253,$AH242,I243:I253),SUMIF($B243:$B253,$AI242,I243:I253)))</f>
        <v>0</v>
      </c>
      <c r="J254" s="1">
        <f>IF(SUM(COUNTIF($B243:$B253,$Y242),COUNTIF($B243:$B253,$Z242),COUNTIF($B243:$B253,$AA242),COUNTIF($B243:$B253,$AB242),COUNTIF($B243:$B253,$AC242),COUNTIF($B243:$B253,$AD242),COUNTIF($B243:$B253,$AE242),COUNTIF($B243:$B253,$AF242),COUNTIF($B243:$B253,$AG242),COUNTIF($B243:$B253,$AH242),COUNTIF($B243:$B253,$AI242))=0,J241-SUMPRODUCT($A243:$A253,J243:J253),IF('Data-solution'!$A$3="Maximize",1,-1)*SUM(SUMIF($B243:$B253,$Y242,J243:J253),SUMIF($B243:$B253,$Z242,J243:J253),SUMIF($B243:$B253,$AA242,J243:J253),SUMIF($B243:$B253,$AB242,J243:J253),SUMIF($B243:$B253,$AC242,J243:J253),SUMIF($B243:$B253,$AD242,J243:J253),SUMIF($B243:$B253,$AE242,J243:J253),SUMIF($B243:$B253,$AF242,J243:J253),SUMIF($B243:$B253,$AG242,J243:J253),SUMIF($B243:$B253,$AH242,J243:J253),SUMIF($B243:$B253,$AI242,J243:J253)))</f>
        <v>0</v>
      </c>
      <c r="K254" s="1">
        <f>IF(SUM(COUNTIF($B243:$B253,$Y242),COUNTIF($B243:$B253,$Z242),COUNTIF($B243:$B253,$AA242),COUNTIF($B243:$B253,$AB242),COUNTIF($B243:$B253,$AC242),COUNTIF($B243:$B253,$AD242),COUNTIF($B243:$B253,$AE242),COUNTIF($B243:$B253,$AF242),COUNTIF($B243:$B253,$AG242),COUNTIF($B243:$B253,$AH242),COUNTIF($B243:$B253,$AI242))=0,K241-SUMPRODUCT($A243:$A253,K243:K253),IF('Data-solution'!$A$3="Maximize",1,-1)*SUM(SUMIF($B243:$B253,$Y242,K243:K253),SUMIF($B243:$B253,$Z242,K243:K253),SUMIF($B243:$B253,$AA242,K243:K253),SUMIF($B243:$B253,$AB242,K243:K253),SUMIF($B243:$B253,$AC242,K243:K253),SUMIF($B243:$B253,$AD242,K243:K253),SUMIF($B243:$B253,$AE242,K243:K253),SUMIF($B243:$B253,$AF242,K243:K253),SUMIF($B243:$B253,$AG242,K243:K253),SUMIF($B243:$B253,$AH242,K243:K253),SUMIF($B243:$B253,$AI242,K243:K253)))</f>
        <v>0</v>
      </c>
      <c r="L254" s="1">
        <f>IF(SUM(COUNTIF($B243:$B253,$Y242),COUNTIF($B243:$B253,$Z242),COUNTIF($B243:$B253,$AA242),COUNTIF($B243:$B253,$AB242),COUNTIF($B243:$B253,$AC242),COUNTIF($B243:$B253,$AD242),COUNTIF($B243:$B253,$AE242),COUNTIF($B243:$B253,$AF242),COUNTIF($B243:$B253,$AG242),COUNTIF($B243:$B253,$AH242),COUNTIF($B243:$B253,$AI242))=0,L241-SUMPRODUCT($A243:$A253,L243:L253),IF('Data-solution'!$A$3="Maximize",1,-1)*SUM(SUMIF($B243:$B253,$Y242,L243:L253),SUMIF($B243:$B253,$Z242,L243:L253),SUMIF($B243:$B253,$AA242,L243:L253),SUMIF($B243:$B253,$AB242,L243:L253),SUMIF($B243:$B253,$AC242,L243:L253),SUMIF($B243:$B253,$AD242,L243:L253),SUMIF($B243:$B253,$AE242,L243:L253),SUMIF($B243:$B253,$AF242,L243:L253),SUMIF($B243:$B253,$AG242,L243:L253),SUMIF($B243:$B253,$AH242,L243:L253),SUMIF($B243:$B253,$AI242,L243:L253)))</f>
        <v>0</v>
      </c>
      <c r="M254" s="1">
        <f>IF(SUM(COUNTIF($B243:$B253,$Y242),COUNTIF($B243:$B253,$Z242),COUNTIF($B243:$B253,$AA242),COUNTIF($B243:$B253,$AB242),COUNTIF($B243:$B253,$AC242),COUNTIF($B243:$B253,$AD242),COUNTIF($B243:$B253,$AE242),COUNTIF($B243:$B253,$AF242),COUNTIF($B243:$B253,$AG242),COUNTIF($B243:$B253,$AH242),COUNTIF($B243:$B253,$AI242))=0,M241-SUMPRODUCT($A243:$A253,M243:M253),IF('Data-solution'!$A$3="Maximize",1,-1)*SUM(SUMIF($B243:$B253,$Y242,M243:M253),SUMIF($B243:$B253,$Z242,M243:M253),SUMIF($B243:$B253,$AA242,M243:M253),SUMIF($B243:$B253,$AB242,M243:M253),SUMIF($B243:$B253,$AC242,M243:M253),SUMIF($B243:$B253,$AD242,M243:M253),SUMIF($B243:$B253,$AE242,M243:M253),SUMIF($B243:$B253,$AF242,M243:M253),SUMIF($B243:$B253,$AG242,M243:M253),SUMIF($B243:$B253,$AH242,M243:M253),SUMIF($B243:$B253,$AI242,M243:M253)))</f>
        <v>0</v>
      </c>
      <c r="N254" s="1">
        <f>IF(SUM(COUNTIF($B243:$B253,$Y242),COUNTIF($B243:$B253,$Z242),COUNTIF($B243:$B253,$AA242),COUNTIF($B243:$B253,$AB242),COUNTIF($B243:$B253,$AC242),COUNTIF($B243:$B253,$AD242),COUNTIF($B243:$B253,$AE242),COUNTIF($B243:$B253,$AF242),COUNTIF($B243:$B253,$AG242),COUNTIF($B243:$B253,$AH242),COUNTIF($B243:$B253,$AI242))=0,N241-SUMPRODUCT($A243:$A253,N243:N253),IF('Data-solution'!$A$3="Maximize",1,-1)*SUM(SUMIF($B243:$B253,$Y242,N243:N253),SUMIF($B243:$B253,$Z242,N243:N253),SUMIF($B243:$B253,$AA242,N243:N253),SUMIF($B243:$B253,$AB242,N243:N253),SUMIF($B243:$B253,$AC242,N243:N253),SUMIF($B243:$B253,$AD242,N243:N253),SUMIF($B243:$B253,$AE242,N243:N253),SUMIF($B243:$B253,$AF242,N243:N253),SUMIF($B243:$B253,$AG242,N243:N253),SUMIF($B243:$B253,$AH242,N243:N253),SUMIF($B243:$B253,$AI242,N243:N253)))</f>
        <v>0</v>
      </c>
      <c r="O254" s="1">
        <f>IF(SUM(COUNTIF($B243:$B253,$Y242),COUNTIF($B243:$B253,$Z242),COUNTIF($B243:$B253,$AA242),COUNTIF($B243:$B253,$AB242),COUNTIF($B243:$B253,$AC242),COUNTIF($B243:$B253,$AD242),COUNTIF($B243:$B253,$AE242),COUNTIF($B243:$B253,$AF242),COUNTIF($B243:$B253,$AG242),COUNTIF($B243:$B253,$AH242),COUNTIF($B243:$B253,$AI242))=0,O241-SUMPRODUCT($A243:$A253,O243:O253),IF('Data-solution'!$A$3="Maximize",1,-1)*SUM(SUMIF($B243:$B253,$Y242,O243:O253),SUMIF($B243:$B253,$Z242,O243:O253),SUMIF($B243:$B253,$AA242,O243:O253),SUMIF($B243:$B253,$AB242,O243:O253),SUMIF($B243:$B253,$AC242,O243:O253),SUMIF($B243:$B253,$AD242,O243:O253),SUMIF($B243:$B253,$AE242,O243:O253),SUMIF($B243:$B253,$AF242,O243:O253),SUMIF($B243:$B253,$AG242,O243:O253),SUMIF($B243:$B253,$AH242,O243:O253),SUMIF($B243:$B253,$AI242,O243:O253)))</f>
        <v>0</v>
      </c>
      <c r="P254" s="1">
        <f>IF(SUM(COUNTIF($B243:$B253,$Y242),COUNTIF($B243:$B253,$Z242),COUNTIF($B243:$B253,$AA242),COUNTIF($B243:$B253,$AB242),COUNTIF($B243:$B253,$AC242),COUNTIF($B243:$B253,$AD242),COUNTIF($B243:$B253,$AE242),COUNTIF($B243:$B253,$AF242),COUNTIF($B243:$B253,$AG242),COUNTIF($B243:$B253,$AH242),COUNTIF($B243:$B253,$AI242))=0,P241-SUMPRODUCT($A243:$A253,P243:P253),IF('Data-solution'!$A$3="Maximize",1,-1)*SUM(SUMIF($B243:$B253,$Y242,P243:P253),SUMIF($B243:$B253,$Z242,P243:P253),SUMIF($B243:$B253,$AA242,P243:P253),SUMIF($B243:$B253,$AB242,P243:P253),SUMIF($B243:$B253,$AC242,P243:P253),SUMIF($B243:$B253,$AD242,P243:P253),SUMIF($B243:$B253,$AE242,P243:P253),SUMIF($B243:$B253,$AF242,P243:P253),SUMIF($B243:$B253,$AG242,P243:P253),SUMIF($B243:$B253,$AH242,P243:P253),SUMIF($B243:$B253,$AI242,P243:P253)))</f>
        <v>-49.999999999999993</v>
      </c>
      <c r="Q254" s="1">
        <f>IF(SUM(COUNTIF($B243:$B253,$Y242),COUNTIF($B243:$B253,$Z242),COUNTIF($B243:$B253,$AA242),COUNTIF($B243:$B253,$AB242),COUNTIF($B243:$B253,$AC242),COUNTIF($B243:$B253,$AD242),COUNTIF($B243:$B253,$AE242),COUNTIF($B243:$B253,$AF242),COUNTIF($B243:$B253,$AG242),COUNTIF($B243:$B253,$AH242),COUNTIF($B243:$B253,$AI242))=0,Q241-SUMPRODUCT($A243:$A253,Q243:Q253),IF('Data-solution'!$A$3="Maximize",1,-1)*SUM(SUMIF($B243:$B253,$Y242,Q243:Q253),SUMIF($B243:$B253,$Z242,Q243:Q253),SUMIF($B243:$B253,$AA242,Q243:Q253),SUMIF($B243:$B253,$AB242,Q243:Q253),SUMIF($B243:$B253,$AC242,Q243:Q253),SUMIF($B243:$B253,$AD242,Q243:Q253),SUMIF($B243:$B253,$AE242,Q243:Q253),SUMIF($B243:$B253,$AF242,Q243:Q253),SUMIF($B243:$B253,$AG242,Q243:Q253),SUMIF($B243:$B253,$AH242,Q243:Q253),SUMIF($B243:$B253,$AI242,Q243:Q253)))</f>
        <v>-50</v>
      </c>
      <c r="R254" s="1">
        <f>IF(SUM(COUNTIF($B243:$B253,$Y242),COUNTIF($B243:$B253,$Z242),COUNTIF($B243:$B253,$AA242),COUNTIF($B243:$B253,$AB242),COUNTIF($B243:$B253,$AC242),COUNTIF($B243:$B253,$AD242),COUNTIF($B243:$B253,$AE242),COUNTIF($B243:$B253,$AF242),COUNTIF($B243:$B253,$AG242),COUNTIF($B243:$B253,$AH242),COUNTIF($B243:$B253,$AI242))=0,R241-SUMPRODUCT($A243:$A253,R243:R253),IF('Data-solution'!$A$3="Maximize",1,-1)*SUM(SUMIF($B243:$B253,$Y242,R243:R253),SUMIF($B243:$B253,$Z242,R243:R253),SUMIF($B243:$B253,$AA242,R243:R253),SUMIF($B243:$B253,$AB242,R243:R253),SUMIF($B243:$B253,$AC242,R243:R253),SUMIF($B243:$B253,$AD242,R243:R253),SUMIF($B243:$B253,$AE242,R243:R253),SUMIF($B243:$B253,$AF242,R243:R253),SUMIF($B243:$B253,$AG242,R243:R253),SUMIF($B243:$B253,$AH242,R243:R253),SUMIF($B243:$B253,$AI242,R243:R253)))</f>
        <v>0</v>
      </c>
      <c r="S254" s="1">
        <f>IF(SUM(COUNTIF($B243:$B253,$Y242),COUNTIF($B243:$B253,$Z242),COUNTIF($B243:$B253,$AA242),COUNTIF($B243:$B253,$AB242),COUNTIF($B243:$B253,$AC242),COUNTIF($B243:$B253,$AD242),COUNTIF($B243:$B253,$AE242),COUNTIF($B243:$B253,$AF242),COUNTIF($B243:$B253,$AG242),COUNTIF($B243:$B253,$AH242),COUNTIF($B243:$B253,$AI242))=0,S241-SUMPRODUCT($A243:$A253,S243:S253),IF('Data-solution'!$A$3="Maximize",1,-1)*SUM(SUMIF($B243:$B253,$Y242,S243:S253),SUMIF($B243:$B253,$Z242,S243:S253),SUMIF($B243:$B253,$AA242,S243:S253),SUMIF($B243:$B253,$AB242,S243:S253),SUMIF($B243:$B253,$AC242,S243:S253),SUMIF($B243:$B253,$AD242,S243:S253),SUMIF($B243:$B253,$AE242,S243:S253),SUMIF($B243:$B253,$AF242,S243:S253),SUMIF($B243:$B253,$AG242,S243:S253),SUMIF($B243:$B253,$AH242,S243:S253),SUMIF($B243:$B253,$AI242,S243:S253)))</f>
        <v>0</v>
      </c>
      <c r="T254" s="1">
        <f>IF(SUM(COUNTIF($B243:$B253,$Y242),COUNTIF($B243:$B253,$Z242),COUNTIF($B243:$B253,$AA242),COUNTIF($B243:$B253,$AB242),COUNTIF($B243:$B253,$AC242),COUNTIF($B243:$B253,$AD242),COUNTIF($B243:$B253,$AE242),COUNTIF($B243:$B253,$AF242),COUNTIF($B243:$B253,$AG242),COUNTIF($B243:$B253,$AH242),COUNTIF($B243:$B253,$AI242))=0,T241-SUMPRODUCT($A243:$A253,T243:T253),IF('Data-solution'!$A$3="Maximize",1,-1)*SUM(SUMIF($B243:$B253,$Y242,T243:T253),SUMIF($B243:$B253,$Z242,T243:T253),SUMIF($B243:$B253,$AA242,T243:T253),SUMIF($B243:$B253,$AB242,T243:T253),SUMIF($B243:$B253,$AC242,T243:T253),SUMIF($B243:$B253,$AD242,T243:T253),SUMIF($B243:$B253,$AE242,T243:T253),SUMIF($B243:$B253,$AF242,T243:T253),SUMIF($B243:$B253,$AG242,T243:T253),SUMIF($B243:$B253,$AH242,T243:T253),SUMIF($B243:$B253,$AI242,T243:T253)))</f>
        <v>0</v>
      </c>
      <c r="U254" s="1">
        <f>IF(SUM(COUNTIF($B243:$B253,$Y242),COUNTIF($B243:$B253,$Z242),COUNTIF($B243:$B253,$AA242),COUNTIF($B243:$B253,$AB242),COUNTIF($B243:$B253,$AC242),COUNTIF($B243:$B253,$AD242),COUNTIF($B243:$B253,$AE242),COUNTIF($B243:$B253,$AF242),COUNTIF($B243:$B253,$AG242),COUNTIF($B243:$B253,$AH242),COUNTIF($B243:$B253,$AI242))=0,U241-SUMPRODUCT($A243:$A253,U243:U253),IF('Data-solution'!$A$3="Maximize",1,-1)*SUM(SUMIF($B243:$B253,$Y242,U243:U253),SUMIF($B243:$B253,$Z242,U243:U253),SUMIF($B243:$B253,$AA242,U243:U253),SUMIF($B243:$B253,$AB242,U243:U253),SUMIF($B243:$B253,$AC242,U243:U253),SUMIF($B243:$B253,$AD242,U243:U253),SUMIF($B243:$B253,$AE242,U243:U253),SUMIF($B243:$B253,$AF242,U243:U253),SUMIF($B243:$B253,$AG242,U243:U253),SUMIF($B243:$B253,$AH242,U243:U253),SUMIF($B243:$B253,$AI242,U243:U253)))</f>
        <v>0</v>
      </c>
      <c r="V254" s="1">
        <f>IF(SUM(COUNTIF($B243:$B253,$Y242),COUNTIF($B243:$B253,$Z242),COUNTIF($B243:$B253,$AA242),COUNTIF($B243:$B253,$AB242),COUNTIF($B243:$B253,$AC242),COUNTIF($B243:$B253,$AD242),COUNTIF($B243:$B253,$AE242),COUNTIF($B243:$B253,$AF242),COUNTIF($B243:$B253,$AG242),COUNTIF($B243:$B253,$AH242),COUNTIF($B243:$B253,$AI242))=0,V241-SUMPRODUCT($A243:$A253,V243:V253),IF('Data-solution'!$A$3="Maximize",1,-1)*SUM(SUMIF($B243:$B253,$Y242,V243:V253),SUMIF($B243:$B253,$Z242,V243:V253),SUMIF($B243:$B253,$AA242,V243:V253),SUMIF($B243:$B253,$AB242,V243:V253),SUMIF($B243:$B253,$AC242,V243:V253),SUMIF($B243:$B253,$AD242,V243:V253),SUMIF($B243:$B253,$AE242,V243:V253),SUMIF($B243:$B253,$AF242,V243:V253),SUMIF($B243:$B253,$AG242,V243:V253),SUMIF($B243:$B253,$AH242,V243:V253),SUMIF($B243:$B253,$AI242,V243:V253)))</f>
        <v>0</v>
      </c>
      <c r="W254" s="1">
        <f>IF(SUM(COUNTIF($B243:$B253,$Y242),COUNTIF($B243:$B253,$Z242),COUNTIF($B243:$B253,$AA242),COUNTIF($B243:$B253,$AB242),COUNTIF($B243:$B253,$AC242),COUNTIF($B243:$B253,$AD242),COUNTIF($B243:$B253,$AE242),COUNTIF($B243:$B253,$AF242),COUNTIF($B243:$B253,$AG242),COUNTIF($B243:$B253,$AH242),COUNTIF($B243:$B253,$AI242))=0,W241-SUMPRODUCT($A243:$A253,W243:W253),IF('Data-solution'!$A$3="Maximize",1,-1)*SUM(SUMIF($B243:$B253,$Y242,W243:W253),SUMIF($B243:$B253,$Z242,W243:W253),SUMIF($B243:$B253,$AA242,W243:W253),SUMIF($B243:$B253,$AB242,W243:W253),SUMIF($B243:$B253,$AC242,W243:W253),SUMIF($B243:$B253,$AD242,W243:W253),SUMIF($B243:$B253,$AE242,W243:W253),SUMIF($B243:$B253,$AF242,W243:W253),SUMIF($B243:$B253,$AG242,W243:W253),SUMIF($B243:$B253,$AH242,W243:W253),SUMIF($B243:$B253,$AI242,W243:W253)))</f>
        <v>0</v>
      </c>
      <c r="X254" s="1">
        <f>IF(SUM(COUNTIF($B243:$B253,$Y242),COUNTIF($B243:$B253,$Z242),COUNTIF($B243:$B253,$AA242),COUNTIF($B243:$B253,$AB242),COUNTIF($B243:$B253,$AC242),COUNTIF($B243:$B253,$AD242),COUNTIF($B243:$B253,$AE242),COUNTIF($B243:$B253,$AF242),COUNTIF($B243:$B253,$AG242),COUNTIF($B243:$B253,$AH242),COUNTIF($B243:$B253,$AI242))=0,X241-SUMPRODUCT($A243:$A253,X243:X253),IF('Data-solution'!$A$3="Maximize",1,-1)*SUM(SUMIF($B243:$B253,$Y242,X243:X253),SUMIF($B243:$B253,$Z242,X243:X253),SUMIF($B243:$B253,$AA242,X243:X253),SUMIF($B243:$B253,$AB242,X243:X253),SUMIF($B243:$B253,$AC242,X243:X253),SUMIF($B243:$B253,$AD242,X243:X253),SUMIF($B243:$B253,$AE242,X243:X253),SUMIF($B243:$B253,$AF242,X243:X253),SUMIF($B243:$B253,$AG242,X243:X253),SUMIF($B243:$B253,$AH242,X243:X253),SUMIF($B243:$B253,$AI242,X243:X253)))</f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2">
        <f t="shared" ref="AJ254" si="223">IF(SUMPRODUCT(A243:A253,AJ243:AJ253)&gt;=0,SUMPRODUCT(A243:A253,AJ243:AJ253),0)</f>
        <v>120000</v>
      </c>
    </row>
    <row r="256" spans="1:37" ht="18" customHeight="1" x14ac:dyDescent="0.2">
      <c r="A256" s="1" t="s">
        <v>77</v>
      </c>
      <c r="B256" s="2" t="s">
        <v>4</v>
      </c>
      <c r="C256" s="1">
        <f t="shared" ref="C256:R256" si="224">C$1</f>
        <v>150</v>
      </c>
      <c r="D256" s="1">
        <f t="shared" si="224"/>
        <v>200</v>
      </c>
      <c r="E256" s="1">
        <f t="shared" si="224"/>
        <v>350</v>
      </c>
      <c r="F256" s="1">
        <f t="shared" si="224"/>
        <v>0</v>
      </c>
      <c r="G256" s="1">
        <f t="shared" si="224"/>
        <v>0</v>
      </c>
      <c r="H256" s="1">
        <f t="shared" si="224"/>
        <v>0</v>
      </c>
      <c r="I256" s="1">
        <f t="shared" si="224"/>
        <v>0</v>
      </c>
      <c r="J256" s="1">
        <f t="shared" si="224"/>
        <v>0</v>
      </c>
      <c r="K256" s="1">
        <f t="shared" si="224"/>
        <v>0</v>
      </c>
      <c r="L256" s="1">
        <f t="shared" si="224"/>
        <v>0</v>
      </c>
      <c r="M256" s="1">
        <f t="shared" si="224"/>
        <v>0</v>
      </c>
      <c r="N256" s="1">
        <f t="shared" si="224"/>
        <v>0</v>
      </c>
      <c r="O256" s="1">
        <f t="shared" si="224"/>
        <v>0</v>
      </c>
      <c r="P256" s="1">
        <f t="shared" si="224"/>
        <v>0</v>
      </c>
      <c r="Q256" s="1">
        <f t="shared" si="224"/>
        <v>0</v>
      </c>
      <c r="R256" s="1">
        <f t="shared" si="224"/>
        <v>0</v>
      </c>
      <c r="S256" s="1">
        <f t="shared" ref="S256:AH256" si="225">S$1</f>
        <v>0</v>
      </c>
      <c r="T256" s="1">
        <f t="shared" si="225"/>
        <v>0</v>
      </c>
      <c r="U256" s="1">
        <f t="shared" si="225"/>
        <v>0</v>
      </c>
      <c r="V256" s="1">
        <f t="shared" si="225"/>
        <v>0</v>
      </c>
      <c r="W256" s="1">
        <f t="shared" si="225"/>
        <v>0</v>
      </c>
      <c r="X256" s="1">
        <f t="shared" si="225"/>
        <v>0</v>
      </c>
      <c r="Y256" s="1">
        <f t="shared" si="225"/>
        <v>-999999</v>
      </c>
      <c r="Z256" s="1">
        <f t="shared" si="225"/>
        <v>-999999</v>
      </c>
      <c r="AA256" s="1">
        <f t="shared" si="225"/>
        <v>-999999</v>
      </c>
      <c r="AB256" s="1">
        <f t="shared" si="225"/>
        <v>-999999</v>
      </c>
      <c r="AC256" s="1">
        <f t="shared" si="225"/>
        <v>-999999</v>
      </c>
      <c r="AD256" s="1">
        <f t="shared" si="225"/>
        <v>-999999</v>
      </c>
      <c r="AE256" s="1">
        <f t="shared" si="225"/>
        <v>-999999</v>
      </c>
      <c r="AF256" s="1">
        <f t="shared" si="225"/>
        <v>-999999</v>
      </c>
      <c r="AG256" s="1">
        <f t="shared" si="225"/>
        <v>-999999</v>
      </c>
      <c r="AH256" s="1">
        <f t="shared" si="225"/>
        <v>-999999</v>
      </c>
      <c r="AI256" s="1">
        <f t="shared" ref="D256:AI286" si="226">AI$1</f>
        <v>-999999</v>
      </c>
    </row>
    <row r="257" spans="1:37" ht="18" customHeight="1" x14ac:dyDescent="0.2">
      <c r="A257" s="2" t="s">
        <v>3</v>
      </c>
      <c r="B257" s="2" t="s">
        <v>1</v>
      </c>
      <c r="C257" s="2" t="str">
        <f t="shared" ref="C257:R257" si="227">C$2</f>
        <v>X1</v>
      </c>
      <c r="D257" s="2" t="str">
        <f t="shared" si="227"/>
        <v>X2</v>
      </c>
      <c r="E257" s="2" t="str">
        <f t="shared" si="227"/>
        <v>X3</v>
      </c>
      <c r="F257" s="2" t="str">
        <f t="shared" si="227"/>
        <v>X4</v>
      </c>
      <c r="G257" s="2" t="str">
        <f t="shared" si="227"/>
        <v>X5</v>
      </c>
      <c r="H257" s="2" t="str">
        <f t="shared" si="227"/>
        <v>X6</v>
      </c>
      <c r="I257" s="2" t="str">
        <f t="shared" si="227"/>
        <v>X7</v>
      </c>
      <c r="J257" s="2" t="str">
        <f t="shared" si="227"/>
        <v>X8</v>
      </c>
      <c r="K257" s="2" t="str">
        <f t="shared" si="227"/>
        <v>X9</v>
      </c>
      <c r="L257" s="2" t="str">
        <f t="shared" si="227"/>
        <v>X10</v>
      </c>
      <c r="M257" s="2" t="str">
        <f t="shared" si="227"/>
        <v>X11</v>
      </c>
      <c r="N257" s="2" t="str">
        <f t="shared" si="227"/>
        <v>S1</v>
      </c>
      <c r="O257" s="2" t="str">
        <f t="shared" si="227"/>
        <v>S2</v>
      </c>
      <c r="P257" s="2" t="str">
        <f t="shared" si="227"/>
        <v>S3</v>
      </c>
      <c r="Q257" s="2" t="str">
        <f t="shared" si="227"/>
        <v>S4</v>
      </c>
      <c r="R257" s="2" t="str">
        <f t="shared" si="227"/>
        <v>S5</v>
      </c>
      <c r="S257" s="2" t="str">
        <f t="shared" ref="S257:AH257" si="228">S$2</f>
        <v>S6</v>
      </c>
      <c r="T257" s="2" t="str">
        <f t="shared" si="228"/>
        <v>S7</v>
      </c>
      <c r="U257" s="2" t="str">
        <f t="shared" si="228"/>
        <v>S8</v>
      </c>
      <c r="V257" s="2" t="str">
        <f t="shared" si="228"/>
        <v>S9</v>
      </c>
      <c r="W257" s="2" t="str">
        <f t="shared" si="228"/>
        <v>S10</v>
      </c>
      <c r="X257" s="2" t="str">
        <f t="shared" si="228"/>
        <v>S11</v>
      </c>
      <c r="Y257" s="2" t="str">
        <f t="shared" si="228"/>
        <v xml:space="preserve"> </v>
      </c>
      <c r="Z257" s="2" t="str">
        <f t="shared" si="228"/>
        <v xml:space="preserve"> </v>
      </c>
      <c r="AA257" s="2" t="str">
        <f t="shared" si="228"/>
        <v xml:space="preserve"> </v>
      </c>
      <c r="AB257" s="2" t="str">
        <f t="shared" si="228"/>
        <v xml:space="preserve"> </v>
      </c>
      <c r="AC257" s="2" t="str">
        <f t="shared" si="228"/>
        <v xml:space="preserve"> </v>
      </c>
      <c r="AD257" s="2" t="str">
        <f t="shared" si="228"/>
        <v xml:space="preserve"> </v>
      </c>
      <c r="AE257" s="2" t="str">
        <f t="shared" si="228"/>
        <v xml:space="preserve"> </v>
      </c>
      <c r="AF257" s="2" t="str">
        <f t="shared" si="228"/>
        <v xml:space="preserve"> </v>
      </c>
      <c r="AG257" s="2" t="str">
        <f t="shared" si="228"/>
        <v xml:space="preserve"> </v>
      </c>
      <c r="AH257" s="2" t="str">
        <f t="shared" si="228"/>
        <v xml:space="preserve"> </v>
      </c>
      <c r="AI257" s="2" t="str">
        <f t="shared" ref="D257:AI287" si="229">AI$2</f>
        <v xml:space="preserve"> </v>
      </c>
      <c r="AJ257" s="2" t="s">
        <v>9</v>
      </c>
      <c r="AK257" s="2" t="s">
        <v>10</v>
      </c>
    </row>
    <row r="258" spans="1:37" ht="18" customHeight="1" x14ac:dyDescent="0.2">
      <c r="A258" s="1">
        <f t="shared" ref="A258" si="230">INDEX(C256:AI256,1,MATCH(B258,C257:AI257,0))</f>
        <v>0</v>
      </c>
      <c r="B258" s="2" t="str">
        <f>IF(AND('Data-solution'!A$3="Maximize",COUNTIF(C254:X254,"&gt;"&amp;0)&gt;0,AK243=MIN(AK243:AK253)),INDEX(C242:X242,1,MATCH(MAX(C254:X254),C254:X254,0)),IF(AND('Data-solution'!A$3="Minimize",COUNTIF(C254:X254,"&lt;"&amp;0)&gt;0,AK243=MIN(AK243:AK253)),INDEX(C242:X242,1,MATCH(MIN(C254:X254),C254:X254,0)),B243))</f>
        <v>S1</v>
      </c>
      <c r="C258" s="1">
        <f>IF(OR($B258&lt;&gt;$B243,$B259&lt;&gt;$B244,$B260&lt;&gt;$B245,$B261&lt;&gt;$B246,$B262&lt;&gt;$B247,$B263&lt;&gt;$B248,$B264&lt;&gt;$B249,$B265&lt;&gt;$B250,$B266&lt;&gt;$B251,$B267&lt;&gt;$B252,$B268&lt;&gt;$B253),IF($B258&lt;&gt;$B243,C243/INDEX($C243:$AJ253,1,MATCH(IF('Data-solution'!$A$3="Maximize",MAX($C254:$AI254),MIN($C254:$AI254)),$C254:$AI254,0)),C243-INDEX($C243:$AJ253,1,MATCH(IF('Data-solution'!$A$3="Maximize",MAX($C254:$AI254),MIN($C254:$AI254)),$C254:$AI254,0))*INDEX(C243:$AJ253,MATCH(MIN($AK243:$AK253),$AK243:$AK253,0),1)/INDEX($C243:$AJ253,MATCH(MIN($AK243:$AK253),$AK243:$AK253,0),MATCH(IF('Data-solution'!$A$3="Maximize",MAX($C254:$AI254),MIN($C254:$AI254)),$C254:$AI254,0))),C243)</f>
        <v>0</v>
      </c>
      <c r="D258" s="1">
        <f>IF(OR($B258&lt;&gt;$B243,$B259&lt;&gt;$B244,$B260&lt;&gt;$B245,$B261&lt;&gt;$B246,$B262&lt;&gt;$B247,$B263&lt;&gt;$B248,$B264&lt;&gt;$B249,$B265&lt;&gt;$B250,$B266&lt;&gt;$B251,$B267&lt;&gt;$B252,$B268&lt;&gt;$B253),IF($B258&lt;&gt;$B243,D243/INDEX($C243:$AJ253,1,MATCH(IF('Data-solution'!$A$3="Maximize",MAX($C254:$AI254),MIN($C254:$AI254)),$C254:$AI254,0)),D243-INDEX($C243:$AJ253,1,MATCH(IF('Data-solution'!$A$3="Maximize",MAX($C254:$AI254),MIN($C254:$AI254)),$C254:$AI254,0))*INDEX(D243:$AJ253,MATCH(MIN($AK243:$AK253),$AK243:$AK253,0),1)/INDEX($C243:$AJ253,MATCH(MIN($AK243:$AK253),$AK243:$AK253,0),MATCH(IF('Data-solution'!$A$3="Maximize",MAX($C254:$AI254),MIN($C254:$AI254)),$C254:$AI254,0))),D243)</f>
        <v>1</v>
      </c>
      <c r="E258" s="1">
        <f>IF(OR($B258&lt;&gt;$B243,$B259&lt;&gt;$B244,$B260&lt;&gt;$B245,$B261&lt;&gt;$B246,$B262&lt;&gt;$B247,$B263&lt;&gt;$B248,$B264&lt;&gt;$B249,$B265&lt;&gt;$B250,$B266&lt;&gt;$B251,$B267&lt;&gt;$B252,$B268&lt;&gt;$B253),IF($B258&lt;&gt;$B243,E243/INDEX($C243:$AJ253,1,MATCH(IF('Data-solution'!$A$3="Maximize",MAX($C254:$AI254),MIN($C254:$AI254)),$C254:$AI254,0)),E243-INDEX($C243:$AJ253,1,MATCH(IF('Data-solution'!$A$3="Maximize",MAX($C254:$AI254),MIN($C254:$AI254)),$C254:$AI254,0))*INDEX(E243:$AJ253,MATCH(MIN($AK243:$AK253),$AK243:$AK253,0),1)/INDEX($C243:$AJ253,MATCH(MIN($AK243:$AK253),$AK243:$AK253,0),MATCH(IF('Data-solution'!$A$3="Maximize",MAX($C254:$AI254),MIN($C254:$AI254)),$C254:$AI254,0))),E243)</f>
        <v>0</v>
      </c>
      <c r="F258" s="1">
        <f>IF(OR($B258&lt;&gt;$B243,$B259&lt;&gt;$B244,$B260&lt;&gt;$B245,$B261&lt;&gt;$B246,$B262&lt;&gt;$B247,$B263&lt;&gt;$B248,$B264&lt;&gt;$B249,$B265&lt;&gt;$B250,$B266&lt;&gt;$B251,$B267&lt;&gt;$B252,$B268&lt;&gt;$B253),IF($B258&lt;&gt;$B243,F243/INDEX($C243:$AJ253,1,MATCH(IF('Data-solution'!$A$3="Maximize",MAX($C254:$AI254),MIN($C254:$AI254)),$C254:$AI254,0)),F243-INDEX($C243:$AJ253,1,MATCH(IF('Data-solution'!$A$3="Maximize",MAX($C254:$AI254),MIN($C254:$AI254)),$C254:$AI254,0))*INDEX(F243:$AJ253,MATCH(MIN($AK243:$AK253),$AK243:$AK253,0),1)/INDEX($C243:$AJ253,MATCH(MIN($AK243:$AK253),$AK243:$AK253,0),MATCH(IF('Data-solution'!$A$3="Maximize",MAX($C254:$AI254),MIN($C254:$AI254)),$C254:$AI254,0))),F243)</f>
        <v>0</v>
      </c>
      <c r="G258" s="1">
        <f>IF(OR($B258&lt;&gt;$B243,$B259&lt;&gt;$B244,$B260&lt;&gt;$B245,$B261&lt;&gt;$B246,$B262&lt;&gt;$B247,$B263&lt;&gt;$B248,$B264&lt;&gt;$B249,$B265&lt;&gt;$B250,$B266&lt;&gt;$B251,$B267&lt;&gt;$B252,$B268&lt;&gt;$B253),IF($B258&lt;&gt;$B243,G243/INDEX($C243:$AJ253,1,MATCH(IF('Data-solution'!$A$3="Maximize",MAX($C254:$AI254),MIN($C254:$AI254)),$C254:$AI254,0)),G243-INDEX($C243:$AJ253,1,MATCH(IF('Data-solution'!$A$3="Maximize",MAX($C254:$AI254),MIN($C254:$AI254)),$C254:$AI254,0))*INDEX(G243:$AJ253,MATCH(MIN($AK243:$AK253),$AK243:$AK253,0),1)/INDEX($C243:$AJ253,MATCH(MIN($AK243:$AK253),$AK243:$AK253,0),MATCH(IF('Data-solution'!$A$3="Maximize",MAX($C254:$AI254),MIN($C254:$AI254)),$C254:$AI254,0))),G243)</f>
        <v>0</v>
      </c>
      <c r="H258" s="1">
        <f>IF(OR($B258&lt;&gt;$B243,$B259&lt;&gt;$B244,$B260&lt;&gt;$B245,$B261&lt;&gt;$B246,$B262&lt;&gt;$B247,$B263&lt;&gt;$B248,$B264&lt;&gt;$B249,$B265&lt;&gt;$B250,$B266&lt;&gt;$B251,$B267&lt;&gt;$B252,$B268&lt;&gt;$B253),IF($B258&lt;&gt;$B243,H243/INDEX($C243:$AJ253,1,MATCH(IF('Data-solution'!$A$3="Maximize",MAX($C254:$AI254),MIN($C254:$AI254)),$C254:$AI254,0)),H243-INDEX($C243:$AJ253,1,MATCH(IF('Data-solution'!$A$3="Maximize",MAX($C254:$AI254),MIN($C254:$AI254)),$C254:$AI254,0))*INDEX(H243:$AJ253,MATCH(MIN($AK243:$AK253),$AK243:$AK253,0),1)/INDEX($C243:$AJ253,MATCH(MIN($AK243:$AK253),$AK243:$AK253,0),MATCH(IF('Data-solution'!$A$3="Maximize",MAX($C254:$AI254),MIN($C254:$AI254)),$C254:$AI254,0))),H243)</f>
        <v>0</v>
      </c>
      <c r="I258" s="1">
        <f>IF(OR($B258&lt;&gt;$B243,$B259&lt;&gt;$B244,$B260&lt;&gt;$B245,$B261&lt;&gt;$B246,$B262&lt;&gt;$B247,$B263&lt;&gt;$B248,$B264&lt;&gt;$B249,$B265&lt;&gt;$B250,$B266&lt;&gt;$B251,$B267&lt;&gt;$B252,$B268&lt;&gt;$B253),IF($B258&lt;&gt;$B243,I243/INDEX($C243:$AJ253,1,MATCH(IF('Data-solution'!$A$3="Maximize",MAX($C254:$AI254),MIN($C254:$AI254)),$C254:$AI254,0)),I243-INDEX($C243:$AJ253,1,MATCH(IF('Data-solution'!$A$3="Maximize",MAX($C254:$AI254),MIN($C254:$AI254)),$C254:$AI254,0))*INDEX(I243:$AJ253,MATCH(MIN($AK243:$AK253),$AK243:$AK253,0),1)/INDEX($C243:$AJ253,MATCH(MIN($AK243:$AK253),$AK243:$AK253,0),MATCH(IF('Data-solution'!$A$3="Maximize",MAX($C254:$AI254),MIN($C254:$AI254)),$C254:$AI254,0))),I243)</f>
        <v>0</v>
      </c>
      <c r="J258" s="1">
        <f>IF(OR($B258&lt;&gt;$B243,$B259&lt;&gt;$B244,$B260&lt;&gt;$B245,$B261&lt;&gt;$B246,$B262&lt;&gt;$B247,$B263&lt;&gt;$B248,$B264&lt;&gt;$B249,$B265&lt;&gt;$B250,$B266&lt;&gt;$B251,$B267&lt;&gt;$B252,$B268&lt;&gt;$B253),IF($B258&lt;&gt;$B243,J243/INDEX($C243:$AJ253,1,MATCH(IF('Data-solution'!$A$3="Maximize",MAX($C254:$AI254),MIN($C254:$AI254)),$C254:$AI254,0)),J243-INDEX($C243:$AJ253,1,MATCH(IF('Data-solution'!$A$3="Maximize",MAX($C254:$AI254),MIN($C254:$AI254)),$C254:$AI254,0))*INDEX(J243:$AJ253,MATCH(MIN($AK243:$AK253),$AK243:$AK253,0),1)/INDEX($C243:$AJ253,MATCH(MIN($AK243:$AK253),$AK243:$AK253,0),MATCH(IF('Data-solution'!$A$3="Maximize",MAX($C254:$AI254),MIN($C254:$AI254)),$C254:$AI254,0))),J243)</f>
        <v>0</v>
      </c>
      <c r="K258" s="1">
        <f>IF(OR($B258&lt;&gt;$B243,$B259&lt;&gt;$B244,$B260&lt;&gt;$B245,$B261&lt;&gt;$B246,$B262&lt;&gt;$B247,$B263&lt;&gt;$B248,$B264&lt;&gt;$B249,$B265&lt;&gt;$B250,$B266&lt;&gt;$B251,$B267&lt;&gt;$B252,$B268&lt;&gt;$B253),IF($B258&lt;&gt;$B243,K243/INDEX($C243:$AJ253,1,MATCH(IF('Data-solution'!$A$3="Maximize",MAX($C254:$AI254),MIN($C254:$AI254)),$C254:$AI254,0)),K243-INDEX($C243:$AJ253,1,MATCH(IF('Data-solution'!$A$3="Maximize",MAX($C254:$AI254),MIN($C254:$AI254)),$C254:$AI254,0))*INDEX(K243:$AJ253,MATCH(MIN($AK243:$AK253),$AK243:$AK253,0),1)/INDEX($C243:$AJ253,MATCH(MIN($AK243:$AK253),$AK243:$AK253,0),MATCH(IF('Data-solution'!$A$3="Maximize",MAX($C254:$AI254),MIN($C254:$AI254)),$C254:$AI254,0))),K243)</f>
        <v>0</v>
      </c>
      <c r="L258" s="1">
        <f>IF(OR($B258&lt;&gt;$B243,$B259&lt;&gt;$B244,$B260&lt;&gt;$B245,$B261&lt;&gt;$B246,$B262&lt;&gt;$B247,$B263&lt;&gt;$B248,$B264&lt;&gt;$B249,$B265&lt;&gt;$B250,$B266&lt;&gt;$B251,$B267&lt;&gt;$B252,$B268&lt;&gt;$B253),IF($B258&lt;&gt;$B243,L243/INDEX($C243:$AJ253,1,MATCH(IF('Data-solution'!$A$3="Maximize",MAX($C254:$AI254),MIN($C254:$AI254)),$C254:$AI254,0)),L243-INDEX($C243:$AJ253,1,MATCH(IF('Data-solution'!$A$3="Maximize",MAX($C254:$AI254),MIN($C254:$AI254)),$C254:$AI254,0))*INDEX(L243:$AJ253,MATCH(MIN($AK243:$AK253),$AK243:$AK253,0),1)/INDEX($C243:$AJ253,MATCH(MIN($AK243:$AK253),$AK243:$AK253,0),MATCH(IF('Data-solution'!$A$3="Maximize",MAX($C254:$AI254),MIN($C254:$AI254)),$C254:$AI254,0))),L243)</f>
        <v>0</v>
      </c>
      <c r="M258" s="1">
        <f>IF(OR($B258&lt;&gt;$B243,$B259&lt;&gt;$B244,$B260&lt;&gt;$B245,$B261&lt;&gt;$B246,$B262&lt;&gt;$B247,$B263&lt;&gt;$B248,$B264&lt;&gt;$B249,$B265&lt;&gt;$B250,$B266&lt;&gt;$B251,$B267&lt;&gt;$B252,$B268&lt;&gt;$B253),IF($B258&lt;&gt;$B243,M243/INDEX($C243:$AJ253,1,MATCH(IF('Data-solution'!$A$3="Maximize",MAX($C254:$AI254),MIN($C254:$AI254)),$C254:$AI254,0)),M243-INDEX($C243:$AJ253,1,MATCH(IF('Data-solution'!$A$3="Maximize",MAX($C254:$AI254),MIN($C254:$AI254)),$C254:$AI254,0))*INDEX(M243:$AJ253,MATCH(MIN($AK243:$AK253),$AK243:$AK253,0),1)/INDEX($C243:$AJ253,MATCH(MIN($AK243:$AK253),$AK243:$AK253,0),MATCH(IF('Data-solution'!$A$3="Maximize",MAX($C254:$AI254),MIN($C254:$AI254)),$C254:$AI254,0))),M243)</f>
        <v>0</v>
      </c>
      <c r="N258" s="1">
        <f>IF(OR($B258&lt;&gt;$B243,$B259&lt;&gt;$B244,$B260&lt;&gt;$B245,$B261&lt;&gt;$B246,$B262&lt;&gt;$B247,$B263&lt;&gt;$B248,$B264&lt;&gt;$B249,$B265&lt;&gt;$B250,$B266&lt;&gt;$B251,$B267&lt;&gt;$B252,$B268&lt;&gt;$B253),IF($B258&lt;&gt;$B243,N243/INDEX($C243:$AJ253,1,MATCH(IF('Data-solution'!$A$3="Maximize",MAX($C254:$AI254),MIN($C254:$AI254)),$C254:$AI254,0)),N243-INDEX($C243:$AJ253,1,MATCH(IF('Data-solution'!$A$3="Maximize",MAX($C254:$AI254),MIN($C254:$AI254)),$C254:$AI254,0))*INDEX(N243:$AJ253,MATCH(MIN($AK243:$AK253),$AK243:$AK253,0),1)/INDEX($C243:$AJ253,MATCH(MIN($AK243:$AK253),$AK243:$AK253,0),MATCH(IF('Data-solution'!$A$3="Maximize",MAX($C254:$AI254),MIN($C254:$AI254)),$C254:$AI254,0))),N243)</f>
        <v>1</v>
      </c>
      <c r="O258" s="1">
        <f>IF(OR($B258&lt;&gt;$B243,$B259&lt;&gt;$B244,$B260&lt;&gt;$B245,$B261&lt;&gt;$B246,$B262&lt;&gt;$B247,$B263&lt;&gt;$B248,$B264&lt;&gt;$B249,$B265&lt;&gt;$B250,$B266&lt;&gt;$B251,$B267&lt;&gt;$B252,$B268&lt;&gt;$B253),IF($B258&lt;&gt;$B243,O243/INDEX($C243:$AJ253,1,MATCH(IF('Data-solution'!$A$3="Maximize",MAX($C254:$AI254),MIN($C254:$AI254)),$C254:$AI254,0)),O243-INDEX($C243:$AJ253,1,MATCH(IF('Data-solution'!$A$3="Maximize",MAX($C254:$AI254),MIN($C254:$AI254)),$C254:$AI254,0))*INDEX(O243:$AJ253,MATCH(MIN($AK243:$AK253),$AK243:$AK253,0),1)/INDEX($C243:$AJ253,MATCH(MIN($AK243:$AK253),$AK243:$AK253,0),MATCH(IF('Data-solution'!$A$3="Maximize",MAX($C254:$AI254),MIN($C254:$AI254)),$C254:$AI254,0))),O243)</f>
        <v>0</v>
      </c>
      <c r="P258" s="1">
        <f>IF(OR($B258&lt;&gt;$B243,$B259&lt;&gt;$B244,$B260&lt;&gt;$B245,$B261&lt;&gt;$B246,$B262&lt;&gt;$B247,$B263&lt;&gt;$B248,$B264&lt;&gt;$B249,$B265&lt;&gt;$B250,$B266&lt;&gt;$B251,$B267&lt;&gt;$B252,$B268&lt;&gt;$B253),IF($B258&lt;&gt;$B243,P243/INDEX($C243:$AJ253,1,MATCH(IF('Data-solution'!$A$3="Maximize",MAX($C254:$AI254),MIN($C254:$AI254)),$C254:$AI254,0)),P243-INDEX($C243:$AJ253,1,MATCH(IF('Data-solution'!$A$3="Maximize",MAX($C254:$AI254),MIN($C254:$AI254)),$C254:$AI254,0))*INDEX(P243:$AJ253,MATCH(MIN($AK243:$AK253),$AK243:$AK253,0),1)/INDEX($C243:$AJ253,MATCH(MIN($AK243:$AK253),$AK243:$AK253,0),MATCH(IF('Data-solution'!$A$3="Maximize",MAX($C254:$AI254),MIN($C254:$AI254)),$C254:$AI254,0))),P243)</f>
        <v>0</v>
      </c>
      <c r="Q258" s="1">
        <f>IF(OR($B258&lt;&gt;$B243,$B259&lt;&gt;$B244,$B260&lt;&gt;$B245,$B261&lt;&gt;$B246,$B262&lt;&gt;$B247,$B263&lt;&gt;$B248,$B264&lt;&gt;$B249,$B265&lt;&gt;$B250,$B266&lt;&gt;$B251,$B267&lt;&gt;$B252,$B268&lt;&gt;$B253),IF($B258&lt;&gt;$B243,Q243/INDEX($C243:$AJ253,1,MATCH(IF('Data-solution'!$A$3="Maximize",MAX($C254:$AI254),MIN($C254:$AI254)),$C254:$AI254,0)),Q243-INDEX($C243:$AJ253,1,MATCH(IF('Data-solution'!$A$3="Maximize",MAX($C254:$AI254),MIN($C254:$AI254)),$C254:$AI254,0))*INDEX(Q243:$AJ253,MATCH(MIN($AK243:$AK253),$AK243:$AK253,0),1)/INDEX($C243:$AJ253,MATCH(MIN($AK243:$AK253),$AK243:$AK253,0),MATCH(IF('Data-solution'!$A$3="Maximize",MAX($C254:$AI254),MIN($C254:$AI254)),$C254:$AI254,0))),Q243)</f>
        <v>-1</v>
      </c>
      <c r="R258" s="1">
        <f>IF(OR($B258&lt;&gt;$B243,$B259&lt;&gt;$B244,$B260&lt;&gt;$B245,$B261&lt;&gt;$B246,$B262&lt;&gt;$B247,$B263&lt;&gt;$B248,$B264&lt;&gt;$B249,$B265&lt;&gt;$B250,$B266&lt;&gt;$B251,$B267&lt;&gt;$B252,$B268&lt;&gt;$B253),IF($B258&lt;&gt;$B243,R243/INDEX($C243:$AJ253,1,MATCH(IF('Data-solution'!$A$3="Maximize",MAX($C254:$AI254),MIN($C254:$AI254)),$C254:$AI254,0)),R243-INDEX($C243:$AJ253,1,MATCH(IF('Data-solution'!$A$3="Maximize",MAX($C254:$AI254),MIN($C254:$AI254)),$C254:$AI254,0))*INDEX(R243:$AJ253,MATCH(MIN($AK243:$AK253),$AK243:$AK253,0),1)/INDEX($C243:$AJ253,MATCH(MIN($AK243:$AK253),$AK243:$AK253,0),MATCH(IF('Data-solution'!$A$3="Maximize",MAX($C254:$AI254),MIN($C254:$AI254)),$C254:$AI254,0))),R243)</f>
        <v>0</v>
      </c>
      <c r="S258" s="1">
        <f>IF(OR($B258&lt;&gt;$B243,$B259&lt;&gt;$B244,$B260&lt;&gt;$B245,$B261&lt;&gt;$B246,$B262&lt;&gt;$B247,$B263&lt;&gt;$B248,$B264&lt;&gt;$B249,$B265&lt;&gt;$B250,$B266&lt;&gt;$B251,$B267&lt;&gt;$B252,$B268&lt;&gt;$B253),IF($B258&lt;&gt;$B243,S243/INDEX($C243:$AJ253,1,MATCH(IF('Data-solution'!$A$3="Maximize",MAX($C254:$AI254),MIN($C254:$AI254)),$C254:$AI254,0)),S243-INDEX($C243:$AJ253,1,MATCH(IF('Data-solution'!$A$3="Maximize",MAX($C254:$AI254),MIN($C254:$AI254)),$C254:$AI254,0))*INDEX(S243:$AJ253,MATCH(MIN($AK243:$AK253),$AK243:$AK253,0),1)/INDEX($C243:$AJ253,MATCH(MIN($AK243:$AK253),$AK243:$AK253,0),MATCH(IF('Data-solution'!$A$3="Maximize",MAX($C254:$AI254),MIN($C254:$AI254)),$C254:$AI254,0))),S243)</f>
        <v>0</v>
      </c>
      <c r="T258" s="1">
        <f>IF(OR($B258&lt;&gt;$B243,$B259&lt;&gt;$B244,$B260&lt;&gt;$B245,$B261&lt;&gt;$B246,$B262&lt;&gt;$B247,$B263&lt;&gt;$B248,$B264&lt;&gt;$B249,$B265&lt;&gt;$B250,$B266&lt;&gt;$B251,$B267&lt;&gt;$B252,$B268&lt;&gt;$B253),IF($B258&lt;&gt;$B243,T243/INDEX($C243:$AJ253,1,MATCH(IF('Data-solution'!$A$3="Maximize",MAX($C254:$AI254),MIN($C254:$AI254)),$C254:$AI254,0)),T243-INDEX($C243:$AJ253,1,MATCH(IF('Data-solution'!$A$3="Maximize",MAX($C254:$AI254),MIN($C254:$AI254)),$C254:$AI254,0))*INDEX(T243:$AJ253,MATCH(MIN($AK243:$AK253),$AK243:$AK253,0),1)/INDEX($C243:$AJ253,MATCH(MIN($AK243:$AK253),$AK243:$AK253,0),MATCH(IF('Data-solution'!$A$3="Maximize",MAX($C254:$AI254),MIN($C254:$AI254)),$C254:$AI254,0))),T243)</f>
        <v>0</v>
      </c>
      <c r="U258" s="1">
        <f>IF(OR($B258&lt;&gt;$B243,$B259&lt;&gt;$B244,$B260&lt;&gt;$B245,$B261&lt;&gt;$B246,$B262&lt;&gt;$B247,$B263&lt;&gt;$B248,$B264&lt;&gt;$B249,$B265&lt;&gt;$B250,$B266&lt;&gt;$B251,$B267&lt;&gt;$B252,$B268&lt;&gt;$B253),IF($B258&lt;&gt;$B243,U243/INDEX($C243:$AJ253,1,MATCH(IF('Data-solution'!$A$3="Maximize",MAX($C254:$AI254),MIN($C254:$AI254)),$C254:$AI254,0)),U243-INDEX($C243:$AJ253,1,MATCH(IF('Data-solution'!$A$3="Maximize",MAX($C254:$AI254),MIN($C254:$AI254)),$C254:$AI254,0))*INDEX(U243:$AJ253,MATCH(MIN($AK243:$AK253),$AK243:$AK253,0),1)/INDEX($C243:$AJ253,MATCH(MIN($AK243:$AK253),$AK243:$AK253,0),MATCH(IF('Data-solution'!$A$3="Maximize",MAX($C254:$AI254),MIN($C254:$AI254)),$C254:$AI254,0))),U243)</f>
        <v>0</v>
      </c>
      <c r="V258" s="1">
        <f>IF(OR($B258&lt;&gt;$B243,$B259&lt;&gt;$B244,$B260&lt;&gt;$B245,$B261&lt;&gt;$B246,$B262&lt;&gt;$B247,$B263&lt;&gt;$B248,$B264&lt;&gt;$B249,$B265&lt;&gt;$B250,$B266&lt;&gt;$B251,$B267&lt;&gt;$B252,$B268&lt;&gt;$B253),IF($B258&lt;&gt;$B243,V243/INDEX($C243:$AJ253,1,MATCH(IF('Data-solution'!$A$3="Maximize",MAX($C254:$AI254),MIN($C254:$AI254)),$C254:$AI254,0)),V243-INDEX($C243:$AJ253,1,MATCH(IF('Data-solution'!$A$3="Maximize",MAX($C254:$AI254),MIN($C254:$AI254)),$C254:$AI254,0))*INDEX(V243:$AJ253,MATCH(MIN($AK243:$AK253),$AK243:$AK253,0),1)/INDEX($C243:$AJ253,MATCH(MIN($AK243:$AK253),$AK243:$AK253,0),MATCH(IF('Data-solution'!$A$3="Maximize",MAX($C254:$AI254),MIN($C254:$AI254)),$C254:$AI254,0))),V243)</f>
        <v>0</v>
      </c>
      <c r="W258" s="1">
        <f>IF(OR($B258&lt;&gt;$B243,$B259&lt;&gt;$B244,$B260&lt;&gt;$B245,$B261&lt;&gt;$B246,$B262&lt;&gt;$B247,$B263&lt;&gt;$B248,$B264&lt;&gt;$B249,$B265&lt;&gt;$B250,$B266&lt;&gt;$B251,$B267&lt;&gt;$B252,$B268&lt;&gt;$B253),IF($B258&lt;&gt;$B243,W243/INDEX($C243:$AJ253,1,MATCH(IF('Data-solution'!$A$3="Maximize",MAX($C254:$AI254),MIN($C254:$AI254)),$C254:$AI254,0)),W243-INDEX($C243:$AJ253,1,MATCH(IF('Data-solution'!$A$3="Maximize",MAX($C254:$AI254),MIN($C254:$AI254)),$C254:$AI254,0))*INDEX(W243:$AJ253,MATCH(MIN($AK243:$AK253),$AK243:$AK253,0),1)/INDEX($C243:$AJ253,MATCH(MIN($AK243:$AK253),$AK243:$AK253,0),MATCH(IF('Data-solution'!$A$3="Maximize",MAX($C254:$AI254),MIN($C254:$AI254)),$C254:$AI254,0))),W243)</f>
        <v>0</v>
      </c>
      <c r="X258" s="1">
        <f>IF(OR($B258&lt;&gt;$B243,$B259&lt;&gt;$B244,$B260&lt;&gt;$B245,$B261&lt;&gt;$B246,$B262&lt;&gt;$B247,$B263&lt;&gt;$B248,$B264&lt;&gt;$B249,$B265&lt;&gt;$B250,$B266&lt;&gt;$B251,$B267&lt;&gt;$B252,$B268&lt;&gt;$B253),IF($B258&lt;&gt;$B243,X243/INDEX($C243:$AJ253,1,MATCH(IF('Data-solution'!$A$3="Maximize",MAX($C254:$AI254),MIN($C254:$AI254)),$C254:$AI254,0)),X243-INDEX($C243:$AJ253,1,MATCH(IF('Data-solution'!$A$3="Maximize",MAX($C254:$AI254),MIN($C254:$AI254)),$C254:$AI254,0))*INDEX(X243:$AJ253,MATCH(MIN($AK243:$AK253),$AK243:$AK253,0),1)/INDEX($C243:$AJ253,MATCH(MIN($AK243:$AK253),$AK243:$AK253,0),MATCH(IF('Data-solution'!$A$3="Maximize",MAX($C254:$AI254),MIN($C254:$AI254)),$C254:$AI254,0))),X243)</f>
        <v>0</v>
      </c>
      <c r="Y258" s="1">
        <f>IF(OR($B258&lt;&gt;$B243,$B259&lt;&gt;$B244,$B260&lt;&gt;$B245,$B261&lt;&gt;$B246,$B262&lt;&gt;$B247,$B263&lt;&gt;$B248,$B264&lt;&gt;$B249,$B265&lt;&gt;$B250,$B266&lt;&gt;$B251,$B267&lt;&gt;$B252,$B268&lt;&gt;$B253),IF($B258&lt;&gt;$B243,Y243/INDEX($C243:$AJ253,1,MATCH(IF('Data-solution'!$A$3="Maximize",MAX($C254:$AI254),MIN($C254:$AI254)),$C254:$AI254,0)),Y243-INDEX($C243:$AJ253,1,MATCH(IF('Data-solution'!$A$3="Maximize",MAX($C254:$AI254),MIN($C254:$AI254)),$C254:$AI254,0))*INDEX(Y243:$AJ253,MATCH(MIN($AK243:$AK253),$AK243:$AK253,0),1)/INDEX($C243:$AJ253,MATCH(MIN($AK243:$AK253),$AK243:$AK253,0),MATCH(IF('Data-solution'!$A$3="Maximize",MAX($C254:$AI254),MIN($C254:$AI254)),$C254:$AI254,0))),Y243)</f>
        <v>1</v>
      </c>
      <c r="Z258" s="1">
        <f>IF(OR($B258&lt;&gt;$B243,$B259&lt;&gt;$B244,$B260&lt;&gt;$B245,$B261&lt;&gt;$B246,$B262&lt;&gt;$B247,$B263&lt;&gt;$B248,$B264&lt;&gt;$B249,$B265&lt;&gt;$B250,$B266&lt;&gt;$B251,$B267&lt;&gt;$B252,$B268&lt;&gt;$B253),IF($B258&lt;&gt;$B243,Z243/INDEX($C243:$AJ253,1,MATCH(IF('Data-solution'!$A$3="Maximize",MAX($C254:$AI254),MIN($C254:$AI254)),$C254:$AI254,0)),Z243-INDEX($C243:$AJ253,1,MATCH(IF('Data-solution'!$A$3="Maximize",MAX($C254:$AI254),MIN($C254:$AI254)),$C254:$AI254,0))*INDEX(Z243:$AJ253,MATCH(MIN($AK243:$AK253),$AK243:$AK253,0),1)/INDEX($C243:$AJ253,MATCH(MIN($AK243:$AK253),$AK243:$AK253,0),MATCH(IF('Data-solution'!$A$3="Maximize",MAX($C254:$AI254),MIN($C254:$AI254)),$C254:$AI254,0))),Z243)</f>
        <v>0</v>
      </c>
      <c r="AA258" s="1">
        <f>IF(OR($B258&lt;&gt;$B243,$B259&lt;&gt;$B244,$B260&lt;&gt;$B245,$B261&lt;&gt;$B246,$B262&lt;&gt;$B247,$B263&lt;&gt;$B248,$B264&lt;&gt;$B249,$B265&lt;&gt;$B250,$B266&lt;&gt;$B251,$B267&lt;&gt;$B252,$B268&lt;&gt;$B253),IF($B258&lt;&gt;$B243,AA243/INDEX($C243:$AJ253,1,MATCH(IF('Data-solution'!$A$3="Maximize",MAX($C254:$AI254),MIN($C254:$AI254)),$C254:$AI254,0)),AA243-INDEX($C243:$AJ253,1,MATCH(IF('Data-solution'!$A$3="Maximize",MAX($C254:$AI254),MIN($C254:$AI254)),$C254:$AI254,0))*INDEX(AA243:$AJ253,MATCH(MIN($AK243:$AK253),$AK243:$AK253,0),1)/INDEX($C243:$AJ253,MATCH(MIN($AK243:$AK253),$AK243:$AK253,0),MATCH(IF('Data-solution'!$A$3="Maximize",MAX($C254:$AI254),MIN($C254:$AI254)),$C254:$AI254,0))),AA243)</f>
        <v>0</v>
      </c>
      <c r="AB258" s="1">
        <f>IF(OR($B258&lt;&gt;$B243,$B259&lt;&gt;$B244,$B260&lt;&gt;$B245,$B261&lt;&gt;$B246,$B262&lt;&gt;$B247,$B263&lt;&gt;$B248,$B264&lt;&gt;$B249,$B265&lt;&gt;$B250,$B266&lt;&gt;$B251,$B267&lt;&gt;$B252,$B268&lt;&gt;$B253),IF($B258&lt;&gt;$B243,AB243/INDEX($C243:$AJ253,1,MATCH(IF('Data-solution'!$A$3="Maximize",MAX($C254:$AI254),MIN($C254:$AI254)),$C254:$AI254,0)),AB243-INDEX($C243:$AJ253,1,MATCH(IF('Data-solution'!$A$3="Maximize",MAX($C254:$AI254),MIN($C254:$AI254)),$C254:$AI254,0))*INDEX(AB243:$AJ253,MATCH(MIN($AK243:$AK253),$AK243:$AK253,0),1)/INDEX($C243:$AJ253,MATCH(MIN($AK243:$AK253),$AK243:$AK253,0),MATCH(IF('Data-solution'!$A$3="Maximize",MAX($C254:$AI254),MIN($C254:$AI254)),$C254:$AI254,0))),AB243)</f>
        <v>-1</v>
      </c>
      <c r="AC258" s="1">
        <f>IF(OR($B258&lt;&gt;$B243,$B259&lt;&gt;$B244,$B260&lt;&gt;$B245,$B261&lt;&gt;$B246,$B262&lt;&gt;$B247,$B263&lt;&gt;$B248,$B264&lt;&gt;$B249,$B265&lt;&gt;$B250,$B266&lt;&gt;$B251,$B267&lt;&gt;$B252,$B268&lt;&gt;$B253),IF($B258&lt;&gt;$B243,AC243/INDEX($C243:$AJ253,1,MATCH(IF('Data-solution'!$A$3="Maximize",MAX($C254:$AI254),MIN($C254:$AI254)),$C254:$AI254,0)),AC243-INDEX($C243:$AJ253,1,MATCH(IF('Data-solution'!$A$3="Maximize",MAX($C254:$AI254),MIN($C254:$AI254)),$C254:$AI254,0))*INDEX(AC243:$AJ253,MATCH(MIN($AK243:$AK253),$AK243:$AK253,0),1)/INDEX($C243:$AJ253,MATCH(MIN($AK243:$AK253),$AK243:$AK253,0),MATCH(IF('Data-solution'!$A$3="Maximize",MAX($C254:$AI254),MIN($C254:$AI254)),$C254:$AI254,0))),AC243)</f>
        <v>0</v>
      </c>
      <c r="AD258" s="1">
        <f>IF(OR($B258&lt;&gt;$B243,$B259&lt;&gt;$B244,$B260&lt;&gt;$B245,$B261&lt;&gt;$B246,$B262&lt;&gt;$B247,$B263&lt;&gt;$B248,$B264&lt;&gt;$B249,$B265&lt;&gt;$B250,$B266&lt;&gt;$B251,$B267&lt;&gt;$B252,$B268&lt;&gt;$B253),IF($B258&lt;&gt;$B243,AD243/INDEX($C243:$AJ253,1,MATCH(IF('Data-solution'!$A$3="Maximize",MAX($C254:$AI254),MIN($C254:$AI254)),$C254:$AI254,0)),AD243-INDEX($C243:$AJ253,1,MATCH(IF('Data-solution'!$A$3="Maximize",MAX($C254:$AI254),MIN($C254:$AI254)),$C254:$AI254,0))*INDEX(AD243:$AJ253,MATCH(MIN($AK243:$AK253),$AK243:$AK253,0),1)/INDEX($C243:$AJ253,MATCH(MIN($AK243:$AK253),$AK243:$AK253,0),MATCH(IF('Data-solution'!$A$3="Maximize",MAX($C254:$AI254),MIN($C254:$AI254)),$C254:$AI254,0))),AD243)</f>
        <v>0</v>
      </c>
      <c r="AE258" s="1">
        <f>IF(OR($B258&lt;&gt;$B243,$B259&lt;&gt;$B244,$B260&lt;&gt;$B245,$B261&lt;&gt;$B246,$B262&lt;&gt;$B247,$B263&lt;&gt;$B248,$B264&lt;&gt;$B249,$B265&lt;&gt;$B250,$B266&lt;&gt;$B251,$B267&lt;&gt;$B252,$B268&lt;&gt;$B253),IF($B258&lt;&gt;$B243,AE243/INDEX($C243:$AJ253,1,MATCH(IF('Data-solution'!$A$3="Maximize",MAX($C254:$AI254),MIN($C254:$AI254)),$C254:$AI254,0)),AE243-INDEX($C243:$AJ253,1,MATCH(IF('Data-solution'!$A$3="Maximize",MAX($C254:$AI254),MIN($C254:$AI254)),$C254:$AI254,0))*INDEX(AE243:$AJ253,MATCH(MIN($AK243:$AK253),$AK243:$AK253,0),1)/INDEX($C243:$AJ253,MATCH(MIN($AK243:$AK253),$AK243:$AK253,0),MATCH(IF('Data-solution'!$A$3="Maximize",MAX($C254:$AI254),MIN($C254:$AI254)),$C254:$AI254,0))),AE243)</f>
        <v>0</v>
      </c>
      <c r="AF258" s="1">
        <f>IF(OR($B258&lt;&gt;$B243,$B259&lt;&gt;$B244,$B260&lt;&gt;$B245,$B261&lt;&gt;$B246,$B262&lt;&gt;$B247,$B263&lt;&gt;$B248,$B264&lt;&gt;$B249,$B265&lt;&gt;$B250,$B266&lt;&gt;$B251,$B267&lt;&gt;$B252,$B268&lt;&gt;$B253),IF($B258&lt;&gt;$B243,AF243/INDEX($C243:$AJ253,1,MATCH(IF('Data-solution'!$A$3="Maximize",MAX($C254:$AI254),MIN($C254:$AI254)),$C254:$AI254,0)),AF243-INDEX($C243:$AJ253,1,MATCH(IF('Data-solution'!$A$3="Maximize",MAX($C254:$AI254),MIN($C254:$AI254)),$C254:$AI254,0))*INDEX(AF243:$AJ253,MATCH(MIN($AK243:$AK253),$AK243:$AK253,0),1)/INDEX($C243:$AJ253,MATCH(MIN($AK243:$AK253),$AK243:$AK253,0),MATCH(IF('Data-solution'!$A$3="Maximize",MAX($C254:$AI254),MIN($C254:$AI254)),$C254:$AI254,0))),AF243)</f>
        <v>0</v>
      </c>
      <c r="AG258" s="1">
        <f>IF(OR($B258&lt;&gt;$B243,$B259&lt;&gt;$B244,$B260&lt;&gt;$B245,$B261&lt;&gt;$B246,$B262&lt;&gt;$B247,$B263&lt;&gt;$B248,$B264&lt;&gt;$B249,$B265&lt;&gt;$B250,$B266&lt;&gt;$B251,$B267&lt;&gt;$B252,$B268&lt;&gt;$B253),IF($B258&lt;&gt;$B243,AG243/INDEX($C243:$AJ253,1,MATCH(IF('Data-solution'!$A$3="Maximize",MAX($C254:$AI254),MIN($C254:$AI254)),$C254:$AI254,0)),AG243-INDEX($C243:$AJ253,1,MATCH(IF('Data-solution'!$A$3="Maximize",MAX($C254:$AI254),MIN($C254:$AI254)),$C254:$AI254,0))*INDEX(AG243:$AJ253,MATCH(MIN($AK243:$AK253),$AK243:$AK253,0),1)/INDEX($C243:$AJ253,MATCH(MIN($AK243:$AK253),$AK243:$AK253,0),MATCH(IF('Data-solution'!$A$3="Maximize",MAX($C254:$AI254),MIN($C254:$AI254)),$C254:$AI254,0))),AG243)</f>
        <v>0</v>
      </c>
      <c r="AH258" s="1">
        <f>IF(OR($B258&lt;&gt;$B243,$B259&lt;&gt;$B244,$B260&lt;&gt;$B245,$B261&lt;&gt;$B246,$B262&lt;&gt;$B247,$B263&lt;&gt;$B248,$B264&lt;&gt;$B249,$B265&lt;&gt;$B250,$B266&lt;&gt;$B251,$B267&lt;&gt;$B252,$B268&lt;&gt;$B253),IF($B258&lt;&gt;$B243,AH243/INDEX($C243:$AJ253,1,MATCH(IF('Data-solution'!$A$3="Maximize",MAX($C254:$AI254),MIN($C254:$AI254)),$C254:$AI254,0)),AH243-INDEX($C243:$AJ253,1,MATCH(IF('Data-solution'!$A$3="Maximize",MAX($C254:$AI254),MIN($C254:$AI254)),$C254:$AI254,0))*INDEX(AH243:$AJ253,MATCH(MIN($AK243:$AK253),$AK243:$AK253,0),1)/INDEX($C243:$AJ253,MATCH(MIN($AK243:$AK253),$AK243:$AK253,0),MATCH(IF('Data-solution'!$A$3="Maximize",MAX($C254:$AI254),MIN($C254:$AI254)),$C254:$AI254,0))),AH243)</f>
        <v>0</v>
      </c>
      <c r="AI258" s="1">
        <f>IF(OR($B258&lt;&gt;$B243,$B259&lt;&gt;$B244,$B260&lt;&gt;$B245,$B261&lt;&gt;$B246,$B262&lt;&gt;$B247,$B263&lt;&gt;$B248,$B264&lt;&gt;$B249,$B265&lt;&gt;$B250,$B266&lt;&gt;$B251,$B267&lt;&gt;$B252,$B268&lt;&gt;$B253),IF($B258&lt;&gt;$B243,AI243/INDEX($C243:$AJ253,1,MATCH(IF('Data-solution'!$A$3="Maximize",MAX($C254:$AI254),MIN($C254:$AI254)),$C254:$AI254,0)),AI243-INDEX($C243:$AJ253,1,MATCH(IF('Data-solution'!$A$3="Maximize",MAX($C254:$AI254),MIN($C254:$AI254)),$C254:$AI254,0))*INDEX(AI243:$AJ253,MATCH(MIN($AK243:$AK253),$AK243:$AK253,0),1)/INDEX($C243:$AJ253,MATCH(MIN($AK243:$AK253),$AK243:$AK253,0),MATCH(IF('Data-solution'!$A$3="Maximize",MAX($C254:$AI254),MIN($C254:$AI254)),$C254:$AI254,0))),AI243)</f>
        <v>0</v>
      </c>
      <c r="AJ258" s="1">
        <f>IF(OR($B258&lt;&gt;$B243,$B259&lt;&gt;$B244,$B260&lt;&gt;$B245,$B261&lt;&gt;$B246,$B262&lt;&gt;$B247,$B263&lt;&gt;$B248,$B264&lt;&gt;$B249,$B265&lt;&gt;$B250,$B266&lt;&gt;$B251,$B267&lt;&gt;$B252,$B268&lt;&gt;$B253),IF($B258&lt;&gt;$B243,AJ243/INDEX($C243:$AJ253,1,MATCH(IF('Data-solution'!$A$3="Maximize",MAX($C254:$AI254),MIN($C254:$AI254)),$C254:$AI254,0)),AJ243-INDEX($C243:$AJ253,1,MATCH(IF('Data-solution'!$A$3="Maximize",MAX($C254:$AI254),MIN($C254:$AI254)),$C254:$AI254,0))*INDEX(AJ243:$AJ253,MATCH(MIN($AK243:$AK253),$AK243:$AK253,0),1)/INDEX($C243:$AJ253,MATCH(MIN($AK243:$AK253),$AK243:$AK253,0),MATCH(IF('Data-solution'!$A$3="Maximize",MAX($C254:$AI254),MIN($C254:$AI254)),$C254:$AI254,0))),AJ243)</f>
        <v>150</v>
      </c>
      <c r="AK258" s="1" t="str">
        <f>IF(INDEX(C258:X258,1,MATCH(IF('Data-solution'!A$3="Maximize",MAX(C269:X269),MIN(C269:X269)),C269:X269,0))&gt;0,AJ258/INDEX(C258:X258,1,MATCH(IF('Data-solution'!A$3="Maximize",MAX(C269:X269),MIN(C269:X269)),C269:X269,0))," ")</f>
        <v xml:space="preserve"> </v>
      </c>
    </row>
    <row r="259" spans="1:37" ht="18" customHeight="1" x14ac:dyDescent="0.2">
      <c r="A259" s="1">
        <f t="shared" ref="A259" si="231">INDEX(C256:AI256,1,MATCH(B259,C257:AI257,0))</f>
        <v>0</v>
      </c>
      <c r="B259" s="2" t="str">
        <f>IF(AND('Data-solution'!A$3="Maximize",COUNTIF(C254:X254,"&gt;"&amp;0)&gt;0,AK244=MIN(AK243:AK253),COUNTIF(B258,INDEX(C242:X242,1,MATCH(MAX(C254:X254),C254:X254,0)))=0),INDEX(C242:X242,1,MATCH(MAX(C254:X254),C254:X254,0)),IF(AND('Data-solution'!A$3="Minimize",COUNTIF(C254:X254,"&lt;"&amp;0)&gt;0,AK244=MIN(AK243:AK253),COUNTIF(B258,INDEX(C242:X242,1,MATCH(MIN(C254:X254),C254:X254,0)))=0),INDEX(C242:X242,1,MATCH(MIN(C254:X254),C254:X254,0)),B244))</f>
        <v>S2</v>
      </c>
      <c r="C259" s="1">
        <f>IF(OR($B258&lt;&gt;$B243,$B259&lt;&gt;$B244,$B260&lt;&gt;$B245,$B261&lt;&gt;$B246,$B262&lt;&gt;$B247,$B263&lt;&gt;$B248,$B264&lt;&gt;$B249,$B265&lt;&gt;$B250,$B266&lt;&gt;$B251,$B267&lt;&gt;$B252,$B268&lt;&gt;$B253),IF($B259&lt;&gt;$B244,C244/INDEX($C243:$AJ253,2,MATCH(IF('Data-solution'!$A$3="Maximize",MAX($C254:$AI254),MIN($C254:$AI254)),$C254:$AI254,0)),C244-INDEX($C243:$AJ253,2,MATCH(IF('Data-solution'!$A$3="Maximize",MAX($C254:$AI254),MIN($C254:$AI254)),$C254:$AI254,0))*INDEX(C243:$AJ253,MATCH(MIN($AK243:$AK253),$AK243:$AK253,0),1)/INDEX($C243:$AJ253,MATCH(MIN($AK243:$AK253),$AK243:$AK253,0),MATCH(IF('Data-solution'!$A$3="Maximize",MAX($C254:$AI254),MIN($C254:$AI254)),$C254:$AI254,0))),C244)</f>
        <v>0</v>
      </c>
      <c r="D259" s="1">
        <f>IF(OR($B258&lt;&gt;$B243,$B259&lt;&gt;$B244,$B260&lt;&gt;$B245,$B261&lt;&gt;$B246,$B262&lt;&gt;$B247,$B263&lt;&gt;$B248,$B264&lt;&gt;$B249,$B265&lt;&gt;$B250,$B266&lt;&gt;$B251,$B267&lt;&gt;$B252,$B268&lt;&gt;$B253),IF($B259&lt;&gt;$B244,D244/INDEX($C243:$AJ253,2,MATCH(IF('Data-solution'!$A$3="Maximize",MAX($C254:$AI254),MIN($C254:$AI254)),$C254:$AI254,0)),D244-INDEX($C243:$AJ253,2,MATCH(IF('Data-solution'!$A$3="Maximize",MAX($C254:$AI254),MIN($C254:$AI254)),$C254:$AI254,0))*INDEX(D243:$AJ253,MATCH(MIN($AK243:$AK253),$AK243:$AK253,0),1)/INDEX($C243:$AJ253,MATCH(MIN($AK243:$AK253),$AK243:$AK253,0),MATCH(IF('Data-solution'!$A$3="Maximize",MAX($C254:$AI254),MIN($C254:$AI254)),$C254:$AI254,0))),D244)</f>
        <v>1.75</v>
      </c>
      <c r="E259" s="1">
        <f>IF(OR($B258&lt;&gt;$B243,$B259&lt;&gt;$B244,$B260&lt;&gt;$B245,$B261&lt;&gt;$B246,$B262&lt;&gt;$B247,$B263&lt;&gt;$B248,$B264&lt;&gt;$B249,$B265&lt;&gt;$B250,$B266&lt;&gt;$B251,$B267&lt;&gt;$B252,$B268&lt;&gt;$B253),IF($B259&lt;&gt;$B244,E244/INDEX($C243:$AJ253,2,MATCH(IF('Data-solution'!$A$3="Maximize",MAX($C254:$AI254),MIN($C254:$AI254)),$C254:$AI254,0)),E244-INDEX($C243:$AJ253,2,MATCH(IF('Data-solution'!$A$3="Maximize",MAX($C254:$AI254),MIN($C254:$AI254)),$C254:$AI254,0))*INDEX(E243:$AJ253,MATCH(MIN($AK243:$AK253),$AK243:$AK253,0),1)/INDEX($C243:$AJ253,MATCH(MIN($AK243:$AK253),$AK243:$AK253,0),MATCH(IF('Data-solution'!$A$3="Maximize",MAX($C254:$AI254),MIN($C254:$AI254)),$C254:$AI254,0))),E244)</f>
        <v>0</v>
      </c>
      <c r="F259" s="1">
        <f>IF(OR($B258&lt;&gt;$B243,$B259&lt;&gt;$B244,$B260&lt;&gt;$B245,$B261&lt;&gt;$B246,$B262&lt;&gt;$B247,$B263&lt;&gt;$B248,$B264&lt;&gt;$B249,$B265&lt;&gt;$B250,$B266&lt;&gt;$B251,$B267&lt;&gt;$B252,$B268&lt;&gt;$B253),IF($B259&lt;&gt;$B244,F244/INDEX($C243:$AJ253,2,MATCH(IF('Data-solution'!$A$3="Maximize",MAX($C254:$AI254),MIN($C254:$AI254)),$C254:$AI254,0)),F244-INDEX($C243:$AJ253,2,MATCH(IF('Data-solution'!$A$3="Maximize",MAX($C254:$AI254),MIN($C254:$AI254)),$C254:$AI254,0))*INDEX(F243:$AJ253,MATCH(MIN($AK243:$AK253),$AK243:$AK253,0),1)/INDEX($C243:$AJ253,MATCH(MIN($AK243:$AK253),$AK243:$AK253,0),MATCH(IF('Data-solution'!$A$3="Maximize",MAX($C254:$AI254),MIN($C254:$AI254)),$C254:$AI254,0))),F244)</f>
        <v>0</v>
      </c>
      <c r="G259" s="1">
        <f>IF(OR($B258&lt;&gt;$B243,$B259&lt;&gt;$B244,$B260&lt;&gt;$B245,$B261&lt;&gt;$B246,$B262&lt;&gt;$B247,$B263&lt;&gt;$B248,$B264&lt;&gt;$B249,$B265&lt;&gt;$B250,$B266&lt;&gt;$B251,$B267&lt;&gt;$B252,$B268&lt;&gt;$B253),IF($B259&lt;&gt;$B244,G244/INDEX($C243:$AJ253,2,MATCH(IF('Data-solution'!$A$3="Maximize",MAX($C254:$AI254),MIN($C254:$AI254)),$C254:$AI254,0)),G244-INDEX($C243:$AJ253,2,MATCH(IF('Data-solution'!$A$3="Maximize",MAX($C254:$AI254),MIN($C254:$AI254)),$C254:$AI254,0))*INDEX(G243:$AJ253,MATCH(MIN($AK243:$AK253),$AK243:$AK253,0),1)/INDEX($C243:$AJ253,MATCH(MIN($AK243:$AK253),$AK243:$AK253,0),MATCH(IF('Data-solution'!$A$3="Maximize",MAX($C254:$AI254),MIN($C254:$AI254)),$C254:$AI254,0))),G244)</f>
        <v>0</v>
      </c>
      <c r="H259" s="1">
        <f>IF(OR($B258&lt;&gt;$B243,$B259&lt;&gt;$B244,$B260&lt;&gt;$B245,$B261&lt;&gt;$B246,$B262&lt;&gt;$B247,$B263&lt;&gt;$B248,$B264&lt;&gt;$B249,$B265&lt;&gt;$B250,$B266&lt;&gt;$B251,$B267&lt;&gt;$B252,$B268&lt;&gt;$B253),IF($B259&lt;&gt;$B244,H244/INDEX($C243:$AJ253,2,MATCH(IF('Data-solution'!$A$3="Maximize",MAX($C254:$AI254),MIN($C254:$AI254)),$C254:$AI254,0)),H244-INDEX($C243:$AJ253,2,MATCH(IF('Data-solution'!$A$3="Maximize",MAX($C254:$AI254),MIN($C254:$AI254)),$C254:$AI254,0))*INDEX(H243:$AJ253,MATCH(MIN($AK243:$AK253),$AK243:$AK253,0),1)/INDEX($C243:$AJ253,MATCH(MIN($AK243:$AK253),$AK243:$AK253,0),MATCH(IF('Data-solution'!$A$3="Maximize",MAX($C254:$AI254),MIN($C254:$AI254)),$C254:$AI254,0))),H244)</f>
        <v>0</v>
      </c>
      <c r="I259" s="1">
        <f>IF(OR($B258&lt;&gt;$B243,$B259&lt;&gt;$B244,$B260&lt;&gt;$B245,$B261&lt;&gt;$B246,$B262&lt;&gt;$B247,$B263&lt;&gt;$B248,$B264&lt;&gt;$B249,$B265&lt;&gt;$B250,$B266&lt;&gt;$B251,$B267&lt;&gt;$B252,$B268&lt;&gt;$B253),IF($B259&lt;&gt;$B244,I244/INDEX($C243:$AJ253,2,MATCH(IF('Data-solution'!$A$3="Maximize",MAX($C254:$AI254),MIN($C254:$AI254)),$C254:$AI254,0)),I244-INDEX($C243:$AJ253,2,MATCH(IF('Data-solution'!$A$3="Maximize",MAX($C254:$AI254),MIN($C254:$AI254)),$C254:$AI254,0))*INDEX(I243:$AJ253,MATCH(MIN($AK243:$AK253),$AK243:$AK253,0),1)/INDEX($C243:$AJ253,MATCH(MIN($AK243:$AK253),$AK243:$AK253,0),MATCH(IF('Data-solution'!$A$3="Maximize",MAX($C254:$AI254),MIN($C254:$AI254)),$C254:$AI254,0))),I244)</f>
        <v>0</v>
      </c>
      <c r="J259" s="1">
        <f>IF(OR($B258&lt;&gt;$B243,$B259&lt;&gt;$B244,$B260&lt;&gt;$B245,$B261&lt;&gt;$B246,$B262&lt;&gt;$B247,$B263&lt;&gt;$B248,$B264&lt;&gt;$B249,$B265&lt;&gt;$B250,$B266&lt;&gt;$B251,$B267&lt;&gt;$B252,$B268&lt;&gt;$B253),IF($B259&lt;&gt;$B244,J244/INDEX($C243:$AJ253,2,MATCH(IF('Data-solution'!$A$3="Maximize",MAX($C254:$AI254),MIN($C254:$AI254)),$C254:$AI254,0)),J244-INDEX($C243:$AJ253,2,MATCH(IF('Data-solution'!$A$3="Maximize",MAX($C254:$AI254),MIN($C254:$AI254)),$C254:$AI254,0))*INDEX(J243:$AJ253,MATCH(MIN($AK243:$AK253),$AK243:$AK253,0),1)/INDEX($C243:$AJ253,MATCH(MIN($AK243:$AK253),$AK243:$AK253,0),MATCH(IF('Data-solution'!$A$3="Maximize",MAX($C254:$AI254),MIN($C254:$AI254)),$C254:$AI254,0))),J244)</f>
        <v>0</v>
      </c>
      <c r="K259" s="1">
        <f>IF(OR($B258&lt;&gt;$B243,$B259&lt;&gt;$B244,$B260&lt;&gt;$B245,$B261&lt;&gt;$B246,$B262&lt;&gt;$B247,$B263&lt;&gt;$B248,$B264&lt;&gt;$B249,$B265&lt;&gt;$B250,$B266&lt;&gt;$B251,$B267&lt;&gt;$B252,$B268&lt;&gt;$B253),IF($B259&lt;&gt;$B244,K244/INDEX($C243:$AJ253,2,MATCH(IF('Data-solution'!$A$3="Maximize",MAX($C254:$AI254),MIN($C254:$AI254)),$C254:$AI254,0)),K244-INDEX($C243:$AJ253,2,MATCH(IF('Data-solution'!$A$3="Maximize",MAX($C254:$AI254),MIN($C254:$AI254)),$C254:$AI254,0))*INDEX(K243:$AJ253,MATCH(MIN($AK243:$AK253),$AK243:$AK253,0),1)/INDEX($C243:$AJ253,MATCH(MIN($AK243:$AK253),$AK243:$AK253,0),MATCH(IF('Data-solution'!$A$3="Maximize",MAX($C254:$AI254),MIN($C254:$AI254)),$C254:$AI254,0))),K244)</f>
        <v>0</v>
      </c>
      <c r="L259" s="1">
        <f>IF(OR($B258&lt;&gt;$B243,$B259&lt;&gt;$B244,$B260&lt;&gt;$B245,$B261&lt;&gt;$B246,$B262&lt;&gt;$B247,$B263&lt;&gt;$B248,$B264&lt;&gt;$B249,$B265&lt;&gt;$B250,$B266&lt;&gt;$B251,$B267&lt;&gt;$B252,$B268&lt;&gt;$B253),IF($B259&lt;&gt;$B244,L244/INDEX($C243:$AJ253,2,MATCH(IF('Data-solution'!$A$3="Maximize",MAX($C254:$AI254),MIN($C254:$AI254)),$C254:$AI254,0)),L244-INDEX($C243:$AJ253,2,MATCH(IF('Data-solution'!$A$3="Maximize",MAX($C254:$AI254),MIN($C254:$AI254)),$C254:$AI254,0))*INDEX(L243:$AJ253,MATCH(MIN($AK243:$AK253),$AK243:$AK253,0),1)/INDEX($C243:$AJ253,MATCH(MIN($AK243:$AK253),$AK243:$AK253,0),MATCH(IF('Data-solution'!$A$3="Maximize",MAX($C254:$AI254),MIN($C254:$AI254)),$C254:$AI254,0))),L244)</f>
        <v>0</v>
      </c>
      <c r="M259" s="1">
        <f>IF(OR($B258&lt;&gt;$B243,$B259&lt;&gt;$B244,$B260&lt;&gt;$B245,$B261&lt;&gt;$B246,$B262&lt;&gt;$B247,$B263&lt;&gt;$B248,$B264&lt;&gt;$B249,$B265&lt;&gt;$B250,$B266&lt;&gt;$B251,$B267&lt;&gt;$B252,$B268&lt;&gt;$B253),IF($B259&lt;&gt;$B244,M244/INDEX($C243:$AJ253,2,MATCH(IF('Data-solution'!$A$3="Maximize",MAX($C254:$AI254),MIN($C254:$AI254)),$C254:$AI254,0)),M244-INDEX($C243:$AJ253,2,MATCH(IF('Data-solution'!$A$3="Maximize",MAX($C254:$AI254),MIN($C254:$AI254)),$C254:$AI254,0))*INDEX(M243:$AJ253,MATCH(MIN($AK243:$AK253),$AK243:$AK253,0),1)/INDEX($C243:$AJ253,MATCH(MIN($AK243:$AK253),$AK243:$AK253,0),MATCH(IF('Data-solution'!$A$3="Maximize",MAX($C254:$AI254),MIN($C254:$AI254)),$C254:$AI254,0))),M244)</f>
        <v>0</v>
      </c>
      <c r="N259" s="1">
        <f>IF(OR($B258&lt;&gt;$B243,$B259&lt;&gt;$B244,$B260&lt;&gt;$B245,$B261&lt;&gt;$B246,$B262&lt;&gt;$B247,$B263&lt;&gt;$B248,$B264&lt;&gt;$B249,$B265&lt;&gt;$B250,$B266&lt;&gt;$B251,$B267&lt;&gt;$B252,$B268&lt;&gt;$B253),IF($B259&lt;&gt;$B244,N244/INDEX($C243:$AJ253,2,MATCH(IF('Data-solution'!$A$3="Maximize",MAX($C254:$AI254),MIN($C254:$AI254)),$C254:$AI254,0)),N244-INDEX($C243:$AJ253,2,MATCH(IF('Data-solution'!$A$3="Maximize",MAX($C254:$AI254),MIN($C254:$AI254)),$C254:$AI254,0))*INDEX(N243:$AJ253,MATCH(MIN($AK243:$AK253),$AK243:$AK253,0),1)/INDEX($C243:$AJ253,MATCH(MIN($AK243:$AK253),$AK243:$AK253,0),MATCH(IF('Data-solution'!$A$3="Maximize",MAX($C254:$AI254),MIN($C254:$AI254)),$C254:$AI254,0))),N244)</f>
        <v>0</v>
      </c>
      <c r="O259" s="1">
        <f>IF(OR($B258&lt;&gt;$B243,$B259&lt;&gt;$B244,$B260&lt;&gt;$B245,$B261&lt;&gt;$B246,$B262&lt;&gt;$B247,$B263&lt;&gt;$B248,$B264&lt;&gt;$B249,$B265&lt;&gt;$B250,$B266&lt;&gt;$B251,$B267&lt;&gt;$B252,$B268&lt;&gt;$B253),IF($B259&lt;&gt;$B244,O244/INDEX($C243:$AJ253,2,MATCH(IF('Data-solution'!$A$3="Maximize",MAX($C254:$AI254),MIN($C254:$AI254)),$C254:$AI254,0)),O244-INDEX($C243:$AJ253,2,MATCH(IF('Data-solution'!$A$3="Maximize",MAX($C254:$AI254),MIN($C254:$AI254)),$C254:$AI254,0))*INDEX(O243:$AJ253,MATCH(MIN($AK243:$AK253),$AK243:$AK253,0),1)/INDEX($C243:$AJ253,MATCH(MIN($AK243:$AK253),$AK243:$AK253,0),MATCH(IF('Data-solution'!$A$3="Maximize",MAX($C254:$AI254),MIN($C254:$AI254)),$C254:$AI254,0))),O244)</f>
        <v>1</v>
      </c>
      <c r="P259" s="1">
        <f>IF(OR($B258&lt;&gt;$B243,$B259&lt;&gt;$B244,$B260&lt;&gt;$B245,$B261&lt;&gt;$B246,$B262&lt;&gt;$B247,$B263&lt;&gt;$B248,$B264&lt;&gt;$B249,$B265&lt;&gt;$B250,$B266&lt;&gt;$B251,$B267&lt;&gt;$B252,$B268&lt;&gt;$B253),IF($B259&lt;&gt;$B244,P244/INDEX($C243:$AJ253,2,MATCH(IF('Data-solution'!$A$3="Maximize",MAX($C254:$AI254),MIN($C254:$AI254)),$C254:$AI254,0)),P244-INDEX($C243:$AJ253,2,MATCH(IF('Data-solution'!$A$3="Maximize",MAX($C254:$AI254),MIN($C254:$AI254)),$C254:$AI254,0))*INDEX(P243:$AJ253,MATCH(MIN($AK243:$AK253),$AK243:$AK253,0),1)/INDEX($C243:$AJ253,MATCH(MIN($AK243:$AK253),$AK243:$AK253,0),MATCH(IF('Data-solution'!$A$3="Maximize",MAX($C254:$AI254),MIN($C254:$AI254)),$C254:$AI254,0))),P244)</f>
        <v>-0.25</v>
      </c>
      <c r="Q259" s="1">
        <f>IF(OR($B258&lt;&gt;$B243,$B259&lt;&gt;$B244,$B260&lt;&gt;$B245,$B261&lt;&gt;$B246,$B262&lt;&gt;$B247,$B263&lt;&gt;$B248,$B264&lt;&gt;$B249,$B265&lt;&gt;$B250,$B266&lt;&gt;$B251,$B267&lt;&gt;$B252,$B268&lt;&gt;$B253),IF($B259&lt;&gt;$B244,Q244/INDEX($C243:$AJ253,2,MATCH(IF('Data-solution'!$A$3="Maximize",MAX($C254:$AI254),MIN($C254:$AI254)),$C254:$AI254,0)),Q244-INDEX($C243:$AJ253,2,MATCH(IF('Data-solution'!$A$3="Maximize",MAX($C254:$AI254),MIN($C254:$AI254)),$C254:$AI254,0))*INDEX(Q243:$AJ253,MATCH(MIN($AK243:$AK253),$AK243:$AK253,0),1)/INDEX($C243:$AJ253,MATCH(MIN($AK243:$AK253),$AK243:$AK253,0),MATCH(IF('Data-solution'!$A$3="Maximize",MAX($C254:$AI254),MIN($C254:$AI254)),$C254:$AI254,0))),Q244)</f>
        <v>-0.5</v>
      </c>
      <c r="R259" s="1">
        <f>IF(OR($B258&lt;&gt;$B243,$B259&lt;&gt;$B244,$B260&lt;&gt;$B245,$B261&lt;&gt;$B246,$B262&lt;&gt;$B247,$B263&lt;&gt;$B248,$B264&lt;&gt;$B249,$B265&lt;&gt;$B250,$B266&lt;&gt;$B251,$B267&lt;&gt;$B252,$B268&lt;&gt;$B253),IF($B259&lt;&gt;$B244,R244/INDEX($C243:$AJ253,2,MATCH(IF('Data-solution'!$A$3="Maximize",MAX($C254:$AI254),MIN($C254:$AI254)),$C254:$AI254,0)),R244-INDEX($C243:$AJ253,2,MATCH(IF('Data-solution'!$A$3="Maximize",MAX($C254:$AI254),MIN($C254:$AI254)),$C254:$AI254,0))*INDEX(R243:$AJ253,MATCH(MIN($AK243:$AK253),$AK243:$AK253,0),1)/INDEX($C243:$AJ253,MATCH(MIN($AK243:$AK253),$AK243:$AK253,0),MATCH(IF('Data-solution'!$A$3="Maximize",MAX($C254:$AI254),MIN($C254:$AI254)),$C254:$AI254,0))),R244)</f>
        <v>0</v>
      </c>
      <c r="S259" s="1">
        <f>IF(OR($B258&lt;&gt;$B243,$B259&lt;&gt;$B244,$B260&lt;&gt;$B245,$B261&lt;&gt;$B246,$B262&lt;&gt;$B247,$B263&lt;&gt;$B248,$B264&lt;&gt;$B249,$B265&lt;&gt;$B250,$B266&lt;&gt;$B251,$B267&lt;&gt;$B252,$B268&lt;&gt;$B253),IF($B259&lt;&gt;$B244,S244/INDEX($C243:$AJ253,2,MATCH(IF('Data-solution'!$A$3="Maximize",MAX($C254:$AI254),MIN($C254:$AI254)),$C254:$AI254,0)),S244-INDEX($C243:$AJ253,2,MATCH(IF('Data-solution'!$A$3="Maximize",MAX($C254:$AI254),MIN($C254:$AI254)),$C254:$AI254,0))*INDEX(S243:$AJ253,MATCH(MIN($AK243:$AK253),$AK243:$AK253,0),1)/INDEX($C243:$AJ253,MATCH(MIN($AK243:$AK253),$AK243:$AK253,0),MATCH(IF('Data-solution'!$A$3="Maximize",MAX($C254:$AI254),MIN($C254:$AI254)),$C254:$AI254,0))),S244)</f>
        <v>0</v>
      </c>
      <c r="T259" s="1">
        <f>IF(OR($B258&lt;&gt;$B243,$B259&lt;&gt;$B244,$B260&lt;&gt;$B245,$B261&lt;&gt;$B246,$B262&lt;&gt;$B247,$B263&lt;&gt;$B248,$B264&lt;&gt;$B249,$B265&lt;&gt;$B250,$B266&lt;&gt;$B251,$B267&lt;&gt;$B252,$B268&lt;&gt;$B253),IF($B259&lt;&gt;$B244,T244/INDEX($C243:$AJ253,2,MATCH(IF('Data-solution'!$A$3="Maximize",MAX($C254:$AI254),MIN($C254:$AI254)),$C254:$AI254,0)),T244-INDEX($C243:$AJ253,2,MATCH(IF('Data-solution'!$A$3="Maximize",MAX($C254:$AI254),MIN($C254:$AI254)),$C254:$AI254,0))*INDEX(T243:$AJ253,MATCH(MIN($AK243:$AK253),$AK243:$AK253,0),1)/INDEX($C243:$AJ253,MATCH(MIN($AK243:$AK253),$AK243:$AK253,0),MATCH(IF('Data-solution'!$A$3="Maximize",MAX($C254:$AI254),MIN($C254:$AI254)),$C254:$AI254,0))),T244)</f>
        <v>0</v>
      </c>
      <c r="U259" s="1">
        <f>IF(OR($B258&lt;&gt;$B243,$B259&lt;&gt;$B244,$B260&lt;&gt;$B245,$B261&lt;&gt;$B246,$B262&lt;&gt;$B247,$B263&lt;&gt;$B248,$B264&lt;&gt;$B249,$B265&lt;&gt;$B250,$B266&lt;&gt;$B251,$B267&lt;&gt;$B252,$B268&lt;&gt;$B253),IF($B259&lt;&gt;$B244,U244/INDEX($C243:$AJ253,2,MATCH(IF('Data-solution'!$A$3="Maximize",MAX($C254:$AI254),MIN($C254:$AI254)),$C254:$AI254,0)),U244-INDEX($C243:$AJ253,2,MATCH(IF('Data-solution'!$A$3="Maximize",MAX($C254:$AI254),MIN($C254:$AI254)),$C254:$AI254,0))*INDEX(U243:$AJ253,MATCH(MIN($AK243:$AK253),$AK243:$AK253,0),1)/INDEX($C243:$AJ253,MATCH(MIN($AK243:$AK253),$AK243:$AK253,0),MATCH(IF('Data-solution'!$A$3="Maximize",MAX($C254:$AI254),MIN($C254:$AI254)),$C254:$AI254,0))),U244)</f>
        <v>0</v>
      </c>
      <c r="V259" s="1">
        <f>IF(OR($B258&lt;&gt;$B243,$B259&lt;&gt;$B244,$B260&lt;&gt;$B245,$B261&lt;&gt;$B246,$B262&lt;&gt;$B247,$B263&lt;&gt;$B248,$B264&lt;&gt;$B249,$B265&lt;&gt;$B250,$B266&lt;&gt;$B251,$B267&lt;&gt;$B252,$B268&lt;&gt;$B253),IF($B259&lt;&gt;$B244,V244/INDEX($C243:$AJ253,2,MATCH(IF('Data-solution'!$A$3="Maximize",MAX($C254:$AI254),MIN($C254:$AI254)),$C254:$AI254,0)),V244-INDEX($C243:$AJ253,2,MATCH(IF('Data-solution'!$A$3="Maximize",MAX($C254:$AI254),MIN($C254:$AI254)),$C254:$AI254,0))*INDEX(V243:$AJ253,MATCH(MIN($AK243:$AK253),$AK243:$AK253,0),1)/INDEX($C243:$AJ253,MATCH(MIN($AK243:$AK253),$AK243:$AK253,0),MATCH(IF('Data-solution'!$A$3="Maximize",MAX($C254:$AI254),MIN($C254:$AI254)),$C254:$AI254,0))),V244)</f>
        <v>0</v>
      </c>
      <c r="W259" s="1">
        <f>IF(OR($B258&lt;&gt;$B243,$B259&lt;&gt;$B244,$B260&lt;&gt;$B245,$B261&lt;&gt;$B246,$B262&lt;&gt;$B247,$B263&lt;&gt;$B248,$B264&lt;&gt;$B249,$B265&lt;&gt;$B250,$B266&lt;&gt;$B251,$B267&lt;&gt;$B252,$B268&lt;&gt;$B253),IF($B259&lt;&gt;$B244,W244/INDEX($C243:$AJ253,2,MATCH(IF('Data-solution'!$A$3="Maximize",MAX($C254:$AI254),MIN($C254:$AI254)),$C254:$AI254,0)),W244-INDEX($C243:$AJ253,2,MATCH(IF('Data-solution'!$A$3="Maximize",MAX($C254:$AI254),MIN($C254:$AI254)),$C254:$AI254,0))*INDEX(W243:$AJ253,MATCH(MIN($AK243:$AK253),$AK243:$AK253,0),1)/INDEX($C243:$AJ253,MATCH(MIN($AK243:$AK253),$AK243:$AK253,0),MATCH(IF('Data-solution'!$A$3="Maximize",MAX($C254:$AI254),MIN($C254:$AI254)),$C254:$AI254,0))),W244)</f>
        <v>0</v>
      </c>
      <c r="X259" s="1">
        <f>IF(OR($B258&lt;&gt;$B243,$B259&lt;&gt;$B244,$B260&lt;&gt;$B245,$B261&lt;&gt;$B246,$B262&lt;&gt;$B247,$B263&lt;&gt;$B248,$B264&lt;&gt;$B249,$B265&lt;&gt;$B250,$B266&lt;&gt;$B251,$B267&lt;&gt;$B252,$B268&lt;&gt;$B253),IF($B259&lt;&gt;$B244,X244/INDEX($C243:$AJ253,2,MATCH(IF('Data-solution'!$A$3="Maximize",MAX($C254:$AI254),MIN($C254:$AI254)),$C254:$AI254,0)),X244-INDEX($C243:$AJ253,2,MATCH(IF('Data-solution'!$A$3="Maximize",MAX($C254:$AI254),MIN($C254:$AI254)),$C254:$AI254,0))*INDEX(X243:$AJ253,MATCH(MIN($AK243:$AK253),$AK243:$AK253,0),1)/INDEX($C243:$AJ253,MATCH(MIN($AK243:$AK253),$AK243:$AK253,0),MATCH(IF('Data-solution'!$A$3="Maximize",MAX($C254:$AI254),MIN($C254:$AI254)),$C254:$AI254,0))),X244)</f>
        <v>0</v>
      </c>
      <c r="Y259" s="1">
        <f>IF(OR($B258&lt;&gt;$B243,$B259&lt;&gt;$B244,$B260&lt;&gt;$B245,$B261&lt;&gt;$B246,$B262&lt;&gt;$B247,$B263&lt;&gt;$B248,$B264&lt;&gt;$B249,$B265&lt;&gt;$B250,$B266&lt;&gt;$B251,$B267&lt;&gt;$B252,$B268&lt;&gt;$B253),IF($B259&lt;&gt;$B244,Y244/INDEX($C243:$AJ253,2,MATCH(IF('Data-solution'!$A$3="Maximize",MAX($C254:$AI254),MIN($C254:$AI254)),$C254:$AI254,0)),Y244-INDEX($C243:$AJ253,2,MATCH(IF('Data-solution'!$A$3="Maximize",MAX($C254:$AI254),MIN($C254:$AI254)),$C254:$AI254,0))*INDEX(Y243:$AJ253,MATCH(MIN($AK243:$AK253),$AK243:$AK253,0),1)/INDEX($C243:$AJ253,MATCH(MIN($AK243:$AK253),$AK243:$AK253,0),MATCH(IF('Data-solution'!$A$3="Maximize",MAX($C254:$AI254),MIN($C254:$AI254)),$C254:$AI254,0))),Y244)</f>
        <v>0</v>
      </c>
      <c r="Z259" s="1">
        <f>IF(OR($B258&lt;&gt;$B243,$B259&lt;&gt;$B244,$B260&lt;&gt;$B245,$B261&lt;&gt;$B246,$B262&lt;&gt;$B247,$B263&lt;&gt;$B248,$B264&lt;&gt;$B249,$B265&lt;&gt;$B250,$B266&lt;&gt;$B251,$B267&lt;&gt;$B252,$B268&lt;&gt;$B253),IF($B259&lt;&gt;$B244,Z244/INDEX($C243:$AJ253,2,MATCH(IF('Data-solution'!$A$3="Maximize",MAX($C254:$AI254),MIN($C254:$AI254)),$C254:$AI254,0)),Z244-INDEX($C243:$AJ253,2,MATCH(IF('Data-solution'!$A$3="Maximize",MAX($C254:$AI254),MIN($C254:$AI254)),$C254:$AI254,0))*INDEX(Z243:$AJ253,MATCH(MIN($AK243:$AK253),$AK243:$AK253,0),1)/INDEX($C243:$AJ253,MATCH(MIN($AK243:$AK253),$AK243:$AK253,0),MATCH(IF('Data-solution'!$A$3="Maximize",MAX($C254:$AI254),MIN($C254:$AI254)),$C254:$AI254,0))),Z244)</f>
        <v>1</v>
      </c>
      <c r="AA259" s="1">
        <f>IF(OR($B258&lt;&gt;$B243,$B259&lt;&gt;$B244,$B260&lt;&gt;$B245,$B261&lt;&gt;$B246,$B262&lt;&gt;$B247,$B263&lt;&gt;$B248,$B264&lt;&gt;$B249,$B265&lt;&gt;$B250,$B266&lt;&gt;$B251,$B267&lt;&gt;$B252,$B268&lt;&gt;$B253),IF($B259&lt;&gt;$B244,AA244/INDEX($C243:$AJ253,2,MATCH(IF('Data-solution'!$A$3="Maximize",MAX($C254:$AI254),MIN($C254:$AI254)),$C254:$AI254,0)),AA244-INDEX($C243:$AJ253,2,MATCH(IF('Data-solution'!$A$3="Maximize",MAX($C254:$AI254),MIN($C254:$AI254)),$C254:$AI254,0))*INDEX(AA243:$AJ253,MATCH(MIN($AK243:$AK253),$AK243:$AK253,0),1)/INDEX($C243:$AJ253,MATCH(MIN($AK243:$AK253),$AK243:$AK253,0),MATCH(IF('Data-solution'!$A$3="Maximize",MAX($C254:$AI254),MIN($C254:$AI254)),$C254:$AI254,0))),AA244)</f>
        <v>-0.25</v>
      </c>
      <c r="AB259" s="1">
        <f>IF(OR($B258&lt;&gt;$B243,$B259&lt;&gt;$B244,$B260&lt;&gt;$B245,$B261&lt;&gt;$B246,$B262&lt;&gt;$B247,$B263&lt;&gt;$B248,$B264&lt;&gt;$B249,$B265&lt;&gt;$B250,$B266&lt;&gt;$B251,$B267&lt;&gt;$B252,$B268&lt;&gt;$B253),IF($B259&lt;&gt;$B244,AB244/INDEX($C243:$AJ253,2,MATCH(IF('Data-solution'!$A$3="Maximize",MAX($C254:$AI254),MIN($C254:$AI254)),$C254:$AI254,0)),AB244-INDEX($C243:$AJ253,2,MATCH(IF('Data-solution'!$A$3="Maximize",MAX($C254:$AI254),MIN($C254:$AI254)),$C254:$AI254,0))*INDEX(AB243:$AJ253,MATCH(MIN($AK243:$AK253),$AK243:$AK253,0),1)/INDEX($C243:$AJ253,MATCH(MIN($AK243:$AK253),$AK243:$AK253,0),MATCH(IF('Data-solution'!$A$3="Maximize",MAX($C254:$AI254),MIN($C254:$AI254)),$C254:$AI254,0))),AB244)</f>
        <v>-0.5</v>
      </c>
      <c r="AC259" s="1">
        <f>IF(OR($B258&lt;&gt;$B243,$B259&lt;&gt;$B244,$B260&lt;&gt;$B245,$B261&lt;&gt;$B246,$B262&lt;&gt;$B247,$B263&lt;&gt;$B248,$B264&lt;&gt;$B249,$B265&lt;&gt;$B250,$B266&lt;&gt;$B251,$B267&lt;&gt;$B252,$B268&lt;&gt;$B253),IF($B259&lt;&gt;$B244,AC244/INDEX($C243:$AJ253,2,MATCH(IF('Data-solution'!$A$3="Maximize",MAX($C254:$AI254),MIN($C254:$AI254)),$C254:$AI254,0)),AC244-INDEX($C243:$AJ253,2,MATCH(IF('Data-solution'!$A$3="Maximize",MAX($C254:$AI254),MIN($C254:$AI254)),$C254:$AI254,0))*INDEX(AC243:$AJ253,MATCH(MIN($AK243:$AK253),$AK243:$AK253,0),1)/INDEX($C243:$AJ253,MATCH(MIN($AK243:$AK253),$AK243:$AK253,0),MATCH(IF('Data-solution'!$A$3="Maximize",MAX($C254:$AI254),MIN($C254:$AI254)),$C254:$AI254,0))),AC244)</f>
        <v>0</v>
      </c>
      <c r="AD259" s="1">
        <f>IF(OR($B258&lt;&gt;$B243,$B259&lt;&gt;$B244,$B260&lt;&gt;$B245,$B261&lt;&gt;$B246,$B262&lt;&gt;$B247,$B263&lt;&gt;$B248,$B264&lt;&gt;$B249,$B265&lt;&gt;$B250,$B266&lt;&gt;$B251,$B267&lt;&gt;$B252,$B268&lt;&gt;$B253),IF($B259&lt;&gt;$B244,AD244/INDEX($C243:$AJ253,2,MATCH(IF('Data-solution'!$A$3="Maximize",MAX($C254:$AI254),MIN($C254:$AI254)),$C254:$AI254,0)),AD244-INDEX($C243:$AJ253,2,MATCH(IF('Data-solution'!$A$3="Maximize",MAX($C254:$AI254),MIN($C254:$AI254)),$C254:$AI254,0))*INDEX(AD243:$AJ253,MATCH(MIN($AK243:$AK253),$AK243:$AK253,0),1)/INDEX($C243:$AJ253,MATCH(MIN($AK243:$AK253),$AK243:$AK253,0),MATCH(IF('Data-solution'!$A$3="Maximize",MAX($C254:$AI254),MIN($C254:$AI254)),$C254:$AI254,0))),AD244)</f>
        <v>0</v>
      </c>
      <c r="AE259" s="1">
        <f>IF(OR($B258&lt;&gt;$B243,$B259&lt;&gt;$B244,$B260&lt;&gt;$B245,$B261&lt;&gt;$B246,$B262&lt;&gt;$B247,$B263&lt;&gt;$B248,$B264&lt;&gt;$B249,$B265&lt;&gt;$B250,$B266&lt;&gt;$B251,$B267&lt;&gt;$B252,$B268&lt;&gt;$B253),IF($B259&lt;&gt;$B244,AE244/INDEX($C243:$AJ253,2,MATCH(IF('Data-solution'!$A$3="Maximize",MAX($C254:$AI254),MIN($C254:$AI254)),$C254:$AI254,0)),AE244-INDEX($C243:$AJ253,2,MATCH(IF('Data-solution'!$A$3="Maximize",MAX($C254:$AI254),MIN($C254:$AI254)),$C254:$AI254,0))*INDEX(AE243:$AJ253,MATCH(MIN($AK243:$AK253),$AK243:$AK253,0),1)/INDEX($C243:$AJ253,MATCH(MIN($AK243:$AK253),$AK243:$AK253,0),MATCH(IF('Data-solution'!$A$3="Maximize",MAX($C254:$AI254),MIN($C254:$AI254)),$C254:$AI254,0))),AE244)</f>
        <v>0</v>
      </c>
      <c r="AF259" s="1">
        <f>IF(OR($B258&lt;&gt;$B243,$B259&lt;&gt;$B244,$B260&lt;&gt;$B245,$B261&lt;&gt;$B246,$B262&lt;&gt;$B247,$B263&lt;&gt;$B248,$B264&lt;&gt;$B249,$B265&lt;&gt;$B250,$B266&lt;&gt;$B251,$B267&lt;&gt;$B252,$B268&lt;&gt;$B253),IF($B259&lt;&gt;$B244,AF244/INDEX($C243:$AJ253,2,MATCH(IF('Data-solution'!$A$3="Maximize",MAX($C254:$AI254),MIN($C254:$AI254)),$C254:$AI254,0)),AF244-INDEX($C243:$AJ253,2,MATCH(IF('Data-solution'!$A$3="Maximize",MAX($C254:$AI254),MIN($C254:$AI254)),$C254:$AI254,0))*INDEX(AF243:$AJ253,MATCH(MIN($AK243:$AK253),$AK243:$AK253,0),1)/INDEX($C243:$AJ253,MATCH(MIN($AK243:$AK253),$AK243:$AK253,0),MATCH(IF('Data-solution'!$A$3="Maximize",MAX($C254:$AI254),MIN($C254:$AI254)),$C254:$AI254,0))),AF244)</f>
        <v>0</v>
      </c>
      <c r="AG259" s="1">
        <f>IF(OR($B258&lt;&gt;$B243,$B259&lt;&gt;$B244,$B260&lt;&gt;$B245,$B261&lt;&gt;$B246,$B262&lt;&gt;$B247,$B263&lt;&gt;$B248,$B264&lt;&gt;$B249,$B265&lt;&gt;$B250,$B266&lt;&gt;$B251,$B267&lt;&gt;$B252,$B268&lt;&gt;$B253),IF($B259&lt;&gt;$B244,AG244/INDEX($C243:$AJ253,2,MATCH(IF('Data-solution'!$A$3="Maximize",MAX($C254:$AI254),MIN($C254:$AI254)),$C254:$AI254,0)),AG244-INDEX($C243:$AJ253,2,MATCH(IF('Data-solution'!$A$3="Maximize",MAX($C254:$AI254),MIN($C254:$AI254)),$C254:$AI254,0))*INDEX(AG243:$AJ253,MATCH(MIN($AK243:$AK253),$AK243:$AK253,0),1)/INDEX($C243:$AJ253,MATCH(MIN($AK243:$AK253),$AK243:$AK253,0),MATCH(IF('Data-solution'!$A$3="Maximize",MAX($C254:$AI254),MIN($C254:$AI254)),$C254:$AI254,0))),AG244)</f>
        <v>0</v>
      </c>
      <c r="AH259" s="1">
        <f>IF(OR($B258&lt;&gt;$B243,$B259&lt;&gt;$B244,$B260&lt;&gt;$B245,$B261&lt;&gt;$B246,$B262&lt;&gt;$B247,$B263&lt;&gt;$B248,$B264&lt;&gt;$B249,$B265&lt;&gt;$B250,$B266&lt;&gt;$B251,$B267&lt;&gt;$B252,$B268&lt;&gt;$B253),IF($B259&lt;&gt;$B244,AH244/INDEX($C243:$AJ253,2,MATCH(IF('Data-solution'!$A$3="Maximize",MAX($C254:$AI254),MIN($C254:$AI254)),$C254:$AI254,0)),AH244-INDEX($C243:$AJ253,2,MATCH(IF('Data-solution'!$A$3="Maximize",MAX($C254:$AI254),MIN($C254:$AI254)),$C254:$AI254,0))*INDEX(AH243:$AJ253,MATCH(MIN($AK243:$AK253),$AK243:$AK253,0),1)/INDEX($C243:$AJ253,MATCH(MIN($AK243:$AK253),$AK243:$AK253,0),MATCH(IF('Data-solution'!$A$3="Maximize",MAX($C254:$AI254),MIN($C254:$AI254)),$C254:$AI254,0))),AH244)</f>
        <v>0</v>
      </c>
      <c r="AI259" s="1">
        <f>IF(OR($B258&lt;&gt;$B243,$B259&lt;&gt;$B244,$B260&lt;&gt;$B245,$B261&lt;&gt;$B246,$B262&lt;&gt;$B247,$B263&lt;&gt;$B248,$B264&lt;&gt;$B249,$B265&lt;&gt;$B250,$B266&lt;&gt;$B251,$B267&lt;&gt;$B252,$B268&lt;&gt;$B253),IF($B259&lt;&gt;$B244,AI244/INDEX($C243:$AJ253,2,MATCH(IF('Data-solution'!$A$3="Maximize",MAX($C254:$AI254),MIN($C254:$AI254)),$C254:$AI254,0)),AI244-INDEX($C243:$AJ253,2,MATCH(IF('Data-solution'!$A$3="Maximize",MAX($C254:$AI254),MIN($C254:$AI254)),$C254:$AI254,0))*INDEX(AI243:$AJ253,MATCH(MIN($AK243:$AK253),$AK243:$AK253,0),1)/INDEX($C243:$AJ253,MATCH(MIN($AK243:$AK253),$AK243:$AK253,0),MATCH(IF('Data-solution'!$A$3="Maximize",MAX($C254:$AI254),MIN($C254:$AI254)),$C254:$AI254,0))),AI244)</f>
        <v>0</v>
      </c>
      <c r="AJ259" s="1">
        <f>IF(OR($B258&lt;&gt;$B243,$B259&lt;&gt;$B244,$B260&lt;&gt;$B245,$B261&lt;&gt;$B246,$B262&lt;&gt;$B247,$B263&lt;&gt;$B248,$B264&lt;&gt;$B249,$B265&lt;&gt;$B250,$B266&lt;&gt;$B251,$B267&lt;&gt;$B252,$B268&lt;&gt;$B253),IF($B259&lt;&gt;$B244,AJ244/INDEX($C243:$AJ253,2,MATCH(IF('Data-solution'!$A$3="Maximize",MAX($C254:$AI254),MIN($C254:$AI254)),$C254:$AI254,0)),AJ244-INDEX($C243:$AJ253,2,MATCH(IF('Data-solution'!$A$3="Maximize",MAX($C254:$AI254),MIN($C254:$AI254)),$C254:$AI254,0))*INDEX(AJ243:$AJ253,MATCH(MIN($AK243:$AK253),$AK243:$AK253,0),1)/INDEX($C243:$AJ253,MATCH(MIN($AK243:$AK253),$AK243:$AK253,0),MATCH(IF('Data-solution'!$A$3="Maximize",MAX($C254:$AI254),MIN($C254:$AI254)),$C254:$AI254,0))),AJ244)</f>
        <v>300</v>
      </c>
      <c r="AK259" s="1" t="str">
        <f>IF(INDEX(C259:X259,1,MATCH(IF('Data-solution'!A$3="Maximize",MAX(C269:X269),MIN(C269:X269)),C269:X269,0))&gt;0,AJ259/INDEX(C259:X259,1,MATCH(IF('Data-solution'!A$3="Maximize",MAX(C269:X269),MIN(C269:X269)),C269:X269,0))," ")</f>
        <v xml:space="preserve"> </v>
      </c>
    </row>
    <row r="260" spans="1:37" ht="18" customHeight="1" x14ac:dyDescent="0.2">
      <c r="A260" s="1">
        <f t="shared" ref="A260" si="232">INDEX(C256:AI256,1,MATCH(B260,C257:AI257,0))</f>
        <v>350</v>
      </c>
      <c r="B260" s="2" t="str">
        <f>IF(AND('Data-solution'!A$3="Maximize",COUNTIF(C254:X254,"&gt;"&amp;0)&gt;0,AK245=MIN(AK243:AK253),COUNTIF(B258:B259,INDEX(C242:X242,1,MATCH(MAX(C254:X254),C254:X254,0)))=0),INDEX(C242:X242,1,MATCH(MAX(C254:X254),C254:X254,0)),IF(AND('Data-solution'!A$3="Minimize",COUNTIF(C254:X254,"&lt;"&amp;0)&gt;0,AK245=MIN(AK243:AK253),COUNTIF(B258:B259,INDEX(C242:X242,1,MATCH(MIN(C254:X254),C254:X254,0)))=0),INDEX(C242:X242,1,MATCH(MIN(C254:X254),C254:X254,0)),B245))</f>
        <v>X3</v>
      </c>
      <c r="C260" s="1">
        <f>IF(OR($B258&lt;&gt;$B243,$B259&lt;&gt;$B244,$B260&lt;&gt;$B245,$B261&lt;&gt;$B246,$B262&lt;&gt;$B247,$B263&lt;&gt;$B248,$B264&lt;&gt;$B249,$B265&lt;&gt;$B250,$B266&lt;&gt;$B251,$B267&lt;&gt;$B252,$B268&lt;&gt;$B253),IF($B260&lt;&gt;$B245,C245/INDEX($C243:$AJ253,3,MATCH(IF('Data-solution'!$A$3="Maximize",MAX($C254:$AI254),MIN($C254:$AI254)),$C254:$AI254,0)),C245-INDEX($C243:$AJ253,3,MATCH(IF('Data-solution'!$A$3="Maximize",MAX($C254:$AI254),MIN($C254:$AI254)),$C254:$AI254,0))*INDEX(C243:$AJ253,MATCH(MIN($AK243:$AK253),$AK243:$AK253,0),1)/INDEX($C243:$AJ253,MATCH(MIN($AK243:$AK253),$AK243:$AK253,0),MATCH(IF('Data-solution'!$A$3="Maximize",MAX($C254:$AI254),MIN($C254:$AI254)),$C254:$AI254,0))),C245)</f>
        <v>0</v>
      </c>
      <c r="D260" s="1">
        <f>IF(OR($B258&lt;&gt;$B243,$B259&lt;&gt;$B244,$B260&lt;&gt;$B245,$B261&lt;&gt;$B246,$B262&lt;&gt;$B247,$B263&lt;&gt;$B248,$B264&lt;&gt;$B249,$B265&lt;&gt;$B250,$B266&lt;&gt;$B251,$B267&lt;&gt;$B252,$B268&lt;&gt;$B253),IF($B260&lt;&gt;$B245,D245/INDEX($C243:$AJ253,3,MATCH(IF('Data-solution'!$A$3="Maximize",MAX($C254:$AI254),MIN($C254:$AI254)),$C254:$AI254,0)),D245-INDEX($C243:$AJ253,3,MATCH(IF('Data-solution'!$A$3="Maximize",MAX($C254:$AI254),MIN($C254:$AI254)),$C254:$AI254,0))*INDEX(D243:$AJ253,MATCH(MIN($AK243:$AK253),$AK243:$AK253,0),1)/INDEX($C243:$AJ253,MATCH(MIN($AK243:$AK253),$AK243:$AK253,0),MATCH(IF('Data-solution'!$A$3="Maximize",MAX($C254:$AI254),MIN($C254:$AI254)),$C254:$AI254,0))),D245)</f>
        <v>1.25</v>
      </c>
      <c r="E260" s="1">
        <f>IF(OR($B258&lt;&gt;$B243,$B259&lt;&gt;$B244,$B260&lt;&gt;$B245,$B261&lt;&gt;$B246,$B262&lt;&gt;$B247,$B263&lt;&gt;$B248,$B264&lt;&gt;$B249,$B265&lt;&gt;$B250,$B266&lt;&gt;$B251,$B267&lt;&gt;$B252,$B268&lt;&gt;$B253),IF($B260&lt;&gt;$B245,E245/INDEX($C243:$AJ253,3,MATCH(IF('Data-solution'!$A$3="Maximize",MAX($C254:$AI254),MIN($C254:$AI254)),$C254:$AI254,0)),E245-INDEX($C243:$AJ253,3,MATCH(IF('Data-solution'!$A$3="Maximize",MAX($C254:$AI254),MIN($C254:$AI254)),$C254:$AI254,0))*INDEX(E243:$AJ253,MATCH(MIN($AK243:$AK253),$AK243:$AK253,0),1)/INDEX($C243:$AJ253,MATCH(MIN($AK243:$AK253),$AK243:$AK253,0),MATCH(IF('Data-solution'!$A$3="Maximize",MAX($C254:$AI254),MIN($C254:$AI254)),$C254:$AI254,0))),E245)</f>
        <v>1</v>
      </c>
      <c r="F260" s="1">
        <f>IF(OR($B258&lt;&gt;$B243,$B259&lt;&gt;$B244,$B260&lt;&gt;$B245,$B261&lt;&gt;$B246,$B262&lt;&gt;$B247,$B263&lt;&gt;$B248,$B264&lt;&gt;$B249,$B265&lt;&gt;$B250,$B266&lt;&gt;$B251,$B267&lt;&gt;$B252,$B268&lt;&gt;$B253),IF($B260&lt;&gt;$B245,F245/INDEX($C243:$AJ253,3,MATCH(IF('Data-solution'!$A$3="Maximize",MAX($C254:$AI254),MIN($C254:$AI254)),$C254:$AI254,0)),F245-INDEX($C243:$AJ253,3,MATCH(IF('Data-solution'!$A$3="Maximize",MAX($C254:$AI254),MIN($C254:$AI254)),$C254:$AI254,0))*INDEX(F243:$AJ253,MATCH(MIN($AK243:$AK253),$AK243:$AK253,0),1)/INDEX($C243:$AJ253,MATCH(MIN($AK243:$AK253),$AK243:$AK253,0),MATCH(IF('Data-solution'!$A$3="Maximize",MAX($C254:$AI254),MIN($C254:$AI254)),$C254:$AI254,0))),F245)</f>
        <v>0</v>
      </c>
      <c r="G260" s="1">
        <f>IF(OR($B258&lt;&gt;$B243,$B259&lt;&gt;$B244,$B260&lt;&gt;$B245,$B261&lt;&gt;$B246,$B262&lt;&gt;$B247,$B263&lt;&gt;$B248,$B264&lt;&gt;$B249,$B265&lt;&gt;$B250,$B266&lt;&gt;$B251,$B267&lt;&gt;$B252,$B268&lt;&gt;$B253),IF($B260&lt;&gt;$B245,G245/INDEX($C243:$AJ253,3,MATCH(IF('Data-solution'!$A$3="Maximize",MAX($C254:$AI254),MIN($C254:$AI254)),$C254:$AI254,0)),G245-INDEX($C243:$AJ253,3,MATCH(IF('Data-solution'!$A$3="Maximize",MAX($C254:$AI254),MIN($C254:$AI254)),$C254:$AI254,0))*INDEX(G243:$AJ253,MATCH(MIN($AK243:$AK253),$AK243:$AK253,0),1)/INDEX($C243:$AJ253,MATCH(MIN($AK243:$AK253),$AK243:$AK253,0),MATCH(IF('Data-solution'!$A$3="Maximize",MAX($C254:$AI254),MIN($C254:$AI254)),$C254:$AI254,0))),G245)</f>
        <v>0</v>
      </c>
      <c r="H260" s="1">
        <f>IF(OR($B258&lt;&gt;$B243,$B259&lt;&gt;$B244,$B260&lt;&gt;$B245,$B261&lt;&gt;$B246,$B262&lt;&gt;$B247,$B263&lt;&gt;$B248,$B264&lt;&gt;$B249,$B265&lt;&gt;$B250,$B266&lt;&gt;$B251,$B267&lt;&gt;$B252,$B268&lt;&gt;$B253),IF($B260&lt;&gt;$B245,H245/INDEX($C243:$AJ253,3,MATCH(IF('Data-solution'!$A$3="Maximize",MAX($C254:$AI254),MIN($C254:$AI254)),$C254:$AI254,0)),H245-INDEX($C243:$AJ253,3,MATCH(IF('Data-solution'!$A$3="Maximize",MAX($C254:$AI254),MIN($C254:$AI254)),$C254:$AI254,0))*INDEX(H243:$AJ253,MATCH(MIN($AK243:$AK253),$AK243:$AK253,0),1)/INDEX($C243:$AJ253,MATCH(MIN($AK243:$AK253),$AK243:$AK253,0),MATCH(IF('Data-solution'!$A$3="Maximize",MAX($C254:$AI254),MIN($C254:$AI254)),$C254:$AI254,0))),H245)</f>
        <v>0</v>
      </c>
      <c r="I260" s="1">
        <f>IF(OR($B258&lt;&gt;$B243,$B259&lt;&gt;$B244,$B260&lt;&gt;$B245,$B261&lt;&gt;$B246,$B262&lt;&gt;$B247,$B263&lt;&gt;$B248,$B264&lt;&gt;$B249,$B265&lt;&gt;$B250,$B266&lt;&gt;$B251,$B267&lt;&gt;$B252,$B268&lt;&gt;$B253),IF($B260&lt;&gt;$B245,I245/INDEX($C243:$AJ253,3,MATCH(IF('Data-solution'!$A$3="Maximize",MAX($C254:$AI254),MIN($C254:$AI254)),$C254:$AI254,0)),I245-INDEX($C243:$AJ253,3,MATCH(IF('Data-solution'!$A$3="Maximize",MAX($C254:$AI254),MIN($C254:$AI254)),$C254:$AI254,0))*INDEX(I243:$AJ253,MATCH(MIN($AK243:$AK253),$AK243:$AK253,0),1)/INDEX($C243:$AJ253,MATCH(MIN($AK243:$AK253),$AK243:$AK253,0),MATCH(IF('Data-solution'!$A$3="Maximize",MAX($C254:$AI254),MIN($C254:$AI254)),$C254:$AI254,0))),I245)</f>
        <v>0</v>
      </c>
      <c r="J260" s="1">
        <f>IF(OR($B258&lt;&gt;$B243,$B259&lt;&gt;$B244,$B260&lt;&gt;$B245,$B261&lt;&gt;$B246,$B262&lt;&gt;$B247,$B263&lt;&gt;$B248,$B264&lt;&gt;$B249,$B265&lt;&gt;$B250,$B266&lt;&gt;$B251,$B267&lt;&gt;$B252,$B268&lt;&gt;$B253),IF($B260&lt;&gt;$B245,J245/INDEX($C243:$AJ253,3,MATCH(IF('Data-solution'!$A$3="Maximize",MAX($C254:$AI254),MIN($C254:$AI254)),$C254:$AI254,0)),J245-INDEX($C243:$AJ253,3,MATCH(IF('Data-solution'!$A$3="Maximize",MAX($C254:$AI254),MIN($C254:$AI254)),$C254:$AI254,0))*INDEX(J243:$AJ253,MATCH(MIN($AK243:$AK253),$AK243:$AK253,0),1)/INDEX($C243:$AJ253,MATCH(MIN($AK243:$AK253),$AK243:$AK253,0),MATCH(IF('Data-solution'!$A$3="Maximize",MAX($C254:$AI254),MIN($C254:$AI254)),$C254:$AI254,0))),J245)</f>
        <v>0</v>
      </c>
      <c r="K260" s="1">
        <f>IF(OR($B258&lt;&gt;$B243,$B259&lt;&gt;$B244,$B260&lt;&gt;$B245,$B261&lt;&gt;$B246,$B262&lt;&gt;$B247,$B263&lt;&gt;$B248,$B264&lt;&gt;$B249,$B265&lt;&gt;$B250,$B266&lt;&gt;$B251,$B267&lt;&gt;$B252,$B268&lt;&gt;$B253),IF($B260&lt;&gt;$B245,K245/INDEX($C243:$AJ253,3,MATCH(IF('Data-solution'!$A$3="Maximize",MAX($C254:$AI254),MIN($C254:$AI254)),$C254:$AI254,0)),K245-INDEX($C243:$AJ253,3,MATCH(IF('Data-solution'!$A$3="Maximize",MAX($C254:$AI254),MIN($C254:$AI254)),$C254:$AI254,0))*INDEX(K243:$AJ253,MATCH(MIN($AK243:$AK253),$AK243:$AK253,0),1)/INDEX($C243:$AJ253,MATCH(MIN($AK243:$AK253),$AK243:$AK253,0),MATCH(IF('Data-solution'!$A$3="Maximize",MAX($C254:$AI254),MIN($C254:$AI254)),$C254:$AI254,0))),K245)</f>
        <v>0</v>
      </c>
      <c r="L260" s="1">
        <f>IF(OR($B258&lt;&gt;$B243,$B259&lt;&gt;$B244,$B260&lt;&gt;$B245,$B261&lt;&gt;$B246,$B262&lt;&gt;$B247,$B263&lt;&gt;$B248,$B264&lt;&gt;$B249,$B265&lt;&gt;$B250,$B266&lt;&gt;$B251,$B267&lt;&gt;$B252,$B268&lt;&gt;$B253),IF($B260&lt;&gt;$B245,L245/INDEX($C243:$AJ253,3,MATCH(IF('Data-solution'!$A$3="Maximize",MAX($C254:$AI254),MIN($C254:$AI254)),$C254:$AI254,0)),L245-INDEX($C243:$AJ253,3,MATCH(IF('Data-solution'!$A$3="Maximize",MAX($C254:$AI254),MIN($C254:$AI254)),$C254:$AI254,0))*INDEX(L243:$AJ253,MATCH(MIN($AK243:$AK253),$AK243:$AK253,0),1)/INDEX($C243:$AJ253,MATCH(MIN($AK243:$AK253),$AK243:$AK253,0),MATCH(IF('Data-solution'!$A$3="Maximize",MAX($C254:$AI254),MIN($C254:$AI254)),$C254:$AI254,0))),L245)</f>
        <v>0</v>
      </c>
      <c r="M260" s="1">
        <f>IF(OR($B258&lt;&gt;$B243,$B259&lt;&gt;$B244,$B260&lt;&gt;$B245,$B261&lt;&gt;$B246,$B262&lt;&gt;$B247,$B263&lt;&gt;$B248,$B264&lt;&gt;$B249,$B265&lt;&gt;$B250,$B266&lt;&gt;$B251,$B267&lt;&gt;$B252,$B268&lt;&gt;$B253),IF($B260&lt;&gt;$B245,M245/INDEX($C243:$AJ253,3,MATCH(IF('Data-solution'!$A$3="Maximize",MAX($C254:$AI254),MIN($C254:$AI254)),$C254:$AI254,0)),M245-INDEX($C243:$AJ253,3,MATCH(IF('Data-solution'!$A$3="Maximize",MAX($C254:$AI254),MIN($C254:$AI254)),$C254:$AI254,0))*INDEX(M243:$AJ253,MATCH(MIN($AK243:$AK253),$AK243:$AK253,0),1)/INDEX($C243:$AJ253,MATCH(MIN($AK243:$AK253),$AK243:$AK253,0),MATCH(IF('Data-solution'!$A$3="Maximize",MAX($C254:$AI254),MIN($C254:$AI254)),$C254:$AI254,0))),M245)</f>
        <v>0</v>
      </c>
      <c r="N260" s="1">
        <f>IF(OR($B258&lt;&gt;$B243,$B259&lt;&gt;$B244,$B260&lt;&gt;$B245,$B261&lt;&gt;$B246,$B262&lt;&gt;$B247,$B263&lt;&gt;$B248,$B264&lt;&gt;$B249,$B265&lt;&gt;$B250,$B266&lt;&gt;$B251,$B267&lt;&gt;$B252,$B268&lt;&gt;$B253),IF($B260&lt;&gt;$B245,N245/INDEX($C243:$AJ253,3,MATCH(IF('Data-solution'!$A$3="Maximize",MAX($C254:$AI254),MIN($C254:$AI254)),$C254:$AI254,0)),N245-INDEX($C243:$AJ253,3,MATCH(IF('Data-solution'!$A$3="Maximize",MAX($C254:$AI254),MIN($C254:$AI254)),$C254:$AI254,0))*INDEX(N243:$AJ253,MATCH(MIN($AK243:$AK253),$AK243:$AK253,0),1)/INDEX($C243:$AJ253,MATCH(MIN($AK243:$AK253),$AK243:$AK253,0),MATCH(IF('Data-solution'!$A$3="Maximize",MAX($C254:$AI254),MIN($C254:$AI254)),$C254:$AI254,0))),N245)</f>
        <v>0</v>
      </c>
      <c r="O260" s="1">
        <f>IF(OR($B258&lt;&gt;$B243,$B259&lt;&gt;$B244,$B260&lt;&gt;$B245,$B261&lt;&gt;$B246,$B262&lt;&gt;$B247,$B263&lt;&gt;$B248,$B264&lt;&gt;$B249,$B265&lt;&gt;$B250,$B266&lt;&gt;$B251,$B267&lt;&gt;$B252,$B268&lt;&gt;$B253),IF($B260&lt;&gt;$B245,O245/INDEX($C243:$AJ253,3,MATCH(IF('Data-solution'!$A$3="Maximize",MAX($C254:$AI254),MIN($C254:$AI254)),$C254:$AI254,0)),O245-INDEX($C243:$AJ253,3,MATCH(IF('Data-solution'!$A$3="Maximize",MAX($C254:$AI254),MIN($C254:$AI254)),$C254:$AI254,0))*INDEX(O243:$AJ253,MATCH(MIN($AK243:$AK253),$AK243:$AK253,0),1)/INDEX($C243:$AJ253,MATCH(MIN($AK243:$AK253),$AK243:$AK253,0),MATCH(IF('Data-solution'!$A$3="Maximize",MAX($C254:$AI254),MIN($C254:$AI254)),$C254:$AI254,0))),O245)</f>
        <v>0</v>
      </c>
      <c r="P260" s="1">
        <f>IF(OR($B258&lt;&gt;$B243,$B259&lt;&gt;$B244,$B260&lt;&gt;$B245,$B261&lt;&gt;$B246,$B262&lt;&gt;$B247,$B263&lt;&gt;$B248,$B264&lt;&gt;$B249,$B265&lt;&gt;$B250,$B266&lt;&gt;$B251,$B267&lt;&gt;$B252,$B268&lt;&gt;$B253),IF($B260&lt;&gt;$B245,P245/INDEX($C243:$AJ253,3,MATCH(IF('Data-solution'!$A$3="Maximize",MAX($C254:$AI254),MIN($C254:$AI254)),$C254:$AI254,0)),P245-INDEX($C243:$AJ253,3,MATCH(IF('Data-solution'!$A$3="Maximize",MAX($C254:$AI254),MIN($C254:$AI254)),$C254:$AI254,0))*INDEX(P243:$AJ253,MATCH(MIN($AK243:$AK253),$AK243:$AK253,0),1)/INDEX($C243:$AJ253,MATCH(MIN($AK243:$AK253),$AK243:$AK253,0),MATCH(IF('Data-solution'!$A$3="Maximize",MAX($C254:$AI254),MIN($C254:$AI254)),$C254:$AI254,0))),P245)</f>
        <v>0.24999999999999997</v>
      </c>
      <c r="Q260" s="1">
        <f>IF(OR($B258&lt;&gt;$B243,$B259&lt;&gt;$B244,$B260&lt;&gt;$B245,$B261&lt;&gt;$B246,$B262&lt;&gt;$B247,$B263&lt;&gt;$B248,$B264&lt;&gt;$B249,$B265&lt;&gt;$B250,$B266&lt;&gt;$B251,$B267&lt;&gt;$B252,$B268&lt;&gt;$B253),IF($B260&lt;&gt;$B245,Q245/INDEX($C243:$AJ253,3,MATCH(IF('Data-solution'!$A$3="Maximize",MAX($C254:$AI254),MIN($C254:$AI254)),$C254:$AI254,0)),Q245-INDEX($C243:$AJ253,3,MATCH(IF('Data-solution'!$A$3="Maximize",MAX($C254:$AI254),MIN($C254:$AI254)),$C254:$AI254,0))*INDEX(Q243:$AJ253,MATCH(MIN($AK243:$AK253),$AK243:$AK253,0),1)/INDEX($C243:$AJ253,MATCH(MIN($AK243:$AK253),$AK243:$AK253,0),MATCH(IF('Data-solution'!$A$3="Maximize",MAX($C254:$AI254),MIN($C254:$AI254)),$C254:$AI254,0))),Q245)</f>
        <v>-0.49999999999999989</v>
      </c>
      <c r="R260" s="1">
        <f>IF(OR($B258&lt;&gt;$B243,$B259&lt;&gt;$B244,$B260&lt;&gt;$B245,$B261&lt;&gt;$B246,$B262&lt;&gt;$B247,$B263&lt;&gt;$B248,$B264&lt;&gt;$B249,$B265&lt;&gt;$B250,$B266&lt;&gt;$B251,$B267&lt;&gt;$B252,$B268&lt;&gt;$B253),IF($B260&lt;&gt;$B245,R245/INDEX($C243:$AJ253,3,MATCH(IF('Data-solution'!$A$3="Maximize",MAX($C254:$AI254),MIN($C254:$AI254)),$C254:$AI254,0)),R245-INDEX($C243:$AJ253,3,MATCH(IF('Data-solution'!$A$3="Maximize",MAX($C254:$AI254),MIN($C254:$AI254)),$C254:$AI254,0))*INDEX(R243:$AJ253,MATCH(MIN($AK243:$AK253),$AK243:$AK253,0),1)/INDEX($C243:$AJ253,MATCH(MIN($AK243:$AK253),$AK243:$AK253,0),MATCH(IF('Data-solution'!$A$3="Maximize",MAX($C254:$AI254),MIN($C254:$AI254)),$C254:$AI254,0))),R245)</f>
        <v>0</v>
      </c>
      <c r="S260" s="1">
        <f>IF(OR($B258&lt;&gt;$B243,$B259&lt;&gt;$B244,$B260&lt;&gt;$B245,$B261&lt;&gt;$B246,$B262&lt;&gt;$B247,$B263&lt;&gt;$B248,$B264&lt;&gt;$B249,$B265&lt;&gt;$B250,$B266&lt;&gt;$B251,$B267&lt;&gt;$B252,$B268&lt;&gt;$B253),IF($B260&lt;&gt;$B245,S245/INDEX($C243:$AJ253,3,MATCH(IF('Data-solution'!$A$3="Maximize",MAX($C254:$AI254),MIN($C254:$AI254)),$C254:$AI254,0)),S245-INDEX($C243:$AJ253,3,MATCH(IF('Data-solution'!$A$3="Maximize",MAX($C254:$AI254),MIN($C254:$AI254)),$C254:$AI254,0))*INDEX(S243:$AJ253,MATCH(MIN($AK243:$AK253),$AK243:$AK253,0),1)/INDEX($C243:$AJ253,MATCH(MIN($AK243:$AK253),$AK243:$AK253,0),MATCH(IF('Data-solution'!$A$3="Maximize",MAX($C254:$AI254),MIN($C254:$AI254)),$C254:$AI254,0))),S245)</f>
        <v>0</v>
      </c>
      <c r="T260" s="1">
        <f>IF(OR($B258&lt;&gt;$B243,$B259&lt;&gt;$B244,$B260&lt;&gt;$B245,$B261&lt;&gt;$B246,$B262&lt;&gt;$B247,$B263&lt;&gt;$B248,$B264&lt;&gt;$B249,$B265&lt;&gt;$B250,$B266&lt;&gt;$B251,$B267&lt;&gt;$B252,$B268&lt;&gt;$B253),IF($B260&lt;&gt;$B245,T245/INDEX($C243:$AJ253,3,MATCH(IF('Data-solution'!$A$3="Maximize",MAX($C254:$AI254),MIN($C254:$AI254)),$C254:$AI254,0)),T245-INDEX($C243:$AJ253,3,MATCH(IF('Data-solution'!$A$3="Maximize",MAX($C254:$AI254),MIN($C254:$AI254)),$C254:$AI254,0))*INDEX(T243:$AJ253,MATCH(MIN($AK243:$AK253),$AK243:$AK253,0),1)/INDEX($C243:$AJ253,MATCH(MIN($AK243:$AK253),$AK243:$AK253,0),MATCH(IF('Data-solution'!$A$3="Maximize",MAX($C254:$AI254),MIN($C254:$AI254)),$C254:$AI254,0))),T245)</f>
        <v>0</v>
      </c>
      <c r="U260" s="1">
        <f>IF(OR($B258&lt;&gt;$B243,$B259&lt;&gt;$B244,$B260&lt;&gt;$B245,$B261&lt;&gt;$B246,$B262&lt;&gt;$B247,$B263&lt;&gt;$B248,$B264&lt;&gt;$B249,$B265&lt;&gt;$B250,$B266&lt;&gt;$B251,$B267&lt;&gt;$B252,$B268&lt;&gt;$B253),IF($B260&lt;&gt;$B245,U245/INDEX($C243:$AJ253,3,MATCH(IF('Data-solution'!$A$3="Maximize",MAX($C254:$AI254),MIN($C254:$AI254)),$C254:$AI254,0)),U245-INDEX($C243:$AJ253,3,MATCH(IF('Data-solution'!$A$3="Maximize",MAX($C254:$AI254),MIN($C254:$AI254)),$C254:$AI254,0))*INDEX(U243:$AJ253,MATCH(MIN($AK243:$AK253),$AK243:$AK253,0),1)/INDEX($C243:$AJ253,MATCH(MIN($AK243:$AK253),$AK243:$AK253,0),MATCH(IF('Data-solution'!$A$3="Maximize",MAX($C254:$AI254),MIN($C254:$AI254)),$C254:$AI254,0))),U245)</f>
        <v>0</v>
      </c>
      <c r="V260" s="1">
        <f>IF(OR($B258&lt;&gt;$B243,$B259&lt;&gt;$B244,$B260&lt;&gt;$B245,$B261&lt;&gt;$B246,$B262&lt;&gt;$B247,$B263&lt;&gt;$B248,$B264&lt;&gt;$B249,$B265&lt;&gt;$B250,$B266&lt;&gt;$B251,$B267&lt;&gt;$B252,$B268&lt;&gt;$B253),IF($B260&lt;&gt;$B245,V245/INDEX($C243:$AJ253,3,MATCH(IF('Data-solution'!$A$3="Maximize",MAX($C254:$AI254),MIN($C254:$AI254)),$C254:$AI254,0)),V245-INDEX($C243:$AJ253,3,MATCH(IF('Data-solution'!$A$3="Maximize",MAX($C254:$AI254),MIN($C254:$AI254)),$C254:$AI254,0))*INDEX(V243:$AJ253,MATCH(MIN($AK243:$AK253),$AK243:$AK253,0),1)/INDEX($C243:$AJ253,MATCH(MIN($AK243:$AK253),$AK243:$AK253,0),MATCH(IF('Data-solution'!$A$3="Maximize",MAX($C254:$AI254),MIN($C254:$AI254)),$C254:$AI254,0))),V245)</f>
        <v>0</v>
      </c>
      <c r="W260" s="1">
        <f>IF(OR($B258&lt;&gt;$B243,$B259&lt;&gt;$B244,$B260&lt;&gt;$B245,$B261&lt;&gt;$B246,$B262&lt;&gt;$B247,$B263&lt;&gt;$B248,$B264&lt;&gt;$B249,$B265&lt;&gt;$B250,$B266&lt;&gt;$B251,$B267&lt;&gt;$B252,$B268&lt;&gt;$B253),IF($B260&lt;&gt;$B245,W245/INDEX($C243:$AJ253,3,MATCH(IF('Data-solution'!$A$3="Maximize",MAX($C254:$AI254),MIN($C254:$AI254)),$C254:$AI254,0)),W245-INDEX($C243:$AJ253,3,MATCH(IF('Data-solution'!$A$3="Maximize",MAX($C254:$AI254),MIN($C254:$AI254)),$C254:$AI254,0))*INDEX(W243:$AJ253,MATCH(MIN($AK243:$AK253),$AK243:$AK253,0),1)/INDEX($C243:$AJ253,MATCH(MIN($AK243:$AK253),$AK243:$AK253,0),MATCH(IF('Data-solution'!$A$3="Maximize",MAX($C254:$AI254),MIN($C254:$AI254)),$C254:$AI254,0))),W245)</f>
        <v>0</v>
      </c>
      <c r="X260" s="1">
        <f>IF(OR($B258&lt;&gt;$B243,$B259&lt;&gt;$B244,$B260&lt;&gt;$B245,$B261&lt;&gt;$B246,$B262&lt;&gt;$B247,$B263&lt;&gt;$B248,$B264&lt;&gt;$B249,$B265&lt;&gt;$B250,$B266&lt;&gt;$B251,$B267&lt;&gt;$B252,$B268&lt;&gt;$B253),IF($B260&lt;&gt;$B245,X245/INDEX($C243:$AJ253,3,MATCH(IF('Data-solution'!$A$3="Maximize",MAX($C254:$AI254),MIN($C254:$AI254)),$C254:$AI254,0)),X245-INDEX($C243:$AJ253,3,MATCH(IF('Data-solution'!$A$3="Maximize",MAX($C254:$AI254),MIN($C254:$AI254)),$C254:$AI254,0))*INDEX(X243:$AJ253,MATCH(MIN($AK243:$AK253),$AK243:$AK253,0),1)/INDEX($C243:$AJ253,MATCH(MIN($AK243:$AK253),$AK243:$AK253,0),MATCH(IF('Data-solution'!$A$3="Maximize",MAX($C254:$AI254),MIN($C254:$AI254)),$C254:$AI254,0))),X245)</f>
        <v>0</v>
      </c>
      <c r="Y260" s="1">
        <f>IF(OR($B258&lt;&gt;$B243,$B259&lt;&gt;$B244,$B260&lt;&gt;$B245,$B261&lt;&gt;$B246,$B262&lt;&gt;$B247,$B263&lt;&gt;$B248,$B264&lt;&gt;$B249,$B265&lt;&gt;$B250,$B266&lt;&gt;$B251,$B267&lt;&gt;$B252,$B268&lt;&gt;$B253),IF($B260&lt;&gt;$B245,Y245/INDEX($C243:$AJ253,3,MATCH(IF('Data-solution'!$A$3="Maximize",MAX($C254:$AI254),MIN($C254:$AI254)),$C254:$AI254,0)),Y245-INDEX($C243:$AJ253,3,MATCH(IF('Data-solution'!$A$3="Maximize",MAX($C254:$AI254),MIN($C254:$AI254)),$C254:$AI254,0))*INDEX(Y243:$AJ253,MATCH(MIN($AK243:$AK253),$AK243:$AK253,0),1)/INDEX($C243:$AJ253,MATCH(MIN($AK243:$AK253),$AK243:$AK253,0),MATCH(IF('Data-solution'!$A$3="Maximize",MAX($C254:$AI254),MIN($C254:$AI254)),$C254:$AI254,0))),Y245)</f>
        <v>0</v>
      </c>
      <c r="Z260" s="1">
        <f>IF(OR($B258&lt;&gt;$B243,$B259&lt;&gt;$B244,$B260&lt;&gt;$B245,$B261&lt;&gt;$B246,$B262&lt;&gt;$B247,$B263&lt;&gt;$B248,$B264&lt;&gt;$B249,$B265&lt;&gt;$B250,$B266&lt;&gt;$B251,$B267&lt;&gt;$B252,$B268&lt;&gt;$B253),IF($B260&lt;&gt;$B245,Z245/INDEX($C243:$AJ253,3,MATCH(IF('Data-solution'!$A$3="Maximize",MAX($C254:$AI254),MIN($C254:$AI254)),$C254:$AI254,0)),Z245-INDEX($C243:$AJ253,3,MATCH(IF('Data-solution'!$A$3="Maximize",MAX($C254:$AI254),MIN($C254:$AI254)),$C254:$AI254,0))*INDEX(Z243:$AJ253,MATCH(MIN($AK243:$AK253),$AK243:$AK253,0),1)/INDEX($C243:$AJ253,MATCH(MIN($AK243:$AK253),$AK243:$AK253,0),MATCH(IF('Data-solution'!$A$3="Maximize",MAX($C254:$AI254),MIN($C254:$AI254)),$C254:$AI254,0))),Z245)</f>
        <v>0</v>
      </c>
      <c r="AA260" s="1">
        <f>IF(OR($B258&lt;&gt;$B243,$B259&lt;&gt;$B244,$B260&lt;&gt;$B245,$B261&lt;&gt;$B246,$B262&lt;&gt;$B247,$B263&lt;&gt;$B248,$B264&lt;&gt;$B249,$B265&lt;&gt;$B250,$B266&lt;&gt;$B251,$B267&lt;&gt;$B252,$B268&lt;&gt;$B253),IF($B260&lt;&gt;$B245,AA245/INDEX($C243:$AJ253,3,MATCH(IF('Data-solution'!$A$3="Maximize",MAX($C254:$AI254),MIN($C254:$AI254)),$C254:$AI254,0)),AA245-INDEX($C243:$AJ253,3,MATCH(IF('Data-solution'!$A$3="Maximize",MAX($C254:$AI254),MIN($C254:$AI254)),$C254:$AI254,0))*INDEX(AA243:$AJ253,MATCH(MIN($AK243:$AK253),$AK243:$AK253,0),1)/INDEX($C243:$AJ253,MATCH(MIN($AK243:$AK253),$AK243:$AK253,0),MATCH(IF('Data-solution'!$A$3="Maximize",MAX($C254:$AI254),MIN($C254:$AI254)),$C254:$AI254,0))),AA245)</f>
        <v>0.24999999999999997</v>
      </c>
      <c r="AB260" s="1">
        <f>IF(OR($B258&lt;&gt;$B243,$B259&lt;&gt;$B244,$B260&lt;&gt;$B245,$B261&lt;&gt;$B246,$B262&lt;&gt;$B247,$B263&lt;&gt;$B248,$B264&lt;&gt;$B249,$B265&lt;&gt;$B250,$B266&lt;&gt;$B251,$B267&lt;&gt;$B252,$B268&lt;&gt;$B253),IF($B260&lt;&gt;$B245,AB245/INDEX($C243:$AJ253,3,MATCH(IF('Data-solution'!$A$3="Maximize",MAX($C254:$AI254),MIN($C254:$AI254)),$C254:$AI254,0)),AB245-INDEX($C243:$AJ253,3,MATCH(IF('Data-solution'!$A$3="Maximize",MAX($C254:$AI254),MIN($C254:$AI254)),$C254:$AI254,0))*INDEX(AB243:$AJ253,MATCH(MIN($AK243:$AK253),$AK243:$AK253,0),1)/INDEX($C243:$AJ253,MATCH(MIN($AK243:$AK253),$AK243:$AK253,0),MATCH(IF('Data-solution'!$A$3="Maximize",MAX($C254:$AI254),MIN($C254:$AI254)),$C254:$AI254,0))),AB245)</f>
        <v>-0.49999999999999989</v>
      </c>
      <c r="AC260" s="1">
        <f>IF(OR($B258&lt;&gt;$B243,$B259&lt;&gt;$B244,$B260&lt;&gt;$B245,$B261&lt;&gt;$B246,$B262&lt;&gt;$B247,$B263&lt;&gt;$B248,$B264&lt;&gt;$B249,$B265&lt;&gt;$B250,$B266&lt;&gt;$B251,$B267&lt;&gt;$B252,$B268&lt;&gt;$B253),IF($B260&lt;&gt;$B245,AC245/INDEX($C243:$AJ253,3,MATCH(IF('Data-solution'!$A$3="Maximize",MAX($C254:$AI254),MIN($C254:$AI254)),$C254:$AI254,0)),AC245-INDEX($C243:$AJ253,3,MATCH(IF('Data-solution'!$A$3="Maximize",MAX($C254:$AI254),MIN($C254:$AI254)),$C254:$AI254,0))*INDEX(AC243:$AJ253,MATCH(MIN($AK243:$AK253),$AK243:$AK253,0),1)/INDEX($C243:$AJ253,MATCH(MIN($AK243:$AK253),$AK243:$AK253,0),MATCH(IF('Data-solution'!$A$3="Maximize",MAX($C254:$AI254),MIN($C254:$AI254)),$C254:$AI254,0))),AC245)</f>
        <v>0</v>
      </c>
      <c r="AD260" s="1">
        <f>IF(OR($B258&lt;&gt;$B243,$B259&lt;&gt;$B244,$B260&lt;&gt;$B245,$B261&lt;&gt;$B246,$B262&lt;&gt;$B247,$B263&lt;&gt;$B248,$B264&lt;&gt;$B249,$B265&lt;&gt;$B250,$B266&lt;&gt;$B251,$B267&lt;&gt;$B252,$B268&lt;&gt;$B253),IF($B260&lt;&gt;$B245,AD245/INDEX($C243:$AJ253,3,MATCH(IF('Data-solution'!$A$3="Maximize",MAX($C254:$AI254),MIN($C254:$AI254)),$C254:$AI254,0)),AD245-INDEX($C243:$AJ253,3,MATCH(IF('Data-solution'!$A$3="Maximize",MAX($C254:$AI254),MIN($C254:$AI254)),$C254:$AI254,0))*INDEX(AD243:$AJ253,MATCH(MIN($AK243:$AK253),$AK243:$AK253,0),1)/INDEX($C243:$AJ253,MATCH(MIN($AK243:$AK253),$AK243:$AK253,0),MATCH(IF('Data-solution'!$A$3="Maximize",MAX($C254:$AI254),MIN($C254:$AI254)),$C254:$AI254,0))),AD245)</f>
        <v>0</v>
      </c>
      <c r="AE260" s="1">
        <f>IF(OR($B258&lt;&gt;$B243,$B259&lt;&gt;$B244,$B260&lt;&gt;$B245,$B261&lt;&gt;$B246,$B262&lt;&gt;$B247,$B263&lt;&gt;$B248,$B264&lt;&gt;$B249,$B265&lt;&gt;$B250,$B266&lt;&gt;$B251,$B267&lt;&gt;$B252,$B268&lt;&gt;$B253),IF($B260&lt;&gt;$B245,AE245/INDEX($C243:$AJ253,3,MATCH(IF('Data-solution'!$A$3="Maximize",MAX($C254:$AI254),MIN($C254:$AI254)),$C254:$AI254,0)),AE245-INDEX($C243:$AJ253,3,MATCH(IF('Data-solution'!$A$3="Maximize",MAX($C254:$AI254),MIN($C254:$AI254)),$C254:$AI254,0))*INDEX(AE243:$AJ253,MATCH(MIN($AK243:$AK253),$AK243:$AK253,0),1)/INDEX($C243:$AJ253,MATCH(MIN($AK243:$AK253),$AK243:$AK253,0),MATCH(IF('Data-solution'!$A$3="Maximize",MAX($C254:$AI254),MIN($C254:$AI254)),$C254:$AI254,0))),AE245)</f>
        <v>0</v>
      </c>
      <c r="AF260" s="1">
        <f>IF(OR($B258&lt;&gt;$B243,$B259&lt;&gt;$B244,$B260&lt;&gt;$B245,$B261&lt;&gt;$B246,$B262&lt;&gt;$B247,$B263&lt;&gt;$B248,$B264&lt;&gt;$B249,$B265&lt;&gt;$B250,$B266&lt;&gt;$B251,$B267&lt;&gt;$B252,$B268&lt;&gt;$B253),IF($B260&lt;&gt;$B245,AF245/INDEX($C243:$AJ253,3,MATCH(IF('Data-solution'!$A$3="Maximize",MAX($C254:$AI254),MIN($C254:$AI254)),$C254:$AI254,0)),AF245-INDEX($C243:$AJ253,3,MATCH(IF('Data-solution'!$A$3="Maximize",MAX($C254:$AI254),MIN($C254:$AI254)),$C254:$AI254,0))*INDEX(AF243:$AJ253,MATCH(MIN($AK243:$AK253),$AK243:$AK253,0),1)/INDEX($C243:$AJ253,MATCH(MIN($AK243:$AK253),$AK243:$AK253,0),MATCH(IF('Data-solution'!$A$3="Maximize",MAX($C254:$AI254),MIN($C254:$AI254)),$C254:$AI254,0))),AF245)</f>
        <v>0</v>
      </c>
      <c r="AG260" s="1">
        <f>IF(OR($B258&lt;&gt;$B243,$B259&lt;&gt;$B244,$B260&lt;&gt;$B245,$B261&lt;&gt;$B246,$B262&lt;&gt;$B247,$B263&lt;&gt;$B248,$B264&lt;&gt;$B249,$B265&lt;&gt;$B250,$B266&lt;&gt;$B251,$B267&lt;&gt;$B252,$B268&lt;&gt;$B253),IF($B260&lt;&gt;$B245,AG245/INDEX($C243:$AJ253,3,MATCH(IF('Data-solution'!$A$3="Maximize",MAX($C254:$AI254),MIN($C254:$AI254)),$C254:$AI254,0)),AG245-INDEX($C243:$AJ253,3,MATCH(IF('Data-solution'!$A$3="Maximize",MAX($C254:$AI254),MIN($C254:$AI254)),$C254:$AI254,0))*INDEX(AG243:$AJ253,MATCH(MIN($AK243:$AK253),$AK243:$AK253,0),1)/INDEX($C243:$AJ253,MATCH(MIN($AK243:$AK253),$AK243:$AK253,0),MATCH(IF('Data-solution'!$A$3="Maximize",MAX($C254:$AI254),MIN($C254:$AI254)),$C254:$AI254,0))),AG245)</f>
        <v>0</v>
      </c>
      <c r="AH260" s="1">
        <f>IF(OR($B258&lt;&gt;$B243,$B259&lt;&gt;$B244,$B260&lt;&gt;$B245,$B261&lt;&gt;$B246,$B262&lt;&gt;$B247,$B263&lt;&gt;$B248,$B264&lt;&gt;$B249,$B265&lt;&gt;$B250,$B266&lt;&gt;$B251,$B267&lt;&gt;$B252,$B268&lt;&gt;$B253),IF($B260&lt;&gt;$B245,AH245/INDEX($C243:$AJ253,3,MATCH(IF('Data-solution'!$A$3="Maximize",MAX($C254:$AI254),MIN($C254:$AI254)),$C254:$AI254,0)),AH245-INDEX($C243:$AJ253,3,MATCH(IF('Data-solution'!$A$3="Maximize",MAX($C254:$AI254),MIN($C254:$AI254)),$C254:$AI254,0))*INDEX(AH243:$AJ253,MATCH(MIN($AK243:$AK253),$AK243:$AK253,0),1)/INDEX($C243:$AJ253,MATCH(MIN($AK243:$AK253),$AK243:$AK253,0),MATCH(IF('Data-solution'!$A$3="Maximize",MAX($C254:$AI254),MIN($C254:$AI254)),$C254:$AI254,0))),AH245)</f>
        <v>0</v>
      </c>
      <c r="AI260" s="1">
        <f>IF(OR($B258&lt;&gt;$B243,$B259&lt;&gt;$B244,$B260&lt;&gt;$B245,$B261&lt;&gt;$B246,$B262&lt;&gt;$B247,$B263&lt;&gt;$B248,$B264&lt;&gt;$B249,$B265&lt;&gt;$B250,$B266&lt;&gt;$B251,$B267&lt;&gt;$B252,$B268&lt;&gt;$B253),IF($B260&lt;&gt;$B245,AI245/INDEX($C243:$AJ253,3,MATCH(IF('Data-solution'!$A$3="Maximize",MAX($C254:$AI254),MIN($C254:$AI254)),$C254:$AI254,0)),AI245-INDEX($C243:$AJ253,3,MATCH(IF('Data-solution'!$A$3="Maximize",MAX($C254:$AI254),MIN($C254:$AI254)),$C254:$AI254,0))*INDEX(AI243:$AJ253,MATCH(MIN($AK243:$AK253),$AK243:$AK253,0),1)/INDEX($C243:$AJ253,MATCH(MIN($AK243:$AK253),$AK243:$AK253,0),MATCH(IF('Data-solution'!$A$3="Maximize",MAX($C254:$AI254),MIN($C254:$AI254)),$C254:$AI254,0))),AI245)</f>
        <v>0</v>
      </c>
      <c r="AJ260" s="1">
        <f>IF(OR($B258&lt;&gt;$B243,$B259&lt;&gt;$B244,$B260&lt;&gt;$B245,$B261&lt;&gt;$B246,$B262&lt;&gt;$B247,$B263&lt;&gt;$B248,$B264&lt;&gt;$B249,$B265&lt;&gt;$B250,$B266&lt;&gt;$B251,$B267&lt;&gt;$B252,$B268&lt;&gt;$B253),IF($B260&lt;&gt;$B245,AJ245/INDEX($C243:$AJ253,3,MATCH(IF('Data-solution'!$A$3="Maximize",MAX($C254:$AI254),MIN($C254:$AI254)),$C254:$AI254,0)),AJ245-INDEX($C243:$AJ253,3,MATCH(IF('Data-solution'!$A$3="Maximize",MAX($C254:$AI254),MIN($C254:$AI254)),$C254:$AI254,0))*INDEX(AJ243:$AJ253,MATCH(MIN($AK243:$AK253),$AK243:$AK253,0),1)/INDEX($C243:$AJ253,MATCH(MIN($AK243:$AK253),$AK243:$AK253,0),MATCH(IF('Data-solution'!$A$3="Maximize",MAX($C254:$AI254),MIN($C254:$AI254)),$C254:$AI254,0))),AJ245)</f>
        <v>300</v>
      </c>
      <c r="AK260" s="1" t="str">
        <f>IF(INDEX(C260:X260,1,MATCH(IF('Data-solution'!A$3="Maximize",MAX(C269:X269),MIN(C269:X269)),C269:X269,0))&gt;0,AJ260/INDEX(C260:X260,1,MATCH(IF('Data-solution'!A$3="Maximize",MAX(C269:X269),MIN(C269:X269)),C269:X269,0))," ")</f>
        <v xml:space="preserve"> </v>
      </c>
    </row>
    <row r="261" spans="1:37" ht="18" customHeight="1" x14ac:dyDescent="0.2">
      <c r="A261" s="1">
        <f t="shared" ref="A261" si="233">INDEX(C256:AI256,1,MATCH(B261,C257:AI257,0))</f>
        <v>150</v>
      </c>
      <c r="B261" s="2" t="str">
        <f>IF(AND('Data-solution'!A$3="Maximize",COUNTIF(C254:X254,"&gt;"&amp;0)&gt;0,AK246=MIN(AK243:AK253),COUNTIF(B258:B260,INDEX(C242:X242,1,MATCH(MAX(C254:X254),C254:X254,0)))=0),INDEX(C242:X242,1,MATCH(MAX(C254:X254),C254:X254,0)),IF(AND('Data-solution'!A$3="Minimize",COUNTIF(C254:X254,"&lt;"&amp;0)&gt;0,AK246=MIN(AK243:AK253),COUNTIF(B258:B260,INDEX(C242:X242,1,MATCH(MIN(C254:X254),C254:X254,0)))=0),INDEX(C242:X242,1,MATCH(MIN(C254:X254),C254:X254,0)),B246))</f>
        <v>X1</v>
      </c>
      <c r="C261" s="1">
        <f>IF(OR($B258&lt;&gt;$B243,$B259&lt;&gt;$B244,$B260&lt;&gt;$B245,$B261&lt;&gt;$B246,$B262&lt;&gt;$B247,$B263&lt;&gt;$B248,$B264&lt;&gt;$B249,$B265&lt;&gt;$B250,$B266&lt;&gt;$B251,$B267&lt;&gt;$B252,$B268&lt;&gt;$B253),IF($B261&lt;&gt;$B246,C246/INDEX($C243:$AJ253,4,MATCH(IF('Data-solution'!$A$3="Maximize",MAX($C254:$AI254),MIN($C254:$AI254)),$C254:$AI254,0)),C246-INDEX($C243:$AJ253,4,MATCH(IF('Data-solution'!$A$3="Maximize",MAX($C254:$AI254),MIN($C254:$AI254)),$C254:$AI254,0))*INDEX(C243:$AJ253,MATCH(MIN($AK243:$AK253),$AK243:$AK253,0),1)/INDEX($C243:$AJ253,MATCH(MIN($AK243:$AK253),$AK243:$AK253,0),MATCH(IF('Data-solution'!$A$3="Maximize",MAX($C254:$AI254),MIN($C254:$AI254)),$C254:$AI254,0))),C246)</f>
        <v>1</v>
      </c>
      <c r="D261" s="1">
        <f>IF(OR($B258&lt;&gt;$B243,$B259&lt;&gt;$B244,$B260&lt;&gt;$B245,$B261&lt;&gt;$B246,$B262&lt;&gt;$B247,$B263&lt;&gt;$B248,$B264&lt;&gt;$B249,$B265&lt;&gt;$B250,$B266&lt;&gt;$B251,$B267&lt;&gt;$B252,$B268&lt;&gt;$B253),IF($B261&lt;&gt;$B246,D246/INDEX($C243:$AJ253,4,MATCH(IF('Data-solution'!$A$3="Maximize",MAX($C254:$AI254),MIN($C254:$AI254)),$C254:$AI254,0)),D246-INDEX($C243:$AJ253,4,MATCH(IF('Data-solution'!$A$3="Maximize",MAX($C254:$AI254),MIN($C254:$AI254)),$C254:$AI254,0))*INDEX(D243:$AJ253,MATCH(MIN($AK243:$AK253),$AK243:$AK253,0),1)/INDEX($C243:$AJ253,MATCH(MIN($AK243:$AK253),$AK243:$AK253,0),MATCH(IF('Data-solution'!$A$3="Maximize",MAX($C254:$AI254),MIN($C254:$AI254)),$C254:$AI254,0))),D246)</f>
        <v>-1.25</v>
      </c>
      <c r="E261" s="1">
        <f>IF(OR($B258&lt;&gt;$B243,$B259&lt;&gt;$B244,$B260&lt;&gt;$B245,$B261&lt;&gt;$B246,$B262&lt;&gt;$B247,$B263&lt;&gt;$B248,$B264&lt;&gt;$B249,$B265&lt;&gt;$B250,$B266&lt;&gt;$B251,$B267&lt;&gt;$B252,$B268&lt;&gt;$B253),IF($B261&lt;&gt;$B246,E246/INDEX($C243:$AJ253,4,MATCH(IF('Data-solution'!$A$3="Maximize",MAX($C254:$AI254),MIN($C254:$AI254)),$C254:$AI254,0)),E246-INDEX($C243:$AJ253,4,MATCH(IF('Data-solution'!$A$3="Maximize",MAX($C254:$AI254),MIN($C254:$AI254)),$C254:$AI254,0))*INDEX(E243:$AJ253,MATCH(MIN($AK243:$AK253),$AK243:$AK253,0),1)/INDEX($C243:$AJ253,MATCH(MIN($AK243:$AK253),$AK243:$AK253,0),MATCH(IF('Data-solution'!$A$3="Maximize",MAX($C254:$AI254),MIN($C254:$AI254)),$C254:$AI254,0))),E246)</f>
        <v>0</v>
      </c>
      <c r="F261" s="1">
        <f>IF(OR($B258&lt;&gt;$B243,$B259&lt;&gt;$B244,$B260&lt;&gt;$B245,$B261&lt;&gt;$B246,$B262&lt;&gt;$B247,$B263&lt;&gt;$B248,$B264&lt;&gt;$B249,$B265&lt;&gt;$B250,$B266&lt;&gt;$B251,$B267&lt;&gt;$B252,$B268&lt;&gt;$B253),IF($B261&lt;&gt;$B246,F246/INDEX($C243:$AJ253,4,MATCH(IF('Data-solution'!$A$3="Maximize",MAX($C254:$AI254),MIN($C254:$AI254)),$C254:$AI254,0)),F246-INDEX($C243:$AJ253,4,MATCH(IF('Data-solution'!$A$3="Maximize",MAX($C254:$AI254),MIN($C254:$AI254)),$C254:$AI254,0))*INDEX(F243:$AJ253,MATCH(MIN($AK243:$AK253),$AK243:$AK253,0),1)/INDEX($C243:$AJ253,MATCH(MIN($AK243:$AK253),$AK243:$AK253,0),MATCH(IF('Data-solution'!$A$3="Maximize",MAX($C254:$AI254),MIN($C254:$AI254)),$C254:$AI254,0))),F246)</f>
        <v>0</v>
      </c>
      <c r="G261" s="1">
        <f>IF(OR($B258&lt;&gt;$B243,$B259&lt;&gt;$B244,$B260&lt;&gt;$B245,$B261&lt;&gt;$B246,$B262&lt;&gt;$B247,$B263&lt;&gt;$B248,$B264&lt;&gt;$B249,$B265&lt;&gt;$B250,$B266&lt;&gt;$B251,$B267&lt;&gt;$B252,$B268&lt;&gt;$B253),IF($B261&lt;&gt;$B246,G246/INDEX($C243:$AJ253,4,MATCH(IF('Data-solution'!$A$3="Maximize",MAX($C254:$AI254),MIN($C254:$AI254)),$C254:$AI254,0)),G246-INDEX($C243:$AJ253,4,MATCH(IF('Data-solution'!$A$3="Maximize",MAX($C254:$AI254),MIN($C254:$AI254)),$C254:$AI254,0))*INDEX(G243:$AJ253,MATCH(MIN($AK243:$AK253),$AK243:$AK253,0),1)/INDEX($C243:$AJ253,MATCH(MIN($AK243:$AK253),$AK243:$AK253,0),MATCH(IF('Data-solution'!$A$3="Maximize",MAX($C254:$AI254),MIN($C254:$AI254)),$C254:$AI254,0))),G246)</f>
        <v>0</v>
      </c>
      <c r="H261" s="1">
        <f>IF(OR($B258&lt;&gt;$B243,$B259&lt;&gt;$B244,$B260&lt;&gt;$B245,$B261&lt;&gt;$B246,$B262&lt;&gt;$B247,$B263&lt;&gt;$B248,$B264&lt;&gt;$B249,$B265&lt;&gt;$B250,$B266&lt;&gt;$B251,$B267&lt;&gt;$B252,$B268&lt;&gt;$B253),IF($B261&lt;&gt;$B246,H246/INDEX($C243:$AJ253,4,MATCH(IF('Data-solution'!$A$3="Maximize",MAX($C254:$AI254),MIN($C254:$AI254)),$C254:$AI254,0)),H246-INDEX($C243:$AJ253,4,MATCH(IF('Data-solution'!$A$3="Maximize",MAX($C254:$AI254),MIN($C254:$AI254)),$C254:$AI254,0))*INDEX(H243:$AJ253,MATCH(MIN($AK243:$AK253),$AK243:$AK253,0),1)/INDEX($C243:$AJ253,MATCH(MIN($AK243:$AK253),$AK243:$AK253,0),MATCH(IF('Data-solution'!$A$3="Maximize",MAX($C254:$AI254),MIN($C254:$AI254)),$C254:$AI254,0))),H246)</f>
        <v>0</v>
      </c>
      <c r="I261" s="1">
        <f>IF(OR($B258&lt;&gt;$B243,$B259&lt;&gt;$B244,$B260&lt;&gt;$B245,$B261&lt;&gt;$B246,$B262&lt;&gt;$B247,$B263&lt;&gt;$B248,$B264&lt;&gt;$B249,$B265&lt;&gt;$B250,$B266&lt;&gt;$B251,$B267&lt;&gt;$B252,$B268&lt;&gt;$B253),IF($B261&lt;&gt;$B246,I246/INDEX($C243:$AJ253,4,MATCH(IF('Data-solution'!$A$3="Maximize",MAX($C254:$AI254),MIN($C254:$AI254)),$C254:$AI254,0)),I246-INDEX($C243:$AJ253,4,MATCH(IF('Data-solution'!$A$3="Maximize",MAX($C254:$AI254),MIN($C254:$AI254)),$C254:$AI254,0))*INDEX(I243:$AJ253,MATCH(MIN($AK243:$AK253),$AK243:$AK253,0),1)/INDEX($C243:$AJ253,MATCH(MIN($AK243:$AK253),$AK243:$AK253,0),MATCH(IF('Data-solution'!$A$3="Maximize",MAX($C254:$AI254),MIN($C254:$AI254)),$C254:$AI254,0))),I246)</f>
        <v>0</v>
      </c>
      <c r="J261" s="1">
        <f>IF(OR($B258&lt;&gt;$B243,$B259&lt;&gt;$B244,$B260&lt;&gt;$B245,$B261&lt;&gt;$B246,$B262&lt;&gt;$B247,$B263&lt;&gt;$B248,$B264&lt;&gt;$B249,$B265&lt;&gt;$B250,$B266&lt;&gt;$B251,$B267&lt;&gt;$B252,$B268&lt;&gt;$B253),IF($B261&lt;&gt;$B246,J246/INDEX($C243:$AJ253,4,MATCH(IF('Data-solution'!$A$3="Maximize",MAX($C254:$AI254),MIN($C254:$AI254)),$C254:$AI254,0)),J246-INDEX($C243:$AJ253,4,MATCH(IF('Data-solution'!$A$3="Maximize",MAX($C254:$AI254),MIN($C254:$AI254)),$C254:$AI254,0))*INDEX(J243:$AJ253,MATCH(MIN($AK243:$AK253),$AK243:$AK253,0),1)/INDEX($C243:$AJ253,MATCH(MIN($AK243:$AK253),$AK243:$AK253,0),MATCH(IF('Data-solution'!$A$3="Maximize",MAX($C254:$AI254),MIN($C254:$AI254)),$C254:$AI254,0))),J246)</f>
        <v>0</v>
      </c>
      <c r="K261" s="1">
        <f>IF(OR($B258&lt;&gt;$B243,$B259&lt;&gt;$B244,$B260&lt;&gt;$B245,$B261&lt;&gt;$B246,$B262&lt;&gt;$B247,$B263&lt;&gt;$B248,$B264&lt;&gt;$B249,$B265&lt;&gt;$B250,$B266&lt;&gt;$B251,$B267&lt;&gt;$B252,$B268&lt;&gt;$B253),IF($B261&lt;&gt;$B246,K246/INDEX($C243:$AJ253,4,MATCH(IF('Data-solution'!$A$3="Maximize",MAX($C254:$AI254),MIN($C254:$AI254)),$C254:$AI254,0)),K246-INDEX($C243:$AJ253,4,MATCH(IF('Data-solution'!$A$3="Maximize",MAX($C254:$AI254),MIN($C254:$AI254)),$C254:$AI254,0))*INDEX(K243:$AJ253,MATCH(MIN($AK243:$AK253),$AK243:$AK253,0),1)/INDEX($C243:$AJ253,MATCH(MIN($AK243:$AK253),$AK243:$AK253,0),MATCH(IF('Data-solution'!$A$3="Maximize",MAX($C254:$AI254),MIN($C254:$AI254)),$C254:$AI254,0))),K246)</f>
        <v>0</v>
      </c>
      <c r="L261" s="1">
        <f>IF(OR($B258&lt;&gt;$B243,$B259&lt;&gt;$B244,$B260&lt;&gt;$B245,$B261&lt;&gt;$B246,$B262&lt;&gt;$B247,$B263&lt;&gt;$B248,$B264&lt;&gt;$B249,$B265&lt;&gt;$B250,$B266&lt;&gt;$B251,$B267&lt;&gt;$B252,$B268&lt;&gt;$B253),IF($B261&lt;&gt;$B246,L246/INDEX($C243:$AJ253,4,MATCH(IF('Data-solution'!$A$3="Maximize",MAX($C254:$AI254),MIN($C254:$AI254)),$C254:$AI254,0)),L246-INDEX($C243:$AJ253,4,MATCH(IF('Data-solution'!$A$3="Maximize",MAX($C254:$AI254),MIN($C254:$AI254)),$C254:$AI254,0))*INDEX(L243:$AJ253,MATCH(MIN($AK243:$AK253),$AK243:$AK253,0),1)/INDEX($C243:$AJ253,MATCH(MIN($AK243:$AK253),$AK243:$AK253,0),MATCH(IF('Data-solution'!$A$3="Maximize",MAX($C254:$AI254),MIN($C254:$AI254)),$C254:$AI254,0))),L246)</f>
        <v>0</v>
      </c>
      <c r="M261" s="1">
        <f>IF(OR($B258&lt;&gt;$B243,$B259&lt;&gt;$B244,$B260&lt;&gt;$B245,$B261&lt;&gt;$B246,$B262&lt;&gt;$B247,$B263&lt;&gt;$B248,$B264&lt;&gt;$B249,$B265&lt;&gt;$B250,$B266&lt;&gt;$B251,$B267&lt;&gt;$B252,$B268&lt;&gt;$B253),IF($B261&lt;&gt;$B246,M246/INDEX($C243:$AJ253,4,MATCH(IF('Data-solution'!$A$3="Maximize",MAX($C254:$AI254),MIN($C254:$AI254)),$C254:$AI254,0)),M246-INDEX($C243:$AJ253,4,MATCH(IF('Data-solution'!$A$3="Maximize",MAX($C254:$AI254),MIN($C254:$AI254)),$C254:$AI254,0))*INDEX(M243:$AJ253,MATCH(MIN($AK243:$AK253),$AK243:$AK253,0),1)/INDEX($C243:$AJ253,MATCH(MIN($AK243:$AK253),$AK243:$AK253,0),MATCH(IF('Data-solution'!$A$3="Maximize",MAX($C254:$AI254),MIN($C254:$AI254)),$C254:$AI254,0))),M246)</f>
        <v>0</v>
      </c>
      <c r="N261" s="1">
        <f>IF(OR($B258&lt;&gt;$B243,$B259&lt;&gt;$B244,$B260&lt;&gt;$B245,$B261&lt;&gt;$B246,$B262&lt;&gt;$B247,$B263&lt;&gt;$B248,$B264&lt;&gt;$B249,$B265&lt;&gt;$B250,$B266&lt;&gt;$B251,$B267&lt;&gt;$B252,$B268&lt;&gt;$B253),IF($B261&lt;&gt;$B246,N246/INDEX($C243:$AJ253,4,MATCH(IF('Data-solution'!$A$3="Maximize",MAX($C254:$AI254),MIN($C254:$AI254)),$C254:$AI254,0)),N246-INDEX($C243:$AJ253,4,MATCH(IF('Data-solution'!$A$3="Maximize",MAX($C254:$AI254),MIN($C254:$AI254)),$C254:$AI254,0))*INDEX(N243:$AJ253,MATCH(MIN($AK243:$AK253),$AK243:$AK253,0),1)/INDEX($C243:$AJ253,MATCH(MIN($AK243:$AK253),$AK243:$AK253,0),MATCH(IF('Data-solution'!$A$3="Maximize",MAX($C254:$AI254),MIN($C254:$AI254)),$C254:$AI254,0))),N246)</f>
        <v>0</v>
      </c>
      <c r="O261" s="1">
        <f>IF(OR($B258&lt;&gt;$B243,$B259&lt;&gt;$B244,$B260&lt;&gt;$B245,$B261&lt;&gt;$B246,$B262&lt;&gt;$B247,$B263&lt;&gt;$B248,$B264&lt;&gt;$B249,$B265&lt;&gt;$B250,$B266&lt;&gt;$B251,$B267&lt;&gt;$B252,$B268&lt;&gt;$B253),IF($B261&lt;&gt;$B246,O246/INDEX($C243:$AJ253,4,MATCH(IF('Data-solution'!$A$3="Maximize",MAX($C254:$AI254),MIN($C254:$AI254)),$C254:$AI254,0)),O246-INDEX($C243:$AJ253,4,MATCH(IF('Data-solution'!$A$3="Maximize",MAX($C254:$AI254),MIN($C254:$AI254)),$C254:$AI254,0))*INDEX(O243:$AJ253,MATCH(MIN($AK243:$AK253),$AK243:$AK253,0),1)/INDEX($C243:$AJ253,MATCH(MIN($AK243:$AK253),$AK243:$AK253,0),MATCH(IF('Data-solution'!$A$3="Maximize",MAX($C254:$AI254),MIN($C254:$AI254)),$C254:$AI254,0))),O246)</f>
        <v>0</v>
      </c>
      <c r="P261" s="1">
        <f>IF(OR($B258&lt;&gt;$B243,$B259&lt;&gt;$B244,$B260&lt;&gt;$B245,$B261&lt;&gt;$B246,$B262&lt;&gt;$B247,$B263&lt;&gt;$B248,$B264&lt;&gt;$B249,$B265&lt;&gt;$B250,$B266&lt;&gt;$B251,$B267&lt;&gt;$B252,$B268&lt;&gt;$B253),IF($B261&lt;&gt;$B246,P246/INDEX($C243:$AJ253,4,MATCH(IF('Data-solution'!$A$3="Maximize",MAX($C254:$AI254),MIN($C254:$AI254)),$C254:$AI254,0)),P246-INDEX($C243:$AJ253,4,MATCH(IF('Data-solution'!$A$3="Maximize",MAX($C254:$AI254),MIN($C254:$AI254)),$C254:$AI254,0))*INDEX(P243:$AJ253,MATCH(MIN($AK243:$AK253),$AK243:$AK253,0),1)/INDEX($C243:$AJ253,MATCH(MIN($AK243:$AK253),$AK243:$AK253,0),MATCH(IF('Data-solution'!$A$3="Maximize",MAX($C254:$AI254),MIN($C254:$AI254)),$C254:$AI254,0))),P246)</f>
        <v>-0.24999999999999994</v>
      </c>
      <c r="Q261" s="1">
        <f>IF(OR($B258&lt;&gt;$B243,$B259&lt;&gt;$B244,$B260&lt;&gt;$B245,$B261&lt;&gt;$B246,$B262&lt;&gt;$B247,$B263&lt;&gt;$B248,$B264&lt;&gt;$B249,$B265&lt;&gt;$B250,$B266&lt;&gt;$B251,$B267&lt;&gt;$B252,$B268&lt;&gt;$B253),IF($B261&lt;&gt;$B246,Q246/INDEX($C243:$AJ253,4,MATCH(IF('Data-solution'!$A$3="Maximize",MAX($C254:$AI254),MIN($C254:$AI254)),$C254:$AI254,0)),Q246-INDEX($C243:$AJ253,4,MATCH(IF('Data-solution'!$A$3="Maximize",MAX($C254:$AI254),MIN($C254:$AI254)),$C254:$AI254,0))*INDEX(Q243:$AJ253,MATCH(MIN($AK243:$AK253),$AK243:$AK253,0),1)/INDEX($C243:$AJ253,MATCH(MIN($AK243:$AK253),$AK243:$AK253,0),MATCH(IF('Data-solution'!$A$3="Maximize",MAX($C254:$AI254),MIN($C254:$AI254)),$C254:$AI254,0))),Q246)</f>
        <v>1.4999999999999998</v>
      </c>
      <c r="R261" s="1">
        <f>IF(OR($B258&lt;&gt;$B243,$B259&lt;&gt;$B244,$B260&lt;&gt;$B245,$B261&lt;&gt;$B246,$B262&lt;&gt;$B247,$B263&lt;&gt;$B248,$B264&lt;&gt;$B249,$B265&lt;&gt;$B250,$B266&lt;&gt;$B251,$B267&lt;&gt;$B252,$B268&lt;&gt;$B253),IF($B261&lt;&gt;$B246,R246/INDEX($C243:$AJ253,4,MATCH(IF('Data-solution'!$A$3="Maximize",MAX($C254:$AI254),MIN($C254:$AI254)),$C254:$AI254,0)),R246-INDEX($C243:$AJ253,4,MATCH(IF('Data-solution'!$A$3="Maximize",MAX($C254:$AI254),MIN($C254:$AI254)),$C254:$AI254,0))*INDEX(R243:$AJ253,MATCH(MIN($AK243:$AK253),$AK243:$AK253,0),1)/INDEX($C243:$AJ253,MATCH(MIN($AK243:$AK253),$AK243:$AK253,0),MATCH(IF('Data-solution'!$A$3="Maximize",MAX($C254:$AI254),MIN($C254:$AI254)),$C254:$AI254,0))),R246)</f>
        <v>0</v>
      </c>
      <c r="S261" s="1">
        <f>IF(OR($B258&lt;&gt;$B243,$B259&lt;&gt;$B244,$B260&lt;&gt;$B245,$B261&lt;&gt;$B246,$B262&lt;&gt;$B247,$B263&lt;&gt;$B248,$B264&lt;&gt;$B249,$B265&lt;&gt;$B250,$B266&lt;&gt;$B251,$B267&lt;&gt;$B252,$B268&lt;&gt;$B253),IF($B261&lt;&gt;$B246,S246/INDEX($C243:$AJ253,4,MATCH(IF('Data-solution'!$A$3="Maximize",MAX($C254:$AI254),MIN($C254:$AI254)),$C254:$AI254,0)),S246-INDEX($C243:$AJ253,4,MATCH(IF('Data-solution'!$A$3="Maximize",MAX($C254:$AI254),MIN($C254:$AI254)),$C254:$AI254,0))*INDEX(S243:$AJ253,MATCH(MIN($AK243:$AK253),$AK243:$AK253,0),1)/INDEX($C243:$AJ253,MATCH(MIN($AK243:$AK253),$AK243:$AK253,0),MATCH(IF('Data-solution'!$A$3="Maximize",MAX($C254:$AI254),MIN($C254:$AI254)),$C254:$AI254,0))),S246)</f>
        <v>0</v>
      </c>
      <c r="T261" s="1">
        <f>IF(OR($B258&lt;&gt;$B243,$B259&lt;&gt;$B244,$B260&lt;&gt;$B245,$B261&lt;&gt;$B246,$B262&lt;&gt;$B247,$B263&lt;&gt;$B248,$B264&lt;&gt;$B249,$B265&lt;&gt;$B250,$B266&lt;&gt;$B251,$B267&lt;&gt;$B252,$B268&lt;&gt;$B253),IF($B261&lt;&gt;$B246,T246/INDEX($C243:$AJ253,4,MATCH(IF('Data-solution'!$A$3="Maximize",MAX($C254:$AI254),MIN($C254:$AI254)),$C254:$AI254,0)),T246-INDEX($C243:$AJ253,4,MATCH(IF('Data-solution'!$A$3="Maximize",MAX($C254:$AI254),MIN($C254:$AI254)),$C254:$AI254,0))*INDEX(T243:$AJ253,MATCH(MIN($AK243:$AK253),$AK243:$AK253,0),1)/INDEX($C243:$AJ253,MATCH(MIN($AK243:$AK253),$AK243:$AK253,0),MATCH(IF('Data-solution'!$A$3="Maximize",MAX($C254:$AI254),MIN($C254:$AI254)),$C254:$AI254,0))),T246)</f>
        <v>0</v>
      </c>
      <c r="U261" s="1">
        <f>IF(OR($B258&lt;&gt;$B243,$B259&lt;&gt;$B244,$B260&lt;&gt;$B245,$B261&lt;&gt;$B246,$B262&lt;&gt;$B247,$B263&lt;&gt;$B248,$B264&lt;&gt;$B249,$B265&lt;&gt;$B250,$B266&lt;&gt;$B251,$B267&lt;&gt;$B252,$B268&lt;&gt;$B253),IF($B261&lt;&gt;$B246,U246/INDEX($C243:$AJ253,4,MATCH(IF('Data-solution'!$A$3="Maximize",MAX($C254:$AI254),MIN($C254:$AI254)),$C254:$AI254,0)),U246-INDEX($C243:$AJ253,4,MATCH(IF('Data-solution'!$A$3="Maximize",MAX($C254:$AI254),MIN($C254:$AI254)),$C254:$AI254,0))*INDEX(U243:$AJ253,MATCH(MIN($AK243:$AK253),$AK243:$AK253,0),1)/INDEX($C243:$AJ253,MATCH(MIN($AK243:$AK253),$AK243:$AK253,0),MATCH(IF('Data-solution'!$A$3="Maximize",MAX($C254:$AI254),MIN($C254:$AI254)),$C254:$AI254,0))),U246)</f>
        <v>0</v>
      </c>
      <c r="V261" s="1">
        <f>IF(OR($B258&lt;&gt;$B243,$B259&lt;&gt;$B244,$B260&lt;&gt;$B245,$B261&lt;&gt;$B246,$B262&lt;&gt;$B247,$B263&lt;&gt;$B248,$B264&lt;&gt;$B249,$B265&lt;&gt;$B250,$B266&lt;&gt;$B251,$B267&lt;&gt;$B252,$B268&lt;&gt;$B253),IF($B261&lt;&gt;$B246,V246/INDEX($C243:$AJ253,4,MATCH(IF('Data-solution'!$A$3="Maximize",MAX($C254:$AI254),MIN($C254:$AI254)),$C254:$AI254,0)),V246-INDEX($C243:$AJ253,4,MATCH(IF('Data-solution'!$A$3="Maximize",MAX($C254:$AI254),MIN($C254:$AI254)),$C254:$AI254,0))*INDEX(V243:$AJ253,MATCH(MIN($AK243:$AK253),$AK243:$AK253,0),1)/INDEX($C243:$AJ253,MATCH(MIN($AK243:$AK253),$AK243:$AK253,0),MATCH(IF('Data-solution'!$A$3="Maximize",MAX($C254:$AI254),MIN($C254:$AI254)),$C254:$AI254,0))),V246)</f>
        <v>0</v>
      </c>
      <c r="W261" s="1">
        <f>IF(OR($B258&lt;&gt;$B243,$B259&lt;&gt;$B244,$B260&lt;&gt;$B245,$B261&lt;&gt;$B246,$B262&lt;&gt;$B247,$B263&lt;&gt;$B248,$B264&lt;&gt;$B249,$B265&lt;&gt;$B250,$B266&lt;&gt;$B251,$B267&lt;&gt;$B252,$B268&lt;&gt;$B253),IF($B261&lt;&gt;$B246,W246/INDEX($C243:$AJ253,4,MATCH(IF('Data-solution'!$A$3="Maximize",MAX($C254:$AI254),MIN($C254:$AI254)),$C254:$AI254,0)),W246-INDEX($C243:$AJ253,4,MATCH(IF('Data-solution'!$A$3="Maximize",MAX($C254:$AI254),MIN($C254:$AI254)),$C254:$AI254,0))*INDEX(W243:$AJ253,MATCH(MIN($AK243:$AK253),$AK243:$AK253,0),1)/INDEX($C243:$AJ253,MATCH(MIN($AK243:$AK253),$AK243:$AK253,0),MATCH(IF('Data-solution'!$A$3="Maximize",MAX($C254:$AI254),MIN($C254:$AI254)),$C254:$AI254,0))),W246)</f>
        <v>0</v>
      </c>
      <c r="X261" s="1">
        <f>IF(OR($B258&lt;&gt;$B243,$B259&lt;&gt;$B244,$B260&lt;&gt;$B245,$B261&lt;&gt;$B246,$B262&lt;&gt;$B247,$B263&lt;&gt;$B248,$B264&lt;&gt;$B249,$B265&lt;&gt;$B250,$B266&lt;&gt;$B251,$B267&lt;&gt;$B252,$B268&lt;&gt;$B253),IF($B261&lt;&gt;$B246,X246/INDEX($C243:$AJ253,4,MATCH(IF('Data-solution'!$A$3="Maximize",MAX($C254:$AI254),MIN($C254:$AI254)),$C254:$AI254,0)),X246-INDEX($C243:$AJ253,4,MATCH(IF('Data-solution'!$A$3="Maximize",MAX($C254:$AI254),MIN($C254:$AI254)),$C254:$AI254,0))*INDEX(X243:$AJ253,MATCH(MIN($AK243:$AK253),$AK243:$AK253,0),1)/INDEX($C243:$AJ253,MATCH(MIN($AK243:$AK253),$AK243:$AK253,0),MATCH(IF('Data-solution'!$A$3="Maximize",MAX($C254:$AI254),MIN($C254:$AI254)),$C254:$AI254,0))),X246)</f>
        <v>0</v>
      </c>
      <c r="Y261" s="1">
        <f>IF(OR($B258&lt;&gt;$B243,$B259&lt;&gt;$B244,$B260&lt;&gt;$B245,$B261&lt;&gt;$B246,$B262&lt;&gt;$B247,$B263&lt;&gt;$B248,$B264&lt;&gt;$B249,$B265&lt;&gt;$B250,$B266&lt;&gt;$B251,$B267&lt;&gt;$B252,$B268&lt;&gt;$B253),IF($B261&lt;&gt;$B246,Y246/INDEX($C243:$AJ253,4,MATCH(IF('Data-solution'!$A$3="Maximize",MAX($C254:$AI254),MIN($C254:$AI254)),$C254:$AI254,0)),Y246-INDEX($C243:$AJ253,4,MATCH(IF('Data-solution'!$A$3="Maximize",MAX($C254:$AI254),MIN($C254:$AI254)),$C254:$AI254,0))*INDEX(Y243:$AJ253,MATCH(MIN($AK243:$AK253),$AK243:$AK253,0),1)/INDEX($C243:$AJ253,MATCH(MIN($AK243:$AK253),$AK243:$AK253,0),MATCH(IF('Data-solution'!$A$3="Maximize",MAX($C254:$AI254),MIN($C254:$AI254)),$C254:$AI254,0))),Y246)</f>
        <v>0</v>
      </c>
      <c r="Z261" s="1">
        <f>IF(OR($B258&lt;&gt;$B243,$B259&lt;&gt;$B244,$B260&lt;&gt;$B245,$B261&lt;&gt;$B246,$B262&lt;&gt;$B247,$B263&lt;&gt;$B248,$B264&lt;&gt;$B249,$B265&lt;&gt;$B250,$B266&lt;&gt;$B251,$B267&lt;&gt;$B252,$B268&lt;&gt;$B253),IF($B261&lt;&gt;$B246,Z246/INDEX($C243:$AJ253,4,MATCH(IF('Data-solution'!$A$3="Maximize",MAX($C254:$AI254),MIN($C254:$AI254)),$C254:$AI254,0)),Z246-INDEX($C243:$AJ253,4,MATCH(IF('Data-solution'!$A$3="Maximize",MAX($C254:$AI254),MIN($C254:$AI254)),$C254:$AI254,0))*INDEX(Z243:$AJ253,MATCH(MIN($AK243:$AK253),$AK243:$AK253,0),1)/INDEX($C243:$AJ253,MATCH(MIN($AK243:$AK253),$AK243:$AK253,0),MATCH(IF('Data-solution'!$A$3="Maximize",MAX($C254:$AI254),MIN($C254:$AI254)),$C254:$AI254,0))),Z246)</f>
        <v>0</v>
      </c>
      <c r="AA261" s="1">
        <f>IF(OR($B258&lt;&gt;$B243,$B259&lt;&gt;$B244,$B260&lt;&gt;$B245,$B261&lt;&gt;$B246,$B262&lt;&gt;$B247,$B263&lt;&gt;$B248,$B264&lt;&gt;$B249,$B265&lt;&gt;$B250,$B266&lt;&gt;$B251,$B267&lt;&gt;$B252,$B268&lt;&gt;$B253),IF($B261&lt;&gt;$B246,AA246/INDEX($C243:$AJ253,4,MATCH(IF('Data-solution'!$A$3="Maximize",MAX($C254:$AI254),MIN($C254:$AI254)),$C254:$AI254,0)),AA246-INDEX($C243:$AJ253,4,MATCH(IF('Data-solution'!$A$3="Maximize",MAX($C254:$AI254),MIN($C254:$AI254)),$C254:$AI254,0))*INDEX(AA243:$AJ253,MATCH(MIN($AK243:$AK253),$AK243:$AK253,0),1)/INDEX($C243:$AJ253,MATCH(MIN($AK243:$AK253),$AK243:$AK253,0),MATCH(IF('Data-solution'!$A$3="Maximize",MAX($C254:$AI254),MIN($C254:$AI254)),$C254:$AI254,0))),AA246)</f>
        <v>-0.24999999999999994</v>
      </c>
      <c r="AB261" s="1">
        <f>IF(OR($B258&lt;&gt;$B243,$B259&lt;&gt;$B244,$B260&lt;&gt;$B245,$B261&lt;&gt;$B246,$B262&lt;&gt;$B247,$B263&lt;&gt;$B248,$B264&lt;&gt;$B249,$B265&lt;&gt;$B250,$B266&lt;&gt;$B251,$B267&lt;&gt;$B252,$B268&lt;&gt;$B253),IF($B261&lt;&gt;$B246,AB246/INDEX($C243:$AJ253,4,MATCH(IF('Data-solution'!$A$3="Maximize",MAX($C254:$AI254),MIN($C254:$AI254)),$C254:$AI254,0)),AB246-INDEX($C243:$AJ253,4,MATCH(IF('Data-solution'!$A$3="Maximize",MAX($C254:$AI254),MIN($C254:$AI254)),$C254:$AI254,0))*INDEX(AB243:$AJ253,MATCH(MIN($AK243:$AK253),$AK243:$AK253,0),1)/INDEX($C243:$AJ253,MATCH(MIN($AK243:$AK253),$AK243:$AK253,0),MATCH(IF('Data-solution'!$A$3="Maximize",MAX($C254:$AI254),MIN($C254:$AI254)),$C254:$AI254,0))),AB246)</f>
        <v>1.4999999999999998</v>
      </c>
      <c r="AC261" s="1">
        <f>IF(OR($B258&lt;&gt;$B243,$B259&lt;&gt;$B244,$B260&lt;&gt;$B245,$B261&lt;&gt;$B246,$B262&lt;&gt;$B247,$B263&lt;&gt;$B248,$B264&lt;&gt;$B249,$B265&lt;&gt;$B250,$B266&lt;&gt;$B251,$B267&lt;&gt;$B252,$B268&lt;&gt;$B253),IF($B261&lt;&gt;$B246,AC246/INDEX($C243:$AJ253,4,MATCH(IF('Data-solution'!$A$3="Maximize",MAX($C254:$AI254),MIN($C254:$AI254)),$C254:$AI254,0)),AC246-INDEX($C243:$AJ253,4,MATCH(IF('Data-solution'!$A$3="Maximize",MAX($C254:$AI254),MIN($C254:$AI254)),$C254:$AI254,0))*INDEX(AC243:$AJ253,MATCH(MIN($AK243:$AK253),$AK243:$AK253,0),1)/INDEX($C243:$AJ253,MATCH(MIN($AK243:$AK253),$AK243:$AK253,0),MATCH(IF('Data-solution'!$A$3="Maximize",MAX($C254:$AI254),MIN($C254:$AI254)),$C254:$AI254,0))),AC246)</f>
        <v>0</v>
      </c>
      <c r="AD261" s="1">
        <f>IF(OR($B258&lt;&gt;$B243,$B259&lt;&gt;$B244,$B260&lt;&gt;$B245,$B261&lt;&gt;$B246,$B262&lt;&gt;$B247,$B263&lt;&gt;$B248,$B264&lt;&gt;$B249,$B265&lt;&gt;$B250,$B266&lt;&gt;$B251,$B267&lt;&gt;$B252,$B268&lt;&gt;$B253),IF($B261&lt;&gt;$B246,AD246/INDEX($C243:$AJ253,4,MATCH(IF('Data-solution'!$A$3="Maximize",MAX($C254:$AI254),MIN($C254:$AI254)),$C254:$AI254,0)),AD246-INDEX($C243:$AJ253,4,MATCH(IF('Data-solution'!$A$3="Maximize",MAX($C254:$AI254),MIN($C254:$AI254)),$C254:$AI254,0))*INDEX(AD243:$AJ253,MATCH(MIN($AK243:$AK253),$AK243:$AK253,0),1)/INDEX($C243:$AJ253,MATCH(MIN($AK243:$AK253),$AK243:$AK253,0),MATCH(IF('Data-solution'!$A$3="Maximize",MAX($C254:$AI254),MIN($C254:$AI254)),$C254:$AI254,0))),AD246)</f>
        <v>0</v>
      </c>
      <c r="AE261" s="1">
        <f>IF(OR($B258&lt;&gt;$B243,$B259&lt;&gt;$B244,$B260&lt;&gt;$B245,$B261&lt;&gt;$B246,$B262&lt;&gt;$B247,$B263&lt;&gt;$B248,$B264&lt;&gt;$B249,$B265&lt;&gt;$B250,$B266&lt;&gt;$B251,$B267&lt;&gt;$B252,$B268&lt;&gt;$B253),IF($B261&lt;&gt;$B246,AE246/INDEX($C243:$AJ253,4,MATCH(IF('Data-solution'!$A$3="Maximize",MAX($C254:$AI254),MIN($C254:$AI254)),$C254:$AI254,0)),AE246-INDEX($C243:$AJ253,4,MATCH(IF('Data-solution'!$A$3="Maximize",MAX($C254:$AI254),MIN($C254:$AI254)),$C254:$AI254,0))*INDEX(AE243:$AJ253,MATCH(MIN($AK243:$AK253),$AK243:$AK253,0),1)/INDEX($C243:$AJ253,MATCH(MIN($AK243:$AK253),$AK243:$AK253,0),MATCH(IF('Data-solution'!$A$3="Maximize",MAX($C254:$AI254),MIN($C254:$AI254)),$C254:$AI254,0))),AE246)</f>
        <v>0</v>
      </c>
      <c r="AF261" s="1">
        <f>IF(OR($B258&lt;&gt;$B243,$B259&lt;&gt;$B244,$B260&lt;&gt;$B245,$B261&lt;&gt;$B246,$B262&lt;&gt;$B247,$B263&lt;&gt;$B248,$B264&lt;&gt;$B249,$B265&lt;&gt;$B250,$B266&lt;&gt;$B251,$B267&lt;&gt;$B252,$B268&lt;&gt;$B253),IF($B261&lt;&gt;$B246,AF246/INDEX($C243:$AJ253,4,MATCH(IF('Data-solution'!$A$3="Maximize",MAX($C254:$AI254),MIN($C254:$AI254)),$C254:$AI254,0)),AF246-INDEX($C243:$AJ253,4,MATCH(IF('Data-solution'!$A$3="Maximize",MAX($C254:$AI254),MIN($C254:$AI254)),$C254:$AI254,0))*INDEX(AF243:$AJ253,MATCH(MIN($AK243:$AK253),$AK243:$AK253,0),1)/INDEX($C243:$AJ253,MATCH(MIN($AK243:$AK253),$AK243:$AK253,0),MATCH(IF('Data-solution'!$A$3="Maximize",MAX($C254:$AI254),MIN($C254:$AI254)),$C254:$AI254,0))),AF246)</f>
        <v>0</v>
      </c>
      <c r="AG261" s="1">
        <f>IF(OR($B258&lt;&gt;$B243,$B259&lt;&gt;$B244,$B260&lt;&gt;$B245,$B261&lt;&gt;$B246,$B262&lt;&gt;$B247,$B263&lt;&gt;$B248,$B264&lt;&gt;$B249,$B265&lt;&gt;$B250,$B266&lt;&gt;$B251,$B267&lt;&gt;$B252,$B268&lt;&gt;$B253),IF($B261&lt;&gt;$B246,AG246/INDEX($C243:$AJ253,4,MATCH(IF('Data-solution'!$A$3="Maximize",MAX($C254:$AI254),MIN($C254:$AI254)),$C254:$AI254,0)),AG246-INDEX($C243:$AJ253,4,MATCH(IF('Data-solution'!$A$3="Maximize",MAX($C254:$AI254),MIN($C254:$AI254)),$C254:$AI254,0))*INDEX(AG243:$AJ253,MATCH(MIN($AK243:$AK253),$AK243:$AK253,0),1)/INDEX($C243:$AJ253,MATCH(MIN($AK243:$AK253),$AK243:$AK253,0),MATCH(IF('Data-solution'!$A$3="Maximize",MAX($C254:$AI254),MIN($C254:$AI254)),$C254:$AI254,0))),AG246)</f>
        <v>0</v>
      </c>
      <c r="AH261" s="1">
        <f>IF(OR($B258&lt;&gt;$B243,$B259&lt;&gt;$B244,$B260&lt;&gt;$B245,$B261&lt;&gt;$B246,$B262&lt;&gt;$B247,$B263&lt;&gt;$B248,$B264&lt;&gt;$B249,$B265&lt;&gt;$B250,$B266&lt;&gt;$B251,$B267&lt;&gt;$B252,$B268&lt;&gt;$B253),IF($B261&lt;&gt;$B246,AH246/INDEX($C243:$AJ253,4,MATCH(IF('Data-solution'!$A$3="Maximize",MAX($C254:$AI254),MIN($C254:$AI254)),$C254:$AI254,0)),AH246-INDEX($C243:$AJ253,4,MATCH(IF('Data-solution'!$A$3="Maximize",MAX($C254:$AI254),MIN($C254:$AI254)),$C254:$AI254,0))*INDEX(AH243:$AJ253,MATCH(MIN($AK243:$AK253),$AK243:$AK253,0),1)/INDEX($C243:$AJ253,MATCH(MIN($AK243:$AK253),$AK243:$AK253,0),MATCH(IF('Data-solution'!$A$3="Maximize",MAX($C254:$AI254),MIN($C254:$AI254)),$C254:$AI254,0))),AH246)</f>
        <v>0</v>
      </c>
      <c r="AI261" s="1">
        <f>IF(OR($B258&lt;&gt;$B243,$B259&lt;&gt;$B244,$B260&lt;&gt;$B245,$B261&lt;&gt;$B246,$B262&lt;&gt;$B247,$B263&lt;&gt;$B248,$B264&lt;&gt;$B249,$B265&lt;&gt;$B250,$B266&lt;&gt;$B251,$B267&lt;&gt;$B252,$B268&lt;&gt;$B253),IF($B261&lt;&gt;$B246,AI246/INDEX($C243:$AJ253,4,MATCH(IF('Data-solution'!$A$3="Maximize",MAX($C254:$AI254),MIN($C254:$AI254)),$C254:$AI254,0)),AI246-INDEX($C243:$AJ253,4,MATCH(IF('Data-solution'!$A$3="Maximize",MAX($C254:$AI254),MIN($C254:$AI254)),$C254:$AI254,0))*INDEX(AI243:$AJ253,MATCH(MIN($AK243:$AK253),$AK243:$AK253,0),1)/INDEX($C243:$AJ253,MATCH(MIN($AK243:$AK253),$AK243:$AK253,0),MATCH(IF('Data-solution'!$A$3="Maximize",MAX($C254:$AI254),MIN($C254:$AI254)),$C254:$AI254,0))),AI246)</f>
        <v>0</v>
      </c>
      <c r="AJ261" s="1">
        <f>IF(OR($B258&lt;&gt;$B243,$B259&lt;&gt;$B244,$B260&lt;&gt;$B245,$B261&lt;&gt;$B246,$B262&lt;&gt;$B247,$B263&lt;&gt;$B248,$B264&lt;&gt;$B249,$B265&lt;&gt;$B250,$B266&lt;&gt;$B251,$B267&lt;&gt;$B252,$B268&lt;&gt;$B253),IF($B261&lt;&gt;$B246,AJ246/INDEX($C243:$AJ253,4,MATCH(IF('Data-solution'!$A$3="Maximize",MAX($C254:$AI254),MIN($C254:$AI254)),$C254:$AI254,0)),AJ246-INDEX($C243:$AJ253,4,MATCH(IF('Data-solution'!$A$3="Maximize",MAX($C254:$AI254),MIN($C254:$AI254)),$C254:$AI254,0))*INDEX(AJ243:$AJ253,MATCH(MIN($AK243:$AK253),$AK243:$AK253,0),1)/INDEX($C243:$AJ253,MATCH(MIN($AK243:$AK253),$AK243:$AK253,0),MATCH(IF('Data-solution'!$A$3="Maximize",MAX($C254:$AI254),MIN($C254:$AI254)),$C254:$AI254,0))),AJ246)</f>
        <v>100.00000000000001</v>
      </c>
      <c r="AK261" s="1">
        <f>IF(INDEX(C261:X261,1,MATCH(IF('Data-solution'!A$3="Maximize",MAX(C269:X269),MIN(C269:X269)),C269:X269,0))&gt;0,AJ261/INDEX(C261:X261,1,MATCH(IF('Data-solution'!A$3="Maximize",MAX(C269:X269),MIN(C269:X269)),C269:X269,0))," ")</f>
        <v>100.00000000000001</v>
      </c>
    </row>
    <row r="262" spans="1:37" ht="18" customHeight="1" x14ac:dyDescent="0.2">
      <c r="A262" s="1">
        <f t="shared" ref="A262" si="234">INDEX(C256:AI256,1,MATCH(B262,C257:AI257,0))</f>
        <v>0</v>
      </c>
      <c r="B262" s="2" t="str">
        <f>IF(AND('Data-solution'!A$3="Maximize",COUNTIF(C254:X254,"&gt;"&amp;0)&gt;0,AK247=MIN(AK243:AK253),COUNTIF(B258:B261,INDEX(C242:X242,1,MATCH(MAX(C254:X254),C254:X254,0)))=0),INDEX(C242:X242,1,MATCH(MAX(C254:X254),C254:X254,0)),IF(AND('Data-solution'!A$3="Minimize",COUNTIF(C254:X254,"&lt;"&amp;0)&gt;0,AK247=MIN(AK243:AK253),COUNTIF(B258:B261,INDEX(C242:X242,1,MATCH(MIN(C254:X254),C254:X254,0)))=0),INDEX(C242:X242,1,MATCH(MIN(C254:X254),C254:X254,0)),B247))</f>
        <v>S5</v>
      </c>
      <c r="C262" s="1">
        <f>IF(OR($B258&lt;&gt;$B243,$B259&lt;&gt;$B244,$B260&lt;&gt;$B245,$B261&lt;&gt;$B246,$B262&lt;&gt;$B247,$B263&lt;&gt;$B248,$B264&lt;&gt;$B249,$B265&lt;&gt;$B250,$B266&lt;&gt;$B251,$B267&lt;&gt;$B252,$B268&lt;&gt;$B253),IF($B262&lt;&gt;$B247,C247/INDEX($C243:$AJ253,5,MATCH(IF('Data-solution'!$A$3="Maximize",MAX($C254:$AI254),MIN($C254:$AI254)),$C254:$AI254,0)),C247-INDEX($C243:$AJ253,5,MATCH(IF('Data-solution'!$A$3="Maximize",MAX($C254:$AI254),MIN($C254:$AI254)),$C254:$AI254,0))*INDEX(C243:$AJ253,MATCH(MIN($AK243:$AK253),$AK243:$AK253,0),1)/INDEX($C243:$AJ253,MATCH(MIN($AK243:$AK253),$AK243:$AK253,0),MATCH(IF('Data-solution'!$A$3="Maximize",MAX($C254:$AI254),MIN($C254:$AI254)),$C254:$AI254,0))),C247)</f>
        <v>0</v>
      </c>
      <c r="D262" s="1">
        <f>IF(OR($B258&lt;&gt;$B243,$B259&lt;&gt;$B244,$B260&lt;&gt;$B245,$B261&lt;&gt;$B246,$B262&lt;&gt;$B247,$B263&lt;&gt;$B248,$B264&lt;&gt;$B249,$B265&lt;&gt;$B250,$B266&lt;&gt;$B251,$B267&lt;&gt;$B252,$B268&lt;&gt;$B253),IF($B262&lt;&gt;$B247,D247/INDEX($C243:$AJ253,5,MATCH(IF('Data-solution'!$A$3="Maximize",MAX($C254:$AI254),MIN($C254:$AI254)),$C254:$AI254,0)),D247-INDEX($C243:$AJ253,5,MATCH(IF('Data-solution'!$A$3="Maximize",MAX($C254:$AI254),MIN($C254:$AI254)),$C254:$AI254,0))*INDEX(D243:$AJ253,MATCH(MIN($AK243:$AK253),$AK243:$AK253,0),1)/INDEX($C243:$AJ253,MATCH(MIN($AK243:$AK253),$AK243:$AK253,0),MATCH(IF('Data-solution'!$A$3="Maximize",MAX($C254:$AI254),MIN($C254:$AI254)),$C254:$AI254,0))),D247)</f>
        <v>0</v>
      </c>
      <c r="E262" s="1">
        <f>IF(OR($B258&lt;&gt;$B243,$B259&lt;&gt;$B244,$B260&lt;&gt;$B245,$B261&lt;&gt;$B246,$B262&lt;&gt;$B247,$B263&lt;&gt;$B248,$B264&lt;&gt;$B249,$B265&lt;&gt;$B250,$B266&lt;&gt;$B251,$B267&lt;&gt;$B252,$B268&lt;&gt;$B253),IF($B262&lt;&gt;$B247,E247/INDEX($C243:$AJ253,5,MATCH(IF('Data-solution'!$A$3="Maximize",MAX($C254:$AI254),MIN($C254:$AI254)),$C254:$AI254,0)),E247-INDEX($C243:$AJ253,5,MATCH(IF('Data-solution'!$A$3="Maximize",MAX($C254:$AI254),MIN($C254:$AI254)),$C254:$AI254,0))*INDEX(E243:$AJ253,MATCH(MIN($AK243:$AK253),$AK243:$AK253,0),1)/INDEX($C243:$AJ253,MATCH(MIN($AK243:$AK253),$AK243:$AK253,0),MATCH(IF('Data-solution'!$A$3="Maximize",MAX($C254:$AI254),MIN($C254:$AI254)),$C254:$AI254,0))),E247)</f>
        <v>0</v>
      </c>
      <c r="F262" s="1">
        <f>IF(OR($B258&lt;&gt;$B243,$B259&lt;&gt;$B244,$B260&lt;&gt;$B245,$B261&lt;&gt;$B246,$B262&lt;&gt;$B247,$B263&lt;&gt;$B248,$B264&lt;&gt;$B249,$B265&lt;&gt;$B250,$B266&lt;&gt;$B251,$B267&lt;&gt;$B252,$B268&lt;&gt;$B253),IF($B262&lt;&gt;$B247,F247/INDEX($C243:$AJ253,5,MATCH(IF('Data-solution'!$A$3="Maximize",MAX($C254:$AI254),MIN($C254:$AI254)),$C254:$AI254,0)),F247-INDEX($C243:$AJ253,5,MATCH(IF('Data-solution'!$A$3="Maximize",MAX($C254:$AI254),MIN($C254:$AI254)),$C254:$AI254,0))*INDEX(F243:$AJ253,MATCH(MIN($AK243:$AK253),$AK243:$AK253,0),1)/INDEX($C243:$AJ253,MATCH(MIN($AK243:$AK253),$AK243:$AK253,0),MATCH(IF('Data-solution'!$A$3="Maximize",MAX($C254:$AI254),MIN($C254:$AI254)),$C254:$AI254,0))),F247)</f>
        <v>0</v>
      </c>
      <c r="G262" s="1">
        <f>IF(OR($B258&lt;&gt;$B243,$B259&lt;&gt;$B244,$B260&lt;&gt;$B245,$B261&lt;&gt;$B246,$B262&lt;&gt;$B247,$B263&lt;&gt;$B248,$B264&lt;&gt;$B249,$B265&lt;&gt;$B250,$B266&lt;&gt;$B251,$B267&lt;&gt;$B252,$B268&lt;&gt;$B253),IF($B262&lt;&gt;$B247,G247/INDEX($C243:$AJ253,5,MATCH(IF('Data-solution'!$A$3="Maximize",MAX($C254:$AI254),MIN($C254:$AI254)),$C254:$AI254,0)),G247-INDEX($C243:$AJ253,5,MATCH(IF('Data-solution'!$A$3="Maximize",MAX($C254:$AI254),MIN($C254:$AI254)),$C254:$AI254,0))*INDEX(G243:$AJ253,MATCH(MIN($AK243:$AK253),$AK243:$AK253,0),1)/INDEX($C243:$AJ253,MATCH(MIN($AK243:$AK253),$AK243:$AK253,0),MATCH(IF('Data-solution'!$A$3="Maximize",MAX($C254:$AI254),MIN($C254:$AI254)),$C254:$AI254,0))),G247)</f>
        <v>0</v>
      </c>
      <c r="H262" s="1">
        <f>IF(OR($B258&lt;&gt;$B243,$B259&lt;&gt;$B244,$B260&lt;&gt;$B245,$B261&lt;&gt;$B246,$B262&lt;&gt;$B247,$B263&lt;&gt;$B248,$B264&lt;&gt;$B249,$B265&lt;&gt;$B250,$B266&lt;&gt;$B251,$B267&lt;&gt;$B252,$B268&lt;&gt;$B253),IF($B262&lt;&gt;$B247,H247/INDEX($C243:$AJ253,5,MATCH(IF('Data-solution'!$A$3="Maximize",MAX($C254:$AI254),MIN($C254:$AI254)),$C254:$AI254,0)),H247-INDEX($C243:$AJ253,5,MATCH(IF('Data-solution'!$A$3="Maximize",MAX($C254:$AI254),MIN($C254:$AI254)),$C254:$AI254,0))*INDEX(H243:$AJ253,MATCH(MIN($AK243:$AK253),$AK243:$AK253,0),1)/INDEX($C243:$AJ253,MATCH(MIN($AK243:$AK253),$AK243:$AK253,0),MATCH(IF('Data-solution'!$A$3="Maximize",MAX($C254:$AI254),MIN($C254:$AI254)),$C254:$AI254,0))),H247)</f>
        <v>0</v>
      </c>
      <c r="I262" s="1">
        <f>IF(OR($B258&lt;&gt;$B243,$B259&lt;&gt;$B244,$B260&lt;&gt;$B245,$B261&lt;&gt;$B246,$B262&lt;&gt;$B247,$B263&lt;&gt;$B248,$B264&lt;&gt;$B249,$B265&lt;&gt;$B250,$B266&lt;&gt;$B251,$B267&lt;&gt;$B252,$B268&lt;&gt;$B253),IF($B262&lt;&gt;$B247,I247/INDEX($C243:$AJ253,5,MATCH(IF('Data-solution'!$A$3="Maximize",MAX($C254:$AI254),MIN($C254:$AI254)),$C254:$AI254,0)),I247-INDEX($C243:$AJ253,5,MATCH(IF('Data-solution'!$A$3="Maximize",MAX($C254:$AI254),MIN($C254:$AI254)),$C254:$AI254,0))*INDEX(I243:$AJ253,MATCH(MIN($AK243:$AK253),$AK243:$AK253,0),1)/INDEX($C243:$AJ253,MATCH(MIN($AK243:$AK253),$AK243:$AK253,0),MATCH(IF('Data-solution'!$A$3="Maximize",MAX($C254:$AI254),MIN($C254:$AI254)),$C254:$AI254,0))),I247)</f>
        <v>0</v>
      </c>
      <c r="J262" s="1">
        <f>IF(OR($B258&lt;&gt;$B243,$B259&lt;&gt;$B244,$B260&lt;&gt;$B245,$B261&lt;&gt;$B246,$B262&lt;&gt;$B247,$B263&lt;&gt;$B248,$B264&lt;&gt;$B249,$B265&lt;&gt;$B250,$B266&lt;&gt;$B251,$B267&lt;&gt;$B252,$B268&lt;&gt;$B253),IF($B262&lt;&gt;$B247,J247/INDEX($C243:$AJ253,5,MATCH(IF('Data-solution'!$A$3="Maximize",MAX($C254:$AI254),MIN($C254:$AI254)),$C254:$AI254,0)),J247-INDEX($C243:$AJ253,5,MATCH(IF('Data-solution'!$A$3="Maximize",MAX($C254:$AI254),MIN($C254:$AI254)),$C254:$AI254,0))*INDEX(J243:$AJ253,MATCH(MIN($AK243:$AK253),$AK243:$AK253,0),1)/INDEX($C243:$AJ253,MATCH(MIN($AK243:$AK253),$AK243:$AK253,0),MATCH(IF('Data-solution'!$A$3="Maximize",MAX($C254:$AI254),MIN($C254:$AI254)),$C254:$AI254,0))),J247)</f>
        <v>0</v>
      </c>
      <c r="K262" s="1">
        <f>IF(OR($B258&lt;&gt;$B243,$B259&lt;&gt;$B244,$B260&lt;&gt;$B245,$B261&lt;&gt;$B246,$B262&lt;&gt;$B247,$B263&lt;&gt;$B248,$B264&lt;&gt;$B249,$B265&lt;&gt;$B250,$B266&lt;&gt;$B251,$B267&lt;&gt;$B252,$B268&lt;&gt;$B253),IF($B262&lt;&gt;$B247,K247/INDEX($C243:$AJ253,5,MATCH(IF('Data-solution'!$A$3="Maximize",MAX($C254:$AI254),MIN($C254:$AI254)),$C254:$AI254,0)),K247-INDEX($C243:$AJ253,5,MATCH(IF('Data-solution'!$A$3="Maximize",MAX($C254:$AI254),MIN($C254:$AI254)),$C254:$AI254,0))*INDEX(K243:$AJ253,MATCH(MIN($AK243:$AK253),$AK243:$AK253,0),1)/INDEX($C243:$AJ253,MATCH(MIN($AK243:$AK253),$AK243:$AK253,0),MATCH(IF('Data-solution'!$A$3="Maximize",MAX($C254:$AI254),MIN($C254:$AI254)),$C254:$AI254,0))),K247)</f>
        <v>0</v>
      </c>
      <c r="L262" s="1">
        <f>IF(OR($B258&lt;&gt;$B243,$B259&lt;&gt;$B244,$B260&lt;&gt;$B245,$B261&lt;&gt;$B246,$B262&lt;&gt;$B247,$B263&lt;&gt;$B248,$B264&lt;&gt;$B249,$B265&lt;&gt;$B250,$B266&lt;&gt;$B251,$B267&lt;&gt;$B252,$B268&lt;&gt;$B253),IF($B262&lt;&gt;$B247,L247/INDEX($C243:$AJ253,5,MATCH(IF('Data-solution'!$A$3="Maximize",MAX($C254:$AI254),MIN($C254:$AI254)),$C254:$AI254,0)),L247-INDEX($C243:$AJ253,5,MATCH(IF('Data-solution'!$A$3="Maximize",MAX($C254:$AI254),MIN($C254:$AI254)),$C254:$AI254,0))*INDEX(L243:$AJ253,MATCH(MIN($AK243:$AK253),$AK243:$AK253,0),1)/INDEX($C243:$AJ253,MATCH(MIN($AK243:$AK253),$AK243:$AK253,0),MATCH(IF('Data-solution'!$A$3="Maximize",MAX($C254:$AI254),MIN($C254:$AI254)),$C254:$AI254,0))),L247)</f>
        <v>0</v>
      </c>
      <c r="M262" s="1">
        <f>IF(OR($B258&lt;&gt;$B243,$B259&lt;&gt;$B244,$B260&lt;&gt;$B245,$B261&lt;&gt;$B246,$B262&lt;&gt;$B247,$B263&lt;&gt;$B248,$B264&lt;&gt;$B249,$B265&lt;&gt;$B250,$B266&lt;&gt;$B251,$B267&lt;&gt;$B252,$B268&lt;&gt;$B253),IF($B262&lt;&gt;$B247,M247/INDEX($C243:$AJ253,5,MATCH(IF('Data-solution'!$A$3="Maximize",MAX($C254:$AI254),MIN($C254:$AI254)),$C254:$AI254,0)),M247-INDEX($C243:$AJ253,5,MATCH(IF('Data-solution'!$A$3="Maximize",MAX($C254:$AI254),MIN($C254:$AI254)),$C254:$AI254,0))*INDEX(M243:$AJ253,MATCH(MIN($AK243:$AK253),$AK243:$AK253,0),1)/INDEX($C243:$AJ253,MATCH(MIN($AK243:$AK253),$AK243:$AK253,0),MATCH(IF('Data-solution'!$A$3="Maximize",MAX($C254:$AI254),MIN($C254:$AI254)),$C254:$AI254,0))),M247)</f>
        <v>0</v>
      </c>
      <c r="N262" s="1">
        <f>IF(OR($B258&lt;&gt;$B243,$B259&lt;&gt;$B244,$B260&lt;&gt;$B245,$B261&lt;&gt;$B246,$B262&lt;&gt;$B247,$B263&lt;&gt;$B248,$B264&lt;&gt;$B249,$B265&lt;&gt;$B250,$B266&lt;&gt;$B251,$B267&lt;&gt;$B252,$B268&lt;&gt;$B253),IF($B262&lt;&gt;$B247,N247/INDEX($C243:$AJ253,5,MATCH(IF('Data-solution'!$A$3="Maximize",MAX($C254:$AI254),MIN($C254:$AI254)),$C254:$AI254,0)),N247-INDEX($C243:$AJ253,5,MATCH(IF('Data-solution'!$A$3="Maximize",MAX($C254:$AI254),MIN($C254:$AI254)),$C254:$AI254,0))*INDEX(N243:$AJ253,MATCH(MIN($AK243:$AK253),$AK243:$AK253,0),1)/INDEX($C243:$AJ253,MATCH(MIN($AK243:$AK253),$AK243:$AK253,0),MATCH(IF('Data-solution'!$A$3="Maximize",MAX($C254:$AI254),MIN($C254:$AI254)),$C254:$AI254,0))),N247)</f>
        <v>0</v>
      </c>
      <c r="O262" s="1">
        <f>IF(OR($B258&lt;&gt;$B243,$B259&lt;&gt;$B244,$B260&lt;&gt;$B245,$B261&lt;&gt;$B246,$B262&lt;&gt;$B247,$B263&lt;&gt;$B248,$B264&lt;&gt;$B249,$B265&lt;&gt;$B250,$B266&lt;&gt;$B251,$B267&lt;&gt;$B252,$B268&lt;&gt;$B253),IF($B262&lt;&gt;$B247,O247/INDEX($C243:$AJ253,5,MATCH(IF('Data-solution'!$A$3="Maximize",MAX($C254:$AI254),MIN($C254:$AI254)),$C254:$AI254,0)),O247-INDEX($C243:$AJ253,5,MATCH(IF('Data-solution'!$A$3="Maximize",MAX($C254:$AI254),MIN($C254:$AI254)),$C254:$AI254,0))*INDEX(O243:$AJ253,MATCH(MIN($AK243:$AK253),$AK243:$AK253,0),1)/INDEX($C243:$AJ253,MATCH(MIN($AK243:$AK253),$AK243:$AK253,0),MATCH(IF('Data-solution'!$A$3="Maximize",MAX($C254:$AI254),MIN($C254:$AI254)),$C254:$AI254,0))),O247)</f>
        <v>0</v>
      </c>
      <c r="P262" s="1">
        <f>IF(OR($B258&lt;&gt;$B243,$B259&lt;&gt;$B244,$B260&lt;&gt;$B245,$B261&lt;&gt;$B246,$B262&lt;&gt;$B247,$B263&lt;&gt;$B248,$B264&lt;&gt;$B249,$B265&lt;&gt;$B250,$B266&lt;&gt;$B251,$B267&lt;&gt;$B252,$B268&lt;&gt;$B253),IF($B262&lt;&gt;$B247,P247/INDEX($C243:$AJ253,5,MATCH(IF('Data-solution'!$A$3="Maximize",MAX($C254:$AI254),MIN($C254:$AI254)),$C254:$AI254,0)),P247-INDEX($C243:$AJ253,5,MATCH(IF('Data-solution'!$A$3="Maximize",MAX($C254:$AI254),MIN($C254:$AI254)),$C254:$AI254,0))*INDEX(P243:$AJ253,MATCH(MIN($AK243:$AK253),$AK243:$AK253,0),1)/INDEX($C243:$AJ253,MATCH(MIN($AK243:$AK253),$AK243:$AK253,0),MATCH(IF('Data-solution'!$A$3="Maximize",MAX($C254:$AI254),MIN($C254:$AI254)),$C254:$AI254,0))),P247)</f>
        <v>0</v>
      </c>
      <c r="Q262" s="1">
        <f>IF(OR($B258&lt;&gt;$B243,$B259&lt;&gt;$B244,$B260&lt;&gt;$B245,$B261&lt;&gt;$B246,$B262&lt;&gt;$B247,$B263&lt;&gt;$B248,$B264&lt;&gt;$B249,$B265&lt;&gt;$B250,$B266&lt;&gt;$B251,$B267&lt;&gt;$B252,$B268&lt;&gt;$B253),IF($B262&lt;&gt;$B247,Q247/INDEX($C243:$AJ253,5,MATCH(IF('Data-solution'!$A$3="Maximize",MAX($C254:$AI254),MIN($C254:$AI254)),$C254:$AI254,0)),Q247-INDEX($C243:$AJ253,5,MATCH(IF('Data-solution'!$A$3="Maximize",MAX($C254:$AI254),MIN($C254:$AI254)),$C254:$AI254,0))*INDEX(Q243:$AJ253,MATCH(MIN($AK243:$AK253),$AK243:$AK253,0),1)/INDEX($C243:$AJ253,MATCH(MIN($AK243:$AK253),$AK243:$AK253,0),MATCH(IF('Data-solution'!$A$3="Maximize",MAX($C254:$AI254),MIN($C254:$AI254)),$C254:$AI254,0))),Q247)</f>
        <v>0</v>
      </c>
      <c r="R262" s="1">
        <f>IF(OR($B258&lt;&gt;$B243,$B259&lt;&gt;$B244,$B260&lt;&gt;$B245,$B261&lt;&gt;$B246,$B262&lt;&gt;$B247,$B263&lt;&gt;$B248,$B264&lt;&gt;$B249,$B265&lt;&gt;$B250,$B266&lt;&gt;$B251,$B267&lt;&gt;$B252,$B268&lt;&gt;$B253),IF($B262&lt;&gt;$B247,R247/INDEX($C243:$AJ253,5,MATCH(IF('Data-solution'!$A$3="Maximize",MAX($C254:$AI254),MIN($C254:$AI254)),$C254:$AI254,0)),R247-INDEX($C243:$AJ253,5,MATCH(IF('Data-solution'!$A$3="Maximize",MAX($C254:$AI254),MIN($C254:$AI254)),$C254:$AI254,0))*INDEX(R243:$AJ253,MATCH(MIN($AK243:$AK253),$AK243:$AK253,0),1)/INDEX($C243:$AJ253,MATCH(MIN($AK243:$AK253),$AK243:$AK253,0),MATCH(IF('Data-solution'!$A$3="Maximize",MAX($C254:$AI254),MIN($C254:$AI254)),$C254:$AI254,0))),R247)</f>
        <v>1</v>
      </c>
      <c r="S262" s="1">
        <f>IF(OR($B258&lt;&gt;$B243,$B259&lt;&gt;$B244,$B260&lt;&gt;$B245,$B261&lt;&gt;$B246,$B262&lt;&gt;$B247,$B263&lt;&gt;$B248,$B264&lt;&gt;$B249,$B265&lt;&gt;$B250,$B266&lt;&gt;$B251,$B267&lt;&gt;$B252,$B268&lt;&gt;$B253),IF($B262&lt;&gt;$B247,S247/INDEX($C243:$AJ253,5,MATCH(IF('Data-solution'!$A$3="Maximize",MAX($C254:$AI254),MIN($C254:$AI254)),$C254:$AI254,0)),S247-INDEX($C243:$AJ253,5,MATCH(IF('Data-solution'!$A$3="Maximize",MAX($C254:$AI254),MIN($C254:$AI254)),$C254:$AI254,0))*INDEX(S243:$AJ253,MATCH(MIN($AK243:$AK253),$AK243:$AK253,0),1)/INDEX($C243:$AJ253,MATCH(MIN($AK243:$AK253),$AK243:$AK253,0),MATCH(IF('Data-solution'!$A$3="Maximize",MAX($C254:$AI254),MIN($C254:$AI254)),$C254:$AI254,0))),S247)</f>
        <v>0</v>
      </c>
      <c r="T262" s="1">
        <f>IF(OR($B258&lt;&gt;$B243,$B259&lt;&gt;$B244,$B260&lt;&gt;$B245,$B261&lt;&gt;$B246,$B262&lt;&gt;$B247,$B263&lt;&gt;$B248,$B264&lt;&gt;$B249,$B265&lt;&gt;$B250,$B266&lt;&gt;$B251,$B267&lt;&gt;$B252,$B268&lt;&gt;$B253),IF($B262&lt;&gt;$B247,T247/INDEX($C243:$AJ253,5,MATCH(IF('Data-solution'!$A$3="Maximize",MAX($C254:$AI254),MIN($C254:$AI254)),$C254:$AI254,0)),T247-INDEX($C243:$AJ253,5,MATCH(IF('Data-solution'!$A$3="Maximize",MAX($C254:$AI254),MIN($C254:$AI254)),$C254:$AI254,0))*INDEX(T243:$AJ253,MATCH(MIN($AK243:$AK253),$AK243:$AK253,0),1)/INDEX($C243:$AJ253,MATCH(MIN($AK243:$AK253),$AK243:$AK253,0),MATCH(IF('Data-solution'!$A$3="Maximize",MAX($C254:$AI254),MIN($C254:$AI254)),$C254:$AI254,0))),T247)</f>
        <v>0</v>
      </c>
      <c r="U262" s="1">
        <f>IF(OR($B258&lt;&gt;$B243,$B259&lt;&gt;$B244,$B260&lt;&gt;$B245,$B261&lt;&gt;$B246,$B262&lt;&gt;$B247,$B263&lt;&gt;$B248,$B264&lt;&gt;$B249,$B265&lt;&gt;$B250,$B266&lt;&gt;$B251,$B267&lt;&gt;$B252,$B268&lt;&gt;$B253),IF($B262&lt;&gt;$B247,U247/INDEX($C243:$AJ253,5,MATCH(IF('Data-solution'!$A$3="Maximize",MAX($C254:$AI254),MIN($C254:$AI254)),$C254:$AI254,0)),U247-INDEX($C243:$AJ253,5,MATCH(IF('Data-solution'!$A$3="Maximize",MAX($C254:$AI254),MIN($C254:$AI254)),$C254:$AI254,0))*INDEX(U243:$AJ253,MATCH(MIN($AK243:$AK253),$AK243:$AK253,0),1)/INDEX($C243:$AJ253,MATCH(MIN($AK243:$AK253),$AK243:$AK253,0),MATCH(IF('Data-solution'!$A$3="Maximize",MAX($C254:$AI254),MIN($C254:$AI254)),$C254:$AI254,0))),U247)</f>
        <v>0</v>
      </c>
      <c r="V262" s="1">
        <f>IF(OR($B258&lt;&gt;$B243,$B259&lt;&gt;$B244,$B260&lt;&gt;$B245,$B261&lt;&gt;$B246,$B262&lt;&gt;$B247,$B263&lt;&gt;$B248,$B264&lt;&gt;$B249,$B265&lt;&gt;$B250,$B266&lt;&gt;$B251,$B267&lt;&gt;$B252,$B268&lt;&gt;$B253),IF($B262&lt;&gt;$B247,V247/INDEX($C243:$AJ253,5,MATCH(IF('Data-solution'!$A$3="Maximize",MAX($C254:$AI254),MIN($C254:$AI254)),$C254:$AI254,0)),V247-INDEX($C243:$AJ253,5,MATCH(IF('Data-solution'!$A$3="Maximize",MAX($C254:$AI254),MIN($C254:$AI254)),$C254:$AI254,0))*INDEX(V243:$AJ253,MATCH(MIN($AK243:$AK253),$AK243:$AK253,0),1)/INDEX($C243:$AJ253,MATCH(MIN($AK243:$AK253),$AK243:$AK253,0),MATCH(IF('Data-solution'!$A$3="Maximize",MAX($C254:$AI254),MIN($C254:$AI254)),$C254:$AI254,0))),V247)</f>
        <v>0</v>
      </c>
      <c r="W262" s="1">
        <f>IF(OR($B258&lt;&gt;$B243,$B259&lt;&gt;$B244,$B260&lt;&gt;$B245,$B261&lt;&gt;$B246,$B262&lt;&gt;$B247,$B263&lt;&gt;$B248,$B264&lt;&gt;$B249,$B265&lt;&gt;$B250,$B266&lt;&gt;$B251,$B267&lt;&gt;$B252,$B268&lt;&gt;$B253),IF($B262&lt;&gt;$B247,W247/INDEX($C243:$AJ253,5,MATCH(IF('Data-solution'!$A$3="Maximize",MAX($C254:$AI254),MIN($C254:$AI254)),$C254:$AI254,0)),W247-INDEX($C243:$AJ253,5,MATCH(IF('Data-solution'!$A$3="Maximize",MAX($C254:$AI254),MIN($C254:$AI254)),$C254:$AI254,0))*INDEX(W243:$AJ253,MATCH(MIN($AK243:$AK253),$AK243:$AK253,0),1)/INDEX($C243:$AJ253,MATCH(MIN($AK243:$AK253),$AK243:$AK253,0),MATCH(IF('Data-solution'!$A$3="Maximize",MAX($C254:$AI254),MIN($C254:$AI254)),$C254:$AI254,0))),W247)</f>
        <v>0</v>
      </c>
      <c r="X262" s="1">
        <f>IF(OR($B258&lt;&gt;$B243,$B259&lt;&gt;$B244,$B260&lt;&gt;$B245,$B261&lt;&gt;$B246,$B262&lt;&gt;$B247,$B263&lt;&gt;$B248,$B264&lt;&gt;$B249,$B265&lt;&gt;$B250,$B266&lt;&gt;$B251,$B267&lt;&gt;$B252,$B268&lt;&gt;$B253),IF($B262&lt;&gt;$B247,X247/INDEX($C243:$AJ253,5,MATCH(IF('Data-solution'!$A$3="Maximize",MAX($C254:$AI254),MIN($C254:$AI254)),$C254:$AI254,0)),X247-INDEX($C243:$AJ253,5,MATCH(IF('Data-solution'!$A$3="Maximize",MAX($C254:$AI254),MIN($C254:$AI254)),$C254:$AI254,0))*INDEX(X243:$AJ253,MATCH(MIN($AK243:$AK253),$AK243:$AK253,0),1)/INDEX($C243:$AJ253,MATCH(MIN($AK243:$AK253),$AK243:$AK253,0),MATCH(IF('Data-solution'!$A$3="Maximize",MAX($C254:$AI254),MIN($C254:$AI254)),$C254:$AI254,0))),X247)</f>
        <v>0</v>
      </c>
      <c r="Y262" s="1">
        <f>IF(OR($B258&lt;&gt;$B243,$B259&lt;&gt;$B244,$B260&lt;&gt;$B245,$B261&lt;&gt;$B246,$B262&lt;&gt;$B247,$B263&lt;&gt;$B248,$B264&lt;&gt;$B249,$B265&lt;&gt;$B250,$B266&lt;&gt;$B251,$B267&lt;&gt;$B252,$B268&lt;&gt;$B253),IF($B262&lt;&gt;$B247,Y247/INDEX($C243:$AJ253,5,MATCH(IF('Data-solution'!$A$3="Maximize",MAX($C254:$AI254),MIN($C254:$AI254)),$C254:$AI254,0)),Y247-INDEX($C243:$AJ253,5,MATCH(IF('Data-solution'!$A$3="Maximize",MAX($C254:$AI254),MIN($C254:$AI254)),$C254:$AI254,0))*INDEX(Y243:$AJ253,MATCH(MIN($AK243:$AK253),$AK243:$AK253,0),1)/INDEX($C243:$AJ253,MATCH(MIN($AK243:$AK253),$AK243:$AK253,0),MATCH(IF('Data-solution'!$A$3="Maximize",MAX($C254:$AI254),MIN($C254:$AI254)),$C254:$AI254,0))),Y247)</f>
        <v>0</v>
      </c>
      <c r="Z262" s="1">
        <f>IF(OR($B258&lt;&gt;$B243,$B259&lt;&gt;$B244,$B260&lt;&gt;$B245,$B261&lt;&gt;$B246,$B262&lt;&gt;$B247,$B263&lt;&gt;$B248,$B264&lt;&gt;$B249,$B265&lt;&gt;$B250,$B266&lt;&gt;$B251,$B267&lt;&gt;$B252,$B268&lt;&gt;$B253),IF($B262&lt;&gt;$B247,Z247/INDEX($C243:$AJ253,5,MATCH(IF('Data-solution'!$A$3="Maximize",MAX($C254:$AI254),MIN($C254:$AI254)),$C254:$AI254,0)),Z247-INDEX($C243:$AJ253,5,MATCH(IF('Data-solution'!$A$3="Maximize",MAX($C254:$AI254),MIN($C254:$AI254)),$C254:$AI254,0))*INDEX(Z243:$AJ253,MATCH(MIN($AK243:$AK253),$AK243:$AK253,0),1)/INDEX($C243:$AJ253,MATCH(MIN($AK243:$AK253),$AK243:$AK253,0),MATCH(IF('Data-solution'!$A$3="Maximize",MAX($C254:$AI254),MIN($C254:$AI254)),$C254:$AI254,0))),Z247)</f>
        <v>0</v>
      </c>
      <c r="AA262" s="1">
        <f>IF(OR($B258&lt;&gt;$B243,$B259&lt;&gt;$B244,$B260&lt;&gt;$B245,$B261&lt;&gt;$B246,$B262&lt;&gt;$B247,$B263&lt;&gt;$B248,$B264&lt;&gt;$B249,$B265&lt;&gt;$B250,$B266&lt;&gt;$B251,$B267&lt;&gt;$B252,$B268&lt;&gt;$B253),IF($B262&lt;&gt;$B247,AA247/INDEX($C243:$AJ253,5,MATCH(IF('Data-solution'!$A$3="Maximize",MAX($C254:$AI254),MIN($C254:$AI254)),$C254:$AI254,0)),AA247-INDEX($C243:$AJ253,5,MATCH(IF('Data-solution'!$A$3="Maximize",MAX($C254:$AI254),MIN($C254:$AI254)),$C254:$AI254,0))*INDEX(AA243:$AJ253,MATCH(MIN($AK243:$AK253),$AK243:$AK253,0),1)/INDEX($C243:$AJ253,MATCH(MIN($AK243:$AK253),$AK243:$AK253,0),MATCH(IF('Data-solution'!$A$3="Maximize",MAX($C254:$AI254),MIN($C254:$AI254)),$C254:$AI254,0))),AA247)</f>
        <v>0</v>
      </c>
      <c r="AB262" s="1">
        <f>IF(OR($B258&lt;&gt;$B243,$B259&lt;&gt;$B244,$B260&lt;&gt;$B245,$B261&lt;&gt;$B246,$B262&lt;&gt;$B247,$B263&lt;&gt;$B248,$B264&lt;&gt;$B249,$B265&lt;&gt;$B250,$B266&lt;&gt;$B251,$B267&lt;&gt;$B252,$B268&lt;&gt;$B253),IF($B262&lt;&gt;$B247,AB247/INDEX($C243:$AJ253,5,MATCH(IF('Data-solution'!$A$3="Maximize",MAX($C254:$AI254),MIN($C254:$AI254)),$C254:$AI254,0)),AB247-INDEX($C243:$AJ253,5,MATCH(IF('Data-solution'!$A$3="Maximize",MAX($C254:$AI254),MIN($C254:$AI254)),$C254:$AI254,0))*INDEX(AB243:$AJ253,MATCH(MIN($AK243:$AK253),$AK243:$AK253,0),1)/INDEX($C243:$AJ253,MATCH(MIN($AK243:$AK253),$AK243:$AK253,0),MATCH(IF('Data-solution'!$A$3="Maximize",MAX($C254:$AI254),MIN($C254:$AI254)),$C254:$AI254,0))),AB247)</f>
        <v>0</v>
      </c>
      <c r="AC262" s="1">
        <f>IF(OR($B258&lt;&gt;$B243,$B259&lt;&gt;$B244,$B260&lt;&gt;$B245,$B261&lt;&gt;$B246,$B262&lt;&gt;$B247,$B263&lt;&gt;$B248,$B264&lt;&gt;$B249,$B265&lt;&gt;$B250,$B266&lt;&gt;$B251,$B267&lt;&gt;$B252,$B268&lt;&gt;$B253),IF($B262&lt;&gt;$B247,AC247/INDEX($C243:$AJ253,5,MATCH(IF('Data-solution'!$A$3="Maximize",MAX($C254:$AI254),MIN($C254:$AI254)),$C254:$AI254,0)),AC247-INDEX($C243:$AJ253,5,MATCH(IF('Data-solution'!$A$3="Maximize",MAX($C254:$AI254),MIN($C254:$AI254)),$C254:$AI254,0))*INDEX(AC243:$AJ253,MATCH(MIN($AK243:$AK253),$AK243:$AK253,0),1)/INDEX($C243:$AJ253,MATCH(MIN($AK243:$AK253),$AK243:$AK253,0),MATCH(IF('Data-solution'!$A$3="Maximize",MAX($C254:$AI254),MIN($C254:$AI254)),$C254:$AI254,0))),AC247)</f>
        <v>1</v>
      </c>
      <c r="AD262" s="1">
        <f>IF(OR($B258&lt;&gt;$B243,$B259&lt;&gt;$B244,$B260&lt;&gt;$B245,$B261&lt;&gt;$B246,$B262&lt;&gt;$B247,$B263&lt;&gt;$B248,$B264&lt;&gt;$B249,$B265&lt;&gt;$B250,$B266&lt;&gt;$B251,$B267&lt;&gt;$B252,$B268&lt;&gt;$B253),IF($B262&lt;&gt;$B247,AD247/INDEX($C243:$AJ253,5,MATCH(IF('Data-solution'!$A$3="Maximize",MAX($C254:$AI254),MIN($C254:$AI254)),$C254:$AI254,0)),AD247-INDEX($C243:$AJ253,5,MATCH(IF('Data-solution'!$A$3="Maximize",MAX($C254:$AI254),MIN($C254:$AI254)),$C254:$AI254,0))*INDEX(AD243:$AJ253,MATCH(MIN($AK243:$AK253),$AK243:$AK253,0),1)/INDEX($C243:$AJ253,MATCH(MIN($AK243:$AK253),$AK243:$AK253,0),MATCH(IF('Data-solution'!$A$3="Maximize",MAX($C254:$AI254),MIN($C254:$AI254)),$C254:$AI254,0))),AD247)</f>
        <v>0</v>
      </c>
      <c r="AE262" s="1">
        <f>IF(OR($B258&lt;&gt;$B243,$B259&lt;&gt;$B244,$B260&lt;&gt;$B245,$B261&lt;&gt;$B246,$B262&lt;&gt;$B247,$B263&lt;&gt;$B248,$B264&lt;&gt;$B249,$B265&lt;&gt;$B250,$B266&lt;&gt;$B251,$B267&lt;&gt;$B252,$B268&lt;&gt;$B253),IF($B262&lt;&gt;$B247,AE247/INDEX($C243:$AJ253,5,MATCH(IF('Data-solution'!$A$3="Maximize",MAX($C254:$AI254),MIN($C254:$AI254)),$C254:$AI254,0)),AE247-INDEX($C243:$AJ253,5,MATCH(IF('Data-solution'!$A$3="Maximize",MAX($C254:$AI254),MIN($C254:$AI254)),$C254:$AI254,0))*INDEX(AE243:$AJ253,MATCH(MIN($AK243:$AK253),$AK243:$AK253,0),1)/INDEX($C243:$AJ253,MATCH(MIN($AK243:$AK253),$AK243:$AK253,0),MATCH(IF('Data-solution'!$A$3="Maximize",MAX($C254:$AI254),MIN($C254:$AI254)),$C254:$AI254,0))),AE247)</f>
        <v>0</v>
      </c>
      <c r="AF262" s="1">
        <f>IF(OR($B258&lt;&gt;$B243,$B259&lt;&gt;$B244,$B260&lt;&gt;$B245,$B261&lt;&gt;$B246,$B262&lt;&gt;$B247,$B263&lt;&gt;$B248,$B264&lt;&gt;$B249,$B265&lt;&gt;$B250,$B266&lt;&gt;$B251,$B267&lt;&gt;$B252,$B268&lt;&gt;$B253),IF($B262&lt;&gt;$B247,AF247/INDEX($C243:$AJ253,5,MATCH(IF('Data-solution'!$A$3="Maximize",MAX($C254:$AI254),MIN($C254:$AI254)),$C254:$AI254,0)),AF247-INDEX($C243:$AJ253,5,MATCH(IF('Data-solution'!$A$3="Maximize",MAX($C254:$AI254),MIN($C254:$AI254)),$C254:$AI254,0))*INDEX(AF243:$AJ253,MATCH(MIN($AK243:$AK253),$AK243:$AK253,0),1)/INDEX($C243:$AJ253,MATCH(MIN($AK243:$AK253),$AK243:$AK253,0),MATCH(IF('Data-solution'!$A$3="Maximize",MAX($C254:$AI254),MIN($C254:$AI254)),$C254:$AI254,0))),AF247)</f>
        <v>0</v>
      </c>
      <c r="AG262" s="1">
        <f>IF(OR($B258&lt;&gt;$B243,$B259&lt;&gt;$B244,$B260&lt;&gt;$B245,$B261&lt;&gt;$B246,$B262&lt;&gt;$B247,$B263&lt;&gt;$B248,$B264&lt;&gt;$B249,$B265&lt;&gt;$B250,$B266&lt;&gt;$B251,$B267&lt;&gt;$B252,$B268&lt;&gt;$B253),IF($B262&lt;&gt;$B247,AG247/INDEX($C243:$AJ253,5,MATCH(IF('Data-solution'!$A$3="Maximize",MAX($C254:$AI254),MIN($C254:$AI254)),$C254:$AI254,0)),AG247-INDEX($C243:$AJ253,5,MATCH(IF('Data-solution'!$A$3="Maximize",MAX($C254:$AI254),MIN($C254:$AI254)),$C254:$AI254,0))*INDEX(AG243:$AJ253,MATCH(MIN($AK243:$AK253),$AK243:$AK253,0),1)/INDEX($C243:$AJ253,MATCH(MIN($AK243:$AK253),$AK243:$AK253,0),MATCH(IF('Data-solution'!$A$3="Maximize",MAX($C254:$AI254),MIN($C254:$AI254)),$C254:$AI254,0))),AG247)</f>
        <v>0</v>
      </c>
      <c r="AH262" s="1">
        <f>IF(OR($B258&lt;&gt;$B243,$B259&lt;&gt;$B244,$B260&lt;&gt;$B245,$B261&lt;&gt;$B246,$B262&lt;&gt;$B247,$B263&lt;&gt;$B248,$B264&lt;&gt;$B249,$B265&lt;&gt;$B250,$B266&lt;&gt;$B251,$B267&lt;&gt;$B252,$B268&lt;&gt;$B253),IF($B262&lt;&gt;$B247,AH247/INDEX($C243:$AJ253,5,MATCH(IF('Data-solution'!$A$3="Maximize",MAX($C254:$AI254),MIN($C254:$AI254)),$C254:$AI254,0)),AH247-INDEX($C243:$AJ253,5,MATCH(IF('Data-solution'!$A$3="Maximize",MAX($C254:$AI254),MIN($C254:$AI254)),$C254:$AI254,0))*INDEX(AH243:$AJ253,MATCH(MIN($AK243:$AK253),$AK243:$AK253,0),1)/INDEX($C243:$AJ253,MATCH(MIN($AK243:$AK253),$AK243:$AK253,0),MATCH(IF('Data-solution'!$A$3="Maximize",MAX($C254:$AI254),MIN($C254:$AI254)),$C254:$AI254,0))),AH247)</f>
        <v>0</v>
      </c>
      <c r="AI262" s="1">
        <f>IF(OR($B258&lt;&gt;$B243,$B259&lt;&gt;$B244,$B260&lt;&gt;$B245,$B261&lt;&gt;$B246,$B262&lt;&gt;$B247,$B263&lt;&gt;$B248,$B264&lt;&gt;$B249,$B265&lt;&gt;$B250,$B266&lt;&gt;$B251,$B267&lt;&gt;$B252,$B268&lt;&gt;$B253),IF($B262&lt;&gt;$B247,AI247/INDEX($C243:$AJ253,5,MATCH(IF('Data-solution'!$A$3="Maximize",MAX($C254:$AI254),MIN($C254:$AI254)),$C254:$AI254,0)),AI247-INDEX($C243:$AJ253,5,MATCH(IF('Data-solution'!$A$3="Maximize",MAX($C254:$AI254),MIN($C254:$AI254)),$C254:$AI254,0))*INDEX(AI243:$AJ253,MATCH(MIN($AK243:$AK253),$AK243:$AK253,0),1)/INDEX($C243:$AJ253,MATCH(MIN($AK243:$AK253),$AK243:$AK253,0),MATCH(IF('Data-solution'!$A$3="Maximize",MAX($C254:$AI254),MIN($C254:$AI254)),$C254:$AI254,0))),AI247)</f>
        <v>0</v>
      </c>
      <c r="AJ262" s="1">
        <f>IF(OR($B258&lt;&gt;$B243,$B259&lt;&gt;$B244,$B260&lt;&gt;$B245,$B261&lt;&gt;$B246,$B262&lt;&gt;$B247,$B263&lt;&gt;$B248,$B264&lt;&gt;$B249,$B265&lt;&gt;$B250,$B266&lt;&gt;$B251,$B267&lt;&gt;$B252,$B268&lt;&gt;$B253),IF($B262&lt;&gt;$B247,AJ247/INDEX($C243:$AJ253,5,MATCH(IF('Data-solution'!$A$3="Maximize",MAX($C254:$AI254),MIN($C254:$AI254)),$C254:$AI254,0)),AJ247-INDEX($C243:$AJ253,5,MATCH(IF('Data-solution'!$A$3="Maximize",MAX($C254:$AI254),MIN($C254:$AI254)),$C254:$AI254,0))*INDEX(AJ243:$AJ253,MATCH(MIN($AK243:$AK253),$AK243:$AK253,0),1)/INDEX($C243:$AJ253,MATCH(MIN($AK243:$AK253),$AK243:$AK253,0),MATCH(IF('Data-solution'!$A$3="Maximize",MAX($C254:$AI254),MIN($C254:$AI254)),$C254:$AI254,0))),AJ247)</f>
        <v>0</v>
      </c>
      <c r="AK262" s="1" t="str">
        <f>IF(INDEX(C262:X262,1,MATCH(IF('Data-solution'!A$3="Maximize",MAX(C269:X269),MIN(C269:X269)),C269:X269,0))&gt;0,AJ262/INDEX(C262:X262,1,MATCH(IF('Data-solution'!A$3="Maximize",MAX(C269:X269),MIN(C269:X269)),C269:X269,0))," ")</f>
        <v xml:space="preserve"> </v>
      </c>
    </row>
    <row r="263" spans="1:37" ht="18" customHeight="1" x14ac:dyDescent="0.2">
      <c r="A263" s="1">
        <f t="shared" ref="A263" si="235">INDEX(C256:AI256,1,MATCH(B263,C257:AI257,0))</f>
        <v>0</v>
      </c>
      <c r="B263" s="2" t="str">
        <f>IF(AND('Data-solution'!A$3="Maximize",COUNTIF(C254:X254,"&gt;"&amp;0)&gt;0,AK248=MIN(AK243:AK253),COUNTIF(B258:B262,INDEX(C242:X242,1,MATCH(MAX(C254:X254),C254:X254,0)))=0),INDEX(C242:X242,1,MATCH(MAX(C254:X254),C254:X254,0)),IF(AND('Data-solution'!A$3="Minimize",COUNTIF(C254:X254,"&lt;"&amp;0)&gt;0,AK248=MIN(AK243:AK253),COUNTIF(B258:B262,INDEX(C242:X242,1,MATCH(MIN(C254:X254),C254:X254,0)))=0),INDEX(C242:X242,1,MATCH(MIN(C254:X254),C254:X254,0)),B248))</f>
        <v>S6</v>
      </c>
      <c r="C263" s="1">
        <f>IF(OR($B258&lt;&gt;$B243,$B259&lt;&gt;$B244,$B260&lt;&gt;$B245,$B261&lt;&gt;$B246,$B262&lt;&gt;$B247,$B263&lt;&gt;$B248,$B264&lt;&gt;$B249,$B265&lt;&gt;$B250,$B266&lt;&gt;$B251,$B267&lt;&gt;$B252,$B268&lt;&gt;$B253),IF($B263&lt;&gt;$B248,C248/INDEX($C243:$AJ253,6,MATCH(IF('Data-solution'!$A$3="Maximize",MAX($C254:$AI254),MIN($C254:$AI254)),$C254:$AI254,0)),C248-INDEX($C243:$AJ253,6,MATCH(IF('Data-solution'!$A$3="Maximize",MAX($C254:$AI254),MIN($C254:$AI254)),$C254:$AI254,0))*INDEX(C243:$AJ253,MATCH(MIN($AK243:$AK253),$AK243:$AK253,0),1)/INDEX($C243:$AJ253,MATCH(MIN($AK243:$AK253),$AK243:$AK253,0),MATCH(IF('Data-solution'!$A$3="Maximize",MAX($C254:$AI254),MIN($C254:$AI254)),$C254:$AI254,0))),C248)</f>
        <v>0</v>
      </c>
      <c r="D263" s="1">
        <f>IF(OR($B258&lt;&gt;$B243,$B259&lt;&gt;$B244,$B260&lt;&gt;$B245,$B261&lt;&gt;$B246,$B262&lt;&gt;$B247,$B263&lt;&gt;$B248,$B264&lt;&gt;$B249,$B265&lt;&gt;$B250,$B266&lt;&gt;$B251,$B267&lt;&gt;$B252,$B268&lt;&gt;$B253),IF($B263&lt;&gt;$B248,D248/INDEX($C243:$AJ253,6,MATCH(IF('Data-solution'!$A$3="Maximize",MAX($C254:$AI254),MIN($C254:$AI254)),$C254:$AI254,0)),D248-INDEX($C243:$AJ253,6,MATCH(IF('Data-solution'!$A$3="Maximize",MAX($C254:$AI254),MIN($C254:$AI254)),$C254:$AI254,0))*INDEX(D243:$AJ253,MATCH(MIN($AK243:$AK253),$AK243:$AK253,0),1)/INDEX($C243:$AJ253,MATCH(MIN($AK243:$AK253),$AK243:$AK253,0),MATCH(IF('Data-solution'!$A$3="Maximize",MAX($C254:$AI254),MIN($C254:$AI254)),$C254:$AI254,0))),D248)</f>
        <v>0</v>
      </c>
      <c r="E263" s="1">
        <f>IF(OR($B258&lt;&gt;$B243,$B259&lt;&gt;$B244,$B260&lt;&gt;$B245,$B261&lt;&gt;$B246,$B262&lt;&gt;$B247,$B263&lt;&gt;$B248,$B264&lt;&gt;$B249,$B265&lt;&gt;$B250,$B266&lt;&gt;$B251,$B267&lt;&gt;$B252,$B268&lt;&gt;$B253),IF($B263&lt;&gt;$B248,E248/INDEX($C243:$AJ253,6,MATCH(IF('Data-solution'!$A$3="Maximize",MAX($C254:$AI254),MIN($C254:$AI254)),$C254:$AI254,0)),E248-INDEX($C243:$AJ253,6,MATCH(IF('Data-solution'!$A$3="Maximize",MAX($C254:$AI254),MIN($C254:$AI254)),$C254:$AI254,0))*INDEX(E243:$AJ253,MATCH(MIN($AK243:$AK253),$AK243:$AK253,0),1)/INDEX($C243:$AJ253,MATCH(MIN($AK243:$AK253),$AK243:$AK253,0),MATCH(IF('Data-solution'!$A$3="Maximize",MAX($C254:$AI254),MIN($C254:$AI254)),$C254:$AI254,0))),E248)</f>
        <v>0</v>
      </c>
      <c r="F263" s="1">
        <f>IF(OR($B258&lt;&gt;$B243,$B259&lt;&gt;$B244,$B260&lt;&gt;$B245,$B261&lt;&gt;$B246,$B262&lt;&gt;$B247,$B263&lt;&gt;$B248,$B264&lt;&gt;$B249,$B265&lt;&gt;$B250,$B266&lt;&gt;$B251,$B267&lt;&gt;$B252,$B268&lt;&gt;$B253),IF($B263&lt;&gt;$B248,F248/INDEX($C243:$AJ253,6,MATCH(IF('Data-solution'!$A$3="Maximize",MAX($C254:$AI254),MIN($C254:$AI254)),$C254:$AI254,0)),F248-INDEX($C243:$AJ253,6,MATCH(IF('Data-solution'!$A$3="Maximize",MAX($C254:$AI254),MIN($C254:$AI254)),$C254:$AI254,0))*INDEX(F243:$AJ253,MATCH(MIN($AK243:$AK253),$AK243:$AK253,0),1)/INDEX($C243:$AJ253,MATCH(MIN($AK243:$AK253),$AK243:$AK253,0),MATCH(IF('Data-solution'!$A$3="Maximize",MAX($C254:$AI254),MIN($C254:$AI254)),$C254:$AI254,0))),F248)</f>
        <v>0</v>
      </c>
      <c r="G263" s="1">
        <f>IF(OR($B258&lt;&gt;$B243,$B259&lt;&gt;$B244,$B260&lt;&gt;$B245,$B261&lt;&gt;$B246,$B262&lt;&gt;$B247,$B263&lt;&gt;$B248,$B264&lt;&gt;$B249,$B265&lt;&gt;$B250,$B266&lt;&gt;$B251,$B267&lt;&gt;$B252,$B268&lt;&gt;$B253),IF($B263&lt;&gt;$B248,G248/INDEX($C243:$AJ253,6,MATCH(IF('Data-solution'!$A$3="Maximize",MAX($C254:$AI254),MIN($C254:$AI254)),$C254:$AI254,0)),G248-INDEX($C243:$AJ253,6,MATCH(IF('Data-solution'!$A$3="Maximize",MAX($C254:$AI254),MIN($C254:$AI254)),$C254:$AI254,0))*INDEX(G243:$AJ253,MATCH(MIN($AK243:$AK253),$AK243:$AK253,0),1)/INDEX($C243:$AJ253,MATCH(MIN($AK243:$AK253),$AK243:$AK253,0),MATCH(IF('Data-solution'!$A$3="Maximize",MAX($C254:$AI254),MIN($C254:$AI254)),$C254:$AI254,0))),G248)</f>
        <v>0</v>
      </c>
      <c r="H263" s="1">
        <f>IF(OR($B258&lt;&gt;$B243,$B259&lt;&gt;$B244,$B260&lt;&gt;$B245,$B261&lt;&gt;$B246,$B262&lt;&gt;$B247,$B263&lt;&gt;$B248,$B264&lt;&gt;$B249,$B265&lt;&gt;$B250,$B266&lt;&gt;$B251,$B267&lt;&gt;$B252,$B268&lt;&gt;$B253),IF($B263&lt;&gt;$B248,H248/INDEX($C243:$AJ253,6,MATCH(IF('Data-solution'!$A$3="Maximize",MAX($C254:$AI254),MIN($C254:$AI254)),$C254:$AI254,0)),H248-INDEX($C243:$AJ253,6,MATCH(IF('Data-solution'!$A$3="Maximize",MAX($C254:$AI254),MIN($C254:$AI254)),$C254:$AI254,0))*INDEX(H243:$AJ253,MATCH(MIN($AK243:$AK253),$AK243:$AK253,0),1)/INDEX($C243:$AJ253,MATCH(MIN($AK243:$AK253),$AK243:$AK253,0),MATCH(IF('Data-solution'!$A$3="Maximize",MAX($C254:$AI254),MIN($C254:$AI254)),$C254:$AI254,0))),H248)</f>
        <v>0</v>
      </c>
      <c r="I263" s="1">
        <f>IF(OR($B258&lt;&gt;$B243,$B259&lt;&gt;$B244,$B260&lt;&gt;$B245,$B261&lt;&gt;$B246,$B262&lt;&gt;$B247,$B263&lt;&gt;$B248,$B264&lt;&gt;$B249,$B265&lt;&gt;$B250,$B266&lt;&gt;$B251,$B267&lt;&gt;$B252,$B268&lt;&gt;$B253),IF($B263&lt;&gt;$B248,I248/INDEX($C243:$AJ253,6,MATCH(IF('Data-solution'!$A$3="Maximize",MAX($C254:$AI254),MIN($C254:$AI254)),$C254:$AI254,0)),I248-INDEX($C243:$AJ253,6,MATCH(IF('Data-solution'!$A$3="Maximize",MAX($C254:$AI254),MIN($C254:$AI254)),$C254:$AI254,0))*INDEX(I243:$AJ253,MATCH(MIN($AK243:$AK253),$AK243:$AK253,0),1)/INDEX($C243:$AJ253,MATCH(MIN($AK243:$AK253),$AK243:$AK253,0),MATCH(IF('Data-solution'!$A$3="Maximize",MAX($C254:$AI254),MIN($C254:$AI254)),$C254:$AI254,0))),I248)</f>
        <v>0</v>
      </c>
      <c r="J263" s="1">
        <f>IF(OR($B258&lt;&gt;$B243,$B259&lt;&gt;$B244,$B260&lt;&gt;$B245,$B261&lt;&gt;$B246,$B262&lt;&gt;$B247,$B263&lt;&gt;$B248,$B264&lt;&gt;$B249,$B265&lt;&gt;$B250,$B266&lt;&gt;$B251,$B267&lt;&gt;$B252,$B268&lt;&gt;$B253),IF($B263&lt;&gt;$B248,J248/INDEX($C243:$AJ253,6,MATCH(IF('Data-solution'!$A$3="Maximize",MAX($C254:$AI254),MIN($C254:$AI254)),$C254:$AI254,0)),J248-INDEX($C243:$AJ253,6,MATCH(IF('Data-solution'!$A$3="Maximize",MAX($C254:$AI254),MIN($C254:$AI254)),$C254:$AI254,0))*INDEX(J243:$AJ253,MATCH(MIN($AK243:$AK253),$AK243:$AK253,0),1)/INDEX($C243:$AJ253,MATCH(MIN($AK243:$AK253),$AK243:$AK253,0),MATCH(IF('Data-solution'!$A$3="Maximize",MAX($C254:$AI254),MIN($C254:$AI254)),$C254:$AI254,0))),J248)</f>
        <v>0</v>
      </c>
      <c r="K263" s="1">
        <f>IF(OR($B258&lt;&gt;$B243,$B259&lt;&gt;$B244,$B260&lt;&gt;$B245,$B261&lt;&gt;$B246,$B262&lt;&gt;$B247,$B263&lt;&gt;$B248,$B264&lt;&gt;$B249,$B265&lt;&gt;$B250,$B266&lt;&gt;$B251,$B267&lt;&gt;$B252,$B268&lt;&gt;$B253),IF($B263&lt;&gt;$B248,K248/INDEX($C243:$AJ253,6,MATCH(IF('Data-solution'!$A$3="Maximize",MAX($C254:$AI254),MIN($C254:$AI254)),$C254:$AI254,0)),K248-INDEX($C243:$AJ253,6,MATCH(IF('Data-solution'!$A$3="Maximize",MAX($C254:$AI254),MIN($C254:$AI254)),$C254:$AI254,0))*INDEX(K243:$AJ253,MATCH(MIN($AK243:$AK253),$AK243:$AK253,0),1)/INDEX($C243:$AJ253,MATCH(MIN($AK243:$AK253),$AK243:$AK253,0),MATCH(IF('Data-solution'!$A$3="Maximize",MAX($C254:$AI254),MIN($C254:$AI254)),$C254:$AI254,0))),K248)</f>
        <v>0</v>
      </c>
      <c r="L263" s="1">
        <f>IF(OR($B258&lt;&gt;$B243,$B259&lt;&gt;$B244,$B260&lt;&gt;$B245,$B261&lt;&gt;$B246,$B262&lt;&gt;$B247,$B263&lt;&gt;$B248,$B264&lt;&gt;$B249,$B265&lt;&gt;$B250,$B266&lt;&gt;$B251,$B267&lt;&gt;$B252,$B268&lt;&gt;$B253),IF($B263&lt;&gt;$B248,L248/INDEX($C243:$AJ253,6,MATCH(IF('Data-solution'!$A$3="Maximize",MAX($C254:$AI254),MIN($C254:$AI254)),$C254:$AI254,0)),L248-INDEX($C243:$AJ253,6,MATCH(IF('Data-solution'!$A$3="Maximize",MAX($C254:$AI254),MIN($C254:$AI254)),$C254:$AI254,0))*INDEX(L243:$AJ253,MATCH(MIN($AK243:$AK253),$AK243:$AK253,0),1)/INDEX($C243:$AJ253,MATCH(MIN($AK243:$AK253),$AK243:$AK253,0),MATCH(IF('Data-solution'!$A$3="Maximize",MAX($C254:$AI254),MIN($C254:$AI254)),$C254:$AI254,0))),L248)</f>
        <v>0</v>
      </c>
      <c r="M263" s="1">
        <f>IF(OR($B258&lt;&gt;$B243,$B259&lt;&gt;$B244,$B260&lt;&gt;$B245,$B261&lt;&gt;$B246,$B262&lt;&gt;$B247,$B263&lt;&gt;$B248,$B264&lt;&gt;$B249,$B265&lt;&gt;$B250,$B266&lt;&gt;$B251,$B267&lt;&gt;$B252,$B268&lt;&gt;$B253),IF($B263&lt;&gt;$B248,M248/INDEX($C243:$AJ253,6,MATCH(IF('Data-solution'!$A$3="Maximize",MAX($C254:$AI254),MIN($C254:$AI254)),$C254:$AI254,0)),M248-INDEX($C243:$AJ253,6,MATCH(IF('Data-solution'!$A$3="Maximize",MAX($C254:$AI254),MIN($C254:$AI254)),$C254:$AI254,0))*INDEX(M243:$AJ253,MATCH(MIN($AK243:$AK253),$AK243:$AK253,0),1)/INDEX($C243:$AJ253,MATCH(MIN($AK243:$AK253),$AK243:$AK253,0),MATCH(IF('Data-solution'!$A$3="Maximize",MAX($C254:$AI254),MIN($C254:$AI254)),$C254:$AI254,0))),M248)</f>
        <v>0</v>
      </c>
      <c r="N263" s="1">
        <f>IF(OR($B258&lt;&gt;$B243,$B259&lt;&gt;$B244,$B260&lt;&gt;$B245,$B261&lt;&gt;$B246,$B262&lt;&gt;$B247,$B263&lt;&gt;$B248,$B264&lt;&gt;$B249,$B265&lt;&gt;$B250,$B266&lt;&gt;$B251,$B267&lt;&gt;$B252,$B268&lt;&gt;$B253),IF($B263&lt;&gt;$B248,N248/INDEX($C243:$AJ253,6,MATCH(IF('Data-solution'!$A$3="Maximize",MAX($C254:$AI254),MIN($C254:$AI254)),$C254:$AI254,0)),N248-INDEX($C243:$AJ253,6,MATCH(IF('Data-solution'!$A$3="Maximize",MAX($C254:$AI254),MIN($C254:$AI254)),$C254:$AI254,0))*INDEX(N243:$AJ253,MATCH(MIN($AK243:$AK253),$AK243:$AK253,0),1)/INDEX($C243:$AJ253,MATCH(MIN($AK243:$AK253),$AK243:$AK253,0),MATCH(IF('Data-solution'!$A$3="Maximize",MAX($C254:$AI254),MIN($C254:$AI254)),$C254:$AI254,0))),N248)</f>
        <v>0</v>
      </c>
      <c r="O263" s="1">
        <f>IF(OR($B258&lt;&gt;$B243,$B259&lt;&gt;$B244,$B260&lt;&gt;$B245,$B261&lt;&gt;$B246,$B262&lt;&gt;$B247,$B263&lt;&gt;$B248,$B264&lt;&gt;$B249,$B265&lt;&gt;$B250,$B266&lt;&gt;$B251,$B267&lt;&gt;$B252,$B268&lt;&gt;$B253),IF($B263&lt;&gt;$B248,O248/INDEX($C243:$AJ253,6,MATCH(IF('Data-solution'!$A$3="Maximize",MAX($C254:$AI254),MIN($C254:$AI254)),$C254:$AI254,0)),O248-INDEX($C243:$AJ253,6,MATCH(IF('Data-solution'!$A$3="Maximize",MAX($C254:$AI254),MIN($C254:$AI254)),$C254:$AI254,0))*INDEX(O243:$AJ253,MATCH(MIN($AK243:$AK253),$AK243:$AK253,0),1)/INDEX($C243:$AJ253,MATCH(MIN($AK243:$AK253),$AK243:$AK253,0),MATCH(IF('Data-solution'!$A$3="Maximize",MAX($C254:$AI254),MIN($C254:$AI254)),$C254:$AI254,0))),O248)</f>
        <v>0</v>
      </c>
      <c r="P263" s="1">
        <f>IF(OR($B258&lt;&gt;$B243,$B259&lt;&gt;$B244,$B260&lt;&gt;$B245,$B261&lt;&gt;$B246,$B262&lt;&gt;$B247,$B263&lt;&gt;$B248,$B264&lt;&gt;$B249,$B265&lt;&gt;$B250,$B266&lt;&gt;$B251,$B267&lt;&gt;$B252,$B268&lt;&gt;$B253),IF($B263&lt;&gt;$B248,P248/INDEX($C243:$AJ253,6,MATCH(IF('Data-solution'!$A$3="Maximize",MAX($C254:$AI254),MIN($C254:$AI254)),$C254:$AI254,0)),P248-INDEX($C243:$AJ253,6,MATCH(IF('Data-solution'!$A$3="Maximize",MAX($C254:$AI254),MIN($C254:$AI254)),$C254:$AI254,0))*INDEX(P243:$AJ253,MATCH(MIN($AK243:$AK253),$AK243:$AK253,0),1)/INDEX($C243:$AJ253,MATCH(MIN($AK243:$AK253),$AK243:$AK253,0),MATCH(IF('Data-solution'!$A$3="Maximize",MAX($C254:$AI254),MIN($C254:$AI254)),$C254:$AI254,0))),P248)</f>
        <v>0</v>
      </c>
      <c r="Q263" s="1">
        <f>IF(OR($B258&lt;&gt;$B243,$B259&lt;&gt;$B244,$B260&lt;&gt;$B245,$B261&lt;&gt;$B246,$B262&lt;&gt;$B247,$B263&lt;&gt;$B248,$B264&lt;&gt;$B249,$B265&lt;&gt;$B250,$B266&lt;&gt;$B251,$B267&lt;&gt;$B252,$B268&lt;&gt;$B253),IF($B263&lt;&gt;$B248,Q248/INDEX($C243:$AJ253,6,MATCH(IF('Data-solution'!$A$3="Maximize",MAX($C254:$AI254),MIN($C254:$AI254)),$C254:$AI254,0)),Q248-INDEX($C243:$AJ253,6,MATCH(IF('Data-solution'!$A$3="Maximize",MAX($C254:$AI254),MIN($C254:$AI254)),$C254:$AI254,0))*INDEX(Q243:$AJ253,MATCH(MIN($AK243:$AK253),$AK243:$AK253,0),1)/INDEX($C243:$AJ253,MATCH(MIN($AK243:$AK253),$AK243:$AK253,0),MATCH(IF('Data-solution'!$A$3="Maximize",MAX($C254:$AI254),MIN($C254:$AI254)),$C254:$AI254,0))),Q248)</f>
        <v>0</v>
      </c>
      <c r="R263" s="1">
        <f>IF(OR($B258&lt;&gt;$B243,$B259&lt;&gt;$B244,$B260&lt;&gt;$B245,$B261&lt;&gt;$B246,$B262&lt;&gt;$B247,$B263&lt;&gt;$B248,$B264&lt;&gt;$B249,$B265&lt;&gt;$B250,$B266&lt;&gt;$B251,$B267&lt;&gt;$B252,$B268&lt;&gt;$B253),IF($B263&lt;&gt;$B248,R248/INDEX($C243:$AJ253,6,MATCH(IF('Data-solution'!$A$3="Maximize",MAX($C254:$AI254),MIN($C254:$AI254)),$C254:$AI254,0)),R248-INDEX($C243:$AJ253,6,MATCH(IF('Data-solution'!$A$3="Maximize",MAX($C254:$AI254),MIN($C254:$AI254)),$C254:$AI254,0))*INDEX(R243:$AJ253,MATCH(MIN($AK243:$AK253),$AK243:$AK253,0),1)/INDEX($C243:$AJ253,MATCH(MIN($AK243:$AK253),$AK243:$AK253,0),MATCH(IF('Data-solution'!$A$3="Maximize",MAX($C254:$AI254),MIN($C254:$AI254)),$C254:$AI254,0))),R248)</f>
        <v>0</v>
      </c>
      <c r="S263" s="1">
        <f>IF(OR($B258&lt;&gt;$B243,$B259&lt;&gt;$B244,$B260&lt;&gt;$B245,$B261&lt;&gt;$B246,$B262&lt;&gt;$B247,$B263&lt;&gt;$B248,$B264&lt;&gt;$B249,$B265&lt;&gt;$B250,$B266&lt;&gt;$B251,$B267&lt;&gt;$B252,$B268&lt;&gt;$B253),IF($B263&lt;&gt;$B248,S248/INDEX($C243:$AJ253,6,MATCH(IF('Data-solution'!$A$3="Maximize",MAX($C254:$AI254),MIN($C254:$AI254)),$C254:$AI254,0)),S248-INDEX($C243:$AJ253,6,MATCH(IF('Data-solution'!$A$3="Maximize",MAX($C254:$AI254),MIN($C254:$AI254)),$C254:$AI254,0))*INDEX(S243:$AJ253,MATCH(MIN($AK243:$AK253),$AK243:$AK253,0),1)/INDEX($C243:$AJ253,MATCH(MIN($AK243:$AK253),$AK243:$AK253,0),MATCH(IF('Data-solution'!$A$3="Maximize",MAX($C254:$AI254),MIN($C254:$AI254)),$C254:$AI254,0))),S248)</f>
        <v>1</v>
      </c>
      <c r="T263" s="1">
        <f>IF(OR($B258&lt;&gt;$B243,$B259&lt;&gt;$B244,$B260&lt;&gt;$B245,$B261&lt;&gt;$B246,$B262&lt;&gt;$B247,$B263&lt;&gt;$B248,$B264&lt;&gt;$B249,$B265&lt;&gt;$B250,$B266&lt;&gt;$B251,$B267&lt;&gt;$B252,$B268&lt;&gt;$B253),IF($B263&lt;&gt;$B248,T248/INDEX($C243:$AJ253,6,MATCH(IF('Data-solution'!$A$3="Maximize",MAX($C254:$AI254),MIN($C254:$AI254)),$C254:$AI254,0)),T248-INDEX($C243:$AJ253,6,MATCH(IF('Data-solution'!$A$3="Maximize",MAX($C254:$AI254),MIN($C254:$AI254)),$C254:$AI254,0))*INDEX(T243:$AJ253,MATCH(MIN($AK243:$AK253),$AK243:$AK253,0),1)/INDEX($C243:$AJ253,MATCH(MIN($AK243:$AK253),$AK243:$AK253,0),MATCH(IF('Data-solution'!$A$3="Maximize",MAX($C254:$AI254),MIN($C254:$AI254)),$C254:$AI254,0))),T248)</f>
        <v>0</v>
      </c>
      <c r="U263" s="1">
        <f>IF(OR($B258&lt;&gt;$B243,$B259&lt;&gt;$B244,$B260&lt;&gt;$B245,$B261&lt;&gt;$B246,$B262&lt;&gt;$B247,$B263&lt;&gt;$B248,$B264&lt;&gt;$B249,$B265&lt;&gt;$B250,$B266&lt;&gt;$B251,$B267&lt;&gt;$B252,$B268&lt;&gt;$B253),IF($B263&lt;&gt;$B248,U248/INDEX($C243:$AJ253,6,MATCH(IF('Data-solution'!$A$3="Maximize",MAX($C254:$AI254),MIN($C254:$AI254)),$C254:$AI254,0)),U248-INDEX($C243:$AJ253,6,MATCH(IF('Data-solution'!$A$3="Maximize",MAX($C254:$AI254),MIN($C254:$AI254)),$C254:$AI254,0))*INDEX(U243:$AJ253,MATCH(MIN($AK243:$AK253),$AK243:$AK253,0),1)/INDEX($C243:$AJ253,MATCH(MIN($AK243:$AK253),$AK243:$AK253,0),MATCH(IF('Data-solution'!$A$3="Maximize",MAX($C254:$AI254),MIN($C254:$AI254)),$C254:$AI254,0))),U248)</f>
        <v>0</v>
      </c>
      <c r="V263" s="1">
        <f>IF(OR($B258&lt;&gt;$B243,$B259&lt;&gt;$B244,$B260&lt;&gt;$B245,$B261&lt;&gt;$B246,$B262&lt;&gt;$B247,$B263&lt;&gt;$B248,$B264&lt;&gt;$B249,$B265&lt;&gt;$B250,$B266&lt;&gt;$B251,$B267&lt;&gt;$B252,$B268&lt;&gt;$B253),IF($B263&lt;&gt;$B248,V248/INDEX($C243:$AJ253,6,MATCH(IF('Data-solution'!$A$3="Maximize",MAX($C254:$AI254),MIN($C254:$AI254)),$C254:$AI254,0)),V248-INDEX($C243:$AJ253,6,MATCH(IF('Data-solution'!$A$3="Maximize",MAX($C254:$AI254),MIN($C254:$AI254)),$C254:$AI254,0))*INDEX(V243:$AJ253,MATCH(MIN($AK243:$AK253),$AK243:$AK253,0),1)/INDEX($C243:$AJ253,MATCH(MIN($AK243:$AK253),$AK243:$AK253,0),MATCH(IF('Data-solution'!$A$3="Maximize",MAX($C254:$AI254),MIN($C254:$AI254)),$C254:$AI254,0))),V248)</f>
        <v>0</v>
      </c>
      <c r="W263" s="1">
        <f>IF(OR($B258&lt;&gt;$B243,$B259&lt;&gt;$B244,$B260&lt;&gt;$B245,$B261&lt;&gt;$B246,$B262&lt;&gt;$B247,$B263&lt;&gt;$B248,$B264&lt;&gt;$B249,$B265&lt;&gt;$B250,$B266&lt;&gt;$B251,$B267&lt;&gt;$B252,$B268&lt;&gt;$B253),IF($B263&lt;&gt;$B248,W248/INDEX($C243:$AJ253,6,MATCH(IF('Data-solution'!$A$3="Maximize",MAX($C254:$AI254),MIN($C254:$AI254)),$C254:$AI254,0)),W248-INDEX($C243:$AJ253,6,MATCH(IF('Data-solution'!$A$3="Maximize",MAX($C254:$AI254),MIN($C254:$AI254)),$C254:$AI254,0))*INDEX(W243:$AJ253,MATCH(MIN($AK243:$AK253),$AK243:$AK253,0),1)/INDEX($C243:$AJ253,MATCH(MIN($AK243:$AK253),$AK243:$AK253,0),MATCH(IF('Data-solution'!$A$3="Maximize",MAX($C254:$AI254),MIN($C254:$AI254)),$C254:$AI254,0))),W248)</f>
        <v>0</v>
      </c>
      <c r="X263" s="1">
        <f>IF(OR($B258&lt;&gt;$B243,$B259&lt;&gt;$B244,$B260&lt;&gt;$B245,$B261&lt;&gt;$B246,$B262&lt;&gt;$B247,$B263&lt;&gt;$B248,$B264&lt;&gt;$B249,$B265&lt;&gt;$B250,$B266&lt;&gt;$B251,$B267&lt;&gt;$B252,$B268&lt;&gt;$B253),IF($B263&lt;&gt;$B248,X248/INDEX($C243:$AJ253,6,MATCH(IF('Data-solution'!$A$3="Maximize",MAX($C254:$AI254),MIN($C254:$AI254)),$C254:$AI254,0)),X248-INDEX($C243:$AJ253,6,MATCH(IF('Data-solution'!$A$3="Maximize",MAX($C254:$AI254),MIN($C254:$AI254)),$C254:$AI254,0))*INDEX(X243:$AJ253,MATCH(MIN($AK243:$AK253),$AK243:$AK253,0),1)/INDEX($C243:$AJ253,MATCH(MIN($AK243:$AK253),$AK243:$AK253,0),MATCH(IF('Data-solution'!$A$3="Maximize",MAX($C254:$AI254),MIN($C254:$AI254)),$C254:$AI254,0))),X248)</f>
        <v>0</v>
      </c>
      <c r="Y263" s="1">
        <f>IF(OR($B258&lt;&gt;$B243,$B259&lt;&gt;$B244,$B260&lt;&gt;$B245,$B261&lt;&gt;$B246,$B262&lt;&gt;$B247,$B263&lt;&gt;$B248,$B264&lt;&gt;$B249,$B265&lt;&gt;$B250,$B266&lt;&gt;$B251,$B267&lt;&gt;$B252,$B268&lt;&gt;$B253),IF($B263&lt;&gt;$B248,Y248/INDEX($C243:$AJ253,6,MATCH(IF('Data-solution'!$A$3="Maximize",MAX($C254:$AI254),MIN($C254:$AI254)),$C254:$AI254,0)),Y248-INDEX($C243:$AJ253,6,MATCH(IF('Data-solution'!$A$3="Maximize",MAX($C254:$AI254),MIN($C254:$AI254)),$C254:$AI254,0))*INDEX(Y243:$AJ253,MATCH(MIN($AK243:$AK253),$AK243:$AK253,0),1)/INDEX($C243:$AJ253,MATCH(MIN($AK243:$AK253),$AK243:$AK253,0),MATCH(IF('Data-solution'!$A$3="Maximize",MAX($C254:$AI254),MIN($C254:$AI254)),$C254:$AI254,0))),Y248)</f>
        <v>0</v>
      </c>
      <c r="Z263" s="1">
        <f>IF(OR($B258&lt;&gt;$B243,$B259&lt;&gt;$B244,$B260&lt;&gt;$B245,$B261&lt;&gt;$B246,$B262&lt;&gt;$B247,$B263&lt;&gt;$B248,$B264&lt;&gt;$B249,$B265&lt;&gt;$B250,$B266&lt;&gt;$B251,$B267&lt;&gt;$B252,$B268&lt;&gt;$B253),IF($B263&lt;&gt;$B248,Z248/INDEX($C243:$AJ253,6,MATCH(IF('Data-solution'!$A$3="Maximize",MAX($C254:$AI254),MIN($C254:$AI254)),$C254:$AI254,0)),Z248-INDEX($C243:$AJ253,6,MATCH(IF('Data-solution'!$A$3="Maximize",MAX($C254:$AI254),MIN($C254:$AI254)),$C254:$AI254,0))*INDEX(Z243:$AJ253,MATCH(MIN($AK243:$AK253),$AK243:$AK253,0),1)/INDEX($C243:$AJ253,MATCH(MIN($AK243:$AK253),$AK243:$AK253,0),MATCH(IF('Data-solution'!$A$3="Maximize",MAX($C254:$AI254),MIN($C254:$AI254)),$C254:$AI254,0))),Z248)</f>
        <v>0</v>
      </c>
      <c r="AA263" s="1">
        <f>IF(OR($B258&lt;&gt;$B243,$B259&lt;&gt;$B244,$B260&lt;&gt;$B245,$B261&lt;&gt;$B246,$B262&lt;&gt;$B247,$B263&lt;&gt;$B248,$B264&lt;&gt;$B249,$B265&lt;&gt;$B250,$B266&lt;&gt;$B251,$B267&lt;&gt;$B252,$B268&lt;&gt;$B253),IF($B263&lt;&gt;$B248,AA248/INDEX($C243:$AJ253,6,MATCH(IF('Data-solution'!$A$3="Maximize",MAX($C254:$AI254),MIN($C254:$AI254)),$C254:$AI254,0)),AA248-INDEX($C243:$AJ253,6,MATCH(IF('Data-solution'!$A$3="Maximize",MAX($C254:$AI254),MIN($C254:$AI254)),$C254:$AI254,0))*INDEX(AA243:$AJ253,MATCH(MIN($AK243:$AK253),$AK243:$AK253,0),1)/INDEX($C243:$AJ253,MATCH(MIN($AK243:$AK253),$AK243:$AK253,0),MATCH(IF('Data-solution'!$A$3="Maximize",MAX($C254:$AI254),MIN($C254:$AI254)),$C254:$AI254,0))),AA248)</f>
        <v>0</v>
      </c>
      <c r="AB263" s="1">
        <f>IF(OR($B258&lt;&gt;$B243,$B259&lt;&gt;$B244,$B260&lt;&gt;$B245,$B261&lt;&gt;$B246,$B262&lt;&gt;$B247,$B263&lt;&gt;$B248,$B264&lt;&gt;$B249,$B265&lt;&gt;$B250,$B266&lt;&gt;$B251,$B267&lt;&gt;$B252,$B268&lt;&gt;$B253),IF($B263&lt;&gt;$B248,AB248/INDEX($C243:$AJ253,6,MATCH(IF('Data-solution'!$A$3="Maximize",MAX($C254:$AI254),MIN($C254:$AI254)),$C254:$AI254,0)),AB248-INDEX($C243:$AJ253,6,MATCH(IF('Data-solution'!$A$3="Maximize",MAX($C254:$AI254),MIN($C254:$AI254)),$C254:$AI254,0))*INDEX(AB243:$AJ253,MATCH(MIN($AK243:$AK253),$AK243:$AK253,0),1)/INDEX($C243:$AJ253,MATCH(MIN($AK243:$AK253),$AK243:$AK253,0),MATCH(IF('Data-solution'!$A$3="Maximize",MAX($C254:$AI254),MIN($C254:$AI254)),$C254:$AI254,0))),AB248)</f>
        <v>0</v>
      </c>
      <c r="AC263" s="1">
        <f>IF(OR($B258&lt;&gt;$B243,$B259&lt;&gt;$B244,$B260&lt;&gt;$B245,$B261&lt;&gt;$B246,$B262&lt;&gt;$B247,$B263&lt;&gt;$B248,$B264&lt;&gt;$B249,$B265&lt;&gt;$B250,$B266&lt;&gt;$B251,$B267&lt;&gt;$B252,$B268&lt;&gt;$B253),IF($B263&lt;&gt;$B248,AC248/INDEX($C243:$AJ253,6,MATCH(IF('Data-solution'!$A$3="Maximize",MAX($C254:$AI254),MIN($C254:$AI254)),$C254:$AI254,0)),AC248-INDEX($C243:$AJ253,6,MATCH(IF('Data-solution'!$A$3="Maximize",MAX($C254:$AI254),MIN($C254:$AI254)),$C254:$AI254,0))*INDEX(AC243:$AJ253,MATCH(MIN($AK243:$AK253),$AK243:$AK253,0),1)/INDEX($C243:$AJ253,MATCH(MIN($AK243:$AK253),$AK243:$AK253,0),MATCH(IF('Data-solution'!$A$3="Maximize",MAX($C254:$AI254),MIN($C254:$AI254)),$C254:$AI254,0))),AC248)</f>
        <v>0</v>
      </c>
      <c r="AD263" s="1">
        <f>IF(OR($B258&lt;&gt;$B243,$B259&lt;&gt;$B244,$B260&lt;&gt;$B245,$B261&lt;&gt;$B246,$B262&lt;&gt;$B247,$B263&lt;&gt;$B248,$B264&lt;&gt;$B249,$B265&lt;&gt;$B250,$B266&lt;&gt;$B251,$B267&lt;&gt;$B252,$B268&lt;&gt;$B253),IF($B263&lt;&gt;$B248,AD248/INDEX($C243:$AJ253,6,MATCH(IF('Data-solution'!$A$3="Maximize",MAX($C254:$AI254),MIN($C254:$AI254)),$C254:$AI254,0)),AD248-INDEX($C243:$AJ253,6,MATCH(IF('Data-solution'!$A$3="Maximize",MAX($C254:$AI254),MIN($C254:$AI254)),$C254:$AI254,0))*INDEX(AD243:$AJ253,MATCH(MIN($AK243:$AK253),$AK243:$AK253,0),1)/INDEX($C243:$AJ253,MATCH(MIN($AK243:$AK253),$AK243:$AK253,0),MATCH(IF('Data-solution'!$A$3="Maximize",MAX($C254:$AI254),MIN($C254:$AI254)),$C254:$AI254,0))),AD248)</f>
        <v>1</v>
      </c>
      <c r="AE263" s="1">
        <f>IF(OR($B258&lt;&gt;$B243,$B259&lt;&gt;$B244,$B260&lt;&gt;$B245,$B261&lt;&gt;$B246,$B262&lt;&gt;$B247,$B263&lt;&gt;$B248,$B264&lt;&gt;$B249,$B265&lt;&gt;$B250,$B266&lt;&gt;$B251,$B267&lt;&gt;$B252,$B268&lt;&gt;$B253),IF($B263&lt;&gt;$B248,AE248/INDEX($C243:$AJ253,6,MATCH(IF('Data-solution'!$A$3="Maximize",MAX($C254:$AI254),MIN($C254:$AI254)),$C254:$AI254,0)),AE248-INDEX($C243:$AJ253,6,MATCH(IF('Data-solution'!$A$3="Maximize",MAX($C254:$AI254),MIN($C254:$AI254)),$C254:$AI254,0))*INDEX(AE243:$AJ253,MATCH(MIN($AK243:$AK253),$AK243:$AK253,0),1)/INDEX($C243:$AJ253,MATCH(MIN($AK243:$AK253),$AK243:$AK253,0),MATCH(IF('Data-solution'!$A$3="Maximize",MAX($C254:$AI254),MIN($C254:$AI254)),$C254:$AI254,0))),AE248)</f>
        <v>0</v>
      </c>
      <c r="AF263" s="1">
        <f>IF(OR($B258&lt;&gt;$B243,$B259&lt;&gt;$B244,$B260&lt;&gt;$B245,$B261&lt;&gt;$B246,$B262&lt;&gt;$B247,$B263&lt;&gt;$B248,$B264&lt;&gt;$B249,$B265&lt;&gt;$B250,$B266&lt;&gt;$B251,$B267&lt;&gt;$B252,$B268&lt;&gt;$B253),IF($B263&lt;&gt;$B248,AF248/INDEX($C243:$AJ253,6,MATCH(IF('Data-solution'!$A$3="Maximize",MAX($C254:$AI254),MIN($C254:$AI254)),$C254:$AI254,0)),AF248-INDEX($C243:$AJ253,6,MATCH(IF('Data-solution'!$A$3="Maximize",MAX($C254:$AI254),MIN($C254:$AI254)),$C254:$AI254,0))*INDEX(AF243:$AJ253,MATCH(MIN($AK243:$AK253),$AK243:$AK253,0),1)/INDEX($C243:$AJ253,MATCH(MIN($AK243:$AK253),$AK243:$AK253,0),MATCH(IF('Data-solution'!$A$3="Maximize",MAX($C254:$AI254),MIN($C254:$AI254)),$C254:$AI254,0))),AF248)</f>
        <v>0</v>
      </c>
      <c r="AG263" s="1">
        <f>IF(OR($B258&lt;&gt;$B243,$B259&lt;&gt;$B244,$B260&lt;&gt;$B245,$B261&lt;&gt;$B246,$B262&lt;&gt;$B247,$B263&lt;&gt;$B248,$B264&lt;&gt;$B249,$B265&lt;&gt;$B250,$B266&lt;&gt;$B251,$B267&lt;&gt;$B252,$B268&lt;&gt;$B253),IF($B263&lt;&gt;$B248,AG248/INDEX($C243:$AJ253,6,MATCH(IF('Data-solution'!$A$3="Maximize",MAX($C254:$AI254),MIN($C254:$AI254)),$C254:$AI254,0)),AG248-INDEX($C243:$AJ253,6,MATCH(IF('Data-solution'!$A$3="Maximize",MAX($C254:$AI254),MIN($C254:$AI254)),$C254:$AI254,0))*INDEX(AG243:$AJ253,MATCH(MIN($AK243:$AK253),$AK243:$AK253,0),1)/INDEX($C243:$AJ253,MATCH(MIN($AK243:$AK253),$AK243:$AK253,0),MATCH(IF('Data-solution'!$A$3="Maximize",MAX($C254:$AI254),MIN($C254:$AI254)),$C254:$AI254,0))),AG248)</f>
        <v>0</v>
      </c>
      <c r="AH263" s="1">
        <f>IF(OR($B258&lt;&gt;$B243,$B259&lt;&gt;$B244,$B260&lt;&gt;$B245,$B261&lt;&gt;$B246,$B262&lt;&gt;$B247,$B263&lt;&gt;$B248,$B264&lt;&gt;$B249,$B265&lt;&gt;$B250,$B266&lt;&gt;$B251,$B267&lt;&gt;$B252,$B268&lt;&gt;$B253),IF($B263&lt;&gt;$B248,AH248/INDEX($C243:$AJ253,6,MATCH(IF('Data-solution'!$A$3="Maximize",MAX($C254:$AI254),MIN($C254:$AI254)),$C254:$AI254,0)),AH248-INDEX($C243:$AJ253,6,MATCH(IF('Data-solution'!$A$3="Maximize",MAX($C254:$AI254),MIN($C254:$AI254)),$C254:$AI254,0))*INDEX(AH243:$AJ253,MATCH(MIN($AK243:$AK253),$AK243:$AK253,0),1)/INDEX($C243:$AJ253,MATCH(MIN($AK243:$AK253),$AK243:$AK253,0),MATCH(IF('Data-solution'!$A$3="Maximize",MAX($C254:$AI254),MIN($C254:$AI254)),$C254:$AI254,0))),AH248)</f>
        <v>0</v>
      </c>
      <c r="AI263" s="1">
        <f>IF(OR($B258&lt;&gt;$B243,$B259&lt;&gt;$B244,$B260&lt;&gt;$B245,$B261&lt;&gt;$B246,$B262&lt;&gt;$B247,$B263&lt;&gt;$B248,$B264&lt;&gt;$B249,$B265&lt;&gt;$B250,$B266&lt;&gt;$B251,$B267&lt;&gt;$B252,$B268&lt;&gt;$B253),IF($B263&lt;&gt;$B248,AI248/INDEX($C243:$AJ253,6,MATCH(IF('Data-solution'!$A$3="Maximize",MAX($C254:$AI254),MIN($C254:$AI254)),$C254:$AI254,0)),AI248-INDEX($C243:$AJ253,6,MATCH(IF('Data-solution'!$A$3="Maximize",MAX($C254:$AI254),MIN($C254:$AI254)),$C254:$AI254,0))*INDEX(AI243:$AJ253,MATCH(MIN($AK243:$AK253),$AK243:$AK253,0),1)/INDEX($C243:$AJ253,MATCH(MIN($AK243:$AK253),$AK243:$AK253,0),MATCH(IF('Data-solution'!$A$3="Maximize",MAX($C254:$AI254),MIN($C254:$AI254)),$C254:$AI254,0))),AI248)</f>
        <v>0</v>
      </c>
      <c r="AJ263" s="1">
        <f>IF(OR($B258&lt;&gt;$B243,$B259&lt;&gt;$B244,$B260&lt;&gt;$B245,$B261&lt;&gt;$B246,$B262&lt;&gt;$B247,$B263&lt;&gt;$B248,$B264&lt;&gt;$B249,$B265&lt;&gt;$B250,$B266&lt;&gt;$B251,$B267&lt;&gt;$B252,$B268&lt;&gt;$B253),IF($B263&lt;&gt;$B248,AJ248/INDEX($C243:$AJ253,6,MATCH(IF('Data-solution'!$A$3="Maximize",MAX($C254:$AI254),MIN($C254:$AI254)),$C254:$AI254,0)),AJ248-INDEX($C243:$AJ253,6,MATCH(IF('Data-solution'!$A$3="Maximize",MAX($C254:$AI254),MIN($C254:$AI254)),$C254:$AI254,0))*INDEX(AJ243:$AJ253,MATCH(MIN($AK243:$AK253),$AK243:$AK253,0),1)/INDEX($C243:$AJ253,MATCH(MIN($AK243:$AK253),$AK243:$AK253,0),MATCH(IF('Data-solution'!$A$3="Maximize",MAX($C254:$AI254),MIN($C254:$AI254)),$C254:$AI254,0))),AJ248)</f>
        <v>0</v>
      </c>
      <c r="AK263" s="1" t="str">
        <f>IF(INDEX(C263:X263,1,MATCH(IF('Data-solution'!A$3="Maximize",MAX(C269:X269),MIN(C269:X269)),C269:X269,0))&gt;0,AJ263/INDEX(C263:X263,1,MATCH(IF('Data-solution'!A$3="Maximize",MAX(C269:X269),MIN(C269:X269)),C269:X269,0))," ")</f>
        <v xml:space="preserve"> </v>
      </c>
    </row>
    <row r="264" spans="1:37" ht="18" customHeight="1" x14ac:dyDescent="0.2">
      <c r="A264" s="1">
        <f t="shared" ref="A264" si="236">INDEX(C256:AI256,1,MATCH(B264,C257:AI257,0))</f>
        <v>0</v>
      </c>
      <c r="B264" s="2" t="str">
        <f>IF(AND('Data-solution'!A$3="Maximize",COUNTIF(C254:X254,"&gt;"&amp;0)&gt;0,AK249=MIN(AK243:AK253),COUNTIF(B258:B263,INDEX(C242:X242,1,MATCH(MAX(C254:X254),C254:X254,0)))=0),INDEX(C242:X242,1,MATCH(MAX(C254:X254),C254:X254,0)),IF(AND('Data-solution'!A$3="Minimize",COUNTIF(C254:X254,"&lt;"&amp;0)&gt;0,AK249=MIN(AK243:AK253),COUNTIF(B258:B263,INDEX(C242:X242,1,MATCH(MIN(C254:X254),C254:X254,0)))=0),INDEX(C242:X242,1,MATCH(MIN(C254:X254),C254:X254,0)),B249))</f>
        <v>S7</v>
      </c>
      <c r="C264" s="1">
        <f>IF(OR($B258&lt;&gt;$B243,$B259&lt;&gt;$B244,$B260&lt;&gt;$B245,$B261&lt;&gt;$B246,$B262&lt;&gt;$B247,$B263&lt;&gt;$B248,$B264&lt;&gt;$B249,$B265&lt;&gt;$B250,$B266&lt;&gt;$B251,$B267&lt;&gt;$B252,$B268&lt;&gt;$B253),IF($B264&lt;&gt;$B249,C249/INDEX($C243:$AJ253,7,MATCH(IF('Data-solution'!$A$3="Maximize",MAX($C254:$AI254),MIN($C254:$AI254)),$C254:$AI254,0)),C249-INDEX($C243:$AJ253,7,MATCH(IF('Data-solution'!$A$3="Maximize",MAX($C254:$AI254),MIN($C254:$AI254)),$C254:$AI254,0))*INDEX(C243:$AJ253,MATCH(MIN($AK243:$AK253),$AK243:$AK253,0),1)/INDEX($C243:$AJ253,MATCH(MIN($AK243:$AK253),$AK243:$AK253,0),MATCH(IF('Data-solution'!$A$3="Maximize",MAX($C254:$AI254),MIN($C254:$AI254)),$C254:$AI254,0))),C249)</f>
        <v>0</v>
      </c>
      <c r="D264" s="1">
        <f>IF(OR($B258&lt;&gt;$B243,$B259&lt;&gt;$B244,$B260&lt;&gt;$B245,$B261&lt;&gt;$B246,$B262&lt;&gt;$B247,$B263&lt;&gt;$B248,$B264&lt;&gt;$B249,$B265&lt;&gt;$B250,$B266&lt;&gt;$B251,$B267&lt;&gt;$B252,$B268&lt;&gt;$B253),IF($B264&lt;&gt;$B249,D249/INDEX($C243:$AJ253,7,MATCH(IF('Data-solution'!$A$3="Maximize",MAX($C254:$AI254),MIN($C254:$AI254)),$C254:$AI254,0)),D249-INDEX($C243:$AJ253,7,MATCH(IF('Data-solution'!$A$3="Maximize",MAX($C254:$AI254),MIN($C254:$AI254)),$C254:$AI254,0))*INDEX(D243:$AJ253,MATCH(MIN($AK243:$AK253),$AK243:$AK253,0),1)/INDEX($C243:$AJ253,MATCH(MIN($AK243:$AK253),$AK243:$AK253,0),MATCH(IF('Data-solution'!$A$3="Maximize",MAX($C254:$AI254),MIN($C254:$AI254)),$C254:$AI254,0))),D249)</f>
        <v>0</v>
      </c>
      <c r="E264" s="1">
        <f>IF(OR($B258&lt;&gt;$B243,$B259&lt;&gt;$B244,$B260&lt;&gt;$B245,$B261&lt;&gt;$B246,$B262&lt;&gt;$B247,$B263&lt;&gt;$B248,$B264&lt;&gt;$B249,$B265&lt;&gt;$B250,$B266&lt;&gt;$B251,$B267&lt;&gt;$B252,$B268&lt;&gt;$B253),IF($B264&lt;&gt;$B249,E249/INDEX($C243:$AJ253,7,MATCH(IF('Data-solution'!$A$3="Maximize",MAX($C254:$AI254),MIN($C254:$AI254)),$C254:$AI254,0)),E249-INDEX($C243:$AJ253,7,MATCH(IF('Data-solution'!$A$3="Maximize",MAX($C254:$AI254),MIN($C254:$AI254)),$C254:$AI254,0))*INDEX(E243:$AJ253,MATCH(MIN($AK243:$AK253),$AK243:$AK253,0),1)/INDEX($C243:$AJ253,MATCH(MIN($AK243:$AK253),$AK243:$AK253,0),MATCH(IF('Data-solution'!$A$3="Maximize",MAX($C254:$AI254),MIN($C254:$AI254)),$C254:$AI254,0))),E249)</f>
        <v>0</v>
      </c>
      <c r="F264" s="1">
        <f>IF(OR($B258&lt;&gt;$B243,$B259&lt;&gt;$B244,$B260&lt;&gt;$B245,$B261&lt;&gt;$B246,$B262&lt;&gt;$B247,$B263&lt;&gt;$B248,$B264&lt;&gt;$B249,$B265&lt;&gt;$B250,$B266&lt;&gt;$B251,$B267&lt;&gt;$B252,$B268&lt;&gt;$B253),IF($B264&lt;&gt;$B249,F249/INDEX($C243:$AJ253,7,MATCH(IF('Data-solution'!$A$3="Maximize",MAX($C254:$AI254),MIN($C254:$AI254)),$C254:$AI254,0)),F249-INDEX($C243:$AJ253,7,MATCH(IF('Data-solution'!$A$3="Maximize",MAX($C254:$AI254),MIN($C254:$AI254)),$C254:$AI254,0))*INDEX(F243:$AJ253,MATCH(MIN($AK243:$AK253),$AK243:$AK253,0),1)/INDEX($C243:$AJ253,MATCH(MIN($AK243:$AK253),$AK243:$AK253,0),MATCH(IF('Data-solution'!$A$3="Maximize",MAX($C254:$AI254),MIN($C254:$AI254)),$C254:$AI254,0))),F249)</f>
        <v>0</v>
      </c>
      <c r="G264" s="1">
        <f>IF(OR($B258&lt;&gt;$B243,$B259&lt;&gt;$B244,$B260&lt;&gt;$B245,$B261&lt;&gt;$B246,$B262&lt;&gt;$B247,$B263&lt;&gt;$B248,$B264&lt;&gt;$B249,$B265&lt;&gt;$B250,$B266&lt;&gt;$B251,$B267&lt;&gt;$B252,$B268&lt;&gt;$B253),IF($B264&lt;&gt;$B249,G249/INDEX($C243:$AJ253,7,MATCH(IF('Data-solution'!$A$3="Maximize",MAX($C254:$AI254),MIN($C254:$AI254)),$C254:$AI254,0)),G249-INDEX($C243:$AJ253,7,MATCH(IF('Data-solution'!$A$3="Maximize",MAX($C254:$AI254),MIN($C254:$AI254)),$C254:$AI254,0))*INDEX(G243:$AJ253,MATCH(MIN($AK243:$AK253),$AK243:$AK253,0),1)/INDEX($C243:$AJ253,MATCH(MIN($AK243:$AK253),$AK243:$AK253,0),MATCH(IF('Data-solution'!$A$3="Maximize",MAX($C254:$AI254),MIN($C254:$AI254)),$C254:$AI254,0))),G249)</f>
        <v>0</v>
      </c>
      <c r="H264" s="1">
        <f>IF(OR($B258&lt;&gt;$B243,$B259&lt;&gt;$B244,$B260&lt;&gt;$B245,$B261&lt;&gt;$B246,$B262&lt;&gt;$B247,$B263&lt;&gt;$B248,$B264&lt;&gt;$B249,$B265&lt;&gt;$B250,$B266&lt;&gt;$B251,$B267&lt;&gt;$B252,$B268&lt;&gt;$B253),IF($B264&lt;&gt;$B249,H249/INDEX($C243:$AJ253,7,MATCH(IF('Data-solution'!$A$3="Maximize",MAX($C254:$AI254),MIN($C254:$AI254)),$C254:$AI254,0)),H249-INDEX($C243:$AJ253,7,MATCH(IF('Data-solution'!$A$3="Maximize",MAX($C254:$AI254),MIN($C254:$AI254)),$C254:$AI254,0))*INDEX(H243:$AJ253,MATCH(MIN($AK243:$AK253),$AK243:$AK253,0),1)/INDEX($C243:$AJ253,MATCH(MIN($AK243:$AK253),$AK243:$AK253,0),MATCH(IF('Data-solution'!$A$3="Maximize",MAX($C254:$AI254),MIN($C254:$AI254)),$C254:$AI254,0))),H249)</f>
        <v>0</v>
      </c>
      <c r="I264" s="1">
        <f>IF(OR($B258&lt;&gt;$B243,$B259&lt;&gt;$B244,$B260&lt;&gt;$B245,$B261&lt;&gt;$B246,$B262&lt;&gt;$B247,$B263&lt;&gt;$B248,$B264&lt;&gt;$B249,$B265&lt;&gt;$B250,$B266&lt;&gt;$B251,$B267&lt;&gt;$B252,$B268&lt;&gt;$B253),IF($B264&lt;&gt;$B249,I249/INDEX($C243:$AJ253,7,MATCH(IF('Data-solution'!$A$3="Maximize",MAX($C254:$AI254),MIN($C254:$AI254)),$C254:$AI254,0)),I249-INDEX($C243:$AJ253,7,MATCH(IF('Data-solution'!$A$3="Maximize",MAX($C254:$AI254),MIN($C254:$AI254)),$C254:$AI254,0))*INDEX(I243:$AJ253,MATCH(MIN($AK243:$AK253),$AK243:$AK253,0),1)/INDEX($C243:$AJ253,MATCH(MIN($AK243:$AK253),$AK243:$AK253,0),MATCH(IF('Data-solution'!$A$3="Maximize",MAX($C254:$AI254),MIN($C254:$AI254)),$C254:$AI254,0))),I249)</f>
        <v>0</v>
      </c>
      <c r="J264" s="1">
        <f>IF(OR($B258&lt;&gt;$B243,$B259&lt;&gt;$B244,$B260&lt;&gt;$B245,$B261&lt;&gt;$B246,$B262&lt;&gt;$B247,$B263&lt;&gt;$B248,$B264&lt;&gt;$B249,$B265&lt;&gt;$B250,$B266&lt;&gt;$B251,$B267&lt;&gt;$B252,$B268&lt;&gt;$B253),IF($B264&lt;&gt;$B249,J249/INDEX($C243:$AJ253,7,MATCH(IF('Data-solution'!$A$3="Maximize",MAX($C254:$AI254),MIN($C254:$AI254)),$C254:$AI254,0)),J249-INDEX($C243:$AJ253,7,MATCH(IF('Data-solution'!$A$3="Maximize",MAX($C254:$AI254),MIN($C254:$AI254)),$C254:$AI254,0))*INDEX(J243:$AJ253,MATCH(MIN($AK243:$AK253),$AK243:$AK253,0),1)/INDEX($C243:$AJ253,MATCH(MIN($AK243:$AK253),$AK243:$AK253,0),MATCH(IF('Data-solution'!$A$3="Maximize",MAX($C254:$AI254),MIN($C254:$AI254)),$C254:$AI254,0))),J249)</f>
        <v>0</v>
      </c>
      <c r="K264" s="1">
        <f>IF(OR($B258&lt;&gt;$B243,$B259&lt;&gt;$B244,$B260&lt;&gt;$B245,$B261&lt;&gt;$B246,$B262&lt;&gt;$B247,$B263&lt;&gt;$B248,$B264&lt;&gt;$B249,$B265&lt;&gt;$B250,$B266&lt;&gt;$B251,$B267&lt;&gt;$B252,$B268&lt;&gt;$B253),IF($B264&lt;&gt;$B249,K249/INDEX($C243:$AJ253,7,MATCH(IF('Data-solution'!$A$3="Maximize",MAX($C254:$AI254),MIN($C254:$AI254)),$C254:$AI254,0)),K249-INDEX($C243:$AJ253,7,MATCH(IF('Data-solution'!$A$3="Maximize",MAX($C254:$AI254),MIN($C254:$AI254)),$C254:$AI254,0))*INDEX(K243:$AJ253,MATCH(MIN($AK243:$AK253),$AK243:$AK253,0),1)/INDEX($C243:$AJ253,MATCH(MIN($AK243:$AK253),$AK243:$AK253,0),MATCH(IF('Data-solution'!$A$3="Maximize",MAX($C254:$AI254),MIN($C254:$AI254)),$C254:$AI254,0))),K249)</f>
        <v>0</v>
      </c>
      <c r="L264" s="1">
        <f>IF(OR($B258&lt;&gt;$B243,$B259&lt;&gt;$B244,$B260&lt;&gt;$B245,$B261&lt;&gt;$B246,$B262&lt;&gt;$B247,$B263&lt;&gt;$B248,$B264&lt;&gt;$B249,$B265&lt;&gt;$B250,$B266&lt;&gt;$B251,$B267&lt;&gt;$B252,$B268&lt;&gt;$B253),IF($B264&lt;&gt;$B249,L249/INDEX($C243:$AJ253,7,MATCH(IF('Data-solution'!$A$3="Maximize",MAX($C254:$AI254),MIN($C254:$AI254)),$C254:$AI254,0)),L249-INDEX($C243:$AJ253,7,MATCH(IF('Data-solution'!$A$3="Maximize",MAX($C254:$AI254),MIN($C254:$AI254)),$C254:$AI254,0))*INDEX(L243:$AJ253,MATCH(MIN($AK243:$AK253),$AK243:$AK253,0),1)/INDEX($C243:$AJ253,MATCH(MIN($AK243:$AK253),$AK243:$AK253,0),MATCH(IF('Data-solution'!$A$3="Maximize",MAX($C254:$AI254),MIN($C254:$AI254)),$C254:$AI254,0))),L249)</f>
        <v>0</v>
      </c>
      <c r="M264" s="1">
        <f>IF(OR($B258&lt;&gt;$B243,$B259&lt;&gt;$B244,$B260&lt;&gt;$B245,$B261&lt;&gt;$B246,$B262&lt;&gt;$B247,$B263&lt;&gt;$B248,$B264&lt;&gt;$B249,$B265&lt;&gt;$B250,$B266&lt;&gt;$B251,$B267&lt;&gt;$B252,$B268&lt;&gt;$B253),IF($B264&lt;&gt;$B249,M249/INDEX($C243:$AJ253,7,MATCH(IF('Data-solution'!$A$3="Maximize",MAX($C254:$AI254),MIN($C254:$AI254)),$C254:$AI254,0)),M249-INDEX($C243:$AJ253,7,MATCH(IF('Data-solution'!$A$3="Maximize",MAX($C254:$AI254),MIN($C254:$AI254)),$C254:$AI254,0))*INDEX(M243:$AJ253,MATCH(MIN($AK243:$AK253),$AK243:$AK253,0),1)/INDEX($C243:$AJ253,MATCH(MIN($AK243:$AK253),$AK243:$AK253,0),MATCH(IF('Data-solution'!$A$3="Maximize",MAX($C254:$AI254),MIN($C254:$AI254)),$C254:$AI254,0))),M249)</f>
        <v>0</v>
      </c>
      <c r="N264" s="1">
        <f>IF(OR($B258&lt;&gt;$B243,$B259&lt;&gt;$B244,$B260&lt;&gt;$B245,$B261&lt;&gt;$B246,$B262&lt;&gt;$B247,$B263&lt;&gt;$B248,$B264&lt;&gt;$B249,$B265&lt;&gt;$B250,$B266&lt;&gt;$B251,$B267&lt;&gt;$B252,$B268&lt;&gt;$B253),IF($B264&lt;&gt;$B249,N249/INDEX($C243:$AJ253,7,MATCH(IF('Data-solution'!$A$3="Maximize",MAX($C254:$AI254),MIN($C254:$AI254)),$C254:$AI254,0)),N249-INDEX($C243:$AJ253,7,MATCH(IF('Data-solution'!$A$3="Maximize",MAX($C254:$AI254),MIN($C254:$AI254)),$C254:$AI254,0))*INDEX(N243:$AJ253,MATCH(MIN($AK243:$AK253),$AK243:$AK253,0),1)/INDEX($C243:$AJ253,MATCH(MIN($AK243:$AK253),$AK243:$AK253,0),MATCH(IF('Data-solution'!$A$3="Maximize",MAX($C254:$AI254),MIN($C254:$AI254)),$C254:$AI254,0))),N249)</f>
        <v>0</v>
      </c>
      <c r="O264" s="1">
        <f>IF(OR($B258&lt;&gt;$B243,$B259&lt;&gt;$B244,$B260&lt;&gt;$B245,$B261&lt;&gt;$B246,$B262&lt;&gt;$B247,$B263&lt;&gt;$B248,$B264&lt;&gt;$B249,$B265&lt;&gt;$B250,$B266&lt;&gt;$B251,$B267&lt;&gt;$B252,$B268&lt;&gt;$B253),IF($B264&lt;&gt;$B249,O249/INDEX($C243:$AJ253,7,MATCH(IF('Data-solution'!$A$3="Maximize",MAX($C254:$AI254),MIN($C254:$AI254)),$C254:$AI254,0)),O249-INDEX($C243:$AJ253,7,MATCH(IF('Data-solution'!$A$3="Maximize",MAX($C254:$AI254),MIN($C254:$AI254)),$C254:$AI254,0))*INDEX(O243:$AJ253,MATCH(MIN($AK243:$AK253),$AK243:$AK253,0),1)/INDEX($C243:$AJ253,MATCH(MIN($AK243:$AK253),$AK243:$AK253,0),MATCH(IF('Data-solution'!$A$3="Maximize",MAX($C254:$AI254),MIN($C254:$AI254)),$C254:$AI254,0))),O249)</f>
        <v>0</v>
      </c>
      <c r="P264" s="1">
        <f>IF(OR($B258&lt;&gt;$B243,$B259&lt;&gt;$B244,$B260&lt;&gt;$B245,$B261&lt;&gt;$B246,$B262&lt;&gt;$B247,$B263&lt;&gt;$B248,$B264&lt;&gt;$B249,$B265&lt;&gt;$B250,$B266&lt;&gt;$B251,$B267&lt;&gt;$B252,$B268&lt;&gt;$B253),IF($B264&lt;&gt;$B249,P249/INDEX($C243:$AJ253,7,MATCH(IF('Data-solution'!$A$3="Maximize",MAX($C254:$AI254),MIN($C254:$AI254)),$C254:$AI254,0)),P249-INDEX($C243:$AJ253,7,MATCH(IF('Data-solution'!$A$3="Maximize",MAX($C254:$AI254),MIN($C254:$AI254)),$C254:$AI254,0))*INDEX(P243:$AJ253,MATCH(MIN($AK243:$AK253),$AK243:$AK253,0),1)/INDEX($C243:$AJ253,MATCH(MIN($AK243:$AK253),$AK243:$AK253,0),MATCH(IF('Data-solution'!$A$3="Maximize",MAX($C254:$AI254),MIN($C254:$AI254)),$C254:$AI254,0))),P249)</f>
        <v>0</v>
      </c>
      <c r="Q264" s="1">
        <f>IF(OR($B258&lt;&gt;$B243,$B259&lt;&gt;$B244,$B260&lt;&gt;$B245,$B261&lt;&gt;$B246,$B262&lt;&gt;$B247,$B263&lt;&gt;$B248,$B264&lt;&gt;$B249,$B265&lt;&gt;$B250,$B266&lt;&gt;$B251,$B267&lt;&gt;$B252,$B268&lt;&gt;$B253),IF($B264&lt;&gt;$B249,Q249/INDEX($C243:$AJ253,7,MATCH(IF('Data-solution'!$A$3="Maximize",MAX($C254:$AI254),MIN($C254:$AI254)),$C254:$AI254,0)),Q249-INDEX($C243:$AJ253,7,MATCH(IF('Data-solution'!$A$3="Maximize",MAX($C254:$AI254),MIN($C254:$AI254)),$C254:$AI254,0))*INDEX(Q243:$AJ253,MATCH(MIN($AK243:$AK253),$AK243:$AK253,0),1)/INDEX($C243:$AJ253,MATCH(MIN($AK243:$AK253),$AK243:$AK253,0),MATCH(IF('Data-solution'!$A$3="Maximize",MAX($C254:$AI254),MIN($C254:$AI254)),$C254:$AI254,0))),Q249)</f>
        <v>0</v>
      </c>
      <c r="R264" s="1">
        <f>IF(OR($B258&lt;&gt;$B243,$B259&lt;&gt;$B244,$B260&lt;&gt;$B245,$B261&lt;&gt;$B246,$B262&lt;&gt;$B247,$B263&lt;&gt;$B248,$B264&lt;&gt;$B249,$B265&lt;&gt;$B250,$B266&lt;&gt;$B251,$B267&lt;&gt;$B252,$B268&lt;&gt;$B253),IF($B264&lt;&gt;$B249,R249/INDEX($C243:$AJ253,7,MATCH(IF('Data-solution'!$A$3="Maximize",MAX($C254:$AI254),MIN($C254:$AI254)),$C254:$AI254,0)),R249-INDEX($C243:$AJ253,7,MATCH(IF('Data-solution'!$A$3="Maximize",MAX($C254:$AI254),MIN($C254:$AI254)),$C254:$AI254,0))*INDEX(R243:$AJ253,MATCH(MIN($AK243:$AK253),$AK243:$AK253,0),1)/INDEX($C243:$AJ253,MATCH(MIN($AK243:$AK253),$AK243:$AK253,0),MATCH(IF('Data-solution'!$A$3="Maximize",MAX($C254:$AI254),MIN($C254:$AI254)),$C254:$AI254,0))),R249)</f>
        <v>0</v>
      </c>
      <c r="S264" s="1">
        <f>IF(OR($B258&lt;&gt;$B243,$B259&lt;&gt;$B244,$B260&lt;&gt;$B245,$B261&lt;&gt;$B246,$B262&lt;&gt;$B247,$B263&lt;&gt;$B248,$B264&lt;&gt;$B249,$B265&lt;&gt;$B250,$B266&lt;&gt;$B251,$B267&lt;&gt;$B252,$B268&lt;&gt;$B253),IF($B264&lt;&gt;$B249,S249/INDEX($C243:$AJ253,7,MATCH(IF('Data-solution'!$A$3="Maximize",MAX($C254:$AI254),MIN($C254:$AI254)),$C254:$AI254,0)),S249-INDEX($C243:$AJ253,7,MATCH(IF('Data-solution'!$A$3="Maximize",MAX($C254:$AI254),MIN($C254:$AI254)),$C254:$AI254,0))*INDEX(S243:$AJ253,MATCH(MIN($AK243:$AK253),$AK243:$AK253,0),1)/INDEX($C243:$AJ253,MATCH(MIN($AK243:$AK253),$AK243:$AK253,0),MATCH(IF('Data-solution'!$A$3="Maximize",MAX($C254:$AI254),MIN($C254:$AI254)),$C254:$AI254,0))),S249)</f>
        <v>0</v>
      </c>
      <c r="T264" s="1">
        <f>IF(OR($B258&lt;&gt;$B243,$B259&lt;&gt;$B244,$B260&lt;&gt;$B245,$B261&lt;&gt;$B246,$B262&lt;&gt;$B247,$B263&lt;&gt;$B248,$B264&lt;&gt;$B249,$B265&lt;&gt;$B250,$B266&lt;&gt;$B251,$B267&lt;&gt;$B252,$B268&lt;&gt;$B253),IF($B264&lt;&gt;$B249,T249/INDEX($C243:$AJ253,7,MATCH(IF('Data-solution'!$A$3="Maximize",MAX($C254:$AI254),MIN($C254:$AI254)),$C254:$AI254,0)),T249-INDEX($C243:$AJ253,7,MATCH(IF('Data-solution'!$A$3="Maximize",MAX($C254:$AI254),MIN($C254:$AI254)),$C254:$AI254,0))*INDEX(T243:$AJ253,MATCH(MIN($AK243:$AK253),$AK243:$AK253,0),1)/INDEX($C243:$AJ253,MATCH(MIN($AK243:$AK253),$AK243:$AK253,0),MATCH(IF('Data-solution'!$A$3="Maximize",MAX($C254:$AI254),MIN($C254:$AI254)),$C254:$AI254,0))),T249)</f>
        <v>1</v>
      </c>
      <c r="U264" s="1">
        <f>IF(OR($B258&lt;&gt;$B243,$B259&lt;&gt;$B244,$B260&lt;&gt;$B245,$B261&lt;&gt;$B246,$B262&lt;&gt;$B247,$B263&lt;&gt;$B248,$B264&lt;&gt;$B249,$B265&lt;&gt;$B250,$B266&lt;&gt;$B251,$B267&lt;&gt;$B252,$B268&lt;&gt;$B253),IF($B264&lt;&gt;$B249,U249/INDEX($C243:$AJ253,7,MATCH(IF('Data-solution'!$A$3="Maximize",MAX($C254:$AI254),MIN($C254:$AI254)),$C254:$AI254,0)),U249-INDEX($C243:$AJ253,7,MATCH(IF('Data-solution'!$A$3="Maximize",MAX($C254:$AI254),MIN($C254:$AI254)),$C254:$AI254,0))*INDEX(U243:$AJ253,MATCH(MIN($AK243:$AK253),$AK243:$AK253,0),1)/INDEX($C243:$AJ253,MATCH(MIN($AK243:$AK253),$AK243:$AK253,0),MATCH(IF('Data-solution'!$A$3="Maximize",MAX($C254:$AI254),MIN($C254:$AI254)),$C254:$AI254,0))),U249)</f>
        <v>0</v>
      </c>
      <c r="V264" s="1">
        <f>IF(OR($B258&lt;&gt;$B243,$B259&lt;&gt;$B244,$B260&lt;&gt;$B245,$B261&lt;&gt;$B246,$B262&lt;&gt;$B247,$B263&lt;&gt;$B248,$B264&lt;&gt;$B249,$B265&lt;&gt;$B250,$B266&lt;&gt;$B251,$B267&lt;&gt;$B252,$B268&lt;&gt;$B253),IF($B264&lt;&gt;$B249,V249/INDEX($C243:$AJ253,7,MATCH(IF('Data-solution'!$A$3="Maximize",MAX($C254:$AI254),MIN($C254:$AI254)),$C254:$AI254,0)),V249-INDEX($C243:$AJ253,7,MATCH(IF('Data-solution'!$A$3="Maximize",MAX($C254:$AI254),MIN($C254:$AI254)),$C254:$AI254,0))*INDEX(V243:$AJ253,MATCH(MIN($AK243:$AK253),$AK243:$AK253,0),1)/INDEX($C243:$AJ253,MATCH(MIN($AK243:$AK253),$AK243:$AK253,0),MATCH(IF('Data-solution'!$A$3="Maximize",MAX($C254:$AI254),MIN($C254:$AI254)),$C254:$AI254,0))),V249)</f>
        <v>0</v>
      </c>
      <c r="W264" s="1">
        <f>IF(OR($B258&lt;&gt;$B243,$B259&lt;&gt;$B244,$B260&lt;&gt;$B245,$B261&lt;&gt;$B246,$B262&lt;&gt;$B247,$B263&lt;&gt;$B248,$B264&lt;&gt;$B249,$B265&lt;&gt;$B250,$B266&lt;&gt;$B251,$B267&lt;&gt;$B252,$B268&lt;&gt;$B253),IF($B264&lt;&gt;$B249,W249/INDEX($C243:$AJ253,7,MATCH(IF('Data-solution'!$A$3="Maximize",MAX($C254:$AI254),MIN($C254:$AI254)),$C254:$AI254,0)),W249-INDEX($C243:$AJ253,7,MATCH(IF('Data-solution'!$A$3="Maximize",MAX($C254:$AI254),MIN($C254:$AI254)),$C254:$AI254,0))*INDEX(W243:$AJ253,MATCH(MIN($AK243:$AK253),$AK243:$AK253,0),1)/INDEX($C243:$AJ253,MATCH(MIN($AK243:$AK253),$AK243:$AK253,0),MATCH(IF('Data-solution'!$A$3="Maximize",MAX($C254:$AI254),MIN($C254:$AI254)),$C254:$AI254,0))),W249)</f>
        <v>0</v>
      </c>
      <c r="X264" s="1">
        <f>IF(OR($B258&lt;&gt;$B243,$B259&lt;&gt;$B244,$B260&lt;&gt;$B245,$B261&lt;&gt;$B246,$B262&lt;&gt;$B247,$B263&lt;&gt;$B248,$B264&lt;&gt;$B249,$B265&lt;&gt;$B250,$B266&lt;&gt;$B251,$B267&lt;&gt;$B252,$B268&lt;&gt;$B253),IF($B264&lt;&gt;$B249,X249/INDEX($C243:$AJ253,7,MATCH(IF('Data-solution'!$A$3="Maximize",MAX($C254:$AI254),MIN($C254:$AI254)),$C254:$AI254,0)),X249-INDEX($C243:$AJ253,7,MATCH(IF('Data-solution'!$A$3="Maximize",MAX($C254:$AI254),MIN($C254:$AI254)),$C254:$AI254,0))*INDEX(X243:$AJ253,MATCH(MIN($AK243:$AK253),$AK243:$AK253,0),1)/INDEX($C243:$AJ253,MATCH(MIN($AK243:$AK253),$AK243:$AK253,0),MATCH(IF('Data-solution'!$A$3="Maximize",MAX($C254:$AI254),MIN($C254:$AI254)),$C254:$AI254,0))),X249)</f>
        <v>0</v>
      </c>
      <c r="Y264" s="1">
        <f>IF(OR($B258&lt;&gt;$B243,$B259&lt;&gt;$B244,$B260&lt;&gt;$B245,$B261&lt;&gt;$B246,$B262&lt;&gt;$B247,$B263&lt;&gt;$B248,$B264&lt;&gt;$B249,$B265&lt;&gt;$B250,$B266&lt;&gt;$B251,$B267&lt;&gt;$B252,$B268&lt;&gt;$B253),IF($B264&lt;&gt;$B249,Y249/INDEX($C243:$AJ253,7,MATCH(IF('Data-solution'!$A$3="Maximize",MAX($C254:$AI254),MIN($C254:$AI254)),$C254:$AI254,0)),Y249-INDEX($C243:$AJ253,7,MATCH(IF('Data-solution'!$A$3="Maximize",MAX($C254:$AI254),MIN($C254:$AI254)),$C254:$AI254,0))*INDEX(Y243:$AJ253,MATCH(MIN($AK243:$AK253),$AK243:$AK253,0),1)/INDEX($C243:$AJ253,MATCH(MIN($AK243:$AK253),$AK243:$AK253,0),MATCH(IF('Data-solution'!$A$3="Maximize",MAX($C254:$AI254),MIN($C254:$AI254)),$C254:$AI254,0))),Y249)</f>
        <v>0</v>
      </c>
      <c r="Z264" s="1">
        <f>IF(OR($B258&lt;&gt;$B243,$B259&lt;&gt;$B244,$B260&lt;&gt;$B245,$B261&lt;&gt;$B246,$B262&lt;&gt;$B247,$B263&lt;&gt;$B248,$B264&lt;&gt;$B249,$B265&lt;&gt;$B250,$B266&lt;&gt;$B251,$B267&lt;&gt;$B252,$B268&lt;&gt;$B253),IF($B264&lt;&gt;$B249,Z249/INDEX($C243:$AJ253,7,MATCH(IF('Data-solution'!$A$3="Maximize",MAX($C254:$AI254),MIN($C254:$AI254)),$C254:$AI254,0)),Z249-INDEX($C243:$AJ253,7,MATCH(IF('Data-solution'!$A$3="Maximize",MAX($C254:$AI254),MIN($C254:$AI254)),$C254:$AI254,0))*INDEX(Z243:$AJ253,MATCH(MIN($AK243:$AK253),$AK243:$AK253,0),1)/INDEX($C243:$AJ253,MATCH(MIN($AK243:$AK253),$AK243:$AK253,0),MATCH(IF('Data-solution'!$A$3="Maximize",MAX($C254:$AI254),MIN($C254:$AI254)),$C254:$AI254,0))),Z249)</f>
        <v>0</v>
      </c>
      <c r="AA264" s="1">
        <f>IF(OR($B258&lt;&gt;$B243,$B259&lt;&gt;$B244,$B260&lt;&gt;$B245,$B261&lt;&gt;$B246,$B262&lt;&gt;$B247,$B263&lt;&gt;$B248,$B264&lt;&gt;$B249,$B265&lt;&gt;$B250,$B266&lt;&gt;$B251,$B267&lt;&gt;$B252,$B268&lt;&gt;$B253),IF($B264&lt;&gt;$B249,AA249/INDEX($C243:$AJ253,7,MATCH(IF('Data-solution'!$A$3="Maximize",MAX($C254:$AI254),MIN($C254:$AI254)),$C254:$AI254,0)),AA249-INDEX($C243:$AJ253,7,MATCH(IF('Data-solution'!$A$3="Maximize",MAX($C254:$AI254),MIN($C254:$AI254)),$C254:$AI254,0))*INDEX(AA243:$AJ253,MATCH(MIN($AK243:$AK253),$AK243:$AK253,0),1)/INDEX($C243:$AJ253,MATCH(MIN($AK243:$AK253),$AK243:$AK253,0),MATCH(IF('Data-solution'!$A$3="Maximize",MAX($C254:$AI254),MIN($C254:$AI254)),$C254:$AI254,0))),AA249)</f>
        <v>0</v>
      </c>
      <c r="AB264" s="1">
        <f>IF(OR($B258&lt;&gt;$B243,$B259&lt;&gt;$B244,$B260&lt;&gt;$B245,$B261&lt;&gt;$B246,$B262&lt;&gt;$B247,$B263&lt;&gt;$B248,$B264&lt;&gt;$B249,$B265&lt;&gt;$B250,$B266&lt;&gt;$B251,$B267&lt;&gt;$B252,$B268&lt;&gt;$B253),IF($B264&lt;&gt;$B249,AB249/INDEX($C243:$AJ253,7,MATCH(IF('Data-solution'!$A$3="Maximize",MAX($C254:$AI254),MIN($C254:$AI254)),$C254:$AI254,0)),AB249-INDEX($C243:$AJ253,7,MATCH(IF('Data-solution'!$A$3="Maximize",MAX($C254:$AI254),MIN($C254:$AI254)),$C254:$AI254,0))*INDEX(AB243:$AJ253,MATCH(MIN($AK243:$AK253),$AK243:$AK253,0),1)/INDEX($C243:$AJ253,MATCH(MIN($AK243:$AK253),$AK243:$AK253,0),MATCH(IF('Data-solution'!$A$3="Maximize",MAX($C254:$AI254),MIN($C254:$AI254)),$C254:$AI254,0))),AB249)</f>
        <v>0</v>
      </c>
      <c r="AC264" s="1">
        <f>IF(OR($B258&lt;&gt;$B243,$B259&lt;&gt;$B244,$B260&lt;&gt;$B245,$B261&lt;&gt;$B246,$B262&lt;&gt;$B247,$B263&lt;&gt;$B248,$B264&lt;&gt;$B249,$B265&lt;&gt;$B250,$B266&lt;&gt;$B251,$B267&lt;&gt;$B252,$B268&lt;&gt;$B253),IF($B264&lt;&gt;$B249,AC249/INDEX($C243:$AJ253,7,MATCH(IF('Data-solution'!$A$3="Maximize",MAX($C254:$AI254),MIN($C254:$AI254)),$C254:$AI254,0)),AC249-INDEX($C243:$AJ253,7,MATCH(IF('Data-solution'!$A$3="Maximize",MAX($C254:$AI254),MIN($C254:$AI254)),$C254:$AI254,0))*INDEX(AC243:$AJ253,MATCH(MIN($AK243:$AK253),$AK243:$AK253,0),1)/INDEX($C243:$AJ253,MATCH(MIN($AK243:$AK253),$AK243:$AK253,0),MATCH(IF('Data-solution'!$A$3="Maximize",MAX($C254:$AI254),MIN($C254:$AI254)),$C254:$AI254,0))),AC249)</f>
        <v>0</v>
      </c>
      <c r="AD264" s="1">
        <f>IF(OR($B258&lt;&gt;$B243,$B259&lt;&gt;$B244,$B260&lt;&gt;$B245,$B261&lt;&gt;$B246,$B262&lt;&gt;$B247,$B263&lt;&gt;$B248,$B264&lt;&gt;$B249,$B265&lt;&gt;$B250,$B266&lt;&gt;$B251,$B267&lt;&gt;$B252,$B268&lt;&gt;$B253),IF($B264&lt;&gt;$B249,AD249/INDEX($C243:$AJ253,7,MATCH(IF('Data-solution'!$A$3="Maximize",MAX($C254:$AI254),MIN($C254:$AI254)),$C254:$AI254,0)),AD249-INDEX($C243:$AJ253,7,MATCH(IF('Data-solution'!$A$3="Maximize",MAX($C254:$AI254),MIN($C254:$AI254)),$C254:$AI254,0))*INDEX(AD243:$AJ253,MATCH(MIN($AK243:$AK253),$AK243:$AK253,0),1)/INDEX($C243:$AJ253,MATCH(MIN($AK243:$AK253),$AK243:$AK253,0),MATCH(IF('Data-solution'!$A$3="Maximize",MAX($C254:$AI254),MIN($C254:$AI254)),$C254:$AI254,0))),AD249)</f>
        <v>0</v>
      </c>
      <c r="AE264" s="1">
        <f>IF(OR($B258&lt;&gt;$B243,$B259&lt;&gt;$B244,$B260&lt;&gt;$B245,$B261&lt;&gt;$B246,$B262&lt;&gt;$B247,$B263&lt;&gt;$B248,$B264&lt;&gt;$B249,$B265&lt;&gt;$B250,$B266&lt;&gt;$B251,$B267&lt;&gt;$B252,$B268&lt;&gt;$B253),IF($B264&lt;&gt;$B249,AE249/INDEX($C243:$AJ253,7,MATCH(IF('Data-solution'!$A$3="Maximize",MAX($C254:$AI254),MIN($C254:$AI254)),$C254:$AI254,0)),AE249-INDEX($C243:$AJ253,7,MATCH(IF('Data-solution'!$A$3="Maximize",MAX($C254:$AI254),MIN($C254:$AI254)),$C254:$AI254,0))*INDEX(AE243:$AJ253,MATCH(MIN($AK243:$AK253),$AK243:$AK253,0),1)/INDEX($C243:$AJ253,MATCH(MIN($AK243:$AK253),$AK243:$AK253,0),MATCH(IF('Data-solution'!$A$3="Maximize",MAX($C254:$AI254),MIN($C254:$AI254)),$C254:$AI254,0))),AE249)</f>
        <v>1</v>
      </c>
      <c r="AF264" s="1">
        <f>IF(OR($B258&lt;&gt;$B243,$B259&lt;&gt;$B244,$B260&lt;&gt;$B245,$B261&lt;&gt;$B246,$B262&lt;&gt;$B247,$B263&lt;&gt;$B248,$B264&lt;&gt;$B249,$B265&lt;&gt;$B250,$B266&lt;&gt;$B251,$B267&lt;&gt;$B252,$B268&lt;&gt;$B253),IF($B264&lt;&gt;$B249,AF249/INDEX($C243:$AJ253,7,MATCH(IF('Data-solution'!$A$3="Maximize",MAX($C254:$AI254),MIN($C254:$AI254)),$C254:$AI254,0)),AF249-INDEX($C243:$AJ253,7,MATCH(IF('Data-solution'!$A$3="Maximize",MAX($C254:$AI254),MIN($C254:$AI254)),$C254:$AI254,0))*INDEX(AF243:$AJ253,MATCH(MIN($AK243:$AK253),$AK243:$AK253,0),1)/INDEX($C243:$AJ253,MATCH(MIN($AK243:$AK253),$AK243:$AK253,0),MATCH(IF('Data-solution'!$A$3="Maximize",MAX($C254:$AI254),MIN($C254:$AI254)),$C254:$AI254,0))),AF249)</f>
        <v>0</v>
      </c>
      <c r="AG264" s="1">
        <f>IF(OR($B258&lt;&gt;$B243,$B259&lt;&gt;$B244,$B260&lt;&gt;$B245,$B261&lt;&gt;$B246,$B262&lt;&gt;$B247,$B263&lt;&gt;$B248,$B264&lt;&gt;$B249,$B265&lt;&gt;$B250,$B266&lt;&gt;$B251,$B267&lt;&gt;$B252,$B268&lt;&gt;$B253),IF($B264&lt;&gt;$B249,AG249/INDEX($C243:$AJ253,7,MATCH(IF('Data-solution'!$A$3="Maximize",MAX($C254:$AI254),MIN($C254:$AI254)),$C254:$AI254,0)),AG249-INDEX($C243:$AJ253,7,MATCH(IF('Data-solution'!$A$3="Maximize",MAX($C254:$AI254),MIN($C254:$AI254)),$C254:$AI254,0))*INDEX(AG243:$AJ253,MATCH(MIN($AK243:$AK253),$AK243:$AK253,0),1)/INDEX($C243:$AJ253,MATCH(MIN($AK243:$AK253),$AK243:$AK253,0),MATCH(IF('Data-solution'!$A$3="Maximize",MAX($C254:$AI254),MIN($C254:$AI254)),$C254:$AI254,0))),AG249)</f>
        <v>0</v>
      </c>
      <c r="AH264" s="1">
        <f>IF(OR($B258&lt;&gt;$B243,$B259&lt;&gt;$B244,$B260&lt;&gt;$B245,$B261&lt;&gt;$B246,$B262&lt;&gt;$B247,$B263&lt;&gt;$B248,$B264&lt;&gt;$B249,$B265&lt;&gt;$B250,$B266&lt;&gt;$B251,$B267&lt;&gt;$B252,$B268&lt;&gt;$B253),IF($B264&lt;&gt;$B249,AH249/INDEX($C243:$AJ253,7,MATCH(IF('Data-solution'!$A$3="Maximize",MAX($C254:$AI254),MIN($C254:$AI254)),$C254:$AI254,0)),AH249-INDEX($C243:$AJ253,7,MATCH(IF('Data-solution'!$A$3="Maximize",MAX($C254:$AI254),MIN($C254:$AI254)),$C254:$AI254,0))*INDEX(AH243:$AJ253,MATCH(MIN($AK243:$AK253),$AK243:$AK253,0),1)/INDEX($C243:$AJ253,MATCH(MIN($AK243:$AK253),$AK243:$AK253,0),MATCH(IF('Data-solution'!$A$3="Maximize",MAX($C254:$AI254),MIN($C254:$AI254)),$C254:$AI254,0))),AH249)</f>
        <v>0</v>
      </c>
      <c r="AI264" s="1">
        <f>IF(OR($B258&lt;&gt;$B243,$B259&lt;&gt;$B244,$B260&lt;&gt;$B245,$B261&lt;&gt;$B246,$B262&lt;&gt;$B247,$B263&lt;&gt;$B248,$B264&lt;&gt;$B249,$B265&lt;&gt;$B250,$B266&lt;&gt;$B251,$B267&lt;&gt;$B252,$B268&lt;&gt;$B253),IF($B264&lt;&gt;$B249,AI249/INDEX($C243:$AJ253,7,MATCH(IF('Data-solution'!$A$3="Maximize",MAX($C254:$AI254),MIN($C254:$AI254)),$C254:$AI254,0)),AI249-INDEX($C243:$AJ253,7,MATCH(IF('Data-solution'!$A$3="Maximize",MAX($C254:$AI254),MIN($C254:$AI254)),$C254:$AI254,0))*INDEX(AI243:$AJ253,MATCH(MIN($AK243:$AK253),$AK243:$AK253,0),1)/INDEX($C243:$AJ253,MATCH(MIN($AK243:$AK253),$AK243:$AK253,0),MATCH(IF('Data-solution'!$A$3="Maximize",MAX($C254:$AI254),MIN($C254:$AI254)),$C254:$AI254,0))),AI249)</f>
        <v>0</v>
      </c>
      <c r="AJ264" s="1">
        <f>IF(OR($B258&lt;&gt;$B243,$B259&lt;&gt;$B244,$B260&lt;&gt;$B245,$B261&lt;&gt;$B246,$B262&lt;&gt;$B247,$B263&lt;&gt;$B248,$B264&lt;&gt;$B249,$B265&lt;&gt;$B250,$B266&lt;&gt;$B251,$B267&lt;&gt;$B252,$B268&lt;&gt;$B253),IF($B264&lt;&gt;$B249,AJ249/INDEX($C243:$AJ253,7,MATCH(IF('Data-solution'!$A$3="Maximize",MAX($C254:$AI254),MIN($C254:$AI254)),$C254:$AI254,0)),AJ249-INDEX($C243:$AJ253,7,MATCH(IF('Data-solution'!$A$3="Maximize",MAX($C254:$AI254),MIN($C254:$AI254)),$C254:$AI254,0))*INDEX(AJ243:$AJ253,MATCH(MIN($AK243:$AK253),$AK243:$AK253,0),1)/INDEX($C243:$AJ253,MATCH(MIN($AK243:$AK253),$AK243:$AK253,0),MATCH(IF('Data-solution'!$A$3="Maximize",MAX($C254:$AI254),MIN($C254:$AI254)),$C254:$AI254,0))),AJ249)</f>
        <v>0</v>
      </c>
      <c r="AK264" s="1" t="str">
        <f>IF(INDEX(C264:X264,1,MATCH(IF('Data-solution'!A$3="Maximize",MAX(C269:X269),MIN(C269:X269)),C269:X269,0))&gt;0,AJ264/INDEX(C264:X264,1,MATCH(IF('Data-solution'!A$3="Maximize",MAX(C269:X269),MIN(C269:X269)),C269:X269,0))," ")</f>
        <v xml:space="preserve"> </v>
      </c>
    </row>
    <row r="265" spans="1:37" ht="18" customHeight="1" x14ac:dyDescent="0.2">
      <c r="A265" s="1">
        <f t="shared" ref="A265" si="237">INDEX(C256:AI256,1,MATCH(B265,C257:AI257,0))</f>
        <v>0</v>
      </c>
      <c r="B265" s="2" t="str">
        <f>IF(AND('Data-solution'!A$3="Maximize",COUNTIF(C254:X254,"&gt;"&amp;0)&gt;0,AK250=MIN(AK243:AK253),COUNTIF(B258:B264,INDEX(C242:X242,1,MATCH(MAX(C254:X254),C254:X254,0)))=0),INDEX(C242:X242,1,MATCH(MAX(C254:X254),C254:X254,0)),IF(AND('Data-solution'!A$3="Minimize",COUNTIF(C254:X254,"&lt;"&amp;0)&gt;0,AK250=MIN(AK243:AK253),COUNTIF(B258:B264,INDEX(C242:X242,1,MATCH(MIN(C254:X254),C254:X254,0)))=0),INDEX(C242:X242,1,MATCH(MIN(C254:X254),C254:X254,0)),B250))</f>
        <v>S8</v>
      </c>
      <c r="C265" s="1">
        <f>IF(OR($B258&lt;&gt;$B243,$B259&lt;&gt;$B244,$B260&lt;&gt;$B245,$B261&lt;&gt;$B246,$B262&lt;&gt;$B247,$B263&lt;&gt;$B248,$B264&lt;&gt;$B249,$B265&lt;&gt;$B250,$B266&lt;&gt;$B251,$B267&lt;&gt;$B252,$B268&lt;&gt;$B253),IF($B265&lt;&gt;$B250,C250/INDEX($C243:$AJ253,8,MATCH(IF('Data-solution'!$A$3="Maximize",MAX($C254:$AI254),MIN($C254:$AI254)),$C254:$AI254,0)),C250-INDEX($C243:$AJ253,8,MATCH(IF('Data-solution'!$A$3="Maximize",MAX($C254:$AI254),MIN($C254:$AI254)),$C254:$AI254,0))*INDEX(C243:$AJ253,MATCH(MIN($AK243:$AK253),$AK243:$AK253,0),1)/INDEX($C243:$AJ253,MATCH(MIN($AK243:$AK253),$AK243:$AK253,0),MATCH(IF('Data-solution'!$A$3="Maximize",MAX($C254:$AI254),MIN($C254:$AI254)),$C254:$AI254,0))),C250)</f>
        <v>0</v>
      </c>
      <c r="D265" s="1">
        <f>IF(OR($B258&lt;&gt;$B243,$B259&lt;&gt;$B244,$B260&lt;&gt;$B245,$B261&lt;&gt;$B246,$B262&lt;&gt;$B247,$B263&lt;&gt;$B248,$B264&lt;&gt;$B249,$B265&lt;&gt;$B250,$B266&lt;&gt;$B251,$B267&lt;&gt;$B252,$B268&lt;&gt;$B253),IF($B265&lt;&gt;$B250,D250/INDEX($C243:$AJ253,8,MATCH(IF('Data-solution'!$A$3="Maximize",MAX($C254:$AI254),MIN($C254:$AI254)),$C254:$AI254,0)),D250-INDEX($C243:$AJ253,8,MATCH(IF('Data-solution'!$A$3="Maximize",MAX($C254:$AI254),MIN($C254:$AI254)),$C254:$AI254,0))*INDEX(D243:$AJ253,MATCH(MIN($AK243:$AK253),$AK243:$AK253,0),1)/INDEX($C243:$AJ253,MATCH(MIN($AK243:$AK253),$AK243:$AK253,0),MATCH(IF('Data-solution'!$A$3="Maximize",MAX($C254:$AI254),MIN($C254:$AI254)),$C254:$AI254,0))),D250)</f>
        <v>0</v>
      </c>
      <c r="E265" s="1">
        <f>IF(OR($B258&lt;&gt;$B243,$B259&lt;&gt;$B244,$B260&lt;&gt;$B245,$B261&lt;&gt;$B246,$B262&lt;&gt;$B247,$B263&lt;&gt;$B248,$B264&lt;&gt;$B249,$B265&lt;&gt;$B250,$B266&lt;&gt;$B251,$B267&lt;&gt;$B252,$B268&lt;&gt;$B253),IF($B265&lt;&gt;$B250,E250/INDEX($C243:$AJ253,8,MATCH(IF('Data-solution'!$A$3="Maximize",MAX($C254:$AI254),MIN($C254:$AI254)),$C254:$AI254,0)),E250-INDEX($C243:$AJ253,8,MATCH(IF('Data-solution'!$A$3="Maximize",MAX($C254:$AI254),MIN($C254:$AI254)),$C254:$AI254,0))*INDEX(E243:$AJ253,MATCH(MIN($AK243:$AK253),$AK243:$AK253,0),1)/INDEX($C243:$AJ253,MATCH(MIN($AK243:$AK253),$AK243:$AK253,0),MATCH(IF('Data-solution'!$A$3="Maximize",MAX($C254:$AI254),MIN($C254:$AI254)),$C254:$AI254,0))),E250)</f>
        <v>0</v>
      </c>
      <c r="F265" s="1">
        <f>IF(OR($B258&lt;&gt;$B243,$B259&lt;&gt;$B244,$B260&lt;&gt;$B245,$B261&lt;&gt;$B246,$B262&lt;&gt;$B247,$B263&lt;&gt;$B248,$B264&lt;&gt;$B249,$B265&lt;&gt;$B250,$B266&lt;&gt;$B251,$B267&lt;&gt;$B252,$B268&lt;&gt;$B253),IF($B265&lt;&gt;$B250,F250/INDEX($C243:$AJ253,8,MATCH(IF('Data-solution'!$A$3="Maximize",MAX($C254:$AI254),MIN($C254:$AI254)),$C254:$AI254,0)),F250-INDEX($C243:$AJ253,8,MATCH(IF('Data-solution'!$A$3="Maximize",MAX($C254:$AI254),MIN($C254:$AI254)),$C254:$AI254,0))*INDEX(F243:$AJ253,MATCH(MIN($AK243:$AK253),$AK243:$AK253,0),1)/INDEX($C243:$AJ253,MATCH(MIN($AK243:$AK253),$AK243:$AK253,0),MATCH(IF('Data-solution'!$A$3="Maximize",MAX($C254:$AI254),MIN($C254:$AI254)),$C254:$AI254,0))),F250)</f>
        <v>0</v>
      </c>
      <c r="G265" s="1">
        <f>IF(OR($B258&lt;&gt;$B243,$B259&lt;&gt;$B244,$B260&lt;&gt;$B245,$B261&lt;&gt;$B246,$B262&lt;&gt;$B247,$B263&lt;&gt;$B248,$B264&lt;&gt;$B249,$B265&lt;&gt;$B250,$B266&lt;&gt;$B251,$B267&lt;&gt;$B252,$B268&lt;&gt;$B253),IF($B265&lt;&gt;$B250,G250/INDEX($C243:$AJ253,8,MATCH(IF('Data-solution'!$A$3="Maximize",MAX($C254:$AI254),MIN($C254:$AI254)),$C254:$AI254,0)),G250-INDEX($C243:$AJ253,8,MATCH(IF('Data-solution'!$A$3="Maximize",MAX($C254:$AI254),MIN($C254:$AI254)),$C254:$AI254,0))*INDEX(G243:$AJ253,MATCH(MIN($AK243:$AK253),$AK243:$AK253,0),1)/INDEX($C243:$AJ253,MATCH(MIN($AK243:$AK253),$AK243:$AK253,0),MATCH(IF('Data-solution'!$A$3="Maximize",MAX($C254:$AI254),MIN($C254:$AI254)),$C254:$AI254,0))),G250)</f>
        <v>0</v>
      </c>
      <c r="H265" s="1">
        <f>IF(OR($B258&lt;&gt;$B243,$B259&lt;&gt;$B244,$B260&lt;&gt;$B245,$B261&lt;&gt;$B246,$B262&lt;&gt;$B247,$B263&lt;&gt;$B248,$B264&lt;&gt;$B249,$B265&lt;&gt;$B250,$B266&lt;&gt;$B251,$B267&lt;&gt;$B252,$B268&lt;&gt;$B253),IF($B265&lt;&gt;$B250,H250/INDEX($C243:$AJ253,8,MATCH(IF('Data-solution'!$A$3="Maximize",MAX($C254:$AI254),MIN($C254:$AI254)),$C254:$AI254,0)),H250-INDEX($C243:$AJ253,8,MATCH(IF('Data-solution'!$A$3="Maximize",MAX($C254:$AI254),MIN($C254:$AI254)),$C254:$AI254,0))*INDEX(H243:$AJ253,MATCH(MIN($AK243:$AK253),$AK243:$AK253,0),1)/INDEX($C243:$AJ253,MATCH(MIN($AK243:$AK253),$AK243:$AK253,0),MATCH(IF('Data-solution'!$A$3="Maximize",MAX($C254:$AI254),MIN($C254:$AI254)),$C254:$AI254,0))),H250)</f>
        <v>0</v>
      </c>
      <c r="I265" s="1">
        <f>IF(OR($B258&lt;&gt;$B243,$B259&lt;&gt;$B244,$B260&lt;&gt;$B245,$B261&lt;&gt;$B246,$B262&lt;&gt;$B247,$B263&lt;&gt;$B248,$B264&lt;&gt;$B249,$B265&lt;&gt;$B250,$B266&lt;&gt;$B251,$B267&lt;&gt;$B252,$B268&lt;&gt;$B253),IF($B265&lt;&gt;$B250,I250/INDEX($C243:$AJ253,8,MATCH(IF('Data-solution'!$A$3="Maximize",MAX($C254:$AI254),MIN($C254:$AI254)),$C254:$AI254,0)),I250-INDEX($C243:$AJ253,8,MATCH(IF('Data-solution'!$A$3="Maximize",MAX($C254:$AI254),MIN($C254:$AI254)),$C254:$AI254,0))*INDEX(I243:$AJ253,MATCH(MIN($AK243:$AK253),$AK243:$AK253,0),1)/INDEX($C243:$AJ253,MATCH(MIN($AK243:$AK253),$AK243:$AK253,0),MATCH(IF('Data-solution'!$A$3="Maximize",MAX($C254:$AI254),MIN($C254:$AI254)),$C254:$AI254,0))),I250)</f>
        <v>0</v>
      </c>
      <c r="J265" s="1">
        <f>IF(OR($B258&lt;&gt;$B243,$B259&lt;&gt;$B244,$B260&lt;&gt;$B245,$B261&lt;&gt;$B246,$B262&lt;&gt;$B247,$B263&lt;&gt;$B248,$B264&lt;&gt;$B249,$B265&lt;&gt;$B250,$B266&lt;&gt;$B251,$B267&lt;&gt;$B252,$B268&lt;&gt;$B253),IF($B265&lt;&gt;$B250,J250/INDEX($C243:$AJ253,8,MATCH(IF('Data-solution'!$A$3="Maximize",MAX($C254:$AI254),MIN($C254:$AI254)),$C254:$AI254,0)),J250-INDEX($C243:$AJ253,8,MATCH(IF('Data-solution'!$A$3="Maximize",MAX($C254:$AI254),MIN($C254:$AI254)),$C254:$AI254,0))*INDEX(J243:$AJ253,MATCH(MIN($AK243:$AK253),$AK243:$AK253,0),1)/INDEX($C243:$AJ253,MATCH(MIN($AK243:$AK253),$AK243:$AK253,0),MATCH(IF('Data-solution'!$A$3="Maximize",MAX($C254:$AI254),MIN($C254:$AI254)),$C254:$AI254,0))),J250)</f>
        <v>0</v>
      </c>
      <c r="K265" s="1">
        <f>IF(OR($B258&lt;&gt;$B243,$B259&lt;&gt;$B244,$B260&lt;&gt;$B245,$B261&lt;&gt;$B246,$B262&lt;&gt;$B247,$B263&lt;&gt;$B248,$B264&lt;&gt;$B249,$B265&lt;&gt;$B250,$B266&lt;&gt;$B251,$B267&lt;&gt;$B252,$B268&lt;&gt;$B253),IF($B265&lt;&gt;$B250,K250/INDEX($C243:$AJ253,8,MATCH(IF('Data-solution'!$A$3="Maximize",MAX($C254:$AI254),MIN($C254:$AI254)),$C254:$AI254,0)),K250-INDEX($C243:$AJ253,8,MATCH(IF('Data-solution'!$A$3="Maximize",MAX($C254:$AI254),MIN($C254:$AI254)),$C254:$AI254,0))*INDEX(K243:$AJ253,MATCH(MIN($AK243:$AK253),$AK243:$AK253,0),1)/INDEX($C243:$AJ253,MATCH(MIN($AK243:$AK253),$AK243:$AK253,0),MATCH(IF('Data-solution'!$A$3="Maximize",MAX($C254:$AI254),MIN($C254:$AI254)),$C254:$AI254,0))),K250)</f>
        <v>0</v>
      </c>
      <c r="L265" s="1">
        <f>IF(OR($B258&lt;&gt;$B243,$B259&lt;&gt;$B244,$B260&lt;&gt;$B245,$B261&lt;&gt;$B246,$B262&lt;&gt;$B247,$B263&lt;&gt;$B248,$B264&lt;&gt;$B249,$B265&lt;&gt;$B250,$B266&lt;&gt;$B251,$B267&lt;&gt;$B252,$B268&lt;&gt;$B253),IF($B265&lt;&gt;$B250,L250/INDEX($C243:$AJ253,8,MATCH(IF('Data-solution'!$A$3="Maximize",MAX($C254:$AI254),MIN($C254:$AI254)),$C254:$AI254,0)),L250-INDEX($C243:$AJ253,8,MATCH(IF('Data-solution'!$A$3="Maximize",MAX($C254:$AI254),MIN($C254:$AI254)),$C254:$AI254,0))*INDEX(L243:$AJ253,MATCH(MIN($AK243:$AK253),$AK243:$AK253,0),1)/INDEX($C243:$AJ253,MATCH(MIN($AK243:$AK253),$AK243:$AK253,0),MATCH(IF('Data-solution'!$A$3="Maximize",MAX($C254:$AI254),MIN($C254:$AI254)),$C254:$AI254,0))),L250)</f>
        <v>0</v>
      </c>
      <c r="M265" s="1">
        <f>IF(OR($B258&lt;&gt;$B243,$B259&lt;&gt;$B244,$B260&lt;&gt;$B245,$B261&lt;&gt;$B246,$B262&lt;&gt;$B247,$B263&lt;&gt;$B248,$B264&lt;&gt;$B249,$B265&lt;&gt;$B250,$B266&lt;&gt;$B251,$B267&lt;&gt;$B252,$B268&lt;&gt;$B253),IF($B265&lt;&gt;$B250,M250/INDEX($C243:$AJ253,8,MATCH(IF('Data-solution'!$A$3="Maximize",MAX($C254:$AI254),MIN($C254:$AI254)),$C254:$AI254,0)),M250-INDEX($C243:$AJ253,8,MATCH(IF('Data-solution'!$A$3="Maximize",MAX($C254:$AI254),MIN($C254:$AI254)),$C254:$AI254,0))*INDEX(M243:$AJ253,MATCH(MIN($AK243:$AK253),$AK243:$AK253,0),1)/INDEX($C243:$AJ253,MATCH(MIN($AK243:$AK253),$AK243:$AK253,0),MATCH(IF('Data-solution'!$A$3="Maximize",MAX($C254:$AI254),MIN($C254:$AI254)),$C254:$AI254,0))),M250)</f>
        <v>0</v>
      </c>
      <c r="N265" s="1">
        <f>IF(OR($B258&lt;&gt;$B243,$B259&lt;&gt;$B244,$B260&lt;&gt;$B245,$B261&lt;&gt;$B246,$B262&lt;&gt;$B247,$B263&lt;&gt;$B248,$B264&lt;&gt;$B249,$B265&lt;&gt;$B250,$B266&lt;&gt;$B251,$B267&lt;&gt;$B252,$B268&lt;&gt;$B253),IF($B265&lt;&gt;$B250,N250/INDEX($C243:$AJ253,8,MATCH(IF('Data-solution'!$A$3="Maximize",MAX($C254:$AI254),MIN($C254:$AI254)),$C254:$AI254,0)),N250-INDEX($C243:$AJ253,8,MATCH(IF('Data-solution'!$A$3="Maximize",MAX($C254:$AI254),MIN($C254:$AI254)),$C254:$AI254,0))*INDEX(N243:$AJ253,MATCH(MIN($AK243:$AK253),$AK243:$AK253,0),1)/INDEX($C243:$AJ253,MATCH(MIN($AK243:$AK253),$AK243:$AK253,0),MATCH(IF('Data-solution'!$A$3="Maximize",MAX($C254:$AI254),MIN($C254:$AI254)),$C254:$AI254,0))),N250)</f>
        <v>0</v>
      </c>
      <c r="O265" s="1">
        <f>IF(OR($B258&lt;&gt;$B243,$B259&lt;&gt;$B244,$B260&lt;&gt;$B245,$B261&lt;&gt;$B246,$B262&lt;&gt;$B247,$B263&lt;&gt;$B248,$B264&lt;&gt;$B249,$B265&lt;&gt;$B250,$B266&lt;&gt;$B251,$B267&lt;&gt;$B252,$B268&lt;&gt;$B253),IF($B265&lt;&gt;$B250,O250/INDEX($C243:$AJ253,8,MATCH(IF('Data-solution'!$A$3="Maximize",MAX($C254:$AI254),MIN($C254:$AI254)),$C254:$AI254,0)),O250-INDEX($C243:$AJ253,8,MATCH(IF('Data-solution'!$A$3="Maximize",MAX($C254:$AI254),MIN($C254:$AI254)),$C254:$AI254,0))*INDEX(O243:$AJ253,MATCH(MIN($AK243:$AK253),$AK243:$AK253,0),1)/INDEX($C243:$AJ253,MATCH(MIN($AK243:$AK253),$AK243:$AK253,0),MATCH(IF('Data-solution'!$A$3="Maximize",MAX($C254:$AI254),MIN($C254:$AI254)),$C254:$AI254,0))),O250)</f>
        <v>0</v>
      </c>
      <c r="P265" s="1">
        <f>IF(OR($B258&lt;&gt;$B243,$B259&lt;&gt;$B244,$B260&lt;&gt;$B245,$B261&lt;&gt;$B246,$B262&lt;&gt;$B247,$B263&lt;&gt;$B248,$B264&lt;&gt;$B249,$B265&lt;&gt;$B250,$B266&lt;&gt;$B251,$B267&lt;&gt;$B252,$B268&lt;&gt;$B253),IF($B265&lt;&gt;$B250,P250/INDEX($C243:$AJ253,8,MATCH(IF('Data-solution'!$A$3="Maximize",MAX($C254:$AI254),MIN($C254:$AI254)),$C254:$AI254,0)),P250-INDEX($C243:$AJ253,8,MATCH(IF('Data-solution'!$A$3="Maximize",MAX($C254:$AI254),MIN($C254:$AI254)),$C254:$AI254,0))*INDEX(P243:$AJ253,MATCH(MIN($AK243:$AK253),$AK243:$AK253,0),1)/INDEX($C243:$AJ253,MATCH(MIN($AK243:$AK253),$AK243:$AK253,0),MATCH(IF('Data-solution'!$A$3="Maximize",MAX($C254:$AI254),MIN($C254:$AI254)),$C254:$AI254,0))),P250)</f>
        <v>0</v>
      </c>
      <c r="Q265" s="1">
        <f>IF(OR($B258&lt;&gt;$B243,$B259&lt;&gt;$B244,$B260&lt;&gt;$B245,$B261&lt;&gt;$B246,$B262&lt;&gt;$B247,$B263&lt;&gt;$B248,$B264&lt;&gt;$B249,$B265&lt;&gt;$B250,$B266&lt;&gt;$B251,$B267&lt;&gt;$B252,$B268&lt;&gt;$B253),IF($B265&lt;&gt;$B250,Q250/INDEX($C243:$AJ253,8,MATCH(IF('Data-solution'!$A$3="Maximize",MAX($C254:$AI254),MIN($C254:$AI254)),$C254:$AI254,0)),Q250-INDEX($C243:$AJ253,8,MATCH(IF('Data-solution'!$A$3="Maximize",MAX($C254:$AI254),MIN($C254:$AI254)),$C254:$AI254,0))*INDEX(Q243:$AJ253,MATCH(MIN($AK243:$AK253),$AK243:$AK253,0),1)/INDEX($C243:$AJ253,MATCH(MIN($AK243:$AK253),$AK243:$AK253,0),MATCH(IF('Data-solution'!$A$3="Maximize",MAX($C254:$AI254),MIN($C254:$AI254)),$C254:$AI254,0))),Q250)</f>
        <v>0</v>
      </c>
      <c r="R265" s="1">
        <f>IF(OR($B258&lt;&gt;$B243,$B259&lt;&gt;$B244,$B260&lt;&gt;$B245,$B261&lt;&gt;$B246,$B262&lt;&gt;$B247,$B263&lt;&gt;$B248,$B264&lt;&gt;$B249,$B265&lt;&gt;$B250,$B266&lt;&gt;$B251,$B267&lt;&gt;$B252,$B268&lt;&gt;$B253),IF($B265&lt;&gt;$B250,R250/INDEX($C243:$AJ253,8,MATCH(IF('Data-solution'!$A$3="Maximize",MAX($C254:$AI254),MIN($C254:$AI254)),$C254:$AI254,0)),R250-INDEX($C243:$AJ253,8,MATCH(IF('Data-solution'!$A$3="Maximize",MAX($C254:$AI254),MIN($C254:$AI254)),$C254:$AI254,0))*INDEX(R243:$AJ253,MATCH(MIN($AK243:$AK253),$AK243:$AK253,0),1)/INDEX($C243:$AJ253,MATCH(MIN($AK243:$AK253),$AK243:$AK253,0),MATCH(IF('Data-solution'!$A$3="Maximize",MAX($C254:$AI254),MIN($C254:$AI254)),$C254:$AI254,0))),R250)</f>
        <v>0</v>
      </c>
      <c r="S265" s="1">
        <f>IF(OR($B258&lt;&gt;$B243,$B259&lt;&gt;$B244,$B260&lt;&gt;$B245,$B261&lt;&gt;$B246,$B262&lt;&gt;$B247,$B263&lt;&gt;$B248,$B264&lt;&gt;$B249,$B265&lt;&gt;$B250,$B266&lt;&gt;$B251,$B267&lt;&gt;$B252,$B268&lt;&gt;$B253),IF($B265&lt;&gt;$B250,S250/INDEX($C243:$AJ253,8,MATCH(IF('Data-solution'!$A$3="Maximize",MAX($C254:$AI254),MIN($C254:$AI254)),$C254:$AI254,0)),S250-INDEX($C243:$AJ253,8,MATCH(IF('Data-solution'!$A$3="Maximize",MAX($C254:$AI254),MIN($C254:$AI254)),$C254:$AI254,0))*INDEX(S243:$AJ253,MATCH(MIN($AK243:$AK253),$AK243:$AK253,0),1)/INDEX($C243:$AJ253,MATCH(MIN($AK243:$AK253),$AK243:$AK253,0),MATCH(IF('Data-solution'!$A$3="Maximize",MAX($C254:$AI254),MIN($C254:$AI254)),$C254:$AI254,0))),S250)</f>
        <v>0</v>
      </c>
      <c r="T265" s="1">
        <f>IF(OR($B258&lt;&gt;$B243,$B259&lt;&gt;$B244,$B260&lt;&gt;$B245,$B261&lt;&gt;$B246,$B262&lt;&gt;$B247,$B263&lt;&gt;$B248,$B264&lt;&gt;$B249,$B265&lt;&gt;$B250,$B266&lt;&gt;$B251,$B267&lt;&gt;$B252,$B268&lt;&gt;$B253),IF($B265&lt;&gt;$B250,T250/INDEX($C243:$AJ253,8,MATCH(IF('Data-solution'!$A$3="Maximize",MAX($C254:$AI254),MIN($C254:$AI254)),$C254:$AI254,0)),T250-INDEX($C243:$AJ253,8,MATCH(IF('Data-solution'!$A$3="Maximize",MAX($C254:$AI254),MIN($C254:$AI254)),$C254:$AI254,0))*INDEX(T243:$AJ253,MATCH(MIN($AK243:$AK253),$AK243:$AK253,0),1)/INDEX($C243:$AJ253,MATCH(MIN($AK243:$AK253),$AK243:$AK253,0),MATCH(IF('Data-solution'!$A$3="Maximize",MAX($C254:$AI254),MIN($C254:$AI254)),$C254:$AI254,0))),T250)</f>
        <v>0</v>
      </c>
      <c r="U265" s="1">
        <f>IF(OR($B258&lt;&gt;$B243,$B259&lt;&gt;$B244,$B260&lt;&gt;$B245,$B261&lt;&gt;$B246,$B262&lt;&gt;$B247,$B263&lt;&gt;$B248,$B264&lt;&gt;$B249,$B265&lt;&gt;$B250,$B266&lt;&gt;$B251,$B267&lt;&gt;$B252,$B268&lt;&gt;$B253),IF($B265&lt;&gt;$B250,U250/INDEX($C243:$AJ253,8,MATCH(IF('Data-solution'!$A$3="Maximize",MAX($C254:$AI254),MIN($C254:$AI254)),$C254:$AI254,0)),U250-INDEX($C243:$AJ253,8,MATCH(IF('Data-solution'!$A$3="Maximize",MAX($C254:$AI254),MIN($C254:$AI254)),$C254:$AI254,0))*INDEX(U243:$AJ253,MATCH(MIN($AK243:$AK253),$AK243:$AK253,0),1)/INDEX($C243:$AJ253,MATCH(MIN($AK243:$AK253),$AK243:$AK253,0),MATCH(IF('Data-solution'!$A$3="Maximize",MAX($C254:$AI254),MIN($C254:$AI254)),$C254:$AI254,0))),U250)</f>
        <v>1</v>
      </c>
      <c r="V265" s="1">
        <f>IF(OR($B258&lt;&gt;$B243,$B259&lt;&gt;$B244,$B260&lt;&gt;$B245,$B261&lt;&gt;$B246,$B262&lt;&gt;$B247,$B263&lt;&gt;$B248,$B264&lt;&gt;$B249,$B265&lt;&gt;$B250,$B266&lt;&gt;$B251,$B267&lt;&gt;$B252,$B268&lt;&gt;$B253),IF($B265&lt;&gt;$B250,V250/INDEX($C243:$AJ253,8,MATCH(IF('Data-solution'!$A$3="Maximize",MAX($C254:$AI254),MIN($C254:$AI254)),$C254:$AI254,0)),V250-INDEX($C243:$AJ253,8,MATCH(IF('Data-solution'!$A$3="Maximize",MAX($C254:$AI254),MIN($C254:$AI254)),$C254:$AI254,0))*INDEX(V243:$AJ253,MATCH(MIN($AK243:$AK253),$AK243:$AK253,0),1)/INDEX($C243:$AJ253,MATCH(MIN($AK243:$AK253),$AK243:$AK253,0),MATCH(IF('Data-solution'!$A$3="Maximize",MAX($C254:$AI254),MIN($C254:$AI254)),$C254:$AI254,0))),V250)</f>
        <v>0</v>
      </c>
      <c r="W265" s="1">
        <f>IF(OR($B258&lt;&gt;$B243,$B259&lt;&gt;$B244,$B260&lt;&gt;$B245,$B261&lt;&gt;$B246,$B262&lt;&gt;$B247,$B263&lt;&gt;$B248,$B264&lt;&gt;$B249,$B265&lt;&gt;$B250,$B266&lt;&gt;$B251,$B267&lt;&gt;$B252,$B268&lt;&gt;$B253),IF($B265&lt;&gt;$B250,W250/INDEX($C243:$AJ253,8,MATCH(IF('Data-solution'!$A$3="Maximize",MAX($C254:$AI254),MIN($C254:$AI254)),$C254:$AI254,0)),W250-INDEX($C243:$AJ253,8,MATCH(IF('Data-solution'!$A$3="Maximize",MAX($C254:$AI254),MIN($C254:$AI254)),$C254:$AI254,0))*INDEX(W243:$AJ253,MATCH(MIN($AK243:$AK253),$AK243:$AK253,0),1)/INDEX($C243:$AJ253,MATCH(MIN($AK243:$AK253),$AK243:$AK253,0),MATCH(IF('Data-solution'!$A$3="Maximize",MAX($C254:$AI254),MIN($C254:$AI254)),$C254:$AI254,0))),W250)</f>
        <v>0</v>
      </c>
      <c r="X265" s="1">
        <f>IF(OR($B258&lt;&gt;$B243,$B259&lt;&gt;$B244,$B260&lt;&gt;$B245,$B261&lt;&gt;$B246,$B262&lt;&gt;$B247,$B263&lt;&gt;$B248,$B264&lt;&gt;$B249,$B265&lt;&gt;$B250,$B266&lt;&gt;$B251,$B267&lt;&gt;$B252,$B268&lt;&gt;$B253),IF($B265&lt;&gt;$B250,X250/INDEX($C243:$AJ253,8,MATCH(IF('Data-solution'!$A$3="Maximize",MAX($C254:$AI254),MIN($C254:$AI254)),$C254:$AI254,0)),X250-INDEX($C243:$AJ253,8,MATCH(IF('Data-solution'!$A$3="Maximize",MAX($C254:$AI254),MIN($C254:$AI254)),$C254:$AI254,0))*INDEX(X243:$AJ253,MATCH(MIN($AK243:$AK253),$AK243:$AK253,0),1)/INDEX($C243:$AJ253,MATCH(MIN($AK243:$AK253),$AK243:$AK253,0),MATCH(IF('Data-solution'!$A$3="Maximize",MAX($C254:$AI254),MIN($C254:$AI254)),$C254:$AI254,0))),X250)</f>
        <v>0</v>
      </c>
      <c r="Y265" s="1">
        <f>IF(OR($B258&lt;&gt;$B243,$B259&lt;&gt;$B244,$B260&lt;&gt;$B245,$B261&lt;&gt;$B246,$B262&lt;&gt;$B247,$B263&lt;&gt;$B248,$B264&lt;&gt;$B249,$B265&lt;&gt;$B250,$B266&lt;&gt;$B251,$B267&lt;&gt;$B252,$B268&lt;&gt;$B253),IF($B265&lt;&gt;$B250,Y250/INDEX($C243:$AJ253,8,MATCH(IF('Data-solution'!$A$3="Maximize",MAX($C254:$AI254),MIN($C254:$AI254)),$C254:$AI254,0)),Y250-INDEX($C243:$AJ253,8,MATCH(IF('Data-solution'!$A$3="Maximize",MAX($C254:$AI254),MIN($C254:$AI254)),$C254:$AI254,0))*INDEX(Y243:$AJ253,MATCH(MIN($AK243:$AK253),$AK243:$AK253,0),1)/INDEX($C243:$AJ253,MATCH(MIN($AK243:$AK253),$AK243:$AK253,0),MATCH(IF('Data-solution'!$A$3="Maximize",MAX($C254:$AI254),MIN($C254:$AI254)),$C254:$AI254,0))),Y250)</f>
        <v>0</v>
      </c>
      <c r="Z265" s="1">
        <f>IF(OR($B258&lt;&gt;$B243,$B259&lt;&gt;$B244,$B260&lt;&gt;$B245,$B261&lt;&gt;$B246,$B262&lt;&gt;$B247,$B263&lt;&gt;$B248,$B264&lt;&gt;$B249,$B265&lt;&gt;$B250,$B266&lt;&gt;$B251,$B267&lt;&gt;$B252,$B268&lt;&gt;$B253),IF($B265&lt;&gt;$B250,Z250/INDEX($C243:$AJ253,8,MATCH(IF('Data-solution'!$A$3="Maximize",MAX($C254:$AI254),MIN($C254:$AI254)),$C254:$AI254,0)),Z250-INDEX($C243:$AJ253,8,MATCH(IF('Data-solution'!$A$3="Maximize",MAX($C254:$AI254),MIN($C254:$AI254)),$C254:$AI254,0))*INDEX(Z243:$AJ253,MATCH(MIN($AK243:$AK253),$AK243:$AK253,0),1)/INDEX($C243:$AJ253,MATCH(MIN($AK243:$AK253),$AK243:$AK253,0),MATCH(IF('Data-solution'!$A$3="Maximize",MAX($C254:$AI254),MIN($C254:$AI254)),$C254:$AI254,0))),Z250)</f>
        <v>0</v>
      </c>
      <c r="AA265" s="1">
        <f>IF(OR($B258&lt;&gt;$B243,$B259&lt;&gt;$B244,$B260&lt;&gt;$B245,$B261&lt;&gt;$B246,$B262&lt;&gt;$B247,$B263&lt;&gt;$B248,$B264&lt;&gt;$B249,$B265&lt;&gt;$B250,$B266&lt;&gt;$B251,$B267&lt;&gt;$B252,$B268&lt;&gt;$B253),IF($B265&lt;&gt;$B250,AA250/INDEX($C243:$AJ253,8,MATCH(IF('Data-solution'!$A$3="Maximize",MAX($C254:$AI254),MIN($C254:$AI254)),$C254:$AI254,0)),AA250-INDEX($C243:$AJ253,8,MATCH(IF('Data-solution'!$A$3="Maximize",MAX($C254:$AI254),MIN($C254:$AI254)),$C254:$AI254,0))*INDEX(AA243:$AJ253,MATCH(MIN($AK243:$AK253),$AK243:$AK253,0),1)/INDEX($C243:$AJ253,MATCH(MIN($AK243:$AK253),$AK243:$AK253,0),MATCH(IF('Data-solution'!$A$3="Maximize",MAX($C254:$AI254),MIN($C254:$AI254)),$C254:$AI254,0))),AA250)</f>
        <v>0</v>
      </c>
      <c r="AB265" s="1">
        <f>IF(OR($B258&lt;&gt;$B243,$B259&lt;&gt;$B244,$B260&lt;&gt;$B245,$B261&lt;&gt;$B246,$B262&lt;&gt;$B247,$B263&lt;&gt;$B248,$B264&lt;&gt;$B249,$B265&lt;&gt;$B250,$B266&lt;&gt;$B251,$B267&lt;&gt;$B252,$B268&lt;&gt;$B253),IF($B265&lt;&gt;$B250,AB250/INDEX($C243:$AJ253,8,MATCH(IF('Data-solution'!$A$3="Maximize",MAX($C254:$AI254),MIN($C254:$AI254)),$C254:$AI254,0)),AB250-INDEX($C243:$AJ253,8,MATCH(IF('Data-solution'!$A$3="Maximize",MAX($C254:$AI254),MIN($C254:$AI254)),$C254:$AI254,0))*INDEX(AB243:$AJ253,MATCH(MIN($AK243:$AK253),$AK243:$AK253,0),1)/INDEX($C243:$AJ253,MATCH(MIN($AK243:$AK253),$AK243:$AK253,0),MATCH(IF('Data-solution'!$A$3="Maximize",MAX($C254:$AI254),MIN($C254:$AI254)),$C254:$AI254,0))),AB250)</f>
        <v>0</v>
      </c>
      <c r="AC265" s="1">
        <f>IF(OR($B258&lt;&gt;$B243,$B259&lt;&gt;$B244,$B260&lt;&gt;$B245,$B261&lt;&gt;$B246,$B262&lt;&gt;$B247,$B263&lt;&gt;$B248,$B264&lt;&gt;$B249,$B265&lt;&gt;$B250,$B266&lt;&gt;$B251,$B267&lt;&gt;$B252,$B268&lt;&gt;$B253),IF($B265&lt;&gt;$B250,AC250/INDEX($C243:$AJ253,8,MATCH(IF('Data-solution'!$A$3="Maximize",MAX($C254:$AI254),MIN($C254:$AI254)),$C254:$AI254,0)),AC250-INDEX($C243:$AJ253,8,MATCH(IF('Data-solution'!$A$3="Maximize",MAX($C254:$AI254),MIN($C254:$AI254)),$C254:$AI254,0))*INDEX(AC243:$AJ253,MATCH(MIN($AK243:$AK253),$AK243:$AK253,0),1)/INDEX($C243:$AJ253,MATCH(MIN($AK243:$AK253),$AK243:$AK253,0),MATCH(IF('Data-solution'!$A$3="Maximize",MAX($C254:$AI254),MIN($C254:$AI254)),$C254:$AI254,0))),AC250)</f>
        <v>0</v>
      </c>
      <c r="AD265" s="1">
        <f>IF(OR($B258&lt;&gt;$B243,$B259&lt;&gt;$B244,$B260&lt;&gt;$B245,$B261&lt;&gt;$B246,$B262&lt;&gt;$B247,$B263&lt;&gt;$B248,$B264&lt;&gt;$B249,$B265&lt;&gt;$B250,$B266&lt;&gt;$B251,$B267&lt;&gt;$B252,$B268&lt;&gt;$B253),IF($B265&lt;&gt;$B250,AD250/INDEX($C243:$AJ253,8,MATCH(IF('Data-solution'!$A$3="Maximize",MAX($C254:$AI254),MIN($C254:$AI254)),$C254:$AI254,0)),AD250-INDEX($C243:$AJ253,8,MATCH(IF('Data-solution'!$A$3="Maximize",MAX($C254:$AI254),MIN($C254:$AI254)),$C254:$AI254,0))*INDEX(AD243:$AJ253,MATCH(MIN($AK243:$AK253),$AK243:$AK253,0),1)/INDEX($C243:$AJ253,MATCH(MIN($AK243:$AK253),$AK243:$AK253,0),MATCH(IF('Data-solution'!$A$3="Maximize",MAX($C254:$AI254),MIN($C254:$AI254)),$C254:$AI254,0))),AD250)</f>
        <v>0</v>
      </c>
      <c r="AE265" s="1">
        <f>IF(OR($B258&lt;&gt;$B243,$B259&lt;&gt;$B244,$B260&lt;&gt;$B245,$B261&lt;&gt;$B246,$B262&lt;&gt;$B247,$B263&lt;&gt;$B248,$B264&lt;&gt;$B249,$B265&lt;&gt;$B250,$B266&lt;&gt;$B251,$B267&lt;&gt;$B252,$B268&lt;&gt;$B253),IF($B265&lt;&gt;$B250,AE250/INDEX($C243:$AJ253,8,MATCH(IF('Data-solution'!$A$3="Maximize",MAX($C254:$AI254),MIN($C254:$AI254)),$C254:$AI254,0)),AE250-INDEX($C243:$AJ253,8,MATCH(IF('Data-solution'!$A$3="Maximize",MAX($C254:$AI254),MIN($C254:$AI254)),$C254:$AI254,0))*INDEX(AE243:$AJ253,MATCH(MIN($AK243:$AK253),$AK243:$AK253,0),1)/INDEX($C243:$AJ253,MATCH(MIN($AK243:$AK253),$AK243:$AK253,0),MATCH(IF('Data-solution'!$A$3="Maximize",MAX($C254:$AI254),MIN($C254:$AI254)),$C254:$AI254,0))),AE250)</f>
        <v>0</v>
      </c>
      <c r="AF265" s="1">
        <f>IF(OR($B258&lt;&gt;$B243,$B259&lt;&gt;$B244,$B260&lt;&gt;$B245,$B261&lt;&gt;$B246,$B262&lt;&gt;$B247,$B263&lt;&gt;$B248,$B264&lt;&gt;$B249,$B265&lt;&gt;$B250,$B266&lt;&gt;$B251,$B267&lt;&gt;$B252,$B268&lt;&gt;$B253),IF($B265&lt;&gt;$B250,AF250/INDEX($C243:$AJ253,8,MATCH(IF('Data-solution'!$A$3="Maximize",MAX($C254:$AI254),MIN($C254:$AI254)),$C254:$AI254,0)),AF250-INDEX($C243:$AJ253,8,MATCH(IF('Data-solution'!$A$3="Maximize",MAX($C254:$AI254),MIN($C254:$AI254)),$C254:$AI254,0))*INDEX(AF243:$AJ253,MATCH(MIN($AK243:$AK253),$AK243:$AK253,0),1)/INDEX($C243:$AJ253,MATCH(MIN($AK243:$AK253),$AK243:$AK253,0),MATCH(IF('Data-solution'!$A$3="Maximize",MAX($C254:$AI254),MIN($C254:$AI254)),$C254:$AI254,0))),AF250)</f>
        <v>1</v>
      </c>
      <c r="AG265" s="1">
        <f>IF(OR($B258&lt;&gt;$B243,$B259&lt;&gt;$B244,$B260&lt;&gt;$B245,$B261&lt;&gt;$B246,$B262&lt;&gt;$B247,$B263&lt;&gt;$B248,$B264&lt;&gt;$B249,$B265&lt;&gt;$B250,$B266&lt;&gt;$B251,$B267&lt;&gt;$B252,$B268&lt;&gt;$B253),IF($B265&lt;&gt;$B250,AG250/INDEX($C243:$AJ253,8,MATCH(IF('Data-solution'!$A$3="Maximize",MAX($C254:$AI254),MIN($C254:$AI254)),$C254:$AI254,0)),AG250-INDEX($C243:$AJ253,8,MATCH(IF('Data-solution'!$A$3="Maximize",MAX($C254:$AI254),MIN($C254:$AI254)),$C254:$AI254,0))*INDEX(AG243:$AJ253,MATCH(MIN($AK243:$AK253),$AK243:$AK253,0),1)/INDEX($C243:$AJ253,MATCH(MIN($AK243:$AK253),$AK243:$AK253,0),MATCH(IF('Data-solution'!$A$3="Maximize",MAX($C254:$AI254),MIN($C254:$AI254)),$C254:$AI254,0))),AG250)</f>
        <v>0</v>
      </c>
      <c r="AH265" s="1">
        <f>IF(OR($B258&lt;&gt;$B243,$B259&lt;&gt;$B244,$B260&lt;&gt;$B245,$B261&lt;&gt;$B246,$B262&lt;&gt;$B247,$B263&lt;&gt;$B248,$B264&lt;&gt;$B249,$B265&lt;&gt;$B250,$B266&lt;&gt;$B251,$B267&lt;&gt;$B252,$B268&lt;&gt;$B253),IF($B265&lt;&gt;$B250,AH250/INDEX($C243:$AJ253,8,MATCH(IF('Data-solution'!$A$3="Maximize",MAX($C254:$AI254),MIN($C254:$AI254)),$C254:$AI254,0)),AH250-INDEX($C243:$AJ253,8,MATCH(IF('Data-solution'!$A$3="Maximize",MAX($C254:$AI254),MIN($C254:$AI254)),$C254:$AI254,0))*INDEX(AH243:$AJ253,MATCH(MIN($AK243:$AK253),$AK243:$AK253,0),1)/INDEX($C243:$AJ253,MATCH(MIN($AK243:$AK253),$AK243:$AK253,0),MATCH(IF('Data-solution'!$A$3="Maximize",MAX($C254:$AI254),MIN($C254:$AI254)),$C254:$AI254,0))),AH250)</f>
        <v>0</v>
      </c>
      <c r="AI265" s="1">
        <f>IF(OR($B258&lt;&gt;$B243,$B259&lt;&gt;$B244,$B260&lt;&gt;$B245,$B261&lt;&gt;$B246,$B262&lt;&gt;$B247,$B263&lt;&gt;$B248,$B264&lt;&gt;$B249,$B265&lt;&gt;$B250,$B266&lt;&gt;$B251,$B267&lt;&gt;$B252,$B268&lt;&gt;$B253),IF($B265&lt;&gt;$B250,AI250/INDEX($C243:$AJ253,8,MATCH(IF('Data-solution'!$A$3="Maximize",MAX($C254:$AI254),MIN($C254:$AI254)),$C254:$AI254,0)),AI250-INDEX($C243:$AJ253,8,MATCH(IF('Data-solution'!$A$3="Maximize",MAX($C254:$AI254),MIN($C254:$AI254)),$C254:$AI254,0))*INDEX(AI243:$AJ253,MATCH(MIN($AK243:$AK253),$AK243:$AK253,0),1)/INDEX($C243:$AJ253,MATCH(MIN($AK243:$AK253),$AK243:$AK253,0),MATCH(IF('Data-solution'!$A$3="Maximize",MAX($C254:$AI254),MIN($C254:$AI254)),$C254:$AI254,0))),AI250)</f>
        <v>0</v>
      </c>
      <c r="AJ265" s="1">
        <f>IF(OR($B258&lt;&gt;$B243,$B259&lt;&gt;$B244,$B260&lt;&gt;$B245,$B261&lt;&gt;$B246,$B262&lt;&gt;$B247,$B263&lt;&gt;$B248,$B264&lt;&gt;$B249,$B265&lt;&gt;$B250,$B266&lt;&gt;$B251,$B267&lt;&gt;$B252,$B268&lt;&gt;$B253),IF($B265&lt;&gt;$B250,AJ250/INDEX($C243:$AJ253,8,MATCH(IF('Data-solution'!$A$3="Maximize",MAX($C254:$AI254),MIN($C254:$AI254)),$C254:$AI254,0)),AJ250-INDEX($C243:$AJ253,8,MATCH(IF('Data-solution'!$A$3="Maximize",MAX($C254:$AI254),MIN($C254:$AI254)),$C254:$AI254,0))*INDEX(AJ243:$AJ253,MATCH(MIN($AK243:$AK253),$AK243:$AK253,0),1)/INDEX($C243:$AJ253,MATCH(MIN($AK243:$AK253),$AK243:$AK253,0),MATCH(IF('Data-solution'!$A$3="Maximize",MAX($C254:$AI254),MIN($C254:$AI254)),$C254:$AI254,0))),AJ250)</f>
        <v>0</v>
      </c>
      <c r="AK265" s="1" t="str">
        <f>IF(INDEX(C265:X265,1,MATCH(IF('Data-solution'!A$3="Maximize",MAX(C269:X269),MIN(C269:X269)),C269:X269,0))&gt;0,AJ265/INDEX(C265:X265,1,MATCH(IF('Data-solution'!A$3="Maximize",MAX(C269:X269),MIN(C269:X269)),C269:X269,0))," ")</f>
        <v xml:space="preserve"> </v>
      </c>
    </row>
    <row r="266" spans="1:37" ht="18" customHeight="1" x14ac:dyDescent="0.2">
      <c r="A266" s="1">
        <f t="shared" ref="A266" si="238">INDEX(C256:AI256,1,MATCH(B266,C257:AI257,0))</f>
        <v>0</v>
      </c>
      <c r="B266" s="2" t="str">
        <f>IF(AND('Data-solution'!A$3="Maximize",COUNTIF(C254:X254,"&gt;"&amp;0)&gt;0,AK251=MIN(AK243:AK253),COUNTIF(B258:B265,INDEX(C242:X242,1,MATCH(MAX(C254:X254),C254:X254,0)))=0),INDEX(C242:X242,1,MATCH(MAX(C254:X254),C254:X254,0)),IF(AND('Data-solution'!A$3="Minimize",COUNTIF(C254:X254,"&lt;"&amp;0)&gt;0,AK251=MIN(AK243:AK253),COUNTIF(B258:B265,INDEX(C242:X242,1,MATCH(MIN(C254:X254),C254:X254,0)))=0),INDEX(C242:X242,1,MATCH(MIN(C254:X254),C254:X254,0)),B251))</f>
        <v>S9</v>
      </c>
      <c r="C266" s="1">
        <f>IF(OR($B258&lt;&gt;$B243,$B259&lt;&gt;$B244,$B260&lt;&gt;$B245,$B261&lt;&gt;$B246,$B262&lt;&gt;$B247,$B263&lt;&gt;$B248,$B264&lt;&gt;$B249,$B265&lt;&gt;$B250,$B266&lt;&gt;$B251,$B267&lt;&gt;$B252,$B268&lt;&gt;$B253),IF($B266&lt;&gt;$B251,C251/INDEX($C243:$AJ253,9,MATCH(IF('Data-solution'!$A$3="Maximize",MAX($C254:$AI254),MIN($C254:$AI254)),$C254:$AI254,0)),C251-INDEX($C243:$AJ253,9,MATCH(IF('Data-solution'!$A$3="Maximize",MAX($C254:$AI254),MIN($C254:$AI254)),$C254:$AI254,0))*INDEX(C243:$AJ253,MATCH(MIN($AK243:$AK253),$AK243:$AK253,0),1)/INDEX($C243:$AJ253,MATCH(MIN($AK243:$AK253),$AK243:$AK253,0),MATCH(IF('Data-solution'!$A$3="Maximize",MAX($C254:$AI254),MIN($C254:$AI254)),$C254:$AI254,0))),C251)</f>
        <v>0</v>
      </c>
      <c r="D266" s="1">
        <f>IF(OR($B258&lt;&gt;$B243,$B259&lt;&gt;$B244,$B260&lt;&gt;$B245,$B261&lt;&gt;$B246,$B262&lt;&gt;$B247,$B263&lt;&gt;$B248,$B264&lt;&gt;$B249,$B265&lt;&gt;$B250,$B266&lt;&gt;$B251,$B267&lt;&gt;$B252,$B268&lt;&gt;$B253),IF($B266&lt;&gt;$B251,D251/INDEX($C243:$AJ253,9,MATCH(IF('Data-solution'!$A$3="Maximize",MAX($C254:$AI254),MIN($C254:$AI254)),$C254:$AI254,0)),D251-INDEX($C243:$AJ253,9,MATCH(IF('Data-solution'!$A$3="Maximize",MAX($C254:$AI254),MIN($C254:$AI254)),$C254:$AI254,0))*INDEX(D243:$AJ253,MATCH(MIN($AK243:$AK253),$AK243:$AK253,0),1)/INDEX($C243:$AJ253,MATCH(MIN($AK243:$AK253),$AK243:$AK253,0),MATCH(IF('Data-solution'!$A$3="Maximize",MAX($C254:$AI254),MIN($C254:$AI254)),$C254:$AI254,0))),D251)</f>
        <v>0</v>
      </c>
      <c r="E266" s="1">
        <f>IF(OR($B258&lt;&gt;$B243,$B259&lt;&gt;$B244,$B260&lt;&gt;$B245,$B261&lt;&gt;$B246,$B262&lt;&gt;$B247,$B263&lt;&gt;$B248,$B264&lt;&gt;$B249,$B265&lt;&gt;$B250,$B266&lt;&gt;$B251,$B267&lt;&gt;$B252,$B268&lt;&gt;$B253),IF($B266&lt;&gt;$B251,E251/INDEX($C243:$AJ253,9,MATCH(IF('Data-solution'!$A$3="Maximize",MAX($C254:$AI254),MIN($C254:$AI254)),$C254:$AI254,0)),E251-INDEX($C243:$AJ253,9,MATCH(IF('Data-solution'!$A$3="Maximize",MAX($C254:$AI254),MIN($C254:$AI254)),$C254:$AI254,0))*INDEX(E243:$AJ253,MATCH(MIN($AK243:$AK253),$AK243:$AK253,0),1)/INDEX($C243:$AJ253,MATCH(MIN($AK243:$AK253),$AK243:$AK253,0),MATCH(IF('Data-solution'!$A$3="Maximize",MAX($C254:$AI254),MIN($C254:$AI254)),$C254:$AI254,0))),E251)</f>
        <v>0</v>
      </c>
      <c r="F266" s="1">
        <f>IF(OR($B258&lt;&gt;$B243,$B259&lt;&gt;$B244,$B260&lt;&gt;$B245,$B261&lt;&gt;$B246,$B262&lt;&gt;$B247,$B263&lt;&gt;$B248,$B264&lt;&gt;$B249,$B265&lt;&gt;$B250,$B266&lt;&gt;$B251,$B267&lt;&gt;$B252,$B268&lt;&gt;$B253),IF($B266&lt;&gt;$B251,F251/INDEX($C243:$AJ253,9,MATCH(IF('Data-solution'!$A$3="Maximize",MAX($C254:$AI254),MIN($C254:$AI254)),$C254:$AI254,0)),F251-INDEX($C243:$AJ253,9,MATCH(IF('Data-solution'!$A$3="Maximize",MAX($C254:$AI254),MIN($C254:$AI254)),$C254:$AI254,0))*INDEX(F243:$AJ253,MATCH(MIN($AK243:$AK253),$AK243:$AK253,0),1)/INDEX($C243:$AJ253,MATCH(MIN($AK243:$AK253),$AK243:$AK253,0),MATCH(IF('Data-solution'!$A$3="Maximize",MAX($C254:$AI254),MIN($C254:$AI254)),$C254:$AI254,0))),F251)</f>
        <v>0</v>
      </c>
      <c r="G266" s="1">
        <f>IF(OR($B258&lt;&gt;$B243,$B259&lt;&gt;$B244,$B260&lt;&gt;$B245,$B261&lt;&gt;$B246,$B262&lt;&gt;$B247,$B263&lt;&gt;$B248,$B264&lt;&gt;$B249,$B265&lt;&gt;$B250,$B266&lt;&gt;$B251,$B267&lt;&gt;$B252,$B268&lt;&gt;$B253),IF($B266&lt;&gt;$B251,G251/INDEX($C243:$AJ253,9,MATCH(IF('Data-solution'!$A$3="Maximize",MAX($C254:$AI254),MIN($C254:$AI254)),$C254:$AI254,0)),G251-INDEX($C243:$AJ253,9,MATCH(IF('Data-solution'!$A$3="Maximize",MAX($C254:$AI254),MIN($C254:$AI254)),$C254:$AI254,0))*INDEX(G243:$AJ253,MATCH(MIN($AK243:$AK253),$AK243:$AK253,0),1)/INDEX($C243:$AJ253,MATCH(MIN($AK243:$AK253),$AK243:$AK253,0),MATCH(IF('Data-solution'!$A$3="Maximize",MAX($C254:$AI254),MIN($C254:$AI254)),$C254:$AI254,0))),G251)</f>
        <v>0</v>
      </c>
      <c r="H266" s="1">
        <f>IF(OR($B258&lt;&gt;$B243,$B259&lt;&gt;$B244,$B260&lt;&gt;$B245,$B261&lt;&gt;$B246,$B262&lt;&gt;$B247,$B263&lt;&gt;$B248,$B264&lt;&gt;$B249,$B265&lt;&gt;$B250,$B266&lt;&gt;$B251,$B267&lt;&gt;$B252,$B268&lt;&gt;$B253),IF($B266&lt;&gt;$B251,H251/INDEX($C243:$AJ253,9,MATCH(IF('Data-solution'!$A$3="Maximize",MAX($C254:$AI254),MIN($C254:$AI254)),$C254:$AI254,0)),H251-INDEX($C243:$AJ253,9,MATCH(IF('Data-solution'!$A$3="Maximize",MAX($C254:$AI254),MIN($C254:$AI254)),$C254:$AI254,0))*INDEX(H243:$AJ253,MATCH(MIN($AK243:$AK253),$AK243:$AK253,0),1)/INDEX($C243:$AJ253,MATCH(MIN($AK243:$AK253),$AK243:$AK253,0),MATCH(IF('Data-solution'!$A$3="Maximize",MAX($C254:$AI254),MIN($C254:$AI254)),$C254:$AI254,0))),H251)</f>
        <v>0</v>
      </c>
      <c r="I266" s="1">
        <f>IF(OR($B258&lt;&gt;$B243,$B259&lt;&gt;$B244,$B260&lt;&gt;$B245,$B261&lt;&gt;$B246,$B262&lt;&gt;$B247,$B263&lt;&gt;$B248,$B264&lt;&gt;$B249,$B265&lt;&gt;$B250,$B266&lt;&gt;$B251,$B267&lt;&gt;$B252,$B268&lt;&gt;$B253),IF($B266&lt;&gt;$B251,I251/INDEX($C243:$AJ253,9,MATCH(IF('Data-solution'!$A$3="Maximize",MAX($C254:$AI254),MIN($C254:$AI254)),$C254:$AI254,0)),I251-INDEX($C243:$AJ253,9,MATCH(IF('Data-solution'!$A$3="Maximize",MAX($C254:$AI254),MIN($C254:$AI254)),$C254:$AI254,0))*INDEX(I243:$AJ253,MATCH(MIN($AK243:$AK253),$AK243:$AK253,0),1)/INDEX($C243:$AJ253,MATCH(MIN($AK243:$AK253),$AK243:$AK253,0),MATCH(IF('Data-solution'!$A$3="Maximize",MAX($C254:$AI254),MIN($C254:$AI254)),$C254:$AI254,0))),I251)</f>
        <v>0</v>
      </c>
      <c r="J266" s="1">
        <f>IF(OR($B258&lt;&gt;$B243,$B259&lt;&gt;$B244,$B260&lt;&gt;$B245,$B261&lt;&gt;$B246,$B262&lt;&gt;$B247,$B263&lt;&gt;$B248,$B264&lt;&gt;$B249,$B265&lt;&gt;$B250,$B266&lt;&gt;$B251,$B267&lt;&gt;$B252,$B268&lt;&gt;$B253),IF($B266&lt;&gt;$B251,J251/INDEX($C243:$AJ253,9,MATCH(IF('Data-solution'!$A$3="Maximize",MAX($C254:$AI254),MIN($C254:$AI254)),$C254:$AI254,0)),J251-INDEX($C243:$AJ253,9,MATCH(IF('Data-solution'!$A$3="Maximize",MAX($C254:$AI254),MIN($C254:$AI254)),$C254:$AI254,0))*INDEX(J243:$AJ253,MATCH(MIN($AK243:$AK253),$AK243:$AK253,0),1)/INDEX($C243:$AJ253,MATCH(MIN($AK243:$AK253),$AK243:$AK253,0),MATCH(IF('Data-solution'!$A$3="Maximize",MAX($C254:$AI254),MIN($C254:$AI254)),$C254:$AI254,0))),J251)</f>
        <v>0</v>
      </c>
      <c r="K266" s="1">
        <f>IF(OR($B258&lt;&gt;$B243,$B259&lt;&gt;$B244,$B260&lt;&gt;$B245,$B261&lt;&gt;$B246,$B262&lt;&gt;$B247,$B263&lt;&gt;$B248,$B264&lt;&gt;$B249,$B265&lt;&gt;$B250,$B266&lt;&gt;$B251,$B267&lt;&gt;$B252,$B268&lt;&gt;$B253),IF($B266&lt;&gt;$B251,K251/INDEX($C243:$AJ253,9,MATCH(IF('Data-solution'!$A$3="Maximize",MAX($C254:$AI254),MIN($C254:$AI254)),$C254:$AI254,0)),K251-INDEX($C243:$AJ253,9,MATCH(IF('Data-solution'!$A$3="Maximize",MAX($C254:$AI254),MIN($C254:$AI254)),$C254:$AI254,0))*INDEX(K243:$AJ253,MATCH(MIN($AK243:$AK253),$AK243:$AK253,0),1)/INDEX($C243:$AJ253,MATCH(MIN($AK243:$AK253),$AK243:$AK253,0),MATCH(IF('Data-solution'!$A$3="Maximize",MAX($C254:$AI254),MIN($C254:$AI254)),$C254:$AI254,0))),K251)</f>
        <v>0</v>
      </c>
      <c r="L266" s="1">
        <f>IF(OR($B258&lt;&gt;$B243,$B259&lt;&gt;$B244,$B260&lt;&gt;$B245,$B261&lt;&gt;$B246,$B262&lt;&gt;$B247,$B263&lt;&gt;$B248,$B264&lt;&gt;$B249,$B265&lt;&gt;$B250,$B266&lt;&gt;$B251,$B267&lt;&gt;$B252,$B268&lt;&gt;$B253),IF($B266&lt;&gt;$B251,L251/INDEX($C243:$AJ253,9,MATCH(IF('Data-solution'!$A$3="Maximize",MAX($C254:$AI254),MIN($C254:$AI254)),$C254:$AI254,0)),L251-INDEX($C243:$AJ253,9,MATCH(IF('Data-solution'!$A$3="Maximize",MAX($C254:$AI254),MIN($C254:$AI254)),$C254:$AI254,0))*INDEX(L243:$AJ253,MATCH(MIN($AK243:$AK253),$AK243:$AK253,0),1)/INDEX($C243:$AJ253,MATCH(MIN($AK243:$AK253),$AK243:$AK253,0),MATCH(IF('Data-solution'!$A$3="Maximize",MAX($C254:$AI254),MIN($C254:$AI254)),$C254:$AI254,0))),L251)</f>
        <v>0</v>
      </c>
      <c r="M266" s="1">
        <f>IF(OR($B258&lt;&gt;$B243,$B259&lt;&gt;$B244,$B260&lt;&gt;$B245,$B261&lt;&gt;$B246,$B262&lt;&gt;$B247,$B263&lt;&gt;$B248,$B264&lt;&gt;$B249,$B265&lt;&gt;$B250,$B266&lt;&gt;$B251,$B267&lt;&gt;$B252,$B268&lt;&gt;$B253),IF($B266&lt;&gt;$B251,M251/INDEX($C243:$AJ253,9,MATCH(IF('Data-solution'!$A$3="Maximize",MAX($C254:$AI254),MIN($C254:$AI254)),$C254:$AI254,0)),M251-INDEX($C243:$AJ253,9,MATCH(IF('Data-solution'!$A$3="Maximize",MAX($C254:$AI254),MIN($C254:$AI254)),$C254:$AI254,0))*INDEX(M243:$AJ253,MATCH(MIN($AK243:$AK253),$AK243:$AK253,0),1)/INDEX($C243:$AJ253,MATCH(MIN($AK243:$AK253),$AK243:$AK253,0),MATCH(IF('Data-solution'!$A$3="Maximize",MAX($C254:$AI254),MIN($C254:$AI254)),$C254:$AI254,0))),M251)</f>
        <v>0</v>
      </c>
      <c r="N266" s="1">
        <f>IF(OR($B258&lt;&gt;$B243,$B259&lt;&gt;$B244,$B260&lt;&gt;$B245,$B261&lt;&gt;$B246,$B262&lt;&gt;$B247,$B263&lt;&gt;$B248,$B264&lt;&gt;$B249,$B265&lt;&gt;$B250,$B266&lt;&gt;$B251,$B267&lt;&gt;$B252,$B268&lt;&gt;$B253),IF($B266&lt;&gt;$B251,N251/INDEX($C243:$AJ253,9,MATCH(IF('Data-solution'!$A$3="Maximize",MAX($C254:$AI254),MIN($C254:$AI254)),$C254:$AI254,0)),N251-INDEX($C243:$AJ253,9,MATCH(IF('Data-solution'!$A$3="Maximize",MAX($C254:$AI254),MIN($C254:$AI254)),$C254:$AI254,0))*INDEX(N243:$AJ253,MATCH(MIN($AK243:$AK253),$AK243:$AK253,0),1)/INDEX($C243:$AJ253,MATCH(MIN($AK243:$AK253),$AK243:$AK253,0),MATCH(IF('Data-solution'!$A$3="Maximize",MAX($C254:$AI254),MIN($C254:$AI254)),$C254:$AI254,0))),N251)</f>
        <v>0</v>
      </c>
      <c r="O266" s="1">
        <f>IF(OR($B258&lt;&gt;$B243,$B259&lt;&gt;$B244,$B260&lt;&gt;$B245,$B261&lt;&gt;$B246,$B262&lt;&gt;$B247,$B263&lt;&gt;$B248,$B264&lt;&gt;$B249,$B265&lt;&gt;$B250,$B266&lt;&gt;$B251,$B267&lt;&gt;$B252,$B268&lt;&gt;$B253),IF($B266&lt;&gt;$B251,O251/INDEX($C243:$AJ253,9,MATCH(IF('Data-solution'!$A$3="Maximize",MAX($C254:$AI254),MIN($C254:$AI254)),$C254:$AI254,0)),O251-INDEX($C243:$AJ253,9,MATCH(IF('Data-solution'!$A$3="Maximize",MAX($C254:$AI254),MIN($C254:$AI254)),$C254:$AI254,0))*INDEX(O243:$AJ253,MATCH(MIN($AK243:$AK253),$AK243:$AK253,0),1)/INDEX($C243:$AJ253,MATCH(MIN($AK243:$AK253),$AK243:$AK253,0),MATCH(IF('Data-solution'!$A$3="Maximize",MAX($C254:$AI254),MIN($C254:$AI254)),$C254:$AI254,0))),O251)</f>
        <v>0</v>
      </c>
      <c r="P266" s="1">
        <f>IF(OR($B258&lt;&gt;$B243,$B259&lt;&gt;$B244,$B260&lt;&gt;$B245,$B261&lt;&gt;$B246,$B262&lt;&gt;$B247,$B263&lt;&gt;$B248,$B264&lt;&gt;$B249,$B265&lt;&gt;$B250,$B266&lt;&gt;$B251,$B267&lt;&gt;$B252,$B268&lt;&gt;$B253),IF($B266&lt;&gt;$B251,P251/INDEX($C243:$AJ253,9,MATCH(IF('Data-solution'!$A$3="Maximize",MAX($C254:$AI254),MIN($C254:$AI254)),$C254:$AI254,0)),P251-INDEX($C243:$AJ253,9,MATCH(IF('Data-solution'!$A$3="Maximize",MAX($C254:$AI254),MIN($C254:$AI254)),$C254:$AI254,0))*INDEX(P243:$AJ253,MATCH(MIN($AK243:$AK253),$AK243:$AK253,0),1)/INDEX($C243:$AJ253,MATCH(MIN($AK243:$AK253),$AK243:$AK253,0),MATCH(IF('Data-solution'!$A$3="Maximize",MAX($C254:$AI254),MIN($C254:$AI254)),$C254:$AI254,0))),P251)</f>
        <v>0</v>
      </c>
      <c r="Q266" s="1">
        <f>IF(OR($B258&lt;&gt;$B243,$B259&lt;&gt;$B244,$B260&lt;&gt;$B245,$B261&lt;&gt;$B246,$B262&lt;&gt;$B247,$B263&lt;&gt;$B248,$B264&lt;&gt;$B249,$B265&lt;&gt;$B250,$B266&lt;&gt;$B251,$B267&lt;&gt;$B252,$B268&lt;&gt;$B253),IF($B266&lt;&gt;$B251,Q251/INDEX($C243:$AJ253,9,MATCH(IF('Data-solution'!$A$3="Maximize",MAX($C254:$AI254),MIN($C254:$AI254)),$C254:$AI254,0)),Q251-INDEX($C243:$AJ253,9,MATCH(IF('Data-solution'!$A$3="Maximize",MAX($C254:$AI254),MIN($C254:$AI254)),$C254:$AI254,0))*INDEX(Q243:$AJ253,MATCH(MIN($AK243:$AK253),$AK243:$AK253,0),1)/INDEX($C243:$AJ253,MATCH(MIN($AK243:$AK253),$AK243:$AK253,0),MATCH(IF('Data-solution'!$A$3="Maximize",MAX($C254:$AI254),MIN($C254:$AI254)),$C254:$AI254,0))),Q251)</f>
        <v>0</v>
      </c>
      <c r="R266" s="1">
        <f>IF(OR($B258&lt;&gt;$B243,$B259&lt;&gt;$B244,$B260&lt;&gt;$B245,$B261&lt;&gt;$B246,$B262&lt;&gt;$B247,$B263&lt;&gt;$B248,$B264&lt;&gt;$B249,$B265&lt;&gt;$B250,$B266&lt;&gt;$B251,$B267&lt;&gt;$B252,$B268&lt;&gt;$B253),IF($B266&lt;&gt;$B251,R251/INDEX($C243:$AJ253,9,MATCH(IF('Data-solution'!$A$3="Maximize",MAX($C254:$AI254),MIN($C254:$AI254)),$C254:$AI254,0)),R251-INDEX($C243:$AJ253,9,MATCH(IF('Data-solution'!$A$3="Maximize",MAX($C254:$AI254),MIN($C254:$AI254)),$C254:$AI254,0))*INDEX(R243:$AJ253,MATCH(MIN($AK243:$AK253),$AK243:$AK253,0),1)/INDEX($C243:$AJ253,MATCH(MIN($AK243:$AK253),$AK243:$AK253,0),MATCH(IF('Data-solution'!$A$3="Maximize",MAX($C254:$AI254),MIN($C254:$AI254)),$C254:$AI254,0))),R251)</f>
        <v>0</v>
      </c>
      <c r="S266" s="1">
        <f>IF(OR($B258&lt;&gt;$B243,$B259&lt;&gt;$B244,$B260&lt;&gt;$B245,$B261&lt;&gt;$B246,$B262&lt;&gt;$B247,$B263&lt;&gt;$B248,$B264&lt;&gt;$B249,$B265&lt;&gt;$B250,$B266&lt;&gt;$B251,$B267&lt;&gt;$B252,$B268&lt;&gt;$B253),IF($B266&lt;&gt;$B251,S251/INDEX($C243:$AJ253,9,MATCH(IF('Data-solution'!$A$3="Maximize",MAX($C254:$AI254),MIN($C254:$AI254)),$C254:$AI254,0)),S251-INDEX($C243:$AJ253,9,MATCH(IF('Data-solution'!$A$3="Maximize",MAX($C254:$AI254),MIN($C254:$AI254)),$C254:$AI254,0))*INDEX(S243:$AJ253,MATCH(MIN($AK243:$AK253),$AK243:$AK253,0),1)/INDEX($C243:$AJ253,MATCH(MIN($AK243:$AK253),$AK243:$AK253,0),MATCH(IF('Data-solution'!$A$3="Maximize",MAX($C254:$AI254),MIN($C254:$AI254)),$C254:$AI254,0))),S251)</f>
        <v>0</v>
      </c>
      <c r="T266" s="1">
        <f>IF(OR($B258&lt;&gt;$B243,$B259&lt;&gt;$B244,$B260&lt;&gt;$B245,$B261&lt;&gt;$B246,$B262&lt;&gt;$B247,$B263&lt;&gt;$B248,$B264&lt;&gt;$B249,$B265&lt;&gt;$B250,$B266&lt;&gt;$B251,$B267&lt;&gt;$B252,$B268&lt;&gt;$B253),IF($B266&lt;&gt;$B251,T251/INDEX($C243:$AJ253,9,MATCH(IF('Data-solution'!$A$3="Maximize",MAX($C254:$AI254),MIN($C254:$AI254)),$C254:$AI254,0)),T251-INDEX($C243:$AJ253,9,MATCH(IF('Data-solution'!$A$3="Maximize",MAX($C254:$AI254),MIN($C254:$AI254)),$C254:$AI254,0))*INDEX(T243:$AJ253,MATCH(MIN($AK243:$AK253),$AK243:$AK253,0),1)/INDEX($C243:$AJ253,MATCH(MIN($AK243:$AK253),$AK243:$AK253,0),MATCH(IF('Data-solution'!$A$3="Maximize",MAX($C254:$AI254),MIN($C254:$AI254)),$C254:$AI254,0))),T251)</f>
        <v>0</v>
      </c>
      <c r="U266" s="1">
        <f>IF(OR($B258&lt;&gt;$B243,$B259&lt;&gt;$B244,$B260&lt;&gt;$B245,$B261&lt;&gt;$B246,$B262&lt;&gt;$B247,$B263&lt;&gt;$B248,$B264&lt;&gt;$B249,$B265&lt;&gt;$B250,$B266&lt;&gt;$B251,$B267&lt;&gt;$B252,$B268&lt;&gt;$B253),IF($B266&lt;&gt;$B251,U251/INDEX($C243:$AJ253,9,MATCH(IF('Data-solution'!$A$3="Maximize",MAX($C254:$AI254),MIN($C254:$AI254)),$C254:$AI254,0)),U251-INDEX($C243:$AJ253,9,MATCH(IF('Data-solution'!$A$3="Maximize",MAX($C254:$AI254),MIN($C254:$AI254)),$C254:$AI254,0))*INDEX(U243:$AJ253,MATCH(MIN($AK243:$AK253),$AK243:$AK253,0),1)/INDEX($C243:$AJ253,MATCH(MIN($AK243:$AK253),$AK243:$AK253,0),MATCH(IF('Data-solution'!$A$3="Maximize",MAX($C254:$AI254),MIN($C254:$AI254)),$C254:$AI254,0))),U251)</f>
        <v>0</v>
      </c>
      <c r="V266" s="1">
        <f>IF(OR($B258&lt;&gt;$B243,$B259&lt;&gt;$B244,$B260&lt;&gt;$B245,$B261&lt;&gt;$B246,$B262&lt;&gt;$B247,$B263&lt;&gt;$B248,$B264&lt;&gt;$B249,$B265&lt;&gt;$B250,$B266&lt;&gt;$B251,$B267&lt;&gt;$B252,$B268&lt;&gt;$B253),IF($B266&lt;&gt;$B251,V251/INDEX($C243:$AJ253,9,MATCH(IF('Data-solution'!$A$3="Maximize",MAX($C254:$AI254),MIN($C254:$AI254)),$C254:$AI254,0)),V251-INDEX($C243:$AJ253,9,MATCH(IF('Data-solution'!$A$3="Maximize",MAX($C254:$AI254),MIN($C254:$AI254)),$C254:$AI254,0))*INDEX(V243:$AJ253,MATCH(MIN($AK243:$AK253),$AK243:$AK253,0),1)/INDEX($C243:$AJ253,MATCH(MIN($AK243:$AK253),$AK243:$AK253,0),MATCH(IF('Data-solution'!$A$3="Maximize",MAX($C254:$AI254),MIN($C254:$AI254)),$C254:$AI254,0))),V251)</f>
        <v>1</v>
      </c>
      <c r="W266" s="1">
        <f>IF(OR($B258&lt;&gt;$B243,$B259&lt;&gt;$B244,$B260&lt;&gt;$B245,$B261&lt;&gt;$B246,$B262&lt;&gt;$B247,$B263&lt;&gt;$B248,$B264&lt;&gt;$B249,$B265&lt;&gt;$B250,$B266&lt;&gt;$B251,$B267&lt;&gt;$B252,$B268&lt;&gt;$B253),IF($B266&lt;&gt;$B251,W251/INDEX($C243:$AJ253,9,MATCH(IF('Data-solution'!$A$3="Maximize",MAX($C254:$AI254),MIN($C254:$AI254)),$C254:$AI254,0)),W251-INDEX($C243:$AJ253,9,MATCH(IF('Data-solution'!$A$3="Maximize",MAX($C254:$AI254),MIN($C254:$AI254)),$C254:$AI254,0))*INDEX(W243:$AJ253,MATCH(MIN($AK243:$AK253),$AK243:$AK253,0),1)/INDEX($C243:$AJ253,MATCH(MIN($AK243:$AK253),$AK243:$AK253,0),MATCH(IF('Data-solution'!$A$3="Maximize",MAX($C254:$AI254),MIN($C254:$AI254)),$C254:$AI254,0))),W251)</f>
        <v>0</v>
      </c>
      <c r="X266" s="1">
        <f>IF(OR($B258&lt;&gt;$B243,$B259&lt;&gt;$B244,$B260&lt;&gt;$B245,$B261&lt;&gt;$B246,$B262&lt;&gt;$B247,$B263&lt;&gt;$B248,$B264&lt;&gt;$B249,$B265&lt;&gt;$B250,$B266&lt;&gt;$B251,$B267&lt;&gt;$B252,$B268&lt;&gt;$B253),IF($B266&lt;&gt;$B251,X251/INDEX($C243:$AJ253,9,MATCH(IF('Data-solution'!$A$3="Maximize",MAX($C254:$AI254),MIN($C254:$AI254)),$C254:$AI254,0)),X251-INDEX($C243:$AJ253,9,MATCH(IF('Data-solution'!$A$3="Maximize",MAX($C254:$AI254),MIN($C254:$AI254)),$C254:$AI254,0))*INDEX(X243:$AJ253,MATCH(MIN($AK243:$AK253),$AK243:$AK253,0),1)/INDEX($C243:$AJ253,MATCH(MIN($AK243:$AK253),$AK243:$AK253,0),MATCH(IF('Data-solution'!$A$3="Maximize",MAX($C254:$AI254),MIN($C254:$AI254)),$C254:$AI254,0))),X251)</f>
        <v>0</v>
      </c>
      <c r="Y266" s="1">
        <f>IF(OR($B258&lt;&gt;$B243,$B259&lt;&gt;$B244,$B260&lt;&gt;$B245,$B261&lt;&gt;$B246,$B262&lt;&gt;$B247,$B263&lt;&gt;$B248,$B264&lt;&gt;$B249,$B265&lt;&gt;$B250,$B266&lt;&gt;$B251,$B267&lt;&gt;$B252,$B268&lt;&gt;$B253),IF($B266&lt;&gt;$B251,Y251/INDEX($C243:$AJ253,9,MATCH(IF('Data-solution'!$A$3="Maximize",MAX($C254:$AI254),MIN($C254:$AI254)),$C254:$AI254,0)),Y251-INDEX($C243:$AJ253,9,MATCH(IF('Data-solution'!$A$3="Maximize",MAX($C254:$AI254),MIN($C254:$AI254)),$C254:$AI254,0))*INDEX(Y243:$AJ253,MATCH(MIN($AK243:$AK253),$AK243:$AK253,0),1)/INDEX($C243:$AJ253,MATCH(MIN($AK243:$AK253),$AK243:$AK253,0),MATCH(IF('Data-solution'!$A$3="Maximize",MAX($C254:$AI254),MIN($C254:$AI254)),$C254:$AI254,0))),Y251)</f>
        <v>0</v>
      </c>
      <c r="Z266" s="1">
        <f>IF(OR($B258&lt;&gt;$B243,$B259&lt;&gt;$B244,$B260&lt;&gt;$B245,$B261&lt;&gt;$B246,$B262&lt;&gt;$B247,$B263&lt;&gt;$B248,$B264&lt;&gt;$B249,$B265&lt;&gt;$B250,$B266&lt;&gt;$B251,$B267&lt;&gt;$B252,$B268&lt;&gt;$B253),IF($B266&lt;&gt;$B251,Z251/INDEX($C243:$AJ253,9,MATCH(IF('Data-solution'!$A$3="Maximize",MAX($C254:$AI254),MIN($C254:$AI254)),$C254:$AI254,0)),Z251-INDEX($C243:$AJ253,9,MATCH(IF('Data-solution'!$A$3="Maximize",MAX($C254:$AI254),MIN($C254:$AI254)),$C254:$AI254,0))*INDEX(Z243:$AJ253,MATCH(MIN($AK243:$AK253),$AK243:$AK253,0),1)/INDEX($C243:$AJ253,MATCH(MIN($AK243:$AK253),$AK243:$AK253,0),MATCH(IF('Data-solution'!$A$3="Maximize",MAX($C254:$AI254),MIN($C254:$AI254)),$C254:$AI254,0))),Z251)</f>
        <v>0</v>
      </c>
      <c r="AA266" s="1">
        <f>IF(OR($B258&lt;&gt;$B243,$B259&lt;&gt;$B244,$B260&lt;&gt;$B245,$B261&lt;&gt;$B246,$B262&lt;&gt;$B247,$B263&lt;&gt;$B248,$B264&lt;&gt;$B249,$B265&lt;&gt;$B250,$B266&lt;&gt;$B251,$B267&lt;&gt;$B252,$B268&lt;&gt;$B253),IF($B266&lt;&gt;$B251,AA251/INDEX($C243:$AJ253,9,MATCH(IF('Data-solution'!$A$3="Maximize",MAX($C254:$AI254),MIN($C254:$AI254)),$C254:$AI254,0)),AA251-INDEX($C243:$AJ253,9,MATCH(IF('Data-solution'!$A$3="Maximize",MAX($C254:$AI254),MIN($C254:$AI254)),$C254:$AI254,0))*INDEX(AA243:$AJ253,MATCH(MIN($AK243:$AK253),$AK243:$AK253,0),1)/INDEX($C243:$AJ253,MATCH(MIN($AK243:$AK253),$AK243:$AK253,0),MATCH(IF('Data-solution'!$A$3="Maximize",MAX($C254:$AI254),MIN($C254:$AI254)),$C254:$AI254,0))),AA251)</f>
        <v>0</v>
      </c>
      <c r="AB266" s="1">
        <f>IF(OR($B258&lt;&gt;$B243,$B259&lt;&gt;$B244,$B260&lt;&gt;$B245,$B261&lt;&gt;$B246,$B262&lt;&gt;$B247,$B263&lt;&gt;$B248,$B264&lt;&gt;$B249,$B265&lt;&gt;$B250,$B266&lt;&gt;$B251,$B267&lt;&gt;$B252,$B268&lt;&gt;$B253),IF($B266&lt;&gt;$B251,AB251/INDEX($C243:$AJ253,9,MATCH(IF('Data-solution'!$A$3="Maximize",MAX($C254:$AI254),MIN($C254:$AI254)),$C254:$AI254,0)),AB251-INDEX($C243:$AJ253,9,MATCH(IF('Data-solution'!$A$3="Maximize",MAX($C254:$AI254),MIN($C254:$AI254)),$C254:$AI254,0))*INDEX(AB243:$AJ253,MATCH(MIN($AK243:$AK253),$AK243:$AK253,0),1)/INDEX($C243:$AJ253,MATCH(MIN($AK243:$AK253),$AK243:$AK253,0),MATCH(IF('Data-solution'!$A$3="Maximize",MAX($C254:$AI254),MIN($C254:$AI254)),$C254:$AI254,0))),AB251)</f>
        <v>0</v>
      </c>
      <c r="AC266" s="1">
        <f>IF(OR($B258&lt;&gt;$B243,$B259&lt;&gt;$B244,$B260&lt;&gt;$B245,$B261&lt;&gt;$B246,$B262&lt;&gt;$B247,$B263&lt;&gt;$B248,$B264&lt;&gt;$B249,$B265&lt;&gt;$B250,$B266&lt;&gt;$B251,$B267&lt;&gt;$B252,$B268&lt;&gt;$B253),IF($B266&lt;&gt;$B251,AC251/INDEX($C243:$AJ253,9,MATCH(IF('Data-solution'!$A$3="Maximize",MAX($C254:$AI254),MIN($C254:$AI254)),$C254:$AI254,0)),AC251-INDEX($C243:$AJ253,9,MATCH(IF('Data-solution'!$A$3="Maximize",MAX($C254:$AI254),MIN($C254:$AI254)),$C254:$AI254,0))*INDEX(AC243:$AJ253,MATCH(MIN($AK243:$AK253),$AK243:$AK253,0),1)/INDEX($C243:$AJ253,MATCH(MIN($AK243:$AK253),$AK243:$AK253,0),MATCH(IF('Data-solution'!$A$3="Maximize",MAX($C254:$AI254),MIN($C254:$AI254)),$C254:$AI254,0))),AC251)</f>
        <v>0</v>
      </c>
      <c r="AD266" s="1">
        <f>IF(OR($B258&lt;&gt;$B243,$B259&lt;&gt;$B244,$B260&lt;&gt;$B245,$B261&lt;&gt;$B246,$B262&lt;&gt;$B247,$B263&lt;&gt;$B248,$B264&lt;&gt;$B249,$B265&lt;&gt;$B250,$B266&lt;&gt;$B251,$B267&lt;&gt;$B252,$B268&lt;&gt;$B253),IF($B266&lt;&gt;$B251,AD251/INDEX($C243:$AJ253,9,MATCH(IF('Data-solution'!$A$3="Maximize",MAX($C254:$AI254),MIN($C254:$AI254)),$C254:$AI254,0)),AD251-INDEX($C243:$AJ253,9,MATCH(IF('Data-solution'!$A$3="Maximize",MAX($C254:$AI254),MIN($C254:$AI254)),$C254:$AI254,0))*INDEX(AD243:$AJ253,MATCH(MIN($AK243:$AK253),$AK243:$AK253,0),1)/INDEX($C243:$AJ253,MATCH(MIN($AK243:$AK253),$AK243:$AK253,0),MATCH(IF('Data-solution'!$A$3="Maximize",MAX($C254:$AI254),MIN($C254:$AI254)),$C254:$AI254,0))),AD251)</f>
        <v>0</v>
      </c>
      <c r="AE266" s="1">
        <f>IF(OR($B258&lt;&gt;$B243,$B259&lt;&gt;$B244,$B260&lt;&gt;$B245,$B261&lt;&gt;$B246,$B262&lt;&gt;$B247,$B263&lt;&gt;$B248,$B264&lt;&gt;$B249,$B265&lt;&gt;$B250,$B266&lt;&gt;$B251,$B267&lt;&gt;$B252,$B268&lt;&gt;$B253),IF($B266&lt;&gt;$B251,AE251/INDEX($C243:$AJ253,9,MATCH(IF('Data-solution'!$A$3="Maximize",MAX($C254:$AI254),MIN($C254:$AI254)),$C254:$AI254,0)),AE251-INDEX($C243:$AJ253,9,MATCH(IF('Data-solution'!$A$3="Maximize",MAX($C254:$AI254),MIN($C254:$AI254)),$C254:$AI254,0))*INDEX(AE243:$AJ253,MATCH(MIN($AK243:$AK253),$AK243:$AK253,0),1)/INDEX($C243:$AJ253,MATCH(MIN($AK243:$AK253),$AK243:$AK253,0),MATCH(IF('Data-solution'!$A$3="Maximize",MAX($C254:$AI254),MIN($C254:$AI254)),$C254:$AI254,0))),AE251)</f>
        <v>0</v>
      </c>
      <c r="AF266" s="1">
        <f>IF(OR($B258&lt;&gt;$B243,$B259&lt;&gt;$B244,$B260&lt;&gt;$B245,$B261&lt;&gt;$B246,$B262&lt;&gt;$B247,$B263&lt;&gt;$B248,$B264&lt;&gt;$B249,$B265&lt;&gt;$B250,$B266&lt;&gt;$B251,$B267&lt;&gt;$B252,$B268&lt;&gt;$B253),IF($B266&lt;&gt;$B251,AF251/INDEX($C243:$AJ253,9,MATCH(IF('Data-solution'!$A$3="Maximize",MAX($C254:$AI254),MIN($C254:$AI254)),$C254:$AI254,0)),AF251-INDEX($C243:$AJ253,9,MATCH(IF('Data-solution'!$A$3="Maximize",MAX($C254:$AI254),MIN($C254:$AI254)),$C254:$AI254,0))*INDEX(AF243:$AJ253,MATCH(MIN($AK243:$AK253),$AK243:$AK253,0),1)/INDEX($C243:$AJ253,MATCH(MIN($AK243:$AK253),$AK243:$AK253,0),MATCH(IF('Data-solution'!$A$3="Maximize",MAX($C254:$AI254),MIN($C254:$AI254)),$C254:$AI254,0))),AF251)</f>
        <v>0</v>
      </c>
      <c r="AG266" s="1">
        <f>IF(OR($B258&lt;&gt;$B243,$B259&lt;&gt;$B244,$B260&lt;&gt;$B245,$B261&lt;&gt;$B246,$B262&lt;&gt;$B247,$B263&lt;&gt;$B248,$B264&lt;&gt;$B249,$B265&lt;&gt;$B250,$B266&lt;&gt;$B251,$B267&lt;&gt;$B252,$B268&lt;&gt;$B253),IF($B266&lt;&gt;$B251,AG251/INDEX($C243:$AJ253,9,MATCH(IF('Data-solution'!$A$3="Maximize",MAX($C254:$AI254),MIN($C254:$AI254)),$C254:$AI254,0)),AG251-INDEX($C243:$AJ253,9,MATCH(IF('Data-solution'!$A$3="Maximize",MAX($C254:$AI254),MIN($C254:$AI254)),$C254:$AI254,0))*INDEX(AG243:$AJ253,MATCH(MIN($AK243:$AK253),$AK243:$AK253,0),1)/INDEX($C243:$AJ253,MATCH(MIN($AK243:$AK253),$AK243:$AK253,0),MATCH(IF('Data-solution'!$A$3="Maximize",MAX($C254:$AI254),MIN($C254:$AI254)),$C254:$AI254,0))),AG251)</f>
        <v>1</v>
      </c>
      <c r="AH266" s="1">
        <f>IF(OR($B258&lt;&gt;$B243,$B259&lt;&gt;$B244,$B260&lt;&gt;$B245,$B261&lt;&gt;$B246,$B262&lt;&gt;$B247,$B263&lt;&gt;$B248,$B264&lt;&gt;$B249,$B265&lt;&gt;$B250,$B266&lt;&gt;$B251,$B267&lt;&gt;$B252,$B268&lt;&gt;$B253),IF($B266&lt;&gt;$B251,AH251/INDEX($C243:$AJ253,9,MATCH(IF('Data-solution'!$A$3="Maximize",MAX($C254:$AI254),MIN($C254:$AI254)),$C254:$AI254,0)),AH251-INDEX($C243:$AJ253,9,MATCH(IF('Data-solution'!$A$3="Maximize",MAX($C254:$AI254),MIN($C254:$AI254)),$C254:$AI254,0))*INDEX(AH243:$AJ253,MATCH(MIN($AK243:$AK253),$AK243:$AK253,0),1)/INDEX($C243:$AJ253,MATCH(MIN($AK243:$AK253),$AK243:$AK253,0),MATCH(IF('Data-solution'!$A$3="Maximize",MAX($C254:$AI254),MIN($C254:$AI254)),$C254:$AI254,0))),AH251)</f>
        <v>0</v>
      </c>
      <c r="AI266" s="1">
        <f>IF(OR($B258&lt;&gt;$B243,$B259&lt;&gt;$B244,$B260&lt;&gt;$B245,$B261&lt;&gt;$B246,$B262&lt;&gt;$B247,$B263&lt;&gt;$B248,$B264&lt;&gt;$B249,$B265&lt;&gt;$B250,$B266&lt;&gt;$B251,$B267&lt;&gt;$B252,$B268&lt;&gt;$B253),IF($B266&lt;&gt;$B251,AI251/INDEX($C243:$AJ253,9,MATCH(IF('Data-solution'!$A$3="Maximize",MAX($C254:$AI254),MIN($C254:$AI254)),$C254:$AI254,0)),AI251-INDEX($C243:$AJ253,9,MATCH(IF('Data-solution'!$A$3="Maximize",MAX($C254:$AI254),MIN($C254:$AI254)),$C254:$AI254,0))*INDEX(AI243:$AJ253,MATCH(MIN($AK243:$AK253),$AK243:$AK253,0),1)/INDEX($C243:$AJ253,MATCH(MIN($AK243:$AK253),$AK243:$AK253,0),MATCH(IF('Data-solution'!$A$3="Maximize",MAX($C254:$AI254),MIN($C254:$AI254)),$C254:$AI254,0))),AI251)</f>
        <v>0</v>
      </c>
      <c r="AJ266" s="1">
        <f>IF(OR($B258&lt;&gt;$B243,$B259&lt;&gt;$B244,$B260&lt;&gt;$B245,$B261&lt;&gt;$B246,$B262&lt;&gt;$B247,$B263&lt;&gt;$B248,$B264&lt;&gt;$B249,$B265&lt;&gt;$B250,$B266&lt;&gt;$B251,$B267&lt;&gt;$B252,$B268&lt;&gt;$B253),IF($B266&lt;&gt;$B251,AJ251/INDEX($C243:$AJ253,9,MATCH(IF('Data-solution'!$A$3="Maximize",MAX($C254:$AI254),MIN($C254:$AI254)),$C254:$AI254,0)),AJ251-INDEX($C243:$AJ253,9,MATCH(IF('Data-solution'!$A$3="Maximize",MAX($C254:$AI254),MIN($C254:$AI254)),$C254:$AI254,0))*INDEX(AJ243:$AJ253,MATCH(MIN($AK243:$AK253),$AK243:$AK253,0),1)/INDEX($C243:$AJ253,MATCH(MIN($AK243:$AK253),$AK243:$AK253,0),MATCH(IF('Data-solution'!$A$3="Maximize",MAX($C254:$AI254),MIN($C254:$AI254)),$C254:$AI254,0))),AJ251)</f>
        <v>0</v>
      </c>
      <c r="AK266" s="1" t="str">
        <f>IF(INDEX(C266:X266,1,MATCH(IF('Data-solution'!A$3="Maximize",MAX(C269:X269),MIN(C269:X269)),C269:X269,0))&gt;0,AJ266/INDEX(C266:X266,1,MATCH(IF('Data-solution'!A$3="Maximize",MAX(C269:X269),MIN(C269:X269)),C269:X269,0))," ")</f>
        <v xml:space="preserve"> </v>
      </c>
    </row>
    <row r="267" spans="1:37" ht="18" customHeight="1" x14ac:dyDescent="0.2">
      <c r="A267" s="1">
        <f t="shared" ref="A267" si="239">INDEX(C256:AI256,1,MATCH(B267,C257:AI257,0))</f>
        <v>0</v>
      </c>
      <c r="B267" s="2" t="str">
        <f>IF(AND('Data-solution'!A$3="Maximize",COUNTIF(C254:X254,"&gt;"&amp;0)&gt;0,AK252=MIN(AK243:AK253),COUNTIF(B258:B266,INDEX(C242:X242,1,MATCH(MAX(C254:X254),C254:X254,0)))=0),INDEX(C242:X242,1,MATCH(MAX(C254:X254),C254:X254,0)),IF(AND('Data-solution'!A$3="Minimize",COUNTIF(C254:X254,"&lt;"&amp;0)&gt;0,AK252=MIN(AK243:AK253),COUNTIF(B258:B266,INDEX(C242:X242,1,MATCH(MIN(C254:X254),C254:X254,0)))=0),INDEX(C242:X242,1,MATCH(MIN(C254:X254),C254:X254,0)),B252))</f>
        <v>S10</v>
      </c>
      <c r="C267" s="1">
        <f>IF(OR($B258&lt;&gt;$B243,$B259&lt;&gt;$B244,$B260&lt;&gt;$B245,$B261&lt;&gt;$B246,$B262&lt;&gt;$B247,$B263&lt;&gt;$B248,$B264&lt;&gt;$B249,$B265&lt;&gt;$B250,$B266&lt;&gt;$B251,$B267&lt;&gt;$B252,$B268&lt;&gt;$B253),IF($B267&lt;&gt;$B252,C252/INDEX($C243:$AJ253,10,MATCH(IF('Data-solution'!$A$3="Maximize",MAX($C254:$AI254),MIN($C254:$AI254)),$C254:$AI254,0)),C252-INDEX($C243:$AJ253,10,MATCH(IF('Data-solution'!$A$3="Maximize",MAX($C254:$AI254),MIN($C254:$AI254)),$C254:$AI254,0))*INDEX(C243:$AJ253,MATCH(MIN($AK243:$AK253),$AK243:$AK253,0),1)/INDEX($C243:$AJ253,MATCH(MIN($AK243:$AK253),$AK243:$AK253,0),MATCH(IF('Data-solution'!$A$3="Maximize",MAX($C254:$AI254),MIN($C254:$AI254)),$C254:$AI254,0))),C252)</f>
        <v>0</v>
      </c>
      <c r="D267" s="1">
        <f>IF(OR($B258&lt;&gt;$B243,$B259&lt;&gt;$B244,$B260&lt;&gt;$B245,$B261&lt;&gt;$B246,$B262&lt;&gt;$B247,$B263&lt;&gt;$B248,$B264&lt;&gt;$B249,$B265&lt;&gt;$B250,$B266&lt;&gt;$B251,$B267&lt;&gt;$B252,$B268&lt;&gt;$B253),IF($B267&lt;&gt;$B252,D252/INDEX($C243:$AJ253,10,MATCH(IF('Data-solution'!$A$3="Maximize",MAX($C254:$AI254),MIN($C254:$AI254)),$C254:$AI254,0)),D252-INDEX($C243:$AJ253,10,MATCH(IF('Data-solution'!$A$3="Maximize",MAX($C254:$AI254),MIN($C254:$AI254)),$C254:$AI254,0))*INDEX(D243:$AJ253,MATCH(MIN($AK243:$AK253),$AK243:$AK253,0),1)/INDEX($C243:$AJ253,MATCH(MIN($AK243:$AK253),$AK243:$AK253,0),MATCH(IF('Data-solution'!$A$3="Maximize",MAX($C254:$AI254),MIN($C254:$AI254)),$C254:$AI254,0))),D252)</f>
        <v>0</v>
      </c>
      <c r="E267" s="1">
        <f>IF(OR($B258&lt;&gt;$B243,$B259&lt;&gt;$B244,$B260&lt;&gt;$B245,$B261&lt;&gt;$B246,$B262&lt;&gt;$B247,$B263&lt;&gt;$B248,$B264&lt;&gt;$B249,$B265&lt;&gt;$B250,$B266&lt;&gt;$B251,$B267&lt;&gt;$B252,$B268&lt;&gt;$B253),IF($B267&lt;&gt;$B252,E252/INDEX($C243:$AJ253,10,MATCH(IF('Data-solution'!$A$3="Maximize",MAX($C254:$AI254),MIN($C254:$AI254)),$C254:$AI254,0)),E252-INDEX($C243:$AJ253,10,MATCH(IF('Data-solution'!$A$3="Maximize",MAX($C254:$AI254),MIN($C254:$AI254)),$C254:$AI254,0))*INDEX(E243:$AJ253,MATCH(MIN($AK243:$AK253),$AK243:$AK253,0),1)/INDEX($C243:$AJ253,MATCH(MIN($AK243:$AK253),$AK243:$AK253,0),MATCH(IF('Data-solution'!$A$3="Maximize",MAX($C254:$AI254),MIN($C254:$AI254)),$C254:$AI254,0))),E252)</f>
        <v>0</v>
      </c>
      <c r="F267" s="1">
        <f>IF(OR($B258&lt;&gt;$B243,$B259&lt;&gt;$B244,$B260&lt;&gt;$B245,$B261&lt;&gt;$B246,$B262&lt;&gt;$B247,$B263&lt;&gt;$B248,$B264&lt;&gt;$B249,$B265&lt;&gt;$B250,$B266&lt;&gt;$B251,$B267&lt;&gt;$B252,$B268&lt;&gt;$B253),IF($B267&lt;&gt;$B252,F252/INDEX($C243:$AJ253,10,MATCH(IF('Data-solution'!$A$3="Maximize",MAX($C254:$AI254),MIN($C254:$AI254)),$C254:$AI254,0)),F252-INDEX($C243:$AJ253,10,MATCH(IF('Data-solution'!$A$3="Maximize",MAX($C254:$AI254),MIN($C254:$AI254)),$C254:$AI254,0))*INDEX(F243:$AJ253,MATCH(MIN($AK243:$AK253),$AK243:$AK253,0),1)/INDEX($C243:$AJ253,MATCH(MIN($AK243:$AK253),$AK243:$AK253,0),MATCH(IF('Data-solution'!$A$3="Maximize",MAX($C254:$AI254),MIN($C254:$AI254)),$C254:$AI254,0))),F252)</f>
        <v>0</v>
      </c>
      <c r="G267" s="1">
        <f>IF(OR($B258&lt;&gt;$B243,$B259&lt;&gt;$B244,$B260&lt;&gt;$B245,$B261&lt;&gt;$B246,$B262&lt;&gt;$B247,$B263&lt;&gt;$B248,$B264&lt;&gt;$B249,$B265&lt;&gt;$B250,$B266&lt;&gt;$B251,$B267&lt;&gt;$B252,$B268&lt;&gt;$B253),IF($B267&lt;&gt;$B252,G252/INDEX($C243:$AJ253,10,MATCH(IF('Data-solution'!$A$3="Maximize",MAX($C254:$AI254),MIN($C254:$AI254)),$C254:$AI254,0)),G252-INDEX($C243:$AJ253,10,MATCH(IF('Data-solution'!$A$3="Maximize",MAX($C254:$AI254),MIN($C254:$AI254)),$C254:$AI254,0))*INDEX(G243:$AJ253,MATCH(MIN($AK243:$AK253),$AK243:$AK253,0),1)/INDEX($C243:$AJ253,MATCH(MIN($AK243:$AK253),$AK243:$AK253,0),MATCH(IF('Data-solution'!$A$3="Maximize",MAX($C254:$AI254),MIN($C254:$AI254)),$C254:$AI254,0))),G252)</f>
        <v>0</v>
      </c>
      <c r="H267" s="1">
        <f>IF(OR($B258&lt;&gt;$B243,$B259&lt;&gt;$B244,$B260&lt;&gt;$B245,$B261&lt;&gt;$B246,$B262&lt;&gt;$B247,$B263&lt;&gt;$B248,$B264&lt;&gt;$B249,$B265&lt;&gt;$B250,$B266&lt;&gt;$B251,$B267&lt;&gt;$B252,$B268&lt;&gt;$B253),IF($B267&lt;&gt;$B252,H252/INDEX($C243:$AJ253,10,MATCH(IF('Data-solution'!$A$3="Maximize",MAX($C254:$AI254),MIN($C254:$AI254)),$C254:$AI254,0)),H252-INDEX($C243:$AJ253,10,MATCH(IF('Data-solution'!$A$3="Maximize",MAX($C254:$AI254),MIN($C254:$AI254)),$C254:$AI254,0))*INDEX(H243:$AJ253,MATCH(MIN($AK243:$AK253),$AK243:$AK253,0),1)/INDEX($C243:$AJ253,MATCH(MIN($AK243:$AK253),$AK243:$AK253,0),MATCH(IF('Data-solution'!$A$3="Maximize",MAX($C254:$AI254),MIN($C254:$AI254)),$C254:$AI254,0))),H252)</f>
        <v>0</v>
      </c>
      <c r="I267" s="1">
        <f>IF(OR($B258&lt;&gt;$B243,$B259&lt;&gt;$B244,$B260&lt;&gt;$B245,$B261&lt;&gt;$B246,$B262&lt;&gt;$B247,$B263&lt;&gt;$B248,$B264&lt;&gt;$B249,$B265&lt;&gt;$B250,$B266&lt;&gt;$B251,$B267&lt;&gt;$B252,$B268&lt;&gt;$B253),IF($B267&lt;&gt;$B252,I252/INDEX($C243:$AJ253,10,MATCH(IF('Data-solution'!$A$3="Maximize",MAX($C254:$AI254),MIN($C254:$AI254)),$C254:$AI254,0)),I252-INDEX($C243:$AJ253,10,MATCH(IF('Data-solution'!$A$3="Maximize",MAX($C254:$AI254),MIN($C254:$AI254)),$C254:$AI254,0))*INDEX(I243:$AJ253,MATCH(MIN($AK243:$AK253),$AK243:$AK253,0),1)/INDEX($C243:$AJ253,MATCH(MIN($AK243:$AK253),$AK243:$AK253,0),MATCH(IF('Data-solution'!$A$3="Maximize",MAX($C254:$AI254),MIN($C254:$AI254)),$C254:$AI254,0))),I252)</f>
        <v>0</v>
      </c>
      <c r="J267" s="1">
        <f>IF(OR($B258&lt;&gt;$B243,$B259&lt;&gt;$B244,$B260&lt;&gt;$B245,$B261&lt;&gt;$B246,$B262&lt;&gt;$B247,$B263&lt;&gt;$B248,$B264&lt;&gt;$B249,$B265&lt;&gt;$B250,$B266&lt;&gt;$B251,$B267&lt;&gt;$B252,$B268&lt;&gt;$B253),IF($B267&lt;&gt;$B252,J252/INDEX($C243:$AJ253,10,MATCH(IF('Data-solution'!$A$3="Maximize",MAX($C254:$AI254),MIN($C254:$AI254)),$C254:$AI254,0)),J252-INDEX($C243:$AJ253,10,MATCH(IF('Data-solution'!$A$3="Maximize",MAX($C254:$AI254),MIN($C254:$AI254)),$C254:$AI254,0))*INDEX(J243:$AJ253,MATCH(MIN($AK243:$AK253),$AK243:$AK253,0),1)/INDEX($C243:$AJ253,MATCH(MIN($AK243:$AK253),$AK243:$AK253,0),MATCH(IF('Data-solution'!$A$3="Maximize",MAX($C254:$AI254),MIN($C254:$AI254)),$C254:$AI254,0))),J252)</f>
        <v>0</v>
      </c>
      <c r="K267" s="1">
        <f>IF(OR($B258&lt;&gt;$B243,$B259&lt;&gt;$B244,$B260&lt;&gt;$B245,$B261&lt;&gt;$B246,$B262&lt;&gt;$B247,$B263&lt;&gt;$B248,$B264&lt;&gt;$B249,$B265&lt;&gt;$B250,$B266&lt;&gt;$B251,$B267&lt;&gt;$B252,$B268&lt;&gt;$B253),IF($B267&lt;&gt;$B252,K252/INDEX($C243:$AJ253,10,MATCH(IF('Data-solution'!$A$3="Maximize",MAX($C254:$AI254),MIN($C254:$AI254)),$C254:$AI254,0)),K252-INDEX($C243:$AJ253,10,MATCH(IF('Data-solution'!$A$3="Maximize",MAX($C254:$AI254),MIN($C254:$AI254)),$C254:$AI254,0))*INDEX(K243:$AJ253,MATCH(MIN($AK243:$AK253),$AK243:$AK253,0),1)/INDEX($C243:$AJ253,MATCH(MIN($AK243:$AK253),$AK243:$AK253,0),MATCH(IF('Data-solution'!$A$3="Maximize",MAX($C254:$AI254),MIN($C254:$AI254)),$C254:$AI254,0))),K252)</f>
        <v>0</v>
      </c>
      <c r="L267" s="1">
        <f>IF(OR($B258&lt;&gt;$B243,$B259&lt;&gt;$B244,$B260&lt;&gt;$B245,$B261&lt;&gt;$B246,$B262&lt;&gt;$B247,$B263&lt;&gt;$B248,$B264&lt;&gt;$B249,$B265&lt;&gt;$B250,$B266&lt;&gt;$B251,$B267&lt;&gt;$B252,$B268&lt;&gt;$B253),IF($B267&lt;&gt;$B252,L252/INDEX($C243:$AJ253,10,MATCH(IF('Data-solution'!$A$3="Maximize",MAX($C254:$AI254),MIN($C254:$AI254)),$C254:$AI254,0)),L252-INDEX($C243:$AJ253,10,MATCH(IF('Data-solution'!$A$3="Maximize",MAX($C254:$AI254),MIN($C254:$AI254)),$C254:$AI254,0))*INDEX(L243:$AJ253,MATCH(MIN($AK243:$AK253),$AK243:$AK253,0),1)/INDEX($C243:$AJ253,MATCH(MIN($AK243:$AK253),$AK243:$AK253,0),MATCH(IF('Data-solution'!$A$3="Maximize",MAX($C254:$AI254),MIN($C254:$AI254)),$C254:$AI254,0))),L252)</f>
        <v>0</v>
      </c>
      <c r="M267" s="1">
        <f>IF(OR($B258&lt;&gt;$B243,$B259&lt;&gt;$B244,$B260&lt;&gt;$B245,$B261&lt;&gt;$B246,$B262&lt;&gt;$B247,$B263&lt;&gt;$B248,$B264&lt;&gt;$B249,$B265&lt;&gt;$B250,$B266&lt;&gt;$B251,$B267&lt;&gt;$B252,$B268&lt;&gt;$B253),IF($B267&lt;&gt;$B252,M252/INDEX($C243:$AJ253,10,MATCH(IF('Data-solution'!$A$3="Maximize",MAX($C254:$AI254),MIN($C254:$AI254)),$C254:$AI254,0)),M252-INDEX($C243:$AJ253,10,MATCH(IF('Data-solution'!$A$3="Maximize",MAX($C254:$AI254),MIN($C254:$AI254)),$C254:$AI254,0))*INDEX(M243:$AJ253,MATCH(MIN($AK243:$AK253),$AK243:$AK253,0),1)/INDEX($C243:$AJ253,MATCH(MIN($AK243:$AK253),$AK243:$AK253,0),MATCH(IF('Data-solution'!$A$3="Maximize",MAX($C254:$AI254),MIN($C254:$AI254)),$C254:$AI254,0))),M252)</f>
        <v>0</v>
      </c>
      <c r="N267" s="1">
        <f>IF(OR($B258&lt;&gt;$B243,$B259&lt;&gt;$B244,$B260&lt;&gt;$B245,$B261&lt;&gt;$B246,$B262&lt;&gt;$B247,$B263&lt;&gt;$B248,$B264&lt;&gt;$B249,$B265&lt;&gt;$B250,$B266&lt;&gt;$B251,$B267&lt;&gt;$B252,$B268&lt;&gt;$B253),IF($B267&lt;&gt;$B252,N252/INDEX($C243:$AJ253,10,MATCH(IF('Data-solution'!$A$3="Maximize",MAX($C254:$AI254),MIN($C254:$AI254)),$C254:$AI254,0)),N252-INDEX($C243:$AJ253,10,MATCH(IF('Data-solution'!$A$3="Maximize",MAX($C254:$AI254),MIN($C254:$AI254)),$C254:$AI254,0))*INDEX(N243:$AJ253,MATCH(MIN($AK243:$AK253),$AK243:$AK253,0),1)/INDEX($C243:$AJ253,MATCH(MIN($AK243:$AK253),$AK243:$AK253,0),MATCH(IF('Data-solution'!$A$3="Maximize",MAX($C254:$AI254),MIN($C254:$AI254)),$C254:$AI254,0))),N252)</f>
        <v>0</v>
      </c>
      <c r="O267" s="1">
        <f>IF(OR($B258&lt;&gt;$B243,$B259&lt;&gt;$B244,$B260&lt;&gt;$B245,$B261&lt;&gt;$B246,$B262&lt;&gt;$B247,$B263&lt;&gt;$B248,$B264&lt;&gt;$B249,$B265&lt;&gt;$B250,$B266&lt;&gt;$B251,$B267&lt;&gt;$B252,$B268&lt;&gt;$B253),IF($B267&lt;&gt;$B252,O252/INDEX($C243:$AJ253,10,MATCH(IF('Data-solution'!$A$3="Maximize",MAX($C254:$AI254),MIN($C254:$AI254)),$C254:$AI254,0)),O252-INDEX($C243:$AJ253,10,MATCH(IF('Data-solution'!$A$3="Maximize",MAX($C254:$AI254),MIN($C254:$AI254)),$C254:$AI254,0))*INDEX(O243:$AJ253,MATCH(MIN($AK243:$AK253),$AK243:$AK253,0),1)/INDEX($C243:$AJ253,MATCH(MIN($AK243:$AK253),$AK243:$AK253,0),MATCH(IF('Data-solution'!$A$3="Maximize",MAX($C254:$AI254),MIN($C254:$AI254)),$C254:$AI254,0))),O252)</f>
        <v>0</v>
      </c>
      <c r="P267" s="1">
        <f>IF(OR($B258&lt;&gt;$B243,$B259&lt;&gt;$B244,$B260&lt;&gt;$B245,$B261&lt;&gt;$B246,$B262&lt;&gt;$B247,$B263&lt;&gt;$B248,$B264&lt;&gt;$B249,$B265&lt;&gt;$B250,$B266&lt;&gt;$B251,$B267&lt;&gt;$B252,$B268&lt;&gt;$B253),IF($B267&lt;&gt;$B252,P252/INDEX($C243:$AJ253,10,MATCH(IF('Data-solution'!$A$3="Maximize",MAX($C254:$AI254),MIN($C254:$AI254)),$C254:$AI254,0)),P252-INDEX($C243:$AJ253,10,MATCH(IF('Data-solution'!$A$3="Maximize",MAX($C254:$AI254),MIN($C254:$AI254)),$C254:$AI254,0))*INDEX(P243:$AJ253,MATCH(MIN($AK243:$AK253),$AK243:$AK253,0),1)/INDEX($C243:$AJ253,MATCH(MIN($AK243:$AK253),$AK243:$AK253,0),MATCH(IF('Data-solution'!$A$3="Maximize",MAX($C254:$AI254),MIN($C254:$AI254)),$C254:$AI254,0))),P252)</f>
        <v>0</v>
      </c>
      <c r="Q267" s="1">
        <f>IF(OR($B258&lt;&gt;$B243,$B259&lt;&gt;$B244,$B260&lt;&gt;$B245,$B261&lt;&gt;$B246,$B262&lt;&gt;$B247,$B263&lt;&gt;$B248,$B264&lt;&gt;$B249,$B265&lt;&gt;$B250,$B266&lt;&gt;$B251,$B267&lt;&gt;$B252,$B268&lt;&gt;$B253),IF($B267&lt;&gt;$B252,Q252/INDEX($C243:$AJ253,10,MATCH(IF('Data-solution'!$A$3="Maximize",MAX($C254:$AI254),MIN($C254:$AI254)),$C254:$AI254,0)),Q252-INDEX($C243:$AJ253,10,MATCH(IF('Data-solution'!$A$3="Maximize",MAX($C254:$AI254),MIN($C254:$AI254)),$C254:$AI254,0))*INDEX(Q243:$AJ253,MATCH(MIN($AK243:$AK253),$AK243:$AK253,0),1)/INDEX($C243:$AJ253,MATCH(MIN($AK243:$AK253),$AK243:$AK253,0),MATCH(IF('Data-solution'!$A$3="Maximize",MAX($C254:$AI254),MIN($C254:$AI254)),$C254:$AI254,0))),Q252)</f>
        <v>0</v>
      </c>
      <c r="R267" s="1">
        <f>IF(OR($B258&lt;&gt;$B243,$B259&lt;&gt;$B244,$B260&lt;&gt;$B245,$B261&lt;&gt;$B246,$B262&lt;&gt;$B247,$B263&lt;&gt;$B248,$B264&lt;&gt;$B249,$B265&lt;&gt;$B250,$B266&lt;&gt;$B251,$B267&lt;&gt;$B252,$B268&lt;&gt;$B253),IF($B267&lt;&gt;$B252,R252/INDEX($C243:$AJ253,10,MATCH(IF('Data-solution'!$A$3="Maximize",MAX($C254:$AI254),MIN($C254:$AI254)),$C254:$AI254,0)),R252-INDEX($C243:$AJ253,10,MATCH(IF('Data-solution'!$A$3="Maximize",MAX($C254:$AI254),MIN($C254:$AI254)),$C254:$AI254,0))*INDEX(R243:$AJ253,MATCH(MIN($AK243:$AK253),$AK243:$AK253,0),1)/INDEX($C243:$AJ253,MATCH(MIN($AK243:$AK253),$AK243:$AK253,0),MATCH(IF('Data-solution'!$A$3="Maximize",MAX($C254:$AI254),MIN($C254:$AI254)),$C254:$AI254,0))),R252)</f>
        <v>0</v>
      </c>
      <c r="S267" s="1">
        <f>IF(OR($B258&lt;&gt;$B243,$B259&lt;&gt;$B244,$B260&lt;&gt;$B245,$B261&lt;&gt;$B246,$B262&lt;&gt;$B247,$B263&lt;&gt;$B248,$B264&lt;&gt;$B249,$B265&lt;&gt;$B250,$B266&lt;&gt;$B251,$B267&lt;&gt;$B252,$B268&lt;&gt;$B253),IF($B267&lt;&gt;$B252,S252/INDEX($C243:$AJ253,10,MATCH(IF('Data-solution'!$A$3="Maximize",MAX($C254:$AI254),MIN($C254:$AI254)),$C254:$AI254,0)),S252-INDEX($C243:$AJ253,10,MATCH(IF('Data-solution'!$A$3="Maximize",MAX($C254:$AI254),MIN($C254:$AI254)),$C254:$AI254,0))*INDEX(S243:$AJ253,MATCH(MIN($AK243:$AK253),$AK243:$AK253,0),1)/INDEX($C243:$AJ253,MATCH(MIN($AK243:$AK253),$AK243:$AK253,0),MATCH(IF('Data-solution'!$A$3="Maximize",MAX($C254:$AI254),MIN($C254:$AI254)),$C254:$AI254,0))),S252)</f>
        <v>0</v>
      </c>
      <c r="T267" s="1">
        <f>IF(OR($B258&lt;&gt;$B243,$B259&lt;&gt;$B244,$B260&lt;&gt;$B245,$B261&lt;&gt;$B246,$B262&lt;&gt;$B247,$B263&lt;&gt;$B248,$B264&lt;&gt;$B249,$B265&lt;&gt;$B250,$B266&lt;&gt;$B251,$B267&lt;&gt;$B252,$B268&lt;&gt;$B253),IF($B267&lt;&gt;$B252,T252/INDEX($C243:$AJ253,10,MATCH(IF('Data-solution'!$A$3="Maximize",MAX($C254:$AI254),MIN($C254:$AI254)),$C254:$AI254,0)),T252-INDEX($C243:$AJ253,10,MATCH(IF('Data-solution'!$A$3="Maximize",MAX($C254:$AI254),MIN($C254:$AI254)),$C254:$AI254,0))*INDEX(T243:$AJ253,MATCH(MIN($AK243:$AK253),$AK243:$AK253,0),1)/INDEX($C243:$AJ253,MATCH(MIN($AK243:$AK253),$AK243:$AK253,0),MATCH(IF('Data-solution'!$A$3="Maximize",MAX($C254:$AI254),MIN($C254:$AI254)),$C254:$AI254,0))),T252)</f>
        <v>0</v>
      </c>
      <c r="U267" s="1">
        <f>IF(OR($B258&lt;&gt;$B243,$B259&lt;&gt;$B244,$B260&lt;&gt;$B245,$B261&lt;&gt;$B246,$B262&lt;&gt;$B247,$B263&lt;&gt;$B248,$B264&lt;&gt;$B249,$B265&lt;&gt;$B250,$B266&lt;&gt;$B251,$B267&lt;&gt;$B252,$B268&lt;&gt;$B253),IF($B267&lt;&gt;$B252,U252/INDEX($C243:$AJ253,10,MATCH(IF('Data-solution'!$A$3="Maximize",MAX($C254:$AI254),MIN($C254:$AI254)),$C254:$AI254,0)),U252-INDEX($C243:$AJ253,10,MATCH(IF('Data-solution'!$A$3="Maximize",MAX($C254:$AI254),MIN($C254:$AI254)),$C254:$AI254,0))*INDEX(U243:$AJ253,MATCH(MIN($AK243:$AK253),$AK243:$AK253,0),1)/INDEX($C243:$AJ253,MATCH(MIN($AK243:$AK253),$AK243:$AK253,0),MATCH(IF('Data-solution'!$A$3="Maximize",MAX($C254:$AI254),MIN($C254:$AI254)),$C254:$AI254,0))),U252)</f>
        <v>0</v>
      </c>
      <c r="V267" s="1">
        <f>IF(OR($B258&lt;&gt;$B243,$B259&lt;&gt;$B244,$B260&lt;&gt;$B245,$B261&lt;&gt;$B246,$B262&lt;&gt;$B247,$B263&lt;&gt;$B248,$B264&lt;&gt;$B249,$B265&lt;&gt;$B250,$B266&lt;&gt;$B251,$B267&lt;&gt;$B252,$B268&lt;&gt;$B253),IF($B267&lt;&gt;$B252,V252/INDEX($C243:$AJ253,10,MATCH(IF('Data-solution'!$A$3="Maximize",MAX($C254:$AI254),MIN($C254:$AI254)),$C254:$AI254,0)),V252-INDEX($C243:$AJ253,10,MATCH(IF('Data-solution'!$A$3="Maximize",MAX($C254:$AI254),MIN($C254:$AI254)),$C254:$AI254,0))*INDEX(V243:$AJ253,MATCH(MIN($AK243:$AK253),$AK243:$AK253,0),1)/INDEX($C243:$AJ253,MATCH(MIN($AK243:$AK253),$AK243:$AK253,0),MATCH(IF('Data-solution'!$A$3="Maximize",MAX($C254:$AI254),MIN($C254:$AI254)),$C254:$AI254,0))),V252)</f>
        <v>0</v>
      </c>
      <c r="W267" s="1">
        <f>IF(OR($B258&lt;&gt;$B243,$B259&lt;&gt;$B244,$B260&lt;&gt;$B245,$B261&lt;&gt;$B246,$B262&lt;&gt;$B247,$B263&lt;&gt;$B248,$B264&lt;&gt;$B249,$B265&lt;&gt;$B250,$B266&lt;&gt;$B251,$B267&lt;&gt;$B252,$B268&lt;&gt;$B253),IF($B267&lt;&gt;$B252,W252/INDEX($C243:$AJ253,10,MATCH(IF('Data-solution'!$A$3="Maximize",MAX($C254:$AI254),MIN($C254:$AI254)),$C254:$AI254,0)),W252-INDEX($C243:$AJ253,10,MATCH(IF('Data-solution'!$A$3="Maximize",MAX($C254:$AI254),MIN($C254:$AI254)),$C254:$AI254,0))*INDEX(W243:$AJ253,MATCH(MIN($AK243:$AK253),$AK243:$AK253,0),1)/INDEX($C243:$AJ253,MATCH(MIN($AK243:$AK253),$AK243:$AK253,0),MATCH(IF('Data-solution'!$A$3="Maximize",MAX($C254:$AI254),MIN($C254:$AI254)),$C254:$AI254,0))),W252)</f>
        <v>1</v>
      </c>
      <c r="X267" s="1">
        <f>IF(OR($B258&lt;&gt;$B243,$B259&lt;&gt;$B244,$B260&lt;&gt;$B245,$B261&lt;&gt;$B246,$B262&lt;&gt;$B247,$B263&lt;&gt;$B248,$B264&lt;&gt;$B249,$B265&lt;&gt;$B250,$B266&lt;&gt;$B251,$B267&lt;&gt;$B252,$B268&lt;&gt;$B253),IF($B267&lt;&gt;$B252,X252/INDEX($C243:$AJ253,10,MATCH(IF('Data-solution'!$A$3="Maximize",MAX($C254:$AI254),MIN($C254:$AI254)),$C254:$AI254,0)),X252-INDEX($C243:$AJ253,10,MATCH(IF('Data-solution'!$A$3="Maximize",MAX($C254:$AI254),MIN($C254:$AI254)),$C254:$AI254,0))*INDEX(X243:$AJ253,MATCH(MIN($AK243:$AK253),$AK243:$AK253,0),1)/INDEX($C243:$AJ253,MATCH(MIN($AK243:$AK253),$AK243:$AK253,0),MATCH(IF('Data-solution'!$A$3="Maximize",MAX($C254:$AI254),MIN($C254:$AI254)),$C254:$AI254,0))),X252)</f>
        <v>0</v>
      </c>
      <c r="Y267" s="1">
        <f>IF(OR($B258&lt;&gt;$B243,$B259&lt;&gt;$B244,$B260&lt;&gt;$B245,$B261&lt;&gt;$B246,$B262&lt;&gt;$B247,$B263&lt;&gt;$B248,$B264&lt;&gt;$B249,$B265&lt;&gt;$B250,$B266&lt;&gt;$B251,$B267&lt;&gt;$B252,$B268&lt;&gt;$B253),IF($B267&lt;&gt;$B252,Y252/INDEX($C243:$AJ253,10,MATCH(IF('Data-solution'!$A$3="Maximize",MAX($C254:$AI254),MIN($C254:$AI254)),$C254:$AI254,0)),Y252-INDEX($C243:$AJ253,10,MATCH(IF('Data-solution'!$A$3="Maximize",MAX($C254:$AI254),MIN($C254:$AI254)),$C254:$AI254,0))*INDEX(Y243:$AJ253,MATCH(MIN($AK243:$AK253),$AK243:$AK253,0),1)/INDEX($C243:$AJ253,MATCH(MIN($AK243:$AK253),$AK243:$AK253,0),MATCH(IF('Data-solution'!$A$3="Maximize",MAX($C254:$AI254),MIN($C254:$AI254)),$C254:$AI254,0))),Y252)</f>
        <v>0</v>
      </c>
      <c r="Z267" s="1">
        <f>IF(OR($B258&lt;&gt;$B243,$B259&lt;&gt;$B244,$B260&lt;&gt;$B245,$B261&lt;&gt;$B246,$B262&lt;&gt;$B247,$B263&lt;&gt;$B248,$B264&lt;&gt;$B249,$B265&lt;&gt;$B250,$B266&lt;&gt;$B251,$B267&lt;&gt;$B252,$B268&lt;&gt;$B253),IF($B267&lt;&gt;$B252,Z252/INDEX($C243:$AJ253,10,MATCH(IF('Data-solution'!$A$3="Maximize",MAX($C254:$AI254),MIN($C254:$AI254)),$C254:$AI254,0)),Z252-INDEX($C243:$AJ253,10,MATCH(IF('Data-solution'!$A$3="Maximize",MAX($C254:$AI254),MIN($C254:$AI254)),$C254:$AI254,0))*INDEX(Z243:$AJ253,MATCH(MIN($AK243:$AK253),$AK243:$AK253,0),1)/INDEX($C243:$AJ253,MATCH(MIN($AK243:$AK253),$AK243:$AK253,0),MATCH(IF('Data-solution'!$A$3="Maximize",MAX($C254:$AI254),MIN($C254:$AI254)),$C254:$AI254,0))),Z252)</f>
        <v>0</v>
      </c>
      <c r="AA267" s="1">
        <f>IF(OR($B258&lt;&gt;$B243,$B259&lt;&gt;$B244,$B260&lt;&gt;$B245,$B261&lt;&gt;$B246,$B262&lt;&gt;$B247,$B263&lt;&gt;$B248,$B264&lt;&gt;$B249,$B265&lt;&gt;$B250,$B266&lt;&gt;$B251,$B267&lt;&gt;$B252,$B268&lt;&gt;$B253),IF($B267&lt;&gt;$B252,AA252/INDEX($C243:$AJ253,10,MATCH(IF('Data-solution'!$A$3="Maximize",MAX($C254:$AI254),MIN($C254:$AI254)),$C254:$AI254,0)),AA252-INDEX($C243:$AJ253,10,MATCH(IF('Data-solution'!$A$3="Maximize",MAX($C254:$AI254),MIN($C254:$AI254)),$C254:$AI254,0))*INDEX(AA243:$AJ253,MATCH(MIN($AK243:$AK253),$AK243:$AK253,0),1)/INDEX($C243:$AJ253,MATCH(MIN($AK243:$AK253),$AK243:$AK253,0),MATCH(IF('Data-solution'!$A$3="Maximize",MAX($C254:$AI254),MIN($C254:$AI254)),$C254:$AI254,0))),AA252)</f>
        <v>0</v>
      </c>
      <c r="AB267" s="1">
        <f>IF(OR($B258&lt;&gt;$B243,$B259&lt;&gt;$B244,$B260&lt;&gt;$B245,$B261&lt;&gt;$B246,$B262&lt;&gt;$B247,$B263&lt;&gt;$B248,$B264&lt;&gt;$B249,$B265&lt;&gt;$B250,$B266&lt;&gt;$B251,$B267&lt;&gt;$B252,$B268&lt;&gt;$B253),IF($B267&lt;&gt;$B252,AB252/INDEX($C243:$AJ253,10,MATCH(IF('Data-solution'!$A$3="Maximize",MAX($C254:$AI254),MIN($C254:$AI254)),$C254:$AI254,0)),AB252-INDEX($C243:$AJ253,10,MATCH(IF('Data-solution'!$A$3="Maximize",MAX($C254:$AI254),MIN($C254:$AI254)),$C254:$AI254,0))*INDEX(AB243:$AJ253,MATCH(MIN($AK243:$AK253),$AK243:$AK253,0),1)/INDEX($C243:$AJ253,MATCH(MIN($AK243:$AK253),$AK243:$AK253,0),MATCH(IF('Data-solution'!$A$3="Maximize",MAX($C254:$AI254),MIN($C254:$AI254)),$C254:$AI254,0))),AB252)</f>
        <v>0</v>
      </c>
      <c r="AC267" s="1">
        <f>IF(OR($B258&lt;&gt;$B243,$B259&lt;&gt;$B244,$B260&lt;&gt;$B245,$B261&lt;&gt;$B246,$B262&lt;&gt;$B247,$B263&lt;&gt;$B248,$B264&lt;&gt;$B249,$B265&lt;&gt;$B250,$B266&lt;&gt;$B251,$B267&lt;&gt;$B252,$B268&lt;&gt;$B253),IF($B267&lt;&gt;$B252,AC252/INDEX($C243:$AJ253,10,MATCH(IF('Data-solution'!$A$3="Maximize",MAX($C254:$AI254),MIN($C254:$AI254)),$C254:$AI254,0)),AC252-INDEX($C243:$AJ253,10,MATCH(IF('Data-solution'!$A$3="Maximize",MAX($C254:$AI254),MIN($C254:$AI254)),$C254:$AI254,0))*INDEX(AC243:$AJ253,MATCH(MIN($AK243:$AK253),$AK243:$AK253,0),1)/INDEX($C243:$AJ253,MATCH(MIN($AK243:$AK253),$AK243:$AK253,0),MATCH(IF('Data-solution'!$A$3="Maximize",MAX($C254:$AI254),MIN($C254:$AI254)),$C254:$AI254,0))),AC252)</f>
        <v>0</v>
      </c>
      <c r="AD267" s="1">
        <f>IF(OR($B258&lt;&gt;$B243,$B259&lt;&gt;$B244,$B260&lt;&gt;$B245,$B261&lt;&gt;$B246,$B262&lt;&gt;$B247,$B263&lt;&gt;$B248,$B264&lt;&gt;$B249,$B265&lt;&gt;$B250,$B266&lt;&gt;$B251,$B267&lt;&gt;$B252,$B268&lt;&gt;$B253),IF($B267&lt;&gt;$B252,AD252/INDEX($C243:$AJ253,10,MATCH(IF('Data-solution'!$A$3="Maximize",MAX($C254:$AI254),MIN($C254:$AI254)),$C254:$AI254,0)),AD252-INDEX($C243:$AJ253,10,MATCH(IF('Data-solution'!$A$3="Maximize",MAX($C254:$AI254),MIN($C254:$AI254)),$C254:$AI254,0))*INDEX(AD243:$AJ253,MATCH(MIN($AK243:$AK253),$AK243:$AK253,0),1)/INDEX($C243:$AJ253,MATCH(MIN($AK243:$AK253),$AK243:$AK253,0),MATCH(IF('Data-solution'!$A$3="Maximize",MAX($C254:$AI254),MIN($C254:$AI254)),$C254:$AI254,0))),AD252)</f>
        <v>0</v>
      </c>
      <c r="AE267" s="1">
        <f>IF(OR($B258&lt;&gt;$B243,$B259&lt;&gt;$B244,$B260&lt;&gt;$B245,$B261&lt;&gt;$B246,$B262&lt;&gt;$B247,$B263&lt;&gt;$B248,$B264&lt;&gt;$B249,$B265&lt;&gt;$B250,$B266&lt;&gt;$B251,$B267&lt;&gt;$B252,$B268&lt;&gt;$B253),IF($B267&lt;&gt;$B252,AE252/INDEX($C243:$AJ253,10,MATCH(IF('Data-solution'!$A$3="Maximize",MAX($C254:$AI254),MIN($C254:$AI254)),$C254:$AI254,0)),AE252-INDEX($C243:$AJ253,10,MATCH(IF('Data-solution'!$A$3="Maximize",MAX($C254:$AI254),MIN($C254:$AI254)),$C254:$AI254,0))*INDEX(AE243:$AJ253,MATCH(MIN($AK243:$AK253),$AK243:$AK253,0),1)/INDEX($C243:$AJ253,MATCH(MIN($AK243:$AK253),$AK243:$AK253,0),MATCH(IF('Data-solution'!$A$3="Maximize",MAX($C254:$AI254),MIN($C254:$AI254)),$C254:$AI254,0))),AE252)</f>
        <v>0</v>
      </c>
      <c r="AF267" s="1">
        <f>IF(OR($B258&lt;&gt;$B243,$B259&lt;&gt;$B244,$B260&lt;&gt;$B245,$B261&lt;&gt;$B246,$B262&lt;&gt;$B247,$B263&lt;&gt;$B248,$B264&lt;&gt;$B249,$B265&lt;&gt;$B250,$B266&lt;&gt;$B251,$B267&lt;&gt;$B252,$B268&lt;&gt;$B253),IF($B267&lt;&gt;$B252,AF252/INDEX($C243:$AJ253,10,MATCH(IF('Data-solution'!$A$3="Maximize",MAX($C254:$AI254),MIN($C254:$AI254)),$C254:$AI254,0)),AF252-INDEX($C243:$AJ253,10,MATCH(IF('Data-solution'!$A$3="Maximize",MAX($C254:$AI254),MIN($C254:$AI254)),$C254:$AI254,0))*INDEX(AF243:$AJ253,MATCH(MIN($AK243:$AK253),$AK243:$AK253,0),1)/INDEX($C243:$AJ253,MATCH(MIN($AK243:$AK253),$AK243:$AK253,0),MATCH(IF('Data-solution'!$A$3="Maximize",MAX($C254:$AI254),MIN($C254:$AI254)),$C254:$AI254,0))),AF252)</f>
        <v>0</v>
      </c>
      <c r="AG267" s="1">
        <f>IF(OR($B258&lt;&gt;$B243,$B259&lt;&gt;$B244,$B260&lt;&gt;$B245,$B261&lt;&gt;$B246,$B262&lt;&gt;$B247,$B263&lt;&gt;$B248,$B264&lt;&gt;$B249,$B265&lt;&gt;$B250,$B266&lt;&gt;$B251,$B267&lt;&gt;$B252,$B268&lt;&gt;$B253),IF($B267&lt;&gt;$B252,AG252/INDEX($C243:$AJ253,10,MATCH(IF('Data-solution'!$A$3="Maximize",MAX($C254:$AI254),MIN($C254:$AI254)),$C254:$AI254,0)),AG252-INDEX($C243:$AJ253,10,MATCH(IF('Data-solution'!$A$3="Maximize",MAX($C254:$AI254),MIN($C254:$AI254)),$C254:$AI254,0))*INDEX(AG243:$AJ253,MATCH(MIN($AK243:$AK253),$AK243:$AK253,0),1)/INDEX($C243:$AJ253,MATCH(MIN($AK243:$AK253),$AK243:$AK253,0),MATCH(IF('Data-solution'!$A$3="Maximize",MAX($C254:$AI254),MIN($C254:$AI254)),$C254:$AI254,0))),AG252)</f>
        <v>0</v>
      </c>
      <c r="AH267" s="1">
        <f>IF(OR($B258&lt;&gt;$B243,$B259&lt;&gt;$B244,$B260&lt;&gt;$B245,$B261&lt;&gt;$B246,$B262&lt;&gt;$B247,$B263&lt;&gt;$B248,$B264&lt;&gt;$B249,$B265&lt;&gt;$B250,$B266&lt;&gt;$B251,$B267&lt;&gt;$B252,$B268&lt;&gt;$B253),IF($B267&lt;&gt;$B252,AH252/INDEX($C243:$AJ253,10,MATCH(IF('Data-solution'!$A$3="Maximize",MAX($C254:$AI254),MIN($C254:$AI254)),$C254:$AI254,0)),AH252-INDEX($C243:$AJ253,10,MATCH(IF('Data-solution'!$A$3="Maximize",MAX($C254:$AI254),MIN($C254:$AI254)),$C254:$AI254,0))*INDEX(AH243:$AJ253,MATCH(MIN($AK243:$AK253),$AK243:$AK253,0),1)/INDEX($C243:$AJ253,MATCH(MIN($AK243:$AK253),$AK243:$AK253,0),MATCH(IF('Data-solution'!$A$3="Maximize",MAX($C254:$AI254),MIN($C254:$AI254)),$C254:$AI254,0))),AH252)</f>
        <v>1</v>
      </c>
      <c r="AI267" s="1">
        <f>IF(OR($B258&lt;&gt;$B243,$B259&lt;&gt;$B244,$B260&lt;&gt;$B245,$B261&lt;&gt;$B246,$B262&lt;&gt;$B247,$B263&lt;&gt;$B248,$B264&lt;&gt;$B249,$B265&lt;&gt;$B250,$B266&lt;&gt;$B251,$B267&lt;&gt;$B252,$B268&lt;&gt;$B253),IF($B267&lt;&gt;$B252,AI252/INDEX($C243:$AJ253,10,MATCH(IF('Data-solution'!$A$3="Maximize",MAX($C254:$AI254),MIN($C254:$AI254)),$C254:$AI254,0)),AI252-INDEX($C243:$AJ253,10,MATCH(IF('Data-solution'!$A$3="Maximize",MAX($C254:$AI254),MIN($C254:$AI254)),$C254:$AI254,0))*INDEX(AI243:$AJ253,MATCH(MIN($AK243:$AK253),$AK243:$AK253,0),1)/INDEX($C243:$AJ253,MATCH(MIN($AK243:$AK253),$AK243:$AK253,0),MATCH(IF('Data-solution'!$A$3="Maximize",MAX($C254:$AI254),MIN($C254:$AI254)),$C254:$AI254,0))),AI252)</f>
        <v>0</v>
      </c>
      <c r="AJ267" s="1">
        <f>IF(OR($B258&lt;&gt;$B243,$B259&lt;&gt;$B244,$B260&lt;&gt;$B245,$B261&lt;&gt;$B246,$B262&lt;&gt;$B247,$B263&lt;&gt;$B248,$B264&lt;&gt;$B249,$B265&lt;&gt;$B250,$B266&lt;&gt;$B251,$B267&lt;&gt;$B252,$B268&lt;&gt;$B253),IF($B267&lt;&gt;$B252,AJ252/INDEX($C243:$AJ253,10,MATCH(IF('Data-solution'!$A$3="Maximize",MAX($C254:$AI254),MIN($C254:$AI254)),$C254:$AI254,0)),AJ252-INDEX($C243:$AJ253,10,MATCH(IF('Data-solution'!$A$3="Maximize",MAX($C254:$AI254),MIN($C254:$AI254)),$C254:$AI254,0))*INDEX(AJ243:$AJ253,MATCH(MIN($AK243:$AK253),$AK243:$AK253,0),1)/INDEX($C243:$AJ253,MATCH(MIN($AK243:$AK253),$AK243:$AK253,0),MATCH(IF('Data-solution'!$A$3="Maximize",MAX($C254:$AI254),MIN($C254:$AI254)),$C254:$AI254,0))),AJ252)</f>
        <v>0</v>
      </c>
      <c r="AK267" s="1" t="str">
        <f>IF(INDEX(C267:X267,1,MATCH(IF('Data-solution'!A$3="Maximize",MAX(C269:X269),MIN(C269:X269)),C269:X269,0))&gt;0,AJ267/INDEX(C267:X267,1,MATCH(IF('Data-solution'!A$3="Maximize",MAX(C269:X269),MIN(C269:X269)),C269:X269,0))," ")</f>
        <v xml:space="preserve"> </v>
      </c>
    </row>
    <row r="268" spans="1:37" ht="18" customHeight="1" x14ac:dyDescent="0.2">
      <c r="A268" s="1">
        <f t="shared" ref="A268" si="240">INDEX(C256:AI256,1,MATCH(B268,C257:AI257,0))</f>
        <v>0</v>
      </c>
      <c r="B268" s="2" t="str">
        <f>IF(AND('Data-solution'!A$3="Maximize",COUNTIF(C254:X254,"&gt;"&amp;0)&gt;0,AK253=MIN(AK243:AK253),COUNTIF(B258:B267,INDEX(C242:X242,1,MATCH(MAX(C254:X254),C254:X254,0)))=0),INDEX(C242:X242,1,MATCH(MAX(C254:X254),C254:X254,0)),IF(AND('Data-solution'!A$3="Minimize",COUNTIF(C254:X254,"&lt;"&amp;0)&gt;0,AK253=MIN(AK243:AK253),COUNTIF(B258:B267,INDEX(C242:X242,1,MATCH(MIN(C254:X254),C254:X254,0)))=0),INDEX(C242:X242,1,MATCH(MIN(C254:X254),C254:X254,0)),B253))</f>
        <v>S11</v>
      </c>
      <c r="C268" s="1">
        <f>IF(OR($B258&lt;&gt;$B243,$B259&lt;&gt;$B244,$B260&lt;&gt;$B245,$B261&lt;&gt;$B246,$B262&lt;&gt;$B247,$B263&lt;&gt;$B248,$B264&lt;&gt;$B249,$B265&lt;&gt;$B250,$B266&lt;&gt;$B251,$B267&lt;&gt;$B252,$B268&lt;&gt;$B253),IF($B268&lt;&gt;$B253,C253/INDEX($C243:$AJ253,11,MATCH(IF('Data-solution'!$A$3="Maximize",MAX($C254:$AI254),MIN($C254:$AI254)),$C254:$AI254,0)),C253-INDEX($C243:$AJ253,11,MATCH(IF('Data-solution'!$A$3="Maximize",MAX($C254:$AI254),MIN($C254:$AI254)),$C254:$AI254,0))*INDEX(C243:$AJ253,MATCH(MIN($AK243:$AK253),$AK243:$AK253,0),1)/INDEX($C243:$AJ253,MATCH(MIN($AK243:$AK253),$AK243:$AK253,0),MATCH(IF('Data-solution'!$A$3="Maximize",MAX($C254:$AI254),MIN($C254:$AI254)),$C254:$AI254,0))),C253)</f>
        <v>0</v>
      </c>
      <c r="D268" s="1">
        <f>IF(OR($B258&lt;&gt;$B243,$B259&lt;&gt;$B244,$B260&lt;&gt;$B245,$B261&lt;&gt;$B246,$B262&lt;&gt;$B247,$B263&lt;&gt;$B248,$B264&lt;&gt;$B249,$B265&lt;&gt;$B250,$B266&lt;&gt;$B251,$B267&lt;&gt;$B252,$B268&lt;&gt;$B253),IF($B268&lt;&gt;$B253,D253/INDEX($C243:$AJ253,11,MATCH(IF('Data-solution'!$A$3="Maximize",MAX($C254:$AI254),MIN($C254:$AI254)),$C254:$AI254,0)),D253-INDEX($C243:$AJ253,11,MATCH(IF('Data-solution'!$A$3="Maximize",MAX($C254:$AI254),MIN($C254:$AI254)),$C254:$AI254,0))*INDEX(D243:$AJ253,MATCH(MIN($AK243:$AK253),$AK243:$AK253,0),1)/INDEX($C243:$AJ253,MATCH(MIN($AK243:$AK253),$AK243:$AK253,0),MATCH(IF('Data-solution'!$A$3="Maximize",MAX($C254:$AI254),MIN($C254:$AI254)),$C254:$AI254,0))),D253)</f>
        <v>0</v>
      </c>
      <c r="E268" s="1">
        <f>IF(OR($B258&lt;&gt;$B243,$B259&lt;&gt;$B244,$B260&lt;&gt;$B245,$B261&lt;&gt;$B246,$B262&lt;&gt;$B247,$B263&lt;&gt;$B248,$B264&lt;&gt;$B249,$B265&lt;&gt;$B250,$B266&lt;&gt;$B251,$B267&lt;&gt;$B252,$B268&lt;&gt;$B253),IF($B268&lt;&gt;$B253,E253/INDEX($C243:$AJ253,11,MATCH(IF('Data-solution'!$A$3="Maximize",MAX($C254:$AI254),MIN($C254:$AI254)),$C254:$AI254,0)),E253-INDEX($C243:$AJ253,11,MATCH(IF('Data-solution'!$A$3="Maximize",MAX($C254:$AI254),MIN($C254:$AI254)),$C254:$AI254,0))*INDEX(E243:$AJ253,MATCH(MIN($AK243:$AK253),$AK243:$AK253,0),1)/INDEX($C243:$AJ253,MATCH(MIN($AK243:$AK253),$AK243:$AK253,0),MATCH(IF('Data-solution'!$A$3="Maximize",MAX($C254:$AI254),MIN($C254:$AI254)),$C254:$AI254,0))),E253)</f>
        <v>0</v>
      </c>
      <c r="F268" s="1">
        <f>IF(OR($B258&lt;&gt;$B243,$B259&lt;&gt;$B244,$B260&lt;&gt;$B245,$B261&lt;&gt;$B246,$B262&lt;&gt;$B247,$B263&lt;&gt;$B248,$B264&lt;&gt;$B249,$B265&lt;&gt;$B250,$B266&lt;&gt;$B251,$B267&lt;&gt;$B252,$B268&lt;&gt;$B253),IF($B268&lt;&gt;$B253,F253/INDEX($C243:$AJ253,11,MATCH(IF('Data-solution'!$A$3="Maximize",MAX($C254:$AI254),MIN($C254:$AI254)),$C254:$AI254,0)),F253-INDEX($C243:$AJ253,11,MATCH(IF('Data-solution'!$A$3="Maximize",MAX($C254:$AI254),MIN($C254:$AI254)),$C254:$AI254,0))*INDEX(F243:$AJ253,MATCH(MIN($AK243:$AK253),$AK243:$AK253,0),1)/INDEX($C243:$AJ253,MATCH(MIN($AK243:$AK253),$AK243:$AK253,0),MATCH(IF('Data-solution'!$A$3="Maximize",MAX($C254:$AI254),MIN($C254:$AI254)),$C254:$AI254,0))),F253)</f>
        <v>0</v>
      </c>
      <c r="G268" s="1">
        <f>IF(OR($B258&lt;&gt;$B243,$B259&lt;&gt;$B244,$B260&lt;&gt;$B245,$B261&lt;&gt;$B246,$B262&lt;&gt;$B247,$B263&lt;&gt;$B248,$B264&lt;&gt;$B249,$B265&lt;&gt;$B250,$B266&lt;&gt;$B251,$B267&lt;&gt;$B252,$B268&lt;&gt;$B253),IF($B268&lt;&gt;$B253,G253/INDEX($C243:$AJ253,11,MATCH(IF('Data-solution'!$A$3="Maximize",MAX($C254:$AI254),MIN($C254:$AI254)),$C254:$AI254,0)),G253-INDEX($C243:$AJ253,11,MATCH(IF('Data-solution'!$A$3="Maximize",MAX($C254:$AI254),MIN($C254:$AI254)),$C254:$AI254,0))*INDEX(G243:$AJ253,MATCH(MIN($AK243:$AK253),$AK243:$AK253,0),1)/INDEX($C243:$AJ253,MATCH(MIN($AK243:$AK253),$AK243:$AK253,0),MATCH(IF('Data-solution'!$A$3="Maximize",MAX($C254:$AI254),MIN($C254:$AI254)),$C254:$AI254,0))),G253)</f>
        <v>0</v>
      </c>
      <c r="H268" s="1">
        <f>IF(OR($B258&lt;&gt;$B243,$B259&lt;&gt;$B244,$B260&lt;&gt;$B245,$B261&lt;&gt;$B246,$B262&lt;&gt;$B247,$B263&lt;&gt;$B248,$B264&lt;&gt;$B249,$B265&lt;&gt;$B250,$B266&lt;&gt;$B251,$B267&lt;&gt;$B252,$B268&lt;&gt;$B253),IF($B268&lt;&gt;$B253,H253/INDEX($C243:$AJ253,11,MATCH(IF('Data-solution'!$A$3="Maximize",MAX($C254:$AI254),MIN($C254:$AI254)),$C254:$AI254,0)),H253-INDEX($C243:$AJ253,11,MATCH(IF('Data-solution'!$A$3="Maximize",MAX($C254:$AI254),MIN($C254:$AI254)),$C254:$AI254,0))*INDEX(H243:$AJ253,MATCH(MIN($AK243:$AK253),$AK243:$AK253,0),1)/INDEX($C243:$AJ253,MATCH(MIN($AK243:$AK253),$AK243:$AK253,0),MATCH(IF('Data-solution'!$A$3="Maximize",MAX($C254:$AI254),MIN($C254:$AI254)),$C254:$AI254,0))),H253)</f>
        <v>0</v>
      </c>
      <c r="I268" s="1">
        <f>IF(OR($B258&lt;&gt;$B243,$B259&lt;&gt;$B244,$B260&lt;&gt;$B245,$B261&lt;&gt;$B246,$B262&lt;&gt;$B247,$B263&lt;&gt;$B248,$B264&lt;&gt;$B249,$B265&lt;&gt;$B250,$B266&lt;&gt;$B251,$B267&lt;&gt;$B252,$B268&lt;&gt;$B253),IF($B268&lt;&gt;$B253,I253/INDEX($C243:$AJ253,11,MATCH(IF('Data-solution'!$A$3="Maximize",MAX($C254:$AI254),MIN($C254:$AI254)),$C254:$AI254,0)),I253-INDEX($C243:$AJ253,11,MATCH(IF('Data-solution'!$A$3="Maximize",MAX($C254:$AI254),MIN($C254:$AI254)),$C254:$AI254,0))*INDEX(I243:$AJ253,MATCH(MIN($AK243:$AK253),$AK243:$AK253,0),1)/INDEX($C243:$AJ253,MATCH(MIN($AK243:$AK253),$AK243:$AK253,0),MATCH(IF('Data-solution'!$A$3="Maximize",MAX($C254:$AI254),MIN($C254:$AI254)),$C254:$AI254,0))),I253)</f>
        <v>0</v>
      </c>
      <c r="J268" s="1">
        <f>IF(OR($B258&lt;&gt;$B243,$B259&lt;&gt;$B244,$B260&lt;&gt;$B245,$B261&lt;&gt;$B246,$B262&lt;&gt;$B247,$B263&lt;&gt;$B248,$B264&lt;&gt;$B249,$B265&lt;&gt;$B250,$B266&lt;&gt;$B251,$B267&lt;&gt;$B252,$B268&lt;&gt;$B253),IF($B268&lt;&gt;$B253,J253/INDEX($C243:$AJ253,11,MATCH(IF('Data-solution'!$A$3="Maximize",MAX($C254:$AI254),MIN($C254:$AI254)),$C254:$AI254,0)),J253-INDEX($C243:$AJ253,11,MATCH(IF('Data-solution'!$A$3="Maximize",MAX($C254:$AI254),MIN($C254:$AI254)),$C254:$AI254,0))*INDEX(J243:$AJ253,MATCH(MIN($AK243:$AK253),$AK243:$AK253,0),1)/INDEX($C243:$AJ253,MATCH(MIN($AK243:$AK253),$AK243:$AK253,0),MATCH(IF('Data-solution'!$A$3="Maximize",MAX($C254:$AI254),MIN($C254:$AI254)),$C254:$AI254,0))),J253)</f>
        <v>0</v>
      </c>
      <c r="K268" s="1">
        <f>IF(OR($B258&lt;&gt;$B243,$B259&lt;&gt;$B244,$B260&lt;&gt;$B245,$B261&lt;&gt;$B246,$B262&lt;&gt;$B247,$B263&lt;&gt;$B248,$B264&lt;&gt;$B249,$B265&lt;&gt;$B250,$B266&lt;&gt;$B251,$B267&lt;&gt;$B252,$B268&lt;&gt;$B253),IF($B268&lt;&gt;$B253,K253/INDEX($C243:$AJ253,11,MATCH(IF('Data-solution'!$A$3="Maximize",MAX($C254:$AI254),MIN($C254:$AI254)),$C254:$AI254,0)),K253-INDEX($C243:$AJ253,11,MATCH(IF('Data-solution'!$A$3="Maximize",MAX($C254:$AI254),MIN($C254:$AI254)),$C254:$AI254,0))*INDEX(K243:$AJ253,MATCH(MIN($AK243:$AK253),$AK243:$AK253,0),1)/INDEX($C243:$AJ253,MATCH(MIN($AK243:$AK253),$AK243:$AK253,0),MATCH(IF('Data-solution'!$A$3="Maximize",MAX($C254:$AI254),MIN($C254:$AI254)),$C254:$AI254,0))),K253)</f>
        <v>0</v>
      </c>
      <c r="L268" s="1">
        <f>IF(OR($B258&lt;&gt;$B243,$B259&lt;&gt;$B244,$B260&lt;&gt;$B245,$B261&lt;&gt;$B246,$B262&lt;&gt;$B247,$B263&lt;&gt;$B248,$B264&lt;&gt;$B249,$B265&lt;&gt;$B250,$B266&lt;&gt;$B251,$B267&lt;&gt;$B252,$B268&lt;&gt;$B253),IF($B268&lt;&gt;$B253,L253/INDEX($C243:$AJ253,11,MATCH(IF('Data-solution'!$A$3="Maximize",MAX($C254:$AI254),MIN($C254:$AI254)),$C254:$AI254,0)),L253-INDEX($C243:$AJ253,11,MATCH(IF('Data-solution'!$A$3="Maximize",MAX($C254:$AI254),MIN($C254:$AI254)),$C254:$AI254,0))*INDEX(L243:$AJ253,MATCH(MIN($AK243:$AK253),$AK243:$AK253,0),1)/INDEX($C243:$AJ253,MATCH(MIN($AK243:$AK253),$AK243:$AK253,0),MATCH(IF('Data-solution'!$A$3="Maximize",MAX($C254:$AI254),MIN($C254:$AI254)),$C254:$AI254,0))),L253)</f>
        <v>0</v>
      </c>
      <c r="M268" s="1">
        <f>IF(OR($B258&lt;&gt;$B243,$B259&lt;&gt;$B244,$B260&lt;&gt;$B245,$B261&lt;&gt;$B246,$B262&lt;&gt;$B247,$B263&lt;&gt;$B248,$B264&lt;&gt;$B249,$B265&lt;&gt;$B250,$B266&lt;&gt;$B251,$B267&lt;&gt;$B252,$B268&lt;&gt;$B253),IF($B268&lt;&gt;$B253,M253/INDEX($C243:$AJ253,11,MATCH(IF('Data-solution'!$A$3="Maximize",MAX($C254:$AI254),MIN($C254:$AI254)),$C254:$AI254,0)),M253-INDEX($C243:$AJ253,11,MATCH(IF('Data-solution'!$A$3="Maximize",MAX($C254:$AI254),MIN($C254:$AI254)),$C254:$AI254,0))*INDEX(M243:$AJ253,MATCH(MIN($AK243:$AK253),$AK243:$AK253,0),1)/INDEX($C243:$AJ253,MATCH(MIN($AK243:$AK253),$AK243:$AK253,0),MATCH(IF('Data-solution'!$A$3="Maximize",MAX($C254:$AI254),MIN($C254:$AI254)),$C254:$AI254,0))),M253)</f>
        <v>0</v>
      </c>
      <c r="N268" s="1">
        <f>IF(OR($B258&lt;&gt;$B243,$B259&lt;&gt;$B244,$B260&lt;&gt;$B245,$B261&lt;&gt;$B246,$B262&lt;&gt;$B247,$B263&lt;&gt;$B248,$B264&lt;&gt;$B249,$B265&lt;&gt;$B250,$B266&lt;&gt;$B251,$B267&lt;&gt;$B252,$B268&lt;&gt;$B253),IF($B268&lt;&gt;$B253,N253/INDEX($C243:$AJ253,11,MATCH(IF('Data-solution'!$A$3="Maximize",MAX($C254:$AI254),MIN($C254:$AI254)),$C254:$AI254,0)),N253-INDEX($C243:$AJ253,11,MATCH(IF('Data-solution'!$A$3="Maximize",MAX($C254:$AI254),MIN($C254:$AI254)),$C254:$AI254,0))*INDEX(N243:$AJ253,MATCH(MIN($AK243:$AK253),$AK243:$AK253,0),1)/INDEX($C243:$AJ253,MATCH(MIN($AK243:$AK253),$AK243:$AK253,0),MATCH(IF('Data-solution'!$A$3="Maximize",MAX($C254:$AI254),MIN($C254:$AI254)),$C254:$AI254,0))),N253)</f>
        <v>0</v>
      </c>
      <c r="O268" s="1">
        <f>IF(OR($B258&lt;&gt;$B243,$B259&lt;&gt;$B244,$B260&lt;&gt;$B245,$B261&lt;&gt;$B246,$B262&lt;&gt;$B247,$B263&lt;&gt;$B248,$B264&lt;&gt;$B249,$B265&lt;&gt;$B250,$B266&lt;&gt;$B251,$B267&lt;&gt;$B252,$B268&lt;&gt;$B253),IF($B268&lt;&gt;$B253,O253/INDEX($C243:$AJ253,11,MATCH(IF('Data-solution'!$A$3="Maximize",MAX($C254:$AI254),MIN($C254:$AI254)),$C254:$AI254,0)),O253-INDEX($C243:$AJ253,11,MATCH(IF('Data-solution'!$A$3="Maximize",MAX($C254:$AI254),MIN($C254:$AI254)),$C254:$AI254,0))*INDEX(O243:$AJ253,MATCH(MIN($AK243:$AK253),$AK243:$AK253,0),1)/INDEX($C243:$AJ253,MATCH(MIN($AK243:$AK253),$AK243:$AK253,0),MATCH(IF('Data-solution'!$A$3="Maximize",MAX($C254:$AI254),MIN($C254:$AI254)),$C254:$AI254,0))),O253)</f>
        <v>0</v>
      </c>
      <c r="P268" s="1">
        <f>IF(OR($B258&lt;&gt;$B243,$B259&lt;&gt;$B244,$B260&lt;&gt;$B245,$B261&lt;&gt;$B246,$B262&lt;&gt;$B247,$B263&lt;&gt;$B248,$B264&lt;&gt;$B249,$B265&lt;&gt;$B250,$B266&lt;&gt;$B251,$B267&lt;&gt;$B252,$B268&lt;&gt;$B253),IF($B268&lt;&gt;$B253,P253/INDEX($C243:$AJ253,11,MATCH(IF('Data-solution'!$A$3="Maximize",MAX($C254:$AI254),MIN($C254:$AI254)),$C254:$AI254,0)),P253-INDEX($C243:$AJ253,11,MATCH(IF('Data-solution'!$A$3="Maximize",MAX($C254:$AI254),MIN($C254:$AI254)),$C254:$AI254,0))*INDEX(P243:$AJ253,MATCH(MIN($AK243:$AK253),$AK243:$AK253,0),1)/INDEX($C243:$AJ253,MATCH(MIN($AK243:$AK253),$AK243:$AK253,0),MATCH(IF('Data-solution'!$A$3="Maximize",MAX($C254:$AI254),MIN($C254:$AI254)),$C254:$AI254,0))),P253)</f>
        <v>0</v>
      </c>
      <c r="Q268" s="1">
        <f>IF(OR($B258&lt;&gt;$B243,$B259&lt;&gt;$B244,$B260&lt;&gt;$B245,$B261&lt;&gt;$B246,$B262&lt;&gt;$B247,$B263&lt;&gt;$B248,$B264&lt;&gt;$B249,$B265&lt;&gt;$B250,$B266&lt;&gt;$B251,$B267&lt;&gt;$B252,$B268&lt;&gt;$B253),IF($B268&lt;&gt;$B253,Q253/INDEX($C243:$AJ253,11,MATCH(IF('Data-solution'!$A$3="Maximize",MAX($C254:$AI254),MIN($C254:$AI254)),$C254:$AI254,0)),Q253-INDEX($C243:$AJ253,11,MATCH(IF('Data-solution'!$A$3="Maximize",MAX($C254:$AI254),MIN($C254:$AI254)),$C254:$AI254,0))*INDEX(Q243:$AJ253,MATCH(MIN($AK243:$AK253),$AK243:$AK253,0),1)/INDEX($C243:$AJ253,MATCH(MIN($AK243:$AK253),$AK243:$AK253,0),MATCH(IF('Data-solution'!$A$3="Maximize",MAX($C254:$AI254),MIN($C254:$AI254)),$C254:$AI254,0))),Q253)</f>
        <v>0</v>
      </c>
      <c r="R268" s="1">
        <f>IF(OR($B258&lt;&gt;$B243,$B259&lt;&gt;$B244,$B260&lt;&gt;$B245,$B261&lt;&gt;$B246,$B262&lt;&gt;$B247,$B263&lt;&gt;$B248,$B264&lt;&gt;$B249,$B265&lt;&gt;$B250,$B266&lt;&gt;$B251,$B267&lt;&gt;$B252,$B268&lt;&gt;$B253),IF($B268&lt;&gt;$B253,R253/INDEX($C243:$AJ253,11,MATCH(IF('Data-solution'!$A$3="Maximize",MAX($C254:$AI254),MIN($C254:$AI254)),$C254:$AI254,0)),R253-INDEX($C243:$AJ253,11,MATCH(IF('Data-solution'!$A$3="Maximize",MAX($C254:$AI254),MIN($C254:$AI254)),$C254:$AI254,0))*INDEX(R243:$AJ253,MATCH(MIN($AK243:$AK253),$AK243:$AK253,0),1)/INDEX($C243:$AJ253,MATCH(MIN($AK243:$AK253),$AK243:$AK253,0),MATCH(IF('Data-solution'!$A$3="Maximize",MAX($C254:$AI254),MIN($C254:$AI254)),$C254:$AI254,0))),R253)</f>
        <v>0</v>
      </c>
      <c r="S268" s="1">
        <f>IF(OR($B258&lt;&gt;$B243,$B259&lt;&gt;$B244,$B260&lt;&gt;$B245,$B261&lt;&gt;$B246,$B262&lt;&gt;$B247,$B263&lt;&gt;$B248,$B264&lt;&gt;$B249,$B265&lt;&gt;$B250,$B266&lt;&gt;$B251,$B267&lt;&gt;$B252,$B268&lt;&gt;$B253),IF($B268&lt;&gt;$B253,S253/INDEX($C243:$AJ253,11,MATCH(IF('Data-solution'!$A$3="Maximize",MAX($C254:$AI254),MIN($C254:$AI254)),$C254:$AI254,0)),S253-INDEX($C243:$AJ253,11,MATCH(IF('Data-solution'!$A$3="Maximize",MAX($C254:$AI254),MIN($C254:$AI254)),$C254:$AI254,0))*INDEX(S243:$AJ253,MATCH(MIN($AK243:$AK253),$AK243:$AK253,0),1)/INDEX($C243:$AJ253,MATCH(MIN($AK243:$AK253),$AK243:$AK253,0),MATCH(IF('Data-solution'!$A$3="Maximize",MAX($C254:$AI254),MIN($C254:$AI254)),$C254:$AI254,0))),S253)</f>
        <v>0</v>
      </c>
      <c r="T268" s="1">
        <f>IF(OR($B258&lt;&gt;$B243,$B259&lt;&gt;$B244,$B260&lt;&gt;$B245,$B261&lt;&gt;$B246,$B262&lt;&gt;$B247,$B263&lt;&gt;$B248,$B264&lt;&gt;$B249,$B265&lt;&gt;$B250,$B266&lt;&gt;$B251,$B267&lt;&gt;$B252,$B268&lt;&gt;$B253),IF($B268&lt;&gt;$B253,T253/INDEX($C243:$AJ253,11,MATCH(IF('Data-solution'!$A$3="Maximize",MAX($C254:$AI254),MIN($C254:$AI254)),$C254:$AI254,0)),T253-INDEX($C243:$AJ253,11,MATCH(IF('Data-solution'!$A$3="Maximize",MAX($C254:$AI254),MIN($C254:$AI254)),$C254:$AI254,0))*INDEX(T243:$AJ253,MATCH(MIN($AK243:$AK253),$AK243:$AK253,0),1)/INDEX($C243:$AJ253,MATCH(MIN($AK243:$AK253),$AK243:$AK253,0),MATCH(IF('Data-solution'!$A$3="Maximize",MAX($C254:$AI254),MIN($C254:$AI254)),$C254:$AI254,0))),T253)</f>
        <v>0</v>
      </c>
      <c r="U268" s="1">
        <f>IF(OR($B258&lt;&gt;$B243,$B259&lt;&gt;$B244,$B260&lt;&gt;$B245,$B261&lt;&gt;$B246,$B262&lt;&gt;$B247,$B263&lt;&gt;$B248,$B264&lt;&gt;$B249,$B265&lt;&gt;$B250,$B266&lt;&gt;$B251,$B267&lt;&gt;$B252,$B268&lt;&gt;$B253),IF($B268&lt;&gt;$B253,U253/INDEX($C243:$AJ253,11,MATCH(IF('Data-solution'!$A$3="Maximize",MAX($C254:$AI254),MIN($C254:$AI254)),$C254:$AI254,0)),U253-INDEX($C243:$AJ253,11,MATCH(IF('Data-solution'!$A$3="Maximize",MAX($C254:$AI254),MIN($C254:$AI254)),$C254:$AI254,0))*INDEX(U243:$AJ253,MATCH(MIN($AK243:$AK253),$AK243:$AK253,0),1)/INDEX($C243:$AJ253,MATCH(MIN($AK243:$AK253),$AK243:$AK253,0),MATCH(IF('Data-solution'!$A$3="Maximize",MAX($C254:$AI254),MIN($C254:$AI254)),$C254:$AI254,0))),U253)</f>
        <v>0</v>
      </c>
      <c r="V268" s="1">
        <f>IF(OR($B258&lt;&gt;$B243,$B259&lt;&gt;$B244,$B260&lt;&gt;$B245,$B261&lt;&gt;$B246,$B262&lt;&gt;$B247,$B263&lt;&gt;$B248,$B264&lt;&gt;$B249,$B265&lt;&gt;$B250,$B266&lt;&gt;$B251,$B267&lt;&gt;$B252,$B268&lt;&gt;$B253),IF($B268&lt;&gt;$B253,V253/INDEX($C243:$AJ253,11,MATCH(IF('Data-solution'!$A$3="Maximize",MAX($C254:$AI254),MIN($C254:$AI254)),$C254:$AI254,0)),V253-INDEX($C243:$AJ253,11,MATCH(IF('Data-solution'!$A$3="Maximize",MAX($C254:$AI254),MIN($C254:$AI254)),$C254:$AI254,0))*INDEX(V243:$AJ253,MATCH(MIN($AK243:$AK253),$AK243:$AK253,0),1)/INDEX($C243:$AJ253,MATCH(MIN($AK243:$AK253),$AK243:$AK253,0),MATCH(IF('Data-solution'!$A$3="Maximize",MAX($C254:$AI254),MIN($C254:$AI254)),$C254:$AI254,0))),V253)</f>
        <v>0</v>
      </c>
      <c r="W268" s="1">
        <f>IF(OR($B258&lt;&gt;$B243,$B259&lt;&gt;$B244,$B260&lt;&gt;$B245,$B261&lt;&gt;$B246,$B262&lt;&gt;$B247,$B263&lt;&gt;$B248,$B264&lt;&gt;$B249,$B265&lt;&gt;$B250,$B266&lt;&gt;$B251,$B267&lt;&gt;$B252,$B268&lt;&gt;$B253),IF($B268&lt;&gt;$B253,W253/INDEX($C243:$AJ253,11,MATCH(IF('Data-solution'!$A$3="Maximize",MAX($C254:$AI254),MIN($C254:$AI254)),$C254:$AI254,0)),W253-INDEX($C243:$AJ253,11,MATCH(IF('Data-solution'!$A$3="Maximize",MAX($C254:$AI254),MIN($C254:$AI254)),$C254:$AI254,0))*INDEX(W243:$AJ253,MATCH(MIN($AK243:$AK253),$AK243:$AK253,0),1)/INDEX($C243:$AJ253,MATCH(MIN($AK243:$AK253),$AK243:$AK253,0),MATCH(IF('Data-solution'!$A$3="Maximize",MAX($C254:$AI254),MIN($C254:$AI254)),$C254:$AI254,0))),W253)</f>
        <v>0</v>
      </c>
      <c r="X268" s="1">
        <f>IF(OR($B258&lt;&gt;$B243,$B259&lt;&gt;$B244,$B260&lt;&gt;$B245,$B261&lt;&gt;$B246,$B262&lt;&gt;$B247,$B263&lt;&gt;$B248,$B264&lt;&gt;$B249,$B265&lt;&gt;$B250,$B266&lt;&gt;$B251,$B267&lt;&gt;$B252,$B268&lt;&gt;$B253),IF($B268&lt;&gt;$B253,X253/INDEX($C243:$AJ253,11,MATCH(IF('Data-solution'!$A$3="Maximize",MAX($C254:$AI254),MIN($C254:$AI254)),$C254:$AI254,0)),X253-INDEX($C243:$AJ253,11,MATCH(IF('Data-solution'!$A$3="Maximize",MAX($C254:$AI254),MIN($C254:$AI254)),$C254:$AI254,0))*INDEX(X243:$AJ253,MATCH(MIN($AK243:$AK253),$AK243:$AK253,0),1)/INDEX($C243:$AJ253,MATCH(MIN($AK243:$AK253),$AK243:$AK253,0),MATCH(IF('Data-solution'!$A$3="Maximize",MAX($C254:$AI254),MIN($C254:$AI254)),$C254:$AI254,0))),X253)</f>
        <v>1</v>
      </c>
      <c r="Y268" s="1">
        <f>IF(OR($B258&lt;&gt;$B243,$B259&lt;&gt;$B244,$B260&lt;&gt;$B245,$B261&lt;&gt;$B246,$B262&lt;&gt;$B247,$B263&lt;&gt;$B248,$B264&lt;&gt;$B249,$B265&lt;&gt;$B250,$B266&lt;&gt;$B251,$B267&lt;&gt;$B252,$B268&lt;&gt;$B253),IF($B268&lt;&gt;$B253,Y253/INDEX($C243:$AJ253,11,MATCH(IF('Data-solution'!$A$3="Maximize",MAX($C254:$AI254),MIN($C254:$AI254)),$C254:$AI254,0)),Y253-INDEX($C243:$AJ253,11,MATCH(IF('Data-solution'!$A$3="Maximize",MAX($C254:$AI254),MIN($C254:$AI254)),$C254:$AI254,0))*INDEX(Y243:$AJ253,MATCH(MIN($AK243:$AK253),$AK243:$AK253,0),1)/INDEX($C243:$AJ253,MATCH(MIN($AK243:$AK253),$AK243:$AK253,0),MATCH(IF('Data-solution'!$A$3="Maximize",MAX($C254:$AI254),MIN($C254:$AI254)),$C254:$AI254,0))),Y253)</f>
        <v>0</v>
      </c>
      <c r="Z268" s="1">
        <f>IF(OR($B258&lt;&gt;$B243,$B259&lt;&gt;$B244,$B260&lt;&gt;$B245,$B261&lt;&gt;$B246,$B262&lt;&gt;$B247,$B263&lt;&gt;$B248,$B264&lt;&gt;$B249,$B265&lt;&gt;$B250,$B266&lt;&gt;$B251,$B267&lt;&gt;$B252,$B268&lt;&gt;$B253),IF($B268&lt;&gt;$B253,Z253/INDEX($C243:$AJ253,11,MATCH(IF('Data-solution'!$A$3="Maximize",MAX($C254:$AI254),MIN($C254:$AI254)),$C254:$AI254,0)),Z253-INDEX($C243:$AJ253,11,MATCH(IF('Data-solution'!$A$3="Maximize",MAX($C254:$AI254),MIN($C254:$AI254)),$C254:$AI254,0))*INDEX(Z243:$AJ253,MATCH(MIN($AK243:$AK253),$AK243:$AK253,0),1)/INDEX($C243:$AJ253,MATCH(MIN($AK243:$AK253),$AK243:$AK253,0),MATCH(IF('Data-solution'!$A$3="Maximize",MAX($C254:$AI254),MIN($C254:$AI254)),$C254:$AI254,0))),Z253)</f>
        <v>0</v>
      </c>
      <c r="AA268" s="1">
        <f>IF(OR($B258&lt;&gt;$B243,$B259&lt;&gt;$B244,$B260&lt;&gt;$B245,$B261&lt;&gt;$B246,$B262&lt;&gt;$B247,$B263&lt;&gt;$B248,$B264&lt;&gt;$B249,$B265&lt;&gt;$B250,$B266&lt;&gt;$B251,$B267&lt;&gt;$B252,$B268&lt;&gt;$B253),IF($B268&lt;&gt;$B253,AA253/INDEX($C243:$AJ253,11,MATCH(IF('Data-solution'!$A$3="Maximize",MAX($C254:$AI254),MIN($C254:$AI254)),$C254:$AI254,0)),AA253-INDEX($C243:$AJ253,11,MATCH(IF('Data-solution'!$A$3="Maximize",MAX($C254:$AI254),MIN($C254:$AI254)),$C254:$AI254,0))*INDEX(AA243:$AJ253,MATCH(MIN($AK243:$AK253),$AK243:$AK253,0),1)/INDEX($C243:$AJ253,MATCH(MIN($AK243:$AK253),$AK243:$AK253,0),MATCH(IF('Data-solution'!$A$3="Maximize",MAX($C254:$AI254),MIN($C254:$AI254)),$C254:$AI254,0))),AA253)</f>
        <v>0</v>
      </c>
      <c r="AB268" s="1">
        <f>IF(OR($B258&lt;&gt;$B243,$B259&lt;&gt;$B244,$B260&lt;&gt;$B245,$B261&lt;&gt;$B246,$B262&lt;&gt;$B247,$B263&lt;&gt;$B248,$B264&lt;&gt;$B249,$B265&lt;&gt;$B250,$B266&lt;&gt;$B251,$B267&lt;&gt;$B252,$B268&lt;&gt;$B253),IF($B268&lt;&gt;$B253,AB253/INDEX($C243:$AJ253,11,MATCH(IF('Data-solution'!$A$3="Maximize",MAX($C254:$AI254),MIN($C254:$AI254)),$C254:$AI254,0)),AB253-INDEX($C243:$AJ253,11,MATCH(IF('Data-solution'!$A$3="Maximize",MAX($C254:$AI254),MIN($C254:$AI254)),$C254:$AI254,0))*INDEX(AB243:$AJ253,MATCH(MIN($AK243:$AK253),$AK243:$AK253,0),1)/INDEX($C243:$AJ253,MATCH(MIN($AK243:$AK253),$AK243:$AK253,0),MATCH(IF('Data-solution'!$A$3="Maximize",MAX($C254:$AI254),MIN($C254:$AI254)),$C254:$AI254,0))),AB253)</f>
        <v>0</v>
      </c>
      <c r="AC268" s="1">
        <f>IF(OR($B258&lt;&gt;$B243,$B259&lt;&gt;$B244,$B260&lt;&gt;$B245,$B261&lt;&gt;$B246,$B262&lt;&gt;$B247,$B263&lt;&gt;$B248,$B264&lt;&gt;$B249,$B265&lt;&gt;$B250,$B266&lt;&gt;$B251,$B267&lt;&gt;$B252,$B268&lt;&gt;$B253),IF($B268&lt;&gt;$B253,AC253/INDEX($C243:$AJ253,11,MATCH(IF('Data-solution'!$A$3="Maximize",MAX($C254:$AI254),MIN($C254:$AI254)),$C254:$AI254,0)),AC253-INDEX($C243:$AJ253,11,MATCH(IF('Data-solution'!$A$3="Maximize",MAX($C254:$AI254),MIN($C254:$AI254)),$C254:$AI254,0))*INDEX(AC243:$AJ253,MATCH(MIN($AK243:$AK253),$AK243:$AK253,0),1)/INDEX($C243:$AJ253,MATCH(MIN($AK243:$AK253),$AK243:$AK253,0),MATCH(IF('Data-solution'!$A$3="Maximize",MAX($C254:$AI254),MIN($C254:$AI254)),$C254:$AI254,0))),AC253)</f>
        <v>0</v>
      </c>
      <c r="AD268" s="1">
        <f>IF(OR($B258&lt;&gt;$B243,$B259&lt;&gt;$B244,$B260&lt;&gt;$B245,$B261&lt;&gt;$B246,$B262&lt;&gt;$B247,$B263&lt;&gt;$B248,$B264&lt;&gt;$B249,$B265&lt;&gt;$B250,$B266&lt;&gt;$B251,$B267&lt;&gt;$B252,$B268&lt;&gt;$B253),IF($B268&lt;&gt;$B253,AD253/INDEX($C243:$AJ253,11,MATCH(IF('Data-solution'!$A$3="Maximize",MAX($C254:$AI254),MIN($C254:$AI254)),$C254:$AI254,0)),AD253-INDEX($C243:$AJ253,11,MATCH(IF('Data-solution'!$A$3="Maximize",MAX($C254:$AI254),MIN($C254:$AI254)),$C254:$AI254,0))*INDEX(AD243:$AJ253,MATCH(MIN($AK243:$AK253),$AK243:$AK253,0),1)/INDEX($C243:$AJ253,MATCH(MIN($AK243:$AK253),$AK243:$AK253,0),MATCH(IF('Data-solution'!$A$3="Maximize",MAX($C254:$AI254),MIN($C254:$AI254)),$C254:$AI254,0))),AD253)</f>
        <v>0</v>
      </c>
      <c r="AE268" s="1">
        <f>IF(OR($B258&lt;&gt;$B243,$B259&lt;&gt;$B244,$B260&lt;&gt;$B245,$B261&lt;&gt;$B246,$B262&lt;&gt;$B247,$B263&lt;&gt;$B248,$B264&lt;&gt;$B249,$B265&lt;&gt;$B250,$B266&lt;&gt;$B251,$B267&lt;&gt;$B252,$B268&lt;&gt;$B253),IF($B268&lt;&gt;$B253,AE253/INDEX($C243:$AJ253,11,MATCH(IF('Data-solution'!$A$3="Maximize",MAX($C254:$AI254),MIN($C254:$AI254)),$C254:$AI254,0)),AE253-INDEX($C243:$AJ253,11,MATCH(IF('Data-solution'!$A$3="Maximize",MAX($C254:$AI254),MIN($C254:$AI254)),$C254:$AI254,0))*INDEX(AE243:$AJ253,MATCH(MIN($AK243:$AK253),$AK243:$AK253,0),1)/INDEX($C243:$AJ253,MATCH(MIN($AK243:$AK253),$AK243:$AK253,0),MATCH(IF('Data-solution'!$A$3="Maximize",MAX($C254:$AI254),MIN($C254:$AI254)),$C254:$AI254,0))),AE253)</f>
        <v>0</v>
      </c>
      <c r="AF268" s="1">
        <f>IF(OR($B258&lt;&gt;$B243,$B259&lt;&gt;$B244,$B260&lt;&gt;$B245,$B261&lt;&gt;$B246,$B262&lt;&gt;$B247,$B263&lt;&gt;$B248,$B264&lt;&gt;$B249,$B265&lt;&gt;$B250,$B266&lt;&gt;$B251,$B267&lt;&gt;$B252,$B268&lt;&gt;$B253),IF($B268&lt;&gt;$B253,AF253/INDEX($C243:$AJ253,11,MATCH(IF('Data-solution'!$A$3="Maximize",MAX($C254:$AI254),MIN($C254:$AI254)),$C254:$AI254,0)),AF253-INDEX($C243:$AJ253,11,MATCH(IF('Data-solution'!$A$3="Maximize",MAX($C254:$AI254),MIN($C254:$AI254)),$C254:$AI254,0))*INDEX(AF243:$AJ253,MATCH(MIN($AK243:$AK253),$AK243:$AK253,0),1)/INDEX($C243:$AJ253,MATCH(MIN($AK243:$AK253),$AK243:$AK253,0),MATCH(IF('Data-solution'!$A$3="Maximize",MAX($C254:$AI254),MIN($C254:$AI254)),$C254:$AI254,0))),AF253)</f>
        <v>0</v>
      </c>
      <c r="AG268" s="1">
        <f>IF(OR($B258&lt;&gt;$B243,$B259&lt;&gt;$B244,$B260&lt;&gt;$B245,$B261&lt;&gt;$B246,$B262&lt;&gt;$B247,$B263&lt;&gt;$B248,$B264&lt;&gt;$B249,$B265&lt;&gt;$B250,$B266&lt;&gt;$B251,$B267&lt;&gt;$B252,$B268&lt;&gt;$B253),IF($B268&lt;&gt;$B253,AG253/INDEX($C243:$AJ253,11,MATCH(IF('Data-solution'!$A$3="Maximize",MAX($C254:$AI254),MIN($C254:$AI254)),$C254:$AI254,0)),AG253-INDEX($C243:$AJ253,11,MATCH(IF('Data-solution'!$A$3="Maximize",MAX($C254:$AI254),MIN($C254:$AI254)),$C254:$AI254,0))*INDEX(AG243:$AJ253,MATCH(MIN($AK243:$AK253),$AK243:$AK253,0),1)/INDEX($C243:$AJ253,MATCH(MIN($AK243:$AK253),$AK243:$AK253,0),MATCH(IF('Data-solution'!$A$3="Maximize",MAX($C254:$AI254),MIN($C254:$AI254)),$C254:$AI254,0))),AG253)</f>
        <v>0</v>
      </c>
      <c r="AH268" s="1">
        <f>IF(OR($B258&lt;&gt;$B243,$B259&lt;&gt;$B244,$B260&lt;&gt;$B245,$B261&lt;&gt;$B246,$B262&lt;&gt;$B247,$B263&lt;&gt;$B248,$B264&lt;&gt;$B249,$B265&lt;&gt;$B250,$B266&lt;&gt;$B251,$B267&lt;&gt;$B252,$B268&lt;&gt;$B253),IF($B268&lt;&gt;$B253,AH253/INDEX($C243:$AJ253,11,MATCH(IF('Data-solution'!$A$3="Maximize",MAX($C254:$AI254),MIN($C254:$AI254)),$C254:$AI254,0)),AH253-INDEX($C243:$AJ253,11,MATCH(IF('Data-solution'!$A$3="Maximize",MAX($C254:$AI254),MIN($C254:$AI254)),$C254:$AI254,0))*INDEX(AH243:$AJ253,MATCH(MIN($AK243:$AK253),$AK243:$AK253,0),1)/INDEX($C243:$AJ253,MATCH(MIN($AK243:$AK253),$AK243:$AK253,0),MATCH(IF('Data-solution'!$A$3="Maximize",MAX($C254:$AI254),MIN($C254:$AI254)),$C254:$AI254,0))),AH253)</f>
        <v>0</v>
      </c>
      <c r="AI268" s="1">
        <f>IF(OR($B258&lt;&gt;$B243,$B259&lt;&gt;$B244,$B260&lt;&gt;$B245,$B261&lt;&gt;$B246,$B262&lt;&gt;$B247,$B263&lt;&gt;$B248,$B264&lt;&gt;$B249,$B265&lt;&gt;$B250,$B266&lt;&gt;$B251,$B267&lt;&gt;$B252,$B268&lt;&gt;$B253),IF($B268&lt;&gt;$B253,AI253/INDEX($C243:$AJ253,11,MATCH(IF('Data-solution'!$A$3="Maximize",MAX($C254:$AI254),MIN($C254:$AI254)),$C254:$AI254,0)),AI253-INDEX($C243:$AJ253,11,MATCH(IF('Data-solution'!$A$3="Maximize",MAX($C254:$AI254),MIN($C254:$AI254)),$C254:$AI254,0))*INDEX(AI243:$AJ253,MATCH(MIN($AK243:$AK253),$AK243:$AK253,0),1)/INDEX($C243:$AJ253,MATCH(MIN($AK243:$AK253),$AK243:$AK253,0),MATCH(IF('Data-solution'!$A$3="Maximize",MAX($C254:$AI254),MIN($C254:$AI254)),$C254:$AI254,0))),AI253)</f>
        <v>1</v>
      </c>
      <c r="AJ268" s="1">
        <f>IF(OR($B258&lt;&gt;$B243,$B259&lt;&gt;$B244,$B260&lt;&gt;$B245,$B261&lt;&gt;$B246,$B262&lt;&gt;$B247,$B263&lt;&gt;$B248,$B264&lt;&gt;$B249,$B265&lt;&gt;$B250,$B266&lt;&gt;$B251,$B267&lt;&gt;$B252,$B268&lt;&gt;$B253),IF($B268&lt;&gt;$B253,AJ253/INDEX($C243:$AJ253,11,MATCH(IF('Data-solution'!$A$3="Maximize",MAX($C254:$AI254),MIN($C254:$AI254)),$C254:$AI254,0)),AJ253-INDEX($C243:$AJ253,11,MATCH(IF('Data-solution'!$A$3="Maximize",MAX($C254:$AI254),MIN($C254:$AI254)),$C254:$AI254,0))*INDEX(AJ243:$AJ253,MATCH(MIN($AK243:$AK253),$AK243:$AK253,0),1)/INDEX($C243:$AJ253,MATCH(MIN($AK243:$AK253),$AK243:$AK253,0),MATCH(IF('Data-solution'!$A$3="Maximize",MAX($C254:$AI254),MIN($C254:$AI254)),$C254:$AI254,0))),AJ253)</f>
        <v>0</v>
      </c>
      <c r="AK268" s="1" t="str">
        <f>IF(INDEX(C268:X268,1,MATCH(IF('Data-solution'!A$3="Maximize",MAX(C269:X269),MIN(C269:X269)),C269:X269,0))&gt;0,AJ268/INDEX(C268:X268,1,MATCH(IF('Data-solution'!A$3="Maximize",MAX(C269:X269),MIN(C269:X269)),C269:X269,0))," ")</f>
        <v xml:space="preserve"> </v>
      </c>
    </row>
    <row r="269" spans="1:37" ht="18" customHeight="1" x14ac:dyDescent="0.2">
      <c r="B269" s="2" t="s">
        <v>5</v>
      </c>
      <c r="C269" s="1">
        <f>IF(SUM(COUNTIF($B258:$B268,$Y257),COUNTIF($B258:$B268,$Z257),COUNTIF($B258:$B268,$AA257),COUNTIF($B258:$B268,$AB257),COUNTIF($B258:$B268,$AC257),COUNTIF($B258:$B268,$AD257),COUNTIF($B258:$B268,$AE257),COUNTIF($B258:$B268,$AF257),COUNTIF($B258:$B268,$AG257),COUNTIF($B258:$B268,$AH257),COUNTIF($B258:$B268,$AI257))=0,C256-SUMPRODUCT($A258:$A268,C258:C268),IF('Data-solution'!$A$3="Maximize",1,-1)*SUM(SUMIF($B258:$B268,$Y257,C258:C268),SUMIF($B258:$B268,$Z257,C258:C268),SUMIF($B258:$B268,$AA257,C258:C268),SUMIF($B258:$B268,$AB257,C258:C268),SUMIF($B258:$B268,$AC257,C258:C268),SUMIF($B258:$B268,$AD257,C258:C268),SUMIF($B258:$B268,$AE257,C258:C268),SUMIF($B258:$B268,$AF257,C258:C268),SUMIF($B258:$B268,$AG257,C258:C268),SUMIF($B258:$B268,$AH257,C258:C268),SUMIF($B258:$B268,$AI257,C258:C268)))</f>
        <v>0</v>
      </c>
      <c r="D269" s="1">
        <f>IF(SUM(COUNTIF($B258:$B268,$Y257),COUNTIF($B258:$B268,$Z257),COUNTIF($B258:$B268,$AA257),COUNTIF($B258:$B268,$AB257),COUNTIF($B258:$B268,$AC257),COUNTIF($B258:$B268,$AD257),COUNTIF($B258:$B268,$AE257),COUNTIF($B258:$B268,$AF257),COUNTIF($B258:$B268,$AG257),COUNTIF($B258:$B268,$AH257),COUNTIF($B258:$B268,$AI257))=0,D256-SUMPRODUCT($A258:$A268,D258:D268),IF('Data-solution'!$A$3="Maximize",1,-1)*SUM(SUMIF($B258:$B268,$Y257,D258:D268),SUMIF($B258:$B268,$Z257,D258:D268),SUMIF($B258:$B268,$AA257,D258:D268),SUMIF($B258:$B268,$AB257,D258:D268),SUMIF($B258:$B268,$AC257,D258:D268),SUMIF($B258:$B268,$AD257,D258:D268),SUMIF($B258:$B268,$AE257,D258:D268),SUMIF($B258:$B268,$AF257,D258:D268),SUMIF($B258:$B268,$AG257,D258:D268),SUMIF($B258:$B268,$AH257,D258:D268),SUMIF($B258:$B268,$AI257,D258:D268)))</f>
        <v>-50</v>
      </c>
      <c r="E269" s="1">
        <f>IF(SUM(COUNTIF($B258:$B268,$Y257),COUNTIF($B258:$B268,$Z257),COUNTIF($B258:$B268,$AA257),COUNTIF($B258:$B268,$AB257),COUNTIF($B258:$B268,$AC257),COUNTIF($B258:$B268,$AD257),COUNTIF($B258:$B268,$AE257),COUNTIF($B258:$B268,$AF257),COUNTIF($B258:$B268,$AG257),COUNTIF($B258:$B268,$AH257),COUNTIF($B258:$B268,$AI257))=0,E256-SUMPRODUCT($A258:$A268,E258:E268),IF('Data-solution'!$A$3="Maximize",1,-1)*SUM(SUMIF($B258:$B268,$Y257,E258:E268),SUMIF($B258:$B268,$Z257,E258:E268),SUMIF($B258:$B268,$AA257,E258:E268),SUMIF($B258:$B268,$AB257,E258:E268),SUMIF($B258:$B268,$AC257,E258:E268),SUMIF($B258:$B268,$AD257,E258:E268),SUMIF($B258:$B268,$AE257,E258:E268),SUMIF($B258:$B268,$AF257,E258:E268),SUMIF($B258:$B268,$AG257,E258:E268),SUMIF($B258:$B268,$AH257,E258:E268),SUMIF($B258:$B268,$AI257,E258:E268)))</f>
        <v>0</v>
      </c>
      <c r="F269" s="1">
        <f>IF(SUM(COUNTIF($B258:$B268,$Y257),COUNTIF($B258:$B268,$Z257),COUNTIF($B258:$B268,$AA257),COUNTIF($B258:$B268,$AB257),COUNTIF($B258:$B268,$AC257),COUNTIF($B258:$B268,$AD257),COUNTIF($B258:$B268,$AE257),COUNTIF($B258:$B268,$AF257),COUNTIF($B258:$B268,$AG257),COUNTIF($B258:$B268,$AH257),COUNTIF($B258:$B268,$AI257))=0,F256-SUMPRODUCT($A258:$A268,F258:F268),IF('Data-solution'!$A$3="Maximize",1,-1)*SUM(SUMIF($B258:$B268,$Y257,F258:F268),SUMIF($B258:$B268,$Z257,F258:F268),SUMIF($B258:$B268,$AA257,F258:F268),SUMIF($B258:$B268,$AB257,F258:F268),SUMIF($B258:$B268,$AC257,F258:F268),SUMIF($B258:$B268,$AD257,F258:F268),SUMIF($B258:$B268,$AE257,F258:F268),SUMIF($B258:$B268,$AF257,F258:F268),SUMIF($B258:$B268,$AG257,F258:F268),SUMIF($B258:$B268,$AH257,F258:F268),SUMIF($B258:$B268,$AI257,F258:F268)))</f>
        <v>0</v>
      </c>
      <c r="G269" s="1">
        <f>IF(SUM(COUNTIF($B258:$B268,$Y257),COUNTIF($B258:$B268,$Z257),COUNTIF($B258:$B268,$AA257),COUNTIF($B258:$B268,$AB257),COUNTIF($B258:$B268,$AC257),COUNTIF($B258:$B268,$AD257),COUNTIF($B258:$B268,$AE257),COUNTIF($B258:$B268,$AF257),COUNTIF($B258:$B268,$AG257),COUNTIF($B258:$B268,$AH257),COUNTIF($B258:$B268,$AI257))=0,G256-SUMPRODUCT($A258:$A268,G258:G268),IF('Data-solution'!$A$3="Maximize",1,-1)*SUM(SUMIF($B258:$B268,$Y257,G258:G268),SUMIF($B258:$B268,$Z257,G258:G268),SUMIF($B258:$B268,$AA257,G258:G268),SUMIF($B258:$B268,$AB257,G258:G268),SUMIF($B258:$B268,$AC257,G258:G268),SUMIF($B258:$B268,$AD257,G258:G268),SUMIF($B258:$B268,$AE257,G258:G268),SUMIF($B258:$B268,$AF257,G258:G268),SUMIF($B258:$B268,$AG257,G258:G268),SUMIF($B258:$B268,$AH257,G258:G268),SUMIF($B258:$B268,$AI257,G258:G268)))</f>
        <v>0</v>
      </c>
      <c r="H269" s="1">
        <f>IF(SUM(COUNTIF($B258:$B268,$Y257),COUNTIF($B258:$B268,$Z257),COUNTIF($B258:$B268,$AA257),COUNTIF($B258:$B268,$AB257),COUNTIF($B258:$B268,$AC257),COUNTIF($B258:$B268,$AD257),COUNTIF($B258:$B268,$AE257),COUNTIF($B258:$B268,$AF257),COUNTIF($B258:$B268,$AG257),COUNTIF($B258:$B268,$AH257),COUNTIF($B258:$B268,$AI257))=0,H256-SUMPRODUCT($A258:$A268,H258:H268),IF('Data-solution'!$A$3="Maximize",1,-1)*SUM(SUMIF($B258:$B268,$Y257,H258:H268),SUMIF($B258:$B268,$Z257,H258:H268),SUMIF($B258:$B268,$AA257,H258:H268),SUMIF($B258:$B268,$AB257,H258:H268),SUMIF($B258:$B268,$AC257,H258:H268),SUMIF($B258:$B268,$AD257,H258:H268),SUMIF($B258:$B268,$AE257,H258:H268),SUMIF($B258:$B268,$AF257,H258:H268),SUMIF($B258:$B268,$AG257,H258:H268),SUMIF($B258:$B268,$AH257,H258:H268),SUMIF($B258:$B268,$AI257,H258:H268)))</f>
        <v>0</v>
      </c>
      <c r="I269" s="1">
        <f>IF(SUM(COUNTIF($B258:$B268,$Y257),COUNTIF($B258:$B268,$Z257),COUNTIF($B258:$B268,$AA257),COUNTIF($B258:$B268,$AB257),COUNTIF($B258:$B268,$AC257),COUNTIF($B258:$B268,$AD257),COUNTIF($B258:$B268,$AE257),COUNTIF($B258:$B268,$AF257),COUNTIF($B258:$B268,$AG257),COUNTIF($B258:$B268,$AH257),COUNTIF($B258:$B268,$AI257))=0,I256-SUMPRODUCT($A258:$A268,I258:I268),IF('Data-solution'!$A$3="Maximize",1,-1)*SUM(SUMIF($B258:$B268,$Y257,I258:I268),SUMIF($B258:$B268,$Z257,I258:I268),SUMIF($B258:$B268,$AA257,I258:I268),SUMIF($B258:$B268,$AB257,I258:I268),SUMIF($B258:$B268,$AC257,I258:I268),SUMIF($B258:$B268,$AD257,I258:I268),SUMIF($B258:$B268,$AE257,I258:I268),SUMIF($B258:$B268,$AF257,I258:I268),SUMIF($B258:$B268,$AG257,I258:I268),SUMIF($B258:$B268,$AH257,I258:I268),SUMIF($B258:$B268,$AI257,I258:I268)))</f>
        <v>0</v>
      </c>
      <c r="J269" s="1">
        <f>IF(SUM(COUNTIF($B258:$B268,$Y257),COUNTIF($B258:$B268,$Z257),COUNTIF($B258:$B268,$AA257),COUNTIF($B258:$B268,$AB257),COUNTIF($B258:$B268,$AC257),COUNTIF($B258:$B268,$AD257),COUNTIF($B258:$B268,$AE257),COUNTIF($B258:$B268,$AF257),COUNTIF($B258:$B268,$AG257),COUNTIF($B258:$B268,$AH257),COUNTIF($B258:$B268,$AI257))=0,J256-SUMPRODUCT($A258:$A268,J258:J268),IF('Data-solution'!$A$3="Maximize",1,-1)*SUM(SUMIF($B258:$B268,$Y257,J258:J268),SUMIF($B258:$B268,$Z257,J258:J268),SUMIF($B258:$B268,$AA257,J258:J268),SUMIF($B258:$B268,$AB257,J258:J268),SUMIF($B258:$B268,$AC257,J258:J268),SUMIF($B258:$B268,$AD257,J258:J268),SUMIF($B258:$B268,$AE257,J258:J268),SUMIF($B258:$B268,$AF257,J258:J268),SUMIF($B258:$B268,$AG257,J258:J268),SUMIF($B258:$B268,$AH257,J258:J268),SUMIF($B258:$B268,$AI257,J258:J268)))</f>
        <v>0</v>
      </c>
      <c r="K269" s="1">
        <f>IF(SUM(COUNTIF($B258:$B268,$Y257),COUNTIF($B258:$B268,$Z257),COUNTIF($B258:$B268,$AA257),COUNTIF($B258:$B268,$AB257),COUNTIF($B258:$B268,$AC257),COUNTIF($B258:$B268,$AD257),COUNTIF($B258:$B268,$AE257),COUNTIF($B258:$B268,$AF257),COUNTIF($B258:$B268,$AG257),COUNTIF($B258:$B268,$AH257),COUNTIF($B258:$B268,$AI257))=0,K256-SUMPRODUCT($A258:$A268,K258:K268),IF('Data-solution'!$A$3="Maximize",1,-1)*SUM(SUMIF($B258:$B268,$Y257,K258:K268),SUMIF($B258:$B268,$Z257,K258:K268),SUMIF($B258:$B268,$AA257,K258:K268),SUMIF($B258:$B268,$AB257,K258:K268),SUMIF($B258:$B268,$AC257,K258:K268),SUMIF($B258:$B268,$AD257,K258:K268),SUMIF($B258:$B268,$AE257,K258:K268),SUMIF($B258:$B268,$AF257,K258:K268),SUMIF($B258:$B268,$AG257,K258:K268),SUMIF($B258:$B268,$AH257,K258:K268),SUMIF($B258:$B268,$AI257,K258:K268)))</f>
        <v>0</v>
      </c>
      <c r="L269" s="1">
        <f>IF(SUM(COUNTIF($B258:$B268,$Y257),COUNTIF($B258:$B268,$Z257),COUNTIF($B258:$B268,$AA257),COUNTIF($B258:$B268,$AB257),COUNTIF($B258:$B268,$AC257),COUNTIF($B258:$B268,$AD257),COUNTIF($B258:$B268,$AE257),COUNTIF($B258:$B268,$AF257),COUNTIF($B258:$B268,$AG257),COUNTIF($B258:$B268,$AH257),COUNTIF($B258:$B268,$AI257))=0,L256-SUMPRODUCT($A258:$A268,L258:L268),IF('Data-solution'!$A$3="Maximize",1,-1)*SUM(SUMIF($B258:$B268,$Y257,L258:L268),SUMIF($B258:$B268,$Z257,L258:L268),SUMIF($B258:$B268,$AA257,L258:L268),SUMIF($B258:$B268,$AB257,L258:L268),SUMIF($B258:$B268,$AC257,L258:L268),SUMIF($B258:$B268,$AD257,L258:L268),SUMIF($B258:$B268,$AE257,L258:L268),SUMIF($B258:$B268,$AF257,L258:L268),SUMIF($B258:$B268,$AG257,L258:L268),SUMIF($B258:$B268,$AH257,L258:L268),SUMIF($B258:$B268,$AI257,L258:L268)))</f>
        <v>0</v>
      </c>
      <c r="M269" s="1">
        <f>IF(SUM(COUNTIF($B258:$B268,$Y257),COUNTIF($B258:$B268,$Z257),COUNTIF($B258:$B268,$AA257),COUNTIF($B258:$B268,$AB257),COUNTIF($B258:$B268,$AC257),COUNTIF($B258:$B268,$AD257),COUNTIF($B258:$B268,$AE257),COUNTIF($B258:$B268,$AF257),COUNTIF($B258:$B268,$AG257),COUNTIF($B258:$B268,$AH257),COUNTIF($B258:$B268,$AI257))=0,M256-SUMPRODUCT($A258:$A268,M258:M268),IF('Data-solution'!$A$3="Maximize",1,-1)*SUM(SUMIF($B258:$B268,$Y257,M258:M268),SUMIF($B258:$B268,$Z257,M258:M268),SUMIF($B258:$B268,$AA257,M258:M268),SUMIF($B258:$B268,$AB257,M258:M268),SUMIF($B258:$B268,$AC257,M258:M268),SUMIF($B258:$B268,$AD257,M258:M268),SUMIF($B258:$B268,$AE257,M258:M268),SUMIF($B258:$B268,$AF257,M258:M268),SUMIF($B258:$B268,$AG257,M258:M268),SUMIF($B258:$B268,$AH257,M258:M268),SUMIF($B258:$B268,$AI257,M258:M268)))</f>
        <v>0</v>
      </c>
      <c r="N269" s="1">
        <f>IF(SUM(COUNTIF($B258:$B268,$Y257),COUNTIF($B258:$B268,$Z257),COUNTIF($B258:$B268,$AA257),COUNTIF($B258:$B268,$AB257),COUNTIF($B258:$B268,$AC257),COUNTIF($B258:$B268,$AD257),COUNTIF($B258:$B268,$AE257),COUNTIF($B258:$B268,$AF257),COUNTIF($B258:$B268,$AG257),COUNTIF($B258:$B268,$AH257),COUNTIF($B258:$B268,$AI257))=0,N256-SUMPRODUCT($A258:$A268,N258:N268),IF('Data-solution'!$A$3="Maximize",1,-1)*SUM(SUMIF($B258:$B268,$Y257,N258:N268),SUMIF($B258:$B268,$Z257,N258:N268),SUMIF($B258:$B268,$AA257,N258:N268),SUMIF($B258:$B268,$AB257,N258:N268),SUMIF($B258:$B268,$AC257,N258:N268),SUMIF($B258:$B268,$AD257,N258:N268),SUMIF($B258:$B268,$AE257,N258:N268),SUMIF($B258:$B268,$AF257,N258:N268),SUMIF($B258:$B268,$AG257,N258:N268),SUMIF($B258:$B268,$AH257,N258:N268),SUMIF($B258:$B268,$AI257,N258:N268)))</f>
        <v>0</v>
      </c>
      <c r="O269" s="1">
        <f>IF(SUM(COUNTIF($B258:$B268,$Y257),COUNTIF($B258:$B268,$Z257),COUNTIF($B258:$B268,$AA257),COUNTIF($B258:$B268,$AB257),COUNTIF($B258:$B268,$AC257),COUNTIF($B258:$B268,$AD257),COUNTIF($B258:$B268,$AE257),COUNTIF($B258:$B268,$AF257),COUNTIF($B258:$B268,$AG257),COUNTIF($B258:$B268,$AH257),COUNTIF($B258:$B268,$AI257))=0,O256-SUMPRODUCT($A258:$A268,O258:O268),IF('Data-solution'!$A$3="Maximize",1,-1)*SUM(SUMIF($B258:$B268,$Y257,O258:O268),SUMIF($B258:$B268,$Z257,O258:O268),SUMIF($B258:$B268,$AA257,O258:O268),SUMIF($B258:$B268,$AB257,O258:O268),SUMIF($B258:$B268,$AC257,O258:O268),SUMIF($B258:$B268,$AD257,O258:O268),SUMIF($B258:$B268,$AE257,O258:O268),SUMIF($B258:$B268,$AF257,O258:O268),SUMIF($B258:$B268,$AG257,O258:O268),SUMIF($B258:$B268,$AH257,O258:O268),SUMIF($B258:$B268,$AI257,O258:O268)))</f>
        <v>0</v>
      </c>
      <c r="P269" s="1">
        <f>IF(SUM(COUNTIF($B258:$B268,$Y257),COUNTIF($B258:$B268,$Z257),COUNTIF($B258:$B268,$AA257),COUNTIF($B258:$B268,$AB257),COUNTIF($B258:$B268,$AC257),COUNTIF($B258:$B268,$AD257),COUNTIF($B258:$B268,$AE257),COUNTIF($B258:$B268,$AF257),COUNTIF($B258:$B268,$AG257),COUNTIF($B258:$B268,$AH257),COUNTIF($B258:$B268,$AI257))=0,P256-SUMPRODUCT($A258:$A268,P258:P268),IF('Data-solution'!$A$3="Maximize",1,-1)*SUM(SUMIF($B258:$B268,$Y257,P258:P268),SUMIF($B258:$B268,$Z257,P258:P268),SUMIF($B258:$B268,$AA257,P258:P268),SUMIF($B258:$B268,$AB257,P258:P268),SUMIF($B258:$B268,$AC257,P258:P268),SUMIF($B258:$B268,$AD257,P258:P268),SUMIF($B258:$B268,$AE257,P258:P268),SUMIF($B258:$B268,$AF257,P258:P268),SUMIF($B258:$B268,$AG257,P258:P268),SUMIF($B258:$B268,$AH257,P258:P268),SUMIF($B258:$B268,$AI257,P258:P268)))</f>
        <v>-49.999999999999993</v>
      </c>
      <c r="Q269" s="1">
        <f>IF(SUM(COUNTIF($B258:$B268,$Y257),COUNTIF($B258:$B268,$Z257),COUNTIF($B258:$B268,$AA257),COUNTIF($B258:$B268,$AB257),COUNTIF($B258:$B268,$AC257),COUNTIF($B258:$B268,$AD257),COUNTIF($B258:$B268,$AE257),COUNTIF($B258:$B268,$AF257),COUNTIF($B258:$B268,$AG257),COUNTIF($B258:$B268,$AH257),COUNTIF($B258:$B268,$AI257))=0,Q256-SUMPRODUCT($A258:$A268,Q258:Q268),IF('Data-solution'!$A$3="Maximize",1,-1)*SUM(SUMIF($B258:$B268,$Y257,Q258:Q268),SUMIF($B258:$B268,$Z257,Q258:Q268),SUMIF($B258:$B268,$AA257,Q258:Q268),SUMIF($B258:$B268,$AB257,Q258:Q268),SUMIF($B258:$B268,$AC257,Q258:Q268),SUMIF($B258:$B268,$AD257,Q258:Q268),SUMIF($B258:$B268,$AE257,Q258:Q268),SUMIF($B258:$B268,$AF257,Q258:Q268),SUMIF($B258:$B268,$AG257,Q258:Q268),SUMIF($B258:$B268,$AH257,Q258:Q268),SUMIF($B258:$B268,$AI257,Q258:Q268)))</f>
        <v>-50</v>
      </c>
      <c r="R269" s="1">
        <f>IF(SUM(COUNTIF($B258:$B268,$Y257),COUNTIF($B258:$B268,$Z257),COUNTIF($B258:$B268,$AA257),COUNTIF($B258:$B268,$AB257),COUNTIF($B258:$B268,$AC257),COUNTIF($B258:$B268,$AD257),COUNTIF($B258:$B268,$AE257),COUNTIF($B258:$B268,$AF257),COUNTIF($B258:$B268,$AG257),COUNTIF($B258:$B268,$AH257),COUNTIF($B258:$B268,$AI257))=0,R256-SUMPRODUCT($A258:$A268,R258:R268),IF('Data-solution'!$A$3="Maximize",1,-1)*SUM(SUMIF($B258:$B268,$Y257,R258:R268),SUMIF($B258:$B268,$Z257,R258:R268),SUMIF($B258:$B268,$AA257,R258:R268),SUMIF($B258:$B268,$AB257,R258:R268),SUMIF($B258:$B268,$AC257,R258:R268),SUMIF($B258:$B268,$AD257,R258:R268),SUMIF($B258:$B268,$AE257,R258:R268),SUMIF($B258:$B268,$AF257,R258:R268),SUMIF($B258:$B268,$AG257,R258:R268),SUMIF($B258:$B268,$AH257,R258:R268),SUMIF($B258:$B268,$AI257,R258:R268)))</f>
        <v>0</v>
      </c>
      <c r="S269" s="1">
        <f>IF(SUM(COUNTIF($B258:$B268,$Y257),COUNTIF($B258:$B268,$Z257),COUNTIF($B258:$B268,$AA257),COUNTIF($B258:$B268,$AB257),COUNTIF($B258:$B268,$AC257),COUNTIF($B258:$B268,$AD257),COUNTIF($B258:$B268,$AE257),COUNTIF($B258:$B268,$AF257),COUNTIF($B258:$B268,$AG257),COUNTIF($B258:$B268,$AH257),COUNTIF($B258:$B268,$AI257))=0,S256-SUMPRODUCT($A258:$A268,S258:S268),IF('Data-solution'!$A$3="Maximize",1,-1)*SUM(SUMIF($B258:$B268,$Y257,S258:S268),SUMIF($B258:$B268,$Z257,S258:S268),SUMIF($B258:$B268,$AA257,S258:S268),SUMIF($B258:$B268,$AB257,S258:S268),SUMIF($B258:$B268,$AC257,S258:S268),SUMIF($B258:$B268,$AD257,S258:S268),SUMIF($B258:$B268,$AE257,S258:S268),SUMIF($B258:$B268,$AF257,S258:S268),SUMIF($B258:$B268,$AG257,S258:S268),SUMIF($B258:$B268,$AH257,S258:S268),SUMIF($B258:$B268,$AI257,S258:S268)))</f>
        <v>0</v>
      </c>
      <c r="T269" s="1">
        <f>IF(SUM(COUNTIF($B258:$B268,$Y257),COUNTIF($B258:$B268,$Z257),COUNTIF($B258:$B268,$AA257),COUNTIF($B258:$B268,$AB257),COUNTIF($B258:$B268,$AC257),COUNTIF($B258:$B268,$AD257),COUNTIF($B258:$B268,$AE257),COUNTIF($B258:$B268,$AF257),COUNTIF($B258:$B268,$AG257),COUNTIF($B258:$B268,$AH257),COUNTIF($B258:$B268,$AI257))=0,T256-SUMPRODUCT($A258:$A268,T258:T268),IF('Data-solution'!$A$3="Maximize",1,-1)*SUM(SUMIF($B258:$B268,$Y257,T258:T268),SUMIF($B258:$B268,$Z257,T258:T268),SUMIF($B258:$B268,$AA257,T258:T268),SUMIF($B258:$B268,$AB257,T258:T268),SUMIF($B258:$B268,$AC257,T258:T268),SUMIF($B258:$B268,$AD257,T258:T268),SUMIF($B258:$B268,$AE257,T258:T268),SUMIF($B258:$B268,$AF257,T258:T268),SUMIF($B258:$B268,$AG257,T258:T268),SUMIF($B258:$B268,$AH257,T258:T268),SUMIF($B258:$B268,$AI257,T258:T268)))</f>
        <v>0</v>
      </c>
      <c r="U269" s="1">
        <f>IF(SUM(COUNTIF($B258:$B268,$Y257),COUNTIF($B258:$B268,$Z257),COUNTIF($B258:$B268,$AA257),COUNTIF($B258:$B268,$AB257),COUNTIF($B258:$B268,$AC257),COUNTIF($B258:$B268,$AD257),COUNTIF($B258:$B268,$AE257),COUNTIF($B258:$B268,$AF257),COUNTIF($B258:$B268,$AG257),COUNTIF($B258:$B268,$AH257),COUNTIF($B258:$B268,$AI257))=0,U256-SUMPRODUCT($A258:$A268,U258:U268),IF('Data-solution'!$A$3="Maximize",1,-1)*SUM(SUMIF($B258:$B268,$Y257,U258:U268),SUMIF($B258:$B268,$Z257,U258:U268),SUMIF($B258:$B268,$AA257,U258:U268),SUMIF($B258:$B268,$AB257,U258:U268),SUMIF($B258:$B268,$AC257,U258:U268),SUMIF($B258:$B268,$AD257,U258:U268),SUMIF($B258:$B268,$AE257,U258:U268),SUMIF($B258:$B268,$AF257,U258:U268),SUMIF($B258:$B268,$AG257,U258:U268),SUMIF($B258:$B268,$AH257,U258:U268),SUMIF($B258:$B268,$AI257,U258:U268)))</f>
        <v>0</v>
      </c>
      <c r="V269" s="1">
        <f>IF(SUM(COUNTIF($B258:$B268,$Y257),COUNTIF($B258:$B268,$Z257),COUNTIF($B258:$B268,$AA257),COUNTIF($B258:$B268,$AB257),COUNTIF($B258:$B268,$AC257),COUNTIF($B258:$B268,$AD257),COUNTIF($B258:$B268,$AE257),COUNTIF($B258:$B268,$AF257),COUNTIF($B258:$B268,$AG257),COUNTIF($B258:$B268,$AH257),COUNTIF($B258:$B268,$AI257))=0,V256-SUMPRODUCT($A258:$A268,V258:V268),IF('Data-solution'!$A$3="Maximize",1,-1)*SUM(SUMIF($B258:$B268,$Y257,V258:V268),SUMIF($B258:$B268,$Z257,V258:V268),SUMIF($B258:$B268,$AA257,V258:V268),SUMIF($B258:$B268,$AB257,V258:V268),SUMIF($B258:$B268,$AC257,V258:V268),SUMIF($B258:$B268,$AD257,V258:V268),SUMIF($B258:$B268,$AE257,V258:V268),SUMIF($B258:$B268,$AF257,V258:V268),SUMIF($B258:$B268,$AG257,V258:V268),SUMIF($B258:$B268,$AH257,V258:V268),SUMIF($B258:$B268,$AI257,V258:V268)))</f>
        <v>0</v>
      </c>
      <c r="W269" s="1">
        <f>IF(SUM(COUNTIF($B258:$B268,$Y257),COUNTIF($B258:$B268,$Z257),COUNTIF($B258:$B268,$AA257),COUNTIF($B258:$B268,$AB257),COUNTIF($B258:$B268,$AC257),COUNTIF($B258:$B268,$AD257),COUNTIF($B258:$B268,$AE257),COUNTIF($B258:$B268,$AF257),COUNTIF($B258:$B268,$AG257),COUNTIF($B258:$B268,$AH257),COUNTIF($B258:$B268,$AI257))=0,W256-SUMPRODUCT($A258:$A268,W258:W268),IF('Data-solution'!$A$3="Maximize",1,-1)*SUM(SUMIF($B258:$B268,$Y257,W258:W268),SUMIF($B258:$B268,$Z257,W258:W268),SUMIF($B258:$B268,$AA257,W258:W268),SUMIF($B258:$B268,$AB257,W258:W268),SUMIF($B258:$B268,$AC257,W258:W268),SUMIF($B258:$B268,$AD257,W258:W268),SUMIF($B258:$B268,$AE257,W258:W268),SUMIF($B258:$B268,$AF257,W258:W268),SUMIF($B258:$B268,$AG257,W258:W268),SUMIF($B258:$B268,$AH257,W258:W268),SUMIF($B258:$B268,$AI257,W258:W268)))</f>
        <v>0</v>
      </c>
      <c r="X269" s="1">
        <f>IF(SUM(COUNTIF($B258:$B268,$Y257),COUNTIF($B258:$B268,$Z257),COUNTIF($B258:$B268,$AA257),COUNTIF($B258:$B268,$AB257),COUNTIF($B258:$B268,$AC257),COUNTIF($B258:$B268,$AD257),COUNTIF($B258:$B268,$AE257),COUNTIF($B258:$B268,$AF257),COUNTIF($B258:$B268,$AG257),COUNTIF($B258:$B268,$AH257),COUNTIF($B258:$B268,$AI257))=0,X256-SUMPRODUCT($A258:$A268,X258:X268),IF('Data-solution'!$A$3="Maximize",1,-1)*SUM(SUMIF($B258:$B268,$Y257,X258:X268),SUMIF($B258:$B268,$Z257,X258:X268),SUMIF($B258:$B268,$AA257,X258:X268),SUMIF($B258:$B268,$AB257,X258:X268),SUMIF($B258:$B268,$AC257,X258:X268),SUMIF($B258:$B268,$AD257,X258:X268),SUMIF($B258:$B268,$AE257,X258:X268),SUMIF($B258:$B268,$AF257,X258:X268),SUMIF($B258:$B268,$AG257,X258:X268),SUMIF($B258:$B268,$AH257,X258:X268),SUMIF($B258:$B268,$AI257,X258:X268)))</f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2">
        <f t="shared" ref="AJ269" si="241">IF(SUMPRODUCT(A258:A268,AJ258:AJ268)&gt;=0,SUMPRODUCT(A258:A268,AJ258:AJ268),0)</f>
        <v>120000</v>
      </c>
    </row>
    <row r="271" spans="1:37" ht="18" customHeight="1" x14ac:dyDescent="0.2">
      <c r="A271" s="1" t="s">
        <v>78</v>
      </c>
      <c r="B271" s="2" t="s">
        <v>4</v>
      </c>
      <c r="C271" s="1">
        <f t="shared" ref="C271:R301" si="242">C$1</f>
        <v>150</v>
      </c>
      <c r="D271" s="1">
        <f t="shared" si="226"/>
        <v>200</v>
      </c>
      <c r="E271" s="1">
        <f t="shared" si="226"/>
        <v>350</v>
      </c>
      <c r="F271" s="1">
        <f t="shared" si="226"/>
        <v>0</v>
      </c>
      <c r="G271" s="1">
        <f t="shared" si="226"/>
        <v>0</v>
      </c>
      <c r="H271" s="1">
        <f t="shared" si="226"/>
        <v>0</v>
      </c>
      <c r="I271" s="1">
        <f t="shared" si="226"/>
        <v>0</v>
      </c>
      <c r="J271" s="1">
        <f t="shared" si="226"/>
        <v>0</v>
      </c>
      <c r="K271" s="1">
        <f t="shared" si="226"/>
        <v>0</v>
      </c>
      <c r="L271" s="1">
        <f t="shared" si="226"/>
        <v>0</v>
      </c>
      <c r="M271" s="1">
        <f t="shared" si="226"/>
        <v>0</v>
      </c>
      <c r="N271" s="1">
        <f t="shared" si="226"/>
        <v>0</v>
      </c>
      <c r="O271" s="1">
        <f t="shared" si="226"/>
        <v>0</v>
      </c>
      <c r="P271" s="1">
        <f t="shared" si="226"/>
        <v>0</v>
      </c>
      <c r="Q271" s="1">
        <f t="shared" si="226"/>
        <v>0</v>
      </c>
      <c r="R271" s="1">
        <f t="shared" si="226"/>
        <v>0</v>
      </c>
      <c r="S271" s="1">
        <f t="shared" si="226"/>
        <v>0</v>
      </c>
      <c r="T271" s="1">
        <f t="shared" si="226"/>
        <v>0</v>
      </c>
      <c r="U271" s="1">
        <f t="shared" si="226"/>
        <v>0</v>
      </c>
      <c r="V271" s="1">
        <f t="shared" si="226"/>
        <v>0</v>
      </c>
      <c r="W271" s="1">
        <f t="shared" si="226"/>
        <v>0</v>
      </c>
      <c r="X271" s="1">
        <f t="shared" si="226"/>
        <v>0</v>
      </c>
      <c r="Y271" s="1">
        <f t="shared" si="226"/>
        <v>-999999</v>
      </c>
      <c r="Z271" s="1">
        <f t="shared" si="226"/>
        <v>-999999</v>
      </c>
      <c r="AA271" s="1">
        <f t="shared" si="226"/>
        <v>-999999</v>
      </c>
      <c r="AB271" s="1">
        <f t="shared" si="226"/>
        <v>-999999</v>
      </c>
      <c r="AC271" s="1">
        <f t="shared" si="226"/>
        <v>-999999</v>
      </c>
      <c r="AD271" s="1">
        <f t="shared" si="226"/>
        <v>-999999</v>
      </c>
      <c r="AE271" s="1">
        <f t="shared" si="226"/>
        <v>-999999</v>
      </c>
      <c r="AF271" s="1">
        <f t="shared" si="226"/>
        <v>-999999</v>
      </c>
      <c r="AG271" s="1">
        <f t="shared" si="226"/>
        <v>-999999</v>
      </c>
      <c r="AH271" s="1">
        <f t="shared" si="226"/>
        <v>-999999</v>
      </c>
      <c r="AI271" s="1">
        <f t="shared" si="226"/>
        <v>-999999</v>
      </c>
    </row>
    <row r="272" spans="1:37" ht="18" customHeight="1" x14ac:dyDescent="0.2">
      <c r="A272" s="2" t="s">
        <v>3</v>
      </c>
      <c r="B272" s="2" t="s">
        <v>1</v>
      </c>
      <c r="C272" s="2" t="str">
        <f t="shared" ref="C272:R302" si="243">C$2</f>
        <v>X1</v>
      </c>
      <c r="D272" s="2" t="str">
        <f t="shared" si="229"/>
        <v>X2</v>
      </c>
      <c r="E272" s="2" t="str">
        <f t="shared" si="229"/>
        <v>X3</v>
      </c>
      <c r="F272" s="2" t="str">
        <f t="shared" si="229"/>
        <v>X4</v>
      </c>
      <c r="G272" s="2" t="str">
        <f t="shared" si="229"/>
        <v>X5</v>
      </c>
      <c r="H272" s="2" t="str">
        <f t="shared" si="229"/>
        <v>X6</v>
      </c>
      <c r="I272" s="2" t="str">
        <f t="shared" si="229"/>
        <v>X7</v>
      </c>
      <c r="J272" s="2" t="str">
        <f t="shared" si="229"/>
        <v>X8</v>
      </c>
      <c r="K272" s="2" t="str">
        <f t="shared" si="229"/>
        <v>X9</v>
      </c>
      <c r="L272" s="2" t="str">
        <f t="shared" si="229"/>
        <v>X10</v>
      </c>
      <c r="M272" s="2" t="str">
        <f t="shared" si="229"/>
        <v>X11</v>
      </c>
      <c r="N272" s="2" t="str">
        <f t="shared" si="229"/>
        <v>S1</v>
      </c>
      <c r="O272" s="2" t="str">
        <f t="shared" si="229"/>
        <v>S2</v>
      </c>
      <c r="P272" s="2" t="str">
        <f t="shared" si="229"/>
        <v>S3</v>
      </c>
      <c r="Q272" s="2" t="str">
        <f t="shared" si="229"/>
        <v>S4</v>
      </c>
      <c r="R272" s="2" t="str">
        <f t="shared" si="229"/>
        <v>S5</v>
      </c>
      <c r="S272" s="2" t="str">
        <f t="shared" si="229"/>
        <v>S6</v>
      </c>
      <c r="T272" s="2" t="str">
        <f t="shared" si="229"/>
        <v>S7</v>
      </c>
      <c r="U272" s="2" t="str">
        <f t="shared" si="229"/>
        <v>S8</v>
      </c>
      <c r="V272" s="2" t="str">
        <f t="shared" si="229"/>
        <v>S9</v>
      </c>
      <c r="W272" s="2" t="str">
        <f t="shared" si="229"/>
        <v>S10</v>
      </c>
      <c r="X272" s="2" t="str">
        <f t="shared" si="229"/>
        <v>S11</v>
      </c>
      <c r="Y272" s="2" t="str">
        <f t="shared" si="229"/>
        <v xml:space="preserve"> </v>
      </c>
      <c r="Z272" s="2" t="str">
        <f t="shared" si="229"/>
        <v xml:space="preserve"> </v>
      </c>
      <c r="AA272" s="2" t="str">
        <f t="shared" si="229"/>
        <v xml:space="preserve"> </v>
      </c>
      <c r="AB272" s="2" t="str">
        <f t="shared" si="229"/>
        <v xml:space="preserve"> </v>
      </c>
      <c r="AC272" s="2" t="str">
        <f t="shared" si="229"/>
        <v xml:space="preserve"> </v>
      </c>
      <c r="AD272" s="2" t="str">
        <f t="shared" si="229"/>
        <v xml:space="preserve"> </v>
      </c>
      <c r="AE272" s="2" t="str">
        <f t="shared" si="229"/>
        <v xml:space="preserve"> </v>
      </c>
      <c r="AF272" s="2" t="str">
        <f t="shared" si="229"/>
        <v xml:space="preserve"> </v>
      </c>
      <c r="AG272" s="2" t="str">
        <f t="shared" si="229"/>
        <v xml:space="preserve"> </v>
      </c>
      <c r="AH272" s="2" t="str">
        <f t="shared" si="229"/>
        <v xml:space="preserve"> </v>
      </c>
      <c r="AI272" s="2" t="str">
        <f t="shared" si="229"/>
        <v xml:space="preserve"> </v>
      </c>
      <c r="AJ272" s="2" t="s">
        <v>9</v>
      </c>
      <c r="AK272" s="2" t="s">
        <v>10</v>
      </c>
    </row>
    <row r="273" spans="1:37" ht="18" customHeight="1" x14ac:dyDescent="0.2">
      <c r="A273" s="1">
        <f t="shared" ref="A273" si="244">INDEX(C271:AI271,1,MATCH(B273,C272:AI272,0))</f>
        <v>0</v>
      </c>
      <c r="B273" s="2" t="str">
        <f>IF(AND('Data-solution'!A$3="Maximize",COUNTIF(C269:X269,"&gt;"&amp;0)&gt;0,AK258=MIN(AK258:AK268)),INDEX(C257:X257,1,MATCH(MAX(C269:X269),C269:X269,0)),IF(AND('Data-solution'!A$3="Minimize",COUNTIF(C269:X269,"&lt;"&amp;0)&gt;0,AK258=MIN(AK258:AK268)),INDEX(C257:X257,1,MATCH(MIN(C269:X269),C269:X269,0)),B258))</f>
        <v>S1</v>
      </c>
      <c r="C273" s="1">
        <f>IF(OR($B273&lt;&gt;$B258,$B274&lt;&gt;$B259,$B275&lt;&gt;$B260,$B276&lt;&gt;$B261,$B277&lt;&gt;$B262,$B278&lt;&gt;$B263,$B279&lt;&gt;$B264,$B280&lt;&gt;$B265,$B281&lt;&gt;$B266,$B282&lt;&gt;$B267,$B283&lt;&gt;$B268),IF($B273&lt;&gt;$B258,C258/INDEX($C258:$AJ268,1,MATCH(IF('Data-solution'!$A$3="Maximize",MAX($C269:$AI269),MIN($C269:$AI269)),$C269:$AI269,0)),C258-INDEX($C258:$AJ268,1,MATCH(IF('Data-solution'!$A$3="Maximize",MAX($C269:$AI269),MIN($C269:$AI269)),$C269:$AI269,0))*INDEX(C258:$AJ268,MATCH(MIN($AK258:$AK268),$AK258:$AK268,0),1)/INDEX($C258:$AJ268,MATCH(MIN($AK258:$AK268),$AK258:$AK268,0),MATCH(IF('Data-solution'!$A$3="Maximize",MAX($C269:$AI269),MIN($C269:$AI269)),$C269:$AI269,0))),C258)</f>
        <v>0</v>
      </c>
      <c r="D273" s="1">
        <f>IF(OR($B273&lt;&gt;$B258,$B274&lt;&gt;$B259,$B275&lt;&gt;$B260,$B276&lt;&gt;$B261,$B277&lt;&gt;$B262,$B278&lt;&gt;$B263,$B279&lt;&gt;$B264,$B280&lt;&gt;$B265,$B281&lt;&gt;$B266,$B282&lt;&gt;$B267,$B283&lt;&gt;$B268),IF($B273&lt;&gt;$B258,D258/INDEX($C258:$AJ268,1,MATCH(IF('Data-solution'!$A$3="Maximize",MAX($C269:$AI269),MIN($C269:$AI269)),$C269:$AI269,0)),D258-INDEX($C258:$AJ268,1,MATCH(IF('Data-solution'!$A$3="Maximize",MAX($C269:$AI269),MIN($C269:$AI269)),$C269:$AI269,0))*INDEX(D258:$AJ268,MATCH(MIN($AK258:$AK268),$AK258:$AK268,0),1)/INDEX($C258:$AJ268,MATCH(MIN($AK258:$AK268),$AK258:$AK268,0),MATCH(IF('Data-solution'!$A$3="Maximize",MAX($C269:$AI269),MIN($C269:$AI269)),$C269:$AI269,0))),D258)</f>
        <v>1</v>
      </c>
      <c r="E273" s="1">
        <f>IF(OR($B273&lt;&gt;$B258,$B274&lt;&gt;$B259,$B275&lt;&gt;$B260,$B276&lt;&gt;$B261,$B277&lt;&gt;$B262,$B278&lt;&gt;$B263,$B279&lt;&gt;$B264,$B280&lt;&gt;$B265,$B281&lt;&gt;$B266,$B282&lt;&gt;$B267,$B283&lt;&gt;$B268),IF($B273&lt;&gt;$B258,E258/INDEX($C258:$AJ268,1,MATCH(IF('Data-solution'!$A$3="Maximize",MAX($C269:$AI269),MIN($C269:$AI269)),$C269:$AI269,0)),E258-INDEX($C258:$AJ268,1,MATCH(IF('Data-solution'!$A$3="Maximize",MAX($C269:$AI269),MIN($C269:$AI269)),$C269:$AI269,0))*INDEX(E258:$AJ268,MATCH(MIN($AK258:$AK268),$AK258:$AK268,0),1)/INDEX($C258:$AJ268,MATCH(MIN($AK258:$AK268),$AK258:$AK268,0),MATCH(IF('Data-solution'!$A$3="Maximize",MAX($C269:$AI269),MIN($C269:$AI269)),$C269:$AI269,0))),E258)</f>
        <v>0</v>
      </c>
      <c r="F273" s="1">
        <f>IF(OR($B273&lt;&gt;$B258,$B274&lt;&gt;$B259,$B275&lt;&gt;$B260,$B276&lt;&gt;$B261,$B277&lt;&gt;$B262,$B278&lt;&gt;$B263,$B279&lt;&gt;$B264,$B280&lt;&gt;$B265,$B281&lt;&gt;$B266,$B282&lt;&gt;$B267,$B283&lt;&gt;$B268),IF($B273&lt;&gt;$B258,F258/INDEX($C258:$AJ268,1,MATCH(IF('Data-solution'!$A$3="Maximize",MAX($C269:$AI269),MIN($C269:$AI269)),$C269:$AI269,0)),F258-INDEX($C258:$AJ268,1,MATCH(IF('Data-solution'!$A$3="Maximize",MAX($C269:$AI269),MIN($C269:$AI269)),$C269:$AI269,0))*INDEX(F258:$AJ268,MATCH(MIN($AK258:$AK268),$AK258:$AK268,0),1)/INDEX($C258:$AJ268,MATCH(MIN($AK258:$AK268),$AK258:$AK268,0),MATCH(IF('Data-solution'!$A$3="Maximize",MAX($C269:$AI269),MIN($C269:$AI269)),$C269:$AI269,0))),F258)</f>
        <v>0</v>
      </c>
      <c r="G273" s="1">
        <f>IF(OR($B273&lt;&gt;$B258,$B274&lt;&gt;$B259,$B275&lt;&gt;$B260,$B276&lt;&gt;$B261,$B277&lt;&gt;$B262,$B278&lt;&gt;$B263,$B279&lt;&gt;$B264,$B280&lt;&gt;$B265,$B281&lt;&gt;$B266,$B282&lt;&gt;$B267,$B283&lt;&gt;$B268),IF($B273&lt;&gt;$B258,G258/INDEX($C258:$AJ268,1,MATCH(IF('Data-solution'!$A$3="Maximize",MAX($C269:$AI269),MIN($C269:$AI269)),$C269:$AI269,0)),G258-INDEX($C258:$AJ268,1,MATCH(IF('Data-solution'!$A$3="Maximize",MAX($C269:$AI269),MIN($C269:$AI269)),$C269:$AI269,0))*INDEX(G258:$AJ268,MATCH(MIN($AK258:$AK268),$AK258:$AK268,0),1)/INDEX($C258:$AJ268,MATCH(MIN($AK258:$AK268),$AK258:$AK268,0),MATCH(IF('Data-solution'!$A$3="Maximize",MAX($C269:$AI269),MIN($C269:$AI269)),$C269:$AI269,0))),G258)</f>
        <v>0</v>
      </c>
      <c r="H273" s="1">
        <f>IF(OR($B273&lt;&gt;$B258,$B274&lt;&gt;$B259,$B275&lt;&gt;$B260,$B276&lt;&gt;$B261,$B277&lt;&gt;$B262,$B278&lt;&gt;$B263,$B279&lt;&gt;$B264,$B280&lt;&gt;$B265,$B281&lt;&gt;$B266,$B282&lt;&gt;$B267,$B283&lt;&gt;$B268),IF($B273&lt;&gt;$B258,H258/INDEX($C258:$AJ268,1,MATCH(IF('Data-solution'!$A$3="Maximize",MAX($C269:$AI269),MIN($C269:$AI269)),$C269:$AI269,0)),H258-INDEX($C258:$AJ268,1,MATCH(IF('Data-solution'!$A$3="Maximize",MAX($C269:$AI269),MIN($C269:$AI269)),$C269:$AI269,0))*INDEX(H258:$AJ268,MATCH(MIN($AK258:$AK268),$AK258:$AK268,0),1)/INDEX($C258:$AJ268,MATCH(MIN($AK258:$AK268),$AK258:$AK268,0),MATCH(IF('Data-solution'!$A$3="Maximize",MAX($C269:$AI269),MIN($C269:$AI269)),$C269:$AI269,0))),H258)</f>
        <v>0</v>
      </c>
      <c r="I273" s="1">
        <f>IF(OR($B273&lt;&gt;$B258,$B274&lt;&gt;$B259,$B275&lt;&gt;$B260,$B276&lt;&gt;$B261,$B277&lt;&gt;$B262,$B278&lt;&gt;$B263,$B279&lt;&gt;$B264,$B280&lt;&gt;$B265,$B281&lt;&gt;$B266,$B282&lt;&gt;$B267,$B283&lt;&gt;$B268),IF($B273&lt;&gt;$B258,I258/INDEX($C258:$AJ268,1,MATCH(IF('Data-solution'!$A$3="Maximize",MAX($C269:$AI269),MIN($C269:$AI269)),$C269:$AI269,0)),I258-INDEX($C258:$AJ268,1,MATCH(IF('Data-solution'!$A$3="Maximize",MAX($C269:$AI269),MIN($C269:$AI269)),$C269:$AI269,0))*INDEX(I258:$AJ268,MATCH(MIN($AK258:$AK268),$AK258:$AK268,0),1)/INDEX($C258:$AJ268,MATCH(MIN($AK258:$AK268),$AK258:$AK268,0),MATCH(IF('Data-solution'!$A$3="Maximize",MAX($C269:$AI269),MIN($C269:$AI269)),$C269:$AI269,0))),I258)</f>
        <v>0</v>
      </c>
      <c r="J273" s="1">
        <f>IF(OR($B273&lt;&gt;$B258,$B274&lt;&gt;$B259,$B275&lt;&gt;$B260,$B276&lt;&gt;$B261,$B277&lt;&gt;$B262,$B278&lt;&gt;$B263,$B279&lt;&gt;$B264,$B280&lt;&gt;$B265,$B281&lt;&gt;$B266,$B282&lt;&gt;$B267,$B283&lt;&gt;$B268),IF($B273&lt;&gt;$B258,J258/INDEX($C258:$AJ268,1,MATCH(IF('Data-solution'!$A$3="Maximize",MAX($C269:$AI269),MIN($C269:$AI269)),$C269:$AI269,0)),J258-INDEX($C258:$AJ268,1,MATCH(IF('Data-solution'!$A$3="Maximize",MAX($C269:$AI269),MIN($C269:$AI269)),$C269:$AI269,0))*INDEX(J258:$AJ268,MATCH(MIN($AK258:$AK268),$AK258:$AK268,0),1)/INDEX($C258:$AJ268,MATCH(MIN($AK258:$AK268),$AK258:$AK268,0),MATCH(IF('Data-solution'!$A$3="Maximize",MAX($C269:$AI269),MIN($C269:$AI269)),$C269:$AI269,0))),J258)</f>
        <v>0</v>
      </c>
      <c r="K273" s="1">
        <f>IF(OR($B273&lt;&gt;$B258,$B274&lt;&gt;$B259,$B275&lt;&gt;$B260,$B276&lt;&gt;$B261,$B277&lt;&gt;$B262,$B278&lt;&gt;$B263,$B279&lt;&gt;$B264,$B280&lt;&gt;$B265,$B281&lt;&gt;$B266,$B282&lt;&gt;$B267,$B283&lt;&gt;$B268),IF($B273&lt;&gt;$B258,K258/INDEX($C258:$AJ268,1,MATCH(IF('Data-solution'!$A$3="Maximize",MAX($C269:$AI269),MIN($C269:$AI269)),$C269:$AI269,0)),K258-INDEX($C258:$AJ268,1,MATCH(IF('Data-solution'!$A$3="Maximize",MAX($C269:$AI269),MIN($C269:$AI269)),$C269:$AI269,0))*INDEX(K258:$AJ268,MATCH(MIN($AK258:$AK268),$AK258:$AK268,0),1)/INDEX($C258:$AJ268,MATCH(MIN($AK258:$AK268),$AK258:$AK268,0),MATCH(IF('Data-solution'!$A$3="Maximize",MAX($C269:$AI269),MIN($C269:$AI269)),$C269:$AI269,0))),K258)</f>
        <v>0</v>
      </c>
      <c r="L273" s="1">
        <f>IF(OR($B273&lt;&gt;$B258,$B274&lt;&gt;$B259,$B275&lt;&gt;$B260,$B276&lt;&gt;$B261,$B277&lt;&gt;$B262,$B278&lt;&gt;$B263,$B279&lt;&gt;$B264,$B280&lt;&gt;$B265,$B281&lt;&gt;$B266,$B282&lt;&gt;$B267,$B283&lt;&gt;$B268),IF($B273&lt;&gt;$B258,L258/INDEX($C258:$AJ268,1,MATCH(IF('Data-solution'!$A$3="Maximize",MAX($C269:$AI269),MIN($C269:$AI269)),$C269:$AI269,0)),L258-INDEX($C258:$AJ268,1,MATCH(IF('Data-solution'!$A$3="Maximize",MAX($C269:$AI269),MIN($C269:$AI269)),$C269:$AI269,0))*INDEX(L258:$AJ268,MATCH(MIN($AK258:$AK268),$AK258:$AK268,0),1)/INDEX($C258:$AJ268,MATCH(MIN($AK258:$AK268),$AK258:$AK268,0),MATCH(IF('Data-solution'!$A$3="Maximize",MAX($C269:$AI269),MIN($C269:$AI269)),$C269:$AI269,0))),L258)</f>
        <v>0</v>
      </c>
      <c r="M273" s="1">
        <f>IF(OR($B273&lt;&gt;$B258,$B274&lt;&gt;$B259,$B275&lt;&gt;$B260,$B276&lt;&gt;$B261,$B277&lt;&gt;$B262,$B278&lt;&gt;$B263,$B279&lt;&gt;$B264,$B280&lt;&gt;$B265,$B281&lt;&gt;$B266,$B282&lt;&gt;$B267,$B283&lt;&gt;$B268),IF($B273&lt;&gt;$B258,M258/INDEX($C258:$AJ268,1,MATCH(IF('Data-solution'!$A$3="Maximize",MAX($C269:$AI269),MIN($C269:$AI269)),$C269:$AI269,0)),M258-INDEX($C258:$AJ268,1,MATCH(IF('Data-solution'!$A$3="Maximize",MAX($C269:$AI269),MIN($C269:$AI269)),$C269:$AI269,0))*INDEX(M258:$AJ268,MATCH(MIN($AK258:$AK268),$AK258:$AK268,0),1)/INDEX($C258:$AJ268,MATCH(MIN($AK258:$AK268),$AK258:$AK268,0),MATCH(IF('Data-solution'!$A$3="Maximize",MAX($C269:$AI269),MIN($C269:$AI269)),$C269:$AI269,0))),M258)</f>
        <v>0</v>
      </c>
      <c r="N273" s="1">
        <f>IF(OR($B273&lt;&gt;$B258,$B274&lt;&gt;$B259,$B275&lt;&gt;$B260,$B276&lt;&gt;$B261,$B277&lt;&gt;$B262,$B278&lt;&gt;$B263,$B279&lt;&gt;$B264,$B280&lt;&gt;$B265,$B281&lt;&gt;$B266,$B282&lt;&gt;$B267,$B283&lt;&gt;$B268),IF($B273&lt;&gt;$B258,N258/INDEX($C258:$AJ268,1,MATCH(IF('Data-solution'!$A$3="Maximize",MAX($C269:$AI269),MIN($C269:$AI269)),$C269:$AI269,0)),N258-INDEX($C258:$AJ268,1,MATCH(IF('Data-solution'!$A$3="Maximize",MAX($C269:$AI269),MIN($C269:$AI269)),$C269:$AI269,0))*INDEX(N258:$AJ268,MATCH(MIN($AK258:$AK268),$AK258:$AK268,0),1)/INDEX($C258:$AJ268,MATCH(MIN($AK258:$AK268),$AK258:$AK268,0),MATCH(IF('Data-solution'!$A$3="Maximize",MAX($C269:$AI269),MIN($C269:$AI269)),$C269:$AI269,0))),N258)</f>
        <v>1</v>
      </c>
      <c r="O273" s="1">
        <f>IF(OR($B273&lt;&gt;$B258,$B274&lt;&gt;$B259,$B275&lt;&gt;$B260,$B276&lt;&gt;$B261,$B277&lt;&gt;$B262,$B278&lt;&gt;$B263,$B279&lt;&gt;$B264,$B280&lt;&gt;$B265,$B281&lt;&gt;$B266,$B282&lt;&gt;$B267,$B283&lt;&gt;$B268),IF($B273&lt;&gt;$B258,O258/INDEX($C258:$AJ268,1,MATCH(IF('Data-solution'!$A$3="Maximize",MAX($C269:$AI269),MIN($C269:$AI269)),$C269:$AI269,0)),O258-INDEX($C258:$AJ268,1,MATCH(IF('Data-solution'!$A$3="Maximize",MAX($C269:$AI269),MIN($C269:$AI269)),$C269:$AI269,0))*INDEX(O258:$AJ268,MATCH(MIN($AK258:$AK268),$AK258:$AK268,0),1)/INDEX($C258:$AJ268,MATCH(MIN($AK258:$AK268),$AK258:$AK268,0),MATCH(IF('Data-solution'!$A$3="Maximize",MAX($C269:$AI269),MIN($C269:$AI269)),$C269:$AI269,0))),O258)</f>
        <v>0</v>
      </c>
      <c r="P273" s="1">
        <f>IF(OR($B273&lt;&gt;$B258,$B274&lt;&gt;$B259,$B275&lt;&gt;$B260,$B276&lt;&gt;$B261,$B277&lt;&gt;$B262,$B278&lt;&gt;$B263,$B279&lt;&gt;$B264,$B280&lt;&gt;$B265,$B281&lt;&gt;$B266,$B282&lt;&gt;$B267,$B283&lt;&gt;$B268),IF($B273&lt;&gt;$B258,P258/INDEX($C258:$AJ268,1,MATCH(IF('Data-solution'!$A$3="Maximize",MAX($C269:$AI269),MIN($C269:$AI269)),$C269:$AI269,0)),P258-INDEX($C258:$AJ268,1,MATCH(IF('Data-solution'!$A$3="Maximize",MAX($C269:$AI269),MIN($C269:$AI269)),$C269:$AI269,0))*INDEX(P258:$AJ268,MATCH(MIN($AK258:$AK268),$AK258:$AK268,0),1)/INDEX($C258:$AJ268,MATCH(MIN($AK258:$AK268),$AK258:$AK268,0),MATCH(IF('Data-solution'!$A$3="Maximize",MAX($C269:$AI269),MIN($C269:$AI269)),$C269:$AI269,0))),P258)</f>
        <v>0</v>
      </c>
      <c r="Q273" s="1">
        <f>IF(OR($B273&lt;&gt;$B258,$B274&lt;&gt;$B259,$B275&lt;&gt;$B260,$B276&lt;&gt;$B261,$B277&lt;&gt;$B262,$B278&lt;&gt;$B263,$B279&lt;&gt;$B264,$B280&lt;&gt;$B265,$B281&lt;&gt;$B266,$B282&lt;&gt;$B267,$B283&lt;&gt;$B268),IF($B273&lt;&gt;$B258,Q258/INDEX($C258:$AJ268,1,MATCH(IF('Data-solution'!$A$3="Maximize",MAX($C269:$AI269),MIN($C269:$AI269)),$C269:$AI269,0)),Q258-INDEX($C258:$AJ268,1,MATCH(IF('Data-solution'!$A$3="Maximize",MAX($C269:$AI269),MIN($C269:$AI269)),$C269:$AI269,0))*INDEX(Q258:$AJ268,MATCH(MIN($AK258:$AK268),$AK258:$AK268,0),1)/INDEX($C258:$AJ268,MATCH(MIN($AK258:$AK268),$AK258:$AK268,0),MATCH(IF('Data-solution'!$A$3="Maximize",MAX($C269:$AI269),MIN($C269:$AI269)),$C269:$AI269,0))),Q258)</f>
        <v>-1</v>
      </c>
      <c r="R273" s="1">
        <f>IF(OR($B273&lt;&gt;$B258,$B274&lt;&gt;$B259,$B275&lt;&gt;$B260,$B276&lt;&gt;$B261,$B277&lt;&gt;$B262,$B278&lt;&gt;$B263,$B279&lt;&gt;$B264,$B280&lt;&gt;$B265,$B281&lt;&gt;$B266,$B282&lt;&gt;$B267,$B283&lt;&gt;$B268),IF($B273&lt;&gt;$B258,R258/INDEX($C258:$AJ268,1,MATCH(IF('Data-solution'!$A$3="Maximize",MAX($C269:$AI269),MIN($C269:$AI269)),$C269:$AI269,0)),R258-INDEX($C258:$AJ268,1,MATCH(IF('Data-solution'!$A$3="Maximize",MAX($C269:$AI269),MIN($C269:$AI269)),$C269:$AI269,0))*INDEX(R258:$AJ268,MATCH(MIN($AK258:$AK268),$AK258:$AK268,0),1)/INDEX($C258:$AJ268,MATCH(MIN($AK258:$AK268),$AK258:$AK268,0),MATCH(IF('Data-solution'!$A$3="Maximize",MAX($C269:$AI269),MIN($C269:$AI269)),$C269:$AI269,0))),R258)</f>
        <v>0</v>
      </c>
      <c r="S273" s="1">
        <f>IF(OR($B273&lt;&gt;$B258,$B274&lt;&gt;$B259,$B275&lt;&gt;$B260,$B276&lt;&gt;$B261,$B277&lt;&gt;$B262,$B278&lt;&gt;$B263,$B279&lt;&gt;$B264,$B280&lt;&gt;$B265,$B281&lt;&gt;$B266,$B282&lt;&gt;$B267,$B283&lt;&gt;$B268),IF($B273&lt;&gt;$B258,S258/INDEX($C258:$AJ268,1,MATCH(IF('Data-solution'!$A$3="Maximize",MAX($C269:$AI269),MIN($C269:$AI269)),$C269:$AI269,0)),S258-INDEX($C258:$AJ268,1,MATCH(IF('Data-solution'!$A$3="Maximize",MAX($C269:$AI269),MIN($C269:$AI269)),$C269:$AI269,0))*INDEX(S258:$AJ268,MATCH(MIN($AK258:$AK268),$AK258:$AK268,0),1)/INDEX($C258:$AJ268,MATCH(MIN($AK258:$AK268),$AK258:$AK268,0),MATCH(IF('Data-solution'!$A$3="Maximize",MAX($C269:$AI269),MIN($C269:$AI269)),$C269:$AI269,0))),S258)</f>
        <v>0</v>
      </c>
      <c r="T273" s="1">
        <f>IF(OR($B273&lt;&gt;$B258,$B274&lt;&gt;$B259,$B275&lt;&gt;$B260,$B276&lt;&gt;$B261,$B277&lt;&gt;$B262,$B278&lt;&gt;$B263,$B279&lt;&gt;$B264,$B280&lt;&gt;$B265,$B281&lt;&gt;$B266,$B282&lt;&gt;$B267,$B283&lt;&gt;$B268),IF($B273&lt;&gt;$B258,T258/INDEX($C258:$AJ268,1,MATCH(IF('Data-solution'!$A$3="Maximize",MAX($C269:$AI269),MIN($C269:$AI269)),$C269:$AI269,0)),T258-INDEX($C258:$AJ268,1,MATCH(IF('Data-solution'!$A$3="Maximize",MAX($C269:$AI269),MIN($C269:$AI269)),$C269:$AI269,0))*INDEX(T258:$AJ268,MATCH(MIN($AK258:$AK268),$AK258:$AK268,0),1)/INDEX($C258:$AJ268,MATCH(MIN($AK258:$AK268),$AK258:$AK268,0),MATCH(IF('Data-solution'!$A$3="Maximize",MAX($C269:$AI269),MIN($C269:$AI269)),$C269:$AI269,0))),T258)</f>
        <v>0</v>
      </c>
      <c r="U273" s="1">
        <f>IF(OR($B273&lt;&gt;$B258,$B274&lt;&gt;$B259,$B275&lt;&gt;$B260,$B276&lt;&gt;$B261,$B277&lt;&gt;$B262,$B278&lt;&gt;$B263,$B279&lt;&gt;$B264,$B280&lt;&gt;$B265,$B281&lt;&gt;$B266,$B282&lt;&gt;$B267,$B283&lt;&gt;$B268),IF($B273&lt;&gt;$B258,U258/INDEX($C258:$AJ268,1,MATCH(IF('Data-solution'!$A$3="Maximize",MAX($C269:$AI269),MIN($C269:$AI269)),$C269:$AI269,0)),U258-INDEX($C258:$AJ268,1,MATCH(IF('Data-solution'!$A$3="Maximize",MAX($C269:$AI269),MIN($C269:$AI269)),$C269:$AI269,0))*INDEX(U258:$AJ268,MATCH(MIN($AK258:$AK268),$AK258:$AK268,0),1)/INDEX($C258:$AJ268,MATCH(MIN($AK258:$AK268),$AK258:$AK268,0),MATCH(IF('Data-solution'!$A$3="Maximize",MAX($C269:$AI269),MIN($C269:$AI269)),$C269:$AI269,0))),U258)</f>
        <v>0</v>
      </c>
      <c r="V273" s="1">
        <f>IF(OR($B273&lt;&gt;$B258,$B274&lt;&gt;$B259,$B275&lt;&gt;$B260,$B276&lt;&gt;$B261,$B277&lt;&gt;$B262,$B278&lt;&gt;$B263,$B279&lt;&gt;$B264,$B280&lt;&gt;$B265,$B281&lt;&gt;$B266,$B282&lt;&gt;$B267,$B283&lt;&gt;$B268),IF($B273&lt;&gt;$B258,V258/INDEX($C258:$AJ268,1,MATCH(IF('Data-solution'!$A$3="Maximize",MAX($C269:$AI269),MIN($C269:$AI269)),$C269:$AI269,0)),V258-INDEX($C258:$AJ268,1,MATCH(IF('Data-solution'!$A$3="Maximize",MAX($C269:$AI269),MIN($C269:$AI269)),$C269:$AI269,0))*INDEX(V258:$AJ268,MATCH(MIN($AK258:$AK268),$AK258:$AK268,0),1)/INDEX($C258:$AJ268,MATCH(MIN($AK258:$AK268),$AK258:$AK268,0),MATCH(IF('Data-solution'!$A$3="Maximize",MAX($C269:$AI269),MIN($C269:$AI269)),$C269:$AI269,0))),V258)</f>
        <v>0</v>
      </c>
      <c r="W273" s="1">
        <f>IF(OR($B273&lt;&gt;$B258,$B274&lt;&gt;$B259,$B275&lt;&gt;$B260,$B276&lt;&gt;$B261,$B277&lt;&gt;$B262,$B278&lt;&gt;$B263,$B279&lt;&gt;$B264,$B280&lt;&gt;$B265,$B281&lt;&gt;$B266,$B282&lt;&gt;$B267,$B283&lt;&gt;$B268),IF($B273&lt;&gt;$B258,W258/INDEX($C258:$AJ268,1,MATCH(IF('Data-solution'!$A$3="Maximize",MAX($C269:$AI269),MIN($C269:$AI269)),$C269:$AI269,0)),W258-INDEX($C258:$AJ268,1,MATCH(IF('Data-solution'!$A$3="Maximize",MAX($C269:$AI269),MIN($C269:$AI269)),$C269:$AI269,0))*INDEX(W258:$AJ268,MATCH(MIN($AK258:$AK268),$AK258:$AK268,0),1)/INDEX($C258:$AJ268,MATCH(MIN($AK258:$AK268),$AK258:$AK268,0),MATCH(IF('Data-solution'!$A$3="Maximize",MAX($C269:$AI269),MIN($C269:$AI269)),$C269:$AI269,0))),W258)</f>
        <v>0</v>
      </c>
      <c r="X273" s="1">
        <f>IF(OR($B273&lt;&gt;$B258,$B274&lt;&gt;$B259,$B275&lt;&gt;$B260,$B276&lt;&gt;$B261,$B277&lt;&gt;$B262,$B278&lt;&gt;$B263,$B279&lt;&gt;$B264,$B280&lt;&gt;$B265,$B281&lt;&gt;$B266,$B282&lt;&gt;$B267,$B283&lt;&gt;$B268),IF($B273&lt;&gt;$B258,X258/INDEX($C258:$AJ268,1,MATCH(IF('Data-solution'!$A$3="Maximize",MAX($C269:$AI269),MIN($C269:$AI269)),$C269:$AI269,0)),X258-INDEX($C258:$AJ268,1,MATCH(IF('Data-solution'!$A$3="Maximize",MAX($C269:$AI269),MIN($C269:$AI269)),$C269:$AI269,0))*INDEX(X258:$AJ268,MATCH(MIN($AK258:$AK268),$AK258:$AK268,0),1)/INDEX($C258:$AJ268,MATCH(MIN($AK258:$AK268),$AK258:$AK268,0),MATCH(IF('Data-solution'!$A$3="Maximize",MAX($C269:$AI269),MIN($C269:$AI269)),$C269:$AI269,0))),X258)</f>
        <v>0</v>
      </c>
      <c r="Y273" s="1">
        <f>IF(OR($B273&lt;&gt;$B258,$B274&lt;&gt;$B259,$B275&lt;&gt;$B260,$B276&lt;&gt;$B261,$B277&lt;&gt;$B262,$B278&lt;&gt;$B263,$B279&lt;&gt;$B264,$B280&lt;&gt;$B265,$B281&lt;&gt;$B266,$B282&lt;&gt;$B267,$B283&lt;&gt;$B268),IF($B273&lt;&gt;$B258,Y258/INDEX($C258:$AJ268,1,MATCH(IF('Data-solution'!$A$3="Maximize",MAX($C269:$AI269),MIN($C269:$AI269)),$C269:$AI269,0)),Y258-INDEX($C258:$AJ268,1,MATCH(IF('Data-solution'!$A$3="Maximize",MAX($C269:$AI269),MIN($C269:$AI269)),$C269:$AI269,0))*INDEX(Y258:$AJ268,MATCH(MIN($AK258:$AK268),$AK258:$AK268,0),1)/INDEX($C258:$AJ268,MATCH(MIN($AK258:$AK268),$AK258:$AK268,0),MATCH(IF('Data-solution'!$A$3="Maximize",MAX($C269:$AI269),MIN($C269:$AI269)),$C269:$AI269,0))),Y258)</f>
        <v>1</v>
      </c>
      <c r="Z273" s="1">
        <f>IF(OR($B273&lt;&gt;$B258,$B274&lt;&gt;$B259,$B275&lt;&gt;$B260,$B276&lt;&gt;$B261,$B277&lt;&gt;$B262,$B278&lt;&gt;$B263,$B279&lt;&gt;$B264,$B280&lt;&gt;$B265,$B281&lt;&gt;$B266,$B282&lt;&gt;$B267,$B283&lt;&gt;$B268),IF($B273&lt;&gt;$B258,Z258/INDEX($C258:$AJ268,1,MATCH(IF('Data-solution'!$A$3="Maximize",MAX($C269:$AI269),MIN($C269:$AI269)),$C269:$AI269,0)),Z258-INDEX($C258:$AJ268,1,MATCH(IF('Data-solution'!$A$3="Maximize",MAX($C269:$AI269),MIN($C269:$AI269)),$C269:$AI269,0))*INDEX(Z258:$AJ268,MATCH(MIN($AK258:$AK268),$AK258:$AK268,0),1)/INDEX($C258:$AJ268,MATCH(MIN($AK258:$AK268),$AK258:$AK268,0),MATCH(IF('Data-solution'!$A$3="Maximize",MAX($C269:$AI269),MIN($C269:$AI269)),$C269:$AI269,0))),Z258)</f>
        <v>0</v>
      </c>
      <c r="AA273" s="1">
        <f>IF(OR($B273&lt;&gt;$B258,$B274&lt;&gt;$B259,$B275&lt;&gt;$B260,$B276&lt;&gt;$B261,$B277&lt;&gt;$B262,$B278&lt;&gt;$B263,$B279&lt;&gt;$B264,$B280&lt;&gt;$B265,$B281&lt;&gt;$B266,$B282&lt;&gt;$B267,$B283&lt;&gt;$B268),IF($B273&lt;&gt;$B258,AA258/INDEX($C258:$AJ268,1,MATCH(IF('Data-solution'!$A$3="Maximize",MAX($C269:$AI269),MIN($C269:$AI269)),$C269:$AI269,0)),AA258-INDEX($C258:$AJ268,1,MATCH(IF('Data-solution'!$A$3="Maximize",MAX($C269:$AI269),MIN($C269:$AI269)),$C269:$AI269,0))*INDEX(AA258:$AJ268,MATCH(MIN($AK258:$AK268),$AK258:$AK268,0),1)/INDEX($C258:$AJ268,MATCH(MIN($AK258:$AK268),$AK258:$AK268,0),MATCH(IF('Data-solution'!$A$3="Maximize",MAX($C269:$AI269),MIN($C269:$AI269)),$C269:$AI269,0))),AA258)</f>
        <v>0</v>
      </c>
      <c r="AB273" s="1">
        <f>IF(OR($B273&lt;&gt;$B258,$B274&lt;&gt;$B259,$B275&lt;&gt;$B260,$B276&lt;&gt;$B261,$B277&lt;&gt;$B262,$B278&lt;&gt;$B263,$B279&lt;&gt;$B264,$B280&lt;&gt;$B265,$B281&lt;&gt;$B266,$B282&lt;&gt;$B267,$B283&lt;&gt;$B268),IF($B273&lt;&gt;$B258,AB258/INDEX($C258:$AJ268,1,MATCH(IF('Data-solution'!$A$3="Maximize",MAX($C269:$AI269),MIN($C269:$AI269)),$C269:$AI269,0)),AB258-INDEX($C258:$AJ268,1,MATCH(IF('Data-solution'!$A$3="Maximize",MAX($C269:$AI269),MIN($C269:$AI269)),$C269:$AI269,0))*INDEX(AB258:$AJ268,MATCH(MIN($AK258:$AK268),$AK258:$AK268,0),1)/INDEX($C258:$AJ268,MATCH(MIN($AK258:$AK268),$AK258:$AK268,0),MATCH(IF('Data-solution'!$A$3="Maximize",MAX($C269:$AI269),MIN($C269:$AI269)),$C269:$AI269,0))),AB258)</f>
        <v>-1</v>
      </c>
      <c r="AC273" s="1">
        <f>IF(OR($B273&lt;&gt;$B258,$B274&lt;&gt;$B259,$B275&lt;&gt;$B260,$B276&lt;&gt;$B261,$B277&lt;&gt;$B262,$B278&lt;&gt;$B263,$B279&lt;&gt;$B264,$B280&lt;&gt;$B265,$B281&lt;&gt;$B266,$B282&lt;&gt;$B267,$B283&lt;&gt;$B268),IF($B273&lt;&gt;$B258,AC258/INDEX($C258:$AJ268,1,MATCH(IF('Data-solution'!$A$3="Maximize",MAX($C269:$AI269),MIN($C269:$AI269)),$C269:$AI269,0)),AC258-INDEX($C258:$AJ268,1,MATCH(IF('Data-solution'!$A$3="Maximize",MAX($C269:$AI269),MIN($C269:$AI269)),$C269:$AI269,0))*INDEX(AC258:$AJ268,MATCH(MIN($AK258:$AK268),$AK258:$AK268,0),1)/INDEX($C258:$AJ268,MATCH(MIN($AK258:$AK268),$AK258:$AK268,0),MATCH(IF('Data-solution'!$A$3="Maximize",MAX($C269:$AI269),MIN($C269:$AI269)),$C269:$AI269,0))),AC258)</f>
        <v>0</v>
      </c>
      <c r="AD273" s="1">
        <f>IF(OR($B273&lt;&gt;$B258,$B274&lt;&gt;$B259,$B275&lt;&gt;$B260,$B276&lt;&gt;$B261,$B277&lt;&gt;$B262,$B278&lt;&gt;$B263,$B279&lt;&gt;$B264,$B280&lt;&gt;$B265,$B281&lt;&gt;$B266,$B282&lt;&gt;$B267,$B283&lt;&gt;$B268),IF($B273&lt;&gt;$B258,AD258/INDEX($C258:$AJ268,1,MATCH(IF('Data-solution'!$A$3="Maximize",MAX($C269:$AI269),MIN($C269:$AI269)),$C269:$AI269,0)),AD258-INDEX($C258:$AJ268,1,MATCH(IF('Data-solution'!$A$3="Maximize",MAX($C269:$AI269),MIN($C269:$AI269)),$C269:$AI269,0))*INDEX(AD258:$AJ268,MATCH(MIN($AK258:$AK268),$AK258:$AK268,0),1)/INDEX($C258:$AJ268,MATCH(MIN($AK258:$AK268),$AK258:$AK268,0),MATCH(IF('Data-solution'!$A$3="Maximize",MAX($C269:$AI269),MIN($C269:$AI269)),$C269:$AI269,0))),AD258)</f>
        <v>0</v>
      </c>
      <c r="AE273" s="1">
        <f>IF(OR($B273&lt;&gt;$B258,$B274&lt;&gt;$B259,$B275&lt;&gt;$B260,$B276&lt;&gt;$B261,$B277&lt;&gt;$B262,$B278&lt;&gt;$B263,$B279&lt;&gt;$B264,$B280&lt;&gt;$B265,$B281&lt;&gt;$B266,$B282&lt;&gt;$B267,$B283&lt;&gt;$B268),IF($B273&lt;&gt;$B258,AE258/INDEX($C258:$AJ268,1,MATCH(IF('Data-solution'!$A$3="Maximize",MAX($C269:$AI269),MIN($C269:$AI269)),$C269:$AI269,0)),AE258-INDEX($C258:$AJ268,1,MATCH(IF('Data-solution'!$A$3="Maximize",MAX($C269:$AI269),MIN($C269:$AI269)),$C269:$AI269,0))*INDEX(AE258:$AJ268,MATCH(MIN($AK258:$AK268),$AK258:$AK268,0),1)/INDEX($C258:$AJ268,MATCH(MIN($AK258:$AK268),$AK258:$AK268,0),MATCH(IF('Data-solution'!$A$3="Maximize",MAX($C269:$AI269),MIN($C269:$AI269)),$C269:$AI269,0))),AE258)</f>
        <v>0</v>
      </c>
      <c r="AF273" s="1">
        <f>IF(OR($B273&lt;&gt;$B258,$B274&lt;&gt;$B259,$B275&lt;&gt;$B260,$B276&lt;&gt;$B261,$B277&lt;&gt;$B262,$B278&lt;&gt;$B263,$B279&lt;&gt;$B264,$B280&lt;&gt;$B265,$B281&lt;&gt;$B266,$B282&lt;&gt;$B267,$B283&lt;&gt;$B268),IF($B273&lt;&gt;$B258,AF258/INDEX($C258:$AJ268,1,MATCH(IF('Data-solution'!$A$3="Maximize",MAX($C269:$AI269),MIN($C269:$AI269)),$C269:$AI269,0)),AF258-INDEX($C258:$AJ268,1,MATCH(IF('Data-solution'!$A$3="Maximize",MAX($C269:$AI269),MIN($C269:$AI269)),$C269:$AI269,0))*INDEX(AF258:$AJ268,MATCH(MIN($AK258:$AK268),$AK258:$AK268,0),1)/INDEX($C258:$AJ268,MATCH(MIN($AK258:$AK268),$AK258:$AK268,0),MATCH(IF('Data-solution'!$A$3="Maximize",MAX($C269:$AI269),MIN($C269:$AI269)),$C269:$AI269,0))),AF258)</f>
        <v>0</v>
      </c>
      <c r="AG273" s="1">
        <f>IF(OR($B273&lt;&gt;$B258,$B274&lt;&gt;$B259,$B275&lt;&gt;$B260,$B276&lt;&gt;$B261,$B277&lt;&gt;$B262,$B278&lt;&gt;$B263,$B279&lt;&gt;$B264,$B280&lt;&gt;$B265,$B281&lt;&gt;$B266,$B282&lt;&gt;$B267,$B283&lt;&gt;$B268),IF($B273&lt;&gt;$B258,AG258/INDEX($C258:$AJ268,1,MATCH(IF('Data-solution'!$A$3="Maximize",MAX($C269:$AI269),MIN($C269:$AI269)),$C269:$AI269,0)),AG258-INDEX($C258:$AJ268,1,MATCH(IF('Data-solution'!$A$3="Maximize",MAX($C269:$AI269),MIN($C269:$AI269)),$C269:$AI269,0))*INDEX(AG258:$AJ268,MATCH(MIN($AK258:$AK268),$AK258:$AK268,0),1)/INDEX($C258:$AJ268,MATCH(MIN($AK258:$AK268),$AK258:$AK268,0),MATCH(IF('Data-solution'!$A$3="Maximize",MAX($C269:$AI269),MIN($C269:$AI269)),$C269:$AI269,0))),AG258)</f>
        <v>0</v>
      </c>
      <c r="AH273" s="1">
        <f>IF(OR($B273&lt;&gt;$B258,$B274&lt;&gt;$B259,$B275&lt;&gt;$B260,$B276&lt;&gt;$B261,$B277&lt;&gt;$B262,$B278&lt;&gt;$B263,$B279&lt;&gt;$B264,$B280&lt;&gt;$B265,$B281&lt;&gt;$B266,$B282&lt;&gt;$B267,$B283&lt;&gt;$B268),IF($B273&lt;&gt;$B258,AH258/INDEX($C258:$AJ268,1,MATCH(IF('Data-solution'!$A$3="Maximize",MAX($C269:$AI269),MIN($C269:$AI269)),$C269:$AI269,0)),AH258-INDEX($C258:$AJ268,1,MATCH(IF('Data-solution'!$A$3="Maximize",MAX($C269:$AI269),MIN($C269:$AI269)),$C269:$AI269,0))*INDEX(AH258:$AJ268,MATCH(MIN($AK258:$AK268),$AK258:$AK268,0),1)/INDEX($C258:$AJ268,MATCH(MIN($AK258:$AK268),$AK258:$AK268,0),MATCH(IF('Data-solution'!$A$3="Maximize",MAX($C269:$AI269),MIN($C269:$AI269)),$C269:$AI269,0))),AH258)</f>
        <v>0</v>
      </c>
      <c r="AI273" s="1">
        <f>IF(OR($B273&lt;&gt;$B258,$B274&lt;&gt;$B259,$B275&lt;&gt;$B260,$B276&lt;&gt;$B261,$B277&lt;&gt;$B262,$B278&lt;&gt;$B263,$B279&lt;&gt;$B264,$B280&lt;&gt;$B265,$B281&lt;&gt;$B266,$B282&lt;&gt;$B267,$B283&lt;&gt;$B268),IF($B273&lt;&gt;$B258,AI258/INDEX($C258:$AJ268,1,MATCH(IF('Data-solution'!$A$3="Maximize",MAX($C269:$AI269),MIN($C269:$AI269)),$C269:$AI269,0)),AI258-INDEX($C258:$AJ268,1,MATCH(IF('Data-solution'!$A$3="Maximize",MAX($C269:$AI269),MIN($C269:$AI269)),$C269:$AI269,0))*INDEX(AI258:$AJ268,MATCH(MIN($AK258:$AK268),$AK258:$AK268,0),1)/INDEX($C258:$AJ268,MATCH(MIN($AK258:$AK268),$AK258:$AK268,0),MATCH(IF('Data-solution'!$A$3="Maximize",MAX($C269:$AI269),MIN($C269:$AI269)),$C269:$AI269,0))),AI258)</f>
        <v>0</v>
      </c>
      <c r="AJ273" s="1">
        <f>IF(OR($B273&lt;&gt;$B258,$B274&lt;&gt;$B259,$B275&lt;&gt;$B260,$B276&lt;&gt;$B261,$B277&lt;&gt;$B262,$B278&lt;&gt;$B263,$B279&lt;&gt;$B264,$B280&lt;&gt;$B265,$B281&lt;&gt;$B266,$B282&lt;&gt;$B267,$B283&lt;&gt;$B268),IF($B273&lt;&gt;$B258,AJ258/INDEX($C258:$AJ268,1,MATCH(IF('Data-solution'!$A$3="Maximize",MAX($C269:$AI269),MIN($C269:$AI269)),$C269:$AI269,0)),AJ258-INDEX($C258:$AJ268,1,MATCH(IF('Data-solution'!$A$3="Maximize",MAX($C269:$AI269),MIN($C269:$AI269)),$C269:$AI269,0))*INDEX(AJ258:$AJ268,MATCH(MIN($AK258:$AK268),$AK258:$AK268,0),1)/INDEX($C258:$AJ268,MATCH(MIN($AK258:$AK268),$AK258:$AK268,0),MATCH(IF('Data-solution'!$A$3="Maximize",MAX($C269:$AI269),MIN($C269:$AI269)),$C269:$AI269,0))),AJ258)</f>
        <v>150</v>
      </c>
      <c r="AK273" s="1" t="str">
        <f>IF(INDEX(C273:X273,1,MATCH(IF('Data-solution'!A$3="Maximize",MAX(C284:X284),MIN(C284:X284)),C284:X284,0))&gt;0,AJ273/INDEX(C273:X273,1,MATCH(IF('Data-solution'!A$3="Maximize",MAX(C284:X284),MIN(C284:X284)),C284:X284,0))," ")</f>
        <v xml:space="preserve"> </v>
      </c>
    </row>
    <row r="274" spans="1:37" ht="18" customHeight="1" x14ac:dyDescent="0.2">
      <c r="A274" s="1">
        <f t="shared" ref="A274" si="245">INDEX(C271:AI271,1,MATCH(B274,C272:AI272,0))</f>
        <v>0</v>
      </c>
      <c r="B274" s="2" t="str">
        <f>IF(AND('Data-solution'!A$3="Maximize",COUNTIF(C269:X269,"&gt;"&amp;0)&gt;0,AK259=MIN(AK258:AK268),COUNTIF(B273,INDEX(C257:X257,1,MATCH(MAX(C269:X269),C269:X269,0)))=0),INDEX(C257:X257,1,MATCH(MAX(C269:X269),C269:X269,0)),IF(AND('Data-solution'!A$3="Minimize",COUNTIF(C269:X269,"&lt;"&amp;0)&gt;0,AK259=MIN(AK258:AK268),COUNTIF(B273,INDEX(C257:X257,1,MATCH(MIN(C269:X269),C269:X269,0)))=0),INDEX(C257:X257,1,MATCH(MIN(C269:X269),C269:X269,0)),B259))</f>
        <v>S2</v>
      </c>
      <c r="C274" s="1">
        <f>IF(OR($B273&lt;&gt;$B258,$B274&lt;&gt;$B259,$B275&lt;&gt;$B260,$B276&lt;&gt;$B261,$B277&lt;&gt;$B262,$B278&lt;&gt;$B263,$B279&lt;&gt;$B264,$B280&lt;&gt;$B265,$B281&lt;&gt;$B266,$B282&lt;&gt;$B267,$B283&lt;&gt;$B268),IF($B274&lt;&gt;$B259,C259/INDEX($C258:$AJ268,2,MATCH(IF('Data-solution'!$A$3="Maximize",MAX($C269:$AI269),MIN($C269:$AI269)),$C269:$AI269,0)),C259-INDEX($C258:$AJ268,2,MATCH(IF('Data-solution'!$A$3="Maximize",MAX($C269:$AI269),MIN($C269:$AI269)),$C269:$AI269,0))*INDEX(C258:$AJ268,MATCH(MIN($AK258:$AK268),$AK258:$AK268,0),1)/INDEX($C258:$AJ268,MATCH(MIN($AK258:$AK268),$AK258:$AK268,0),MATCH(IF('Data-solution'!$A$3="Maximize",MAX($C269:$AI269),MIN($C269:$AI269)),$C269:$AI269,0))),C259)</f>
        <v>0</v>
      </c>
      <c r="D274" s="1">
        <f>IF(OR($B273&lt;&gt;$B258,$B274&lt;&gt;$B259,$B275&lt;&gt;$B260,$B276&lt;&gt;$B261,$B277&lt;&gt;$B262,$B278&lt;&gt;$B263,$B279&lt;&gt;$B264,$B280&lt;&gt;$B265,$B281&lt;&gt;$B266,$B282&lt;&gt;$B267,$B283&lt;&gt;$B268),IF($B274&lt;&gt;$B259,D259/INDEX($C258:$AJ268,2,MATCH(IF('Data-solution'!$A$3="Maximize",MAX($C269:$AI269),MIN($C269:$AI269)),$C269:$AI269,0)),D259-INDEX($C258:$AJ268,2,MATCH(IF('Data-solution'!$A$3="Maximize",MAX($C269:$AI269),MIN($C269:$AI269)),$C269:$AI269,0))*INDEX(D258:$AJ268,MATCH(MIN($AK258:$AK268),$AK258:$AK268,0),1)/INDEX($C258:$AJ268,MATCH(MIN($AK258:$AK268),$AK258:$AK268,0),MATCH(IF('Data-solution'!$A$3="Maximize",MAX($C269:$AI269),MIN($C269:$AI269)),$C269:$AI269,0))),D259)</f>
        <v>1.75</v>
      </c>
      <c r="E274" s="1">
        <f>IF(OR($B273&lt;&gt;$B258,$B274&lt;&gt;$B259,$B275&lt;&gt;$B260,$B276&lt;&gt;$B261,$B277&lt;&gt;$B262,$B278&lt;&gt;$B263,$B279&lt;&gt;$B264,$B280&lt;&gt;$B265,$B281&lt;&gt;$B266,$B282&lt;&gt;$B267,$B283&lt;&gt;$B268),IF($B274&lt;&gt;$B259,E259/INDEX($C258:$AJ268,2,MATCH(IF('Data-solution'!$A$3="Maximize",MAX($C269:$AI269),MIN($C269:$AI269)),$C269:$AI269,0)),E259-INDEX($C258:$AJ268,2,MATCH(IF('Data-solution'!$A$3="Maximize",MAX($C269:$AI269),MIN($C269:$AI269)),$C269:$AI269,0))*INDEX(E258:$AJ268,MATCH(MIN($AK258:$AK268),$AK258:$AK268,0),1)/INDEX($C258:$AJ268,MATCH(MIN($AK258:$AK268),$AK258:$AK268,0),MATCH(IF('Data-solution'!$A$3="Maximize",MAX($C269:$AI269),MIN($C269:$AI269)),$C269:$AI269,0))),E259)</f>
        <v>0</v>
      </c>
      <c r="F274" s="1">
        <f>IF(OR($B273&lt;&gt;$B258,$B274&lt;&gt;$B259,$B275&lt;&gt;$B260,$B276&lt;&gt;$B261,$B277&lt;&gt;$B262,$B278&lt;&gt;$B263,$B279&lt;&gt;$B264,$B280&lt;&gt;$B265,$B281&lt;&gt;$B266,$B282&lt;&gt;$B267,$B283&lt;&gt;$B268),IF($B274&lt;&gt;$B259,F259/INDEX($C258:$AJ268,2,MATCH(IF('Data-solution'!$A$3="Maximize",MAX($C269:$AI269),MIN($C269:$AI269)),$C269:$AI269,0)),F259-INDEX($C258:$AJ268,2,MATCH(IF('Data-solution'!$A$3="Maximize",MAX($C269:$AI269),MIN($C269:$AI269)),$C269:$AI269,0))*INDEX(F258:$AJ268,MATCH(MIN($AK258:$AK268),$AK258:$AK268,0),1)/INDEX($C258:$AJ268,MATCH(MIN($AK258:$AK268),$AK258:$AK268,0),MATCH(IF('Data-solution'!$A$3="Maximize",MAX($C269:$AI269),MIN($C269:$AI269)),$C269:$AI269,0))),F259)</f>
        <v>0</v>
      </c>
      <c r="G274" s="1">
        <f>IF(OR($B273&lt;&gt;$B258,$B274&lt;&gt;$B259,$B275&lt;&gt;$B260,$B276&lt;&gt;$B261,$B277&lt;&gt;$B262,$B278&lt;&gt;$B263,$B279&lt;&gt;$B264,$B280&lt;&gt;$B265,$B281&lt;&gt;$B266,$B282&lt;&gt;$B267,$B283&lt;&gt;$B268),IF($B274&lt;&gt;$B259,G259/INDEX($C258:$AJ268,2,MATCH(IF('Data-solution'!$A$3="Maximize",MAX($C269:$AI269),MIN($C269:$AI269)),$C269:$AI269,0)),G259-INDEX($C258:$AJ268,2,MATCH(IF('Data-solution'!$A$3="Maximize",MAX($C269:$AI269),MIN($C269:$AI269)),$C269:$AI269,0))*INDEX(G258:$AJ268,MATCH(MIN($AK258:$AK268),$AK258:$AK268,0),1)/INDEX($C258:$AJ268,MATCH(MIN($AK258:$AK268),$AK258:$AK268,0),MATCH(IF('Data-solution'!$A$3="Maximize",MAX($C269:$AI269),MIN($C269:$AI269)),$C269:$AI269,0))),G259)</f>
        <v>0</v>
      </c>
      <c r="H274" s="1">
        <f>IF(OR($B273&lt;&gt;$B258,$B274&lt;&gt;$B259,$B275&lt;&gt;$B260,$B276&lt;&gt;$B261,$B277&lt;&gt;$B262,$B278&lt;&gt;$B263,$B279&lt;&gt;$B264,$B280&lt;&gt;$B265,$B281&lt;&gt;$B266,$B282&lt;&gt;$B267,$B283&lt;&gt;$B268),IF($B274&lt;&gt;$B259,H259/INDEX($C258:$AJ268,2,MATCH(IF('Data-solution'!$A$3="Maximize",MAX($C269:$AI269),MIN($C269:$AI269)),$C269:$AI269,0)),H259-INDEX($C258:$AJ268,2,MATCH(IF('Data-solution'!$A$3="Maximize",MAX($C269:$AI269),MIN($C269:$AI269)),$C269:$AI269,0))*INDEX(H258:$AJ268,MATCH(MIN($AK258:$AK268),$AK258:$AK268,0),1)/INDEX($C258:$AJ268,MATCH(MIN($AK258:$AK268),$AK258:$AK268,0),MATCH(IF('Data-solution'!$A$3="Maximize",MAX($C269:$AI269),MIN($C269:$AI269)),$C269:$AI269,0))),H259)</f>
        <v>0</v>
      </c>
      <c r="I274" s="1">
        <f>IF(OR($B273&lt;&gt;$B258,$B274&lt;&gt;$B259,$B275&lt;&gt;$B260,$B276&lt;&gt;$B261,$B277&lt;&gt;$B262,$B278&lt;&gt;$B263,$B279&lt;&gt;$B264,$B280&lt;&gt;$B265,$B281&lt;&gt;$B266,$B282&lt;&gt;$B267,$B283&lt;&gt;$B268),IF($B274&lt;&gt;$B259,I259/INDEX($C258:$AJ268,2,MATCH(IF('Data-solution'!$A$3="Maximize",MAX($C269:$AI269),MIN($C269:$AI269)),$C269:$AI269,0)),I259-INDEX($C258:$AJ268,2,MATCH(IF('Data-solution'!$A$3="Maximize",MAX($C269:$AI269),MIN($C269:$AI269)),$C269:$AI269,0))*INDEX(I258:$AJ268,MATCH(MIN($AK258:$AK268),$AK258:$AK268,0),1)/INDEX($C258:$AJ268,MATCH(MIN($AK258:$AK268),$AK258:$AK268,0),MATCH(IF('Data-solution'!$A$3="Maximize",MAX($C269:$AI269),MIN($C269:$AI269)),$C269:$AI269,0))),I259)</f>
        <v>0</v>
      </c>
      <c r="J274" s="1">
        <f>IF(OR($B273&lt;&gt;$B258,$B274&lt;&gt;$B259,$B275&lt;&gt;$B260,$B276&lt;&gt;$B261,$B277&lt;&gt;$B262,$B278&lt;&gt;$B263,$B279&lt;&gt;$B264,$B280&lt;&gt;$B265,$B281&lt;&gt;$B266,$B282&lt;&gt;$B267,$B283&lt;&gt;$B268),IF($B274&lt;&gt;$B259,J259/INDEX($C258:$AJ268,2,MATCH(IF('Data-solution'!$A$3="Maximize",MAX($C269:$AI269),MIN($C269:$AI269)),$C269:$AI269,0)),J259-INDEX($C258:$AJ268,2,MATCH(IF('Data-solution'!$A$3="Maximize",MAX($C269:$AI269),MIN($C269:$AI269)),$C269:$AI269,0))*INDEX(J258:$AJ268,MATCH(MIN($AK258:$AK268),$AK258:$AK268,0),1)/INDEX($C258:$AJ268,MATCH(MIN($AK258:$AK268),$AK258:$AK268,0),MATCH(IF('Data-solution'!$A$3="Maximize",MAX($C269:$AI269),MIN($C269:$AI269)),$C269:$AI269,0))),J259)</f>
        <v>0</v>
      </c>
      <c r="K274" s="1">
        <f>IF(OR($B273&lt;&gt;$B258,$B274&lt;&gt;$B259,$B275&lt;&gt;$B260,$B276&lt;&gt;$B261,$B277&lt;&gt;$B262,$B278&lt;&gt;$B263,$B279&lt;&gt;$B264,$B280&lt;&gt;$B265,$B281&lt;&gt;$B266,$B282&lt;&gt;$B267,$B283&lt;&gt;$B268),IF($B274&lt;&gt;$B259,K259/INDEX($C258:$AJ268,2,MATCH(IF('Data-solution'!$A$3="Maximize",MAX($C269:$AI269),MIN($C269:$AI269)),$C269:$AI269,0)),K259-INDEX($C258:$AJ268,2,MATCH(IF('Data-solution'!$A$3="Maximize",MAX($C269:$AI269),MIN($C269:$AI269)),$C269:$AI269,0))*INDEX(K258:$AJ268,MATCH(MIN($AK258:$AK268),$AK258:$AK268,0),1)/INDEX($C258:$AJ268,MATCH(MIN($AK258:$AK268),$AK258:$AK268,0),MATCH(IF('Data-solution'!$A$3="Maximize",MAX($C269:$AI269),MIN($C269:$AI269)),$C269:$AI269,0))),K259)</f>
        <v>0</v>
      </c>
      <c r="L274" s="1">
        <f>IF(OR($B273&lt;&gt;$B258,$B274&lt;&gt;$B259,$B275&lt;&gt;$B260,$B276&lt;&gt;$B261,$B277&lt;&gt;$B262,$B278&lt;&gt;$B263,$B279&lt;&gt;$B264,$B280&lt;&gt;$B265,$B281&lt;&gt;$B266,$B282&lt;&gt;$B267,$B283&lt;&gt;$B268),IF($B274&lt;&gt;$B259,L259/INDEX($C258:$AJ268,2,MATCH(IF('Data-solution'!$A$3="Maximize",MAX($C269:$AI269),MIN($C269:$AI269)),$C269:$AI269,0)),L259-INDEX($C258:$AJ268,2,MATCH(IF('Data-solution'!$A$3="Maximize",MAX($C269:$AI269),MIN($C269:$AI269)),$C269:$AI269,0))*INDEX(L258:$AJ268,MATCH(MIN($AK258:$AK268),$AK258:$AK268,0),1)/INDEX($C258:$AJ268,MATCH(MIN($AK258:$AK268),$AK258:$AK268,0),MATCH(IF('Data-solution'!$A$3="Maximize",MAX($C269:$AI269),MIN($C269:$AI269)),$C269:$AI269,0))),L259)</f>
        <v>0</v>
      </c>
      <c r="M274" s="1">
        <f>IF(OR($B273&lt;&gt;$B258,$B274&lt;&gt;$B259,$B275&lt;&gt;$B260,$B276&lt;&gt;$B261,$B277&lt;&gt;$B262,$B278&lt;&gt;$B263,$B279&lt;&gt;$B264,$B280&lt;&gt;$B265,$B281&lt;&gt;$B266,$B282&lt;&gt;$B267,$B283&lt;&gt;$B268),IF($B274&lt;&gt;$B259,M259/INDEX($C258:$AJ268,2,MATCH(IF('Data-solution'!$A$3="Maximize",MAX($C269:$AI269),MIN($C269:$AI269)),$C269:$AI269,0)),M259-INDEX($C258:$AJ268,2,MATCH(IF('Data-solution'!$A$3="Maximize",MAX($C269:$AI269),MIN($C269:$AI269)),$C269:$AI269,0))*INDEX(M258:$AJ268,MATCH(MIN($AK258:$AK268),$AK258:$AK268,0),1)/INDEX($C258:$AJ268,MATCH(MIN($AK258:$AK268),$AK258:$AK268,0),MATCH(IF('Data-solution'!$A$3="Maximize",MAX($C269:$AI269),MIN($C269:$AI269)),$C269:$AI269,0))),M259)</f>
        <v>0</v>
      </c>
      <c r="N274" s="1">
        <f>IF(OR($B273&lt;&gt;$B258,$B274&lt;&gt;$B259,$B275&lt;&gt;$B260,$B276&lt;&gt;$B261,$B277&lt;&gt;$B262,$B278&lt;&gt;$B263,$B279&lt;&gt;$B264,$B280&lt;&gt;$B265,$B281&lt;&gt;$B266,$B282&lt;&gt;$B267,$B283&lt;&gt;$B268),IF($B274&lt;&gt;$B259,N259/INDEX($C258:$AJ268,2,MATCH(IF('Data-solution'!$A$3="Maximize",MAX($C269:$AI269),MIN($C269:$AI269)),$C269:$AI269,0)),N259-INDEX($C258:$AJ268,2,MATCH(IF('Data-solution'!$A$3="Maximize",MAX($C269:$AI269),MIN($C269:$AI269)),$C269:$AI269,0))*INDEX(N258:$AJ268,MATCH(MIN($AK258:$AK268),$AK258:$AK268,0),1)/INDEX($C258:$AJ268,MATCH(MIN($AK258:$AK268),$AK258:$AK268,0),MATCH(IF('Data-solution'!$A$3="Maximize",MAX($C269:$AI269),MIN($C269:$AI269)),$C269:$AI269,0))),N259)</f>
        <v>0</v>
      </c>
      <c r="O274" s="1">
        <f>IF(OR($B273&lt;&gt;$B258,$B274&lt;&gt;$B259,$B275&lt;&gt;$B260,$B276&lt;&gt;$B261,$B277&lt;&gt;$B262,$B278&lt;&gt;$B263,$B279&lt;&gt;$B264,$B280&lt;&gt;$B265,$B281&lt;&gt;$B266,$B282&lt;&gt;$B267,$B283&lt;&gt;$B268),IF($B274&lt;&gt;$B259,O259/INDEX($C258:$AJ268,2,MATCH(IF('Data-solution'!$A$3="Maximize",MAX($C269:$AI269),MIN($C269:$AI269)),$C269:$AI269,0)),O259-INDEX($C258:$AJ268,2,MATCH(IF('Data-solution'!$A$3="Maximize",MAX($C269:$AI269),MIN($C269:$AI269)),$C269:$AI269,0))*INDEX(O258:$AJ268,MATCH(MIN($AK258:$AK268),$AK258:$AK268,0),1)/INDEX($C258:$AJ268,MATCH(MIN($AK258:$AK268),$AK258:$AK268,0),MATCH(IF('Data-solution'!$A$3="Maximize",MAX($C269:$AI269),MIN($C269:$AI269)),$C269:$AI269,0))),O259)</f>
        <v>1</v>
      </c>
      <c r="P274" s="1">
        <f>IF(OR($B273&lt;&gt;$B258,$B274&lt;&gt;$B259,$B275&lt;&gt;$B260,$B276&lt;&gt;$B261,$B277&lt;&gt;$B262,$B278&lt;&gt;$B263,$B279&lt;&gt;$B264,$B280&lt;&gt;$B265,$B281&lt;&gt;$B266,$B282&lt;&gt;$B267,$B283&lt;&gt;$B268),IF($B274&lt;&gt;$B259,P259/INDEX($C258:$AJ268,2,MATCH(IF('Data-solution'!$A$3="Maximize",MAX($C269:$AI269),MIN($C269:$AI269)),$C269:$AI269,0)),P259-INDEX($C258:$AJ268,2,MATCH(IF('Data-solution'!$A$3="Maximize",MAX($C269:$AI269),MIN($C269:$AI269)),$C269:$AI269,0))*INDEX(P258:$AJ268,MATCH(MIN($AK258:$AK268),$AK258:$AK268,0),1)/INDEX($C258:$AJ268,MATCH(MIN($AK258:$AK268),$AK258:$AK268,0),MATCH(IF('Data-solution'!$A$3="Maximize",MAX($C269:$AI269),MIN($C269:$AI269)),$C269:$AI269,0))),P259)</f>
        <v>-0.25</v>
      </c>
      <c r="Q274" s="1">
        <f>IF(OR($B273&lt;&gt;$B258,$B274&lt;&gt;$B259,$B275&lt;&gt;$B260,$B276&lt;&gt;$B261,$B277&lt;&gt;$B262,$B278&lt;&gt;$B263,$B279&lt;&gt;$B264,$B280&lt;&gt;$B265,$B281&lt;&gt;$B266,$B282&lt;&gt;$B267,$B283&lt;&gt;$B268),IF($B274&lt;&gt;$B259,Q259/INDEX($C258:$AJ268,2,MATCH(IF('Data-solution'!$A$3="Maximize",MAX($C269:$AI269),MIN($C269:$AI269)),$C269:$AI269,0)),Q259-INDEX($C258:$AJ268,2,MATCH(IF('Data-solution'!$A$3="Maximize",MAX($C269:$AI269),MIN($C269:$AI269)),$C269:$AI269,0))*INDEX(Q258:$AJ268,MATCH(MIN($AK258:$AK268),$AK258:$AK268,0),1)/INDEX($C258:$AJ268,MATCH(MIN($AK258:$AK268),$AK258:$AK268,0),MATCH(IF('Data-solution'!$A$3="Maximize",MAX($C269:$AI269),MIN($C269:$AI269)),$C269:$AI269,0))),Q259)</f>
        <v>-0.5</v>
      </c>
      <c r="R274" s="1">
        <f>IF(OR($B273&lt;&gt;$B258,$B274&lt;&gt;$B259,$B275&lt;&gt;$B260,$B276&lt;&gt;$B261,$B277&lt;&gt;$B262,$B278&lt;&gt;$B263,$B279&lt;&gt;$B264,$B280&lt;&gt;$B265,$B281&lt;&gt;$B266,$B282&lt;&gt;$B267,$B283&lt;&gt;$B268),IF($B274&lt;&gt;$B259,R259/INDEX($C258:$AJ268,2,MATCH(IF('Data-solution'!$A$3="Maximize",MAX($C269:$AI269),MIN($C269:$AI269)),$C269:$AI269,0)),R259-INDEX($C258:$AJ268,2,MATCH(IF('Data-solution'!$A$3="Maximize",MAX($C269:$AI269),MIN($C269:$AI269)),$C269:$AI269,0))*INDEX(R258:$AJ268,MATCH(MIN($AK258:$AK268),$AK258:$AK268,0),1)/INDEX($C258:$AJ268,MATCH(MIN($AK258:$AK268),$AK258:$AK268,0),MATCH(IF('Data-solution'!$A$3="Maximize",MAX($C269:$AI269),MIN($C269:$AI269)),$C269:$AI269,0))),R259)</f>
        <v>0</v>
      </c>
      <c r="S274" s="1">
        <f>IF(OR($B273&lt;&gt;$B258,$B274&lt;&gt;$B259,$B275&lt;&gt;$B260,$B276&lt;&gt;$B261,$B277&lt;&gt;$B262,$B278&lt;&gt;$B263,$B279&lt;&gt;$B264,$B280&lt;&gt;$B265,$B281&lt;&gt;$B266,$B282&lt;&gt;$B267,$B283&lt;&gt;$B268),IF($B274&lt;&gt;$B259,S259/INDEX($C258:$AJ268,2,MATCH(IF('Data-solution'!$A$3="Maximize",MAX($C269:$AI269),MIN($C269:$AI269)),$C269:$AI269,0)),S259-INDEX($C258:$AJ268,2,MATCH(IF('Data-solution'!$A$3="Maximize",MAX($C269:$AI269),MIN($C269:$AI269)),$C269:$AI269,0))*INDEX(S258:$AJ268,MATCH(MIN($AK258:$AK268),$AK258:$AK268,0),1)/INDEX($C258:$AJ268,MATCH(MIN($AK258:$AK268),$AK258:$AK268,0),MATCH(IF('Data-solution'!$A$3="Maximize",MAX($C269:$AI269),MIN($C269:$AI269)),$C269:$AI269,0))),S259)</f>
        <v>0</v>
      </c>
      <c r="T274" s="1">
        <f>IF(OR($B273&lt;&gt;$B258,$B274&lt;&gt;$B259,$B275&lt;&gt;$B260,$B276&lt;&gt;$B261,$B277&lt;&gt;$B262,$B278&lt;&gt;$B263,$B279&lt;&gt;$B264,$B280&lt;&gt;$B265,$B281&lt;&gt;$B266,$B282&lt;&gt;$B267,$B283&lt;&gt;$B268),IF($B274&lt;&gt;$B259,T259/INDEX($C258:$AJ268,2,MATCH(IF('Data-solution'!$A$3="Maximize",MAX($C269:$AI269),MIN($C269:$AI269)),$C269:$AI269,0)),T259-INDEX($C258:$AJ268,2,MATCH(IF('Data-solution'!$A$3="Maximize",MAX($C269:$AI269),MIN($C269:$AI269)),$C269:$AI269,0))*INDEX(T258:$AJ268,MATCH(MIN($AK258:$AK268),$AK258:$AK268,0),1)/INDEX($C258:$AJ268,MATCH(MIN($AK258:$AK268),$AK258:$AK268,0),MATCH(IF('Data-solution'!$A$3="Maximize",MAX($C269:$AI269),MIN($C269:$AI269)),$C269:$AI269,0))),T259)</f>
        <v>0</v>
      </c>
      <c r="U274" s="1">
        <f>IF(OR($B273&lt;&gt;$B258,$B274&lt;&gt;$B259,$B275&lt;&gt;$B260,$B276&lt;&gt;$B261,$B277&lt;&gt;$B262,$B278&lt;&gt;$B263,$B279&lt;&gt;$B264,$B280&lt;&gt;$B265,$B281&lt;&gt;$B266,$B282&lt;&gt;$B267,$B283&lt;&gt;$B268),IF($B274&lt;&gt;$B259,U259/INDEX($C258:$AJ268,2,MATCH(IF('Data-solution'!$A$3="Maximize",MAX($C269:$AI269),MIN($C269:$AI269)),$C269:$AI269,0)),U259-INDEX($C258:$AJ268,2,MATCH(IF('Data-solution'!$A$3="Maximize",MAX($C269:$AI269),MIN($C269:$AI269)),$C269:$AI269,0))*INDEX(U258:$AJ268,MATCH(MIN($AK258:$AK268),$AK258:$AK268,0),1)/INDEX($C258:$AJ268,MATCH(MIN($AK258:$AK268),$AK258:$AK268,0),MATCH(IF('Data-solution'!$A$3="Maximize",MAX($C269:$AI269),MIN($C269:$AI269)),$C269:$AI269,0))),U259)</f>
        <v>0</v>
      </c>
      <c r="V274" s="1">
        <f>IF(OR($B273&lt;&gt;$B258,$B274&lt;&gt;$B259,$B275&lt;&gt;$B260,$B276&lt;&gt;$B261,$B277&lt;&gt;$B262,$B278&lt;&gt;$B263,$B279&lt;&gt;$B264,$B280&lt;&gt;$B265,$B281&lt;&gt;$B266,$B282&lt;&gt;$B267,$B283&lt;&gt;$B268),IF($B274&lt;&gt;$B259,V259/INDEX($C258:$AJ268,2,MATCH(IF('Data-solution'!$A$3="Maximize",MAX($C269:$AI269),MIN($C269:$AI269)),$C269:$AI269,0)),V259-INDEX($C258:$AJ268,2,MATCH(IF('Data-solution'!$A$3="Maximize",MAX($C269:$AI269),MIN($C269:$AI269)),$C269:$AI269,0))*INDEX(V258:$AJ268,MATCH(MIN($AK258:$AK268),$AK258:$AK268,0),1)/INDEX($C258:$AJ268,MATCH(MIN($AK258:$AK268),$AK258:$AK268,0),MATCH(IF('Data-solution'!$A$3="Maximize",MAX($C269:$AI269),MIN($C269:$AI269)),$C269:$AI269,0))),V259)</f>
        <v>0</v>
      </c>
      <c r="W274" s="1">
        <f>IF(OR($B273&lt;&gt;$B258,$B274&lt;&gt;$B259,$B275&lt;&gt;$B260,$B276&lt;&gt;$B261,$B277&lt;&gt;$B262,$B278&lt;&gt;$B263,$B279&lt;&gt;$B264,$B280&lt;&gt;$B265,$B281&lt;&gt;$B266,$B282&lt;&gt;$B267,$B283&lt;&gt;$B268),IF($B274&lt;&gt;$B259,W259/INDEX($C258:$AJ268,2,MATCH(IF('Data-solution'!$A$3="Maximize",MAX($C269:$AI269),MIN($C269:$AI269)),$C269:$AI269,0)),W259-INDEX($C258:$AJ268,2,MATCH(IF('Data-solution'!$A$3="Maximize",MAX($C269:$AI269),MIN($C269:$AI269)),$C269:$AI269,0))*INDEX(W258:$AJ268,MATCH(MIN($AK258:$AK268),$AK258:$AK268,0),1)/INDEX($C258:$AJ268,MATCH(MIN($AK258:$AK268),$AK258:$AK268,0),MATCH(IF('Data-solution'!$A$3="Maximize",MAX($C269:$AI269),MIN($C269:$AI269)),$C269:$AI269,0))),W259)</f>
        <v>0</v>
      </c>
      <c r="X274" s="1">
        <f>IF(OR($B273&lt;&gt;$B258,$B274&lt;&gt;$B259,$B275&lt;&gt;$B260,$B276&lt;&gt;$B261,$B277&lt;&gt;$B262,$B278&lt;&gt;$B263,$B279&lt;&gt;$B264,$B280&lt;&gt;$B265,$B281&lt;&gt;$B266,$B282&lt;&gt;$B267,$B283&lt;&gt;$B268),IF($B274&lt;&gt;$B259,X259/INDEX($C258:$AJ268,2,MATCH(IF('Data-solution'!$A$3="Maximize",MAX($C269:$AI269),MIN($C269:$AI269)),$C269:$AI269,0)),X259-INDEX($C258:$AJ268,2,MATCH(IF('Data-solution'!$A$3="Maximize",MAX($C269:$AI269),MIN($C269:$AI269)),$C269:$AI269,0))*INDEX(X258:$AJ268,MATCH(MIN($AK258:$AK268),$AK258:$AK268,0),1)/INDEX($C258:$AJ268,MATCH(MIN($AK258:$AK268),$AK258:$AK268,0),MATCH(IF('Data-solution'!$A$3="Maximize",MAX($C269:$AI269),MIN($C269:$AI269)),$C269:$AI269,0))),X259)</f>
        <v>0</v>
      </c>
      <c r="Y274" s="1">
        <f>IF(OR($B273&lt;&gt;$B258,$B274&lt;&gt;$B259,$B275&lt;&gt;$B260,$B276&lt;&gt;$B261,$B277&lt;&gt;$B262,$B278&lt;&gt;$B263,$B279&lt;&gt;$B264,$B280&lt;&gt;$B265,$B281&lt;&gt;$B266,$B282&lt;&gt;$B267,$B283&lt;&gt;$B268),IF($B274&lt;&gt;$B259,Y259/INDEX($C258:$AJ268,2,MATCH(IF('Data-solution'!$A$3="Maximize",MAX($C269:$AI269),MIN($C269:$AI269)),$C269:$AI269,0)),Y259-INDEX($C258:$AJ268,2,MATCH(IF('Data-solution'!$A$3="Maximize",MAX($C269:$AI269),MIN($C269:$AI269)),$C269:$AI269,0))*INDEX(Y258:$AJ268,MATCH(MIN($AK258:$AK268),$AK258:$AK268,0),1)/INDEX($C258:$AJ268,MATCH(MIN($AK258:$AK268),$AK258:$AK268,0),MATCH(IF('Data-solution'!$A$3="Maximize",MAX($C269:$AI269),MIN($C269:$AI269)),$C269:$AI269,0))),Y259)</f>
        <v>0</v>
      </c>
      <c r="Z274" s="1">
        <f>IF(OR($B273&lt;&gt;$B258,$B274&lt;&gt;$B259,$B275&lt;&gt;$B260,$B276&lt;&gt;$B261,$B277&lt;&gt;$B262,$B278&lt;&gt;$B263,$B279&lt;&gt;$B264,$B280&lt;&gt;$B265,$B281&lt;&gt;$B266,$B282&lt;&gt;$B267,$B283&lt;&gt;$B268),IF($B274&lt;&gt;$B259,Z259/INDEX($C258:$AJ268,2,MATCH(IF('Data-solution'!$A$3="Maximize",MAX($C269:$AI269),MIN($C269:$AI269)),$C269:$AI269,0)),Z259-INDEX($C258:$AJ268,2,MATCH(IF('Data-solution'!$A$3="Maximize",MAX($C269:$AI269),MIN($C269:$AI269)),$C269:$AI269,0))*INDEX(Z258:$AJ268,MATCH(MIN($AK258:$AK268),$AK258:$AK268,0),1)/INDEX($C258:$AJ268,MATCH(MIN($AK258:$AK268),$AK258:$AK268,0),MATCH(IF('Data-solution'!$A$3="Maximize",MAX($C269:$AI269),MIN($C269:$AI269)),$C269:$AI269,0))),Z259)</f>
        <v>1</v>
      </c>
      <c r="AA274" s="1">
        <f>IF(OR($B273&lt;&gt;$B258,$B274&lt;&gt;$B259,$B275&lt;&gt;$B260,$B276&lt;&gt;$B261,$B277&lt;&gt;$B262,$B278&lt;&gt;$B263,$B279&lt;&gt;$B264,$B280&lt;&gt;$B265,$B281&lt;&gt;$B266,$B282&lt;&gt;$B267,$B283&lt;&gt;$B268),IF($B274&lt;&gt;$B259,AA259/INDEX($C258:$AJ268,2,MATCH(IF('Data-solution'!$A$3="Maximize",MAX($C269:$AI269),MIN($C269:$AI269)),$C269:$AI269,0)),AA259-INDEX($C258:$AJ268,2,MATCH(IF('Data-solution'!$A$3="Maximize",MAX($C269:$AI269),MIN($C269:$AI269)),$C269:$AI269,0))*INDEX(AA258:$AJ268,MATCH(MIN($AK258:$AK268),$AK258:$AK268,0),1)/INDEX($C258:$AJ268,MATCH(MIN($AK258:$AK268),$AK258:$AK268,0),MATCH(IF('Data-solution'!$A$3="Maximize",MAX($C269:$AI269),MIN($C269:$AI269)),$C269:$AI269,0))),AA259)</f>
        <v>-0.25</v>
      </c>
      <c r="AB274" s="1">
        <f>IF(OR($B273&lt;&gt;$B258,$B274&lt;&gt;$B259,$B275&lt;&gt;$B260,$B276&lt;&gt;$B261,$B277&lt;&gt;$B262,$B278&lt;&gt;$B263,$B279&lt;&gt;$B264,$B280&lt;&gt;$B265,$B281&lt;&gt;$B266,$B282&lt;&gt;$B267,$B283&lt;&gt;$B268),IF($B274&lt;&gt;$B259,AB259/INDEX($C258:$AJ268,2,MATCH(IF('Data-solution'!$A$3="Maximize",MAX($C269:$AI269),MIN($C269:$AI269)),$C269:$AI269,0)),AB259-INDEX($C258:$AJ268,2,MATCH(IF('Data-solution'!$A$3="Maximize",MAX($C269:$AI269),MIN($C269:$AI269)),$C269:$AI269,0))*INDEX(AB258:$AJ268,MATCH(MIN($AK258:$AK268),$AK258:$AK268,0),1)/INDEX($C258:$AJ268,MATCH(MIN($AK258:$AK268),$AK258:$AK268,0),MATCH(IF('Data-solution'!$A$3="Maximize",MAX($C269:$AI269),MIN($C269:$AI269)),$C269:$AI269,0))),AB259)</f>
        <v>-0.5</v>
      </c>
      <c r="AC274" s="1">
        <f>IF(OR($B273&lt;&gt;$B258,$B274&lt;&gt;$B259,$B275&lt;&gt;$B260,$B276&lt;&gt;$B261,$B277&lt;&gt;$B262,$B278&lt;&gt;$B263,$B279&lt;&gt;$B264,$B280&lt;&gt;$B265,$B281&lt;&gt;$B266,$B282&lt;&gt;$B267,$B283&lt;&gt;$B268),IF($B274&lt;&gt;$B259,AC259/INDEX($C258:$AJ268,2,MATCH(IF('Data-solution'!$A$3="Maximize",MAX($C269:$AI269),MIN($C269:$AI269)),$C269:$AI269,0)),AC259-INDEX($C258:$AJ268,2,MATCH(IF('Data-solution'!$A$3="Maximize",MAX($C269:$AI269),MIN($C269:$AI269)),$C269:$AI269,0))*INDEX(AC258:$AJ268,MATCH(MIN($AK258:$AK268),$AK258:$AK268,0),1)/INDEX($C258:$AJ268,MATCH(MIN($AK258:$AK268),$AK258:$AK268,0),MATCH(IF('Data-solution'!$A$3="Maximize",MAX($C269:$AI269),MIN($C269:$AI269)),$C269:$AI269,0))),AC259)</f>
        <v>0</v>
      </c>
      <c r="AD274" s="1">
        <f>IF(OR($B273&lt;&gt;$B258,$B274&lt;&gt;$B259,$B275&lt;&gt;$B260,$B276&lt;&gt;$B261,$B277&lt;&gt;$B262,$B278&lt;&gt;$B263,$B279&lt;&gt;$B264,$B280&lt;&gt;$B265,$B281&lt;&gt;$B266,$B282&lt;&gt;$B267,$B283&lt;&gt;$B268),IF($B274&lt;&gt;$B259,AD259/INDEX($C258:$AJ268,2,MATCH(IF('Data-solution'!$A$3="Maximize",MAX($C269:$AI269),MIN($C269:$AI269)),$C269:$AI269,0)),AD259-INDEX($C258:$AJ268,2,MATCH(IF('Data-solution'!$A$3="Maximize",MAX($C269:$AI269),MIN($C269:$AI269)),$C269:$AI269,0))*INDEX(AD258:$AJ268,MATCH(MIN($AK258:$AK268),$AK258:$AK268,0),1)/INDEX($C258:$AJ268,MATCH(MIN($AK258:$AK268),$AK258:$AK268,0),MATCH(IF('Data-solution'!$A$3="Maximize",MAX($C269:$AI269),MIN($C269:$AI269)),$C269:$AI269,0))),AD259)</f>
        <v>0</v>
      </c>
      <c r="AE274" s="1">
        <f>IF(OR($B273&lt;&gt;$B258,$B274&lt;&gt;$B259,$B275&lt;&gt;$B260,$B276&lt;&gt;$B261,$B277&lt;&gt;$B262,$B278&lt;&gt;$B263,$B279&lt;&gt;$B264,$B280&lt;&gt;$B265,$B281&lt;&gt;$B266,$B282&lt;&gt;$B267,$B283&lt;&gt;$B268),IF($B274&lt;&gt;$B259,AE259/INDEX($C258:$AJ268,2,MATCH(IF('Data-solution'!$A$3="Maximize",MAX($C269:$AI269),MIN($C269:$AI269)),$C269:$AI269,0)),AE259-INDEX($C258:$AJ268,2,MATCH(IF('Data-solution'!$A$3="Maximize",MAX($C269:$AI269),MIN($C269:$AI269)),$C269:$AI269,0))*INDEX(AE258:$AJ268,MATCH(MIN($AK258:$AK268),$AK258:$AK268,0),1)/INDEX($C258:$AJ268,MATCH(MIN($AK258:$AK268),$AK258:$AK268,0),MATCH(IF('Data-solution'!$A$3="Maximize",MAX($C269:$AI269),MIN($C269:$AI269)),$C269:$AI269,0))),AE259)</f>
        <v>0</v>
      </c>
      <c r="AF274" s="1">
        <f>IF(OR($B273&lt;&gt;$B258,$B274&lt;&gt;$B259,$B275&lt;&gt;$B260,$B276&lt;&gt;$B261,$B277&lt;&gt;$B262,$B278&lt;&gt;$B263,$B279&lt;&gt;$B264,$B280&lt;&gt;$B265,$B281&lt;&gt;$B266,$B282&lt;&gt;$B267,$B283&lt;&gt;$B268),IF($B274&lt;&gt;$B259,AF259/INDEX($C258:$AJ268,2,MATCH(IF('Data-solution'!$A$3="Maximize",MAX($C269:$AI269),MIN($C269:$AI269)),$C269:$AI269,0)),AF259-INDEX($C258:$AJ268,2,MATCH(IF('Data-solution'!$A$3="Maximize",MAX($C269:$AI269),MIN($C269:$AI269)),$C269:$AI269,0))*INDEX(AF258:$AJ268,MATCH(MIN($AK258:$AK268),$AK258:$AK268,0),1)/INDEX($C258:$AJ268,MATCH(MIN($AK258:$AK268),$AK258:$AK268,0),MATCH(IF('Data-solution'!$A$3="Maximize",MAX($C269:$AI269),MIN($C269:$AI269)),$C269:$AI269,0))),AF259)</f>
        <v>0</v>
      </c>
      <c r="AG274" s="1">
        <f>IF(OR($B273&lt;&gt;$B258,$B274&lt;&gt;$B259,$B275&lt;&gt;$B260,$B276&lt;&gt;$B261,$B277&lt;&gt;$B262,$B278&lt;&gt;$B263,$B279&lt;&gt;$B264,$B280&lt;&gt;$B265,$B281&lt;&gt;$B266,$B282&lt;&gt;$B267,$B283&lt;&gt;$B268),IF($B274&lt;&gt;$B259,AG259/INDEX($C258:$AJ268,2,MATCH(IF('Data-solution'!$A$3="Maximize",MAX($C269:$AI269),MIN($C269:$AI269)),$C269:$AI269,0)),AG259-INDEX($C258:$AJ268,2,MATCH(IF('Data-solution'!$A$3="Maximize",MAX($C269:$AI269),MIN($C269:$AI269)),$C269:$AI269,0))*INDEX(AG258:$AJ268,MATCH(MIN($AK258:$AK268),$AK258:$AK268,0),1)/INDEX($C258:$AJ268,MATCH(MIN($AK258:$AK268),$AK258:$AK268,0),MATCH(IF('Data-solution'!$A$3="Maximize",MAX($C269:$AI269),MIN($C269:$AI269)),$C269:$AI269,0))),AG259)</f>
        <v>0</v>
      </c>
      <c r="AH274" s="1">
        <f>IF(OR($B273&lt;&gt;$B258,$B274&lt;&gt;$B259,$B275&lt;&gt;$B260,$B276&lt;&gt;$B261,$B277&lt;&gt;$B262,$B278&lt;&gt;$B263,$B279&lt;&gt;$B264,$B280&lt;&gt;$B265,$B281&lt;&gt;$B266,$B282&lt;&gt;$B267,$B283&lt;&gt;$B268),IF($B274&lt;&gt;$B259,AH259/INDEX($C258:$AJ268,2,MATCH(IF('Data-solution'!$A$3="Maximize",MAX($C269:$AI269),MIN($C269:$AI269)),$C269:$AI269,0)),AH259-INDEX($C258:$AJ268,2,MATCH(IF('Data-solution'!$A$3="Maximize",MAX($C269:$AI269),MIN($C269:$AI269)),$C269:$AI269,0))*INDEX(AH258:$AJ268,MATCH(MIN($AK258:$AK268),$AK258:$AK268,0),1)/INDEX($C258:$AJ268,MATCH(MIN($AK258:$AK268),$AK258:$AK268,0),MATCH(IF('Data-solution'!$A$3="Maximize",MAX($C269:$AI269),MIN($C269:$AI269)),$C269:$AI269,0))),AH259)</f>
        <v>0</v>
      </c>
      <c r="AI274" s="1">
        <f>IF(OR($B273&lt;&gt;$B258,$B274&lt;&gt;$B259,$B275&lt;&gt;$B260,$B276&lt;&gt;$B261,$B277&lt;&gt;$B262,$B278&lt;&gt;$B263,$B279&lt;&gt;$B264,$B280&lt;&gt;$B265,$B281&lt;&gt;$B266,$B282&lt;&gt;$B267,$B283&lt;&gt;$B268),IF($B274&lt;&gt;$B259,AI259/INDEX($C258:$AJ268,2,MATCH(IF('Data-solution'!$A$3="Maximize",MAX($C269:$AI269),MIN($C269:$AI269)),$C269:$AI269,0)),AI259-INDEX($C258:$AJ268,2,MATCH(IF('Data-solution'!$A$3="Maximize",MAX($C269:$AI269),MIN($C269:$AI269)),$C269:$AI269,0))*INDEX(AI258:$AJ268,MATCH(MIN($AK258:$AK268),$AK258:$AK268,0),1)/INDEX($C258:$AJ268,MATCH(MIN($AK258:$AK268),$AK258:$AK268,0),MATCH(IF('Data-solution'!$A$3="Maximize",MAX($C269:$AI269),MIN($C269:$AI269)),$C269:$AI269,0))),AI259)</f>
        <v>0</v>
      </c>
      <c r="AJ274" s="1">
        <f>IF(OR($B273&lt;&gt;$B258,$B274&lt;&gt;$B259,$B275&lt;&gt;$B260,$B276&lt;&gt;$B261,$B277&lt;&gt;$B262,$B278&lt;&gt;$B263,$B279&lt;&gt;$B264,$B280&lt;&gt;$B265,$B281&lt;&gt;$B266,$B282&lt;&gt;$B267,$B283&lt;&gt;$B268),IF($B274&lt;&gt;$B259,AJ259/INDEX($C258:$AJ268,2,MATCH(IF('Data-solution'!$A$3="Maximize",MAX($C269:$AI269),MIN($C269:$AI269)),$C269:$AI269,0)),AJ259-INDEX($C258:$AJ268,2,MATCH(IF('Data-solution'!$A$3="Maximize",MAX($C269:$AI269),MIN($C269:$AI269)),$C269:$AI269,0))*INDEX(AJ258:$AJ268,MATCH(MIN($AK258:$AK268),$AK258:$AK268,0),1)/INDEX($C258:$AJ268,MATCH(MIN($AK258:$AK268),$AK258:$AK268,0),MATCH(IF('Data-solution'!$A$3="Maximize",MAX($C269:$AI269),MIN($C269:$AI269)),$C269:$AI269,0))),AJ259)</f>
        <v>300</v>
      </c>
      <c r="AK274" s="1" t="str">
        <f>IF(INDEX(C274:X274,1,MATCH(IF('Data-solution'!A$3="Maximize",MAX(C284:X284),MIN(C284:X284)),C284:X284,0))&gt;0,AJ274/INDEX(C274:X274,1,MATCH(IF('Data-solution'!A$3="Maximize",MAX(C284:X284),MIN(C284:X284)),C284:X284,0))," ")</f>
        <v xml:space="preserve"> </v>
      </c>
    </row>
    <row r="275" spans="1:37" ht="18" customHeight="1" x14ac:dyDescent="0.2">
      <c r="A275" s="1">
        <f t="shared" ref="A275" si="246">INDEX(C271:AI271,1,MATCH(B275,C272:AI272,0))</f>
        <v>350</v>
      </c>
      <c r="B275" s="2" t="str">
        <f>IF(AND('Data-solution'!A$3="Maximize",COUNTIF(C269:X269,"&gt;"&amp;0)&gt;0,AK260=MIN(AK258:AK268),COUNTIF(B273:B274,INDEX(C257:X257,1,MATCH(MAX(C269:X269),C269:X269,0)))=0),INDEX(C257:X257,1,MATCH(MAX(C269:X269),C269:X269,0)),IF(AND('Data-solution'!A$3="Minimize",COUNTIF(C269:X269,"&lt;"&amp;0)&gt;0,AK260=MIN(AK258:AK268),COUNTIF(B273:B274,INDEX(C257:X257,1,MATCH(MIN(C269:X269),C269:X269,0)))=0),INDEX(C257:X257,1,MATCH(MIN(C269:X269),C269:X269,0)),B260))</f>
        <v>X3</v>
      </c>
      <c r="C275" s="1">
        <f>IF(OR($B273&lt;&gt;$B258,$B274&lt;&gt;$B259,$B275&lt;&gt;$B260,$B276&lt;&gt;$B261,$B277&lt;&gt;$B262,$B278&lt;&gt;$B263,$B279&lt;&gt;$B264,$B280&lt;&gt;$B265,$B281&lt;&gt;$B266,$B282&lt;&gt;$B267,$B283&lt;&gt;$B268),IF($B275&lt;&gt;$B260,C260/INDEX($C258:$AJ268,3,MATCH(IF('Data-solution'!$A$3="Maximize",MAX($C269:$AI269),MIN($C269:$AI269)),$C269:$AI269,0)),C260-INDEX($C258:$AJ268,3,MATCH(IF('Data-solution'!$A$3="Maximize",MAX($C269:$AI269),MIN($C269:$AI269)),$C269:$AI269,0))*INDEX(C258:$AJ268,MATCH(MIN($AK258:$AK268),$AK258:$AK268,0),1)/INDEX($C258:$AJ268,MATCH(MIN($AK258:$AK268),$AK258:$AK268,0),MATCH(IF('Data-solution'!$A$3="Maximize",MAX($C269:$AI269),MIN($C269:$AI269)),$C269:$AI269,0))),C260)</f>
        <v>0</v>
      </c>
      <c r="D275" s="1">
        <f>IF(OR($B273&lt;&gt;$B258,$B274&lt;&gt;$B259,$B275&lt;&gt;$B260,$B276&lt;&gt;$B261,$B277&lt;&gt;$B262,$B278&lt;&gt;$B263,$B279&lt;&gt;$B264,$B280&lt;&gt;$B265,$B281&lt;&gt;$B266,$B282&lt;&gt;$B267,$B283&lt;&gt;$B268),IF($B275&lt;&gt;$B260,D260/INDEX($C258:$AJ268,3,MATCH(IF('Data-solution'!$A$3="Maximize",MAX($C269:$AI269),MIN($C269:$AI269)),$C269:$AI269,0)),D260-INDEX($C258:$AJ268,3,MATCH(IF('Data-solution'!$A$3="Maximize",MAX($C269:$AI269),MIN($C269:$AI269)),$C269:$AI269,0))*INDEX(D258:$AJ268,MATCH(MIN($AK258:$AK268),$AK258:$AK268,0),1)/INDEX($C258:$AJ268,MATCH(MIN($AK258:$AK268),$AK258:$AK268,0),MATCH(IF('Data-solution'!$A$3="Maximize",MAX($C269:$AI269),MIN($C269:$AI269)),$C269:$AI269,0))),D260)</f>
        <v>1.25</v>
      </c>
      <c r="E275" s="1">
        <f>IF(OR($B273&lt;&gt;$B258,$B274&lt;&gt;$B259,$B275&lt;&gt;$B260,$B276&lt;&gt;$B261,$B277&lt;&gt;$B262,$B278&lt;&gt;$B263,$B279&lt;&gt;$B264,$B280&lt;&gt;$B265,$B281&lt;&gt;$B266,$B282&lt;&gt;$B267,$B283&lt;&gt;$B268),IF($B275&lt;&gt;$B260,E260/INDEX($C258:$AJ268,3,MATCH(IF('Data-solution'!$A$3="Maximize",MAX($C269:$AI269),MIN($C269:$AI269)),$C269:$AI269,0)),E260-INDEX($C258:$AJ268,3,MATCH(IF('Data-solution'!$A$3="Maximize",MAX($C269:$AI269),MIN($C269:$AI269)),$C269:$AI269,0))*INDEX(E258:$AJ268,MATCH(MIN($AK258:$AK268),$AK258:$AK268,0),1)/INDEX($C258:$AJ268,MATCH(MIN($AK258:$AK268),$AK258:$AK268,0),MATCH(IF('Data-solution'!$A$3="Maximize",MAX($C269:$AI269),MIN($C269:$AI269)),$C269:$AI269,0))),E260)</f>
        <v>1</v>
      </c>
      <c r="F275" s="1">
        <f>IF(OR($B273&lt;&gt;$B258,$B274&lt;&gt;$B259,$B275&lt;&gt;$B260,$B276&lt;&gt;$B261,$B277&lt;&gt;$B262,$B278&lt;&gt;$B263,$B279&lt;&gt;$B264,$B280&lt;&gt;$B265,$B281&lt;&gt;$B266,$B282&lt;&gt;$B267,$B283&lt;&gt;$B268),IF($B275&lt;&gt;$B260,F260/INDEX($C258:$AJ268,3,MATCH(IF('Data-solution'!$A$3="Maximize",MAX($C269:$AI269),MIN($C269:$AI269)),$C269:$AI269,0)),F260-INDEX($C258:$AJ268,3,MATCH(IF('Data-solution'!$A$3="Maximize",MAX($C269:$AI269),MIN($C269:$AI269)),$C269:$AI269,0))*INDEX(F258:$AJ268,MATCH(MIN($AK258:$AK268),$AK258:$AK268,0),1)/INDEX($C258:$AJ268,MATCH(MIN($AK258:$AK268),$AK258:$AK268,0),MATCH(IF('Data-solution'!$A$3="Maximize",MAX($C269:$AI269),MIN($C269:$AI269)),$C269:$AI269,0))),F260)</f>
        <v>0</v>
      </c>
      <c r="G275" s="1">
        <f>IF(OR($B273&lt;&gt;$B258,$B274&lt;&gt;$B259,$B275&lt;&gt;$B260,$B276&lt;&gt;$B261,$B277&lt;&gt;$B262,$B278&lt;&gt;$B263,$B279&lt;&gt;$B264,$B280&lt;&gt;$B265,$B281&lt;&gt;$B266,$B282&lt;&gt;$B267,$B283&lt;&gt;$B268),IF($B275&lt;&gt;$B260,G260/INDEX($C258:$AJ268,3,MATCH(IF('Data-solution'!$A$3="Maximize",MAX($C269:$AI269),MIN($C269:$AI269)),$C269:$AI269,0)),G260-INDEX($C258:$AJ268,3,MATCH(IF('Data-solution'!$A$3="Maximize",MAX($C269:$AI269),MIN($C269:$AI269)),$C269:$AI269,0))*INDEX(G258:$AJ268,MATCH(MIN($AK258:$AK268),$AK258:$AK268,0),1)/INDEX($C258:$AJ268,MATCH(MIN($AK258:$AK268),$AK258:$AK268,0),MATCH(IF('Data-solution'!$A$3="Maximize",MAX($C269:$AI269),MIN($C269:$AI269)),$C269:$AI269,0))),G260)</f>
        <v>0</v>
      </c>
      <c r="H275" s="1">
        <f>IF(OR($B273&lt;&gt;$B258,$B274&lt;&gt;$B259,$B275&lt;&gt;$B260,$B276&lt;&gt;$B261,$B277&lt;&gt;$B262,$B278&lt;&gt;$B263,$B279&lt;&gt;$B264,$B280&lt;&gt;$B265,$B281&lt;&gt;$B266,$B282&lt;&gt;$B267,$B283&lt;&gt;$B268),IF($B275&lt;&gt;$B260,H260/INDEX($C258:$AJ268,3,MATCH(IF('Data-solution'!$A$3="Maximize",MAX($C269:$AI269),MIN($C269:$AI269)),$C269:$AI269,0)),H260-INDEX($C258:$AJ268,3,MATCH(IF('Data-solution'!$A$3="Maximize",MAX($C269:$AI269),MIN($C269:$AI269)),$C269:$AI269,0))*INDEX(H258:$AJ268,MATCH(MIN($AK258:$AK268),$AK258:$AK268,0),1)/INDEX($C258:$AJ268,MATCH(MIN($AK258:$AK268),$AK258:$AK268,0),MATCH(IF('Data-solution'!$A$3="Maximize",MAX($C269:$AI269),MIN($C269:$AI269)),$C269:$AI269,0))),H260)</f>
        <v>0</v>
      </c>
      <c r="I275" s="1">
        <f>IF(OR($B273&lt;&gt;$B258,$B274&lt;&gt;$B259,$B275&lt;&gt;$B260,$B276&lt;&gt;$B261,$B277&lt;&gt;$B262,$B278&lt;&gt;$B263,$B279&lt;&gt;$B264,$B280&lt;&gt;$B265,$B281&lt;&gt;$B266,$B282&lt;&gt;$B267,$B283&lt;&gt;$B268),IF($B275&lt;&gt;$B260,I260/INDEX($C258:$AJ268,3,MATCH(IF('Data-solution'!$A$3="Maximize",MAX($C269:$AI269),MIN($C269:$AI269)),$C269:$AI269,0)),I260-INDEX($C258:$AJ268,3,MATCH(IF('Data-solution'!$A$3="Maximize",MAX($C269:$AI269),MIN($C269:$AI269)),$C269:$AI269,0))*INDEX(I258:$AJ268,MATCH(MIN($AK258:$AK268),$AK258:$AK268,0),1)/INDEX($C258:$AJ268,MATCH(MIN($AK258:$AK268),$AK258:$AK268,0),MATCH(IF('Data-solution'!$A$3="Maximize",MAX($C269:$AI269),MIN($C269:$AI269)),$C269:$AI269,0))),I260)</f>
        <v>0</v>
      </c>
      <c r="J275" s="1">
        <f>IF(OR($B273&lt;&gt;$B258,$B274&lt;&gt;$B259,$B275&lt;&gt;$B260,$B276&lt;&gt;$B261,$B277&lt;&gt;$B262,$B278&lt;&gt;$B263,$B279&lt;&gt;$B264,$B280&lt;&gt;$B265,$B281&lt;&gt;$B266,$B282&lt;&gt;$B267,$B283&lt;&gt;$B268),IF($B275&lt;&gt;$B260,J260/INDEX($C258:$AJ268,3,MATCH(IF('Data-solution'!$A$3="Maximize",MAX($C269:$AI269),MIN($C269:$AI269)),$C269:$AI269,0)),J260-INDEX($C258:$AJ268,3,MATCH(IF('Data-solution'!$A$3="Maximize",MAX($C269:$AI269),MIN($C269:$AI269)),$C269:$AI269,0))*INDEX(J258:$AJ268,MATCH(MIN($AK258:$AK268),$AK258:$AK268,0),1)/INDEX($C258:$AJ268,MATCH(MIN($AK258:$AK268),$AK258:$AK268,0),MATCH(IF('Data-solution'!$A$3="Maximize",MAX($C269:$AI269),MIN($C269:$AI269)),$C269:$AI269,0))),J260)</f>
        <v>0</v>
      </c>
      <c r="K275" s="1">
        <f>IF(OR($B273&lt;&gt;$B258,$B274&lt;&gt;$B259,$B275&lt;&gt;$B260,$B276&lt;&gt;$B261,$B277&lt;&gt;$B262,$B278&lt;&gt;$B263,$B279&lt;&gt;$B264,$B280&lt;&gt;$B265,$B281&lt;&gt;$B266,$B282&lt;&gt;$B267,$B283&lt;&gt;$B268),IF($B275&lt;&gt;$B260,K260/INDEX($C258:$AJ268,3,MATCH(IF('Data-solution'!$A$3="Maximize",MAX($C269:$AI269),MIN($C269:$AI269)),$C269:$AI269,0)),K260-INDEX($C258:$AJ268,3,MATCH(IF('Data-solution'!$A$3="Maximize",MAX($C269:$AI269),MIN($C269:$AI269)),$C269:$AI269,0))*INDEX(K258:$AJ268,MATCH(MIN($AK258:$AK268),$AK258:$AK268,0),1)/INDEX($C258:$AJ268,MATCH(MIN($AK258:$AK268),$AK258:$AK268,0),MATCH(IF('Data-solution'!$A$3="Maximize",MAX($C269:$AI269),MIN($C269:$AI269)),$C269:$AI269,0))),K260)</f>
        <v>0</v>
      </c>
      <c r="L275" s="1">
        <f>IF(OR($B273&lt;&gt;$B258,$B274&lt;&gt;$B259,$B275&lt;&gt;$B260,$B276&lt;&gt;$B261,$B277&lt;&gt;$B262,$B278&lt;&gt;$B263,$B279&lt;&gt;$B264,$B280&lt;&gt;$B265,$B281&lt;&gt;$B266,$B282&lt;&gt;$B267,$B283&lt;&gt;$B268),IF($B275&lt;&gt;$B260,L260/INDEX($C258:$AJ268,3,MATCH(IF('Data-solution'!$A$3="Maximize",MAX($C269:$AI269),MIN($C269:$AI269)),$C269:$AI269,0)),L260-INDEX($C258:$AJ268,3,MATCH(IF('Data-solution'!$A$3="Maximize",MAX($C269:$AI269),MIN($C269:$AI269)),$C269:$AI269,0))*INDEX(L258:$AJ268,MATCH(MIN($AK258:$AK268),$AK258:$AK268,0),1)/INDEX($C258:$AJ268,MATCH(MIN($AK258:$AK268),$AK258:$AK268,0),MATCH(IF('Data-solution'!$A$3="Maximize",MAX($C269:$AI269),MIN($C269:$AI269)),$C269:$AI269,0))),L260)</f>
        <v>0</v>
      </c>
      <c r="M275" s="1">
        <f>IF(OR($B273&lt;&gt;$B258,$B274&lt;&gt;$B259,$B275&lt;&gt;$B260,$B276&lt;&gt;$B261,$B277&lt;&gt;$B262,$B278&lt;&gt;$B263,$B279&lt;&gt;$B264,$B280&lt;&gt;$B265,$B281&lt;&gt;$B266,$B282&lt;&gt;$B267,$B283&lt;&gt;$B268),IF($B275&lt;&gt;$B260,M260/INDEX($C258:$AJ268,3,MATCH(IF('Data-solution'!$A$3="Maximize",MAX($C269:$AI269),MIN($C269:$AI269)),$C269:$AI269,0)),M260-INDEX($C258:$AJ268,3,MATCH(IF('Data-solution'!$A$3="Maximize",MAX($C269:$AI269),MIN($C269:$AI269)),$C269:$AI269,0))*INDEX(M258:$AJ268,MATCH(MIN($AK258:$AK268),$AK258:$AK268,0),1)/INDEX($C258:$AJ268,MATCH(MIN($AK258:$AK268),$AK258:$AK268,0),MATCH(IF('Data-solution'!$A$3="Maximize",MAX($C269:$AI269),MIN($C269:$AI269)),$C269:$AI269,0))),M260)</f>
        <v>0</v>
      </c>
      <c r="N275" s="1">
        <f>IF(OR($B273&lt;&gt;$B258,$B274&lt;&gt;$B259,$B275&lt;&gt;$B260,$B276&lt;&gt;$B261,$B277&lt;&gt;$B262,$B278&lt;&gt;$B263,$B279&lt;&gt;$B264,$B280&lt;&gt;$B265,$B281&lt;&gt;$B266,$B282&lt;&gt;$B267,$B283&lt;&gt;$B268),IF($B275&lt;&gt;$B260,N260/INDEX($C258:$AJ268,3,MATCH(IF('Data-solution'!$A$3="Maximize",MAX($C269:$AI269),MIN($C269:$AI269)),$C269:$AI269,0)),N260-INDEX($C258:$AJ268,3,MATCH(IF('Data-solution'!$A$3="Maximize",MAX($C269:$AI269),MIN($C269:$AI269)),$C269:$AI269,0))*INDEX(N258:$AJ268,MATCH(MIN($AK258:$AK268),$AK258:$AK268,0),1)/INDEX($C258:$AJ268,MATCH(MIN($AK258:$AK268),$AK258:$AK268,0),MATCH(IF('Data-solution'!$A$3="Maximize",MAX($C269:$AI269),MIN($C269:$AI269)),$C269:$AI269,0))),N260)</f>
        <v>0</v>
      </c>
      <c r="O275" s="1">
        <f>IF(OR($B273&lt;&gt;$B258,$B274&lt;&gt;$B259,$B275&lt;&gt;$B260,$B276&lt;&gt;$B261,$B277&lt;&gt;$B262,$B278&lt;&gt;$B263,$B279&lt;&gt;$B264,$B280&lt;&gt;$B265,$B281&lt;&gt;$B266,$B282&lt;&gt;$B267,$B283&lt;&gt;$B268),IF($B275&lt;&gt;$B260,O260/INDEX($C258:$AJ268,3,MATCH(IF('Data-solution'!$A$3="Maximize",MAX($C269:$AI269),MIN($C269:$AI269)),$C269:$AI269,0)),O260-INDEX($C258:$AJ268,3,MATCH(IF('Data-solution'!$A$3="Maximize",MAX($C269:$AI269),MIN($C269:$AI269)),$C269:$AI269,0))*INDEX(O258:$AJ268,MATCH(MIN($AK258:$AK268),$AK258:$AK268,0),1)/INDEX($C258:$AJ268,MATCH(MIN($AK258:$AK268),$AK258:$AK268,0),MATCH(IF('Data-solution'!$A$3="Maximize",MAX($C269:$AI269),MIN($C269:$AI269)),$C269:$AI269,0))),O260)</f>
        <v>0</v>
      </c>
      <c r="P275" s="1">
        <f>IF(OR($B273&lt;&gt;$B258,$B274&lt;&gt;$B259,$B275&lt;&gt;$B260,$B276&lt;&gt;$B261,$B277&lt;&gt;$B262,$B278&lt;&gt;$B263,$B279&lt;&gt;$B264,$B280&lt;&gt;$B265,$B281&lt;&gt;$B266,$B282&lt;&gt;$B267,$B283&lt;&gt;$B268),IF($B275&lt;&gt;$B260,P260/INDEX($C258:$AJ268,3,MATCH(IF('Data-solution'!$A$3="Maximize",MAX($C269:$AI269),MIN($C269:$AI269)),$C269:$AI269,0)),P260-INDEX($C258:$AJ268,3,MATCH(IF('Data-solution'!$A$3="Maximize",MAX($C269:$AI269),MIN($C269:$AI269)),$C269:$AI269,0))*INDEX(P258:$AJ268,MATCH(MIN($AK258:$AK268),$AK258:$AK268,0),1)/INDEX($C258:$AJ268,MATCH(MIN($AK258:$AK268),$AK258:$AK268,0),MATCH(IF('Data-solution'!$A$3="Maximize",MAX($C269:$AI269),MIN($C269:$AI269)),$C269:$AI269,0))),P260)</f>
        <v>0.24999999999999997</v>
      </c>
      <c r="Q275" s="1">
        <f>IF(OR($B273&lt;&gt;$B258,$B274&lt;&gt;$B259,$B275&lt;&gt;$B260,$B276&lt;&gt;$B261,$B277&lt;&gt;$B262,$B278&lt;&gt;$B263,$B279&lt;&gt;$B264,$B280&lt;&gt;$B265,$B281&lt;&gt;$B266,$B282&lt;&gt;$B267,$B283&lt;&gt;$B268),IF($B275&lt;&gt;$B260,Q260/INDEX($C258:$AJ268,3,MATCH(IF('Data-solution'!$A$3="Maximize",MAX($C269:$AI269),MIN($C269:$AI269)),$C269:$AI269,0)),Q260-INDEX($C258:$AJ268,3,MATCH(IF('Data-solution'!$A$3="Maximize",MAX($C269:$AI269),MIN($C269:$AI269)),$C269:$AI269,0))*INDEX(Q258:$AJ268,MATCH(MIN($AK258:$AK268),$AK258:$AK268,0),1)/INDEX($C258:$AJ268,MATCH(MIN($AK258:$AK268),$AK258:$AK268,0),MATCH(IF('Data-solution'!$A$3="Maximize",MAX($C269:$AI269),MIN($C269:$AI269)),$C269:$AI269,0))),Q260)</f>
        <v>-0.49999999999999989</v>
      </c>
      <c r="R275" s="1">
        <f>IF(OR($B273&lt;&gt;$B258,$B274&lt;&gt;$B259,$B275&lt;&gt;$B260,$B276&lt;&gt;$B261,$B277&lt;&gt;$B262,$B278&lt;&gt;$B263,$B279&lt;&gt;$B264,$B280&lt;&gt;$B265,$B281&lt;&gt;$B266,$B282&lt;&gt;$B267,$B283&lt;&gt;$B268),IF($B275&lt;&gt;$B260,R260/INDEX($C258:$AJ268,3,MATCH(IF('Data-solution'!$A$3="Maximize",MAX($C269:$AI269),MIN($C269:$AI269)),$C269:$AI269,0)),R260-INDEX($C258:$AJ268,3,MATCH(IF('Data-solution'!$A$3="Maximize",MAX($C269:$AI269),MIN($C269:$AI269)),$C269:$AI269,0))*INDEX(R258:$AJ268,MATCH(MIN($AK258:$AK268),$AK258:$AK268,0),1)/INDEX($C258:$AJ268,MATCH(MIN($AK258:$AK268),$AK258:$AK268,0),MATCH(IF('Data-solution'!$A$3="Maximize",MAX($C269:$AI269),MIN($C269:$AI269)),$C269:$AI269,0))),R260)</f>
        <v>0</v>
      </c>
      <c r="S275" s="1">
        <f>IF(OR($B273&lt;&gt;$B258,$B274&lt;&gt;$B259,$B275&lt;&gt;$B260,$B276&lt;&gt;$B261,$B277&lt;&gt;$B262,$B278&lt;&gt;$B263,$B279&lt;&gt;$B264,$B280&lt;&gt;$B265,$B281&lt;&gt;$B266,$B282&lt;&gt;$B267,$B283&lt;&gt;$B268),IF($B275&lt;&gt;$B260,S260/INDEX($C258:$AJ268,3,MATCH(IF('Data-solution'!$A$3="Maximize",MAX($C269:$AI269),MIN($C269:$AI269)),$C269:$AI269,0)),S260-INDEX($C258:$AJ268,3,MATCH(IF('Data-solution'!$A$3="Maximize",MAX($C269:$AI269),MIN($C269:$AI269)),$C269:$AI269,0))*INDEX(S258:$AJ268,MATCH(MIN($AK258:$AK268),$AK258:$AK268,0),1)/INDEX($C258:$AJ268,MATCH(MIN($AK258:$AK268),$AK258:$AK268,0),MATCH(IF('Data-solution'!$A$3="Maximize",MAX($C269:$AI269),MIN($C269:$AI269)),$C269:$AI269,0))),S260)</f>
        <v>0</v>
      </c>
      <c r="T275" s="1">
        <f>IF(OR($B273&lt;&gt;$B258,$B274&lt;&gt;$B259,$B275&lt;&gt;$B260,$B276&lt;&gt;$B261,$B277&lt;&gt;$B262,$B278&lt;&gt;$B263,$B279&lt;&gt;$B264,$B280&lt;&gt;$B265,$B281&lt;&gt;$B266,$B282&lt;&gt;$B267,$B283&lt;&gt;$B268),IF($B275&lt;&gt;$B260,T260/INDEX($C258:$AJ268,3,MATCH(IF('Data-solution'!$A$3="Maximize",MAX($C269:$AI269),MIN($C269:$AI269)),$C269:$AI269,0)),T260-INDEX($C258:$AJ268,3,MATCH(IF('Data-solution'!$A$3="Maximize",MAX($C269:$AI269),MIN($C269:$AI269)),$C269:$AI269,0))*INDEX(T258:$AJ268,MATCH(MIN($AK258:$AK268),$AK258:$AK268,0),1)/INDEX($C258:$AJ268,MATCH(MIN($AK258:$AK268),$AK258:$AK268,0),MATCH(IF('Data-solution'!$A$3="Maximize",MAX($C269:$AI269),MIN($C269:$AI269)),$C269:$AI269,0))),T260)</f>
        <v>0</v>
      </c>
      <c r="U275" s="1">
        <f>IF(OR($B273&lt;&gt;$B258,$B274&lt;&gt;$B259,$B275&lt;&gt;$B260,$B276&lt;&gt;$B261,$B277&lt;&gt;$B262,$B278&lt;&gt;$B263,$B279&lt;&gt;$B264,$B280&lt;&gt;$B265,$B281&lt;&gt;$B266,$B282&lt;&gt;$B267,$B283&lt;&gt;$B268),IF($B275&lt;&gt;$B260,U260/INDEX($C258:$AJ268,3,MATCH(IF('Data-solution'!$A$3="Maximize",MAX($C269:$AI269),MIN($C269:$AI269)),$C269:$AI269,0)),U260-INDEX($C258:$AJ268,3,MATCH(IF('Data-solution'!$A$3="Maximize",MAX($C269:$AI269),MIN($C269:$AI269)),$C269:$AI269,0))*INDEX(U258:$AJ268,MATCH(MIN($AK258:$AK268),$AK258:$AK268,0),1)/INDEX($C258:$AJ268,MATCH(MIN($AK258:$AK268),$AK258:$AK268,0),MATCH(IF('Data-solution'!$A$3="Maximize",MAX($C269:$AI269),MIN($C269:$AI269)),$C269:$AI269,0))),U260)</f>
        <v>0</v>
      </c>
      <c r="V275" s="1">
        <f>IF(OR($B273&lt;&gt;$B258,$B274&lt;&gt;$B259,$B275&lt;&gt;$B260,$B276&lt;&gt;$B261,$B277&lt;&gt;$B262,$B278&lt;&gt;$B263,$B279&lt;&gt;$B264,$B280&lt;&gt;$B265,$B281&lt;&gt;$B266,$B282&lt;&gt;$B267,$B283&lt;&gt;$B268),IF($B275&lt;&gt;$B260,V260/INDEX($C258:$AJ268,3,MATCH(IF('Data-solution'!$A$3="Maximize",MAX($C269:$AI269),MIN($C269:$AI269)),$C269:$AI269,0)),V260-INDEX($C258:$AJ268,3,MATCH(IF('Data-solution'!$A$3="Maximize",MAX($C269:$AI269),MIN($C269:$AI269)),$C269:$AI269,0))*INDEX(V258:$AJ268,MATCH(MIN($AK258:$AK268),$AK258:$AK268,0),1)/INDEX($C258:$AJ268,MATCH(MIN($AK258:$AK268),$AK258:$AK268,0),MATCH(IF('Data-solution'!$A$3="Maximize",MAX($C269:$AI269),MIN($C269:$AI269)),$C269:$AI269,0))),V260)</f>
        <v>0</v>
      </c>
      <c r="W275" s="1">
        <f>IF(OR($B273&lt;&gt;$B258,$B274&lt;&gt;$B259,$B275&lt;&gt;$B260,$B276&lt;&gt;$B261,$B277&lt;&gt;$B262,$B278&lt;&gt;$B263,$B279&lt;&gt;$B264,$B280&lt;&gt;$B265,$B281&lt;&gt;$B266,$B282&lt;&gt;$B267,$B283&lt;&gt;$B268),IF($B275&lt;&gt;$B260,W260/INDEX($C258:$AJ268,3,MATCH(IF('Data-solution'!$A$3="Maximize",MAX($C269:$AI269),MIN($C269:$AI269)),$C269:$AI269,0)),W260-INDEX($C258:$AJ268,3,MATCH(IF('Data-solution'!$A$3="Maximize",MAX($C269:$AI269),MIN($C269:$AI269)),$C269:$AI269,0))*INDEX(W258:$AJ268,MATCH(MIN($AK258:$AK268),$AK258:$AK268,0),1)/INDEX($C258:$AJ268,MATCH(MIN($AK258:$AK268),$AK258:$AK268,0),MATCH(IF('Data-solution'!$A$3="Maximize",MAX($C269:$AI269),MIN($C269:$AI269)),$C269:$AI269,0))),W260)</f>
        <v>0</v>
      </c>
      <c r="X275" s="1">
        <f>IF(OR($B273&lt;&gt;$B258,$B274&lt;&gt;$B259,$B275&lt;&gt;$B260,$B276&lt;&gt;$B261,$B277&lt;&gt;$B262,$B278&lt;&gt;$B263,$B279&lt;&gt;$B264,$B280&lt;&gt;$B265,$B281&lt;&gt;$B266,$B282&lt;&gt;$B267,$B283&lt;&gt;$B268),IF($B275&lt;&gt;$B260,X260/INDEX($C258:$AJ268,3,MATCH(IF('Data-solution'!$A$3="Maximize",MAX($C269:$AI269),MIN($C269:$AI269)),$C269:$AI269,0)),X260-INDEX($C258:$AJ268,3,MATCH(IF('Data-solution'!$A$3="Maximize",MAX($C269:$AI269),MIN($C269:$AI269)),$C269:$AI269,0))*INDEX(X258:$AJ268,MATCH(MIN($AK258:$AK268),$AK258:$AK268,0),1)/INDEX($C258:$AJ268,MATCH(MIN($AK258:$AK268),$AK258:$AK268,0),MATCH(IF('Data-solution'!$A$3="Maximize",MAX($C269:$AI269),MIN($C269:$AI269)),$C269:$AI269,0))),X260)</f>
        <v>0</v>
      </c>
      <c r="Y275" s="1">
        <f>IF(OR($B273&lt;&gt;$B258,$B274&lt;&gt;$B259,$B275&lt;&gt;$B260,$B276&lt;&gt;$B261,$B277&lt;&gt;$B262,$B278&lt;&gt;$B263,$B279&lt;&gt;$B264,$B280&lt;&gt;$B265,$B281&lt;&gt;$B266,$B282&lt;&gt;$B267,$B283&lt;&gt;$B268),IF($B275&lt;&gt;$B260,Y260/INDEX($C258:$AJ268,3,MATCH(IF('Data-solution'!$A$3="Maximize",MAX($C269:$AI269),MIN($C269:$AI269)),$C269:$AI269,0)),Y260-INDEX($C258:$AJ268,3,MATCH(IF('Data-solution'!$A$3="Maximize",MAX($C269:$AI269),MIN($C269:$AI269)),$C269:$AI269,0))*INDEX(Y258:$AJ268,MATCH(MIN($AK258:$AK268),$AK258:$AK268,0),1)/INDEX($C258:$AJ268,MATCH(MIN($AK258:$AK268),$AK258:$AK268,0),MATCH(IF('Data-solution'!$A$3="Maximize",MAX($C269:$AI269),MIN($C269:$AI269)),$C269:$AI269,0))),Y260)</f>
        <v>0</v>
      </c>
      <c r="Z275" s="1">
        <f>IF(OR($B273&lt;&gt;$B258,$B274&lt;&gt;$B259,$B275&lt;&gt;$B260,$B276&lt;&gt;$B261,$B277&lt;&gt;$B262,$B278&lt;&gt;$B263,$B279&lt;&gt;$B264,$B280&lt;&gt;$B265,$B281&lt;&gt;$B266,$B282&lt;&gt;$B267,$B283&lt;&gt;$B268),IF($B275&lt;&gt;$B260,Z260/INDEX($C258:$AJ268,3,MATCH(IF('Data-solution'!$A$3="Maximize",MAX($C269:$AI269),MIN($C269:$AI269)),$C269:$AI269,0)),Z260-INDEX($C258:$AJ268,3,MATCH(IF('Data-solution'!$A$3="Maximize",MAX($C269:$AI269),MIN($C269:$AI269)),$C269:$AI269,0))*INDEX(Z258:$AJ268,MATCH(MIN($AK258:$AK268),$AK258:$AK268,0),1)/INDEX($C258:$AJ268,MATCH(MIN($AK258:$AK268),$AK258:$AK268,0),MATCH(IF('Data-solution'!$A$3="Maximize",MAX($C269:$AI269),MIN($C269:$AI269)),$C269:$AI269,0))),Z260)</f>
        <v>0</v>
      </c>
      <c r="AA275" s="1">
        <f>IF(OR($B273&lt;&gt;$B258,$B274&lt;&gt;$B259,$B275&lt;&gt;$B260,$B276&lt;&gt;$B261,$B277&lt;&gt;$B262,$B278&lt;&gt;$B263,$B279&lt;&gt;$B264,$B280&lt;&gt;$B265,$B281&lt;&gt;$B266,$B282&lt;&gt;$B267,$B283&lt;&gt;$B268),IF($B275&lt;&gt;$B260,AA260/INDEX($C258:$AJ268,3,MATCH(IF('Data-solution'!$A$3="Maximize",MAX($C269:$AI269),MIN($C269:$AI269)),$C269:$AI269,0)),AA260-INDEX($C258:$AJ268,3,MATCH(IF('Data-solution'!$A$3="Maximize",MAX($C269:$AI269),MIN($C269:$AI269)),$C269:$AI269,0))*INDEX(AA258:$AJ268,MATCH(MIN($AK258:$AK268),$AK258:$AK268,0),1)/INDEX($C258:$AJ268,MATCH(MIN($AK258:$AK268),$AK258:$AK268,0),MATCH(IF('Data-solution'!$A$3="Maximize",MAX($C269:$AI269),MIN($C269:$AI269)),$C269:$AI269,0))),AA260)</f>
        <v>0.24999999999999997</v>
      </c>
      <c r="AB275" s="1">
        <f>IF(OR($B273&lt;&gt;$B258,$B274&lt;&gt;$B259,$B275&lt;&gt;$B260,$B276&lt;&gt;$B261,$B277&lt;&gt;$B262,$B278&lt;&gt;$B263,$B279&lt;&gt;$B264,$B280&lt;&gt;$B265,$B281&lt;&gt;$B266,$B282&lt;&gt;$B267,$B283&lt;&gt;$B268),IF($B275&lt;&gt;$B260,AB260/INDEX($C258:$AJ268,3,MATCH(IF('Data-solution'!$A$3="Maximize",MAX($C269:$AI269),MIN($C269:$AI269)),$C269:$AI269,0)),AB260-INDEX($C258:$AJ268,3,MATCH(IF('Data-solution'!$A$3="Maximize",MAX($C269:$AI269),MIN($C269:$AI269)),$C269:$AI269,0))*INDEX(AB258:$AJ268,MATCH(MIN($AK258:$AK268),$AK258:$AK268,0),1)/INDEX($C258:$AJ268,MATCH(MIN($AK258:$AK268),$AK258:$AK268,0),MATCH(IF('Data-solution'!$A$3="Maximize",MAX($C269:$AI269),MIN($C269:$AI269)),$C269:$AI269,0))),AB260)</f>
        <v>-0.49999999999999989</v>
      </c>
      <c r="AC275" s="1">
        <f>IF(OR($B273&lt;&gt;$B258,$B274&lt;&gt;$B259,$B275&lt;&gt;$B260,$B276&lt;&gt;$B261,$B277&lt;&gt;$B262,$B278&lt;&gt;$B263,$B279&lt;&gt;$B264,$B280&lt;&gt;$B265,$B281&lt;&gt;$B266,$B282&lt;&gt;$B267,$B283&lt;&gt;$B268),IF($B275&lt;&gt;$B260,AC260/INDEX($C258:$AJ268,3,MATCH(IF('Data-solution'!$A$3="Maximize",MAX($C269:$AI269),MIN($C269:$AI269)),$C269:$AI269,0)),AC260-INDEX($C258:$AJ268,3,MATCH(IF('Data-solution'!$A$3="Maximize",MAX($C269:$AI269),MIN($C269:$AI269)),$C269:$AI269,0))*INDEX(AC258:$AJ268,MATCH(MIN($AK258:$AK268),$AK258:$AK268,0),1)/INDEX($C258:$AJ268,MATCH(MIN($AK258:$AK268),$AK258:$AK268,0),MATCH(IF('Data-solution'!$A$3="Maximize",MAX($C269:$AI269),MIN($C269:$AI269)),$C269:$AI269,0))),AC260)</f>
        <v>0</v>
      </c>
      <c r="AD275" s="1">
        <f>IF(OR($B273&lt;&gt;$B258,$B274&lt;&gt;$B259,$B275&lt;&gt;$B260,$B276&lt;&gt;$B261,$B277&lt;&gt;$B262,$B278&lt;&gt;$B263,$B279&lt;&gt;$B264,$B280&lt;&gt;$B265,$B281&lt;&gt;$B266,$B282&lt;&gt;$B267,$B283&lt;&gt;$B268),IF($B275&lt;&gt;$B260,AD260/INDEX($C258:$AJ268,3,MATCH(IF('Data-solution'!$A$3="Maximize",MAX($C269:$AI269),MIN($C269:$AI269)),$C269:$AI269,0)),AD260-INDEX($C258:$AJ268,3,MATCH(IF('Data-solution'!$A$3="Maximize",MAX($C269:$AI269),MIN($C269:$AI269)),$C269:$AI269,0))*INDEX(AD258:$AJ268,MATCH(MIN($AK258:$AK268),$AK258:$AK268,0),1)/INDEX($C258:$AJ268,MATCH(MIN($AK258:$AK268),$AK258:$AK268,0),MATCH(IF('Data-solution'!$A$3="Maximize",MAX($C269:$AI269),MIN($C269:$AI269)),$C269:$AI269,0))),AD260)</f>
        <v>0</v>
      </c>
      <c r="AE275" s="1">
        <f>IF(OR($B273&lt;&gt;$B258,$B274&lt;&gt;$B259,$B275&lt;&gt;$B260,$B276&lt;&gt;$B261,$B277&lt;&gt;$B262,$B278&lt;&gt;$B263,$B279&lt;&gt;$B264,$B280&lt;&gt;$B265,$B281&lt;&gt;$B266,$B282&lt;&gt;$B267,$B283&lt;&gt;$B268),IF($B275&lt;&gt;$B260,AE260/INDEX($C258:$AJ268,3,MATCH(IF('Data-solution'!$A$3="Maximize",MAX($C269:$AI269),MIN($C269:$AI269)),$C269:$AI269,0)),AE260-INDEX($C258:$AJ268,3,MATCH(IF('Data-solution'!$A$3="Maximize",MAX($C269:$AI269),MIN($C269:$AI269)),$C269:$AI269,0))*INDEX(AE258:$AJ268,MATCH(MIN($AK258:$AK268),$AK258:$AK268,0),1)/INDEX($C258:$AJ268,MATCH(MIN($AK258:$AK268),$AK258:$AK268,0),MATCH(IF('Data-solution'!$A$3="Maximize",MAX($C269:$AI269),MIN($C269:$AI269)),$C269:$AI269,0))),AE260)</f>
        <v>0</v>
      </c>
      <c r="AF275" s="1">
        <f>IF(OR($B273&lt;&gt;$B258,$B274&lt;&gt;$B259,$B275&lt;&gt;$B260,$B276&lt;&gt;$B261,$B277&lt;&gt;$B262,$B278&lt;&gt;$B263,$B279&lt;&gt;$B264,$B280&lt;&gt;$B265,$B281&lt;&gt;$B266,$B282&lt;&gt;$B267,$B283&lt;&gt;$B268),IF($B275&lt;&gt;$B260,AF260/INDEX($C258:$AJ268,3,MATCH(IF('Data-solution'!$A$3="Maximize",MAX($C269:$AI269),MIN($C269:$AI269)),$C269:$AI269,0)),AF260-INDEX($C258:$AJ268,3,MATCH(IF('Data-solution'!$A$3="Maximize",MAX($C269:$AI269),MIN($C269:$AI269)),$C269:$AI269,0))*INDEX(AF258:$AJ268,MATCH(MIN($AK258:$AK268),$AK258:$AK268,0),1)/INDEX($C258:$AJ268,MATCH(MIN($AK258:$AK268),$AK258:$AK268,0),MATCH(IF('Data-solution'!$A$3="Maximize",MAX($C269:$AI269),MIN($C269:$AI269)),$C269:$AI269,0))),AF260)</f>
        <v>0</v>
      </c>
      <c r="AG275" s="1">
        <f>IF(OR($B273&lt;&gt;$B258,$B274&lt;&gt;$B259,$B275&lt;&gt;$B260,$B276&lt;&gt;$B261,$B277&lt;&gt;$B262,$B278&lt;&gt;$B263,$B279&lt;&gt;$B264,$B280&lt;&gt;$B265,$B281&lt;&gt;$B266,$B282&lt;&gt;$B267,$B283&lt;&gt;$B268),IF($B275&lt;&gt;$B260,AG260/INDEX($C258:$AJ268,3,MATCH(IF('Data-solution'!$A$3="Maximize",MAX($C269:$AI269),MIN($C269:$AI269)),$C269:$AI269,0)),AG260-INDEX($C258:$AJ268,3,MATCH(IF('Data-solution'!$A$3="Maximize",MAX($C269:$AI269),MIN($C269:$AI269)),$C269:$AI269,0))*INDEX(AG258:$AJ268,MATCH(MIN($AK258:$AK268),$AK258:$AK268,0),1)/INDEX($C258:$AJ268,MATCH(MIN($AK258:$AK268),$AK258:$AK268,0),MATCH(IF('Data-solution'!$A$3="Maximize",MAX($C269:$AI269),MIN($C269:$AI269)),$C269:$AI269,0))),AG260)</f>
        <v>0</v>
      </c>
      <c r="AH275" s="1">
        <f>IF(OR($B273&lt;&gt;$B258,$B274&lt;&gt;$B259,$B275&lt;&gt;$B260,$B276&lt;&gt;$B261,$B277&lt;&gt;$B262,$B278&lt;&gt;$B263,$B279&lt;&gt;$B264,$B280&lt;&gt;$B265,$B281&lt;&gt;$B266,$B282&lt;&gt;$B267,$B283&lt;&gt;$B268),IF($B275&lt;&gt;$B260,AH260/INDEX($C258:$AJ268,3,MATCH(IF('Data-solution'!$A$3="Maximize",MAX($C269:$AI269),MIN($C269:$AI269)),$C269:$AI269,0)),AH260-INDEX($C258:$AJ268,3,MATCH(IF('Data-solution'!$A$3="Maximize",MAX($C269:$AI269),MIN($C269:$AI269)),$C269:$AI269,0))*INDEX(AH258:$AJ268,MATCH(MIN($AK258:$AK268),$AK258:$AK268,0),1)/INDEX($C258:$AJ268,MATCH(MIN($AK258:$AK268),$AK258:$AK268,0),MATCH(IF('Data-solution'!$A$3="Maximize",MAX($C269:$AI269),MIN($C269:$AI269)),$C269:$AI269,0))),AH260)</f>
        <v>0</v>
      </c>
      <c r="AI275" s="1">
        <f>IF(OR($B273&lt;&gt;$B258,$B274&lt;&gt;$B259,$B275&lt;&gt;$B260,$B276&lt;&gt;$B261,$B277&lt;&gt;$B262,$B278&lt;&gt;$B263,$B279&lt;&gt;$B264,$B280&lt;&gt;$B265,$B281&lt;&gt;$B266,$B282&lt;&gt;$B267,$B283&lt;&gt;$B268),IF($B275&lt;&gt;$B260,AI260/INDEX($C258:$AJ268,3,MATCH(IF('Data-solution'!$A$3="Maximize",MAX($C269:$AI269),MIN($C269:$AI269)),$C269:$AI269,0)),AI260-INDEX($C258:$AJ268,3,MATCH(IF('Data-solution'!$A$3="Maximize",MAX($C269:$AI269),MIN($C269:$AI269)),$C269:$AI269,0))*INDEX(AI258:$AJ268,MATCH(MIN($AK258:$AK268),$AK258:$AK268,0),1)/INDEX($C258:$AJ268,MATCH(MIN($AK258:$AK268),$AK258:$AK268,0),MATCH(IF('Data-solution'!$A$3="Maximize",MAX($C269:$AI269),MIN($C269:$AI269)),$C269:$AI269,0))),AI260)</f>
        <v>0</v>
      </c>
      <c r="AJ275" s="1">
        <f>IF(OR($B273&lt;&gt;$B258,$B274&lt;&gt;$B259,$B275&lt;&gt;$B260,$B276&lt;&gt;$B261,$B277&lt;&gt;$B262,$B278&lt;&gt;$B263,$B279&lt;&gt;$B264,$B280&lt;&gt;$B265,$B281&lt;&gt;$B266,$B282&lt;&gt;$B267,$B283&lt;&gt;$B268),IF($B275&lt;&gt;$B260,AJ260/INDEX($C258:$AJ268,3,MATCH(IF('Data-solution'!$A$3="Maximize",MAX($C269:$AI269),MIN($C269:$AI269)),$C269:$AI269,0)),AJ260-INDEX($C258:$AJ268,3,MATCH(IF('Data-solution'!$A$3="Maximize",MAX($C269:$AI269),MIN($C269:$AI269)),$C269:$AI269,0))*INDEX(AJ258:$AJ268,MATCH(MIN($AK258:$AK268),$AK258:$AK268,0),1)/INDEX($C258:$AJ268,MATCH(MIN($AK258:$AK268),$AK258:$AK268,0),MATCH(IF('Data-solution'!$A$3="Maximize",MAX($C269:$AI269),MIN($C269:$AI269)),$C269:$AI269,0))),AJ260)</f>
        <v>300</v>
      </c>
      <c r="AK275" s="1" t="str">
        <f>IF(INDEX(C275:X275,1,MATCH(IF('Data-solution'!A$3="Maximize",MAX(C284:X284),MIN(C284:X284)),C284:X284,0))&gt;0,AJ275/INDEX(C275:X275,1,MATCH(IF('Data-solution'!A$3="Maximize",MAX(C284:X284),MIN(C284:X284)),C284:X284,0))," ")</f>
        <v xml:space="preserve"> </v>
      </c>
    </row>
    <row r="276" spans="1:37" ht="18" customHeight="1" x14ac:dyDescent="0.2">
      <c r="A276" s="1">
        <f t="shared" ref="A276" si="247">INDEX(C271:AI271,1,MATCH(B276,C272:AI272,0))</f>
        <v>150</v>
      </c>
      <c r="B276" s="2" t="str">
        <f>IF(AND('Data-solution'!A$3="Maximize",COUNTIF(C269:X269,"&gt;"&amp;0)&gt;0,AK261=MIN(AK258:AK268),COUNTIF(B273:B275,INDEX(C257:X257,1,MATCH(MAX(C269:X269),C269:X269,0)))=0),INDEX(C257:X257,1,MATCH(MAX(C269:X269),C269:X269,0)),IF(AND('Data-solution'!A$3="Minimize",COUNTIF(C269:X269,"&lt;"&amp;0)&gt;0,AK261=MIN(AK258:AK268),COUNTIF(B273:B275,INDEX(C257:X257,1,MATCH(MIN(C269:X269),C269:X269,0)))=0),INDEX(C257:X257,1,MATCH(MIN(C269:X269),C269:X269,0)),B261))</f>
        <v>X1</v>
      </c>
      <c r="C276" s="1">
        <f>IF(OR($B273&lt;&gt;$B258,$B274&lt;&gt;$B259,$B275&lt;&gt;$B260,$B276&lt;&gt;$B261,$B277&lt;&gt;$B262,$B278&lt;&gt;$B263,$B279&lt;&gt;$B264,$B280&lt;&gt;$B265,$B281&lt;&gt;$B266,$B282&lt;&gt;$B267,$B283&lt;&gt;$B268),IF($B276&lt;&gt;$B261,C261/INDEX($C258:$AJ268,4,MATCH(IF('Data-solution'!$A$3="Maximize",MAX($C269:$AI269),MIN($C269:$AI269)),$C269:$AI269,0)),C261-INDEX($C258:$AJ268,4,MATCH(IF('Data-solution'!$A$3="Maximize",MAX($C269:$AI269),MIN($C269:$AI269)),$C269:$AI269,0))*INDEX(C258:$AJ268,MATCH(MIN($AK258:$AK268),$AK258:$AK268,0),1)/INDEX($C258:$AJ268,MATCH(MIN($AK258:$AK268),$AK258:$AK268,0),MATCH(IF('Data-solution'!$A$3="Maximize",MAX($C269:$AI269),MIN($C269:$AI269)),$C269:$AI269,0))),C261)</f>
        <v>1</v>
      </c>
      <c r="D276" s="1">
        <f>IF(OR($B273&lt;&gt;$B258,$B274&lt;&gt;$B259,$B275&lt;&gt;$B260,$B276&lt;&gt;$B261,$B277&lt;&gt;$B262,$B278&lt;&gt;$B263,$B279&lt;&gt;$B264,$B280&lt;&gt;$B265,$B281&lt;&gt;$B266,$B282&lt;&gt;$B267,$B283&lt;&gt;$B268),IF($B276&lt;&gt;$B261,D261/INDEX($C258:$AJ268,4,MATCH(IF('Data-solution'!$A$3="Maximize",MAX($C269:$AI269),MIN($C269:$AI269)),$C269:$AI269,0)),D261-INDEX($C258:$AJ268,4,MATCH(IF('Data-solution'!$A$3="Maximize",MAX($C269:$AI269),MIN($C269:$AI269)),$C269:$AI269,0))*INDEX(D258:$AJ268,MATCH(MIN($AK258:$AK268),$AK258:$AK268,0),1)/INDEX($C258:$AJ268,MATCH(MIN($AK258:$AK268),$AK258:$AK268,0),MATCH(IF('Data-solution'!$A$3="Maximize",MAX($C269:$AI269),MIN($C269:$AI269)),$C269:$AI269,0))),D261)</f>
        <v>-1.25</v>
      </c>
      <c r="E276" s="1">
        <f>IF(OR($B273&lt;&gt;$B258,$B274&lt;&gt;$B259,$B275&lt;&gt;$B260,$B276&lt;&gt;$B261,$B277&lt;&gt;$B262,$B278&lt;&gt;$B263,$B279&lt;&gt;$B264,$B280&lt;&gt;$B265,$B281&lt;&gt;$B266,$B282&lt;&gt;$B267,$B283&lt;&gt;$B268),IF($B276&lt;&gt;$B261,E261/INDEX($C258:$AJ268,4,MATCH(IF('Data-solution'!$A$3="Maximize",MAX($C269:$AI269),MIN($C269:$AI269)),$C269:$AI269,0)),E261-INDEX($C258:$AJ268,4,MATCH(IF('Data-solution'!$A$3="Maximize",MAX($C269:$AI269),MIN($C269:$AI269)),$C269:$AI269,0))*INDEX(E258:$AJ268,MATCH(MIN($AK258:$AK268),$AK258:$AK268,0),1)/INDEX($C258:$AJ268,MATCH(MIN($AK258:$AK268),$AK258:$AK268,0),MATCH(IF('Data-solution'!$A$3="Maximize",MAX($C269:$AI269),MIN($C269:$AI269)),$C269:$AI269,0))),E261)</f>
        <v>0</v>
      </c>
      <c r="F276" s="1">
        <f>IF(OR($B273&lt;&gt;$B258,$B274&lt;&gt;$B259,$B275&lt;&gt;$B260,$B276&lt;&gt;$B261,$B277&lt;&gt;$B262,$B278&lt;&gt;$B263,$B279&lt;&gt;$B264,$B280&lt;&gt;$B265,$B281&lt;&gt;$B266,$B282&lt;&gt;$B267,$B283&lt;&gt;$B268),IF($B276&lt;&gt;$B261,F261/INDEX($C258:$AJ268,4,MATCH(IF('Data-solution'!$A$3="Maximize",MAX($C269:$AI269),MIN($C269:$AI269)),$C269:$AI269,0)),F261-INDEX($C258:$AJ268,4,MATCH(IF('Data-solution'!$A$3="Maximize",MAX($C269:$AI269),MIN($C269:$AI269)),$C269:$AI269,0))*INDEX(F258:$AJ268,MATCH(MIN($AK258:$AK268),$AK258:$AK268,0),1)/INDEX($C258:$AJ268,MATCH(MIN($AK258:$AK268),$AK258:$AK268,0),MATCH(IF('Data-solution'!$A$3="Maximize",MAX($C269:$AI269),MIN($C269:$AI269)),$C269:$AI269,0))),F261)</f>
        <v>0</v>
      </c>
      <c r="G276" s="1">
        <f>IF(OR($B273&lt;&gt;$B258,$B274&lt;&gt;$B259,$B275&lt;&gt;$B260,$B276&lt;&gt;$B261,$B277&lt;&gt;$B262,$B278&lt;&gt;$B263,$B279&lt;&gt;$B264,$B280&lt;&gt;$B265,$B281&lt;&gt;$B266,$B282&lt;&gt;$B267,$B283&lt;&gt;$B268),IF($B276&lt;&gt;$B261,G261/INDEX($C258:$AJ268,4,MATCH(IF('Data-solution'!$A$3="Maximize",MAX($C269:$AI269),MIN($C269:$AI269)),$C269:$AI269,0)),G261-INDEX($C258:$AJ268,4,MATCH(IF('Data-solution'!$A$3="Maximize",MAX($C269:$AI269),MIN($C269:$AI269)),$C269:$AI269,0))*INDEX(G258:$AJ268,MATCH(MIN($AK258:$AK268),$AK258:$AK268,0),1)/INDEX($C258:$AJ268,MATCH(MIN($AK258:$AK268),$AK258:$AK268,0),MATCH(IF('Data-solution'!$A$3="Maximize",MAX($C269:$AI269),MIN($C269:$AI269)),$C269:$AI269,0))),G261)</f>
        <v>0</v>
      </c>
      <c r="H276" s="1">
        <f>IF(OR($B273&lt;&gt;$B258,$B274&lt;&gt;$B259,$B275&lt;&gt;$B260,$B276&lt;&gt;$B261,$B277&lt;&gt;$B262,$B278&lt;&gt;$B263,$B279&lt;&gt;$B264,$B280&lt;&gt;$B265,$B281&lt;&gt;$B266,$B282&lt;&gt;$B267,$B283&lt;&gt;$B268),IF($B276&lt;&gt;$B261,H261/INDEX($C258:$AJ268,4,MATCH(IF('Data-solution'!$A$3="Maximize",MAX($C269:$AI269),MIN($C269:$AI269)),$C269:$AI269,0)),H261-INDEX($C258:$AJ268,4,MATCH(IF('Data-solution'!$A$3="Maximize",MAX($C269:$AI269),MIN($C269:$AI269)),$C269:$AI269,0))*INDEX(H258:$AJ268,MATCH(MIN($AK258:$AK268),$AK258:$AK268,0),1)/INDEX($C258:$AJ268,MATCH(MIN($AK258:$AK268),$AK258:$AK268,0),MATCH(IF('Data-solution'!$A$3="Maximize",MAX($C269:$AI269),MIN($C269:$AI269)),$C269:$AI269,0))),H261)</f>
        <v>0</v>
      </c>
      <c r="I276" s="1">
        <f>IF(OR($B273&lt;&gt;$B258,$B274&lt;&gt;$B259,$B275&lt;&gt;$B260,$B276&lt;&gt;$B261,$B277&lt;&gt;$B262,$B278&lt;&gt;$B263,$B279&lt;&gt;$B264,$B280&lt;&gt;$B265,$B281&lt;&gt;$B266,$B282&lt;&gt;$B267,$B283&lt;&gt;$B268),IF($B276&lt;&gt;$B261,I261/INDEX($C258:$AJ268,4,MATCH(IF('Data-solution'!$A$3="Maximize",MAX($C269:$AI269),MIN($C269:$AI269)),$C269:$AI269,0)),I261-INDEX($C258:$AJ268,4,MATCH(IF('Data-solution'!$A$3="Maximize",MAX($C269:$AI269),MIN($C269:$AI269)),$C269:$AI269,0))*INDEX(I258:$AJ268,MATCH(MIN($AK258:$AK268),$AK258:$AK268,0),1)/INDEX($C258:$AJ268,MATCH(MIN($AK258:$AK268),$AK258:$AK268,0),MATCH(IF('Data-solution'!$A$3="Maximize",MAX($C269:$AI269),MIN($C269:$AI269)),$C269:$AI269,0))),I261)</f>
        <v>0</v>
      </c>
      <c r="J276" s="1">
        <f>IF(OR($B273&lt;&gt;$B258,$B274&lt;&gt;$B259,$B275&lt;&gt;$B260,$B276&lt;&gt;$B261,$B277&lt;&gt;$B262,$B278&lt;&gt;$B263,$B279&lt;&gt;$B264,$B280&lt;&gt;$B265,$B281&lt;&gt;$B266,$B282&lt;&gt;$B267,$B283&lt;&gt;$B268),IF($B276&lt;&gt;$B261,J261/INDEX($C258:$AJ268,4,MATCH(IF('Data-solution'!$A$3="Maximize",MAX($C269:$AI269),MIN($C269:$AI269)),$C269:$AI269,0)),J261-INDEX($C258:$AJ268,4,MATCH(IF('Data-solution'!$A$3="Maximize",MAX($C269:$AI269),MIN($C269:$AI269)),$C269:$AI269,0))*INDEX(J258:$AJ268,MATCH(MIN($AK258:$AK268),$AK258:$AK268,0),1)/INDEX($C258:$AJ268,MATCH(MIN($AK258:$AK268),$AK258:$AK268,0),MATCH(IF('Data-solution'!$A$3="Maximize",MAX($C269:$AI269),MIN($C269:$AI269)),$C269:$AI269,0))),J261)</f>
        <v>0</v>
      </c>
      <c r="K276" s="1">
        <f>IF(OR($B273&lt;&gt;$B258,$B274&lt;&gt;$B259,$B275&lt;&gt;$B260,$B276&lt;&gt;$B261,$B277&lt;&gt;$B262,$B278&lt;&gt;$B263,$B279&lt;&gt;$B264,$B280&lt;&gt;$B265,$B281&lt;&gt;$B266,$B282&lt;&gt;$B267,$B283&lt;&gt;$B268),IF($B276&lt;&gt;$B261,K261/INDEX($C258:$AJ268,4,MATCH(IF('Data-solution'!$A$3="Maximize",MAX($C269:$AI269),MIN($C269:$AI269)),$C269:$AI269,0)),K261-INDEX($C258:$AJ268,4,MATCH(IF('Data-solution'!$A$3="Maximize",MAX($C269:$AI269),MIN($C269:$AI269)),$C269:$AI269,0))*INDEX(K258:$AJ268,MATCH(MIN($AK258:$AK268),$AK258:$AK268,0),1)/INDEX($C258:$AJ268,MATCH(MIN($AK258:$AK268),$AK258:$AK268,0),MATCH(IF('Data-solution'!$A$3="Maximize",MAX($C269:$AI269),MIN($C269:$AI269)),$C269:$AI269,0))),K261)</f>
        <v>0</v>
      </c>
      <c r="L276" s="1">
        <f>IF(OR($B273&lt;&gt;$B258,$B274&lt;&gt;$B259,$B275&lt;&gt;$B260,$B276&lt;&gt;$B261,$B277&lt;&gt;$B262,$B278&lt;&gt;$B263,$B279&lt;&gt;$B264,$B280&lt;&gt;$B265,$B281&lt;&gt;$B266,$B282&lt;&gt;$B267,$B283&lt;&gt;$B268),IF($B276&lt;&gt;$B261,L261/INDEX($C258:$AJ268,4,MATCH(IF('Data-solution'!$A$3="Maximize",MAX($C269:$AI269),MIN($C269:$AI269)),$C269:$AI269,0)),L261-INDEX($C258:$AJ268,4,MATCH(IF('Data-solution'!$A$3="Maximize",MAX($C269:$AI269),MIN($C269:$AI269)),$C269:$AI269,0))*INDEX(L258:$AJ268,MATCH(MIN($AK258:$AK268),$AK258:$AK268,0),1)/INDEX($C258:$AJ268,MATCH(MIN($AK258:$AK268),$AK258:$AK268,0),MATCH(IF('Data-solution'!$A$3="Maximize",MAX($C269:$AI269),MIN($C269:$AI269)),$C269:$AI269,0))),L261)</f>
        <v>0</v>
      </c>
      <c r="M276" s="1">
        <f>IF(OR($B273&lt;&gt;$B258,$B274&lt;&gt;$B259,$B275&lt;&gt;$B260,$B276&lt;&gt;$B261,$B277&lt;&gt;$B262,$B278&lt;&gt;$B263,$B279&lt;&gt;$B264,$B280&lt;&gt;$B265,$B281&lt;&gt;$B266,$B282&lt;&gt;$B267,$B283&lt;&gt;$B268),IF($B276&lt;&gt;$B261,M261/INDEX($C258:$AJ268,4,MATCH(IF('Data-solution'!$A$3="Maximize",MAX($C269:$AI269),MIN($C269:$AI269)),$C269:$AI269,0)),M261-INDEX($C258:$AJ268,4,MATCH(IF('Data-solution'!$A$3="Maximize",MAX($C269:$AI269),MIN($C269:$AI269)),$C269:$AI269,0))*INDEX(M258:$AJ268,MATCH(MIN($AK258:$AK268),$AK258:$AK268,0),1)/INDEX($C258:$AJ268,MATCH(MIN($AK258:$AK268),$AK258:$AK268,0),MATCH(IF('Data-solution'!$A$3="Maximize",MAX($C269:$AI269),MIN($C269:$AI269)),$C269:$AI269,0))),M261)</f>
        <v>0</v>
      </c>
      <c r="N276" s="1">
        <f>IF(OR($B273&lt;&gt;$B258,$B274&lt;&gt;$B259,$B275&lt;&gt;$B260,$B276&lt;&gt;$B261,$B277&lt;&gt;$B262,$B278&lt;&gt;$B263,$B279&lt;&gt;$B264,$B280&lt;&gt;$B265,$B281&lt;&gt;$B266,$B282&lt;&gt;$B267,$B283&lt;&gt;$B268),IF($B276&lt;&gt;$B261,N261/INDEX($C258:$AJ268,4,MATCH(IF('Data-solution'!$A$3="Maximize",MAX($C269:$AI269),MIN($C269:$AI269)),$C269:$AI269,0)),N261-INDEX($C258:$AJ268,4,MATCH(IF('Data-solution'!$A$3="Maximize",MAX($C269:$AI269),MIN($C269:$AI269)),$C269:$AI269,0))*INDEX(N258:$AJ268,MATCH(MIN($AK258:$AK268),$AK258:$AK268,0),1)/INDEX($C258:$AJ268,MATCH(MIN($AK258:$AK268),$AK258:$AK268,0),MATCH(IF('Data-solution'!$A$3="Maximize",MAX($C269:$AI269),MIN($C269:$AI269)),$C269:$AI269,0))),N261)</f>
        <v>0</v>
      </c>
      <c r="O276" s="1">
        <f>IF(OR($B273&lt;&gt;$B258,$B274&lt;&gt;$B259,$B275&lt;&gt;$B260,$B276&lt;&gt;$B261,$B277&lt;&gt;$B262,$B278&lt;&gt;$B263,$B279&lt;&gt;$B264,$B280&lt;&gt;$B265,$B281&lt;&gt;$B266,$B282&lt;&gt;$B267,$B283&lt;&gt;$B268),IF($B276&lt;&gt;$B261,O261/INDEX($C258:$AJ268,4,MATCH(IF('Data-solution'!$A$3="Maximize",MAX($C269:$AI269),MIN($C269:$AI269)),$C269:$AI269,0)),O261-INDEX($C258:$AJ268,4,MATCH(IF('Data-solution'!$A$3="Maximize",MAX($C269:$AI269),MIN($C269:$AI269)),$C269:$AI269,0))*INDEX(O258:$AJ268,MATCH(MIN($AK258:$AK268),$AK258:$AK268,0),1)/INDEX($C258:$AJ268,MATCH(MIN($AK258:$AK268),$AK258:$AK268,0),MATCH(IF('Data-solution'!$A$3="Maximize",MAX($C269:$AI269),MIN($C269:$AI269)),$C269:$AI269,0))),O261)</f>
        <v>0</v>
      </c>
      <c r="P276" s="1">
        <f>IF(OR($B273&lt;&gt;$B258,$B274&lt;&gt;$B259,$B275&lt;&gt;$B260,$B276&lt;&gt;$B261,$B277&lt;&gt;$B262,$B278&lt;&gt;$B263,$B279&lt;&gt;$B264,$B280&lt;&gt;$B265,$B281&lt;&gt;$B266,$B282&lt;&gt;$B267,$B283&lt;&gt;$B268),IF($B276&lt;&gt;$B261,P261/INDEX($C258:$AJ268,4,MATCH(IF('Data-solution'!$A$3="Maximize",MAX($C269:$AI269),MIN($C269:$AI269)),$C269:$AI269,0)),P261-INDEX($C258:$AJ268,4,MATCH(IF('Data-solution'!$A$3="Maximize",MAX($C269:$AI269),MIN($C269:$AI269)),$C269:$AI269,0))*INDEX(P258:$AJ268,MATCH(MIN($AK258:$AK268),$AK258:$AK268,0),1)/INDEX($C258:$AJ268,MATCH(MIN($AK258:$AK268),$AK258:$AK268,0),MATCH(IF('Data-solution'!$A$3="Maximize",MAX($C269:$AI269),MIN($C269:$AI269)),$C269:$AI269,0))),P261)</f>
        <v>-0.24999999999999994</v>
      </c>
      <c r="Q276" s="1">
        <f>IF(OR($B273&lt;&gt;$B258,$B274&lt;&gt;$B259,$B275&lt;&gt;$B260,$B276&lt;&gt;$B261,$B277&lt;&gt;$B262,$B278&lt;&gt;$B263,$B279&lt;&gt;$B264,$B280&lt;&gt;$B265,$B281&lt;&gt;$B266,$B282&lt;&gt;$B267,$B283&lt;&gt;$B268),IF($B276&lt;&gt;$B261,Q261/INDEX($C258:$AJ268,4,MATCH(IF('Data-solution'!$A$3="Maximize",MAX($C269:$AI269),MIN($C269:$AI269)),$C269:$AI269,0)),Q261-INDEX($C258:$AJ268,4,MATCH(IF('Data-solution'!$A$3="Maximize",MAX($C269:$AI269),MIN($C269:$AI269)),$C269:$AI269,0))*INDEX(Q258:$AJ268,MATCH(MIN($AK258:$AK268),$AK258:$AK268,0),1)/INDEX($C258:$AJ268,MATCH(MIN($AK258:$AK268),$AK258:$AK268,0),MATCH(IF('Data-solution'!$A$3="Maximize",MAX($C269:$AI269),MIN($C269:$AI269)),$C269:$AI269,0))),Q261)</f>
        <v>1.4999999999999998</v>
      </c>
      <c r="R276" s="1">
        <f>IF(OR($B273&lt;&gt;$B258,$B274&lt;&gt;$B259,$B275&lt;&gt;$B260,$B276&lt;&gt;$B261,$B277&lt;&gt;$B262,$B278&lt;&gt;$B263,$B279&lt;&gt;$B264,$B280&lt;&gt;$B265,$B281&lt;&gt;$B266,$B282&lt;&gt;$B267,$B283&lt;&gt;$B268),IF($B276&lt;&gt;$B261,R261/INDEX($C258:$AJ268,4,MATCH(IF('Data-solution'!$A$3="Maximize",MAX($C269:$AI269),MIN($C269:$AI269)),$C269:$AI269,0)),R261-INDEX($C258:$AJ268,4,MATCH(IF('Data-solution'!$A$3="Maximize",MAX($C269:$AI269),MIN($C269:$AI269)),$C269:$AI269,0))*INDEX(R258:$AJ268,MATCH(MIN($AK258:$AK268),$AK258:$AK268,0),1)/INDEX($C258:$AJ268,MATCH(MIN($AK258:$AK268),$AK258:$AK268,0),MATCH(IF('Data-solution'!$A$3="Maximize",MAX($C269:$AI269),MIN($C269:$AI269)),$C269:$AI269,0))),R261)</f>
        <v>0</v>
      </c>
      <c r="S276" s="1">
        <f>IF(OR($B273&lt;&gt;$B258,$B274&lt;&gt;$B259,$B275&lt;&gt;$B260,$B276&lt;&gt;$B261,$B277&lt;&gt;$B262,$B278&lt;&gt;$B263,$B279&lt;&gt;$B264,$B280&lt;&gt;$B265,$B281&lt;&gt;$B266,$B282&lt;&gt;$B267,$B283&lt;&gt;$B268),IF($B276&lt;&gt;$B261,S261/INDEX($C258:$AJ268,4,MATCH(IF('Data-solution'!$A$3="Maximize",MAX($C269:$AI269),MIN($C269:$AI269)),$C269:$AI269,0)),S261-INDEX($C258:$AJ268,4,MATCH(IF('Data-solution'!$A$3="Maximize",MAX($C269:$AI269),MIN($C269:$AI269)),$C269:$AI269,0))*INDEX(S258:$AJ268,MATCH(MIN($AK258:$AK268),$AK258:$AK268,0),1)/INDEX($C258:$AJ268,MATCH(MIN($AK258:$AK268),$AK258:$AK268,0),MATCH(IF('Data-solution'!$A$3="Maximize",MAX($C269:$AI269),MIN($C269:$AI269)),$C269:$AI269,0))),S261)</f>
        <v>0</v>
      </c>
      <c r="T276" s="1">
        <f>IF(OR($B273&lt;&gt;$B258,$B274&lt;&gt;$B259,$B275&lt;&gt;$B260,$B276&lt;&gt;$B261,$B277&lt;&gt;$B262,$B278&lt;&gt;$B263,$B279&lt;&gt;$B264,$B280&lt;&gt;$B265,$B281&lt;&gt;$B266,$B282&lt;&gt;$B267,$B283&lt;&gt;$B268),IF($B276&lt;&gt;$B261,T261/INDEX($C258:$AJ268,4,MATCH(IF('Data-solution'!$A$3="Maximize",MAX($C269:$AI269),MIN($C269:$AI269)),$C269:$AI269,0)),T261-INDEX($C258:$AJ268,4,MATCH(IF('Data-solution'!$A$3="Maximize",MAX($C269:$AI269),MIN($C269:$AI269)),$C269:$AI269,0))*INDEX(T258:$AJ268,MATCH(MIN($AK258:$AK268),$AK258:$AK268,0),1)/INDEX($C258:$AJ268,MATCH(MIN($AK258:$AK268),$AK258:$AK268,0),MATCH(IF('Data-solution'!$A$3="Maximize",MAX($C269:$AI269),MIN($C269:$AI269)),$C269:$AI269,0))),T261)</f>
        <v>0</v>
      </c>
      <c r="U276" s="1">
        <f>IF(OR($B273&lt;&gt;$B258,$B274&lt;&gt;$B259,$B275&lt;&gt;$B260,$B276&lt;&gt;$B261,$B277&lt;&gt;$B262,$B278&lt;&gt;$B263,$B279&lt;&gt;$B264,$B280&lt;&gt;$B265,$B281&lt;&gt;$B266,$B282&lt;&gt;$B267,$B283&lt;&gt;$B268),IF($B276&lt;&gt;$B261,U261/INDEX($C258:$AJ268,4,MATCH(IF('Data-solution'!$A$3="Maximize",MAX($C269:$AI269),MIN($C269:$AI269)),$C269:$AI269,0)),U261-INDEX($C258:$AJ268,4,MATCH(IF('Data-solution'!$A$3="Maximize",MAX($C269:$AI269),MIN($C269:$AI269)),$C269:$AI269,0))*INDEX(U258:$AJ268,MATCH(MIN($AK258:$AK268),$AK258:$AK268,0),1)/INDEX($C258:$AJ268,MATCH(MIN($AK258:$AK268),$AK258:$AK268,0),MATCH(IF('Data-solution'!$A$3="Maximize",MAX($C269:$AI269),MIN($C269:$AI269)),$C269:$AI269,0))),U261)</f>
        <v>0</v>
      </c>
      <c r="V276" s="1">
        <f>IF(OR($B273&lt;&gt;$B258,$B274&lt;&gt;$B259,$B275&lt;&gt;$B260,$B276&lt;&gt;$B261,$B277&lt;&gt;$B262,$B278&lt;&gt;$B263,$B279&lt;&gt;$B264,$B280&lt;&gt;$B265,$B281&lt;&gt;$B266,$B282&lt;&gt;$B267,$B283&lt;&gt;$B268),IF($B276&lt;&gt;$B261,V261/INDEX($C258:$AJ268,4,MATCH(IF('Data-solution'!$A$3="Maximize",MAX($C269:$AI269),MIN($C269:$AI269)),$C269:$AI269,0)),V261-INDEX($C258:$AJ268,4,MATCH(IF('Data-solution'!$A$3="Maximize",MAX($C269:$AI269),MIN($C269:$AI269)),$C269:$AI269,0))*INDEX(V258:$AJ268,MATCH(MIN($AK258:$AK268),$AK258:$AK268,0),1)/INDEX($C258:$AJ268,MATCH(MIN($AK258:$AK268),$AK258:$AK268,0),MATCH(IF('Data-solution'!$A$3="Maximize",MAX($C269:$AI269),MIN($C269:$AI269)),$C269:$AI269,0))),V261)</f>
        <v>0</v>
      </c>
      <c r="W276" s="1">
        <f>IF(OR($B273&lt;&gt;$B258,$B274&lt;&gt;$B259,$B275&lt;&gt;$B260,$B276&lt;&gt;$B261,$B277&lt;&gt;$B262,$B278&lt;&gt;$B263,$B279&lt;&gt;$B264,$B280&lt;&gt;$B265,$B281&lt;&gt;$B266,$B282&lt;&gt;$B267,$B283&lt;&gt;$B268),IF($B276&lt;&gt;$B261,W261/INDEX($C258:$AJ268,4,MATCH(IF('Data-solution'!$A$3="Maximize",MAX($C269:$AI269),MIN($C269:$AI269)),$C269:$AI269,0)),W261-INDEX($C258:$AJ268,4,MATCH(IF('Data-solution'!$A$3="Maximize",MAX($C269:$AI269),MIN($C269:$AI269)),$C269:$AI269,0))*INDEX(W258:$AJ268,MATCH(MIN($AK258:$AK268),$AK258:$AK268,0),1)/INDEX($C258:$AJ268,MATCH(MIN($AK258:$AK268),$AK258:$AK268,0),MATCH(IF('Data-solution'!$A$3="Maximize",MAX($C269:$AI269),MIN($C269:$AI269)),$C269:$AI269,0))),W261)</f>
        <v>0</v>
      </c>
      <c r="X276" s="1">
        <f>IF(OR($B273&lt;&gt;$B258,$B274&lt;&gt;$B259,$B275&lt;&gt;$B260,$B276&lt;&gt;$B261,$B277&lt;&gt;$B262,$B278&lt;&gt;$B263,$B279&lt;&gt;$B264,$B280&lt;&gt;$B265,$B281&lt;&gt;$B266,$B282&lt;&gt;$B267,$B283&lt;&gt;$B268),IF($B276&lt;&gt;$B261,X261/INDEX($C258:$AJ268,4,MATCH(IF('Data-solution'!$A$3="Maximize",MAX($C269:$AI269),MIN($C269:$AI269)),$C269:$AI269,0)),X261-INDEX($C258:$AJ268,4,MATCH(IF('Data-solution'!$A$3="Maximize",MAX($C269:$AI269),MIN($C269:$AI269)),$C269:$AI269,0))*INDEX(X258:$AJ268,MATCH(MIN($AK258:$AK268),$AK258:$AK268,0),1)/INDEX($C258:$AJ268,MATCH(MIN($AK258:$AK268),$AK258:$AK268,0),MATCH(IF('Data-solution'!$A$3="Maximize",MAX($C269:$AI269),MIN($C269:$AI269)),$C269:$AI269,0))),X261)</f>
        <v>0</v>
      </c>
      <c r="Y276" s="1">
        <f>IF(OR($B273&lt;&gt;$B258,$B274&lt;&gt;$B259,$B275&lt;&gt;$B260,$B276&lt;&gt;$B261,$B277&lt;&gt;$B262,$B278&lt;&gt;$B263,$B279&lt;&gt;$B264,$B280&lt;&gt;$B265,$B281&lt;&gt;$B266,$B282&lt;&gt;$B267,$B283&lt;&gt;$B268),IF($B276&lt;&gt;$B261,Y261/INDEX($C258:$AJ268,4,MATCH(IF('Data-solution'!$A$3="Maximize",MAX($C269:$AI269),MIN($C269:$AI269)),$C269:$AI269,0)),Y261-INDEX($C258:$AJ268,4,MATCH(IF('Data-solution'!$A$3="Maximize",MAX($C269:$AI269),MIN($C269:$AI269)),$C269:$AI269,0))*INDEX(Y258:$AJ268,MATCH(MIN($AK258:$AK268),$AK258:$AK268,0),1)/INDEX($C258:$AJ268,MATCH(MIN($AK258:$AK268),$AK258:$AK268,0),MATCH(IF('Data-solution'!$A$3="Maximize",MAX($C269:$AI269),MIN($C269:$AI269)),$C269:$AI269,0))),Y261)</f>
        <v>0</v>
      </c>
      <c r="Z276" s="1">
        <f>IF(OR($B273&lt;&gt;$B258,$B274&lt;&gt;$B259,$B275&lt;&gt;$B260,$B276&lt;&gt;$B261,$B277&lt;&gt;$B262,$B278&lt;&gt;$B263,$B279&lt;&gt;$B264,$B280&lt;&gt;$B265,$B281&lt;&gt;$B266,$B282&lt;&gt;$B267,$B283&lt;&gt;$B268),IF($B276&lt;&gt;$B261,Z261/INDEX($C258:$AJ268,4,MATCH(IF('Data-solution'!$A$3="Maximize",MAX($C269:$AI269),MIN($C269:$AI269)),$C269:$AI269,0)),Z261-INDEX($C258:$AJ268,4,MATCH(IF('Data-solution'!$A$3="Maximize",MAX($C269:$AI269),MIN($C269:$AI269)),$C269:$AI269,0))*INDEX(Z258:$AJ268,MATCH(MIN($AK258:$AK268),$AK258:$AK268,0),1)/INDEX($C258:$AJ268,MATCH(MIN($AK258:$AK268),$AK258:$AK268,0),MATCH(IF('Data-solution'!$A$3="Maximize",MAX($C269:$AI269),MIN($C269:$AI269)),$C269:$AI269,0))),Z261)</f>
        <v>0</v>
      </c>
      <c r="AA276" s="1">
        <f>IF(OR($B273&lt;&gt;$B258,$B274&lt;&gt;$B259,$B275&lt;&gt;$B260,$B276&lt;&gt;$B261,$B277&lt;&gt;$B262,$B278&lt;&gt;$B263,$B279&lt;&gt;$B264,$B280&lt;&gt;$B265,$B281&lt;&gt;$B266,$B282&lt;&gt;$B267,$B283&lt;&gt;$B268),IF($B276&lt;&gt;$B261,AA261/INDEX($C258:$AJ268,4,MATCH(IF('Data-solution'!$A$3="Maximize",MAX($C269:$AI269),MIN($C269:$AI269)),$C269:$AI269,0)),AA261-INDEX($C258:$AJ268,4,MATCH(IF('Data-solution'!$A$3="Maximize",MAX($C269:$AI269),MIN($C269:$AI269)),$C269:$AI269,0))*INDEX(AA258:$AJ268,MATCH(MIN($AK258:$AK268),$AK258:$AK268,0),1)/INDEX($C258:$AJ268,MATCH(MIN($AK258:$AK268),$AK258:$AK268,0),MATCH(IF('Data-solution'!$A$3="Maximize",MAX($C269:$AI269),MIN($C269:$AI269)),$C269:$AI269,0))),AA261)</f>
        <v>-0.24999999999999994</v>
      </c>
      <c r="AB276" s="1">
        <f>IF(OR($B273&lt;&gt;$B258,$B274&lt;&gt;$B259,$B275&lt;&gt;$B260,$B276&lt;&gt;$B261,$B277&lt;&gt;$B262,$B278&lt;&gt;$B263,$B279&lt;&gt;$B264,$B280&lt;&gt;$B265,$B281&lt;&gt;$B266,$B282&lt;&gt;$B267,$B283&lt;&gt;$B268),IF($B276&lt;&gt;$B261,AB261/INDEX($C258:$AJ268,4,MATCH(IF('Data-solution'!$A$3="Maximize",MAX($C269:$AI269),MIN($C269:$AI269)),$C269:$AI269,0)),AB261-INDEX($C258:$AJ268,4,MATCH(IF('Data-solution'!$A$3="Maximize",MAX($C269:$AI269),MIN($C269:$AI269)),$C269:$AI269,0))*INDEX(AB258:$AJ268,MATCH(MIN($AK258:$AK268),$AK258:$AK268,0),1)/INDEX($C258:$AJ268,MATCH(MIN($AK258:$AK268),$AK258:$AK268,0),MATCH(IF('Data-solution'!$A$3="Maximize",MAX($C269:$AI269),MIN($C269:$AI269)),$C269:$AI269,0))),AB261)</f>
        <v>1.4999999999999998</v>
      </c>
      <c r="AC276" s="1">
        <f>IF(OR($B273&lt;&gt;$B258,$B274&lt;&gt;$B259,$B275&lt;&gt;$B260,$B276&lt;&gt;$B261,$B277&lt;&gt;$B262,$B278&lt;&gt;$B263,$B279&lt;&gt;$B264,$B280&lt;&gt;$B265,$B281&lt;&gt;$B266,$B282&lt;&gt;$B267,$B283&lt;&gt;$B268),IF($B276&lt;&gt;$B261,AC261/INDEX($C258:$AJ268,4,MATCH(IF('Data-solution'!$A$3="Maximize",MAX($C269:$AI269),MIN($C269:$AI269)),$C269:$AI269,0)),AC261-INDEX($C258:$AJ268,4,MATCH(IF('Data-solution'!$A$3="Maximize",MAX($C269:$AI269),MIN($C269:$AI269)),$C269:$AI269,0))*INDEX(AC258:$AJ268,MATCH(MIN($AK258:$AK268),$AK258:$AK268,0),1)/INDEX($C258:$AJ268,MATCH(MIN($AK258:$AK268),$AK258:$AK268,0),MATCH(IF('Data-solution'!$A$3="Maximize",MAX($C269:$AI269),MIN($C269:$AI269)),$C269:$AI269,0))),AC261)</f>
        <v>0</v>
      </c>
      <c r="AD276" s="1">
        <f>IF(OR($B273&lt;&gt;$B258,$B274&lt;&gt;$B259,$B275&lt;&gt;$B260,$B276&lt;&gt;$B261,$B277&lt;&gt;$B262,$B278&lt;&gt;$B263,$B279&lt;&gt;$B264,$B280&lt;&gt;$B265,$B281&lt;&gt;$B266,$B282&lt;&gt;$B267,$B283&lt;&gt;$B268),IF($B276&lt;&gt;$B261,AD261/INDEX($C258:$AJ268,4,MATCH(IF('Data-solution'!$A$3="Maximize",MAX($C269:$AI269),MIN($C269:$AI269)),$C269:$AI269,0)),AD261-INDEX($C258:$AJ268,4,MATCH(IF('Data-solution'!$A$3="Maximize",MAX($C269:$AI269),MIN($C269:$AI269)),$C269:$AI269,0))*INDEX(AD258:$AJ268,MATCH(MIN($AK258:$AK268),$AK258:$AK268,0),1)/INDEX($C258:$AJ268,MATCH(MIN($AK258:$AK268),$AK258:$AK268,0),MATCH(IF('Data-solution'!$A$3="Maximize",MAX($C269:$AI269),MIN($C269:$AI269)),$C269:$AI269,0))),AD261)</f>
        <v>0</v>
      </c>
      <c r="AE276" s="1">
        <f>IF(OR($B273&lt;&gt;$B258,$B274&lt;&gt;$B259,$B275&lt;&gt;$B260,$B276&lt;&gt;$B261,$B277&lt;&gt;$B262,$B278&lt;&gt;$B263,$B279&lt;&gt;$B264,$B280&lt;&gt;$B265,$B281&lt;&gt;$B266,$B282&lt;&gt;$B267,$B283&lt;&gt;$B268),IF($B276&lt;&gt;$B261,AE261/INDEX($C258:$AJ268,4,MATCH(IF('Data-solution'!$A$3="Maximize",MAX($C269:$AI269),MIN($C269:$AI269)),$C269:$AI269,0)),AE261-INDEX($C258:$AJ268,4,MATCH(IF('Data-solution'!$A$3="Maximize",MAX($C269:$AI269),MIN($C269:$AI269)),$C269:$AI269,0))*INDEX(AE258:$AJ268,MATCH(MIN($AK258:$AK268),$AK258:$AK268,0),1)/INDEX($C258:$AJ268,MATCH(MIN($AK258:$AK268),$AK258:$AK268,0),MATCH(IF('Data-solution'!$A$3="Maximize",MAX($C269:$AI269),MIN($C269:$AI269)),$C269:$AI269,0))),AE261)</f>
        <v>0</v>
      </c>
      <c r="AF276" s="1">
        <f>IF(OR($B273&lt;&gt;$B258,$B274&lt;&gt;$B259,$B275&lt;&gt;$B260,$B276&lt;&gt;$B261,$B277&lt;&gt;$B262,$B278&lt;&gt;$B263,$B279&lt;&gt;$B264,$B280&lt;&gt;$B265,$B281&lt;&gt;$B266,$B282&lt;&gt;$B267,$B283&lt;&gt;$B268),IF($B276&lt;&gt;$B261,AF261/INDEX($C258:$AJ268,4,MATCH(IF('Data-solution'!$A$3="Maximize",MAX($C269:$AI269),MIN($C269:$AI269)),$C269:$AI269,0)),AF261-INDEX($C258:$AJ268,4,MATCH(IF('Data-solution'!$A$3="Maximize",MAX($C269:$AI269),MIN($C269:$AI269)),$C269:$AI269,0))*INDEX(AF258:$AJ268,MATCH(MIN($AK258:$AK268),$AK258:$AK268,0),1)/INDEX($C258:$AJ268,MATCH(MIN($AK258:$AK268),$AK258:$AK268,0),MATCH(IF('Data-solution'!$A$3="Maximize",MAX($C269:$AI269),MIN($C269:$AI269)),$C269:$AI269,0))),AF261)</f>
        <v>0</v>
      </c>
      <c r="AG276" s="1">
        <f>IF(OR($B273&lt;&gt;$B258,$B274&lt;&gt;$B259,$B275&lt;&gt;$B260,$B276&lt;&gt;$B261,$B277&lt;&gt;$B262,$B278&lt;&gt;$B263,$B279&lt;&gt;$B264,$B280&lt;&gt;$B265,$B281&lt;&gt;$B266,$B282&lt;&gt;$B267,$B283&lt;&gt;$B268),IF($B276&lt;&gt;$B261,AG261/INDEX($C258:$AJ268,4,MATCH(IF('Data-solution'!$A$3="Maximize",MAX($C269:$AI269),MIN($C269:$AI269)),$C269:$AI269,0)),AG261-INDEX($C258:$AJ268,4,MATCH(IF('Data-solution'!$A$3="Maximize",MAX($C269:$AI269),MIN($C269:$AI269)),$C269:$AI269,0))*INDEX(AG258:$AJ268,MATCH(MIN($AK258:$AK268),$AK258:$AK268,0),1)/INDEX($C258:$AJ268,MATCH(MIN($AK258:$AK268),$AK258:$AK268,0),MATCH(IF('Data-solution'!$A$3="Maximize",MAX($C269:$AI269),MIN($C269:$AI269)),$C269:$AI269,0))),AG261)</f>
        <v>0</v>
      </c>
      <c r="AH276" s="1">
        <f>IF(OR($B273&lt;&gt;$B258,$B274&lt;&gt;$B259,$B275&lt;&gt;$B260,$B276&lt;&gt;$B261,$B277&lt;&gt;$B262,$B278&lt;&gt;$B263,$B279&lt;&gt;$B264,$B280&lt;&gt;$B265,$B281&lt;&gt;$B266,$B282&lt;&gt;$B267,$B283&lt;&gt;$B268),IF($B276&lt;&gt;$B261,AH261/INDEX($C258:$AJ268,4,MATCH(IF('Data-solution'!$A$3="Maximize",MAX($C269:$AI269),MIN($C269:$AI269)),$C269:$AI269,0)),AH261-INDEX($C258:$AJ268,4,MATCH(IF('Data-solution'!$A$3="Maximize",MAX($C269:$AI269),MIN($C269:$AI269)),$C269:$AI269,0))*INDEX(AH258:$AJ268,MATCH(MIN($AK258:$AK268),$AK258:$AK268,0),1)/INDEX($C258:$AJ268,MATCH(MIN($AK258:$AK268),$AK258:$AK268,0),MATCH(IF('Data-solution'!$A$3="Maximize",MAX($C269:$AI269),MIN($C269:$AI269)),$C269:$AI269,0))),AH261)</f>
        <v>0</v>
      </c>
      <c r="AI276" s="1">
        <f>IF(OR($B273&lt;&gt;$B258,$B274&lt;&gt;$B259,$B275&lt;&gt;$B260,$B276&lt;&gt;$B261,$B277&lt;&gt;$B262,$B278&lt;&gt;$B263,$B279&lt;&gt;$B264,$B280&lt;&gt;$B265,$B281&lt;&gt;$B266,$B282&lt;&gt;$B267,$B283&lt;&gt;$B268),IF($B276&lt;&gt;$B261,AI261/INDEX($C258:$AJ268,4,MATCH(IF('Data-solution'!$A$3="Maximize",MAX($C269:$AI269),MIN($C269:$AI269)),$C269:$AI269,0)),AI261-INDEX($C258:$AJ268,4,MATCH(IF('Data-solution'!$A$3="Maximize",MAX($C269:$AI269),MIN($C269:$AI269)),$C269:$AI269,0))*INDEX(AI258:$AJ268,MATCH(MIN($AK258:$AK268),$AK258:$AK268,0),1)/INDEX($C258:$AJ268,MATCH(MIN($AK258:$AK268),$AK258:$AK268,0),MATCH(IF('Data-solution'!$A$3="Maximize",MAX($C269:$AI269),MIN($C269:$AI269)),$C269:$AI269,0))),AI261)</f>
        <v>0</v>
      </c>
      <c r="AJ276" s="1">
        <f>IF(OR($B273&lt;&gt;$B258,$B274&lt;&gt;$B259,$B275&lt;&gt;$B260,$B276&lt;&gt;$B261,$B277&lt;&gt;$B262,$B278&lt;&gt;$B263,$B279&lt;&gt;$B264,$B280&lt;&gt;$B265,$B281&lt;&gt;$B266,$B282&lt;&gt;$B267,$B283&lt;&gt;$B268),IF($B276&lt;&gt;$B261,AJ261/INDEX($C258:$AJ268,4,MATCH(IF('Data-solution'!$A$3="Maximize",MAX($C269:$AI269),MIN($C269:$AI269)),$C269:$AI269,0)),AJ261-INDEX($C258:$AJ268,4,MATCH(IF('Data-solution'!$A$3="Maximize",MAX($C269:$AI269),MIN($C269:$AI269)),$C269:$AI269,0))*INDEX(AJ258:$AJ268,MATCH(MIN($AK258:$AK268),$AK258:$AK268,0),1)/INDEX($C258:$AJ268,MATCH(MIN($AK258:$AK268),$AK258:$AK268,0),MATCH(IF('Data-solution'!$A$3="Maximize",MAX($C269:$AI269),MIN($C269:$AI269)),$C269:$AI269,0))),AJ261)</f>
        <v>100.00000000000001</v>
      </c>
      <c r="AK276" s="1">
        <f>IF(INDEX(C276:X276,1,MATCH(IF('Data-solution'!A$3="Maximize",MAX(C284:X284),MIN(C284:X284)),C284:X284,0))&gt;0,AJ276/INDEX(C276:X276,1,MATCH(IF('Data-solution'!A$3="Maximize",MAX(C284:X284),MIN(C284:X284)),C284:X284,0))," ")</f>
        <v>100.00000000000001</v>
      </c>
    </row>
    <row r="277" spans="1:37" ht="18" customHeight="1" x14ac:dyDescent="0.2">
      <c r="A277" s="1">
        <f t="shared" ref="A277" si="248">INDEX(C271:AI271,1,MATCH(B277,C272:AI272,0))</f>
        <v>0</v>
      </c>
      <c r="B277" s="2" t="str">
        <f>IF(AND('Data-solution'!A$3="Maximize",COUNTIF(C269:X269,"&gt;"&amp;0)&gt;0,AK262=MIN(AK258:AK268),COUNTIF(B273:B276,INDEX(C257:X257,1,MATCH(MAX(C269:X269),C269:X269,0)))=0),INDEX(C257:X257,1,MATCH(MAX(C269:X269),C269:X269,0)),IF(AND('Data-solution'!A$3="Minimize",COUNTIF(C269:X269,"&lt;"&amp;0)&gt;0,AK262=MIN(AK258:AK268),COUNTIF(B273:B276,INDEX(C257:X257,1,MATCH(MIN(C269:X269),C269:X269,0)))=0),INDEX(C257:X257,1,MATCH(MIN(C269:X269),C269:X269,0)),B262))</f>
        <v>S5</v>
      </c>
      <c r="C277" s="1">
        <f>IF(OR($B273&lt;&gt;$B258,$B274&lt;&gt;$B259,$B275&lt;&gt;$B260,$B276&lt;&gt;$B261,$B277&lt;&gt;$B262,$B278&lt;&gt;$B263,$B279&lt;&gt;$B264,$B280&lt;&gt;$B265,$B281&lt;&gt;$B266,$B282&lt;&gt;$B267,$B283&lt;&gt;$B268),IF($B277&lt;&gt;$B262,C262/INDEX($C258:$AJ268,5,MATCH(IF('Data-solution'!$A$3="Maximize",MAX($C269:$AI269),MIN($C269:$AI269)),$C269:$AI269,0)),C262-INDEX($C258:$AJ268,5,MATCH(IF('Data-solution'!$A$3="Maximize",MAX($C269:$AI269),MIN($C269:$AI269)),$C269:$AI269,0))*INDEX(C258:$AJ268,MATCH(MIN($AK258:$AK268),$AK258:$AK268,0),1)/INDEX($C258:$AJ268,MATCH(MIN($AK258:$AK268),$AK258:$AK268,0),MATCH(IF('Data-solution'!$A$3="Maximize",MAX($C269:$AI269),MIN($C269:$AI269)),$C269:$AI269,0))),C262)</f>
        <v>0</v>
      </c>
      <c r="D277" s="1">
        <f>IF(OR($B273&lt;&gt;$B258,$B274&lt;&gt;$B259,$B275&lt;&gt;$B260,$B276&lt;&gt;$B261,$B277&lt;&gt;$B262,$B278&lt;&gt;$B263,$B279&lt;&gt;$B264,$B280&lt;&gt;$B265,$B281&lt;&gt;$B266,$B282&lt;&gt;$B267,$B283&lt;&gt;$B268),IF($B277&lt;&gt;$B262,D262/INDEX($C258:$AJ268,5,MATCH(IF('Data-solution'!$A$3="Maximize",MAX($C269:$AI269),MIN($C269:$AI269)),$C269:$AI269,0)),D262-INDEX($C258:$AJ268,5,MATCH(IF('Data-solution'!$A$3="Maximize",MAX($C269:$AI269),MIN($C269:$AI269)),$C269:$AI269,0))*INDEX(D258:$AJ268,MATCH(MIN($AK258:$AK268),$AK258:$AK268,0),1)/INDEX($C258:$AJ268,MATCH(MIN($AK258:$AK268),$AK258:$AK268,0),MATCH(IF('Data-solution'!$A$3="Maximize",MAX($C269:$AI269),MIN($C269:$AI269)),$C269:$AI269,0))),D262)</f>
        <v>0</v>
      </c>
      <c r="E277" s="1">
        <f>IF(OR($B273&lt;&gt;$B258,$B274&lt;&gt;$B259,$B275&lt;&gt;$B260,$B276&lt;&gt;$B261,$B277&lt;&gt;$B262,$B278&lt;&gt;$B263,$B279&lt;&gt;$B264,$B280&lt;&gt;$B265,$B281&lt;&gt;$B266,$B282&lt;&gt;$B267,$B283&lt;&gt;$B268),IF($B277&lt;&gt;$B262,E262/INDEX($C258:$AJ268,5,MATCH(IF('Data-solution'!$A$3="Maximize",MAX($C269:$AI269),MIN($C269:$AI269)),$C269:$AI269,0)),E262-INDEX($C258:$AJ268,5,MATCH(IF('Data-solution'!$A$3="Maximize",MAX($C269:$AI269),MIN($C269:$AI269)),$C269:$AI269,0))*INDEX(E258:$AJ268,MATCH(MIN($AK258:$AK268),$AK258:$AK268,0),1)/INDEX($C258:$AJ268,MATCH(MIN($AK258:$AK268),$AK258:$AK268,0),MATCH(IF('Data-solution'!$A$3="Maximize",MAX($C269:$AI269),MIN($C269:$AI269)),$C269:$AI269,0))),E262)</f>
        <v>0</v>
      </c>
      <c r="F277" s="1">
        <f>IF(OR($B273&lt;&gt;$B258,$B274&lt;&gt;$B259,$B275&lt;&gt;$B260,$B276&lt;&gt;$B261,$B277&lt;&gt;$B262,$B278&lt;&gt;$B263,$B279&lt;&gt;$B264,$B280&lt;&gt;$B265,$B281&lt;&gt;$B266,$B282&lt;&gt;$B267,$B283&lt;&gt;$B268),IF($B277&lt;&gt;$B262,F262/INDEX($C258:$AJ268,5,MATCH(IF('Data-solution'!$A$3="Maximize",MAX($C269:$AI269),MIN($C269:$AI269)),$C269:$AI269,0)),F262-INDEX($C258:$AJ268,5,MATCH(IF('Data-solution'!$A$3="Maximize",MAX($C269:$AI269),MIN($C269:$AI269)),$C269:$AI269,0))*INDEX(F258:$AJ268,MATCH(MIN($AK258:$AK268),$AK258:$AK268,0),1)/INDEX($C258:$AJ268,MATCH(MIN($AK258:$AK268),$AK258:$AK268,0),MATCH(IF('Data-solution'!$A$3="Maximize",MAX($C269:$AI269),MIN($C269:$AI269)),$C269:$AI269,0))),F262)</f>
        <v>0</v>
      </c>
      <c r="G277" s="1">
        <f>IF(OR($B273&lt;&gt;$B258,$B274&lt;&gt;$B259,$B275&lt;&gt;$B260,$B276&lt;&gt;$B261,$B277&lt;&gt;$B262,$B278&lt;&gt;$B263,$B279&lt;&gt;$B264,$B280&lt;&gt;$B265,$B281&lt;&gt;$B266,$B282&lt;&gt;$B267,$B283&lt;&gt;$B268),IF($B277&lt;&gt;$B262,G262/INDEX($C258:$AJ268,5,MATCH(IF('Data-solution'!$A$3="Maximize",MAX($C269:$AI269),MIN($C269:$AI269)),$C269:$AI269,0)),G262-INDEX($C258:$AJ268,5,MATCH(IF('Data-solution'!$A$3="Maximize",MAX($C269:$AI269),MIN($C269:$AI269)),$C269:$AI269,0))*INDEX(G258:$AJ268,MATCH(MIN($AK258:$AK268),$AK258:$AK268,0),1)/INDEX($C258:$AJ268,MATCH(MIN($AK258:$AK268),$AK258:$AK268,0),MATCH(IF('Data-solution'!$A$3="Maximize",MAX($C269:$AI269),MIN($C269:$AI269)),$C269:$AI269,0))),G262)</f>
        <v>0</v>
      </c>
      <c r="H277" s="1">
        <f>IF(OR($B273&lt;&gt;$B258,$B274&lt;&gt;$B259,$B275&lt;&gt;$B260,$B276&lt;&gt;$B261,$B277&lt;&gt;$B262,$B278&lt;&gt;$B263,$B279&lt;&gt;$B264,$B280&lt;&gt;$B265,$B281&lt;&gt;$B266,$B282&lt;&gt;$B267,$B283&lt;&gt;$B268),IF($B277&lt;&gt;$B262,H262/INDEX($C258:$AJ268,5,MATCH(IF('Data-solution'!$A$3="Maximize",MAX($C269:$AI269),MIN($C269:$AI269)),$C269:$AI269,0)),H262-INDEX($C258:$AJ268,5,MATCH(IF('Data-solution'!$A$3="Maximize",MAX($C269:$AI269),MIN($C269:$AI269)),$C269:$AI269,0))*INDEX(H258:$AJ268,MATCH(MIN($AK258:$AK268),$AK258:$AK268,0),1)/INDEX($C258:$AJ268,MATCH(MIN($AK258:$AK268),$AK258:$AK268,0),MATCH(IF('Data-solution'!$A$3="Maximize",MAX($C269:$AI269),MIN($C269:$AI269)),$C269:$AI269,0))),H262)</f>
        <v>0</v>
      </c>
      <c r="I277" s="1">
        <f>IF(OR($B273&lt;&gt;$B258,$B274&lt;&gt;$B259,$B275&lt;&gt;$B260,$B276&lt;&gt;$B261,$B277&lt;&gt;$B262,$B278&lt;&gt;$B263,$B279&lt;&gt;$B264,$B280&lt;&gt;$B265,$B281&lt;&gt;$B266,$B282&lt;&gt;$B267,$B283&lt;&gt;$B268),IF($B277&lt;&gt;$B262,I262/INDEX($C258:$AJ268,5,MATCH(IF('Data-solution'!$A$3="Maximize",MAX($C269:$AI269),MIN($C269:$AI269)),$C269:$AI269,0)),I262-INDEX($C258:$AJ268,5,MATCH(IF('Data-solution'!$A$3="Maximize",MAX($C269:$AI269),MIN($C269:$AI269)),$C269:$AI269,0))*INDEX(I258:$AJ268,MATCH(MIN($AK258:$AK268),$AK258:$AK268,0),1)/INDEX($C258:$AJ268,MATCH(MIN($AK258:$AK268),$AK258:$AK268,0),MATCH(IF('Data-solution'!$A$3="Maximize",MAX($C269:$AI269),MIN($C269:$AI269)),$C269:$AI269,0))),I262)</f>
        <v>0</v>
      </c>
      <c r="J277" s="1">
        <f>IF(OR($B273&lt;&gt;$B258,$B274&lt;&gt;$B259,$B275&lt;&gt;$B260,$B276&lt;&gt;$B261,$B277&lt;&gt;$B262,$B278&lt;&gt;$B263,$B279&lt;&gt;$B264,$B280&lt;&gt;$B265,$B281&lt;&gt;$B266,$B282&lt;&gt;$B267,$B283&lt;&gt;$B268),IF($B277&lt;&gt;$B262,J262/INDEX($C258:$AJ268,5,MATCH(IF('Data-solution'!$A$3="Maximize",MAX($C269:$AI269),MIN($C269:$AI269)),$C269:$AI269,0)),J262-INDEX($C258:$AJ268,5,MATCH(IF('Data-solution'!$A$3="Maximize",MAX($C269:$AI269),MIN($C269:$AI269)),$C269:$AI269,0))*INDEX(J258:$AJ268,MATCH(MIN($AK258:$AK268),$AK258:$AK268,0),1)/INDEX($C258:$AJ268,MATCH(MIN($AK258:$AK268),$AK258:$AK268,0),MATCH(IF('Data-solution'!$A$3="Maximize",MAX($C269:$AI269),MIN($C269:$AI269)),$C269:$AI269,0))),J262)</f>
        <v>0</v>
      </c>
      <c r="K277" s="1">
        <f>IF(OR($B273&lt;&gt;$B258,$B274&lt;&gt;$B259,$B275&lt;&gt;$B260,$B276&lt;&gt;$B261,$B277&lt;&gt;$B262,$B278&lt;&gt;$B263,$B279&lt;&gt;$B264,$B280&lt;&gt;$B265,$B281&lt;&gt;$B266,$B282&lt;&gt;$B267,$B283&lt;&gt;$B268),IF($B277&lt;&gt;$B262,K262/INDEX($C258:$AJ268,5,MATCH(IF('Data-solution'!$A$3="Maximize",MAX($C269:$AI269),MIN($C269:$AI269)),$C269:$AI269,0)),K262-INDEX($C258:$AJ268,5,MATCH(IF('Data-solution'!$A$3="Maximize",MAX($C269:$AI269),MIN($C269:$AI269)),$C269:$AI269,0))*INDEX(K258:$AJ268,MATCH(MIN($AK258:$AK268),$AK258:$AK268,0),1)/INDEX($C258:$AJ268,MATCH(MIN($AK258:$AK268),$AK258:$AK268,0),MATCH(IF('Data-solution'!$A$3="Maximize",MAX($C269:$AI269),MIN($C269:$AI269)),$C269:$AI269,0))),K262)</f>
        <v>0</v>
      </c>
      <c r="L277" s="1">
        <f>IF(OR($B273&lt;&gt;$B258,$B274&lt;&gt;$B259,$B275&lt;&gt;$B260,$B276&lt;&gt;$B261,$B277&lt;&gt;$B262,$B278&lt;&gt;$B263,$B279&lt;&gt;$B264,$B280&lt;&gt;$B265,$B281&lt;&gt;$B266,$B282&lt;&gt;$B267,$B283&lt;&gt;$B268),IF($B277&lt;&gt;$B262,L262/INDEX($C258:$AJ268,5,MATCH(IF('Data-solution'!$A$3="Maximize",MAX($C269:$AI269),MIN($C269:$AI269)),$C269:$AI269,0)),L262-INDEX($C258:$AJ268,5,MATCH(IF('Data-solution'!$A$3="Maximize",MAX($C269:$AI269),MIN($C269:$AI269)),$C269:$AI269,0))*INDEX(L258:$AJ268,MATCH(MIN($AK258:$AK268),$AK258:$AK268,0),1)/INDEX($C258:$AJ268,MATCH(MIN($AK258:$AK268),$AK258:$AK268,0),MATCH(IF('Data-solution'!$A$3="Maximize",MAX($C269:$AI269),MIN($C269:$AI269)),$C269:$AI269,0))),L262)</f>
        <v>0</v>
      </c>
      <c r="M277" s="1">
        <f>IF(OR($B273&lt;&gt;$B258,$B274&lt;&gt;$B259,$B275&lt;&gt;$B260,$B276&lt;&gt;$B261,$B277&lt;&gt;$B262,$B278&lt;&gt;$B263,$B279&lt;&gt;$B264,$B280&lt;&gt;$B265,$B281&lt;&gt;$B266,$B282&lt;&gt;$B267,$B283&lt;&gt;$B268),IF($B277&lt;&gt;$B262,M262/INDEX($C258:$AJ268,5,MATCH(IF('Data-solution'!$A$3="Maximize",MAX($C269:$AI269),MIN($C269:$AI269)),$C269:$AI269,0)),M262-INDEX($C258:$AJ268,5,MATCH(IF('Data-solution'!$A$3="Maximize",MAX($C269:$AI269),MIN($C269:$AI269)),$C269:$AI269,0))*INDEX(M258:$AJ268,MATCH(MIN($AK258:$AK268),$AK258:$AK268,0),1)/INDEX($C258:$AJ268,MATCH(MIN($AK258:$AK268),$AK258:$AK268,0),MATCH(IF('Data-solution'!$A$3="Maximize",MAX($C269:$AI269),MIN($C269:$AI269)),$C269:$AI269,0))),M262)</f>
        <v>0</v>
      </c>
      <c r="N277" s="1">
        <f>IF(OR($B273&lt;&gt;$B258,$B274&lt;&gt;$B259,$B275&lt;&gt;$B260,$B276&lt;&gt;$B261,$B277&lt;&gt;$B262,$B278&lt;&gt;$B263,$B279&lt;&gt;$B264,$B280&lt;&gt;$B265,$B281&lt;&gt;$B266,$B282&lt;&gt;$B267,$B283&lt;&gt;$B268),IF($B277&lt;&gt;$B262,N262/INDEX($C258:$AJ268,5,MATCH(IF('Data-solution'!$A$3="Maximize",MAX($C269:$AI269),MIN($C269:$AI269)),$C269:$AI269,0)),N262-INDEX($C258:$AJ268,5,MATCH(IF('Data-solution'!$A$3="Maximize",MAX($C269:$AI269),MIN($C269:$AI269)),$C269:$AI269,0))*INDEX(N258:$AJ268,MATCH(MIN($AK258:$AK268),$AK258:$AK268,0),1)/INDEX($C258:$AJ268,MATCH(MIN($AK258:$AK268),$AK258:$AK268,0),MATCH(IF('Data-solution'!$A$3="Maximize",MAX($C269:$AI269),MIN($C269:$AI269)),$C269:$AI269,0))),N262)</f>
        <v>0</v>
      </c>
      <c r="O277" s="1">
        <f>IF(OR($B273&lt;&gt;$B258,$B274&lt;&gt;$B259,$B275&lt;&gt;$B260,$B276&lt;&gt;$B261,$B277&lt;&gt;$B262,$B278&lt;&gt;$B263,$B279&lt;&gt;$B264,$B280&lt;&gt;$B265,$B281&lt;&gt;$B266,$B282&lt;&gt;$B267,$B283&lt;&gt;$B268),IF($B277&lt;&gt;$B262,O262/INDEX($C258:$AJ268,5,MATCH(IF('Data-solution'!$A$3="Maximize",MAX($C269:$AI269),MIN($C269:$AI269)),$C269:$AI269,0)),O262-INDEX($C258:$AJ268,5,MATCH(IF('Data-solution'!$A$3="Maximize",MAX($C269:$AI269),MIN($C269:$AI269)),$C269:$AI269,0))*INDEX(O258:$AJ268,MATCH(MIN($AK258:$AK268),$AK258:$AK268,0),1)/INDEX($C258:$AJ268,MATCH(MIN($AK258:$AK268),$AK258:$AK268,0),MATCH(IF('Data-solution'!$A$3="Maximize",MAX($C269:$AI269),MIN($C269:$AI269)),$C269:$AI269,0))),O262)</f>
        <v>0</v>
      </c>
      <c r="P277" s="1">
        <f>IF(OR($B273&lt;&gt;$B258,$B274&lt;&gt;$B259,$B275&lt;&gt;$B260,$B276&lt;&gt;$B261,$B277&lt;&gt;$B262,$B278&lt;&gt;$B263,$B279&lt;&gt;$B264,$B280&lt;&gt;$B265,$B281&lt;&gt;$B266,$B282&lt;&gt;$B267,$B283&lt;&gt;$B268),IF($B277&lt;&gt;$B262,P262/INDEX($C258:$AJ268,5,MATCH(IF('Data-solution'!$A$3="Maximize",MAX($C269:$AI269),MIN($C269:$AI269)),$C269:$AI269,0)),P262-INDEX($C258:$AJ268,5,MATCH(IF('Data-solution'!$A$3="Maximize",MAX($C269:$AI269),MIN($C269:$AI269)),$C269:$AI269,0))*INDEX(P258:$AJ268,MATCH(MIN($AK258:$AK268),$AK258:$AK268,0),1)/INDEX($C258:$AJ268,MATCH(MIN($AK258:$AK268),$AK258:$AK268,0),MATCH(IF('Data-solution'!$A$3="Maximize",MAX($C269:$AI269),MIN($C269:$AI269)),$C269:$AI269,0))),P262)</f>
        <v>0</v>
      </c>
      <c r="Q277" s="1">
        <f>IF(OR($B273&lt;&gt;$B258,$B274&lt;&gt;$B259,$B275&lt;&gt;$B260,$B276&lt;&gt;$B261,$B277&lt;&gt;$B262,$B278&lt;&gt;$B263,$B279&lt;&gt;$B264,$B280&lt;&gt;$B265,$B281&lt;&gt;$B266,$B282&lt;&gt;$B267,$B283&lt;&gt;$B268),IF($B277&lt;&gt;$B262,Q262/INDEX($C258:$AJ268,5,MATCH(IF('Data-solution'!$A$3="Maximize",MAX($C269:$AI269),MIN($C269:$AI269)),$C269:$AI269,0)),Q262-INDEX($C258:$AJ268,5,MATCH(IF('Data-solution'!$A$3="Maximize",MAX($C269:$AI269),MIN($C269:$AI269)),$C269:$AI269,0))*INDEX(Q258:$AJ268,MATCH(MIN($AK258:$AK268),$AK258:$AK268,0),1)/INDEX($C258:$AJ268,MATCH(MIN($AK258:$AK268),$AK258:$AK268,0),MATCH(IF('Data-solution'!$A$3="Maximize",MAX($C269:$AI269),MIN($C269:$AI269)),$C269:$AI269,0))),Q262)</f>
        <v>0</v>
      </c>
      <c r="R277" s="1">
        <f>IF(OR($B273&lt;&gt;$B258,$B274&lt;&gt;$B259,$B275&lt;&gt;$B260,$B276&lt;&gt;$B261,$B277&lt;&gt;$B262,$B278&lt;&gt;$B263,$B279&lt;&gt;$B264,$B280&lt;&gt;$B265,$B281&lt;&gt;$B266,$B282&lt;&gt;$B267,$B283&lt;&gt;$B268),IF($B277&lt;&gt;$B262,R262/INDEX($C258:$AJ268,5,MATCH(IF('Data-solution'!$A$3="Maximize",MAX($C269:$AI269),MIN($C269:$AI269)),$C269:$AI269,0)),R262-INDEX($C258:$AJ268,5,MATCH(IF('Data-solution'!$A$3="Maximize",MAX($C269:$AI269),MIN($C269:$AI269)),$C269:$AI269,0))*INDEX(R258:$AJ268,MATCH(MIN($AK258:$AK268),$AK258:$AK268,0),1)/INDEX($C258:$AJ268,MATCH(MIN($AK258:$AK268),$AK258:$AK268,0),MATCH(IF('Data-solution'!$A$3="Maximize",MAX($C269:$AI269),MIN($C269:$AI269)),$C269:$AI269,0))),R262)</f>
        <v>1</v>
      </c>
      <c r="S277" s="1">
        <f>IF(OR($B273&lt;&gt;$B258,$B274&lt;&gt;$B259,$B275&lt;&gt;$B260,$B276&lt;&gt;$B261,$B277&lt;&gt;$B262,$B278&lt;&gt;$B263,$B279&lt;&gt;$B264,$B280&lt;&gt;$B265,$B281&lt;&gt;$B266,$B282&lt;&gt;$B267,$B283&lt;&gt;$B268),IF($B277&lt;&gt;$B262,S262/INDEX($C258:$AJ268,5,MATCH(IF('Data-solution'!$A$3="Maximize",MAX($C269:$AI269),MIN($C269:$AI269)),$C269:$AI269,0)),S262-INDEX($C258:$AJ268,5,MATCH(IF('Data-solution'!$A$3="Maximize",MAX($C269:$AI269),MIN($C269:$AI269)),$C269:$AI269,0))*INDEX(S258:$AJ268,MATCH(MIN($AK258:$AK268),$AK258:$AK268,0),1)/INDEX($C258:$AJ268,MATCH(MIN($AK258:$AK268),$AK258:$AK268,0),MATCH(IF('Data-solution'!$A$3="Maximize",MAX($C269:$AI269),MIN($C269:$AI269)),$C269:$AI269,0))),S262)</f>
        <v>0</v>
      </c>
      <c r="T277" s="1">
        <f>IF(OR($B273&lt;&gt;$B258,$B274&lt;&gt;$B259,$B275&lt;&gt;$B260,$B276&lt;&gt;$B261,$B277&lt;&gt;$B262,$B278&lt;&gt;$B263,$B279&lt;&gt;$B264,$B280&lt;&gt;$B265,$B281&lt;&gt;$B266,$B282&lt;&gt;$B267,$B283&lt;&gt;$B268),IF($B277&lt;&gt;$B262,T262/INDEX($C258:$AJ268,5,MATCH(IF('Data-solution'!$A$3="Maximize",MAX($C269:$AI269),MIN($C269:$AI269)),$C269:$AI269,0)),T262-INDEX($C258:$AJ268,5,MATCH(IF('Data-solution'!$A$3="Maximize",MAX($C269:$AI269),MIN($C269:$AI269)),$C269:$AI269,0))*INDEX(T258:$AJ268,MATCH(MIN($AK258:$AK268),$AK258:$AK268,0),1)/INDEX($C258:$AJ268,MATCH(MIN($AK258:$AK268),$AK258:$AK268,0),MATCH(IF('Data-solution'!$A$3="Maximize",MAX($C269:$AI269),MIN($C269:$AI269)),$C269:$AI269,0))),T262)</f>
        <v>0</v>
      </c>
      <c r="U277" s="1">
        <f>IF(OR($B273&lt;&gt;$B258,$B274&lt;&gt;$B259,$B275&lt;&gt;$B260,$B276&lt;&gt;$B261,$B277&lt;&gt;$B262,$B278&lt;&gt;$B263,$B279&lt;&gt;$B264,$B280&lt;&gt;$B265,$B281&lt;&gt;$B266,$B282&lt;&gt;$B267,$B283&lt;&gt;$B268),IF($B277&lt;&gt;$B262,U262/INDEX($C258:$AJ268,5,MATCH(IF('Data-solution'!$A$3="Maximize",MAX($C269:$AI269),MIN($C269:$AI269)),$C269:$AI269,0)),U262-INDEX($C258:$AJ268,5,MATCH(IF('Data-solution'!$A$3="Maximize",MAX($C269:$AI269),MIN($C269:$AI269)),$C269:$AI269,0))*INDEX(U258:$AJ268,MATCH(MIN($AK258:$AK268),$AK258:$AK268,0),1)/INDEX($C258:$AJ268,MATCH(MIN($AK258:$AK268),$AK258:$AK268,0),MATCH(IF('Data-solution'!$A$3="Maximize",MAX($C269:$AI269),MIN($C269:$AI269)),$C269:$AI269,0))),U262)</f>
        <v>0</v>
      </c>
      <c r="V277" s="1">
        <f>IF(OR($B273&lt;&gt;$B258,$B274&lt;&gt;$B259,$B275&lt;&gt;$B260,$B276&lt;&gt;$B261,$B277&lt;&gt;$B262,$B278&lt;&gt;$B263,$B279&lt;&gt;$B264,$B280&lt;&gt;$B265,$B281&lt;&gt;$B266,$B282&lt;&gt;$B267,$B283&lt;&gt;$B268),IF($B277&lt;&gt;$B262,V262/INDEX($C258:$AJ268,5,MATCH(IF('Data-solution'!$A$3="Maximize",MAX($C269:$AI269),MIN($C269:$AI269)),$C269:$AI269,0)),V262-INDEX($C258:$AJ268,5,MATCH(IF('Data-solution'!$A$3="Maximize",MAX($C269:$AI269),MIN($C269:$AI269)),$C269:$AI269,0))*INDEX(V258:$AJ268,MATCH(MIN($AK258:$AK268),$AK258:$AK268,0),1)/INDEX($C258:$AJ268,MATCH(MIN($AK258:$AK268),$AK258:$AK268,0),MATCH(IF('Data-solution'!$A$3="Maximize",MAX($C269:$AI269),MIN($C269:$AI269)),$C269:$AI269,0))),V262)</f>
        <v>0</v>
      </c>
      <c r="W277" s="1">
        <f>IF(OR($B273&lt;&gt;$B258,$B274&lt;&gt;$B259,$B275&lt;&gt;$B260,$B276&lt;&gt;$B261,$B277&lt;&gt;$B262,$B278&lt;&gt;$B263,$B279&lt;&gt;$B264,$B280&lt;&gt;$B265,$B281&lt;&gt;$B266,$B282&lt;&gt;$B267,$B283&lt;&gt;$B268),IF($B277&lt;&gt;$B262,W262/INDEX($C258:$AJ268,5,MATCH(IF('Data-solution'!$A$3="Maximize",MAX($C269:$AI269),MIN($C269:$AI269)),$C269:$AI269,0)),W262-INDEX($C258:$AJ268,5,MATCH(IF('Data-solution'!$A$3="Maximize",MAX($C269:$AI269),MIN($C269:$AI269)),$C269:$AI269,0))*INDEX(W258:$AJ268,MATCH(MIN($AK258:$AK268),$AK258:$AK268,0),1)/INDEX($C258:$AJ268,MATCH(MIN($AK258:$AK268),$AK258:$AK268,0),MATCH(IF('Data-solution'!$A$3="Maximize",MAX($C269:$AI269),MIN($C269:$AI269)),$C269:$AI269,0))),W262)</f>
        <v>0</v>
      </c>
      <c r="X277" s="1">
        <f>IF(OR($B273&lt;&gt;$B258,$B274&lt;&gt;$B259,$B275&lt;&gt;$B260,$B276&lt;&gt;$B261,$B277&lt;&gt;$B262,$B278&lt;&gt;$B263,$B279&lt;&gt;$B264,$B280&lt;&gt;$B265,$B281&lt;&gt;$B266,$B282&lt;&gt;$B267,$B283&lt;&gt;$B268),IF($B277&lt;&gt;$B262,X262/INDEX($C258:$AJ268,5,MATCH(IF('Data-solution'!$A$3="Maximize",MAX($C269:$AI269),MIN($C269:$AI269)),$C269:$AI269,0)),X262-INDEX($C258:$AJ268,5,MATCH(IF('Data-solution'!$A$3="Maximize",MAX($C269:$AI269),MIN($C269:$AI269)),$C269:$AI269,0))*INDEX(X258:$AJ268,MATCH(MIN($AK258:$AK268),$AK258:$AK268,0),1)/INDEX($C258:$AJ268,MATCH(MIN($AK258:$AK268),$AK258:$AK268,0),MATCH(IF('Data-solution'!$A$3="Maximize",MAX($C269:$AI269),MIN($C269:$AI269)),$C269:$AI269,0))),X262)</f>
        <v>0</v>
      </c>
      <c r="Y277" s="1">
        <f>IF(OR($B273&lt;&gt;$B258,$B274&lt;&gt;$B259,$B275&lt;&gt;$B260,$B276&lt;&gt;$B261,$B277&lt;&gt;$B262,$B278&lt;&gt;$B263,$B279&lt;&gt;$B264,$B280&lt;&gt;$B265,$B281&lt;&gt;$B266,$B282&lt;&gt;$B267,$B283&lt;&gt;$B268),IF($B277&lt;&gt;$B262,Y262/INDEX($C258:$AJ268,5,MATCH(IF('Data-solution'!$A$3="Maximize",MAX($C269:$AI269),MIN($C269:$AI269)),$C269:$AI269,0)),Y262-INDEX($C258:$AJ268,5,MATCH(IF('Data-solution'!$A$3="Maximize",MAX($C269:$AI269),MIN($C269:$AI269)),$C269:$AI269,0))*INDEX(Y258:$AJ268,MATCH(MIN($AK258:$AK268),$AK258:$AK268,0),1)/INDEX($C258:$AJ268,MATCH(MIN($AK258:$AK268),$AK258:$AK268,0),MATCH(IF('Data-solution'!$A$3="Maximize",MAX($C269:$AI269),MIN($C269:$AI269)),$C269:$AI269,0))),Y262)</f>
        <v>0</v>
      </c>
      <c r="Z277" s="1">
        <f>IF(OR($B273&lt;&gt;$B258,$B274&lt;&gt;$B259,$B275&lt;&gt;$B260,$B276&lt;&gt;$B261,$B277&lt;&gt;$B262,$B278&lt;&gt;$B263,$B279&lt;&gt;$B264,$B280&lt;&gt;$B265,$B281&lt;&gt;$B266,$B282&lt;&gt;$B267,$B283&lt;&gt;$B268),IF($B277&lt;&gt;$B262,Z262/INDEX($C258:$AJ268,5,MATCH(IF('Data-solution'!$A$3="Maximize",MAX($C269:$AI269),MIN($C269:$AI269)),$C269:$AI269,0)),Z262-INDEX($C258:$AJ268,5,MATCH(IF('Data-solution'!$A$3="Maximize",MAX($C269:$AI269),MIN($C269:$AI269)),$C269:$AI269,0))*INDEX(Z258:$AJ268,MATCH(MIN($AK258:$AK268),$AK258:$AK268,0),1)/INDEX($C258:$AJ268,MATCH(MIN($AK258:$AK268),$AK258:$AK268,0),MATCH(IF('Data-solution'!$A$3="Maximize",MAX($C269:$AI269),MIN($C269:$AI269)),$C269:$AI269,0))),Z262)</f>
        <v>0</v>
      </c>
      <c r="AA277" s="1">
        <f>IF(OR($B273&lt;&gt;$B258,$B274&lt;&gt;$B259,$B275&lt;&gt;$B260,$B276&lt;&gt;$B261,$B277&lt;&gt;$B262,$B278&lt;&gt;$B263,$B279&lt;&gt;$B264,$B280&lt;&gt;$B265,$B281&lt;&gt;$B266,$B282&lt;&gt;$B267,$B283&lt;&gt;$B268),IF($B277&lt;&gt;$B262,AA262/INDEX($C258:$AJ268,5,MATCH(IF('Data-solution'!$A$3="Maximize",MAX($C269:$AI269),MIN($C269:$AI269)),$C269:$AI269,0)),AA262-INDEX($C258:$AJ268,5,MATCH(IF('Data-solution'!$A$3="Maximize",MAX($C269:$AI269),MIN($C269:$AI269)),$C269:$AI269,0))*INDEX(AA258:$AJ268,MATCH(MIN($AK258:$AK268),$AK258:$AK268,0),1)/INDEX($C258:$AJ268,MATCH(MIN($AK258:$AK268),$AK258:$AK268,0),MATCH(IF('Data-solution'!$A$3="Maximize",MAX($C269:$AI269),MIN($C269:$AI269)),$C269:$AI269,0))),AA262)</f>
        <v>0</v>
      </c>
      <c r="AB277" s="1">
        <f>IF(OR($B273&lt;&gt;$B258,$B274&lt;&gt;$B259,$B275&lt;&gt;$B260,$B276&lt;&gt;$B261,$B277&lt;&gt;$B262,$B278&lt;&gt;$B263,$B279&lt;&gt;$B264,$B280&lt;&gt;$B265,$B281&lt;&gt;$B266,$B282&lt;&gt;$B267,$B283&lt;&gt;$B268),IF($B277&lt;&gt;$B262,AB262/INDEX($C258:$AJ268,5,MATCH(IF('Data-solution'!$A$3="Maximize",MAX($C269:$AI269),MIN($C269:$AI269)),$C269:$AI269,0)),AB262-INDEX($C258:$AJ268,5,MATCH(IF('Data-solution'!$A$3="Maximize",MAX($C269:$AI269),MIN($C269:$AI269)),$C269:$AI269,0))*INDEX(AB258:$AJ268,MATCH(MIN($AK258:$AK268),$AK258:$AK268,0),1)/INDEX($C258:$AJ268,MATCH(MIN($AK258:$AK268),$AK258:$AK268,0),MATCH(IF('Data-solution'!$A$3="Maximize",MAX($C269:$AI269),MIN($C269:$AI269)),$C269:$AI269,0))),AB262)</f>
        <v>0</v>
      </c>
      <c r="AC277" s="1">
        <f>IF(OR($B273&lt;&gt;$B258,$B274&lt;&gt;$B259,$B275&lt;&gt;$B260,$B276&lt;&gt;$B261,$B277&lt;&gt;$B262,$B278&lt;&gt;$B263,$B279&lt;&gt;$B264,$B280&lt;&gt;$B265,$B281&lt;&gt;$B266,$B282&lt;&gt;$B267,$B283&lt;&gt;$B268),IF($B277&lt;&gt;$B262,AC262/INDEX($C258:$AJ268,5,MATCH(IF('Data-solution'!$A$3="Maximize",MAX($C269:$AI269),MIN($C269:$AI269)),$C269:$AI269,0)),AC262-INDEX($C258:$AJ268,5,MATCH(IF('Data-solution'!$A$3="Maximize",MAX($C269:$AI269),MIN($C269:$AI269)),$C269:$AI269,0))*INDEX(AC258:$AJ268,MATCH(MIN($AK258:$AK268),$AK258:$AK268,0),1)/INDEX($C258:$AJ268,MATCH(MIN($AK258:$AK268),$AK258:$AK268,0),MATCH(IF('Data-solution'!$A$3="Maximize",MAX($C269:$AI269),MIN($C269:$AI269)),$C269:$AI269,0))),AC262)</f>
        <v>1</v>
      </c>
      <c r="AD277" s="1">
        <f>IF(OR($B273&lt;&gt;$B258,$B274&lt;&gt;$B259,$B275&lt;&gt;$B260,$B276&lt;&gt;$B261,$B277&lt;&gt;$B262,$B278&lt;&gt;$B263,$B279&lt;&gt;$B264,$B280&lt;&gt;$B265,$B281&lt;&gt;$B266,$B282&lt;&gt;$B267,$B283&lt;&gt;$B268),IF($B277&lt;&gt;$B262,AD262/INDEX($C258:$AJ268,5,MATCH(IF('Data-solution'!$A$3="Maximize",MAX($C269:$AI269),MIN($C269:$AI269)),$C269:$AI269,0)),AD262-INDEX($C258:$AJ268,5,MATCH(IF('Data-solution'!$A$3="Maximize",MAX($C269:$AI269),MIN($C269:$AI269)),$C269:$AI269,0))*INDEX(AD258:$AJ268,MATCH(MIN($AK258:$AK268),$AK258:$AK268,0),1)/INDEX($C258:$AJ268,MATCH(MIN($AK258:$AK268),$AK258:$AK268,0),MATCH(IF('Data-solution'!$A$3="Maximize",MAX($C269:$AI269),MIN($C269:$AI269)),$C269:$AI269,0))),AD262)</f>
        <v>0</v>
      </c>
      <c r="AE277" s="1">
        <f>IF(OR($B273&lt;&gt;$B258,$B274&lt;&gt;$B259,$B275&lt;&gt;$B260,$B276&lt;&gt;$B261,$B277&lt;&gt;$B262,$B278&lt;&gt;$B263,$B279&lt;&gt;$B264,$B280&lt;&gt;$B265,$B281&lt;&gt;$B266,$B282&lt;&gt;$B267,$B283&lt;&gt;$B268),IF($B277&lt;&gt;$B262,AE262/INDEX($C258:$AJ268,5,MATCH(IF('Data-solution'!$A$3="Maximize",MAX($C269:$AI269),MIN($C269:$AI269)),$C269:$AI269,0)),AE262-INDEX($C258:$AJ268,5,MATCH(IF('Data-solution'!$A$3="Maximize",MAX($C269:$AI269),MIN($C269:$AI269)),$C269:$AI269,0))*INDEX(AE258:$AJ268,MATCH(MIN($AK258:$AK268),$AK258:$AK268,0),1)/INDEX($C258:$AJ268,MATCH(MIN($AK258:$AK268),$AK258:$AK268,0),MATCH(IF('Data-solution'!$A$3="Maximize",MAX($C269:$AI269),MIN($C269:$AI269)),$C269:$AI269,0))),AE262)</f>
        <v>0</v>
      </c>
      <c r="AF277" s="1">
        <f>IF(OR($B273&lt;&gt;$B258,$B274&lt;&gt;$B259,$B275&lt;&gt;$B260,$B276&lt;&gt;$B261,$B277&lt;&gt;$B262,$B278&lt;&gt;$B263,$B279&lt;&gt;$B264,$B280&lt;&gt;$B265,$B281&lt;&gt;$B266,$B282&lt;&gt;$B267,$B283&lt;&gt;$B268),IF($B277&lt;&gt;$B262,AF262/INDEX($C258:$AJ268,5,MATCH(IF('Data-solution'!$A$3="Maximize",MAX($C269:$AI269),MIN($C269:$AI269)),$C269:$AI269,0)),AF262-INDEX($C258:$AJ268,5,MATCH(IF('Data-solution'!$A$3="Maximize",MAX($C269:$AI269),MIN($C269:$AI269)),$C269:$AI269,0))*INDEX(AF258:$AJ268,MATCH(MIN($AK258:$AK268),$AK258:$AK268,0),1)/INDEX($C258:$AJ268,MATCH(MIN($AK258:$AK268),$AK258:$AK268,0),MATCH(IF('Data-solution'!$A$3="Maximize",MAX($C269:$AI269),MIN($C269:$AI269)),$C269:$AI269,0))),AF262)</f>
        <v>0</v>
      </c>
      <c r="AG277" s="1">
        <f>IF(OR($B273&lt;&gt;$B258,$B274&lt;&gt;$B259,$B275&lt;&gt;$B260,$B276&lt;&gt;$B261,$B277&lt;&gt;$B262,$B278&lt;&gt;$B263,$B279&lt;&gt;$B264,$B280&lt;&gt;$B265,$B281&lt;&gt;$B266,$B282&lt;&gt;$B267,$B283&lt;&gt;$B268),IF($B277&lt;&gt;$B262,AG262/INDEX($C258:$AJ268,5,MATCH(IF('Data-solution'!$A$3="Maximize",MAX($C269:$AI269),MIN($C269:$AI269)),$C269:$AI269,0)),AG262-INDEX($C258:$AJ268,5,MATCH(IF('Data-solution'!$A$3="Maximize",MAX($C269:$AI269),MIN($C269:$AI269)),$C269:$AI269,0))*INDEX(AG258:$AJ268,MATCH(MIN($AK258:$AK268),$AK258:$AK268,0),1)/INDEX($C258:$AJ268,MATCH(MIN($AK258:$AK268),$AK258:$AK268,0),MATCH(IF('Data-solution'!$A$3="Maximize",MAX($C269:$AI269),MIN($C269:$AI269)),$C269:$AI269,0))),AG262)</f>
        <v>0</v>
      </c>
      <c r="AH277" s="1">
        <f>IF(OR($B273&lt;&gt;$B258,$B274&lt;&gt;$B259,$B275&lt;&gt;$B260,$B276&lt;&gt;$B261,$B277&lt;&gt;$B262,$B278&lt;&gt;$B263,$B279&lt;&gt;$B264,$B280&lt;&gt;$B265,$B281&lt;&gt;$B266,$B282&lt;&gt;$B267,$B283&lt;&gt;$B268),IF($B277&lt;&gt;$B262,AH262/INDEX($C258:$AJ268,5,MATCH(IF('Data-solution'!$A$3="Maximize",MAX($C269:$AI269),MIN($C269:$AI269)),$C269:$AI269,0)),AH262-INDEX($C258:$AJ268,5,MATCH(IF('Data-solution'!$A$3="Maximize",MAX($C269:$AI269),MIN($C269:$AI269)),$C269:$AI269,0))*INDEX(AH258:$AJ268,MATCH(MIN($AK258:$AK268),$AK258:$AK268,0),1)/INDEX($C258:$AJ268,MATCH(MIN($AK258:$AK268),$AK258:$AK268,0),MATCH(IF('Data-solution'!$A$3="Maximize",MAX($C269:$AI269),MIN($C269:$AI269)),$C269:$AI269,0))),AH262)</f>
        <v>0</v>
      </c>
      <c r="AI277" s="1">
        <f>IF(OR($B273&lt;&gt;$B258,$B274&lt;&gt;$B259,$B275&lt;&gt;$B260,$B276&lt;&gt;$B261,$B277&lt;&gt;$B262,$B278&lt;&gt;$B263,$B279&lt;&gt;$B264,$B280&lt;&gt;$B265,$B281&lt;&gt;$B266,$B282&lt;&gt;$B267,$B283&lt;&gt;$B268),IF($B277&lt;&gt;$B262,AI262/INDEX($C258:$AJ268,5,MATCH(IF('Data-solution'!$A$3="Maximize",MAX($C269:$AI269),MIN($C269:$AI269)),$C269:$AI269,0)),AI262-INDEX($C258:$AJ268,5,MATCH(IF('Data-solution'!$A$3="Maximize",MAX($C269:$AI269),MIN($C269:$AI269)),$C269:$AI269,0))*INDEX(AI258:$AJ268,MATCH(MIN($AK258:$AK268),$AK258:$AK268,0),1)/INDEX($C258:$AJ268,MATCH(MIN($AK258:$AK268),$AK258:$AK268,0),MATCH(IF('Data-solution'!$A$3="Maximize",MAX($C269:$AI269),MIN($C269:$AI269)),$C269:$AI269,0))),AI262)</f>
        <v>0</v>
      </c>
      <c r="AJ277" s="1">
        <f>IF(OR($B273&lt;&gt;$B258,$B274&lt;&gt;$B259,$B275&lt;&gt;$B260,$B276&lt;&gt;$B261,$B277&lt;&gt;$B262,$B278&lt;&gt;$B263,$B279&lt;&gt;$B264,$B280&lt;&gt;$B265,$B281&lt;&gt;$B266,$B282&lt;&gt;$B267,$B283&lt;&gt;$B268),IF($B277&lt;&gt;$B262,AJ262/INDEX($C258:$AJ268,5,MATCH(IF('Data-solution'!$A$3="Maximize",MAX($C269:$AI269),MIN($C269:$AI269)),$C269:$AI269,0)),AJ262-INDEX($C258:$AJ268,5,MATCH(IF('Data-solution'!$A$3="Maximize",MAX($C269:$AI269),MIN($C269:$AI269)),$C269:$AI269,0))*INDEX(AJ258:$AJ268,MATCH(MIN($AK258:$AK268),$AK258:$AK268,0),1)/INDEX($C258:$AJ268,MATCH(MIN($AK258:$AK268),$AK258:$AK268,0),MATCH(IF('Data-solution'!$A$3="Maximize",MAX($C269:$AI269),MIN($C269:$AI269)),$C269:$AI269,0))),AJ262)</f>
        <v>0</v>
      </c>
      <c r="AK277" s="1" t="str">
        <f>IF(INDEX(C277:X277,1,MATCH(IF('Data-solution'!A$3="Maximize",MAX(C284:X284),MIN(C284:X284)),C284:X284,0))&gt;0,AJ277/INDEX(C277:X277,1,MATCH(IF('Data-solution'!A$3="Maximize",MAX(C284:X284),MIN(C284:X284)),C284:X284,0))," ")</f>
        <v xml:space="preserve"> </v>
      </c>
    </row>
    <row r="278" spans="1:37" ht="18" customHeight="1" x14ac:dyDescent="0.2">
      <c r="A278" s="1">
        <f t="shared" ref="A278" si="249">INDEX(C271:AI271,1,MATCH(B278,C272:AI272,0))</f>
        <v>0</v>
      </c>
      <c r="B278" s="2" t="str">
        <f>IF(AND('Data-solution'!A$3="Maximize",COUNTIF(C269:X269,"&gt;"&amp;0)&gt;0,AK263=MIN(AK258:AK268),COUNTIF(B273:B277,INDEX(C257:X257,1,MATCH(MAX(C269:X269),C269:X269,0)))=0),INDEX(C257:X257,1,MATCH(MAX(C269:X269),C269:X269,0)),IF(AND('Data-solution'!A$3="Minimize",COUNTIF(C269:X269,"&lt;"&amp;0)&gt;0,AK263=MIN(AK258:AK268),COUNTIF(B273:B277,INDEX(C257:X257,1,MATCH(MIN(C269:X269),C269:X269,0)))=0),INDEX(C257:X257,1,MATCH(MIN(C269:X269),C269:X269,0)),B263))</f>
        <v>S6</v>
      </c>
      <c r="C278" s="1">
        <f>IF(OR($B273&lt;&gt;$B258,$B274&lt;&gt;$B259,$B275&lt;&gt;$B260,$B276&lt;&gt;$B261,$B277&lt;&gt;$B262,$B278&lt;&gt;$B263,$B279&lt;&gt;$B264,$B280&lt;&gt;$B265,$B281&lt;&gt;$B266,$B282&lt;&gt;$B267,$B283&lt;&gt;$B268),IF($B278&lt;&gt;$B263,C263/INDEX($C258:$AJ268,6,MATCH(IF('Data-solution'!$A$3="Maximize",MAX($C269:$AI269),MIN($C269:$AI269)),$C269:$AI269,0)),C263-INDEX($C258:$AJ268,6,MATCH(IF('Data-solution'!$A$3="Maximize",MAX($C269:$AI269),MIN($C269:$AI269)),$C269:$AI269,0))*INDEX(C258:$AJ268,MATCH(MIN($AK258:$AK268),$AK258:$AK268,0),1)/INDEX($C258:$AJ268,MATCH(MIN($AK258:$AK268),$AK258:$AK268,0),MATCH(IF('Data-solution'!$A$3="Maximize",MAX($C269:$AI269),MIN($C269:$AI269)),$C269:$AI269,0))),C263)</f>
        <v>0</v>
      </c>
      <c r="D278" s="1">
        <f>IF(OR($B273&lt;&gt;$B258,$B274&lt;&gt;$B259,$B275&lt;&gt;$B260,$B276&lt;&gt;$B261,$B277&lt;&gt;$B262,$B278&lt;&gt;$B263,$B279&lt;&gt;$B264,$B280&lt;&gt;$B265,$B281&lt;&gt;$B266,$B282&lt;&gt;$B267,$B283&lt;&gt;$B268),IF($B278&lt;&gt;$B263,D263/INDEX($C258:$AJ268,6,MATCH(IF('Data-solution'!$A$3="Maximize",MAX($C269:$AI269),MIN($C269:$AI269)),$C269:$AI269,0)),D263-INDEX($C258:$AJ268,6,MATCH(IF('Data-solution'!$A$3="Maximize",MAX($C269:$AI269),MIN($C269:$AI269)),$C269:$AI269,0))*INDEX(D258:$AJ268,MATCH(MIN($AK258:$AK268),$AK258:$AK268,0),1)/INDEX($C258:$AJ268,MATCH(MIN($AK258:$AK268),$AK258:$AK268,0),MATCH(IF('Data-solution'!$A$3="Maximize",MAX($C269:$AI269),MIN($C269:$AI269)),$C269:$AI269,0))),D263)</f>
        <v>0</v>
      </c>
      <c r="E278" s="1">
        <f>IF(OR($B273&lt;&gt;$B258,$B274&lt;&gt;$B259,$B275&lt;&gt;$B260,$B276&lt;&gt;$B261,$B277&lt;&gt;$B262,$B278&lt;&gt;$B263,$B279&lt;&gt;$B264,$B280&lt;&gt;$B265,$B281&lt;&gt;$B266,$B282&lt;&gt;$B267,$B283&lt;&gt;$B268),IF($B278&lt;&gt;$B263,E263/INDEX($C258:$AJ268,6,MATCH(IF('Data-solution'!$A$3="Maximize",MAX($C269:$AI269),MIN($C269:$AI269)),$C269:$AI269,0)),E263-INDEX($C258:$AJ268,6,MATCH(IF('Data-solution'!$A$3="Maximize",MAX($C269:$AI269),MIN($C269:$AI269)),$C269:$AI269,0))*INDEX(E258:$AJ268,MATCH(MIN($AK258:$AK268),$AK258:$AK268,0),1)/INDEX($C258:$AJ268,MATCH(MIN($AK258:$AK268),$AK258:$AK268,0),MATCH(IF('Data-solution'!$A$3="Maximize",MAX($C269:$AI269),MIN($C269:$AI269)),$C269:$AI269,0))),E263)</f>
        <v>0</v>
      </c>
      <c r="F278" s="1">
        <f>IF(OR($B273&lt;&gt;$B258,$B274&lt;&gt;$B259,$B275&lt;&gt;$B260,$B276&lt;&gt;$B261,$B277&lt;&gt;$B262,$B278&lt;&gt;$B263,$B279&lt;&gt;$B264,$B280&lt;&gt;$B265,$B281&lt;&gt;$B266,$B282&lt;&gt;$B267,$B283&lt;&gt;$B268),IF($B278&lt;&gt;$B263,F263/INDEX($C258:$AJ268,6,MATCH(IF('Data-solution'!$A$3="Maximize",MAX($C269:$AI269),MIN($C269:$AI269)),$C269:$AI269,0)),F263-INDEX($C258:$AJ268,6,MATCH(IF('Data-solution'!$A$3="Maximize",MAX($C269:$AI269),MIN($C269:$AI269)),$C269:$AI269,0))*INDEX(F258:$AJ268,MATCH(MIN($AK258:$AK268),$AK258:$AK268,0),1)/INDEX($C258:$AJ268,MATCH(MIN($AK258:$AK268),$AK258:$AK268,0),MATCH(IF('Data-solution'!$A$3="Maximize",MAX($C269:$AI269),MIN($C269:$AI269)),$C269:$AI269,0))),F263)</f>
        <v>0</v>
      </c>
      <c r="G278" s="1">
        <f>IF(OR($B273&lt;&gt;$B258,$B274&lt;&gt;$B259,$B275&lt;&gt;$B260,$B276&lt;&gt;$B261,$B277&lt;&gt;$B262,$B278&lt;&gt;$B263,$B279&lt;&gt;$B264,$B280&lt;&gt;$B265,$B281&lt;&gt;$B266,$B282&lt;&gt;$B267,$B283&lt;&gt;$B268),IF($B278&lt;&gt;$B263,G263/INDEX($C258:$AJ268,6,MATCH(IF('Data-solution'!$A$3="Maximize",MAX($C269:$AI269),MIN($C269:$AI269)),$C269:$AI269,0)),G263-INDEX($C258:$AJ268,6,MATCH(IF('Data-solution'!$A$3="Maximize",MAX($C269:$AI269),MIN($C269:$AI269)),$C269:$AI269,0))*INDEX(G258:$AJ268,MATCH(MIN($AK258:$AK268),$AK258:$AK268,0),1)/INDEX($C258:$AJ268,MATCH(MIN($AK258:$AK268),$AK258:$AK268,0),MATCH(IF('Data-solution'!$A$3="Maximize",MAX($C269:$AI269),MIN($C269:$AI269)),$C269:$AI269,0))),G263)</f>
        <v>0</v>
      </c>
      <c r="H278" s="1">
        <f>IF(OR($B273&lt;&gt;$B258,$B274&lt;&gt;$B259,$B275&lt;&gt;$B260,$B276&lt;&gt;$B261,$B277&lt;&gt;$B262,$B278&lt;&gt;$B263,$B279&lt;&gt;$B264,$B280&lt;&gt;$B265,$B281&lt;&gt;$B266,$B282&lt;&gt;$B267,$B283&lt;&gt;$B268),IF($B278&lt;&gt;$B263,H263/INDEX($C258:$AJ268,6,MATCH(IF('Data-solution'!$A$3="Maximize",MAX($C269:$AI269),MIN($C269:$AI269)),$C269:$AI269,0)),H263-INDEX($C258:$AJ268,6,MATCH(IF('Data-solution'!$A$3="Maximize",MAX($C269:$AI269),MIN($C269:$AI269)),$C269:$AI269,0))*INDEX(H258:$AJ268,MATCH(MIN($AK258:$AK268),$AK258:$AK268,0),1)/INDEX($C258:$AJ268,MATCH(MIN($AK258:$AK268),$AK258:$AK268,0),MATCH(IF('Data-solution'!$A$3="Maximize",MAX($C269:$AI269),MIN($C269:$AI269)),$C269:$AI269,0))),H263)</f>
        <v>0</v>
      </c>
      <c r="I278" s="1">
        <f>IF(OR($B273&lt;&gt;$B258,$B274&lt;&gt;$B259,$B275&lt;&gt;$B260,$B276&lt;&gt;$B261,$B277&lt;&gt;$B262,$B278&lt;&gt;$B263,$B279&lt;&gt;$B264,$B280&lt;&gt;$B265,$B281&lt;&gt;$B266,$B282&lt;&gt;$B267,$B283&lt;&gt;$B268),IF($B278&lt;&gt;$B263,I263/INDEX($C258:$AJ268,6,MATCH(IF('Data-solution'!$A$3="Maximize",MAX($C269:$AI269),MIN($C269:$AI269)),$C269:$AI269,0)),I263-INDEX($C258:$AJ268,6,MATCH(IF('Data-solution'!$A$3="Maximize",MAX($C269:$AI269),MIN($C269:$AI269)),$C269:$AI269,0))*INDEX(I258:$AJ268,MATCH(MIN($AK258:$AK268),$AK258:$AK268,0),1)/INDEX($C258:$AJ268,MATCH(MIN($AK258:$AK268),$AK258:$AK268,0),MATCH(IF('Data-solution'!$A$3="Maximize",MAX($C269:$AI269),MIN($C269:$AI269)),$C269:$AI269,0))),I263)</f>
        <v>0</v>
      </c>
      <c r="J278" s="1">
        <f>IF(OR($B273&lt;&gt;$B258,$B274&lt;&gt;$B259,$B275&lt;&gt;$B260,$B276&lt;&gt;$B261,$B277&lt;&gt;$B262,$B278&lt;&gt;$B263,$B279&lt;&gt;$B264,$B280&lt;&gt;$B265,$B281&lt;&gt;$B266,$B282&lt;&gt;$B267,$B283&lt;&gt;$B268),IF($B278&lt;&gt;$B263,J263/INDEX($C258:$AJ268,6,MATCH(IF('Data-solution'!$A$3="Maximize",MAX($C269:$AI269),MIN($C269:$AI269)),$C269:$AI269,0)),J263-INDEX($C258:$AJ268,6,MATCH(IF('Data-solution'!$A$3="Maximize",MAX($C269:$AI269),MIN($C269:$AI269)),$C269:$AI269,0))*INDEX(J258:$AJ268,MATCH(MIN($AK258:$AK268),$AK258:$AK268,0),1)/INDEX($C258:$AJ268,MATCH(MIN($AK258:$AK268),$AK258:$AK268,0),MATCH(IF('Data-solution'!$A$3="Maximize",MAX($C269:$AI269),MIN($C269:$AI269)),$C269:$AI269,0))),J263)</f>
        <v>0</v>
      </c>
      <c r="K278" s="1">
        <f>IF(OR($B273&lt;&gt;$B258,$B274&lt;&gt;$B259,$B275&lt;&gt;$B260,$B276&lt;&gt;$B261,$B277&lt;&gt;$B262,$B278&lt;&gt;$B263,$B279&lt;&gt;$B264,$B280&lt;&gt;$B265,$B281&lt;&gt;$B266,$B282&lt;&gt;$B267,$B283&lt;&gt;$B268),IF($B278&lt;&gt;$B263,K263/INDEX($C258:$AJ268,6,MATCH(IF('Data-solution'!$A$3="Maximize",MAX($C269:$AI269),MIN($C269:$AI269)),$C269:$AI269,0)),K263-INDEX($C258:$AJ268,6,MATCH(IF('Data-solution'!$A$3="Maximize",MAX($C269:$AI269),MIN($C269:$AI269)),$C269:$AI269,0))*INDEX(K258:$AJ268,MATCH(MIN($AK258:$AK268),$AK258:$AK268,0),1)/INDEX($C258:$AJ268,MATCH(MIN($AK258:$AK268),$AK258:$AK268,0),MATCH(IF('Data-solution'!$A$3="Maximize",MAX($C269:$AI269),MIN($C269:$AI269)),$C269:$AI269,0))),K263)</f>
        <v>0</v>
      </c>
      <c r="L278" s="1">
        <f>IF(OR($B273&lt;&gt;$B258,$B274&lt;&gt;$B259,$B275&lt;&gt;$B260,$B276&lt;&gt;$B261,$B277&lt;&gt;$B262,$B278&lt;&gt;$B263,$B279&lt;&gt;$B264,$B280&lt;&gt;$B265,$B281&lt;&gt;$B266,$B282&lt;&gt;$B267,$B283&lt;&gt;$B268),IF($B278&lt;&gt;$B263,L263/INDEX($C258:$AJ268,6,MATCH(IF('Data-solution'!$A$3="Maximize",MAX($C269:$AI269),MIN($C269:$AI269)),$C269:$AI269,0)),L263-INDEX($C258:$AJ268,6,MATCH(IF('Data-solution'!$A$3="Maximize",MAX($C269:$AI269),MIN($C269:$AI269)),$C269:$AI269,0))*INDEX(L258:$AJ268,MATCH(MIN($AK258:$AK268),$AK258:$AK268,0),1)/INDEX($C258:$AJ268,MATCH(MIN($AK258:$AK268),$AK258:$AK268,0),MATCH(IF('Data-solution'!$A$3="Maximize",MAX($C269:$AI269),MIN($C269:$AI269)),$C269:$AI269,0))),L263)</f>
        <v>0</v>
      </c>
      <c r="M278" s="1">
        <f>IF(OR($B273&lt;&gt;$B258,$B274&lt;&gt;$B259,$B275&lt;&gt;$B260,$B276&lt;&gt;$B261,$B277&lt;&gt;$B262,$B278&lt;&gt;$B263,$B279&lt;&gt;$B264,$B280&lt;&gt;$B265,$B281&lt;&gt;$B266,$B282&lt;&gt;$B267,$B283&lt;&gt;$B268),IF($B278&lt;&gt;$B263,M263/INDEX($C258:$AJ268,6,MATCH(IF('Data-solution'!$A$3="Maximize",MAX($C269:$AI269),MIN($C269:$AI269)),$C269:$AI269,0)),M263-INDEX($C258:$AJ268,6,MATCH(IF('Data-solution'!$A$3="Maximize",MAX($C269:$AI269),MIN($C269:$AI269)),$C269:$AI269,0))*INDEX(M258:$AJ268,MATCH(MIN($AK258:$AK268),$AK258:$AK268,0),1)/INDEX($C258:$AJ268,MATCH(MIN($AK258:$AK268),$AK258:$AK268,0),MATCH(IF('Data-solution'!$A$3="Maximize",MAX($C269:$AI269),MIN($C269:$AI269)),$C269:$AI269,0))),M263)</f>
        <v>0</v>
      </c>
      <c r="N278" s="1">
        <f>IF(OR($B273&lt;&gt;$B258,$B274&lt;&gt;$B259,$B275&lt;&gt;$B260,$B276&lt;&gt;$B261,$B277&lt;&gt;$B262,$B278&lt;&gt;$B263,$B279&lt;&gt;$B264,$B280&lt;&gt;$B265,$B281&lt;&gt;$B266,$B282&lt;&gt;$B267,$B283&lt;&gt;$B268),IF($B278&lt;&gt;$B263,N263/INDEX($C258:$AJ268,6,MATCH(IF('Data-solution'!$A$3="Maximize",MAX($C269:$AI269),MIN($C269:$AI269)),$C269:$AI269,0)),N263-INDEX($C258:$AJ268,6,MATCH(IF('Data-solution'!$A$3="Maximize",MAX($C269:$AI269),MIN($C269:$AI269)),$C269:$AI269,0))*INDEX(N258:$AJ268,MATCH(MIN($AK258:$AK268),$AK258:$AK268,0),1)/INDEX($C258:$AJ268,MATCH(MIN($AK258:$AK268),$AK258:$AK268,0),MATCH(IF('Data-solution'!$A$3="Maximize",MAX($C269:$AI269),MIN($C269:$AI269)),$C269:$AI269,0))),N263)</f>
        <v>0</v>
      </c>
      <c r="O278" s="1">
        <f>IF(OR($B273&lt;&gt;$B258,$B274&lt;&gt;$B259,$B275&lt;&gt;$B260,$B276&lt;&gt;$B261,$B277&lt;&gt;$B262,$B278&lt;&gt;$B263,$B279&lt;&gt;$B264,$B280&lt;&gt;$B265,$B281&lt;&gt;$B266,$B282&lt;&gt;$B267,$B283&lt;&gt;$B268),IF($B278&lt;&gt;$B263,O263/INDEX($C258:$AJ268,6,MATCH(IF('Data-solution'!$A$3="Maximize",MAX($C269:$AI269),MIN($C269:$AI269)),$C269:$AI269,0)),O263-INDEX($C258:$AJ268,6,MATCH(IF('Data-solution'!$A$3="Maximize",MAX($C269:$AI269),MIN($C269:$AI269)),$C269:$AI269,0))*INDEX(O258:$AJ268,MATCH(MIN($AK258:$AK268),$AK258:$AK268,0),1)/INDEX($C258:$AJ268,MATCH(MIN($AK258:$AK268),$AK258:$AK268,0),MATCH(IF('Data-solution'!$A$3="Maximize",MAX($C269:$AI269),MIN($C269:$AI269)),$C269:$AI269,0))),O263)</f>
        <v>0</v>
      </c>
      <c r="P278" s="1">
        <f>IF(OR($B273&lt;&gt;$B258,$B274&lt;&gt;$B259,$B275&lt;&gt;$B260,$B276&lt;&gt;$B261,$B277&lt;&gt;$B262,$B278&lt;&gt;$B263,$B279&lt;&gt;$B264,$B280&lt;&gt;$B265,$B281&lt;&gt;$B266,$B282&lt;&gt;$B267,$B283&lt;&gt;$B268),IF($B278&lt;&gt;$B263,P263/INDEX($C258:$AJ268,6,MATCH(IF('Data-solution'!$A$3="Maximize",MAX($C269:$AI269),MIN($C269:$AI269)),$C269:$AI269,0)),P263-INDEX($C258:$AJ268,6,MATCH(IF('Data-solution'!$A$3="Maximize",MAX($C269:$AI269),MIN($C269:$AI269)),$C269:$AI269,0))*INDEX(P258:$AJ268,MATCH(MIN($AK258:$AK268),$AK258:$AK268,0),1)/INDEX($C258:$AJ268,MATCH(MIN($AK258:$AK268),$AK258:$AK268,0),MATCH(IF('Data-solution'!$A$3="Maximize",MAX($C269:$AI269),MIN($C269:$AI269)),$C269:$AI269,0))),P263)</f>
        <v>0</v>
      </c>
      <c r="Q278" s="1">
        <f>IF(OR($B273&lt;&gt;$B258,$B274&lt;&gt;$B259,$B275&lt;&gt;$B260,$B276&lt;&gt;$B261,$B277&lt;&gt;$B262,$B278&lt;&gt;$B263,$B279&lt;&gt;$B264,$B280&lt;&gt;$B265,$B281&lt;&gt;$B266,$B282&lt;&gt;$B267,$B283&lt;&gt;$B268),IF($B278&lt;&gt;$B263,Q263/INDEX($C258:$AJ268,6,MATCH(IF('Data-solution'!$A$3="Maximize",MAX($C269:$AI269),MIN($C269:$AI269)),$C269:$AI269,0)),Q263-INDEX($C258:$AJ268,6,MATCH(IF('Data-solution'!$A$3="Maximize",MAX($C269:$AI269),MIN($C269:$AI269)),$C269:$AI269,0))*INDEX(Q258:$AJ268,MATCH(MIN($AK258:$AK268),$AK258:$AK268,0),1)/INDEX($C258:$AJ268,MATCH(MIN($AK258:$AK268),$AK258:$AK268,0),MATCH(IF('Data-solution'!$A$3="Maximize",MAX($C269:$AI269),MIN($C269:$AI269)),$C269:$AI269,0))),Q263)</f>
        <v>0</v>
      </c>
      <c r="R278" s="1">
        <f>IF(OR($B273&lt;&gt;$B258,$B274&lt;&gt;$B259,$B275&lt;&gt;$B260,$B276&lt;&gt;$B261,$B277&lt;&gt;$B262,$B278&lt;&gt;$B263,$B279&lt;&gt;$B264,$B280&lt;&gt;$B265,$B281&lt;&gt;$B266,$B282&lt;&gt;$B267,$B283&lt;&gt;$B268),IF($B278&lt;&gt;$B263,R263/INDEX($C258:$AJ268,6,MATCH(IF('Data-solution'!$A$3="Maximize",MAX($C269:$AI269),MIN($C269:$AI269)),$C269:$AI269,0)),R263-INDEX($C258:$AJ268,6,MATCH(IF('Data-solution'!$A$3="Maximize",MAX($C269:$AI269),MIN($C269:$AI269)),$C269:$AI269,0))*INDEX(R258:$AJ268,MATCH(MIN($AK258:$AK268),$AK258:$AK268,0),1)/INDEX($C258:$AJ268,MATCH(MIN($AK258:$AK268),$AK258:$AK268,0),MATCH(IF('Data-solution'!$A$3="Maximize",MAX($C269:$AI269),MIN($C269:$AI269)),$C269:$AI269,0))),R263)</f>
        <v>0</v>
      </c>
      <c r="S278" s="1">
        <f>IF(OR($B273&lt;&gt;$B258,$B274&lt;&gt;$B259,$B275&lt;&gt;$B260,$B276&lt;&gt;$B261,$B277&lt;&gt;$B262,$B278&lt;&gt;$B263,$B279&lt;&gt;$B264,$B280&lt;&gt;$B265,$B281&lt;&gt;$B266,$B282&lt;&gt;$B267,$B283&lt;&gt;$B268),IF($B278&lt;&gt;$B263,S263/INDEX($C258:$AJ268,6,MATCH(IF('Data-solution'!$A$3="Maximize",MAX($C269:$AI269),MIN($C269:$AI269)),$C269:$AI269,0)),S263-INDEX($C258:$AJ268,6,MATCH(IF('Data-solution'!$A$3="Maximize",MAX($C269:$AI269),MIN($C269:$AI269)),$C269:$AI269,0))*INDEX(S258:$AJ268,MATCH(MIN($AK258:$AK268),$AK258:$AK268,0),1)/INDEX($C258:$AJ268,MATCH(MIN($AK258:$AK268),$AK258:$AK268,0),MATCH(IF('Data-solution'!$A$3="Maximize",MAX($C269:$AI269),MIN($C269:$AI269)),$C269:$AI269,0))),S263)</f>
        <v>1</v>
      </c>
      <c r="T278" s="1">
        <f>IF(OR($B273&lt;&gt;$B258,$B274&lt;&gt;$B259,$B275&lt;&gt;$B260,$B276&lt;&gt;$B261,$B277&lt;&gt;$B262,$B278&lt;&gt;$B263,$B279&lt;&gt;$B264,$B280&lt;&gt;$B265,$B281&lt;&gt;$B266,$B282&lt;&gt;$B267,$B283&lt;&gt;$B268),IF($B278&lt;&gt;$B263,T263/INDEX($C258:$AJ268,6,MATCH(IF('Data-solution'!$A$3="Maximize",MAX($C269:$AI269),MIN($C269:$AI269)),$C269:$AI269,0)),T263-INDEX($C258:$AJ268,6,MATCH(IF('Data-solution'!$A$3="Maximize",MAX($C269:$AI269),MIN($C269:$AI269)),$C269:$AI269,0))*INDEX(T258:$AJ268,MATCH(MIN($AK258:$AK268),$AK258:$AK268,0),1)/INDEX($C258:$AJ268,MATCH(MIN($AK258:$AK268),$AK258:$AK268,0),MATCH(IF('Data-solution'!$A$3="Maximize",MAX($C269:$AI269),MIN($C269:$AI269)),$C269:$AI269,0))),T263)</f>
        <v>0</v>
      </c>
      <c r="U278" s="1">
        <f>IF(OR($B273&lt;&gt;$B258,$B274&lt;&gt;$B259,$B275&lt;&gt;$B260,$B276&lt;&gt;$B261,$B277&lt;&gt;$B262,$B278&lt;&gt;$B263,$B279&lt;&gt;$B264,$B280&lt;&gt;$B265,$B281&lt;&gt;$B266,$B282&lt;&gt;$B267,$B283&lt;&gt;$B268),IF($B278&lt;&gt;$B263,U263/INDEX($C258:$AJ268,6,MATCH(IF('Data-solution'!$A$3="Maximize",MAX($C269:$AI269),MIN($C269:$AI269)),$C269:$AI269,0)),U263-INDEX($C258:$AJ268,6,MATCH(IF('Data-solution'!$A$3="Maximize",MAX($C269:$AI269),MIN($C269:$AI269)),$C269:$AI269,0))*INDEX(U258:$AJ268,MATCH(MIN($AK258:$AK268),$AK258:$AK268,0),1)/INDEX($C258:$AJ268,MATCH(MIN($AK258:$AK268),$AK258:$AK268,0),MATCH(IF('Data-solution'!$A$3="Maximize",MAX($C269:$AI269),MIN($C269:$AI269)),$C269:$AI269,0))),U263)</f>
        <v>0</v>
      </c>
      <c r="V278" s="1">
        <f>IF(OR($B273&lt;&gt;$B258,$B274&lt;&gt;$B259,$B275&lt;&gt;$B260,$B276&lt;&gt;$B261,$B277&lt;&gt;$B262,$B278&lt;&gt;$B263,$B279&lt;&gt;$B264,$B280&lt;&gt;$B265,$B281&lt;&gt;$B266,$B282&lt;&gt;$B267,$B283&lt;&gt;$B268),IF($B278&lt;&gt;$B263,V263/INDEX($C258:$AJ268,6,MATCH(IF('Data-solution'!$A$3="Maximize",MAX($C269:$AI269),MIN($C269:$AI269)),$C269:$AI269,0)),V263-INDEX($C258:$AJ268,6,MATCH(IF('Data-solution'!$A$3="Maximize",MAX($C269:$AI269),MIN($C269:$AI269)),$C269:$AI269,0))*INDEX(V258:$AJ268,MATCH(MIN($AK258:$AK268),$AK258:$AK268,0),1)/INDEX($C258:$AJ268,MATCH(MIN($AK258:$AK268),$AK258:$AK268,0),MATCH(IF('Data-solution'!$A$3="Maximize",MAX($C269:$AI269),MIN($C269:$AI269)),$C269:$AI269,0))),V263)</f>
        <v>0</v>
      </c>
      <c r="W278" s="1">
        <f>IF(OR($B273&lt;&gt;$B258,$B274&lt;&gt;$B259,$B275&lt;&gt;$B260,$B276&lt;&gt;$B261,$B277&lt;&gt;$B262,$B278&lt;&gt;$B263,$B279&lt;&gt;$B264,$B280&lt;&gt;$B265,$B281&lt;&gt;$B266,$B282&lt;&gt;$B267,$B283&lt;&gt;$B268),IF($B278&lt;&gt;$B263,W263/INDEX($C258:$AJ268,6,MATCH(IF('Data-solution'!$A$3="Maximize",MAX($C269:$AI269),MIN($C269:$AI269)),$C269:$AI269,0)),W263-INDEX($C258:$AJ268,6,MATCH(IF('Data-solution'!$A$3="Maximize",MAX($C269:$AI269),MIN($C269:$AI269)),$C269:$AI269,0))*INDEX(W258:$AJ268,MATCH(MIN($AK258:$AK268),$AK258:$AK268,0),1)/INDEX($C258:$AJ268,MATCH(MIN($AK258:$AK268),$AK258:$AK268,0),MATCH(IF('Data-solution'!$A$3="Maximize",MAX($C269:$AI269),MIN($C269:$AI269)),$C269:$AI269,0))),W263)</f>
        <v>0</v>
      </c>
      <c r="X278" s="1">
        <f>IF(OR($B273&lt;&gt;$B258,$B274&lt;&gt;$B259,$B275&lt;&gt;$B260,$B276&lt;&gt;$B261,$B277&lt;&gt;$B262,$B278&lt;&gt;$B263,$B279&lt;&gt;$B264,$B280&lt;&gt;$B265,$B281&lt;&gt;$B266,$B282&lt;&gt;$B267,$B283&lt;&gt;$B268),IF($B278&lt;&gt;$B263,X263/INDEX($C258:$AJ268,6,MATCH(IF('Data-solution'!$A$3="Maximize",MAX($C269:$AI269),MIN($C269:$AI269)),$C269:$AI269,0)),X263-INDEX($C258:$AJ268,6,MATCH(IF('Data-solution'!$A$3="Maximize",MAX($C269:$AI269),MIN($C269:$AI269)),$C269:$AI269,0))*INDEX(X258:$AJ268,MATCH(MIN($AK258:$AK268),$AK258:$AK268,0),1)/INDEX($C258:$AJ268,MATCH(MIN($AK258:$AK268),$AK258:$AK268,0),MATCH(IF('Data-solution'!$A$3="Maximize",MAX($C269:$AI269),MIN($C269:$AI269)),$C269:$AI269,0))),X263)</f>
        <v>0</v>
      </c>
      <c r="Y278" s="1">
        <f>IF(OR($B273&lt;&gt;$B258,$B274&lt;&gt;$B259,$B275&lt;&gt;$B260,$B276&lt;&gt;$B261,$B277&lt;&gt;$B262,$B278&lt;&gt;$B263,$B279&lt;&gt;$B264,$B280&lt;&gt;$B265,$B281&lt;&gt;$B266,$B282&lt;&gt;$B267,$B283&lt;&gt;$B268),IF($B278&lt;&gt;$B263,Y263/INDEX($C258:$AJ268,6,MATCH(IF('Data-solution'!$A$3="Maximize",MAX($C269:$AI269),MIN($C269:$AI269)),$C269:$AI269,0)),Y263-INDEX($C258:$AJ268,6,MATCH(IF('Data-solution'!$A$3="Maximize",MAX($C269:$AI269),MIN($C269:$AI269)),$C269:$AI269,0))*INDEX(Y258:$AJ268,MATCH(MIN($AK258:$AK268),$AK258:$AK268,0),1)/INDEX($C258:$AJ268,MATCH(MIN($AK258:$AK268),$AK258:$AK268,0),MATCH(IF('Data-solution'!$A$3="Maximize",MAX($C269:$AI269),MIN($C269:$AI269)),$C269:$AI269,0))),Y263)</f>
        <v>0</v>
      </c>
      <c r="Z278" s="1">
        <f>IF(OR($B273&lt;&gt;$B258,$B274&lt;&gt;$B259,$B275&lt;&gt;$B260,$B276&lt;&gt;$B261,$B277&lt;&gt;$B262,$B278&lt;&gt;$B263,$B279&lt;&gt;$B264,$B280&lt;&gt;$B265,$B281&lt;&gt;$B266,$B282&lt;&gt;$B267,$B283&lt;&gt;$B268),IF($B278&lt;&gt;$B263,Z263/INDEX($C258:$AJ268,6,MATCH(IF('Data-solution'!$A$3="Maximize",MAX($C269:$AI269),MIN($C269:$AI269)),$C269:$AI269,0)),Z263-INDEX($C258:$AJ268,6,MATCH(IF('Data-solution'!$A$3="Maximize",MAX($C269:$AI269),MIN($C269:$AI269)),$C269:$AI269,0))*INDEX(Z258:$AJ268,MATCH(MIN($AK258:$AK268),$AK258:$AK268,0),1)/INDEX($C258:$AJ268,MATCH(MIN($AK258:$AK268),$AK258:$AK268,0),MATCH(IF('Data-solution'!$A$3="Maximize",MAX($C269:$AI269),MIN($C269:$AI269)),$C269:$AI269,0))),Z263)</f>
        <v>0</v>
      </c>
      <c r="AA278" s="1">
        <f>IF(OR($B273&lt;&gt;$B258,$B274&lt;&gt;$B259,$B275&lt;&gt;$B260,$B276&lt;&gt;$B261,$B277&lt;&gt;$B262,$B278&lt;&gt;$B263,$B279&lt;&gt;$B264,$B280&lt;&gt;$B265,$B281&lt;&gt;$B266,$B282&lt;&gt;$B267,$B283&lt;&gt;$B268),IF($B278&lt;&gt;$B263,AA263/INDEX($C258:$AJ268,6,MATCH(IF('Data-solution'!$A$3="Maximize",MAX($C269:$AI269),MIN($C269:$AI269)),$C269:$AI269,0)),AA263-INDEX($C258:$AJ268,6,MATCH(IF('Data-solution'!$A$3="Maximize",MAX($C269:$AI269),MIN($C269:$AI269)),$C269:$AI269,0))*INDEX(AA258:$AJ268,MATCH(MIN($AK258:$AK268),$AK258:$AK268,0),1)/INDEX($C258:$AJ268,MATCH(MIN($AK258:$AK268),$AK258:$AK268,0),MATCH(IF('Data-solution'!$A$3="Maximize",MAX($C269:$AI269),MIN($C269:$AI269)),$C269:$AI269,0))),AA263)</f>
        <v>0</v>
      </c>
      <c r="AB278" s="1">
        <f>IF(OR($B273&lt;&gt;$B258,$B274&lt;&gt;$B259,$B275&lt;&gt;$B260,$B276&lt;&gt;$B261,$B277&lt;&gt;$B262,$B278&lt;&gt;$B263,$B279&lt;&gt;$B264,$B280&lt;&gt;$B265,$B281&lt;&gt;$B266,$B282&lt;&gt;$B267,$B283&lt;&gt;$B268),IF($B278&lt;&gt;$B263,AB263/INDEX($C258:$AJ268,6,MATCH(IF('Data-solution'!$A$3="Maximize",MAX($C269:$AI269),MIN($C269:$AI269)),$C269:$AI269,0)),AB263-INDEX($C258:$AJ268,6,MATCH(IF('Data-solution'!$A$3="Maximize",MAX($C269:$AI269),MIN($C269:$AI269)),$C269:$AI269,0))*INDEX(AB258:$AJ268,MATCH(MIN($AK258:$AK268),$AK258:$AK268,0),1)/INDEX($C258:$AJ268,MATCH(MIN($AK258:$AK268),$AK258:$AK268,0),MATCH(IF('Data-solution'!$A$3="Maximize",MAX($C269:$AI269),MIN($C269:$AI269)),$C269:$AI269,0))),AB263)</f>
        <v>0</v>
      </c>
      <c r="AC278" s="1">
        <f>IF(OR($B273&lt;&gt;$B258,$B274&lt;&gt;$B259,$B275&lt;&gt;$B260,$B276&lt;&gt;$B261,$B277&lt;&gt;$B262,$B278&lt;&gt;$B263,$B279&lt;&gt;$B264,$B280&lt;&gt;$B265,$B281&lt;&gt;$B266,$B282&lt;&gt;$B267,$B283&lt;&gt;$B268),IF($B278&lt;&gt;$B263,AC263/INDEX($C258:$AJ268,6,MATCH(IF('Data-solution'!$A$3="Maximize",MAX($C269:$AI269),MIN($C269:$AI269)),$C269:$AI269,0)),AC263-INDEX($C258:$AJ268,6,MATCH(IF('Data-solution'!$A$3="Maximize",MAX($C269:$AI269),MIN($C269:$AI269)),$C269:$AI269,0))*INDEX(AC258:$AJ268,MATCH(MIN($AK258:$AK268),$AK258:$AK268,0),1)/INDEX($C258:$AJ268,MATCH(MIN($AK258:$AK268),$AK258:$AK268,0),MATCH(IF('Data-solution'!$A$3="Maximize",MAX($C269:$AI269),MIN($C269:$AI269)),$C269:$AI269,0))),AC263)</f>
        <v>0</v>
      </c>
      <c r="AD278" s="1">
        <f>IF(OR($B273&lt;&gt;$B258,$B274&lt;&gt;$B259,$B275&lt;&gt;$B260,$B276&lt;&gt;$B261,$B277&lt;&gt;$B262,$B278&lt;&gt;$B263,$B279&lt;&gt;$B264,$B280&lt;&gt;$B265,$B281&lt;&gt;$B266,$B282&lt;&gt;$B267,$B283&lt;&gt;$B268),IF($B278&lt;&gt;$B263,AD263/INDEX($C258:$AJ268,6,MATCH(IF('Data-solution'!$A$3="Maximize",MAX($C269:$AI269),MIN($C269:$AI269)),$C269:$AI269,0)),AD263-INDEX($C258:$AJ268,6,MATCH(IF('Data-solution'!$A$3="Maximize",MAX($C269:$AI269),MIN($C269:$AI269)),$C269:$AI269,0))*INDEX(AD258:$AJ268,MATCH(MIN($AK258:$AK268),$AK258:$AK268,0),1)/INDEX($C258:$AJ268,MATCH(MIN($AK258:$AK268),$AK258:$AK268,0),MATCH(IF('Data-solution'!$A$3="Maximize",MAX($C269:$AI269),MIN($C269:$AI269)),$C269:$AI269,0))),AD263)</f>
        <v>1</v>
      </c>
      <c r="AE278" s="1">
        <f>IF(OR($B273&lt;&gt;$B258,$B274&lt;&gt;$B259,$B275&lt;&gt;$B260,$B276&lt;&gt;$B261,$B277&lt;&gt;$B262,$B278&lt;&gt;$B263,$B279&lt;&gt;$B264,$B280&lt;&gt;$B265,$B281&lt;&gt;$B266,$B282&lt;&gt;$B267,$B283&lt;&gt;$B268),IF($B278&lt;&gt;$B263,AE263/INDEX($C258:$AJ268,6,MATCH(IF('Data-solution'!$A$3="Maximize",MAX($C269:$AI269),MIN($C269:$AI269)),$C269:$AI269,0)),AE263-INDEX($C258:$AJ268,6,MATCH(IF('Data-solution'!$A$3="Maximize",MAX($C269:$AI269),MIN($C269:$AI269)),$C269:$AI269,0))*INDEX(AE258:$AJ268,MATCH(MIN($AK258:$AK268),$AK258:$AK268,0),1)/INDEX($C258:$AJ268,MATCH(MIN($AK258:$AK268),$AK258:$AK268,0),MATCH(IF('Data-solution'!$A$3="Maximize",MAX($C269:$AI269),MIN($C269:$AI269)),$C269:$AI269,0))),AE263)</f>
        <v>0</v>
      </c>
      <c r="AF278" s="1">
        <f>IF(OR($B273&lt;&gt;$B258,$B274&lt;&gt;$B259,$B275&lt;&gt;$B260,$B276&lt;&gt;$B261,$B277&lt;&gt;$B262,$B278&lt;&gt;$B263,$B279&lt;&gt;$B264,$B280&lt;&gt;$B265,$B281&lt;&gt;$B266,$B282&lt;&gt;$B267,$B283&lt;&gt;$B268),IF($B278&lt;&gt;$B263,AF263/INDEX($C258:$AJ268,6,MATCH(IF('Data-solution'!$A$3="Maximize",MAX($C269:$AI269),MIN($C269:$AI269)),$C269:$AI269,0)),AF263-INDEX($C258:$AJ268,6,MATCH(IF('Data-solution'!$A$3="Maximize",MAX($C269:$AI269),MIN($C269:$AI269)),$C269:$AI269,0))*INDEX(AF258:$AJ268,MATCH(MIN($AK258:$AK268),$AK258:$AK268,0),1)/INDEX($C258:$AJ268,MATCH(MIN($AK258:$AK268),$AK258:$AK268,0),MATCH(IF('Data-solution'!$A$3="Maximize",MAX($C269:$AI269),MIN($C269:$AI269)),$C269:$AI269,0))),AF263)</f>
        <v>0</v>
      </c>
      <c r="AG278" s="1">
        <f>IF(OR($B273&lt;&gt;$B258,$B274&lt;&gt;$B259,$B275&lt;&gt;$B260,$B276&lt;&gt;$B261,$B277&lt;&gt;$B262,$B278&lt;&gt;$B263,$B279&lt;&gt;$B264,$B280&lt;&gt;$B265,$B281&lt;&gt;$B266,$B282&lt;&gt;$B267,$B283&lt;&gt;$B268),IF($B278&lt;&gt;$B263,AG263/INDEX($C258:$AJ268,6,MATCH(IF('Data-solution'!$A$3="Maximize",MAX($C269:$AI269),MIN($C269:$AI269)),$C269:$AI269,0)),AG263-INDEX($C258:$AJ268,6,MATCH(IF('Data-solution'!$A$3="Maximize",MAX($C269:$AI269),MIN($C269:$AI269)),$C269:$AI269,0))*INDEX(AG258:$AJ268,MATCH(MIN($AK258:$AK268),$AK258:$AK268,0),1)/INDEX($C258:$AJ268,MATCH(MIN($AK258:$AK268),$AK258:$AK268,0),MATCH(IF('Data-solution'!$A$3="Maximize",MAX($C269:$AI269),MIN($C269:$AI269)),$C269:$AI269,0))),AG263)</f>
        <v>0</v>
      </c>
      <c r="AH278" s="1">
        <f>IF(OR($B273&lt;&gt;$B258,$B274&lt;&gt;$B259,$B275&lt;&gt;$B260,$B276&lt;&gt;$B261,$B277&lt;&gt;$B262,$B278&lt;&gt;$B263,$B279&lt;&gt;$B264,$B280&lt;&gt;$B265,$B281&lt;&gt;$B266,$B282&lt;&gt;$B267,$B283&lt;&gt;$B268),IF($B278&lt;&gt;$B263,AH263/INDEX($C258:$AJ268,6,MATCH(IF('Data-solution'!$A$3="Maximize",MAX($C269:$AI269),MIN($C269:$AI269)),$C269:$AI269,0)),AH263-INDEX($C258:$AJ268,6,MATCH(IF('Data-solution'!$A$3="Maximize",MAX($C269:$AI269),MIN($C269:$AI269)),$C269:$AI269,0))*INDEX(AH258:$AJ268,MATCH(MIN($AK258:$AK268),$AK258:$AK268,0),1)/INDEX($C258:$AJ268,MATCH(MIN($AK258:$AK268),$AK258:$AK268,0),MATCH(IF('Data-solution'!$A$3="Maximize",MAX($C269:$AI269),MIN($C269:$AI269)),$C269:$AI269,0))),AH263)</f>
        <v>0</v>
      </c>
      <c r="AI278" s="1">
        <f>IF(OR($B273&lt;&gt;$B258,$B274&lt;&gt;$B259,$B275&lt;&gt;$B260,$B276&lt;&gt;$B261,$B277&lt;&gt;$B262,$B278&lt;&gt;$B263,$B279&lt;&gt;$B264,$B280&lt;&gt;$B265,$B281&lt;&gt;$B266,$B282&lt;&gt;$B267,$B283&lt;&gt;$B268),IF($B278&lt;&gt;$B263,AI263/INDEX($C258:$AJ268,6,MATCH(IF('Data-solution'!$A$3="Maximize",MAX($C269:$AI269),MIN($C269:$AI269)),$C269:$AI269,0)),AI263-INDEX($C258:$AJ268,6,MATCH(IF('Data-solution'!$A$3="Maximize",MAX($C269:$AI269),MIN($C269:$AI269)),$C269:$AI269,0))*INDEX(AI258:$AJ268,MATCH(MIN($AK258:$AK268),$AK258:$AK268,0),1)/INDEX($C258:$AJ268,MATCH(MIN($AK258:$AK268),$AK258:$AK268,0),MATCH(IF('Data-solution'!$A$3="Maximize",MAX($C269:$AI269),MIN($C269:$AI269)),$C269:$AI269,0))),AI263)</f>
        <v>0</v>
      </c>
      <c r="AJ278" s="1">
        <f>IF(OR($B273&lt;&gt;$B258,$B274&lt;&gt;$B259,$B275&lt;&gt;$B260,$B276&lt;&gt;$B261,$B277&lt;&gt;$B262,$B278&lt;&gt;$B263,$B279&lt;&gt;$B264,$B280&lt;&gt;$B265,$B281&lt;&gt;$B266,$B282&lt;&gt;$B267,$B283&lt;&gt;$B268),IF($B278&lt;&gt;$B263,AJ263/INDEX($C258:$AJ268,6,MATCH(IF('Data-solution'!$A$3="Maximize",MAX($C269:$AI269),MIN($C269:$AI269)),$C269:$AI269,0)),AJ263-INDEX($C258:$AJ268,6,MATCH(IF('Data-solution'!$A$3="Maximize",MAX($C269:$AI269),MIN($C269:$AI269)),$C269:$AI269,0))*INDEX(AJ258:$AJ268,MATCH(MIN($AK258:$AK268),$AK258:$AK268,0),1)/INDEX($C258:$AJ268,MATCH(MIN($AK258:$AK268),$AK258:$AK268,0),MATCH(IF('Data-solution'!$A$3="Maximize",MAX($C269:$AI269),MIN($C269:$AI269)),$C269:$AI269,0))),AJ263)</f>
        <v>0</v>
      </c>
      <c r="AK278" s="1" t="str">
        <f>IF(INDEX(C278:X278,1,MATCH(IF('Data-solution'!A$3="Maximize",MAX(C284:X284),MIN(C284:X284)),C284:X284,0))&gt;0,AJ278/INDEX(C278:X278,1,MATCH(IF('Data-solution'!A$3="Maximize",MAX(C284:X284),MIN(C284:X284)),C284:X284,0))," ")</f>
        <v xml:space="preserve"> </v>
      </c>
    </row>
    <row r="279" spans="1:37" ht="18" customHeight="1" x14ac:dyDescent="0.2">
      <c r="A279" s="1">
        <f t="shared" ref="A279" si="250">INDEX(C271:AI271,1,MATCH(B279,C272:AI272,0))</f>
        <v>0</v>
      </c>
      <c r="B279" s="2" t="str">
        <f>IF(AND('Data-solution'!A$3="Maximize",COUNTIF(C269:X269,"&gt;"&amp;0)&gt;0,AK264=MIN(AK258:AK268),COUNTIF(B273:B278,INDEX(C257:X257,1,MATCH(MAX(C269:X269),C269:X269,0)))=0),INDEX(C257:X257,1,MATCH(MAX(C269:X269),C269:X269,0)),IF(AND('Data-solution'!A$3="Minimize",COUNTIF(C269:X269,"&lt;"&amp;0)&gt;0,AK264=MIN(AK258:AK268),COUNTIF(B273:B278,INDEX(C257:X257,1,MATCH(MIN(C269:X269),C269:X269,0)))=0),INDEX(C257:X257,1,MATCH(MIN(C269:X269),C269:X269,0)),B264))</f>
        <v>S7</v>
      </c>
      <c r="C279" s="1">
        <f>IF(OR($B273&lt;&gt;$B258,$B274&lt;&gt;$B259,$B275&lt;&gt;$B260,$B276&lt;&gt;$B261,$B277&lt;&gt;$B262,$B278&lt;&gt;$B263,$B279&lt;&gt;$B264,$B280&lt;&gt;$B265,$B281&lt;&gt;$B266,$B282&lt;&gt;$B267,$B283&lt;&gt;$B268),IF($B279&lt;&gt;$B264,C264/INDEX($C258:$AJ268,7,MATCH(IF('Data-solution'!$A$3="Maximize",MAX($C269:$AI269),MIN($C269:$AI269)),$C269:$AI269,0)),C264-INDEX($C258:$AJ268,7,MATCH(IF('Data-solution'!$A$3="Maximize",MAX($C269:$AI269),MIN($C269:$AI269)),$C269:$AI269,0))*INDEX(C258:$AJ268,MATCH(MIN($AK258:$AK268),$AK258:$AK268,0),1)/INDEX($C258:$AJ268,MATCH(MIN($AK258:$AK268),$AK258:$AK268,0),MATCH(IF('Data-solution'!$A$3="Maximize",MAX($C269:$AI269),MIN($C269:$AI269)),$C269:$AI269,0))),C264)</f>
        <v>0</v>
      </c>
      <c r="D279" s="1">
        <f>IF(OR($B273&lt;&gt;$B258,$B274&lt;&gt;$B259,$B275&lt;&gt;$B260,$B276&lt;&gt;$B261,$B277&lt;&gt;$B262,$B278&lt;&gt;$B263,$B279&lt;&gt;$B264,$B280&lt;&gt;$B265,$B281&lt;&gt;$B266,$B282&lt;&gt;$B267,$B283&lt;&gt;$B268),IF($B279&lt;&gt;$B264,D264/INDEX($C258:$AJ268,7,MATCH(IF('Data-solution'!$A$3="Maximize",MAX($C269:$AI269),MIN($C269:$AI269)),$C269:$AI269,0)),D264-INDEX($C258:$AJ268,7,MATCH(IF('Data-solution'!$A$3="Maximize",MAX($C269:$AI269),MIN($C269:$AI269)),$C269:$AI269,0))*INDEX(D258:$AJ268,MATCH(MIN($AK258:$AK268),$AK258:$AK268,0),1)/INDEX($C258:$AJ268,MATCH(MIN($AK258:$AK268),$AK258:$AK268,0),MATCH(IF('Data-solution'!$A$3="Maximize",MAX($C269:$AI269),MIN($C269:$AI269)),$C269:$AI269,0))),D264)</f>
        <v>0</v>
      </c>
      <c r="E279" s="1">
        <f>IF(OR($B273&lt;&gt;$B258,$B274&lt;&gt;$B259,$B275&lt;&gt;$B260,$B276&lt;&gt;$B261,$B277&lt;&gt;$B262,$B278&lt;&gt;$B263,$B279&lt;&gt;$B264,$B280&lt;&gt;$B265,$B281&lt;&gt;$B266,$B282&lt;&gt;$B267,$B283&lt;&gt;$B268),IF($B279&lt;&gt;$B264,E264/INDEX($C258:$AJ268,7,MATCH(IF('Data-solution'!$A$3="Maximize",MAX($C269:$AI269),MIN($C269:$AI269)),$C269:$AI269,0)),E264-INDEX($C258:$AJ268,7,MATCH(IF('Data-solution'!$A$3="Maximize",MAX($C269:$AI269),MIN($C269:$AI269)),$C269:$AI269,0))*INDEX(E258:$AJ268,MATCH(MIN($AK258:$AK268),$AK258:$AK268,0),1)/INDEX($C258:$AJ268,MATCH(MIN($AK258:$AK268),$AK258:$AK268,0),MATCH(IF('Data-solution'!$A$3="Maximize",MAX($C269:$AI269),MIN($C269:$AI269)),$C269:$AI269,0))),E264)</f>
        <v>0</v>
      </c>
      <c r="F279" s="1">
        <f>IF(OR($B273&lt;&gt;$B258,$B274&lt;&gt;$B259,$B275&lt;&gt;$B260,$B276&lt;&gt;$B261,$B277&lt;&gt;$B262,$B278&lt;&gt;$B263,$B279&lt;&gt;$B264,$B280&lt;&gt;$B265,$B281&lt;&gt;$B266,$B282&lt;&gt;$B267,$B283&lt;&gt;$B268),IF($B279&lt;&gt;$B264,F264/INDEX($C258:$AJ268,7,MATCH(IF('Data-solution'!$A$3="Maximize",MAX($C269:$AI269),MIN($C269:$AI269)),$C269:$AI269,0)),F264-INDEX($C258:$AJ268,7,MATCH(IF('Data-solution'!$A$3="Maximize",MAX($C269:$AI269),MIN($C269:$AI269)),$C269:$AI269,0))*INDEX(F258:$AJ268,MATCH(MIN($AK258:$AK268),$AK258:$AK268,0),1)/INDEX($C258:$AJ268,MATCH(MIN($AK258:$AK268),$AK258:$AK268,0),MATCH(IF('Data-solution'!$A$3="Maximize",MAX($C269:$AI269),MIN($C269:$AI269)),$C269:$AI269,0))),F264)</f>
        <v>0</v>
      </c>
      <c r="G279" s="1">
        <f>IF(OR($B273&lt;&gt;$B258,$B274&lt;&gt;$B259,$B275&lt;&gt;$B260,$B276&lt;&gt;$B261,$B277&lt;&gt;$B262,$B278&lt;&gt;$B263,$B279&lt;&gt;$B264,$B280&lt;&gt;$B265,$B281&lt;&gt;$B266,$B282&lt;&gt;$B267,$B283&lt;&gt;$B268),IF($B279&lt;&gt;$B264,G264/INDEX($C258:$AJ268,7,MATCH(IF('Data-solution'!$A$3="Maximize",MAX($C269:$AI269),MIN($C269:$AI269)),$C269:$AI269,0)),G264-INDEX($C258:$AJ268,7,MATCH(IF('Data-solution'!$A$3="Maximize",MAX($C269:$AI269),MIN($C269:$AI269)),$C269:$AI269,0))*INDEX(G258:$AJ268,MATCH(MIN($AK258:$AK268),$AK258:$AK268,0),1)/INDEX($C258:$AJ268,MATCH(MIN($AK258:$AK268),$AK258:$AK268,0),MATCH(IF('Data-solution'!$A$3="Maximize",MAX($C269:$AI269),MIN($C269:$AI269)),$C269:$AI269,0))),G264)</f>
        <v>0</v>
      </c>
      <c r="H279" s="1">
        <f>IF(OR($B273&lt;&gt;$B258,$B274&lt;&gt;$B259,$B275&lt;&gt;$B260,$B276&lt;&gt;$B261,$B277&lt;&gt;$B262,$B278&lt;&gt;$B263,$B279&lt;&gt;$B264,$B280&lt;&gt;$B265,$B281&lt;&gt;$B266,$B282&lt;&gt;$B267,$B283&lt;&gt;$B268),IF($B279&lt;&gt;$B264,H264/INDEX($C258:$AJ268,7,MATCH(IF('Data-solution'!$A$3="Maximize",MAX($C269:$AI269),MIN($C269:$AI269)),$C269:$AI269,0)),H264-INDEX($C258:$AJ268,7,MATCH(IF('Data-solution'!$A$3="Maximize",MAX($C269:$AI269),MIN($C269:$AI269)),$C269:$AI269,0))*INDEX(H258:$AJ268,MATCH(MIN($AK258:$AK268),$AK258:$AK268,0),1)/INDEX($C258:$AJ268,MATCH(MIN($AK258:$AK268),$AK258:$AK268,0),MATCH(IF('Data-solution'!$A$3="Maximize",MAX($C269:$AI269),MIN($C269:$AI269)),$C269:$AI269,0))),H264)</f>
        <v>0</v>
      </c>
      <c r="I279" s="1">
        <f>IF(OR($B273&lt;&gt;$B258,$B274&lt;&gt;$B259,$B275&lt;&gt;$B260,$B276&lt;&gt;$B261,$B277&lt;&gt;$B262,$B278&lt;&gt;$B263,$B279&lt;&gt;$B264,$B280&lt;&gt;$B265,$B281&lt;&gt;$B266,$B282&lt;&gt;$B267,$B283&lt;&gt;$B268),IF($B279&lt;&gt;$B264,I264/INDEX($C258:$AJ268,7,MATCH(IF('Data-solution'!$A$3="Maximize",MAX($C269:$AI269),MIN($C269:$AI269)),$C269:$AI269,0)),I264-INDEX($C258:$AJ268,7,MATCH(IF('Data-solution'!$A$3="Maximize",MAX($C269:$AI269),MIN($C269:$AI269)),$C269:$AI269,0))*INDEX(I258:$AJ268,MATCH(MIN($AK258:$AK268),$AK258:$AK268,0),1)/INDEX($C258:$AJ268,MATCH(MIN($AK258:$AK268),$AK258:$AK268,0),MATCH(IF('Data-solution'!$A$3="Maximize",MAX($C269:$AI269),MIN($C269:$AI269)),$C269:$AI269,0))),I264)</f>
        <v>0</v>
      </c>
      <c r="J279" s="1">
        <f>IF(OR($B273&lt;&gt;$B258,$B274&lt;&gt;$B259,$B275&lt;&gt;$B260,$B276&lt;&gt;$B261,$B277&lt;&gt;$B262,$B278&lt;&gt;$B263,$B279&lt;&gt;$B264,$B280&lt;&gt;$B265,$B281&lt;&gt;$B266,$B282&lt;&gt;$B267,$B283&lt;&gt;$B268),IF($B279&lt;&gt;$B264,J264/INDEX($C258:$AJ268,7,MATCH(IF('Data-solution'!$A$3="Maximize",MAX($C269:$AI269),MIN($C269:$AI269)),$C269:$AI269,0)),J264-INDEX($C258:$AJ268,7,MATCH(IF('Data-solution'!$A$3="Maximize",MAX($C269:$AI269),MIN($C269:$AI269)),$C269:$AI269,0))*INDEX(J258:$AJ268,MATCH(MIN($AK258:$AK268),$AK258:$AK268,0),1)/INDEX($C258:$AJ268,MATCH(MIN($AK258:$AK268),$AK258:$AK268,0),MATCH(IF('Data-solution'!$A$3="Maximize",MAX($C269:$AI269),MIN($C269:$AI269)),$C269:$AI269,0))),J264)</f>
        <v>0</v>
      </c>
      <c r="K279" s="1">
        <f>IF(OR($B273&lt;&gt;$B258,$B274&lt;&gt;$B259,$B275&lt;&gt;$B260,$B276&lt;&gt;$B261,$B277&lt;&gt;$B262,$B278&lt;&gt;$B263,$B279&lt;&gt;$B264,$B280&lt;&gt;$B265,$B281&lt;&gt;$B266,$B282&lt;&gt;$B267,$B283&lt;&gt;$B268),IF($B279&lt;&gt;$B264,K264/INDEX($C258:$AJ268,7,MATCH(IF('Data-solution'!$A$3="Maximize",MAX($C269:$AI269),MIN($C269:$AI269)),$C269:$AI269,0)),K264-INDEX($C258:$AJ268,7,MATCH(IF('Data-solution'!$A$3="Maximize",MAX($C269:$AI269),MIN($C269:$AI269)),$C269:$AI269,0))*INDEX(K258:$AJ268,MATCH(MIN($AK258:$AK268),$AK258:$AK268,0),1)/INDEX($C258:$AJ268,MATCH(MIN($AK258:$AK268),$AK258:$AK268,0),MATCH(IF('Data-solution'!$A$3="Maximize",MAX($C269:$AI269),MIN($C269:$AI269)),$C269:$AI269,0))),K264)</f>
        <v>0</v>
      </c>
      <c r="L279" s="1">
        <f>IF(OR($B273&lt;&gt;$B258,$B274&lt;&gt;$B259,$B275&lt;&gt;$B260,$B276&lt;&gt;$B261,$B277&lt;&gt;$B262,$B278&lt;&gt;$B263,$B279&lt;&gt;$B264,$B280&lt;&gt;$B265,$B281&lt;&gt;$B266,$B282&lt;&gt;$B267,$B283&lt;&gt;$B268),IF($B279&lt;&gt;$B264,L264/INDEX($C258:$AJ268,7,MATCH(IF('Data-solution'!$A$3="Maximize",MAX($C269:$AI269),MIN($C269:$AI269)),$C269:$AI269,0)),L264-INDEX($C258:$AJ268,7,MATCH(IF('Data-solution'!$A$3="Maximize",MAX($C269:$AI269),MIN($C269:$AI269)),$C269:$AI269,0))*INDEX(L258:$AJ268,MATCH(MIN($AK258:$AK268),$AK258:$AK268,0),1)/INDEX($C258:$AJ268,MATCH(MIN($AK258:$AK268),$AK258:$AK268,0),MATCH(IF('Data-solution'!$A$3="Maximize",MAX($C269:$AI269),MIN($C269:$AI269)),$C269:$AI269,0))),L264)</f>
        <v>0</v>
      </c>
      <c r="M279" s="1">
        <f>IF(OR($B273&lt;&gt;$B258,$B274&lt;&gt;$B259,$B275&lt;&gt;$B260,$B276&lt;&gt;$B261,$B277&lt;&gt;$B262,$B278&lt;&gt;$B263,$B279&lt;&gt;$B264,$B280&lt;&gt;$B265,$B281&lt;&gt;$B266,$B282&lt;&gt;$B267,$B283&lt;&gt;$B268),IF($B279&lt;&gt;$B264,M264/INDEX($C258:$AJ268,7,MATCH(IF('Data-solution'!$A$3="Maximize",MAX($C269:$AI269),MIN($C269:$AI269)),$C269:$AI269,0)),M264-INDEX($C258:$AJ268,7,MATCH(IF('Data-solution'!$A$3="Maximize",MAX($C269:$AI269),MIN($C269:$AI269)),$C269:$AI269,0))*INDEX(M258:$AJ268,MATCH(MIN($AK258:$AK268),$AK258:$AK268,0),1)/INDEX($C258:$AJ268,MATCH(MIN($AK258:$AK268),$AK258:$AK268,0),MATCH(IF('Data-solution'!$A$3="Maximize",MAX($C269:$AI269),MIN($C269:$AI269)),$C269:$AI269,0))),M264)</f>
        <v>0</v>
      </c>
      <c r="N279" s="1">
        <f>IF(OR($B273&lt;&gt;$B258,$B274&lt;&gt;$B259,$B275&lt;&gt;$B260,$B276&lt;&gt;$B261,$B277&lt;&gt;$B262,$B278&lt;&gt;$B263,$B279&lt;&gt;$B264,$B280&lt;&gt;$B265,$B281&lt;&gt;$B266,$B282&lt;&gt;$B267,$B283&lt;&gt;$B268),IF($B279&lt;&gt;$B264,N264/INDEX($C258:$AJ268,7,MATCH(IF('Data-solution'!$A$3="Maximize",MAX($C269:$AI269),MIN($C269:$AI269)),$C269:$AI269,0)),N264-INDEX($C258:$AJ268,7,MATCH(IF('Data-solution'!$A$3="Maximize",MAX($C269:$AI269),MIN($C269:$AI269)),$C269:$AI269,0))*INDEX(N258:$AJ268,MATCH(MIN($AK258:$AK268),$AK258:$AK268,0),1)/INDEX($C258:$AJ268,MATCH(MIN($AK258:$AK268),$AK258:$AK268,0),MATCH(IF('Data-solution'!$A$3="Maximize",MAX($C269:$AI269),MIN($C269:$AI269)),$C269:$AI269,0))),N264)</f>
        <v>0</v>
      </c>
      <c r="O279" s="1">
        <f>IF(OR($B273&lt;&gt;$B258,$B274&lt;&gt;$B259,$B275&lt;&gt;$B260,$B276&lt;&gt;$B261,$B277&lt;&gt;$B262,$B278&lt;&gt;$B263,$B279&lt;&gt;$B264,$B280&lt;&gt;$B265,$B281&lt;&gt;$B266,$B282&lt;&gt;$B267,$B283&lt;&gt;$B268),IF($B279&lt;&gt;$B264,O264/INDEX($C258:$AJ268,7,MATCH(IF('Data-solution'!$A$3="Maximize",MAX($C269:$AI269),MIN($C269:$AI269)),$C269:$AI269,0)),O264-INDEX($C258:$AJ268,7,MATCH(IF('Data-solution'!$A$3="Maximize",MAX($C269:$AI269),MIN($C269:$AI269)),$C269:$AI269,0))*INDEX(O258:$AJ268,MATCH(MIN($AK258:$AK268),$AK258:$AK268,0),1)/INDEX($C258:$AJ268,MATCH(MIN($AK258:$AK268),$AK258:$AK268,0),MATCH(IF('Data-solution'!$A$3="Maximize",MAX($C269:$AI269),MIN($C269:$AI269)),$C269:$AI269,0))),O264)</f>
        <v>0</v>
      </c>
      <c r="P279" s="1">
        <f>IF(OR($B273&lt;&gt;$B258,$B274&lt;&gt;$B259,$B275&lt;&gt;$B260,$B276&lt;&gt;$B261,$B277&lt;&gt;$B262,$B278&lt;&gt;$B263,$B279&lt;&gt;$B264,$B280&lt;&gt;$B265,$B281&lt;&gt;$B266,$B282&lt;&gt;$B267,$B283&lt;&gt;$B268),IF($B279&lt;&gt;$B264,P264/INDEX($C258:$AJ268,7,MATCH(IF('Data-solution'!$A$3="Maximize",MAX($C269:$AI269),MIN($C269:$AI269)),$C269:$AI269,0)),P264-INDEX($C258:$AJ268,7,MATCH(IF('Data-solution'!$A$3="Maximize",MAX($C269:$AI269),MIN($C269:$AI269)),$C269:$AI269,0))*INDEX(P258:$AJ268,MATCH(MIN($AK258:$AK268),$AK258:$AK268,0),1)/INDEX($C258:$AJ268,MATCH(MIN($AK258:$AK268),$AK258:$AK268,0),MATCH(IF('Data-solution'!$A$3="Maximize",MAX($C269:$AI269),MIN($C269:$AI269)),$C269:$AI269,0))),P264)</f>
        <v>0</v>
      </c>
      <c r="Q279" s="1">
        <f>IF(OR($B273&lt;&gt;$B258,$B274&lt;&gt;$B259,$B275&lt;&gt;$B260,$B276&lt;&gt;$B261,$B277&lt;&gt;$B262,$B278&lt;&gt;$B263,$B279&lt;&gt;$B264,$B280&lt;&gt;$B265,$B281&lt;&gt;$B266,$B282&lt;&gt;$B267,$B283&lt;&gt;$B268),IF($B279&lt;&gt;$B264,Q264/INDEX($C258:$AJ268,7,MATCH(IF('Data-solution'!$A$3="Maximize",MAX($C269:$AI269),MIN($C269:$AI269)),$C269:$AI269,0)),Q264-INDEX($C258:$AJ268,7,MATCH(IF('Data-solution'!$A$3="Maximize",MAX($C269:$AI269),MIN($C269:$AI269)),$C269:$AI269,0))*INDEX(Q258:$AJ268,MATCH(MIN($AK258:$AK268),$AK258:$AK268,0),1)/INDEX($C258:$AJ268,MATCH(MIN($AK258:$AK268),$AK258:$AK268,0),MATCH(IF('Data-solution'!$A$3="Maximize",MAX($C269:$AI269),MIN($C269:$AI269)),$C269:$AI269,0))),Q264)</f>
        <v>0</v>
      </c>
      <c r="R279" s="1">
        <f>IF(OR($B273&lt;&gt;$B258,$B274&lt;&gt;$B259,$B275&lt;&gt;$B260,$B276&lt;&gt;$B261,$B277&lt;&gt;$B262,$B278&lt;&gt;$B263,$B279&lt;&gt;$B264,$B280&lt;&gt;$B265,$B281&lt;&gt;$B266,$B282&lt;&gt;$B267,$B283&lt;&gt;$B268),IF($B279&lt;&gt;$B264,R264/INDEX($C258:$AJ268,7,MATCH(IF('Data-solution'!$A$3="Maximize",MAX($C269:$AI269),MIN($C269:$AI269)),$C269:$AI269,0)),R264-INDEX($C258:$AJ268,7,MATCH(IF('Data-solution'!$A$3="Maximize",MAX($C269:$AI269),MIN($C269:$AI269)),$C269:$AI269,0))*INDEX(R258:$AJ268,MATCH(MIN($AK258:$AK268),$AK258:$AK268,0),1)/INDEX($C258:$AJ268,MATCH(MIN($AK258:$AK268),$AK258:$AK268,0),MATCH(IF('Data-solution'!$A$3="Maximize",MAX($C269:$AI269),MIN($C269:$AI269)),$C269:$AI269,0))),R264)</f>
        <v>0</v>
      </c>
      <c r="S279" s="1">
        <f>IF(OR($B273&lt;&gt;$B258,$B274&lt;&gt;$B259,$B275&lt;&gt;$B260,$B276&lt;&gt;$B261,$B277&lt;&gt;$B262,$B278&lt;&gt;$B263,$B279&lt;&gt;$B264,$B280&lt;&gt;$B265,$B281&lt;&gt;$B266,$B282&lt;&gt;$B267,$B283&lt;&gt;$B268),IF($B279&lt;&gt;$B264,S264/INDEX($C258:$AJ268,7,MATCH(IF('Data-solution'!$A$3="Maximize",MAX($C269:$AI269),MIN($C269:$AI269)),$C269:$AI269,0)),S264-INDEX($C258:$AJ268,7,MATCH(IF('Data-solution'!$A$3="Maximize",MAX($C269:$AI269),MIN($C269:$AI269)),$C269:$AI269,0))*INDEX(S258:$AJ268,MATCH(MIN($AK258:$AK268),$AK258:$AK268,0),1)/INDEX($C258:$AJ268,MATCH(MIN($AK258:$AK268),$AK258:$AK268,0),MATCH(IF('Data-solution'!$A$3="Maximize",MAX($C269:$AI269),MIN($C269:$AI269)),$C269:$AI269,0))),S264)</f>
        <v>0</v>
      </c>
      <c r="T279" s="1">
        <f>IF(OR($B273&lt;&gt;$B258,$B274&lt;&gt;$B259,$B275&lt;&gt;$B260,$B276&lt;&gt;$B261,$B277&lt;&gt;$B262,$B278&lt;&gt;$B263,$B279&lt;&gt;$B264,$B280&lt;&gt;$B265,$B281&lt;&gt;$B266,$B282&lt;&gt;$B267,$B283&lt;&gt;$B268),IF($B279&lt;&gt;$B264,T264/INDEX($C258:$AJ268,7,MATCH(IF('Data-solution'!$A$3="Maximize",MAX($C269:$AI269),MIN($C269:$AI269)),$C269:$AI269,0)),T264-INDEX($C258:$AJ268,7,MATCH(IF('Data-solution'!$A$3="Maximize",MAX($C269:$AI269),MIN($C269:$AI269)),$C269:$AI269,0))*INDEX(T258:$AJ268,MATCH(MIN($AK258:$AK268),$AK258:$AK268,0),1)/INDEX($C258:$AJ268,MATCH(MIN($AK258:$AK268),$AK258:$AK268,0),MATCH(IF('Data-solution'!$A$3="Maximize",MAX($C269:$AI269),MIN($C269:$AI269)),$C269:$AI269,0))),T264)</f>
        <v>1</v>
      </c>
      <c r="U279" s="1">
        <f>IF(OR($B273&lt;&gt;$B258,$B274&lt;&gt;$B259,$B275&lt;&gt;$B260,$B276&lt;&gt;$B261,$B277&lt;&gt;$B262,$B278&lt;&gt;$B263,$B279&lt;&gt;$B264,$B280&lt;&gt;$B265,$B281&lt;&gt;$B266,$B282&lt;&gt;$B267,$B283&lt;&gt;$B268),IF($B279&lt;&gt;$B264,U264/INDEX($C258:$AJ268,7,MATCH(IF('Data-solution'!$A$3="Maximize",MAX($C269:$AI269),MIN($C269:$AI269)),$C269:$AI269,0)),U264-INDEX($C258:$AJ268,7,MATCH(IF('Data-solution'!$A$3="Maximize",MAX($C269:$AI269),MIN($C269:$AI269)),$C269:$AI269,0))*INDEX(U258:$AJ268,MATCH(MIN($AK258:$AK268),$AK258:$AK268,0),1)/INDEX($C258:$AJ268,MATCH(MIN($AK258:$AK268),$AK258:$AK268,0),MATCH(IF('Data-solution'!$A$3="Maximize",MAX($C269:$AI269),MIN($C269:$AI269)),$C269:$AI269,0))),U264)</f>
        <v>0</v>
      </c>
      <c r="V279" s="1">
        <f>IF(OR($B273&lt;&gt;$B258,$B274&lt;&gt;$B259,$B275&lt;&gt;$B260,$B276&lt;&gt;$B261,$B277&lt;&gt;$B262,$B278&lt;&gt;$B263,$B279&lt;&gt;$B264,$B280&lt;&gt;$B265,$B281&lt;&gt;$B266,$B282&lt;&gt;$B267,$B283&lt;&gt;$B268),IF($B279&lt;&gt;$B264,V264/INDEX($C258:$AJ268,7,MATCH(IF('Data-solution'!$A$3="Maximize",MAX($C269:$AI269),MIN($C269:$AI269)),$C269:$AI269,0)),V264-INDEX($C258:$AJ268,7,MATCH(IF('Data-solution'!$A$3="Maximize",MAX($C269:$AI269),MIN($C269:$AI269)),$C269:$AI269,0))*INDEX(V258:$AJ268,MATCH(MIN($AK258:$AK268),$AK258:$AK268,0),1)/INDEX($C258:$AJ268,MATCH(MIN($AK258:$AK268),$AK258:$AK268,0),MATCH(IF('Data-solution'!$A$3="Maximize",MAX($C269:$AI269),MIN($C269:$AI269)),$C269:$AI269,0))),V264)</f>
        <v>0</v>
      </c>
      <c r="W279" s="1">
        <f>IF(OR($B273&lt;&gt;$B258,$B274&lt;&gt;$B259,$B275&lt;&gt;$B260,$B276&lt;&gt;$B261,$B277&lt;&gt;$B262,$B278&lt;&gt;$B263,$B279&lt;&gt;$B264,$B280&lt;&gt;$B265,$B281&lt;&gt;$B266,$B282&lt;&gt;$B267,$B283&lt;&gt;$B268),IF($B279&lt;&gt;$B264,W264/INDEX($C258:$AJ268,7,MATCH(IF('Data-solution'!$A$3="Maximize",MAX($C269:$AI269),MIN($C269:$AI269)),$C269:$AI269,0)),W264-INDEX($C258:$AJ268,7,MATCH(IF('Data-solution'!$A$3="Maximize",MAX($C269:$AI269),MIN($C269:$AI269)),$C269:$AI269,0))*INDEX(W258:$AJ268,MATCH(MIN($AK258:$AK268),$AK258:$AK268,0),1)/INDEX($C258:$AJ268,MATCH(MIN($AK258:$AK268),$AK258:$AK268,0),MATCH(IF('Data-solution'!$A$3="Maximize",MAX($C269:$AI269),MIN($C269:$AI269)),$C269:$AI269,0))),W264)</f>
        <v>0</v>
      </c>
      <c r="X279" s="1">
        <f>IF(OR($B273&lt;&gt;$B258,$B274&lt;&gt;$B259,$B275&lt;&gt;$B260,$B276&lt;&gt;$B261,$B277&lt;&gt;$B262,$B278&lt;&gt;$B263,$B279&lt;&gt;$B264,$B280&lt;&gt;$B265,$B281&lt;&gt;$B266,$B282&lt;&gt;$B267,$B283&lt;&gt;$B268),IF($B279&lt;&gt;$B264,X264/INDEX($C258:$AJ268,7,MATCH(IF('Data-solution'!$A$3="Maximize",MAX($C269:$AI269),MIN($C269:$AI269)),$C269:$AI269,0)),X264-INDEX($C258:$AJ268,7,MATCH(IF('Data-solution'!$A$3="Maximize",MAX($C269:$AI269),MIN($C269:$AI269)),$C269:$AI269,0))*INDEX(X258:$AJ268,MATCH(MIN($AK258:$AK268),$AK258:$AK268,0),1)/INDEX($C258:$AJ268,MATCH(MIN($AK258:$AK268),$AK258:$AK268,0),MATCH(IF('Data-solution'!$A$3="Maximize",MAX($C269:$AI269),MIN($C269:$AI269)),$C269:$AI269,0))),X264)</f>
        <v>0</v>
      </c>
      <c r="Y279" s="1">
        <f>IF(OR($B273&lt;&gt;$B258,$B274&lt;&gt;$B259,$B275&lt;&gt;$B260,$B276&lt;&gt;$B261,$B277&lt;&gt;$B262,$B278&lt;&gt;$B263,$B279&lt;&gt;$B264,$B280&lt;&gt;$B265,$B281&lt;&gt;$B266,$B282&lt;&gt;$B267,$B283&lt;&gt;$B268),IF($B279&lt;&gt;$B264,Y264/INDEX($C258:$AJ268,7,MATCH(IF('Data-solution'!$A$3="Maximize",MAX($C269:$AI269),MIN($C269:$AI269)),$C269:$AI269,0)),Y264-INDEX($C258:$AJ268,7,MATCH(IF('Data-solution'!$A$3="Maximize",MAX($C269:$AI269),MIN($C269:$AI269)),$C269:$AI269,0))*INDEX(Y258:$AJ268,MATCH(MIN($AK258:$AK268),$AK258:$AK268,0),1)/INDEX($C258:$AJ268,MATCH(MIN($AK258:$AK268),$AK258:$AK268,0),MATCH(IF('Data-solution'!$A$3="Maximize",MAX($C269:$AI269),MIN($C269:$AI269)),$C269:$AI269,0))),Y264)</f>
        <v>0</v>
      </c>
      <c r="Z279" s="1">
        <f>IF(OR($B273&lt;&gt;$B258,$B274&lt;&gt;$B259,$B275&lt;&gt;$B260,$B276&lt;&gt;$B261,$B277&lt;&gt;$B262,$B278&lt;&gt;$B263,$B279&lt;&gt;$B264,$B280&lt;&gt;$B265,$B281&lt;&gt;$B266,$B282&lt;&gt;$B267,$B283&lt;&gt;$B268),IF($B279&lt;&gt;$B264,Z264/INDEX($C258:$AJ268,7,MATCH(IF('Data-solution'!$A$3="Maximize",MAX($C269:$AI269),MIN($C269:$AI269)),$C269:$AI269,0)),Z264-INDEX($C258:$AJ268,7,MATCH(IF('Data-solution'!$A$3="Maximize",MAX($C269:$AI269),MIN($C269:$AI269)),$C269:$AI269,0))*INDEX(Z258:$AJ268,MATCH(MIN($AK258:$AK268),$AK258:$AK268,0),1)/INDEX($C258:$AJ268,MATCH(MIN($AK258:$AK268),$AK258:$AK268,0),MATCH(IF('Data-solution'!$A$3="Maximize",MAX($C269:$AI269),MIN($C269:$AI269)),$C269:$AI269,0))),Z264)</f>
        <v>0</v>
      </c>
      <c r="AA279" s="1">
        <f>IF(OR($B273&lt;&gt;$B258,$B274&lt;&gt;$B259,$B275&lt;&gt;$B260,$B276&lt;&gt;$B261,$B277&lt;&gt;$B262,$B278&lt;&gt;$B263,$B279&lt;&gt;$B264,$B280&lt;&gt;$B265,$B281&lt;&gt;$B266,$B282&lt;&gt;$B267,$B283&lt;&gt;$B268),IF($B279&lt;&gt;$B264,AA264/INDEX($C258:$AJ268,7,MATCH(IF('Data-solution'!$A$3="Maximize",MAX($C269:$AI269),MIN($C269:$AI269)),$C269:$AI269,0)),AA264-INDEX($C258:$AJ268,7,MATCH(IF('Data-solution'!$A$3="Maximize",MAX($C269:$AI269),MIN($C269:$AI269)),$C269:$AI269,0))*INDEX(AA258:$AJ268,MATCH(MIN($AK258:$AK268),$AK258:$AK268,0),1)/INDEX($C258:$AJ268,MATCH(MIN($AK258:$AK268),$AK258:$AK268,0),MATCH(IF('Data-solution'!$A$3="Maximize",MAX($C269:$AI269),MIN($C269:$AI269)),$C269:$AI269,0))),AA264)</f>
        <v>0</v>
      </c>
      <c r="AB279" s="1">
        <f>IF(OR($B273&lt;&gt;$B258,$B274&lt;&gt;$B259,$B275&lt;&gt;$B260,$B276&lt;&gt;$B261,$B277&lt;&gt;$B262,$B278&lt;&gt;$B263,$B279&lt;&gt;$B264,$B280&lt;&gt;$B265,$B281&lt;&gt;$B266,$B282&lt;&gt;$B267,$B283&lt;&gt;$B268),IF($B279&lt;&gt;$B264,AB264/INDEX($C258:$AJ268,7,MATCH(IF('Data-solution'!$A$3="Maximize",MAX($C269:$AI269),MIN($C269:$AI269)),$C269:$AI269,0)),AB264-INDEX($C258:$AJ268,7,MATCH(IF('Data-solution'!$A$3="Maximize",MAX($C269:$AI269),MIN($C269:$AI269)),$C269:$AI269,0))*INDEX(AB258:$AJ268,MATCH(MIN($AK258:$AK268),$AK258:$AK268,0),1)/INDEX($C258:$AJ268,MATCH(MIN($AK258:$AK268),$AK258:$AK268,0),MATCH(IF('Data-solution'!$A$3="Maximize",MAX($C269:$AI269),MIN($C269:$AI269)),$C269:$AI269,0))),AB264)</f>
        <v>0</v>
      </c>
      <c r="AC279" s="1">
        <f>IF(OR($B273&lt;&gt;$B258,$B274&lt;&gt;$B259,$B275&lt;&gt;$B260,$B276&lt;&gt;$B261,$B277&lt;&gt;$B262,$B278&lt;&gt;$B263,$B279&lt;&gt;$B264,$B280&lt;&gt;$B265,$B281&lt;&gt;$B266,$B282&lt;&gt;$B267,$B283&lt;&gt;$B268),IF($B279&lt;&gt;$B264,AC264/INDEX($C258:$AJ268,7,MATCH(IF('Data-solution'!$A$3="Maximize",MAX($C269:$AI269),MIN($C269:$AI269)),$C269:$AI269,0)),AC264-INDEX($C258:$AJ268,7,MATCH(IF('Data-solution'!$A$3="Maximize",MAX($C269:$AI269),MIN($C269:$AI269)),$C269:$AI269,0))*INDEX(AC258:$AJ268,MATCH(MIN($AK258:$AK268),$AK258:$AK268,0),1)/INDEX($C258:$AJ268,MATCH(MIN($AK258:$AK268),$AK258:$AK268,0),MATCH(IF('Data-solution'!$A$3="Maximize",MAX($C269:$AI269),MIN($C269:$AI269)),$C269:$AI269,0))),AC264)</f>
        <v>0</v>
      </c>
      <c r="AD279" s="1">
        <f>IF(OR($B273&lt;&gt;$B258,$B274&lt;&gt;$B259,$B275&lt;&gt;$B260,$B276&lt;&gt;$B261,$B277&lt;&gt;$B262,$B278&lt;&gt;$B263,$B279&lt;&gt;$B264,$B280&lt;&gt;$B265,$B281&lt;&gt;$B266,$B282&lt;&gt;$B267,$B283&lt;&gt;$B268),IF($B279&lt;&gt;$B264,AD264/INDEX($C258:$AJ268,7,MATCH(IF('Data-solution'!$A$3="Maximize",MAX($C269:$AI269),MIN($C269:$AI269)),$C269:$AI269,0)),AD264-INDEX($C258:$AJ268,7,MATCH(IF('Data-solution'!$A$3="Maximize",MAX($C269:$AI269),MIN($C269:$AI269)),$C269:$AI269,0))*INDEX(AD258:$AJ268,MATCH(MIN($AK258:$AK268),$AK258:$AK268,0),1)/INDEX($C258:$AJ268,MATCH(MIN($AK258:$AK268),$AK258:$AK268,0),MATCH(IF('Data-solution'!$A$3="Maximize",MAX($C269:$AI269),MIN($C269:$AI269)),$C269:$AI269,0))),AD264)</f>
        <v>0</v>
      </c>
      <c r="AE279" s="1">
        <f>IF(OR($B273&lt;&gt;$B258,$B274&lt;&gt;$B259,$B275&lt;&gt;$B260,$B276&lt;&gt;$B261,$B277&lt;&gt;$B262,$B278&lt;&gt;$B263,$B279&lt;&gt;$B264,$B280&lt;&gt;$B265,$B281&lt;&gt;$B266,$B282&lt;&gt;$B267,$B283&lt;&gt;$B268),IF($B279&lt;&gt;$B264,AE264/INDEX($C258:$AJ268,7,MATCH(IF('Data-solution'!$A$3="Maximize",MAX($C269:$AI269),MIN($C269:$AI269)),$C269:$AI269,0)),AE264-INDEX($C258:$AJ268,7,MATCH(IF('Data-solution'!$A$3="Maximize",MAX($C269:$AI269),MIN($C269:$AI269)),$C269:$AI269,0))*INDEX(AE258:$AJ268,MATCH(MIN($AK258:$AK268),$AK258:$AK268,0),1)/INDEX($C258:$AJ268,MATCH(MIN($AK258:$AK268),$AK258:$AK268,0),MATCH(IF('Data-solution'!$A$3="Maximize",MAX($C269:$AI269),MIN($C269:$AI269)),$C269:$AI269,0))),AE264)</f>
        <v>1</v>
      </c>
      <c r="AF279" s="1">
        <f>IF(OR($B273&lt;&gt;$B258,$B274&lt;&gt;$B259,$B275&lt;&gt;$B260,$B276&lt;&gt;$B261,$B277&lt;&gt;$B262,$B278&lt;&gt;$B263,$B279&lt;&gt;$B264,$B280&lt;&gt;$B265,$B281&lt;&gt;$B266,$B282&lt;&gt;$B267,$B283&lt;&gt;$B268),IF($B279&lt;&gt;$B264,AF264/INDEX($C258:$AJ268,7,MATCH(IF('Data-solution'!$A$3="Maximize",MAX($C269:$AI269),MIN($C269:$AI269)),$C269:$AI269,0)),AF264-INDEX($C258:$AJ268,7,MATCH(IF('Data-solution'!$A$3="Maximize",MAX($C269:$AI269),MIN($C269:$AI269)),$C269:$AI269,0))*INDEX(AF258:$AJ268,MATCH(MIN($AK258:$AK268),$AK258:$AK268,0),1)/INDEX($C258:$AJ268,MATCH(MIN($AK258:$AK268),$AK258:$AK268,0),MATCH(IF('Data-solution'!$A$3="Maximize",MAX($C269:$AI269),MIN($C269:$AI269)),$C269:$AI269,0))),AF264)</f>
        <v>0</v>
      </c>
      <c r="AG279" s="1">
        <f>IF(OR($B273&lt;&gt;$B258,$B274&lt;&gt;$B259,$B275&lt;&gt;$B260,$B276&lt;&gt;$B261,$B277&lt;&gt;$B262,$B278&lt;&gt;$B263,$B279&lt;&gt;$B264,$B280&lt;&gt;$B265,$B281&lt;&gt;$B266,$B282&lt;&gt;$B267,$B283&lt;&gt;$B268),IF($B279&lt;&gt;$B264,AG264/INDEX($C258:$AJ268,7,MATCH(IF('Data-solution'!$A$3="Maximize",MAX($C269:$AI269),MIN($C269:$AI269)),$C269:$AI269,0)),AG264-INDEX($C258:$AJ268,7,MATCH(IF('Data-solution'!$A$3="Maximize",MAX($C269:$AI269),MIN($C269:$AI269)),$C269:$AI269,0))*INDEX(AG258:$AJ268,MATCH(MIN($AK258:$AK268),$AK258:$AK268,0),1)/INDEX($C258:$AJ268,MATCH(MIN($AK258:$AK268),$AK258:$AK268,0),MATCH(IF('Data-solution'!$A$3="Maximize",MAX($C269:$AI269),MIN($C269:$AI269)),$C269:$AI269,0))),AG264)</f>
        <v>0</v>
      </c>
      <c r="AH279" s="1">
        <f>IF(OR($B273&lt;&gt;$B258,$B274&lt;&gt;$B259,$B275&lt;&gt;$B260,$B276&lt;&gt;$B261,$B277&lt;&gt;$B262,$B278&lt;&gt;$B263,$B279&lt;&gt;$B264,$B280&lt;&gt;$B265,$B281&lt;&gt;$B266,$B282&lt;&gt;$B267,$B283&lt;&gt;$B268),IF($B279&lt;&gt;$B264,AH264/INDEX($C258:$AJ268,7,MATCH(IF('Data-solution'!$A$3="Maximize",MAX($C269:$AI269),MIN($C269:$AI269)),$C269:$AI269,0)),AH264-INDEX($C258:$AJ268,7,MATCH(IF('Data-solution'!$A$3="Maximize",MAX($C269:$AI269),MIN($C269:$AI269)),$C269:$AI269,0))*INDEX(AH258:$AJ268,MATCH(MIN($AK258:$AK268),$AK258:$AK268,0),1)/INDEX($C258:$AJ268,MATCH(MIN($AK258:$AK268),$AK258:$AK268,0),MATCH(IF('Data-solution'!$A$3="Maximize",MAX($C269:$AI269),MIN($C269:$AI269)),$C269:$AI269,0))),AH264)</f>
        <v>0</v>
      </c>
      <c r="AI279" s="1">
        <f>IF(OR($B273&lt;&gt;$B258,$B274&lt;&gt;$B259,$B275&lt;&gt;$B260,$B276&lt;&gt;$B261,$B277&lt;&gt;$B262,$B278&lt;&gt;$B263,$B279&lt;&gt;$B264,$B280&lt;&gt;$B265,$B281&lt;&gt;$B266,$B282&lt;&gt;$B267,$B283&lt;&gt;$B268),IF($B279&lt;&gt;$B264,AI264/INDEX($C258:$AJ268,7,MATCH(IF('Data-solution'!$A$3="Maximize",MAX($C269:$AI269),MIN($C269:$AI269)),$C269:$AI269,0)),AI264-INDEX($C258:$AJ268,7,MATCH(IF('Data-solution'!$A$3="Maximize",MAX($C269:$AI269),MIN($C269:$AI269)),$C269:$AI269,0))*INDEX(AI258:$AJ268,MATCH(MIN($AK258:$AK268),$AK258:$AK268,0),1)/INDEX($C258:$AJ268,MATCH(MIN($AK258:$AK268),$AK258:$AK268,0),MATCH(IF('Data-solution'!$A$3="Maximize",MAX($C269:$AI269),MIN($C269:$AI269)),$C269:$AI269,0))),AI264)</f>
        <v>0</v>
      </c>
      <c r="AJ279" s="1">
        <f>IF(OR($B273&lt;&gt;$B258,$B274&lt;&gt;$B259,$B275&lt;&gt;$B260,$B276&lt;&gt;$B261,$B277&lt;&gt;$B262,$B278&lt;&gt;$B263,$B279&lt;&gt;$B264,$B280&lt;&gt;$B265,$B281&lt;&gt;$B266,$B282&lt;&gt;$B267,$B283&lt;&gt;$B268),IF($B279&lt;&gt;$B264,AJ264/INDEX($C258:$AJ268,7,MATCH(IF('Data-solution'!$A$3="Maximize",MAX($C269:$AI269),MIN($C269:$AI269)),$C269:$AI269,0)),AJ264-INDEX($C258:$AJ268,7,MATCH(IF('Data-solution'!$A$3="Maximize",MAX($C269:$AI269),MIN($C269:$AI269)),$C269:$AI269,0))*INDEX(AJ258:$AJ268,MATCH(MIN($AK258:$AK268),$AK258:$AK268,0),1)/INDEX($C258:$AJ268,MATCH(MIN($AK258:$AK268),$AK258:$AK268,0),MATCH(IF('Data-solution'!$A$3="Maximize",MAX($C269:$AI269),MIN($C269:$AI269)),$C269:$AI269,0))),AJ264)</f>
        <v>0</v>
      </c>
      <c r="AK279" s="1" t="str">
        <f>IF(INDEX(C279:X279,1,MATCH(IF('Data-solution'!A$3="Maximize",MAX(C284:X284),MIN(C284:X284)),C284:X284,0))&gt;0,AJ279/INDEX(C279:X279,1,MATCH(IF('Data-solution'!A$3="Maximize",MAX(C284:X284),MIN(C284:X284)),C284:X284,0))," ")</f>
        <v xml:space="preserve"> </v>
      </c>
    </row>
    <row r="280" spans="1:37" ht="18" customHeight="1" x14ac:dyDescent="0.2">
      <c r="A280" s="1">
        <f t="shared" ref="A280" si="251">INDEX(C271:AI271,1,MATCH(B280,C272:AI272,0))</f>
        <v>0</v>
      </c>
      <c r="B280" s="2" t="str">
        <f>IF(AND('Data-solution'!A$3="Maximize",COUNTIF(C269:X269,"&gt;"&amp;0)&gt;0,AK265=MIN(AK258:AK268),COUNTIF(B273:B279,INDEX(C257:X257,1,MATCH(MAX(C269:X269),C269:X269,0)))=0),INDEX(C257:X257,1,MATCH(MAX(C269:X269),C269:X269,0)),IF(AND('Data-solution'!A$3="Minimize",COUNTIF(C269:X269,"&lt;"&amp;0)&gt;0,AK265=MIN(AK258:AK268),COUNTIF(B273:B279,INDEX(C257:X257,1,MATCH(MIN(C269:X269),C269:X269,0)))=0),INDEX(C257:X257,1,MATCH(MIN(C269:X269),C269:X269,0)),B265))</f>
        <v>S8</v>
      </c>
      <c r="C280" s="1">
        <f>IF(OR($B273&lt;&gt;$B258,$B274&lt;&gt;$B259,$B275&lt;&gt;$B260,$B276&lt;&gt;$B261,$B277&lt;&gt;$B262,$B278&lt;&gt;$B263,$B279&lt;&gt;$B264,$B280&lt;&gt;$B265,$B281&lt;&gt;$B266,$B282&lt;&gt;$B267,$B283&lt;&gt;$B268),IF($B280&lt;&gt;$B265,C265/INDEX($C258:$AJ268,8,MATCH(IF('Data-solution'!$A$3="Maximize",MAX($C269:$AI269),MIN($C269:$AI269)),$C269:$AI269,0)),C265-INDEX($C258:$AJ268,8,MATCH(IF('Data-solution'!$A$3="Maximize",MAX($C269:$AI269),MIN($C269:$AI269)),$C269:$AI269,0))*INDEX(C258:$AJ268,MATCH(MIN($AK258:$AK268),$AK258:$AK268,0),1)/INDEX($C258:$AJ268,MATCH(MIN($AK258:$AK268),$AK258:$AK268,0),MATCH(IF('Data-solution'!$A$3="Maximize",MAX($C269:$AI269),MIN($C269:$AI269)),$C269:$AI269,0))),C265)</f>
        <v>0</v>
      </c>
      <c r="D280" s="1">
        <f>IF(OR($B273&lt;&gt;$B258,$B274&lt;&gt;$B259,$B275&lt;&gt;$B260,$B276&lt;&gt;$B261,$B277&lt;&gt;$B262,$B278&lt;&gt;$B263,$B279&lt;&gt;$B264,$B280&lt;&gt;$B265,$B281&lt;&gt;$B266,$B282&lt;&gt;$B267,$B283&lt;&gt;$B268),IF($B280&lt;&gt;$B265,D265/INDEX($C258:$AJ268,8,MATCH(IF('Data-solution'!$A$3="Maximize",MAX($C269:$AI269),MIN($C269:$AI269)),$C269:$AI269,0)),D265-INDEX($C258:$AJ268,8,MATCH(IF('Data-solution'!$A$3="Maximize",MAX($C269:$AI269),MIN($C269:$AI269)),$C269:$AI269,0))*INDEX(D258:$AJ268,MATCH(MIN($AK258:$AK268),$AK258:$AK268,0),1)/INDEX($C258:$AJ268,MATCH(MIN($AK258:$AK268),$AK258:$AK268,0),MATCH(IF('Data-solution'!$A$3="Maximize",MAX($C269:$AI269),MIN($C269:$AI269)),$C269:$AI269,0))),D265)</f>
        <v>0</v>
      </c>
      <c r="E280" s="1">
        <f>IF(OR($B273&lt;&gt;$B258,$B274&lt;&gt;$B259,$B275&lt;&gt;$B260,$B276&lt;&gt;$B261,$B277&lt;&gt;$B262,$B278&lt;&gt;$B263,$B279&lt;&gt;$B264,$B280&lt;&gt;$B265,$B281&lt;&gt;$B266,$B282&lt;&gt;$B267,$B283&lt;&gt;$B268),IF($B280&lt;&gt;$B265,E265/INDEX($C258:$AJ268,8,MATCH(IF('Data-solution'!$A$3="Maximize",MAX($C269:$AI269),MIN($C269:$AI269)),$C269:$AI269,0)),E265-INDEX($C258:$AJ268,8,MATCH(IF('Data-solution'!$A$3="Maximize",MAX($C269:$AI269),MIN($C269:$AI269)),$C269:$AI269,0))*INDEX(E258:$AJ268,MATCH(MIN($AK258:$AK268),$AK258:$AK268,0),1)/INDEX($C258:$AJ268,MATCH(MIN($AK258:$AK268),$AK258:$AK268,0),MATCH(IF('Data-solution'!$A$3="Maximize",MAX($C269:$AI269),MIN($C269:$AI269)),$C269:$AI269,0))),E265)</f>
        <v>0</v>
      </c>
      <c r="F280" s="1">
        <f>IF(OR($B273&lt;&gt;$B258,$B274&lt;&gt;$B259,$B275&lt;&gt;$B260,$B276&lt;&gt;$B261,$B277&lt;&gt;$B262,$B278&lt;&gt;$B263,$B279&lt;&gt;$B264,$B280&lt;&gt;$B265,$B281&lt;&gt;$B266,$B282&lt;&gt;$B267,$B283&lt;&gt;$B268),IF($B280&lt;&gt;$B265,F265/INDEX($C258:$AJ268,8,MATCH(IF('Data-solution'!$A$3="Maximize",MAX($C269:$AI269),MIN($C269:$AI269)),$C269:$AI269,0)),F265-INDEX($C258:$AJ268,8,MATCH(IF('Data-solution'!$A$3="Maximize",MAX($C269:$AI269),MIN($C269:$AI269)),$C269:$AI269,0))*INDEX(F258:$AJ268,MATCH(MIN($AK258:$AK268),$AK258:$AK268,0),1)/INDEX($C258:$AJ268,MATCH(MIN($AK258:$AK268),$AK258:$AK268,0),MATCH(IF('Data-solution'!$A$3="Maximize",MAX($C269:$AI269),MIN($C269:$AI269)),$C269:$AI269,0))),F265)</f>
        <v>0</v>
      </c>
      <c r="G280" s="1">
        <f>IF(OR($B273&lt;&gt;$B258,$B274&lt;&gt;$B259,$B275&lt;&gt;$B260,$B276&lt;&gt;$B261,$B277&lt;&gt;$B262,$B278&lt;&gt;$B263,$B279&lt;&gt;$B264,$B280&lt;&gt;$B265,$B281&lt;&gt;$B266,$B282&lt;&gt;$B267,$B283&lt;&gt;$B268),IF($B280&lt;&gt;$B265,G265/INDEX($C258:$AJ268,8,MATCH(IF('Data-solution'!$A$3="Maximize",MAX($C269:$AI269),MIN($C269:$AI269)),$C269:$AI269,0)),G265-INDEX($C258:$AJ268,8,MATCH(IF('Data-solution'!$A$3="Maximize",MAX($C269:$AI269),MIN($C269:$AI269)),$C269:$AI269,0))*INDEX(G258:$AJ268,MATCH(MIN($AK258:$AK268),$AK258:$AK268,0),1)/INDEX($C258:$AJ268,MATCH(MIN($AK258:$AK268),$AK258:$AK268,0),MATCH(IF('Data-solution'!$A$3="Maximize",MAX($C269:$AI269),MIN($C269:$AI269)),$C269:$AI269,0))),G265)</f>
        <v>0</v>
      </c>
      <c r="H280" s="1">
        <f>IF(OR($B273&lt;&gt;$B258,$B274&lt;&gt;$B259,$B275&lt;&gt;$B260,$B276&lt;&gt;$B261,$B277&lt;&gt;$B262,$B278&lt;&gt;$B263,$B279&lt;&gt;$B264,$B280&lt;&gt;$B265,$B281&lt;&gt;$B266,$B282&lt;&gt;$B267,$B283&lt;&gt;$B268),IF($B280&lt;&gt;$B265,H265/INDEX($C258:$AJ268,8,MATCH(IF('Data-solution'!$A$3="Maximize",MAX($C269:$AI269),MIN($C269:$AI269)),$C269:$AI269,0)),H265-INDEX($C258:$AJ268,8,MATCH(IF('Data-solution'!$A$3="Maximize",MAX($C269:$AI269),MIN($C269:$AI269)),$C269:$AI269,0))*INDEX(H258:$AJ268,MATCH(MIN($AK258:$AK268),$AK258:$AK268,0),1)/INDEX($C258:$AJ268,MATCH(MIN($AK258:$AK268),$AK258:$AK268,0),MATCH(IF('Data-solution'!$A$3="Maximize",MAX($C269:$AI269),MIN($C269:$AI269)),$C269:$AI269,0))),H265)</f>
        <v>0</v>
      </c>
      <c r="I280" s="1">
        <f>IF(OR($B273&lt;&gt;$B258,$B274&lt;&gt;$B259,$B275&lt;&gt;$B260,$B276&lt;&gt;$B261,$B277&lt;&gt;$B262,$B278&lt;&gt;$B263,$B279&lt;&gt;$B264,$B280&lt;&gt;$B265,$B281&lt;&gt;$B266,$B282&lt;&gt;$B267,$B283&lt;&gt;$B268),IF($B280&lt;&gt;$B265,I265/INDEX($C258:$AJ268,8,MATCH(IF('Data-solution'!$A$3="Maximize",MAX($C269:$AI269),MIN($C269:$AI269)),$C269:$AI269,0)),I265-INDEX($C258:$AJ268,8,MATCH(IF('Data-solution'!$A$3="Maximize",MAX($C269:$AI269),MIN($C269:$AI269)),$C269:$AI269,0))*INDEX(I258:$AJ268,MATCH(MIN($AK258:$AK268),$AK258:$AK268,0),1)/INDEX($C258:$AJ268,MATCH(MIN($AK258:$AK268),$AK258:$AK268,0),MATCH(IF('Data-solution'!$A$3="Maximize",MAX($C269:$AI269),MIN($C269:$AI269)),$C269:$AI269,0))),I265)</f>
        <v>0</v>
      </c>
      <c r="J280" s="1">
        <f>IF(OR($B273&lt;&gt;$B258,$B274&lt;&gt;$B259,$B275&lt;&gt;$B260,$B276&lt;&gt;$B261,$B277&lt;&gt;$B262,$B278&lt;&gt;$B263,$B279&lt;&gt;$B264,$B280&lt;&gt;$B265,$B281&lt;&gt;$B266,$B282&lt;&gt;$B267,$B283&lt;&gt;$B268),IF($B280&lt;&gt;$B265,J265/INDEX($C258:$AJ268,8,MATCH(IF('Data-solution'!$A$3="Maximize",MAX($C269:$AI269),MIN($C269:$AI269)),$C269:$AI269,0)),J265-INDEX($C258:$AJ268,8,MATCH(IF('Data-solution'!$A$3="Maximize",MAX($C269:$AI269),MIN($C269:$AI269)),$C269:$AI269,0))*INDEX(J258:$AJ268,MATCH(MIN($AK258:$AK268),$AK258:$AK268,0),1)/INDEX($C258:$AJ268,MATCH(MIN($AK258:$AK268),$AK258:$AK268,0),MATCH(IF('Data-solution'!$A$3="Maximize",MAX($C269:$AI269),MIN($C269:$AI269)),$C269:$AI269,0))),J265)</f>
        <v>0</v>
      </c>
      <c r="K280" s="1">
        <f>IF(OR($B273&lt;&gt;$B258,$B274&lt;&gt;$B259,$B275&lt;&gt;$B260,$B276&lt;&gt;$B261,$B277&lt;&gt;$B262,$B278&lt;&gt;$B263,$B279&lt;&gt;$B264,$B280&lt;&gt;$B265,$B281&lt;&gt;$B266,$B282&lt;&gt;$B267,$B283&lt;&gt;$B268),IF($B280&lt;&gt;$B265,K265/INDEX($C258:$AJ268,8,MATCH(IF('Data-solution'!$A$3="Maximize",MAX($C269:$AI269),MIN($C269:$AI269)),$C269:$AI269,0)),K265-INDEX($C258:$AJ268,8,MATCH(IF('Data-solution'!$A$3="Maximize",MAX($C269:$AI269),MIN($C269:$AI269)),$C269:$AI269,0))*INDEX(K258:$AJ268,MATCH(MIN($AK258:$AK268),$AK258:$AK268,0),1)/INDEX($C258:$AJ268,MATCH(MIN($AK258:$AK268),$AK258:$AK268,0),MATCH(IF('Data-solution'!$A$3="Maximize",MAX($C269:$AI269),MIN($C269:$AI269)),$C269:$AI269,0))),K265)</f>
        <v>0</v>
      </c>
      <c r="L280" s="1">
        <f>IF(OR($B273&lt;&gt;$B258,$B274&lt;&gt;$B259,$B275&lt;&gt;$B260,$B276&lt;&gt;$B261,$B277&lt;&gt;$B262,$B278&lt;&gt;$B263,$B279&lt;&gt;$B264,$B280&lt;&gt;$B265,$B281&lt;&gt;$B266,$B282&lt;&gt;$B267,$B283&lt;&gt;$B268),IF($B280&lt;&gt;$B265,L265/INDEX($C258:$AJ268,8,MATCH(IF('Data-solution'!$A$3="Maximize",MAX($C269:$AI269),MIN($C269:$AI269)),$C269:$AI269,0)),L265-INDEX($C258:$AJ268,8,MATCH(IF('Data-solution'!$A$3="Maximize",MAX($C269:$AI269),MIN($C269:$AI269)),$C269:$AI269,0))*INDEX(L258:$AJ268,MATCH(MIN($AK258:$AK268),$AK258:$AK268,0),1)/INDEX($C258:$AJ268,MATCH(MIN($AK258:$AK268),$AK258:$AK268,0),MATCH(IF('Data-solution'!$A$3="Maximize",MAX($C269:$AI269),MIN($C269:$AI269)),$C269:$AI269,0))),L265)</f>
        <v>0</v>
      </c>
      <c r="M280" s="1">
        <f>IF(OR($B273&lt;&gt;$B258,$B274&lt;&gt;$B259,$B275&lt;&gt;$B260,$B276&lt;&gt;$B261,$B277&lt;&gt;$B262,$B278&lt;&gt;$B263,$B279&lt;&gt;$B264,$B280&lt;&gt;$B265,$B281&lt;&gt;$B266,$B282&lt;&gt;$B267,$B283&lt;&gt;$B268),IF($B280&lt;&gt;$B265,M265/INDEX($C258:$AJ268,8,MATCH(IF('Data-solution'!$A$3="Maximize",MAX($C269:$AI269),MIN($C269:$AI269)),$C269:$AI269,0)),M265-INDEX($C258:$AJ268,8,MATCH(IF('Data-solution'!$A$3="Maximize",MAX($C269:$AI269),MIN($C269:$AI269)),$C269:$AI269,0))*INDEX(M258:$AJ268,MATCH(MIN($AK258:$AK268),$AK258:$AK268,0),1)/INDEX($C258:$AJ268,MATCH(MIN($AK258:$AK268),$AK258:$AK268,0),MATCH(IF('Data-solution'!$A$3="Maximize",MAX($C269:$AI269),MIN($C269:$AI269)),$C269:$AI269,0))),M265)</f>
        <v>0</v>
      </c>
      <c r="N280" s="1">
        <f>IF(OR($B273&lt;&gt;$B258,$B274&lt;&gt;$B259,$B275&lt;&gt;$B260,$B276&lt;&gt;$B261,$B277&lt;&gt;$B262,$B278&lt;&gt;$B263,$B279&lt;&gt;$B264,$B280&lt;&gt;$B265,$B281&lt;&gt;$B266,$B282&lt;&gt;$B267,$B283&lt;&gt;$B268),IF($B280&lt;&gt;$B265,N265/INDEX($C258:$AJ268,8,MATCH(IF('Data-solution'!$A$3="Maximize",MAX($C269:$AI269),MIN($C269:$AI269)),$C269:$AI269,0)),N265-INDEX($C258:$AJ268,8,MATCH(IF('Data-solution'!$A$3="Maximize",MAX($C269:$AI269),MIN($C269:$AI269)),$C269:$AI269,0))*INDEX(N258:$AJ268,MATCH(MIN($AK258:$AK268),$AK258:$AK268,0),1)/INDEX($C258:$AJ268,MATCH(MIN($AK258:$AK268),$AK258:$AK268,0),MATCH(IF('Data-solution'!$A$3="Maximize",MAX($C269:$AI269),MIN($C269:$AI269)),$C269:$AI269,0))),N265)</f>
        <v>0</v>
      </c>
      <c r="O280" s="1">
        <f>IF(OR($B273&lt;&gt;$B258,$B274&lt;&gt;$B259,$B275&lt;&gt;$B260,$B276&lt;&gt;$B261,$B277&lt;&gt;$B262,$B278&lt;&gt;$B263,$B279&lt;&gt;$B264,$B280&lt;&gt;$B265,$B281&lt;&gt;$B266,$B282&lt;&gt;$B267,$B283&lt;&gt;$B268),IF($B280&lt;&gt;$B265,O265/INDEX($C258:$AJ268,8,MATCH(IF('Data-solution'!$A$3="Maximize",MAX($C269:$AI269),MIN($C269:$AI269)),$C269:$AI269,0)),O265-INDEX($C258:$AJ268,8,MATCH(IF('Data-solution'!$A$3="Maximize",MAX($C269:$AI269),MIN($C269:$AI269)),$C269:$AI269,0))*INDEX(O258:$AJ268,MATCH(MIN($AK258:$AK268),$AK258:$AK268,0),1)/INDEX($C258:$AJ268,MATCH(MIN($AK258:$AK268),$AK258:$AK268,0),MATCH(IF('Data-solution'!$A$3="Maximize",MAX($C269:$AI269),MIN($C269:$AI269)),$C269:$AI269,0))),O265)</f>
        <v>0</v>
      </c>
      <c r="P280" s="1">
        <f>IF(OR($B273&lt;&gt;$B258,$B274&lt;&gt;$B259,$B275&lt;&gt;$B260,$B276&lt;&gt;$B261,$B277&lt;&gt;$B262,$B278&lt;&gt;$B263,$B279&lt;&gt;$B264,$B280&lt;&gt;$B265,$B281&lt;&gt;$B266,$B282&lt;&gt;$B267,$B283&lt;&gt;$B268),IF($B280&lt;&gt;$B265,P265/INDEX($C258:$AJ268,8,MATCH(IF('Data-solution'!$A$3="Maximize",MAX($C269:$AI269),MIN($C269:$AI269)),$C269:$AI269,0)),P265-INDEX($C258:$AJ268,8,MATCH(IF('Data-solution'!$A$3="Maximize",MAX($C269:$AI269),MIN($C269:$AI269)),$C269:$AI269,0))*INDEX(P258:$AJ268,MATCH(MIN($AK258:$AK268),$AK258:$AK268,0),1)/INDEX($C258:$AJ268,MATCH(MIN($AK258:$AK268),$AK258:$AK268,0),MATCH(IF('Data-solution'!$A$3="Maximize",MAX($C269:$AI269),MIN($C269:$AI269)),$C269:$AI269,0))),P265)</f>
        <v>0</v>
      </c>
      <c r="Q280" s="1">
        <f>IF(OR($B273&lt;&gt;$B258,$B274&lt;&gt;$B259,$B275&lt;&gt;$B260,$B276&lt;&gt;$B261,$B277&lt;&gt;$B262,$B278&lt;&gt;$B263,$B279&lt;&gt;$B264,$B280&lt;&gt;$B265,$B281&lt;&gt;$B266,$B282&lt;&gt;$B267,$B283&lt;&gt;$B268),IF($B280&lt;&gt;$B265,Q265/INDEX($C258:$AJ268,8,MATCH(IF('Data-solution'!$A$3="Maximize",MAX($C269:$AI269),MIN($C269:$AI269)),$C269:$AI269,0)),Q265-INDEX($C258:$AJ268,8,MATCH(IF('Data-solution'!$A$3="Maximize",MAX($C269:$AI269),MIN($C269:$AI269)),$C269:$AI269,0))*INDEX(Q258:$AJ268,MATCH(MIN($AK258:$AK268),$AK258:$AK268,0),1)/INDEX($C258:$AJ268,MATCH(MIN($AK258:$AK268),$AK258:$AK268,0),MATCH(IF('Data-solution'!$A$3="Maximize",MAX($C269:$AI269),MIN($C269:$AI269)),$C269:$AI269,0))),Q265)</f>
        <v>0</v>
      </c>
      <c r="R280" s="1">
        <f>IF(OR($B273&lt;&gt;$B258,$B274&lt;&gt;$B259,$B275&lt;&gt;$B260,$B276&lt;&gt;$B261,$B277&lt;&gt;$B262,$B278&lt;&gt;$B263,$B279&lt;&gt;$B264,$B280&lt;&gt;$B265,$B281&lt;&gt;$B266,$B282&lt;&gt;$B267,$B283&lt;&gt;$B268),IF($B280&lt;&gt;$B265,R265/INDEX($C258:$AJ268,8,MATCH(IF('Data-solution'!$A$3="Maximize",MAX($C269:$AI269),MIN($C269:$AI269)),$C269:$AI269,0)),R265-INDEX($C258:$AJ268,8,MATCH(IF('Data-solution'!$A$3="Maximize",MAX($C269:$AI269),MIN($C269:$AI269)),$C269:$AI269,0))*INDEX(R258:$AJ268,MATCH(MIN($AK258:$AK268),$AK258:$AK268,0),1)/INDEX($C258:$AJ268,MATCH(MIN($AK258:$AK268),$AK258:$AK268,0),MATCH(IF('Data-solution'!$A$3="Maximize",MAX($C269:$AI269),MIN($C269:$AI269)),$C269:$AI269,0))),R265)</f>
        <v>0</v>
      </c>
      <c r="S280" s="1">
        <f>IF(OR($B273&lt;&gt;$B258,$B274&lt;&gt;$B259,$B275&lt;&gt;$B260,$B276&lt;&gt;$B261,$B277&lt;&gt;$B262,$B278&lt;&gt;$B263,$B279&lt;&gt;$B264,$B280&lt;&gt;$B265,$B281&lt;&gt;$B266,$B282&lt;&gt;$B267,$B283&lt;&gt;$B268),IF($B280&lt;&gt;$B265,S265/INDEX($C258:$AJ268,8,MATCH(IF('Data-solution'!$A$3="Maximize",MAX($C269:$AI269),MIN($C269:$AI269)),$C269:$AI269,0)),S265-INDEX($C258:$AJ268,8,MATCH(IF('Data-solution'!$A$3="Maximize",MAX($C269:$AI269),MIN($C269:$AI269)),$C269:$AI269,0))*INDEX(S258:$AJ268,MATCH(MIN($AK258:$AK268),$AK258:$AK268,0),1)/INDEX($C258:$AJ268,MATCH(MIN($AK258:$AK268),$AK258:$AK268,0),MATCH(IF('Data-solution'!$A$3="Maximize",MAX($C269:$AI269),MIN($C269:$AI269)),$C269:$AI269,0))),S265)</f>
        <v>0</v>
      </c>
      <c r="T280" s="1">
        <f>IF(OR($B273&lt;&gt;$B258,$B274&lt;&gt;$B259,$B275&lt;&gt;$B260,$B276&lt;&gt;$B261,$B277&lt;&gt;$B262,$B278&lt;&gt;$B263,$B279&lt;&gt;$B264,$B280&lt;&gt;$B265,$B281&lt;&gt;$B266,$B282&lt;&gt;$B267,$B283&lt;&gt;$B268),IF($B280&lt;&gt;$B265,T265/INDEX($C258:$AJ268,8,MATCH(IF('Data-solution'!$A$3="Maximize",MAX($C269:$AI269),MIN($C269:$AI269)),$C269:$AI269,0)),T265-INDEX($C258:$AJ268,8,MATCH(IF('Data-solution'!$A$3="Maximize",MAX($C269:$AI269),MIN($C269:$AI269)),$C269:$AI269,0))*INDEX(T258:$AJ268,MATCH(MIN($AK258:$AK268),$AK258:$AK268,0),1)/INDEX($C258:$AJ268,MATCH(MIN($AK258:$AK268),$AK258:$AK268,0),MATCH(IF('Data-solution'!$A$3="Maximize",MAX($C269:$AI269),MIN($C269:$AI269)),$C269:$AI269,0))),T265)</f>
        <v>0</v>
      </c>
      <c r="U280" s="1">
        <f>IF(OR($B273&lt;&gt;$B258,$B274&lt;&gt;$B259,$B275&lt;&gt;$B260,$B276&lt;&gt;$B261,$B277&lt;&gt;$B262,$B278&lt;&gt;$B263,$B279&lt;&gt;$B264,$B280&lt;&gt;$B265,$B281&lt;&gt;$B266,$B282&lt;&gt;$B267,$B283&lt;&gt;$B268),IF($B280&lt;&gt;$B265,U265/INDEX($C258:$AJ268,8,MATCH(IF('Data-solution'!$A$3="Maximize",MAX($C269:$AI269),MIN($C269:$AI269)),$C269:$AI269,0)),U265-INDEX($C258:$AJ268,8,MATCH(IF('Data-solution'!$A$3="Maximize",MAX($C269:$AI269),MIN($C269:$AI269)),$C269:$AI269,0))*INDEX(U258:$AJ268,MATCH(MIN($AK258:$AK268),$AK258:$AK268,0),1)/INDEX($C258:$AJ268,MATCH(MIN($AK258:$AK268),$AK258:$AK268,0),MATCH(IF('Data-solution'!$A$3="Maximize",MAX($C269:$AI269),MIN($C269:$AI269)),$C269:$AI269,0))),U265)</f>
        <v>1</v>
      </c>
      <c r="V280" s="1">
        <f>IF(OR($B273&lt;&gt;$B258,$B274&lt;&gt;$B259,$B275&lt;&gt;$B260,$B276&lt;&gt;$B261,$B277&lt;&gt;$B262,$B278&lt;&gt;$B263,$B279&lt;&gt;$B264,$B280&lt;&gt;$B265,$B281&lt;&gt;$B266,$B282&lt;&gt;$B267,$B283&lt;&gt;$B268),IF($B280&lt;&gt;$B265,V265/INDEX($C258:$AJ268,8,MATCH(IF('Data-solution'!$A$3="Maximize",MAX($C269:$AI269),MIN($C269:$AI269)),$C269:$AI269,0)),V265-INDEX($C258:$AJ268,8,MATCH(IF('Data-solution'!$A$3="Maximize",MAX($C269:$AI269),MIN($C269:$AI269)),$C269:$AI269,0))*INDEX(V258:$AJ268,MATCH(MIN($AK258:$AK268),$AK258:$AK268,0),1)/INDEX($C258:$AJ268,MATCH(MIN($AK258:$AK268),$AK258:$AK268,0),MATCH(IF('Data-solution'!$A$3="Maximize",MAX($C269:$AI269),MIN($C269:$AI269)),$C269:$AI269,0))),V265)</f>
        <v>0</v>
      </c>
      <c r="W280" s="1">
        <f>IF(OR($B273&lt;&gt;$B258,$B274&lt;&gt;$B259,$B275&lt;&gt;$B260,$B276&lt;&gt;$B261,$B277&lt;&gt;$B262,$B278&lt;&gt;$B263,$B279&lt;&gt;$B264,$B280&lt;&gt;$B265,$B281&lt;&gt;$B266,$B282&lt;&gt;$B267,$B283&lt;&gt;$B268),IF($B280&lt;&gt;$B265,W265/INDEX($C258:$AJ268,8,MATCH(IF('Data-solution'!$A$3="Maximize",MAX($C269:$AI269),MIN($C269:$AI269)),$C269:$AI269,0)),W265-INDEX($C258:$AJ268,8,MATCH(IF('Data-solution'!$A$3="Maximize",MAX($C269:$AI269),MIN($C269:$AI269)),$C269:$AI269,0))*INDEX(W258:$AJ268,MATCH(MIN($AK258:$AK268),$AK258:$AK268,0),1)/INDEX($C258:$AJ268,MATCH(MIN($AK258:$AK268),$AK258:$AK268,0),MATCH(IF('Data-solution'!$A$3="Maximize",MAX($C269:$AI269),MIN($C269:$AI269)),$C269:$AI269,0))),W265)</f>
        <v>0</v>
      </c>
      <c r="X280" s="1">
        <f>IF(OR($B273&lt;&gt;$B258,$B274&lt;&gt;$B259,$B275&lt;&gt;$B260,$B276&lt;&gt;$B261,$B277&lt;&gt;$B262,$B278&lt;&gt;$B263,$B279&lt;&gt;$B264,$B280&lt;&gt;$B265,$B281&lt;&gt;$B266,$B282&lt;&gt;$B267,$B283&lt;&gt;$B268),IF($B280&lt;&gt;$B265,X265/INDEX($C258:$AJ268,8,MATCH(IF('Data-solution'!$A$3="Maximize",MAX($C269:$AI269),MIN($C269:$AI269)),$C269:$AI269,0)),X265-INDEX($C258:$AJ268,8,MATCH(IF('Data-solution'!$A$3="Maximize",MAX($C269:$AI269),MIN($C269:$AI269)),$C269:$AI269,0))*INDEX(X258:$AJ268,MATCH(MIN($AK258:$AK268),$AK258:$AK268,0),1)/INDEX($C258:$AJ268,MATCH(MIN($AK258:$AK268),$AK258:$AK268,0),MATCH(IF('Data-solution'!$A$3="Maximize",MAX($C269:$AI269),MIN($C269:$AI269)),$C269:$AI269,0))),X265)</f>
        <v>0</v>
      </c>
      <c r="Y280" s="1">
        <f>IF(OR($B273&lt;&gt;$B258,$B274&lt;&gt;$B259,$B275&lt;&gt;$B260,$B276&lt;&gt;$B261,$B277&lt;&gt;$B262,$B278&lt;&gt;$B263,$B279&lt;&gt;$B264,$B280&lt;&gt;$B265,$B281&lt;&gt;$B266,$B282&lt;&gt;$B267,$B283&lt;&gt;$B268),IF($B280&lt;&gt;$B265,Y265/INDEX($C258:$AJ268,8,MATCH(IF('Data-solution'!$A$3="Maximize",MAX($C269:$AI269),MIN($C269:$AI269)),$C269:$AI269,0)),Y265-INDEX($C258:$AJ268,8,MATCH(IF('Data-solution'!$A$3="Maximize",MAX($C269:$AI269),MIN($C269:$AI269)),$C269:$AI269,0))*INDEX(Y258:$AJ268,MATCH(MIN($AK258:$AK268),$AK258:$AK268,0),1)/INDEX($C258:$AJ268,MATCH(MIN($AK258:$AK268),$AK258:$AK268,0),MATCH(IF('Data-solution'!$A$3="Maximize",MAX($C269:$AI269),MIN($C269:$AI269)),$C269:$AI269,0))),Y265)</f>
        <v>0</v>
      </c>
      <c r="Z280" s="1">
        <f>IF(OR($B273&lt;&gt;$B258,$B274&lt;&gt;$B259,$B275&lt;&gt;$B260,$B276&lt;&gt;$B261,$B277&lt;&gt;$B262,$B278&lt;&gt;$B263,$B279&lt;&gt;$B264,$B280&lt;&gt;$B265,$B281&lt;&gt;$B266,$B282&lt;&gt;$B267,$B283&lt;&gt;$B268),IF($B280&lt;&gt;$B265,Z265/INDEX($C258:$AJ268,8,MATCH(IF('Data-solution'!$A$3="Maximize",MAX($C269:$AI269),MIN($C269:$AI269)),$C269:$AI269,0)),Z265-INDEX($C258:$AJ268,8,MATCH(IF('Data-solution'!$A$3="Maximize",MAX($C269:$AI269),MIN($C269:$AI269)),$C269:$AI269,0))*INDEX(Z258:$AJ268,MATCH(MIN($AK258:$AK268),$AK258:$AK268,0),1)/INDEX($C258:$AJ268,MATCH(MIN($AK258:$AK268),$AK258:$AK268,0),MATCH(IF('Data-solution'!$A$3="Maximize",MAX($C269:$AI269),MIN($C269:$AI269)),$C269:$AI269,0))),Z265)</f>
        <v>0</v>
      </c>
      <c r="AA280" s="1">
        <f>IF(OR($B273&lt;&gt;$B258,$B274&lt;&gt;$B259,$B275&lt;&gt;$B260,$B276&lt;&gt;$B261,$B277&lt;&gt;$B262,$B278&lt;&gt;$B263,$B279&lt;&gt;$B264,$B280&lt;&gt;$B265,$B281&lt;&gt;$B266,$B282&lt;&gt;$B267,$B283&lt;&gt;$B268),IF($B280&lt;&gt;$B265,AA265/INDEX($C258:$AJ268,8,MATCH(IF('Data-solution'!$A$3="Maximize",MAX($C269:$AI269),MIN($C269:$AI269)),$C269:$AI269,0)),AA265-INDEX($C258:$AJ268,8,MATCH(IF('Data-solution'!$A$3="Maximize",MAX($C269:$AI269),MIN($C269:$AI269)),$C269:$AI269,0))*INDEX(AA258:$AJ268,MATCH(MIN($AK258:$AK268),$AK258:$AK268,0),1)/INDEX($C258:$AJ268,MATCH(MIN($AK258:$AK268),$AK258:$AK268,0),MATCH(IF('Data-solution'!$A$3="Maximize",MAX($C269:$AI269),MIN($C269:$AI269)),$C269:$AI269,0))),AA265)</f>
        <v>0</v>
      </c>
      <c r="AB280" s="1">
        <f>IF(OR($B273&lt;&gt;$B258,$B274&lt;&gt;$B259,$B275&lt;&gt;$B260,$B276&lt;&gt;$B261,$B277&lt;&gt;$B262,$B278&lt;&gt;$B263,$B279&lt;&gt;$B264,$B280&lt;&gt;$B265,$B281&lt;&gt;$B266,$B282&lt;&gt;$B267,$B283&lt;&gt;$B268),IF($B280&lt;&gt;$B265,AB265/INDEX($C258:$AJ268,8,MATCH(IF('Data-solution'!$A$3="Maximize",MAX($C269:$AI269),MIN($C269:$AI269)),$C269:$AI269,0)),AB265-INDEX($C258:$AJ268,8,MATCH(IF('Data-solution'!$A$3="Maximize",MAX($C269:$AI269),MIN($C269:$AI269)),$C269:$AI269,0))*INDEX(AB258:$AJ268,MATCH(MIN($AK258:$AK268),$AK258:$AK268,0),1)/INDEX($C258:$AJ268,MATCH(MIN($AK258:$AK268),$AK258:$AK268,0),MATCH(IF('Data-solution'!$A$3="Maximize",MAX($C269:$AI269),MIN($C269:$AI269)),$C269:$AI269,0))),AB265)</f>
        <v>0</v>
      </c>
      <c r="AC280" s="1">
        <f>IF(OR($B273&lt;&gt;$B258,$B274&lt;&gt;$B259,$B275&lt;&gt;$B260,$B276&lt;&gt;$B261,$B277&lt;&gt;$B262,$B278&lt;&gt;$B263,$B279&lt;&gt;$B264,$B280&lt;&gt;$B265,$B281&lt;&gt;$B266,$B282&lt;&gt;$B267,$B283&lt;&gt;$B268),IF($B280&lt;&gt;$B265,AC265/INDEX($C258:$AJ268,8,MATCH(IF('Data-solution'!$A$3="Maximize",MAX($C269:$AI269),MIN($C269:$AI269)),$C269:$AI269,0)),AC265-INDEX($C258:$AJ268,8,MATCH(IF('Data-solution'!$A$3="Maximize",MAX($C269:$AI269),MIN($C269:$AI269)),$C269:$AI269,0))*INDEX(AC258:$AJ268,MATCH(MIN($AK258:$AK268),$AK258:$AK268,0),1)/INDEX($C258:$AJ268,MATCH(MIN($AK258:$AK268),$AK258:$AK268,0),MATCH(IF('Data-solution'!$A$3="Maximize",MAX($C269:$AI269),MIN($C269:$AI269)),$C269:$AI269,0))),AC265)</f>
        <v>0</v>
      </c>
      <c r="AD280" s="1">
        <f>IF(OR($B273&lt;&gt;$B258,$B274&lt;&gt;$B259,$B275&lt;&gt;$B260,$B276&lt;&gt;$B261,$B277&lt;&gt;$B262,$B278&lt;&gt;$B263,$B279&lt;&gt;$B264,$B280&lt;&gt;$B265,$B281&lt;&gt;$B266,$B282&lt;&gt;$B267,$B283&lt;&gt;$B268),IF($B280&lt;&gt;$B265,AD265/INDEX($C258:$AJ268,8,MATCH(IF('Data-solution'!$A$3="Maximize",MAX($C269:$AI269),MIN($C269:$AI269)),$C269:$AI269,0)),AD265-INDEX($C258:$AJ268,8,MATCH(IF('Data-solution'!$A$3="Maximize",MAX($C269:$AI269),MIN($C269:$AI269)),$C269:$AI269,0))*INDEX(AD258:$AJ268,MATCH(MIN($AK258:$AK268),$AK258:$AK268,0),1)/INDEX($C258:$AJ268,MATCH(MIN($AK258:$AK268),$AK258:$AK268,0),MATCH(IF('Data-solution'!$A$3="Maximize",MAX($C269:$AI269),MIN($C269:$AI269)),$C269:$AI269,0))),AD265)</f>
        <v>0</v>
      </c>
      <c r="AE280" s="1">
        <f>IF(OR($B273&lt;&gt;$B258,$B274&lt;&gt;$B259,$B275&lt;&gt;$B260,$B276&lt;&gt;$B261,$B277&lt;&gt;$B262,$B278&lt;&gt;$B263,$B279&lt;&gt;$B264,$B280&lt;&gt;$B265,$B281&lt;&gt;$B266,$B282&lt;&gt;$B267,$B283&lt;&gt;$B268),IF($B280&lt;&gt;$B265,AE265/INDEX($C258:$AJ268,8,MATCH(IF('Data-solution'!$A$3="Maximize",MAX($C269:$AI269),MIN($C269:$AI269)),$C269:$AI269,0)),AE265-INDEX($C258:$AJ268,8,MATCH(IF('Data-solution'!$A$3="Maximize",MAX($C269:$AI269),MIN($C269:$AI269)),$C269:$AI269,0))*INDEX(AE258:$AJ268,MATCH(MIN($AK258:$AK268),$AK258:$AK268,0),1)/INDEX($C258:$AJ268,MATCH(MIN($AK258:$AK268),$AK258:$AK268,0),MATCH(IF('Data-solution'!$A$3="Maximize",MAX($C269:$AI269),MIN($C269:$AI269)),$C269:$AI269,0))),AE265)</f>
        <v>0</v>
      </c>
      <c r="AF280" s="1">
        <f>IF(OR($B273&lt;&gt;$B258,$B274&lt;&gt;$B259,$B275&lt;&gt;$B260,$B276&lt;&gt;$B261,$B277&lt;&gt;$B262,$B278&lt;&gt;$B263,$B279&lt;&gt;$B264,$B280&lt;&gt;$B265,$B281&lt;&gt;$B266,$B282&lt;&gt;$B267,$B283&lt;&gt;$B268),IF($B280&lt;&gt;$B265,AF265/INDEX($C258:$AJ268,8,MATCH(IF('Data-solution'!$A$3="Maximize",MAX($C269:$AI269),MIN($C269:$AI269)),$C269:$AI269,0)),AF265-INDEX($C258:$AJ268,8,MATCH(IF('Data-solution'!$A$3="Maximize",MAX($C269:$AI269),MIN($C269:$AI269)),$C269:$AI269,0))*INDEX(AF258:$AJ268,MATCH(MIN($AK258:$AK268),$AK258:$AK268,0),1)/INDEX($C258:$AJ268,MATCH(MIN($AK258:$AK268),$AK258:$AK268,0),MATCH(IF('Data-solution'!$A$3="Maximize",MAX($C269:$AI269),MIN($C269:$AI269)),$C269:$AI269,0))),AF265)</f>
        <v>1</v>
      </c>
      <c r="AG280" s="1">
        <f>IF(OR($B273&lt;&gt;$B258,$B274&lt;&gt;$B259,$B275&lt;&gt;$B260,$B276&lt;&gt;$B261,$B277&lt;&gt;$B262,$B278&lt;&gt;$B263,$B279&lt;&gt;$B264,$B280&lt;&gt;$B265,$B281&lt;&gt;$B266,$B282&lt;&gt;$B267,$B283&lt;&gt;$B268),IF($B280&lt;&gt;$B265,AG265/INDEX($C258:$AJ268,8,MATCH(IF('Data-solution'!$A$3="Maximize",MAX($C269:$AI269),MIN($C269:$AI269)),$C269:$AI269,0)),AG265-INDEX($C258:$AJ268,8,MATCH(IF('Data-solution'!$A$3="Maximize",MAX($C269:$AI269),MIN($C269:$AI269)),$C269:$AI269,0))*INDEX(AG258:$AJ268,MATCH(MIN($AK258:$AK268),$AK258:$AK268,0),1)/INDEX($C258:$AJ268,MATCH(MIN($AK258:$AK268),$AK258:$AK268,0),MATCH(IF('Data-solution'!$A$3="Maximize",MAX($C269:$AI269),MIN($C269:$AI269)),$C269:$AI269,0))),AG265)</f>
        <v>0</v>
      </c>
      <c r="AH280" s="1">
        <f>IF(OR($B273&lt;&gt;$B258,$B274&lt;&gt;$B259,$B275&lt;&gt;$B260,$B276&lt;&gt;$B261,$B277&lt;&gt;$B262,$B278&lt;&gt;$B263,$B279&lt;&gt;$B264,$B280&lt;&gt;$B265,$B281&lt;&gt;$B266,$B282&lt;&gt;$B267,$B283&lt;&gt;$B268),IF($B280&lt;&gt;$B265,AH265/INDEX($C258:$AJ268,8,MATCH(IF('Data-solution'!$A$3="Maximize",MAX($C269:$AI269),MIN($C269:$AI269)),$C269:$AI269,0)),AH265-INDEX($C258:$AJ268,8,MATCH(IF('Data-solution'!$A$3="Maximize",MAX($C269:$AI269),MIN($C269:$AI269)),$C269:$AI269,0))*INDEX(AH258:$AJ268,MATCH(MIN($AK258:$AK268),$AK258:$AK268,0),1)/INDEX($C258:$AJ268,MATCH(MIN($AK258:$AK268),$AK258:$AK268,0),MATCH(IF('Data-solution'!$A$3="Maximize",MAX($C269:$AI269),MIN($C269:$AI269)),$C269:$AI269,0))),AH265)</f>
        <v>0</v>
      </c>
      <c r="AI280" s="1">
        <f>IF(OR($B273&lt;&gt;$B258,$B274&lt;&gt;$B259,$B275&lt;&gt;$B260,$B276&lt;&gt;$B261,$B277&lt;&gt;$B262,$B278&lt;&gt;$B263,$B279&lt;&gt;$B264,$B280&lt;&gt;$B265,$B281&lt;&gt;$B266,$B282&lt;&gt;$B267,$B283&lt;&gt;$B268),IF($B280&lt;&gt;$B265,AI265/INDEX($C258:$AJ268,8,MATCH(IF('Data-solution'!$A$3="Maximize",MAX($C269:$AI269),MIN($C269:$AI269)),$C269:$AI269,0)),AI265-INDEX($C258:$AJ268,8,MATCH(IF('Data-solution'!$A$3="Maximize",MAX($C269:$AI269),MIN($C269:$AI269)),$C269:$AI269,0))*INDEX(AI258:$AJ268,MATCH(MIN($AK258:$AK268),$AK258:$AK268,0),1)/INDEX($C258:$AJ268,MATCH(MIN($AK258:$AK268),$AK258:$AK268,0),MATCH(IF('Data-solution'!$A$3="Maximize",MAX($C269:$AI269),MIN($C269:$AI269)),$C269:$AI269,0))),AI265)</f>
        <v>0</v>
      </c>
      <c r="AJ280" s="1">
        <f>IF(OR($B273&lt;&gt;$B258,$B274&lt;&gt;$B259,$B275&lt;&gt;$B260,$B276&lt;&gt;$B261,$B277&lt;&gt;$B262,$B278&lt;&gt;$B263,$B279&lt;&gt;$B264,$B280&lt;&gt;$B265,$B281&lt;&gt;$B266,$B282&lt;&gt;$B267,$B283&lt;&gt;$B268),IF($B280&lt;&gt;$B265,AJ265/INDEX($C258:$AJ268,8,MATCH(IF('Data-solution'!$A$3="Maximize",MAX($C269:$AI269),MIN($C269:$AI269)),$C269:$AI269,0)),AJ265-INDEX($C258:$AJ268,8,MATCH(IF('Data-solution'!$A$3="Maximize",MAX($C269:$AI269),MIN($C269:$AI269)),$C269:$AI269,0))*INDEX(AJ258:$AJ268,MATCH(MIN($AK258:$AK268),$AK258:$AK268,0),1)/INDEX($C258:$AJ268,MATCH(MIN($AK258:$AK268),$AK258:$AK268,0),MATCH(IF('Data-solution'!$A$3="Maximize",MAX($C269:$AI269),MIN($C269:$AI269)),$C269:$AI269,0))),AJ265)</f>
        <v>0</v>
      </c>
      <c r="AK280" s="1" t="str">
        <f>IF(INDEX(C280:X280,1,MATCH(IF('Data-solution'!A$3="Maximize",MAX(C284:X284),MIN(C284:X284)),C284:X284,0))&gt;0,AJ280/INDEX(C280:X280,1,MATCH(IF('Data-solution'!A$3="Maximize",MAX(C284:X284),MIN(C284:X284)),C284:X284,0))," ")</f>
        <v xml:space="preserve"> </v>
      </c>
    </row>
    <row r="281" spans="1:37" ht="18" customHeight="1" x14ac:dyDescent="0.2">
      <c r="A281" s="1">
        <f t="shared" ref="A281" si="252">INDEX(C271:AI271,1,MATCH(B281,C272:AI272,0))</f>
        <v>0</v>
      </c>
      <c r="B281" s="2" t="str">
        <f>IF(AND('Data-solution'!A$3="Maximize",COUNTIF(C269:X269,"&gt;"&amp;0)&gt;0,AK266=MIN(AK258:AK268),COUNTIF(B273:B280,INDEX(C257:X257,1,MATCH(MAX(C269:X269),C269:X269,0)))=0),INDEX(C257:X257,1,MATCH(MAX(C269:X269),C269:X269,0)),IF(AND('Data-solution'!A$3="Minimize",COUNTIF(C269:X269,"&lt;"&amp;0)&gt;0,AK266=MIN(AK258:AK268),COUNTIF(B273:B280,INDEX(C257:X257,1,MATCH(MIN(C269:X269),C269:X269,0)))=0),INDEX(C257:X257,1,MATCH(MIN(C269:X269),C269:X269,0)),B266))</f>
        <v>S9</v>
      </c>
      <c r="C281" s="1">
        <f>IF(OR($B273&lt;&gt;$B258,$B274&lt;&gt;$B259,$B275&lt;&gt;$B260,$B276&lt;&gt;$B261,$B277&lt;&gt;$B262,$B278&lt;&gt;$B263,$B279&lt;&gt;$B264,$B280&lt;&gt;$B265,$B281&lt;&gt;$B266,$B282&lt;&gt;$B267,$B283&lt;&gt;$B268),IF($B281&lt;&gt;$B266,C266/INDEX($C258:$AJ268,9,MATCH(IF('Data-solution'!$A$3="Maximize",MAX($C269:$AI269),MIN($C269:$AI269)),$C269:$AI269,0)),C266-INDEX($C258:$AJ268,9,MATCH(IF('Data-solution'!$A$3="Maximize",MAX($C269:$AI269),MIN($C269:$AI269)),$C269:$AI269,0))*INDEX(C258:$AJ268,MATCH(MIN($AK258:$AK268),$AK258:$AK268,0),1)/INDEX($C258:$AJ268,MATCH(MIN($AK258:$AK268),$AK258:$AK268,0),MATCH(IF('Data-solution'!$A$3="Maximize",MAX($C269:$AI269),MIN($C269:$AI269)),$C269:$AI269,0))),C266)</f>
        <v>0</v>
      </c>
      <c r="D281" s="1">
        <f>IF(OR($B273&lt;&gt;$B258,$B274&lt;&gt;$B259,$B275&lt;&gt;$B260,$B276&lt;&gt;$B261,$B277&lt;&gt;$B262,$B278&lt;&gt;$B263,$B279&lt;&gt;$B264,$B280&lt;&gt;$B265,$B281&lt;&gt;$B266,$B282&lt;&gt;$B267,$B283&lt;&gt;$B268),IF($B281&lt;&gt;$B266,D266/INDEX($C258:$AJ268,9,MATCH(IF('Data-solution'!$A$3="Maximize",MAX($C269:$AI269),MIN($C269:$AI269)),$C269:$AI269,0)),D266-INDEX($C258:$AJ268,9,MATCH(IF('Data-solution'!$A$3="Maximize",MAX($C269:$AI269),MIN($C269:$AI269)),$C269:$AI269,0))*INDEX(D258:$AJ268,MATCH(MIN($AK258:$AK268),$AK258:$AK268,0),1)/INDEX($C258:$AJ268,MATCH(MIN($AK258:$AK268),$AK258:$AK268,0),MATCH(IF('Data-solution'!$A$3="Maximize",MAX($C269:$AI269),MIN($C269:$AI269)),$C269:$AI269,0))),D266)</f>
        <v>0</v>
      </c>
      <c r="E281" s="1">
        <f>IF(OR($B273&lt;&gt;$B258,$B274&lt;&gt;$B259,$B275&lt;&gt;$B260,$B276&lt;&gt;$B261,$B277&lt;&gt;$B262,$B278&lt;&gt;$B263,$B279&lt;&gt;$B264,$B280&lt;&gt;$B265,$B281&lt;&gt;$B266,$B282&lt;&gt;$B267,$B283&lt;&gt;$B268),IF($B281&lt;&gt;$B266,E266/INDEX($C258:$AJ268,9,MATCH(IF('Data-solution'!$A$3="Maximize",MAX($C269:$AI269),MIN($C269:$AI269)),$C269:$AI269,0)),E266-INDEX($C258:$AJ268,9,MATCH(IF('Data-solution'!$A$3="Maximize",MAX($C269:$AI269),MIN($C269:$AI269)),$C269:$AI269,0))*INDEX(E258:$AJ268,MATCH(MIN($AK258:$AK268),$AK258:$AK268,0),1)/INDEX($C258:$AJ268,MATCH(MIN($AK258:$AK268),$AK258:$AK268,0),MATCH(IF('Data-solution'!$A$3="Maximize",MAX($C269:$AI269),MIN($C269:$AI269)),$C269:$AI269,0))),E266)</f>
        <v>0</v>
      </c>
      <c r="F281" s="1">
        <f>IF(OR($B273&lt;&gt;$B258,$B274&lt;&gt;$B259,$B275&lt;&gt;$B260,$B276&lt;&gt;$B261,$B277&lt;&gt;$B262,$B278&lt;&gt;$B263,$B279&lt;&gt;$B264,$B280&lt;&gt;$B265,$B281&lt;&gt;$B266,$B282&lt;&gt;$B267,$B283&lt;&gt;$B268),IF($B281&lt;&gt;$B266,F266/INDEX($C258:$AJ268,9,MATCH(IF('Data-solution'!$A$3="Maximize",MAX($C269:$AI269),MIN($C269:$AI269)),$C269:$AI269,0)),F266-INDEX($C258:$AJ268,9,MATCH(IF('Data-solution'!$A$3="Maximize",MAX($C269:$AI269),MIN($C269:$AI269)),$C269:$AI269,0))*INDEX(F258:$AJ268,MATCH(MIN($AK258:$AK268),$AK258:$AK268,0),1)/INDEX($C258:$AJ268,MATCH(MIN($AK258:$AK268),$AK258:$AK268,0),MATCH(IF('Data-solution'!$A$3="Maximize",MAX($C269:$AI269),MIN($C269:$AI269)),$C269:$AI269,0))),F266)</f>
        <v>0</v>
      </c>
      <c r="G281" s="1">
        <f>IF(OR($B273&lt;&gt;$B258,$B274&lt;&gt;$B259,$B275&lt;&gt;$B260,$B276&lt;&gt;$B261,$B277&lt;&gt;$B262,$B278&lt;&gt;$B263,$B279&lt;&gt;$B264,$B280&lt;&gt;$B265,$B281&lt;&gt;$B266,$B282&lt;&gt;$B267,$B283&lt;&gt;$B268),IF($B281&lt;&gt;$B266,G266/INDEX($C258:$AJ268,9,MATCH(IF('Data-solution'!$A$3="Maximize",MAX($C269:$AI269),MIN($C269:$AI269)),$C269:$AI269,0)),G266-INDEX($C258:$AJ268,9,MATCH(IF('Data-solution'!$A$3="Maximize",MAX($C269:$AI269),MIN($C269:$AI269)),$C269:$AI269,0))*INDEX(G258:$AJ268,MATCH(MIN($AK258:$AK268),$AK258:$AK268,0),1)/INDEX($C258:$AJ268,MATCH(MIN($AK258:$AK268),$AK258:$AK268,0),MATCH(IF('Data-solution'!$A$3="Maximize",MAX($C269:$AI269),MIN($C269:$AI269)),$C269:$AI269,0))),G266)</f>
        <v>0</v>
      </c>
      <c r="H281" s="1">
        <f>IF(OR($B273&lt;&gt;$B258,$B274&lt;&gt;$B259,$B275&lt;&gt;$B260,$B276&lt;&gt;$B261,$B277&lt;&gt;$B262,$B278&lt;&gt;$B263,$B279&lt;&gt;$B264,$B280&lt;&gt;$B265,$B281&lt;&gt;$B266,$B282&lt;&gt;$B267,$B283&lt;&gt;$B268),IF($B281&lt;&gt;$B266,H266/INDEX($C258:$AJ268,9,MATCH(IF('Data-solution'!$A$3="Maximize",MAX($C269:$AI269),MIN($C269:$AI269)),$C269:$AI269,0)),H266-INDEX($C258:$AJ268,9,MATCH(IF('Data-solution'!$A$3="Maximize",MAX($C269:$AI269),MIN($C269:$AI269)),$C269:$AI269,0))*INDEX(H258:$AJ268,MATCH(MIN($AK258:$AK268),$AK258:$AK268,0),1)/INDEX($C258:$AJ268,MATCH(MIN($AK258:$AK268),$AK258:$AK268,0),MATCH(IF('Data-solution'!$A$3="Maximize",MAX($C269:$AI269),MIN($C269:$AI269)),$C269:$AI269,0))),H266)</f>
        <v>0</v>
      </c>
      <c r="I281" s="1">
        <f>IF(OR($B273&lt;&gt;$B258,$B274&lt;&gt;$B259,$B275&lt;&gt;$B260,$B276&lt;&gt;$B261,$B277&lt;&gt;$B262,$B278&lt;&gt;$B263,$B279&lt;&gt;$B264,$B280&lt;&gt;$B265,$B281&lt;&gt;$B266,$B282&lt;&gt;$B267,$B283&lt;&gt;$B268),IF($B281&lt;&gt;$B266,I266/INDEX($C258:$AJ268,9,MATCH(IF('Data-solution'!$A$3="Maximize",MAX($C269:$AI269),MIN($C269:$AI269)),$C269:$AI269,0)),I266-INDEX($C258:$AJ268,9,MATCH(IF('Data-solution'!$A$3="Maximize",MAX($C269:$AI269),MIN($C269:$AI269)),$C269:$AI269,0))*INDEX(I258:$AJ268,MATCH(MIN($AK258:$AK268),$AK258:$AK268,0),1)/INDEX($C258:$AJ268,MATCH(MIN($AK258:$AK268),$AK258:$AK268,0),MATCH(IF('Data-solution'!$A$3="Maximize",MAX($C269:$AI269),MIN($C269:$AI269)),$C269:$AI269,0))),I266)</f>
        <v>0</v>
      </c>
      <c r="J281" s="1">
        <f>IF(OR($B273&lt;&gt;$B258,$B274&lt;&gt;$B259,$B275&lt;&gt;$B260,$B276&lt;&gt;$B261,$B277&lt;&gt;$B262,$B278&lt;&gt;$B263,$B279&lt;&gt;$B264,$B280&lt;&gt;$B265,$B281&lt;&gt;$B266,$B282&lt;&gt;$B267,$B283&lt;&gt;$B268),IF($B281&lt;&gt;$B266,J266/INDEX($C258:$AJ268,9,MATCH(IF('Data-solution'!$A$3="Maximize",MAX($C269:$AI269),MIN($C269:$AI269)),$C269:$AI269,0)),J266-INDEX($C258:$AJ268,9,MATCH(IF('Data-solution'!$A$3="Maximize",MAX($C269:$AI269),MIN($C269:$AI269)),$C269:$AI269,0))*INDEX(J258:$AJ268,MATCH(MIN($AK258:$AK268),$AK258:$AK268,0),1)/INDEX($C258:$AJ268,MATCH(MIN($AK258:$AK268),$AK258:$AK268,0),MATCH(IF('Data-solution'!$A$3="Maximize",MAX($C269:$AI269),MIN($C269:$AI269)),$C269:$AI269,0))),J266)</f>
        <v>0</v>
      </c>
      <c r="K281" s="1">
        <f>IF(OR($B273&lt;&gt;$B258,$B274&lt;&gt;$B259,$B275&lt;&gt;$B260,$B276&lt;&gt;$B261,$B277&lt;&gt;$B262,$B278&lt;&gt;$B263,$B279&lt;&gt;$B264,$B280&lt;&gt;$B265,$B281&lt;&gt;$B266,$B282&lt;&gt;$B267,$B283&lt;&gt;$B268),IF($B281&lt;&gt;$B266,K266/INDEX($C258:$AJ268,9,MATCH(IF('Data-solution'!$A$3="Maximize",MAX($C269:$AI269),MIN($C269:$AI269)),$C269:$AI269,0)),K266-INDEX($C258:$AJ268,9,MATCH(IF('Data-solution'!$A$3="Maximize",MAX($C269:$AI269),MIN($C269:$AI269)),$C269:$AI269,0))*INDEX(K258:$AJ268,MATCH(MIN($AK258:$AK268),$AK258:$AK268,0),1)/INDEX($C258:$AJ268,MATCH(MIN($AK258:$AK268),$AK258:$AK268,0),MATCH(IF('Data-solution'!$A$3="Maximize",MAX($C269:$AI269),MIN($C269:$AI269)),$C269:$AI269,0))),K266)</f>
        <v>0</v>
      </c>
      <c r="L281" s="1">
        <f>IF(OR($B273&lt;&gt;$B258,$B274&lt;&gt;$B259,$B275&lt;&gt;$B260,$B276&lt;&gt;$B261,$B277&lt;&gt;$B262,$B278&lt;&gt;$B263,$B279&lt;&gt;$B264,$B280&lt;&gt;$B265,$B281&lt;&gt;$B266,$B282&lt;&gt;$B267,$B283&lt;&gt;$B268),IF($B281&lt;&gt;$B266,L266/INDEX($C258:$AJ268,9,MATCH(IF('Data-solution'!$A$3="Maximize",MAX($C269:$AI269),MIN($C269:$AI269)),$C269:$AI269,0)),L266-INDEX($C258:$AJ268,9,MATCH(IF('Data-solution'!$A$3="Maximize",MAX($C269:$AI269),MIN($C269:$AI269)),$C269:$AI269,0))*INDEX(L258:$AJ268,MATCH(MIN($AK258:$AK268),$AK258:$AK268,0),1)/INDEX($C258:$AJ268,MATCH(MIN($AK258:$AK268),$AK258:$AK268,0),MATCH(IF('Data-solution'!$A$3="Maximize",MAX($C269:$AI269),MIN($C269:$AI269)),$C269:$AI269,0))),L266)</f>
        <v>0</v>
      </c>
      <c r="M281" s="1">
        <f>IF(OR($B273&lt;&gt;$B258,$B274&lt;&gt;$B259,$B275&lt;&gt;$B260,$B276&lt;&gt;$B261,$B277&lt;&gt;$B262,$B278&lt;&gt;$B263,$B279&lt;&gt;$B264,$B280&lt;&gt;$B265,$B281&lt;&gt;$B266,$B282&lt;&gt;$B267,$B283&lt;&gt;$B268),IF($B281&lt;&gt;$B266,M266/INDEX($C258:$AJ268,9,MATCH(IF('Data-solution'!$A$3="Maximize",MAX($C269:$AI269),MIN($C269:$AI269)),$C269:$AI269,0)),M266-INDEX($C258:$AJ268,9,MATCH(IF('Data-solution'!$A$3="Maximize",MAX($C269:$AI269),MIN($C269:$AI269)),$C269:$AI269,0))*INDEX(M258:$AJ268,MATCH(MIN($AK258:$AK268),$AK258:$AK268,0),1)/INDEX($C258:$AJ268,MATCH(MIN($AK258:$AK268),$AK258:$AK268,0),MATCH(IF('Data-solution'!$A$3="Maximize",MAX($C269:$AI269),MIN($C269:$AI269)),$C269:$AI269,0))),M266)</f>
        <v>0</v>
      </c>
      <c r="N281" s="1">
        <f>IF(OR($B273&lt;&gt;$B258,$B274&lt;&gt;$B259,$B275&lt;&gt;$B260,$B276&lt;&gt;$B261,$B277&lt;&gt;$B262,$B278&lt;&gt;$B263,$B279&lt;&gt;$B264,$B280&lt;&gt;$B265,$B281&lt;&gt;$B266,$B282&lt;&gt;$B267,$B283&lt;&gt;$B268),IF($B281&lt;&gt;$B266,N266/INDEX($C258:$AJ268,9,MATCH(IF('Data-solution'!$A$3="Maximize",MAX($C269:$AI269),MIN($C269:$AI269)),$C269:$AI269,0)),N266-INDEX($C258:$AJ268,9,MATCH(IF('Data-solution'!$A$3="Maximize",MAX($C269:$AI269),MIN($C269:$AI269)),$C269:$AI269,0))*INDEX(N258:$AJ268,MATCH(MIN($AK258:$AK268),$AK258:$AK268,0),1)/INDEX($C258:$AJ268,MATCH(MIN($AK258:$AK268),$AK258:$AK268,0),MATCH(IF('Data-solution'!$A$3="Maximize",MAX($C269:$AI269),MIN($C269:$AI269)),$C269:$AI269,0))),N266)</f>
        <v>0</v>
      </c>
      <c r="O281" s="1">
        <f>IF(OR($B273&lt;&gt;$B258,$B274&lt;&gt;$B259,$B275&lt;&gt;$B260,$B276&lt;&gt;$B261,$B277&lt;&gt;$B262,$B278&lt;&gt;$B263,$B279&lt;&gt;$B264,$B280&lt;&gt;$B265,$B281&lt;&gt;$B266,$B282&lt;&gt;$B267,$B283&lt;&gt;$B268),IF($B281&lt;&gt;$B266,O266/INDEX($C258:$AJ268,9,MATCH(IF('Data-solution'!$A$3="Maximize",MAX($C269:$AI269),MIN($C269:$AI269)),$C269:$AI269,0)),O266-INDEX($C258:$AJ268,9,MATCH(IF('Data-solution'!$A$3="Maximize",MAX($C269:$AI269),MIN($C269:$AI269)),$C269:$AI269,0))*INDEX(O258:$AJ268,MATCH(MIN($AK258:$AK268),$AK258:$AK268,0),1)/INDEX($C258:$AJ268,MATCH(MIN($AK258:$AK268),$AK258:$AK268,0),MATCH(IF('Data-solution'!$A$3="Maximize",MAX($C269:$AI269),MIN($C269:$AI269)),$C269:$AI269,0))),O266)</f>
        <v>0</v>
      </c>
      <c r="P281" s="1">
        <f>IF(OR($B273&lt;&gt;$B258,$B274&lt;&gt;$B259,$B275&lt;&gt;$B260,$B276&lt;&gt;$B261,$B277&lt;&gt;$B262,$B278&lt;&gt;$B263,$B279&lt;&gt;$B264,$B280&lt;&gt;$B265,$B281&lt;&gt;$B266,$B282&lt;&gt;$B267,$B283&lt;&gt;$B268),IF($B281&lt;&gt;$B266,P266/INDEX($C258:$AJ268,9,MATCH(IF('Data-solution'!$A$3="Maximize",MAX($C269:$AI269),MIN($C269:$AI269)),$C269:$AI269,0)),P266-INDEX($C258:$AJ268,9,MATCH(IF('Data-solution'!$A$3="Maximize",MAX($C269:$AI269),MIN($C269:$AI269)),$C269:$AI269,0))*INDEX(P258:$AJ268,MATCH(MIN($AK258:$AK268),$AK258:$AK268,0),1)/INDEX($C258:$AJ268,MATCH(MIN($AK258:$AK268),$AK258:$AK268,0),MATCH(IF('Data-solution'!$A$3="Maximize",MAX($C269:$AI269),MIN($C269:$AI269)),$C269:$AI269,0))),P266)</f>
        <v>0</v>
      </c>
      <c r="Q281" s="1">
        <f>IF(OR($B273&lt;&gt;$B258,$B274&lt;&gt;$B259,$B275&lt;&gt;$B260,$B276&lt;&gt;$B261,$B277&lt;&gt;$B262,$B278&lt;&gt;$B263,$B279&lt;&gt;$B264,$B280&lt;&gt;$B265,$B281&lt;&gt;$B266,$B282&lt;&gt;$B267,$B283&lt;&gt;$B268),IF($B281&lt;&gt;$B266,Q266/INDEX($C258:$AJ268,9,MATCH(IF('Data-solution'!$A$3="Maximize",MAX($C269:$AI269),MIN($C269:$AI269)),$C269:$AI269,0)),Q266-INDEX($C258:$AJ268,9,MATCH(IF('Data-solution'!$A$3="Maximize",MAX($C269:$AI269),MIN($C269:$AI269)),$C269:$AI269,0))*INDEX(Q258:$AJ268,MATCH(MIN($AK258:$AK268),$AK258:$AK268,0),1)/INDEX($C258:$AJ268,MATCH(MIN($AK258:$AK268),$AK258:$AK268,0),MATCH(IF('Data-solution'!$A$3="Maximize",MAX($C269:$AI269),MIN($C269:$AI269)),$C269:$AI269,0))),Q266)</f>
        <v>0</v>
      </c>
      <c r="R281" s="1">
        <f>IF(OR($B273&lt;&gt;$B258,$B274&lt;&gt;$B259,$B275&lt;&gt;$B260,$B276&lt;&gt;$B261,$B277&lt;&gt;$B262,$B278&lt;&gt;$B263,$B279&lt;&gt;$B264,$B280&lt;&gt;$B265,$B281&lt;&gt;$B266,$B282&lt;&gt;$B267,$B283&lt;&gt;$B268),IF($B281&lt;&gt;$B266,R266/INDEX($C258:$AJ268,9,MATCH(IF('Data-solution'!$A$3="Maximize",MAX($C269:$AI269),MIN($C269:$AI269)),$C269:$AI269,0)),R266-INDEX($C258:$AJ268,9,MATCH(IF('Data-solution'!$A$3="Maximize",MAX($C269:$AI269),MIN($C269:$AI269)),$C269:$AI269,0))*INDEX(R258:$AJ268,MATCH(MIN($AK258:$AK268),$AK258:$AK268,0),1)/INDEX($C258:$AJ268,MATCH(MIN($AK258:$AK268),$AK258:$AK268,0),MATCH(IF('Data-solution'!$A$3="Maximize",MAX($C269:$AI269),MIN($C269:$AI269)),$C269:$AI269,0))),R266)</f>
        <v>0</v>
      </c>
      <c r="S281" s="1">
        <f>IF(OR($B273&lt;&gt;$B258,$B274&lt;&gt;$B259,$B275&lt;&gt;$B260,$B276&lt;&gt;$B261,$B277&lt;&gt;$B262,$B278&lt;&gt;$B263,$B279&lt;&gt;$B264,$B280&lt;&gt;$B265,$B281&lt;&gt;$B266,$B282&lt;&gt;$B267,$B283&lt;&gt;$B268),IF($B281&lt;&gt;$B266,S266/INDEX($C258:$AJ268,9,MATCH(IF('Data-solution'!$A$3="Maximize",MAX($C269:$AI269),MIN($C269:$AI269)),$C269:$AI269,0)),S266-INDEX($C258:$AJ268,9,MATCH(IF('Data-solution'!$A$3="Maximize",MAX($C269:$AI269),MIN($C269:$AI269)),$C269:$AI269,0))*INDEX(S258:$AJ268,MATCH(MIN($AK258:$AK268),$AK258:$AK268,0),1)/INDEX($C258:$AJ268,MATCH(MIN($AK258:$AK268),$AK258:$AK268,0),MATCH(IF('Data-solution'!$A$3="Maximize",MAX($C269:$AI269),MIN($C269:$AI269)),$C269:$AI269,0))),S266)</f>
        <v>0</v>
      </c>
      <c r="T281" s="1">
        <f>IF(OR($B273&lt;&gt;$B258,$B274&lt;&gt;$B259,$B275&lt;&gt;$B260,$B276&lt;&gt;$B261,$B277&lt;&gt;$B262,$B278&lt;&gt;$B263,$B279&lt;&gt;$B264,$B280&lt;&gt;$B265,$B281&lt;&gt;$B266,$B282&lt;&gt;$B267,$B283&lt;&gt;$B268),IF($B281&lt;&gt;$B266,T266/INDEX($C258:$AJ268,9,MATCH(IF('Data-solution'!$A$3="Maximize",MAX($C269:$AI269),MIN($C269:$AI269)),$C269:$AI269,0)),T266-INDEX($C258:$AJ268,9,MATCH(IF('Data-solution'!$A$3="Maximize",MAX($C269:$AI269),MIN($C269:$AI269)),$C269:$AI269,0))*INDEX(T258:$AJ268,MATCH(MIN($AK258:$AK268),$AK258:$AK268,0),1)/INDEX($C258:$AJ268,MATCH(MIN($AK258:$AK268),$AK258:$AK268,0),MATCH(IF('Data-solution'!$A$3="Maximize",MAX($C269:$AI269),MIN($C269:$AI269)),$C269:$AI269,0))),T266)</f>
        <v>0</v>
      </c>
      <c r="U281" s="1">
        <f>IF(OR($B273&lt;&gt;$B258,$B274&lt;&gt;$B259,$B275&lt;&gt;$B260,$B276&lt;&gt;$B261,$B277&lt;&gt;$B262,$B278&lt;&gt;$B263,$B279&lt;&gt;$B264,$B280&lt;&gt;$B265,$B281&lt;&gt;$B266,$B282&lt;&gt;$B267,$B283&lt;&gt;$B268),IF($B281&lt;&gt;$B266,U266/INDEX($C258:$AJ268,9,MATCH(IF('Data-solution'!$A$3="Maximize",MAX($C269:$AI269),MIN($C269:$AI269)),$C269:$AI269,0)),U266-INDEX($C258:$AJ268,9,MATCH(IF('Data-solution'!$A$3="Maximize",MAX($C269:$AI269),MIN($C269:$AI269)),$C269:$AI269,0))*INDEX(U258:$AJ268,MATCH(MIN($AK258:$AK268),$AK258:$AK268,0),1)/INDEX($C258:$AJ268,MATCH(MIN($AK258:$AK268),$AK258:$AK268,0),MATCH(IF('Data-solution'!$A$3="Maximize",MAX($C269:$AI269),MIN($C269:$AI269)),$C269:$AI269,0))),U266)</f>
        <v>0</v>
      </c>
      <c r="V281" s="1">
        <f>IF(OR($B273&lt;&gt;$B258,$B274&lt;&gt;$B259,$B275&lt;&gt;$B260,$B276&lt;&gt;$B261,$B277&lt;&gt;$B262,$B278&lt;&gt;$B263,$B279&lt;&gt;$B264,$B280&lt;&gt;$B265,$B281&lt;&gt;$B266,$B282&lt;&gt;$B267,$B283&lt;&gt;$B268),IF($B281&lt;&gt;$B266,V266/INDEX($C258:$AJ268,9,MATCH(IF('Data-solution'!$A$3="Maximize",MAX($C269:$AI269),MIN($C269:$AI269)),$C269:$AI269,0)),V266-INDEX($C258:$AJ268,9,MATCH(IF('Data-solution'!$A$3="Maximize",MAX($C269:$AI269),MIN($C269:$AI269)),$C269:$AI269,0))*INDEX(V258:$AJ268,MATCH(MIN($AK258:$AK268),$AK258:$AK268,0),1)/INDEX($C258:$AJ268,MATCH(MIN($AK258:$AK268),$AK258:$AK268,0),MATCH(IF('Data-solution'!$A$3="Maximize",MAX($C269:$AI269),MIN($C269:$AI269)),$C269:$AI269,0))),V266)</f>
        <v>1</v>
      </c>
      <c r="W281" s="1">
        <f>IF(OR($B273&lt;&gt;$B258,$B274&lt;&gt;$B259,$B275&lt;&gt;$B260,$B276&lt;&gt;$B261,$B277&lt;&gt;$B262,$B278&lt;&gt;$B263,$B279&lt;&gt;$B264,$B280&lt;&gt;$B265,$B281&lt;&gt;$B266,$B282&lt;&gt;$B267,$B283&lt;&gt;$B268),IF($B281&lt;&gt;$B266,W266/INDEX($C258:$AJ268,9,MATCH(IF('Data-solution'!$A$3="Maximize",MAX($C269:$AI269),MIN($C269:$AI269)),$C269:$AI269,0)),W266-INDEX($C258:$AJ268,9,MATCH(IF('Data-solution'!$A$3="Maximize",MAX($C269:$AI269),MIN($C269:$AI269)),$C269:$AI269,0))*INDEX(W258:$AJ268,MATCH(MIN($AK258:$AK268),$AK258:$AK268,0),1)/INDEX($C258:$AJ268,MATCH(MIN($AK258:$AK268),$AK258:$AK268,0),MATCH(IF('Data-solution'!$A$3="Maximize",MAX($C269:$AI269),MIN($C269:$AI269)),$C269:$AI269,0))),W266)</f>
        <v>0</v>
      </c>
      <c r="X281" s="1">
        <f>IF(OR($B273&lt;&gt;$B258,$B274&lt;&gt;$B259,$B275&lt;&gt;$B260,$B276&lt;&gt;$B261,$B277&lt;&gt;$B262,$B278&lt;&gt;$B263,$B279&lt;&gt;$B264,$B280&lt;&gt;$B265,$B281&lt;&gt;$B266,$B282&lt;&gt;$B267,$B283&lt;&gt;$B268),IF($B281&lt;&gt;$B266,X266/INDEX($C258:$AJ268,9,MATCH(IF('Data-solution'!$A$3="Maximize",MAX($C269:$AI269),MIN($C269:$AI269)),$C269:$AI269,0)),X266-INDEX($C258:$AJ268,9,MATCH(IF('Data-solution'!$A$3="Maximize",MAX($C269:$AI269),MIN($C269:$AI269)),$C269:$AI269,0))*INDEX(X258:$AJ268,MATCH(MIN($AK258:$AK268),$AK258:$AK268,0),1)/INDEX($C258:$AJ268,MATCH(MIN($AK258:$AK268),$AK258:$AK268,0),MATCH(IF('Data-solution'!$A$3="Maximize",MAX($C269:$AI269),MIN($C269:$AI269)),$C269:$AI269,0))),X266)</f>
        <v>0</v>
      </c>
      <c r="Y281" s="1">
        <f>IF(OR($B273&lt;&gt;$B258,$B274&lt;&gt;$B259,$B275&lt;&gt;$B260,$B276&lt;&gt;$B261,$B277&lt;&gt;$B262,$B278&lt;&gt;$B263,$B279&lt;&gt;$B264,$B280&lt;&gt;$B265,$B281&lt;&gt;$B266,$B282&lt;&gt;$B267,$B283&lt;&gt;$B268),IF($B281&lt;&gt;$B266,Y266/INDEX($C258:$AJ268,9,MATCH(IF('Data-solution'!$A$3="Maximize",MAX($C269:$AI269),MIN($C269:$AI269)),$C269:$AI269,0)),Y266-INDEX($C258:$AJ268,9,MATCH(IF('Data-solution'!$A$3="Maximize",MAX($C269:$AI269),MIN($C269:$AI269)),$C269:$AI269,0))*INDEX(Y258:$AJ268,MATCH(MIN($AK258:$AK268),$AK258:$AK268,0),1)/INDEX($C258:$AJ268,MATCH(MIN($AK258:$AK268),$AK258:$AK268,0),MATCH(IF('Data-solution'!$A$3="Maximize",MAX($C269:$AI269),MIN($C269:$AI269)),$C269:$AI269,0))),Y266)</f>
        <v>0</v>
      </c>
      <c r="Z281" s="1">
        <f>IF(OR($B273&lt;&gt;$B258,$B274&lt;&gt;$B259,$B275&lt;&gt;$B260,$B276&lt;&gt;$B261,$B277&lt;&gt;$B262,$B278&lt;&gt;$B263,$B279&lt;&gt;$B264,$B280&lt;&gt;$B265,$B281&lt;&gt;$B266,$B282&lt;&gt;$B267,$B283&lt;&gt;$B268),IF($B281&lt;&gt;$B266,Z266/INDEX($C258:$AJ268,9,MATCH(IF('Data-solution'!$A$3="Maximize",MAX($C269:$AI269),MIN($C269:$AI269)),$C269:$AI269,0)),Z266-INDEX($C258:$AJ268,9,MATCH(IF('Data-solution'!$A$3="Maximize",MAX($C269:$AI269),MIN($C269:$AI269)),$C269:$AI269,0))*INDEX(Z258:$AJ268,MATCH(MIN($AK258:$AK268),$AK258:$AK268,0),1)/INDEX($C258:$AJ268,MATCH(MIN($AK258:$AK268),$AK258:$AK268,0),MATCH(IF('Data-solution'!$A$3="Maximize",MAX($C269:$AI269),MIN($C269:$AI269)),$C269:$AI269,0))),Z266)</f>
        <v>0</v>
      </c>
      <c r="AA281" s="1">
        <f>IF(OR($B273&lt;&gt;$B258,$B274&lt;&gt;$B259,$B275&lt;&gt;$B260,$B276&lt;&gt;$B261,$B277&lt;&gt;$B262,$B278&lt;&gt;$B263,$B279&lt;&gt;$B264,$B280&lt;&gt;$B265,$B281&lt;&gt;$B266,$B282&lt;&gt;$B267,$B283&lt;&gt;$B268),IF($B281&lt;&gt;$B266,AA266/INDEX($C258:$AJ268,9,MATCH(IF('Data-solution'!$A$3="Maximize",MAX($C269:$AI269),MIN($C269:$AI269)),$C269:$AI269,0)),AA266-INDEX($C258:$AJ268,9,MATCH(IF('Data-solution'!$A$3="Maximize",MAX($C269:$AI269),MIN($C269:$AI269)),$C269:$AI269,0))*INDEX(AA258:$AJ268,MATCH(MIN($AK258:$AK268),$AK258:$AK268,0),1)/INDEX($C258:$AJ268,MATCH(MIN($AK258:$AK268),$AK258:$AK268,0),MATCH(IF('Data-solution'!$A$3="Maximize",MAX($C269:$AI269),MIN($C269:$AI269)),$C269:$AI269,0))),AA266)</f>
        <v>0</v>
      </c>
      <c r="AB281" s="1">
        <f>IF(OR($B273&lt;&gt;$B258,$B274&lt;&gt;$B259,$B275&lt;&gt;$B260,$B276&lt;&gt;$B261,$B277&lt;&gt;$B262,$B278&lt;&gt;$B263,$B279&lt;&gt;$B264,$B280&lt;&gt;$B265,$B281&lt;&gt;$B266,$B282&lt;&gt;$B267,$B283&lt;&gt;$B268),IF($B281&lt;&gt;$B266,AB266/INDEX($C258:$AJ268,9,MATCH(IF('Data-solution'!$A$3="Maximize",MAX($C269:$AI269),MIN($C269:$AI269)),$C269:$AI269,0)),AB266-INDEX($C258:$AJ268,9,MATCH(IF('Data-solution'!$A$3="Maximize",MAX($C269:$AI269),MIN($C269:$AI269)),$C269:$AI269,0))*INDEX(AB258:$AJ268,MATCH(MIN($AK258:$AK268),$AK258:$AK268,0),1)/INDEX($C258:$AJ268,MATCH(MIN($AK258:$AK268),$AK258:$AK268,0),MATCH(IF('Data-solution'!$A$3="Maximize",MAX($C269:$AI269),MIN($C269:$AI269)),$C269:$AI269,0))),AB266)</f>
        <v>0</v>
      </c>
      <c r="AC281" s="1">
        <f>IF(OR($B273&lt;&gt;$B258,$B274&lt;&gt;$B259,$B275&lt;&gt;$B260,$B276&lt;&gt;$B261,$B277&lt;&gt;$B262,$B278&lt;&gt;$B263,$B279&lt;&gt;$B264,$B280&lt;&gt;$B265,$B281&lt;&gt;$B266,$B282&lt;&gt;$B267,$B283&lt;&gt;$B268),IF($B281&lt;&gt;$B266,AC266/INDEX($C258:$AJ268,9,MATCH(IF('Data-solution'!$A$3="Maximize",MAX($C269:$AI269),MIN($C269:$AI269)),$C269:$AI269,0)),AC266-INDEX($C258:$AJ268,9,MATCH(IF('Data-solution'!$A$3="Maximize",MAX($C269:$AI269),MIN($C269:$AI269)),$C269:$AI269,0))*INDEX(AC258:$AJ268,MATCH(MIN($AK258:$AK268),$AK258:$AK268,0),1)/INDEX($C258:$AJ268,MATCH(MIN($AK258:$AK268),$AK258:$AK268,0),MATCH(IF('Data-solution'!$A$3="Maximize",MAX($C269:$AI269),MIN($C269:$AI269)),$C269:$AI269,0))),AC266)</f>
        <v>0</v>
      </c>
      <c r="AD281" s="1">
        <f>IF(OR($B273&lt;&gt;$B258,$B274&lt;&gt;$B259,$B275&lt;&gt;$B260,$B276&lt;&gt;$B261,$B277&lt;&gt;$B262,$B278&lt;&gt;$B263,$B279&lt;&gt;$B264,$B280&lt;&gt;$B265,$B281&lt;&gt;$B266,$B282&lt;&gt;$B267,$B283&lt;&gt;$B268),IF($B281&lt;&gt;$B266,AD266/INDEX($C258:$AJ268,9,MATCH(IF('Data-solution'!$A$3="Maximize",MAX($C269:$AI269),MIN($C269:$AI269)),$C269:$AI269,0)),AD266-INDEX($C258:$AJ268,9,MATCH(IF('Data-solution'!$A$3="Maximize",MAX($C269:$AI269),MIN($C269:$AI269)),$C269:$AI269,0))*INDEX(AD258:$AJ268,MATCH(MIN($AK258:$AK268),$AK258:$AK268,0),1)/INDEX($C258:$AJ268,MATCH(MIN($AK258:$AK268),$AK258:$AK268,0),MATCH(IF('Data-solution'!$A$3="Maximize",MAX($C269:$AI269),MIN($C269:$AI269)),$C269:$AI269,0))),AD266)</f>
        <v>0</v>
      </c>
      <c r="AE281" s="1">
        <f>IF(OR($B273&lt;&gt;$B258,$B274&lt;&gt;$B259,$B275&lt;&gt;$B260,$B276&lt;&gt;$B261,$B277&lt;&gt;$B262,$B278&lt;&gt;$B263,$B279&lt;&gt;$B264,$B280&lt;&gt;$B265,$B281&lt;&gt;$B266,$B282&lt;&gt;$B267,$B283&lt;&gt;$B268),IF($B281&lt;&gt;$B266,AE266/INDEX($C258:$AJ268,9,MATCH(IF('Data-solution'!$A$3="Maximize",MAX($C269:$AI269),MIN($C269:$AI269)),$C269:$AI269,0)),AE266-INDEX($C258:$AJ268,9,MATCH(IF('Data-solution'!$A$3="Maximize",MAX($C269:$AI269),MIN($C269:$AI269)),$C269:$AI269,0))*INDEX(AE258:$AJ268,MATCH(MIN($AK258:$AK268),$AK258:$AK268,0),1)/INDEX($C258:$AJ268,MATCH(MIN($AK258:$AK268),$AK258:$AK268,0),MATCH(IF('Data-solution'!$A$3="Maximize",MAX($C269:$AI269),MIN($C269:$AI269)),$C269:$AI269,0))),AE266)</f>
        <v>0</v>
      </c>
      <c r="AF281" s="1">
        <f>IF(OR($B273&lt;&gt;$B258,$B274&lt;&gt;$B259,$B275&lt;&gt;$B260,$B276&lt;&gt;$B261,$B277&lt;&gt;$B262,$B278&lt;&gt;$B263,$B279&lt;&gt;$B264,$B280&lt;&gt;$B265,$B281&lt;&gt;$B266,$B282&lt;&gt;$B267,$B283&lt;&gt;$B268),IF($B281&lt;&gt;$B266,AF266/INDEX($C258:$AJ268,9,MATCH(IF('Data-solution'!$A$3="Maximize",MAX($C269:$AI269),MIN($C269:$AI269)),$C269:$AI269,0)),AF266-INDEX($C258:$AJ268,9,MATCH(IF('Data-solution'!$A$3="Maximize",MAX($C269:$AI269),MIN($C269:$AI269)),$C269:$AI269,0))*INDEX(AF258:$AJ268,MATCH(MIN($AK258:$AK268),$AK258:$AK268,0),1)/INDEX($C258:$AJ268,MATCH(MIN($AK258:$AK268),$AK258:$AK268,0),MATCH(IF('Data-solution'!$A$3="Maximize",MAX($C269:$AI269),MIN($C269:$AI269)),$C269:$AI269,0))),AF266)</f>
        <v>0</v>
      </c>
      <c r="AG281" s="1">
        <f>IF(OR($B273&lt;&gt;$B258,$B274&lt;&gt;$B259,$B275&lt;&gt;$B260,$B276&lt;&gt;$B261,$B277&lt;&gt;$B262,$B278&lt;&gt;$B263,$B279&lt;&gt;$B264,$B280&lt;&gt;$B265,$B281&lt;&gt;$B266,$B282&lt;&gt;$B267,$B283&lt;&gt;$B268),IF($B281&lt;&gt;$B266,AG266/INDEX($C258:$AJ268,9,MATCH(IF('Data-solution'!$A$3="Maximize",MAX($C269:$AI269),MIN($C269:$AI269)),$C269:$AI269,0)),AG266-INDEX($C258:$AJ268,9,MATCH(IF('Data-solution'!$A$3="Maximize",MAX($C269:$AI269),MIN($C269:$AI269)),$C269:$AI269,0))*INDEX(AG258:$AJ268,MATCH(MIN($AK258:$AK268),$AK258:$AK268,0),1)/INDEX($C258:$AJ268,MATCH(MIN($AK258:$AK268),$AK258:$AK268,0),MATCH(IF('Data-solution'!$A$3="Maximize",MAX($C269:$AI269),MIN($C269:$AI269)),$C269:$AI269,0))),AG266)</f>
        <v>1</v>
      </c>
      <c r="AH281" s="1">
        <f>IF(OR($B273&lt;&gt;$B258,$B274&lt;&gt;$B259,$B275&lt;&gt;$B260,$B276&lt;&gt;$B261,$B277&lt;&gt;$B262,$B278&lt;&gt;$B263,$B279&lt;&gt;$B264,$B280&lt;&gt;$B265,$B281&lt;&gt;$B266,$B282&lt;&gt;$B267,$B283&lt;&gt;$B268),IF($B281&lt;&gt;$B266,AH266/INDEX($C258:$AJ268,9,MATCH(IF('Data-solution'!$A$3="Maximize",MAX($C269:$AI269),MIN($C269:$AI269)),$C269:$AI269,0)),AH266-INDEX($C258:$AJ268,9,MATCH(IF('Data-solution'!$A$3="Maximize",MAX($C269:$AI269),MIN($C269:$AI269)),$C269:$AI269,0))*INDEX(AH258:$AJ268,MATCH(MIN($AK258:$AK268),$AK258:$AK268,0),1)/INDEX($C258:$AJ268,MATCH(MIN($AK258:$AK268),$AK258:$AK268,0),MATCH(IF('Data-solution'!$A$3="Maximize",MAX($C269:$AI269),MIN($C269:$AI269)),$C269:$AI269,0))),AH266)</f>
        <v>0</v>
      </c>
      <c r="AI281" s="1">
        <f>IF(OR($B273&lt;&gt;$B258,$B274&lt;&gt;$B259,$B275&lt;&gt;$B260,$B276&lt;&gt;$B261,$B277&lt;&gt;$B262,$B278&lt;&gt;$B263,$B279&lt;&gt;$B264,$B280&lt;&gt;$B265,$B281&lt;&gt;$B266,$B282&lt;&gt;$B267,$B283&lt;&gt;$B268),IF($B281&lt;&gt;$B266,AI266/INDEX($C258:$AJ268,9,MATCH(IF('Data-solution'!$A$3="Maximize",MAX($C269:$AI269),MIN($C269:$AI269)),$C269:$AI269,0)),AI266-INDEX($C258:$AJ268,9,MATCH(IF('Data-solution'!$A$3="Maximize",MAX($C269:$AI269),MIN($C269:$AI269)),$C269:$AI269,0))*INDEX(AI258:$AJ268,MATCH(MIN($AK258:$AK268),$AK258:$AK268,0),1)/INDEX($C258:$AJ268,MATCH(MIN($AK258:$AK268),$AK258:$AK268,0),MATCH(IF('Data-solution'!$A$3="Maximize",MAX($C269:$AI269),MIN($C269:$AI269)),$C269:$AI269,0))),AI266)</f>
        <v>0</v>
      </c>
      <c r="AJ281" s="1">
        <f>IF(OR($B273&lt;&gt;$B258,$B274&lt;&gt;$B259,$B275&lt;&gt;$B260,$B276&lt;&gt;$B261,$B277&lt;&gt;$B262,$B278&lt;&gt;$B263,$B279&lt;&gt;$B264,$B280&lt;&gt;$B265,$B281&lt;&gt;$B266,$B282&lt;&gt;$B267,$B283&lt;&gt;$B268),IF($B281&lt;&gt;$B266,AJ266/INDEX($C258:$AJ268,9,MATCH(IF('Data-solution'!$A$3="Maximize",MAX($C269:$AI269),MIN($C269:$AI269)),$C269:$AI269,0)),AJ266-INDEX($C258:$AJ268,9,MATCH(IF('Data-solution'!$A$3="Maximize",MAX($C269:$AI269),MIN($C269:$AI269)),$C269:$AI269,0))*INDEX(AJ258:$AJ268,MATCH(MIN($AK258:$AK268),$AK258:$AK268,0),1)/INDEX($C258:$AJ268,MATCH(MIN($AK258:$AK268),$AK258:$AK268,0),MATCH(IF('Data-solution'!$A$3="Maximize",MAX($C269:$AI269),MIN($C269:$AI269)),$C269:$AI269,0))),AJ266)</f>
        <v>0</v>
      </c>
      <c r="AK281" s="1" t="str">
        <f>IF(INDEX(C281:X281,1,MATCH(IF('Data-solution'!A$3="Maximize",MAX(C284:X284),MIN(C284:X284)),C284:X284,0))&gt;0,AJ281/INDEX(C281:X281,1,MATCH(IF('Data-solution'!A$3="Maximize",MAX(C284:X284),MIN(C284:X284)),C284:X284,0))," ")</f>
        <v xml:space="preserve"> </v>
      </c>
    </row>
    <row r="282" spans="1:37" ht="18" customHeight="1" x14ac:dyDescent="0.2">
      <c r="A282" s="1">
        <f t="shared" ref="A282" si="253">INDEX(C271:AI271,1,MATCH(B282,C272:AI272,0))</f>
        <v>0</v>
      </c>
      <c r="B282" s="2" t="str">
        <f>IF(AND('Data-solution'!A$3="Maximize",COUNTIF(C269:X269,"&gt;"&amp;0)&gt;0,AK267=MIN(AK258:AK268),COUNTIF(B273:B281,INDEX(C257:X257,1,MATCH(MAX(C269:X269),C269:X269,0)))=0),INDEX(C257:X257,1,MATCH(MAX(C269:X269),C269:X269,0)),IF(AND('Data-solution'!A$3="Minimize",COUNTIF(C269:X269,"&lt;"&amp;0)&gt;0,AK267=MIN(AK258:AK268),COUNTIF(B273:B281,INDEX(C257:X257,1,MATCH(MIN(C269:X269),C269:X269,0)))=0),INDEX(C257:X257,1,MATCH(MIN(C269:X269),C269:X269,0)),B267))</f>
        <v>S10</v>
      </c>
      <c r="C282" s="1">
        <f>IF(OR($B273&lt;&gt;$B258,$B274&lt;&gt;$B259,$B275&lt;&gt;$B260,$B276&lt;&gt;$B261,$B277&lt;&gt;$B262,$B278&lt;&gt;$B263,$B279&lt;&gt;$B264,$B280&lt;&gt;$B265,$B281&lt;&gt;$B266,$B282&lt;&gt;$B267,$B283&lt;&gt;$B268),IF($B282&lt;&gt;$B267,C267/INDEX($C258:$AJ268,10,MATCH(IF('Data-solution'!$A$3="Maximize",MAX($C269:$AI269),MIN($C269:$AI269)),$C269:$AI269,0)),C267-INDEX($C258:$AJ268,10,MATCH(IF('Data-solution'!$A$3="Maximize",MAX($C269:$AI269),MIN($C269:$AI269)),$C269:$AI269,0))*INDEX(C258:$AJ268,MATCH(MIN($AK258:$AK268),$AK258:$AK268,0),1)/INDEX($C258:$AJ268,MATCH(MIN($AK258:$AK268),$AK258:$AK268,0),MATCH(IF('Data-solution'!$A$3="Maximize",MAX($C269:$AI269),MIN($C269:$AI269)),$C269:$AI269,0))),C267)</f>
        <v>0</v>
      </c>
      <c r="D282" s="1">
        <f>IF(OR($B273&lt;&gt;$B258,$B274&lt;&gt;$B259,$B275&lt;&gt;$B260,$B276&lt;&gt;$B261,$B277&lt;&gt;$B262,$B278&lt;&gt;$B263,$B279&lt;&gt;$B264,$B280&lt;&gt;$B265,$B281&lt;&gt;$B266,$B282&lt;&gt;$B267,$B283&lt;&gt;$B268),IF($B282&lt;&gt;$B267,D267/INDEX($C258:$AJ268,10,MATCH(IF('Data-solution'!$A$3="Maximize",MAX($C269:$AI269),MIN($C269:$AI269)),$C269:$AI269,0)),D267-INDEX($C258:$AJ268,10,MATCH(IF('Data-solution'!$A$3="Maximize",MAX($C269:$AI269),MIN($C269:$AI269)),$C269:$AI269,0))*INDEX(D258:$AJ268,MATCH(MIN($AK258:$AK268),$AK258:$AK268,0),1)/INDEX($C258:$AJ268,MATCH(MIN($AK258:$AK268),$AK258:$AK268,0),MATCH(IF('Data-solution'!$A$3="Maximize",MAX($C269:$AI269),MIN($C269:$AI269)),$C269:$AI269,0))),D267)</f>
        <v>0</v>
      </c>
      <c r="E282" s="1">
        <f>IF(OR($B273&lt;&gt;$B258,$B274&lt;&gt;$B259,$B275&lt;&gt;$B260,$B276&lt;&gt;$B261,$B277&lt;&gt;$B262,$B278&lt;&gt;$B263,$B279&lt;&gt;$B264,$B280&lt;&gt;$B265,$B281&lt;&gt;$B266,$B282&lt;&gt;$B267,$B283&lt;&gt;$B268),IF($B282&lt;&gt;$B267,E267/INDEX($C258:$AJ268,10,MATCH(IF('Data-solution'!$A$3="Maximize",MAX($C269:$AI269),MIN($C269:$AI269)),$C269:$AI269,0)),E267-INDEX($C258:$AJ268,10,MATCH(IF('Data-solution'!$A$3="Maximize",MAX($C269:$AI269),MIN($C269:$AI269)),$C269:$AI269,0))*INDEX(E258:$AJ268,MATCH(MIN($AK258:$AK268),$AK258:$AK268,0),1)/INDEX($C258:$AJ268,MATCH(MIN($AK258:$AK268),$AK258:$AK268,0),MATCH(IF('Data-solution'!$A$3="Maximize",MAX($C269:$AI269),MIN($C269:$AI269)),$C269:$AI269,0))),E267)</f>
        <v>0</v>
      </c>
      <c r="F282" s="1">
        <f>IF(OR($B273&lt;&gt;$B258,$B274&lt;&gt;$B259,$B275&lt;&gt;$B260,$B276&lt;&gt;$B261,$B277&lt;&gt;$B262,$B278&lt;&gt;$B263,$B279&lt;&gt;$B264,$B280&lt;&gt;$B265,$B281&lt;&gt;$B266,$B282&lt;&gt;$B267,$B283&lt;&gt;$B268),IF($B282&lt;&gt;$B267,F267/INDEX($C258:$AJ268,10,MATCH(IF('Data-solution'!$A$3="Maximize",MAX($C269:$AI269),MIN($C269:$AI269)),$C269:$AI269,0)),F267-INDEX($C258:$AJ268,10,MATCH(IF('Data-solution'!$A$3="Maximize",MAX($C269:$AI269),MIN($C269:$AI269)),$C269:$AI269,0))*INDEX(F258:$AJ268,MATCH(MIN($AK258:$AK268),$AK258:$AK268,0),1)/INDEX($C258:$AJ268,MATCH(MIN($AK258:$AK268),$AK258:$AK268,0),MATCH(IF('Data-solution'!$A$3="Maximize",MAX($C269:$AI269),MIN($C269:$AI269)),$C269:$AI269,0))),F267)</f>
        <v>0</v>
      </c>
      <c r="G282" s="1">
        <f>IF(OR($B273&lt;&gt;$B258,$B274&lt;&gt;$B259,$B275&lt;&gt;$B260,$B276&lt;&gt;$B261,$B277&lt;&gt;$B262,$B278&lt;&gt;$B263,$B279&lt;&gt;$B264,$B280&lt;&gt;$B265,$B281&lt;&gt;$B266,$B282&lt;&gt;$B267,$B283&lt;&gt;$B268),IF($B282&lt;&gt;$B267,G267/INDEX($C258:$AJ268,10,MATCH(IF('Data-solution'!$A$3="Maximize",MAX($C269:$AI269),MIN($C269:$AI269)),$C269:$AI269,0)),G267-INDEX($C258:$AJ268,10,MATCH(IF('Data-solution'!$A$3="Maximize",MAX($C269:$AI269),MIN($C269:$AI269)),$C269:$AI269,0))*INDEX(G258:$AJ268,MATCH(MIN($AK258:$AK268),$AK258:$AK268,0),1)/INDEX($C258:$AJ268,MATCH(MIN($AK258:$AK268),$AK258:$AK268,0),MATCH(IF('Data-solution'!$A$3="Maximize",MAX($C269:$AI269),MIN($C269:$AI269)),$C269:$AI269,0))),G267)</f>
        <v>0</v>
      </c>
      <c r="H282" s="1">
        <f>IF(OR($B273&lt;&gt;$B258,$B274&lt;&gt;$B259,$B275&lt;&gt;$B260,$B276&lt;&gt;$B261,$B277&lt;&gt;$B262,$B278&lt;&gt;$B263,$B279&lt;&gt;$B264,$B280&lt;&gt;$B265,$B281&lt;&gt;$B266,$B282&lt;&gt;$B267,$B283&lt;&gt;$B268),IF($B282&lt;&gt;$B267,H267/INDEX($C258:$AJ268,10,MATCH(IF('Data-solution'!$A$3="Maximize",MAX($C269:$AI269),MIN($C269:$AI269)),$C269:$AI269,0)),H267-INDEX($C258:$AJ268,10,MATCH(IF('Data-solution'!$A$3="Maximize",MAX($C269:$AI269),MIN($C269:$AI269)),$C269:$AI269,0))*INDEX(H258:$AJ268,MATCH(MIN($AK258:$AK268),$AK258:$AK268,0),1)/INDEX($C258:$AJ268,MATCH(MIN($AK258:$AK268),$AK258:$AK268,0),MATCH(IF('Data-solution'!$A$3="Maximize",MAX($C269:$AI269),MIN($C269:$AI269)),$C269:$AI269,0))),H267)</f>
        <v>0</v>
      </c>
      <c r="I282" s="1">
        <f>IF(OR($B273&lt;&gt;$B258,$B274&lt;&gt;$B259,$B275&lt;&gt;$B260,$B276&lt;&gt;$B261,$B277&lt;&gt;$B262,$B278&lt;&gt;$B263,$B279&lt;&gt;$B264,$B280&lt;&gt;$B265,$B281&lt;&gt;$B266,$B282&lt;&gt;$B267,$B283&lt;&gt;$B268),IF($B282&lt;&gt;$B267,I267/INDEX($C258:$AJ268,10,MATCH(IF('Data-solution'!$A$3="Maximize",MAX($C269:$AI269),MIN($C269:$AI269)),$C269:$AI269,0)),I267-INDEX($C258:$AJ268,10,MATCH(IF('Data-solution'!$A$3="Maximize",MAX($C269:$AI269),MIN($C269:$AI269)),$C269:$AI269,0))*INDEX(I258:$AJ268,MATCH(MIN($AK258:$AK268),$AK258:$AK268,0),1)/INDEX($C258:$AJ268,MATCH(MIN($AK258:$AK268),$AK258:$AK268,0),MATCH(IF('Data-solution'!$A$3="Maximize",MAX($C269:$AI269),MIN($C269:$AI269)),$C269:$AI269,0))),I267)</f>
        <v>0</v>
      </c>
      <c r="J282" s="1">
        <f>IF(OR($B273&lt;&gt;$B258,$B274&lt;&gt;$B259,$B275&lt;&gt;$B260,$B276&lt;&gt;$B261,$B277&lt;&gt;$B262,$B278&lt;&gt;$B263,$B279&lt;&gt;$B264,$B280&lt;&gt;$B265,$B281&lt;&gt;$B266,$B282&lt;&gt;$B267,$B283&lt;&gt;$B268),IF($B282&lt;&gt;$B267,J267/INDEX($C258:$AJ268,10,MATCH(IF('Data-solution'!$A$3="Maximize",MAX($C269:$AI269),MIN($C269:$AI269)),$C269:$AI269,0)),J267-INDEX($C258:$AJ268,10,MATCH(IF('Data-solution'!$A$3="Maximize",MAX($C269:$AI269),MIN($C269:$AI269)),$C269:$AI269,0))*INDEX(J258:$AJ268,MATCH(MIN($AK258:$AK268),$AK258:$AK268,0),1)/INDEX($C258:$AJ268,MATCH(MIN($AK258:$AK268),$AK258:$AK268,0),MATCH(IF('Data-solution'!$A$3="Maximize",MAX($C269:$AI269),MIN($C269:$AI269)),$C269:$AI269,0))),J267)</f>
        <v>0</v>
      </c>
      <c r="K282" s="1">
        <f>IF(OR($B273&lt;&gt;$B258,$B274&lt;&gt;$B259,$B275&lt;&gt;$B260,$B276&lt;&gt;$B261,$B277&lt;&gt;$B262,$B278&lt;&gt;$B263,$B279&lt;&gt;$B264,$B280&lt;&gt;$B265,$B281&lt;&gt;$B266,$B282&lt;&gt;$B267,$B283&lt;&gt;$B268),IF($B282&lt;&gt;$B267,K267/INDEX($C258:$AJ268,10,MATCH(IF('Data-solution'!$A$3="Maximize",MAX($C269:$AI269),MIN($C269:$AI269)),$C269:$AI269,0)),K267-INDEX($C258:$AJ268,10,MATCH(IF('Data-solution'!$A$3="Maximize",MAX($C269:$AI269),MIN($C269:$AI269)),$C269:$AI269,0))*INDEX(K258:$AJ268,MATCH(MIN($AK258:$AK268),$AK258:$AK268,0),1)/INDEX($C258:$AJ268,MATCH(MIN($AK258:$AK268),$AK258:$AK268,0),MATCH(IF('Data-solution'!$A$3="Maximize",MAX($C269:$AI269),MIN($C269:$AI269)),$C269:$AI269,0))),K267)</f>
        <v>0</v>
      </c>
      <c r="L282" s="1">
        <f>IF(OR($B273&lt;&gt;$B258,$B274&lt;&gt;$B259,$B275&lt;&gt;$B260,$B276&lt;&gt;$B261,$B277&lt;&gt;$B262,$B278&lt;&gt;$B263,$B279&lt;&gt;$B264,$B280&lt;&gt;$B265,$B281&lt;&gt;$B266,$B282&lt;&gt;$B267,$B283&lt;&gt;$B268),IF($B282&lt;&gt;$B267,L267/INDEX($C258:$AJ268,10,MATCH(IF('Data-solution'!$A$3="Maximize",MAX($C269:$AI269),MIN($C269:$AI269)),$C269:$AI269,0)),L267-INDEX($C258:$AJ268,10,MATCH(IF('Data-solution'!$A$3="Maximize",MAX($C269:$AI269),MIN($C269:$AI269)),$C269:$AI269,0))*INDEX(L258:$AJ268,MATCH(MIN($AK258:$AK268),$AK258:$AK268,0),1)/INDEX($C258:$AJ268,MATCH(MIN($AK258:$AK268),$AK258:$AK268,0),MATCH(IF('Data-solution'!$A$3="Maximize",MAX($C269:$AI269),MIN($C269:$AI269)),$C269:$AI269,0))),L267)</f>
        <v>0</v>
      </c>
      <c r="M282" s="1">
        <f>IF(OR($B273&lt;&gt;$B258,$B274&lt;&gt;$B259,$B275&lt;&gt;$B260,$B276&lt;&gt;$B261,$B277&lt;&gt;$B262,$B278&lt;&gt;$B263,$B279&lt;&gt;$B264,$B280&lt;&gt;$B265,$B281&lt;&gt;$B266,$B282&lt;&gt;$B267,$B283&lt;&gt;$B268),IF($B282&lt;&gt;$B267,M267/INDEX($C258:$AJ268,10,MATCH(IF('Data-solution'!$A$3="Maximize",MAX($C269:$AI269),MIN($C269:$AI269)),$C269:$AI269,0)),M267-INDEX($C258:$AJ268,10,MATCH(IF('Data-solution'!$A$3="Maximize",MAX($C269:$AI269),MIN($C269:$AI269)),$C269:$AI269,0))*INDEX(M258:$AJ268,MATCH(MIN($AK258:$AK268),$AK258:$AK268,0),1)/INDEX($C258:$AJ268,MATCH(MIN($AK258:$AK268),$AK258:$AK268,0),MATCH(IF('Data-solution'!$A$3="Maximize",MAX($C269:$AI269),MIN($C269:$AI269)),$C269:$AI269,0))),M267)</f>
        <v>0</v>
      </c>
      <c r="N282" s="1">
        <f>IF(OR($B273&lt;&gt;$B258,$B274&lt;&gt;$B259,$B275&lt;&gt;$B260,$B276&lt;&gt;$B261,$B277&lt;&gt;$B262,$B278&lt;&gt;$B263,$B279&lt;&gt;$B264,$B280&lt;&gt;$B265,$B281&lt;&gt;$B266,$B282&lt;&gt;$B267,$B283&lt;&gt;$B268),IF($B282&lt;&gt;$B267,N267/INDEX($C258:$AJ268,10,MATCH(IF('Data-solution'!$A$3="Maximize",MAX($C269:$AI269),MIN($C269:$AI269)),$C269:$AI269,0)),N267-INDEX($C258:$AJ268,10,MATCH(IF('Data-solution'!$A$3="Maximize",MAX($C269:$AI269),MIN($C269:$AI269)),$C269:$AI269,0))*INDEX(N258:$AJ268,MATCH(MIN($AK258:$AK268),$AK258:$AK268,0),1)/INDEX($C258:$AJ268,MATCH(MIN($AK258:$AK268),$AK258:$AK268,0),MATCH(IF('Data-solution'!$A$3="Maximize",MAX($C269:$AI269),MIN($C269:$AI269)),$C269:$AI269,0))),N267)</f>
        <v>0</v>
      </c>
      <c r="O282" s="1">
        <f>IF(OR($B273&lt;&gt;$B258,$B274&lt;&gt;$B259,$B275&lt;&gt;$B260,$B276&lt;&gt;$B261,$B277&lt;&gt;$B262,$B278&lt;&gt;$B263,$B279&lt;&gt;$B264,$B280&lt;&gt;$B265,$B281&lt;&gt;$B266,$B282&lt;&gt;$B267,$B283&lt;&gt;$B268),IF($B282&lt;&gt;$B267,O267/INDEX($C258:$AJ268,10,MATCH(IF('Data-solution'!$A$3="Maximize",MAX($C269:$AI269),MIN($C269:$AI269)),$C269:$AI269,0)),O267-INDEX($C258:$AJ268,10,MATCH(IF('Data-solution'!$A$3="Maximize",MAX($C269:$AI269),MIN($C269:$AI269)),$C269:$AI269,0))*INDEX(O258:$AJ268,MATCH(MIN($AK258:$AK268),$AK258:$AK268,0),1)/INDEX($C258:$AJ268,MATCH(MIN($AK258:$AK268),$AK258:$AK268,0),MATCH(IF('Data-solution'!$A$3="Maximize",MAX($C269:$AI269),MIN($C269:$AI269)),$C269:$AI269,0))),O267)</f>
        <v>0</v>
      </c>
      <c r="P282" s="1">
        <f>IF(OR($B273&lt;&gt;$B258,$B274&lt;&gt;$B259,$B275&lt;&gt;$B260,$B276&lt;&gt;$B261,$B277&lt;&gt;$B262,$B278&lt;&gt;$B263,$B279&lt;&gt;$B264,$B280&lt;&gt;$B265,$B281&lt;&gt;$B266,$B282&lt;&gt;$B267,$B283&lt;&gt;$B268),IF($B282&lt;&gt;$B267,P267/INDEX($C258:$AJ268,10,MATCH(IF('Data-solution'!$A$3="Maximize",MAX($C269:$AI269),MIN($C269:$AI269)),$C269:$AI269,0)),P267-INDEX($C258:$AJ268,10,MATCH(IF('Data-solution'!$A$3="Maximize",MAX($C269:$AI269),MIN($C269:$AI269)),$C269:$AI269,0))*INDEX(P258:$AJ268,MATCH(MIN($AK258:$AK268),$AK258:$AK268,0),1)/INDEX($C258:$AJ268,MATCH(MIN($AK258:$AK268),$AK258:$AK268,0),MATCH(IF('Data-solution'!$A$3="Maximize",MAX($C269:$AI269),MIN($C269:$AI269)),$C269:$AI269,0))),P267)</f>
        <v>0</v>
      </c>
      <c r="Q282" s="1">
        <f>IF(OR($B273&lt;&gt;$B258,$B274&lt;&gt;$B259,$B275&lt;&gt;$B260,$B276&lt;&gt;$B261,$B277&lt;&gt;$B262,$B278&lt;&gt;$B263,$B279&lt;&gt;$B264,$B280&lt;&gt;$B265,$B281&lt;&gt;$B266,$B282&lt;&gt;$B267,$B283&lt;&gt;$B268),IF($B282&lt;&gt;$B267,Q267/INDEX($C258:$AJ268,10,MATCH(IF('Data-solution'!$A$3="Maximize",MAX($C269:$AI269),MIN($C269:$AI269)),$C269:$AI269,0)),Q267-INDEX($C258:$AJ268,10,MATCH(IF('Data-solution'!$A$3="Maximize",MAX($C269:$AI269),MIN($C269:$AI269)),$C269:$AI269,0))*INDEX(Q258:$AJ268,MATCH(MIN($AK258:$AK268),$AK258:$AK268,0),1)/INDEX($C258:$AJ268,MATCH(MIN($AK258:$AK268),$AK258:$AK268,0),MATCH(IF('Data-solution'!$A$3="Maximize",MAX($C269:$AI269),MIN($C269:$AI269)),$C269:$AI269,0))),Q267)</f>
        <v>0</v>
      </c>
      <c r="R282" s="1">
        <f>IF(OR($B273&lt;&gt;$B258,$B274&lt;&gt;$B259,$B275&lt;&gt;$B260,$B276&lt;&gt;$B261,$B277&lt;&gt;$B262,$B278&lt;&gt;$B263,$B279&lt;&gt;$B264,$B280&lt;&gt;$B265,$B281&lt;&gt;$B266,$B282&lt;&gt;$B267,$B283&lt;&gt;$B268),IF($B282&lt;&gt;$B267,R267/INDEX($C258:$AJ268,10,MATCH(IF('Data-solution'!$A$3="Maximize",MAX($C269:$AI269),MIN($C269:$AI269)),$C269:$AI269,0)),R267-INDEX($C258:$AJ268,10,MATCH(IF('Data-solution'!$A$3="Maximize",MAX($C269:$AI269),MIN($C269:$AI269)),$C269:$AI269,0))*INDEX(R258:$AJ268,MATCH(MIN($AK258:$AK268),$AK258:$AK268,0),1)/INDEX($C258:$AJ268,MATCH(MIN($AK258:$AK268),$AK258:$AK268,0),MATCH(IF('Data-solution'!$A$3="Maximize",MAX($C269:$AI269),MIN($C269:$AI269)),$C269:$AI269,0))),R267)</f>
        <v>0</v>
      </c>
      <c r="S282" s="1">
        <f>IF(OR($B273&lt;&gt;$B258,$B274&lt;&gt;$B259,$B275&lt;&gt;$B260,$B276&lt;&gt;$B261,$B277&lt;&gt;$B262,$B278&lt;&gt;$B263,$B279&lt;&gt;$B264,$B280&lt;&gt;$B265,$B281&lt;&gt;$B266,$B282&lt;&gt;$B267,$B283&lt;&gt;$B268),IF($B282&lt;&gt;$B267,S267/INDEX($C258:$AJ268,10,MATCH(IF('Data-solution'!$A$3="Maximize",MAX($C269:$AI269),MIN($C269:$AI269)),$C269:$AI269,0)),S267-INDEX($C258:$AJ268,10,MATCH(IF('Data-solution'!$A$3="Maximize",MAX($C269:$AI269),MIN($C269:$AI269)),$C269:$AI269,0))*INDEX(S258:$AJ268,MATCH(MIN($AK258:$AK268),$AK258:$AK268,0),1)/INDEX($C258:$AJ268,MATCH(MIN($AK258:$AK268),$AK258:$AK268,0),MATCH(IF('Data-solution'!$A$3="Maximize",MAX($C269:$AI269),MIN($C269:$AI269)),$C269:$AI269,0))),S267)</f>
        <v>0</v>
      </c>
      <c r="T282" s="1">
        <f>IF(OR($B273&lt;&gt;$B258,$B274&lt;&gt;$B259,$B275&lt;&gt;$B260,$B276&lt;&gt;$B261,$B277&lt;&gt;$B262,$B278&lt;&gt;$B263,$B279&lt;&gt;$B264,$B280&lt;&gt;$B265,$B281&lt;&gt;$B266,$B282&lt;&gt;$B267,$B283&lt;&gt;$B268),IF($B282&lt;&gt;$B267,T267/INDEX($C258:$AJ268,10,MATCH(IF('Data-solution'!$A$3="Maximize",MAX($C269:$AI269),MIN($C269:$AI269)),$C269:$AI269,0)),T267-INDEX($C258:$AJ268,10,MATCH(IF('Data-solution'!$A$3="Maximize",MAX($C269:$AI269),MIN($C269:$AI269)),$C269:$AI269,0))*INDEX(T258:$AJ268,MATCH(MIN($AK258:$AK268),$AK258:$AK268,0),1)/INDEX($C258:$AJ268,MATCH(MIN($AK258:$AK268),$AK258:$AK268,0),MATCH(IF('Data-solution'!$A$3="Maximize",MAX($C269:$AI269),MIN($C269:$AI269)),$C269:$AI269,0))),T267)</f>
        <v>0</v>
      </c>
      <c r="U282" s="1">
        <f>IF(OR($B273&lt;&gt;$B258,$B274&lt;&gt;$B259,$B275&lt;&gt;$B260,$B276&lt;&gt;$B261,$B277&lt;&gt;$B262,$B278&lt;&gt;$B263,$B279&lt;&gt;$B264,$B280&lt;&gt;$B265,$B281&lt;&gt;$B266,$B282&lt;&gt;$B267,$B283&lt;&gt;$B268),IF($B282&lt;&gt;$B267,U267/INDEX($C258:$AJ268,10,MATCH(IF('Data-solution'!$A$3="Maximize",MAX($C269:$AI269),MIN($C269:$AI269)),$C269:$AI269,0)),U267-INDEX($C258:$AJ268,10,MATCH(IF('Data-solution'!$A$3="Maximize",MAX($C269:$AI269),MIN($C269:$AI269)),$C269:$AI269,0))*INDEX(U258:$AJ268,MATCH(MIN($AK258:$AK268),$AK258:$AK268,0),1)/INDEX($C258:$AJ268,MATCH(MIN($AK258:$AK268),$AK258:$AK268,0),MATCH(IF('Data-solution'!$A$3="Maximize",MAX($C269:$AI269),MIN($C269:$AI269)),$C269:$AI269,0))),U267)</f>
        <v>0</v>
      </c>
      <c r="V282" s="1">
        <f>IF(OR($B273&lt;&gt;$B258,$B274&lt;&gt;$B259,$B275&lt;&gt;$B260,$B276&lt;&gt;$B261,$B277&lt;&gt;$B262,$B278&lt;&gt;$B263,$B279&lt;&gt;$B264,$B280&lt;&gt;$B265,$B281&lt;&gt;$B266,$B282&lt;&gt;$B267,$B283&lt;&gt;$B268),IF($B282&lt;&gt;$B267,V267/INDEX($C258:$AJ268,10,MATCH(IF('Data-solution'!$A$3="Maximize",MAX($C269:$AI269),MIN($C269:$AI269)),$C269:$AI269,0)),V267-INDEX($C258:$AJ268,10,MATCH(IF('Data-solution'!$A$3="Maximize",MAX($C269:$AI269),MIN($C269:$AI269)),$C269:$AI269,0))*INDEX(V258:$AJ268,MATCH(MIN($AK258:$AK268),$AK258:$AK268,0),1)/INDEX($C258:$AJ268,MATCH(MIN($AK258:$AK268),$AK258:$AK268,0),MATCH(IF('Data-solution'!$A$3="Maximize",MAX($C269:$AI269),MIN($C269:$AI269)),$C269:$AI269,0))),V267)</f>
        <v>0</v>
      </c>
      <c r="W282" s="1">
        <f>IF(OR($B273&lt;&gt;$B258,$B274&lt;&gt;$B259,$B275&lt;&gt;$B260,$B276&lt;&gt;$B261,$B277&lt;&gt;$B262,$B278&lt;&gt;$B263,$B279&lt;&gt;$B264,$B280&lt;&gt;$B265,$B281&lt;&gt;$B266,$B282&lt;&gt;$B267,$B283&lt;&gt;$B268),IF($B282&lt;&gt;$B267,W267/INDEX($C258:$AJ268,10,MATCH(IF('Data-solution'!$A$3="Maximize",MAX($C269:$AI269),MIN($C269:$AI269)),$C269:$AI269,0)),W267-INDEX($C258:$AJ268,10,MATCH(IF('Data-solution'!$A$3="Maximize",MAX($C269:$AI269),MIN($C269:$AI269)),$C269:$AI269,0))*INDEX(W258:$AJ268,MATCH(MIN($AK258:$AK268),$AK258:$AK268,0),1)/INDEX($C258:$AJ268,MATCH(MIN($AK258:$AK268),$AK258:$AK268,0),MATCH(IF('Data-solution'!$A$3="Maximize",MAX($C269:$AI269),MIN($C269:$AI269)),$C269:$AI269,0))),W267)</f>
        <v>1</v>
      </c>
      <c r="X282" s="1">
        <f>IF(OR($B273&lt;&gt;$B258,$B274&lt;&gt;$B259,$B275&lt;&gt;$B260,$B276&lt;&gt;$B261,$B277&lt;&gt;$B262,$B278&lt;&gt;$B263,$B279&lt;&gt;$B264,$B280&lt;&gt;$B265,$B281&lt;&gt;$B266,$B282&lt;&gt;$B267,$B283&lt;&gt;$B268),IF($B282&lt;&gt;$B267,X267/INDEX($C258:$AJ268,10,MATCH(IF('Data-solution'!$A$3="Maximize",MAX($C269:$AI269),MIN($C269:$AI269)),$C269:$AI269,0)),X267-INDEX($C258:$AJ268,10,MATCH(IF('Data-solution'!$A$3="Maximize",MAX($C269:$AI269),MIN($C269:$AI269)),$C269:$AI269,0))*INDEX(X258:$AJ268,MATCH(MIN($AK258:$AK268),$AK258:$AK268,0),1)/INDEX($C258:$AJ268,MATCH(MIN($AK258:$AK268),$AK258:$AK268,0),MATCH(IF('Data-solution'!$A$3="Maximize",MAX($C269:$AI269),MIN($C269:$AI269)),$C269:$AI269,0))),X267)</f>
        <v>0</v>
      </c>
      <c r="Y282" s="1">
        <f>IF(OR($B273&lt;&gt;$B258,$B274&lt;&gt;$B259,$B275&lt;&gt;$B260,$B276&lt;&gt;$B261,$B277&lt;&gt;$B262,$B278&lt;&gt;$B263,$B279&lt;&gt;$B264,$B280&lt;&gt;$B265,$B281&lt;&gt;$B266,$B282&lt;&gt;$B267,$B283&lt;&gt;$B268),IF($B282&lt;&gt;$B267,Y267/INDEX($C258:$AJ268,10,MATCH(IF('Data-solution'!$A$3="Maximize",MAX($C269:$AI269),MIN($C269:$AI269)),$C269:$AI269,0)),Y267-INDEX($C258:$AJ268,10,MATCH(IF('Data-solution'!$A$3="Maximize",MAX($C269:$AI269),MIN($C269:$AI269)),$C269:$AI269,0))*INDEX(Y258:$AJ268,MATCH(MIN($AK258:$AK268),$AK258:$AK268,0),1)/INDEX($C258:$AJ268,MATCH(MIN($AK258:$AK268),$AK258:$AK268,0),MATCH(IF('Data-solution'!$A$3="Maximize",MAX($C269:$AI269),MIN($C269:$AI269)),$C269:$AI269,0))),Y267)</f>
        <v>0</v>
      </c>
      <c r="Z282" s="1">
        <f>IF(OR($B273&lt;&gt;$B258,$B274&lt;&gt;$B259,$B275&lt;&gt;$B260,$B276&lt;&gt;$B261,$B277&lt;&gt;$B262,$B278&lt;&gt;$B263,$B279&lt;&gt;$B264,$B280&lt;&gt;$B265,$B281&lt;&gt;$B266,$B282&lt;&gt;$B267,$B283&lt;&gt;$B268),IF($B282&lt;&gt;$B267,Z267/INDEX($C258:$AJ268,10,MATCH(IF('Data-solution'!$A$3="Maximize",MAX($C269:$AI269),MIN($C269:$AI269)),$C269:$AI269,0)),Z267-INDEX($C258:$AJ268,10,MATCH(IF('Data-solution'!$A$3="Maximize",MAX($C269:$AI269),MIN($C269:$AI269)),$C269:$AI269,0))*INDEX(Z258:$AJ268,MATCH(MIN($AK258:$AK268),$AK258:$AK268,0),1)/INDEX($C258:$AJ268,MATCH(MIN($AK258:$AK268),$AK258:$AK268,0),MATCH(IF('Data-solution'!$A$3="Maximize",MAX($C269:$AI269),MIN($C269:$AI269)),$C269:$AI269,0))),Z267)</f>
        <v>0</v>
      </c>
      <c r="AA282" s="1">
        <f>IF(OR($B273&lt;&gt;$B258,$B274&lt;&gt;$B259,$B275&lt;&gt;$B260,$B276&lt;&gt;$B261,$B277&lt;&gt;$B262,$B278&lt;&gt;$B263,$B279&lt;&gt;$B264,$B280&lt;&gt;$B265,$B281&lt;&gt;$B266,$B282&lt;&gt;$B267,$B283&lt;&gt;$B268),IF($B282&lt;&gt;$B267,AA267/INDEX($C258:$AJ268,10,MATCH(IF('Data-solution'!$A$3="Maximize",MAX($C269:$AI269),MIN($C269:$AI269)),$C269:$AI269,0)),AA267-INDEX($C258:$AJ268,10,MATCH(IF('Data-solution'!$A$3="Maximize",MAX($C269:$AI269),MIN($C269:$AI269)),$C269:$AI269,0))*INDEX(AA258:$AJ268,MATCH(MIN($AK258:$AK268),$AK258:$AK268,0),1)/INDEX($C258:$AJ268,MATCH(MIN($AK258:$AK268),$AK258:$AK268,0),MATCH(IF('Data-solution'!$A$3="Maximize",MAX($C269:$AI269),MIN($C269:$AI269)),$C269:$AI269,0))),AA267)</f>
        <v>0</v>
      </c>
      <c r="AB282" s="1">
        <f>IF(OR($B273&lt;&gt;$B258,$B274&lt;&gt;$B259,$B275&lt;&gt;$B260,$B276&lt;&gt;$B261,$B277&lt;&gt;$B262,$B278&lt;&gt;$B263,$B279&lt;&gt;$B264,$B280&lt;&gt;$B265,$B281&lt;&gt;$B266,$B282&lt;&gt;$B267,$B283&lt;&gt;$B268),IF($B282&lt;&gt;$B267,AB267/INDEX($C258:$AJ268,10,MATCH(IF('Data-solution'!$A$3="Maximize",MAX($C269:$AI269),MIN($C269:$AI269)),$C269:$AI269,0)),AB267-INDEX($C258:$AJ268,10,MATCH(IF('Data-solution'!$A$3="Maximize",MAX($C269:$AI269),MIN($C269:$AI269)),$C269:$AI269,0))*INDEX(AB258:$AJ268,MATCH(MIN($AK258:$AK268),$AK258:$AK268,0),1)/INDEX($C258:$AJ268,MATCH(MIN($AK258:$AK268),$AK258:$AK268,0),MATCH(IF('Data-solution'!$A$3="Maximize",MAX($C269:$AI269),MIN($C269:$AI269)),$C269:$AI269,0))),AB267)</f>
        <v>0</v>
      </c>
      <c r="AC282" s="1">
        <f>IF(OR($B273&lt;&gt;$B258,$B274&lt;&gt;$B259,$B275&lt;&gt;$B260,$B276&lt;&gt;$B261,$B277&lt;&gt;$B262,$B278&lt;&gt;$B263,$B279&lt;&gt;$B264,$B280&lt;&gt;$B265,$B281&lt;&gt;$B266,$B282&lt;&gt;$B267,$B283&lt;&gt;$B268),IF($B282&lt;&gt;$B267,AC267/INDEX($C258:$AJ268,10,MATCH(IF('Data-solution'!$A$3="Maximize",MAX($C269:$AI269),MIN($C269:$AI269)),$C269:$AI269,0)),AC267-INDEX($C258:$AJ268,10,MATCH(IF('Data-solution'!$A$3="Maximize",MAX($C269:$AI269),MIN($C269:$AI269)),$C269:$AI269,0))*INDEX(AC258:$AJ268,MATCH(MIN($AK258:$AK268),$AK258:$AK268,0),1)/INDEX($C258:$AJ268,MATCH(MIN($AK258:$AK268),$AK258:$AK268,0),MATCH(IF('Data-solution'!$A$3="Maximize",MAX($C269:$AI269),MIN($C269:$AI269)),$C269:$AI269,0))),AC267)</f>
        <v>0</v>
      </c>
      <c r="AD282" s="1">
        <f>IF(OR($B273&lt;&gt;$B258,$B274&lt;&gt;$B259,$B275&lt;&gt;$B260,$B276&lt;&gt;$B261,$B277&lt;&gt;$B262,$B278&lt;&gt;$B263,$B279&lt;&gt;$B264,$B280&lt;&gt;$B265,$B281&lt;&gt;$B266,$B282&lt;&gt;$B267,$B283&lt;&gt;$B268),IF($B282&lt;&gt;$B267,AD267/INDEX($C258:$AJ268,10,MATCH(IF('Data-solution'!$A$3="Maximize",MAX($C269:$AI269),MIN($C269:$AI269)),$C269:$AI269,0)),AD267-INDEX($C258:$AJ268,10,MATCH(IF('Data-solution'!$A$3="Maximize",MAX($C269:$AI269),MIN($C269:$AI269)),$C269:$AI269,0))*INDEX(AD258:$AJ268,MATCH(MIN($AK258:$AK268),$AK258:$AK268,0),1)/INDEX($C258:$AJ268,MATCH(MIN($AK258:$AK268),$AK258:$AK268,0),MATCH(IF('Data-solution'!$A$3="Maximize",MAX($C269:$AI269),MIN($C269:$AI269)),$C269:$AI269,0))),AD267)</f>
        <v>0</v>
      </c>
      <c r="AE282" s="1">
        <f>IF(OR($B273&lt;&gt;$B258,$B274&lt;&gt;$B259,$B275&lt;&gt;$B260,$B276&lt;&gt;$B261,$B277&lt;&gt;$B262,$B278&lt;&gt;$B263,$B279&lt;&gt;$B264,$B280&lt;&gt;$B265,$B281&lt;&gt;$B266,$B282&lt;&gt;$B267,$B283&lt;&gt;$B268),IF($B282&lt;&gt;$B267,AE267/INDEX($C258:$AJ268,10,MATCH(IF('Data-solution'!$A$3="Maximize",MAX($C269:$AI269),MIN($C269:$AI269)),$C269:$AI269,0)),AE267-INDEX($C258:$AJ268,10,MATCH(IF('Data-solution'!$A$3="Maximize",MAX($C269:$AI269),MIN($C269:$AI269)),$C269:$AI269,0))*INDEX(AE258:$AJ268,MATCH(MIN($AK258:$AK268),$AK258:$AK268,0),1)/INDEX($C258:$AJ268,MATCH(MIN($AK258:$AK268),$AK258:$AK268,0),MATCH(IF('Data-solution'!$A$3="Maximize",MAX($C269:$AI269),MIN($C269:$AI269)),$C269:$AI269,0))),AE267)</f>
        <v>0</v>
      </c>
      <c r="AF282" s="1">
        <f>IF(OR($B273&lt;&gt;$B258,$B274&lt;&gt;$B259,$B275&lt;&gt;$B260,$B276&lt;&gt;$B261,$B277&lt;&gt;$B262,$B278&lt;&gt;$B263,$B279&lt;&gt;$B264,$B280&lt;&gt;$B265,$B281&lt;&gt;$B266,$B282&lt;&gt;$B267,$B283&lt;&gt;$B268),IF($B282&lt;&gt;$B267,AF267/INDEX($C258:$AJ268,10,MATCH(IF('Data-solution'!$A$3="Maximize",MAX($C269:$AI269),MIN($C269:$AI269)),$C269:$AI269,0)),AF267-INDEX($C258:$AJ268,10,MATCH(IF('Data-solution'!$A$3="Maximize",MAX($C269:$AI269),MIN($C269:$AI269)),$C269:$AI269,0))*INDEX(AF258:$AJ268,MATCH(MIN($AK258:$AK268),$AK258:$AK268,0),1)/INDEX($C258:$AJ268,MATCH(MIN($AK258:$AK268),$AK258:$AK268,0),MATCH(IF('Data-solution'!$A$3="Maximize",MAX($C269:$AI269),MIN($C269:$AI269)),$C269:$AI269,0))),AF267)</f>
        <v>0</v>
      </c>
      <c r="AG282" s="1">
        <f>IF(OR($B273&lt;&gt;$B258,$B274&lt;&gt;$B259,$B275&lt;&gt;$B260,$B276&lt;&gt;$B261,$B277&lt;&gt;$B262,$B278&lt;&gt;$B263,$B279&lt;&gt;$B264,$B280&lt;&gt;$B265,$B281&lt;&gt;$B266,$B282&lt;&gt;$B267,$B283&lt;&gt;$B268),IF($B282&lt;&gt;$B267,AG267/INDEX($C258:$AJ268,10,MATCH(IF('Data-solution'!$A$3="Maximize",MAX($C269:$AI269),MIN($C269:$AI269)),$C269:$AI269,0)),AG267-INDEX($C258:$AJ268,10,MATCH(IF('Data-solution'!$A$3="Maximize",MAX($C269:$AI269),MIN($C269:$AI269)),$C269:$AI269,0))*INDEX(AG258:$AJ268,MATCH(MIN($AK258:$AK268),$AK258:$AK268,0),1)/INDEX($C258:$AJ268,MATCH(MIN($AK258:$AK268),$AK258:$AK268,0),MATCH(IF('Data-solution'!$A$3="Maximize",MAX($C269:$AI269),MIN($C269:$AI269)),$C269:$AI269,0))),AG267)</f>
        <v>0</v>
      </c>
      <c r="AH282" s="1">
        <f>IF(OR($B273&lt;&gt;$B258,$B274&lt;&gt;$B259,$B275&lt;&gt;$B260,$B276&lt;&gt;$B261,$B277&lt;&gt;$B262,$B278&lt;&gt;$B263,$B279&lt;&gt;$B264,$B280&lt;&gt;$B265,$B281&lt;&gt;$B266,$B282&lt;&gt;$B267,$B283&lt;&gt;$B268),IF($B282&lt;&gt;$B267,AH267/INDEX($C258:$AJ268,10,MATCH(IF('Data-solution'!$A$3="Maximize",MAX($C269:$AI269),MIN($C269:$AI269)),$C269:$AI269,0)),AH267-INDEX($C258:$AJ268,10,MATCH(IF('Data-solution'!$A$3="Maximize",MAX($C269:$AI269),MIN($C269:$AI269)),$C269:$AI269,0))*INDEX(AH258:$AJ268,MATCH(MIN($AK258:$AK268),$AK258:$AK268,0),1)/INDEX($C258:$AJ268,MATCH(MIN($AK258:$AK268),$AK258:$AK268,0),MATCH(IF('Data-solution'!$A$3="Maximize",MAX($C269:$AI269),MIN($C269:$AI269)),$C269:$AI269,0))),AH267)</f>
        <v>1</v>
      </c>
      <c r="AI282" s="1">
        <f>IF(OR($B273&lt;&gt;$B258,$B274&lt;&gt;$B259,$B275&lt;&gt;$B260,$B276&lt;&gt;$B261,$B277&lt;&gt;$B262,$B278&lt;&gt;$B263,$B279&lt;&gt;$B264,$B280&lt;&gt;$B265,$B281&lt;&gt;$B266,$B282&lt;&gt;$B267,$B283&lt;&gt;$B268),IF($B282&lt;&gt;$B267,AI267/INDEX($C258:$AJ268,10,MATCH(IF('Data-solution'!$A$3="Maximize",MAX($C269:$AI269),MIN($C269:$AI269)),$C269:$AI269,0)),AI267-INDEX($C258:$AJ268,10,MATCH(IF('Data-solution'!$A$3="Maximize",MAX($C269:$AI269),MIN($C269:$AI269)),$C269:$AI269,0))*INDEX(AI258:$AJ268,MATCH(MIN($AK258:$AK268),$AK258:$AK268,0),1)/INDEX($C258:$AJ268,MATCH(MIN($AK258:$AK268),$AK258:$AK268,0),MATCH(IF('Data-solution'!$A$3="Maximize",MAX($C269:$AI269),MIN($C269:$AI269)),$C269:$AI269,0))),AI267)</f>
        <v>0</v>
      </c>
      <c r="AJ282" s="1">
        <f>IF(OR($B273&lt;&gt;$B258,$B274&lt;&gt;$B259,$B275&lt;&gt;$B260,$B276&lt;&gt;$B261,$B277&lt;&gt;$B262,$B278&lt;&gt;$B263,$B279&lt;&gt;$B264,$B280&lt;&gt;$B265,$B281&lt;&gt;$B266,$B282&lt;&gt;$B267,$B283&lt;&gt;$B268),IF($B282&lt;&gt;$B267,AJ267/INDEX($C258:$AJ268,10,MATCH(IF('Data-solution'!$A$3="Maximize",MAX($C269:$AI269),MIN($C269:$AI269)),$C269:$AI269,0)),AJ267-INDEX($C258:$AJ268,10,MATCH(IF('Data-solution'!$A$3="Maximize",MAX($C269:$AI269),MIN($C269:$AI269)),$C269:$AI269,0))*INDEX(AJ258:$AJ268,MATCH(MIN($AK258:$AK268),$AK258:$AK268,0),1)/INDEX($C258:$AJ268,MATCH(MIN($AK258:$AK268),$AK258:$AK268,0),MATCH(IF('Data-solution'!$A$3="Maximize",MAX($C269:$AI269),MIN($C269:$AI269)),$C269:$AI269,0))),AJ267)</f>
        <v>0</v>
      </c>
      <c r="AK282" s="1" t="str">
        <f>IF(INDEX(C282:X282,1,MATCH(IF('Data-solution'!A$3="Maximize",MAX(C284:X284),MIN(C284:X284)),C284:X284,0))&gt;0,AJ282/INDEX(C282:X282,1,MATCH(IF('Data-solution'!A$3="Maximize",MAX(C284:X284),MIN(C284:X284)),C284:X284,0))," ")</f>
        <v xml:space="preserve"> </v>
      </c>
    </row>
    <row r="283" spans="1:37" ht="18" customHeight="1" x14ac:dyDescent="0.2">
      <c r="A283" s="1">
        <f t="shared" ref="A283" si="254">INDEX(C271:AI271,1,MATCH(B283,C272:AI272,0))</f>
        <v>0</v>
      </c>
      <c r="B283" s="2" t="str">
        <f>IF(AND('Data-solution'!A$3="Maximize",COUNTIF(C269:X269,"&gt;"&amp;0)&gt;0,AK268=MIN(AK258:AK268),COUNTIF(B273:B282,INDEX(C257:X257,1,MATCH(MAX(C269:X269),C269:X269,0)))=0),INDEX(C257:X257,1,MATCH(MAX(C269:X269),C269:X269,0)),IF(AND('Data-solution'!A$3="Minimize",COUNTIF(C269:X269,"&lt;"&amp;0)&gt;0,AK268=MIN(AK258:AK268),COUNTIF(B273:B282,INDEX(C257:X257,1,MATCH(MIN(C269:X269),C269:X269,0)))=0),INDEX(C257:X257,1,MATCH(MIN(C269:X269),C269:X269,0)),B268))</f>
        <v>S11</v>
      </c>
      <c r="C283" s="1">
        <f>IF(OR($B273&lt;&gt;$B258,$B274&lt;&gt;$B259,$B275&lt;&gt;$B260,$B276&lt;&gt;$B261,$B277&lt;&gt;$B262,$B278&lt;&gt;$B263,$B279&lt;&gt;$B264,$B280&lt;&gt;$B265,$B281&lt;&gt;$B266,$B282&lt;&gt;$B267,$B283&lt;&gt;$B268),IF($B283&lt;&gt;$B268,C268/INDEX($C258:$AJ268,11,MATCH(IF('Data-solution'!$A$3="Maximize",MAX($C269:$AI269),MIN($C269:$AI269)),$C269:$AI269,0)),C268-INDEX($C258:$AJ268,11,MATCH(IF('Data-solution'!$A$3="Maximize",MAX($C269:$AI269),MIN($C269:$AI269)),$C269:$AI269,0))*INDEX(C258:$AJ268,MATCH(MIN($AK258:$AK268),$AK258:$AK268,0),1)/INDEX($C258:$AJ268,MATCH(MIN($AK258:$AK268),$AK258:$AK268,0),MATCH(IF('Data-solution'!$A$3="Maximize",MAX($C269:$AI269),MIN($C269:$AI269)),$C269:$AI269,0))),C268)</f>
        <v>0</v>
      </c>
      <c r="D283" s="1">
        <f>IF(OR($B273&lt;&gt;$B258,$B274&lt;&gt;$B259,$B275&lt;&gt;$B260,$B276&lt;&gt;$B261,$B277&lt;&gt;$B262,$B278&lt;&gt;$B263,$B279&lt;&gt;$B264,$B280&lt;&gt;$B265,$B281&lt;&gt;$B266,$B282&lt;&gt;$B267,$B283&lt;&gt;$B268),IF($B283&lt;&gt;$B268,D268/INDEX($C258:$AJ268,11,MATCH(IF('Data-solution'!$A$3="Maximize",MAX($C269:$AI269),MIN($C269:$AI269)),$C269:$AI269,0)),D268-INDEX($C258:$AJ268,11,MATCH(IF('Data-solution'!$A$3="Maximize",MAX($C269:$AI269),MIN($C269:$AI269)),$C269:$AI269,0))*INDEX(D258:$AJ268,MATCH(MIN($AK258:$AK268),$AK258:$AK268,0),1)/INDEX($C258:$AJ268,MATCH(MIN($AK258:$AK268),$AK258:$AK268,0),MATCH(IF('Data-solution'!$A$3="Maximize",MAX($C269:$AI269),MIN($C269:$AI269)),$C269:$AI269,0))),D268)</f>
        <v>0</v>
      </c>
      <c r="E283" s="1">
        <f>IF(OR($B273&lt;&gt;$B258,$B274&lt;&gt;$B259,$B275&lt;&gt;$B260,$B276&lt;&gt;$B261,$B277&lt;&gt;$B262,$B278&lt;&gt;$B263,$B279&lt;&gt;$B264,$B280&lt;&gt;$B265,$B281&lt;&gt;$B266,$B282&lt;&gt;$B267,$B283&lt;&gt;$B268),IF($B283&lt;&gt;$B268,E268/INDEX($C258:$AJ268,11,MATCH(IF('Data-solution'!$A$3="Maximize",MAX($C269:$AI269),MIN($C269:$AI269)),$C269:$AI269,0)),E268-INDEX($C258:$AJ268,11,MATCH(IF('Data-solution'!$A$3="Maximize",MAX($C269:$AI269),MIN($C269:$AI269)),$C269:$AI269,0))*INDEX(E258:$AJ268,MATCH(MIN($AK258:$AK268),$AK258:$AK268,0),1)/INDEX($C258:$AJ268,MATCH(MIN($AK258:$AK268),$AK258:$AK268,0),MATCH(IF('Data-solution'!$A$3="Maximize",MAX($C269:$AI269),MIN($C269:$AI269)),$C269:$AI269,0))),E268)</f>
        <v>0</v>
      </c>
      <c r="F283" s="1">
        <f>IF(OR($B273&lt;&gt;$B258,$B274&lt;&gt;$B259,$B275&lt;&gt;$B260,$B276&lt;&gt;$B261,$B277&lt;&gt;$B262,$B278&lt;&gt;$B263,$B279&lt;&gt;$B264,$B280&lt;&gt;$B265,$B281&lt;&gt;$B266,$B282&lt;&gt;$B267,$B283&lt;&gt;$B268),IF($B283&lt;&gt;$B268,F268/INDEX($C258:$AJ268,11,MATCH(IF('Data-solution'!$A$3="Maximize",MAX($C269:$AI269),MIN($C269:$AI269)),$C269:$AI269,0)),F268-INDEX($C258:$AJ268,11,MATCH(IF('Data-solution'!$A$3="Maximize",MAX($C269:$AI269),MIN($C269:$AI269)),$C269:$AI269,0))*INDEX(F258:$AJ268,MATCH(MIN($AK258:$AK268),$AK258:$AK268,0),1)/INDEX($C258:$AJ268,MATCH(MIN($AK258:$AK268),$AK258:$AK268,0),MATCH(IF('Data-solution'!$A$3="Maximize",MAX($C269:$AI269),MIN($C269:$AI269)),$C269:$AI269,0))),F268)</f>
        <v>0</v>
      </c>
      <c r="G283" s="1">
        <f>IF(OR($B273&lt;&gt;$B258,$B274&lt;&gt;$B259,$B275&lt;&gt;$B260,$B276&lt;&gt;$B261,$B277&lt;&gt;$B262,$B278&lt;&gt;$B263,$B279&lt;&gt;$B264,$B280&lt;&gt;$B265,$B281&lt;&gt;$B266,$B282&lt;&gt;$B267,$B283&lt;&gt;$B268),IF($B283&lt;&gt;$B268,G268/INDEX($C258:$AJ268,11,MATCH(IF('Data-solution'!$A$3="Maximize",MAX($C269:$AI269),MIN($C269:$AI269)),$C269:$AI269,0)),G268-INDEX($C258:$AJ268,11,MATCH(IF('Data-solution'!$A$3="Maximize",MAX($C269:$AI269),MIN($C269:$AI269)),$C269:$AI269,0))*INDEX(G258:$AJ268,MATCH(MIN($AK258:$AK268),$AK258:$AK268,0),1)/INDEX($C258:$AJ268,MATCH(MIN($AK258:$AK268),$AK258:$AK268,0),MATCH(IF('Data-solution'!$A$3="Maximize",MAX($C269:$AI269),MIN($C269:$AI269)),$C269:$AI269,0))),G268)</f>
        <v>0</v>
      </c>
      <c r="H283" s="1">
        <f>IF(OR($B273&lt;&gt;$B258,$B274&lt;&gt;$B259,$B275&lt;&gt;$B260,$B276&lt;&gt;$B261,$B277&lt;&gt;$B262,$B278&lt;&gt;$B263,$B279&lt;&gt;$B264,$B280&lt;&gt;$B265,$B281&lt;&gt;$B266,$B282&lt;&gt;$B267,$B283&lt;&gt;$B268),IF($B283&lt;&gt;$B268,H268/INDEX($C258:$AJ268,11,MATCH(IF('Data-solution'!$A$3="Maximize",MAX($C269:$AI269),MIN($C269:$AI269)),$C269:$AI269,0)),H268-INDEX($C258:$AJ268,11,MATCH(IF('Data-solution'!$A$3="Maximize",MAX($C269:$AI269),MIN($C269:$AI269)),$C269:$AI269,0))*INDEX(H258:$AJ268,MATCH(MIN($AK258:$AK268),$AK258:$AK268,0),1)/INDEX($C258:$AJ268,MATCH(MIN($AK258:$AK268),$AK258:$AK268,0),MATCH(IF('Data-solution'!$A$3="Maximize",MAX($C269:$AI269),MIN($C269:$AI269)),$C269:$AI269,0))),H268)</f>
        <v>0</v>
      </c>
      <c r="I283" s="1">
        <f>IF(OR($B273&lt;&gt;$B258,$B274&lt;&gt;$B259,$B275&lt;&gt;$B260,$B276&lt;&gt;$B261,$B277&lt;&gt;$B262,$B278&lt;&gt;$B263,$B279&lt;&gt;$B264,$B280&lt;&gt;$B265,$B281&lt;&gt;$B266,$B282&lt;&gt;$B267,$B283&lt;&gt;$B268),IF($B283&lt;&gt;$B268,I268/INDEX($C258:$AJ268,11,MATCH(IF('Data-solution'!$A$3="Maximize",MAX($C269:$AI269),MIN($C269:$AI269)),$C269:$AI269,0)),I268-INDEX($C258:$AJ268,11,MATCH(IF('Data-solution'!$A$3="Maximize",MAX($C269:$AI269),MIN($C269:$AI269)),$C269:$AI269,0))*INDEX(I258:$AJ268,MATCH(MIN($AK258:$AK268),$AK258:$AK268,0),1)/INDEX($C258:$AJ268,MATCH(MIN($AK258:$AK268),$AK258:$AK268,0),MATCH(IF('Data-solution'!$A$3="Maximize",MAX($C269:$AI269),MIN($C269:$AI269)),$C269:$AI269,0))),I268)</f>
        <v>0</v>
      </c>
      <c r="J283" s="1">
        <f>IF(OR($B273&lt;&gt;$B258,$B274&lt;&gt;$B259,$B275&lt;&gt;$B260,$B276&lt;&gt;$B261,$B277&lt;&gt;$B262,$B278&lt;&gt;$B263,$B279&lt;&gt;$B264,$B280&lt;&gt;$B265,$B281&lt;&gt;$B266,$B282&lt;&gt;$B267,$B283&lt;&gt;$B268),IF($B283&lt;&gt;$B268,J268/INDEX($C258:$AJ268,11,MATCH(IF('Data-solution'!$A$3="Maximize",MAX($C269:$AI269),MIN($C269:$AI269)),$C269:$AI269,0)),J268-INDEX($C258:$AJ268,11,MATCH(IF('Data-solution'!$A$3="Maximize",MAX($C269:$AI269),MIN($C269:$AI269)),$C269:$AI269,0))*INDEX(J258:$AJ268,MATCH(MIN($AK258:$AK268),$AK258:$AK268,0),1)/INDEX($C258:$AJ268,MATCH(MIN($AK258:$AK268),$AK258:$AK268,0),MATCH(IF('Data-solution'!$A$3="Maximize",MAX($C269:$AI269),MIN($C269:$AI269)),$C269:$AI269,0))),J268)</f>
        <v>0</v>
      </c>
      <c r="K283" s="1">
        <f>IF(OR($B273&lt;&gt;$B258,$B274&lt;&gt;$B259,$B275&lt;&gt;$B260,$B276&lt;&gt;$B261,$B277&lt;&gt;$B262,$B278&lt;&gt;$B263,$B279&lt;&gt;$B264,$B280&lt;&gt;$B265,$B281&lt;&gt;$B266,$B282&lt;&gt;$B267,$B283&lt;&gt;$B268),IF($B283&lt;&gt;$B268,K268/INDEX($C258:$AJ268,11,MATCH(IF('Data-solution'!$A$3="Maximize",MAX($C269:$AI269),MIN($C269:$AI269)),$C269:$AI269,0)),K268-INDEX($C258:$AJ268,11,MATCH(IF('Data-solution'!$A$3="Maximize",MAX($C269:$AI269),MIN($C269:$AI269)),$C269:$AI269,0))*INDEX(K258:$AJ268,MATCH(MIN($AK258:$AK268),$AK258:$AK268,0),1)/INDEX($C258:$AJ268,MATCH(MIN($AK258:$AK268),$AK258:$AK268,0),MATCH(IF('Data-solution'!$A$3="Maximize",MAX($C269:$AI269),MIN($C269:$AI269)),$C269:$AI269,0))),K268)</f>
        <v>0</v>
      </c>
      <c r="L283" s="1">
        <f>IF(OR($B273&lt;&gt;$B258,$B274&lt;&gt;$B259,$B275&lt;&gt;$B260,$B276&lt;&gt;$B261,$B277&lt;&gt;$B262,$B278&lt;&gt;$B263,$B279&lt;&gt;$B264,$B280&lt;&gt;$B265,$B281&lt;&gt;$B266,$B282&lt;&gt;$B267,$B283&lt;&gt;$B268),IF($B283&lt;&gt;$B268,L268/INDEX($C258:$AJ268,11,MATCH(IF('Data-solution'!$A$3="Maximize",MAX($C269:$AI269),MIN($C269:$AI269)),$C269:$AI269,0)),L268-INDEX($C258:$AJ268,11,MATCH(IF('Data-solution'!$A$3="Maximize",MAX($C269:$AI269),MIN($C269:$AI269)),$C269:$AI269,0))*INDEX(L258:$AJ268,MATCH(MIN($AK258:$AK268),$AK258:$AK268,0),1)/INDEX($C258:$AJ268,MATCH(MIN($AK258:$AK268),$AK258:$AK268,0),MATCH(IF('Data-solution'!$A$3="Maximize",MAX($C269:$AI269),MIN($C269:$AI269)),$C269:$AI269,0))),L268)</f>
        <v>0</v>
      </c>
      <c r="M283" s="1">
        <f>IF(OR($B273&lt;&gt;$B258,$B274&lt;&gt;$B259,$B275&lt;&gt;$B260,$B276&lt;&gt;$B261,$B277&lt;&gt;$B262,$B278&lt;&gt;$B263,$B279&lt;&gt;$B264,$B280&lt;&gt;$B265,$B281&lt;&gt;$B266,$B282&lt;&gt;$B267,$B283&lt;&gt;$B268),IF($B283&lt;&gt;$B268,M268/INDEX($C258:$AJ268,11,MATCH(IF('Data-solution'!$A$3="Maximize",MAX($C269:$AI269),MIN($C269:$AI269)),$C269:$AI269,0)),M268-INDEX($C258:$AJ268,11,MATCH(IF('Data-solution'!$A$3="Maximize",MAX($C269:$AI269),MIN($C269:$AI269)),$C269:$AI269,0))*INDEX(M258:$AJ268,MATCH(MIN($AK258:$AK268),$AK258:$AK268,0),1)/INDEX($C258:$AJ268,MATCH(MIN($AK258:$AK268),$AK258:$AK268,0),MATCH(IF('Data-solution'!$A$3="Maximize",MAX($C269:$AI269),MIN($C269:$AI269)),$C269:$AI269,0))),M268)</f>
        <v>0</v>
      </c>
      <c r="N283" s="1">
        <f>IF(OR($B273&lt;&gt;$B258,$B274&lt;&gt;$B259,$B275&lt;&gt;$B260,$B276&lt;&gt;$B261,$B277&lt;&gt;$B262,$B278&lt;&gt;$B263,$B279&lt;&gt;$B264,$B280&lt;&gt;$B265,$B281&lt;&gt;$B266,$B282&lt;&gt;$B267,$B283&lt;&gt;$B268),IF($B283&lt;&gt;$B268,N268/INDEX($C258:$AJ268,11,MATCH(IF('Data-solution'!$A$3="Maximize",MAX($C269:$AI269),MIN($C269:$AI269)),$C269:$AI269,0)),N268-INDEX($C258:$AJ268,11,MATCH(IF('Data-solution'!$A$3="Maximize",MAX($C269:$AI269),MIN($C269:$AI269)),$C269:$AI269,0))*INDEX(N258:$AJ268,MATCH(MIN($AK258:$AK268),$AK258:$AK268,0),1)/INDEX($C258:$AJ268,MATCH(MIN($AK258:$AK268),$AK258:$AK268,0),MATCH(IF('Data-solution'!$A$3="Maximize",MAX($C269:$AI269),MIN($C269:$AI269)),$C269:$AI269,0))),N268)</f>
        <v>0</v>
      </c>
      <c r="O283" s="1">
        <f>IF(OR($B273&lt;&gt;$B258,$B274&lt;&gt;$B259,$B275&lt;&gt;$B260,$B276&lt;&gt;$B261,$B277&lt;&gt;$B262,$B278&lt;&gt;$B263,$B279&lt;&gt;$B264,$B280&lt;&gt;$B265,$B281&lt;&gt;$B266,$B282&lt;&gt;$B267,$B283&lt;&gt;$B268),IF($B283&lt;&gt;$B268,O268/INDEX($C258:$AJ268,11,MATCH(IF('Data-solution'!$A$3="Maximize",MAX($C269:$AI269),MIN($C269:$AI269)),$C269:$AI269,0)),O268-INDEX($C258:$AJ268,11,MATCH(IF('Data-solution'!$A$3="Maximize",MAX($C269:$AI269),MIN($C269:$AI269)),$C269:$AI269,0))*INDEX(O258:$AJ268,MATCH(MIN($AK258:$AK268),$AK258:$AK268,0),1)/INDEX($C258:$AJ268,MATCH(MIN($AK258:$AK268),$AK258:$AK268,0),MATCH(IF('Data-solution'!$A$3="Maximize",MAX($C269:$AI269),MIN($C269:$AI269)),$C269:$AI269,0))),O268)</f>
        <v>0</v>
      </c>
      <c r="P283" s="1">
        <f>IF(OR($B273&lt;&gt;$B258,$B274&lt;&gt;$B259,$B275&lt;&gt;$B260,$B276&lt;&gt;$B261,$B277&lt;&gt;$B262,$B278&lt;&gt;$B263,$B279&lt;&gt;$B264,$B280&lt;&gt;$B265,$B281&lt;&gt;$B266,$B282&lt;&gt;$B267,$B283&lt;&gt;$B268),IF($B283&lt;&gt;$B268,P268/INDEX($C258:$AJ268,11,MATCH(IF('Data-solution'!$A$3="Maximize",MAX($C269:$AI269),MIN($C269:$AI269)),$C269:$AI269,0)),P268-INDEX($C258:$AJ268,11,MATCH(IF('Data-solution'!$A$3="Maximize",MAX($C269:$AI269),MIN($C269:$AI269)),$C269:$AI269,0))*INDEX(P258:$AJ268,MATCH(MIN($AK258:$AK268),$AK258:$AK268,0),1)/INDEX($C258:$AJ268,MATCH(MIN($AK258:$AK268),$AK258:$AK268,0),MATCH(IF('Data-solution'!$A$3="Maximize",MAX($C269:$AI269),MIN($C269:$AI269)),$C269:$AI269,0))),P268)</f>
        <v>0</v>
      </c>
      <c r="Q283" s="1">
        <f>IF(OR($B273&lt;&gt;$B258,$B274&lt;&gt;$B259,$B275&lt;&gt;$B260,$B276&lt;&gt;$B261,$B277&lt;&gt;$B262,$B278&lt;&gt;$B263,$B279&lt;&gt;$B264,$B280&lt;&gt;$B265,$B281&lt;&gt;$B266,$B282&lt;&gt;$B267,$B283&lt;&gt;$B268),IF($B283&lt;&gt;$B268,Q268/INDEX($C258:$AJ268,11,MATCH(IF('Data-solution'!$A$3="Maximize",MAX($C269:$AI269),MIN($C269:$AI269)),$C269:$AI269,0)),Q268-INDEX($C258:$AJ268,11,MATCH(IF('Data-solution'!$A$3="Maximize",MAX($C269:$AI269),MIN($C269:$AI269)),$C269:$AI269,0))*INDEX(Q258:$AJ268,MATCH(MIN($AK258:$AK268),$AK258:$AK268,0),1)/INDEX($C258:$AJ268,MATCH(MIN($AK258:$AK268),$AK258:$AK268,0),MATCH(IF('Data-solution'!$A$3="Maximize",MAX($C269:$AI269),MIN($C269:$AI269)),$C269:$AI269,0))),Q268)</f>
        <v>0</v>
      </c>
      <c r="R283" s="1">
        <f>IF(OR($B273&lt;&gt;$B258,$B274&lt;&gt;$B259,$B275&lt;&gt;$B260,$B276&lt;&gt;$B261,$B277&lt;&gt;$B262,$B278&lt;&gt;$B263,$B279&lt;&gt;$B264,$B280&lt;&gt;$B265,$B281&lt;&gt;$B266,$B282&lt;&gt;$B267,$B283&lt;&gt;$B268),IF($B283&lt;&gt;$B268,R268/INDEX($C258:$AJ268,11,MATCH(IF('Data-solution'!$A$3="Maximize",MAX($C269:$AI269),MIN($C269:$AI269)),$C269:$AI269,0)),R268-INDEX($C258:$AJ268,11,MATCH(IF('Data-solution'!$A$3="Maximize",MAX($C269:$AI269),MIN($C269:$AI269)),$C269:$AI269,0))*INDEX(R258:$AJ268,MATCH(MIN($AK258:$AK268),$AK258:$AK268,0),1)/INDEX($C258:$AJ268,MATCH(MIN($AK258:$AK268),$AK258:$AK268,0),MATCH(IF('Data-solution'!$A$3="Maximize",MAX($C269:$AI269),MIN($C269:$AI269)),$C269:$AI269,0))),R268)</f>
        <v>0</v>
      </c>
      <c r="S283" s="1">
        <f>IF(OR($B273&lt;&gt;$B258,$B274&lt;&gt;$B259,$B275&lt;&gt;$B260,$B276&lt;&gt;$B261,$B277&lt;&gt;$B262,$B278&lt;&gt;$B263,$B279&lt;&gt;$B264,$B280&lt;&gt;$B265,$B281&lt;&gt;$B266,$B282&lt;&gt;$B267,$B283&lt;&gt;$B268),IF($B283&lt;&gt;$B268,S268/INDEX($C258:$AJ268,11,MATCH(IF('Data-solution'!$A$3="Maximize",MAX($C269:$AI269),MIN($C269:$AI269)),$C269:$AI269,0)),S268-INDEX($C258:$AJ268,11,MATCH(IF('Data-solution'!$A$3="Maximize",MAX($C269:$AI269),MIN($C269:$AI269)),$C269:$AI269,0))*INDEX(S258:$AJ268,MATCH(MIN($AK258:$AK268),$AK258:$AK268,0),1)/INDEX($C258:$AJ268,MATCH(MIN($AK258:$AK268),$AK258:$AK268,0),MATCH(IF('Data-solution'!$A$3="Maximize",MAX($C269:$AI269),MIN($C269:$AI269)),$C269:$AI269,0))),S268)</f>
        <v>0</v>
      </c>
      <c r="T283" s="1">
        <f>IF(OR($B273&lt;&gt;$B258,$B274&lt;&gt;$B259,$B275&lt;&gt;$B260,$B276&lt;&gt;$B261,$B277&lt;&gt;$B262,$B278&lt;&gt;$B263,$B279&lt;&gt;$B264,$B280&lt;&gt;$B265,$B281&lt;&gt;$B266,$B282&lt;&gt;$B267,$B283&lt;&gt;$B268),IF($B283&lt;&gt;$B268,T268/INDEX($C258:$AJ268,11,MATCH(IF('Data-solution'!$A$3="Maximize",MAX($C269:$AI269),MIN($C269:$AI269)),$C269:$AI269,0)),T268-INDEX($C258:$AJ268,11,MATCH(IF('Data-solution'!$A$3="Maximize",MAX($C269:$AI269),MIN($C269:$AI269)),$C269:$AI269,0))*INDEX(T258:$AJ268,MATCH(MIN($AK258:$AK268),$AK258:$AK268,0),1)/INDEX($C258:$AJ268,MATCH(MIN($AK258:$AK268),$AK258:$AK268,0),MATCH(IF('Data-solution'!$A$3="Maximize",MAX($C269:$AI269),MIN($C269:$AI269)),$C269:$AI269,0))),T268)</f>
        <v>0</v>
      </c>
      <c r="U283" s="1">
        <f>IF(OR($B273&lt;&gt;$B258,$B274&lt;&gt;$B259,$B275&lt;&gt;$B260,$B276&lt;&gt;$B261,$B277&lt;&gt;$B262,$B278&lt;&gt;$B263,$B279&lt;&gt;$B264,$B280&lt;&gt;$B265,$B281&lt;&gt;$B266,$B282&lt;&gt;$B267,$B283&lt;&gt;$B268),IF($B283&lt;&gt;$B268,U268/INDEX($C258:$AJ268,11,MATCH(IF('Data-solution'!$A$3="Maximize",MAX($C269:$AI269),MIN($C269:$AI269)),$C269:$AI269,0)),U268-INDEX($C258:$AJ268,11,MATCH(IF('Data-solution'!$A$3="Maximize",MAX($C269:$AI269),MIN($C269:$AI269)),$C269:$AI269,0))*INDEX(U258:$AJ268,MATCH(MIN($AK258:$AK268),$AK258:$AK268,0),1)/INDEX($C258:$AJ268,MATCH(MIN($AK258:$AK268),$AK258:$AK268,0),MATCH(IF('Data-solution'!$A$3="Maximize",MAX($C269:$AI269),MIN($C269:$AI269)),$C269:$AI269,0))),U268)</f>
        <v>0</v>
      </c>
      <c r="V283" s="1">
        <f>IF(OR($B273&lt;&gt;$B258,$B274&lt;&gt;$B259,$B275&lt;&gt;$B260,$B276&lt;&gt;$B261,$B277&lt;&gt;$B262,$B278&lt;&gt;$B263,$B279&lt;&gt;$B264,$B280&lt;&gt;$B265,$B281&lt;&gt;$B266,$B282&lt;&gt;$B267,$B283&lt;&gt;$B268),IF($B283&lt;&gt;$B268,V268/INDEX($C258:$AJ268,11,MATCH(IF('Data-solution'!$A$3="Maximize",MAX($C269:$AI269),MIN($C269:$AI269)),$C269:$AI269,0)),V268-INDEX($C258:$AJ268,11,MATCH(IF('Data-solution'!$A$3="Maximize",MAX($C269:$AI269),MIN($C269:$AI269)),$C269:$AI269,0))*INDEX(V258:$AJ268,MATCH(MIN($AK258:$AK268),$AK258:$AK268,0),1)/INDEX($C258:$AJ268,MATCH(MIN($AK258:$AK268),$AK258:$AK268,0),MATCH(IF('Data-solution'!$A$3="Maximize",MAX($C269:$AI269),MIN($C269:$AI269)),$C269:$AI269,0))),V268)</f>
        <v>0</v>
      </c>
      <c r="W283" s="1">
        <f>IF(OR($B273&lt;&gt;$B258,$B274&lt;&gt;$B259,$B275&lt;&gt;$B260,$B276&lt;&gt;$B261,$B277&lt;&gt;$B262,$B278&lt;&gt;$B263,$B279&lt;&gt;$B264,$B280&lt;&gt;$B265,$B281&lt;&gt;$B266,$B282&lt;&gt;$B267,$B283&lt;&gt;$B268),IF($B283&lt;&gt;$B268,W268/INDEX($C258:$AJ268,11,MATCH(IF('Data-solution'!$A$3="Maximize",MAX($C269:$AI269),MIN($C269:$AI269)),$C269:$AI269,0)),W268-INDEX($C258:$AJ268,11,MATCH(IF('Data-solution'!$A$3="Maximize",MAX($C269:$AI269),MIN($C269:$AI269)),$C269:$AI269,0))*INDEX(W258:$AJ268,MATCH(MIN($AK258:$AK268),$AK258:$AK268,0),1)/INDEX($C258:$AJ268,MATCH(MIN($AK258:$AK268),$AK258:$AK268,0),MATCH(IF('Data-solution'!$A$3="Maximize",MAX($C269:$AI269),MIN($C269:$AI269)),$C269:$AI269,0))),W268)</f>
        <v>0</v>
      </c>
      <c r="X283" s="1">
        <f>IF(OR($B273&lt;&gt;$B258,$B274&lt;&gt;$B259,$B275&lt;&gt;$B260,$B276&lt;&gt;$B261,$B277&lt;&gt;$B262,$B278&lt;&gt;$B263,$B279&lt;&gt;$B264,$B280&lt;&gt;$B265,$B281&lt;&gt;$B266,$B282&lt;&gt;$B267,$B283&lt;&gt;$B268),IF($B283&lt;&gt;$B268,X268/INDEX($C258:$AJ268,11,MATCH(IF('Data-solution'!$A$3="Maximize",MAX($C269:$AI269),MIN($C269:$AI269)),$C269:$AI269,0)),X268-INDEX($C258:$AJ268,11,MATCH(IF('Data-solution'!$A$3="Maximize",MAX($C269:$AI269),MIN($C269:$AI269)),$C269:$AI269,0))*INDEX(X258:$AJ268,MATCH(MIN($AK258:$AK268),$AK258:$AK268,0),1)/INDEX($C258:$AJ268,MATCH(MIN($AK258:$AK268),$AK258:$AK268,0),MATCH(IF('Data-solution'!$A$3="Maximize",MAX($C269:$AI269),MIN($C269:$AI269)),$C269:$AI269,0))),X268)</f>
        <v>1</v>
      </c>
      <c r="Y283" s="1">
        <f>IF(OR($B273&lt;&gt;$B258,$B274&lt;&gt;$B259,$B275&lt;&gt;$B260,$B276&lt;&gt;$B261,$B277&lt;&gt;$B262,$B278&lt;&gt;$B263,$B279&lt;&gt;$B264,$B280&lt;&gt;$B265,$B281&lt;&gt;$B266,$B282&lt;&gt;$B267,$B283&lt;&gt;$B268),IF($B283&lt;&gt;$B268,Y268/INDEX($C258:$AJ268,11,MATCH(IF('Data-solution'!$A$3="Maximize",MAX($C269:$AI269),MIN($C269:$AI269)),$C269:$AI269,0)),Y268-INDEX($C258:$AJ268,11,MATCH(IF('Data-solution'!$A$3="Maximize",MAX($C269:$AI269),MIN($C269:$AI269)),$C269:$AI269,0))*INDEX(Y258:$AJ268,MATCH(MIN($AK258:$AK268),$AK258:$AK268,0),1)/INDEX($C258:$AJ268,MATCH(MIN($AK258:$AK268),$AK258:$AK268,0),MATCH(IF('Data-solution'!$A$3="Maximize",MAX($C269:$AI269),MIN($C269:$AI269)),$C269:$AI269,0))),Y268)</f>
        <v>0</v>
      </c>
      <c r="Z283" s="1">
        <f>IF(OR($B273&lt;&gt;$B258,$B274&lt;&gt;$B259,$B275&lt;&gt;$B260,$B276&lt;&gt;$B261,$B277&lt;&gt;$B262,$B278&lt;&gt;$B263,$B279&lt;&gt;$B264,$B280&lt;&gt;$B265,$B281&lt;&gt;$B266,$B282&lt;&gt;$B267,$B283&lt;&gt;$B268),IF($B283&lt;&gt;$B268,Z268/INDEX($C258:$AJ268,11,MATCH(IF('Data-solution'!$A$3="Maximize",MAX($C269:$AI269),MIN($C269:$AI269)),$C269:$AI269,0)),Z268-INDEX($C258:$AJ268,11,MATCH(IF('Data-solution'!$A$3="Maximize",MAX($C269:$AI269),MIN($C269:$AI269)),$C269:$AI269,0))*INDEX(Z258:$AJ268,MATCH(MIN($AK258:$AK268),$AK258:$AK268,0),1)/INDEX($C258:$AJ268,MATCH(MIN($AK258:$AK268),$AK258:$AK268,0),MATCH(IF('Data-solution'!$A$3="Maximize",MAX($C269:$AI269),MIN($C269:$AI269)),$C269:$AI269,0))),Z268)</f>
        <v>0</v>
      </c>
      <c r="AA283" s="1">
        <f>IF(OR($B273&lt;&gt;$B258,$B274&lt;&gt;$B259,$B275&lt;&gt;$B260,$B276&lt;&gt;$B261,$B277&lt;&gt;$B262,$B278&lt;&gt;$B263,$B279&lt;&gt;$B264,$B280&lt;&gt;$B265,$B281&lt;&gt;$B266,$B282&lt;&gt;$B267,$B283&lt;&gt;$B268),IF($B283&lt;&gt;$B268,AA268/INDEX($C258:$AJ268,11,MATCH(IF('Data-solution'!$A$3="Maximize",MAX($C269:$AI269),MIN($C269:$AI269)),$C269:$AI269,0)),AA268-INDEX($C258:$AJ268,11,MATCH(IF('Data-solution'!$A$3="Maximize",MAX($C269:$AI269),MIN($C269:$AI269)),$C269:$AI269,0))*INDEX(AA258:$AJ268,MATCH(MIN($AK258:$AK268),$AK258:$AK268,0),1)/INDEX($C258:$AJ268,MATCH(MIN($AK258:$AK268),$AK258:$AK268,0),MATCH(IF('Data-solution'!$A$3="Maximize",MAX($C269:$AI269),MIN($C269:$AI269)),$C269:$AI269,0))),AA268)</f>
        <v>0</v>
      </c>
      <c r="AB283" s="1">
        <f>IF(OR($B273&lt;&gt;$B258,$B274&lt;&gt;$B259,$B275&lt;&gt;$B260,$B276&lt;&gt;$B261,$B277&lt;&gt;$B262,$B278&lt;&gt;$B263,$B279&lt;&gt;$B264,$B280&lt;&gt;$B265,$B281&lt;&gt;$B266,$B282&lt;&gt;$B267,$B283&lt;&gt;$B268),IF($B283&lt;&gt;$B268,AB268/INDEX($C258:$AJ268,11,MATCH(IF('Data-solution'!$A$3="Maximize",MAX($C269:$AI269),MIN($C269:$AI269)),$C269:$AI269,0)),AB268-INDEX($C258:$AJ268,11,MATCH(IF('Data-solution'!$A$3="Maximize",MAX($C269:$AI269),MIN($C269:$AI269)),$C269:$AI269,0))*INDEX(AB258:$AJ268,MATCH(MIN($AK258:$AK268),$AK258:$AK268,0),1)/INDEX($C258:$AJ268,MATCH(MIN($AK258:$AK268),$AK258:$AK268,0),MATCH(IF('Data-solution'!$A$3="Maximize",MAX($C269:$AI269),MIN($C269:$AI269)),$C269:$AI269,0))),AB268)</f>
        <v>0</v>
      </c>
      <c r="AC283" s="1">
        <f>IF(OR($B273&lt;&gt;$B258,$B274&lt;&gt;$B259,$B275&lt;&gt;$B260,$B276&lt;&gt;$B261,$B277&lt;&gt;$B262,$B278&lt;&gt;$B263,$B279&lt;&gt;$B264,$B280&lt;&gt;$B265,$B281&lt;&gt;$B266,$B282&lt;&gt;$B267,$B283&lt;&gt;$B268),IF($B283&lt;&gt;$B268,AC268/INDEX($C258:$AJ268,11,MATCH(IF('Data-solution'!$A$3="Maximize",MAX($C269:$AI269),MIN($C269:$AI269)),$C269:$AI269,0)),AC268-INDEX($C258:$AJ268,11,MATCH(IF('Data-solution'!$A$3="Maximize",MAX($C269:$AI269),MIN($C269:$AI269)),$C269:$AI269,0))*INDEX(AC258:$AJ268,MATCH(MIN($AK258:$AK268),$AK258:$AK268,0),1)/INDEX($C258:$AJ268,MATCH(MIN($AK258:$AK268),$AK258:$AK268,0),MATCH(IF('Data-solution'!$A$3="Maximize",MAX($C269:$AI269),MIN($C269:$AI269)),$C269:$AI269,0))),AC268)</f>
        <v>0</v>
      </c>
      <c r="AD283" s="1">
        <f>IF(OR($B273&lt;&gt;$B258,$B274&lt;&gt;$B259,$B275&lt;&gt;$B260,$B276&lt;&gt;$B261,$B277&lt;&gt;$B262,$B278&lt;&gt;$B263,$B279&lt;&gt;$B264,$B280&lt;&gt;$B265,$B281&lt;&gt;$B266,$B282&lt;&gt;$B267,$B283&lt;&gt;$B268),IF($B283&lt;&gt;$B268,AD268/INDEX($C258:$AJ268,11,MATCH(IF('Data-solution'!$A$3="Maximize",MAX($C269:$AI269),MIN($C269:$AI269)),$C269:$AI269,0)),AD268-INDEX($C258:$AJ268,11,MATCH(IF('Data-solution'!$A$3="Maximize",MAX($C269:$AI269),MIN($C269:$AI269)),$C269:$AI269,0))*INDEX(AD258:$AJ268,MATCH(MIN($AK258:$AK268),$AK258:$AK268,0),1)/INDEX($C258:$AJ268,MATCH(MIN($AK258:$AK268),$AK258:$AK268,0),MATCH(IF('Data-solution'!$A$3="Maximize",MAX($C269:$AI269),MIN($C269:$AI269)),$C269:$AI269,0))),AD268)</f>
        <v>0</v>
      </c>
      <c r="AE283" s="1">
        <f>IF(OR($B273&lt;&gt;$B258,$B274&lt;&gt;$B259,$B275&lt;&gt;$B260,$B276&lt;&gt;$B261,$B277&lt;&gt;$B262,$B278&lt;&gt;$B263,$B279&lt;&gt;$B264,$B280&lt;&gt;$B265,$B281&lt;&gt;$B266,$B282&lt;&gt;$B267,$B283&lt;&gt;$B268),IF($B283&lt;&gt;$B268,AE268/INDEX($C258:$AJ268,11,MATCH(IF('Data-solution'!$A$3="Maximize",MAX($C269:$AI269),MIN($C269:$AI269)),$C269:$AI269,0)),AE268-INDEX($C258:$AJ268,11,MATCH(IF('Data-solution'!$A$3="Maximize",MAX($C269:$AI269),MIN($C269:$AI269)),$C269:$AI269,0))*INDEX(AE258:$AJ268,MATCH(MIN($AK258:$AK268),$AK258:$AK268,0),1)/INDEX($C258:$AJ268,MATCH(MIN($AK258:$AK268),$AK258:$AK268,0),MATCH(IF('Data-solution'!$A$3="Maximize",MAX($C269:$AI269),MIN($C269:$AI269)),$C269:$AI269,0))),AE268)</f>
        <v>0</v>
      </c>
      <c r="AF283" s="1">
        <f>IF(OR($B273&lt;&gt;$B258,$B274&lt;&gt;$B259,$B275&lt;&gt;$B260,$B276&lt;&gt;$B261,$B277&lt;&gt;$B262,$B278&lt;&gt;$B263,$B279&lt;&gt;$B264,$B280&lt;&gt;$B265,$B281&lt;&gt;$B266,$B282&lt;&gt;$B267,$B283&lt;&gt;$B268),IF($B283&lt;&gt;$B268,AF268/INDEX($C258:$AJ268,11,MATCH(IF('Data-solution'!$A$3="Maximize",MAX($C269:$AI269),MIN($C269:$AI269)),$C269:$AI269,0)),AF268-INDEX($C258:$AJ268,11,MATCH(IF('Data-solution'!$A$3="Maximize",MAX($C269:$AI269),MIN($C269:$AI269)),$C269:$AI269,0))*INDEX(AF258:$AJ268,MATCH(MIN($AK258:$AK268),$AK258:$AK268,0),1)/INDEX($C258:$AJ268,MATCH(MIN($AK258:$AK268),$AK258:$AK268,0),MATCH(IF('Data-solution'!$A$3="Maximize",MAX($C269:$AI269),MIN($C269:$AI269)),$C269:$AI269,0))),AF268)</f>
        <v>0</v>
      </c>
      <c r="AG283" s="1">
        <f>IF(OR($B273&lt;&gt;$B258,$B274&lt;&gt;$B259,$B275&lt;&gt;$B260,$B276&lt;&gt;$B261,$B277&lt;&gt;$B262,$B278&lt;&gt;$B263,$B279&lt;&gt;$B264,$B280&lt;&gt;$B265,$B281&lt;&gt;$B266,$B282&lt;&gt;$B267,$B283&lt;&gt;$B268),IF($B283&lt;&gt;$B268,AG268/INDEX($C258:$AJ268,11,MATCH(IF('Data-solution'!$A$3="Maximize",MAX($C269:$AI269),MIN($C269:$AI269)),$C269:$AI269,0)),AG268-INDEX($C258:$AJ268,11,MATCH(IF('Data-solution'!$A$3="Maximize",MAX($C269:$AI269),MIN($C269:$AI269)),$C269:$AI269,0))*INDEX(AG258:$AJ268,MATCH(MIN($AK258:$AK268),$AK258:$AK268,0),1)/INDEX($C258:$AJ268,MATCH(MIN($AK258:$AK268),$AK258:$AK268,0),MATCH(IF('Data-solution'!$A$3="Maximize",MAX($C269:$AI269),MIN($C269:$AI269)),$C269:$AI269,0))),AG268)</f>
        <v>0</v>
      </c>
      <c r="AH283" s="1">
        <f>IF(OR($B273&lt;&gt;$B258,$B274&lt;&gt;$B259,$B275&lt;&gt;$B260,$B276&lt;&gt;$B261,$B277&lt;&gt;$B262,$B278&lt;&gt;$B263,$B279&lt;&gt;$B264,$B280&lt;&gt;$B265,$B281&lt;&gt;$B266,$B282&lt;&gt;$B267,$B283&lt;&gt;$B268),IF($B283&lt;&gt;$B268,AH268/INDEX($C258:$AJ268,11,MATCH(IF('Data-solution'!$A$3="Maximize",MAX($C269:$AI269),MIN($C269:$AI269)),$C269:$AI269,0)),AH268-INDEX($C258:$AJ268,11,MATCH(IF('Data-solution'!$A$3="Maximize",MAX($C269:$AI269),MIN($C269:$AI269)),$C269:$AI269,0))*INDEX(AH258:$AJ268,MATCH(MIN($AK258:$AK268),$AK258:$AK268,0),1)/INDEX($C258:$AJ268,MATCH(MIN($AK258:$AK268),$AK258:$AK268,0),MATCH(IF('Data-solution'!$A$3="Maximize",MAX($C269:$AI269),MIN($C269:$AI269)),$C269:$AI269,0))),AH268)</f>
        <v>0</v>
      </c>
      <c r="AI283" s="1">
        <f>IF(OR($B273&lt;&gt;$B258,$B274&lt;&gt;$B259,$B275&lt;&gt;$B260,$B276&lt;&gt;$B261,$B277&lt;&gt;$B262,$B278&lt;&gt;$B263,$B279&lt;&gt;$B264,$B280&lt;&gt;$B265,$B281&lt;&gt;$B266,$B282&lt;&gt;$B267,$B283&lt;&gt;$B268),IF($B283&lt;&gt;$B268,AI268/INDEX($C258:$AJ268,11,MATCH(IF('Data-solution'!$A$3="Maximize",MAX($C269:$AI269),MIN($C269:$AI269)),$C269:$AI269,0)),AI268-INDEX($C258:$AJ268,11,MATCH(IF('Data-solution'!$A$3="Maximize",MAX($C269:$AI269),MIN($C269:$AI269)),$C269:$AI269,0))*INDEX(AI258:$AJ268,MATCH(MIN($AK258:$AK268),$AK258:$AK268,0),1)/INDEX($C258:$AJ268,MATCH(MIN($AK258:$AK268),$AK258:$AK268,0),MATCH(IF('Data-solution'!$A$3="Maximize",MAX($C269:$AI269),MIN($C269:$AI269)),$C269:$AI269,0))),AI268)</f>
        <v>1</v>
      </c>
      <c r="AJ283" s="1">
        <f>IF(OR($B273&lt;&gt;$B258,$B274&lt;&gt;$B259,$B275&lt;&gt;$B260,$B276&lt;&gt;$B261,$B277&lt;&gt;$B262,$B278&lt;&gt;$B263,$B279&lt;&gt;$B264,$B280&lt;&gt;$B265,$B281&lt;&gt;$B266,$B282&lt;&gt;$B267,$B283&lt;&gt;$B268),IF($B283&lt;&gt;$B268,AJ268/INDEX($C258:$AJ268,11,MATCH(IF('Data-solution'!$A$3="Maximize",MAX($C269:$AI269),MIN($C269:$AI269)),$C269:$AI269,0)),AJ268-INDEX($C258:$AJ268,11,MATCH(IF('Data-solution'!$A$3="Maximize",MAX($C269:$AI269),MIN($C269:$AI269)),$C269:$AI269,0))*INDEX(AJ258:$AJ268,MATCH(MIN($AK258:$AK268),$AK258:$AK268,0),1)/INDEX($C258:$AJ268,MATCH(MIN($AK258:$AK268),$AK258:$AK268,0),MATCH(IF('Data-solution'!$A$3="Maximize",MAX($C269:$AI269),MIN($C269:$AI269)),$C269:$AI269,0))),AJ268)</f>
        <v>0</v>
      </c>
      <c r="AK283" s="1" t="str">
        <f>IF(INDEX(C283:X283,1,MATCH(IF('Data-solution'!A$3="Maximize",MAX(C284:X284),MIN(C284:X284)),C284:X284,0))&gt;0,AJ283/INDEX(C283:X283,1,MATCH(IF('Data-solution'!A$3="Maximize",MAX(C284:X284),MIN(C284:X284)),C284:X284,0))," ")</f>
        <v xml:space="preserve"> </v>
      </c>
    </row>
    <row r="284" spans="1:37" ht="18" customHeight="1" x14ac:dyDescent="0.2">
      <c r="B284" s="2" t="s">
        <v>5</v>
      </c>
      <c r="C284" s="1">
        <f>IF(SUM(COUNTIF($B273:$B283,$Y272),COUNTIF($B273:$B283,$Z272),COUNTIF($B273:$B283,$AA272),COUNTIF($B273:$B283,$AB272),COUNTIF($B273:$B283,$AC272),COUNTIF($B273:$B283,$AD272),COUNTIF($B273:$B283,$AE272),COUNTIF($B273:$B283,$AF272),COUNTIF($B273:$B283,$AG272),COUNTIF($B273:$B283,$AH272),COUNTIF($B273:$B283,$AI272))=0,C271-SUMPRODUCT($A273:$A283,C273:C283),IF('Data-solution'!$A$3="Maximize",1,-1)*SUM(SUMIF($B273:$B283,$Y272,C273:C283),SUMIF($B273:$B283,$Z272,C273:C283),SUMIF($B273:$B283,$AA272,C273:C283),SUMIF($B273:$B283,$AB272,C273:C283),SUMIF($B273:$B283,$AC272,C273:C283),SUMIF($B273:$B283,$AD272,C273:C283),SUMIF($B273:$B283,$AE272,C273:C283),SUMIF($B273:$B283,$AF272,C273:C283),SUMIF($B273:$B283,$AG272,C273:C283),SUMIF($B273:$B283,$AH272,C273:C283),SUMIF($B273:$B283,$AI272,C273:C283)))</f>
        <v>0</v>
      </c>
      <c r="D284" s="1">
        <f>IF(SUM(COUNTIF($B273:$B283,$Y272),COUNTIF($B273:$B283,$Z272),COUNTIF($B273:$B283,$AA272),COUNTIF($B273:$B283,$AB272),COUNTIF($B273:$B283,$AC272),COUNTIF($B273:$B283,$AD272),COUNTIF($B273:$B283,$AE272),COUNTIF($B273:$B283,$AF272),COUNTIF($B273:$B283,$AG272),COUNTIF($B273:$B283,$AH272),COUNTIF($B273:$B283,$AI272))=0,D271-SUMPRODUCT($A273:$A283,D273:D283),IF('Data-solution'!$A$3="Maximize",1,-1)*SUM(SUMIF($B273:$B283,$Y272,D273:D283),SUMIF($B273:$B283,$Z272,D273:D283),SUMIF($B273:$B283,$AA272,D273:D283),SUMIF($B273:$B283,$AB272,D273:D283),SUMIF($B273:$B283,$AC272,D273:D283),SUMIF($B273:$B283,$AD272,D273:D283),SUMIF($B273:$B283,$AE272,D273:D283),SUMIF($B273:$B283,$AF272,D273:D283),SUMIF($B273:$B283,$AG272,D273:D283),SUMIF($B273:$B283,$AH272,D273:D283),SUMIF($B273:$B283,$AI272,D273:D283)))</f>
        <v>-50</v>
      </c>
      <c r="E284" s="1">
        <f>IF(SUM(COUNTIF($B273:$B283,$Y272),COUNTIF($B273:$B283,$Z272),COUNTIF($B273:$B283,$AA272),COUNTIF($B273:$B283,$AB272),COUNTIF($B273:$B283,$AC272),COUNTIF($B273:$B283,$AD272),COUNTIF($B273:$B283,$AE272),COUNTIF($B273:$B283,$AF272),COUNTIF($B273:$B283,$AG272),COUNTIF($B273:$B283,$AH272),COUNTIF($B273:$B283,$AI272))=0,E271-SUMPRODUCT($A273:$A283,E273:E283),IF('Data-solution'!$A$3="Maximize",1,-1)*SUM(SUMIF($B273:$B283,$Y272,E273:E283),SUMIF($B273:$B283,$Z272,E273:E283),SUMIF($B273:$B283,$AA272,E273:E283),SUMIF($B273:$B283,$AB272,E273:E283),SUMIF($B273:$B283,$AC272,E273:E283),SUMIF($B273:$B283,$AD272,E273:E283),SUMIF($B273:$B283,$AE272,E273:E283),SUMIF($B273:$B283,$AF272,E273:E283),SUMIF($B273:$B283,$AG272,E273:E283),SUMIF($B273:$B283,$AH272,E273:E283),SUMIF($B273:$B283,$AI272,E273:E283)))</f>
        <v>0</v>
      </c>
      <c r="F284" s="1">
        <f>IF(SUM(COUNTIF($B273:$B283,$Y272),COUNTIF($B273:$B283,$Z272),COUNTIF($B273:$B283,$AA272),COUNTIF($B273:$B283,$AB272),COUNTIF($B273:$B283,$AC272),COUNTIF($B273:$B283,$AD272),COUNTIF($B273:$B283,$AE272),COUNTIF($B273:$B283,$AF272),COUNTIF($B273:$B283,$AG272),COUNTIF($B273:$B283,$AH272),COUNTIF($B273:$B283,$AI272))=0,F271-SUMPRODUCT($A273:$A283,F273:F283),IF('Data-solution'!$A$3="Maximize",1,-1)*SUM(SUMIF($B273:$B283,$Y272,F273:F283),SUMIF($B273:$B283,$Z272,F273:F283),SUMIF($B273:$B283,$AA272,F273:F283),SUMIF($B273:$B283,$AB272,F273:F283),SUMIF($B273:$B283,$AC272,F273:F283),SUMIF($B273:$B283,$AD272,F273:F283),SUMIF($B273:$B283,$AE272,F273:F283),SUMIF($B273:$B283,$AF272,F273:F283),SUMIF($B273:$B283,$AG272,F273:F283),SUMIF($B273:$B283,$AH272,F273:F283),SUMIF($B273:$B283,$AI272,F273:F283)))</f>
        <v>0</v>
      </c>
      <c r="G284" s="1">
        <f>IF(SUM(COUNTIF($B273:$B283,$Y272),COUNTIF($B273:$B283,$Z272),COUNTIF($B273:$B283,$AA272),COUNTIF($B273:$B283,$AB272),COUNTIF($B273:$B283,$AC272),COUNTIF($B273:$B283,$AD272),COUNTIF($B273:$B283,$AE272),COUNTIF($B273:$B283,$AF272),COUNTIF($B273:$B283,$AG272),COUNTIF($B273:$B283,$AH272),COUNTIF($B273:$B283,$AI272))=0,G271-SUMPRODUCT($A273:$A283,G273:G283),IF('Data-solution'!$A$3="Maximize",1,-1)*SUM(SUMIF($B273:$B283,$Y272,G273:G283),SUMIF($B273:$B283,$Z272,G273:G283),SUMIF($B273:$B283,$AA272,G273:G283),SUMIF($B273:$B283,$AB272,G273:G283),SUMIF($B273:$B283,$AC272,G273:G283),SUMIF($B273:$B283,$AD272,G273:G283),SUMIF($B273:$B283,$AE272,G273:G283),SUMIF($B273:$B283,$AF272,G273:G283),SUMIF($B273:$B283,$AG272,G273:G283),SUMIF($B273:$B283,$AH272,G273:G283),SUMIF($B273:$B283,$AI272,G273:G283)))</f>
        <v>0</v>
      </c>
      <c r="H284" s="1">
        <f>IF(SUM(COUNTIF($B273:$B283,$Y272),COUNTIF($B273:$B283,$Z272),COUNTIF($B273:$B283,$AA272),COUNTIF($B273:$B283,$AB272),COUNTIF($B273:$B283,$AC272),COUNTIF($B273:$B283,$AD272),COUNTIF($B273:$B283,$AE272),COUNTIF($B273:$B283,$AF272),COUNTIF($B273:$B283,$AG272),COUNTIF($B273:$B283,$AH272),COUNTIF($B273:$B283,$AI272))=0,H271-SUMPRODUCT($A273:$A283,H273:H283),IF('Data-solution'!$A$3="Maximize",1,-1)*SUM(SUMIF($B273:$B283,$Y272,H273:H283),SUMIF($B273:$B283,$Z272,H273:H283),SUMIF($B273:$B283,$AA272,H273:H283),SUMIF($B273:$B283,$AB272,H273:H283),SUMIF($B273:$B283,$AC272,H273:H283),SUMIF($B273:$B283,$AD272,H273:H283),SUMIF($B273:$B283,$AE272,H273:H283),SUMIF($B273:$B283,$AF272,H273:H283),SUMIF($B273:$B283,$AG272,H273:H283),SUMIF($B273:$B283,$AH272,H273:H283),SUMIF($B273:$B283,$AI272,H273:H283)))</f>
        <v>0</v>
      </c>
      <c r="I284" s="1">
        <f>IF(SUM(COUNTIF($B273:$B283,$Y272),COUNTIF($B273:$B283,$Z272),COUNTIF($B273:$B283,$AA272),COUNTIF($B273:$B283,$AB272),COUNTIF($B273:$B283,$AC272),COUNTIF($B273:$B283,$AD272),COUNTIF($B273:$B283,$AE272),COUNTIF($B273:$B283,$AF272),COUNTIF($B273:$B283,$AG272),COUNTIF($B273:$B283,$AH272),COUNTIF($B273:$B283,$AI272))=0,I271-SUMPRODUCT($A273:$A283,I273:I283),IF('Data-solution'!$A$3="Maximize",1,-1)*SUM(SUMIF($B273:$B283,$Y272,I273:I283),SUMIF($B273:$B283,$Z272,I273:I283),SUMIF($B273:$B283,$AA272,I273:I283),SUMIF($B273:$B283,$AB272,I273:I283),SUMIF($B273:$B283,$AC272,I273:I283),SUMIF($B273:$B283,$AD272,I273:I283),SUMIF($B273:$B283,$AE272,I273:I283),SUMIF($B273:$B283,$AF272,I273:I283),SUMIF($B273:$B283,$AG272,I273:I283),SUMIF($B273:$B283,$AH272,I273:I283),SUMIF($B273:$B283,$AI272,I273:I283)))</f>
        <v>0</v>
      </c>
      <c r="J284" s="1">
        <f>IF(SUM(COUNTIF($B273:$B283,$Y272),COUNTIF($B273:$B283,$Z272),COUNTIF($B273:$B283,$AA272),COUNTIF($B273:$B283,$AB272),COUNTIF($B273:$B283,$AC272),COUNTIF($B273:$B283,$AD272),COUNTIF($B273:$B283,$AE272),COUNTIF($B273:$B283,$AF272),COUNTIF($B273:$B283,$AG272),COUNTIF($B273:$B283,$AH272),COUNTIF($B273:$B283,$AI272))=0,J271-SUMPRODUCT($A273:$A283,J273:J283),IF('Data-solution'!$A$3="Maximize",1,-1)*SUM(SUMIF($B273:$B283,$Y272,J273:J283),SUMIF($B273:$B283,$Z272,J273:J283),SUMIF($B273:$B283,$AA272,J273:J283),SUMIF($B273:$B283,$AB272,J273:J283),SUMIF($B273:$B283,$AC272,J273:J283),SUMIF($B273:$B283,$AD272,J273:J283),SUMIF($B273:$B283,$AE272,J273:J283),SUMIF($B273:$B283,$AF272,J273:J283),SUMIF($B273:$B283,$AG272,J273:J283),SUMIF($B273:$B283,$AH272,J273:J283),SUMIF($B273:$B283,$AI272,J273:J283)))</f>
        <v>0</v>
      </c>
      <c r="K284" s="1">
        <f>IF(SUM(COUNTIF($B273:$B283,$Y272),COUNTIF($B273:$B283,$Z272),COUNTIF($B273:$B283,$AA272),COUNTIF($B273:$B283,$AB272),COUNTIF($B273:$B283,$AC272),COUNTIF($B273:$B283,$AD272),COUNTIF($B273:$B283,$AE272),COUNTIF($B273:$B283,$AF272),COUNTIF($B273:$B283,$AG272),COUNTIF($B273:$B283,$AH272),COUNTIF($B273:$B283,$AI272))=0,K271-SUMPRODUCT($A273:$A283,K273:K283),IF('Data-solution'!$A$3="Maximize",1,-1)*SUM(SUMIF($B273:$B283,$Y272,K273:K283),SUMIF($B273:$B283,$Z272,K273:K283),SUMIF($B273:$B283,$AA272,K273:K283),SUMIF($B273:$B283,$AB272,K273:K283),SUMIF($B273:$B283,$AC272,K273:K283),SUMIF($B273:$B283,$AD272,K273:K283),SUMIF($B273:$B283,$AE272,K273:K283),SUMIF($B273:$B283,$AF272,K273:K283),SUMIF($B273:$B283,$AG272,K273:K283),SUMIF($B273:$B283,$AH272,K273:K283),SUMIF($B273:$B283,$AI272,K273:K283)))</f>
        <v>0</v>
      </c>
      <c r="L284" s="1">
        <f>IF(SUM(COUNTIF($B273:$B283,$Y272),COUNTIF($B273:$B283,$Z272),COUNTIF($B273:$B283,$AA272),COUNTIF($B273:$B283,$AB272),COUNTIF($B273:$B283,$AC272),COUNTIF($B273:$B283,$AD272),COUNTIF($B273:$B283,$AE272),COUNTIF($B273:$B283,$AF272),COUNTIF($B273:$B283,$AG272),COUNTIF($B273:$B283,$AH272),COUNTIF($B273:$B283,$AI272))=0,L271-SUMPRODUCT($A273:$A283,L273:L283),IF('Data-solution'!$A$3="Maximize",1,-1)*SUM(SUMIF($B273:$B283,$Y272,L273:L283),SUMIF($B273:$B283,$Z272,L273:L283),SUMIF($B273:$B283,$AA272,L273:L283),SUMIF($B273:$B283,$AB272,L273:L283),SUMIF($B273:$B283,$AC272,L273:L283),SUMIF($B273:$B283,$AD272,L273:L283),SUMIF($B273:$B283,$AE272,L273:L283),SUMIF($B273:$B283,$AF272,L273:L283),SUMIF($B273:$B283,$AG272,L273:L283),SUMIF($B273:$B283,$AH272,L273:L283),SUMIF($B273:$B283,$AI272,L273:L283)))</f>
        <v>0</v>
      </c>
      <c r="M284" s="1">
        <f>IF(SUM(COUNTIF($B273:$B283,$Y272),COUNTIF($B273:$B283,$Z272),COUNTIF($B273:$B283,$AA272),COUNTIF($B273:$B283,$AB272),COUNTIF($B273:$B283,$AC272),COUNTIF($B273:$B283,$AD272),COUNTIF($B273:$B283,$AE272),COUNTIF($B273:$B283,$AF272),COUNTIF($B273:$B283,$AG272),COUNTIF($B273:$B283,$AH272),COUNTIF($B273:$B283,$AI272))=0,M271-SUMPRODUCT($A273:$A283,M273:M283),IF('Data-solution'!$A$3="Maximize",1,-1)*SUM(SUMIF($B273:$B283,$Y272,M273:M283),SUMIF($B273:$B283,$Z272,M273:M283),SUMIF($B273:$B283,$AA272,M273:M283),SUMIF($B273:$B283,$AB272,M273:M283),SUMIF($B273:$B283,$AC272,M273:M283),SUMIF($B273:$B283,$AD272,M273:M283),SUMIF($B273:$B283,$AE272,M273:M283),SUMIF($B273:$B283,$AF272,M273:M283),SUMIF($B273:$B283,$AG272,M273:M283),SUMIF($B273:$B283,$AH272,M273:M283),SUMIF($B273:$B283,$AI272,M273:M283)))</f>
        <v>0</v>
      </c>
      <c r="N284" s="1">
        <f>IF(SUM(COUNTIF($B273:$B283,$Y272),COUNTIF($B273:$B283,$Z272),COUNTIF($B273:$B283,$AA272),COUNTIF($B273:$B283,$AB272),COUNTIF($B273:$B283,$AC272),COUNTIF($B273:$B283,$AD272),COUNTIF($B273:$B283,$AE272),COUNTIF($B273:$B283,$AF272),COUNTIF($B273:$B283,$AG272),COUNTIF($B273:$B283,$AH272),COUNTIF($B273:$B283,$AI272))=0,N271-SUMPRODUCT($A273:$A283,N273:N283),IF('Data-solution'!$A$3="Maximize",1,-1)*SUM(SUMIF($B273:$B283,$Y272,N273:N283),SUMIF($B273:$B283,$Z272,N273:N283),SUMIF($B273:$B283,$AA272,N273:N283),SUMIF($B273:$B283,$AB272,N273:N283),SUMIF($B273:$B283,$AC272,N273:N283),SUMIF($B273:$B283,$AD272,N273:N283),SUMIF($B273:$B283,$AE272,N273:N283),SUMIF($B273:$B283,$AF272,N273:N283),SUMIF($B273:$B283,$AG272,N273:N283),SUMIF($B273:$B283,$AH272,N273:N283),SUMIF($B273:$B283,$AI272,N273:N283)))</f>
        <v>0</v>
      </c>
      <c r="O284" s="1">
        <f>IF(SUM(COUNTIF($B273:$B283,$Y272),COUNTIF($B273:$B283,$Z272),COUNTIF($B273:$B283,$AA272),COUNTIF($B273:$B283,$AB272),COUNTIF($B273:$B283,$AC272),COUNTIF($B273:$B283,$AD272),COUNTIF($B273:$B283,$AE272),COUNTIF($B273:$B283,$AF272),COUNTIF($B273:$B283,$AG272),COUNTIF($B273:$B283,$AH272),COUNTIF($B273:$B283,$AI272))=0,O271-SUMPRODUCT($A273:$A283,O273:O283),IF('Data-solution'!$A$3="Maximize",1,-1)*SUM(SUMIF($B273:$B283,$Y272,O273:O283),SUMIF($B273:$B283,$Z272,O273:O283),SUMIF($B273:$B283,$AA272,O273:O283),SUMIF($B273:$B283,$AB272,O273:O283),SUMIF($B273:$B283,$AC272,O273:O283),SUMIF($B273:$B283,$AD272,O273:O283),SUMIF($B273:$B283,$AE272,O273:O283),SUMIF($B273:$B283,$AF272,O273:O283),SUMIF($B273:$B283,$AG272,O273:O283),SUMIF($B273:$B283,$AH272,O273:O283),SUMIF($B273:$B283,$AI272,O273:O283)))</f>
        <v>0</v>
      </c>
      <c r="P284" s="1">
        <f>IF(SUM(COUNTIF($B273:$B283,$Y272),COUNTIF($B273:$B283,$Z272),COUNTIF($B273:$B283,$AA272),COUNTIF($B273:$B283,$AB272),COUNTIF($B273:$B283,$AC272),COUNTIF($B273:$B283,$AD272),COUNTIF($B273:$B283,$AE272),COUNTIF($B273:$B283,$AF272),COUNTIF($B273:$B283,$AG272),COUNTIF($B273:$B283,$AH272),COUNTIF($B273:$B283,$AI272))=0,P271-SUMPRODUCT($A273:$A283,P273:P283),IF('Data-solution'!$A$3="Maximize",1,-1)*SUM(SUMIF($B273:$B283,$Y272,P273:P283),SUMIF($B273:$B283,$Z272,P273:P283),SUMIF($B273:$B283,$AA272,P273:P283),SUMIF($B273:$B283,$AB272,P273:P283),SUMIF($B273:$B283,$AC272,P273:P283),SUMIF($B273:$B283,$AD272,P273:P283),SUMIF($B273:$B283,$AE272,P273:P283),SUMIF($B273:$B283,$AF272,P273:P283),SUMIF($B273:$B283,$AG272,P273:P283),SUMIF($B273:$B283,$AH272,P273:P283),SUMIF($B273:$B283,$AI272,P273:P283)))</f>
        <v>-49.999999999999993</v>
      </c>
      <c r="Q284" s="1">
        <f>IF(SUM(COUNTIF($B273:$B283,$Y272),COUNTIF($B273:$B283,$Z272),COUNTIF($B273:$B283,$AA272),COUNTIF($B273:$B283,$AB272),COUNTIF($B273:$B283,$AC272),COUNTIF($B273:$B283,$AD272),COUNTIF($B273:$B283,$AE272),COUNTIF($B273:$B283,$AF272),COUNTIF($B273:$B283,$AG272),COUNTIF($B273:$B283,$AH272),COUNTIF($B273:$B283,$AI272))=0,Q271-SUMPRODUCT($A273:$A283,Q273:Q283),IF('Data-solution'!$A$3="Maximize",1,-1)*SUM(SUMIF($B273:$B283,$Y272,Q273:Q283),SUMIF($B273:$B283,$Z272,Q273:Q283),SUMIF($B273:$B283,$AA272,Q273:Q283),SUMIF($B273:$B283,$AB272,Q273:Q283),SUMIF($B273:$B283,$AC272,Q273:Q283),SUMIF($B273:$B283,$AD272,Q273:Q283),SUMIF($B273:$B283,$AE272,Q273:Q283),SUMIF($B273:$B283,$AF272,Q273:Q283),SUMIF($B273:$B283,$AG272,Q273:Q283),SUMIF($B273:$B283,$AH272,Q273:Q283),SUMIF($B273:$B283,$AI272,Q273:Q283)))</f>
        <v>-50</v>
      </c>
      <c r="R284" s="1">
        <f>IF(SUM(COUNTIF($B273:$B283,$Y272),COUNTIF($B273:$B283,$Z272),COUNTIF($B273:$B283,$AA272),COUNTIF($B273:$B283,$AB272),COUNTIF($B273:$B283,$AC272),COUNTIF($B273:$B283,$AD272),COUNTIF($B273:$B283,$AE272),COUNTIF($B273:$B283,$AF272),COUNTIF($B273:$B283,$AG272),COUNTIF($B273:$B283,$AH272),COUNTIF($B273:$B283,$AI272))=0,R271-SUMPRODUCT($A273:$A283,R273:R283),IF('Data-solution'!$A$3="Maximize",1,-1)*SUM(SUMIF($B273:$B283,$Y272,R273:R283),SUMIF($B273:$B283,$Z272,R273:R283),SUMIF($B273:$B283,$AA272,R273:R283),SUMIF($B273:$B283,$AB272,R273:R283),SUMIF($B273:$B283,$AC272,R273:R283),SUMIF($B273:$B283,$AD272,R273:R283),SUMIF($B273:$B283,$AE272,R273:R283),SUMIF($B273:$B283,$AF272,R273:R283),SUMIF($B273:$B283,$AG272,R273:R283),SUMIF($B273:$B283,$AH272,R273:R283),SUMIF($B273:$B283,$AI272,R273:R283)))</f>
        <v>0</v>
      </c>
      <c r="S284" s="1">
        <f>IF(SUM(COUNTIF($B273:$B283,$Y272),COUNTIF($B273:$B283,$Z272),COUNTIF($B273:$B283,$AA272),COUNTIF($B273:$B283,$AB272),COUNTIF($B273:$B283,$AC272),COUNTIF($B273:$B283,$AD272),COUNTIF($B273:$B283,$AE272),COUNTIF($B273:$B283,$AF272),COUNTIF($B273:$B283,$AG272),COUNTIF($B273:$B283,$AH272),COUNTIF($B273:$B283,$AI272))=0,S271-SUMPRODUCT($A273:$A283,S273:S283),IF('Data-solution'!$A$3="Maximize",1,-1)*SUM(SUMIF($B273:$B283,$Y272,S273:S283),SUMIF($B273:$B283,$Z272,S273:S283),SUMIF($B273:$B283,$AA272,S273:S283),SUMIF($B273:$B283,$AB272,S273:S283),SUMIF($B273:$B283,$AC272,S273:S283),SUMIF($B273:$B283,$AD272,S273:S283),SUMIF($B273:$B283,$AE272,S273:S283),SUMIF($B273:$B283,$AF272,S273:S283),SUMIF($B273:$B283,$AG272,S273:S283),SUMIF($B273:$B283,$AH272,S273:S283),SUMIF($B273:$B283,$AI272,S273:S283)))</f>
        <v>0</v>
      </c>
      <c r="T284" s="1">
        <f>IF(SUM(COUNTIF($B273:$B283,$Y272),COUNTIF($B273:$B283,$Z272),COUNTIF($B273:$B283,$AA272),COUNTIF($B273:$B283,$AB272),COUNTIF($B273:$B283,$AC272),COUNTIF($B273:$B283,$AD272),COUNTIF($B273:$B283,$AE272),COUNTIF($B273:$B283,$AF272),COUNTIF($B273:$B283,$AG272),COUNTIF($B273:$B283,$AH272),COUNTIF($B273:$B283,$AI272))=0,T271-SUMPRODUCT($A273:$A283,T273:T283),IF('Data-solution'!$A$3="Maximize",1,-1)*SUM(SUMIF($B273:$B283,$Y272,T273:T283),SUMIF($B273:$B283,$Z272,T273:T283),SUMIF($B273:$B283,$AA272,T273:T283),SUMIF($B273:$B283,$AB272,T273:T283),SUMIF($B273:$B283,$AC272,T273:T283),SUMIF($B273:$B283,$AD272,T273:T283),SUMIF($B273:$B283,$AE272,T273:T283),SUMIF($B273:$B283,$AF272,T273:T283),SUMIF($B273:$B283,$AG272,T273:T283),SUMIF($B273:$B283,$AH272,T273:T283),SUMIF($B273:$B283,$AI272,T273:T283)))</f>
        <v>0</v>
      </c>
      <c r="U284" s="1">
        <f>IF(SUM(COUNTIF($B273:$B283,$Y272),COUNTIF($B273:$B283,$Z272),COUNTIF($B273:$B283,$AA272),COUNTIF($B273:$B283,$AB272),COUNTIF($B273:$B283,$AC272),COUNTIF($B273:$B283,$AD272),COUNTIF($B273:$B283,$AE272),COUNTIF($B273:$B283,$AF272),COUNTIF($B273:$B283,$AG272),COUNTIF($B273:$B283,$AH272),COUNTIF($B273:$B283,$AI272))=0,U271-SUMPRODUCT($A273:$A283,U273:U283),IF('Data-solution'!$A$3="Maximize",1,-1)*SUM(SUMIF($B273:$B283,$Y272,U273:U283),SUMIF($B273:$B283,$Z272,U273:U283),SUMIF($B273:$B283,$AA272,U273:U283),SUMIF($B273:$B283,$AB272,U273:U283),SUMIF($B273:$B283,$AC272,U273:U283),SUMIF($B273:$B283,$AD272,U273:U283),SUMIF($B273:$B283,$AE272,U273:U283),SUMIF($B273:$B283,$AF272,U273:U283),SUMIF($B273:$B283,$AG272,U273:U283),SUMIF($B273:$B283,$AH272,U273:U283),SUMIF($B273:$B283,$AI272,U273:U283)))</f>
        <v>0</v>
      </c>
      <c r="V284" s="1">
        <f>IF(SUM(COUNTIF($B273:$B283,$Y272),COUNTIF($B273:$B283,$Z272),COUNTIF($B273:$B283,$AA272),COUNTIF($B273:$B283,$AB272),COUNTIF($B273:$B283,$AC272),COUNTIF($B273:$B283,$AD272),COUNTIF($B273:$B283,$AE272),COUNTIF($B273:$B283,$AF272),COUNTIF($B273:$B283,$AG272),COUNTIF($B273:$B283,$AH272),COUNTIF($B273:$B283,$AI272))=0,V271-SUMPRODUCT($A273:$A283,V273:V283),IF('Data-solution'!$A$3="Maximize",1,-1)*SUM(SUMIF($B273:$B283,$Y272,V273:V283),SUMIF($B273:$B283,$Z272,V273:V283),SUMIF($B273:$B283,$AA272,V273:V283),SUMIF($B273:$B283,$AB272,V273:V283),SUMIF($B273:$B283,$AC272,V273:V283),SUMIF($B273:$B283,$AD272,V273:V283),SUMIF($B273:$B283,$AE272,V273:V283),SUMIF($B273:$B283,$AF272,V273:V283),SUMIF($B273:$B283,$AG272,V273:V283),SUMIF($B273:$B283,$AH272,V273:V283),SUMIF($B273:$B283,$AI272,V273:V283)))</f>
        <v>0</v>
      </c>
      <c r="W284" s="1">
        <f>IF(SUM(COUNTIF($B273:$B283,$Y272),COUNTIF($B273:$B283,$Z272),COUNTIF($B273:$B283,$AA272),COUNTIF($B273:$B283,$AB272),COUNTIF($B273:$B283,$AC272),COUNTIF($B273:$B283,$AD272),COUNTIF($B273:$B283,$AE272),COUNTIF($B273:$B283,$AF272),COUNTIF($B273:$B283,$AG272),COUNTIF($B273:$B283,$AH272),COUNTIF($B273:$B283,$AI272))=0,W271-SUMPRODUCT($A273:$A283,W273:W283),IF('Data-solution'!$A$3="Maximize",1,-1)*SUM(SUMIF($B273:$B283,$Y272,W273:W283),SUMIF($B273:$B283,$Z272,W273:W283),SUMIF($B273:$B283,$AA272,W273:W283),SUMIF($B273:$B283,$AB272,W273:W283),SUMIF($B273:$B283,$AC272,W273:W283),SUMIF($B273:$B283,$AD272,W273:W283),SUMIF($B273:$B283,$AE272,W273:W283),SUMIF($B273:$B283,$AF272,W273:W283),SUMIF($B273:$B283,$AG272,W273:W283),SUMIF($B273:$B283,$AH272,W273:W283),SUMIF($B273:$B283,$AI272,W273:W283)))</f>
        <v>0</v>
      </c>
      <c r="X284" s="1">
        <f>IF(SUM(COUNTIF($B273:$B283,$Y272),COUNTIF($B273:$B283,$Z272),COUNTIF($B273:$B283,$AA272),COUNTIF($B273:$B283,$AB272),COUNTIF($B273:$B283,$AC272),COUNTIF($B273:$B283,$AD272),COUNTIF($B273:$B283,$AE272),COUNTIF($B273:$B283,$AF272),COUNTIF($B273:$B283,$AG272),COUNTIF($B273:$B283,$AH272),COUNTIF($B273:$B283,$AI272))=0,X271-SUMPRODUCT($A273:$A283,X273:X283),IF('Data-solution'!$A$3="Maximize",1,-1)*SUM(SUMIF($B273:$B283,$Y272,X273:X283),SUMIF($B273:$B283,$Z272,X273:X283),SUMIF($B273:$B283,$AA272,X273:X283),SUMIF($B273:$B283,$AB272,X273:X283),SUMIF($B273:$B283,$AC272,X273:X283),SUMIF($B273:$B283,$AD272,X273:X283),SUMIF($B273:$B283,$AE272,X273:X283),SUMIF($B273:$B283,$AF272,X273:X283),SUMIF($B273:$B283,$AG272,X273:X283),SUMIF($B273:$B283,$AH272,X273:X283),SUMIF($B273:$B283,$AI272,X273:X283)))</f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2">
        <f t="shared" ref="AJ284" si="255">IF(SUMPRODUCT(A273:A283,AJ273:AJ283)&gt;=0,SUMPRODUCT(A273:A283,AJ273:AJ283),0)</f>
        <v>120000</v>
      </c>
    </row>
    <row r="286" spans="1:37" ht="18" customHeight="1" x14ac:dyDescent="0.2">
      <c r="A286" s="1" t="s">
        <v>79</v>
      </c>
      <c r="B286" s="2" t="s">
        <v>4</v>
      </c>
      <c r="C286" s="1">
        <f t="shared" si="242"/>
        <v>150</v>
      </c>
      <c r="D286" s="1">
        <f t="shared" si="226"/>
        <v>200</v>
      </c>
      <c r="E286" s="1">
        <f t="shared" si="226"/>
        <v>350</v>
      </c>
      <c r="F286" s="1">
        <f t="shared" si="226"/>
        <v>0</v>
      </c>
      <c r="G286" s="1">
        <f t="shared" si="226"/>
        <v>0</v>
      </c>
      <c r="H286" s="1">
        <f t="shared" si="226"/>
        <v>0</v>
      </c>
      <c r="I286" s="1">
        <f t="shared" si="226"/>
        <v>0</v>
      </c>
      <c r="J286" s="1">
        <f t="shared" si="226"/>
        <v>0</v>
      </c>
      <c r="K286" s="1">
        <f t="shared" si="226"/>
        <v>0</v>
      </c>
      <c r="L286" s="1">
        <f t="shared" si="226"/>
        <v>0</v>
      </c>
      <c r="M286" s="1">
        <f t="shared" si="226"/>
        <v>0</v>
      </c>
      <c r="N286" s="1">
        <f t="shared" si="226"/>
        <v>0</v>
      </c>
      <c r="O286" s="1">
        <f t="shared" si="226"/>
        <v>0</v>
      </c>
      <c r="P286" s="1">
        <f t="shared" si="226"/>
        <v>0</v>
      </c>
      <c r="Q286" s="1">
        <f t="shared" si="226"/>
        <v>0</v>
      </c>
      <c r="R286" s="1">
        <f t="shared" si="226"/>
        <v>0</v>
      </c>
      <c r="S286" s="1">
        <f t="shared" si="226"/>
        <v>0</v>
      </c>
      <c r="T286" s="1">
        <f t="shared" si="226"/>
        <v>0</v>
      </c>
      <c r="U286" s="1">
        <f t="shared" si="226"/>
        <v>0</v>
      </c>
      <c r="V286" s="1">
        <f t="shared" si="226"/>
        <v>0</v>
      </c>
      <c r="W286" s="1">
        <f t="shared" si="226"/>
        <v>0</v>
      </c>
      <c r="X286" s="1">
        <f t="shared" si="226"/>
        <v>0</v>
      </c>
      <c r="Y286" s="1">
        <f t="shared" si="226"/>
        <v>-999999</v>
      </c>
      <c r="Z286" s="1">
        <f t="shared" si="226"/>
        <v>-999999</v>
      </c>
      <c r="AA286" s="1">
        <f t="shared" si="226"/>
        <v>-999999</v>
      </c>
      <c r="AB286" s="1">
        <f t="shared" si="226"/>
        <v>-999999</v>
      </c>
      <c r="AC286" s="1">
        <f t="shared" si="226"/>
        <v>-999999</v>
      </c>
      <c r="AD286" s="1">
        <f t="shared" si="226"/>
        <v>-999999</v>
      </c>
      <c r="AE286" s="1">
        <f t="shared" si="226"/>
        <v>-999999</v>
      </c>
      <c r="AF286" s="1">
        <f t="shared" si="226"/>
        <v>-999999</v>
      </c>
      <c r="AG286" s="1">
        <f t="shared" si="226"/>
        <v>-999999</v>
      </c>
      <c r="AH286" s="1">
        <f t="shared" si="226"/>
        <v>-999999</v>
      </c>
      <c r="AI286" s="1">
        <f t="shared" si="226"/>
        <v>-999999</v>
      </c>
    </row>
    <row r="287" spans="1:37" ht="18" customHeight="1" x14ac:dyDescent="0.2">
      <c r="A287" s="2" t="s">
        <v>3</v>
      </c>
      <c r="B287" s="2" t="s">
        <v>1</v>
      </c>
      <c r="C287" s="2" t="str">
        <f t="shared" si="243"/>
        <v>X1</v>
      </c>
      <c r="D287" s="2" t="str">
        <f t="shared" si="229"/>
        <v>X2</v>
      </c>
      <c r="E287" s="2" t="str">
        <f t="shared" si="229"/>
        <v>X3</v>
      </c>
      <c r="F287" s="2" t="str">
        <f t="shared" si="229"/>
        <v>X4</v>
      </c>
      <c r="G287" s="2" t="str">
        <f t="shared" si="229"/>
        <v>X5</v>
      </c>
      <c r="H287" s="2" t="str">
        <f t="shared" si="229"/>
        <v>X6</v>
      </c>
      <c r="I287" s="2" t="str">
        <f t="shared" si="229"/>
        <v>X7</v>
      </c>
      <c r="J287" s="2" t="str">
        <f t="shared" si="229"/>
        <v>X8</v>
      </c>
      <c r="K287" s="2" t="str">
        <f t="shared" si="229"/>
        <v>X9</v>
      </c>
      <c r="L287" s="2" t="str">
        <f t="shared" si="229"/>
        <v>X10</v>
      </c>
      <c r="M287" s="2" t="str">
        <f t="shared" si="229"/>
        <v>X11</v>
      </c>
      <c r="N287" s="2" t="str">
        <f t="shared" si="229"/>
        <v>S1</v>
      </c>
      <c r="O287" s="2" t="str">
        <f t="shared" si="229"/>
        <v>S2</v>
      </c>
      <c r="P287" s="2" t="str">
        <f t="shared" si="229"/>
        <v>S3</v>
      </c>
      <c r="Q287" s="2" t="str">
        <f t="shared" si="229"/>
        <v>S4</v>
      </c>
      <c r="R287" s="2" t="str">
        <f t="shared" si="229"/>
        <v>S5</v>
      </c>
      <c r="S287" s="2" t="str">
        <f t="shared" si="229"/>
        <v>S6</v>
      </c>
      <c r="T287" s="2" t="str">
        <f t="shared" si="229"/>
        <v>S7</v>
      </c>
      <c r="U287" s="2" t="str">
        <f t="shared" si="229"/>
        <v>S8</v>
      </c>
      <c r="V287" s="2" t="str">
        <f t="shared" si="229"/>
        <v>S9</v>
      </c>
      <c r="W287" s="2" t="str">
        <f t="shared" si="229"/>
        <v>S10</v>
      </c>
      <c r="X287" s="2" t="str">
        <f t="shared" si="229"/>
        <v>S11</v>
      </c>
      <c r="Y287" s="2" t="str">
        <f t="shared" si="229"/>
        <v xml:space="preserve"> </v>
      </c>
      <c r="Z287" s="2" t="str">
        <f t="shared" si="229"/>
        <v xml:space="preserve"> </v>
      </c>
      <c r="AA287" s="2" t="str">
        <f t="shared" si="229"/>
        <v xml:space="preserve"> </v>
      </c>
      <c r="AB287" s="2" t="str">
        <f t="shared" si="229"/>
        <v xml:space="preserve"> </v>
      </c>
      <c r="AC287" s="2" t="str">
        <f t="shared" si="229"/>
        <v xml:space="preserve"> </v>
      </c>
      <c r="AD287" s="2" t="str">
        <f t="shared" si="229"/>
        <v xml:space="preserve"> </v>
      </c>
      <c r="AE287" s="2" t="str">
        <f t="shared" si="229"/>
        <v xml:space="preserve"> </v>
      </c>
      <c r="AF287" s="2" t="str">
        <f t="shared" si="229"/>
        <v xml:space="preserve"> </v>
      </c>
      <c r="AG287" s="2" t="str">
        <f t="shared" si="229"/>
        <v xml:space="preserve"> </v>
      </c>
      <c r="AH287" s="2" t="str">
        <f t="shared" si="229"/>
        <v xml:space="preserve"> </v>
      </c>
      <c r="AI287" s="2" t="str">
        <f t="shared" si="229"/>
        <v xml:space="preserve"> </v>
      </c>
      <c r="AJ287" s="2" t="s">
        <v>9</v>
      </c>
      <c r="AK287" s="2" t="s">
        <v>10</v>
      </c>
    </row>
    <row r="288" spans="1:37" ht="18" customHeight="1" x14ac:dyDescent="0.2">
      <c r="A288" s="1">
        <f t="shared" ref="A288" si="256">INDEX(C286:AI286,1,MATCH(B288,C287:AI287,0))</f>
        <v>0</v>
      </c>
      <c r="B288" s="2" t="str">
        <f>IF(AND('Data-solution'!A$3="Maximize",COUNTIF(C284:X284,"&gt;"&amp;0)&gt;0,AK273=MIN(AK273:AK283)),INDEX(C272:X272,1,MATCH(MAX(C284:X284),C284:X284,0)),IF(AND('Data-solution'!A$3="Minimize",COUNTIF(C284:X284,"&lt;"&amp;0)&gt;0,AK273=MIN(AK273:AK283)),INDEX(C272:X272,1,MATCH(MIN(C284:X284),C284:X284,0)),B273))</f>
        <v>S1</v>
      </c>
      <c r="C288" s="1">
        <f>IF(OR($B288&lt;&gt;$B273,$B289&lt;&gt;$B274,$B290&lt;&gt;$B275,$B291&lt;&gt;$B276,$B292&lt;&gt;$B277,$B293&lt;&gt;$B278,$B294&lt;&gt;$B279,$B295&lt;&gt;$B280,$B296&lt;&gt;$B281,$B297&lt;&gt;$B282,$B298&lt;&gt;$B283),IF($B288&lt;&gt;$B273,C273/INDEX($C273:$AJ283,1,MATCH(IF('Data-solution'!$A$3="Maximize",MAX($C284:$AI284),MIN($C284:$AI284)),$C284:$AI284,0)),C273-INDEX($C273:$AJ283,1,MATCH(IF('Data-solution'!$A$3="Maximize",MAX($C284:$AI284),MIN($C284:$AI284)),$C284:$AI284,0))*INDEX(C273:$AJ283,MATCH(MIN($AK273:$AK283),$AK273:$AK283,0),1)/INDEX($C273:$AJ283,MATCH(MIN($AK273:$AK283),$AK273:$AK283,0),MATCH(IF('Data-solution'!$A$3="Maximize",MAX($C284:$AI284),MIN($C284:$AI284)),$C284:$AI284,0))),C273)</f>
        <v>0</v>
      </c>
      <c r="D288" s="1">
        <f>IF(OR($B288&lt;&gt;$B273,$B289&lt;&gt;$B274,$B290&lt;&gt;$B275,$B291&lt;&gt;$B276,$B292&lt;&gt;$B277,$B293&lt;&gt;$B278,$B294&lt;&gt;$B279,$B295&lt;&gt;$B280,$B296&lt;&gt;$B281,$B297&lt;&gt;$B282,$B298&lt;&gt;$B283),IF($B288&lt;&gt;$B273,D273/INDEX($C273:$AJ283,1,MATCH(IF('Data-solution'!$A$3="Maximize",MAX($C284:$AI284),MIN($C284:$AI284)),$C284:$AI284,0)),D273-INDEX($C273:$AJ283,1,MATCH(IF('Data-solution'!$A$3="Maximize",MAX($C284:$AI284),MIN($C284:$AI284)),$C284:$AI284,0))*INDEX(D273:$AJ283,MATCH(MIN($AK273:$AK283),$AK273:$AK283,0),1)/INDEX($C273:$AJ283,MATCH(MIN($AK273:$AK283),$AK273:$AK283,0),MATCH(IF('Data-solution'!$A$3="Maximize",MAX($C284:$AI284),MIN($C284:$AI284)),$C284:$AI284,0))),D273)</f>
        <v>1</v>
      </c>
      <c r="E288" s="1">
        <f>IF(OR($B288&lt;&gt;$B273,$B289&lt;&gt;$B274,$B290&lt;&gt;$B275,$B291&lt;&gt;$B276,$B292&lt;&gt;$B277,$B293&lt;&gt;$B278,$B294&lt;&gt;$B279,$B295&lt;&gt;$B280,$B296&lt;&gt;$B281,$B297&lt;&gt;$B282,$B298&lt;&gt;$B283),IF($B288&lt;&gt;$B273,E273/INDEX($C273:$AJ283,1,MATCH(IF('Data-solution'!$A$3="Maximize",MAX($C284:$AI284),MIN($C284:$AI284)),$C284:$AI284,0)),E273-INDEX($C273:$AJ283,1,MATCH(IF('Data-solution'!$A$3="Maximize",MAX($C284:$AI284),MIN($C284:$AI284)),$C284:$AI284,0))*INDEX(E273:$AJ283,MATCH(MIN($AK273:$AK283),$AK273:$AK283,0),1)/INDEX($C273:$AJ283,MATCH(MIN($AK273:$AK283),$AK273:$AK283,0),MATCH(IF('Data-solution'!$A$3="Maximize",MAX($C284:$AI284),MIN($C284:$AI284)),$C284:$AI284,0))),E273)</f>
        <v>0</v>
      </c>
      <c r="F288" s="1">
        <f>IF(OR($B288&lt;&gt;$B273,$B289&lt;&gt;$B274,$B290&lt;&gt;$B275,$B291&lt;&gt;$B276,$B292&lt;&gt;$B277,$B293&lt;&gt;$B278,$B294&lt;&gt;$B279,$B295&lt;&gt;$B280,$B296&lt;&gt;$B281,$B297&lt;&gt;$B282,$B298&lt;&gt;$B283),IF($B288&lt;&gt;$B273,F273/INDEX($C273:$AJ283,1,MATCH(IF('Data-solution'!$A$3="Maximize",MAX($C284:$AI284),MIN($C284:$AI284)),$C284:$AI284,0)),F273-INDEX($C273:$AJ283,1,MATCH(IF('Data-solution'!$A$3="Maximize",MAX($C284:$AI284),MIN($C284:$AI284)),$C284:$AI284,0))*INDEX(F273:$AJ283,MATCH(MIN($AK273:$AK283),$AK273:$AK283,0),1)/INDEX($C273:$AJ283,MATCH(MIN($AK273:$AK283),$AK273:$AK283,0),MATCH(IF('Data-solution'!$A$3="Maximize",MAX($C284:$AI284),MIN($C284:$AI284)),$C284:$AI284,0))),F273)</f>
        <v>0</v>
      </c>
      <c r="G288" s="1">
        <f>IF(OR($B288&lt;&gt;$B273,$B289&lt;&gt;$B274,$B290&lt;&gt;$B275,$B291&lt;&gt;$B276,$B292&lt;&gt;$B277,$B293&lt;&gt;$B278,$B294&lt;&gt;$B279,$B295&lt;&gt;$B280,$B296&lt;&gt;$B281,$B297&lt;&gt;$B282,$B298&lt;&gt;$B283),IF($B288&lt;&gt;$B273,G273/INDEX($C273:$AJ283,1,MATCH(IF('Data-solution'!$A$3="Maximize",MAX($C284:$AI284),MIN($C284:$AI284)),$C284:$AI284,0)),G273-INDEX($C273:$AJ283,1,MATCH(IF('Data-solution'!$A$3="Maximize",MAX($C284:$AI284),MIN($C284:$AI284)),$C284:$AI284,0))*INDEX(G273:$AJ283,MATCH(MIN($AK273:$AK283),$AK273:$AK283,0),1)/INDEX($C273:$AJ283,MATCH(MIN($AK273:$AK283),$AK273:$AK283,0),MATCH(IF('Data-solution'!$A$3="Maximize",MAX($C284:$AI284),MIN($C284:$AI284)),$C284:$AI284,0))),G273)</f>
        <v>0</v>
      </c>
      <c r="H288" s="1">
        <f>IF(OR($B288&lt;&gt;$B273,$B289&lt;&gt;$B274,$B290&lt;&gt;$B275,$B291&lt;&gt;$B276,$B292&lt;&gt;$B277,$B293&lt;&gt;$B278,$B294&lt;&gt;$B279,$B295&lt;&gt;$B280,$B296&lt;&gt;$B281,$B297&lt;&gt;$B282,$B298&lt;&gt;$B283),IF($B288&lt;&gt;$B273,H273/INDEX($C273:$AJ283,1,MATCH(IF('Data-solution'!$A$3="Maximize",MAX($C284:$AI284),MIN($C284:$AI284)),$C284:$AI284,0)),H273-INDEX($C273:$AJ283,1,MATCH(IF('Data-solution'!$A$3="Maximize",MAX($C284:$AI284),MIN($C284:$AI284)),$C284:$AI284,0))*INDEX(H273:$AJ283,MATCH(MIN($AK273:$AK283),$AK273:$AK283,0),1)/INDEX($C273:$AJ283,MATCH(MIN($AK273:$AK283),$AK273:$AK283,0),MATCH(IF('Data-solution'!$A$3="Maximize",MAX($C284:$AI284),MIN($C284:$AI284)),$C284:$AI284,0))),H273)</f>
        <v>0</v>
      </c>
      <c r="I288" s="1">
        <f>IF(OR($B288&lt;&gt;$B273,$B289&lt;&gt;$B274,$B290&lt;&gt;$B275,$B291&lt;&gt;$B276,$B292&lt;&gt;$B277,$B293&lt;&gt;$B278,$B294&lt;&gt;$B279,$B295&lt;&gt;$B280,$B296&lt;&gt;$B281,$B297&lt;&gt;$B282,$B298&lt;&gt;$B283),IF($B288&lt;&gt;$B273,I273/INDEX($C273:$AJ283,1,MATCH(IF('Data-solution'!$A$3="Maximize",MAX($C284:$AI284),MIN($C284:$AI284)),$C284:$AI284,0)),I273-INDEX($C273:$AJ283,1,MATCH(IF('Data-solution'!$A$3="Maximize",MAX($C284:$AI284),MIN($C284:$AI284)),$C284:$AI284,0))*INDEX(I273:$AJ283,MATCH(MIN($AK273:$AK283),$AK273:$AK283,0),1)/INDEX($C273:$AJ283,MATCH(MIN($AK273:$AK283),$AK273:$AK283,0),MATCH(IF('Data-solution'!$A$3="Maximize",MAX($C284:$AI284),MIN($C284:$AI284)),$C284:$AI284,0))),I273)</f>
        <v>0</v>
      </c>
      <c r="J288" s="1">
        <f>IF(OR($B288&lt;&gt;$B273,$B289&lt;&gt;$B274,$B290&lt;&gt;$B275,$B291&lt;&gt;$B276,$B292&lt;&gt;$B277,$B293&lt;&gt;$B278,$B294&lt;&gt;$B279,$B295&lt;&gt;$B280,$B296&lt;&gt;$B281,$B297&lt;&gt;$B282,$B298&lt;&gt;$B283),IF($B288&lt;&gt;$B273,J273/INDEX($C273:$AJ283,1,MATCH(IF('Data-solution'!$A$3="Maximize",MAX($C284:$AI284),MIN($C284:$AI284)),$C284:$AI284,0)),J273-INDEX($C273:$AJ283,1,MATCH(IF('Data-solution'!$A$3="Maximize",MAX($C284:$AI284),MIN($C284:$AI284)),$C284:$AI284,0))*INDEX(J273:$AJ283,MATCH(MIN($AK273:$AK283),$AK273:$AK283,0),1)/INDEX($C273:$AJ283,MATCH(MIN($AK273:$AK283),$AK273:$AK283,0),MATCH(IF('Data-solution'!$A$3="Maximize",MAX($C284:$AI284),MIN($C284:$AI284)),$C284:$AI284,0))),J273)</f>
        <v>0</v>
      </c>
      <c r="K288" s="1">
        <f>IF(OR($B288&lt;&gt;$B273,$B289&lt;&gt;$B274,$B290&lt;&gt;$B275,$B291&lt;&gt;$B276,$B292&lt;&gt;$B277,$B293&lt;&gt;$B278,$B294&lt;&gt;$B279,$B295&lt;&gt;$B280,$B296&lt;&gt;$B281,$B297&lt;&gt;$B282,$B298&lt;&gt;$B283),IF($B288&lt;&gt;$B273,K273/INDEX($C273:$AJ283,1,MATCH(IF('Data-solution'!$A$3="Maximize",MAX($C284:$AI284),MIN($C284:$AI284)),$C284:$AI284,0)),K273-INDEX($C273:$AJ283,1,MATCH(IF('Data-solution'!$A$3="Maximize",MAX($C284:$AI284),MIN($C284:$AI284)),$C284:$AI284,0))*INDEX(K273:$AJ283,MATCH(MIN($AK273:$AK283),$AK273:$AK283,0),1)/INDEX($C273:$AJ283,MATCH(MIN($AK273:$AK283),$AK273:$AK283,0),MATCH(IF('Data-solution'!$A$3="Maximize",MAX($C284:$AI284),MIN($C284:$AI284)),$C284:$AI284,0))),K273)</f>
        <v>0</v>
      </c>
      <c r="L288" s="1">
        <f>IF(OR($B288&lt;&gt;$B273,$B289&lt;&gt;$B274,$B290&lt;&gt;$B275,$B291&lt;&gt;$B276,$B292&lt;&gt;$B277,$B293&lt;&gt;$B278,$B294&lt;&gt;$B279,$B295&lt;&gt;$B280,$B296&lt;&gt;$B281,$B297&lt;&gt;$B282,$B298&lt;&gt;$B283),IF($B288&lt;&gt;$B273,L273/INDEX($C273:$AJ283,1,MATCH(IF('Data-solution'!$A$3="Maximize",MAX($C284:$AI284),MIN($C284:$AI284)),$C284:$AI284,0)),L273-INDEX($C273:$AJ283,1,MATCH(IF('Data-solution'!$A$3="Maximize",MAX($C284:$AI284),MIN($C284:$AI284)),$C284:$AI284,0))*INDEX(L273:$AJ283,MATCH(MIN($AK273:$AK283),$AK273:$AK283,0),1)/INDEX($C273:$AJ283,MATCH(MIN($AK273:$AK283),$AK273:$AK283,0),MATCH(IF('Data-solution'!$A$3="Maximize",MAX($C284:$AI284),MIN($C284:$AI284)),$C284:$AI284,0))),L273)</f>
        <v>0</v>
      </c>
      <c r="M288" s="1">
        <f>IF(OR($B288&lt;&gt;$B273,$B289&lt;&gt;$B274,$B290&lt;&gt;$B275,$B291&lt;&gt;$B276,$B292&lt;&gt;$B277,$B293&lt;&gt;$B278,$B294&lt;&gt;$B279,$B295&lt;&gt;$B280,$B296&lt;&gt;$B281,$B297&lt;&gt;$B282,$B298&lt;&gt;$B283),IF($B288&lt;&gt;$B273,M273/INDEX($C273:$AJ283,1,MATCH(IF('Data-solution'!$A$3="Maximize",MAX($C284:$AI284),MIN($C284:$AI284)),$C284:$AI284,0)),M273-INDEX($C273:$AJ283,1,MATCH(IF('Data-solution'!$A$3="Maximize",MAX($C284:$AI284),MIN($C284:$AI284)),$C284:$AI284,0))*INDEX(M273:$AJ283,MATCH(MIN($AK273:$AK283),$AK273:$AK283,0),1)/INDEX($C273:$AJ283,MATCH(MIN($AK273:$AK283),$AK273:$AK283,0),MATCH(IF('Data-solution'!$A$3="Maximize",MAX($C284:$AI284),MIN($C284:$AI284)),$C284:$AI284,0))),M273)</f>
        <v>0</v>
      </c>
      <c r="N288" s="1">
        <f>IF(OR($B288&lt;&gt;$B273,$B289&lt;&gt;$B274,$B290&lt;&gt;$B275,$B291&lt;&gt;$B276,$B292&lt;&gt;$B277,$B293&lt;&gt;$B278,$B294&lt;&gt;$B279,$B295&lt;&gt;$B280,$B296&lt;&gt;$B281,$B297&lt;&gt;$B282,$B298&lt;&gt;$B283),IF($B288&lt;&gt;$B273,N273/INDEX($C273:$AJ283,1,MATCH(IF('Data-solution'!$A$3="Maximize",MAX($C284:$AI284),MIN($C284:$AI284)),$C284:$AI284,0)),N273-INDEX($C273:$AJ283,1,MATCH(IF('Data-solution'!$A$3="Maximize",MAX($C284:$AI284),MIN($C284:$AI284)),$C284:$AI284,0))*INDEX(N273:$AJ283,MATCH(MIN($AK273:$AK283),$AK273:$AK283,0),1)/INDEX($C273:$AJ283,MATCH(MIN($AK273:$AK283),$AK273:$AK283,0),MATCH(IF('Data-solution'!$A$3="Maximize",MAX($C284:$AI284),MIN($C284:$AI284)),$C284:$AI284,0))),N273)</f>
        <v>1</v>
      </c>
      <c r="O288" s="1">
        <f>IF(OR($B288&lt;&gt;$B273,$B289&lt;&gt;$B274,$B290&lt;&gt;$B275,$B291&lt;&gt;$B276,$B292&lt;&gt;$B277,$B293&lt;&gt;$B278,$B294&lt;&gt;$B279,$B295&lt;&gt;$B280,$B296&lt;&gt;$B281,$B297&lt;&gt;$B282,$B298&lt;&gt;$B283),IF($B288&lt;&gt;$B273,O273/INDEX($C273:$AJ283,1,MATCH(IF('Data-solution'!$A$3="Maximize",MAX($C284:$AI284),MIN($C284:$AI284)),$C284:$AI284,0)),O273-INDEX($C273:$AJ283,1,MATCH(IF('Data-solution'!$A$3="Maximize",MAX($C284:$AI284),MIN($C284:$AI284)),$C284:$AI284,0))*INDEX(O273:$AJ283,MATCH(MIN($AK273:$AK283),$AK273:$AK283,0),1)/INDEX($C273:$AJ283,MATCH(MIN($AK273:$AK283),$AK273:$AK283,0),MATCH(IF('Data-solution'!$A$3="Maximize",MAX($C284:$AI284),MIN($C284:$AI284)),$C284:$AI284,0))),O273)</f>
        <v>0</v>
      </c>
      <c r="P288" s="1">
        <f>IF(OR($B288&lt;&gt;$B273,$B289&lt;&gt;$B274,$B290&lt;&gt;$B275,$B291&lt;&gt;$B276,$B292&lt;&gt;$B277,$B293&lt;&gt;$B278,$B294&lt;&gt;$B279,$B295&lt;&gt;$B280,$B296&lt;&gt;$B281,$B297&lt;&gt;$B282,$B298&lt;&gt;$B283),IF($B288&lt;&gt;$B273,P273/INDEX($C273:$AJ283,1,MATCH(IF('Data-solution'!$A$3="Maximize",MAX($C284:$AI284),MIN($C284:$AI284)),$C284:$AI284,0)),P273-INDEX($C273:$AJ283,1,MATCH(IF('Data-solution'!$A$3="Maximize",MAX($C284:$AI284),MIN($C284:$AI284)),$C284:$AI284,0))*INDEX(P273:$AJ283,MATCH(MIN($AK273:$AK283),$AK273:$AK283,0),1)/INDEX($C273:$AJ283,MATCH(MIN($AK273:$AK283),$AK273:$AK283,0),MATCH(IF('Data-solution'!$A$3="Maximize",MAX($C284:$AI284),MIN($C284:$AI284)),$C284:$AI284,0))),P273)</f>
        <v>0</v>
      </c>
      <c r="Q288" s="1">
        <f>IF(OR($B288&lt;&gt;$B273,$B289&lt;&gt;$B274,$B290&lt;&gt;$B275,$B291&lt;&gt;$B276,$B292&lt;&gt;$B277,$B293&lt;&gt;$B278,$B294&lt;&gt;$B279,$B295&lt;&gt;$B280,$B296&lt;&gt;$B281,$B297&lt;&gt;$B282,$B298&lt;&gt;$B283),IF($B288&lt;&gt;$B273,Q273/INDEX($C273:$AJ283,1,MATCH(IF('Data-solution'!$A$3="Maximize",MAX($C284:$AI284),MIN($C284:$AI284)),$C284:$AI284,0)),Q273-INDEX($C273:$AJ283,1,MATCH(IF('Data-solution'!$A$3="Maximize",MAX($C284:$AI284),MIN($C284:$AI284)),$C284:$AI284,0))*INDEX(Q273:$AJ283,MATCH(MIN($AK273:$AK283),$AK273:$AK283,0),1)/INDEX($C273:$AJ283,MATCH(MIN($AK273:$AK283),$AK273:$AK283,0),MATCH(IF('Data-solution'!$A$3="Maximize",MAX($C284:$AI284),MIN($C284:$AI284)),$C284:$AI284,0))),Q273)</f>
        <v>-1</v>
      </c>
      <c r="R288" s="1">
        <f>IF(OR($B288&lt;&gt;$B273,$B289&lt;&gt;$B274,$B290&lt;&gt;$B275,$B291&lt;&gt;$B276,$B292&lt;&gt;$B277,$B293&lt;&gt;$B278,$B294&lt;&gt;$B279,$B295&lt;&gt;$B280,$B296&lt;&gt;$B281,$B297&lt;&gt;$B282,$B298&lt;&gt;$B283),IF($B288&lt;&gt;$B273,R273/INDEX($C273:$AJ283,1,MATCH(IF('Data-solution'!$A$3="Maximize",MAX($C284:$AI284),MIN($C284:$AI284)),$C284:$AI284,0)),R273-INDEX($C273:$AJ283,1,MATCH(IF('Data-solution'!$A$3="Maximize",MAX($C284:$AI284),MIN($C284:$AI284)),$C284:$AI284,0))*INDEX(R273:$AJ283,MATCH(MIN($AK273:$AK283),$AK273:$AK283,0),1)/INDEX($C273:$AJ283,MATCH(MIN($AK273:$AK283),$AK273:$AK283,0),MATCH(IF('Data-solution'!$A$3="Maximize",MAX($C284:$AI284),MIN($C284:$AI284)),$C284:$AI284,0))),R273)</f>
        <v>0</v>
      </c>
      <c r="S288" s="1">
        <f>IF(OR($B288&lt;&gt;$B273,$B289&lt;&gt;$B274,$B290&lt;&gt;$B275,$B291&lt;&gt;$B276,$B292&lt;&gt;$B277,$B293&lt;&gt;$B278,$B294&lt;&gt;$B279,$B295&lt;&gt;$B280,$B296&lt;&gt;$B281,$B297&lt;&gt;$B282,$B298&lt;&gt;$B283),IF($B288&lt;&gt;$B273,S273/INDEX($C273:$AJ283,1,MATCH(IF('Data-solution'!$A$3="Maximize",MAX($C284:$AI284),MIN($C284:$AI284)),$C284:$AI284,0)),S273-INDEX($C273:$AJ283,1,MATCH(IF('Data-solution'!$A$3="Maximize",MAX($C284:$AI284),MIN($C284:$AI284)),$C284:$AI284,0))*INDEX(S273:$AJ283,MATCH(MIN($AK273:$AK283),$AK273:$AK283,0),1)/INDEX($C273:$AJ283,MATCH(MIN($AK273:$AK283),$AK273:$AK283,0),MATCH(IF('Data-solution'!$A$3="Maximize",MAX($C284:$AI284),MIN($C284:$AI284)),$C284:$AI284,0))),S273)</f>
        <v>0</v>
      </c>
      <c r="T288" s="1">
        <f>IF(OR($B288&lt;&gt;$B273,$B289&lt;&gt;$B274,$B290&lt;&gt;$B275,$B291&lt;&gt;$B276,$B292&lt;&gt;$B277,$B293&lt;&gt;$B278,$B294&lt;&gt;$B279,$B295&lt;&gt;$B280,$B296&lt;&gt;$B281,$B297&lt;&gt;$B282,$B298&lt;&gt;$B283),IF($B288&lt;&gt;$B273,T273/INDEX($C273:$AJ283,1,MATCH(IF('Data-solution'!$A$3="Maximize",MAX($C284:$AI284),MIN($C284:$AI284)),$C284:$AI284,0)),T273-INDEX($C273:$AJ283,1,MATCH(IF('Data-solution'!$A$3="Maximize",MAX($C284:$AI284),MIN($C284:$AI284)),$C284:$AI284,0))*INDEX(T273:$AJ283,MATCH(MIN($AK273:$AK283),$AK273:$AK283,0),1)/INDEX($C273:$AJ283,MATCH(MIN($AK273:$AK283),$AK273:$AK283,0),MATCH(IF('Data-solution'!$A$3="Maximize",MAX($C284:$AI284),MIN($C284:$AI284)),$C284:$AI284,0))),T273)</f>
        <v>0</v>
      </c>
      <c r="U288" s="1">
        <f>IF(OR($B288&lt;&gt;$B273,$B289&lt;&gt;$B274,$B290&lt;&gt;$B275,$B291&lt;&gt;$B276,$B292&lt;&gt;$B277,$B293&lt;&gt;$B278,$B294&lt;&gt;$B279,$B295&lt;&gt;$B280,$B296&lt;&gt;$B281,$B297&lt;&gt;$B282,$B298&lt;&gt;$B283),IF($B288&lt;&gt;$B273,U273/INDEX($C273:$AJ283,1,MATCH(IF('Data-solution'!$A$3="Maximize",MAX($C284:$AI284),MIN($C284:$AI284)),$C284:$AI284,0)),U273-INDEX($C273:$AJ283,1,MATCH(IF('Data-solution'!$A$3="Maximize",MAX($C284:$AI284),MIN($C284:$AI284)),$C284:$AI284,0))*INDEX(U273:$AJ283,MATCH(MIN($AK273:$AK283),$AK273:$AK283,0),1)/INDEX($C273:$AJ283,MATCH(MIN($AK273:$AK283),$AK273:$AK283,0),MATCH(IF('Data-solution'!$A$3="Maximize",MAX($C284:$AI284),MIN($C284:$AI284)),$C284:$AI284,0))),U273)</f>
        <v>0</v>
      </c>
      <c r="V288" s="1">
        <f>IF(OR($B288&lt;&gt;$B273,$B289&lt;&gt;$B274,$B290&lt;&gt;$B275,$B291&lt;&gt;$B276,$B292&lt;&gt;$B277,$B293&lt;&gt;$B278,$B294&lt;&gt;$B279,$B295&lt;&gt;$B280,$B296&lt;&gt;$B281,$B297&lt;&gt;$B282,$B298&lt;&gt;$B283),IF($B288&lt;&gt;$B273,V273/INDEX($C273:$AJ283,1,MATCH(IF('Data-solution'!$A$3="Maximize",MAX($C284:$AI284),MIN($C284:$AI284)),$C284:$AI284,0)),V273-INDEX($C273:$AJ283,1,MATCH(IF('Data-solution'!$A$3="Maximize",MAX($C284:$AI284),MIN($C284:$AI284)),$C284:$AI284,0))*INDEX(V273:$AJ283,MATCH(MIN($AK273:$AK283),$AK273:$AK283,0),1)/INDEX($C273:$AJ283,MATCH(MIN($AK273:$AK283),$AK273:$AK283,0),MATCH(IF('Data-solution'!$A$3="Maximize",MAX($C284:$AI284),MIN($C284:$AI284)),$C284:$AI284,0))),V273)</f>
        <v>0</v>
      </c>
      <c r="W288" s="1">
        <f>IF(OR($B288&lt;&gt;$B273,$B289&lt;&gt;$B274,$B290&lt;&gt;$B275,$B291&lt;&gt;$B276,$B292&lt;&gt;$B277,$B293&lt;&gt;$B278,$B294&lt;&gt;$B279,$B295&lt;&gt;$B280,$B296&lt;&gt;$B281,$B297&lt;&gt;$B282,$B298&lt;&gt;$B283),IF($B288&lt;&gt;$B273,W273/INDEX($C273:$AJ283,1,MATCH(IF('Data-solution'!$A$3="Maximize",MAX($C284:$AI284),MIN($C284:$AI284)),$C284:$AI284,0)),W273-INDEX($C273:$AJ283,1,MATCH(IF('Data-solution'!$A$3="Maximize",MAX($C284:$AI284),MIN($C284:$AI284)),$C284:$AI284,0))*INDEX(W273:$AJ283,MATCH(MIN($AK273:$AK283),$AK273:$AK283,0),1)/INDEX($C273:$AJ283,MATCH(MIN($AK273:$AK283),$AK273:$AK283,0),MATCH(IF('Data-solution'!$A$3="Maximize",MAX($C284:$AI284),MIN($C284:$AI284)),$C284:$AI284,0))),W273)</f>
        <v>0</v>
      </c>
      <c r="X288" s="1">
        <f>IF(OR($B288&lt;&gt;$B273,$B289&lt;&gt;$B274,$B290&lt;&gt;$B275,$B291&lt;&gt;$B276,$B292&lt;&gt;$B277,$B293&lt;&gt;$B278,$B294&lt;&gt;$B279,$B295&lt;&gt;$B280,$B296&lt;&gt;$B281,$B297&lt;&gt;$B282,$B298&lt;&gt;$B283),IF($B288&lt;&gt;$B273,X273/INDEX($C273:$AJ283,1,MATCH(IF('Data-solution'!$A$3="Maximize",MAX($C284:$AI284),MIN($C284:$AI284)),$C284:$AI284,0)),X273-INDEX($C273:$AJ283,1,MATCH(IF('Data-solution'!$A$3="Maximize",MAX($C284:$AI284),MIN($C284:$AI284)),$C284:$AI284,0))*INDEX(X273:$AJ283,MATCH(MIN($AK273:$AK283),$AK273:$AK283,0),1)/INDEX($C273:$AJ283,MATCH(MIN($AK273:$AK283),$AK273:$AK283,0),MATCH(IF('Data-solution'!$A$3="Maximize",MAX($C284:$AI284),MIN($C284:$AI284)),$C284:$AI284,0))),X273)</f>
        <v>0</v>
      </c>
      <c r="Y288" s="1">
        <f>IF(OR($B288&lt;&gt;$B273,$B289&lt;&gt;$B274,$B290&lt;&gt;$B275,$B291&lt;&gt;$B276,$B292&lt;&gt;$B277,$B293&lt;&gt;$B278,$B294&lt;&gt;$B279,$B295&lt;&gt;$B280,$B296&lt;&gt;$B281,$B297&lt;&gt;$B282,$B298&lt;&gt;$B283),IF($B288&lt;&gt;$B273,Y273/INDEX($C273:$AJ283,1,MATCH(IF('Data-solution'!$A$3="Maximize",MAX($C284:$AI284),MIN($C284:$AI284)),$C284:$AI284,0)),Y273-INDEX($C273:$AJ283,1,MATCH(IF('Data-solution'!$A$3="Maximize",MAX($C284:$AI284),MIN($C284:$AI284)),$C284:$AI284,0))*INDEX(Y273:$AJ283,MATCH(MIN($AK273:$AK283),$AK273:$AK283,0),1)/INDEX($C273:$AJ283,MATCH(MIN($AK273:$AK283),$AK273:$AK283,0),MATCH(IF('Data-solution'!$A$3="Maximize",MAX($C284:$AI284),MIN($C284:$AI284)),$C284:$AI284,0))),Y273)</f>
        <v>1</v>
      </c>
      <c r="Z288" s="1">
        <f>IF(OR($B288&lt;&gt;$B273,$B289&lt;&gt;$B274,$B290&lt;&gt;$B275,$B291&lt;&gt;$B276,$B292&lt;&gt;$B277,$B293&lt;&gt;$B278,$B294&lt;&gt;$B279,$B295&lt;&gt;$B280,$B296&lt;&gt;$B281,$B297&lt;&gt;$B282,$B298&lt;&gt;$B283),IF($B288&lt;&gt;$B273,Z273/INDEX($C273:$AJ283,1,MATCH(IF('Data-solution'!$A$3="Maximize",MAX($C284:$AI284),MIN($C284:$AI284)),$C284:$AI284,0)),Z273-INDEX($C273:$AJ283,1,MATCH(IF('Data-solution'!$A$3="Maximize",MAX($C284:$AI284),MIN($C284:$AI284)),$C284:$AI284,0))*INDEX(Z273:$AJ283,MATCH(MIN($AK273:$AK283),$AK273:$AK283,0),1)/INDEX($C273:$AJ283,MATCH(MIN($AK273:$AK283),$AK273:$AK283,0),MATCH(IF('Data-solution'!$A$3="Maximize",MAX($C284:$AI284),MIN($C284:$AI284)),$C284:$AI284,0))),Z273)</f>
        <v>0</v>
      </c>
      <c r="AA288" s="1">
        <f>IF(OR($B288&lt;&gt;$B273,$B289&lt;&gt;$B274,$B290&lt;&gt;$B275,$B291&lt;&gt;$B276,$B292&lt;&gt;$B277,$B293&lt;&gt;$B278,$B294&lt;&gt;$B279,$B295&lt;&gt;$B280,$B296&lt;&gt;$B281,$B297&lt;&gt;$B282,$B298&lt;&gt;$B283),IF($B288&lt;&gt;$B273,AA273/INDEX($C273:$AJ283,1,MATCH(IF('Data-solution'!$A$3="Maximize",MAX($C284:$AI284),MIN($C284:$AI284)),$C284:$AI284,0)),AA273-INDEX($C273:$AJ283,1,MATCH(IF('Data-solution'!$A$3="Maximize",MAX($C284:$AI284),MIN($C284:$AI284)),$C284:$AI284,0))*INDEX(AA273:$AJ283,MATCH(MIN($AK273:$AK283),$AK273:$AK283,0),1)/INDEX($C273:$AJ283,MATCH(MIN($AK273:$AK283),$AK273:$AK283,0),MATCH(IF('Data-solution'!$A$3="Maximize",MAX($C284:$AI284),MIN($C284:$AI284)),$C284:$AI284,0))),AA273)</f>
        <v>0</v>
      </c>
      <c r="AB288" s="1">
        <f>IF(OR($B288&lt;&gt;$B273,$B289&lt;&gt;$B274,$B290&lt;&gt;$B275,$B291&lt;&gt;$B276,$B292&lt;&gt;$B277,$B293&lt;&gt;$B278,$B294&lt;&gt;$B279,$B295&lt;&gt;$B280,$B296&lt;&gt;$B281,$B297&lt;&gt;$B282,$B298&lt;&gt;$B283),IF($B288&lt;&gt;$B273,AB273/INDEX($C273:$AJ283,1,MATCH(IF('Data-solution'!$A$3="Maximize",MAX($C284:$AI284),MIN($C284:$AI284)),$C284:$AI284,0)),AB273-INDEX($C273:$AJ283,1,MATCH(IF('Data-solution'!$A$3="Maximize",MAX($C284:$AI284),MIN($C284:$AI284)),$C284:$AI284,0))*INDEX(AB273:$AJ283,MATCH(MIN($AK273:$AK283),$AK273:$AK283,0),1)/INDEX($C273:$AJ283,MATCH(MIN($AK273:$AK283),$AK273:$AK283,0),MATCH(IF('Data-solution'!$A$3="Maximize",MAX($C284:$AI284),MIN($C284:$AI284)),$C284:$AI284,0))),AB273)</f>
        <v>-1</v>
      </c>
      <c r="AC288" s="1">
        <f>IF(OR($B288&lt;&gt;$B273,$B289&lt;&gt;$B274,$B290&lt;&gt;$B275,$B291&lt;&gt;$B276,$B292&lt;&gt;$B277,$B293&lt;&gt;$B278,$B294&lt;&gt;$B279,$B295&lt;&gt;$B280,$B296&lt;&gt;$B281,$B297&lt;&gt;$B282,$B298&lt;&gt;$B283),IF($B288&lt;&gt;$B273,AC273/INDEX($C273:$AJ283,1,MATCH(IF('Data-solution'!$A$3="Maximize",MAX($C284:$AI284),MIN($C284:$AI284)),$C284:$AI284,0)),AC273-INDEX($C273:$AJ283,1,MATCH(IF('Data-solution'!$A$3="Maximize",MAX($C284:$AI284),MIN($C284:$AI284)),$C284:$AI284,0))*INDEX(AC273:$AJ283,MATCH(MIN($AK273:$AK283),$AK273:$AK283,0),1)/INDEX($C273:$AJ283,MATCH(MIN($AK273:$AK283),$AK273:$AK283,0),MATCH(IF('Data-solution'!$A$3="Maximize",MAX($C284:$AI284),MIN($C284:$AI284)),$C284:$AI284,0))),AC273)</f>
        <v>0</v>
      </c>
      <c r="AD288" s="1">
        <f>IF(OR($B288&lt;&gt;$B273,$B289&lt;&gt;$B274,$B290&lt;&gt;$B275,$B291&lt;&gt;$B276,$B292&lt;&gt;$B277,$B293&lt;&gt;$B278,$B294&lt;&gt;$B279,$B295&lt;&gt;$B280,$B296&lt;&gt;$B281,$B297&lt;&gt;$B282,$B298&lt;&gt;$B283),IF($B288&lt;&gt;$B273,AD273/INDEX($C273:$AJ283,1,MATCH(IF('Data-solution'!$A$3="Maximize",MAX($C284:$AI284),MIN($C284:$AI284)),$C284:$AI284,0)),AD273-INDEX($C273:$AJ283,1,MATCH(IF('Data-solution'!$A$3="Maximize",MAX($C284:$AI284),MIN($C284:$AI284)),$C284:$AI284,0))*INDEX(AD273:$AJ283,MATCH(MIN($AK273:$AK283),$AK273:$AK283,0),1)/INDEX($C273:$AJ283,MATCH(MIN($AK273:$AK283),$AK273:$AK283,0),MATCH(IF('Data-solution'!$A$3="Maximize",MAX($C284:$AI284),MIN($C284:$AI284)),$C284:$AI284,0))),AD273)</f>
        <v>0</v>
      </c>
      <c r="AE288" s="1">
        <f>IF(OR($B288&lt;&gt;$B273,$B289&lt;&gt;$B274,$B290&lt;&gt;$B275,$B291&lt;&gt;$B276,$B292&lt;&gt;$B277,$B293&lt;&gt;$B278,$B294&lt;&gt;$B279,$B295&lt;&gt;$B280,$B296&lt;&gt;$B281,$B297&lt;&gt;$B282,$B298&lt;&gt;$B283),IF($B288&lt;&gt;$B273,AE273/INDEX($C273:$AJ283,1,MATCH(IF('Data-solution'!$A$3="Maximize",MAX($C284:$AI284),MIN($C284:$AI284)),$C284:$AI284,0)),AE273-INDEX($C273:$AJ283,1,MATCH(IF('Data-solution'!$A$3="Maximize",MAX($C284:$AI284),MIN($C284:$AI284)),$C284:$AI284,0))*INDEX(AE273:$AJ283,MATCH(MIN($AK273:$AK283),$AK273:$AK283,0),1)/INDEX($C273:$AJ283,MATCH(MIN($AK273:$AK283),$AK273:$AK283,0),MATCH(IF('Data-solution'!$A$3="Maximize",MAX($C284:$AI284),MIN($C284:$AI284)),$C284:$AI284,0))),AE273)</f>
        <v>0</v>
      </c>
      <c r="AF288" s="1">
        <f>IF(OR($B288&lt;&gt;$B273,$B289&lt;&gt;$B274,$B290&lt;&gt;$B275,$B291&lt;&gt;$B276,$B292&lt;&gt;$B277,$B293&lt;&gt;$B278,$B294&lt;&gt;$B279,$B295&lt;&gt;$B280,$B296&lt;&gt;$B281,$B297&lt;&gt;$B282,$B298&lt;&gt;$B283),IF($B288&lt;&gt;$B273,AF273/INDEX($C273:$AJ283,1,MATCH(IF('Data-solution'!$A$3="Maximize",MAX($C284:$AI284),MIN($C284:$AI284)),$C284:$AI284,0)),AF273-INDEX($C273:$AJ283,1,MATCH(IF('Data-solution'!$A$3="Maximize",MAX($C284:$AI284),MIN($C284:$AI284)),$C284:$AI284,0))*INDEX(AF273:$AJ283,MATCH(MIN($AK273:$AK283),$AK273:$AK283,0),1)/INDEX($C273:$AJ283,MATCH(MIN($AK273:$AK283),$AK273:$AK283,0),MATCH(IF('Data-solution'!$A$3="Maximize",MAX($C284:$AI284),MIN($C284:$AI284)),$C284:$AI284,0))),AF273)</f>
        <v>0</v>
      </c>
      <c r="AG288" s="1">
        <f>IF(OR($B288&lt;&gt;$B273,$B289&lt;&gt;$B274,$B290&lt;&gt;$B275,$B291&lt;&gt;$B276,$B292&lt;&gt;$B277,$B293&lt;&gt;$B278,$B294&lt;&gt;$B279,$B295&lt;&gt;$B280,$B296&lt;&gt;$B281,$B297&lt;&gt;$B282,$B298&lt;&gt;$B283),IF($B288&lt;&gt;$B273,AG273/INDEX($C273:$AJ283,1,MATCH(IF('Data-solution'!$A$3="Maximize",MAX($C284:$AI284),MIN($C284:$AI284)),$C284:$AI284,0)),AG273-INDEX($C273:$AJ283,1,MATCH(IF('Data-solution'!$A$3="Maximize",MAX($C284:$AI284),MIN($C284:$AI284)),$C284:$AI284,0))*INDEX(AG273:$AJ283,MATCH(MIN($AK273:$AK283),$AK273:$AK283,0),1)/INDEX($C273:$AJ283,MATCH(MIN($AK273:$AK283),$AK273:$AK283,0),MATCH(IF('Data-solution'!$A$3="Maximize",MAX($C284:$AI284),MIN($C284:$AI284)),$C284:$AI284,0))),AG273)</f>
        <v>0</v>
      </c>
      <c r="AH288" s="1">
        <f>IF(OR($B288&lt;&gt;$B273,$B289&lt;&gt;$B274,$B290&lt;&gt;$B275,$B291&lt;&gt;$B276,$B292&lt;&gt;$B277,$B293&lt;&gt;$B278,$B294&lt;&gt;$B279,$B295&lt;&gt;$B280,$B296&lt;&gt;$B281,$B297&lt;&gt;$B282,$B298&lt;&gt;$B283),IF($B288&lt;&gt;$B273,AH273/INDEX($C273:$AJ283,1,MATCH(IF('Data-solution'!$A$3="Maximize",MAX($C284:$AI284),MIN($C284:$AI284)),$C284:$AI284,0)),AH273-INDEX($C273:$AJ283,1,MATCH(IF('Data-solution'!$A$3="Maximize",MAX($C284:$AI284),MIN($C284:$AI284)),$C284:$AI284,0))*INDEX(AH273:$AJ283,MATCH(MIN($AK273:$AK283),$AK273:$AK283,0),1)/INDEX($C273:$AJ283,MATCH(MIN($AK273:$AK283),$AK273:$AK283,0),MATCH(IF('Data-solution'!$A$3="Maximize",MAX($C284:$AI284),MIN($C284:$AI284)),$C284:$AI284,0))),AH273)</f>
        <v>0</v>
      </c>
      <c r="AI288" s="1">
        <f>IF(OR($B288&lt;&gt;$B273,$B289&lt;&gt;$B274,$B290&lt;&gt;$B275,$B291&lt;&gt;$B276,$B292&lt;&gt;$B277,$B293&lt;&gt;$B278,$B294&lt;&gt;$B279,$B295&lt;&gt;$B280,$B296&lt;&gt;$B281,$B297&lt;&gt;$B282,$B298&lt;&gt;$B283),IF($B288&lt;&gt;$B273,AI273/INDEX($C273:$AJ283,1,MATCH(IF('Data-solution'!$A$3="Maximize",MAX($C284:$AI284),MIN($C284:$AI284)),$C284:$AI284,0)),AI273-INDEX($C273:$AJ283,1,MATCH(IF('Data-solution'!$A$3="Maximize",MAX($C284:$AI284),MIN($C284:$AI284)),$C284:$AI284,0))*INDEX(AI273:$AJ283,MATCH(MIN($AK273:$AK283),$AK273:$AK283,0),1)/INDEX($C273:$AJ283,MATCH(MIN($AK273:$AK283),$AK273:$AK283,0),MATCH(IF('Data-solution'!$A$3="Maximize",MAX($C284:$AI284),MIN($C284:$AI284)),$C284:$AI284,0))),AI273)</f>
        <v>0</v>
      </c>
      <c r="AJ288" s="1">
        <f>IF(OR($B288&lt;&gt;$B273,$B289&lt;&gt;$B274,$B290&lt;&gt;$B275,$B291&lt;&gt;$B276,$B292&lt;&gt;$B277,$B293&lt;&gt;$B278,$B294&lt;&gt;$B279,$B295&lt;&gt;$B280,$B296&lt;&gt;$B281,$B297&lt;&gt;$B282,$B298&lt;&gt;$B283),IF($B288&lt;&gt;$B273,AJ273/INDEX($C273:$AJ283,1,MATCH(IF('Data-solution'!$A$3="Maximize",MAX($C284:$AI284),MIN($C284:$AI284)),$C284:$AI284,0)),AJ273-INDEX($C273:$AJ283,1,MATCH(IF('Data-solution'!$A$3="Maximize",MAX($C284:$AI284),MIN($C284:$AI284)),$C284:$AI284,0))*INDEX(AJ273:$AJ283,MATCH(MIN($AK273:$AK283),$AK273:$AK283,0),1)/INDEX($C273:$AJ283,MATCH(MIN($AK273:$AK283),$AK273:$AK283,0),MATCH(IF('Data-solution'!$A$3="Maximize",MAX($C284:$AI284),MIN($C284:$AI284)),$C284:$AI284,0))),AJ273)</f>
        <v>150</v>
      </c>
      <c r="AK288" s="1" t="str">
        <f>IF(INDEX(C288:X288,1,MATCH(IF('Data-solution'!A$3="Maximize",MAX(C299:X299),MIN(C299:X299)),C299:X299,0))&gt;0,AJ288/INDEX(C288:X288,1,MATCH(IF('Data-solution'!A$3="Maximize",MAX(C299:X299),MIN(C299:X299)),C299:X299,0))," ")</f>
        <v xml:space="preserve"> </v>
      </c>
    </row>
    <row r="289" spans="1:37" ht="18" customHeight="1" x14ac:dyDescent="0.2">
      <c r="A289" s="1">
        <f t="shared" ref="A289" si="257">INDEX(C286:AI286,1,MATCH(B289,C287:AI287,0))</f>
        <v>0</v>
      </c>
      <c r="B289" s="2" t="str">
        <f>IF(AND('Data-solution'!A$3="Maximize",COUNTIF(C284:X284,"&gt;"&amp;0)&gt;0,AK274=MIN(AK273:AK283),COUNTIF(B288,INDEX(C272:X272,1,MATCH(MAX(C284:X284),C284:X284,0)))=0),INDEX(C272:X272,1,MATCH(MAX(C284:X284),C284:X284,0)),IF(AND('Data-solution'!A$3="Minimize",COUNTIF(C284:X284,"&lt;"&amp;0)&gt;0,AK274=MIN(AK273:AK283),COUNTIF(B288,INDEX(C272:X272,1,MATCH(MIN(C284:X284),C284:X284,0)))=0),INDEX(C272:X272,1,MATCH(MIN(C284:X284),C284:X284,0)),B274))</f>
        <v>S2</v>
      </c>
      <c r="C289" s="1">
        <f>IF(OR($B288&lt;&gt;$B273,$B289&lt;&gt;$B274,$B290&lt;&gt;$B275,$B291&lt;&gt;$B276,$B292&lt;&gt;$B277,$B293&lt;&gt;$B278,$B294&lt;&gt;$B279,$B295&lt;&gt;$B280,$B296&lt;&gt;$B281,$B297&lt;&gt;$B282,$B298&lt;&gt;$B283),IF($B289&lt;&gt;$B274,C274/INDEX($C273:$AJ283,2,MATCH(IF('Data-solution'!$A$3="Maximize",MAX($C284:$AI284),MIN($C284:$AI284)),$C284:$AI284,0)),C274-INDEX($C273:$AJ283,2,MATCH(IF('Data-solution'!$A$3="Maximize",MAX($C284:$AI284),MIN($C284:$AI284)),$C284:$AI284,0))*INDEX(C273:$AJ283,MATCH(MIN($AK273:$AK283),$AK273:$AK283,0),1)/INDEX($C273:$AJ283,MATCH(MIN($AK273:$AK283),$AK273:$AK283,0),MATCH(IF('Data-solution'!$A$3="Maximize",MAX($C284:$AI284),MIN($C284:$AI284)),$C284:$AI284,0))),C274)</f>
        <v>0</v>
      </c>
      <c r="D289" s="1">
        <f>IF(OR($B288&lt;&gt;$B273,$B289&lt;&gt;$B274,$B290&lt;&gt;$B275,$B291&lt;&gt;$B276,$B292&lt;&gt;$B277,$B293&lt;&gt;$B278,$B294&lt;&gt;$B279,$B295&lt;&gt;$B280,$B296&lt;&gt;$B281,$B297&lt;&gt;$B282,$B298&lt;&gt;$B283),IF($B289&lt;&gt;$B274,D274/INDEX($C273:$AJ283,2,MATCH(IF('Data-solution'!$A$3="Maximize",MAX($C284:$AI284),MIN($C284:$AI284)),$C284:$AI284,0)),D274-INDEX($C273:$AJ283,2,MATCH(IF('Data-solution'!$A$3="Maximize",MAX($C284:$AI284),MIN($C284:$AI284)),$C284:$AI284,0))*INDEX(D273:$AJ283,MATCH(MIN($AK273:$AK283),$AK273:$AK283,0),1)/INDEX($C273:$AJ283,MATCH(MIN($AK273:$AK283),$AK273:$AK283,0),MATCH(IF('Data-solution'!$A$3="Maximize",MAX($C284:$AI284),MIN($C284:$AI284)),$C284:$AI284,0))),D274)</f>
        <v>1.75</v>
      </c>
      <c r="E289" s="1">
        <f>IF(OR($B288&lt;&gt;$B273,$B289&lt;&gt;$B274,$B290&lt;&gt;$B275,$B291&lt;&gt;$B276,$B292&lt;&gt;$B277,$B293&lt;&gt;$B278,$B294&lt;&gt;$B279,$B295&lt;&gt;$B280,$B296&lt;&gt;$B281,$B297&lt;&gt;$B282,$B298&lt;&gt;$B283),IF($B289&lt;&gt;$B274,E274/INDEX($C273:$AJ283,2,MATCH(IF('Data-solution'!$A$3="Maximize",MAX($C284:$AI284),MIN($C284:$AI284)),$C284:$AI284,0)),E274-INDEX($C273:$AJ283,2,MATCH(IF('Data-solution'!$A$3="Maximize",MAX($C284:$AI284),MIN($C284:$AI284)),$C284:$AI284,0))*INDEX(E273:$AJ283,MATCH(MIN($AK273:$AK283),$AK273:$AK283,0),1)/INDEX($C273:$AJ283,MATCH(MIN($AK273:$AK283),$AK273:$AK283,0),MATCH(IF('Data-solution'!$A$3="Maximize",MAX($C284:$AI284),MIN($C284:$AI284)),$C284:$AI284,0))),E274)</f>
        <v>0</v>
      </c>
      <c r="F289" s="1">
        <f>IF(OR($B288&lt;&gt;$B273,$B289&lt;&gt;$B274,$B290&lt;&gt;$B275,$B291&lt;&gt;$B276,$B292&lt;&gt;$B277,$B293&lt;&gt;$B278,$B294&lt;&gt;$B279,$B295&lt;&gt;$B280,$B296&lt;&gt;$B281,$B297&lt;&gt;$B282,$B298&lt;&gt;$B283),IF($B289&lt;&gt;$B274,F274/INDEX($C273:$AJ283,2,MATCH(IF('Data-solution'!$A$3="Maximize",MAX($C284:$AI284),MIN($C284:$AI284)),$C284:$AI284,0)),F274-INDEX($C273:$AJ283,2,MATCH(IF('Data-solution'!$A$3="Maximize",MAX($C284:$AI284),MIN($C284:$AI284)),$C284:$AI284,0))*INDEX(F273:$AJ283,MATCH(MIN($AK273:$AK283),$AK273:$AK283,0),1)/INDEX($C273:$AJ283,MATCH(MIN($AK273:$AK283),$AK273:$AK283,0),MATCH(IF('Data-solution'!$A$3="Maximize",MAX($C284:$AI284),MIN($C284:$AI284)),$C284:$AI284,0))),F274)</f>
        <v>0</v>
      </c>
      <c r="G289" s="1">
        <f>IF(OR($B288&lt;&gt;$B273,$B289&lt;&gt;$B274,$B290&lt;&gt;$B275,$B291&lt;&gt;$B276,$B292&lt;&gt;$B277,$B293&lt;&gt;$B278,$B294&lt;&gt;$B279,$B295&lt;&gt;$B280,$B296&lt;&gt;$B281,$B297&lt;&gt;$B282,$B298&lt;&gt;$B283),IF($B289&lt;&gt;$B274,G274/INDEX($C273:$AJ283,2,MATCH(IF('Data-solution'!$A$3="Maximize",MAX($C284:$AI284),MIN($C284:$AI284)),$C284:$AI284,0)),G274-INDEX($C273:$AJ283,2,MATCH(IF('Data-solution'!$A$3="Maximize",MAX($C284:$AI284),MIN($C284:$AI284)),$C284:$AI284,0))*INDEX(G273:$AJ283,MATCH(MIN($AK273:$AK283),$AK273:$AK283,0),1)/INDEX($C273:$AJ283,MATCH(MIN($AK273:$AK283),$AK273:$AK283,0),MATCH(IF('Data-solution'!$A$3="Maximize",MAX($C284:$AI284),MIN($C284:$AI284)),$C284:$AI284,0))),G274)</f>
        <v>0</v>
      </c>
      <c r="H289" s="1">
        <f>IF(OR($B288&lt;&gt;$B273,$B289&lt;&gt;$B274,$B290&lt;&gt;$B275,$B291&lt;&gt;$B276,$B292&lt;&gt;$B277,$B293&lt;&gt;$B278,$B294&lt;&gt;$B279,$B295&lt;&gt;$B280,$B296&lt;&gt;$B281,$B297&lt;&gt;$B282,$B298&lt;&gt;$B283),IF($B289&lt;&gt;$B274,H274/INDEX($C273:$AJ283,2,MATCH(IF('Data-solution'!$A$3="Maximize",MAX($C284:$AI284),MIN($C284:$AI284)),$C284:$AI284,0)),H274-INDEX($C273:$AJ283,2,MATCH(IF('Data-solution'!$A$3="Maximize",MAX($C284:$AI284),MIN($C284:$AI284)),$C284:$AI284,0))*INDEX(H273:$AJ283,MATCH(MIN($AK273:$AK283),$AK273:$AK283,0),1)/INDEX($C273:$AJ283,MATCH(MIN($AK273:$AK283),$AK273:$AK283,0),MATCH(IF('Data-solution'!$A$3="Maximize",MAX($C284:$AI284),MIN($C284:$AI284)),$C284:$AI284,0))),H274)</f>
        <v>0</v>
      </c>
      <c r="I289" s="1">
        <f>IF(OR($B288&lt;&gt;$B273,$B289&lt;&gt;$B274,$B290&lt;&gt;$B275,$B291&lt;&gt;$B276,$B292&lt;&gt;$B277,$B293&lt;&gt;$B278,$B294&lt;&gt;$B279,$B295&lt;&gt;$B280,$B296&lt;&gt;$B281,$B297&lt;&gt;$B282,$B298&lt;&gt;$B283),IF($B289&lt;&gt;$B274,I274/INDEX($C273:$AJ283,2,MATCH(IF('Data-solution'!$A$3="Maximize",MAX($C284:$AI284),MIN($C284:$AI284)),$C284:$AI284,0)),I274-INDEX($C273:$AJ283,2,MATCH(IF('Data-solution'!$A$3="Maximize",MAX($C284:$AI284),MIN($C284:$AI284)),$C284:$AI284,0))*INDEX(I273:$AJ283,MATCH(MIN($AK273:$AK283),$AK273:$AK283,0),1)/INDEX($C273:$AJ283,MATCH(MIN($AK273:$AK283),$AK273:$AK283,0),MATCH(IF('Data-solution'!$A$3="Maximize",MAX($C284:$AI284),MIN($C284:$AI284)),$C284:$AI284,0))),I274)</f>
        <v>0</v>
      </c>
      <c r="J289" s="1">
        <f>IF(OR($B288&lt;&gt;$B273,$B289&lt;&gt;$B274,$B290&lt;&gt;$B275,$B291&lt;&gt;$B276,$B292&lt;&gt;$B277,$B293&lt;&gt;$B278,$B294&lt;&gt;$B279,$B295&lt;&gt;$B280,$B296&lt;&gt;$B281,$B297&lt;&gt;$B282,$B298&lt;&gt;$B283),IF($B289&lt;&gt;$B274,J274/INDEX($C273:$AJ283,2,MATCH(IF('Data-solution'!$A$3="Maximize",MAX($C284:$AI284),MIN($C284:$AI284)),$C284:$AI284,0)),J274-INDEX($C273:$AJ283,2,MATCH(IF('Data-solution'!$A$3="Maximize",MAX($C284:$AI284),MIN($C284:$AI284)),$C284:$AI284,0))*INDEX(J273:$AJ283,MATCH(MIN($AK273:$AK283),$AK273:$AK283,0),1)/INDEX($C273:$AJ283,MATCH(MIN($AK273:$AK283),$AK273:$AK283,0),MATCH(IF('Data-solution'!$A$3="Maximize",MAX($C284:$AI284),MIN($C284:$AI284)),$C284:$AI284,0))),J274)</f>
        <v>0</v>
      </c>
      <c r="K289" s="1">
        <f>IF(OR($B288&lt;&gt;$B273,$B289&lt;&gt;$B274,$B290&lt;&gt;$B275,$B291&lt;&gt;$B276,$B292&lt;&gt;$B277,$B293&lt;&gt;$B278,$B294&lt;&gt;$B279,$B295&lt;&gt;$B280,$B296&lt;&gt;$B281,$B297&lt;&gt;$B282,$B298&lt;&gt;$B283),IF($B289&lt;&gt;$B274,K274/INDEX($C273:$AJ283,2,MATCH(IF('Data-solution'!$A$3="Maximize",MAX($C284:$AI284),MIN($C284:$AI284)),$C284:$AI284,0)),K274-INDEX($C273:$AJ283,2,MATCH(IF('Data-solution'!$A$3="Maximize",MAX($C284:$AI284),MIN($C284:$AI284)),$C284:$AI284,0))*INDEX(K273:$AJ283,MATCH(MIN($AK273:$AK283),$AK273:$AK283,0),1)/INDEX($C273:$AJ283,MATCH(MIN($AK273:$AK283),$AK273:$AK283,0),MATCH(IF('Data-solution'!$A$3="Maximize",MAX($C284:$AI284),MIN($C284:$AI284)),$C284:$AI284,0))),K274)</f>
        <v>0</v>
      </c>
      <c r="L289" s="1">
        <f>IF(OR($B288&lt;&gt;$B273,$B289&lt;&gt;$B274,$B290&lt;&gt;$B275,$B291&lt;&gt;$B276,$B292&lt;&gt;$B277,$B293&lt;&gt;$B278,$B294&lt;&gt;$B279,$B295&lt;&gt;$B280,$B296&lt;&gt;$B281,$B297&lt;&gt;$B282,$B298&lt;&gt;$B283),IF($B289&lt;&gt;$B274,L274/INDEX($C273:$AJ283,2,MATCH(IF('Data-solution'!$A$3="Maximize",MAX($C284:$AI284),MIN($C284:$AI284)),$C284:$AI284,0)),L274-INDEX($C273:$AJ283,2,MATCH(IF('Data-solution'!$A$3="Maximize",MAX($C284:$AI284),MIN($C284:$AI284)),$C284:$AI284,0))*INDEX(L273:$AJ283,MATCH(MIN($AK273:$AK283),$AK273:$AK283,0),1)/INDEX($C273:$AJ283,MATCH(MIN($AK273:$AK283),$AK273:$AK283,0),MATCH(IF('Data-solution'!$A$3="Maximize",MAX($C284:$AI284),MIN($C284:$AI284)),$C284:$AI284,0))),L274)</f>
        <v>0</v>
      </c>
      <c r="M289" s="1">
        <f>IF(OR($B288&lt;&gt;$B273,$B289&lt;&gt;$B274,$B290&lt;&gt;$B275,$B291&lt;&gt;$B276,$B292&lt;&gt;$B277,$B293&lt;&gt;$B278,$B294&lt;&gt;$B279,$B295&lt;&gt;$B280,$B296&lt;&gt;$B281,$B297&lt;&gt;$B282,$B298&lt;&gt;$B283),IF($B289&lt;&gt;$B274,M274/INDEX($C273:$AJ283,2,MATCH(IF('Data-solution'!$A$3="Maximize",MAX($C284:$AI284),MIN($C284:$AI284)),$C284:$AI284,0)),M274-INDEX($C273:$AJ283,2,MATCH(IF('Data-solution'!$A$3="Maximize",MAX($C284:$AI284),MIN($C284:$AI284)),$C284:$AI284,0))*INDEX(M273:$AJ283,MATCH(MIN($AK273:$AK283),$AK273:$AK283,0),1)/INDEX($C273:$AJ283,MATCH(MIN($AK273:$AK283),$AK273:$AK283,0),MATCH(IF('Data-solution'!$A$3="Maximize",MAX($C284:$AI284),MIN($C284:$AI284)),$C284:$AI284,0))),M274)</f>
        <v>0</v>
      </c>
      <c r="N289" s="1">
        <f>IF(OR($B288&lt;&gt;$B273,$B289&lt;&gt;$B274,$B290&lt;&gt;$B275,$B291&lt;&gt;$B276,$B292&lt;&gt;$B277,$B293&lt;&gt;$B278,$B294&lt;&gt;$B279,$B295&lt;&gt;$B280,$B296&lt;&gt;$B281,$B297&lt;&gt;$B282,$B298&lt;&gt;$B283),IF($B289&lt;&gt;$B274,N274/INDEX($C273:$AJ283,2,MATCH(IF('Data-solution'!$A$3="Maximize",MAX($C284:$AI284),MIN($C284:$AI284)),$C284:$AI284,0)),N274-INDEX($C273:$AJ283,2,MATCH(IF('Data-solution'!$A$3="Maximize",MAX($C284:$AI284),MIN($C284:$AI284)),$C284:$AI284,0))*INDEX(N273:$AJ283,MATCH(MIN($AK273:$AK283),$AK273:$AK283,0),1)/INDEX($C273:$AJ283,MATCH(MIN($AK273:$AK283),$AK273:$AK283,0),MATCH(IF('Data-solution'!$A$3="Maximize",MAX($C284:$AI284),MIN($C284:$AI284)),$C284:$AI284,0))),N274)</f>
        <v>0</v>
      </c>
      <c r="O289" s="1">
        <f>IF(OR($B288&lt;&gt;$B273,$B289&lt;&gt;$B274,$B290&lt;&gt;$B275,$B291&lt;&gt;$B276,$B292&lt;&gt;$B277,$B293&lt;&gt;$B278,$B294&lt;&gt;$B279,$B295&lt;&gt;$B280,$B296&lt;&gt;$B281,$B297&lt;&gt;$B282,$B298&lt;&gt;$B283),IF($B289&lt;&gt;$B274,O274/INDEX($C273:$AJ283,2,MATCH(IF('Data-solution'!$A$3="Maximize",MAX($C284:$AI284),MIN($C284:$AI284)),$C284:$AI284,0)),O274-INDEX($C273:$AJ283,2,MATCH(IF('Data-solution'!$A$3="Maximize",MAX($C284:$AI284),MIN($C284:$AI284)),$C284:$AI284,0))*INDEX(O273:$AJ283,MATCH(MIN($AK273:$AK283),$AK273:$AK283,0),1)/INDEX($C273:$AJ283,MATCH(MIN($AK273:$AK283),$AK273:$AK283,0),MATCH(IF('Data-solution'!$A$3="Maximize",MAX($C284:$AI284),MIN($C284:$AI284)),$C284:$AI284,0))),O274)</f>
        <v>1</v>
      </c>
      <c r="P289" s="1">
        <f>IF(OR($B288&lt;&gt;$B273,$B289&lt;&gt;$B274,$B290&lt;&gt;$B275,$B291&lt;&gt;$B276,$B292&lt;&gt;$B277,$B293&lt;&gt;$B278,$B294&lt;&gt;$B279,$B295&lt;&gt;$B280,$B296&lt;&gt;$B281,$B297&lt;&gt;$B282,$B298&lt;&gt;$B283),IF($B289&lt;&gt;$B274,P274/INDEX($C273:$AJ283,2,MATCH(IF('Data-solution'!$A$3="Maximize",MAX($C284:$AI284),MIN($C284:$AI284)),$C284:$AI284,0)),P274-INDEX($C273:$AJ283,2,MATCH(IF('Data-solution'!$A$3="Maximize",MAX($C284:$AI284),MIN($C284:$AI284)),$C284:$AI284,0))*INDEX(P273:$AJ283,MATCH(MIN($AK273:$AK283),$AK273:$AK283,0),1)/INDEX($C273:$AJ283,MATCH(MIN($AK273:$AK283),$AK273:$AK283,0),MATCH(IF('Data-solution'!$A$3="Maximize",MAX($C284:$AI284),MIN($C284:$AI284)),$C284:$AI284,0))),P274)</f>
        <v>-0.25</v>
      </c>
      <c r="Q289" s="1">
        <f>IF(OR($B288&lt;&gt;$B273,$B289&lt;&gt;$B274,$B290&lt;&gt;$B275,$B291&lt;&gt;$B276,$B292&lt;&gt;$B277,$B293&lt;&gt;$B278,$B294&lt;&gt;$B279,$B295&lt;&gt;$B280,$B296&lt;&gt;$B281,$B297&lt;&gt;$B282,$B298&lt;&gt;$B283),IF($B289&lt;&gt;$B274,Q274/INDEX($C273:$AJ283,2,MATCH(IF('Data-solution'!$A$3="Maximize",MAX($C284:$AI284),MIN($C284:$AI284)),$C284:$AI284,0)),Q274-INDEX($C273:$AJ283,2,MATCH(IF('Data-solution'!$A$3="Maximize",MAX($C284:$AI284),MIN($C284:$AI284)),$C284:$AI284,0))*INDEX(Q273:$AJ283,MATCH(MIN($AK273:$AK283),$AK273:$AK283,0),1)/INDEX($C273:$AJ283,MATCH(MIN($AK273:$AK283),$AK273:$AK283,0),MATCH(IF('Data-solution'!$A$3="Maximize",MAX($C284:$AI284),MIN($C284:$AI284)),$C284:$AI284,0))),Q274)</f>
        <v>-0.5</v>
      </c>
      <c r="R289" s="1">
        <f>IF(OR($B288&lt;&gt;$B273,$B289&lt;&gt;$B274,$B290&lt;&gt;$B275,$B291&lt;&gt;$B276,$B292&lt;&gt;$B277,$B293&lt;&gt;$B278,$B294&lt;&gt;$B279,$B295&lt;&gt;$B280,$B296&lt;&gt;$B281,$B297&lt;&gt;$B282,$B298&lt;&gt;$B283),IF($B289&lt;&gt;$B274,R274/INDEX($C273:$AJ283,2,MATCH(IF('Data-solution'!$A$3="Maximize",MAX($C284:$AI284),MIN($C284:$AI284)),$C284:$AI284,0)),R274-INDEX($C273:$AJ283,2,MATCH(IF('Data-solution'!$A$3="Maximize",MAX($C284:$AI284),MIN($C284:$AI284)),$C284:$AI284,0))*INDEX(R273:$AJ283,MATCH(MIN($AK273:$AK283),$AK273:$AK283,0),1)/INDEX($C273:$AJ283,MATCH(MIN($AK273:$AK283),$AK273:$AK283,0),MATCH(IF('Data-solution'!$A$3="Maximize",MAX($C284:$AI284),MIN($C284:$AI284)),$C284:$AI284,0))),R274)</f>
        <v>0</v>
      </c>
      <c r="S289" s="1">
        <f>IF(OR($B288&lt;&gt;$B273,$B289&lt;&gt;$B274,$B290&lt;&gt;$B275,$B291&lt;&gt;$B276,$B292&lt;&gt;$B277,$B293&lt;&gt;$B278,$B294&lt;&gt;$B279,$B295&lt;&gt;$B280,$B296&lt;&gt;$B281,$B297&lt;&gt;$B282,$B298&lt;&gt;$B283),IF($B289&lt;&gt;$B274,S274/INDEX($C273:$AJ283,2,MATCH(IF('Data-solution'!$A$3="Maximize",MAX($C284:$AI284),MIN($C284:$AI284)),$C284:$AI284,0)),S274-INDEX($C273:$AJ283,2,MATCH(IF('Data-solution'!$A$3="Maximize",MAX($C284:$AI284),MIN($C284:$AI284)),$C284:$AI284,0))*INDEX(S273:$AJ283,MATCH(MIN($AK273:$AK283),$AK273:$AK283,0),1)/INDEX($C273:$AJ283,MATCH(MIN($AK273:$AK283),$AK273:$AK283,0),MATCH(IF('Data-solution'!$A$3="Maximize",MAX($C284:$AI284),MIN($C284:$AI284)),$C284:$AI284,0))),S274)</f>
        <v>0</v>
      </c>
      <c r="T289" s="1">
        <f>IF(OR($B288&lt;&gt;$B273,$B289&lt;&gt;$B274,$B290&lt;&gt;$B275,$B291&lt;&gt;$B276,$B292&lt;&gt;$B277,$B293&lt;&gt;$B278,$B294&lt;&gt;$B279,$B295&lt;&gt;$B280,$B296&lt;&gt;$B281,$B297&lt;&gt;$B282,$B298&lt;&gt;$B283),IF($B289&lt;&gt;$B274,T274/INDEX($C273:$AJ283,2,MATCH(IF('Data-solution'!$A$3="Maximize",MAX($C284:$AI284),MIN($C284:$AI284)),$C284:$AI284,0)),T274-INDEX($C273:$AJ283,2,MATCH(IF('Data-solution'!$A$3="Maximize",MAX($C284:$AI284),MIN($C284:$AI284)),$C284:$AI284,0))*INDEX(T273:$AJ283,MATCH(MIN($AK273:$AK283),$AK273:$AK283,0),1)/INDEX($C273:$AJ283,MATCH(MIN($AK273:$AK283),$AK273:$AK283,0),MATCH(IF('Data-solution'!$A$3="Maximize",MAX($C284:$AI284),MIN($C284:$AI284)),$C284:$AI284,0))),T274)</f>
        <v>0</v>
      </c>
      <c r="U289" s="1">
        <f>IF(OR($B288&lt;&gt;$B273,$B289&lt;&gt;$B274,$B290&lt;&gt;$B275,$B291&lt;&gt;$B276,$B292&lt;&gt;$B277,$B293&lt;&gt;$B278,$B294&lt;&gt;$B279,$B295&lt;&gt;$B280,$B296&lt;&gt;$B281,$B297&lt;&gt;$B282,$B298&lt;&gt;$B283),IF($B289&lt;&gt;$B274,U274/INDEX($C273:$AJ283,2,MATCH(IF('Data-solution'!$A$3="Maximize",MAX($C284:$AI284),MIN($C284:$AI284)),$C284:$AI284,0)),U274-INDEX($C273:$AJ283,2,MATCH(IF('Data-solution'!$A$3="Maximize",MAX($C284:$AI284),MIN($C284:$AI284)),$C284:$AI284,0))*INDEX(U273:$AJ283,MATCH(MIN($AK273:$AK283),$AK273:$AK283,0),1)/INDEX($C273:$AJ283,MATCH(MIN($AK273:$AK283),$AK273:$AK283,0),MATCH(IF('Data-solution'!$A$3="Maximize",MAX($C284:$AI284),MIN($C284:$AI284)),$C284:$AI284,0))),U274)</f>
        <v>0</v>
      </c>
      <c r="V289" s="1">
        <f>IF(OR($B288&lt;&gt;$B273,$B289&lt;&gt;$B274,$B290&lt;&gt;$B275,$B291&lt;&gt;$B276,$B292&lt;&gt;$B277,$B293&lt;&gt;$B278,$B294&lt;&gt;$B279,$B295&lt;&gt;$B280,$B296&lt;&gt;$B281,$B297&lt;&gt;$B282,$B298&lt;&gt;$B283),IF($B289&lt;&gt;$B274,V274/INDEX($C273:$AJ283,2,MATCH(IF('Data-solution'!$A$3="Maximize",MAX($C284:$AI284),MIN($C284:$AI284)),$C284:$AI284,0)),V274-INDEX($C273:$AJ283,2,MATCH(IF('Data-solution'!$A$3="Maximize",MAX($C284:$AI284),MIN($C284:$AI284)),$C284:$AI284,0))*INDEX(V273:$AJ283,MATCH(MIN($AK273:$AK283),$AK273:$AK283,0),1)/INDEX($C273:$AJ283,MATCH(MIN($AK273:$AK283),$AK273:$AK283,0),MATCH(IF('Data-solution'!$A$3="Maximize",MAX($C284:$AI284),MIN($C284:$AI284)),$C284:$AI284,0))),V274)</f>
        <v>0</v>
      </c>
      <c r="W289" s="1">
        <f>IF(OR($B288&lt;&gt;$B273,$B289&lt;&gt;$B274,$B290&lt;&gt;$B275,$B291&lt;&gt;$B276,$B292&lt;&gt;$B277,$B293&lt;&gt;$B278,$B294&lt;&gt;$B279,$B295&lt;&gt;$B280,$B296&lt;&gt;$B281,$B297&lt;&gt;$B282,$B298&lt;&gt;$B283),IF($B289&lt;&gt;$B274,W274/INDEX($C273:$AJ283,2,MATCH(IF('Data-solution'!$A$3="Maximize",MAX($C284:$AI284),MIN($C284:$AI284)),$C284:$AI284,0)),W274-INDEX($C273:$AJ283,2,MATCH(IF('Data-solution'!$A$3="Maximize",MAX($C284:$AI284),MIN($C284:$AI284)),$C284:$AI284,0))*INDEX(W273:$AJ283,MATCH(MIN($AK273:$AK283),$AK273:$AK283,0),1)/INDEX($C273:$AJ283,MATCH(MIN($AK273:$AK283),$AK273:$AK283,0),MATCH(IF('Data-solution'!$A$3="Maximize",MAX($C284:$AI284),MIN($C284:$AI284)),$C284:$AI284,0))),W274)</f>
        <v>0</v>
      </c>
      <c r="X289" s="1">
        <f>IF(OR($B288&lt;&gt;$B273,$B289&lt;&gt;$B274,$B290&lt;&gt;$B275,$B291&lt;&gt;$B276,$B292&lt;&gt;$B277,$B293&lt;&gt;$B278,$B294&lt;&gt;$B279,$B295&lt;&gt;$B280,$B296&lt;&gt;$B281,$B297&lt;&gt;$B282,$B298&lt;&gt;$B283),IF($B289&lt;&gt;$B274,X274/INDEX($C273:$AJ283,2,MATCH(IF('Data-solution'!$A$3="Maximize",MAX($C284:$AI284),MIN($C284:$AI284)),$C284:$AI284,0)),X274-INDEX($C273:$AJ283,2,MATCH(IF('Data-solution'!$A$3="Maximize",MAX($C284:$AI284),MIN($C284:$AI284)),$C284:$AI284,0))*INDEX(X273:$AJ283,MATCH(MIN($AK273:$AK283),$AK273:$AK283,0),1)/INDEX($C273:$AJ283,MATCH(MIN($AK273:$AK283),$AK273:$AK283,0),MATCH(IF('Data-solution'!$A$3="Maximize",MAX($C284:$AI284),MIN($C284:$AI284)),$C284:$AI284,0))),X274)</f>
        <v>0</v>
      </c>
      <c r="Y289" s="1">
        <f>IF(OR($B288&lt;&gt;$B273,$B289&lt;&gt;$B274,$B290&lt;&gt;$B275,$B291&lt;&gt;$B276,$B292&lt;&gt;$B277,$B293&lt;&gt;$B278,$B294&lt;&gt;$B279,$B295&lt;&gt;$B280,$B296&lt;&gt;$B281,$B297&lt;&gt;$B282,$B298&lt;&gt;$B283),IF($B289&lt;&gt;$B274,Y274/INDEX($C273:$AJ283,2,MATCH(IF('Data-solution'!$A$3="Maximize",MAX($C284:$AI284),MIN($C284:$AI284)),$C284:$AI284,0)),Y274-INDEX($C273:$AJ283,2,MATCH(IF('Data-solution'!$A$3="Maximize",MAX($C284:$AI284),MIN($C284:$AI284)),$C284:$AI284,0))*INDEX(Y273:$AJ283,MATCH(MIN($AK273:$AK283),$AK273:$AK283,0),1)/INDEX($C273:$AJ283,MATCH(MIN($AK273:$AK283),$AK273:$AK283,0),MATCH(IF('Data-solution'!$A$3="Maximize",MAX($C284:$AI284),MIN($C284:$AI284)),$C284:$AI284,0))),Y274)</f>
        <v>0</v>
      </c>
      <c r="Z289" s="1">
        <f>IF(OR($B288&lt;&gt;$B273,$B289&lt;&gt;$B274,$B290&lt;&gt;$B275,$B291&lt;&gt;$B276,$B292&lt;&gt;$B277,$B293&lt;&gt;$B278,$B294&lt;&gt;$B279,$B295&lt;&gt;$B280,$B296&lt;&gt;$B281,$B297&lt;&gt;$B282,$B298&lt;&gt;$B283),IF($B289&lt;&gt;$B274,Z274/INDEX($C273:$AJ283,2,MATCH(IF('Data-solution'!$A$3="Maximize",MAX($C284:$AI284),MIN($C284:$AI284)),$C284:$AI284,0)),Z274-INDEX($C273:$AJ283,2,MATCH(IF('Data-solution'!$A$3="Maximize",MAX($C284:$AI284),MIN($C284:$AI284)),$C284:$AI284,0))*INDEX(Z273:$AJ283,MATCH(MIN($AK273:$AK283),$AK273:$AK283,0),1)/INDEX($C273:$AJ283,MATCH(MIN($AK273:$AK283),$AK273:$AK283,0),MATCH(IF('Data-solution'!$A$3="Maximize",MAX($C284:$AI284),MIN($C284:$AI284)),$C284:$AI284,0))),Z274)</f>
        <v>1</v>
      </c>
      <c r="AA289" s="1">
        <f>IF(OR($B288&lt;&gt;$B273,$B289&lt;&gt;$B274,$B290&lt;&gt;$B275,$B291&lt;&gt;$B276,$B292&lt;&gt;$B277,$B293&lt;&gt;$B278,$B294&lt;&gt;$B279,$B295&lt;&gt;$B280,$B296&lt;&gt;$B281,$B297&lt;&gt;$B282,$B298&lt;&gt;$B283),IF($B289&lt;&gt;$B274,AA274/INDEX($C273:$AJ283,2,MATCH(IF('Data-solution'!$A$3="Maximize",MAX($C284:$AI284),MIN($C284:$AI284)),$C284:$AI284,0)),AA274-INDEX($C273:$AJ283,2,MATCH(IF('Data-solution'!$A$3="Maximize",MAX($C284:$AI284),MIN($C284:$AI284)),$C284:$AI284,0))*INDEX(AA273:$AJ283,MATCH(MIN($AK273:$AK283),$AK273:$AK283,0),1)/INDEX($C273:$AJ283,MATCH(MIN($AK273:$AK283),$AK273:$AK283,0),MATCH(IF('Data-solution'!$A$3="Maximize",MAX($C284:$AI284),MIN($C284:$AI284)),$C284:$AI284,0))),AA274)</f>
        <v>-0.25</v>
      </c>
      <c r="AB289" s="1">
        <f>IF(OR($B288&lt;&gt;$B273,$B289&lt;&gt;$B274,$B290&lt;&gt;$B275,$B291&lt;&gt;$B276,$B292&lt;&gt;$B277,$B293&lt;&gt;$B278,$B294&lt;&gt;$B279,$B295&lt;&gt;$B280,$B296&lt;&gt;$B281,$B297&lt;&gt;$B282,$B298&lt;&gt;$B283),IF($B289&lt;&gt;$B274,AB274/INDEX($C273:$AJ283,2,MATCH(IF('Data-solution'!$A$3="Maximize",MAX($C284:$AI284),MIN($C284:$AI284)),$C284:$AI284,0)),AB274-INDEX($C273:$AJ283,2,MATCH(IF('Data-solution'!$A$3="Maximize",MAX($C284:$AI284),MIN($C284:$AI284)),$C284:$AI284,0))*INDEX(AB273:$AJ283,MATCH(MIN($AK273:$AK283),$AK273:$AK283,0),1)/INDEX($C273:$AJ283,MATCH(MIN($AK273:$AK283),$AK273:$AK283,0),MATCH(IF('Data-solution'!$A$3="Maximize",MAX($C284:$AI284),MIN($C284:$AI284)),$C284:$AI284,0))),AB274)</f>
        <v>-0.5</v>
      </c>
      <c r="AC289" s="1">
        <f>IF(OR($B288&lt;&gt;$B273,$B289&lt;&gt;$B274,$B290&lt;&gt;$B275,$B291&lt;&gt;$B276,$B292&lt;&gt;$B277,$B293&lt;&gt;$B278,$B294&lt;&gt;$B279,$B295&lt;&gt;$B280,$B296&lt;&gt;$B281,$B297&lt;&gt;$B282,$B298&lt;&gt;$B283),IF($B289&lt;&gt;$B274,AC274/INDEX($C273:$AJ283,2,MATCH(IF('Data-solution'!$A$3="Maximize",MAX($C284:$AI284),MIN($C284:$AI284)),$C284:$AI284,0)),AC274-INDEX($C273:$AJ283,2,MATCH(IF('Data-solution'!$A$3="Maximize",MAX($C284:$AI284),MIN($C284:$AI284)),$C284:$AI284,0))*INDEX(AC273:$AJ283,MATCH(MIN($AK273:$AK283),$AK273:$AK283,0),1)/INDEX($C273:$AJ283,MATCH(MIN($AK273:$AK283),$AK273:$AK283,0),MATCH(IF('Data-solution'!$A$3="Maximize",MAX($C284:$AI284),MIN($C284:$AI284)),$C284:$AI284,0))),AC274)</f>
        <v>0</v>
      </c>
      <c r="AD289" s="1">
        <f>IF(OR($B288&lt;&gt;$B273,$B289&lt;&gt;$B274,$B290&lt;&gt;$B275,$B291&lt;&gt;$B276,$B292&lt;&gt;$B277,$B293&lt;&gt;$B278,$B294&lt;&gt;$B279,$B295&lt;&gt;$B280,$B296&lt;&gt;$B281,$B297&lt;&gt;$B282,$B298&lt;&gt;$B283),IF($B289&lt;&gt;$B274,AD274/INDEX($C273:$AJ283,2,MATCH(IF('Data-solution'!$A$3="Maximize",MAX($C284:$AI284),MIN($C284:$AI284)),$C284:$AI284,0)),AD274-INDEX($C273:$AJ283,2,MATCH(IF('Data-solution'!$A$3="Maximize",MAX($C284:$AI284),MIN($C284:$AI284)),$C284:$AI284,0))*INDEX(AD273:$AJ283,MATCH(MIN($AK273:$AK283),$AK273:$AK283,0),1)/INDEX($C273:$AJ283,MATCH(MIN($AK273:$AK283),$AK273:$AK283,0),MATCH(IF('Data-solution'!$A$3="Maximize",MAX($C284:$AI284),MIN($C284:$AI284)),$C284:$AI284,0))),AD274)</f>
        <v>0</v>
      </c>
      <c r="AE289" s="1">
        <f>IF(OR($B288&lt;&gt;$B273,$B289&lt;&gt;$B274,$B290&lt;&gt;$B275,$B291&lt;&gt;$B276,$B292&lt;&gt;$B277,$B293&lt;&gt;$B278,$B294&lt;&gt;$B279,$B295&lt;&gt;$B280,$B296&lt;&gt;$B281,$B297&lt;&gt;$B282,$B298&lt;&gt;$B283),IF($B289&lt;&gt;$B274,AE274/INDEX($C273:$AJ283,2,MATCH(IF('Data-solution'!$A$3="Maximize",MAX($C284:$AI284),MIN($C284:$AI284)),$C284:$AI284,0)),AE274-INDEX($C273:$AJ283,2,MATCH(IF('Data-solution'!$A$3="Maximize",MAX($C284:$AI284),MIN($C284:$AI284)),$C284:$AI284,0))*INDEX(AE273:$AJ283,MATCH(MIN($AK273:$AK283),$AK273:$AK283,0),1)/INDEX($C273:$AJ283,MATCH(MIN($AK273:$AK283),$AK273:$AK283,0),MATCH(IF('Data-solution'!$A$3="Maximize",MAX($C284:$AI284),MIN($C284:$AI284)),$C284:$AI284,0))),AE274)</f>
        <v>0</v>
      </c>
      <c r="AF289" s="1">
        <f>IF(OR($B288&lt;&gt;$B273,$B289&lt;&gt;$B274,$B290&lt;&gt;$B275,$B291&lt;&gt;$B276,$B292&lt;&gt;$B277,$B293&lt;&gt;$B278,$B294&lt;&gt;$B279,$B295&lt;&gt;$B280,$B296&lt;&gt;$B281,$B297&lt;&gt;$B282,$B298&lt;&gt;$B283),IF($B289&lt;&gt;$B274,AF274/INDEX($C273:$AJ283,2,MATCH(IF('Data-solution'!$A$3="Maximize",MAX($C284:$AI284),MIN($C284:$AI284)),$C284:$AI284,0)),AF274-INDEX($C273:$AJ283,2,MATCH(IF('Data-solution'!$A$3="Maximize",MAX($C284:$AI284),MIN($C284:$AI284)),$C284:$AI284,0))*INDEX(AF273:$AJ283,MATCH(MIN($AK273:$AK283),$AK273:$AK283,0),1)/INDEX($C273:$AJ283,MATCH(MIN($AK273:$AK283),$AK273:$AK283,0),MATCH(IF('Data-solution'!$A$3="Maximize",MAX($C284:$AI284),MIN($C284:$AI284)),$C284:$AI284,0))),AF274)</f>
        <v>0</v>
      </c>
      <c r="AG289" s="1">
        <f>IF(OR($B288&lt;&gt;$B273,$B289&lt;&gt;$B274,$B290&lt;&gt;$B275,$B291&lt;&gt;$B276,$B292&lt;&gt;$B277,$B293&lt;&gt;$B278,$B294&lt;&gt;$B279,$B295&lt;&gt;$B280,$B296&lt;&gt;$B281,$B297&lt;&gt;$B282,$B298&lt;&gt;$B283),IF($B289&lt;&gt;$B274,AG274/INDEX($C273:$AJ283,2,MATCH(IF('Data-solution'!$A$3="Maximize",MAX($C284:$AI284),MIN($C284:$AI284)),$C284:$AI284,0)),AG274-INDEX($C273:$AJ283,2,MATCH(IF('Data-solution'!$A$3="Maximize",MAX($C284:$AI284),MIN($C284:$AI284)),$C284:$AI284,0))*INDEX(AG273:$AJ283,MATCH(MIN($AK273:$AK283),$AK273:$AK283,0),1)/INDEX($C273:$AJ283,MATCH(MIN($AK273:$AK283),$AK273:$AK283,0),MATCH(IF('Data-solution'!$A$3="Maximize",MAX($C284:$AI284),MIN($C284:$AI284)),$C284:$AI284,0))),AG274)</f>
        <v>0</v>
      </c>
      <c r="AH289" s="1">
        <f>IF(OR($B288&lt;&gt;$B273,$B289&lt;&gt;$B274,$B290&lt;&gt;$B275,$B291&lt;&gt;$B276,$B292&lt;&gt;$B277,$B293&lt;&gt;$B278,$B294&lt;&gt;$B279,$B295&lt;&gt;$B280,$B296&lt;&gt;$B281,$B297&lt;&gt;$B282,$B298&lt;&gt;$B283),IF($B289&lt;&gt;$B274,AH274/INDEX($C273:$AJ283,2,MATCH(IF('Data-solution'!$A$3="Maximize",MAX($C284:$AI284),MIN($C284:$AI284)),$C284:$AI284,0)),AH274-INDEX($C273:$AJ283,2,MATCH(IF('Data-solution'!$A$3="Maximize",MAX($C284:$AI284),MIN($C284:$AI284)),$C284:$AI284,0))*INDEX(AH273:$AJ283,MATCH(MIN($AK273:$AK283),$AK273:$AK283,0),1)/INDEX($C273:$AJ283,MATCH(MIN($AK273:$AK283),$AK273:$AK283,0),MATCH(IF('Data-solution'!$A$3="Maximize",MAX($C284:$AI284),MIN($C284:$AI284)),$C284:$AI284,0))),AH274)</f>
        <v>0</v>
      </c>
      <c r="AI289" s="1">
        <f>IF(OR($B288&lt;&gt;$B273,$B289&lt;&gt;$B274,$B290&lt;&gt;$B275,$B291&lt;&gt;$B276,$B292&lt;&gt;$B277,$B293&lt;&gt;$B278,$B294&lt;&gt;$B279,$B295&lt;&gt;$B280,$B296&lt;&gt;$B281,$B297&lt;&gt;$B282,$B298&lt;&gt;$B283),IF($B289&lt;&gt;$B274,AI274/INDEX($C273:$AJ283,2,MATCH(IF('Data-solution'!$A$3="Maximize",MAX($C284:$AI284),MIN($C284:$AI284)),$C284:$AI284,0)),AI274-INDEX($C273:$AJ283,2,MATCH(IF('Data-solution'!$A$3="Maximize",MAX($C284:$AI284),MIN($C284:$AI284)),$C284:$AI284,0))*INDEX(AI273:$AJ283,MATCH(MIN($AK273:$AK283),$AK273:$AK283,0),1)/INDEX($C273:$AJ283,MATCH(MIN($AK273:$AK283),$AK273:$AK283,0),MATCH(IF('Data-solution'!$A$3="Maximize",MAX($C284:$AI284),MIN($C284:$AI284)),$C284:$AI284,0))),AI274)</f>
        <v>0</v>
      </c>
      <c r="AJ289" s="1">
        <f>IF(OR($B288&lt;&gt;$B273,$B289&lt;&gt;$B274,$B290&lt;&gt;$B275,$B291&lt;&gt;$B276,$B292&lt;&gt;$B277,$B293&lt;&gt;$B278,$B294&lt;&gt;$B279,$B295&lt;&gt;$B280,$B296&lt;&gt;$B281,$B297&lt;&gt;$B282,$B298&lt;&gt;$B283),IF($B289&lt;&gt;$B274,AJ274/INDEX($C273:$AJ283,2,MATCH(IF('Data-solution'!$A$3="Maximize",MAX($C284:$AI284),MIN($C284:$AI284)),$C284:$AI284,0)),AJ274-INDEX($C273:$AJ283,2,MATCH(IF('Data-solution'!$A$3="Maximize",MAX($C284:$AI284),MIN($C284:$AI284)),$C284:$AI284,0))*INDEX(AJ273:$AJ283,MATCH(MIN($AK273:$AK283),$AK273:$AK283,0),1)/INDEX($C273:$AJ283,MATCH(MIN($AK273:$AK283),$AK273:$AK283,0),MATCH(IF('Data-solution'!$A$3="Maximize",MAX($C284:$AI284),MIN($C284:$AI284)),$C284:$AI284,0))),AJ274)</f>
        <v>300</v>
      </c>
      <c r="AK289" s="1" t="str">
        <f>IF(INDEX(C289:X289,1,MATCH(IF('Data-solution'!A$3="Maximize",MAX(C299:X299),MIN(C299:X299)),C299:X299,0))&gt;0,AJ289/INDEX(C289:X289,1,MATCH(IF('Data-solution'!A$3="Maximize",MAX(C299:X299),MIN(C299:X299)),C299:X299,0))," ")</f>
        <v xml:space="preserve"> </v>
      </c>
    </row>
    <row r="290" spans="1:37" ht="18" customHeight="1" x14ac:dyDescent="0.2">
      <c r="A290" s="1">
        <f t="shared" ref="A290" si="258">INDEX(C286:AI286,1,MATCH(B290,C287:AI287,0))</f>
        <v>350</v>
      </c>
      <c r="B290" s="2" t="str">
        <f>IF(AND('Data-solution'!A$3="Maximize",COUNTIF(C284:X284,"&gt;"&amp;0)&gt;0,AK275=MIN(AK273:AK283),COUNTIF(B288:B289,INDEX(C272:X272,1,MATCH(MAX(C284:X284),C284:X284,0)))=0),INDEX(C272:X272,1,MATCH(MAX(C284:X284),C284:X284,0)),IF(AND('Data-solution'!A$3="Minimize",COUNTIF(C284:X284,"&lt;"&amp;0)&gt;0,AK275=MIN(AK273:AK283),COUNTIF(B288:B289,INDEX(C272:X272,1,MATCH(MIN(C284:X284),C284:X284,0)))=0),INDEX(C272:X272,1,MATCH(MIN(C284:X284),C284:X284,0)),B275))</f>
        <v>X3</v>
      </c>
      <c r="C290" s="1">
        <f>IF(OR($B288&lt;&gt;$B273,$B289&lt;&gt;$B274,$B290&lt;&gt;$B275,$B291&lt;&gt;$B276,$B292&lt;&gt;$B277,$B293&lt;&gt;$B278,$B294&lt;&gt;$B279,$B295&lt;&gt;$B280,$B296&lt;&gt;$B281,$B297&lt;&gt;$B282,$B298&lt;&gt;$B283),IF($B290&lt;&gt;$B275,C275/INDEX($C273:$AJ283,3,MATCH(IF('Data-solution'!$A$3="Maximize",MAX($C284:$AI284),MIN($C284:$AI284)),$C284:$AI284,0)),C275-INDEX($C273:$AJ283,3,MATCH(IF('Data-solution'!$A$3="Maximize",MAX($C284:$AI284),MIN($C284:$AI284)),$C284:$AI284,0))*INDEX(C273:$AJ283,MATCH(MIN($AK273:$AK283),$AK273:$AK283,0),1)/INDEX($C273:$AJ283,MATCH(MIN($AK273:$AK283),$AK273:$AK283,0),MATCH(IF('Data-solution'!$A$3="Maximize",MAX($C284:$AI284),MIN($C284:$AI284)),$C284:$AI284,0))),C275)</f>
        <v>0</v>
      </c>
      <c r="D290" s="1">
        <f>IF(OR($B288&lt;&gt;$B273,$B289&lt;&gt;$B274,$B290&lt;&gt;$B275,$B291&lt;&gt;$B276,$B292&lt;&gt;$B277,$B293&lt;&gt;$B278,$B294&lt;&gt;$B279,$B295&lt;&gt;$B280,$B296&lt;&gt;$B281,$B297&lt;&gt;$B282,$B298&lt;&gt;$B283),IF($B290&lt;&gt;$B275,D275/INDEX($C273:$AJ283,3,MATCH(IF('Data-solution'!$A$3="Maximize",MAX($C284:$AI284),MIN($C284:$AI284)),$C284:$AI284,0)),D275-INDEX($C273:$AJ283,3,MATCH(IF('Data-solution'!$A$3="Maximize",MAX($C284:$AI284),MIN($C284:$AI284)),$C284:$AI284,0))*INDEX(D273:$AJ283,MATCH(MIN($AK273:$AK283),$AK273:$AK283,0),1)/INDEX($C273:$AJ283,MATCH(MIN($AK273:$AK283),$AK273:$AK283,0),MATCH(IF('Data-solution'!$A$3="Maximize",MAX($C284:$AI284),MIN($C284:$AI284)),$C284:$AI284,0))),D275)</f>
        <v>1.25</v>
      </c>
      <c r="E290" s="1">
        <f>IF(OR($B288&lt;&gt;$B273,$B289&lt;&gt;$B274,$B290&lt;&gt;$B275,$B291&lt;&gt;$B276,$B292&lt;&gt;$B277,$B293&lt;&gt;$B278,$B294&lt;&gt;$B279,$B295&lt;&gt;$B280,$B296&lt;&gt;$B281,$B297&lt;&gt;$B282,$B298&lt;&gt;$B283),IF($B290&lt;&gt;$B275,E275/INDEX($C273:$AJ283,3,MATCH(IF('Data-solution'!$A$3="Maximize",MAX($C284:$AI284),MIN($C284:$AI284)),$C284:$AI284,0)),E275-INDEX($C273:$AJ283,3,MATCH(IF('Data-solution'!$A$3="Maximize",MAX($C284:$AI284),MIN($C284:$AI284)),$C284:$AI284,0))*INDEX(E273:$AJ283,MATCH(MIN($AK273:$AK283),$AK273:$AK283,0),1)/INDEX($C273:$AJ283,MATCH(MIN($AK273:$AK283),$AK273:$AK283,0),MATCH(IF('Data-solution'!$A$3="Maximize",MAX($C284:$AI284),MIN($C284:$AI284)),$C284:$AI284,0))),E275)</f>
        <v>1</v>
      </c>
      <c r="F290" s="1">
        <f>IF(OR($B288&lt;&gt;$B273,$B289&lt;&gt;$B274,$B290&lt;&gt;$B275,$B291&lt;&gt;$B276,$B292&lt;&gt;$B277,$B293&lt;&gt;$B278,$B294&lt;&gt;$B279,$B295&lt;&gt;$B280,$B296&lt;&gt;$B281,$B297&lt;&gt;$B282,$B298&lt;&gt;$B283),IF($B290&lt;&gt;$B275,F275/INDEX($C273:$AJ283,3,MATCH(IF('Data-solution'!$A$3="Maximize",MAX($C284:$AI284),MIN($C284:$AI284)),$C284:$AI284,0)),F275-INDEX($C273:$AJ283,3,MATCH(IF('Data-solution'!$A$3="Maximize",MAX($C284:$AI284),MIN($C284:$AI284)),$C284:$AI284,0))*INDEX(F273:$AJ283,MATCH(MIN($AK273:$AK283),$AK273:$AK283,0),1)/INDEX($C273:$AJ283,MATCH(MIN($AK273:$AK283),$AK273:$AK283,0),MATCH(IF('Data-solution'!$A$3="Maximize",MAX($C284:$AI284),MIN($C284:$AI284)),$C284:$AI284,0))),F275)</f>
        <v>0</v>
      </c>
      <c r="G290" s="1">
        <f>IF(OR($B288&lt;&gt;$B273,$B289&lt;&gt;$B274,$B290&lt;&gt;$B275,$B291&lt;&gt;$B276,$B292&lt;&gt;$B277,$B293&lt;&gt;$B278,$B294&lt;&gt;$B279,$B295&lt;&gt;$B280,$B296&lt;&gt;$B281,$B297&lt;&gt;$B282,$B298&lt;&gt;$B283),IF($B290&lt;&gt;$B275,G275/INDEX($C273:$AJ283,3,MATCH(IF('Data-solution'!$A$3="Maximize",MAX($C284:$AI284),MIN($C284:$AI284)),$C284:$AI284,0)),G275-INDEX($C273:$AJ283,3,MATCH(IF('Data-solution'!$A$3="Maximize",MAX($C284:$AI284),MIN($C284:$AI284)),$C284:$AI284,0))*INDEX(G273:$AJ283,MATCH(MIN($AK273:$AK283),$AK273:$AK283,0),1)/INDEX($C273:$AJ283,MATCH(MIN($AK273:$AK283),$AK273:$AK283,0),MATCH(IF('Data-solution'!$A$3="Maximize",MAX($C284:$AI284),MIN($C284:$AI284)),$C284:$AI284,0))),G275)</f>
        <v>0</v>
      </c>
      <c r="H290" s="1">
        <f>IF(OR($B288&lt;&gt;$B273,$B289&lt;&gt;$B274,$B290&lt;&gt;$B275,$B291&lt;&gt;$B276,$B292&lt;&gt;$B277,$B293&lt;&gt;$B278,$B294&lt;&gt;$B279,$B295&lt;&gt;$B280,$B296&lt;&gt;$B281,$B297&lt;&gt;$B282,$B298&lt;&gt;$B283),IF($B290&lt;&gt;$B275,H275/INDEX($C273:$AJ283,3,MATCH(IF('Data-solution'!$A$3="Maximize",MAX($C284:$AI284),MIN($C284:$AI284)),$C284:$AI284,0)),H275-INDEX($C273:$AJ283,3,MATCH(IF('Data-solution'!$A$3="Maximize",MAX($C284:$AI284),MIN($C284:$AI284)),$C284:$AI284,0))*INDEX(H273:$AJ283,MATCH(MIN($AK273:$AK283),$AK273:$AK283,0),1)/INDEX($C273:$AJ283,MATCH(MIN($AK273:$AK283),$AK273:$AK283,0),MATCH(IF('Data-solution'!$A$3="Maximize",MAX($C284:$AI284),MIN($C284:$AI284)),$C284:$AI284,0))),H275)</f>
        <v>0</v>
      </c>
      <c r="I290" s="1">
        <f>IF(OR($B288&lt;&gt;$B273,$B289&lt;&gt;$B274,$B290&lt;&gt;$B275,$B291&lt;&gt;$B276,$B292&lt;&gt;$B277,$B293&lt;&gt;$B278,$B294&lt;&gt;$B279,$B295&lt;&gt;$B280,$B296&lt;&gt;$B281,$B297&lt;&gt;$B282,$B298&lt;&gt;$B283),IF($B290&lt;&gt;$B275,I275/INDEX($C273:$AJ283,3,MATCH(IF('Data-solution'!$A$3="Maximize",MAX($C284:$AI284),MIN($C284:$AI284)),$C284:$AI284,0)),I275-INDEX($C273:$AJ283,3,MATCH(IF('Data-solution'!$A$3="Maximize",MAX($C284:$AI284),MIN($C284:$AI284)),$C284:$AI284,0))*INDEX(I273:$AJ283,MATCH(MIN($AK273:$AK283),$AK273:$AK283,0),1)/INDEX($C273:$AJ283,MATCH(MIN($AK273:$AK283),$AK273:$AK283,0),MATCH(IF('Data-solution'!$A$3="Maximize",MAX($C284:$AI284),MIN($C284:$AI284)),$C284:$AI284,0))),I275)</f>
        <v>0</v>
      </c>
      <c r="J290" s="1">
        <f>IF(OR($B288&lt;&gt;$B273,$B289&lt;&gt;$B274,$B290&lt;&gt;$B275,$B291&lt;&gt;$B276,$B292&lt;&gt;$B277,$B293&lt;&gt;$B278,$B294&lt;&gt;$B279,$B295&lt;&gt;$B280,$B296&lt;&gt;$B281,$B297&lt;&gt;$B282,$B298&lt;&gt;$B283),IF($B290&lt;&gt;$B275,J275/INDEX($C273:$AJ283,3,MATCH(IF('Data-solution'!$A$3="Maximize",MAX($C284:$AI284),MIN($C284:$AI284)),$C284:$AI284,0)),J275-INDEX($C273:$AJ283,3,MATCH(IF('Data-solution'!$A$3="Maximize",MAX($C284:$AI284),MIN($C284:$AI284)),$C284:$AI284,0))*INDEX(J273:$AJ283,MATCH(MIN($AK273:$AK283),$AK273:$AK283,0),1)/INDEX($C273:$AJ283,MATCH(MIN($AK273:$AK283),$AK273:$AK283,0),MATCH(IF('Data-solution'!$A$3="Maximize",MAX($C284:$AI284),MIN($C284:$AI284)),$C284:$AI284,0))),J275)</f>
        <v>0</v>
      </c>
      <c r="K290" s="1">
        <f>IF(OR($B288&lt;&gt;$B273,$B289&lt;&gt;$B274,$B290&lt;&gt;$B275,$B291&lt;&gt;$B276,$B292&lt;&gt;$B277,$B293&lt;&gt;$B278,$B294&lt;&gt;$B279,$B295&lt;&gt;$B280,$B296&lt;&gt;$B281,$B297&lt;&gt;$B282,$B298&lt;&gt;$B283),IF($B290&lt;&gt;$B275,K275/INDEX($C273:$AJ283,3,MATCH(IF('Data-solution'!$A$3="Maximize",MAX($C284:$AI284),MIN($C284:$AI284)),$C284:$AI284,0)),K275-INDEX($C273:$AJ283,3,MATCH(IF('Data-solution'!$A$3="Maximize",MAX($C284:$AI284),MIN($C284:$AI284)),$C284:$AI284,0))*INDEX(K273:$AJ283,MATCH(MIN($AK273:$AK283),$AK273:$AK283,0),1)/INDEX($C273:$AJ283,MATCH(MIN($AK273:$AK283),$AK273:$AK283,0),MATCH(IF('Data-solution'!$A$3="Maximize",MAX($C284:$AI284),MIN($C284:$AI284)),$C284:$AI284,0))),K275)</f>
        <v>0</v>
      </c>
      <c r="L290" s="1">
        <f>IF(OR($B288&lt;&gt;$B273,$B289&lt;&gt;$B274,$B290&lt;&gt;$B275,$B291&lt;&gt;$B276,$B292&lt;&gt;$B277,$B293&lt;&gt;$B278,$B294&lt;&gt;$B279,$B295&lt;&gt;$B280,$B296&lt;&gt;$B281,$B297&lt;&gt;$B282,$B298&lt;&gt;$B283),IF($B290&lt;&gt;$B275,L275/INDEX($C273:$AJ283,3,MATCH(IF('Data-solution'!$A$3="Maximize",MAX($C284:$AI284),MIN($C284:$AI284)),$C284:$AI284,0)),L275-INDEX($C273:$AJ283,3,MATCH(IF('Data-solution'!$A$3="Maximize",MAX($C284:$AI284),MIN($C284:$AI284)),$C284:$AI284,0))*INDEX(L273:$AJ283,MATCH(MIN($AK273:$AK283),$AK273:$AK283,0),1)/INDEX($C273:$AJ283,MATCH(MIN($AK273:$AK283),$AK273:$AK283,0),MATCH(IF('Data-solution'!$A$3="Maximize",MAX($C284:$AI284),MIN($C284:$AI284)),$C284:$AI284,0))),L275)</f>
        <v>0</v>
      </c>
      <c r="M290" s="1">
        <f>IF(OR($B288&lt;&gt;$B273,$B289&lt;&gt;$B274,$B290&lt;&gt;$B275,$B291&lt;&gt;$B276,$B292&lt;&gt;$B277,$B293&lt;&gt;$B278,$B294&lt;&gt;$B279,$B295&lt;&gt;$B280,$B296&lt;&gt;$B281,$B297&lt;&gt;$B282,$B298&lt;&gt;$B283),IF($B290&lt;&gt;$B275,M275/INDEX($C273:$AJ283,3,MATCH(IF('Data-solution'!$A$3="Maximize",MAX($C284:$AI284),MIN($C284:$AI284)),$C284:$AI284,0)),M275-INDEX($C273:$AJ283,3,MATCH(IF('Data-solution'!$A$3="Maximize",MAX($C284:$AI284),MIN($C284:$AI284)),$C284:$AI284,0))*INDEX(M273:$AJ283,MATCH(MIN($AK273:$AK283),$AK273:$AK283,0),1)/INDEX($C273:$AJ283,MATCH(MIN($AK273:$AK283),$AK273:$AK283,0),MATCH(IF('Data-solution'!$A$3="Maximize",MAX($C284:$AI284),MIN($C284:$AI284)),$C284:$AI284,0))),M275)</f>
        <v>0</v>
      </c>
      <c r="N290" s="1">
        <f>IF(OR($B288&lt;&gt;$B273,$B289&lt;&gt;$B274,$B290&lt;&gt;$B275,$B291&lt;&gt;$B276,$B292&lt;&gt;$B277,$B293&lt;&gt;$B278,$B294&lt;&gt;$B279,$B295&lt;&gt;$B280,$B296&lt;&gt;$B281,$B297&lt;&gt;$B282,$B298&lt;&gt;$B283),IF($B290&lt;&gt;$B275,N275/INDEX($C273:$AJ283,3,MATCH(IF('Data-solution'!$A$3="Maximize",MAX($C284:$AI284),MIN($C284:$AI284)),$C284:$AI284,0)),N275-INDEX($C273:$AJ283,3,MATCH(IF('Data-solution'!$A$3="Maximize",MAX($C284:$AI284),MIN($C284:$AI284)),$C284:$AI284,0))*INDEX(N273:$AJ283,MATCH(MIN($AK273:$AK283),$AK273:$AK283,0),1)/INDEX($C273:$AJ283,MATCH(MIN($AK273:$AK283),$AK273:$AK283,0),MATCH(IF('Data-solution'!$A$3="Maximize",MAX($C284:$AI284),MIN($C284:$AI284)),$C284:$AI284,0))),N275)</f>
        <v>0</v>
      </c>
      <c r="O290" s="1">
        <f>IF(OR($B288&lt;&gt;$B273,$B289&lt;&gt;$B274,$B290&lt;&gt;$B275,$B291&lt;&gt;$B276,$B292&lt;&gt;$B277,$B293&lt;&gt;$B278,$B294&lt;&gt;$B279,$B295&lt;&gt;$B280,$B296&lt;&gt;$B281,$B297&lt;&gt;$B282,$B298&lt;&gt;$B283),IF($B290&lt;&gt;$B275,O275/INDEX($C273:$AJ283,3,MATCH(IF('Data-solution'!$A$3="Maximize",MAX($C284:$AI284),MIN($C284:$AI284)),$C284:$AI284,0)),O275-INDEX($C273:$AJ283,3,MATCH(IF('Data-solution'!$A$3="Maximize",MAX($C284:$AI284),MIN($C284:$AI284)),$C284:$AI284,0))*INDEX(O273:$AJ283,MATCH(MIN($AK273:$AK283),$AK273:$AK283,0),1)/INDEX($C273:$AJ283,MATCH(MIN($AK273:$AK283),$AK273:$AK283,0),MATCH(IF('Data-solution'!$A$3="Maximize",MAX($C284:$AI284),MIN($C284:$AI284)),$C284:$AI284,0))),O275)</f>
        <v>0</v>
      </c>
      <c r="P290" s="1">
        <f>IF(OR($B288&lt;&gt;$B273,$B289&lt;&gt;$B274,$B290&lt;&gt;$B275,$B291&lt;&gt;$B276,$B292&lt;&gt;$B277,$B293&lt;&gt;$B278,$B294&lt;&gt;$B279,$B295&lt;&gt;$B280,$B296&lt;&gt;$B281,$B297&lt;&gt;$B282,$B298&lt;&gt;$B283),IF($B290&lt;&gt;$B275,P275/INDEX($C273:$AJ283,3,MATCH(IF('Data-solution'!$A$3="Maximize",MAX($C284:$AI284),MIN($C284:$AI284)),$C284:$AI284,0)),P275-INDEX($C273:$AJ283,3,MATCH(IF('Data-solution'!$A$3="Maximize",MAX($C284:$AI284),MIN($C284:$AI284)),$C284:$AI284,0))*INDEX(P273:$AJ283,MATCH(MIN($AK273:$AK283),$AK273:$AK283,0),1)/INDEX($C273:$AJ283,MATCH(MIN($AK273:$AK283),$AK273:$AK283,0),MATCH(IF('Data-solution'!$A$3="Maximize",MAX($C284:$AI284),MIN($C284:$AI284)),$C284:$AI284,0))),P275)</f>
        <v>0.24999999999999997</v>
      </c>
      <c r="Q290" s="1">
        <f>IF(OR($B288&lt;&gt;$B273,$B289&lt;&gt;$B274,$B290&lt;&gt;$B275,$B291&lt;&gt;$B276,$B292&lt;&gt;$B277,$B293&lt;&gt;$B278,$B294&lt;&gt;$B279,$B295&lt;&gt;$B280,$B296&lt;&gt;$B281,$B297&lt;&gt;$B282,$B298&lt;&gt;$B283),IF($B290&lt;&gt;$B275,Q275/INDEX($C273:$AJ283,3,MATCH(IF('Data-solution'!$A$3="Maximize",MAX($C284:$AI284),MIN($C284:$AI284)),$C284:$AI284,0)),Q275-INDEX($C273:$AJ283,3,MATCH(IF('Data-solution'!$A$3="Maximize",MAX($C284:$AI284),MIN($C284:$AI284)),$C284:$AI284,0))*INDEX(Q273:$AJ283,MATCH(MIN($AK273:$AK283),$AK273:$AK283,0),1)/INDEX($C273:$AJ283,MATCH(MIN($AK273:$AK283),$AK273:$AK283,0),MATCH(IF('Data-solution'!$A$3="Maximize",MAX($C284:$AI284),MIN($C284:$AI284)),$C284:$AI284,0))),Q275)</f>
        <v>-0.49999999999999989</v>
      </c>
      <c r="R290" s="1">
        <f>IF(OR($B288&lt;&gt;$B273,$B289&lt;&gt;$B274,$B290&lt;&gt;$B275,$B291&lt;&gt;$B276,$B292&lt;&gt;$B277,$B293&lt;&gt;$B278,$B294&lt;&gt;$B279,$B295&lt;&gt;$B280,$B296&lt;&gt;$B281,$B297&lt;&gt;$B282,$B298&lt;&gt;$B283),IF($B290&lt;&gt;$B275,R275/INDEX($C273:$AJ283,3,MATCH(IF('Data-solution'!$A$3="Maximize",MAX($C284:$AI284),MIN($C284:$AI284)),$C284:$AI284,0)),R275-INDEX($C273:$AJ283,3,MATCH(IF('Data-solution'!$A$3="Maximize",MAX($C284:$AI284),MIN($C284:$AI284)),$C284:$AI284,0))*INDEX(R273:$AJ283,MATCH(MIN($AK273:$AK283),$AK273:$AK283,0),1)/INDEX($C273:$AJ283,MATCH(MIN($AK273:$AK283),$AK273:$AK283,0),MATCH(IF('Data-solution'!$A$3="Maximize",MAX($C284:$AI284),MIN($C284:$AI284)),$C284:$AI284,0))),R275)</f>
        <v>0</v>
      </c>
      <c r="S290" s="1">
        <f>IF(OR($B288&lt;&gt;$B273,$B289&lt;&gt;$B274,$B290&lt;&gt;$B275,$B291&lt;&gt;$B276,$B292&lt;&gt;$B277,$B293&lt;&gt;$B278,$B294&lt;&gt;$B279,$B295&lt;&gt;$B280,$B296&lt;&gt;$B281,$B297&lt;&gt;$B282,$B298&lt;&gt;$B283),IF($B290&lt;&gt;$B275,S275/INDEX($C273:$AJ283,3,MATCH(IF('Data-solution'!$A$3="Maximize",MAX($C284:$AI284),MIN($C284:$AI284)),$C284:$AI284,0)),S275-INDEX($C273:$AJ283,3,MATCH(IF('Data-solution'!$A$3="Maximize",MAX($C284:$AI284),MIN($C284:$AI284)),$C284:$AI284,0))*INDEX(S273:$AJ283,MATCH(MIN($AK273:$AK283),$AK273:$AK283,0),1)/INDEX($C273:$AJ283,MATCH(MIN($AK273:$AK283),$AK273:$AK283,0),MATCH(IF('Data-solution'!$A$3="Maximize",MAX($C284:$AI284),MIN($C284:$AI284)),$C284:$AI284,0))),S275)</f>
        <v>0</v>
      </c>
      <c r="T290" s="1">
        <f>IF(OR($B288&lt;&gt;$B273,$B289&lt;&gt;$B274,$B290&lt;&gt;$B275,$B291&lt;&gt;$B276,$B292&lt;&gt;$B277,$B293&lt;&gt;$B278,$B294&lt;&gt;$B279,$B295&lt;&gt;$B280,$B296&lt;&gt;$B281,$B297&lt;&gt;$B282,$B298&lt;&gt;$B283),IF($B290&lt;&gt;$B275,T275/INDEX($C273:$AJ283,3,MATCH(IF('Data-solution'!$A$3="Maximize",MAX($C284:$AI284),MIN($C284:$AI284)),$C284:$AI284,0)),T275-INDEX($C273:$AJ283,3,MATCH(IF('Data-solution'!$A$3="Maximize",MAX($C284:$AI284),MIN($C284:$AI284)),$C284:$AI284,0))*INDEX(T273:$AJ283,MATCH(MIN($AK273:$AK283),$AK273:$AK283,0),1)/INDEX($C273:$AJ283,MATCH(MIN($AK273:$AK283),$AK273:$AK283,0),MATCH(IF('Data-solution'!$A$3="Maximize",MAX($C284:$AI284),MIN($C284:$AI284)),$C284:$AI284,0))),T275)</f>
        <v>0</v>
      </c>
      <c r="U290" s="1">
        <f>IF(OR($B288&lt;&gt;$B273,$B289&lt;&gt;$B274,$B290&lt;&gt;$B275,$B291&lt;&gt;$B276,$B292&lt;&gt;$B277,$B293&lt;&gt;$B278,$B294&lt;&gt;$B279,$B295&lt;&gt;$B280,$B296&lt;&gt;$B281,$B297&lt;&gt;$B282,$B298&lt;&gt;$B283),IF($B290&lt;&gt;$B275,U275/INDEX($C273:$AJ283,3,MATCH(IF('Data-solution'!$A$3="Maximize",MAX($C284:$AI284),MIN($C284:$AI284)),$C284:$AI284,0)),U275-INDEX($C273:$AJ283,3,MATCH(IF('Data-solution'!$A$3="Maximize",MAX($C284:$AI284),MIN($C284:$AI284)),$C284:$AI284,0))*INDEX(U273:$AJ283,MATCH(MIN($AK273:$AK283),$AK273:$AK283,0),1)/INDEX($C273:$AJ283,MATCH(MIN($AK273:$AK283),$AK273:$AK283,0),MATCH(IF('Data-solution'!$A$3="Maximize",MAX($C284:$AI284),MIN($C284:$AI284)),$C284:$AI284,0))),U275)</f>
        <v>0</v>
      </c>
      <c r="V290" s="1">
        <f>IF(OR($B288&lt;&gt;$B273,$B289&lt;&gt;$B274,$B290&lt;&gt;$B275,$B291&lt;&gt;$B276,$B292&lt;&gt;$B277,$B293&lt;&gt;$B278,$B294&lt;&gt;$B279,$B295&lt;&gt;$B280,$B296&lt;&gt;$B281,$B297&lt;&gt;$B282,$B298&lt;&gt;$B283),IF($B290&lt;&gt;$B275,V275/INDEX($C273:$AJ283,3,MATCH(IF('Data-solution'!$A$3="Maximize",MAX($C284:$AI284),MIN($C284:$AI284)),$C284:$AI284,0)),V275-INDEX($C273:$AJ283,3,MATCH(IF('Data-solution'!$A$3="Maximize",MAX($C284:$AI284),MIN($C284:$AI284)),$C284:$AI284,0))*INDEX(V273:$AJ283,MATCH(MIN($AK273:$AK283),$AK273:$AK283,0),1)/INDEX($C273:$AJ283,MATCH(MIN($AK273:$AK283),$AK273:$AK283,0),MATCH(IF('Data-solution'!$A$3="Maximize",MAX($C284:$AI284),MIN($C284:$AI284)),$C284:$AI284,0))),V275)</f>
        <v>0</v>
      </c>
      <c r="W290" s="1">
        <f>IF(OR($B288&lt;&gt;$B273,$B289&lt;&gt;$B274,$B290&lt;&gt;$B275,$B291&lt;&gt;$B276,$B292&lt;&gt;$B277,$B293&lt;&gt;$B278,$B294&lt;&gt;$B279,$B295&lt;&gt;$B280,$B296&lt;&gt;$B281,$B297&lt;&gt;$B282,$B298&lt;&gt;$B283),IF($B290&lt;&gt;$B275,W275/INDEX($C273:$AJ283,3,MATCH(IF('Data-solution'!$A$3="Maximize",MAX($C284:$AI284),MIN($C284:$AI284)),$C284:$AI284,0)),W275-INDEX($C273:$AJ283,3,MATCH(IF('Data-solution'!$A$3="Maximize",MAX($C284:$AI284),MIN($C284:$AI284)),$C284:$AI284,0))*INDEX(W273:$AJ283,MATCH(MIN($AK273:$AK283),$AK273:$AK283,0),1)/INDEX($C273:$AJ283,MATCH(MIN($AK273:$AK283),$AK273:$AK283,0),MATCH(IF('Data-solution'!$A$3="Maximize",MAX($C284:$AI284),MIN($C284:$AI284)),$C284:$AI284,0))),W275)</f>
        <v>0</v>
      </c>
      <c r="X290" s="1">
        <f>IF(OR($B288&lt;&gt;$B273,$B289&lt;&gt;$B274,$B290&lt;&gt;$B275,$B291&lt;&gt;$B276,$B292&lt;&gt;$B277,$B293&lt;&gt;$B278,$B294&lt;&gt;$B279,$B295&lt;&gt;$B280,$B296&lt;&gt;$B281,$B297&lt;&gt;$B282,$B298&lt;&gt;$B283),IF($B290&lt;&gt;$B275,X275/INDEX($C273:$AJ283,3,MATCH(IF('Data-solution'!$A$3="Maximize",MAX($C284:$AI284),MIN($C284:$AI284)),$C284:$AI284,0)),X275-INDEX($C273:$AJ283,3,MATCH(IF('Data-solution'!$A$3="Maximize",MAX($C284:$AI284),MIN($C284:$AI284)),$C284:$AI284,0))*INDEX(X273:$AJ283,MATCH(MIN($AK273:$AK283),$AK273:$AK283,0),1)/INDEX($C273:$AJ283,MATCH(MIN($AK273:$AK283),$AK273:$AK283,0),MATCH(IF('Data-solution'!$A$3="Maximize",MAX($C284:$AI284),MIN($C284:$AI284)),$C284:$AI284,0))),X275)</f>
        <v>0</v>
      </c>
      <c r="Y290" s="1">
        <f>IF(OR($B288&lt;&gt;$B273,$B289&lt;&gt;$B274,$B290&lt;&gt;$B275,$B291&lt;&gt;$B276,$B292&lt;&gt;$B277,$B293&lt;&gt;$B278,$B294&lt;&gt;$B279,$B295&lt;&gt;$B280,$B296&lt;&gt;$B281,$B297&lt;&gt;$B282,$B298&lt;&gt;$B283),IF($B290&lt;&gt;$B275,Y275/INDEX($C273:$AJ283,3,MATCH(IF('Data-solution'!$A$3="Maximize",MAX($C284:$AI284),MIN($C284:$AI284)),$C284:$AI284,0)),Y275-INDEX($C273:$AJ283,3,MATCH(IF('Data-solution'!$A$3="Maximize",MAX($C284:$AI284),MIN($C284:$AI284)),$C284:$AI284,0))*INDEX(Y273:$AJ283,MATCH(MIN($AK273:$AK283),$AK273:$AK283,0),1)/INDEX($C273:$AJ283,MATCH(MIN($AK273:$AK283),$AK273:$AK283,0),MATCH(IF('Data-solution'!$A$3="Maximize",MAX($C284:$AI284),MIN($C284:$AI284)),$C284:$AI284,0))),Y275)</f>
        <v>0</v>
      </c>
      <c r="Z290" s="1">
        <f>IF(OR($B288&lt;&gt;$B273,$B289&lt;&gt;$B274,$B290&lt;&gt;$B275,$B291&lt;&gt;$B276,$B292&lt;&gt;$B277,$B293&lt;&gt;$B278,$B294&lt;&gt;$B279,$B295&lt;&gt;$B280,$B296&lt;&gt;$B281,$B297&lt;&gt;$B282,$B298&lt;&gt;$B283),IF($B290&lt;&gt;$B275,Z275/INDEX($C273:$AJ283,3,MATCH(IF('Data-solution'!$A$3="Maximize",MAX($C284:$AI284),MIN($C284:$AI284)),$C284:$AI284,0)),Z275-INDEX($C273:$AJ283,3,MATCH(IF('Data-solution'!$A$3="Maximize",MAX($C284:$AI284),MIN($C284:$AI284)),$C284:$AI284,0))*INDEX(Z273:$AJ283,MATCH(MIN($AK273:$AK283),$AK273:$AK283,0),1)/INDEX($C273:$AJ283,MATCH(MIN($AK273:$AK283),$AK273:$AK283,0),MATCH(IF('Data-solution'!$A$3="Maximize",MAX($C284:$AI284),MIN($C284:$AI284)),$C284:$AI284,0))),Z275)</f>
        <v>0</v>
      </c>
      <c r="AA290" s="1">
        <f>IF(OR($B288&lt;&gt;$B273,$B289&lt;&gt;$B274,$B290&lt;&gt;$B275,$B291&lt;&gt;$B276,$B292&lt;&gt;$B277,$B293&lt;&gt;$B278,$B294&lt;&gt;$B279,$B295&lt;&gt;$B280,$B296&lt;&gt;$B281,$B297&lt;&gt;$B282,$B298&lt;&gt;$B283),IF($B290&lt;&gt;$B275,AA275/INDEX($C273:$AJ283,3,MATCH(IF('Data-solution'!$A$3="Maximize",MAX($C284:$AI284),MIN($C284:$AI284)),$C284:$AI284,0)),AA275-INDEX($C273:$AJ283,3,MATCH(IF('Data-solution'!$A$3="Maximize",MAX($C284:$AI284),MIN($C284:$AI284)),$C284:$AI284,0))*INDEX(AA273:$AJ283,MATCH(MIN($AK273:$AK283),$AK273:$AK283,0),1)/INDEX($C273:$AJ283,MATCH(MIN($AK273:$AK283),$AK273:$AK283,0),MATCH(IF('Data-solution'!$A$3="Maximize",MAX($C284:$AI284),MIN($C284:$AI284)),$C284:$AI284,0))),AA275)</f>
        <v>0.24999999999999997</v>
      </c>
      <c r="AB290" s="1">
        <f>IF(OR($B288&lt;&gt;$B273,$B289&lt;&gt;$B274,$B290&lt;&gt;$B275,$B291&lt;&gt;$B276,$B292&lt;&gt;$B277,$B293&lt;&gt;$B278,$B294&lt;&gt;$B279,$B295&lt;&gt;$B280,$B296&lt;&gt;$B281,$B297&lt;&gt;$B282,$B298&lt;&gt;$B283),IF($B290&lt;&gt;$B275,AB275/INDEX($C273:$AJ283,3,MATCH(IF('Data-solution'!$A$3="Maximize",MAX($C284:$AI284),MIN($C284:$AI284)),$C284:$AI284,0)),AB275-INDEX($C273:$AJ283,3,MATCH(IF('Data-solution'!$A$3="Maximize",MAX($C284:$AI284),MIN($C284:$AI284)),$C284:$AI284,0))*INDEX(AB273:$AJ283,MATCH(MIN($AK273:$AK283),$AK273:$AK283,0),1)/INDEX($C273:$AJ283,MATCH(MIN($AK273:$AK283),$AK273:$AK283,0),MATCH(IF('Data-solution'!$A$3="Maximize",MAX($C284:$AI284),MIN($C284:$AI284)),$C284:$AI284,0))),AB275)</f>
        <v>-0.49999999999999989</v>
      </c>
      <c r="AC290" s="1">
        <f>IF(OR($B288&lt;&gt;$B273,$B289&lt;&gt;$B274,$B290&lt;&gt;$B275,$B291&lt;&gt;$B276,$B292&lt;&gt;$B277,$B293&lt;&gt;$B278,$B294&lt;&gt;$B279,$B295&lt;&gt;$B280,$B296&lt;&gt;$B281,$B297&lt;&gt;$B282,$B298&lt;&gt;$B283),IF($B290&lt;&gt;$B275,AC275/INDEX($C273:$AJ283,3,MATCH(IF('Data-solution'!$A$3="Maximize",MAX($C284:$AI284),MIN($C284:$AI284)),$C284:$AI284,0)),AC275-INDEX($C273:$AJ283,3,MATCH(IF('Data-solution'!$A$3="Maximize",MAX($C284:$AI284),MIN($C284:$AI284)),$C284:$AI284,0))*INDEX(AC273:$AJ283,MATCH(MIN($AK273:$AK283),$AK273:$AK283,0),1)/INDEX($C273:$AJ283,MATCH(MIN($AK273:$AK283),$AK273:$AK283,0),MATCH(IF('Data-solution'!$A$3="Maximize",MAX($C284:$AI284),MIN($C284:$AI284)),$C284:$AI284,0))),AC275)</f>
        <v>0</v>
      </c>
      <c r="AD290" s="1">
        <f>IF(OR($B288&lt;&gt;$B273,$B289&lt;&gt;$B274,$B290&lt;&gt;$B275,$B291&lt;&gt;$B276,$B292&lt;&gt;$B277,$B293&lt;&gt;$B278,$B294&lt;&gt;$B279,$B295&lt;&gt;$B280,$B296&lt;&gt;$B281,$B297&lt;&gt;$B282,$B298&lt;&gt;$B283),IF($B290&lt;&gt;$B275,AD275/INDEX($C273:$AJ283,3,MATCH(IF('Data-solution'!$A$3="Maximize",MAX($C284:$AI284),MIN($C284:$AI284)),$C284:$AI284,0)),AD275-INDEX($C273:$AJ283,3,MATCH(IF('Data-solution'!$A$3="Maximize",MAX($C284:$AI284),MIN($C284:$AI284)),$C284:$AI284,0))*INDEX(AD273:$AJ283,MATCH(MIN($AK273:$AK283),$AK273:$AK283,0),1)/INDEX($C273:$AJ283,MATCH(MIN($AK273:$AK283),$AK273:$AK283,0),MATCH(IF('Data-solution'!$A$3="Maximize",MAX($C284:$AI284),MIN($C284:$AI284)),$C284:$AI284,0))),AD275)</f>
        <v>0</v>
      </c>
      <c r="AE290" s="1">
        <f>IF(OR($B288&lt;&gt;$B273,$B289&lt;&gt;$B274,$B290&lt;&gt;$B275,$B291&lt;&gt;$B276,$B292&lt;&gt;$B277,$B293&lt;&gt;$B278,$B294&lt;&gt;$B279,$B295&lt;&gt;$B280,$B296&lt;&gt;$B281,$B297&lt;&gt;$B282,$B298&lt;&gt;$B283),IF($B290&lt;&gt;$B275,AE275/INDEX($C273:$AJ283,3,MATCH(IF('Data-solution'!$A$3="Maximize",MAX($C284:$AI284),MIN($C284:$AI284)),$C284:$AI284,0)),AE275-INDEX($C273:$AJ283,3,MATCH(IF('Data-solution'!$A$3="Maximize",MAX($C284:$AI284),MIN($C284:$AI284)),$C284:$AI284,0))*INDEX(AE273:$AJ283,MATCH(MIN($AK273:$AK283),$AK273:$AK283,0),1)/INDEX($C273:$AJ283,MATCH(MIN($AK273:$AK283),$AK273:$AK283,0),MATCH(IF('Data-solution'!$A$3="Maximize",MAX($C284:$AI284),MIN($C284:$AI284)),$C284:$AI284,0))),AE275)</f>
        <v>0</v>
      </c>
      <c r="AF290" s="1">
        <f>IF(OR($B288&lt;&gt;$B273,$B289&lt;&gt;$B274,$B290&lt;&gt;$B275,$B291&lt;&gt;$B276,$B292&lt;&gt;$B277,$B293&lt;&gt;$B278,$B294&lt;&gt;$B279,$B295&lt;&gt;$B280,$B296&lt;&gt;$B281,$B297&lt;&gt;$B282,$B298&lt;&gt;$B283),IF($B290&lt;&gt;$B275,AF275/INDEX($C273:$AJ283,3,MATCH(IF('Data-solution'!$A$3="Maximize",MAX($C284:$AI284),MIN($C284:$AI284)),$C284:$AI284,0)),AF275-INDEX($C273:$AJ283,3,MATCH(IF('Data-solution'!$A$3="Maximize",MAX($C284:$AI284),MIN($C284:$AI284)),$C284:$AI284,0))*INDEX(AF273:$AJ283,MATCH(MIN($AK273:$AK283),$AK273:$AK283,0),1)/INDEX($C273:$AJ283,MATCH(MIN($AK273:$AK283),$AK273:$AK283,0),MATCH(IF('Data-solution'!$A$3="Maximize",MAX($C284:$AI284),MIN($C284:$AI284)),$C284:$AI284,0))),AF275)</f>
        <v>0</v>
      </c>
      <c r="AG290" s="1">
        <f>IF(OR($B288&lt;&gt;$B273,$B289&lt;&gt;$B274,$B290&lt;&gt;$B275,$B291&lt;&gt;$B276,$B292&lt;&gt;$B277,$B293&lt;&gt;$B278,$B294&lt;&gt;$B279,$B295&lt;&gt;$B280,$B296&lt;&gt;$B281,$B297&lt;&gt;$B282,$B298&lt;&gt;$B283),IF($B290&lt;&gt;$B275,AG275/INDEX($C273:$AJ283,3,MATCH(IF('Data-solution'!$A$3="Maximize",MAX($C284:$AI284),MIN($C284:$AI284)),$C284:$AI284,0)),AG275-INDEX($C273:$AJ283,3,MATCH(IF('Data-solution'!$A$3="Maximize",MAX($C284:$AI284),MIN($C284:$AI284)),$C284:$AI284,0))*INDEX(AG273:$AJ283,MATCH(MIN($AK273:$AK283),$AK273:$AK283,0),1)/INDEX($C273:$AJ283,MATCH(MIN($AK273:$AK283),$AK273:$AK283,0),MATCH(IF('Data-solution'!$A$3="Maximize",MAX($C284:$AI284),MIN($C284:$AI284)),$C284:$AI284,0))),AG275)</f>
        <v>0</v>
      </c>
      <c r="AH290" s="1">
        <f>IF(OR($B288&lt;&gt;$B273,$B289&lt;&gt;$B274,$B290&lt;&gt;$B275,$B291&lt;&gt;$B276,$B292&lt;&gt;$B277,$B293&lt;&gt;$B278,$B294&lt;&gt;$B279,$B295&lt;&gt;$B280,$B296&lt;&gt;$B281,$B297&lt;&gt;$B282,$B298&lt;&gt;$B283),IF($B290&lt;&gt;$B275,AH275/INDEX($C273:$AJ283,3,MATCH(IF('Data-solution'!$A$3="Maximize",MAX($C284:$AI284),MIN($C284:$AI284)),$C284:$AI284,0)),AH275-INDEX($C273:$AJ283,3,MATCH(IF('Data-solution'!$A$3="Maximize",MAX($C284:$AI284),MIN($C284:$AI284)),$C284:$AI284,0))*INDEX(AH273:$AJ283,MATCH(MIN($AK273:$AK283),$AK273:$AK283,0),1)/INDEX($C273:$AJ283,MATCH(MIN($AK273:$AK283),$AK273:$AK283,0),MATCH(IF('Data-solution'!$A$3="Maximize",MAX($C284:$AI284),MIN($C284:$AI284)),$C284:$AI284,0))),AH275)</f>
        <v>0</v>
      </c>
      <c r="AI290" s="1">
        <f>IF(OR($B288&lt;&gt;$B273,$B289&lt;&gt;$B274,$B290&lt;&gt;$B275,$B291&lt;&gt;$B276,$B292&lt;&gt;$B277,$B293&lt;&gt;$B278,$B294&lt;&gt;$B279,$B295&lt;&gt;$B280,$B296&lt;&gt;$B281,$B297&lt;&gt;$B282,$B298&lt;&gt;$B283),IF($B290&lt;&gt;$B275,AI275/INDEX($C273:$AJ283,3,MATCH(IF('Data-solution'!$A$3="Maximize",MAX($C284:$AI284),MIN($C284:$AI284)),$C284:$AI284,0)),AI275-INDEX($C273:$AJ283,3,MATCH(IF('Data-solution'!$A$3="Maximize",MAX($C284:$AI284),MIN($C284:$AI284)),$C284:$AI284,0))*INDEX(AI273:$AJ283,MATCH(MIN($AK273:$AK283),$AK273:$AK283,0),1)/INDEX($C273:$AJ283,MATCH(MIN($AK273:$AK283),$AK273:$AK283,0),MATCH(IF('Data-solution'!$A$3="Maximize",MAX($C284:$AI284),MIN($C284:$AI284)),$C284:$AI284,0))),AI275)</f>
        <v>0</v>
      </c>
      <c r="AJ290" s="1">
        <f>IF(OR($B288&lt;&gt;$B273,$B289&lt;&gt;$B274,$B290&lt;&gt;$B275,$B291&lt;&gt;$B276,$B292&lt;&gt;$B277,$B293&lt;&gt;$B278,$B294&lt;&gt;$B279,$B295&lt;&gt;$B280,$B296&lt;&gt;$B281,$B297&lt;&gt;$B282,$B298&lt;&gt;$B283),IF($B290&lt;&gt;$B275,AJ275/INDEX($C273:$AJ283,3,MATCH(IF('Data-solution'!$A$3="Maximize",MAX($C284:$AI284),MIN($C284:$AI284)),$C284:$AI284,0)),AJ275-INDEX($C273:$AJ283,3,MATCH(IF('Data-solution'!$A$3="Maximize",MAX($C284:$AI284),MIN($C284:$AI284)),$C284:$AI284,0))*INDEX(AJ273:$AJ283,MATCH(MIN($AK273:$AK283),$AK273:$AK283,0),1)/INDEX($C273:$AJ283,MATCH(MIN($AK273:$AK283),$AK273:$AK283,0),MATCH(IF('Data-solution'!$A$3="Maximize",MAX($C284:$AI284),MIN($C284:$AI284)),$C284:$AI284,0))),AJ275)</f>
        <v>300</v>
      </c>
      <c r="AK290" s="1" t="str">
        <f>IF(INDEX(C290:X290,1,MATCH(IF('Data-solution'!A$3="Maximize",MAX(C299:X299),MIN(C299:X299)),C299:X299,0))&gt;0,AJ290/INDEX(C290:X290,1,MATCH(IF('Data-solution'!A$3="Maximize",MAX(C299:X299),MIN(C299:X299)),C299:X299,0))," ")</f>
        <v xml:space="preserve"> </v>
      </c>
    </row>
    <row r="291" spans="1:37" ht="18" customHeight="1" x14ac:dyDescent="0.2">
      <c r="A291" s="1">
        <f t="shared" ref="A291" si="259">INDEX(C286:AI286,1,MATCH(B291,C287:AI287,0))</f>
        <v>150</v>
      </c>
      <c r="B291" s="2" t="str">
        <f>IF(AND('Data-solution'!A$3="Maximize",COUNTIF(C284:X284,"&gt;"&amp;0)&gt;0,AK276=MIN(AK273:AK283),COUNTIF(B288:B290,INDEX(C272:X272,1,MATCH(MAX(C284:X284),C284:X284,0)))=0),INDEX(C272:X272,1,MATCH(MAX(C284:X284),C284:X284,0)),IF(AND('Data-solution'!A$3="Minimize",COUNTIF(C284:X284,"&lt;"&amp;0)&gt;0,AK276=MIN(AK273:AK283),COUNTIF(B288:B290,INDEX(C272:X272,1,MATCH(MIN(C284:X284),C284:X284,0)))=0),INDEX(C272:X272,1,MATCH(MIN(C284:X284),C284:X284,0)),B276))</f>
        <v>X1</v>
      </c>
      <c r="C291" s="1">
        <f>IF(OR($B288&lt;&gt;$B273,$B289&lt;&gt;$B274,$B290&lt;&gt;$B275,$B291&lt;&gt;$B276,$B292&lt;&gt;$B277,$B293&lt;&gt;$B278,$B294&lt;&gt;$B279,$B295&lt;&gt;$B280,$B296&lt;&gt;$B281,$B297&lt;&gt;$B282,$B298&lt;&gt;$B283),IF($B291&lt;&gt;$B276,C276/INDEX($C273:$AJ283,4,MATCH(IF('Data-solution'!$A$3="Maximize",MAX($C284:$AI284),MIN($C284:$AI284)),$C284:$AI284,0)),C276-INDEX($C273:$AJ283,4,MATCH(IF('Data-solution'!$A$3="Maximize",MAX($C284:$AI284),MIN($C284:$AI284)),$C284:$AI284,0))*INDEX(C273:$AJ283,MATCH(MIN($AK273:$AK283),$AK273:$AK283,0),1)/INDEX($C273:$AJ283,MATCH(MIN($AK273:$AK283),$AK273:$AK283,0),MATCH(IF('Data-solution'!$A$3="Maximize",MAX($C284:$AI284),MIN($C284:$AI284)),$C284:$AI284,0))),C276)</f>
        <v>1</v>
      </c>
      <c r="D291" s="1">
        <f>IF(OR($B288&lt;&gt;$B273,$B289&lt;&gt;$B274,$B290&lt;&gt;$B275,$B291&lt;&gt;$B276,$B292&lt;&gt;$B277,$B293&lt;&gt;$B278,$B294&lt;&gt;$B279,$B295&lt;&gt;$B280,$B296&lt;&gt;$B281,$B297&lt;&gt;$B282,$B298&lt;&gt;$B283),IF($B291&lt;&gt;$B276,D276/INDEX($C273:$AJ283,4,MATCH(IF('Data-solution'!$A$3="Maximize",MAX($C284:$AI284),MIN($C284:$AI284)),$C284:$AI284,0)),D276-INDEX($C273:$AJ283,4,MATCH(IF('Data-solution'!$A$3="Maximize",MAX($C284:$AI284),MIN($C284:$AI284)),$C284:$AI284,0))*INDEX(D273:$AJ283,MATCH(MIN($AK273:$AK283),$AK273:$AK283,0),1)/INDEX($C273:$AJ283,MATCH(MIN($AK273:$AK283),$AK273:$AK283,0),MATCH(IF('Data-solution'!$A$3="Maximize",MAX($C284:$AI284),MIN($C284:$AI284)),$C284:$AI284,0))),D276)</f>
        <v>-1.25</v>
      </c>
      <c r="E291" s="1">
        <f>IF(OR($B288&lt;&gt;$B273,$B289&lt;&gt;$B274,$B290&lt;&gt;$B275,$B291&lt;&gt;$B276,$B292&lt;&gt;$B277,$B293&lt;&gt;$B278,$B294&lt;&gt;$B279,$B295&lt;&gt;$B280,$B296&lt;&gt;$B281,$B297&lt;&gt;$B282,$B298&lt;&gt;$B283),IF($B291&lt;&gt;$B276,E276/INDEX($C273:$AJ283,4,MATCH(IF('Data-solution'!$A$3="Maximize",MAX($C284:$AI284),MIN($C284:$AI284)),$C284:$AI284,0)),E276-INDEX($C273:$AJ283,4,MATCH(IF('Data-solution'!$A$3="Maximize",MAX($C284:$AI284),MIN($C284:$AI284)),$C284:$AI284,0))*INDEX(E273:$AJ283,MATCH(MIN($AK273:$AK283),$AK273:$AK283,0),1)/INDEX($C273:$AJ283,MATCH(MIN($AK273:$AK283),$AK273:$AK283,0),MATCH(IF('Data-solution'!$A$3="Maximize",MAX($C284:$AI284),MIN($C284:$AI284)),$C284:$AI284,0))),E276)</f>
        <v>0</v>
      </c>
      <c r="F291" s="1">
        <f>IF(OR($B288&lt;&gt;$B273,$B289&lt;&gt;$B274,$B290&lt;&gt;$B275,$B291&lt;&gt;$B276,$B292&lt;&gt;$B277,$B293&lt;&gt;$B278,$B294&lt;&gt;$B279,$B295&lt;&gt;$B280,$B296&lt;&gt;$B281,$B297&lt;&gt;$B282,$B298&lt;&gt;$B283),IF($B291&lt;&gt;$B276,F276/INDEX($C273:$AJ283,4,MATCH(IF('Data-solution'!$A$3="Maximize",MAX($C284:$AI284),MIN($C284:$AI284)),$C284:$AI284,0)),F276-INDEX($C273:$AJ283,4,MATCH(IF('Data-solution'!$A$3="Maximize",MAX($C284:$AI284),MIN($C284:$AI284)),$C284:$AI284,0))*INDEX(F273:$AJ283,MATCH(MIN($AK273:$AK283),$AK273:$AK283,0),1)/INDEX($C273:$AJ283,MATCH(MIN($AK273:$AK283),$AK273:$AK283,0),MATCH(IF('Data-solution'!$A$3="Maximize",MAX($C284:$AI284),MIN($C284:$AI284)),$C284:$AI284,0))),F276)</f>
        <v>0</v>
      </c>
      <c r="G291" s="1">
        <f>IF(OR($B288&lt;&gt;$B273,$B289&lt;&gt;$B274,$B290&lt;&gt;$B275,$B291&lt;&gt;$B276,$B292&lt;&gt;$B277,$B293&lt;&gt;$B278,$B294&lt;&gt;$B279,$B295&lt;&gt;$B280,$B296&lt;&gt;$B281,$B297&lt;&gt;$B282,$B298&lt;&gt;$B283),IF($B291&lt;&gt;$B276,G276/INDEX($C273:$AJ283,4,MATCH(IF('Data-solution'!$A$3="Maximize",MAX($C284:$AI284),MIN($C284:$AI284)),$C284:$AI284,0)),G276-INDEX($C273:$AJ283,4,MATCH(IF('Data-solution'!$A$3="Maximize",MAX($C284:$AI284),MIN($C284:$AI284)),$C284:$AI284,0))*INDEX(G273:$AJ283,MATCH(MIN($AK273:$AK283),$AK273:$AK283,0),1)/INDEX($C273:$AJ283,MATCH(MIN($AK273:$AK283),$AK273:$AK283,0),MATCH(IF('Data-solution'!$A$3="Maximize",MAX($C284:$AI284),MIN($C284:$AI284)),$C284:$AI284,0))),G276)</f>
        <v>0</v>
      </c>
      <c r="H291" s="1">
        <f>IF(OR($B288&lt;&gt;$B273,$B289&lt;&gt;$B274,$B290&lt;&gt;$B275,$B291&lt;&gt;$B276,$B292&lt;&gt;$B277,$B293&lt;&gt;$B278,$B294&lt;&gt;$B279,$B295&lt;&gt;$B280,$B296&lt;&gt;$B281,$B297&lt;&gt;$B282,$B298&lt;&gt;$B283),IF($B291&lt;&gt;$B276,H276/INDEX($C273:$AJ283,4,MATCH(IF('Data-solution'!$A$3="Maximize",MAX($C284:$AI284),MIN($C284:$AI284)),$C284:$AI284,0)),H276-INDEX($C273:$AJ283,4,MATCH(IF('Data-solution'!$A$3="Maximize",MAX($C284:$AI284),MIN($C284:$AI284)),$C284:$AI284,0))*INDEX(H273:$AJ283,MATCH(MIN($AK273:$AK283),$AK273:$AK283,0),1)/INDEX($C273:$AJ283,MATCH(MIN($AK273:$AK283),$AK273:$AK283,0),MATCH(IF('Data-solution'!$A$3="Maximize",MAX($C284:$AI284),MIN($C284:$AI284)),$C284:$AI284,0))),H276)</f>
        <v>0</v>
      </c>
      <c r="I291" s="1">
        <f>IF(OR($B288&lt;&gt;$B273,$B289&lt;&gt;$B274,$B290&lt;&gt;$B275,$B291&lt;&gt;$B276,$B292&lt;&gt;$B277,$B293&lt;&gt;$B278,$B294&lt;&gt;$B279,$B295&lt;&gt;$B280,$B296&lt;&gt;$B281,$B297&lt;&gt;$B282,$B298&lt;&gt;$B283),IF($B291&lt;&gt;$B276,I276/INDEX($C273:$AJ283,4,MATCH(IF('Data-solution'!$A$3="Maximize",MAX($C284:$AI284),MIN($C284:$AI284)),$C284:$AI284,0)),I276-INDEX($C273:$AJ283,4,MATCH(IF('Data-solution'!$A$3="Maximize",MAX($C284:$AI284),MIN($C284:$AI284)),$C284:$AI284,0))*INDEX(I273:$AJ283,MATCH(MIN($AK273:$AK283),$AK273:$AK283,0),1)/INDEX($C273:$AJ283,MATCH(MIN($AK273:$AK283),$AK273:$AK283,0),MATCH(IF('Data-solution'!$A$3="Maximize",MAX($C284:$AI284),MIN($C284:$AI284)),$C284:$AI284,0))),I276)</f>
        <v>0</v>
      </c>
      <c r="J291" s="1">
        <f>IF(OR($B288&lt;&gt;$B273,$B289&lt;&gt;$B274,$B290&lt;&gt;$B275,$B291&lt;&gt;$B276,$B292&lt;&gt;$B277,$B293&lt;&gt;$B278,$B294&lt;&gt;$B279,$B295&lt;&gt;$B280,$B296&lt;&gt;$B281,$B297&lt;&gt;$B282,$B298&lt;&gt;$B283),IF($B291&lt;&gt;$B276,J276/INDEX($C273:$AJ283,4,MATCH(IF('Data-solution'!$A$3="Maximize",MAX($C284:$AI284),MIN($C284:$AI284)),$C284:$AI284,0)),J276-INDEX($C273:$AJ283,4,MATCH(IF('Data-solution'!$A$3="Maximize",MAX($C284:$AI284),MIN($C284:$AI284)),$C284:$AI284,0))*INDEX(J273:$AJ283,MATCH(MIN($AK273:$AK283),$AK273:$AK283,0),1)/INDEX($C273:$AJ283,MATCH(MIN($AK273:$AK283),$AK273:$AK283,0),MATCH(IF('Data-solution'!$A$3="Maximize",MAX($C284:$AI284),MIN($C284:$AI284)),$C284:$AI284,0))),J276)</f>
        <v>0</v>
      </c>
      <c r="K291" s="1">
        <f>IF(OR($B288&lt;&gt;$B273,$B289&lt;&gt;$B274,$B290&lt;&gt;$B275,$B291&lt;&gt;$B276,$B292&lt;&gt;$B277,$B293&lt;&gt;$B278,$B294&lt;&gt;$B279,$B295&lt;&gt;$B280,$B296&lt;&gt;$B281,$B297&lt;&gt;$B282,$B298&lt;&gt;$B283),IF($B291&lt;&gt;$B276,K276/INDEX($C273:$AJ283,4,MATCH(IF('Data-solution'!$A$3="Maximize",MAX($C284:$AI284),MIN($C284:$AI284)),$C284:$AI284,0)),K276-INDEX($C273:$AJ283,4,MATCH(IF('Data-solution'!$A$3="Maximize",MAX($C284:$AI284),MIN($C284:$AI284)),$C284:$AI284,0))*INDEX(K273:$AJ283,MATCH(MIN($AK273:$AK283),$AK273:$AK283,0),1)/INDEX($C273:$AJ283,MATCH(MIN($AK273:$AK283),$AK273:$AK283,0),MATCH(IF('Data-solution'!$A$3="Maximize",MAX($C284:$AI284),MIN($C284:$AI284)),$C284:$AI284,0))),K276)</f>
        <v>0</v>
      </c>
      <c r="L291" s="1">
        <f>IF(OR($B288&lt;&gt;$B273,$B289&lt;&gt;$B274,$B290&lt;&gt;$B275,$B291&lt;&gt;$B276,$B292&lt;&gt;$B277,$B293&lt;&gt;$B278,$B294&lt;&gt;$B279,$B295&lt;&gt;$B280,$B296&lt;&gt;$B281,$B297&lt;&gt;$B282,$B298&lt;&gt;$B283),IF($B291&lt;&gt;$B276,L276/INDEX($C273:$AJ283,4,MATCH(IF('Data-solution'!$A$3="Maximize",MAX($C284:$AI284),MIN($C284:$AI284)),$C284:$AI284,0)),L276-INDEX($C273:$AJ283,4,MATCH(IF('Data-solution'!$A$3="Maximize",MAX($C284:$AI284),MIN($C284:$AI284)),$C284:$AI284,0))*INDEX(L273:$AJ283,MATCH(MIN($AK273:$AK283),$AK273:$AK283,0),1)/INDEX($C273:$AJ283,MATCH(MIN($AK273:$AK283),$AK273:$AK283,0),MATCH(IF('Data-solution'!$A$3="Maximize",MAX($C284:$AI284),MIN($C284:$AI284)),$C284:$AI284,0))),L276)</f>
        <v>0</v>
      </c>
      <c r="M291" s="1">
        <f>IF(OR($B288&lt;&gt;$B273,$B289&lt;&gt;$B274,$B290&lt;&gt;$B275,$B291&lt;&gt;$B276,$B292&lt;&gt;$B277,$B293&lt;&gt;$B278,$B294&lt;&gt;$B279,$B295&lt;&gt;$B280,$B296&lt;&gt;$B281,$B297&lt;&gt;$B282,$B298&lt;&gt;$B283),IF($B291&lt;&gt;$B276,M276/INDEX($C273:$AJ283,4,MATCH(IF('Data-solution'!$A$3="Maximize",MAX($C284:$AI284),MIN($C284:$AI284)),$C284:$AI284,0)),M276-INDEX($C273:$AJ283,4,MATCH(IF('Data-solution'!$A$3="Maximize",MAX($C284:$AI284),MIN($C284:$AI284)),$C284:$AI284,0))*INDEX(M273:$AJ283,MATCH(MIN($AK273:$AK283),$AK273:$AK283,0),1)/INDEX($C273:$AJ283,MATCH(MIN($AK273:$AK283),$AK273:$AK283,0),MATCH(IF('Data-solution'!$A$3="Maximize",MAX($C284:$AI284),MIN($C284:$AI284)),$C284:$AI284,0))),M276)</f>
        <v>0</v>
      </c>
      <c r="N291" s="1">
        <f>IF(OR($B288&lt;&gt;$B273,$B289&lt;&gt;$B274,$B290&lt;&gt;$B275,$B291&lt;&gt;$B276,$B292&lt;&gt;$B277,$B293&lt;&gt;$B278,$B294&lt;&gt;$B279,$B295&lt;&gt;$B280,$B296&lt;&gt;$B281,$B297&lt;&gt;$B282,$B298&lt;&gt;$B283),IF($B291&lt;&gt;$B276,N276/INDEX($C273:$AJ283,4,MATCH(IF('Data-solution'!$A$3="Maximize",MAX($C284:$AI284),MIN($C284:$AI284)),$C284:$AI284,0)),N276-INDEX($C273:$AJ283,4,MATCH(IF('Data-solution'!$A$3="Maximize",MAX($C284:$AI284),MIN($C284:$AI284)),$C284:$AI284,0))*INDEX(N273:$AJ283,MATCH(MIN($AK273:$AK283),$AK273:$AK283,0),1)/INDEX($C273:$AJ283,MATCH(MIN($AK273:$AK283),$AK273:$AK283,0),MATCH(IF('Data-solution'!$A$3="Maximize",MAX($C284:$AI284),MIN($C284:$AI284)),$C284:$AI284,0))),N276)</f>
        <v>0</v>
      </c>
      <c r="O291" s="1">
        <f>IF(OR($B288&lt;&gt;$B273,$B289&lt;&gt;$B274,$B290&lt;&gt;$B275,$B291&lt;&gt;$B276,$B292&lt;&gt;$B277,$B293&lt;&gt;$B278,$B294&lt;&gt;$B279,$B295&lt;&gt;$B280,$B296&lt;&gt;$B281,$B297&lt;&gt;$B282,$B298&lt;&gt;$B283),IF($B291&lt;&gt;$B276,O276/INDEX($C273:$AJ283,4,MATCH(IF('Data-solution'!$A$3="Maximize",MAX($C284:$AI284),MIN($C284:$AI284)),$C284:$AI284,0)),O276-INDEX($C273:$AJ283,4,MATCH(IF('Data-solution'!$A$3="Maximize",MAX($C284:$AI284),MIN($C284:$AI284)),$C284:$AI284,0))*INDEX(O273:$AJ283,MATCH(MIN($AK273:$AK283),$AK273:$AK283,0),1)/INDEX($C273:$AJ283,MATCH(MIN($AK273:$AK283),$AK273:$AK283,0),MATCH(IF('Data-solution'!$A$3="Maximize",MAX($C284:$AI284),MIN($C284:$AI284)),$C284:$AI284,0))),O276)</f>
        <v>0</v>
      </c>
      <c r="P291" s="1">
        <f>IF(OR($B288&lt;&gt;$B273,$B289&lt;&gt;$B274,$B290&lt;&gt;$B275,$B291&lt;&gt;$B276,$B292&lt;&gt;$B277,$B293&lt;&gt;$B278,$B294&lt;&gt;$B279,$B295&lt;&gt;$B280,$B296&lt;&gt;$B281,$B297&lt;&gt;$B282,$B298&lt;&gt;$B283),IF($B291&lt;&gt;$B276,P276/INDEX($C273:$AJ283,4,MATCH(IF('Data-solution'!$A$3="Maximize",MAX($C284:$AI284),MIN($C284:$AI284)),$C284:$AI284,0)),P276-INDEX($C273:$AJ283,4,MATCH(IF('Data-solution'!$A$3="Maximize",MAX($C284:$AI284),MIN($C284:$AI284)),$C284:$AI284,0))*INDEX(P273:$AJ283,MATCH(MIN($AK273:$AK283),$AK273:$AK283,0),1)/INDEX($C273:$AJ283,MATCH(MIN($AK273:$AK283),$AK273:$AK283,0),MATCH(IF('Data-solution'!$A$3="Maximize",MAX($C284:$AI284),MIN($C284:$AI284)),$C284:$AI284,0))),P276)</f>
        <v>-0.24999999999999994</v>
      </c>
      <c r="Q291" s="1">
        <f>IF(OR($B288&lt;&gt;$B273,$B289&lt;&gt;$B274,$B290&lt;&gt;$B275,$B291&lt;&gt;$B276,$B292&lt;&gt;$B277,$B293&lt;&gt;$B278,$B294&lt;&gt;$B279,$B295&lt;&gt;$B280,$B296&lt;&gt;$B281,$B297&lt;&gt;$B282,$B298&lt;&gt;$B283),IF($B291&lt;&gt;$B276,Q276/INDEX($C273:$AJ283,4,MATCH(IF('Data-solution'!$A$3="Maximize",MAX($C284:$AI284),MIN($C284:$AI284)),$C284:$AI284,0)),Q276-INDEX($C273:$AJ283,4,MATCH(IF('Data-solution'!$A$3="Maximize",MAX($C284:$AI284),MIN($C284:$AI284)),$C284:$AI284,0))*INDEX(Q273:$AJ283,MATCH(MIN($AK273:$AK283),$AK273:$AK283,0),1)/INDEX($C273:$AJ283,MATCH(MIN($AK273:$AK283),$AK273:$AK283,0),MATCH(IF('Data-solution'!$A$3="Maximize",MAX($C284:$AI284),MIN($C284:$AI284)),$C284:$AI284,0))),Q276)</f>
        <v>1.4999999999999998</v>
      </c>
      <c r="R291" s="1">
        <f>IF(OR($B288&lt;&gt;$B273,$B289&lt;&gt;$B274,$B290&lt;&gt;$B275,$B291&lt;&gt;$B276,$B292&lt;&gt;$B277,$B293&lt;&gt;$B278,$B294&lt;&gt;$B279,$B295&lt;&gt;$B280,$B296&lt;&gt;$B281,$B297&lt;&gt;$B282,$B298&lt;&gt;$B283),IF($B291&lt;&gt;$B276,R276/INDEX($C273:$AJ283,4,MATCH(IF('Data-solution'!$A$3="Maximize",MAX($C284:$AI284),MIN($C284:$AI284)),$C284:$AI284,0)),R276-INDEX($C273:$AJ283,4,MATCH(IF('Data-solution'!$A$3="Maximize",MAX($C284:$AI284),MIN($C284:$AI284)),$C284:$AI284,0))*INDEX(R273:$AJ283,MATCH(MIN($AK273:$AK283),$AK273:$AK283,0),1)/INDEX($C273:$AJ283,MATCH(MIN($AK273:$AK283),$AK273:$AK283,0),MATCH(IF('Data-solution'!$A$3="Maximize",MAX($C284:$AI284),MIN($C284:$AI284)),$C284:$AI284,0))),R276)</f>
        <v>0</v>
      </c>
      <c r="S291" s="1">
        <f>IF(OR($B288&lt;&gt;$B273,$B289&lt;&gt;$B274,$B290&lt;&gt;$B275,$B291&lt;&gt;$B276,$B292&lt;&gt;$B277,$B293&lt;&gt;$B278,$B294&lt;&gt;$B279,$B295&lt;&gt;$B280,$B296&lt;&gt;$B281,$B297&lt;&gt;$B282,$B298&lt;&gt;$B283),IF($B291&lt;&gt;$B276,S276/INDEX($C273:$AJ283,4,MATCH(IF('Data-solution'!$A$3="Maximize",MAX($C284:$AI284),MIN($C284:$AI284)),$C284:$AI284,0)),S276-INDEX($C273:$AJ283,4,MATCH(IF('Data-solution'!$A$3="Maximize",MAX($C284:$AI284),MIN($C284:$AI284)),$C284:$AI284,0))*INDEX(S273:$AJ283,MATCH(MIN($AK273:$AK283),$AK273:$AK283,0),1)/INDEX($C273:$AJ283,MATCH(MIN($AK273:$AK283),$AK273:$AK283,0),MATCH(IF('Data-solution'!$A$3="Maximize",MAX($C284:$AI284),MIN($C284:$AI284)),$C284:$AI284,0))),S276)</f>
        <v>0</v>
      </c>
      <c r="T291" s="1">
        <f>IF(OR($B288&lt;&gt;$B273,$B289&lt;&gt;$B274,$B290&lt;&gt;$B275,$B291&lt;&gt;$B276,$B292&lt;&gt;$B277,$B293&lt;&gt;$B278,$B294&lt;&gt;$B279,$B295&lt;&gt;$B280,$B296&lt;&gt;$B281,$B297&lt;&gt;$B282,$B298&lt;&gt;$B283),IF($B291&lt;&gt;$B276,T276/INDEX($C273:$AJ283,4,MATCH(IF('Data-solution'!$A$3="Maximize",MAX($C284:$AI284),MIN($C284:$AI284)),$C284:$AI284,0)),T276-INDEX($C273:$AJ283,4,MATCH(IF('Data-solution'!$A$3="Maximize",MAX($C284:$AI284),MIN($C284:$AI284)),$C284:$AI284,0))*INDEX(T273:$AJ283,MATCH(MIN($AK273:$AK283),$AK273:$AK283,0),1)/INDEX($C273:$AJ283,MATCH(MIN($AK273:$AK283),$AK273:$AK283,0),MATCH(IF('Data-solution'!$A$3="Maximize",MAX($C284:$AI284),MIN($C284:$AI284)),$C284:$AI284,0))),T276)</f>
        <v>0</v>
      </c>
      <c r="U291" s="1">
        <f>IF(OR($B288&lt;&gt;$B273,$B289&lt;&gt;$B274,$B290&lt;&gt;$B275,$B291&lt;&gt;$B276,$B292&lt;&gt;$B277,$B293&lt;&gt;$B278,$B294&lt;&gt;$B279,$B295&lt;&gt;$B280,$B296&lt;&gt;$B281,$B297&lt;&gt;$B282,$B298&lt;&gt;$B283),IF($B291&lt;&gt;$B276,U276/INDEX($C273:$AJ283,4,MATCH(IF('Data-solution'!$A$3="Maximize",MAX($C284:$AI284),MIN($C284:$AI284)),$C284:$AI284,0)),U276-INDEX($C273:$AJ283,4,MATCH(IF('Data-solution'!$A$3="Maximize",MAX($C284:$AI284),MIN($C284:$AI284)),$C284:$AI284,0))*INDEX(U273:$AJ283,MATCH(MIN($AK273:$AK283),$AK273:$AK283,0),1)/INDEX($C273:$AJ283,MATCH(MIN($AK273:$AK283),$AK273:$AK283,0),MATCH(IF('Data-solution'!$A$3="Maximize",MAX($C284:$AI284),MIN($C284:$AI284)),$C284:$AI284,0))),U276)</f>
        <v>0</v>
      </c>
      <c r="V291" s="1">
        <f>IF(OR($B288&lt;&gt;$B273,$B289&lt;&gt;$B274,$B290&lt;&gt;$B275,$B291&lt;&gt;$B276,$B292&lt;&gt;$B277,$B293&lt;&gt;$B278,$B294&lt;&gt;$B279,$B295&lt;&gt;$B280,$B296&lt;&gt;$B281,$B297&lt;&gt;$B282,$B298&lt;&gt;$B283),IF($B291&lt;&gt;$B276,V276/INDEX($C273:$AJ283,4,MATCH(IF('Data-solution'!$A$3="Maximize",MAX($C284:$AI284),MIN($C284:$AI284)),$C284:$AI284,0)),V276-INDEX($C273:$AJ283,4,MATCH(IF('Data-solution'!$A$3="Maximize",MAX($C284:$AI284),MIN($C284:$AI284)),$C284:$AI284,0))*INDEX(V273:$AJ283,MATCH(MIN($AK273:$AK283),$AK273:$AK283,0),1)/INDEX($C273:$AJ283,MATCH(MIN($AK273:$AK283),$AK273:$AK283,0),MATCH(IF('Data-solution'!$A$3="Maximize",MAX($C284:$AI284),MIN($C284:$AI284)),$C284:$AI284,0))),V276)</f>
        <v>0</v>
      </c>
      <c r="W291" s="1">
        <f>IF(OR($B288&lt;&gt;$B273,$B289&lt;&gt;$B274,$B290&lt;&gt;$B275,$B291&lt;&gt;$B276,$B292&lt;&gt;$B277,$B293&lt;&gt;$B278,$B294&lt;&gt;$B279,$B295&lt;&gt;$B280,$B296&lt;&gt;$B281,$B297&lt;&gt;$B282,$B298&lt;&gt;$B283),IF($B291&lt;&gt;$B276,W276/INDEX($C273:$AJ283,4,MATCH(IF('Data-solution'!$A$3="Maximize",MAX($C284:$AI284),MIN($C284:$AI284)),$C284:$AI284,0)),W276-INDEX($C273:$AJ283,4,MATCH(IF('Data-solution'!$A$3="Maximize",MAX($C284:$AI284),MIN($C284:$AI284)),$C284:$AI284,0))*INDEX(W273:$AJ283,MATCH(MIN($AK273:$AK283),$AK273:$AK283,0),1)/INDEX($C273:$AJ283,MATCH(MIN($AK273:$AK283),$AK273:$AK283,0),MATCH(IF('Data-solution'!$A$3="Maximize",MAX($C284:$AI284),MIN($C284:$AI284)),$C284:$AI284,0))),W276)</f>
        <v>0</v>
      </c>
      <c r="X291" s="1">
        <f>IF(OR($B288&lt;&gt;$B273,$B289&lt;&gt;$B274,$B290&lt;&gt;$B275,$B291&lt;&gt;$B276,$B292&lt;&gt;$B277,$B293&lt;&gt;$B278,$B294&lt;&gt;$B279,$B295&lt;&gt;$B280,$B296&lt;&gt;$B281,$B297&lt;&gt;$B282,$B298&lt;&gt;$B283),IF($B291&lt;&gt;$B276,X276/INDEX($C273:$AJ283,4,MATCH(IF('Data-solution'!$A$3="Maximize",MAX($C284:$AI284),MIN($C284:$AI284)),$C284:$AI284,0)),X276-INDEX($C273:$AJ283,4,MATCH(IF('Data-solution'!$A$3="Maximize",MAX($C284:$AI284),MIN($C284:$AI284)),$C284:$AI284,0))*INDEX(X273:$AJ283,MATCH(MIN($AK273:$AK283),$AK273:$AK283,0),1)/INDEX($C273:$AJ283,MATCH(MIN($AK273:$AK283),$AK273:$AK283,0),MATCH(IF('Data-solution'!$A$3="Maximize",MAX($C284:$AI284),MIN($C284:$AI284)),$C284:$AI284,0))),X276)</f>
        <v>0</v>
      </c>
      <c r="Y291" s="1">
        <f>IF(OR($B288&lt;&gt;$B273,$B289&lt;&gt;$B274,$B290&lt;&gt;$B275,$B291&lt;&gt;$B276,$B292&lt;&gt;$B277,$B293&lt;&gt;$B278,$B294&lt;&gt;$B279,$B295&lt;&gt;$B280,$B296&lt;&gt;$B281,$B297&lt;&gt;$B282,$B298&lt;&gt;$B283),IF($B291&lt;&gt;$B276,Y276/INDEX($C273:$AJ283,4,MATCH(IF('Data-solution'!$A$3="Maximize",MAX($C284:$AI284),MIN($C284:$AI284)),$C284:$AI284,0)),Y276-INDEX($C273:$AJ283,4,MATCH(IF('Data-solution'!$A$3="Maximize",MAX($C284:$AI284),MIN($C284:$AI284)),$C284:$AI284,0))*INDEX(Y273:$AJ283,MATCH(MIN($AK273:$AK283),$AK273:$AK283,0),1)/INDEX($C273:$AJ283,MATCH(MIN($AK273:$AK283),$AK273:$AK283,0),MATCH(IF('Data-solution'!$A$3="Maximize",MAX($C284:$AI284),MIN($C284:$AI284)),$C284:$AI284,0))),Y276)</f>
        <v>0</v>
      </c>
      <c r="Z291" s="1">
        <f>IF(OR($B288&lt;&gt;$B273,$B289&lt;&gt;$B274,$B290&lt;&gt;$B275,$B291&lt;&gt;$B276,$B292&lt;&gt;$B277,$B293&lt;&gt;$B278,$B294&lt;&gt;$B279,$B295&lt;&gt;$B280,$B296&lt;&gt;$B281,$B297&lt;&gt;$B282,$B298&lt;&gt;$B283),IF($B291&lt;&gt;$B276,Z276/INDEX($C273:$AJ283,4,MATCH(IF('Data-solution'!$A$3="Maximize",MAX($C284:$AI284),MIN($C284:$AI284)),$C284:$AI284,0)),Z276-INDEX($C273:$AJ283,4,MATCH(IF('Data-solution'!$A$3="Maximize",MAX($C284:$AI284),MIN($C284:$AI284)),$C284:$AI284,0))*INDEX(Z273:$AJ283,MATCH(MIN($AK273:$AK283),$AK273:$AK283,0),1)/INDEX($C273:$AJ283,MATCH(MIN($AK273:$AK283),$AK273:$AK283,0),MATCH(IF('Data-solution'!$A$3="Maximize",MAX($C284:$AI284),MIN($C284:$AI284)),$C284:$AI284,0))),Z276)</f>
        <v>0</v>
      </c>
      <c r="AA291" s="1">
        <f>IF(OR($B288&lt;&gt;$B273,$B289&lt;&gt;$B274,$B290&lt;&gt;$B275,$B291&lt;&gt;$B276,$B292&lt;&gt;$B277,$B293&lt;&gt;$B278,$B294&lt;&gt;$B279,$B295&lt;&gt;$B280,$B296&lt;&gt;$B281,$B297&lt;&gt;$B282,$B298&lt;&gt;$B283),IF($B291&lt;&gt;$B276,AA276/INDEX($C273:$AJ283,4,MATCH(IF('Data-solution'!$A$3="Maximize",MAX($C284:$AI284),MIN($C284:$AI284)),$C284:$AI284,0)),AA276-INDEX($C273:$AJ283,4,MATCH(IF('Data-solution'!$A$3="Maximize",MAX($C284:$AI284),MIN($C284:$AI284)),$C284:$AI284,0))*INDEX(AA273:$AJ283,MATCH(MIN($AK273:$AK283),$AK273:$AK283,0),1)/INDEX($C273:$AJ283,MATCH(MIN($AK273:$AK283),$AK273:$AK283,0),MATCH(IF('Data-solution'!$A$3="Maximize",MAX($C284:$AI284),MIN($C284:$AI284)),$C284:$AI284,0))),AA276)</f>
        <v>-0.24999999999999994</v>
      </c>
      <c r="AB291" s="1">
        <f>IF(OR($B288&lt;&gt;$B273,$B289&lt;&gt;$B274,$B290&lt;&gt;$B275,$B291&lt;&gt;$B276,$B292&lt;&gt;$B277,$B293&lt;&gt;$B278,$B294&lt;&gt;$B279,$B295&lt;&gt;$B280,$B296&lt;&gt;$B281,$B297&lt;&gt;$B282,$B298&lt;&gt;$B283),IF($B291&lt;&gt;$B276,AB276/INDEX($C273:$AJ283,4,MATCH(IF('Data-solution'!$A$3="Maximize",MAX($C284:$AI284),MIN($C284:$AI284)),$C284:$AI284,0)),AB276-INDEX($C273:$AJ283,4,MATCH(IF('Data-solution'!$A$3="Maximize",MAX($C284:$AI284),MIN($C284:$AI284)),$C284:$AI284,0))*INDEX(AB273:$AJ283,MATCH(MIN($AK273:$AK283),$AK273:$AK283,0),1)/INDEX($C273:$AJ283,MATCH(MIN($AK273:$AK283),$AK273:$AK283,0),MATCH(IF('Data-solution'!$A$3="Maximize",MAX($C284:$AI284),MIN($C284:$AI284)),$C284:$AI284,0))),AB276)</f>
        <v>1.4999999999999998</v>
      </c>
      <c r="AC291" s="1">
        <f>IF(OR($B288&lt;&gt;$B273,$B289&lt;&gt;$B274,$B290&lt;&gt;$B275,$B291&lt;&gt;$B276,$B292&lt;&gt;$B277,$B293&lt;&gt;$B278,$B294&lt;&gt;$B279,$B295&lt;&gt;$B280,$B296&lt;&gt;$B281,$B297&lt;&gt;$B282,$B298&lt;&gt;$B283),IF($B291&lt;&gt;$B276,AC276/INDEX($C273:$AJ283,4,MATCH(IF('Data-solution'!$A$3="Maximize",MAX($C284:$AI284),MIN($C284:$AI284)),$C284:$AI284,0)),AC276-INDEX($C273:$AJ283,4,MATCH(IF('Data-solution'!$A$3="Maximize",MAX($C284:$AI284),MIN($C284:$AI284)),$C284:$AI284,0))*INDEX(AC273:$AJ283,MATCH(MIN($AK273:$AK283),$AK273:$AK283,0),1)/INDEX($C273:$AJ283,MATCH(MIN($AK273:$AK283),$AK273:$AK283,0),MATCH(IF('Data-solution'!$A$3="Maximize",MAX($C284:$AI284),MIN($C284:$AI284)),$C284:$AI284,0))),AC276)</f>
        <v>0</v>
      </c>
      <c r="AD291" s="1">
        <f>IF(OR($B288&lt;&gt;$B273,$B289&lt;&gt;$B274,$B290&lt;&gt;$B275,$B291&lt;&gt;$B276,$B292&lt;&gt;$B277,$B293&lt;&gt;$B278,$B294&lt;&gt;$B279,$B295&lt;&gt;$B280,$B296&lt;&gt;$B281,$B297&lt;&gt;$B282,$B298&lt;&gt;$B283),IF($B291&lt;&gt;$B276,AD276/INDEX($C273:$AJ283,4,MATCH(IF('Data-solution'!$A$3="Maximize",MAX($C284:$AI284),MIN($C284:$AI284)),$C284:$AI284,0)),AD276-INDEX($C273:$AJ283,4,MATCH(IF('Data-solution'!$A$3="Maximize",MAX($C284:$AI284),MIN($C284:$AI284)),$C284:$AI284,0))*INDEX(AD273:$AJ283,MATCH(MIN($AK273:$AK283),$AK273:$AK283,0),1)/INDEX($C273:$AJ283,MATCH(MIN($AK273:$AK283),$AK273:$AK283,0),MATCH(IF('Data-solution'!$A$3="Maximize",MAX($C284:$AI284),MIN($C284:$AI284)),$C284:$AI284,0))),AD276)</f>
        <v>0</v>
      </c>
      <c r="AE291" s="1">
        <f>IF(OR($B288&lt;&gt;$B273,$B289&lt;&gt;$B274,$B290&lt;&gt;$B275,$B291&lt;&gt;$B276,$B292&lt;&gt;$B277,$B293&lt;&gt;$B278,$B294&lt;&gt;$B279,$B295&lt;&gt;$B280,$B296&lt;&gt;$B281,$B297&lt;&gt;$B282,$B298&lt;&gt;$B283),IF($B291&lt;&gt;$B276,AE276/INDEX($C273:$AJ283,4,MATCH(IF('Data-solution'!$A$3="Maximize",MAX($C284:$AI284),MIN($C284:$AI284)),$C284:$AI284,0)),AE276-INDEX($C273:$AJ283,4,MATCH(IF('Data-solution'!$A$3="Maximize",MAX($C284:$AI284),MIN($C284:$AI284)),$C284:$AI284,0))*INDEX(AE273:$AJ283,MATCH(MIN($AK273:$AK283),$AK273:$AK283,0),1)/INDEX($C273:$AJ283,MATCH(MIN($AK273:$AK283),$AK273:$AK283,0),MATCH(IF('Data-solution'!$A$3="Maximize",MAX($C284:$AI284),MIN($C284:$AI284)),$C284:$AI284,0))),AE276)</f>
        <v>0</v>
      </c>
      <c r="AF291" s="1">
        <f>IF(OR($B288&lt;&gt;$B273,$B289&lt;&gt;$B274,$B290&lt;&gt;$B275,$B291&lt;&gt;$B276,$B292&lt;&gt;$B277,$B293&lt;&gt;$B278,$B294&lt;&gt;$B279,$B295&lt;&gt;$B280,$B296&lt;&gt;$B281,$B297&lt;&gt;$B282,$B298&lt;&gt;$B283),IF($B291&lt;&gt;$B276,AF276/INDEX($C273:$AJ283,4,MATCH(IF('Data-solution'!$A$3="Maximize",MAX($C284:$AI284),MIN($C284:$AI284)),$C284:$AI284,0)),AF276-INDEX($C273:$AJ283,4,MATCH(IF('Data-solution'!$A$3="Maximize",MAX($C284:$AI284),MIN($C284:$AI284)),$C284:$AI284,0))*INDEX(AF273:$AJ283,MATCH(MIN($AK273:$AK283),$AK273:$AK283,0),1)/INDEX($C273:$AJ283,MATCH(MIN($AK273:$AK283),$AK273:$AK283,0),MATCH(IF('Data-solution'!$A$3="Maximize",MAX($C284:$AI284),MIN($C284:$AI284)),$C284:$AI284,0))),AF276)</f>
        <v>0</v>
      </c>
      <c r="AG291" s="1">
        <f>IF(OR($B288&lt;&gt;$B273,$B289&lt;&gt;$B274,$B290&lt;&gt;$B275,$B291&lt;&gt;$B276,$B292&lt;&gt;$B277,$B293&lt;&gt;$B278,$B294&lt;&gt;$B279,$B295&lt;&gt;$B280,$B296&lt;&gt;$B281,$B297&lt;&gt;$B282,$B298&lt;&gt;$B283),IF($B291&lt;&gt;$B276,AG276/INDEX($C273:$AJ283,4,MATCH(IF('Data-solution'!$A$3="Maximize",MAX($C284:$AI284),MIN($C284:$AI284)),$C284:$AI284,0)),AG276-INDEX($C273:$AJ283,4,MATCH(IF('Data-solution'!$A$3="Maximize",MAX($C284:$AI284),MIN($C284:$AI284)),$C284:$AI284,0))*INDEX(AG273:$AJ283,MATCH(MIN($AK273:$AK283),$AK273:$AK283,0),1)/INDEX($C273:$AJ283,MATCH(MIN($AK273:$AK283),$AK273:$AK283,0),MATCH(IF('Data-solution'!$A$3="Maximize",MAX($C284:$AI284),MIN($C284:$AI284)),$C284:$AI284,0))),AG276)</f>
        <v>0</v>
      </c>
      <c r="AH291" s="1">
        <f>IF(OR($B288&lt;&gt;$B273,$B289&lt;&gt;$B274,$B290&lt;&gt;$B275,$B291&lt;&gt;$B276,$B292&lt;&gt;$B277,$B293&lt;&gt;$B278,$B294&lt;&gt;$B279,$B295&lt;&gt;$B280,$B296&lt;&gt;$B281,$B297&lt;&gt;$B282,$B298&lt;&gt;$B283),IF($B291&lt;&gt;$B276,AH276/INDEX($C273:$AJ283,4,MATCH(IF('Data-solution'!$A$3="Maximize",MAX($C284:$AI284),MIN($C284:$AI284)),$C284:$AI284,0)),AH276-INDEX($C273:$AJ283,4,MATCH(IF('Data-solution'!$A$3="Maximize",MAX($C284:$AI284),MIN($C284:$AI284)),$C284:$AI284,0))*INDEX(AH273:$AJ283,MATCH(MIN($AK273:$AK283),$AK273:$AK283,0),1)/INDEX($C273:$AJ283,MATCH(MIN($AK273:$AK283),$AK273:$AK283,0),MATCH(IF('Data-solution'!$A$3="Maximize",MAX($C284:$AI284),MIN($C284:$AI284)),$C284:$AI284,0))),AH276)</f>
        <v>0</v>
      </c>
      <c r="AI291" s="1">
        <f>IF(OR($B288&lt;&gt;$B273,$B289&lt;&gt;$B274,$B290&lt;&gt;$B275,$B291&lt;&gt;$B276,$B292&lt;&gt;$B277,$B293&lt;&gt;$B278,$B294&lt;&gt;$B279,$B295&lt;&gt;$B280,$B296&lt;&gt;$B281,$B297&lt;&gt;$B282,$B298&lt;&gt;$B283),IF($B291&lt;&gt;$B276,AI276/INDEX($C273:$AJ283,4,MATCH(IF('Data-solution'!$A$3="Maximize",MAX($C284:$AI284),MIN($C284:$AI284)),$C284:$AI284,0)),AI276-INDEX($C273:$AJ283,4,MATCH(IF('Data-solution'!$A$3="Maximize",MAX($C284:$AI284),MIN($C284:$AI284)),$C284:$AI284,0))*INDEX(AI273:$AJ283,MATCH(MIN($AK273:$AK283),$AK273:$AK283,0),1)/INDEX($C273:$AJ283,MATCH(MIN($AK273:$AK283),$AK273:$AK283,0),MATCH(IF('Data-solution'!$A$3="Maximize",MAX($C284:$AI284),MIN($C284:$AI284)),$C284:$AI284,0))),AI276)</f>
        <v>0</v>
      </c>
      <c r="AJ291" s="1">
        <f>IF(OR($B288&lt;&gt;$B273,$B289&lt;&gt;$B274,$B290&lt;&gt;$B275,$B291&lt;&gt;$B276,$B292&lt;&gt;$B277,$B293&lt;&gt;$B278,$B294&lt;&gt;$B279,$B295&lt;&gt;$B280,$B296&lt;&gt;$B281,$B297&lt;&gt;$B282,$B298&lt;&gt;$B283),IF($B291&lt;&gt;$B276,AJ276/INDEX($C273:$AJ283,4,MATCH(IF('Data-solution'!$A$3="Maximize",MAX($C284:$AI284),MIN($C284:$AI284)),$C284:$AI284,0)),AJ276-INDEX($C273:$AJ283,4,MATCH(IF('Data-solution'!$A$3="Maximize",MAX($C284:$AI284),MIN($C284:$AI284)),$C284:$AI284,0))*INDEX(AJ273:$AJ283,MATCH(MIN($AK273:$AK283),$AK273:$AK283,0),1)/INDEX($C273:$AJ283,MATCH(MIN($AK273:$AK283),$AK273:$AK283,0),MATCH(IF('Data-solution'!$A$3="Maximize",MAX($C284:$AI284),MIN($C284:$AI284)),$C284:$AI284,0))),AJ276)</f>
        <v>100.00000000000001</v>
      </c>
      <c r="AK291" s="1">
        <f>IF(INDEX(C291:X291,1,MATCH(IF('Data-solution'!A$3="Maximize",MAX(C299:X299),MIN(C299:X299)),C299:X299,0))&gt;0,AJ291/INDEX(C291:X291,1,MATCH(IF('Data-solution'!A$3="Maximize",MAX(C299:X299),MIN(C299:X299)),C299:X299,0))," ")</f>
        <v>100.00000000000001</v>
      </c>
    </row>
    <row r="292" spans="1:37" ht="18" customHeight="1" x14ac:dyDescent="0.2">
      <c r="A292" s="1">
        <f t="shared" ref="A292" si="260">INDEX(C286:AI286,1,MATCH(B292,C287:AI287,0))</f>
        <v>0</v>
      </c>
      <c r="B292" s="2" t="str">
        <f>IF(AND('Data-solution'!A$3="Maximize",COUNTIF(C284:X284,"&gt;"&amp;0)&gt;0,AK277=MIN(AK273:AK283),COUNTIF(B288:B291,INDEX(C272:X272,1,MATCH(MAX(C284:X284),C284:X284,0)))=0),INDEX(C272:X272,1,MATCH(MAX(C284:X284),C284:X284,0)),IF(AND('Data-solution'!A$3="Minimize",COUNTIF(C284:X284,"&lt;"&amp;0)&gt;0,AK277=MIN(AK273:AK283),COUNTIF(B288:B291,INDEX(C272:X272,1,MATCH(MIN(C284:X284),C284:X284,0)))=0),INDEX(C272:X272,1,MATCH(MIN(C284:X284),C284:X284,0)),B277))</f>
        <v>S5</v>
      </c>
      <c r="C292" s="1">
        <f>IF(OR($B288&lt;&gt;$B273,$B289&lt;&gt;$B274,$B290&lt;&gt;$B275,$B291&lt;&gt;$B276,$B292&lt;&gt;$B277,$B293&lt;&gt;$B278,$B294&lt;&gt;$B279,$B295&lt;&gt;$B280,$B296&lt;&gt;$B281,$B297&lt;&gt;$B282,$B298&lt;&gt;$B283),IF($B292&lt;&gt;$B277,C277/INDEX($C273:$AJ283,5,MATCH(IF('Data-solution'!$A$3="Maximize",MAX($C284:$AI284),MIN($C284:$AI284)),$C284:$AI284,0)),C277-INDEX($C273:$AJ283,5,MATCH(IF('Data-solution'!$A$3="Maximize",MAX($C284:$AI284),MIN($C284:$AI284)),$C284:$AI284,0))*INDEX(C273:$AJ283,MATCH(MIN($AK273:$AK283),$AK273:$AK283,0),1)/INDEX($C273:$AJ283,MATCH(MIN($AK273:$AK283),$AK273:$AK283,0),MATCH(IF('Data-solution'!$A$3="Maximize",MAX($C284:$AI284),MIN($C284:$AI284)),$C284:$AI284,0))),C277)</f>
        <v>0</v>
      </c>
      <c r="D292" s="1">
        <f>IF(OR($B288&lt;&gt;$B273,$B289&lt;&gt;$B274,$B290&lt;&gt;$B275,$B291&lt;&gt;$B276,$B292&lt;&gt;$B277,$B293&lt;&gt;$B278,$B294&lt;&gt;$B279,$B295&lt;&gt;$B280,$B296&lt;&gt;$B281,$B297&lt;&gt;$B282,$B298&lt;&gt;$B283),IF($B292&lt;&gt;$B277,D277/INDEX($C273:$AJ283,5,MATCH(IF('Data-solution'!$A$3="Maximize",MAX($C284:$AI284),MIN($C284:$AI284)),$C284:$AI284,0)),D277-INDEX($C273:$AJ283,5,MATCH(IF('Data-solution'!$A$3="Maximize",MAX($C284:$AI284),MIN($C284:$AI284)),$C284:$AI284,0))*INDEX(D273:$AJ283,MATCH(MIN($AK273:$AK283),$AK273:$AK283,0),1)/INDEX($C273:$AJ283,MATCH(MIN($AK273:$AK283),$AK273:$AK283,0),MATCH(IF('Data-solution'!$A$3="Maximize",MAX($C284:$AI284),MIN($C284:$AI284)),$C284:$AI284,0))),D277)</f>
        <v>0</v>
      </c>
      <c r="E292" s="1">
        <f>IF(OR($B288&lt;&gt;$B273,$B289&lt;&gt;$B274,$B290&lt;&gt;$B275,$B291&lt;&gt;$B276,$B292&lt;&gt;$B277,$B293&lt;&gt;$B278,$B294&lt;&gt;$B279,$B295&lt;&gt;$B280,$B296&lt;&gt;$B281,$B297&lt;&gt;$B282,$B298&lt;&gt;$B283),IF($B292&lt;&gt;$B277,E277/INDEX($C273:$AJ283,5,MATCH(IF('Data-solution'!$A$3="Maximize",MAX($C284:$AI284),MIN($C284:$AI284)),$C284:$AI284,0)),E277-INDEX($C273:$AJ283,5,MATCH(IF('Data-solution'!$A$3="Maximize",MAX($C284:$AI284),MIN($C284:$AI284)),$C284:$AI284,0))*INDEX(E273:$AJ283,MATCH(MIN($AK273:$AK283),$AK273:$AK283,0),1)/INDEX($C273:$AJ283,MATCH(MIN($AK273:$AK283),$AK273:$AK283,0),MATCH(IF('Data-solution'!$A$3="Maximize",MAX($C284:$AI284),MIN($C284:$AI284)),$C284:$AI284,0))),E277)</f>
        <v>0</v>
      </c>
      <c r="F292" s="1">
        <f>IF(OR($B288&lt;&gt;$B273,$B289&lt;&gt;$B274,$B290&lt;&gt;$B275,$B291&lt;&gt;$B276,$B292&lt;&gt;$B277,$B293&lt;&gt;$B278,$B294&lt;&gt;$B279,$B295&lt;&gt;$B280,$B296&lt;&gt;$B281,$B297&lt;&gt;$B282,$B298&lt;&gt;$B283),IF($B292&lt;&gt;$B277,F277/INDEX($C273:$AJ283,5,MATCH(IF('Data-solution'!$A$3="Maximize",MAX($C284:$AI284),MIN($C284:$AI284)),$C284:$AI284,0)),F277-INDEX($C273:$AJ283,5,MATCH(IF('Data-solution'!$A$3="Maximize",MAX($C284:$AI284),MIN($C284:$AI284)),$C284:$AI284,0))*INDEX(F273:$AJ283,MATCH(MIN($AK273:$AK283),$AK273:$AK283,0),1)/INDEX($C273:$AJ283,MATCH(MIN($AK273:$AK283),$AK273:$AK283,0),MATCH(IF('Data-solution'!$A$3="Maximize",MAX($C284:$AI284),MIN($C284:$AI284)),$C284:$AI284,0))),F277)</f>
        <v>0</v>
      </c>
      <c r="G292" s="1">
        <f>IF(OR($B288&lt;&gt;$B273,$B289&lt;&gt;$B274,$B290&lt;&gt;$B275,$B291&lt;&gt;$B276,$B292&lt;&gt;$B277,$B293&lt;&gt;$B278,$B294&lt;&gt;$B279,$B295&lt;&gt;$B280,$B296&lt;&gt;$B281,$B297&lt;&gt;$B282,$B298&lt;&gt;$B283),IF($B292&lt;&gt;$B277,G277/INDEX($C273:$AJ283,5,MATCH(IF('Data-solution'!$A$3="Maximize",MAX($C284:$AI284),MIN($C284:$AI284)),$C284:$AI284,0)),G277-INDEX($C273:$AJ283,5,MATCH(IF('Data-solution'!$A$3="Maximize",MAX($C284:$AI284),MIN($C284:$AI284)),$C284:$AI284,0))*INDEX(G273:$AJ283,MATCH(MIN($AK273:$AK283),$AK273:$AK283,0),1)/INDEX($C273:$AJ283,MATCH(MIN($AK273:$AK283),$AK273:$AK283,0),MATCH(IF('Data-solution'!$A$3="Maximize",MAX($C284:$AI284),MIN($C284:$AI284)),$C284:$AI284,0))),G277)</f>
        <v>0</v>
      </c>
      <c r="H292" s="1">
        <f>IF(OR($B288&lt;&gt;$B273,$B289&lt;&gt;$B274,$B290&lt;&gt;$B275,$B291&lt;&gt;$B276,$B292&lt;&gt;$B277,$B293&lt;&gt;$B278,$B294&lt;&gt;$B279,$B295&lt;&gt;$B280,$B296&lt;&gt;$B281,$B297&lt;&gt;$B282,$B298&lt;&gt;$B283),IF($B292&lt;&gt;$B277,H277/INDEX($C273:$AJ283,5,MATCH(IF('Data-solution'!$A$3="Maximize",MAX($C284:$AI284),MIN($C284:$AI284)),$C284:$AI284,0)),H277-INDEX($C273:$AJ283,5,MATCH(IF('Data-solution'!$A$3="Maximize",MAX($C284:$AI284),MIN($C284:$AI284)),$C284:$AI284,0))*INDEX(H273:$AJ283,MATCH(MIN($AK273:$AK283),$AK273:$AK283,0),1)/INDEX($C273:$AJ283,MATCH(MIN($AK273:$AK283),$AK273:$AK283,0),MATCH(IF('Data-solution'!$A$3="Maximize",MAX($C284:$AI284),MIN($C284:$AI284)),$C284:$AI284,0))),H277)</f>
        <v>0</v>
      </c>
      <c r="I292" s="1">
        <f>IF(OR($B288&lt;&gt;$B273,$B289&lt;&gt;$B274,$B290&lt;&gt;$B275,$B291&lt;&gt;$B276,$B292&lt;&gt;$B277,$B293&lt;&gt;$B278,$B294&lt;&gt;$B279,$B295&lt;&gt;$B280,$B296&lt;&gt;$B281,$B297&lt;&gt;$B282,$B298&lt;&gt;$B283),IF($B292&lt;&gt;$B277,I277/INDEX($C273:$AJ283,5,MATCH(IF('Data-solution'!$A$3="Maximize",MAX($C284:$AI284),MIN($C284:$AI284)),$C284:$AI284,0)),I277-INDEX($C273:$AJ283,5,MATCH(IF('Data-solution'!$A$3="Maximize",MAX($C284:$AI284),MIN($C284:$AI284)),$C284:$AI284,0))*INDEX(I273:$AJ283,MATCH(MIN($AK273:$AK283),$AK273:$AK283,0),1)/INDEX($C273:$AJ283,MATCH(MIN($AK273:$AK283),$AK273:$AK283,0),MATCH(IF('Data-solution'!$A$3="Maximize",MAX($C284:$AI284),MIN($C284:$AI284)),$C284:$AI284,0))),I277)</f>
        <v>0</v>
      </c>
      <c r="J292" s="1">
        <f>IF(OR($B288&lt;&gt;$B273,$B289&lt;&gt;$B274,$B290&lt;&gt;$B275,$B291&lt;&gt;$B276,$B292&lt;&gt;$B277,$B293&lt;&gt;$B278,$B294&lt;&gt;$B279,$B295&lt;&gt;$B280,$B296&lt;&gt;$B281,$B297&lt;&gt;$B282,$B298&lt;&gt;$B283),IF($B292&lt;&gt;$B277,J277/INDEX($C273:$AJ283,5,MATCH(IF('Data-solution'!$A$3="Maximize",MAX($C284:$AI284),MIN($C284:$AI284)),$C284:$AI284,0)),J277-INDEX($C273:$AJ283,5,MATCH(IF('Data-solution'!$A$3="Maximize",MAX($C284:$AI284),MIN($C284:$AI284)),$C284:$AI284,0))*INDEX(J273:$AJ283,MATCH(MIN($AK273:$AK283),$AK273:$AK283,0),1)/INDEX($C273:$AJ283,MATCH(MIN($AK273:$AK283),$AK273:$AK283,0),MATCH(IF('Data-solution'!$A$3="Maximize",MAX($C284:$AI284),MIN($C284:$AI284)),$C284:$AI284,0))),J277)</f>
        <v>0</v>
      </c>
      <c r="K292" s="1">
        <f>IF(OR($B288&lt;&gt;$B273,$B289&lt;&gt;$B274,$B290&lt;&gt;$B275,$B291&lt;&gt;$B276,$B292&lt;&gt;$B277,$B293&lt;&gt;$B278,$B294&lt;&gt;$B279,$B295&lt;&gt;$B280,$B296&lt;&gt;$B281,$B297&lt;&gt;$B282,$B298&lt;&gt;$B283),IF($B292&lt;&gt;$B277,K277/INDEX($C273:$AJ283,5,MATCH(IF('Data-solution'!$A$3="Maximize",MAX($C284:$AI284),MIN($C284:$AI284)),$C284:$AI284,0)),K277-INDEX($C273:$AJ283,5,MATCH(IF('Data-solution'!$A$3="Maximize",MAX($C284:$AI284),MIN($C284:$AI284)),$C284:$AI284,0))*INDEX(K273:$AJ283,MATCH(MIN($AK273:$AK283),$AK273:$AK283,0),1)/INDEX($C273:$AJ283,MATCH(MIN($AK273:$AK283),$AK273:$AK283,0),MATCH(IF('Data-solution'!$A$3="Maximize",MAX($C284:$AI284),MIN($C284:$AI284)),$C284:$AI284,0))),K277)</f>
        <v>0</v>
      </c>
      <c r="L292" s="1">
        <f>IF(OR($B288&lt;&gt;$B273,$B289&lt;&gt;$B274,$B290&lt;&gt;$B275,$B291&lt;&gt;$B276,$B292&lt;&gt;$B277,$B293&lt;&gt;$B278,$B294&lt;&gt;$B279,$B295&lt;&gt;$B280,$B296&lt;&gt;$B281,$B297&lt;&gt;$B282,$B298&lt;&gt;$B283),IF($B292&lt;&gt;$B277,L277/INDEX($C273:$AJ283,5,MATCH(IF('Data-solution'!$A$3="Maximize",MAX($C284:$AI284),MIN($C284:$AI284)),$C284:$AI284,0)),L277-INDEX($C273:$AJ283,5,MATCH(IF('Data-solution'!$A$3="Maximize",MAX($C284:$AI284),MIN($C284:$AI284)),$C284:$AI284,0))*INDEX(L273:$AJ283,MATCH(MIN($AK273:$AK283),$AK273:$AK283,0),1)/INDEX($C273:$AJ283,MATCH(MIN($AK273:$AK283),$AK273:$AK283,0),MATCH(IF('Data-solution'!$A$3="Maximize",MAX($C284:$AI284),MIN($C284:$AI284)),$C284:$AI284,0))),L277)</f>
        <v>0</v>
      </c>
      <c r="M292" s="1">
        <f>IF(OR($B288&lt;&gt;$B273,$B289&lt;&gt;$B274,$B290&lt;&gt;$B275,$B291&lt;&gt;$B276,$B292&lt;&gt;$B277,$B293&lt;&gt;$B278,$B294&lt;&gt;$B279,$B295&lt;&gt;$B280,$B296&lt;&gt;$B281,$B297&lt;&gt;$B282,$B298&lt;&gt;$B283),IF($B292&lt;&gt;$B277,M277/INDEX($C273:$AJ283,5,MATCH(IF('Data-solution'!$A$3="Maximize",MAX($C284:$AI284),MIN($C284:$AI284)),$C284:$AI284,0)),M277-INDEX($C273:$AJ283,5,MATCH(IF('Data-solution'!$A$3="Maximize",MAX($C284:$AI284),MIN($C284:$AI284)),$C284:$AI284,0))*INDEX(M273:$AJ283,MATCH(MIN($AK273:$AK283),$AK273:$AK283,0),1)/INDEX($C273:$AJ283,MATCH(MIN($AK273:$AK283),$AK273:$AK283,0),MATCH(IF('Data-solution'!$A$3="Maximize",MAX($C284:$AI284),MIN($C284:$AI284)),$C284:$AI284,0))),M277)</f>
        <v>0</v>
      </c>
      <c r="N292" s="1">
        <f>IF(OR($B288&lt;&gt;$B273,$B289&lt;&gt;$B274,$B290&lt;&gt;$B275,$B291&lt;&gt;$B276,$B292&lt;&gt;$B277,$B293&lt;&gt;$B278,$B294&lt;&gt;$B279,$B295&lt;&gt;$B280,$B296&lt;&gt;$B281,$B297&lt;&gt;$B282,$B298&lt;&gt;$B283),IF($B292&lt;&gt;$B277,N277/INDEX($C273:$AJ283,5,MATCH(IF('Data-solution'!$A$3="Maximize",MAX($C284:$AI284),MIN($C284:$AI284)),$C284:$AI284,0)),N277-INDEX($C273:$AJ283,5,MATCH(IF('Data-solution'!$A$3="Maximize",MAX($C284:$AI284),MIN($C284:$AI284)),$C284:$AI284,0))*INDEX(N273:$AJ283,MATCH(MIN($AK273:$AK283),$AK273:$AK283,0),1)/INDEX($C273:$AJ283,MATCH(MIN($AK273:$AK283),$AK273:$AK283,0),MATCH(IF('Data-solution'!$A$3="Maximize",MAX($C284:$AI284),MIN($C284:$AI284)),$C284:$AI284,0))),N277)</f>
        <v>0</v>
      </c>
      <c r="O292" s="1">
        <f>IF(OR($B288&lt;&gt;$B273,$B289&lt;&gt;$B274,$B290&lt;&gt;$B275,$B291&lt;&gt;$B276,$B292&lt;&gt;$B277,$B293&lt;&gt;$B278,$B294&lt;&gt;$B279,$B295&lt;&gt;$B280,$B296&lt;&gt;$B281,$B297&lt;&gt;$B282,$B298&lt;&gt;$B283),IF($B292&lt;&gt;$B277,O277/INDEX($C273:$AJ283,5,MATCH(IF('Data-solution'!$A$3="Maximize",MAX($C284:$AI284),MIN($C284:$AI284)),$C284:$AI284,0)),O277-INDEX($C273:$AJ283,5,MATCH(IF('Data-solution'!$A$3="Maximize",MAX($C284:$AI284),MIN($C284:$AI284)),$C284:$AI284,0))*INDEX(O273:$AJ283,MATCH(MIN($AK273:$AK283),$AK273:$AK283,0),1)/INDEX($C273:$AJ283,MATCH(MIN($AK273:$AK283),$AK273:$AK283,0),MATCH(IF('Data-solution'!$A$3="Maximize",MAX($C284:$AI284),MIN($C284:$AI284)),$C284:$AI284,0))),O277)</f>
        <v>0</v>
      </c>
      <c r="P292" s="1">
        <f>IF(OR($B288&lt;&gt;$B273,$B289&lt;&gt;$B274,$B290&lt;&gt;$B275,$B291&lt;&gt;$B276,$B292&lt;&gt;$B277,$B293&lt;&gt;$B278,$B294&lt;&gt;$B279,$B295&lt;&gt;$B280,$B296&lt;&gt;$B281,$B297&lt;&gt;$B282,$B298&lt;&gt;$B283),IF($B292&lt;&gt;$B277,P277/INDEX($C273:$AJ283,5,MATCH(IF('Data-solution'!$A$3="Maximize",MAX($C284:$AI284),MIN($C284:$AI284)),$C284:$AI284,0)),P277-INDEX($C273:$AJ283,5,MATCH(IF('Data-solution'!$A$3="Maximize",MAX($C284:$AI284),MIN($C284:$AI284)),$C284:$AI284,0))*INDEX(P273:$AJ283,MATCH(MIN($AK273:$AK283),$AK273:$AK283,0),1)/INDEX($C273:$AJ283,MATCH(MIN($AK273:$AK283),$AK273:$AK283,0),MATCH(IF('Data-solution'!$A$3="Maximize",MAX($C284:$AI284),MIN($C284:$AI284)),$C284:$AI284,0))),P277)</f>
        <v>0</v>
      </c>
      <c r="Q292" s="1">
        <f>IF(OR($B288&lt;&gt;$B273,$B289&lt;&gt;$B274,$B290&lt;&gt;$B275,$B291&lt;&gt;$B276,$B292&lt;&gt;$B277,$B293&lt;&gt;$B278,$B294&lt;&gt;$B279,$B295&lt;&gt;$B280,$B296&lt;&gt;$B281,$B297&lt;&gt;$B282,$B298&lt;&gt;$B283),IF($B292&lt;&gt;$B277,Q277/INDEX($C273:$AJ283,5,MATCH(IF('Data-solution'!$A$3="Maximize",MAX($C284:$AI284),MIN($C284:$AI284)),$C284:$AI284,0)),Q277-INDEX($C273:$AJ283,5,MATCH(IF('Data-solution'!$A$3="Maximize",MAX($C284:$AI284),MIN($C284:$AI284)),$C284:$AI284,0))*INDEX(Q273:$AJ283,MATCH(MIN($AK273:$AK283),$AK273:$AK283,0),1)/INDEX($C273:$AJ283,MATCH(MIN($AK273:$AK283),$AK273:$AK283,0),MATCH(IF('Data-solution'!$A$3="Maximize",MAX($C284:$AI284),MIN($C284:$AI284)),$C284:$AI284,0))),Q277)</f>
        <v>0</v>
      </c>
      <c r="R292" s="1">
        <f>IF(OR($B288&lt;&gt;$B273,$B289&lt;&gt;$B274,$B290&lt;&gt;$B275,$B291&lt;&gt;$B276,$B292&lt;&gt;$B277,$B293&lt;&gt;$B278,$B294&lt;&gt;$B279,$B295&lt;&gt;$B280,$B296&lt;&gt;$B281,$B297&lt;&gt;$B282,$B298&lt;&gt;$B283),IF($B292&lt;&gt;$B277,R277/INDEX($C273:$AJ283,5,MATCH(IF('Data-solution'!$A$3="Maximize",MAX($C284:$AI284),MIN($C284:$AI284)),$C284:$AI284,0)),R277-INDEX($C273:$AJ283,5,MATCH(IF('Data-solution'!$A$3="Maximize",MAX($C284:$AI284),MIN($C284:$AI284)),$C284:$AI284,0))*INDEX(R273:$AJ283,MATCH(MIN($AK273:$AK283),$AK273:$AK283,0),1)/INDEX($C273:$AJ283,MATCH(MIN($AK273:$AK283),$AK273:$AK283,0),MATCH(IF('Data-solution'!$A$3="Maximize",MAX($C284:$AI284),MIN($C284:$AI284)),$C284:$AI284,0))),R277)</f>
        <v>1</v>
      </c>
      <c r="S292" s="1">
        <f>IF(OR($B288&lt;&gt;$B273,$B289&lt;&gt;$B274,$B290&lt;&gt;$B275,$B291&lt;&gt;$B276,$B292&lt;&gt;$B277,$B293&lt;&gt;$B278,$B294&lt;&gt;$B279,$B295&lt;&gt;$B280,$B296&lt;&gt;$B281,$B297&lt;&gt;$B282,$B298&lt;&gt;$B283),IF($B292&lt;&gt;$B277,S277/INDEX($C273:$AJ283,5,MATCH(IF('Data-solution'!$A$3="Maximize",MAX($C284:$AI284),MIN($C284:$AI284)),$C284:$AI284,0)),S277-INDEX($C273:$AJ283,5,MATCH(IF('Data-solution'!$A$3="Maximize",MAX($C284:$AI284),MIN($C284:$AI284)),$C284:$AI284,0))*INDEX(S273:$AJ283,MATCH(MIN($AK273:$AK283),$AK273:$AK283,0),1)/INDEX($C273:$AJ283,MATCH(MIN($AK273:$AK283),$AK273:$AK283,0),MATCH(IF('Data-solution'!$A$3="Maximize",MAX($C284:$AI284),MIN($C284:$AI284)),$C284:$AI284,0))),S277)</f>
        <v>0</v>
      </c>
      <c r="T292" s="1">
        <f>IF(OR($B288&lt;&gt;$B273,$B289&lt;&gt;$B274,$B290&lt;&gt;$B275,$B291&lt;&gt;$B276,$B292&lt;&gt;$B277,$B293&lt;&gt;$B278,$B294&lt;&gt;$B279,$B295&lt;&gt;$B280,$B296&lt;&gt;$B281,$B297&lt;&gt;$B282,$B298&lt;&gt;$B283),IF($B292&lt;&gt;$B277,T277/INDEX($C273:$AJ283,5,MATCH(IF('Data-solution'!$A$3="Maximize",MAX($C284:$AI284),MIN($C284:$AI284)),$C284:$AI284,0)),T277-INDEX($C273:$AJ283,5,MATCH(IF('Data-solution'!$A$3="Maximize",MAX($C284:$AI284),MIN($C284:$AI284)),$C284:$AI284,0))*INDEX(T273:$AJ283,MATCH(MIN($AK273:$AK283),$AK273:$AK283,0),1)/INDEX($C273:$AJ283,MATCH(MIN($AK273:$AK283),$AK273:$AK283,0),MATCH(IF('Data-solution'!$A$3="Maximize",MAX($C284:$AI284),MIN($C284:$AI284)),$C284:$AI284,0))),T277)</f>
        <v>0</v>
      </c>
      <c r="U292" s="1">
        <f>IF(OR($B288&lt;&gt;$B273,$B289&lt;&gt;$B274,$B290&lt;&gt;$B275,$B291&lt;&gt;$B276,$B292&lt;&gt;$B277,$B293&lt;&gt;$B278,$B294&lt;&gt;$B279,$B295&lt;&gt;$B280,$B296&lt;&gt;$B281,$B297&lt;&gt;$B282,$B298&lt;&gt;$B283),IF($B292&lt;&gt;$B277,U277/INDEX($C273:$AJ283,5,MATCH(IF('Data-solution'!$A$3="Maximize",MAX($C284:$AI284),MIN($C284:$AI284)),$C284:$AI284,0)),U277-INDEX($C273:$AJ283,5,MATCH(IF('Data-solution'!$A$3="Maximize",MAX($C284:$AI284),MIN($C284:$AI284)),$C284:$AI284,0))*INDEX(U273:$AJ283,MATCH(MIN($AK273:$AK283),$AK273:$AK283,0),1)/INDEX($C273:$AJ283,MATCH(MIN($AK273:$AK283),$AK273:$AK283,0),MATCH(IF('Data-solution'!$A$3="Maximize",MAX($C284:$AI284),MIN($C284:$AI284)),$C284:$AI284,0))),U277)</f>
        <v>0</v>
      </c>
      <c r="V292" s="1">
        <f>IF(OR($B288&lt;&gt;$B273,$B289&lt;&gt;$B274,$B290&lt;&gt;$B275,$B291&lt;&gt;$B276,$B292&lt;&gt;$B277,$B293&lt;&gt;$B278,$B294&lt;&gt;$B279,$B295&lt;&gt;$B280,$B296&lt;&gt;$B281,$B297&lt;&gt;$B282,$B298&lt;&gt;$B283),IF($B292&lt;&gt;$B277,V277/INDEX($C273:$AJ283,5,MATCH(IF('Data-solution'!$A$3="Maximize",MAX($C284:$AI284),MIN($C284:$AI284)),$C284:$AI284,0)),V277-INDEX($C273:$AJ283,5,MATCH(IF('Data-solution'!$A$3="Maximize",MAX($C284:$AI284),MIN($C284:$AI284)),$C284:$AI284,0))*INDEX(V273:$AJ283,MATCH(MIN($AK273:$AK283),$AK273:$AK283,0),1)/INDEX($C273:$AJ283,MATCH(MIN($AK273:$AK283),$AK273:$AK283,0),MATCH(IF('Data-solution'!$A$3="Maximize",MAX($C284:$AI284),MIN($C284:$AI284)),$C284:$AI284,0))),V277)</f>
        <v>0</v>
      </c>
      <c r="W292" s="1">
        <f>IF(OR($B288&lt;&gt;$B273,$B289&lt;&gt;$B274,$B290&lt;&gt;$B275,$B291&lt;&gt;$B276,$B292&lt;&gt;$B277,$B293&lt;&gt;$B278,$B294&lt;&gt;$B279,$B295&lt;&gt;$B280,$B296&lt;&gt;$B281,$B297&lt;&gt;$B282,$B298&lt;&gt;$B283),IF($B292&lt;&gt;$B277,W277/INDEX($C273:$AJ283,5,MATCH(IF('Data-solution'!$A$3="Maximize",MAX($C284:$AI284),MIN($C284:$AI284)),$C284:$AI284,0)),W277-INDEX($C273:$AJ283,5,MATCH(IF('Data-solution'!$A$3="Maximize",MAX($C284:$AI284),MIN($C284:$AI284)),$C284:$AI284,0))*INDEX(W273:$AJ283,MATCH(MIN($AK273:$AK283),$AK273:$AK283,0),1)/INDEX($C273:$AJ283,MATCH(MIN($AK273:$AK283),$AK273:$AK283,0),MATCH(IF('Data-solution'!$A$3="Maximize",MAX($C284:$AI284),MIN($C284:$AI284)),$C284:$AI284,0))),W277)</f>
        <v>0</v>
      </c>
      <c r="X292" s="1">
        <f>IF(OR($B288&lt;&gt;$B273,$B289&lt;&gt;$B274,$B290&lt;&gt;$B275,$B291&lt;&gt;$B276,$B292&lt;&gt;$B277,$B293&lt;&gt;$B278,$B294&lt;&gt;$B279,$B295&lt;&gt;$B280,$B296&lt;&gt;$B281,$B297&lt;&gt;$B282,$B298&lt;&gt;$B283),IF($B292&lt;&gt;$B277,X277/INDEX($C273:$AJ283,5,MATCH(IF('Data-solution'!$A$3="Maximize",MAX($C284:$AI284),MIN($C284:$AI284)),$C284:$AI284,0)),X277-INDEX($C273:$AJ283,5,MATCH(IF('Data-solution'!$A$3="Maximize",MAX($C284:$AI284),MIN($C284:$AI284)),$C284:$AI284,0))*INDEX(X273:$AJ283,MATCH(MIN($AK273:$AK283),$AK273:$AK283,0),1)/INDEX($C273:$AJ283,MATCH(MIN($AK273:$AK283),$AK273:$AK283,0),MATCH(IF('Data-solution'!$A$3="Maximize",MAX($C284:$AI284),MIN($C284:$AI284)),$C284:$AI284,0))),X277)</f>
        <v>0</v>
      </c>
      <c r="Y292" s="1">
        <f>IF(OR($B288&lt;&gt;$B273,$B289&lt;&gt;$B274,$B290&lt;&gt;$B275,$B291&lt;&gt;$B276,$B292&lt;&gt;$B277,$B293&lt;&gt;$B278,$B294&lt;&gt;$B279,$B295&lt;&gt;$B280,$B296&lt;&gt;$B281,$B297&lt;&gt;$B282,$B298&lt;&gt;$B283),IF($B292&lt;&gt;$B277,Y277/INDEX($C273:$AJ283,5,MATCH(IF('Data-solution'!$A$3="Maximize",MAX($C284:$AI284),MIN($C284:$AI284)),$C284:$AI284,0)),Y277-INDEX($C273:$AJ283,5,MATCH(IF('Data-solution'!$A$3="Maximize",MAX($C284:$AI284),MIN($C284:$AI284)),$C284:$AI284,0))*INDEX(Y273:$AJ283,MATCH(MIN($AK273:$AK283),$AK273:$AK283,0),1)/INDEX($C273:$AJ283,MATCH(MIN($AK273:$AK283),$AK273:$AK283,0),MATCH(IF('Data-solution'!$A$3="Maximize",MAX($C284:$AI284),MIN($C284:$AI284)),$C284:$AI284,0))),Y277)</f>
        <v>0</v>
      </c>
      <c r="Z292" s="1">
        <f>IF(OR($B288&lt;&gt;$B273,$B289&lt;&gt;$B274,$B290&lt;&gt;$B275,$B291&lt;&gt;$B276,$B292&lt;&gt;$B277,$B293&lt;&gt;$B278,$B294&lt;&gt;$B279,$B295&lt;&gt;$B280,$B296&lt;&gt;$B281,$B297&lt;&gt;$B282,$B298&lt;&gt;$B283),IF($B292&lt;&gt;$B277,Z277/INDEX($C273:$AJ283,5,MATCH(IF('Data-solution'!$A$3="Maximize",MAX($C284:$AI284),MIN($C284:$AI284)),$C284:$AI284,0)),Z277-INDEX($C273:$AJ283,5,MATCH(IF('Data-solution'!$A$3="Maximize",MAX($C284:$AI284),MIN($C284:$AI284)),$C284:$AI284,0))*INDEX(Z273:$AJ283,MATCH(MIN($AK273:$AK283),$AK273:$AK283,0),1)/INDEX($C273:$AJ283,MATCH(MIN($AK273:$AK283),$AK273:$AK283,0),MATCH(IF('Data-solution'!$A$3="Maximize",MAX($C284:$AI284),MIN($C284:$AI284)),$C284:$AI284,0))),Z277)</f>
        <v>0</v>
      </c>
      <c r="AA292" s="1">
        <f>IF(OR($B288&lt;&gt;$B273,$B289&lt;&gt;$B274,$B290&lt;&gt;$B275,$B291&lt;&gt;$B276,$B292&lt;&gt;$B277,$B293&lt;&gt;$B278,$B294&lt;&gt;$B279,$B295&lt;&gt;$B280,$B296&lt;&gt;$B281,$B297&lt;&gt;$B282,$B298&lt;&gt;$B283),IF($B292&lt;&gt;$B277,AA277/INDEX($C273:$AJ283,5,MATCH(IF('Data-solution'!$A$3="Maximize",MAX($C284:$AI284),MIN($C284:$AI284)),$C284:$AI284,0)),AA277-INDEX($C273:$AJ283,5,MATCH(IF('Data-solution'!$A$3="Maximize",MAX($C284:$AI284),MIN($C284:$AI284)),$C284:$AI284,0))*INDEX(AA273:$AJ283,MATCH(MIN($AK273:$AK283),$AK273:$AK283,0),1)/INDEX($C273:$AJ283,MATCH(MIN($AK273:$AK283),$AK273:$AK283,0),MATCH(IF('Data-solution'!$A$3="Maximize",MAX($C284:$AI284),MIN($C284:$AI284)),$C284:$AI284,0))),AA277)</f>
        <v>0</v>
      </c>
      <c r="AB292" s="1">
        <f>IF(OR($B288&lt;&gt;$B273,$B289&lt;&gt;$B274,$B290&lt;&gt;$B275,$B291&lt;&gt;$B276,$B292&lt;&gt;$B277,$B293&lt;&gt;$B278,$B294&lt;&gt;$B279,$B295&lt;&gt;$B280,$B296&lt;&gt;$B281,$B297&lt;&gt;$B282,$B298&lt;&gt;$B283),IF($B292&lt;&gt;$B277,AB277/INDEX($C273:$AJ283,5,MATCH(IF('Data-solution'!$A$3="Maximize",MAX($C284:$AI284),MIN($C284:$AI284)),$C284:$AI284,0)),AB277-INDEX($C273:$AJ283,5,MATCH(IF('Data-solution'!$A$3="Maximize",MAX($C284:$AI284),MIN($C284:$AI284)),$C284:$AI284,0))*INDEX(AB273:$AJ283,MATCH(MIN($AK273:$AK283),$AK273:$AK283,0),1)/INDEX($C273:$AJ283,MATCH(MIN($AK273:$AK283),$AK273:$AK283,0),MATCH(IF('Data-solution'!$A$3="Maximize",MAX($C284:$AI284),MIN($C284:$AI284)),$C284:$AI284,0))),AB277)</f>
        <v>0</v>
      </c>
      <c r="AC292" s="1">
        <f>IF(OR($B288&lt;&gt;$B273,$B289&lt;&gt;$B274,$B290&lt;&gt;$B275,$B291&lt;&gt;$B276,$B292&lt;&gt;$B277,$B293&lt;&gt;$B278,$B294&lt;&gt;$B279,$B295&lt;&gt;$B280,$B296&lt;&gt;$B281,$B297&lt;&gt;$B282,$B298&lt;&gt;$B283),IF($B292&lt;&gt;$B277,AC277/INDEX($C273:$AJ283,5,MATCH(IF('Data-solution'!$A$3="Maximize",MAX($C284:$AI284),MIN($C284:$AI284)),$C284:$AI284,0)),AC277-INDEX($C273:$AJ283,5,MATCH(IF('Data-solution'!$A$3="Maximize",MAX($C284:$AI284),MIN($C284:$AI284)),$C284:$AI284,0))*INDEX(AC273:$AJ283,MATCH(MIN($AK273:$AK283),$AK273:$AK283,0),1)/INDEX($C273:$AJ283,MATCH(MIN($AK273:$AK283),$AK273:$AK283,0),MATCH(IF('Data-solution'!$A$3="Maximize",MAX($C284:$AI284),MIN($C284:$AI284)),$C284:$AI284,0))),AC277)</f>
        <v>1</v>
      </c>
      <c r="AD292" s="1">
        <f>IF(OR($B288&lt;&gt;$B273,$B289&lt;&gt;$B274,$B290&lt;&gt;$B275,$B291&lt;&gt;$B276,$B292&lt;&gt;$B277,$B293&lt;&gt;$B278,$B294&lt;&gt;$B279,$B295&lt;&gt;$B280,$B296&lt;&gt;$B281,$B297&lt;&gt;$B282,$B298&lt;&gt;$B283),IF($B292&lt;&gt;$B277,AD277/INDEX($C273:$AJ283,5,MATCH(IF('Data-solution'!$A$3="Maximize",MAX($C284:$AI284),MIN($C284:$AI284)),$C284:$AI284,0)),AD277-INDEX($C273:$AJ283,5,MATCH(IF('Data-solution'!$A$3="Maximize",MAX($C284:$AI284),MIN($C284:$AI284)),$C284:$AI284,0))*INDEX(AD273:$AJ283,MATCH(MIN($AK273:$AK283),$AK273:$AK283,0),1)/INDEX($C273:$AJ283,MATCH(MIN($AK273:$AK283),$AK273:$AK283,0),MATCH(IF('Data-solution'!$A$3="Maximize",MAX($C284:$AI284),MIN($C284:$AI284)),$C284:$AI284,0))),AD277)</f>
        <v>0</v>
      </c>
      <c r="AE292" s="1">
        <f>IF(OR($B288&lt;&gt;$B273,$B289&lt;&gt;$B274,$B290&lt;&gt;$B275,$B291&lt;&gt;$B276,$B292&lt;&gt;$B277,$B293&lt;&gt;$B278,$B294&lt;&gt;$B279,$B295&lt;&gt;$B280,$B296&lt;&gt;$B281,$B297&lt;&gt;$B282,$B298&lt;&gt;$B283),IF($B292&lt;&gt;$B277,AE277/INDEX($C273:$AJ283,5,MATCH(IF('Data-solution'!$A$3="Maximize",MAX($C284:$AI284),MIN($C284:$AI284)),$C284:$AI284,0)),AE277-INDEX($C273:$AJ283,5,MATCH(IF('Data-solution'!$A$3="Maximize",MAX($C284:$AI284),MIN($C284:$AI284)),$C284:$AI284,0))*INDEX(AE273:$AJ283,MATCH(MIN($AK273:$AK283),$AK273:$AK283,0),1)/INDEX($C273:$AJ283,MATCH(MIN($AK273:$AK283),$AK273:$AK283,0),MATCH(IF('Data-solution'!$A$3="Maximize",MAX($C284:$AI284),MIN($C284:$AI284)),$C284:$AI284,0))),AE277)</f>
        <v>0</v>
      </c>
      <c r="AF292" s="1">
        <f>IF(OR($B288&lt;&gt;$B273,$B289&lt;&gt;$B274,$B290&lt;&gt;$B275,$B291&lt;&gt;$B276,$B292&lt;&gt;$B277,$B293&lt;&gt;$B278,$B294&lt;&gt;$B279,$B295&lt;&gt;$B280,$B296&lt;&gt;$B281,$B297&lt;&gt;$B282,$B298&lt;&gt;$B283),IF($B292&lt;&gt;$B277,AF277/INDEX($C273:$AJ283,5,MATCH(IF('Data-solution'!$A$3="Maximize",MAX($C284:$AI284),MIN($C284:$AI284)),$C284:$AI284,0)),AF277-INDEX($C273:$AJ283,5,MATCH(IF('Data-solution'!$A$3="Maximize",MAX($C284:$AI284),MIN($C284:$AI284)),$C284:$AI284,0))*INDEX(AF273:$AJ283,MATCH(MIN($AK273:$AK283),$AK273:$AK283,0),1)/INDEX($C273:$AJ283,MATCH(MIN($AK273:$AK283),$AK273:$AK283,0),MATCH(IF('Data-solution'!$A$3="Maximize",MAX($C284:$AI284),MIN($C284:$AI284)),$C284:$AI284,0))),AF277)</f>
        <v>0</v>
      </c>
      <c r="AG292" s="1">
        <f>IF(OR($B288&lt;&gt;$B273,$B289&lt;&gt;$B274,$B290&lt;&gt;$B275,$B291&lt;&gt;$B276,$B292&lt;&gt;$B277,$B293&lt;&gt;$B278,$B294&lt;&gt;$B279,$B295&lt;&gt;$B280,$B296&lt;&gt;$B281,$B297&lt;&gt;$B282,$B298&lt;&gt;$B283),IF($B292&lt;&gt;$B277,AG277/INDEX($C273:$AJ283,5,MATCH(IF('Data-solution'!$A$3="Maximize",MAX($C284:$AI284),MIN($C284:$AI284)),$C284:$AI284,0)),AG277-INDEX($C273:$AJ283,5,MATCH(IF('Data-solution'!$A$3="Maximize",MAX($C284:$AI284),MIN($C284:$AI284)),$C284:$AI284,0))*INDEX(AG273:$AJ283,MATCH(MIN($AK273:$AK283),$AK273:$AK283,0),1)/INDEX($C273:$AJ283,MATCH(MIN($AK273:$AK283),$AK273:$AK283,0),MATCH(IF('Data-solution'!$A$3="Maximize",MAX($C284:$AI284),MIN($C284:$AI284)),$C284:$AI284,0))),AG277)</f>
        <v>0</v>
      </c>
      <c r="AH292" s="1">
        <f>IF(OR($B288&lt;&gt;$B273,$B289&lt;&gt;$B274,$B290&lt;&gt;$B275,$B291&lt;&gt;$B276,$B292&lt;&gt;$B277,$B293&lt;&gt;$B278,$B294&lt;&gt;$B279,$B295&lt;&gt;$B280,$B296&lt;&gt;$B281,$B297&lt;&gt;$B282,$B298&lt;&gt;$B283),IF($B292&lt;&gt;$B277,AH277/INDEX($C273:$AJ283,5,MATCH(IF('Data-solution'!$A$3="Maximize",MAX($C284:$AI284),MIN($C284:$AI284)),$C284:$AI284,0)),AH277-INDEX($C273:$AJ283,5,MATCH(IF('Data-solution'!$A$3="Maximize",MAX($C284:$AI284),MIN($C284:$AI284)),$C284:$AI284,0))*INDEX(AH273:$AJ283,MATCH(MIN($AK273:$AK283),$AK273:$AK283,0),1)/INDEX($C273:$AJ283,MATCH(MIN($AK273:$AK283),$AK273:$AK283,0),MATCH(IF('Data-solution'!$A$3="Maximize",MAX($C284:$AI284),MIN($C284:$AI284)),$C284:$AI284,0))),AH277)</f>
        <v>0</v>
      </c>
      <c r="AI292" s="1">
        <f>IF(OR($B288&lt;&gt;$B273,$B289&lt;&gt;$B274,$B290&lt;&gt;$B275,$B291&lt;&gt;$B276,$B292&lt;&gt;$B277,$B293&lt;&gt;$B278,$B294&lt;&gt;$B279,$B295&lt;&gt;$B280,$B296&lt;&gt;$B281,$B297&lt;&gt;$B282,$B298&lt;&gt;$B283),IF($B292&lt;&gt;$B277,AI277/INDEX($C273:$AJ283,5,MATCH(IF('Data-solution'!$A$3="Maximize",MAX($C284:$AI284),MIN($C284:$AI284)),$C284:$AI284,0)),AI277-INDEX($C273:$AJ283,5,MATCH(IF('Data-solution'!$A$3="Maximize",MAX($C284:$AI284),MIN($C284:$AI284)),$C284:$AI284,0))*INDEX(AI273:$AJ283,MATCH(MIN($AK273:$AK283),$AK273:$AK283,0),1)/INDEX($C273:$AJ283,MATCH(MIN($AK273:$AK283),$AK273:$AK283,0),MATCH(IF('Data-solution'!$A$3="Maximize",MAX($C284:$AI284),MIN($C284:$AI284)),$C284:$AI284,0))),AI277)</f>
        <v>0</v>
      </c>
      <c r="AJ292" s="1">
        <f>IF(OR($B288&lt;&gt;$B273,$B289&lt;&gt;$B274,$B290&lt;&gt;$B275,$B291&lt;&gt;$B276,$B292&lt;&gt;$B277,$B293&lt;&gt;$B278,$B294&lt;&gt;$B279,$B295&lt;&gt;$B280,$B296&lt;&gt;$B281,$B297&lt;&gt;$B282,$B298&lt;&gt;$B283),IF($B292&lt;&gt;$B277,AJ277/INDEX($C273:$AJ283,5,MATCH(IF('Data-solution'!$A$3="Maximize",MAX($C284:$AI284),MIN($C284:$AI284)),$C284:$AI284,0)),AJ277-INDEX($C273:$AJ283,5,MATCH(IF('Data-solution'!$A$3="Maximize",MAX($C284:$AI284),MIN($C284:$AI284)),$C284:$AI284,0))*INDEX(AJ273:$AJ283,MATCH(MIN($AK273:$AK283),$AK273:$AK283,0),1)/INDEX($C273:$AJ283,MATCH(MIN($AK273:$AK283),$AK273:$AK283,0),MATCH(IF('Data-solution'!$A$3="Maximize",MAX($C284:$AI284),MIN($C284:$AI284)),$C284:$AI284,0))),AJ277)</f>
        <v>0</v>
      </c>
      <c r="AK292" s="1" t="str">
        <f>IF(INDEX(C292:X292,1,MATCH(IF('Data-solution'!A$3="Maximize",MAX(C299:X299),MIN(C299:X299)),C299:X299,0))&gt;0,AJ292/INDEX(C292:X292,1,MATCH(IF('Data-solution'!A$3="Maximize",MAX(C299:X299),MIN(C299:X299)),C299:X299,0))," ")</f>
        <v xml:space="preserve"> </v>
      </c>
    </row>
    <row r="293" spans="1:37" ht="18" customHeight="1" x14ac:dyDescent="0.2">
      <c r="A293" s="1">
        <f t="shared" ref="A293" si="261">INDEX(C286:AI286,1,MATCH(B293,C287:AI287,0))</f>
        <v>0</v>
      </c>
      <c r="B293" s="2" t="str">
        <f>IF(AND('Data-solution'!A$3="Maximize",COUNTIF(C284:X284,"&gt;"&amp;0)&gt;0,AK278=MIN(AK273:AK283),COUNTIF(B288:B292,INDEX(C272:X272,1,MATCH(MAX(C284:X284),C284:X284,0)))=0),INDEX(C272:X272,1,MATCH(MAX(C284:X284),C284:X284,0)),IF(AND('Data-solution'!A$3="Minimize",COUNTIF(C284:X284,"&lt;"&amp;0)&gt;0,AK278=MIN(AK273:AK283),COUNTIF(B288:B292,INDEX(C272:X272,1,MATCH(MIN(C284:X284),C284:X284,0)))=0),INDEX(C272:X272,1,MATCH(MIN(C284:X284),C284:X284,0)),B278))</f>
        <v>S6</v>
      </c>
      <c r="C293" s="1">
        <f>IF(OR($B288&lt;&gt;$B273,$B289&lt;&gt;$B274,$B290&lt;&gt;$B275,$B291&lt;&gt;$B276,$B292&lt;&gt;$B277,$B293&lt;&gt;$B278,$B294&lt;&gt;$B279,$B295&lt;&gt;$B280,$B296&lt;&gt;$B281,$B297&lt;&gt;$B282,$B298&lt;&gt;$B283),IF($B293&lt;&gt;$B278,C278/INDEX($C273:$AJ283,6,MATCH(IF('Data-solution'!$A$3="Maximize",MAX($C284:$AI284),MIN($C284:$AI284)),$C284:$AI284,0)),C278-INDEX($C273:$AJ283,6,MATCH(IF('Data-solution'!$A$3="Maximize",MAX($C284:$AI284),MIN($C284:$AI284)),$C284:$AI284,0))*INDEX(C273:$AJ283,MATCH(MIN($AK273:$AK283),$AK273:$AK283,0),1)/INDEX($C273:$AJ283,MATCH(MIN($AK273:$AK283),$AK273:$AK283,0),MATCH(IF('Data-solution'!$A$3="Maximize",MAX($C284:$AI284),MIN($C284:$AI284)),$C284:$AI284,0))),C278)</f>
        <v>0</v>
      </c>
      <c r="D293" s="1">
        <f>IF(OR($B288&lt;&gt;$B273,$B289&lt;&gt;$B274,$B290&lt;&gt;$B275,$B291&lt;&gt;$B276,$B292&lt;&gt;$B277,$B293&lt;&gt;$B278,$B294&lt;&gt;$B279,$B295&lt;&gt;$B280,$B296&lt;&gt;$B281,$B297&lt;&gt;$B282,$B298&lt;&gt;$B283),IF($B293&lt;&gt;$B278,D278/INDEX($C273:$AJ283,6,MATCH(IF('Data-solution'!$A$3="Maximize",MAX($C284:$AI284),MIN($C284:$AI284)),$C284:$AI284,0)),D278-INDEX($C273:$AJ283,6,MATCH(IF('Data-solution'!$A$3="Maximize",MAX($C284:$AI284),MIN($C284:$AI284)),$C284:$AI284,0))*INDEX(D273:$AJ283,MATCH(MIN($AK273:$AK283),$AK273:$AK283,0),1)/INDEX($C273:$AJ283,MATCH(MIN($AK273:$AK283),$AK273:$AK283,0),MATCH(IF('Data-solution'!$A$3="Maximize",MAX($C284:$AI284),MIN($C284:$AI284)),$C284:$AI284,0))),D278)</f>
        <v>0</v>
      </c>
      <c r="E293" s="1">
        <f>IF(OR($B288&lt;&gt;$B273,$B289&lt;&gt;$B274,$B290&lt;&gt;$B275,$B291&lt;&gt;$B276,$B292&lt;&gt;$B277,$B293&lt;&gt;$B278,$B294&lt;&gt;$B279,$B295&lt;&gt;$B280,$B296&lt;&gt;$B281,$B297&lt;&gt;$B282,$B298&lt;&gt;$B283),IF($B293&lt;&gt;$B278,E278/INDEX($C273:$AJ283,6,MATCH(IF('Data-solution'!$A$3="Maximize",MAX($C284:$AI284),MIN($C284:$AI284)),$C284:$AI284,0)),E278-INDEX($C273:$AJ283,6,MATCH(IF('Data-solution'!$A$3="Maximize",MAX($C284:$AI284),MIN($C284:$AI284)),$C284:$AI284,0))*INDEX(E273:$AJ283,MATCH(MIN($AK273:$AK283),$AK273:$AK283,0),1)/INDEX($C273:$AJ283,MATCH(MIN($AK273:$AK283),$AK273:$AK283,0),MATCH(IF('Data-solution'!$A$3="Maximize",MAX($C284:$AI284),MIN($C284:$AI284)),$C284:$AI284,0))),E278)</f>
        <v>0</v>
      </c>
      <c r="F293" s="1">
        <f>IF(OR($B288&lt;&gt;$B273,$B289&lt;&gt;$B274,$B290&lt;&gt;$B275,$B291&lt;&gt;$B276,$B292&lt;&gt;$B277,$B293&lt;&gt;$B278,$B294&lt;&gt;$B279,$B295&lt;&gt;$B280,$B296&lt;&gt;$B281,$B297&lt;&gt;$B282,$B298&lt;&gt;$B283),IF($B293&lt;&gt;$B278,F278/INDEX($C273:$AJ283,6,MATCH(IF('Data-solution'!$A$3="Maximize",MAX($C284:$AI284),MIN($C284:$AI284)),$C284:$AI284,0)),F278-INDEX($C273:$AJ283,6,MATCH(IF('Data-solution'!$A$3="Maximize",MAX($C284:$AI284),MIN($C284:$AI284)),$C284:$AI284,0))*INDEX(F273:$AJ283,MATCH(MIN($AK273:$AK283),$AK273:$AK283,0),1)/INDEX($C273:$AJ283,MATCH(MIN($AK273:$AK283),$AK273:$AK283,0),MATCH(IF('Data-solution'!$A$3="Maximize",MAX($C284:$AI284),MIN($C284:$AI284)),$C284:$AI284,0))),F278)</f>
        <v>0</v>
      </c>
      <c r="G293" s="1">
        <f>IF(OR($B288&lt;&gt;$B273,$B289&lt;&gt;$B274,$B290&lt;&gt;$B275,$B291&lt;&gt;$B276,$B292&lt;&gt;$B277,$B293&lt;&gt;$B278,$B294&lt;&gt;$B279,$B295&lt;&gt;$B280,$B296&lt;&gt;$B281,$B297&lt;&gt;$B282,$B298&lt;&gt;$B283),IF($B293&lt;&gt;$B278,G278/INDEX($C273:$AJ283,6,MATCH(IF('Data-solution'!$A$3="Maximize",MAX($C284:$AI284),MIN($C284:$AI284)),$C284:$AI284,0)),G278-INDEX($C273:$AJ283,6,MATCH(IF('Data-solution'!$A$3="Maximize",MAX($C284:$AI284),MIN($C284:$AI284)),$C284:$AI284,0))*INDEX(G273:$AJ283,MATCH(MIN($AK273:$AK283),$AK273:$AK283,0),1)/INDEX($C273:$AJ283,MATCH(MIN($AK273:$AK283),$AK273:$AK283,0),MATCH(IF('Data-solution'!$A$3="Maximize",MAX($C284:$AI284),MIN($C284:$AI284)),$C284:$AI284,0))),G278)</f>
        <v>0</v>
      </c>
      <c r="H293" s="1">
        <f>IF(OR($B288&lt;&gt;$B273,$B289&lt;&gt;$B274,$B290&lt;&gt;$B275,$B291&lt;&gt;$B276,$B292&lt;&gt;$B277,$B293&lt;&gt;$B278,$B294&lt;&gt;$B279,$B295&lt;&gt;$B280,$B296&lt;&gt;$B281,$B297&lt;&gt;$B282,$B298&lt;&gt;$B283),IF($B293&lt;&gt;$B278,H278/INDEX($C273:$AJ283,6,MATCH(IF('Data-solution'!$A$3="Maximize",MAX($C284:$AI284),MIN($C284:$AI284)),$C284:$AI284,0)),H278-INDEX($C273:$AJ283,6,MATCH(IF('Data-solution'!$A$3="Maximize",MAX($C284:$AI284),MIN($C284:$AI284)),$C284:$AI284,0))*INDEX(H273:$AJ283,MATCH(MIN($AK273:$AK283),$AK273:$AK283,0),1)/INDEX($C273:$AJ283,MATCH(MIN($AK273:$AK283),$AK273:$AK283,0),MATCH(IF('Data-solution'!$A$3="Maximize",MAX($C284:$AI284),MIN($C284:$AI284)),$C284:$AI284,0))),H278)</f>
        <v>0</v>
      </c>
      <c r="I293" s="1">
        <f>IF(OR($B288&lt;&gt;$B273,$B289&lt;&gt;$B274,$B290&lt;&gt;$B275,$B291&lt;&gt;$B276,$B292&lt;&gt;$B277,$B293&lt;&gt;$B278,$B294&lt;&gt;$B279,$B295&lt;&gt;$B280,$B296&lt;&gt;$B281,$B297&lt;&gt;$B282,$B298&lt;&gt;$B283),IF($B293&lt;&gt;$B278,I278/INDEX($C273:$AJ283,6,MATCH(IF('Data-solution'!$A$3="Maximize",MAX($C284:$AI284),MIN($C284:$AI284)),$C284:$AI284,0)),I278-INDEX($C273:$AJ283,6,MATCH(IF('Data-solution'!$A$3="Maximize",MAX($C284:$AI284),MIN($C284:$AI284)),$C284:$AI284,0))*INDEX(I273:$AJ283,MATCH(MIN($AK273:$AK283),$AK273:$AK283,0),1)/INDEX($C273:$AJ283,MATCH(MIN($AK273:$AK283),$AK273:$AK283,0),MATCH(IF('Data-solution'!$A$3="Maximize",MAX($C284:$AI284),MIN($C284:$AI284)),$C284:$AI284,0))),I278)</f>
        <v>0</v>
      </c>
      <c r="J293" s="1">
        <f>IF(OR($B288&lt;&gt;$B273,$B289&lt;&gt;$B274,$B290&lt;&gt;$B275,$B291&lt;&gt;$B276,$B292&lt;&gt;$B277,$B293&lt;&gt;$B278,$B294&lt;&gt;$B279,$B295&lt;&gt;$B280,$B296&lt;&gt;$B281,$B297&lt;&gt;$B282,$B298&lt;&gt;$B283),IF($B293&lt;&gt;$B278,J278/INDEX($C273:$AJ283,6,MATCH(IF('Data-solution'!$A$3="Maximize",MAX($C284:$AI284),MIN($C284:$AI284)),$C284:$AI284,0)),J278-INDEX($C273:$AJ283,6,MATCH(IF('Data-solution'!$A$3="Maximize",MAX($C284:$AI284),MIN($C284:$AI284)),$C284:$AI284,0))*INDEX(J273:$AJ283,MATCH(MIN($AK273:$AK283),$AK273:$AK283,0),1)/INDEX($C273:$AJ283,MATCH(MIN($AK273:$AK283),$AK273:$AK283,0),MATCH(IF('Data-solution'!$A$3="Maximize",MAX($C284:$AI284),MIN($C284:$AI284)),$C284:$AI284,0))),J278)</f>
        <v>0</v>
      </c>
      <c r="K293" s="1">
        <f>IF(OR($B288&lt;&gt;$B273,$B289&lt;&gt;$B274,$B290&lt;&gt;$B275,$B291&lt;&gt;$B276,$B292&lt;&gt;$B277,$B293&lt;&gt;$B278,$B294&lt;&gt;$B279,$B295&lt;&gt;$B280,$B296&lt;&gt;$B281,$B297&lt;&gt;$B282,$B298&lt;&gt;$B283),IF($B293&lt;&gt;$B278,K278/INDEX($C273:$AJ283,6,MATCH(IF('Data-solution'!$A$3="Maximize",MAX($C284:$AI284),MIN($C284:$AI284)),$C284:$AI284,0)),K278-INDEX($C273:$AJ283,6,MATCH(IF('Data-solution'!$A$3="Maximize",MAX($C284:$AI284),MIN($C284:$AI284)),$C284:$AI284,0))*INDEX(K273:$AJ283,MATCH(MIN($AK273:$AK283),$AK273:$AK283,0),1)/INDEX($C273:$AJ283,MATCH(MIN($AK273:$AK283),$AK273:$AK283,0),MATCH(IF('Data-solution'!$A$3="Maximize",MAX($C284:$AI284),MIN($C284:$AI284)),$C284:$AI284,0))),K278)</f>
        <v>0</v>
      </c>
      <c r="L293" s="1">
        <f>IF(OR($B288&lt;&gt;$B273,$B289&lt;&gt;$B274,$B290&lt;&gt;$B275,$B291&lt;&gt;$B276,$B292&lt;&gt;$B277,$B293&lt;&gt;$B278,$B294&lt;&gt;$B279,$B295&lt;&gt;$B280,$B296&lt;&gt;$B281,$B297&lt;&gt;$B282,$B298&lt;&gt;$B283),IF($B293&lt;&gt;$B278,L278/INDEX($C273:$AJ283,6,MATCH(IF('Data-solution'!$A$3="Maximize",MAX($C284:$AI284),MIN($C284:$AI284)),$C284:$AI284,0)),L278-INDEX($C273:$AJ283,6,MATCH(IF('Data-solution'!$A$3="Maximize",MAX($C284:$AI284),MIN($C284:$AI284)),$C284:$AI284,0))*INDEX(L273:$AJ283,MATCH(MIN($AK273:$AK283),$AK273:$AK283,0),1)/INDEX($C273:$AJ283,MATCH(MIN($AK273:$AK283),$AK273:$AK283,0),MATCH(IF('Data-solution'!$A$3="Maximize",MAX($C284:$AI284),MIN($C284:$AI284)),$C284:$AI284,0))),L278)</f>
        <v>0</v>
      </c>
      <c r="M293" s="1">
        <f>IF(OR($B288&lt;&gt;$B273,$B289&lt;&gt;$B274,$B290&lt;&gt;$B275,$B291&lt;&gt;$B276,$B292&lt;&gt;$B277,$B293&lt;&gt;$B278,$B294&lt;&gt;$B279,$B295&lt;&gt;$B280,$B296&lt;&gt;$B281,$B297&lt;&gt;$B282,$B298&lt;&gt;$B283),IF($B293&lt;&gt;$B278,M278/INDEX($C273:$AJ283,6,MATCH(IF('Data-solution'!$A$3="Maximize",MAX($C284:$AI284),MIN($C284:$AI284)),$C284:$AI284,0)),M278-INDEX($C273:$AJ283,6,MATCH(IF('Data-solution'!$A$3="Maximize",MAX($C284:$AI284),MIN($C284:$AI284)),$C284:$AI284,0))*INDEX(M273:$AJ283,MATCH(MIN($AK273:$AK283),$AK273:$AK283,0),1)/INDEX($C273:$AJ283,MATCH(MIN($AK273:$AK283),$AK273:$AK283,0),MATCH(IF('Data-solution'!$A$3="Maximize",MAX($C284:$AI284),MIN($C284:$AI284)),$C284:$AI284,0))),M278)</f>
        <v>0</v>
      </c>
      <c r="N293" s="1">
        <f>IF(OR($B288&lt;&gt;$B273,$B289&lt;&gt;$B274,$B290&lt;&gt;$B275,$B291&lt;&gt;$B276,$B292&lt;&gt;$B277,$B293&lt;&gt;$B278,$B294&lt;&gt;$B279,$B295&lt;&gt;$B280,$B296&lt;&gt;$B281,$B297&lt;&gt;$B282,$B298&lt;&gt;$B283),IF($B293&lt;&gt;$B278,N278/INDEX($C273:$AJ283,6,MATCH(IF('Data-solution'!$A$3="Maximize",MAX($C284:$AI284),MIN($C284:$AI284)),$C284:$AI284,0)),N278-INDEX($C273:$AJ283,6,MATCH(IF('Data-solution'!$A$3="Maximize",MAX($C284:$AI284),MIN($C284:$AI284)),$C284:$AI284,0))*INDEX(N273:$AJ283,MATCH(MIN($AK273:$AK283),$AK273:$AK283,0),1)/INDEX($C273:$AJ283,MATCH(MIN($AK273:$AK283),$AK273:$AK283,0),MATCH(IF('Data-solution'!$A$3="Maximize",MAX($C284:$AI284),MIN($C284:$AI284)),$C284:$AI284,0))),N278)</f>
        <v>0</v>
      </c>
      <c r="O293" s="1">
        <f>IF(OR($B288&lt;&gt;$B273,$B289&lt;&gt;$B274,$B290&lt;&gt;$B275,$B291&lt;&gt;$B276,$B292&lt;&gt;$B277,$B293&lt;&gt;$B278,$B294&lt;&gt;$B279,$B295&lt;&gt;$B280,$B296&lt;&gt;$B281,$B297&lt;&gt;$B282,$B298&lt;&gt;$B283),IF($B293&lt;&gt;$B278,O278/INDEX($C273:$AJ283,6,MATCH(IF('Data-solution'!$A$3="Maximize",MAX($C284:$AI284),MIN($C284:$AI284)),$C284:$AI284,0)),O278-INDEX($C273:$AJ283,6,MATCH(IF('Data-solution'!$A$3="Maximize",MAX($C284:$AI284),MIN($C284:$AI284)),$C284:$AI284,0))*INDEX(O273:$AJ283,MATCH(MIN($AK273:$AK283),$AK273:$AK283,0),1)/INDEX($C273:$AJ283,MATCH(MIN($AK273:$AK283),$AK273:$AK283,0),MATCH(IF('Data-solution'!$A$3="Maximize",MAX($C284:$AI284),MIN($C284:$AI284)),$C284:$AI284,0))),O278)</f>
        <v>0</v>
      </c>
      <c r="P293" s="1">
        <f>IF(OR($B288&lt;&gt;$B273,$B289&lt;&gt;$B274,$B290&lt;&gt;$B275,$B291&lt;&gt;$B276,$B292&lt;&gt;$B277,$B293&lt;&gt;$B278,$B294&lt;&gt;$B279,$B295&lt;&gt;$B280,$B296&lt;&gt;$B281,$B297&lt;&gt;$B282,$B298&lt;&gt;$B283),IF($B293&lt;&gt;$B278,P278/INDEX($C273:$AJ283,6,MATCH(IF('Data-solution'!$A$3="Maximize",MAX($C284:$AI284),MIN($C284:$AI284)),$C284:$AI284,0)),P278-INDEX($C273:$AJ283,6,MATCH(IF('Data-solution'!$A$3="Maximize",MAX($C284:$AI284),MIN($C284:$AI284)),$C284:$AI284,0))*INDEX(P273:$AJ283,MATCH(MIN($AK273:$AK283),$AK273:$AK283,0),1)/INDEX($C273:$AJ283,MATCH(MIN($AK273:$AK283),$AK273:$AK283,0),MATCH(IF('Data-solution'!$A$3="Maximize",MAX($C284:$AI284),MIN($C284:$AI284)),$C284:$AI284,0))),P278)</f>
        <v>0</v>
      </c>
      <c r="Q293" s="1">
        <f>IF(OR($B288&lt;&gt;$B273,$B289&lt;&gt;$B274,$B290&lt;&gt;$B275,$B291&lt;&gt;$B276,$B292&lt;&gt;$B277,$B293&lt;&gt;$B278,$B294&lt;&gt;$B279,$B295&lt;&gt;$B280,$B296&lt;&gt;$B281,$B297&lt;&gt;$B282,$B298&lt;&gt;$B283),IF($B293&lt;&gt;$B278,Q278/INDEX($C273:$AJ283,6,MATCH(IF('Data-solution'!$A$3="Maximize",MAX($C284:$AI284),MIN($C284:$AI284)),$C284:$AI284,0)),Q278-INDEX($C273:$AJ283,6,MATCH(IF('Data-solution'!$A$3="Maximize",MAX($C284:$AI284),MIN($C284:$AI284)),$C284:$AI284,0))*INDEX(Q273:$AJ283,MATCH(MIN($AK273:$AK283),$AK273:$AK283,0),1)/INDEX($C273:$AJ283,MATCH(MIN($AK273:$AK283),$AK273:$AK283,0),MATCH(IF('Data-solution'!$A$3="Maximize",MAX($C284:$AI284),MIN($C284:$AI284)),$C284:$AI284,0))),Q278)</f>
        <v>0</v>
      </c>
      <c r="R293" s="1">
        <f>IF(OR($B288&lt;&gt;$B273,$B289&lt;&gt;$B274,$B290&lt;&gt;$B275,$B291&lt;&gt;$B276,$B292&lt;&gt;$B277,$B293&lt;&gt;$B278,$B294&lt;&gt;$B279,$B295&lt;&gt;$B280,$B296&lt;&gt;$B281,$B297&lt;&gt;$B282,$B298&lt;&gt;$B283),IF($B293&lt;&gt;$B278,R278/INDEX($C273:$AJ283,6,MATCH(IF('Data-solution'!$A$3="Maximize",MAX($C284:$AI284),MIN($C284:$AI284)),$C284:$AI284,0)),R278-INDEX($C273:$AJ283,6,MATCH(IF('Data-solution'!$A$3="Maximize",MAX($C284:$AI284),MIN($C284:$AI284)),$C284:$AI284,0))*INDEX(R273:$AJ283,MATCH(MIN($AK273:$AK283),$AK273:$AK283,0),1)/INDEX($C273:$AJ283,MATCH(MIN($AK273:$AK283),$AK273:$AK283,0),MATCH(IF('Data-solution'!$A$3="Maximize",MAX($C284:$AI284),MIN($C284:$AI284)),$C284:$AI284,0))),R278)</f>
        <v>0</v>
      </c>
      <c r="S293" s="1">
        <f>IF(OR($B288&lt;&gt;$B273,$B289&lt;&gt;$B274,$B290&lt;&gt;$B275,$B291&lt;&gt;$B276,$B292&lt;&gt;$B277,$B293&lt;&gt;$B278,$B294&lt;&gt;$B279,$B295&lt;&gt;$B280,$B296&lt;&gt;$B281,$B297&lt;&gt;$B282,$B298&lt;&gt;$B283),IF($B293&lt;&gt;$B278,S278/INDEX($C273:$AJ283,6,MATCH(IF('Data-solution'!$A$3="Maximize",MAX($C284:$AI284),MIN($C284:$AI284)),$C284:$AI284,0)),S278-INDEX($C273:$AJ283,6,MATCH(IF('Data-solution'!$A$3="Maximize",MAX($C284:$AI284),MIN($C284:$AI284)),$C284:$AI284,0))*INDEX(S273:$AJ283,MATCH(MIN($AK273:$AK283),$AK273:$AK283,0),1)/INDEX($C273:$AJ283,MATCH(MIN($AK273:$AK283),$AK273:$AK283,0),MATCH(IF('Data-solution'!$A$3="Maximize",MAX($C284:$AI284),MIN($C284:$AI284)),$C284:$AI284,0))),S278)</f>
        <v>1</v>
      </c>
      <c r="T293" s="1">
        <f>IF(OR($B288&lt;&gt;$B273,$B289&lt;&gt;$B274,$B290&lt;&gt;$B275,$B291&lt;&gt;$B276,$B292&lt;&gt;$B277,$B293&lt;&gt;$B278,$B294&lt;&gt;$B279,$B295&lt;&gt;$B280,$B296&lt;&gt;$B281,$B297&lt;&gt;$B282,$B298&lt;&gt;$B283),IF($B293&lt;&gt;$B278,T278/INDEX($C273:$AJ283,6,MATCH(IF('Data-solution'!$A$3="Maximize",MAX($C284:$AI284),MIN($C284:$AI284)),$C284:$AI284,0)),T278-INDEX($C273:$AJ283,6,MATCH(IF('Data-solution'!$A$3="Maximize",MAX($C284:$AI284),MIN($C284:$AI284)),$C284:$AI284,0))*INDEX(T273:$AJ283,MATCH(MIN($AK273:$AK283),$AK273:$AK283,0),1)/INDEX($C273:$AJ283,MATCH(MIN($AK273:$AK283),$AK273:$AK283,0),MATCH(IF('Data-solution'!$A$3="Maximize",MAX($C284:$AI284),MIN($C284:$AI284)),$C284:$AI284,0))),T278)</f>
        <v>0</v>
      </c>
      <c r="U293" s="1">
        <f>IF(OR($B288&lt;&gt;$B273,$B289&lt;&gt;$B274,$B290&lt;&gt;$B275,$B291&lt;&gt;$B276,$B292&lt;&gt;$B277,$B293&lt;&gt;$B278,$B294&lt;&gt;$B279,$B295&lt;&gt;$B280,$B296&lt;&gt;$B281,$B297&lt;&gt;$B282,$B298&lt;&gt;$B283),IF($B293&lt;&gt;$B278,U278/INDEX($C273:$AJ283,6,MATCH(IF('Data-solution'!$A$3="Maximize",MAX($C284:$AI284),MIN($C284:$AI284)),$C284:$AI284,0)),U278-INDEX($C273:$AJ283,6,MATCH(IF('Data-solution'!$A$3="Maximize",MAX($C284:$AI284),MIN($C284:$AI284)),$C284:$AI284,0))*INDEX(U273:$AJ283,MATCH(MIN($AK273:$AK283),$AK273:$AK283,0),1)/INDEX($C273:$AJ283,MATCH(MIN($AK273:$AK283),$AK273:$AK283,0),MATCH(IF('Data-solution'!$A$3="Maximize",MAX($C284:$AI284),MIN($C284:$AI284)),$C284:$AI284,0))),U278)</f>
        <v>0</v>
      </c>
      <c r="V293" s="1">
        <f>IF(OR($B288&lt;&gt;$B273,$B289&lt;&gt;$B274,$B290&lt;&gt;$B275,$B291&lt;&gt;$B276,$B292&lt;&gt;$B277,$B293&lt;&gt;$B278,$B294&lt;&gt;$B279,$B295&lt;&gt;$B280,$B296&lt;&gt;$B281,$B297&lt;&gt;$B282,$B298&lt;&gt;$B283),IF($B293&lt;&gt;$B278,V278/INDEX($C273:$AJ283,6,MATCH(IF('Data-solution'!$A$3="Maximize",MAX($C284:$AI284),MIN($C284:$AI284)),$C284:$AI284,0)),V278-INDEX($C273:$AJ283,6,MATCH(IF('Data-solution'!$A$3="Maximize",MAX($C284:$AI284),MIN($C284:$AI284)),$C284:$AI284,0))*INDEX(V273:$AJ283,MATCH(MIN($AK273:$AK283),$AK273:$AK283,0),1)/INDEX($C273:$AJ283,MATCH(MIN($AK273:$AK283),$AK273:$AK283,0),MATCH(IF('Data-solution'!$A$3="Maximize",MAX($C284:$AI284),MIN($C284:$AI284)),$C284:$AI284,0))),V278)</f>
        <v>0</v>
      </c>
      <c r="W293" s="1">
        <f>IF(OR($B288&lt;&gt;$B273,$B289&lt;&gt;$B274,$B290&lt;&gt;$B275,$B291&lt;&gt;$B276,$B292&lt;&gt;$B277,$B293&lt;&gt;$B278,$B294&lt;&gt;$B279,$B295&lt;&gt;$B280,$B296&lt;&gt;$B281,$B297&lt;&gt;$B282,$B298&lt;&gt;$B283),IF($B293&lt;&gt;$B278,W278/INDEX($C273:$AJ283,6,MATCH(IF('Data-solution'!$A$3="Maximize",MAX($C284:$AI284),MIN($C284:$AI284)),$C284:$AI284,0)),W278-INDEX($C273:$AJ283,6,MATCH(IF('Data-solution'!$A$3="Maximize",MAX($C284:$AI284),MIN($C284:$AI284)),$C284:$AI284,0))*INDEX(W273:$AJ283,MATCH(MIN($AK273:$AK283),$AK273:$AK283,0),1)/INDEX($C273:$AJ283,MATCH(MIN($AK273:$AK283),$AK273:$AK283,0),MATCH(IF('Data-solution'!$A$3="Maximize",MAX($C284:$AI284),MIN($C284:$AI284)),$C284:$AI284,0))),W278)</f>
        <v>0</v>
      </c>
      <c r="X293" s="1">
        <f>IF(OR($B288&lt;&gt;$B273,$B289&lt;&gt;$B274,$B290&lt;&gt;$B275,$B291&lt;&gt;$B276,$B292&lt;&gt;$B277,$B293&lt;&gt;$B278,$B294&lt;&gt;$B279,$B295&lt;&gt;$B280,$B296&lt;&gt;$B281,$B297&lt;&gt;$B282,$B298&lt;&gt;$B283),IF($B293&lt;&gt;$B278,X278/INDEX($C273:$AJ283,6,MATCH(IF('Data-solution'!$A$3="Maximize",MAX($C284:$AI284),MIN($C284:$AI284)),$C284:$AI284,0)),X278-INDEX($C273:$AJ283,6,MATCH(IF('Data-solution'!$A$3="Maximize",MAX($C284:$AI284),MIN($C284:$AI284)),$C284:$AI284,0))*INDEX(X273:$AJ283,MATCH(MIN($AK273:$AK283),$AK273:$AK283,0),1)/INDEX($C273:$AJ283,MATCH(MIN($AK273:$AK283),$AK273:$AK283,0),MATCH(IF('Data-solution'!$A$3="Maximize",MAX($C284:$AI284),MIN($C284:$AI284)),$C284:$AI284,0))),X278)</f>
        <v>0</v>
      </c>
      <c r="Y293" s="1">
        <f>IF(OR($B288&lt;&gt;$B273,$B289&lt;&gt;$B274,$B290&lt;&gt;$B275,$B291&lt;&gt;$B276,$B292&lt;&gt;$B277,$B293&lt;&gt;$B278,$B294&lt;&gt;$B279,$B295&lt;&gt;$B280,$B296&lt;&gt;$B281,$B297&lt;&gt;$B282,$B298&lt;&gt;$B283),IF($B293&lt;&gt;$B278,Y278/INDEX($C273:$AJ283,6,MATCH(IF('Data-solution'!$A$3="Maximize",MAX($C284:$AI284),MIN($C284:$AI284)),$C284:$AI284,0)),Y278-INDEX($C273:$AJ283,6,MATCH(IF('Data-solution'!$A$3="Maximize",MAX($C284:$AI284),MIN($C284:$AI284)),$C284:$AI284,0))*INDEX(Y273:$AJ283,MATCH(MIN($AK273:$AK283),$AK273:$AK283,0),1)/INDEX($C273:$AJ283,MATCH(MIN($AK273:$AK283),$AK273:$AK283,0),MATCH(IF('Data-solution'!$A$3="Maximize",MAX($C284:$AI284),MIN($C284:$AI284)),$C284:$AI284,0))),Y278)</f>
        <v>0</v>
      </c>
      <c r="Z293" s="1">
        <f>IF(OR($B288&lt;&gt;$B273,$B289&lt;&gt;$B274,$B290&lt;&gt;$B275,$B291&lt;&gt;$B276,$B292&lt;&gt;$B277,$B293&lt;&gt;$B278,$B294&lt;&gt;$B279,$B295&lt;&gt;$B280,$B296&lt;&gt;$B281,$B297&lt;&gt;$B282,$B298&lt;&gt;$B283),IF($B293&lt;&gt;$B278,Z278/INDEX($C273:$AJ283,6,MATCH(IF('Data-solution'!$A$3="Maximize",MAX($C284:$AI284),MIN($C284:$AI284)),$C284:$AI284,0)),Z278-INDEX($C273:$AJ283,6,MATCH(IF('Data-solution'!$A$3="Maximize",MAX($C284:$AI284),MIN($C284:$AI284)),$C284:$AI284,0))*INDEX(Z273:$AJ283,MATCH(MIN($AK273:$AK283),$AK273:$AK283,0),1)/INDEX($C273:$AJ283,MATCH(MIN($AK273:$AK283),$AK273:$AK283,0),MATCH(IF('Data-solution'!$A$3="Maximize",MAX($C284:$AI284),MIN($C284:$AI284)),$C284:$AI284,0))),Z278)</f>
        <v>0</v>
      </c>
      <c r="AA293" s="1">
        <f>IF(OR($B288&lt;&gt;$B273,$B289&lt;&gt;$B274,$B290&lt;&gt;$B275,$B291&lt;&gt;$B276,$B292&lt;&gt;$B277,$B293&lt;&gt;$B278,$B294&lt;&gt;$B279,$B295&lt;&gt;$B280,$B296&lt;&gt;$B281,$B297&lt;&gt;$B282,$B298&lt;&gt;$B283),IF($B293&lt;&gt;$B278,AA278/INDEX($C273:$AJ283,6,MATCH(IF('Data-solution'!$A$3="Maximize",MAX($C284:$AI284),MIN($C284:$AI284)),$C284:$AI284,0)),AA278-INDEX($C273:$AJ283,6,MATCH(IF('Data-solution'!$A$3="Maximize",MAX($C284:$AI284),MIN($C284:$AI284)),$C284:$AI284,0))*INDEX(AA273:$AJ283,MATCH(MIN($AK273:$AK283),$AK273:$AK283,0),1)/INDEX($C273:$AJ283,MATCH(MIN($AK273:$AK283),$AK273:$AK283,0),MATCH(IF('Data-solution'!$A$3="Maximize",MAX($C284:$AI284),MIN($C284:$AI284)),$C284:$AI284,0))),AA278)</f>
        <v>0</v>
      </c>
      <c r="AB293" s="1">
        <f>IF(OR($B288&lt;&gt;$B273,$B289&lt;&gt;$B274,$B290&lt;&gt;$B275,$B291&lt;&gt;$B276,$B292&lt;&gt;$B277,$B293&lt;&gt;$B278,$B294&lt;&gt;$B279,$B295&lt;&gt;$B280,$B296&lt;&gt;$B281,$B297&lt;&gt;$B282,$B298&lt;&gt;$B283),IF($B293&lt;&gt;$B278,AB278/INDEX($C273:$AJ283,6,MATCH(IF('Data-solution'!$A$3="Maximize",MAX($C284:$AI284),MIN($C284:$AI284)),$C284:$AI284,0)),AB278-INDEX($C273:$AJ283,6,MATCH(IF('Data-solution'!$A$3="Maximize",MAX($C284:$AI284),MIN($C284:$AI284)),$C284:$AI284,0))*INDEX(AB273:$AJ283,MATCH(MIN($AK273:$AK283),$AK273:$AK283,0),1)/INDEX($C273:$AJ283,MATCH(MIN($AK273:$AK283),$AK273:$AK283,0),MATCH(IF('Data-solution'!$A$3="Maximize",MAX($C284:$AI284),MIN($C284:$AI284)),$C284:$AI284,0))),AB278)</f>
        <v>0</v>
      </c>
      <c r="AC293" s="1">
        <f>IF(OR($B288&lt;&gt;$B273,$B289&lt;&gt;$B274,$B290&lt;&gt;$B275,$B291&lt;&gt;$B276,$B292&lt;&gt;$B277,$B293&lt;&gt;$B278,$B294&lt;&gt;$B279,$B295&lt;&gt;$B280,$B296&lt;&gt;$B281,$B297&lt;&gt;$B282,$B298&lt;&gt;$B283),IF($B293&lt;&gt;$B278,AC278/INDEX($C273:$AJ283,6,MATCH(IF('Data-solution'!$A$3="Maximize",MAX($C284:$AI284),MIN($C284:$AI284)),$C284:$AI284,0)),AC278-INDEX($C273:$AJ283,6,MATCH(IF('Data-solution'!$A$3="Maximize",MAX($C284:$AI284),MIN($C284:$AI284)),$C284:$AI284,0))*INDEX(AC273:$AJ283,MATCH(MIN($AK273:$AK283),$AK273:$AK283,0),1)/INDEX($C273:$AJ283,MATCH(MIN($AK273:$AK283),$AK273:$AK283,0),MATCH(IF('Data-solution'!$A$3="Maximize",MAX($C284:$AI284),MIN($C284:$AI284)),$C284:$AI284,0))),AC278)</f>
        <v>0</v>
      </c>
      <c r="AD293" s="1">
        <f>IF(OR($B288&lt;&gt;$B273,$B289&lt;&gt;$B274,$B290&lt;&gt;$B275,$B291&lt;&gt;$B276,$B292&lt;&gt;$B277,$B293&lt;&gt;$B278,$B294&lt;&gt;$B279,$B295&lt;&gt;$B280,$B296&lt;&gt;$B281,$B297&lt;&gt;$B282,$B298&lt;&gt;$B283),IF($B293&lt;&gt;$B278,AD278/INDEX($C273:$AJ283,6,MATCH(IF('Data-solution'!$A$3="Maximize",MAX($C284:$AI284),MIN($C284:$AI284)),$C284:$AI284,0)),AD278-INDEX($C273:$AJ283,6,MATCH(IF('Data-solution'!$A$3="Maximize",MAX($C284:$AI284),MIN($C284:$AI284)),$C284:$AI284,0))*INDEX(AD273:$AJ283,MATCH(MIN($AK273:$AK283),$AK273:$AK283,0),1)/INDEX($C273:$AJ283,MATCH(MIN($AK273:$AK283),$AK273:$AK283,0),MATCH(IF('Data-solution'!$A$3="Maximize",MAX($C284:$AI284),MIN($C284:$AI284)),$C284:$AI284,0))),AD278)</f>
        <v>1</v>
      </c>
      <c r="AE293" s="1">
        <f>IF(OR($B288&lt;&gt;$B273,$B289&lt;&gt;$B274,$B290&lt;&gt;$B275,$B291&lt;&gt;$B276,$B292&lt;&gt;$B277,$B293&lt;&gt;$B278,$B294&lt;&gt;$B279,$B295&lt;&gt;$B280,$B296&lt;&gt;$B281,$B297&lt;&gt;$B282,$B298&lt;&gt;$B283),IF($B293&lt;&gt;$B278,AE278/INDEX($C273:$AJ283,6,MATCH(IF('Data-solution'!$A$3="Maximize",MAX($C284:$AI284),MIN($C284:$AI284)),$C284:$AI284,0)),AE278-INDEX($C273:$AJ283,6,MATCH(IF('Data-solution'!$A$3="Maximize",MAX($C284:$AI284),MIN($C284:$AI284)),$C284:$AI284,0))*INDEX(AE273:$AJ283,MATCH(MIN($AK273:$AK283),$AK273:$AK283,0),1)/INDEX($C273:$AJ283,MATCH(MIN($AK273:$AK283),$AK273:$AK283,0),MATCH(IF('Data-solution'!$A$3="Maximize",MAX($C284:$AI284),MIN($C284:$AI284)),$C284:$AI284,0))),AE278)</f>
        <v>0</v>
      </c>
      <c r="AF293" s="1">
        <f>IF(OR($B288&lt;&gt;$B273,$B289&lt;&gt;$B274,$B290&lt;&gt;$B275,$B291&lt;&gt;$B276,$B292&lt;&gt;$B277,$B293&lt;&gt;$B278,$B294&lt;&gt;$B279,$B295&lt;&gt;$B280,$B296&lt;&gt;$B281,$B297&lt;&gt;$B282,$B298&lt;&gt;$B283),IF($B293&lt;&gt;$B278,AF278/INDEX($C273:$AJ283,6,MATCH(IF('Data-solution'!$A$3="Maximize",MAX($C284:$AI284),MIN($C284:$AI284)),$C284:$AI284,0)),AF278-INDEX($C273:$AJ283,6,MATCH(IF('Data-solution'!$A$3="Maximize",MAX($C284:$AI284),MIN($C284:$AI284)),$C284:$AI284,0))*INDEX(AF273:$AJ283,MATCH(MIN($AK273:$AK283),$AK273:$AK283,0),1)/INDEX($C273:$AJ283,MATCH(MIN($AK273:$AK283),$AK273:$AK283,0),MATCH(IF('Data-solution'!$A$3="Maximize",MAX($C284:$AI284),MIN($C284:$AI284)),$C284:$AI284,0))),AF278)</f>
        <v>0</v>
      </c>
      <c r="AG293" s="1">
        <f>IF(OR($B288&lt;&gt;$B273,$B289&lt;&gt;$B274,$B290&lt;&gt;$B275,$B291&lt;&gt;$B276,$B292&lt;&gt;$B277,$B293&lt;&gt;$B278,$B294&lt;&gt;$B279,$B295&lt;&gt;$B280,$B296&lt;&gt;$B281,$B297&lt;&gt;$B282,$B298&lt;&gt;$B283),IF($B293&lt;&gt;$B278,AG278/INDEX($C273:$AJ283,6,MATCH(IF('Data-solution'!$A$3="Maximize",MAX($C284:$AI284),MIN($C284:$AI284)),$C284:$AI284,0)),AG278-INDEX($C273:$AJ283,6,MATCH(IF('Data-solution'!$A$3="Maximize",MAX($C284:$AI284),MIN($C284:$AI284)),$C284:$AI284,0))*INDEX(AG273:$AJ283,MATCH(MIN($AK273:$AK283),$AK273:$AK283,0),1)/INDEX($C273:$AJ283,MATCH(MIN($AK273:$AK283),$AK273:$AK283,0),MATCH(IF('Data-solution'!$A$3="Maximize",MAX($C284:$AI284),MIN($C284:$AI284)),$C284:$AI284,0))),AG278)</f>
        <v>0</v>
      </c>
      <c r="AH293" s="1">
        <f>IF(OR($B288&lt;&gt;$B273,$B289&lt;&gt;$B274,$B290&lt;&gt;$B275,$B291&lt;&gt;$B276,$B292&lt;&gt;$B277,$B293&lt;&gt;$B278,$B294&lt;&gt;$B279,$B295&lt;&gt;$B280,$B296&lt;&gt;$B281,$B297&lt;&gt;$B282,$B298&lt;&gt;$B283),IF($B293&lt;&gt;$B278,AH278/INDEX($C273:$AJ283,6,MATCH(IF('Data-solution'!$A$3="Maximize",MAX($C284:$AI284),MIN($C284:$AI284)),$C284:$AI284,0)),AH278-INDEX($C273:$AJ283,6,MATCH(IF('Data-solution'!$A$3="Maximize",MAX($C284:$AI284),MIN($C284:$AI284)),$C284:$AI284,0))*INDEX(AH273:$AJ283,MATCH(MIN($AK273:$AK283),$AK273:$AK283,0),1)/INDEX($C273:$AJ283,MATCH(MIN($AK273:$AK283),$AK273:$AK283,0),MATCH(IF('Data-solution'!$A$3="Maximize",MAX($C284:$AI284),MIN($C284:$AI284)),$C284:$AI284,0))),AH278)</f>
        <v>0</v>
      </c>
      <c r="AI293" s="1">
        <f>IF(OR($B288&lt;&gt;$B273,$B289&lt;&gt;$B274,$B290&lt;&gt;$B275,$B291&lt;&gt;$B276,$B292&lt;&gt;$B277,$B293&lt;&gt;$B278,$B294&lt;&gt;$B279,$B295&lt;&gt;$B280,$B296&lt;&gt;$B281,$B297&lt;&gt;$B282,$B298&lt;&gt;$B283),IF($B293&lt;&gt;$B278,AI278/INDEX($C273:$AJ283,6,MATCH(IF('Data-solution'!$A$3="Maximize",MAX($C284:$AI284),MIN($C284:$AI284)),$C284:$AI284,0)),AI278-INDEX($C273:$AJ283,6,MATCH(IF('Data-solution'!$A$3="Maximize",MAX($C284:$AI284),MIN($C284:$AI284)),$C284:$AI284,0))*INDEX(AI273:$AJ283,MATCH(MIN($AK273:$AK283),$AK273:$AK283,0),1)/INDEX($C273:$AJ283,MATCH(MIN($AK273:$AK283),$AK273:$AK283,0),MATCH(IF('Data-solution'!$A$3="Maximize",MAX($C284:$AI284),MIN($C284:$AI284)),$C284:$AI284,0))),AI278)</f>
        <v>0</v>
      </c>
      <c r="AJ293" s="1">
        <f>IF(OR($B288&lt;&gt;$B273,$B289&lt;&gt;$B274,$B290&lt;&gt;$B275,$B291&lt;&gt;$B276,$B292&lt;&gt;$B277,$B293&lt;&gt;$B278,$B294&lt;&gt;$B279,$B295&lt;&gt;$B280,$B296&lt;&gt;$B281,$B297&lt;&gt;$B282,$B298&lt;&gt;$B283),IF($B293&lt;&gt;$B278,AJ278/INDEX($C273:$AJ283,6,MATCH(IF('Data-solution'!$A$3="Maximize",MAX($C284:$AI284),MIN($C284:$AI284)),$C284:$AI284,0)),AJ278-INDEX($C273:$AJ283,6,MATCH(IF('Data-solution'!$A$3="Maximize",MAX($C284:$AI284),MIN($C284:$AI284)),$C284:$AI284,0))*INDEX(AJ273:$AJ283,MATCH(MIN($AK273:$AK283),$AK273:$AK283,0),1)/INDEX($C273:$AJ283,MATCH(MIN($AK273:$AK283),$AK273:$AK283,0),MATCH(IF('Data-solution'!$A$3="Maximize",MAX($C284:$AI284),MIN($C284:$AI284)),$C284:$AI284,0))),AJ278)</f>
        <v>0</v>
      </c>
      <c r="AK293" s="1" t="str">
        <f>IF(INDEX(C293:X293,1,MATCH(IF('Data-solution'!A$3="Maximize",MAX(C299:X299),MIN(C299:X299)),C299:X299,0))&gt;0,AJ293/INDEX(C293:X293,1,MATCH(IF('Data-solution'!A$3="Maximize",MAX(C299:X299),MIN(C299:X299)),C299:X299,0))," ")</f>
        <v xml:space="preserve"> </v>
      </c>
    </row>
    <row r="294" spans="1:37" ht="18" customHeight="1" x14ac:dyDescent="0.2">
      <c r="A294" s="1">
        <f t="shared" ref="A294" si="262">INDEX(C286:AI286,1,MATCH(B294,C287:AI287,0))</f>
        <v>0</v>
      </c>
      <c r="B294" s="2" t="str">
        <f>IF(AND('Data-solution'!A$3="Maximize",COUNTIF(C284:X284,"&gt;"&amp;0)&gt;0,AK279=MIN(AK273:AK283),COUNTIF(B288:B293,INDEX(C272:X272,1,MATCH(MAX(C284:X284),C284:X284,0)))=0),INDEX(C272:X272,1,MATCH(MAX(C284:X284),C284:X284,0)),IF(AND('Data-solution'!A$3="Minimize",COUNTIF(C284:X284,"&lt;"&amp;0)&gt;0,AK279=MIN(AK273:AK283),COUNTIF(B288:B293,INDEX(C272:X272,1,MATCH(MIN(C284:X284),C284:X284,0)))=0),INDEX(C272:X272,1,MATCH(MIN(C284:X284),C284:X284,0)),B279))</f>
        <v>S7</v>
      </c>
      <c r="C294" s="1">
        <f>IF(OR($B288&lt;&gt;$B273,$B289&lt;&gt;$B274,$B290&lt;&gt;$B275,$B291&lt;&gt;$B276,$B292&lt;&gt;$B277,$B293&lt;&gt;$B278,$B294&lt;&gt;$B279,$B295&lt;&gt;$B280,$B296&lt;&gt;$B281,$B297&lt;&gt;$B282,$B298&lt;&gt;$B283),IF($B294&lt;&gt;$B279,C279/INDEX($C273:$AJ283,7,MATCH(IF('Data-solution'!$A$3="Maximize",MAX($C284:$AI284),MIN($C284:$AI284)),$C284:$AI284,0)),C279-INDEX($C273:$AJ283,7,MATCH(IF('Data-solution'!$A$3="Maximize",MAX($C284:$AI284),MIN($C284:$AI284)),$C284:$AI284,0))*INDEX(C273:$AJ283,MATCH(MIN($AK273:$AK283),$AK273:$AK283,0),1)/INDEX($C273:$AJ283,MATCH(MIN($AK273:$AK283),$AK273:$AK283,0),MATCH(IF('Data-solution'!$A$3="Maximize",MAX($C284:$AI284),MIN($C284:$AI284)),$C284:$AI284,0))),C279)</f>
        <v>0</v>
      </c>
      <c r="D294" s="1">
        <f>IF(OR($B288&lt;&gt;$B273,$B289&lt;&gt;$B274,$B290&lt;&gt;$B275,$B291&lt;&gt;$B276,$B292&lt;&gt;$B277,$B293&lt;&gt;$B278,$B294&lt;&gt;$B279,$B295&lt;&gt;$B280,$B296&lt;&gt;$B281,$B297&lt;&gt;$B282,$B298&lt;&gt;$B283),IF($B294&lt;&gt;$B279,D279/INDEX($C273:$AJ283,7,MATCH(IF('Data-solution'!$A$3="Maximize",MAX($C284:$AI284),MIN($C284:$AI284)),$C284:$AI284,0)),D279-INDEX($C273:$AJ283,7,MATCH(IF('Data-solution'!$A$3="Maximize",MAX($C284:$AI284),MIN($C284:$AI284)),$C284:$AI284,0))*INDEX(D273:$AJ283,MATCH(MIN($AK273:$AK283),$AK273:$AK283,0),1)/INDEX($C273:$AJ283,MATCH(MIN($AK273:$AK283),$AK273:$AK283,0),MATCH(IF('Data-solution'!$A$3="Maximize",MAX($C284:$AI284),MIN($C284:$AI284)),$C284:$AI284,0))),D279)</f>
        <v>0</v>
      </c>
      <c r="E294" s="1">
        <f>IF(OR($B288&lt;&gt;$B273,$B289&lt;&gt;$B274,$B290&lt;&gt;$B275,$B291&lt;&gt;$B276,$B292&lt;&gt;$B277,$B293&lt;&gt;$B278,$B294&lt;&gt;$B279,$B295&lt;&gt;$B280,$B296&lt;&gt;$B281,$B297&lt;&gt;$B282,$B298&lt;&gt;$B283),IF($B294&lt;&gt;$B279,E279/INDEX($C273:$AJ283,7,MATCH(IF('Data-solution'!$A$3="Maximize",MAX($C284:$AI284),MIN($C284:$AI284)),$C284:$AI284,0)),E279-INDEX($C273:$AJ283,7,MATCH(IF('Data-solution'!$A$3="Maximize",MAX($C284:$AI284),MIN($C284:$AI284)),$C284:$AI284,0))*INDEX(E273:$AJ283,MATCH(MIN($AK273:$AK283),$AK273:$AK283,0),1)/INDEX($C273:$AJ283,MATCH(MIN($AK273:$AK283),$AK273:$AK283,0),MATCH(IF('Data-solution'!$A$3="Maximize",MAX($C284:$AI284),MIN($C284:$AI284)),$C284:$AI284,0))),E279)</f>
        <v>0</v>
      </c>
      <c r="F294" s="1">
        <f>IF(OR($B288&lt;&gt;$B273,$B289&lt;&gt;$B274,$B290&lt;&gt;$B275,$B291&lt;&gt;$B276,$B292&lt;&gt;$B277,$B293&lt;&gt;$B278,$B294&lt;&gt;$B279,$B295&lt;&gt;$B280,$B296&lt;&gt;$B281,$B297&lt;&gt;$B282,$B298&lt;&gt;$B283),IF($B294&lt;&gt;$B279,F279/INDEX($C273:$AJ283,7,MATCH(IF('Data-solution'!$A$3="Maximize",MAX($C284:$AI284),MIN($C284:$AI284)),$C284:$AI284,0)),F279-INDEX($C273:$AJ283,7,MATCH(IF('Data-solution'!$A$3="Maximize",MAX($C284:$AI284),MIN($C284:$AI284)),$C284:$AI284,0))*INDEX(F273:$AJ283,MATCH(MIN($AK273:$AK283),$AK273:$AK283,0),1)/INDEX($C273:$AJ283,MATCH(MIN($AK273:$AK283),$AK273:$AK283,0),MATCH(IF('Data-solution'!$A$3="Maximize",MAX($C284:$AI284),MIN($C284:$AI284)),$C284:$AI284,0))),F279)</f>
        <v>0</v>
      </c>
      <c r="G294" s="1">
        <f>IF(OR($B288&lt;&gt;$B273,$B289&lt;&gt;$B274,$B290&lt;&gt;$B275,$B291&lt;&gt;$B276,$B292&lt;&gt;$B277,$B293&lt;&gt;$B278,$B294&lt;&gt;$B279,$B295&lt;&gt;$B280,$B296&lt;&gt;$B281,$B297&lt;&gt;$B282,$B298&lt;&gt;$B283),IF($B294&lt;&gt;$B279,G279/INDEX($C273:$AJ283,7,MATCH(IF('Data-solution'!$A$3="Maximize",MAX($C284:$AI284),MIN($C284:$AI284)),$C284:$AI284,0)),G279-INDEX($C273:$AJ283,7,MATCH(IF('Data-solution'!$A$3="Maximize",MAX($C284:$AI284),MIN($C284:$AI284)),$C284:$AI284,0))*INDEX(G273:$AJ283,MATCH(MIN($AK273:$AK283),$AK273:$AK283,0),1)/INDEX($C273:$AJ283,MATCH(MIN($AK273:$AK283),$AK273:$AK283,0),MATCH(IF('Data-solution'!$A$3="Maximize",MAX($C284:$AI284),MIN($C284:$AI284)),$C284:$AI284,0))),G279)</f>
        <v>0</v>
      </c>
      <c r="H294" s="1">
        <f>IF(OR($B288&lt;&gt;$B273,$B289&lt;&gt;$B274,$B290&lt;&gt;$B275,$B291&lt;&gt;$B276,$B292&lt;&gt;$B277,$B293&lt;&gt;$B278,$B294&lt;&gt;$B279,$B295&lt;&gt;$B280,$B296&lt;&gt;$B281,$B297&lt;&gt;$B282,$B298&lt;&gt;$B283),IF($B294&lt;&gt;$B279,H279/INDEX($C273:$AJ283,7,MATCH(IF('Data-solution'!$A$3="Maximize",MAX($C284:$AI284),MIN($C284:$AI284)),$C284:$AI284,0)),H279-INDEX($C273:$AJ283,7,MATCH(IF('Data-solution'!$A$3="Maximize",MAX($C284:$AI284),MIN($C284:$AI284)),$C284:$AI284,0))*INDEX(H273:$AJ283,MATCH(MIN($AK273:$AK283),$AK273:$AK283,0),1)/INDEX($C273:$AJ283,MATCH(MIN($AK273:$AK283),$AK273:$AK283,0),MATCH(IF('Data-solution'!$A$3="Maximize",MAX($C284:$AI284),MIN($C284:$AI284)),$C284:$AI284,0))),H279)</f>
        <v>0</v>
      </c>
      <c r="I294" s="1">
        <f>IF(OR($B288&lt;&gt;$B273,$B289&lt;&gt;$B274,$B290&lt;&gt;$B275,$B291&lt;&gt;$B276,$B292&lt;&gt;$B277,$B293&lt;&gt;$B278,$B294&lt;&gt;$B279,$B295&lt;&gt;$B280,$B296&lt;&gt;$B281,$B297&lt;&gt;$B282,$B298&lt;&gt;$B283),IF($B294&lt;&gt;$B279,I279/INDEX($C273:$AJ283,7,MATCH(IF('Data-solution'!$A$3="Maximize",MAX($C284:$AI284),MIN($C284:$AI284)),$C284:$AI284,0)),I279-INDEX($C273:$AJ283,7,MATCH(IF('Data-solution'!$A$3="Maximize",MAX($C284:$AI284),MIN($C284:$AI284)),$C284:$AI284,0))*INDEX(I273:$AJ283,MATCH(MIN($AK273:$AK283),$AK273:$AK283,0),1)/INDEX($C273:$AJ283,MATCH(MIN($AK273:$AK283),$AK273:$AK283,0),MATCH(IF('Data-solution'!$A$3="Maximize",MAX($C284:$AI284),MIN($C284:$AI284)),$C284:$AI284,0))),I279)</f>
        <v>0</v>
      </c>
      <c r="J294" s="1">
        <f>IF(OR($B288&lt;&gt;$B273,$B289&lt;&gt;$B274,$B290&lt;&gt;$B275,$B291&lt;&gt;$B276,$B292&lt;&gt;$B277,$B293&lt;&gt;$B278,$B294&lt;&gt;$B279,$B295&lt;&gt;$B280,$B296&lt;&gt;$B281,$B297&lt;&gt;$B282,$B298&lt;&gt;$B283),IF($B294&lt;&gt;$B279,J279/INDEX($C273:$AJ283,7,MATCH(IF('Data-solution'!$A$3="Maximize",MAX($C284:$AI284),MIN($C284:$AI284)),$C284:$AI284,0)),J279-INDEX($C273:$AJ283,7,MATCH(IF('Data-solution'!$A$3="Maximize",MAX($C284:$AI284),MIN($C284:$AI284)),$C284:$AI284,0))*INDEX(J273:$AJ283,MATCH(MIN($AK273:$AK283),$AK273:$AK283,0),1)/INDEX($C273:$AJ283,MATCH(MIN($AK273:$AK283),$AK273:$AK283,0),MATCH(IF('Data-solution'!$A$3="Maximize",MAX($C284:$AI284),MIN($C284:$AI284)),$C284:$AI284,0))),J279)</f>
        <v>0</v>
      </c>
      <c r="K294" s="1">
        <f>IF(OR($B288&lt;&gt;$B273,$B289&lt;&gt;$B274,$B290&lt;&gt;$B275,$B291&lt;&gt;$B276,$B292&lt;&gt;$B277,$B293&lt;&gt;$B278,$B294&lt;&gt;$B279,$B295&lt;&gt;$B280,$B296&lt;&gt;$B281,$B297&lt;&gt;$B282,$B298&lt;&gt;$B283),IF($B294&lt;&gt;$B279,K279/INDEX($C273:$AJ283,7,MATCH(IF('Data-solution'!$A$3="Maximize",MAX($C284:$AI284),MIN($C284:$AI284)),$C284:$AI284,0)),K279-INDEX($C273:$AJ283,7,MATCH(IF('Data-solution'!$A$3="Maximize",MAX($C284:$AI284),MIN($C284:$AI284)),$C284:$AI284,0))*INDEX(K273:$AJ283,MATCH(MIN($AK273:$AK283),$AK273:$AK283,0),1)/INDEX($C273:$AJ283,MATCH(MIN($AK273:$AK283),$AK273:$AK283,0),MATCH(IF('Data-solution'!$A$3="Maximize",MAX($C284:$AI284),MIN($C284:$AI284)),$C284:$AI284,0))),K279)</f>
        <v>0</v>
      </c>
      <c r="L294" s="1">
        <f>IF(OR($B288&lt;&gt;$B273,$B289&lt;&gt;$B274,$B290&lt;&gt;$B275,$B291&lt;&gt;$B276,$B292&lt;&gt;$B277,$B293&lt;&gt;$B278,$B294&lt;&gt;$B279,$B295&lt;&gt;$B280,$B296&lt;&gt;$B281,$B297&lt;&gt;$B282,$B298&lt;&gt;$B283),IF($B294&lt;&gt;$B279,L279/INDEX($C273:$AJ283,7,MATCH(IF('Data-solution'!$A$3="Maximize",MAX($C284:$AI284),MIN($C284:$AI284)),$C284:$AI284,0)),L279-INDEX($C273:$AJ283,7,MATCH(IF('Data-solution'!$A$3="Maximize",MAX($C284:$AI284),MIN($C284:$AI284)),$C284:$AI284,0))*INDEX(L273:$AJ283,MATCH(MIN($AK273:$AK283),$AK273:$AK283,0),1)/INDEX($C273:$AJ283,MATCH(MIN($AK273:$AK283),$AK273:$AK283,0),MATCH(IF('Data-solution'!$A$3="Maximize",MAX($C284:$AI284),MIN($C284:$AI284)),$C284:$AI284,0))),L279)</f>
        <v>0</v>
      </c>
      <c r="M294" s="1">
        <f>IF(OR($B288&lt;&gt;$B273,$B289&lt;&gt;$B274,$B290&lt;&gt;$B275,$B291&lt;&gt;$B276,$B292&lt;&gt;$B277,$B293&lt;&gt;$B278,$B294&lt;&gt;$B279,$B295&lt;&gt;$B280,$B296&lt;&gt;$B281,$B297&lt;&gt;$B282,$B298&lt;&gt;$B283),IF($B294&lt;&gt;$B279,M279/INDEX($C273:$AJ283,7,MATCH(IF('Data-solution'!$A$3="Maximize",MAX($C284:$AI284),MIN($C284:$AI284)),$C284:$AI284,0)),M279-INDEX($C273:$AJ283,7,MATCH(IF('Data-solution'!$A$3="Maximize",MAX($C284:$AI284),MIN($C284:$AI284)),$C284:$AI284,0))*INDEX(M273:$AJ283,MATCH(MIN($AK273:$AK283),$AK273:$AK283,0),1)/INDEX($C273:$AJ283,MATCH(MIN($AK273:$AK283),$AK273:$AK283,0),MATCH(IF('Data-solution'!$A$3="Maximize",MAX($C284:$AI284),MIN($C284:$AI284)),$C284:$AI284,0))),M279)</f>
        <v>0</v>
      </c>
      <c r="N294" s="1">
        <f>IF(OR($B288&lt;&gt;$B273,$B289&lt;&gt;$B274,$B290&lt;&gt;$B275,$B291&lt;&gt;$B276,$B292&lt;&gt;$B277,$B293&lt;&gt;$B278,$B294&lt;&gt;$B279,$B295&lt;&gt;$B280,$B296&lt;&gt;$B281,$B297&lt;&gt;$B282,$B298&lt;&gt;$B283),IF($B294&lt;&gt;$B279,N279/INDEX($C273:$AJ283,7,MATCH(IF('Data-solution'!$A$3="Maximize",MAX($C284:$AI284),MIN($C284:$AI284)),$C284:$AI284,0)),N279-INDEX($C273:$AJ283,7,MATCH(IF('Data-solution'!$A$3="Maximize",MAX($C284:$AI284),MIN($C284:$AI284)),$C284:$AI284,0))*INDEX(N273:$AJ283,MATCH(MIN($AK273:$AK283),$AK273:$AK283,0),1)/INDEX($C273:$AJ283,MATCH(MIN($AK273:$AK283),$AK273:$AK283,0),MATCH(IF('Data-solution'!$A$3="Maximize",MAX($C284:$AI284),MIN($C284:$AI284)),$C284:$AI284,0))),N279)</f>
        <v>0</v>
      </c>
      <c r="O294" s="1">
        <f>IF(OR($B288&lt;&gt;$B273,$B289&lt;&gt;$B274,$B290&lt;&gt;$B275,$B291&lt;&gt;$B276,$B292&lt;&gt;$B277,$B293&lt;&gt;$B278,$B294&lt;&gt;$B279,$B295&lt;&gt;$B280,$B296&lt;&gt;$B281,$B297&lt;&gt;$B282,$B298&lt;&gt;$B283),IF($B294&lt;&gt;$B279,O279/INDEX($C273:$AJ283,7,MATCH(IF('Data-solution'!$A$3="Maximize",MAX($C284:$AI284),MIN($C284:$AI284)),$C284:$AI284,0)),O279-INDEX($C273:$AJ283,7,MATCH(IF('Data-solution'!$A$3="Maximize",MAX($C284:$AI284),MIN($C284:$AI284)),$C284:$AI284,0))*INDEX(O273:$AJ283,MATCH(MIN($AK273:$AK283),$AK273:$AK283,0),1)/INDEX($C273:$AJ283,MATCH(MIN($AK273:$AK283),$AK273:$AK283,0),MATCH(IF('Data-solution'!$A$3="Maximize",MAX($C284:$AI284),MIN($C284:$AI284)),$C284:$AI284,0))),O279)</f>
        <v>0</v>
      </c>
      <c r="P294" s="1">
        <f>IF(OR($B288&lt;&gt;$B273,$B289&lt;&gt;$B274,$B290&lt;&gt;$B275,$B291&lt;&gt;$B276,$B292&lt;&gt;$B277,$B293&lt;&gt;$B278,$B294&lt;&gt;$B279,$B295&lt;&gt;$B280,$B296&lt;&gt;$B281,$B297&lt;&gt;$B282,$B298&lt;&gt;$B283),IF($B294&lt;&gt;$B279,P279/INDEX($C273:$AJ283,7,MATCH(IF('Data-solution'!$A$3="Maximize",MAX($C284:$AI284),MIN($C284:$AI284)),$C284:$AI284,0)),P279-INDEX($C273:$AJ283,7,MATCH(IF('Data-solution'!$A$3="Maximize",MAX($C284:$AI284),MIN($C284:$AI284)),$C284:$AI284,0))*INDEX(P273:$AJ283,MATCH(MIN($AK273:$AK283),$AK273:$AK283,0),1)/INDEX($C273:$AJ283,MATCH(MIN($AK273:$AK283),$AK273:$AK283,0),MATCH(IF('Data-solution'!$A$3="Maximize",MAX($C284:$AI284),MIN($C284:$AI284)),$C284:$AI284,0))),P279)</f>
        <v>0</v>
      </c>
      <c r="Q294" s="1">
        <f>IF(OR($B288&lt;&gt;$B273,$B289&lt;&gt;$B274,$B290&lt;&gt;$B275,$B291&lt;&gt;$B276,$B292&lt;&gt;$B277,$B293&lt;&gt;$B278,$B294&lt;&gt;$B279,$B295&lt;&gt;$B280,$B296&lt;&gt;$B281,$B297&lt;&gt;$B282,$B298&lt;&gt;$B283),IF($B294&lt;&gt;$B279,Q279/INDEX($C273:$AJ283,7,MATCH(IF('Data-solution'!$A$3="Maximize",MAX($C284:$AI284),MIN($C284:$AI284)),$C284:$AI284,0)),Q279-INDEX($C273:$AJ283,7,MATCH(IF('Data-solution'!$A$3="Maximize",MAX($C284:$AI284),MIN($C284:$AI284)),$C284:$AI284,0))*INDEX(Q273:$AJ283,MATCH(MIN($AK273:$AK283),$AK273:$AK283,0),1)/INDEX($C273:$AJ283,MATCH(MIN($AK273:$AK283),$AK273:$AK283,0),MATCH(IF('Data-solution'!$A$3="Maximize",MAX($C284:$AI284),MIN($C284:$AI284)),$C284:$AI284,0))),Q279)</f>
        <v>0</v>
      </c>
      <c r="R294" s="1">
        <f>IF(OR($B288&lt;&gt;$B273,$B289&lt;&gt;$B274,$B290&lt;&gt;$B275,$B291&lt;&gt;$B276,$B292&lt;&gt;$B277,$B293&lt;&gt;$B278,$B294&lt;&gt;$B279,$B295&lt;&gt;$B280,$B296&lt;&gt;$B281,$B297&lt;&gt;$B282,$B298&lt;&gt;$B283),IF($B294&lt;&gt;$B279,R279/INDEX($C273:$AJ283,7,MATCH(IF('Data-solution'!$A$3="Maximize",MAX($C284:$AI284),MIN($C284:$AI284)),$C284:$AI284,0)),R279-INDEX($C273:$AJ283,7,MATCH(IF('Data-solution'!$A$3="Maximize",MAX($C284:$AI284),MIN($C284:$AI284)),$C284:$AI284,0))*INDEX(R273:$AJ283,MATCH(MIN($AK273:$AK283),$AK273:$AK283,0),1)/INDEX($C273:$AJ283,MATCH(MIN($AK273:$AK283),$AK273:$AK283,0),MATCH(IF('Data-solution'!$A$3="Maximize",MAX($C284:$AI284),MIN($C284:$AI284)),$C284:$AI284,0))),R279)</f>
        <v>0</v>
      </c>
      <c r="S294" s="1">
        <f>IF(OR($B288&lt;&gt;$B273,$B289&lt;&gt;$B274,$B290&lt;&gt;$B275,$B291&lt;&gt;$B276,$B292&lt;&gt;$B277,$B293&lt;&gt;$B278,$B294&lt;&gt;$B279,$B295&lt;&gt;$B280,$B296&lt;&gt;$B281,$B297&lt;&gt;$B282,$B298&lt;&gt;$B283),IF($B294&lt;&gt;$B279,S279/INDEX($C273:$AJ283,7,MATCH(IF('Data-solution'!$A$3="Maximize",MAX($C284:$AI284),MIN($C284:$AI284)),$C284:$AI284,0)),S279-INDEX($C273:$AJ283,7,MATCH(IF('Data-solution'!$A$3="Maximize",MAX($C284:$AI284),MIN($C284:$AI284)),$C284:$AI284,0))*INDEX(S273:$AJ283,MATCH(MIN($AK273:$AK283),$AK273:$AK283,0),1)/INDEX($C273:$AJ283,MATCH(MIN($AK273:$AK283),$AK273:$AK283,0),MATCH(IF('Data-solution'!$A$3="Maximize",MAX($C284:$AI284),MIN($C284:$AI284)),$C284:$AI284,0))),S279)</f>
        <v>0</v>
      </c>
      <c r="T294" s="1">
        <f>IF(OR($B288&lt;&gt;$B273,$B289&lt;&gt;$B274,$B290&lt;&gt;$B275,$B291&lt;&gt;$B276,$B292&lt;&gt;$B277,$B293&lt;&gt;$B278,$B294&lt;&gt;$B279,$B295&lt;&gt;$B280,$B296&lt;&gt;$B281,$B297&lt;&gt;$B282,$B298&lt;&gt;$B283),IF($B294&lt;&gt;$B279,T279/INDEX($C273:$AJ283,7,MATCH(IF('Data-solution'!$A$3="Maximize",MAX($C284:$AI284),MIN($C284:$AI284)),$C284:$AI284,0)),T279-INDEX($C273:$AJ283,7,MATCH(IF('Data-solution'!$A$3="Maximize",MAX($C284:$AI284),MIN($C284:$AI284)),$C284:$AI284,0))*INDEX(T273:$AJ283,MATCH(MIN($AK273:$AK283),$AK273:$AK283,0),1)/INDEX($C273:$AJ283,MATCH(MIN($AK273:$AK283),$AK273:$AK283,0),MATCH(IF('Data-solution'!$A$3="Maximize",MAX($C284:$AI284),MIN($C284:$AI284)),$C284:$AI284,0))),T279)</f>
        <v>1</v>
      </c>
      <c r="U294" s="1">
        <f>IF(OR($B288&lt;&gt;$B273,$B289&lt;&gt;$B274,$B290&lt;&gt;$B275,$B291&lt;&gt;$B276,$B292&lt;&gt;$B277,$B293&lt;&gt;$B278,$B294&lt;&gt;$B279,$B295&lt;&gt;$B280,$B296&lt;&gt;$B281,$B297&lt;&gt;$B282,$B298&lt;&gt;$B283),IF($B294&lt;&gt;$B279,U279/INDEX($C273:$AJ283,7,MATCH(IF('Data-solution'!$A$3="Maximize",MAX($C284:$AI284),MIN($C284:$AI284)),$C284:$AI284,0)),U279-INDEX($C273:$AJ283,7,MATCH(IF('Data-solution'!$A$3="Maximize",MAX($C284:$AI284),MIN($C284:$AI284)),$C284:$AI284,0))*INDEX(U273:$AJ283,MATCH(MIN($AK273:$AK283),$AK273:$AK283,0),1)/INDEX($C273:$AJ283,MATCH(MIN($AK273:$AK283),$AK273:$AK283,0),MATCH(IF('Data-solution'!$A$3="Maximize",MAX($C284:$AI284),MIN($C284:$AI284)),$C284:$AI284,0))),U279)</f>
        <v>0</v>
      </c>
      <c r="V294" s="1">
        <f>IF(OR($B288&lt;&gt;$B273,$B289&lt;&gt;$B274,$B290&lt;&gt;$B275,$B291&lt;&gt;$B276,$B292&lt;&gt;$B277,$B293&lt;&gt;$B278,$B294&lt;&gt;$B279,$B295&lt;&gt;$B280,$B296&lt;&gt;$B281,$B297&lt;&gt;$B282,$B298&lt;&gt;$B283),IF($B294&lt;&gt;$B279,V279/INDEX($C273:$AJ283,7,MATCH(IF('Data-solution'!$A$3="Maximize",MAX($C284:$AI284),MIN($C284:$AI284)),$C284:$AI284,0)),V279-INDEX($C273:$AJ283,7,MATCH(IF('Data-solution'!$A$3="Maximize",MAX($C284:$AI284),MIN($C284:$AI284)),$C284:$AI284,0))*INDEX(V273:$AJ283,MATCH(MIN($AK273:$AK283),$AK273:$AK283,0),1)/INDEX($C273:$AJ283,MATCH(MIN($AK273:$AK283),$AK273:$AK283,0),MATCH(IF('Data-solution'!$A$3="Maximize",MAX($C284:$AI284),MIN($C284:$AI284)),$C284:$AI284,0))),V279)</f>
        <v>0</v>
      </c>
      <c r="W294" s="1">
        <f>IF(OR($B288&lt;&gt;$B273,$B289&lt;&gt;$B274,$B290&lt;&gt;$B275,$B291&lt;&gt;$B276,$B292&lt;&gt;$B277,$B293&lt;&gt;$B278,$B294&lt;&gt;$B279,$B295&lt;&gt;$B280,$B296&lt;&gt;$B281,$B297&lt;&gt;$B282,$B298&lt;&gt;$B283),IF($B294&lt;&gt;$B279,W279/INDEX($C273:$AJ283,7,MATCH(IF('Data-solution'!$A$3="Maximize",MAX($C284:$AI284),MIN($C284:$AI284)),$C284:$AI284,0)),W279-INDEX($C273:$AJ283,7,MATCH(IF('Data-solution'!$A$3="Maximize",MAX($C284:$AI284),MIN($C284:$AI284)),$C284:$AI284,0))*INDEX(W273:$AJ283,MATCH(MIN($AK273:$AK283),$AK273:$AK283,0),1)/INDEX($C273:$AJ283,MATCH(MIN($AK273:$AK283),$AK273:$AK283,0),MATCH(IF('Data-solution'!$A$3="Maximize",MAX($C284:$AI284),MIN($C284:$AI284)),$C284:$AI284,0))),W279)</f>
        <v>0</v>
      </c>
      <c r="X294" s="1">
        <f>IF(OR($B288&lt;&gt;$B273,$B289&lt;&gt;$B274,$B290&lt;&gt;$B275,$B291&lt;&gt;$B276,$B292&lt;&gt;$B277,$B293&lt;&gt;$B278,$B294&lt;&gt;$B279,$B295&lt;&gt;$B280,$B296&lt;&gt;$B281,$B297&lt;&gt;$B282,$B298&lt;&gt;$B283),IF($B294&lt;&gt;$B279,X279/INDEX($C273:$AJ283,7,MATCH(IF('Data-solution'!$A$3="Maximize",MAX($C284:$AI284),MIN($C284:$AI284)),$C284:$AI284,0)),X279-INDEX($C273:$AJ283,7,MATCH(IF('Data-solution'!$A$3="Maximize",MAX($C284:$AI284),MIN($C284:$AI284)),$C284:$AI284,0))*INDEX(X273:$AJ283,MATCH(MIN($AK273:$AK283),$AK273:$AK283,0),1)/INDEX($C273:$AJ283,MATCH(MIN($AK273:$AK283),$AK273:$AK283,0),MATCH(IF('Data-solution'!$A$3="Maximize",MAX($C284:$AI284),MIN($C284:$AI284)),$C284:$AI284,0))),X279)</f>
        <v>0</v>
      </c>
      <c r="Y294" s="1">
        <f>IF(OR($B288&lt;&gt;$B273,$B289&lt;&gt;$B274,$B290&lt;&gt;$B275,$B291&lt;&gt;$B276,$B292&lt;&gt;$B277,$B293&lt;&gt;$B278,$B294&lt;&gt;$B279,$B295&lt;&gt;$B280,$B296&lt;&gt;$B281,$B297&lt;&gt;$B282,$B298&lt;&gt;$B283),IF($B294&lt;&gt;$B279,Y279/INDEX($C273:$AJ283,7,MATCH(IF('Data-solution'!$A$3="Maximize",MAX($C284:$AI284),MIN($C284:$AI284)),$C284:$AI284,0)),Y279-INDEX($C273:$AJ283,7,MATCH(IF('Data-solution'!$A$3="Maximize",MAX($C284:$AI284),MIN($C284:$AI284)),$C284:$AI284,0))*INDEX(Y273:$AJ283,MATCH(MIN($AK273:$AK283),$AK273:$AK283,0),1)/INDEX($C273:$AJ283,MATCH(MIN($AK273:$AK283),$AK273:$AK283,0),MATCH(IF('Data-solution'!$A$3="Maximize",MAX($C284:$AI284),MIN($C284:$AI284)),$C284:$AI284,0))),Y279)</f>
        <v>0</v>
      </c>
      <c r="Z294" s="1">
        <f>IF(OR($B288&lt;&gt;$B273,$B289&lt;&gt;$B274,$B290&lt;&gt;$B275,$B291&lt;&gt;$B276,$B292&lt;&gt;$B277,$B293&lt;&gt;$B278,$B294&lt;&gt;$B279,$B295&lt;&gt;$B280,$B296&lt;&gt;$B281,$B297&lt;&gt;$B282,$B298&lt;&gt;$B283),IF($B294&lt;&gt;$B279,Z279/INDEX($C273:$AJ283,7,MATCH(IF('Data-solution'!$A$3="Maximize",MAX($C284:$AI284),MIN($C284:$AI284)),$C284:$AI284,0)),Z279-INDEX($C273:$AJ283,7,MATCH(IF('Data-solution'!$A$3="Maximize",MAX($C284:$AI284),MIN($C284:$AI284)),$C284:$AI284,0))*INDEX(Z273:$AJ283,MATCH(MIN($AK273:$AK283),$AK273:$AK283,0),1)/INDEX($C273:$AJ283,MATCH(MIN($AK273:$AK283),$AK273:$AK283,0),MATCH(IF('Data-solution'!$A$3="Maximize",MAX($C284:$AI284),MIN($C284:$AI284)),$C284:$AI284,0))),Z279)</f>
        <v>0</v>
      </c>
      <c r="AA294" s="1">
        <f>IF(OR($B288&lt;&gt;$B273,$B289&lt;&gt;$B274,$B290&lt;&gt;$B275,$B291&lt;&gt;$B276,$B292&lt;&gt;$B277,$B293&lt;&gt;$B278,$B294&lt;&gt;$B279,$B295&lt;&gt;$B280,$B296&lt;&gt;$B281,$B297&lt;&gt;$B282,$B298&lt;&gt;$B283),IF($B294&lt;&gt;$B279,AA279/INDEX($C273:$AJ283,7,MATCH(IF('Data-solution'!$A$3="Maximize",MAX($C284:$AI284),MIN($C284:$AI284)),$C284:$AI284,0)),AA279-INDEX($C273:$AJ283,7,MATCH(IF('Data-solution'!$A$3="Maximize",MAX($C284:$AI284),MIN($C284:$AI284)),$C284:$AI284,0))*INDEX(AA273:$AJ283,MATCH(MIN($AK273:$AK283),$AK273:$AK283,0),1)/INDEX($C273:$AJ283,MATCH(MIN($AK273:$AK283),$AK273:$AK283,0),MATCH(IF('Data-solution'!$A$3="Maximize",MAX($C284:$AI284),MIN($C284:$AI284)),$C284:$AI284,0))),AA279)</f>
        <v>0</v>
      </c>
      <c r="AB294" s="1">
        <f>IF(OR($B288&lt;&gt;$B273,$B289&lt;&gt;$B274,$B290&lt;&gt;$B275,$B291&lt;&gt;$B276,$B292&lt;&gt;$B277,$B293&lt;&gt;$B278,$B294&lt;&gt;$B279,$B295&lt;&gt;$B280,$B296&lt;&gt;$B281,$B297&lt;&gt;$B282,$B298&lt;&gt;$B283),IF($B294&lt;&gt;$B279,AB279/INDEX($C273:$AJ283,7,MATCH(IF('Data-solution'!$A$3="Maximize",MAX($C284:$AI284),MIN($C284:$AI284)),$C284:$AI284,0)),AB279-INDEX($C273:$AJ283,7,MATCH(IF('Data-solution'!$A$3="Maximize",MAX($C284:$AI284),MIN($C284:$AI284)),$C284:$AI284,0))*INDEX(AB273:$AJ283,MATCH(MIN($AK273:$AK283),$AK273:$AK283,0),1)/INDEX($C273:$AJ283,MATCH(MIN($AK273:$AK283),$AK273:$AK283,0),MATCH(IF('Data-solution'!$A$3="Maximize",MAX($C284:$AI284),MIN($C284:$AI284)),$C284:$AI284,0))),AB279)</f>
        <v>0</v>
      </c>
      <c r="AC294" s="1">
        <f>IF(OR($B288&lt;&gt;$B273,$B289&lt;&gt;$B274,$B290&lt;&gt;$B275,$B291&lt;&gt;$B276,$B292&lt;&gt;$B277,$B293&lt;&gt;$B278,$B294&lt;&gt;$B279,$B295&lt;&gt;$B280,$B296&lt;&gt;$B281,$B297&lt;&gt;$B282,$B298&lt;&gt;$B283),IF($B294&lt;&gt;$B279,AC279/INDEX($C273:$AJ283,7,MATCH(IF('Data-solution'!$A$3="Maximize",MAX($C284:$AI284),MIN($C284:$AI284)),$C284:$AI284,0)),AC279-INDEX($C273:$AJ283,7,MATCH(IF('Data-solution'!$A$3="Maximize",MAX($C284:$AI284),MIN($C284:$AI284)),$C284:$AI284,0))*INDEX(AC273:$AJ283,MATCH(MIN($AK273:$AK283),$AK273:$AK283,0),1)/INDEX($C273:$AJ283,MATCH(MIN($AK273:$AK283),$AK273:$AK283,0),MATCH(IF('Data-solution'!$A$3="Maximize",MAX($C284:$AI284),MIN($C284:$AI284)),$C284:$AI284,0))),AC279)</f>
        <v>0</v>
      </c>
      <c r="AD294" s="1">
        <f>IF(OR($B288&lt;&gt;$B273,$B289&lt;&gt;$B274,$B290&lt;&gt;$B275,$B291&lt;&gt;$B276,$B292&lt;&gt;$B277,$B293&lt;&gt;$B278,$B294&lt;&gt;$B279,$B295&lt;&gt;$B280,$B296&lt;&gt;$B281,$B297&lt;&gt;$B282,$B298&lt;&gt;$B283),IF($B294&lt;&gt;$B279,AD279/INDEX($C273:$AJ283,7,MATCH(IF('Data-solution'!$A$3="Maximize",MAX($C284:$AI284),MIN($C284:$AI284)),$C284:$AI284,0)),AD279-INDEX($C273:$AJ283,7,MATCH(IF('Data-solution'!$A$3="Maximize",MAX($C284:$AI284),MIN($C284:$AI284)),$C284:$AI284,0))*INDEX(AD273:$AJ283,MATCH(MIN($AK273:$AK283),$AK273:$AK283,0),1)/INDEX($C273:$AJ283,MATCH(MIN($AK273:$AK283),$AK273:$AK283,0),MATCH(IF('Data-solution'!$A$3="Maximize",MAX($C284:$AI284),MIN($C284:$AI284)),$C284:$AI284,0))),AD279)</f>
        <v>0</v>
      </c>
      <c r="AE294" s="1">
        <f>IF(OR($B288&lt;&gt;$B273,$B289&lt;&gt;$B274,$B290&lt;&gt;$B275,$B291&lt;&gt;$B276,$B292&lt;&gt;$B277,$B293&lt;&gt;$B278,$B294&lt;&gt;$B279,$B295&lt;&gt;$B280,$B296&lt;&gt;$B281,$B297&lt;&gt;$B282,$B298&lt;&gt;$B283),IF($B294&lt;&gt;$B279,AE279/INDEX($C273:$AJ283,7,MATCH(IF('Data-solution'!$A$3="Maximize",MAX($C284:$AI284),MIN($C284:$AI284)),$C284:$AI284,0)),AE279-INDEX($C273:$AJ283,7,MATCH(IF('Data-solution'!$A$3="Maximize",MAX($C284:$AI284),MIN($C284:$AI284)),$C284:$AI284,0))*INDEX(AE273:$AJ283,MATCH(MIN($AK273:$AK283),$AK273:$AK283,0),1)/INDEX($C273:$AJ283,MATCH(MIN($AK273:$AK283),$AK273:$AK283,0),MATCH(IF('Data-solution'!$A$3="Maximize",MAX($C284:$AI284),MIN($C284:$AI284)),$C284:$AI284,0))),AE279)</f>
        <v>1</v>
      </c>
      <c r="AF294" s="1">
        <f>IF(OR($B288&lt;&gt;$B273,$B289&lt;&gt;$B274,$B290&lt;&gt;$B275,$B291&lt;&gt;$B276,$B292&lt;&gt;$B277,$B293&lt;&gt;$B278,$B294&lt;&gt;$B279,$B295&lt;&gt;$B280,$B296&lt;&gt;$B281,$B297&lt;&gt;$B282,$B298&lt;&gt;$B283),IF($B294&lt;&gt;$B279,AF279/INDEX($C273:$AJ283,7,MATCH(IF('Data-solution'!$A$3="Maximize",MAX($C284:$AI284),MIN($C284:$AI284)),$C284:$AI284,0)),AF279-INDEX($C273:$AJ283,7,MATCH(IF('Data-solution'!$A$3="Maximize",MAX($C284:$AI284),MIN($C284:$AI284)),$C284:$AI284,0))*INDEX(AF273:$AJ283,MATCH(MIN($AK273:$AK283),$AK273:$AK283,0),1)/INDEX($C273:$AJ283,MATCH(MIN($AK273:$AK283),$AK273:$AK283,0),MATCH(IF('Data-solution'!$A$3="Maximize",MAX($C284:$AI284),MIN($C284:$AI284)),$C284:$AI284,0))),AF279)</f>
        <v>0</v>
      </c>
      <c r="AG294" s="1">
        <f>IF(OR($B288&lt;&gt;$B273,$B289&lt;&gt;$B274,$B290&lt;&gt;$B275,$B291&lt;&gt;$B276,$B292&lt;&gt;$B277,$B293&lt;&gt;$B278,$B294&lt;&gt;$B279,$B295&lt;&gt;$B280,$B296&lt;&gt;$B281,$B297&lt;&gt;$B282,$B298&lt;&gt;$B283),IF($B294&lt;&gt;$B279,AG279/INDEX($C273:$AJ283,7,MATCH(IF('Data-solution'!$A$3="Maximize",MAX($C284:$AI284),MIN($C284:$AI284)),$C284:$AI284,0)),AG279-INDEX($C273:$AJ283,7,MATCH(IF('Data-solution'!$A$3="Maximize",MAX($C284:$AI284),MIN($C284:$AI284)),$C284:$AI284,0))*INDEX(AG273:$AJ283,MATCH(MIN($AK273:$AK283),$AK273:$AK283,0),1)/INDEX($C273:$AJ283,MATCH(MIN($AK273:$AK283),$AK273:$AK283,0),MATCH(IF('Data-solution'!$A$3="Maximize",MAX($C284:$AI284),MIN($C284:$AI284)),$C284:$AI284,0))),AG279)</f>
        <v>0</v>
      </c>
      <c r="AH294" s="1">
        <f>IF(OR($B288&lt;&gt;$B273,$B289&lt;&gt;$B274,$B290&lt;&gt;$B275,$B291&lt;&gt;$B276,$B292&lt;&gt;$B277,$B293&lt;&gt;$B278,$B294&lt;&gt;$B279,$B295&lt;&gt;$B280,$B296&lt;&gt;$B281,$B297&lt;&gt;$B282,$B298&lt;&gt;$B283),IF($B294&lt;&gt;$B279,AH279/INDEX($C273:$AJ283,7,MATCH(IF('Data-solution'!$A$3="Maximize",MAX($C284:$AI284),MIN($C284:$AI284)),$C284:$AI284,0)),AH279-INDEX($C273:$AJ283,7,MATCH(IF('Data-solution'!$A$3="Maximize",MAX($C284:$AI284),MIN($C284:$AI284)),$C284:$AI284,0))*INDEX(AH273:$AJ283,MATCH(MIN($AK273:$AK283),$AK273:$AK283,0),1)/INDEX($C273:$AJ283,MATCH(MIN($AK273:$AK283),$AK273:$AK283,0),MATCH(IF('Data-solution'!$A$3="Maximize",MAX($C284:$AI284),MIN($C284:$AI284)),$C284:$AI284,0))),AH279)</f>
        <v>0</v>
      </c>
      <c r="AI294" s="1">
        <f>IF(OR($B288&lt;&gt;$B273,$B289&lt;&gt;$B274,$B290&lt;&gt;$B275,$B291&lt;&gt;$B276,$B292&lt;&gt;$B277,$B293&lt;&gt;$B278,$B294&lt;&gt;$B279,$B295&lt;&gt;$B280,$B296&lt;&gt;$B281,$B297&lt;&gt;$B282,$B298&lt;&gt;$B283),IF($B294&lt;&gt;$B279,AI279/INDEX($C273:$AJ283,7,MATCH(IF('Data-solution'!$A$3="Maximize",MAX($C284:$AI284),MIN($C284:$AI284)),$C284:$AI284,0)),AI279-INDEX($C273:$AJ283,7,MATCH(IF('Data-solution'!$A$3="Maximize",MAX($C284:$AI284),MIN($C284:$AI284)),$C284:$AI284,0))*INDEX(AI273:$AJ283,MATCH(MIN($AK273:$AK283),$AK273:$AK283,0),1)/INDEX($C273:$AJ283,MATCH(MIN($AK273:$AK283),$AK273:$AK283,0),MATCH(IF('Data-solution'!$A$3="Maximize",MAX($C284:$AI284),MIN($C284:$AI284)),$C284:$AI284,0))),AI279)</f>
        <v>0</v>
      </c>
      <c r="AJ294" s="1">
        <f>IF(OR($B288&lt;&gt;$B273,$B289&lt;&gt;$B274,$B290&lt;&gt;$B275,$B291&lt;&gt;$B276,$B292&lt;&gt;$B277,$B293&lt;&gt;$B278,$B294&lt;&gt;$B279,$B295&lt;&gt;$B280,$B296&lt;&gt;$B281,$B297&lt;&gt;$B282,$B298&lt;&gt;$B283),IF($B294&lt;&gt;$B279,AJ279/INDEX($C273:$AJ283,7,MATCH(IF('Data-solution'!$A$3="Maximize",MAX($C284:$AI284),MIN($C284:$AI284)),$C284:$AI284,0)),AJ279-INDEX($C273:$AJ283,7,MATCH(IF('Data-solution'!$A$3="Maximize",MAX($C284:$AI284),MIN($C284:$AI284)),$C284:$AI284,0))*INDEX(AJ273:$AJ283,MATCH(MIN($AK273:$AK283),$AK273:$AK283,0),1)/INDEX($C273:$AJ283,MATCH(MIN($AK273:$AK283),$AK273:$AK283,0),MATCH(IF('Data-solution'!$A$3="Maximize",MAX($C284:$AI284),MIN($C284:$AI284)),$C284:$AI284,0))),AJ279)</f>
        <v>0</v>
      </c>
      <c r="AK294" s="1" t="str">
        <f>IF(INDEX(C294:X294,1,MATCH(IF('Data-solution'!A$3="Maximize",MAX(C299:X299),MIN(C299:X299)),C299:X299,0))&gt;0,AJ294/INDEX(C294:X294,1,MATCH(IF('Data-solution'!A$3="Maximize",MAX(C299:X299),MIN(C299:X299)),C299:X299,0))," ")</f>
        <v xml:space="preserve"> </v>
      </c>
    </row>
    <row r="295" spans="1:37" ht="18" customHeight="1" x14ac:dyDescent="0.2">
      <c r="A295" s="1">
        <f t="shared" ref="A295" si="263">INDEX(C286:AI286,1,MATCH(B295,C287:AI287,0))</f>
        <v>0</v>
      </c>
      <c r="B295" s="2" t="str">
        <f>IF(AND('Data-solution'!A$3="Maximize",COUNTIF(C284:X284,"&gt;"&amp;0)&gt;0,AK280=MIN(AK273:AK283),COUNTIF(B288:B294,INDEX(C272:X272,1,MATCH(MAX(C284:X284),C284:X284,0)))=0),INDEX(C272:X272,1,MATCH(MAX(C284:X284),C284:X284,0)),IF(AND('Data-solution'!A$3="Minimize",COUNTIF(C284:X284,"&lt;"&amp;0)&gt;0,AK280=MIN(AK273:AK283),COUNTIF(B288:B294,INDEX(C272:X272,1,MATCH(MIN(C284:X284),C284:X284,0)))=0),INDEX(C272:X272,1,MATCH(MIN(C284:X284),C284:X284,0)),B280))</f>
        <v>S8</v>
      </c>
      <c r="C295" s="1">
        <f>IF(OR($B288&lt;&gt;$B273,$B289&lt;&gt;$B274,$B290&lt;&gt;$B275,$B291&lt;&gt;$B276,$B292&lt;&gt;$B277,$B293&lt;&gt;$B278,$B294&lt;&gt;$B279,$B295&lt;&gt;$B280,$B296&lt;&gt;$B281,$B297&lt;&gt;$B282,$B298&lt;&gt;$B283),IF($B295&lt;&gt;$B280,C280/INDEX($C273:$AJ283,8,MATCH(IF('Data-solution'!$A$3="Maximize",MAX($C284:$AI284),MIN($C284:$AI284)),$C284:$AI284,0)),C280-INDEX($C273:$AJ283,8,MATCH(IF('Data-solution'!$A$3="Maximize",MAX($C284:$AI284),MIN($C284:$AI284)),$C284:$AI284,0))*INDEX(C273:$AJ283,MATCH(MIN($AK273:$AK283),$AK273:$AK283,0),1)/INDEX($C273:$AJ283,MATCH(MIN($AK273:$AK283),$AK273:$AK283,0),MATCH(IF('Data-solution'!$A$3="Maximize",MAX($C284:$AI284),MIN($C284:$AI284)),$C284:$AI284,0))),C280)</f>
        <v>0</v>
      </c>
      <c r="D295" s="1">
        <f>IF(OR($B288&lt;&gt;$B273,$B289&lt;&gt;$B274,$B290&lt;&gt;$B275,$B291&lt;&gt;$B276,$B292&lt;&gt;$B277,$B293&lt;&gt;$B278,$B294&lt;&gt;$B279,$B295&lt;&gt;$B280,$B296&lt;&gt;$B281,$B297&lt;&gt;$B282,$B298&lt;&gt;$B283),IF($B295&lt;&gt;$B280,D280/INDEX($C273:$AJ283,8,MATCH(IF('Data-solution'!$A$3="Maximize",MAX($C284:$AI284),MIN($C284:$AI284)),$C284:$AI284,0)),D280-INDEX($C273:$AJ283,8,MATCH(IF('Data-solution'!$A$3="Maximize",MAX($C284:$AI284),MIN($C284:$AI284)),$C284:$AI284,0))*INDEX(D273:$AJ283,MATCH(MIN($AK273:$AK283),$AK273:$AK283,0),1)/INDEX($C273:$AJ283,MATCH(MIN($AK273:$AK283),$AK273:$AK283,0),MATCH(IF('Data-solution'!$A$3="Maximize",MAX($C284:$AI284),MIN($C284:$AI284)),$C284:$AI284,0))),D280)</f>
        <v>0</v>
      </c>
      <c r="E295" s="1">
        <f>IF(OR($B288&lt;&gt;$B273,$B289&lt;&gt;$B274,$B290&lt;&gt;$B275,$B291&lt;&gt;$B276,$B292&lt;&gt;$B277,$B293&lt;&gt;$B278,$B294&lt;&gt;$B279,$B295&lt;&gt;$B280,$B296&lt;&gt;$B281,$B297&lt;&gt;$B282,$B298&lt;&gt;$B283),IF($B295&lt;&gt;$B280,E280/INDEX($C273:$AJ283,8,MATCH(IF('Data-solution'!$A$3="Maximize",MAX($C284:$AI284),MIN($C284:$AI284)),$C284:$AI284,0)),E280-INDEX($C273:$AJ283,8,MATCH(IF('Data-solution'!$A$3="Maximize",MAX($C284:$AI284),MIN($C284:$AI284)),$C284:$AI284,0))*INDEX(E273:$AJ283,MATCH(MIN($AK273:$AK283),$AK273:$AK283,0),1)/INDEX($C273:$AJ283,MATCH(MIN($AK273:$AK283),$AK273:$AK283,0),MATCH(IF('Data-solution'!$A$3="Maximize",MAX($C284:$AI284),MIN($C284:$AI284)),$C284:$AI284,0))),E280)</f>
        <v>0</v>
      </c>
      <c r="F295" s="1">
        <f>IF(OR($B288&lt;&gt;$B273,$B289&lt;&gt;$B274,$B290&lt;&gt;$B275,$B291&lt;&gt;$B276,$B292&lt;&gt;$B277,$B293&lt;&gt;$B278,$B294&lt;&gt;$B279,$B295&lt;&gt;$B280,$B296&lt;&gt;$B281,$B297&lt;&gt;$B282,$B298&lt;&gt;$B283),IF($B295&lt;&gt;$B280,F280/INDEX($C273:$AJ283,8,MATCH(IF('Data-solution'!$A$3="Maximize",MAX($C284:$AI284),MIN($C284:$AI284)),$C284:$AI284,0)),F280-INDEX($C273:$AJ283,8,MATCH(IF('Data-solution'!$A$3="Maximize",MAX($C284:$AI284),MIN($C284:$AI284)),$C284:$AI284,0))*INDEX(F273:$AJ283,MATCH(MIN($AK273:$AK283),$AK273:$AK283,0),1)/INDEX($C273:$AJ283,MATCH(MIN($AK273:$AK283),$AK273:$AK283,0),MATCH(IF('Data-solution'!$A$3="Maximize",MAX($C284:$AI284),MIN($C284:$AI284)),$C284:$AI284,0))),F280)</f>
        <v>0</v>
      </c>
      <c r="G295" s="1">
        <f>IF(OR($B288&lt;&gt;$B273,$B289&lt;&gt;$B274,$B290&lt;&gt;$B275,$B291&lt;&gt;$B276,$B292&lt;&gt;$B277,$B293&lt;&gt;$B278,$B294&lt;&gt;$B279,$B295&lt;&gt;$B280,$B296&lt;&gt;$B281,$B297&lt;&gt;$B282,$B298&lt;&gt;$B283),IF($B295&lt;&gt;$B280,G280/INDEX($C273:$AJ283,8,MATCH(IF('Data-solution'!$A$3="Maximize",MAX($C284:$AI284),MIN($C284:$AI284)),$C284:$AI284,0)),G280-INDEX($C273:$AJ283,8,MATCH(IF('Data-solution'!$A$3="Maximize",MAX($C284:$AI284),MIN($C284:$AI284)),$C284:$AI284,0))*INDEX(G273:$AJ283,MATCH(MIN($AK273:$AK283),$AK273:$AK283,0),1)/INDEX($C273:$AJ283,MATCH(MIN($AK273:$AK283),$AK273:$AK283,0),MATCH(IF('Data-solution'!$A$3="Maximize",MAX($C284:$AI284),MIN($C284:$AI284)),$C284:$AI284,0))),G280)</f>
        <v>0</v>
      </c>
      <c r="H295" s="1">
        <f>IF(OR($B288&lt;&gt;$B273,$B289&lt;&gt;$B274,$B290&lt;&gt;$B275,$B291&lt;&gt;$B276,$B292&lt;&gt;$B277,$B293&lt;&gt;$B278,$B294&lt;&gt;$B279,$B295&lt;&gt;$B280,$B296&lt;&gt;$B281,$B297&lt;&gt;$B282,$B298&lt;&gt;$B283),IF($B295&lt;&gt;$B280,H280/INDEX($C273:$AJ283,8,MATCH(IF('Data-solution'!$A$3="Maximize",MAX($C284:$AI284),MIN($C284:$AI284)),$C284:$AI284,0)),H280-INDEX($C273:$AJ283,8,MATCH(IF('Data-solution'!$A$3="Maximize",MAX($C284:$AI284),MIN($C284:$AI284)),$C284:$AI284,0))*INDEX(H273:$AJ283,MATCH(MIN($AK273:$AK283),$AK273:$AK283,0),1)/INDEX($C273:$AJ283,MATCH(MIN($AK273:$AK283),$AK273:$AK283,0),MATCH(IF('Data-solution'!$A$3="Maximize",MAX($C284:$AI284),MIN($C284:$AI284)),$C284:$AI284,0))),H280)</f>
        <v>0</v>
      </c>
      <c r="I295" s="1">
        <f>IF(OR($B288&lt;&gt;$B273,$B289&lt;&gt;$B274,$B290&lt;&gt;$B275,$B291&lt;&gt;$B276,$B292&lt;&gt;$B277,$B293&lt;&gt;$B278,$B294&lt;&gt;$B279,$B295&lt;&gt;$B280,$B296&lt;&gt;$B281,$B297&lt;&gt;$B282,$B298&lt;&gt;$B283),IF($B295&lt;&gt;$B280,I280/INDEX($C273:$AJ283,8,MATCH(IF('Data-solution'!$A$3="Maximize",MAX($C284:$AI284),MIN($C284:$AI284)),$C284:$AI284,0)),I280-INDEX($C273:$AJ283,8,MATCH(IF('Data-solution'!$A$3="Maximize",MAX($C284:$AI284),MIN($C284:$AI284)),$C284:$AI284,0))*INDEX(I273:$AJ283,MATCH(MIN($AK273:$AK283),$AK273:$AK283,0),1)/INDEX($C273:$AJ283,MATCH(MIN($AK273:$AK283),$AK273:$AK283,0),MATCH(IF('Data-solution'!$A$3="Maximize",MAX($C284:$AI284),MIN($C284:$AI284)),$C284:$AI284,0))),I280)</f>
        <v>0</v>
      </c>
      <c r="J295" s="1">
        <f>IF(OR($B288&lt;&gt;$B273,$B289&lt;&gt;$B274,$B290&lt;&gt;$B275,$B291&lt;&gt;$B276,$B292&lt;&gt;$B277,$B293&lt;&gt;$B278,$B294&lt;&gt;$B279,$B295&lt;&gt;$B280,$B296&lt;&gt;$B281,$B297&lt;&gt;$B282,$B298&lt;&gt;$B283),IF($B295&lt;&gt;$B280,J280/INDEX($C273:$AJ283,8,MATCH(IF('Data-solution'!$A$3="Maximize",MAX($C284:$AI284),MIN($C284:$AI284)),$C284:$AI284,0)),J280-INDEX($C273:$AJ283,8,MATCH(IF('Data-solution'!$A$3="Maximize",MAX($C284:$AI284),MIN($C284:$AI284)),$C284:$AI284,0))*INDEX(J273:$AJ283,MATCH(MIN($AK273:$AK283),$AK273:$AK283,0),1)/INDEX($C273:$AJ283,MATCH(MIN($AK273:$AK283),$AK273:$AK283,0),MATCH(IF('Data-solution'!$A$3="Maximize",MAX($C284:$AI284),MIN($C284:$AI284)),$C284:$AI284,0))),J280)</f>
        <v>0</v>
      </c>
      <c r="K295" s="1">
        <f>IF(OR($B288&lt;&gt;$B273,$B289&lt;&gt;$B274,$B290&lt;&gt;$B275,$B291&lt;&gt;$B276,$B292&lt;&gt;$B277,$B293&lt;&gt;$B278,$B294&lt;&gt;$B279,$B295&lt;&gt;$B280,$B296&lt;&gt;$B281,$B297&lt;&gt;$B282,$B298&lt;&gt;$B283),IF($B295&lt;&gt;$B280,K280/INDEX($C273:$AJ283,8,MATCH(IF('Data-solution'!$A$3="Maximize",MAX($C284:$AI284),MIN($C284:$AI284)),$C284:$AI284,0)),K280-INDEX($C273:$AJ283,8,MATCH(IF('Data-solution'!$A$3="Maximize",MAX($C284:$AI284),MIN($C284:$AI284)),$C284:$AI284,0))*INDEX(K273:$AJ283,MATCH(MIN($AK273:$AK283),$AK273:$AK283,0),1)/INDEX($C273:$AJ283,MATCH(MIN($AK273:$AK283),$AK273:$AK283,0),MATCH(IF('Data-solution'!$A$3="Maximize",MAX($C284:$AI284),MIN($C284:$AI284)),$C284:$AI284,0))),K280)</f>
        <v>0</v>
      </c>
      <c r="L295" s="1">
        <f>IF(OR($B288&lt;&gt;$B273,$B289&lt;&gt;$B274,$B290&lt;&gt;$B275,$B291&lt;&gt;$B276,$B292&lt;&gt;$B277,$B293&lt;&gt;$B278,$B294&lt;&gt;$B279,$B295&lt;&gt;$B280,$B296&lt;&gt;$B281,$B297&lt;&gt;$B282,$B298&lt;&gt;$B283),IF($B295&lt;&gt;$B280,L280/INDEX($C273:$AJ283,8,MATCH(IF('Data-solution'!$A$3="Maximize",MAX($C284:$AI284),MIN($C284:$AI284)),$C284:$AI284,0)),L280-INDEX($C273:$AJ283,8,MATCH(IF('Data-solution'!$A$3="Maximize",MAX($C284:$AI284),MIN($C284:$AI284)),$C284:$AI284,0))*INDEX(L273:$AJ283,MATCH(MIN($AK273:$AK283),$AK273:$AK283,0),1)/INDEX($C273:$AJ283,MATCH(MIN($AK273:$AK283),$AK273:$AK283,0),MATCH(IF('Data-solution'!$A$3="Maximize",MAX($C284:$AI284),MIN($C284:$AI284)),$C284:$AI284,0))),L280)</f>
        <v>0</v>
      </c>
      <c r="M295" s="1">
        <f>IF(OR($B288&lt;&gt;$B273,$B289&lt;&gt;$B274,$B290&lt;&gt;$B275,$B291&lt;&gt;$B276,$B292&lt;&gt;$B277,$B293&lt;&gt;$B278,$B294&lt;&gt;$B279,$B295&lt;&gt;$B280,$B296&lt;&gt;$B281,$B297&lt;&gt;$B282,$B298&lt;&gt;$B283),IF($B295&lt;&gt;$B280,M280/INDEX($C273:$AJ283,8,MATCH(IF('Data-solution'!$A$3="Maximize",MAX($C284:$AI284),MIN($C284:$AI284)),$C284:$AI284,0)),M280-INDEX($C273:$AJ283,8,MATCH(IF('Data-solution'!$A$3="Maximize",MAX($C284:$AI284),MIN($C284:$AI284)),$C284:$AI284,0))*INDEX(M273:$AJ283,MATCH(MIN($AK273:$AK283),$AK273:$AK283,0),1)/INDEX($C273:$AJ283,MATCH(MIN($AK273:$AK283),$AK273:$AK283,0),MATCH(IF('Data-solution'!$A$3="Maximize",MAX($C284:$AI284),MIN($C284:$AI284)),$C284:$AI284,0))),M280)</f>
        <v>0</v>
      </c>
      <c r="N295" s="1">
        <f>IF(OR($B288&lt;&gt;$B273,$B289&lt;&gt;$B274,$B290&lt;&gt;$B275,$B291&lt;&gt;$B276,$B292&lt;&gt;$B277,$B293&lt;&gt;$B278,$B294&lt;&gt;$B279,$B295&lt;&gt;$B280,$B296&lt;&gt;$B281,$B297&lt;&gt;$B282,$B298&lt;&gt;$B283),IF($B295&lt;&gt;$B280,N280/INDEX($C273:$AJ283,8,MATCH(IF('Data-solution'!$A$3="Maximize",MAX($C284:$AI284),MIN($C284:$AI284)),$C284:$AI284,0)),N280-INDEX($C273:$AJ283,8,MATCH(IF('Data-solution'!$A$3="Maximize",MAX($C284:$AI284),MIN($C284:$AI284)),$C284:$AI284,0))*INDEX(N273:$AJ283,MATCH(MIN($AK273:$AK283),$AK273:$AK283,0),1)/INDEX($C273:$AJ283,MATCH(MIN($AK273:$AK283),$AK273:$AK283,0),MATCH(IF('Data-solution'!$A$3="Maximize",MAX($C284:$AI284),MIN($C284:$AI284)),$C284:$AI284,0))),N280)</f>
        <v>0</v>
      </c>
      <c r="O295" s="1">
        <f>IF(OR($B288&lt;&gt;$B273,$B289&lt;&gt;$B274,$B290&lt;&gt;$B275,$B291&lt;&gt;$B276,$B292&lt;&gt;$B277,$B293&lt;&gt;$B278,$B294&lt;&gt;$B279,$B295&lt;&gt;$B280,$B296&lt;&gt;$B281,$B297&lt;&gt;$B282,$B298&lt;&gt;$B283),IF($B295&lt;&gt;$B280,O280/INDEX($C273:$AJ283,8,MATCH(IF('Data-solution'!$A$3="Maximize",MAX($C284:$AI284),MIN($C284:$AI284)),$C284:$AI284,0)),O280-INDEX($C273:$AJ283,8,MATCH(IF('Data-solution'!$A$3="Maximize",MAX($C284:$AI284),MIN($C284:$AI284)),$C284:$AI284,0))*INDEX(O273:$AJ283,MATCH(MIN($AK273:$AK283),$AK273:$AK283,0),1)/INDEX($C273:$AJ283,MATCH(MIN($AK273:$AK283),$AK273:$AK283,0),MATCH(IF('Data-solution'!$A$3="Maximize",MAX($C284:$AI284),MIN($C284:$AI284)),$C284:$AI284,0))),O280)</f>
        <v>0</v>
      </c>
      <c r="P295" s="1">
        <f>IF(OR($B288&lt;&gt;$B273,$B289&lt;&gt;$B274,$B290&lt;&gt;$B275,$B291&lt;&gt;$B276,$B292&lt;&gt;$B277,$B293&lt;&gt;$B278,$B294&lt;&gt;$B279,$B295&lt;&gt;$B280,$B296&lt;&gt;$B281,$B297&lt;&gt;$B282,$B298&lt;&gt;$B283),IF($B295&lt;&gt;$B280,P280/INDEX($C273:$AJ283,8,MATCH(IF('Data-solution'!$A$3="Maximize",MAX($C284:$AI284),MIN($C284:$AI284)),$C284:$AI284,0)),P280-INDEX($C273:$AJ283,8,MATCH(IF('Data-solution'!$A$3="Maximize",MAX($C284:$AI284),MIN($C284:$AI284)),$C284:$AI284,0))*INDEX(P273:$AJ283,MATCH(MIN($AK273:$AK283),$AK273:$AK283,0),1)/INDEX($C273:$AJ283,MATCH(MIN($AK273:$AK283),$AK273:$AK283,0),MATCH(IF('Data-solution'!$A$3="Maximize",MAX($C284:$AI284),MIN($C284:$AI284)),$C284:$AI284,0))),P280)</f>
        <v>0</v>
      </c>
      <c r="Q295" s="1">
        <f>IF(OR($B288&lt;&gt;$B273,$B289&lt;&gt;$B274,$B290&lt;&gt;$B275,$B291&lt;&gt;$B276,$B292&lt;&gt;$B277,$B293&lt;&gt;$B278,$B294&lt;&gt;$B279,$B295&lt;&gt;$B280,$B296&lt;&gt;$B281,$B297&lt;&gt;$B282,$B298&lt;&gt;$B283),IF($B295&lt;&gt;$B280,Q280/INDEX($C273:$AJ283,8,MATCH(IF('Data-solution'!$A$3="Maximize",MAX($C284:$AI284),MIN($C284:$AI284)),$C284:$AI284,0)),Q280-INDEX($C273:$AJ283,8,MATCH(IF('Data-solution'!$A$3="Maximize",MAX($C284:$AI284),MIN($C284:$AI284)),$C284:$AI284,0))*INDEX(Q273:$AJ283,MATCH(MIN($AK273:$AK283),$AK273:$AK283,0),1)/INDEX($C273:$AJ283,MATCH(MIN($AK273:$AK283),$AK273:$AK283,0),MATCH(IF('Data-solution'!$A$3="Maximize",MAX($C284:$AI284),MIN($C284:$AI284)),$C284:$AI284,0))),Q280)</f>
        <v>0</v>
      </c>
      <c r="R295" s="1">
        <f>IF(OR($B288&lt;&gt;$B273,$B289&lt;&gt;$B274,$B290&lt;&gt;$B275,$B291&lt;&gt;$B276,$B292&lt;&gt;$B277,$B293&lt;&gt;$B278,$B294&lt;&gt;$B279,$B295&lt;&gt;$B280,$B296&lt;&gt;$B281,$B297&lt;&gt;$B282,$B298&lt;&gt;$B283),IF($B295&lt;&gt;$B280,R280/INDEX($C273:$AJ283,8,MATCH(IF('Data-solution'!$A$3="Maximize",MAX($C284:$AI284),MIN($C284:$AI284)),$C284:$AI284,0)),R280-INDEX($C273:$AJ283,8,MATCH(IF('Data-solution'!$A$3="Maximize",MAX($C284:$AI284),MIN($C284:$AI284)),$C284:$AI284,0))*INDEX(R273:$AJ283,MATCH(MIN($AK273:$AK283),$AK273:$AK283,0),1)/INDEX($C273:$AJ283,MATCH(MIN($AK273:$AK283),$AK273:$AK283,0),MATCH(IF('Data-solution'!$A$3="Maximize",MAX($C284:$AI284),MIN($C284:$AI284)),$C284:$AI284,0))),R280)</f>
        <v>0</v>
      </c>
      <c r="S295" s="1">
        <f>IF(OR($B288&lt;&gt;$B273,$B289&lt;&gt;$B274,$B290&lt;&gt;$B275,$B291&lt;&gt;$B276,$B292&lt;&gt;$B277,$B293&lt;&gt;$B278,$B294&lt;&gt;$B279,$B295&lt;&gt;$B280,$B296&lt;&gt;$B281,$B297&lt;&gt;$B282,$B298&lt;&gt;$B283),IF($B295&lt;&gt;$B280,S280/INDEX($C273:$AJ283,8,MATCH(IF('Data-solution'!$A$3="Maximize",MAX($C284:$AI284),MIN($C284:$AI284)),$C284:$AI284,0)),S280-INDEX($C273:$AJ283,8,MATCH(IF('Data-solution'!$A$3="Maximize",MAX($C284:$AI284),MIN($C284:$AI284)),$C284:$AI284,0))*INDEX(S273:$AJ283,MATCH(MIN($AK273:$AK283),$AK273:$AK283,0),1)/INDEX($C273:$AJ283,MATCH(MIN($AK273:$AK283),$AK273:$AK283,0),MATCH(IF('Data-solution'!$A$3="Maximize",MAX($C284:$AI284),MIN($C284:$AI284)),$C284:$AI284,0))),S280)</f>
        <v>0</v>
      </c>
      <c r="T295" s="1">
        <f>IF(OR($B288&lt;&gt;$B273,$B289&lt;&gt;$B274,$B290&lt;&gt;$B275,$B291&lt;&gt;$B276,$B292&lt;&gt;$B277,$B293&lt;&gt;$B278,$B294&lt;&gt;$B279,$B295&lt;&gt;$B280,$B296&lt;&gt;$B281,$B297&lt;&gt;$B282,$B298&lt;&gt;$B283),IF($B295&lt;&gt;$B280,T280/INDEX($C273:$AJ283,8,MATCH(IF('Data-solution'!$A$3="Maximize",MAX($C284:$AI284),MIN($C284:$AI284)),$C284:$AI284,0)),T280-INDEX($C273:$AJ283,8,MATCH(IF('Data-solution'!$A$3="Maximize",MAX($C284:$AI284),MIN($C284:$AI284)),$C284:$AI284,0))*INDEX(T273:$AJ283,MATCH(MIN($AK273:$AK283),$AK273:$AK283,0),1)/INDEX($C273:$AJ283,MATCH(MIN($AK273:$AK283),$AK273:$AK283,0),MATCH(IF('Data-solution'!$A$3="Maximize",MAX($C284:$AI284),MIN($C284:$AI284)),$C284:$AI284,0))),T280)</f>
        <v>0</v>
      </c>
      <c r="U295" s="1">
        <f>IF(OR($B288&lt;&gt;$B273,$B289&lt;&gt;$B274,$B290&lt;&gt;$B275,$B291&lt;&gt;$B276,$B292&lt;&gt;$B277,$B293&lt;&gt;$B278,$B294&lt;&gt;$B279,$B295&lt;&gt;$B280,$B296&lt;&gt;$B281,$B297&lt;&gt;$B282,$B298&lt;&gt;$B283),IF($B295&lt;&gt;$B280,U280/INDEX($C273:$AJ283,8,MATCH(IF('Data-solution'!$A$3="Maximize",MAX($C284:$AI284),MIN($C284:$AI284)),$C284:$AI284,0)),U280-INDEX($C273:$AJ283,8,MATCH(IF('Data-solution'!$A$3="Maximize",MAX($C284:$AI284),MIN($C284:$AI284)),$C284:$AI284,0))*INDEX(U273:$AJ283,MATCH(MIN($AK273:$AK283),$AK273:$AK283,0),1)/INDEX($C273:$AJ283,MATCH(MIN($AK273:$AK283),$AK273:$AK283,0),MATCH(IF('Data-solution'!$A$3="Maximize",MAX($C284:$AI284),MIN($C284:$AI284)),$C284:$AI284,0))),U280)</f>
        <v>1</v>
      </c>
      <c r="V295" s="1">
        <f>IF(OR($B288&lt;&gt;$B273,$B289&lt;&gt;$B274,$B290&lt;&gt;$B275,$B291&lt;&gt;$B276,$B292&lt;&gt;$B277,$B293&lt;&gt;$B278,$B294&lt;&gt;$B279,$B295&lt;&gt;$B280,$B296&lt;&gt;$B281,$B297&lt;&gt;$B282,$B298&lt;&gt;$B283),IF($B295&lt;&gt;$B280,V280/INDEX($C273:$AJ283,8,MATCH(IF('Data-solution'!$A$3="Maximize",MAX($C284:$AI284),MIN($C284:$AI284)),$C284:$AI284,0)),V280-INDEX($C273:$AJ283,8,MATCH(IF('Data-solution'!$A$3="Maximize",MAX($C284:$AI284),MIN($C284:$AI284)),$C284:$AI284,0))*INDEX(V273:$AJ283,MATCH(MIN($AK273:$AK283),$AK273:$AK283,0),1)/INDEX($C273:$AJ283,MATCH(MIN($AK273:$AK283),$AK273:$AK283,0),MATCH(IF('Data-solution'!$A$3="Maximize",MAX($C284:$AI284),MIN($C284:$AI284)),$C284:$AI284,0))),V280)</f>
        <v>0</v>
      </c>
      <c r="W295" s="1">
        <f>IF(OR($B288&lt;&gt;$B273,$B289&lt;&gt;$B274,$B290&lt;&gt;$B275,$B291&lt;&gt;$B276,$B292&lt;&gt;$B277,$B293&lt;&gt;$B278,$B294&lt;&gt;$B279,$B295&lt;&gt;$B280,$B296&lt;&gt;$B281,$B297&lt;&gt;$B282,$B298&lt;&gt;$B283),IF($B295&lt;&gt;$B280,W280/INDEX($C273:$AJ283,8,MATCH(IF('Data-solution'!$A$3="Maximize",MAX($C284:$AI284),MIN($C284:$AI284)),$C284:$AI284,0)),W280-INDEX($C273:$AJ283,8,MATCH(IF('Data-solution'!$A$3="Maximize",MAX($C284:$AI284),MIN($C284:$AI284)),$C284:$AI284,0))*INDEX(W273:$AJ283,MATCH(MIN($AK273:$AK283),$AK273:$AK283,0),1)/INDEX($C273:$AJ283,MATCH(MIN($AK273:$AK283),$AK273:$AK283,0),MATCH(IF('Data-solution'!$A$3="Maximize",MAX($C284:$AI284),MIN($C284:$AI284)),$C284:$AI284,0))),W280)</f>
        <v>0</v>
      </c>
      <c r="X295" s="1">
        <f>IF(OR($B288&lt;&gt;$B273,$B289&lt;&gt;$B274,$B290&lt;&gt;$B275,$B291&lt;&gt;$B276,$B292&lt;&gt;$B277,$B293&lt;&gt;$B278,$B294&lt;&gt;$B279,$B295&lt;&gt;$B280,$B296&lt;&gt;$B281,$B297&lt;&gt;$B282,$B298&lt;&gt;$B283),IF($B295&lt;&gt;$B280,X280/INDEX($C273:$AJ283,8,MATCH(IF('Data-solution'!$A$3="Maximize",MAX($C284:$AI284),MIN($C284:$AI284)),$C284:$AI284,0)),X280-INDEX($C273:$AJ283,8,MATCH(IF('Data-solution'!$A$3="Maximize",MAX($C284:$AI284),MIN($C284:$AI284)),$C284:$AI284,0))*INDEX(X273:$AJ283,MATCH(MIN($AK273:$AK283),$AK273:$AK283,0),1)/INDEX($C273:$AJ283,MATCH(MIN($AK273:$AK283),$AK273:$AK283,0),MATCH(IF('Data-solution'!$A$3="Maximize",MAX($C284:$AI284),MIN($C284:$AI284)),$C284:$AI284,0))),X280)</f>
        <v>0</v>
      </c>
      <c r="Y295" s="1">
        <f>IF(OR($B288&lt;&gt;$B273,$B289&lt;&gt;$B274,$B290&lt;&gt;$B275,$B291&lt;&gt;$B276,$B292&lt;&gt;$B277,$B293&lt;&gt;$B278,$B294&lt;&gt;$B279,$B295&lt;&gt;$B280,$B296&lt;&gt;$B281,$B297&lt;&gt;$B282,$B298&lt;&gt;$B283),IF($B295&lt;&gt;$B280,Y280/INDEX($C273:$AJ283,8,MATCH(IF('Data-solution'!$A$3="Maximize",MAX($C284:$AI284),MIN($C284:$AI284)),$C284:$AI284,0)),Y280-INDEX($C273:$AJ283,8,MATCH(IF('Data-solution'!$A$3="Maximize",MAX($C284:$AI284),MIN($C284:$AI284)),$C284:$AI284,0))*INDEX(Y273:$AJ283,MATCH(MIN($AK273:$AK283),$AK273:$AK283,0),1)/INDEX($C273:$AJ283,MATCH(MIN($AK273:$AK283),$AK273:$AK283,0),MATCH(IF('Data-solution'!$A$3="Maximize",MAX($C284:$AI284),MIN($C284:$AI284)),$C284:$AI284,0))),Y280)</f>
        <v>0</v>
      </c>
      <c r="Z295" s="1">
        <f>IF(OR($B288&lt;&gt;$B273,$B289&lt;&gt;$B274,$B290&lt;&gt;$B275,$B291&lt;&gt;$B276,$B292&lt;&gt;$B277,$B293&lt;&gt;$B278,$B294&lt;&gt;$B279,$B295&lt;&gt;$B280,$B296&lt;&gt;$B281,$B297&lt;&gt;$B282,$B298&lt;&gt;$B283),IF($B295&lt;&gt;$B280,Z280/INDEX($C273:$AJ283,8,MATCH(IF('Data-solution'!$A$3="Maximize",MAX($C284:$AI284),MIN($C284:$AI284)),$C284:$AI284,0)),Z280-INDEX($C273:$AJ283,8,MATCH(IF('Data-solution'!$A$3="Maximize",MAX($C284:$AI284),MIN($C284:$AI284)),$C284:$AI284,0))*INDEX(Z273:$AJ283,MATCH(MIN($AK273:$AK283),$AK273:$AK283,0),1)/INDEX($C273:$AJ283,MATCH(MIN($AK273:$AK283),$AK273:$AK283,0),MATCH(IF('Data-solution'!$A$3="Maximize",MAX($C284:$AI284),MIN($C284:$AI284)),$C284:$AI284,0))),Z280)</f>
        <v>0</v>
      </c>
      <c r="AA295" s="1">
        <f>IF(OR($B288&lt;&gt;$B273,$B289&lt;&gt;$B274,$B290&lt;&gt;$B275,$B291&lt;&gt;$B276,$B292&lt;&gt;$B277,$B293&lt;&gt;$B278,$B294&lt;&gt;$B279,$B295&lt;&gt;$B280,$B296&lt;&gt;$B281,$B297&lt;&gt;$B282,$B298&lt;&gt;$B283),IF($B295&lt;&gt;$B280,AA280/INDEX($C273:$AJ283,8,MATCH(IF('Data-solution'!$A$3="Maximize",MAX($C284:$AI284),MIN($C284:$AI284)),$C284:$AI284,0)),AA280-INDEX($C273:$AJ283,8,MATCH(IF('Data-solution'!$A$3="Maximize",MAX($C284:$AI284),MIN($C284:$AI284)),$C284:$AI284,0))*INDEX(AA273:$AJ283,MATCH(MIN($AK273:$AK283),$AK273:$AK283,0),1)/INDEX($C273:$AJ283,MATCH(MIN($AK273:$AK283),$AK273:$AK283,0),MATCH(IF('Data-solution'!$A$3="Maximize",MAX($C284:$AI284),MIN($C284:$AI284)),$C284:$AI284,0))),AA280)</f>
        <v>0</v>
      </c>
      <c r="AB295" s="1">
        <f>IF(OR($B288&lt;&gt;$B273,$B289&lt;&gt;$B274,$B290&lt;&gt;$B275,$B291&lt;&gt;$B276,$B292&lt;&gt;$B277,$B293&lt;&gt;$B278,$B294&lt;&gt;$B279,$B295&lt;&gt;$B280,$B296&lt;&gt;$B281,$B297&lt;&gt;$B282,$B298&lt;&gt;$B283),IF($B295&lt;&gt;$B280,AB280/INDEX($C273:$AJ283,8,MATCH(IF('Data-solution'!$A$3="Maximize",MAX($C284:$AI284),MIN($C284:$AI284)),$C284:$AI284,0)),AB280-INDEX($C273:$AJ283,8,MATCH(IF('Data-solution'!$A$3="Maximize",MAX($C284:$AI284),MIN($C284:$AI284)),$C284:$AI284,0))*INDEX(AB273:$AJ283,MATCH(MIN($AK273:$AK283),$AK273:$AK283,0),1)/INDEX($C273:$AJ283,MATCH(MIN($AK273:$AK283),$AK273:$AK283,0),MATCH(IF('Data-solution'!$A$3="Maximize",MAX($C284:$AI284),MIN($C284:$AI284)),$C284:$AI284,0))),AB280)</f>
        <v>0</v>
      </c>
      <c r="AC295" s="1">
        <f>IF(OR($B288&lt;&gt;$B273,$B289&lt;&gt;$B274,$B290&lt;&gt;$B275,$B291&lt;&gt;$B276,$B292&lt;&gt;$B277,$B293&lt;&gt;$B278,$B294&lt;&gt;$B279,$B295&lt;&gt;$B280,$B296&lt;&gt;$B281,$B297&lt;&gt;$B282,$B298&lt;&gt;$B283),IF($B295&lt;&gt;$B280,AC280/INDEX($C273:$AJ283,8,MATCH(IF('Data-solution'!$A$3="Maximize",MAX($C284:$AI284),MIN($C284:$AI284)),$C284:$AI284,0)),AC280-INDEX($C273:$AJ283,8,MATCH(IF('Data-solution'!$A$3="Maximize",MAX($C284:$AI284),MIN($C284:$AI284)),$C284:$AI284,0))*INDEX(AC273:$AJ283,MATCH(MIN($AK273:$AK283),$AK273:$AK283,0),1)/INDEX($C273:$AJ283,MATCH(MIN($AK273:$AK283),$AK273:$AK283,0),MATCH(IF('Data-solution'!$A$3="Maximize",MAX($C284:$AI284),MIN($C284:$AI284)),$C284:$AI284,0))),AC280)</f>
        <v>0</v>
      </c>
      <c r="AD295" s="1">
        <f>IF(OR($B288&lt;&gt;$B273,$B289&lt;&gt;$B274,$B290&lt;&gt;$B275,$B291&lt;&gt;$B276,$B292&lt;&gt;$B277,$B293&lt;&gt;$B278,$B294&lt;&gt;$B279,$B295&lt;&gt;$B280,$B296&lt;&gt;$B281,$B297&lt;&gt;$B282,$B298&lt;&gt;$B283),IF($B295&lt;&gt;$B280,AD280/INDEX($C273:$AJ283,8,MATCH(IF('Data-solution'!$A$3="Maximize",MAX($C284:$AI284),MIN($C284:$AI284)),$C284:$AI284,0)),AD280-INDEX($C273:$AJ283,8,MATCH(IF('Data-solution'!$A$3="Maximize",MAX($C284:$AI284),MIN($C284:$AI284)),$C284:$AI284,0))*INDEX(AD273:$AJ283,MATCH(MIN($AK273:$AK283),$AK273:$AK283,0),1)/INDEX($C273:$AJ283,MATCH(MIN($AK273:$AK283),$AK273:$AK283,0),MATCH(IF('Data-solution'!$A$3="Maximize",MAX($C284:$AI284),MIN($C284:$AI284)),$C284:$AI284,0))),AD280)</f>
        <v>0</v>
      </c>
      <c r="AE295" s="1">
        <f>IF(OR($B288&lt;&gt;$B273,$B289&lt;&gt;$B274,$B290&lt;&gt;$B275,$B291&lt;&gt;$B276,$B292&lt;&gt;$B277,$B293&lt;&gt;$B278,$B294&lt;&gt;$B279,$B295&lt;&gt;$B280,$B296&lt;&gt;$B281,$B297&lt;&gt;$B282,$B298&lt;&gt;$B283),IF($B295&lt;&gt;$B280,AE280/INDEX($C273:$AJ283,8,MATCH(IF('Data-solution'!$A$3="Maximize",MAX($C284:$AI284),MIN($C284:$AI284)),$C284:$AI284,0)),AE280-INDEX($C273:$AJ283,8,MATCH(IF('Data-solution'!$A$3="Maximize",MAX($C284:$AI284),MIN($C284:$AI284)),$C284:$AI284,0))*INDEX(AE273:$AJ283,MATCH(MIN($AK273:$AK283),$AK273:$AK283,0),1)/INDEX($C273:$AJ283,MATCH(MIN($AK273:$AK283),$AK273:$AK283,0),MATCH(IF('Data-solution'!$A$3="Maximize",MAX($C284:$AI284),MIN($C284:$AI284)),$C284:$AI284,0))),AE280)</f>
        <v>0</v>
      </c>
      <c r="AF295" s="1">
        <f>IF(OR($B288&lt;&gt;$B273,$B289&lt;&gt;$B274,$B290&lt;&gt;$B275,$B291&lt;&gt;$B276,$B292&lt;&gt;$B277,$B293&lt;&gt;$B278,$B294&lt;&gt;$B279,$B295&lt;&gt;$B280,$B296&lt;&gt;$B281,$B297&lt;&gt;$B282,$B298&lt;&gt;$B283),IF($B295&lt;&gt;$B280,AF280/INDEX($C273:$AJ283,8,MATCH(IF('Data-solution'!$A$3="Maximize",MAX($C284:$AI284),MIN($C284:$AI284)),$C284:$AI284,0)),AF280-INDEX($C273:$AJ283,8,MATCH(IF('Data-solution'!$A$3="Maximize",MAX($C284:$AI284),MIN($C284:$AI284)),$C284:$AI284,0))*INDEX(AF273:$AJ283,MATCH(MIN($AK273:$AK283),$AK273:$AK283,0),1)/INDEX($C273:$AJ283,MATCH(MIN($AK273:$AK283),$AK273:$AK283,0),MATCH(IF('Data-solution'!$A$3="Maximize",MAX($C284:$AI284),MIN($C284:$AI284)),$C284:$AI284,0))),AF280)</f>
        <v>1</v>
      </c>
      <c r="AG295" s="1">
        <f>IF(OR($B288&lt;&gt;$B273,$B289&lt;&gt;$B274,$B290&lt;&gt;$B275,$B291&lt;&gt;$B276,$B292&lt;&gt;$B277,$B293&lt;&gt;$B278,$B294&lt;&gt;$B279,$B295&lt;&gt;$B280,$B296&lt;&gt;$B281,$B297&lt;&gt;$B282,$B298&lt;&gt;$B283),IF($B295&lt;&gt;$B280,AG280/INDEX($C273:$AJ283,8,MATCH(IF('Data-solution'!$A$3="Maximize",MAX($C284:$AI284),MIN($C284:$AI284)),$C284:$AI284,0)),AG280-INDEX($C273:$AJ283,8,MATCH(IF('Data-solution'!$A$3="Maximize",MAX($C284:$AI284),MIN($C284:$AI284)),$C284:$AI284,0))*INDEX(AG273:$AJ283,MATCH(MIN($AK273:$AK283),$AK273:$AK283,0),1)/INDEX($C273:$AJ283,MATCH(MIN($AK273:$AK283),$AK273:$AK283,0),MATCH(IF('Data-solution'!$A$3="Maximize",MAX($C284:$AI284),MIN($C284:$AI284)),$C284:$AI284,0))),AG280)</f>
        <v>0</v>
      </c>
      <c r="AH295" s="1">
        <f>IF(OR($B288&lt;&gt;$B273,$B289&lt;&gt;$B274,$B290&lt;&gt;$B275,$B291&lt;&gt;$B276,$B292&lt;&gt;$B277,$B293&lt;&gt;$B278,$B294&lt;&gt;$B279,$B295&lt;&gt;$B280,$B296&lt;&gt;$B281,$B297&lt;&gt;$B282,$B298&lt;&gt;$B283),IF($B295&lt;&gt;$B280,AH280/INDEX($C273:$AJ283,8,MATCH(IF('Data-solution'!$A$3="Maximize",MAX($C284:$AI284),MIN($C284:$AI284)),$C284:$AI284,0)),AH280-INDEX($C273:$AJ283,8,MATCH(IF('Data-solution'!$A$3="Maximize",MAX($C284:$AI284),MIN($C284:$AI284)),$C284:$AI284,0))*INDEX(AH273:$AJ283,MATCH(MIN($AK273:$AK283),$AK273:$AK283,0),1)/INDEX($C273:$AJ283,MATCH(MIN($AK273:$AK283),$AK273:$AK283,0),MATCH(IF('Data-solution'!$A$3="Maximize",MAX($C284:$AI284),MIN($C284:$AI284)),$C284:$AI284,0))),AH280)</f>
        <v>0</v>
      </c>
      <c r="AI295" s="1">
        <f>IF(OR($B288&lt;&gt;$B273,$B289&lt;&gt;$B274,$B290&lt;&gt;$B275,$B291&lt;&gt;$B276,$B292&lt;&gt;$B277,$B293&lt;&gt;$B278,$B294&lt;&gt;$B279,$B295&lt;&gt;$B280,$B296&lt;&gt;$B281,$B297&lt;&gt;$B282,$B298&lt;&gt;$B283),IF($B295&lt;&gt;$B280,AI280/INDEX($C273:$AJ283,8,MATCH(IF('Data-solution'!$A$3="Maximize",MAX($C284:$AI284),MIN($C284:$AI284)),$C284:$AI284,0)),AI280-INDEX($C273:$AJ283,8,MATCH(IF('Data-solution'!$A$3="Maximize",MAX($C284:$AI284),MIN($C284:$AI284)),$C284:$AI284,0))*INDEX(AI273:$AJ283,MATCH(MIN($AK273:$AK283),$AK273:$AK283,0),1)/INDEX($C273:$AJ283,MATCH(MIN($AK273:$AK283),$AK273:$AK283,0),MATCH(IF('Data-solution'!$A$3="Maximize",MAX($C284:$AI284),MIN($C284:$AI284)),$C284:$AI284,0))),AI280)</f>
        <v>0</v>
      </c>
      <c r="AJ295" s="1">
        <f>IF(OR($B288&lt;&gt;$B273,$B289&lt;&gt;$B274,$B290&lt;&gt;$B275,$B291&lt;&gt;$B276,$B292&lt;&gt;$B277,$B293&lt;&gt;$B278,$B294&lt;&gt;$B279,$B295&lt;&gt;$B280,$B296&lt;&gt;$B281,$B297&lt;&gt;$B282,$B298&lt;&gt;$B283),IF($B295&lt;&gt;$B280,AJ280/INDEX($C273:$AJ283,8,MATCH(IF('Data-solution'!$A$3="Maximize",MAX($C284:$AI284),MIN($C284:$AI284)),$C284:$AI284,0)),AJ280-INDEX($C273:$AJ283,8,MATCH(IF('Data-solution'!$A$3="Maximize",MAX($C284:$AI284),MIN($C284:$AI284)),$C284:$AI284,0))*INDEX(AJ273:$AJ283,MATCH(MIN($AK273:$AK283),$AK273:$AK283,0),1)/INDEX($C273:$AJ283,MATCH(MIN($AK273:$AK283),$AK273:$AK283,0),MATCH(IF('Data-solution'!$A$3="Maximize",MAX($C284:$AI284),MIN($C284:$AI284)),$C284:$AI284,0))),AJ280)</f>
        <v>0</v>
      </c>
      <c r="AK295" s="1" t="str">
        <f>IF(INDEX(C295:X295,1,MATCH(IF('Data-solution'!A$3="Maximize",MAX(C299:X299),MIN(C299:X299)),C299:X299,0))&gt;0,AJ295/INDEX(C295:X295,1,MATCH(IF('Data-solution'!A$3="Maximize",MAX(C299:X299),MIN(C299:X299)),C299:X299,0))," ")</f>
        <v xml:space="preserve"> </v>
      </c>
    </row>
    <row r="296" spans="1:37" ht="18" customHeight="1" x14ac:dyDescent="0.2">
      <c r="A296" s="1">
        <f t="shared" ref="A296" si="264">INDEX(C286:AI286,1,MATCH(B296,C287:AI287,0))</f>
        <v>0</v>
      </c>
      <c r="B296" s="2" t="str">
        <f>IF(AND('Data-solution'!A$3="Maximize",COUNTIF(C284:X284,"&gt;"&amp;0)&gt;0,AK281=MIN(AK273:AK283),COUNTIF(B288:B295,INDEX(C272:X272,1,MATCH(MAX(C284:X284),C284:X284,0)))=0),INDEX(C272:X272,1,MATCH(MAX(C284:X284),C284:X284,0)),IF(AND('Data-solution'!A$3="Minimize",COUNTIF(C284:X284,"&lt;"&amp;0)&gt;0,AK281=MIN(AK273:AK283),COUNTIF(B288:B295,INDEX(C272:X272,1,MATCH(MIN(C284:X284),C284:X284,0)))=0),INDEX(C272:X272,1,MATCH(MIN(C284:X284),C284:X284,0)),B281))</f>
        <v>S9</v>
      </c>
      <c r="C296" s="1">
        <f>IF(OR($B288&lt;&gt;$B273,$B289&lt;&gt;$B274,$B290&lt;&gt;$B275,$B291&lt;&gt;$B276,$B292&lt;&gt;$B277,$B293&lt;&gt;$B278,$B294&lt;&gt;$B279,$B295&lt;&gt;$B280,$B296&lt;&gt;$B281,$B297&lt;&gt;$B282,$B298&lt;&gt;$B283),IF($B296&lt;&gt;$B281,C281/INDEX($C273:$AJ283,9,MATCH(IF('Data-solution'!$A$3="Maximize",MAX($C284:$AI284),MIN($C284:$AI284)),$C284:$AI284,0)),C281-INDEX($C273:$AJ283,9,MATCH(IF('Data-solution'!$A$3="Maximize",MAX($C284:$AI284),MIN($C284:$AI284)),$C284:$AI284,0))*INDEX(C273:$AJ283,MATCH(MIN($AK273:$AK283),$AK273:$AK283,0),1)/INDEX($C273:$AJ283,MATCH(MIN($AK273:$AK283),$AK273:$AK283,0),MATCH(IF('Data-solution'!$A$3="Maximize",MAX($C284:$AI284),MIN($C284:$AI284)),$C284:$AI284,0))),C281)</f>
        <v>0</v>
      </c>
      <c r="D296" s="1">
        <f>IF(OR($B288&lt;&gt;$B273,$B289&lt;&gt;$B274,$B290&lt;&gt;$B275,$B291&lt;&gt;$B276,$B292&lt;&gt;$B277,$B293&lt;&gt;$B278,$B294&lt;&gt;$B279,$B295&lt;&gt;$B280,$B296&lt;&gt;$B281,$B297&lt;&gt;$B282,$B298&lt;&gt;$B283),IF($B296&lt;&gt;$B281,D281/INDEX($C273:$AJ283,9,MATCH(IF('Data-solution'!$A$3="Maximize",MAX($C284:$AI284),MIN($C284:$AI284)),$C284:$AI284,0)),D281-INDEX($C273:$AJ283,9,MATCH(IF('Data-solution'!$A$3="Maximize",MAX($C284:$AI284),MIN($C284:$AI284)),$C284:$AI284,0))*INDEX(D273:$AJ283,MATCH(MIN($AK273:$AK283),$AK273:$AK283,0),1)/INDEX($C273:$AJ283,MATCH(MIN($AK273:$AK283),$AK273:$AK283,0),MATCH(IF('Data-solution'!$A$3="Maximize",MAX($C284:$AI284),MIN($C284:$AI284)),$C284:$AI284,0))),D281)</f>
        <v>0</v>
      </c>
      <c r="E296" s="1">
        <f>IF(OR($B288&lt;&gt;$B273,$B289&lt;&gt;$B274,$B290&lt;&gt;$B275,$B291&lt;&gt;$B276,$B292&lt;&gt;$B277,$B293&lt;&gt;$B278,$B294&lt;&gt;$B279,$B295&lt;&gt;$B280,$B296&lt;&gt;$B281,$B297&lt;&gt;$B282,$B298&lt;&gt;$B283),IF($B296&lt;&gt;$B281,E281/INDEX($C273:$AJ283,9,MATCH(IF('Data-solution'!$A$3="Maximize",MAX($C284:$AI284),MIN($C284:$AI284)),$C284:$AI284,0)),E281-INDEX($C273:$AJ283,9,MATCH(IF('Data-solution'!$A$3="Maximize",MAX($C284:$AI284),MIN($C284:$AI284)),$C284:$AI284,0))*INDEX(E273:$AJ283,MATCH(MIN($AK273:$AK283),$AK273:$AK283,0),1)/INDEX($C273:$AJ283,MATCH(MIN($AK273:$AK283),$AK273:$AK283,0),MATCH(IF('Data-solution'!$A$3="Maximize",MAX($C284:$AI284),MIN($C284:$AI284)),$C284:$AI284,0))),E281)</f>
        <v>0</v>
      </c>
      <c r="F296" s="1">
        <f>IF(OR($B288&lt;&gt;$B273,$B289&lt;&gt;$B274,$B290&lt;&gt;$B275,$B291&lt;&gt;$B276,$B292&lt;&gt;$B277,$B293&lt;&gt;$B278,$B294&lt;&gt;$B279,$B295&lt;&gt;$B280,$B296&lt;&gt;$B281,$B297&lt;&gt;$B282,$B298&lt;&gt;$B283),IF($B296&lt;&gt;$B281,F281/INDEX($C273:$AJ283,9,MATCH(IF('Data-solution'!$A$3="Maximize",MAX($C284:$AI284),MIN($C284:$AI284)),$C284:$AI284,0)),F281-INDEX($C273:$AJ283,9,MATCH(IF('Data-solution'!$A$3="Maximize",MAX($C284:$AI284),MIN($C284:$AI284)),$C284:$AI284,0))*INDEX(F273:$AJ283,MATCH(MIN($AK273:$AK283),$AK273:$AK283,0),1)/INDEX($C273:$AJ283,MATCH(MIN($AK273:$AK283),$AK273:$AK283,0),MATCH(IF('Data-solution'!$A$3="Maximize",MAX($C284:$AI284),MIN($C284:$AI284)),$C284:$AI284,0))),F281)</f>
        <v>0</v>
      </c>
      <c r="G296" s="1">
        <f>IF(OR($B288&lt;&gt;$B273,$B289&lt;&gt;$B274,$B290&lt;&gt;$B275,$B291&lt;&gt;$B276,$B292&lt;&gt;$B277,$B293&lt;&gt;$B278,$B294&lt;&gt;$B279,$B295&lt;&gt;$B280,$B296&lt;&gt;$B281,$B297&lt;&gt;$B282,$B298&lt;&gt;$B283),IF($B296&lt;&gt;$B281,G281/INDEX($C273:$AJ283,9,MATCH(IF('Data-solution'!$A$3="Maximize",MAX($C284:$AI284),MIN($C284:$AI284)),$C284:$AI284,0)),G281-INDEX($C273:$AJ283,9,MATCH(IF('Data-solution'!$A$3="Maximize",MAX($C284:$AI284),MIN($C284:$AI284)),$C284:$AI284,0))*INDEX(G273:$AJ283,MATCH(MIN($AK273:$AK283),$AK273:$AK283,0),1)/INDEX($C273:$AJ283,MATCH(MIN($AK273:$AK283),$AK273:$AK283,0),MATCH(IF('Data-solution'!$A$3="Maximize",MAX($C284:$AI284),MIN($C284:$AI284)),$C284:$AI284,0))),G281)</f>
        <v>0</v>
      </c>
      <c r="H296" s="1">
        <f>IF(OR($B288&lt;&gt;$B273,$B289&lt;&gt;$B274,$B290&lt;&gt;$B275,$B291&lt;&gt;$B276,$B292&lt;&gt;$B277,$B293&lt;&gt;$B278,$B294&lt;&gt;$B279,$B295&lt;&gt;$B280,$B296&lt;&gt;$B281,$B297&lt;&gt;$B282,$B298&lt;&gt;$B283),IF($B296&lt;&gt;$B281,H281/INDEX($C273:$AJ283,9,MATCH(IF('Data-solution'!$A$3="Maximize",MAX($C284:$AI284),MIN($C284:$AI284)),$C284:$AI284,0)),H281-INDEX($C273:$AJ283,9,MATCH(IF('Data-solution'!$A$3="Maximize",MAX($C284:$AI284),MIN($C284:$AI284)),$C284:$AI284,0))*INDEX(H273:$AJ283,MATCH(MIN($AK273:$AK283),$AK273:$AK283,0),1)/INDEX($C273:$AJ283,MATCH(MIN($AK273:$AK283),$AK273:$AK283,0),MATCH(IF('Data-solution'!$A$3="Maximize",MAX($C284:$AI284),MIN($C284:$AI284)),$C284:$AI284,0))),H281)</f>
        <v>0</v>
      </c>
      <c r="I296" s="1">
        <f>IF(OR($B288&lt;&gt;$B273,$B289&lt;&gt;$B274,$B290&lt;&gt;$B275,$B291&lt;&gt;$B276,$B292&lt;&gt;$B277,$B293&lt;&gt;$B278,$B294&lt;&gt;$B279,$B295&lt;&gt;$B280,$B296&lt;&gt;$B281,$B297&lt;&gt;$B282,$B298&lt;&gt;$B283),IF($B296&lt;&gt;$B281,I281/INDEX($C273:$AJ283,9,MATCH(IF('Data-solution'!$A$3="Maximize",MAX($C284:$AI284),MIN($C284:$AI284)),$C284:$AI284,0)),I281-INDEX($C273:$AJ283,9,MATCH(IF('Data-solution'!$A$3="Maximize",MAX($C284:$AI284),MIN($C284:$AI284)),$C284:$AI284,0))*INDEX(I273:$AJ283,MATCH(MIN($AK273:$AK283),$AK273:$AK283,0),1)/INDEX($C273:$AJ283,MATCH(MIN($AK273:$AK283),$AK273:$AK283,0),MATCH(IF('Data-solution'!$A$3="Maximize",MAX($C284:$AI284),MIN($C284:$AI284)),$C284:$AI284,0))),I281)</f>
        <v>0</v>
      </c>
      <c r="J296" s="1">
        <f>IF(OR($B288&lt;&gt;$B273,$B289&lt;&gt;$B274,$B290&lt;&gt;$B275,$B291&lt;&gt;$B276,$B292&lt;&gt;$B277,$B293&lt;&gt;$B278,$B294&lt;&gt;$B279,$B295&lt;&gt;$B280,$B296&lt;&gt;$B281,$B297&lt;&gt;$B282,$B298&lt;&gt;$B283),IF($B296&lt;&gt;$B281,J281/INDEX($C273:$AJ283,9,MATCH(IF('Data-solution'!$A$3="Maximize",MAX($C284:$AI284),MIN($C284:$AI284)),$C284:$AI284,0)),J281-INDEX($C273:$AJ283,9,MATCH(IF('Data-solution'!$A$3="Maximize",MAX($C284:$AI284),MIN($C284:$AI284)),$C284:$AI284,0))*INDEX(J273:$AJ283,MATCH(MIN($AK273:$AK283),$AK273:$AK283,0),1)/INDEX($C273:$AJ283,MATCH(MIN($AK273:$AK283),$AK273:$AK283,0),MATCH(IF('Data-solution'!$A$3="Maximize",MAX($C284:$AI284),MIN($C284:$AI284)),$C284:$AI284,0))),J281)</f>
        <v>0</v>
      </c>
      <c r="K296" s="1">
        <f>IF(OR($B288&lt;&gt;$B273,$B289&lt;&gt;$B274,$B290&lt;&gt;$B275,$B291&lt;&gt;$B276,$B292&lt;&gt;$B277,$B293&lt;&gt;$B278,$B294&lt;&gt;$B279,$B295&lt;&gt;$B280,$B296&lt;&gt;$B281,$B297&lt;&gt;$B282,$B298&lt;&gt;$B283),IF($B296&lt;&gt;$B281,K281/INDEX($C273:$AJ283,9,MATCH(IF('Data-solution'!$A$3="Maximize",MAX($C284:$AI284),MIN($C284:$AI284)),$C284:$AI284,0)),K281-INDEX($C273:$AJ283,9,MATCH(IF('Data-solution'!$A$3="Maximize",MAX($C284:$AI284),MIN($C284:$AI284)),$C284:$AI284,0))*INDEX(K273:$AJ283,MATCH(MIN($AK273:$AK283),$AK273:$AK283,0),1)/INDEX($C273:$AJ283,MATCH(MIN($AK273:$AK283),$AK273:$AK283,0),MATCH(IF('Data-solution'!$A$3="Maximize",MAX($C284:$AI284),MIN($C284:$AI284)),$C284:$AI284,0))),K281)</f>
        <v>0</v>
      </c>
      <c r="L296" s="1">
        <f>IF(OR($B288&lt;&gt;$B273,$B289&lt;&gt;$B274,$B290&lt;&gt;$B275,$B291&lt;&gt;$B276,$B292&lt;&gt;$B277,$B293&lt;&gt;$B278,$B294&lt;&gt;$B279,$B295&lt;&gt;$B280,$B296&lt;&gt;$B281,$B297&lt;&gt;$B282,$B298&lt;&gt;$B283),IF($B296&lt;&gt;$B281,L281/INDEX($C273:$AJ283,9,MATCH(IF('Data-solution'!$A$3="Maximize",MAX($C284:$AI284),MIN($C284:$AI284)),$C284:$AI284,0)),L281-INDEX($C273:$AJ283,9,MATCH(IF('Data-solution'!$A$3="Maximize",MAX($C284:$AI284),MIN($C284:$AI284)),$C284:$AI284,0))*INDEX(L273:$AJ283,MATCH(MIN($AK273:$AK283),$AK273:$AK283,0),1)/INDEX($C273:$AJ283,MATCH(MIN($AK273:$AK283),$AK273:$AK283,0),MATCH(IF('Data-solution'!$A$3="Maximize",MAX($C284:$AI284),MIN($C284:$AI284)),$C284:$AI284,0))),L281)</f>
        <v>0</v>
      </c>
      <c r="M296" s="1">
        <f>IF(OR($B288&lt;&gt;$B273,$B289&lt;&gt;$B274,$B290&lt;&gt;$B275,$B291&lt;&gt;$B276,$B292&lt;&gt;$B277,$B293&lt;&gt;$B278,$B294&lt;&gt;$B279,$B295&lt;&gt;$B280,$B296&lt;&gt;$B281,$B297&lt;&gt;$B282,$B298&lt;&gt;$B283),IF($B296&lt;&gt;$B281,M281/INDEX($C273:$AJ283,9,MATCH(IF('Data-solution'!$A$3="Maximize",MAX($C284:$AI284),MIN($C284:$AI284)),$C284:$AI284,0)),M281-INDEX($C273:$AJ283,9,MATCH(IF('Data-solution'!$A$3="Maximize",MAX($C284:$AI284),MIN($C284:$AI284)),$C284:$AI284,0))*INDEX(M273:$AJ283,MATCH(MIN($AK273:$AK283),$AK273:$AK283,0),1)/INDEX($C273:$AJ283,MATCH(MIN($AK273:$AK283),$AK273:$AK283,0),MATCH(IF('Data-solution'!$A$3="Maximize",MAX($C284:$AI284),MIN($C284:$AI284)),$C284:$AI284,0))),M281)</f>
        <v>0</v>
      </c>
      <c r="N296" s="1">
        <f>IF(OR($B288&lt;&gt;$B273,$B289&lt;&gt;$B274,$B290&lt;&gt;$B275,$B291&lt;&gt;$B276,$B292&lt;&gt;$B277,$B293&lt;&gt;$B278,$B294&lt;&gt;$B279,$B295&lt;&gt;$B280,$B296&lt;&gt;$B281,$B297&lt;&gt;$B282,$B298&lt;&gt;$B283),IF($B296&lt;&gt;$B281,N281/INDEX($C273:$AJ283,9,MATCH(IF('Data-solution'!$A$3="Maximize",MAX($C284:$AI284),MIN($C284:$AI284)),$C284:$AI284,0)),N281-INDEX($C273:$AJ283,9,MATCH(IF('Data-solution'!$A$3="Maximize",MAX($C284:$AI284),MIN($C284:$AI284)),$C284:$AI284,0))*INDEX(N273:$AJ283,MATCH(MIN($AK273:$AK283),$AK273:$AK283,0),1)/INDEX($C273:$AJ283,MATCH(MIN($AK273:$AK283),$AK273:$AK283,0),MATCH(IF('Data-solution'!$A$3="Maximize",MAX($C284:$AI284),MIN($C284:$AI284)),$C284:$AI284,0))),N281)</f>
        <v>0</v>
      </c>
      <c r="O296" s="1">
        <f>IF(OR($B288&lt;&gt;$B273,$B289&lt;&gt;$B274,$B290&lt;&gt;$B275,$B291&lt;&gt;$B276,$B292&lt;&gt;$B277,$B293&lt;&gt;$B278,$B294&lt;&gt;$B279,$B295&lt;&gt;$B280,$B296&lt;&gt;$B281,$B297&lt;&gt;$B282,$B298&lt;&gt;$B283),IF($B296&lt;&gt;$B281,O281/INDEX($C273:$AJ283,9,MATCH(IF('Data-solution'!$A$3="Maximize",MAX($C284:$AI284),MIN($C284:$AI284)),$C284:$AI284,0)),O281-INDEX($C273:$AJ283,9,MATCH(IF('Data-solution'!$A$3="Maximize",MAX($C284:$AI284),MIN($C284:$AI284)),$C284:$AI284,0))*INDEX(O273:$AJ283,MATCH(MIN($AK273:$AK283),$AK273:$AK283,0),1)/INDEX($C273:$AJ283,MATCH(MIN($AK273:$AK283),$AK273:$AK283,0),MATCH(IF('Data-solution'!$A$3="Maximize",MAX($C284:$AI284),MIN($C284:$AI284)),$C284:$AI284,0))),O281)</f>
        <v>0</v>
      </c>
      <c r="P296" s="1">
        <f>IF(OR($B288&lt;&gt;$B273,$B289&lt;&gt;$B274,$B290&lt;&gt;$B275,$B291&lt;&gt;$B276,$B292&lt;&gt;$B277,$B293&lt;&gt;$B278,$B294&lt;&gt;$B279,$B295&lt;&gt;$B280,$B296&lt;&gt;$B281,$B297&lt;&gt;$B282,$B298&lt;&gt;$B283),IF($B296&lt;&gt;$B281,P281/INDEX($C273:$AJ283,9,MATCH(IF('Data-solution'!$A$3="Maximize",MAX($C284:$AI284),MIN($C284:$AI284)),$C284:$AI284,0)),P281-INDEX($C273:$AJ283,9,MATCH(IF('Data-solution'!$A$3="Maximize",MAX($C284:$AI284),MIN($C284:$AI284)),$C284:$AI284,0))*INDEX(P273:$AJ283,MATCH(MIN($AK273:$AK283),$AK273:$AK283,0),1)/INDEX($C273:$AJ283,MATCH(MIN($AK273:$AK283),$AK273:$AK283,0),MATCH(IF('Data-solution'!$A$3="Maximize",MAX($C284:$AI284),MIN($C284:$AI284)),$C284:$AI284,0))),P281)</f>
        <v>0</v>
      </c>
      <c r="Q296" s="1">
        <f>IF(OR($B288&lt;&gt;$B273,$B289&lt;&gt;$B274,$B290&lt;&gt;$B275,$B291&lt;&gt;$B276,$B292&lt;&gt;$B277,$B293&lt;&gt;$B278,$B294&lt;&gt;$B279,$B295&lt;&gt;$B280,$B296&lt;&gt;$B281,$B297&lt;&gt;$B282,$B298&lt;&gt;$B283),IF($B296&lt;&gt;$B281,Q281/INDEX($C273:$AJ283,9,MATCH(IF('Data-solution'!$A$3="Maximize",MAX($C284:$AI284),MIN($C284:$AI284)),$C284:$AI284,0)),Q281-INDEX($C273:$AJ283,9,MATCH(IF('Data-solution'!$A$3="Maximize",MAX($C284:$AI284),MIN($C284:$AI284)),$C284:$AI284,0))*INDEX(Q273:$AJ283,MATCH(MIN($AK273:$AK283),$AK273:$AK283,0),1)/INDEX($C273:$AJ283,MATCH(MIN($AK273:$AK283),$AK273:$AK283,0),MATCH(IF('Data-solution'!$A$3="Maximize",MAX($C284:$AI284),MIN($C284:$AI284)),$C284:$AI284,0))),Q281)</f>
        <v>0</v>
      </c>
      <c r="R296" s="1">
        <f>IF(OR($B288&lt;&gt;$B273,$B289&lt;&gt;$B274,$B290&lt;&gt;$B275,$B291&lt;&gt;$B276,$B292&lt;&gt;$B277,$B293&lt;&gt;$B278,$B294&lt;&gt;$B279,$B295&lt;&gt;$B280,$B296&lt;&gt;$B281,$B297&lt;&gt;$B282,$B298&lt;&gt;$B283),IF($B296&lt;&gt;$B281,R281/INDEX($C273:$AJ283,9,MATCH(IF('Data-solution'!$A$3="Maximize",MAX($C284:$AI284),MIN($C284:$AI284)),$C284:$AI284,0)),R281-INDEX($C273:$AJ283,9,MATCH(IF('Data-solution'!$A$3="Maximize",MAX($C284:$AI284),MIN($C284:$AI284)),$C284:$AI284,0))*INDEX(R273:$AJ283,MATCH(MIN($AK273:$AK283),$AK273:$AK283,0),1)/INDEX($C273:$AJ283,MATCH(MIN($AK273:$AK283),$AK273:$AK283,0),MATCH(IF('Data-solution'!$A$3="Maximize",MAX($C284:$AI284),MIN($C284:$AI284)),$C284:$AI284,0))),R281)</f>
        <v>0</v>
      </c>
      <c r="S296" s="1">
        <f>IF(OR($B288&lt;&gt;$B273,$B289&lt;&gt;$B274,$B290&lt;&gt;$B275,$B291&lt;&gt;$B276,$B292&lt;&gt;$B277,$B293&lt;&gt;$B278,$B294&lt;&gt;$B279,$B295&lt;&gt;$B280,$B296&lt;&gt;$B281,$B297&lt;&gt;$B282,$B298&lt;&gt;$B283),IF($B296&lt;&gt;$B281,S281/INDEX($C273:$AJ283,9,MATCH(IF('Data-solution'!$A$3="Maximize",MAX($C284:$AI284),MIN($C284:$AI284)),$C284:$AI284,0)),S281-INDEX($C273:$AJ283,9,MATCH(IF('Data-solution'!$A$3="Maximize",MAX($C284:$AI284),MIN($C284:$AI284)),$C284:$AI284,0))*INDEX(S273:$AJ283,MATCH(MIN($AK273:$AK283),$AK273:$AK283,0),1)/INDEX($C273:$AJ283,MATCH(MIN($AK273:$AK283),$AK273:$AK283,0),MATCH(IF('Data-solution'!$A$3="Maximize",MAX($C284:$AI284),MIN($C284:$AI284)),$C284:$AI284,0))),S281)</f>
        <v>0</v>
      </c>
      <c r="T296" s="1">
        <f>IF(OR($B288&lt;&gt;$B273,$B289&lt;&gt;$B274,$B290&lt;&gt;$B275,$B291&lt;&gt;$B276,$B292&lt;&gt;$B277,$B293&lt;&gt;$B278,$B294&lt;&gt;$B279,$B295&lt;&gt;$B280,$B296&lt;&gt;$B281,$B297&lt;&gt;$B282,$B298&lt;&gt;$B283),IF($B296&lt;&gt;$B281,T281/INDEX($C273:$AJ283,9,MATCH(IF('Data-solution'!$A$3="Maximize",MAX($C284:$AI284),MIN($C284:$AI284)),$C284:$AI284,0)),T281-INDEX($C273:$AJ283,9,MATCH(IF('Data-solution'!$A$3="Maximize",MAX($C284:$AI284),MIN($C284:$AI284)),$C284:$AI284,0))*INDEX(T273:$AJ283,MATCH(MIN($AK273:$AK283),$AK273:$AK283,0),1)/INDEX($C273:$AJ283,MATCH(MIN($AK273:$AK283),$AK273:$AK283,0),MATCH(IF('Data-solution'!$A$3="Maximize",MAX($C284:$AI284),MIN($C284:$AI284)),$C284:$AI284,0))),T281)</f>
        <v>0</v>
      </c>
      <c r="U296" s="1">
        <f>IF(OR($B288&lt;&gt;$B273,$B289&lt;&gt;$B274,$B290&lt;&gt;$B275,$B291&lt;&gt;$B276,$B292&lt;&gt;$B277,$B293&lt;&gt;$B278,$B294&lt;&gt;$B279,$B295&lt;&gt;$B280,$B296&lt;&gt;$B281,$B297&lt;&gt;$B282,$B298&lt;&gt;$B283),IF($B296&lt;&gt;$B281,U281/INDEX($C273:$AJ283,9,MATCH(IF('Data-solution'!$A$3="Maximize",MAX($C284:$AI284),MIN($C284:$AI284)),$C284:$AI284,0)),U281-INDEX($C273:$AJ283,9,MATCH(IF('Data-solution'!$A$3="Maximize",MAX($C284:$AI284),MIN($C284:$AI284)),$C284:$AI284,0))*INDEX(U273:$AJ283,MATCH(MIN($AK273:$AK283),$AK273:$AK283,0),1)/INDEX($C273:$AJ283,MATCH(MIN($AK273:$AK283),$AK273:$AK283,0),MATCH(IF('Data-solution'!$A$3="Maximize",MAX($C284:$AI284),MIN($C284:$AI284)),$C284:$AI284,0))),U281)</f>
        <v>0</v>
      </c>
      <c r="V296" s="1">
        <f>IF(OR($B288&lt;&gt;$B273,$B289&lt;&gt;$B274,$B290&lt;&gt;$B275,$B291&lt;&gt;$B276,$B292&lt;&gt;$B277,$B293&lt;&gt;$B278,$B294&lt;&gt;$B279,$B295&lt;&gt;$B280,$B296&lt;&gt;$B281,$B297&lt;&gt;$B282,$B298&lt;&gt;$B283),IF($B296&lt;&gt;$B281,V281/INDEX($C273:$AJ283,9,MATCH(IF('Data-solution'!$A$3="Maximize",MAX($C284:$AI284),MIN($C284:$AI284)),$C284:$AI284,0)),V281-INDEX($C273:$AJ283,9,MATCH(IF('Data-solution'!$A$3="Maximize",MAX($C284:$AI284),MIN($C284:$AI284)),$C284:$AI284,0))*INDEX(V273:$AJ283,MATCH(MIN($AK273:$AK283),$AK273:$AK283,0),1)/INDEX($C273:$AJ283,MATCH(MIN($AK273:$AK283),$AK273:$AK283,0),MATCH(IF('Data-solution'!$A$3="Maximize",MAX($C284:$AI284),MIN($C284:$AI284)),$C284:$AI284,0))),V281)</f>
        <v>1</v>
      </c>
      <c r="W296" s="1">
        <f>IF(OR($B288&lt;&gt;$B273,$B289&lt;&gt;$B274,$B290&lt;&gt;$B275,$B291&lt;&gt;$B276,$B292&lt;&gt;$B277,$B293&lt;&gt;$B278,$B294&lt;&gt;$B279,$B295&lt;&gt;$B280,$B296&lt;&gt;$B281,$B297&lt;&gt;$B282,$B298&lt;&gt;$B283),IF($B296&lt;&gt;$B281,W281/INDEX($C273:$AJ283,9,MATCH(IF('Data-solution'!$A$3="Maximize",MAX($C284:$AI284),MIN($C284:$AI284)),$C284:$AI284,0)),W281-INDEX($C273:$AJ283,9,MATCH(IF('Data-solution'!$A$3="Maximize",MAX($C284:$AI284),MIN($C284:$AI284)),$C284:$AI284,0))*INDEX(W273:$AJ283,MATCH(MIN($AK273:$AK283),$AK273:$AK283,0),1)/INDEX($C273:$AJ283,MATCH(MIN($AK273:$AK283),$AK273:$AK283,0),MATCH(IF('Data-solution'!$A$3="Maximize",MAX($C284:$AI284),MIN($C284:$AI284)),$C284:$AI284,0))),W281)</f>
        <v>0</v>
      </c>
      <c r="X296" s="1">
        <f>IF(OR($B288&lt;&gt;$B273,$B289&lt;&gt;$B274,$B290&lt;&gt;$B275,$B291&lt;&gt;$B276,$B292&lt;&gt;$B277,$B293&lt;&gt;$B278,$B294&lt;&gt;$B279,$B295&lt;&gt;$B280,$B296&lt;&gt;$B281,$B297&lt;&gt;$B282,$B298&lt;&gt;$B283),IF($B296&lt;&gt;$B281,X281/INDEX($C273:$AJ283,9,MATCH(IF('Data-solution'!$A$3="Maximize",MAX($C284:$AI284),MIN($C284:$AI284)),$C284:$AI284,0)),X281-INDEX($C273:$AJ283,9,MATCH(IF('Data-solution'!$A$3="Maximize",MAX($C284:$AI284),MIN($C284:$AI284)),$C284:$AI284,0))*INDEX(X273:$AJ283,MATCH(MIN($AK273:$AK283),$AK273:$AK283,0),1)/INDEX($C273:$AJ283,MATCH(MIN($AK273:$AK283),$AK273:$AK283,0),MATCH(IF('Data-solution'!$A$3="Maximize",MAX($C284:$AI284),MIN($C284:$AI284)),$C284:$AI284,0))),X281)</f>
        <v>0</v>
      </c>
      <c r="Y296" s="1">
        <f>IF(OR($B288&lt;&gt;$B273,$B289&lt;&gt;$B274,$B290&lt;&gt;$B275,$B291&lt;&gt;$B276,$B292&lt;&gt;$B277,$B293&lt;&gt;$B278,$B294&lt;&gt;$B279,$B295&lt;&gt;$B280,$B296&lt;&gt;$B281,$B297&lt;&gt;$B282,$B298&lt;&gt;$B283),IF($B296&lt;&gt;$B281,Y281/INDEX($C273:$AJ283,9,MATCH(IF('Data-solution'!$A$3="Maximize",MAX($C284:$AI284),MIN($C284:$AI284)),$C284:$AI284,0)),Y281-INDEX($C273:$AJ283,9,MATCH(IF('Data-solution'!$A$3="Maximize",MAX($C284:$AI284),MIN($C284:$AI284)),$C284:$AI284,0))*INDEX(Y273:$AJ283,MATCH(MIN($AK273:$AK283),$AK273:$AK283,0),1)/INDEX($C273:$AJ283,MATCH(MIN($AK273:$AK283),$AK273:$AK283,0),MATCH(IF('Data-solution'!$A$3="Maximize",MAX($C284:$AI284),MIN($C284:$AI284)),$C284:$AI284,0))),Y281)</f>
        <v>0</v>
      </c>
      <c r="Z296" s="1">
        <f>IF(OR($B288&lt;&gt;$B273,$B289&lt;&gt;$B274,$B290&lt;&gt;$B275,$B291&lt;&gt;$B276,$B292&lt;&gt;$B277,$B293&lt;&gt;$B278,$B294&lt;&gt;$B279,$B295&lt;&gt;$B280,$B296&lt;&gt;$B281,$B297&lt;&gt;$B282,$B298&lt;&gt;$B283),IF($B296&lt;&gt;$B281,Z281/INDEX($C273:$AJ283,9,MATCH(IF('Data-solution'!$A$3="Maximize",MAX($C284:$AI284),MIN($C284:$AI284)),$C284:$AI284,0)),Z281-INDEX($C273:$AJ283,9,MATCH(IF('Data-solution'!$A$3="Maximize",MAX($C284:$AI284),MIN($C284:$AI284)),$C284:$AI284,0))*INDEX(Z273:$AJ283,MATCH(MIN($AK273:$AK283),$AK273:$AK283,0),1)/INDEX($C273:$AJ283,MATCH(MIN($AK273:$AK283),$AK273:$AK283,0),MATCH(IF('Data-solution'!$A$3="Maximize",MAX($C284:$AI284),MIN($C284:$AI284)),$C284:$AI284,0))),Z281)</f>
        <v>0</v>
      </c>
      <c r="AA296" s="1">
        <f>IF(OR($B288&lt;&gt;$B273,$B289&lt;&gt;$B274,$B290&lt;&gt;$B275,$B291&lt;&gt;$B276,$B292&lt;&gt;$B277,$B293&lt;&gt;$B278,$B294&lt;&gt;$B279,$B295&lt;&gt;$B280,$B296&lt;&gt;$B281,$B297&lt;&gt;$B282,$B298&lt;&gt;$B283),IF($B296&lt;&gt;$B281,AA281/INDEX($C273:$AJ283,9,MATCH(IF('Data-solution'!$A$3="Maximize",MAX($C284:$AI284),MIN($C284:$AI284)),$C284:$AI284,0)),AA281-INDEX($C273:$AJ283,9,MATCH(IF('Data-solution'!$A$3="Maximize",MAX($C284:$AI284),MIN($C284:$AI284)),$C284:$AI284,0))*INDEX(AA273:$AJ283,MATCH(MIN($AK273:$AK283),$AK273:$AK283,0),1)/INDEX($C273:$AJ283,MATCH(MIN($AK273:$AK283),$AK273:$AK283,0),MATCH(IF('Data-solution'!$A$3="Maximize",MAX($C284:$AI284),MIN($C284:$AI284)),$C284:$AI284,0))),AA281)</f>
        <v>0</v>
      </c>
      <c r="AB296" s="1">
        <f>IF(OR($B288&lt;&gt;$B273,$B289&lt;&gt;$B274,$B290&lt;&gt;$B275,$B291&lt;&gt;$B276,$B292&lt;&gt;$B277,$B293&lt;&gt;$B278,$B294&lt;&gt;$B279,$B295&lt;&gt;$B280,$B296&lt;&gt;$B281,$B297&lt;&gt;$B282,$B298&lt;&gt;$B283),IF($B296&lt;&gt;$B281,AB281/INDEX($C273:$AJ283,9,MATCH(IF('Data-solution'!$A$3="Maximize",MAX($C284:$AI284),MIN($C284:$AI284)),$C284:$AI284,0)),AB281-INDEX($C273:$AJ283,9,MATCH(IF('Data-solution'!$A$3="Maximize",MAX($C284:$AI284),MIN($C284:$AI284)),$C284:$AI284,0))*INDEX(AB273:$AJ283,MATCH(MIN($AK273:$AK283),$AK273:$AK283,0),1)/INDEX($C273:$AJ283,MATCH(MIN($AK273:$AK283),$AK273:$AK283,0),MATCH(IF('Data-solution'!$A$3="Maximize",MAX($C284:$AI284),MIN($C284:$AI284)),$C284:$AI284,0))),AB281)</f>
        <v>0</v>
      </c>
      <c r="AC296" s="1">
        <f>IF(OR($B288&lt;&gt;$B273,$B289&lt;&gt;$B274,$B290&lt;&gt;$B275,$B291&lt;&gt;$B276,$B292&lt;&gt;$B277,$B293&lt;&gt;$B278,$B294&lt;&gt;$B279,$B295&lt;&gt;$B280,$B296&lt;&gt;$B281,$B297&lt;&gt;$B282,$B298&lt;&gt;$B283),IF($B296&lt;&gt;$B281,AC281/INDEX($C273:$AJ283,9,MATCH(IF('Data-solution'!$A$3="Maximize",MAX($C284:$AI284),MIN($C284:$AI284)),$C284:$AI284,0)),AC281-INDEX($C273:$AJ283,9,MATCH(IF('Data-solution'!$A$3="Maximize",MAX($C284:$AI284),MIN($C284:$AI284)),$C284:$AI284,0))*INDEX(AC273:$AJ283,MATCH(MIN($AK273:$AK283),$AK273:$AK283,0),1)/INDEX($C273:$AJ283,MATCH(MIN($AK273:$AK283),$AK273:$AK283,0),MATCH(IF('Data-solution'!$A$3="Maximize",MAX($C284:$AI284),MIN($C284:$AI284)),$C284:$AI284,0))),AC281)</f>
        <v>0</v>
      </c>
      <c r="AD296" s="1">
        <f>IF(OR($B288&lt;&gt;$B273,$B289&lt;&gt;$B274,$B290&lt;&gt;$B275,$B291&lt;&gt;$B276,$B292&lt;&gt;$B277,$B293&lt;&gt;$B278,$B294&lt;&gt;$B279,$B295&lt;&gt;$B280,$B296&lt;&gt;$B281,$B297&lt;&gt;$B282,$B298&lt;&gt;$B283),IF($B296&lt;&gt;$B281,AD281/INDEX($C273:$AJ283,9,MATCH(IF('Data-solution'!$A$3="Maximize",MAX($C284:$AI284),MIN($C284:$AI284)),$C284:$AI284,0)),AD281-INDEX($C273:$AJ283,9,MATCH(IF('Data-solution'!$A$3="Maximize",MAX($C284:$AI284),MIN($C284:$AI284)),$C284:$AI284,0))*INDEX(AD273:$AJ283,MATCH(MIN($AK273:$AK283),$AK273:$AK283,0),1)/INDEX($C273:$AJ283,MATCH(MIN($AK273:$AK283),$AK273:$AK283,0),MATCH(IF('Data-solution'!$A$3="Maximize",MAX($C284:$AI284),MIN($C284:$AI284)),$C284:$AI284,0))),AD281)</f>
        <v>0</v>
      </c>
      <c r="AE296" s="1">
        <f>IF(OR($B288&lt;&gt;$B273,$B289&lt;&gt;$B274,$B290&lt;&gt;$B275,$B291&lt;&gt;$B276,$B292&lt;&gt;$B277,$B293&lt;&gt;$B278,$B294&lt;&gt;$B279,$B295&lt;&gt;$B280,$B296&lt;&gt;$B281,$B297&lt;&gt;$B282,$B298&lt;&gt;$B283),IF($B296&lt;&gt;$B281,AE281/INDEX($C273:$AJ283,9,MATCH(IF('Data-solution'!$A$3="Maximize",MAX($C284:$AI284),MIN($C284:$AI284)),$C284:$AI284,0)),AE281-INDEX($C273:$AJ283,9,MATCH(IF('Data-solution'!$A$3="Maximize",MAX($C284:$AI284),MIN($C284:$AI284)),$C284:$AI284,0))*INDEX(AE273:$AJ283,MATCH(MIN($AK273:$AK283),$AK273:$AK283,0),1)/INDEX($C273:$AJ283,MATCH(MIN($AK273:$AK283),$AK273:$AK283,0),MATCH(IF('Data-solution'!$A$3="Maximize",MAX($C284:$AI284),MIN($C284:$AI284)),$C284:$AI284,0))),AE281)</f>
        <v>0</v>
      </c>
      <c r="AF296" s="1">
        <f>IF(OR($B288&lt;&gt;$B273,$B289&lt;&gt;$B274,$B290&lt;&gt;$B275,$B291&lt;&gt;$B276,$B292&lt;&gt;$B277,$B293&lt;&gt;$B278,$B294&lt;&gt;$B279,$B295&lt;&gt;$B280,$B296&lt;&gt;$B281,$B297&lt;&gt;$B282,$B298&lt;&gt;$B283),IF($B296&lt;&gt;$B281,AF281/INDEX($C273:$AJ283,9,MATCH(IF('Data-solution'!$A$3="Maximize",MAX($C284:$AI284),MIN($C284:$AI284)),$C284:$AI284,0)),AF281-INDEX($C273:$AJ283,9,MATCH(IF('Data-solution'!$A$3="Maximize",MAX($C284:$AI284),MIN($C284:$AI284)),$C284:$AI284,0))*INDEX(AF273:$AJ283,MATCH(MIN($AK273:$AK283),$AK273:$AK283,0),1)/INDEX($C273:$AJ283,MATCH(MIN($AK273:$AK283),$AK273:$AK283,0),MATCH(IF('Data-solution'!$A$3="Maximize",MAX($C284:$AI284),MIN($C284:$AI284)),$C284:$AI284,0))),AF281)</f>
        <v>0</v>
      </c>
      <c r="AG296" s="1">
        <f>IF(OR($B288&lt;&gt;$B273,$B289&lt;&gt;$B274,$B290&lt;&gt;$B275,$B291&lt;&gt;$B276,$B292&lt;&gt;$B277,$B293&lt;&gt;$B278,$B294&lt;&gt;$B279,$B295&lt;&gt;$B280,$B296&lt;&gt;$B281,$B297&lt;&gt;$B282,$B298&lt;&gt;$B283),IF($B296&lt;&gt;$B281,AG281/INDEX($C273:$AJ283,9,MATCH(IF('Data-solution'!$A$3="Maximize",MAX($C284:$AI284),MIN($C284:$AI284)),$C284:$AI284,0)),AG281-INDEX($C273:$AJ283,9,MATCH(IF('Data-solution'!$A$3="Maximize",MAX($C284:$AI284),MIN($C284:$AI284)),$C284:$AI284,0))*INDEX(AG273:$AJ283,MATCH(MIN($AK273:$AK283),$AK273:$AK283,0),1)/INDEX($C273:$AJ283,MATCH(MIN($AK273:$AK283),$AK273:$AK283,0),MATCH(IF('Data-solution'!$A$3="Maximize",MAX($C284:$AI284),MIN($C284:$AI284)),$C284:$AI284,0))),AG281)</f>
        <v>1</v>
      </c>
      <c r="AH296" s="1">
        <f>IF(OR($B288&lt;&gt;$B273,$B289&lt;&gt;$B274,$B290&lt;&gt;$B275,$B291&lt;&gt;$B276,$B292&lt;&gt;$B277,$B293&lt;&gt;$B278,$B294&lt;&gt;$B279,$B295&lt;&gt;$B280,$B296&lt;&gt;$B281,$B297&lt;&gt;$B282,$B298&lt;&gt;$B283),IF($B296&lt;&gt;$B281,AH281/INDEX($C273:$AJ283,9,MATCH(IF('Data-solution'!$A$3="Maximize",MAX($C284:$AI284),MIN($C284:$AI284)),$C284:$AI284,0)),AH281-INDEX($C273:$AJ283,9,MATCH(IF('Data-solution'!$A$3="Maximize",MAX($C284:$AI284),MIN($C284:$AI284)),$C284:$AI284,0))*INDEX(AH273:$AJ283,MATCH(MIN($AK273:$AK283),$AK273:$AK283,0),1)/INDEX($C273:$AJ283,MATCH(MIN($AK273:$AK283),$AK273:$AK283,0),MATCH(IF('Data-solution'!$A$3="Maximize",MAX($C284:$AI284),MIN($C284:$AI284)),$C284:$AI284,0))),AH281)</f>
        <v>0</v>
      </c>
      <c r="AI296" s="1">
        <f>IF(OR($B288&lt;&gt;$B273,$B289&lt;&gt;$B274,$B290&lt;&gt;$B275,$B291&lt;&gt;$B276,$B292&lt;&gt;$B277,$B293&lt;&gt;$B278,$B294&lt;&gt;$B279,$B295&lt;&gt;$B280,$B296&lt;&gt;$B281,$B297&lt;&gt;$B282,$B298&lt;&gt;$B283),IF($B296&lt;&gt;$B281,AI281/INDEX($C273:$AJ283,9,MATCH(IF('Data-solution'!$A$3="Maximize",MAX($C284:$AI284),MIN($C284:$AI284)),$C284:$AI284,0)),AI281-INDEX($C273:$AJ283,9,MATCH(IF('Data-solution'!$A$3="Maximize",MAX($C284:$AI284),MIN($C284:$AI284)),$C284:$AI284,0))*INDEX(AI273:$AJ283,MATCH(MIN($AK273:$AK283),$AK273:$AK283,0),1)/INDEX($C273:$AJ283,MATCH(MIN($AK273:$AK283),$AK273:$AK283,0),MATCH(IF('Data-solution'!$A$3="Maximize",MAX($C284:$AI284),MIN($C284:$AI284)),$C284:$AI284,0))),AI281)</f>
        <v>0</v>
      </c>
      <c r="AJ296" s="1">
        <f>IF(OR($B288&lt;&gt;$B273,$B289&lt;&gt;$B274,$B290&lt;&gt;$B275,$B291&lt;&gt;$B276,$B292&lt;&gt;$B277,$B293&lt;&gt;$B278,$B294&lt;&gt;$B279,$B295&lt;&gt;$B280,$B296&lt;&gt;$B281,$B297&lt;&gt;$B282,$B298&lt;&gt;$B283),IF($B296&lt;&gt;$B281,AJ281/INDEX($C273:$AJ283,9,MATCH(IF('Data-solution'!$A$3="Maximize",MAX($C284:$AI284),MIN($C284:$AI284)),$C284:$AI284,0)),AJ281-INDEX($C273:$AJ283,9,MATCH(IF('Data-solution'!$A$3="Maximize",MAX($C284:$AI284),MIN($C284:$AI284)),$C284:$AI284,0))*INDEX(AJ273:$AJ283,MATCH(MIN($AK273:$AK283),$AK273:$AK283,0),1)/INDEX($C273:$AJ283,MATCH(MIN($AK273:$AK283),$AK273:$AK283,0),MATCH(IF('Data-solution'!$A$3="Maximize",MAX($C284:$AI284),MIN($C284:$AI284)),$C284:$AI284,0))),AJ281)</f>
        <v>0</v>
      </c>
      <c r="AK296" s="1" t="str">
        <f>IF(INDEX(C296:X296,1,MATCH(IF('Data-solution'!A$3="Maximize",MAX(C299:X299),MIN(C299:X299)),C299:X299,0))&gt;0,AJ296/INDEX(C296:X296,1,MATCH(IF('Data-solution'!A$3="Maximize",MAX(C299:X299),MIN(C299:X299)),C299:X299,0))," ")</f>
        <v xml:space="preserve"> </v>
      </c>
    </row>
    <row r="297" spans="1:37" ht="18" customHeight="1" x14ac:dyDescent="0.2">
      <c r="A297" s="1">
        <f t="shared" ref="A297" si="265">INDEX(C286:AI286,1,MATCH(B297,C287:AI287,0))</f>
        <v>0</v>
      </c>
      <c r="B297" s="2" t="str">
        <f>IF(AND('Data-solution'!A$3="Maximize",COUNTIF(C284:X284,"&gt;"&amp;0)&gt;0,AK282=MIN(AK273:AK283),COUNTIF(B288:B296,INDEX(C272:X272,1,MATCH(MAX(C284:X284),C284:X284,0)))=0),INDEX(C272:X272,1,MATCH(MAX(C284:X284),C284:X284,0)),IF(AND('Data-solution'!A$3="Minimize",COUNTIF(C284:X284,"&lt;"&amp;0)&gt;0,AK282=MIN(AK273:AK283),COUNTIF(B288:B296,INDEX(C272:X272,1,MATCH(MIN(C284:X284),C284:X284,0)))=0),INDEX(C272:X272,1,MATCH(MIN(C284:X284),C284:X284,0)),B282))</f>
        <v>S10</v>
      </c>
      <c r="C297" s="1">
        <f>IF(OR($B288&lt;&gt;$B273,$B289&lt;&gt;$B274,$B290&lt;&gt;$B275,$B291&lt;&gt;$B276,$B292&lt;&gt;$B277,$B293&lt;&gt;$B278,$B294&lt;&gt;$B279,$B295&lt;&gt;$B280,$B296&lt;&gt;$B281,$B297&lt;&gt;$B282,$B298&lt;&gt;$B283),IF($B297&lt;&gt;$B282,C282/INDEX($C273:$AJ283,10,MATCH(IF('Data-solution'!$A$3="Maximize",MAX($C284:$AI284),MIN($C284:$AI284)),$C284:$AI284,0)),C282-INDEX($C273:$AJ283,10,MATCH(IF('Data-solution'!$A$3="Maximize",MAX($C284:$AI284),MIN($C284:$AI284)),$C284:$AI284,0))*INDEX(C273:$AJ283,MATCH(MIN($AK273:$AK283),$AK273:$AK283,0),1)/INDEX($C273:$AJ283,MATCH(MIN($AK273:$AK283),$AK273:$AK283,0),MATCH(IF('Data-solution'!$A$3="Maximize",MAX($C284:$AI284),MIN($C284:$AI284)),$C284:$AI284,0))),C282)</f>
        <v>0</v>
      </c>
      <c r="D297" s="1">
        <f>IF(OR($B288&lt;&gt;$B273,$B289&lt;&gt;$B274,$B290&lt;&gt;$B275,$B291&lt;&gt;$B276,$B292&lt;&gt;$B277,$B293&lt;&gt;$B278,$B294&lt;&gt;$B279,$B295&lt;&gt;$B280,$B296&lt;&gt;$B281,$B297&lt;&gt;$B282,$B298&lt;&gt;$B283),IF($B297&lt;&gt;$B282,D282/INDEX($C273:$AJ283,10,MATCH(IF('Data-solution'!$A$3="Maximize",MAX($C284:$AI284),MIN($C284:$AI284)),$C284:$AI284,0)),D282-INDEX($C273:$AJ283,10,MATCH(IF('Data-solution'!$A$3="Maximize",MAX($C284:$AI284),MIN($C284:$AI284)),$C284:$AI284,0))*INDEX(D273:$AJ283,MATCH(MIN($AK273:$AK283),$AK273:$AK283,0),1)/INDEX($C273:$AJ283,MATCH(MIN($AK273:$AK283),$AK273:$AK283,0),MATCH(IF('Data-solution'!$A$3="Maximize",MAX($C284:$AI284),MIN($C284:$AI284)),$C284:$AI284,0))),D282)</f>
        <v>0</v>
      </c>
      <c r="E297" s="1">
        <f>IF(OR($B288&lt;&gt;$B273,$B289&lt;&gt;$B274,$B290&lt;&gt;$B275,$B291&lt;&gt;$B276,$B292&lt;&gt;$B277,$B293&lt;&gt;$B278,$B294&lt;&gt;$B279,$B295&lt;&gt;$B280,$B296&lt;&gt;$B281,$B297&lt;&gt;$B282,$B298&lt;&gt;$B283),IF($B297&lt;&gt;$B282,E282/INDEX($C273:$AJ283,10,MATCH(IF('Data-solution'!$A$3="Maximize",MAX($C284:$AI284),MIN($C284:$AI284)),$C284:$AI284,0)),E282-INDEX($C273:$AJ283,10,MATCH(IF('Data-solution'!$A$3="Maximize",MAX($C284:$AI284),MIN($C284:$AI284)),$C284:$AI284,0))*INDEX(E273:$AJ283,MATCH(MIN($AK273:$AK283),$AK273:$AK283,0),1)/INDEX($C273:$AJ283,MATCH(MIN($AK273:$AK283),$AK273:$AK283,0),MATCH(IF('Data-solution'!$A$3="Maximize",MAX($C284:$AI284),MIN($C284:$AI284)),$C284:$AI284,0))),E282)</f>
        <v>0</v>
      </c>
      <c r="F297" s="1">
        <f>IF(OR($B288&lt;&gt;$B273,$B289&lt;&gt;$B274,$B290&lt;&gt;$B275,$B291&lt;&gt;$B276,$B292&lt;&gt;$B277,$B293&lt;&gt;$B278,$B294&lt;&gt;$B279,$B295&lt;&gt;$B280,$B296&lt;&gt;$B281,$B297&lt;&gt;$B282,$B298&lt;&gt;$B283),IF($B297&lt;&gt;$B282,F282/INDEX($C273:$AJ283,10,MATCH(IF('Data-solution'!$A$3="Maximize",MAX($C284:$AI284),MIN($C284:$AI284)),$C284:$AI284,0)),F282-INDEX($C273:$AJ283,10,MATCH(IF('Data-solution'!$A$3="Maximize",MAX($C284:$AI284),MIN($C284:$AI284)),$C284:$AI284,0))*INDEX(F273:$AJ283,MATCH(MIN($AK273:$AK283),$AK273:$AK283,0),1)/INDEX($C273:$AJ283,MATCH(MIN($AK273:$AK283),$AK273:$AK283,0),MATCH(IF('Data-solution'!$A$3="Maximize",MAX($C284:$AI284),MIN($C284:$AI284)),$C284:$AI284,0))),F282)</f>
        <v>0</v>
      </c>
      <c r="G297" s="1">
        <f>IF(OR($B288&lt;&gt;$B273,$B289&lt;&gt;$B274,$B290&lt;&gt;$B275,$B291&lt;&gt;$B276,$B292&lt;&gt;$B277,$B293&lt;&gt;$B278,$B294&lt;&gt;$B279,$B295&lt;&gt;$B280,$B296&lt;&gt;$B281,$B297&lt;&gt;$B282,$B298&lt;&gt;$B283),IF($B297&lt;&gt;$B282,G282/INDEX($C273:$AJ283,10,MATCH(IF('Data-solution'!$A$3="Maximize",MAX($C284:$AI284),MIN($C284:$AI284)),$C284:$AI284,0)),G282-INDEX($C273:$AJ283,10,MATCH(IF('Data-solution'!$A$3="Maximize",MAX($C284:$AI284),MIN($C284:$AI284)),$C284:$AI284,0))*INDEX(G273:$AJ283,MATCH(MIN($AK273:$AK283),$AK273:$AK283,0),1)/INDEX($C273:$AJ283,MATCH(MIN($AK273:$AK283),$AK273:$AK283,0),MATCH(IF('Data-solution'!$A$3="Maximize",MAX($C284:$AI284),MIN($C284:$AI284)),$C284:$AI284,0))),G282)</f>
        <v>0</v>
      </c>
      <c r="H297" s="1">
        <f>IF(OR($B288&lt;&gt;$B273,$B289&lt;&gt;$B274,$B290&lt;&gt;$B275,$B291&lt;&gt;$B276,$B292&lt;&gt;$B277,$B293&lt;&gt;$B278,$B294&lt;&gt;$B279,$B295&lt;&gt;$B280,$B296&lt;&gt;$B281,$B297&lt;&gt;$B282,$B298&lt;&gt;$B283),IF($B297&lt;&gt;$B282,H282/INDEX($C273:$AJ283,10,MATCH(IF('Data-solution'!$A$3="Maximize",MAX($C284:$AI284),MIN($C284:$AI284)),$C284:$AI284,0)),H282-INDEX($C273:$AJ283,10,MATCH(IF('Data-solution'!$A$3="Maximize",MAX($C284:$AI284),MIN($C284:$AI284)),$C284:$AI284,0))*INDEX(H273:$AJ283,MATCH(MIN($AK273:$AK283),$AK273:$AK283,0),1)/INDEX($C273:$AJ283,MATCH(MIN($AK273:$AK283),$AK273:$AK283,0),MATCH(IF('Data-solution'!$A$3="Maximize",MAX($C284:$AI284),MIN($C284:$AI284)),$C284:$AI284,0))),H282)</f>
        <v>0</v>
      </c>
      <c r="I297" s="1">
        <f>IF(OR($B288&lt;&gt;$B273,$B289&lt;&gt;$B274,$B290&lt;&gt;$B275,$B291&lt;&gt;$B276,$B292&lt;&gt;$B277,$B293&lt;&gt;$B278,$B294&lt;&gt;$B279,$B295&lt;&gt;$B280,$B296&lt;&gt;$B281,$B297&lt;&gt;$B282,$B298&lt;&gt;$B283),IF($B297&lt;&gt;$B282,I282/INDEX($C273:$AJ283,10,MATCH(IF('Data-solution'!$A$3="Maximize",MAX($C284:$AI284),MIN($C284:$AI284)),$C284:$AI284,0)),I282-INDEX($C273:$AJ283,10,MATCH(IF('Data-solution'!$A$3="Maximize",MAX($C284:$AI284),MIN($C284:$AI284)),$C284:$AI284,0))*INDEX(I273:$AJ283,MATCH(MIN($AK273:$AK283),$AK273:$AK283,0),1)/INDEX($C273:$AJ283,MATCH(MIN($AK273:$AK283),$AK273:$AK283,0),MATCH(IF('Data-solution'!$A$3="Maximize",MAX($C284:$AI284),MIN($C284:$AI284)),$C284:$AI284,0))),I282)</f>
        <v>0</v>
      </c>
      <c r="J297" s="1">
        <f>IF(OR($B288&lt;&gt;$B273,$B289&lt;&gt;$B274,$B290&lt;&gt;$B275,$B291&lt;&gt;$B276,$B292&lt;&gt;$B277,$B293&lt;&gt;$B278,$B294&lt;&gt;$B279,$B295&lt;&gt;$B280,$B296&lt;&gt;$B281,$B297&lt;&gt;$B282,$B298&lt;&gt;$B283),IF($B297&lt;&gt;$B282,J282/INDEX($C273:$AJ283,10,MATCH(IF('Data-solution'!$A$3="Maximize",MAX($C284:$AI284),MIN($C284:$AI284)),$C284:$AI284,0)),J282-INDEX($C273:$AJ283,10,MATCH(IF('Data-solution'!$A$3="Maximize",MAX($C284:$AI284),MIN($C284:$AI284)),$C284:$AI284,0))*INDEX(J273:$AJ283,MATCH(MIN($AK273:$AK283),$AK273:$AK283,0),1)/INDEX($C273:$AJ283,MATCH(MIN($AK273:$AK283),$AK273:$AK283,0),MATCH(IF('Data-solution'!$A$3="Maximize",MAX($C284:$AI284),MIN($C284:$AI284)),$C284:$AI284,0))),J282)</f>
        <v>0</v>
      </c>
      <c r="K297" s="1">
        <f>IF(OR($B288&lt;&gt;$B273,$B289&lt;&gt;$B274,$B290&lt;&gt;$B275,$B291&lt;&gt;$B276,$B292&lt;&gt;$B277,$B293&lt;&gt;$B278,$B294&lt;&gt;$B279,$B295&lt;&gt;$B280,$B296&lt;&gt;$B281,$B297&lt;&gt;$B282,$B298&lt;&gt;$B283),IF($B297&lt;&gt;$B282,K282/INDEX($C273:$AJ283,10,MATCH(IF('Data-solution'!$A$3="Maximize",MAX($C284:$AI284),MIN($C284:$AI284)),$C284:$AI284,0)),K282-INDEX($C273:$AJ283,10,MATCH(IF('Data-solution'!$A$3="Maximize",MAX($C284:$AI284),MIN($C284:$AI284)),$C284:$AI284,0))*INDEX(K273:$AJ283,MATCH(MIN($AK273:$AK283),$AK273:$AK283,0),1)/INDEX($C273:$AJ283,MATCH(MIN($AK273:$AK283),$AK273:$AK283,0),MATCH(IF('Data-solution'!$A$3="Maximize",MAX($C284:$AI284),MIN($C284:$AI284)),$C284:$AI284,0))),K282)</f>
        <v>0</v>
      </c>
      <c r="L297" s="1">
        <f>IF(OR($B288&lt;&gt;$B273,$B289&lt;&gt;$B274,$B290&lt;&gt;$B275,$B291&lt;&gt;$B276,$B292&lt;&gt;$B277,$B293&lt;&gt;$B278,$B294&lt;&gt;$B279,$B295&lt;&gt;$B280,$B296&lt;&gt;$B281,$B297&lt;&gt;$B282,$B298&lt;&gt;$B283),IF($B297&lt;&gt;$B282,L282/INDEX($C273:$AJ283,10,MATCH(IF('Data-solution'!$A$3="Maximize",MAX($C284:$AI284),MIN($C284:$AI284)),$C284:$AI284,0)),L282-INDEX($C273:$AJ283,10,MATCH(IF('Data-solution'!$A$3="Maximize",MAX($C284:$AI284),MIN($C284:$AI284)),$C284:$AI284,0))*INDEX(L273:$AJ283,MATCH(MIN($AK273:$AK283),$AK273:$AK283,0),1)/INDEX($C273:$AJ283,MATCH(MIN($AK273:$AK283),$AK273:$AK283,0),MATCH(IF('Data-solution'!$A$3="Maximize",MAX($C284:$AI284),MIN($C284:$AI284)),$C284:$AI284,0))),L282)</f>
        <v>0</v>
      </c>
      <c r="M297" s="1">
        <f>IF(OR($B288&lt;&gt;$B273,$B289&lt;&gt;$B274,$B290&lt;&gt;$B275,$B291&lt;&gt;$B276,$B292&lt;&gt;$B277,$B293&lt;&gt;$B278,$B294&lt;&gt;$B279,$B295&lt;&gt;$B280,$B296&lt;&gt;$B281,$B297&lt;&gt;$B282,$B298&lt;&gt;$B283),IF($B297&lt;&gt;$B282,M282/INDEX($C273:$AJ283,10,MATCH(IF('Data-solution'!$A$3="Maximize",MAX($C284:$AI284),MIN($C284:$AI284)),$C284:$AI284,0)),M282-INDEX($C273:$AJ283,10,MATCH(IF('Data-solution'!$A$3="Maximize",MAX($C284:$AI284),MIN($C284:$AI284)),$C284:$AI284,0))*INDEX(M273:$AJ283,MATCH(MIN($AK273:$AK283),$AK273:$AK283,0),1)/INDEX($C273:$AJ283,MATCH(MIN($AK273:$AK283),$AK273:$AK283,0),MATCH(IF('Data-solution'!$A$3="Maximize",MAX($C284:$AI284),MIN($C284:$AI284)),$C284:$AI284,0))),M282)</f>
        <v>0</v>
      </c>
      <c r="N297" s="1">
        <f>IF(OR($B288&lt;&gt;$B273,$B289&lt;&gt;$B274,$B290&lt;&gt;$B275,$B291&lt;&gt;$B276,$B292&lt;&gt;$B277,$B293&lt;&gt;$B278,$B294&lt;&gt;$B279,$B295&lt;&gt;$B280,$B296&lt;&gt;$B281,$B297&lt;&gt;$B282,$B298&lt;&gt;$B283),IF($B297&lt;&gt;$B282,N282/INDEX($C273:$AJ283,10,MATCH(IF('Data-solution'!$A$3="Maximize",MAX($C284:$AI284),MIN($C284:$AI284)),$C284:$AI284,0)),N282-INDEX($C273:$AJ283,10,MATCH(IF('Data-solution'!$A$3="Maximize",MAX($C284:$AI284),MIN($C284:$AI284)),$C284:$AI284,0))*INDEX(N273:$AJ283,MATCH(MIN($AK273:$AK283),$AK273:$AK283,0),1)/INDEX($C273:$AJ283,MATCH(MIN($AK273:$AK283),$AK273:$AK283,0),MATCH(IF('Data-solution'!$A$3="Maximize",MAX($C284:$AI284),MIN($C284:$AI284)),$C284:$AI284,0))),N282)</f>
        <v>0</v>
      </c>
      <c r="O297" s="1">
        <f>IF(OR($B288&lt;&gt;$B273,$B289&lt;&gt;$B274,$B290&lt;&gt;$B275,$B291&lt;&gt;$B276,$B292&lt;&gt;$B277,$B293&lt;&gt;$B278,$B294&lt;&gt;$B279,$B295&lt;&gt;$B280,$B296&lt;&gt;$B281,$B297&lt;&gt;$B282,$B298&lt;&gt;$B283),IF($B297&lt;&gt;$B282,O282/INDEX($C273:$AJ283,10,MATCH(IF('Data-solution'!$A$3="Maximize",MAX($C284:$AI284),MIN($C284:$AI284)),$C284:$AI284,0)),O282-INDEX($C273:$AJ283,10,MATCH(IF('Data-solution'!$A$3="Maximize",MAX($C284:$AI284),MIN($C284:$AI284)),$C284:$AI284,0))*INDEX(O273:$AJ283,MATCH(MIN($AK273:$AK283),$AK273:$AK283,0),1)/INDEX($C273:$AJ283,MATCH(MIN($AK273:$AK283),$AK273:$AK283,0),MATCH(IF('Data-solution'!$A$3="Maximize",MAX($C284:$AI284),MIN($C284:$AI284)),$C284:$AI284,0))),O282)</f>
        <v>0</v>
      </c>
      <c r="P297" s="1">
        <f>IF(OR($B288&lt;&gt;$B273,$B289&lt;&gt;$B274,$B290&lt;&gt;$B275,$B291&lt;&gt;$B276,$B292&lt;&gt;$B277,$B293&lt;&gt;$B278,$B294&lt;&gt;$B279,$B295&lt;&gt;$B280,$B296&lt;&gt;$B281,$B297&lt;&gt;$B282,$B298&lt;&gt;$B283),IF($B297&lt;&gt;$B282,P282/INDEX($C273:$AJ283,10,MATCH(IF('Data-solution'!$A$3="Maximize",MAX($C284:$AI284),MIN($C284:$AI284)),$C284:$AI284,0)),P282-INDEX($C273:$AJ283,10,MATCH(IF('Data-solution'!$A$3="Maximize",MAX($C284:$AI284),MIN($C284:$AI284)),$C284:$AI284,0))*INDEX(P273:$AJ283,MATCH(MIN($AK273:$AK283),$AK273:$AK283,0),1)/INDEX($C273:$AJ283,MATCH(MIN($AK273:$AK283),$AK273:$AK283,0),MATCH(IF('Data-solution'!$A$3="Maximize",MAX($C284:$AI284),MIN($C284:$AI284)),$C284:$AI284,0))),P282)</f>
        <v>0</v>
      </c>
      <c r="Q297" s="1">
        <f>IF(OR($B288&lt;&gt;$B273,$B289&lt;&gt;$B274,$B290&lt;&gt;$B275,$B291&lt;&gt;$B276,$B292&lt;&gt;$B277,$B293&lt;&gt;$B278,$B294&lt;&gt;$B279,$B295&lt;&gt;$B280,$B296&lt;&gt;$B281,$B297&lt;&gt;$B282,$B298&lt;&gt;$B283),IF($B297&lt;&gt;$B282,Q282/INDEX($C273:$AJ283,10,MATCH(IF('Data-solution'!$A$3="Maximize",MAX($C284:$AI284),MIN($C284:$AI284)),$C284:$AI284,0)),Q282-INDEX($C273:$AJ283,10,MATCH(IF('Data-solution'!$A$3="Maximize",MAX($C284:$AI284),MIN($C284:$AI284)),$C284:$AI284,0))*INDEX(Q273:$AJ283,MATCH(MIN($AK273:$AK283),$AK273:$AK283,0),1)/INDEX($C273:$AJ283,MATCH(MIN($AK273:$AK283),$AK273:$AK283,0),MATCH(IF('Data-solution'!$A$3="Maximize",MAX($C284:$AI284),MIN($C284:$AI284)),$C284:$AI284,0))),Q282)</f>
        <v>0</v>
      </c>
      <c r="R297" s="1">
        <f>IF(OR($B288&lt;&gt;$B273,$B289&lt;&gt;$B274,$B290&lt;&gt;$B275,$B291&lt;&gt;$B276,$B292&lt;&gt;$B277,$B293&lt;&gt;$B278,$B294&lt;&gt;$B279,$B295&lt;&gt;$B280,$B296&lt;&gt;$B281,$B297&lt;&gt;$B282,$B298&lt;&gt;$B283),IF($B297&lt;&gt;$B282,R282/INDEX($C273:$AJ283,10,MATCH(IF('Data-solution'!$A$3="Maximize",MAX($C284:$AI284),MIN($C284:$AI284)),$C284:$AI284,0)),R282-INDEX($C273:$AJ283,10,MATCH(IF('Data-solution'!$A$3="Maximize",MAX($C284:$AI284),MIN($C284:$AI284)),$C284:$AI284,0))*INDEX(R273:$AJ283,MATCH(MIN($AK273:$AK283),$AK273:$AK283,0),1)/INDEX($C273:$AJ283,MATCH(MIN($AK273:$AK283),$AK273:$AK283,0),MATCH(IF('Data-solution'!$A$3="Maximize",MAX($C284:$AI284),MIN($C284:$AI284)),$C284:$AI284,0))),R282)</f>
        <v>0</v>
      </c>
      <c r="S297" s="1">
        <f>IF(OR($B288&lt;&gt;$B273,$B289&lt;&gt;$B274,$B290&lt;&gt;$B275,$B291&lt;&gt;$B276,$B292&lt;&gt;$B277,$B293&lt;&gt;$B278,$B294&lt;&gt;$B279,$B295&lt;&gt;$B280,$B296&lt;&gt;$B281,$B297&lt;&gt;$B282,$B298&lt;&gt;$B283),IF($B297&lt;&gt;$B282,S282/INDEX($C273:$AJ283,10,MATCH(IF('Data-solution'!$A$3="Maximize",MAX($C284:$AI284),MIN($C284:$AI284)),$C284:$AI284,0)),S282-INDEX($C273:$AJ283,10,MATCH(IF('Data-solution'!$A$3="Maximize",MAX($C284:$AI284),MIN($C284:$AI284)),$C284:$AI284,0))*INDEX(S273:$AJ283,MATCH(MIN($AK273:$AK283),$AK273:$AK283,0),1)/INDEX($C273:$AJ283,MATCH(MIN($AK273:$AK283),$AK273:$AK283,0),MATCH(IF('Data-solution'!$A$3="Maximize",MAX($C284:$AI284),MIN($C284:$AI284)),$C284:$AI284,0))),S282)</f>
        <v>0</v>
      </c>
      <c r="T297" s="1">
        <f>IF(OR($B288&lt;&gt;$B273,$B289&lt;&gt;$B274,$B290&lt;&gt;$B275,$B291&lt;&gt;$B276,$B292&lt;&gt;$B277,$B293&lt;&gt;$B278,$B294&lt;&gt;$B279,$B295&lt;&gt;$B280,$B296&lt;&gt;$B281,$B297&lt;&gt;$B282,$B298&lt;&gt;$B283),IF($B297&lt;&gt;$B282,T282/INDEX($C273:$AJ283,10,MATCH(IF('Data-solution'!$A$3="Maximize",MAX($C284:$AI284),MIN($C284:$AI284)),$C284:$AI284,0)),T282-INDEX($C273:$AJ283,10,MATCH(IF('Data-solution'!$A$3="Maximize",MAX($C284:$AI284),MIN($C284:$AI284)),$C284:$AI284,0))*INDEX(T273:$AJ283,MATCH(MIN($AK273:$AK283),$AK273:$AK283,0),1)/INDEX($C273:$AJ283,MATCH(MIN($AK273:$AK283),$AK273:$AK283,0),MATCH(IF('Data-solution'!$A$3="Maximize",MAX($C284:$AI284),MIN($C284:$AI284)),$C284:$AI284,0))),T282)</f>
        <v>0</v>
      </c>
      <c r="U297" s="1">
        <f>IF(OR($B288&lt;&gt;$B273,$B289&lt;&gt;$B274,$B290&lt;&gt;$B275,$B291&lt;&gt;$B276,$B292&lt;&gt;$B277,$B293&lt;&gt;$B278,$B294&lt;&gt;$B279,$B295&lt;&gt;$B280,$B296&lt;&gt;$B281,$B297&lt;&gt;$B282,$B298&lt;&gt;$B283),IF($B297&lt;&gt;$B282,U282/INDEX($C273:$AJ283,10,MATCH(IF('Data-solution'!$A$3="Maximize",MAX($C284:$AI284),MIN($C284:$AI284)),$C284:$AI284,0)),U282-INDEX($C273:$AJ283,10,MATCH(IF('Data-solution'!$A$3="Maximize",MAX($C284:$AI284),MIN($C284:$AI284)),$C284:$AI284,0))*INDEX(U273:$AJ283,MATCH(MIN($AK273:$AK283),$AK273:$AK283,0),1)/INDEX($C273:$AJ283,MATCH(MIN($AK273:$AK283),$AK273:$AK283,0),MATCH(IF('Data-solution'!$A$3="Maximize",MAX($C284:$AI284),MIN($C284:$AI284)),$C284:$AI284,0))),U282)</f>
        <v>0</v>
      </c>
      <c r="V297" s="1">
        <f>IF(OR($B288&lt;&gt;$B273,$B289&lt;&gt;$B274,$B290&lt;&gt;$B275,$B291&lt;&gt;$B276,$B292&lt;&gt;$B277,$B293&lt;&gt;$B278,$B294&lt;&gt;$B279,$B295&lt;&gt;$B280,$B296&lt;&gt;$B281,$B297&lt;&gt;$B282,$B298&lt;&gt;$B283),IF($B297&lt;&gt;$B282,V282/INDEX($C273:$AJ283,10,MATCH(IF('Data-solution'!$A$3="Maximize",MAX($C284:$AI284),MIN($C284:$AI284)),$C284:$AI284,0)),V282-INDEX($C273:$AJ283,10,MATCH(IF('Data-solution'!$A$3="Maximize",MAX($C284:$AI284),MIN($C284:$AI284)),$C284:$AI284,0))*INDEX(V273:$AJ283,MATCH(MIN($AK273:$AK283),$AK273:$AK283,0),1)/INDEX($C273:$AJ283,MATCH(MIN($AK273:$AK283),$AK273:$AK283,0),MATCH(IF('Data-solution'!$A$3="Maximize",MAX($C284:$AI284),MIN($C284:$AI284)),$C284:$AI284,0))),V282)</f>
        <v>0</v>
      </c>
      <c r="W297" s="1">
        <f>IF(OR($B288&lt;&gt;$B273,$B289&lt;&gt;$B274,$B290&lt;&gt;$B275,$B291&lt;&gt;$B276,$B292&lt;&gt;$B277,$B293&lt;&gt;$B278,$B294&lt;&gt;$B279,$B295&lt;&gt;$B280,$B296&lt;&gt;$B281,$B297&lt;&gt;$B282,$B298&lt;&gt;$B283),IF($B297&lt;&gt;$B282,W282/INDEX($C273:$AJ283,10,MATCH(IF('Data-solution'!$A$3="Maximize",MAX($C284:$AI284),MIN($C284:$AI284)),$C284:$AI284,0)),W282-INDEX($C273:$AJ283,10,MATCH(IF('Data-solution'!$A$3="Maximize",MAX($C284:$AI284),MIN($C284:$AI284)),$C284:$AI284,0))*INDEX(W273:$AJ283,MATCH(MIN($AK273:$AK283),$AK273:$AK283,0),1)/INDEX($C273:$AJ283,MATCH(MIN($AK273:$AK283),$AK273:$AK283,0),MATCH(IF('Data-solution'!$A$3="Maximize",MAX($C284:$AI284),MIN($C284:$AI284)),$C284:$AI284,0))),W282)</f>
        <v>1</v>
      </c>
      <c r="X297" s="1">
        <f>IF(OR($B288&lt;&gt;$B273,$B289&lt;&gt;$B274,$B290&lt;&gt;$B275,$B291&lt;&gt;$B276,$B292&lt;&gt;$B277,$B293&lt;&gt;$B278,$B294&lt;&gt;$B279,$B295&lt;&gt;$B280,$B296&lt;&gt;$B281,$B297&lt;&gt;$B282,$B298&lt;&gt;$B283),IF($B297&lt;&gt;$B282,X282/INDEX($C273:$AJ283,10,MATCH(IF('Data-solution'!$A$3="Maximize",MAX($C284:$AI284),MIN($C284:$AI284)),$C284:$AI284,0)),X282-INDEX($C273:$AJ283,10,MATCH(IF('Data-solution'!$A$3="Maximize",MAX($C284:$AI284),MIN($C284:$AI284)),$C284:$AI284,0))*INDEX(X273:$AJ283,MATCH(MIN($AK273:$AK283),$AK273:$AK283,0),1)/INDEX($C273:$AJ283,MATCH(MIN($AK273:$AK283),$AK273:$AK283,0),MATCH(IF('Data-solution'!$A$3="Maximize",MAX($C284:$AI284),MIN($C284:$AI284)),$C284:$AI284,0))),X282)</f>
        <v>0</v>
      </c>
      <c r="Y297" s="1">
        <f>IF(OR($B288&lt;&gt;$B273,$B289&lt;&gt;$B274,$B290&lt;&gt;$B275,$B291&lt;&gt;$B276,$B292&lt;&gt;$B277,$B293&lt;&gt;$B278,$B294&lt;&gt;$B279,$B295&lt;&gt;$B280,$B296&lt;&gt;$B281,$B297&lt;&gt;$B282,$B298&lt;&gt;$B283),IF($B297&lt;&gt;$B282,Y282/INDEX($C273:$AJ283,10,MATCH(IF('Data-solution'!$A$3="Maximize",MAX($C284:$AI284),MIN($C284:$AI284)),$C284:$AI284,0)),Y282-INDEX($C273:$AJ283,10,MATCH(IF('Data-solution'!$A$3="Maximize",MAX($C284:$AI284),MIN($C284:$AI284)),$C284:$AI284,0))*INDEX(Y273:$AJ283,MATCH(MIN($AK273:$AK283),$AK273:$AK283,0),1)/INDEX($C273:$AJ283,MATCH(MIN($AK273:$AK283),$AK273:$AK283,0),MATCH(IF('Data-solution'!$A$3="Maximize",MAX($C284:$AI284),MIN($C284:$AI284)),$C284:$AI284,0))),Y282)</f>
        <v>0</v>
      </c>
      <c r="Z297" s="1">
        <f>IF(OR($B288&lt;&gt;$B273,$B289&lt;&gt;$B274,$B290&lt;&gt;$B275,$B291&lt;&gt;$B276,$B292&lt;&gt;$B277,$B293&lt;&gt;$B278,$B294&lt;&gt;$B279,$B295&lt;&gt;$B280,$B296&lt;&gt;$B281,$B297&lt;&gt;$B282,$B298&lt;&gt;$B283),IF($B297&lt;&gt;$B282,Z282/INDEX($C273:$AJ283,10,MATCH(IF('Data-solution'!$A$3="Maximize",MAX($C284:$AI284),MIN($C284:$AI284)),$C284:$AI284,0)),Z282-INDEX($C273:$AJ283,10,MATCH(IF('Data-solution'!$A$3="Maximize",MAX($C284:$AI284),MIN($C284:$AI284)),$C284:$AI284,0))*INDEX(Z273:$AJ283,MATCH(MIN($AK273:$AK283),$AK273:$AK283,0),1)/INDEX($C273:$AJ283,MATCH(MIN($AK273:$AK283),$AK273:$AK283,0),MATCH(IF('Data-solution'!$A$3="Maximize",MAX($C284:$AI284),MIN($C284:$AI284)),$C284:$AI284,0))),Z282)</f>
        <v>0</v>
      </c>
      <c r="AA297" s="1">
        <f>IF(OR($B288&lt;&gt;$B273,$B289&lt;&gt;$B274,$B290&lt;&gt;$B275,$B291&lt;&gt;$B276,$B292&lt;&gt;$B277,$B293&lt;&gt;$B278,$B294&lt;&gt;$B279,$B295&lt;&gt;$B280,$B296&lt;&gt;$B281,$B297&lt;&gt;$B282,$B298&lt;&gt;$B283),IF($B297&lt;&gt;$B282,AA282/INDEX($C273:$AJ283,10,MATCH(IF('Data-solution'!$A$3="Maximize",MAX($C284:$AI284),MIN($C284:$AI284)),$C284:$AI284,0)),AA282-INDEX($C273:$AJ283,10,MATCH(IF('Data-solution'!$A$3="Maximize",MAX($C284:$AI284),MIN($C284:$AI284)),$C284:$AI284,0))*INDEX(AA273:$AJ283,MATCH(MIN($AK273:$AK283),$AK273:$AK283,0),1)/INDEX($C273:$AJ283,MATCH(MIN($AK273:$AK283),$AK273:$AK283,0),MATCH(IF('Data-solution'!$A$3="Maximize",MAX($C284:$AI284),MIN($C284:$AI284)),$C284:$AI284,0))),AA282)</f>
        <v>0</v>
      </c>
      <c r="AB297" s="1">
        <f>IF(OR($B288&lt;&gt;$B273,$B289&lt;&gt;$B274,$B290&lt;&gt;$B275,$B291&lt;&gt;$B276,$B292&lt;&gt;$B277,$B293&lt;&gt;$B278,$B294&lt;&gt;$B279,$B295&lt;&gt;$B280,$B296&lt;&gt;$B281,$B297&lt;&gt;$B282,$B298&lt;&gt;$B283),IF($B297&lt;&gt;$B282,AB282/INDEX($C273:$AJ283,10,MATCH(IF('Data-solution'!$A$3="Maximize",MAX($C284:$AI284),MIN($C284:$AI284)),$C284:$AI284,0)),AB282-INDEX($C273:$AJ283,10,MATCH(IF('Data-solution'!$A$3="Maximize",MAX($C284:$AI284),MIN($C284:$AI284)),$C284:$AI284,0))*INDEX(AB273:$AJ283,MATCH(MIN($AK273:$AK283),$AK273:$AK283,0),1)/INDEX($C273:$AJ283,MATCH(MIN($AK273:$AK283),$AK273:$AK283,0),MATCH(IF('Data-solution'!$A$3="Maximize",MAX($C284:$AI284),MIN($C284:$AI284)),$C284:$AI284,0))),AB282)</f>
        <v>0</v>
      </c>
      <c r="AC297" s="1">
        <f>IF(OR($B288&lt;&gt;$B273,$B289&lt;&gt;$B274,$B290&lt;&gt;$B275,$B291&lt;&gt;$B276,$B292&lt;&gt;$B277,$B293&lt;&gt;$B278,$B294&lt;&gt;$B279,$B295&lt;&gt;$B280,$B296&lt;&gt;$B281,$B297&lt;&gt;$B282,$B298&lt;&gt;$B283),IF($B297&lt;&gt;$B282,AC282/INDEX($C273:$AJ283,10,MATCH(IF('Data-solution'!$A$3="Maximize",MAX($C284:$AI284),MIN($C284:$AI284)),$C284:$AI284,0)),AC282-INDEX($C273:$AJ283,10,MATCH(IF('Data-solution'!$A$3="Maximize",MAX($C284:$AI284),MIN($C284:$AI284)),$C284:$AI284,0))*INDEX(AC273:$AJ283,MATCH(MIN($AK273:$AK283),$AK273:$AK283,0),1)/INDEX($C273:$AJ283,MATCH(MIN($AK273:$AK283),$AK273:$AK283,0),MATCH(IF('Data-solution'!$A$3="Maximize",MAX($C284:$AI284),MIN($C284:$AI284)),$C284:$AI284,0))),AC282)</f>
        <v>0</v>
      </c>
      <c r="AD297" s="1">
        <f>IF(OR($B288&lt;&gt;$B273,$B289&lt;&gt;$B274,$B290&lt;&gt;$B275,$B291&lt;&gt;$B276,$B292&lt;&gt;$B277,$B293&lt;&gt;$B278,$B294&lt;&gt;$B279,$B295&lt;&gt;$B280,$B296&lt;&gt;$B281,$B297&lt;&gt;$B282,$B298&lt;&gt;$B283),IF($B297&lt;&gt;$B282,AD282/INDEX($C273:$AJ283,10,MATCH(IF('Data-solution'!$A$3="Maximize",MAX($C284:$AI284),MIN($C284:$AI284)),$C284:$AI284,0)),AD282-INDEX($C273:$AJ283,10,MATCH(IF('Data-solution'!$A$3="Maximize",MAX($C284:$AI284),MIN($C284:$AI284)),$C284:$AI284,0))*INDEX(AD273:$AJ283,MATCH(MIN($AK273:$AK283),$AK273:$AK283,0),1)/INDEX($C273:$AJ283,MATCH(MIN($AK273:$AK283),$AK273:$AK283,0),MATCH(IF('Data-solution'!$A$3="Maximize",MAX($C284:$AI284),MIN($C284:$AI284)),$C284:$AI284,0))),AD282)</f>
        <v>0</v>
      </c>
      <c r="AE297" s="1">
        <f>IF(OR($B288&lt;&gt;$B273,$B289&lt;&gt;$B274,$B290&lt;&gt;$B275,$B291&lt;&gt;$B276,$B292&lt;&gt;$B277,$B293&lt;&gt;$B278,$B294&lt;&gt;$B279,$B295&lt;&gt;$B280,$B296&lt;&gt;$B281,$B297&lt;&gt;$B282,$B298&lt;&gt;$B283),IF($B297&lt;&gt;$B282,AE282/INDEX($C273:$AJ283,10,MATCH(IF('Data-solution'!$A$3="Maximize",MAX($C284:$AI284),MIN($C284:$AI284)),$C284:$AI284,0)),AE282-INDEX($C273:$AJ283,10,MATCH(IF('Data-solution'!$A$3="Maximize",MAX($C284:$AI284),MIN($C284:$AI284)),$C284:$AI284,0))*INDEX(AE273:$AJ283,MATCH(MIN($AK273:$AK283),$AK273:$AK283,0),1)/INDEX($C273:$AJ283,MATCH(MIN($AK273:$AK283),$AK273:$AK283,0),MATCH(IF('Data-solution'!$A$3="Maximize",MAX($C284:$AI284),MIN($C284:$AI284)),$C284:$AI284,0))),AE282)</f>
        <v>0</v>
      </c>
      <c r="AF297" s="1">
        <f>IF(OR($B288&lt;&gt;$B273,$B289&lt;&gt;$B274,$B290&lt;&gt;$B275,$B291&lt;&gt;$B276,$B292&lt;&gt;$B277,$B293&lt;&gt;$B278,$B294&lt;&gt;$B279,$B295&lt;&gt;$B280,$B296&lt;&gt;$B281,$B297&lt;&gt;$B282,$B298&lt;&gt;$B283),IF($B297&lt;&gt;$B282,AF282/INDEX($C273:$AJ283,10,MATCH(IF('Data-solution'!$A$3="Maximize",MAX($C284:$AI284),MIN($C284:$AI284)),$C284:$AI284,0)),AF282-INDEX($C273:$AJ283,10,MATCH(IF('Data-solution'!$A$3="Maximize",MAX($C284:$AI284),MIN($C284:$AI284)),$C284:$AI284,0))*INDEX(AF273:$AJ283,MATCH(MIN($AK273:$AK283),$AK273:$AK283,0),1)/INDEX($C273:$AJ283,MATCH(MIN($AK273:$AK283),$AK273:$AK283,0),MATCH(IF('Data-solution'!$A$3="Maximize",MAX($C284:$AI284),MIN($C284:$AI284)),$C284:$AI284,0))),AF282)</f>
        <v>0</v>
      </c>
      <c r="AG297" s="1">
        <f>IF(OR($B288&lt;&gt;$B273,$B289&lt;&gt;$B274,$B290&lt;&gt;$B275,$B291&lt;&gt;$B276,$B292&lt;&gt;$B277,$B293&lt;&gt;$B278,$B294&lt;&gt;$B279,$B295&lt;&gt;$B280,$B296&lt;&gt;$B281,$B297&lt;&gt;$B282,$B298&lt;&gt;$B283),IF($B297&lt;&gt;$B282,AG282/INDEX($C273:$AJ283,10,MATCH(IF('Data-solution'!$A$3="Maximize",MAX($C284:$AI284),MIN($C284:$AI284)),$C284:$AI284,0)),AG282-INDEX($C273:$AJ283,10,MATCH(IF('Data-solution'!$A$3="Maximize",MAX($C284:$AI284),MIN($C284:$AI284)),$C284:$AI284,0))*INDEX(AG273:$AJ283,MATCH(MIN($AK273:$AK283),$AK273:$AK283,0),1)/INDEX($C273:$AJ283,MATCH(MIN($AK273:$AK283),$AK273:$AK283,0),MATCH(IF('Data-solution'!$A$3="Maximize",MAX($C284:$AI284),MIN($C284:$AI284)),$C284:$AI284,0))),AG282)</f>
        <v>0</v>
      </c>
      <c r="AH297" s="1">
        <f>IF(OR($B288&lt;&gt;$B273,$B289&lt;&gt;$B274,$B290&lt;&gt;$B275,$B291&lt;&gt;$B276,$B292&lt;&gt;$B277,$B293&lt;&gt;$B278,$B294&lt;&gt;$B279,$B295&lt;&gt;$B280,$B296&lt;&gt;$B281,$B297&lt;&gt;$B282,$B298&lt;&gt;$B283),IF($B297&lt;&gt;$B282,AH282/INDEX($C273:$AJ283,10,MATCH(IF('Data-solution'!$A$3="Maximize",MAX($C284:$AI284),MIN($C284:$AI284)),$C284:$AI284,0)),AH282-INDEX($C273:$AJ283,10,MATCH(IF('Data-solution'!$A$3="Maximize",MAX($C284:$AI284),MIN($C284:$AI284)),$C284:$AI284,0))*INDEX(AH273:$AJ283,MATCH(MIN($AK273:$AK283),$AK273:$AK283,0),1)/INDEX($C273:$AJ283,MATCH(MIN($AK273:$AK283),$AK273:$AK283,0),MATCH(IF('Data-solution'!$A$3="Maximize",MAX($C284:$AI284),MIN($C284:$AI284)),$C284:$AI284,0))),AH282)</f>
        <v>1</v>
      </c>
      <c r="AI297" s="1">
        <f>IF(OR($B288&lt;&gt;$B273,$B289&lt;&gt;$B274,$B290&lt;&gt;$B275,$B291&lt;&gt;$B276,$B292&lt;&gt;$B277,$B293&lt;&gt;$B278,$B294&lt;&gt;$B279,$B295&lt;&gt;$B280,$B296&lt;&gt;$B281,$B297&lt;&gt;$B282,$B298&lt;&gt;$B283),IF($B297&lt;&gt;$B282,AI282/INDEX($C273:$AJ283,10,MATCH(IF('Data-solution'!$A$3="Maximize",MAX($C284:$AI284),MIN($C284:$AI284)),$C284:$AI284,0)),AI282-INDEX($C273:$AJ283,10,MATCH(IF('Data-solution'!$A$3="Maximize",MAX($C284:$AI284),MIN($C284:$AI284)),$C284:$AI284,0))*INDEX(AI273:$AJ283,MATCH(MIN($AK273:$AK283),$AK273:$AK283,0),1)/INDEX($C273:$AJ283,MATCH(MIN($AK273:$AK283),$AK273:$AK283,0),MATCH(IF('Data-solution'!$A$3="Maximize",MAX($C284:$AI284),MIN($C284:$AI284)),$C284:$AI284,0))),AI282)</f>
        <v>0</v>
      </c>
      <c r="AJ297" s="1">
        <f>IF(OR($B288&lt;&gt;$B273,$B289&lt;&gt;$B274,$B290&lt;&gt;$B275,$B291&lt;&gt;$B276,$B292&lt;&gt;$B277,$B293&lt;&gt;$B278,$B294&lt;&gt;$B279,$B295&lt;&gt;$B280,$B296&lt;&gt;$B281,$B297&lt;&gt;$B282,$B298&lt;&gt;$B283),IF($B297&lt;&gt;$B282,AJ282/INDEX($C273:$AJ283,10,MATCH(IF('Data-solution'!$A$3="Maximize",MAX($C284:$AI284),MIN($C284:$AI284)),$C284:$AI284,0)),AJ282-INDEX($C273:$AJ283,10,MATCH(IF('Data-solution'!$A$3="Maximize",MAX($C284:$AI284),MIN($C284:$AI284)),$C284:$AI284,0))*INDEX(AJ273:$AJ283,MATCH(MIN($AK273:$AK283),$AK273:$AK283,0),1)/INDEX($C273:$AJ283,MATCH(MIN($AK273:$AK283),$AK273:$AK283,0),MATCH(IF('Data-solution'!$A$3="Maximize",MAX($C284:$AI284),MIN($C284:$AI284)),$C284:$AI284,0))),AJ282)</f>
        <v>0</v>
      </c>
      <c r="AK297" s="1" t="str">
        <f>IF(INDEX(C297:X297,1,MATCH(IF('Data-solution'!A$3="Maximize",MAX(C299:X299),MIN(C299:X299)),C299:X299,0))&gt;0,AJ297/INDEX(C297:X297,1,MATCH(IF('Data-solution'!A$3="Maximize",MAX(C299:X299),MIN(C299:X299)),C299:X299,0))," ")</f>
        <v xml:space="preserve"> </v>
      </c>
    </row>
    <row r="298" spans="1:37" ht="18" customHeight="1" x14ac:dyDescent="0.2">
      <c r="A298" s="1">
        <f t="shared" ref="A298" si="266">INDEX(C286:AI286,1,MATCH(B298,C287:AI287,0))</f>
        <v>0</v>
      </c>
      <c r="B298" s="2" t="str">
        <f>IF(AND('Data-solution'!A$3="Maximize",COUNTIF(C284:X284,"&gt;"&amp;0)&gt;0,AK283=MIN(AK273:AK283),COUNTIF(B288:B297,INDEX(C272:X272,1,MATCH(MAX(C284:X284),C284:X284,0)))=0),INDEX(C272:X272,1,MATCH(MAX(C284:X284),C284:X284,0)),IF(AND('Data-solution'!A$3="Minimize",COUNTIF(C284:X284,"&lt;"&amp;0)&gt;0,AK283=MIN(AK273:AK283),COUNTIF(B288:B297,INDEX(C272:X272,1,MATCH(MIN(C284:X284),C284:X284,0)))=0),INDEX(C272:X272,1,MATCH(MIN(C284:X284),C284:X284,0)),B283))</f>
        <v>S11</v>
      </c>
      <c r="C298" s="1">
        <f>IF(OR($B288&lt;&gt;$B273,$B289&lt;&gt;$B274,$B290&lt;&gt;$B275,$B291&lt;&gt;$B276,$B292&lt;&gt;$B277,$B293&lt;&gt;$B278,$B294&lt;&gt;$B279,$B295&lt;&gt;$B280,$B296&lt;&gt;$B281,$B297&lt;&gt;$B282,$B298&lt;&gt;$B283),IF($B298&lt;&gt;$B283,C283/INDEX($C273:$AJ283,11,MATCH(IF('Data-solution'!$A$3="Maximize",MAX($C284:$AI284),MIN($C284:$AI284)),$C284:$AI284,0)),C283-INDEX($C273:$AJ283,11,MATCH(IF('Data-solution'!$A$3="Maximize",MAX($C284:$AI284),MIN($C284:$AI284)),$C284:$AI284,0))*INDEX(C273:$AJ283,MATCH(MIN($AK273:$AK283),$AK273:$AK283,0),1)/INDEX($C273:$AJ283,MATCH(MIN($AK273:$AK283),$AK273:$AK283,0),MATCH(IF('Data-solution'!$A$3="Maximize",MAX($C284:$AI284),MIN($C284:$AI284)),$C284:$AI284,0))),C283)</f>
        <v>0</v>
      </c>
      <c r="D298" s="1">
        <f>IF(OR($B288&lt;&gt;$B273,$B289&lt;&gt;$B274,$B290&lt;&gt;$B275,$B291&lt;&gt;$B276,$B292&lt;&gt;$B277,$B293&lt;&gt;$B278,$B294&lt;&gt;$B279,$B295&lt;&gt;$B280,$B296&lt;&gt;$B281,$B297&lt;&gt;$B282,$B298&lt;&gt;$B283),IF($B298&lt;&gt;$B283,D283/INDEX($C273:$AJ283,11,MATCH(IF('Data-solution'!$A$3="Maximize",MAX($C284:$AI284),MIN($C284:$AI284)),$C284:$AI284,0)),D283-INDEX($C273:$AJ283,11,MATCH(IF('Data-solution'!$A$3="Maximize",MAX($C284:$AI284),MIN($C284:$AI284)),$C284:$AI284,0))*INDEX(D273:$AJ283,MATCH(MIN($AK273:$AK283),$AK273:$AK283,0),1)/INDEX($C273:$AJ283,MATCH(MIN($AK273:$AK283),$AK273:$AK283,0),MATCH(IF('Data-solution'!$A$3="Maximize",MAX($C284:$AI284),MIN($C284:$AI284)),$C284:$AI284,0))),D283)</f>
        <v>0</v>
      </c>
      <c r="E298" s="1">
        <f>IF(OR($B288&lt;&gt;$B273,$B289&lt;&gt;$B274,$B290&lt;&gt;$B275,$B291&lt;&gt;$B276,$B292&lt;&gt;$B277,$B293&lt;&gt;$B278,$B294&lt;&gt;$B279,$B295&lt;&gt;$B280,$B296&lt;&gt;$B281,$B297&lt;&gt;$B282,$B298&lt;&gt;$B283),IF($B298&lt;&gt;$B283,E283/INDEX($C273:$AJ283,11,MATCH(IF('Data-solution'!$A$3="Maximize",MAX($C284:$AI284),MIN($C284:$AI284)),$C284:$AI284,0)),E283-INDEX($C273:$AJ283,11,MATCH(IF('Data-solution'!$A$3="Maximize",MAX($C284:$AI284),MIN($C284:$AI284)),$C284:$AI284,0))*INDEX(E273:$AJ283,MATCH(MIN($AK273:$AK283),$AK273:$AK283,0),1)/INDEX($C273:$AJ283,MATCH(MIN($AK273:$AK283),$AK273:$AK283,0),MATCH(IF('Data-solution'!$A$3="Maximize",MAX($C284:$AI284),MIN($C284:$AI284)),$C284:$AI284,0))),E283)</f>
        <v>0</v>
      </c>
      <c r="F298" s="1">
        <f>IF(OR($B288&lt;&gt;$B273,$B289&lt;&gt;$B274,$B290&lt;&gt;$B275,$B291&lt;&gt;$B276,$B292&lt;&gt;$B277,$B293&lt;&gt;$B278,$B294&lt;&gt;$B279,$B295&lt;&gt;$B280,$B296&lt;&gt;$B281,$B297&lt;&gt;$B282,$B298&lt;&gt;$B283),IF($B298&lt;&gt;$B283,F283/INDEX($C273:$AJ283,11,MATCH(IF('Data-solution'!$A$3="Maximize",MAX($C284:$AI284),MIN($C284:$AI284)),$C284:$AI284,0)),F283-INDEX($C273:$AJ283,11,MATCH(IF('Data-solution'!$A$3="Maximize",MAX($C284:$AI284),MIN($C284:$AI284)),$C284:$AI284,0))*INDEX(F273:$AJ283,MATCH(MIN($AK273:$AK283),$AK273:$AK283,0),1)/INDEX($C273:$AJ283,MATCH(MIN($AK273:$AK283),$AK273:$AK283,0),MATCH(IF('Data-solution'!$A$3="Maximize",MAX($C284:$AI284),MIN($C284:$AI284)),$C284:$AI284,0))),F283)</f>
        <v>0</v>
      </c>
      <c r="G298" s="1">
        <f>IF(OR($B288&lt;&gt;$B273,$B289&lt;&gt;$B274,$B290&lt;&gt;$B275,$B291&lt;&gt;$B276,$B292&lt;&gt;$B277,$B293&lt;&gt;$B278,$B294&lt;&gt;$B279,$B295&lt;&gt;$B280,$B296&lt;&gt;$B281,$B297&lt;&gt;$B282,$B298&lt;&gt;$B283),IF($B298&lt;&gt;$B283,G283/INDEX($C273:$AJ283,11,MATCH(IF('Data-solution'!$A$3="Maximize",MAX($C284:$AI284),MIN($C284:$AI284)),$C284:$AI284,0)),G283-INDEX($C273:$AJ283,11,MATCH(IF('Data-solution'!$A$3="Maximize",MAX($C284:$AI284),MIN($C284:$AI284)),$C284:$AI284,0))*INDEX(G273:$AJ283,MATCH(MIN($AK273:$AK283),$AK273:$AK283,0),1)/INDEX($C273:$AJ283,MATCH(MIN($AK273:$AK283),$AK273:$AK283,0),MATCH(IF('Data-solution'!$A$3="Maximize",MAX($C284:$AI284),MIN($C284:$AI284)),$C284:$AI284,0))),G283)</f>
        <v>0</v>
      </c>
      <c r="H298" s="1">
        <f>IF(OR($B288&lt;&gt;$B273,$B289&lt;&gt;$B274,$B290&lt;&gt;$B275,$B291&lt;&gt;$B276,$B292&lt;&gt;$B277,$B293&lt;&gt;$B278,$B294&lt;&gt;$B279,$B295&lt;&gt;$B280,$B296&lt;&gt;$B281,$B297&lt;&gt;$B282,$B298&lt;&gt;$B283),IF($B298&lt;&gt;$B283,H283/INDEX($C273:$AJ283,11,MATCH(IF('Data-solution'!$A$3="Maximize",MAX($C284:$AI284),MIN($C284:$AI284)),$C284:$AI284,0)),H283-INDEX($C273:$AJ283,11,MATCH(IF('Data-solution'!$A$3="Maximize",MAX($C284:$AI284),MIN($C284:$AI284)),$C284:$AI284,0))*INDEX(H273:$AJ283,MATCH(MIN($AK273:$AK283),$AK273:$AK283,0),1)/INDEX($C273:$AJ283,MATCH(MIN($AK273:$AK283),$AK273:$AK283,0),MATCH(IF('Data-solution'!$A$3="Maximize",MAX($C284:$AI284),MIN($C284:$AI284)),$C284:$AI284,0))),H283)</f>
        <v>0</v>
      </c>
      <c r="I298" s="1">
        <f>IF(OR($B288&lt;&gt;$B273,$B289&lt;&gt;$B274,$B290&lt;&gt;$B275,$B291&lt;&gt;$B276,$B292&lt;&gt;$B277,$B293&lt;&gt;$B278,$B294&lt;&gt;$B279,$B295&lt;&gt;$B280,$B296&lt;&gt;$B281,$B297&lt;&gt;$B282,$B298&lt;&gt;$B283),IF($B298&lt;&gt;$B283,I283/INDEX($C273:$AJ283,11,MATCH(IF('Data-solution'!$A$3="Maximize",MAX($C284:$AI284),MIN($C284:$AI284)),$C284:$AI284,0)),I283-INDEX($C273:$AJ283,11,MATCH(IF('Data-solution'!$A$3="Maximize",MAX($C284:$AI284),MIN($C284:$AI284)),$C284:$AI284,0))*INDEX(I273:$AJ283,MATCH(MIN($AK273:$AK283),$AK273:$AK283,0),1)/INDEX($C273:$AJ283,MATCH(MIN($AK273:$AK283),$AK273:$AK283,0),MATCH(IF('Data-solution'!$A$3="Maximize",MAX($C284:$AI284),MIN($C284:$AI284)),$C284:$AI284,0))),I283)</f>
        <v>0</v>
      </c>
      <c r="J298" s="1">
        <f>IF(OR($B288&lt;&gt;$B273,$B289&lt;&gt;$B274,$B290&lt;&gt;$B275,$B291&lt;&gt;$B276,$B292&lt;&gt;$B277,$B293&lt;&gt;$B278,$B294&lt;&gt;$B279,$B295&lt;&gt;$B280,$B296&lt;&gt;$B281,$B297&lt;&gt;$B282,$B298&lt;&gt;$B283),IF($B298&lt;&gt;$B283,J283/INDEX($C273:$AJ283,11,MATCH(IF('Data-solution'!$A$3="Maximize",MAX($C284:$AI284),MIN($C284:$AI284)),$C284:$AI284,0)),J283-INDEX($C273:$AJ283,11,MATCH(IF('Data-solution'!$A$3="Maximize",MAX($C284:$AI284),MIN($C284:$AI284)),$C284:$AI284,0))*INDEX(J273:$AJ283,MATCH(MIN($AK273:$AK283),$AK273:$AK283,0),1)/INDEX($C273:$AJ283,MATCH(MIN($AK273:$AK283),$AK273:$AK283,0),MATCH(IF('Data-solution'!$A$3="Maximize",MAX($C284:$AI284),MIN($C284:$AI284)),$C284:$AI284,0))),J283)</f>
        <v>0</v>
      </c>
      <c r="K298" s="1">
        <f>IF(OR($B288&lt;&gt;$B273,$B289&lt;&gt;$B274,$B290&lt;&gt;$B275,$B291&lt;&gt;$B276,$B292&lt;&gt;$B277,$B293&lt;&gt;$B278,$B294&lt;&gt;$B279,$B295&lt;&gt;$B280,$B296&lt;&gt;$B281,$B297&lt;&gt;$B282,$B298&lt;&gt;$B283),IF($B298&lt;&gt;$B283,K283/INDEX($C273:$AJ283,11,MATCH(IF('Data-solution'!$A$3="Maximize",MAX($C284:$AI284),MIN($C284:$AI284)),$C284:$AI284,0)),K283-INDEX($C273:$AJ283,11,MATCH(IF('Data-solution'!$A$3="Maximize",MAX($C284:$AI284),MIN($C284:$AI284)),$C284:$AI284,0))*INDEX(K273:$AJ283,MATCH(MIN($AK273:$AK283),$AK273:$AK283,0),1)/INDEX($C273:$AJ283,MATCH(MIN($AK273:$AK283),$AK273:$AK283,0),MATCH(IF('Data-solution'!$A$3="Maximize",MAX($C284:$AI284),MIN($C284:$AI284)),$C284:$AI284,0))),K283)</f>
        <v>0</v>
      </c>
      <c r="L298" s="1">
        <f>IF(OR($B288&lt;&gt;$B273,$B289&lt;&gt;$B274,$B290&lt;&gt;$B275,$B291&lt;&gt;$B276,$B292&lt;&gt;$B277,$B293&lt;&gt;$B278,$B294&lt;&gt;$B279,$B295&lt;&gt;$B280,$B296&lt;&gt;$B281,$B297&lt;&gt;$B282,$B298&lt;&gt;$B283),IF($B298&lt;&gt;$B283,L283/INDEX($C273:$AJ283,11,MATCH(IF('Data-solution'!$A$3="Maximize",MAX($C284:$AI284),MIN($C284:$AI284)),$C284:$AI284,0)),L283-INDEX($C273:$AJ283,11,MATCH(IF('Data-solution'!$A$3="Maximize",MAX($C284:$AI284),MIN($C284:$AI284)),$C284:$AI284,0))*INDEX(L273:$AJ283,MATCH(MIN($AK273:$AK283),$AK273:$AK283,0),1)/INDEX($C273:$AJ283,MATCH(MIN($AK273:$AK283),$AK273:$AK283,0),MATCH(IF('Data-solution'!$A$3="Maximize",MAX($C284:$AI284),MIN($C284:$AI284)),$C284:$AI284,0))),L283)</f>
        <v>0</v>
      </c>
      <c r="M298" s="1">
        <f>IF(OR($B288&lt;&gt;$B273,$B289&lt;&gt;$B274,$B290&lt;&gt;$B275,$B291&lt;&gt;$B276,$B292&lt;&gt;$B277,$B293&lt;&gt;$B278,$B294&lt;&gt;$B279,$B295&lt;&gt;$B280,$B296&lt;&gt;$B281,$B297&lt;&gt;$B282,$B298&lt;&gt;$B283),IF($B298&lt;&gt;$B283,M283/INDEX($C273:$AJ283,11,MATCH(IF('Data-solution'!$A$3="Maximize",MAX($C284:$AI284),MIN($C284:$AI284)),$C284:$AI284,0)),M283-INDEX($C273:$AJ283,11,MATCH(IF('Data-solution'!$A$3="Maximize",MAX($C284:$AI284),MIN($C284:$AI284)),$C284:$AI284,0))*INDEX(M273:$AJ283,MATCH(MIN($AK273:$AK283),$AK273:$AK283,0),1)/INDEX($C273:$AJ283,MATCH(MIN($AK273:$AK283),$AK273:$AK283,0),MATCH(IF('Data-solution'!$A$3="Maximize",MAX($C284:$AI284),MIN($C284:$AI284)),$C284:$AI284,0))),M283)</f>
        <v>0</v>
      </c>
      <c r="N298" s="1">
        <f>IF(OR($B288&lt;&gt;$B273,$B289&lt;&gt;$B274,$B290&lt;&gt;$B275,$B291&lt;&gt;$B276,$B292&lt;&gt;$B277,$B293&lt;&gt;$B278,$B294&lt;&gt;$B279,$B295&lt;&gt;$B280,$B296&lt;&gt;$B281,$B297&lt;&gt;$B282,$B298&lt;&gt;$B283),IF($B298&lt;&gt;$B283,N283/INDEX($C273:$AJ283,11,MATCH(IF('Data-solution'!$A$3="Maximize",MAX($C284:$AI284),MIN($C284:$AI284)),$C284:$AI284,0)),N283-INDEX($C273:$AJ283,11,MATCH(IF('Data-solution'!$A$3="Maximize",MAX($C284:$AI284),MIN($C284:$AI284)),$C284:$AI284,0))*INDEX(N273:$AJ283,MATCH(MIN($AK273:$AK283),$AK273:$AK283,0),1)/INDEX($C273:$AJ283,MATCH(MIN($AK273:$AK283),$AK273:$AK283,0),MATCH(IF('Data-solution'!$A$3="Maximize",MAX($C284:$AI284),MIN($C284:$AI284)),$C284:$AI284,0))),N283)</f>
        <v>0</v>
      </c>
      <c r="O298" s="1">
        <f>IF(OR($B288&lt;&gt;$B273,$B289&lt;&gt;$B274,$B290&lt;&gt;$B275,$B291&lt;&gt;$B276,$B292&lt;&gt;$B277,$B293&lt;&gt;$B278,$B294&lt;&gt;$B279,$B295&lt;&gt;$B280,$B296&lt;&gt;$B281,$B297&lt;&gt;$B282,$B298&lt;&gt;$B283),IF($B298&lt;&gt;$B283,O283/INDEX($C273:$AJ283,11,MATCH(IF('Data-solution'!$A$3="Maximize",MAX($C284:$AI284),MIN($C284:$AI284)),$C284:$AI284,0)),O283-INDEX($C273:$AJ283,11,MATCH(IF('Data-solution'!$A$3="Maximize",MAX($C284:$AI284),MIN($C284:$AI284)),$C284:$AI284,0))*INDEX(O273:$AJ283,MATCH(MIN($AK273:$AK283),$AK273:$AK283,0),1)/INDEX($C273:$AJ283,MATCH(MIN($AK273:$AK283),$AK273:$AK283,0),MATCH(IF('Data-solution'!$A$3="Maximize",MAX($C284:$AI284),MIN($C284:$AI284)),$C284:$AI284,0))),O283)</f>
        <v>0</v>
      </c>
      <c r="P298" s="1">
        <f>IF(OR($B288&lt;&gt;$B273,$B289&lt;&gt;$B274,$B290&lt;&gt;$B275,$B291&lt;&gt;$B276,$B292&lt;&gt;$B277,$B293&lt;&gt;$B278,$B294&lt;&gt;$B279,$B295&lt;&gt;$B280,$B296&lt;&gt;$B281,$B297&lt;&gt;$B282,$B298&lt;&gt;$B283),IF($B298&lt;&gt;$B283,P283/INDEX($C273:$AJ283,11,MATCH(IF('Data-solution'!$A$3="Maximize",MAX($C284:$AI284),MIN($C284:$AI284)),$C284:$AI284,0)),P283-INDEX($C273:$AJ283,11,MATCH(IF('Data-solution'!$A$3="Maximize",MAX($C284:$AI284),MIN($C284:$AI284)),$C284:$AI284,0))*INDEX(P273:$AJ283,MATCH(MIN($AK273:$AK283),$AK273:$AK283,0),1)/INDEX($C273:$AJ283,MATCH(MIN($AK273:$AK283),$AK273:$AK283,0),MATCH(IF('Data-solution'!$A$3="Maximize",MAX($C284:$AI284),MIN($C284:$AI284)),$C284:$AI284,0))),P283)</f>
        <v>0</v>
      </c>
      <c r="Q298" s="1">
        <f>IF(OR($B288&lt;&gt;$B273,$B289&lt;&gt;$B274,$B290&lt;&gt;$B275,$B291&lt;&gt;$B276,$B292&lt;&gt;$B277,$B293&lt;&gt;$B278,$B294&lt;&gt;$B279,$B295&lt;&gt;$B280,$B296&lt;&gt;$B281,$B297&lt;&gt;$B282,$B298&lt;&gt;$B283),IF($B298&lt;&gt;$B283,Q283/INDEX($C273:$AJ283,11,MATCH(IF('Data-solution'!$A$3="Maximize",MAX($C284:$AI284),MIN($C284:$AI284)),$C284:$AI284,0)),Q283-INDEX($C273:$AJ283,11,MATCH(IF('Data-solution'!$A$3="Maximize",MAX($C284:$AI284),MIN($C284:$AI284)),$C284:$AI284,0))*INDEX(Q273:$AJ283,MATCH(MIN($AK273:$AK283),$AK273:$AK283,0),1)/INDEX($C273:$AJ283,MATCH(MIN($AK273:$AK283),$AK273:$AK283,0),MATCH(IF('Data-solution'!$A$3="Maximize",MAX($C284:$AI284),MIN($C284:$AI284)),$C284:$AI284,0))),Q283)</f>
        <v>0</v>
      </c>
      <c r="R298" s="1">
        <f>IF(OR($B288&lt;&gt;$B273,$B289&lt;&gt;$B274,$B290&lt;&gt;$B275,$B291&lt;&gt;$B276,$B292&lt;&gt;$B277,$B293&lt;&gt;$B278,$B294&lt;&gt;$B279,$B295&lt;&gt;$B280,$B296&lt;&gt;$B281,$B297&lt;&gt;$B282,$B298&lt;&gt;$B283),IF($B298&lt;&gt;$B283,R283/INDEX($C273:$AJ283,11,MATCH(IF('Data-solution'!$A$3="Maximize",MAX($C284:$AI284),MIN($C284:$AI284)),$C284:$AI284,0)),R283-INDEX($C273:$AJ283,11,MATCH(IF('Data-solution'!$A$3="Maximize",MAX($C284:$AI284),MIN($C284:$AI284)),$C284:$AI284,0))*INDEX(R273:$AJ283,MATCH(MIN($AK273:$AK283),$AK273:$AK283,0),1)/INDEX($C273:$AJ283,MATCH(MIN($AK273:$AK283),$AK273:$AK283,0),MATCH(IF('Data-solution'!$A$3="Maximize",MAX($C284:$AI284),MIN($C284:$AI284)),$C284:$AI284,0))),R283)</f>
        <v>0</v>
      </c>
      <c r="S298" s="1">
        <f>IF(OR($B288&lt;&gt;$B273,$B289&lt;&gt;$B274,$B290&lt;&gt;$B275,$B291&lt;&gt;$B276,$B292&lt;&gt;$B277,$B293&lt;&gt;$B278,$B294&lt;&gt;$B279,$B295&lt;&gt;$B280,$B296&lt;&gt;$B281,$B297&lt;&gt;$B282,$B298&lt;&gt;$B283),IF($B298&lt;&gt;$B283,S283/INDEX($C273:$AJ283,11,MATCH(IF('Data-solution'!$A$3="Maximize",MAX($C284:$AI284),MIN($C284:$AI284)),$C284:$AI284,0)),S283-INDEX($C273:$AJ283,11,MATCH(IF('Data-solution'!$A$3="Maximize",MAX($C284:$AI284),MIN($C284:$AI284)),$C284:$AI284,0))*INDEX(S273:$AJ283,MATCH(MIN($AK273:$AK283),$AK273:$AK283,0),1)/INDEX($C273:$AJ283,MATCH(MIN($AK273:$AK283),$AK273:$AK283,0),MATCH(IF('Data-solution'!$A$3="Maximize",MAX($C284:$AI284),MIN($C284:$AI284)),$C284:$AI284,0))),S283)</f>
        <v>0</v>
      </c>
      <c r="T298" s="1">
        <f>IF(OR($B288&lt;&gt;$B273,$B289&lt;&gt;$B274,$B290&lt;&gt;$B275,$B291&lt;&gt;$B276,$B292&lt;&gt;$B277,$B293&lt;&gt;$B278,$B294&lt;&gt;$B279,$B295&lt;&gt;$B280,$B296&lt;&gt;$B281,$B297&lt;&gt;$B282,$B298&lt;&gt;$B283),IF($B298&lt;&gt;$B283,T283/INDEX($C273:$AJ283,11,MATCH(IF('Data-solution'!$A$3="Maximize",MAX($C284:$AI284),MIN($C284:$AI284)),$C284:$AI284,0)),T283-INDEX($C273:$AJ283,11,MATCH(IF('Data-solution'!$A$3="Maximize",MAX($C284:$AI284),MIN($C284:$AI284)),$C284:$AI284,0))*INDEX(T273:$AJ283,MATCH(MIN($AK273:$AK283),$AK273:$AK283,0),1)/INDEX($C273:$AJ283,MATCH(MIN($AK273:$AK283),$AK273:$AK283,0),MATCH(IF('Data-solution'!$A$3="Maximize",MAX($C284:$AI284),MIN($C284:$AI284)),$C284:$AI284,0))),T283)</f>
        <v>0</v>
      </c>
      <c r="U298" s="1">
        <f>IF(OR($B288&lt;&gt;$B273,$B289&lt;&gt;$B274,$B290&lt;&gt;$B275,$B291&lt;&gt;$B276,$B292&lt;&gt;$B277,$B293&lt;&gt;$B278,$B294&lt;&gt;$B279,$B295&lt;&gt;$B280,$B296&lt;&gt;$B281,$B297&lt;&gt;$B282,$B298&lt;&gt;$B283),IF($B298&lt;&gt;$B283,U283/INDEX($C273:$AJ283,11,MATCH(IF('Data-solution'!$A$3="Maximize",MAX($C284:$AI284),MIN($C284:$AI284)),$C284:$AI284,0)),U283-INDEX($C273:$AJ283,11,MATCH(IF('Data-solution'!$A$3="Maximize",MAX($C284:$AI284),MIN($C284:$AI284)),$C284:$AI284,0))*INDEX(U273:$AJ283,MATCH(MIN($AK273:$AK283),$AK273:$AK283,0),1)/INDEX($C273:$AJ283,MATCH(MIN($AK273:$AK283),$AK273:$AK283,0),MATCH(IF('Data-solution'!$A$3="Maximize",MAX($C284:$AI284),MIN($C284:$AI284)),$C284:$AI284,0))),U283)</f>
        <v>0</v>
      </c>
      <c r="V298" s="1">
        <f>IF(OR($B288&lt;&gt;$B273,$B289&lt;&gt;$B274,$B290&lt;&gt;$B275,$B291&lt;&gt;$B276,$B292&lt;&gt;$B277,$B293&lt;&gt;$B278,$B294&lt;&gt;$B279,$B295&lt;&gt;$B280,$B296&lt;&gt;$B281,$B297&lt;&gt;$B282,$B298&lt;&gt;$B283),IF($B298&lt;&gt;$B283,V283/INDEX($C273:$AJ283,11,MATCH(IF('Data-solution'!$A$3="Maximize",MAX($C284:$AI284),MIN($C284:$AI284)),$C284:$AI284,0)),V283-INDEX($C273:$AJ283,11,MATCH(IF('Data-solution'!$A$3="Maximize",MAX($C284:$AI284),MIN($C284:$AI284)),$C284:$AI284,0))*INDEX(V273:$AJ283,MATCH(MIN($AK273:$AK283),$AK273:$AK283,0),1)/INDEX($C273:$AJ283,MATCH(MIN($AK273:$AK283),$AK273:$AK283,0),MATCH(IF('Data-solution'!$A$3="Maximize",MAX($C284:$AI284),MIN($C284:$AI284)),$C284:$AI284,0))),V283)</f>
        <v>0</v>
      </c>
      <c r="W298" s="1">
        <f>IF(OR($B288&lt;&gt;$B273,$B289&lt;&gt;$B274,$B290&lt;&gt;$B275,$B291&lt;&gt;$B276,$B292&lt;&gt;$B277,$B293&lt;&gt;$B278,$B294&lt;&gt;$B279,$B295&lt;&gt;$B280,$B296&lt;&gt;$B281,$B297&lt;&gt;$B282,$B298&lt;&gt;$B283),IF($B298&lt;&gt;$B283,W283/INDEX($C273:$AJ283,11,MATCH(IF('Data-solution'!$A$3="Maximize",MAX($C284:$AI284),MIN($C284:$AI284)),$C284:$AI284,0)),W283-INDEX($C273:$AJ283,11,MATCH(IF('Data-solution'!$A$3="Maximize",MAX($C284:$AI284),MIN($C284:$AI284)),$C284:$AI284,0))*INDEX(W273:$AJ283,MATCH(MIN($AK273:$AK283),$AK273:$AK283,0),1)/INDEX($C273:$AJ283,MATCH(MIN($AK273:$AK283),$AK273:$AK283,0),MATCH(IF('Data-solution'!$A$3="Maximize",MAX($C284:$AI284),MIN($C284:$AI284)),$C284:$AI284,0))),W283)</f>
        <v>0</v>
      </c>
      <c r="X298" s="1">
        <f>IF(OR($B288&lt;&gt;$B273,$B289&lt;&gt;$B274,$B290&lt;&gt;$B275,$B291&lt;&gt;$B276,$B292&lt;&gt;$B277,$B293&lt;&gt;$B278,$B294&lt;&gt;$B279,$B295&lt;&gt;$B280,$B296&lt;&gt;$B281,$B297&lt;&gt;$B282,$B298&lt;&gt;$B283),IF($B298&lt;&gt;$B283,X283/INDEX($C273:$AJ283,11,MATCH(IF('Data-solution'!$A$3="Maximize",MAX($C284:$AI284),MIN($C284:$AI284)),$C284:$AI284,0)),X283-INDEX($C273:$AJ283,11,MATCH(IF('Data-solution'!$A$3="Maximize",MAX($C284:$AI284),MIN($C284:$AI284)),$C284:$AI284,0))*INDEX(X273:$AJ283,MATCH(MIN($AK273:$AK283),$AK273:$AK283,0),1)/INDEX($C273:$AJ283,MATCH(MIN($AK273:$AK283),$AK273:$AK283,0),MATCH(IF('Data-solution'!$A$3="Maximize",MAX($C284:$AI284),MIN($C284:$AI284)),$C284:$AI284,0))),X283)</f>
        <v>1</v>
      </c>
      <c r="Y298" s="1">
        <f>IF(OR($B288&lt;&gt;$B273,$B289&lt;&gt;$B274,$B290&lt;&gt;$B275,$B291&lt;&gt;$B276,$B292&lt;&gt;$B277,$B293&lt;&gt;$B278,$B294&lt;&gt;$B279,$B295&lt;&gt;$B280,$B296&lt;&gt;$B281,$B297&lt;&gt;$B282,$B298&lt;&gt;$B283),IF($B298&lt;&gt;$B283,Y283/INDEX($C273:$AJ283,11,MATCH(IF('Data-solution'!$A$3="Maximize",MAX($C284:$AI284),MIN($C284:$AI284)),$C284:$AI284,0)),Y283-INDEX($C273:$AJ283,11,MATCH(IF('Data-solution'!$A$3="Maximize",MAX($C284:$AI284),MIN($C284:$AI284)),$C284:$AI284,0))*INDEX(Y273:$AJ283,MATCH(MIN($AK273:$AK283),$AK273:$AK283,0),1)/INDEX($C273:$AJ283,MATCH(MIN($AK273:$AK283),$AK273:$AK283,0),MATCH(IF('Data-solution'!$A$3="Maximize",MAX($C284:$AI284),MIN($C284:$AI284)),$C284:$AI284,0))),Y283)</f>
        <v>0</v>
      </c>
      <c r="Z298" s="1">
        <f>IF(OR($B288&lt;&gt;$B273,$B289&lt;&gt;$B274,$B290&lt;&gt;$B275,$B291&lt;&gt;$B276,$B292&lt;&gt;$B277,$B293&lt;&gt;$B278,$B294&lt;&gt;$B279,$B295&lt;&gt;$B280,$B296&lt;&gt;$B281,$B297&lt;&gt;$B282,$B298&lt;&gt;$B283),IF($B298&lt;&gt;$B283,Z283/INDEX($C273:$AJ283,11,MATCH(IF('Data-solution'!$A$3="Maximize",MAX($C284:$AI284),MIN($C284:$AI284)),$C284:$AI284,0)),Z283-INDEX($C273:$AJ283,11,MATCH(IF('Data-solution'!$A$3="Maximize",MAX($C284:$AI284),MIN($C284:$AI284)),$C284:$AI284,0))*INDEX(Z273:$AJ283,MATCH(MIN($AK273:$AK283),$AK273:$AK283,0),1)/INDEX($C273:$AJ283,MATCH(MIN($AK273:$AK283),$AK273:$AK283,0),MATCH(IF('Data-solution'!$A$3="Maximize",MAX($C284:$AI284),MIN($C284:$AI284)),$C284:$AI284,0))),Z283)</f>
        <v>0</v>
      </c>
      <c r="AA298" s="1">
        <f>IF(OR($B288&lt;&gt;$B273,$B289&lt;&gt;$B274,$B290&lt;&gt;$B275,$B291&lt;&gt;$B276,$B292&lt;&gt;$B277,$B293&lt;&gt;$B278,$B294&lt;&gt;$B279,$B295&lt;&gt;$B280,$B296&lt;&gt;$B281,$B297&lt;&gt;$B282,$B298&lt;&gt;$B283),IF($B298&lt;&gt;$B283,AA283/INDEX($C273:$AJ283,11,MATCH(IF('Data-solution'!$A$3="Maximize",MAX($C284:$AI284),MIN($C284:$AI284)),$C284:$AI284,0)),AA283-INDEX($C273:$AJ283,11,MATCH(IF('Data-solution'!$A$3="Maximize",MAX($C284:$AI284),MIN($C284:$AI284)),$C284:$AI284,0))*INDEX(AA273:$AJ283,MATCH(MIN($AK273:$AK283),$AK273:$AK283,0),1)/INDEX($C273:$AJ283,MATCH(MIN($AK273:$AK283),$AK273:$AK283,0),MATCH(IF('Data-solution'!$A$3="Maximize",MAX($C284:$AI284),MIN($C284:$AI284)),$C284:$AI284,0))),AA283)</f>
        <v>0</v>
      </c>
      <c r="AB298" s="1">
        <f>IF(OR($B288&lt;&gt;$B273,$B289&lt;&gt;$B274,$B290&lt;&gt;$B275,$B291&lt;&gt;$B276,$B292&lt;&gt;$B277,$B293&lt;&gt;$B278,$B294&lt;&gt;$B279,$B295&lt;&gt;$B280,$B296&lt;&gt;$B281,$B297&lt;&gt;$B282,$B298&lt;&gt;$B283),IF($B298&lt;&gt;$B283,AB283/INDEX($C273:$AJ283,11,MATCH(IF('Data-solution'!$A$3="Maximize",MAX($C284:$AI284),MIN($C284:$AI284)),$C284:$AI284,0)),AB283-INDEX($C273:$AJ283,11,MATCH(IF('Data-solution'!$A$3="Maximize",MAX($C284:$AI284),MIN($C284:$AI284)),$C284:$AI284,0))*INDEX(AB273:$AJ283,MATCH(MIN($AK273:$AK283),$AK273:$AK283,0),1)/INDEX($C273:$AJ283,MATCH(MIN($AK273:$AK283),$AK273:$AK283,0),MATCH(IF('Data-solution'!$A$3="Maximize",MAX($C284:$AI284),MIN($C284:$AI284)),$C284:$AI284,0))),AB283)</f>
        <v>0</v>
      </c>
      <c r="AC298" s="1">
        <f>IF(OR($B288&lt;&gt;$B273,$B289&lt;&gt;$B274,$B290&lt;&gt;$B275,$B291&lt;&gt;$B276,$B292&lt;&gt;$B277,$B293&lt;&gt;$B278,$B294&lt;&gt;$B279,$B295&lt;&gt;$B280,$B296&lt;&gt;$B281,$B297&lt;&gt;$B282,$B298&lt;&gt;$B283),IF($B298&lt;&gt;$B283,AC283/INDEX($C273:$AJ283,11,MATCH(IF('Data-solution'!$A$3="Maximize",MAX($C284:$AI284),MIN($C284:$AI284)),$C284:$AI284,0)),AC283-INDEX($C273:$AJ283,11,MATCH(IF('Data-solution'!$A$3="Maximize",MAX($C284:$AI284),MIN($C284:$AI284)),$C284:$AI284,0))*INDEX(AC273:$AJ283,MATCH(MIN($AK273:$AK283),$AK273:$AK283,0),1)/INDEX($C273:$AJ283,MATCH(MIN($AK273:$AK283),$AK273:$AK283,0),MATCH(IF('Data-solution'!$A$3="Maximize",MAX($C284:$AI284),MIN($C284:$AI284)),$C284:$AI284,0))),AC283)</f>
        <v>0</v>
      </c>
      <c r="AD298" s="1">
        <f>IF(OR($B288&lt;&gt;$B273,$B289&lt;&gt;$B274,$B290&lt;&gt;$B275,$B291&lt;&gt;$B276,$B292&lt;&gt;$B277,$B293&lt;&gt;$B278,$B294&lt;&gt;$B279,$B295&lt;&gt;$B280,$B296&lt;&gt;$B281,$B297&lt;&gt;$B282,$B298&lt;&gt;$B283),IF($B298&lt;&gt;$B283,AD283/INDEX($C273:$AJ283,11,MATCH(IF('Data-solution'!$A$3="Maximize",MAX($C284:$AI284),MIN($C284:$AI284)),$C284:$AI284,0)),AD283-INDEX($C273:$AJ283,11,MATCH(IF('Data-solution'!$A$3="Maximize",MAX($C284:$AI284),MIN($C284:$AI284)),$C284:$AI284,0))*INDEX(AD273:$AJ283,MATCH(MIN($AK273:$AK283),$AK273:$AK283,0),1)/INDEX($C273:$AJ283,MATCH(MIN($AK273:$AK283),$AK273:$AK283,0),MATCH(IF('Data-solution'!$A$3="Maximize",MAX($C284:$AI284),MIN($C284:$AI284)),$C284:$AI284,0))),AD283)</f>
        <v>0</v>
      </c>
      <c r="AE298" s="1">
        <f>IF(OR($B288&lt;&gt;$B273,$B289&lt;&gt;$B274,$B290&lt;&gt;$B275,$B291&lt;&gt;$B276,$B292&lt;&gt;$B277,$B293&lt;&gt;$B278,$B294&lt;&gt;$B279,$B295&lt;&gt;$B280,$B296&lt;&gt;$B281,$B297&lt;&gt;$B282,$B298&lt;&gt;$B283),IF($B298&lt;&gt;$B283,AE283/INDEX($C273:$AJ283,11,MATCH(IF('Data-solution'!$A$3="Maximize",MAX($C284:$AI284),MIN($C284:$AI284)),$C284:$AI284,0)),AE283-INDEX($C273:$AJ283,11,MATCH(IF('Data-solution'!$A$3="Maximize",MAX($C284:$AI284),MIN($C284:$AI284)),$C284:$AI284,0))*INDEX(AE273:$AJ283,MATCH(MIN($AK273:$AK283),$AK273:$AK283,0),1)/INDEX($C273:$AJ283,MATCH(MIN($AK273:$AK283),$AK273:$AK283,0),MATCH(IF('Data-solution'!$A$3="Maximize",MAX($C284:$AI284),MIN($C284:$AI284)),$C284:$AI284,0))),AE283)</f>
        <v>0</v>
      </c>
      <c r="AF298" s="1">
        <f>IF(OR($B288&lt;&gt;$B273,$B289&lt;&gt;$B274,$B290&lt;&gt;$B275,$B291&lt;&gt;$B276,$B292&lt;&gt;$B277,$B293&lt;&gt;$B278,$B294&lt;&gt;$B279,$B295&lt;&gt;$B280,$B296&lt;&gt;$B281,$B297&lt;&gt;$B282,$B298&lt;&gt;$B283),IF($B298&lt;&gt;$B283,AF283/INDEX($C273:$AJ283,11,MATCH(IF('Data-solution'!$A$3="Maximize",MAX($C284:$AI284),MIN($C284:$AI284)),$C284:$AI284,0)),AF283-INDEX($C273:$AJ283,11,MATCH(IF('Data-solution'!$A$3="Maximize",MAX($C284:$AI284),MIN($C284:$AI284)),$C284:$AI284,0))*INDEX(AF273:$AJ283,MATCH(MIN($AK273:$AK283),$AK273:$AK283,0),1)/INDEX($C273:$AJ283,MATCH(MIN($AK273:$AK283),$AK273:$AK283,0),MATCH(IF('Data-solution'!$A$3="Maximize",MAX($C284:$AI284),MIN($C284:$AI284)),$C284:$AI284,0))),AF283)</f>
        <v>0</v>
      </c>
      <c r="AG298" s="1">
        <f>IF(OR($B288&lt;&gt;$B273,$B289&lt;&gt;$B274,$B290&lt;&gt;$B275,$B291&lt;&gt;$B276,$B292&lt;&gt;$B277,$B293&lt;&gt;$B278,$B294&lt;&gt;$B279,$B295&lt;&gt;$B280,$B296&lt;&gt;$B281,$B297&lt;&gt;$B282,$B298&lt;&gt;$B283),IF($B298&lt;&gt;$B283,AG283/INDEX($C273:$AJ283,11,MATCH(IF('Data-solution'!$A$3="Maximize",MAX($C284:$AI284),MIN($C284:$AI284)),$C284:$AI284,0)),AG283-INDEX($C273:$AJ283,11,MATCH(IF('Data-solution'!$A$3="Maximize",MAX($C284:$AI284),MIN($C284:$AI284)),$C284:$AI284,0))*INDEX(AG273:$AJ283,MATCH(MIN($AK273:$AK283),$AK273:$AK283,0),1)/INDEX($C273:$AJ283,MATCH(MIN($AK273:$AK283),$AK273:$AK283,0),MATCH(IF('Data-solution'!$A$3="Maximize",MAX($C284:$AI284),MIN($C284:$AI284)),$C284:$AI284,0))),AG283)</f>
        <v>0</v>
      </c>
      <c r="AH298" s="1">
        <f>IF(OR($B288&lt;&gt;$B273,$B289&lt;&gt;$B274,$B290&lt;&gt;$B275,$B291&lt;&gt;$B276,$B292&lt;&gt;$B277,$B293&lt;&gt;$B278,$B294&lt;&gt;$B279,$B295&lt;&gt;$B280,$B296&lt;&gt;$B281,$B297&lt;&gt;$B282,$B298&lt;&gt;$B283),IF($B298&lt;&gt;$B283,AH283/INDEX($C273:$AJ283,11,MATCH(IF('Data-solution'!$A$3="Maximize",MAX($C284:$AI284),MIN($C284:$AI284)),$C284:$AI284,0)),AH283-INDEX($C273:$AJ283,11,MATCH(IF('Data-solution'!$A$3="Maximize",MAX($C284:$AI284),MIN($C284:$AI284)),$C284:$AI284,0))*INDEX(AH273:$AJ283,MATCH(MIN($AK273:$AK283),$AK273:$AK283,0),1)/INDEX($C273:$AJ283,MATCH(MIN($AK273:$AK283),$AK273:$AK283,0),MATCH(IF('Data-solution'!$A$3="Maximize",MAX($C284:$AI284),MIN($C284:$AI284)),$C284:$AI284,0))),AH283)</f>
        <v>0</v>
      </c>
      <c r="AI298" s="1">
        <f>IF(OR($B288&lt;&gt;$B273,$B289&lt;&gt;$B274,$B290&lt;&gt;$B275,$B291&lt;&gt;$B276,$B292&lt;&gt;$B277,$B293&lt;&gt;$B278,$B294&lt;&gt;$B279,$B295&lt;&gt;$B280,$B296&lt;&gt;$B281,$B297&lt;&gt;$B282,$B298&lt;&gt;$B283),IF($B298&lt;&gt;$B283,AI283/INDEX($C273:$AJ283,11,MATCH(IF('Data-solution'!$A$3="Maximize",MAX($C284:$AI284),MIN($C284:$AI284)),$C284:$AI284,0)),AI283-INDEX($C273:$AJ283,11,MATCH(IF('Data-solution'!$A$3="Maximize",MAX($C284:$AI284),MIN($C284:$AI284)),$C284:$AI284,0))*INDEX(AI273:$AJ283,MATCH(MIN($AK273:$AK283),$AK273:$AK283,0),1)/INDEX($C273:$AJ283,MATCH(MIN($AK273:$AK283),$AK273:$AK283,0),MATCH(IF('Data-solution'!$A$3="Maximize",MAX($C284:$AI284),MIN($C284:$AI284)),$C284:$AI284,0))),AI283)</f>
        <v>1</v>
      </c>
      <c r="AJ298" s="1">
        <f>IF(OR($B288&lt;&gt;$B273,$B289&lt;&gt;$B274,$B290&lt;&gt;$B275,$B291&lt;&gt;$B276,$B292&lt;&gt;$B277,$B293&lt;&gt;$B278,$B294&lt;&gt;$B279,$B295&lt;&gt;$B280,$B296&lt;&gt;$B281,$B297&lt;&gt;$B282,$B298&lt;&gt;$B283),IF($B298&lt;&gt;$B283,AJ283/INDEX($C273:$AJ283,11,MATCH(IF('Data-solution'!$A$3="Maximize",MAX($C284:$AI284),MIN($C284:$AI284)),$C284:$AI284,0)),AJ283-INDEX($C273:$AJ283,11,MATCH(IF('Data-solution'!$A$3="Maximize",MAX($C284:$AI284),MIN($C284:$AI284)),$C284:$AI284,0))*INDEX(AJ273:$AJ283,MATCH(MIN($AK273:$AK283),$AK273:$AK283,0),1)/INDEX($C273:$AJ283,MATCH(MIN($AK273:$AK283),$AK273:$AK283,0),MATCH(IF('Data-solution'!$A$3="Maximize",MAX($C284:$AI284),MIN($C284:$AI284)),$C284:$AI284,0))),AJ283)</f>
        <v>0</v>
      </c>
      <c r="AK298" s="1" t="str">
        <f>IF(INDEX(C298:X298,1,MATCH(IF('Data-solution'!A$3="Maximize",MAX(C299:X299),MIN(C299:X299)),C299:X299,0))&gt;0,AJ298/INDEX(C298:X298,1,MATCH(IF('Data-solution'!A$3="Maximize",MAX(C299:X299),MIN(C299:X299)),C299:X299,0))," ")</f>
        <v xml:space="preserve"> </v>
      </c>
    </row>
    <row r="299" spans="1:37" ht="18" customHeight="1" x14ac:dyDescent="0.2">
      <c r="B299" s="2" t="s">
        <v>5</v>
      </c>
      <c r="C299" s="1">
        <f>IF(SUM(COUNTIF($B288:$B298,$Y287),COUNTIF($B288:$B298,$Z287),COUNTIF($B288:$B298,$AA287),COUNTIF($B288:$B298,$AB287),COUNTIF($B288:$B298,$AC287),COUNTIF($B288:$B298,$AD287),COUNTIF($B288:$B298,$AE287),COUNTIF($B288:$B298,$AF287),COUNTIF($B288:$B298,$AG287),COUNTIF($B288:$B298,$AH287),COUNTIF($B288:$B298,$AI287))=0,C286-SUMPRODUCT($A288:$A298,C288:C298),IF('Data-solution'!$A$3="Maximize",1,-1)*SUM(SUMIF($B288:$B298,$Y287,C288:C298),SUMIF($B288:$B298,$Z287,C288:C298),SUMIF($B288:$B298,$AA287,C288:C298),SUMIF($B288:$B298,$AB287,C288:C298),SUMIF($B288:$B298,$AC287,C288:C298),SUMIF($B288:$B298,$AD287,C288:C298),SUMIF($B288:$B298,$AE287,C288:C298),SUMIF($B288:$B298,$AF287,C288:C298),SUMIF($B288:$B298,$AG287,C288:C298),SUMIF($B288:$B298,$AH287,C288:C298),SUMIF($B288:$B298,$AI287,C288:C298)))</f>
        <v>0</v>
      </c>
      <c r="D299" s="1">
        <f>IF(SUM(COUNTIF($B288:$B298,$Y287),COUNTIF($B288:$B298,$Z287),COUNTIF($B288:$B298,$AA287),COUNTIF($B288:$B298,$AB287),COUNTIF($B288:$B298,$AC287),COUNTIF($B288:$B298,$AD287),COUNTIF($B288:$B298,$AE287),COUNTIF($B288:$B298,$AF287),COUNTIF($B288:$B298,$AG287),COUNTIF($B288:$B298,$AH287),COUNTIF($B288:$B298,$AI287))=0,D286-SUMPRODUCT($A288:$A298,D288:D298),IF('Data-solution'!$A$3="Maximize",1,-1)*SUM(SUMIF($B288:$B298,$Y287,D288:D298),SUMIF($B288:$B298,$Z287,D288:D298),SUMIF($B288:$B298,$AA287,D288:D298),SUMIF($B288:$B298,$AB287,D288:D298),SUMIF($B288:$B298,$AC287,D288:D298),SUMIF($B288:$B298,$AD287,D288:D298),SUMIF($B288:$B298,$AE287,D288:D298),SUMIF($B288:$B298,$AF287,D288:D298),SUMIF($B288:$B298,$AG287,D288:D298),SUMIF($B288:$B298,$AH287,D288:D298),SUMIF($B288:$B298,$AI287,D288:D298)))</f>
        <v>-50</v>
      </c>
      <c r="E299" s="1">
        <f>IF(SUM(COUNTIF($B288:$B298,$Y287),COUNTIF($B288:$B298,$Z287),COUNTIF($B288:$B298,$AA287),COUNTIF($B288:$B298,$AB287),COUNTIF($B288:$B298,$AC287),COUNTIF($B288:$B298,$AD287),COUNTIF($B288:$B298,$AE287),COUNTIF($B288:$B298,$AF287),COUNTIF($B288:$B298,$AG287),COUNTIF($B288:$B298,$AH287),COUNTIF($B288:$B298,$AI287))=0,E286-SUMPRODUCT($A288:$A298,E288:E298),IF('Data-solution'!$A$3="Maximize",1,-1)*SUM(SUMIF($B288:$B298,$Y287,E288:E298),SUMIF($B288:$B298,$Z287,E288:E298),SUMIF($B288:$B298,$AA287,E288:E298),SUMIF($B288:$B298,$AB287,E288:E298),SUMIF($B288:$B298,$AC287,E288:E298),SUMIF($B288:$B298,$AD287,E288:E298),SUMIF($B288:$B298,$AE287,E288:E298),SUMIF($B288:$B298,$AF287,E288:E298),SUMIF($B288:$B298,$AG287,E288:E298),SUMIF($B288:$B298,$AH287,E288:E298),SUMIF($B288:$B298,$AI287,E288:E298)))</f>
        <v>0</v>
      </c>
      <c r="F299" s="1">
        <f>IF(SUM(COUNTIF($B288:$B298,$Y287),COUNTIF($B288:$B298,$Z287),COUNTIF($B288:$B298,$AA287),COUNTIF($B288:$B298,$AB287),COUNTIF($B288:$B298,$AC287),COUNTIF($B288:$B298,$AD287),COUNTIF($B288:$B298,$AE287),COUNTIF($B288:$B298,$AF287),COUNTIF($B288:$B298,$AG287),COUNTIF($B288:$B298,$AH287),COUNTIF($B288:$B298,$AI287))=0,F286-SUMPRODUCT($A288:$A298,F288:F298),IF('Data-solution'!$A$3="Maximize",1,-1)*SUM(SUMIF($B288:$B298,$Y287,F288:F298),SUMIF($B288:$B298,$Z287,F288:F298),SUMIF($B288:$B298,$AA287,F288:F298),SUMIF($B288:$B298,$AB287,F288:F298),SUMIF($B288:$B298,$AC287,F288:F298),SUMIF($B288:$B298,$AD287,F288:F298),SUMIF($B288:$B298,$AE287,F288:F298),SUMIF($B288:$B298,$AF287,F288:F298),SUMIF($B288:$B298,$AG287,F288:F298),SUMIF($B288:$B298,$AH287,F288:F298),SUMIF($B288:$B298,$AI287,F288:F298)))</f>
        <v>0</v>
      </c>
      <c r="G299" s="1">
        <f>IF(SUM(COUNTIF($B288:$B298,$Y287),COUNTIF($B288:$B298,$Z287),COUNTIF($B288:$B298,$AA287),COUNTIF($B288:$B298,$AB287),COUNTIF($B288:$B298,$AC287),COUNTIF($B288:$B298,$AD287),COUNTIF($B288:$B298,$AE287),COUNTIF($B288:$B298,$AF287),COUNTIF($B288:$B298,$AG287),COUNTIF($B288:$B298,$AH287),COUNTIF($B288:$B298,$AI287))=0,G286-SUMPRODUCT($A288:$A298,G288:G298),IF('Data-solution'!$A$3="Maximize",1,-1)*SUM(SUMIF($B288:$B298,$Y287,G288:G298),SUMIF($B288:$B298,$Z287,G288:G298),SUMIF($B288:$B298,$AA287,G288:G298),SUMIF($B288:$B298,$AB287,G288:G298),SUMIF($B288:$B298,$AC287,G288:G298),SUMIF($B288:$B298,$AD287,G288:G298),SUMIF($B288:$B298,$AE287,G288:G298),SUMIF($B288:$B298,$AF287,G288:G298),SUMIF($B288:$B298,$AG287,G288:G298),SUMIF($B288:$B298,$AH287,G288:G298),SUMIF($B288:$B298,$AI287,G288:G298)))</f>
        <v>0</v>
      </c>
      <c r="H299" s="1">
        <f>IF(SUM(COUNTIF($B288:$B298,$Y287),COUNTIF($B288:$B298,$Z287),COUNTIF($B288:$B298,$AA287),COUNTIF($B288:$B298,$AB287),COUNTIF($B288:$B298,$AC287),COUNTIF($B288:$B298,$AD287),COUNTIF($B288:$B298,$AE287),COUNTIF($B288:$B298,$AF287),COUNTIF($B288:$B298,$AG287),COUNTIF($B288:$B298,$AH287),COUNTIF($B288:$B298,$AI287))=0,H286-SUMPRODUCT($A288:$A298,H288:H298),IF('Data-solution'!$A$3="Maximize",1,-1)*SUM(SUMIF($B288:$B298,$Y287,H288:H298),SUMIF($B288:$B298,$Z287,H288:H298),SUMIF($B288:$B298,$AA287,H288:H298),SUMIF($B288:$B298,$AB287,H288:H298),SUMIF($B288:$B298,$AC287,H288:H298),SUMIF($B288:$B298,$AD287,H288:H298),SUMIF($B288:$B298,$AE287,H288:H298),SUMIF($B288:$B298,$AF287,H288:H298),SUMIF($B288:$B298,$AG287,H288:H298),SUMIF($B288:$B298,$AH287,H288:H298),SUMIF($B288:$B298,$AI287,H288:H298)))</f>
        <v>0</v>
      </c>
      <c r="I299" s="1">
        <f>IF(SUM(COUNTIF($B288:$B298,$Y287),COUNTIF($B288:$B298,$Z287),COUNTIF($B288:$B298,$AA287),COUNTIF($B288:$B298,$AB287),COUNTIF($B288:$B298,$AC287),COUNTIF($B288:$B298,$AD287),COUNTIF($B288:$B298,$AE287),COUNTIF($B288:$B298,$AF287),COUNTIF($B288:$B298,$AG287),COUNTIF($B288:$B298,$AH287),COUNTIF($B288:$B298,$AI287))=0,I286-SUMPRODUCT($A288:$A298,I288:I298),IF('Data-solution'!$A$3="Maximize",1,-1)*SUM(SUMIF($B288:$B298,$Y287,I288:I298),SUMIF($B288:$B298,$Z287,I288:I298),SUMIF($B288:$B298,$AA287,I288:I298),SUMIF($B288:$B298,$AB287,I288:I298),SUMIF($B288:$B298,$AC287,I288:I298),SUMIF($B288:$B298,$AD287,I288:I298),SUMIF($B288:$B298,$AE287,I288:I298),SUMIF($B288:$B298,$AF287,I288:I298),SUMIF($B288:$B298,$AG287,I288:I298),SUMIF($B288:$B298,$AH287,I288:I298),SUMIF($B288:$B298,$AI287,I288:I298)))</f>
        <v>0</v>
      </c>
      <c r="J299" s="1">
        <f>IF(SUM(COUNTIF($B288:$B298,$Y287),COUNTIF($B288:$B298,$Z287),COUNTIF($B288:$B298,$AA287),COUNTIF($B288:$B298,$AB287),COUNTIF($B288:$B298,$AC287),COUNTIF($B288:$B298,$AD287),COUNTIF($B288:$B298,$AE287),COUNTIF($B288:$B298,$AF287),COUNTIF($B288:$B298,$AG287),COUNTIF($B288:$B298,$AH287),COUNTIF($B288:$B298,$AI287))=0,J286-SUMPRODUCT($A288:$A298,J288:J298),IF('Data-solution'!$A$3="Maximize",1,-1)*SUM(SUMIF($B288:$B298,$Y287,J288:J298),SUMIF($B288:$B298,$Z287,J288:J298),SUMIF($B288:$B298,$AA287,J288:J298),SUMIF($B288:$B298,$AB287,J288:J298),SUMIF($B288:$B298,$AC287,J288:J298),SUMIF($B288:$B298,$AD287,J288:J298),SUMIF($B288:$B298,$AE287,J288:J298),SUMIF($B288:$B298,$AF287,J288:J298),SUMIF($B288:$B298,$AG287,J288:J298),SUMIF($B288:$B298,$AH287,J288:J298),SUMIF($B288:$B298,$AI287,J288:J298)))</f>
        <v>0</v>
      </c>
      <c r="K299" s="1">
        <f>IF(SUM(COUNTIF($B288:$B298,$Y287),COUNTIF($B288:$B298,$Z287),COUNTIF($B288:$B298,$AA287),COUNTIF($B288:$B298,$AB287),COUNTIF($B288:$B298,$AC287),COUNTIF($B288:$B298,$AD287),COUNTIF($B288:$B298,$AE287),COUNTIF($B288:$B298,$AF287),COUNTIF($B288:$B298,$AG287),COUNTIF($B288:$B298,$AH287),COUNTIF($B288:$B298,$AI287))=0,K286-SUMPRODUCT($A288:$A298,K288:K298),IF('Data-solution'!$A$3="Maximize",1,-1)*SUM(SUMIF($B288:$B298,$Y287,K288:K298),SUMIF($B288:$B298,$Z287,K288:K298),SUMIF($B288:$B298,$AA287,K288:K298),SUMIF($B288:$B298,$AB287,K288:K298),SUMIF($B288:$B298,$AC287,K288:K298),SUMIF($B288:$B298,$AD287,K288:K298),SUMIF($B288:$B298,$AE287,K288:K298),SUMIF($B288:$B298,$AF287,K288:K298),SUMIF($B288:$B298,$AG287,K288:K298),SUMIF($B288:$B298,$AH287,K288:K298),SUMIF($B288:$B298,$AI287,K288:K298)))</f>
        <v>0</v>
      </c>
      <c r="L299" s="1">
        <f>IF(SUM(COUNTIF($B288:$B298,$Y287),COUNTIF($B288:$B298,$Z287),COUNTIF($B288:$B298,$AA287),COUNTIF($B288:$B298,$AB287),COUNTIF($B288:$B298,$AC287),COUNTIF($B288:$B298,$AD287),COUNTIF($B288:$B298,$AE287),COUNTIF($B288:$B298,$AF287),COUNTIF($B288:$B298,$AG287),COUNTIF($B288:$B298,$AH287),COUNTIF($B288:$B298,$AI287))=0,L286-SUMPRODUCT($A288:$A298,L288:L298),IF('Data-solution'!$A$3="Maximize",1,-1)*SUM(SUMIF($B288:$B298,$Y287,L288:L298),SUMIF($B288:$B298,$Z287,L288:L298),SUMIF($B288:$B298,$AA287,L288:L298),SUMIF($B288:$B298,$AB287,L288:L298),SUMIF($B288:$B298,$AC287,L288:L298),SUMIF($B288:$B298,$AD287,L288:L298),SUMIF($B288:$B298,$AE287,L288:L298),SUMIF($B288:$B298,$AF287,L288:L298),SUMIF($B288:$B298,$AG287,L288:L298),SUMIF($B288:$B298,$AH287,L288:L298),SUMIF($B288:$B298,$AI287,L288:L298)))</f>
        <v>0</v>
      </c>
      <c r="M299" s="1">
        <f>IF(SUM(COUNTIF($B288:$B298,$Y287),COUNTIF($B288:$B298,$Z287),COUNTIF($B288:$B298,$AA287),COUNTIF($B288:$B298,$AB287),COUNTIF($B288:$B298,$AC287),COUNTIF($B288:$B298,$AD287),COUNTIF($B288:$B298,$AE287),COUNTIF($B288:$B298,$AF287),COUNTIF($B288:$B298,$AG287),COUNTIF($B288:$B298,$AH287),COUNTIF($B288:$B298,$AI287))=0,M286-SUMPRODUCT($A288:$A298,M288:M298),IF('Data-solution'!$A$3="Maximize",1,-1)*SUM(SUMIF($B288:$B298,$Y287,M288:M298),SUMIF($B288:$B298,$Z287,M288:M298),SUMIF($B288:$B298,$AA287,M288:M298),SUMIF($B288:$B298,$AB287,M288:M298),SUMIF($B288:$B298,$AC287,M288:M298),SUMIF($B288:$B298,$AD287,M288:M298),SUMIF($B288:$B298,$AE287,M288:M298),SUMIF($B288:$B298,$AF287,M288:M298),SUMIF($B288:$B298,$AG287,M288:M298),SUMIF($B288:$B298,$AH287,M288:M298),SUMIF($B288:$B298,$AI287,M288:M298)))</f>
        <v>0</v>
      </c>
      <c r="N299" s="1">
        <f>IF(SUM(COUNTIF($B288:$B298,$Y287),COUNTIF($B288:$B298,$Z287),COUNTIF($B288:$B298,$AA287),COUNTIF($B288:$B298,$AB287),COUNTIF($B288:$B298,$AC287),COUNTIF($B288:$B298,$AD287),COUNTIF($B288:$B298,$AE287),COUNTIF($B288:$B298,$AF287),COUNTIF($B288:$B298,$AG287),COUNTIF($B288:$B298,$AH287),COUNTIF($B288:$B298,$AI287))=0,N286-SUMPRODUCT($A288:$A298,N288:N298),IF('Data-solution'!$A$3="Maximize",1,-1)*SUM(SUMIF($B288:$B298,$Y287,N288:N298),SUMIF($B288:$B298,$Z287,N288:N298),SUMIF($B288:$B298,$AA287,N288:N298),SUMIF($B288:$B298,$AB287,N288:N298),SUMIF($B288:$B298,$AC287,N288:N298),SUMIF($B288:$B298,$AD287,N288:N298),SUMIF($B288:$B298,$AE287,N288:N298),SUMIF($B288:$B298,$AF287,N288:N298),SUMIF($B288:$B298,$AG287,N288:N298),SUMIF($B288:$B298,$AH287,N288:N298),SUMIF($B288:$B298,$AI287,N288:N298)))</f>
        <v>0</v>
      </c>
      <c r="O299" s="1">
        <f>IF(SUM(COUNTIF($B288:$B298,$Y287),COUNTIF($B288:$B298,$Z287),COUNTIF($B288:$B298,$AA287),COUNTIF($B288:$B298,$AB287),COUNTIF($B288:$B298,$AC287),COUNTIF($B288:$B298,$AD287),COUNTIF($B288:$B298,$AE287),COUNTIF($B288:$B298,$AF287),COUNTIF($B288:$B298,$AG287),COUNTIF($B288:$B298,$AH287),COUNTIF($B288:$B298,$AI287))=0,O286-SUMPRODUCT($A288:$A298,O288:O298),IF('Data-solution'!$A$3="Maximize",1,-1)*SUM(SUMIF($B288:$B298,$Y287,O288:O298),SUMIF($B288:$B298,$Z287,O288:O298),SUMIF($B288:$B298,$AA287,O288:O298),SUMIF($B288:$B298,$AB287,O288:O298),SUMIF($B288:$B298,$AC287,O288:O298),SUMIF($B288:$B298,$AD287,O288:O298),SUMIF($B288:$B298,$AE287,O288:O298),SUMIF($B288:$B298,$AF287,O288:O298),SUMIF($B288:$B298,$AG287,O288:O298),SUMIF($B288:$B298,$AH287,O288:O298),SUMIF($B288:$B298,$AI287,O288:O298)))</f>
        <v>0</v>
      </c>
      <c r="P299" s="1">
        <f>IF(SUM(COUNTIF($B288:$B298,$Y287),COUNTIF($B288:$B298,$Z287),COUNTIF($B288:$B298,$AA287),COUNTIF($B288:$B298,$AB287),COUNTIF($B288:$B298,$AC287),COUNTIF($B288:$B298,$AD287),COUNTIF($B288:$B298,$AE287),COUNTIF($B288:$B298,$AF287),COUNTIF($B288:$B298,$AG287),COUNTIF($B288:$B298,$AH287),COUNTIF($B288:$B298,$AI287))=0,P286-SUMPRODUCT($A288:$A298,P288:P298),IF('Data-solution'!$A$3="Maximize",1,-1)*SUM(SUMIF($B288:$B298,$Y287,P288:P298),SUMIF($B288:$B298,$Z287,P288:P298),SUMIF($B288:$B298,$AA287,P288:P298),SUMIF($B288:$B298,$AB287,P288:P298),SUMIF($B288:$B298,$AC287,P288:P298),SUMIF($B288:$B298,$AD287,P288:P298),SUMIF($B288:$B298,$AE287,P288:P298),SUMIF($B288:$B298,$AF287,P288:P298),SUMIF($B288:$B298,$AG287,P288:P298),SUMIF($B288:$B298,$AH287,P288:P298),SUMIF($B288:$B298,$AI287,P288:P298)))</f>
        <v>-49.999999999999993</v>
      </c>
      <c r="Q299" s="1">
        <f>IF(SUM(COUNTIF($B288:$B298,$Y287),COUNTIF($B288:$B298,$Z287),COUNTIF($B288:$B298,$AA287),COUNTIF($B288:$B298,$AB287),COUNTIF($B288:$B298,$AC287),COUNTIF($B288:$B298,$AD287),COUNTIF($B288:$B298,$AE287),COUNTIF($B288:$B298,$AF287),COUNTIF($B288:$B298,$AG287),COUNTIF($B288:$B298,$AH287),COUNTIF($B288:$B298,$AI287))=0,Q286-SUMPRODUCT($A288:$A298,Q288:Q298),IF('Data-solution'!$A$3="Maximize",1,-1)*SUM(SUMIF($B288:$B298,$Y287,Q288:Q298),SUMIF($B288:$B298,$Z287,Q288:Q298),SUMIF($B288:$B298,$AA287,Q288:Q298),SUMIF($B288:$B298,$AB287,Q288:Q298),SUMIF($B288:$B298,$AC287,Q288:Q298),SUMIF($B288:$B298,$AD287,Q288:Q298),SUMIF($B288:$B298,$AE287,Q288:Q298),SUMIF($B288:$B298,$AF287,Q288:Q298),SUMIF($B288:$B298,$AG287,Q288:Q298),SUMIF($B288:$B298,$AH287,Q288:Q298),SUMIF($B288:$B298,$AI287,Q288:Q298)))</f>
        <v>-50</v>
      </c>
      <c r="R299" s="1">
        <f>IF(SUM(COUNTIF($B288:$B298,$Y287),COUNTIF($B288:$B298,$Z287),COUNTIF($B288:$B298,$AA287),COUNTIF($B288:$B298,$AB287),COUNTIF($B288:$B298,$AC287),COUNTIF($B288:$B298,$AD287),COUNTIF($B288:$B298,$AE287),COUNTIF($B288:$B298,$AF287),COUNTIF($B288:$B298,$AG287),COUNTIF($B288:$B298,$AH287),COUNTIF($B288:$B298,$AI287))=0,R286-SUMPRODUCT($A288:$A298,R288:R298),IF('Data-solution'!$A$3="Maximize",1,-1)*SUM(SUMIF($B288:$B298,$Y287,R288:R298),SUMIF($B288:$B298,$Z287,R288:R298),SUMIF($B288:$B298,$AA287,R288:R298),SUMIF($B288:$B298,$AB287,R288:R298),SUMIF($B288:$B298,$AC287,R288:R298),SUMIF($B288:$B298,$AD287,R288:R298),SUMIF($B288:$B298,$AE287,R288:R298),SUMIF($B288:$B298,$AF287,R288:R298),SUMIF($B288:$B298,$AG287,R288:R298),SUMIF($B288:$B298,$AH287,R288:R298),SUMIF($B288:$B298,$AI287,R288:R298)))</f>
        <v>0</v>
      </c>
      <c r="S299" s="1">
        <f>IF(SUM(COUNTIF($B288:$B298,$Y287),COUNTIF($B288:$B298,$Z287),COUNTIF($B288:$B298,$AA287),COUNTIF($B288:$B298,$AB287),COUNTIF($B288:$B298,$AC287),COUNTIF($B288:$B298,$AD287),COUNTIF($B288:$B298,$AE287),COUNTIF($B288:$B298,$AF287),COUNTIF($B288:$B298,$AG287),COUNTIF($B288:$B298,$AH287),COUNTIF($B288:$B298,$AI287))=0,S286-SUMPRODUCT($A288:$A298,S288:S298),IF('Data-solution'!$A$3="Maximize",1,-1)*SUM(SUMIF($B288:$B298,$Y287,S288:S298),SUMIF($B288:$B298,$Z287,S288:S298),SUMIF($B288:$B298,$AA287,S288:S298),SUMIF($B288:$B298,$AB287,S288:S298),SUMIF($B288:$B298,$AC287,S288:S298),SUMIF($B288:$B298,$AD287,S288:S298),SUMIF($B288:$B298,$AE287,S288:S298),SUMIF($B288:$B298,$AF287,S288:S298),SUMIF($B288:$B298,$AG287,S288:S298),SUMIF($B288:$B298,$AH287,S288:S298),SUMIF($B288:$B298,$AI287,S288:S298)))</f>
        <v>0</v>
      </c>
      <c r="T299" s="1">
        <f>IF(SUM(COUNTIF($B288:$B298,$Y287),COUNTIF($B288:$B298,$Z287),COUNTIF($B288:$B298,$AA287),COUNTIF($B288:$B298,$AB287),COUNTIF($B288:$B298,$AC287),COUNTIF($B288:$B298,$AD287),COUNTIF($B288:$B298,$AE287),COUNTIF($B288:$B298,$AF287),COUNTIF($B288:$B298,$AG287),COUNTIF($B288:$B298,$AH287),COUNTIF($B288:$B298,$AI287))=0,T286-SUMPRODUCT($A288:$A298,T288:T298),IF('Data-solution'!$A$3="Maximize",1,-1)*SUM(SUMIF($B288:$B298,$Y287,T288:T298),SUMIF($B288:$B298,$Z287,T288:T298),SUMIF($B288:$B298,$AA287,T288:T298),SUMIF($B288:$B298,$AB287,T288:T298),SUMIF($B288:$B298,$AC287,T288:T298),SUMIF($B288:$B298,$AD287,T288:T298),SUMIF($B288:$B298,$AE287,T288:T298),SUMIF($B288:$B298,$AF287,T288:T298),SUMIF($B288:$B298,$AG287,T288:T298),SUMIF($B288:$B298,$AH287,T288:T298),SUMIF($B288:$B298,$AI287,T288:T298)))</f>
        <v>0</v>
      </c>
      <c r="U299" s="1">
        <f>IF(SUM(COUNTIF($B288:$B298,$Y287),COUNTIF($B288:$B298,$Z287),COUNTIF($B288:$B298,$AA287),COUNTIF($B288:$B298,$AB287),COUNTIF($B288:$B298,$AC287),COUNTIF($B288:$B298,$AD287),COUNTIF($B288:$B298,$AE287),COUNTIF($B288:$B298,$AF287),COUNTIF($B288:$B298,$AG287),COUNTIF($B288:$B298,$AH287),COUNTIF($B288:$B298,$AI287))=0,U286-SUMPRODUCT($A288:$A298,U288:U298),IF('Data-solution'!$A$3="Maximize",1,-1)*SUM(SUMIF($B288:$B298,$Y287,U288:U298),SUMIF($B288:$B298,$Z287,U288:U298),SUMIF($B288:$B298,$AA287,U288:U298),SUMIF($B288:$B298,$AB287,U288:U298),SUMIF($B288:$B298,$AC287,U288:U298),SUMIF($B288:$B298,$AD287,U288:U298),SUMIF($B288:$B298,$AE287,U288:U298),SUMIF($B288:$B298,$AF287,U288:U298),SUMIF($B288:$B298,$AG287,U288:U298),SUMIF($B288:$B298,$AH287,U288:U298),SUMIF($B288:$B298,$AI287,U288:U298)))</f>
        <v>0</v>
      </c>
      <c r="V299" s="1">
        <f>IF(SUM(COUNTIF($B288:$B298,$Y287),COUNTIF($B288:$B298,$Z287),COUNTIF($B288:$B298,$AA287),COUNTIF($B288:$B298,$AB287),COUNTIF($B288:$B298,$AC287),COUNTIF($B288:$B298,$AD287),COUNTIF($B288:$B298,$AE287),COUNTIF($B288:$B298,$AF287),COUNTIF($B288:$B298,$AG287),COUNTIF($B288:$B298,$AH287),COUNTIF($B288:$B298,$AI287))=0,V286-SUMPRODUCT($A288:$A298,V288:V298),IF('Data-solution'!$A$3="Maximize",1,-1)*SUM(SUMIF($B288:$B298,$Y287,V288:V298),SUMIF($B288:$B298,$Z287,V288:V298),SUMIF($B288:$B298,$AA287,V288:V298),SUMIF($B288:$B298,$AB287,V288:V298),SUMIF($B288:$B298,$AC287,V288:V298),SUMIF($B288:$B298,$AD287,V288:V298),SUMIF($B288:$B298,$AE287,V288:V298),SUMIF($B288:$B298,$AF287,V288:V298),SUMIF($B288:$B298,$AG287,V288:V298),SUMIF($B288:$B298,$AH287,V288:V298),SUMIF($B288:$B298,$AI287,V288:V298)))</f>
        <v>0</v>
      </c>
      <c r="W299" s="1">
        <f>IF(SUM(COUNTIF($B288:$B298,$Y287),COUNTIF($B288:$B298,$Z287),COUNTIF($B288:$B298,$AA287),COUNTIF($B288:$B298,$AB287),COUNTIF($B288:$B298,$AC287),COUNTIF($B288:$B298,$AD287),COUNTIF($B288:$B298,$AE287),COUNTIF($B288:$B298,$AF287),COUNTIF($B288:$B298,$AG287),COUNTIF($B288:$B298,$AH287),COUNTIF($B288:$B298,$AI287))=0,W286-SUMPRODUCT($A288:$A298,W288:W298),IF('Data-solution'!$A$3="Maximize",1,-1)*SUM(SUMIF($B288:$B298,$Y287,W288:W298),SUMIF($B288:$B298,$Z287,W288:W298),SUMIF($B288:$B298,$AA287,W288:W298),SUMIF($B288:$B298,$AB287,W288:W298),SUMIF($B288:$B298,$AC287,W288:W298),SUMIF($B288:$B298,$AD287,W288:W298),SUMIF($B288:$B298,$AE287,W288:W298),SUMIF($B288:$B298,$AF287,W288:W298),SUMIF($B288:$B298,$AG287,W288:W298),SUMIF($B288:$B298,$AH287,W288:W298),SUMIF($B288:$B298,$AI287,W288:W298)))</f>
        <v>0</v>
      </c>
      <c r="X299" s="1">
        <f>IF(SUM(COUNTIF($B288:$B298,$Y287),COUNTIF($B288:$B298,$Z287),COUNTIF($B288:$B298,$AA287),COUNTIF($B288:$B298,$AB287),COUNTIF($B288:$B298,$AC287),COUNTIF($B288:$B298,$AD287),COUNTIF($B288:$B298,$AE287),COUNTIF($B288:$B298,$AF287),COUNTIF($B288:$B298,$AG287),COUNTIF($B288:$B298,$AH287),COUNTIF($B288:$B298,$AI287))=0,X286-SUMPRODUCT($A288:$A298,X288:X298),IF('Data-solution'!$A$3="Maximize",1,-1)*SUM(SUMIF($B288:$B298,$Y287,X288:X298),SUMIF($B288:$B298,$Z287,X288:X298),SUMIF($B288:$B298,$AA287,X288:X298),SUMIF($B288:$B298,$AB287,X288:X298),SUMIF($B288:$B298,$AC287,X288:X298),SUMIF($B288:$B298,$AD287,X288:X298),SUMIF($B288:$B298,$AE287,X288:X298),SUMIF($B288:$B298,$AF287,X288:X298),SUMIF($B288:$B298,$AG287,X288:X298),SUMIF($B288:$B298,$AH287,X288:X298),SUMIF($B288:$B298,$AI287,X288:X298)))</f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2">
        <f t="shared" ref="AJ299" si="267">IF(SUMPRODUCT(A288:A298,AJ288:AJ298)&gt;=0,SUMPRODUCT(A288:A298,AJ288:AJ298),0)</f>
        <v>120000</v>
      </c>
    </row>
    <row r="301" spans="1:37" ht="18" customHeight="1" x14ac:dyDescent="0.2">
      <c r="A301" s="1" t="s">
        <v>80</v>
      </c>
      <c r="B301" s="2" t="s">
        <v>4</v>
      </c>
      <c r="C301" s="1">
        <f t="shared" si="242"/>
        <v>150</v>
      </c>
      <c r="D301" s="1">
        <f t="shared" si="242"/>
        <v>200</v>
      </c>
      <c r="E301" s="1">
        <f t="shared" si="242"/>
        <v>350</v>
      </c>
      <c r="F301" s="1">
        <f t="shared" si="242"/>
        <v>0</v>
      </c>
      <c r="G301" s="1">
        <f t="shared" si="242"/>
        <v>0</v>
      </c>
      <c r="H301" s="1">
        <f t="shared" si="242"/>
        <v>0</v>
      </c>
      <c r="I301" s="1">
        <f t="shared" si="242"/>
        <v>0</v>
      </c>
      <c r="J301" s="1">
        <f t="shared" si="242"/>
        <v>0</v>
      </c>
      <c r="K301" s="1">
        <f t="shared" si="242"/>
        <v>0</v>
      </c>
      <c r="L301" s="1">
        <f t="shared" si="242"/>
        <v>0</v>
      </c>
      <c r="M301" s="1">
        <f t="shared" si="242"/>
        <v>0</v>
      </c>
      <c r="N301" s="1">
        <f t="shared" si="242"/>
        <v>0</v>
      </c>
      <c r="O301" s="1">
        <f t="shared" si="242"/>
        <v>0</v>
      </c>
      <c r="P301" s="1">
        <f t="shared" si="242"/>
        <v>0</v>
      </c>
      <c r="Q301" s="1">
        <f t="shared" si="242"/>
        <v>0</v>
      </c>
      <c r="R301" s="1">
        <f t="shared" si="242"/>
        <v>0</v>
      </c>
      <c r="S301" s="1">
        <f t="shared" ref="S301:AH301" si="268">S$1</f>
        <v>0</v>
      </c>
      <c r="T301" s="1">
        <f t="shared" si="268"/>
        <v>0</v>
      </c>
      <c r="U301" s="1">
        <f t="shared" si="268"/>
        <v>0</v>
      </c>
      <c r="V301" s="1">
        <f t="shared" si="268"/>
        <v>0</v>
      </c>
      <c r="W301" s="1">
        <f t="shared" si="268"/>
        <v>0</v>
      </c>
      <c r="X301" s="1">
        <f t="shared" si="268"/>
        <v>0</v>
      </c>
      <c r="Y301" s="1">
        <f t="shared" si="268"/>
        <v>-999999</v>
      </c>
      <c r="Z301" s="1">
        <f t="shared" si="268"/>
        <v>-999999</v>
      </c>
      <c r="AA301" s="1">
        <f t="shared" si="268"/>
        <v>-999999</v>
      </c>
      <c r="AB301" s="1">
        <f t="shared" si="268"/>
        <v>-999999</v>
      </c>
      <c r="AC301" s="1">
        <f t="shared" si="268"/>
        <v>-999999</v>
      </c>
      <c r="AD301" s="1">
        <f t="shared" si="268"/>
        <v>-999999</v>
      </c>
      <c r="AE301" s="1">
        <f t="shared" si="268"/>
        <v>-999999</v>
      </c>
      <c r="AF301" s="1">
        <f t="shared" si="268"/>
        <v>-999999</v>
      </c>
      <c r="AG301" s="1">
        <f t="shared" si="268"/>
        <v>-999999</v>
      </c>
      <c r="AH301" s="1">
        <f t="shared" si="268"/>
        <v>-999999</v>
      </c>
      <c r="AI301" s="1">
        <f t="shared" ref="AI301" si="269">AI$1</f>
        <v>-999999</v>
      </c>
    </row>
    <row r="302" spans="1:37" ht="18" customHeight="1" x14ac:dyDescent="0.2">
      <c r="A302" s="2" t="s">
        <v>3</v>
      </c>
      <c r="B302" s="2" t="s">
        <v>1</v>
      </c>
      <c r="C302" s="2" t="str">
        <f t="shared" si="243"/>
        <v>X1</v>
      </c>
      <c r="D302" s="2" t="str">
        <f t="shared" si="243"/>
        <v>X2</v>
      </c>
      <c r="E302" s="2" t="str">
        <f t="shared" si="243"/>
        <v>X3</v>
      </c>
      <c r="F302" s="2" t="str">
        <f t="shared" si="243"/>
        <v>X4</v>
      </c>
      <c r="G302" s="2" t="str">
        <f t="shared" si="243"/>
        <v>X5</v>
      </c>
      <c r="H302" s="2" t="str">
        <f t="shared" si="243"/>
        <v>X6</v>
      </c>
      <c r="I302" s="2" t="str">
        <f t="shared" si="243"/>
        <v>X7</v>
      </c>
      <c r="J302" s="2" t="str">
        <f t="shared" si="243"/>
        <v>X8</v>
      </c>
      <c r="K302" s="2" t="str">
        <f t="shared" si="243"/>
        <v>X9</v>
      </c>
      <c r="L302" s="2" t="str">
        <f t="shared" si="243"/>
        <v>X10</v>
      </c>
      <c r="M302" s="2" t="str">
        <f t="shared" si="243"/>
        <v>X11</v>
      </c>
      <c r="N302" s="2" t="str">
        <f t="shared" si="243"/>
        <v>S1</v>
      </c>
      <c r="O302" s="2" t="str">
        <f t="shared" si="243"/>
        <v>S2</v>
      </c>
      <c r="P302" s="2" t="str">
        <f t="shared" si="243"/>
        <v>S3</v>
      </c>
      <c r="Q302" s="2" t="str">
        <f t="shared" si="243"/>
        <v>S4</v>
      </c>
      <c r="R302" s="2" t="str">
        <f t="shared" si="243"/>
        <v>S5</v>
      </c>
      <c r="S302" s="2" t="str">
        <f t="shared" ref="S302:AH302" si="270">S$2</f>
        <v>S6</v>
      </c>
      <c r="T302" s="2" t="str">
        <f t="shared" si="270"/>
        <v>S7</v>
      </c>
      <c r="U302" s="2" t="str">
        <f t="shared" si="270"/>
        <v>S8</v>
      </c>
      <c r="V302" s="2" t="str">
        <f t="shared" si="270"/>
        <v>S9</v>
      </c>
      <c r="W302" s="2" t="str">
        <f t="shared" si="270"/>
        <v>S10</v>
      </c>
      <c r="X302" s="2" t="str">
        <f t="shared" si="270"/>
        <v>S11</v>
      </c>
      <c r="Y302" s="2" t="str">
        <f t="shared" si="270"/>
        <v xml:space="preserve"> </v>
      </c>
      <c r="Z302" s="2" t="str">
        <f t="shared" si="270"/>
        <v xml:space="preserve"> </v>
      </c>
      <c r="AA302" s="2" t="str">
        <f t="shared" si="270"/>
        <v xml:space="preserve"> </v>
      </c>
      <c r="AB302" s="2" t="str">
        <f t="shared" si="270"/>
        <v xml:space="preserve"> </v>
      </c>
      <c r="AC302" s="2" t="str">
        <f t="shared" si="270"/>
        <v xml:space="preserve"> </v>
      </c>
      <c r="AD302" s="2" t="str">
        <f t="shared" si="270"/>
        <v xml:space="preserve"> </v>
      </c>
      <c r="AE302" s="2" t="str">
        <f t="shared" si="270"/>
        <v xml:space="preserve"> </v>
      </c>
      <c r="AF302" s="2" t="str">
        <f t="shared" si="270"/>
        <v xml:space="preserve"> </v>
      </c>
      <c r="AG302" s="2" t="str">
        <f t="shared" si="270"/>
        <v xml:space="preserve"> </v>
      </c>
      <c r="AH302" s="2" t="str">
        <f t="shared" si="270"/>
        <v xml:space="preserve"> </v>
      </c>
      <c r="AI302" s="2" t="str">
        <f t="shared" ref="AI302" si="271">AI$2</f>
        <v xml:space="preserve"> </v>
      </c>
      <c r="AJ302" s="2" t="s">
        <v>9</v>
      </c>
      <c r="AK302" s="2" t="s">
        <v>10</v>
      </c>
    </row>
    <row r="303" spans="1:37" ht="18" customHeight="1" x14ac:dyDescent="0.2">
      <c r="A303" s="1">
        <f t="shared" ref="A303" si="272">INDEX(C301:AI301,1,MATCH(B303,C302:AI302,0))</f>
        <v>0</v>
      </c>
      <c r="B303" s="2" t="str">
        <f>IF(AND('Data-solution'!A$3="Maximize",COUNTIF(C299:X299,"&gt;"&amp;0)&gt;0,AK288=MIN(AK288:AK298)),INDEX(C287:X287,1,MATCH(MAX(C299:X299),C299:X299,0)),IF(AND('Data-solution'!A$3="Minimize",COUNTIF(C299:X299,"&lt;"&amp;0)&gt;0,AK288=MIN(AK288:AK298)),INDEX(C287:X287,1,MATCH(MIN(C299:X299),C299:X299,0)),B288))</f>
        <v>S1</v>
      </c>
      <c r="C303" s="1">
        <f>IF(OR($B303&lt;&gt;$B288,$B304&lt;&gt;$B289,$B305&lt;&gt;$B290,$B306&lt;&gt;$B291,$B307&lt;&gt;$B292,$B308&lt;&gt;$B293,$B309&lt;&gt;$B294,$B310&lt;&gt;$B295,$B311&lt;&gt;$B296,$B312&lt;&gt;$B297,$B313&lt;&gt;$B298),IF($B303&lt;&gt;$B288,C288/INDEX($C288:$AJ298,1,MATCH(IF('Data-solution'!$A$3="Maximize",MAX($C299:$AI299),MIN($C299:$AI299)),$C299:$AI299,0)),C288-INDEX($C288:$AJ298,1,MATCH(IF('Data-solution'!$A$3="Maximize",MAX($C299:$AI299),MIN($C299:$AI299)),$C299:$AI299,0))*INDEX(C288:$AJ298,MATCH(MIN($AK288:$AK298),$AK288:$AK298,0),1)/INDEX($C288:$AJ298,MATCH(MIN($AK288:$AK298),$AK288:$AK298,0),MATCH(IF('Data-solution'!$A$3="Maximize",MAX($C299:$AI299),MIN($C299:$AI299)),$C299:$AI299,0))),C288)</f>
        <v>0</v>
      </c>
      <c r="D303" s="1">
        <f>IF(OR($B303&lt;&gt;$B288,$B304&lt;&gt;$B289,$B305&lt;&gt;$B290,$B306&lt;&gt;$B291,$B307&lt;&gt;$B292,$B308&lt;&gt;$B293,$B309&lt;&gt;$B294,$B310&lt;&gt;$B295,$B311&lt;&gt;$B296,$B312&lt;&gt;$B297,$B313&lt;&gt;$B298),IF($B303&lt;&gt;$B288,D288/INDEX($C288:$AJ298,1,MATCH(IF('Data-solution'!$A$3="Maximize",MAX($C299:$AI299),MIN($C299:$AI299)),$C299:$AI299,0)),D288-INDEX($C288:$AJ298,1,MATCH(IF('Data-solution'!$A$3="Maximize",MAX($C299:$AI299),MIN($C299:$AI299)),$C299:$AI299,0))*INDEX(D288:$AJ298,MATCH(MIN($AK288:$AK298),$AK288:$AK298,0),1)/INDEX($C288:$AJ298,MATCH(MIN($AK288:$AK298),$AK288:$AK298,0),MATCH(IF('Data-solution'!$A$3="Maximize",MAX($C299:$AI299),MIN($C299:$AI299)),$C299:$AI299,0))),D288)</f>
        <v>1</v>
      </c>
      <c r="E303" s="1">
        <f>IF(OR($B303&lt;&gt;$B288,$B304&lt;&gt;$B289,$B305&lt;&gt;$B290,$B306&lt;&gt;$B291,$B307&lt;&gt;$B292,$B308&lt;&gt;$B293,$B309&lt;&gt;$B294,$B310&lt;&gt;$B295,$B311&lt;&gt;$B296,$B312&lt;&gt;$B297,$B313&lt;&gt;$B298),IF($B303&lt;&gt;$B288,E288/INDEX($C288:$AJ298,1,MATCH(IF('Data-solution'!$A$3="Maximize",MAX($C299:$AI299),MIN($C299:$AI299)),$C299:$AI299,0)),E288-INDEX($C288:$AJ298,1,MATCH(IF('Data-solution'!$A$3="Maximize",MAX($C299:$AI299),MIN($C299:$AI299)),$C299:$AI299,0))*INDEX(E288:$AJ298,MATCH(MIN($AK288:$AK298),$AK288:$AK298,0),1)/INDEX($C288:$AJ298,MATCH(MIN($AK288:$AK298),$AK288:$AK298,0),MATCH(IF('Data-solution'!$A$3="Maximize",MAX($C299:$AI299),MIN($C299:$AI299)),$C299:$AI299,0))),E288)</f>
        <v>0</v>
      </c>
      <c r="F303" s="1">
        <f>IF(OR($B303&lt;&gt;$B288,$B304&lt;&gt;$B289,$B305&lt;&gt;$B290,$B306&lt;&gt;$B291,$B307&lt;&gt;$B292,$B308&lt;&gt;$B293,$B309&lt;&gt;$B294,$B310&lt;&gt;$B295,$B311&lt;&gt;$B296,$B312&lt;&gt;$B297,$B313&lt;&gt;$B298),IF($B303&lt;&gt;$B288,F288/INDEX($C288:$AJ298,1,MATCH(IF('Data-solution'!$A$3="Maximize",MAX($C299:$AI299),MIN($C299:$AI299)),$C299:$AI299,0)),F288-INDEX($C288:$AJ298,1,MATCH(IF('Data-solution'!$A$3="Maximize",MAX($C299:$AI299),MIN($C299:$AI299)),$C299:$AI299,0))*INDEX(F288:$AJ298,MATCH(MIN($AK288:$AK298),$AK288:$AK298,0),1)/INDEX($C288:$AJ298,MATCH(MIN($AK288:$AK298),$AK288:$AK298,0),MATCH(IF('Data-solution'!$A$3="Maximize",MAX($C299:$AI299),MIN($C299:$AI299)),$C299:$AI299,0))),F288)</f>
        <v>0</v>
      </c>
      <c r="G303" s="1">
        <f>IF(OR($B303&lt;&gt;$B288,$B304&lt;&gt;$B289,$B305&lt;&gt;$B290,$B306&lt;&gt;$B291,$B307&lt;&gt;$B292,$B308&lt;&gt;$B293,$B309&lt;&gt;$B294,$B310&lt;&gt;$B295,$B311&lt;&gt;$B296,$B312&lt;&gt;$B297,$B313&lt;&gt;$B298),IF($B303&lt;&gt;$B288,G288/INDEX($C288:$AJ298,1,MATCH(IF('Data-solution'!$A$3="Maximize",MAX($C299:$AI299),MIN($C299:$AI299)),$C299:$AI299,0)),G288-INDEX($C288:$AJ298,1,MATCH(IF('Data-solution'!$A$3="Maximize",MAX($C299:$AI299),MIN($C299:$AI299)),$C299:$AI299,0))*INDEX(G288:$AJ298,MATCH(MIN($AK288:$AK298),$AK288:$AK298,0),1)/INDEX($C288:$AJ298,MATCH(MIN($AK288:$AK298),$AK288:$AK298,0),MATCH(IF('Data-solution'!$A$3="Maximize",MAX($C299:$AI299),MIN($C299:$AI299)),$C299:$AI299,0))),G288)</f>
        <v>0</v>
      </c>
      <c r="H303" s="1">
        <f>IF(OR($B303&lt;&gt;$B288,$B304&lt;&gt;$B289,$B305&lt;&gt;$B290,$B306&lt;&gt;$B291,$B307&lt;&gt;$B292,$B308&lt;&gt;$B293,$B309&lt;&gt;$B294,$B310&lt;&gt;$B295,$B311&lt;&gt;$B296,$B312&lt;&gt;$B297,$B313&lt;&gt;$B298),IF($B303&lt;&gt;$B288,H288/INDEX($C288:$AJ298,1,MATCH(IF('Data-solution'!$A$3="Maximize",MAX($C299:$AI299),MIN($C299:$AI299)),$C299:$AI299,0)),H288-INDEX($C288:$AJ298,1,MATCH(IF('Data-solution'!$A$3="Maximize",MAX($C299:$AI299),MIN($C299:$AI299)),$C299:$AI299,0))*INDEX(H288:$AJ298,MATCH(MIN($AK288:$AK298),$AK288:$AK298,0),1)/INDEX($C288:$AJ298,MATCH(MIN($AK288:$AK298),$AK288:$AK298,0),MATCH(IF('Data-solution'!$A$3="Maximize",MAX($C299:$AI299),MIN($C299:$AI299)),$C299:$AI299,0))),H288)</f>
        <v>0</v>
      </c>
      <c r="I303" s="1">
        <f>IF(OR($B303&lt;&gt;$B288,$B304&lt;&gt;$B289,$B305&lt;&gt;$B290,$B306&lt;&gt;$B291,$B307&lt;&gt;$B292,$B308&lt;&gt;$B293,$B309&lt;&gt;$B294,$B310&lt;&gt;$B295,$B311&lt;&gt;$B296,$B312&lt;&gt;$B297,$B313&lt;&gt;$B298),IF($B303&lt;&gt;$B288,I288/INDEX($C288:$AJ298,1,MATCH(IF('Data-solution'!$A$3="Maximize",MAX($C299:$AI299),MIN($C299:$AI299)),$C299:$AI299,0)),I288-INDEX($C288:$AJ298,1,MATCH(IF('Data-solution'!$A$3="Maximize",MAX($C299:$AI299),MIN($C299:$AI299)),$C299:$AI299,0))*INDEX(I288:$AJ298,MATCH(MIN($AK288:$AK298),$AK288:$AK298,0),1)/INDEX($C288:$AJ298,MATCH(MIN($AK288:$AK298),$AK288:$AK298,0),MATCH(IF('Data-solution'!$A$3="Maximize",MAX($C299:$AI299),MIN($C299:$AI299)),$C299:$AI299,0))),I288)</f>
        <v>0</v>
      </c>
      <c r="J303" s="1">
        <f>IF(OR($B303&lt;&gt;$B288,$B304&lt;&gt;$B289,$B305&lt;&gt;$B290,$B306&lt;&gt;$B291,$B307&lt;&gt;$B292,$B308&lt;&gt;$B293,$B309&lt;&gt;$B294,$B310&lt;&gt;$B295,$B311&lt;&gt;$B296,$B312&lt;&gt;$B297,$B313&lt;&gt;$B298),IF($B303&lt;&gt;$B288,J288/INDEX($C288:$AJ298,1,MATCH(IF('Data-solution'!$A$3="Maximize",MAX($C299:$AI299),MIN($C299:$AI299)),$C299:$AI299,0)),J288-INDEX($C288:$AJ298,1,MATCH(IF('Data-solution'!$A$3="Maximize",MAX($C299:$AI299),MIN($C299:$AI299)),$C299:$AI299,0))*INDEX(J288:$AJ298,MATCH(MIN($AK288:$AK298),$AK288:$AK298,0),1)/INDEX($C288:$AJ298,MATCH(MIN($AK288:$AK298),$AK288:$AK298,0),MATCH(IF('Data-solution'!$A$3="Maximize",MAX($C299:$AI299),MIN($C299:$AI299)),$C299:$AI299,0))),J288)</f>
        <v>0</v>
      </c>
      <c r="K303" s="1">
        <f>IF(OR($B303&lt;&gt;$B288,$B304&lt;&gt;$B289,$B305&lt;&gt;$B290,$B306&lt;&gt;$B291,$B307&lt;&gt;$B292,$B308&lt;&gt;$B293,$B309&lt;&gt;$B294,$B310&lt;&gt;$B295,$B311&lt;&gt;$B296,$B312&lt;&gt;$B297,$B313&lt;&gt;$B298),IF($B303&lt;&gt;$B288,K288/INDEX($C288:$AJ298,1,MATCH(IF('Data-solution'!$A$3="Maximize",MAX($C299:$AI299),MIN($C299:$AI299)),$C299:$AI299,0)),K288-INDEX($C288:$AJ298,1,MATCH(IF('Data-solution'!$A$3="Maximize",MAX($C299:$AI299),MIN($C299:$AI299)),$C299:$AI299,0))*INDEX(K288:$AJ298,MATCH(MIN($AK288:$AK298),$AK288:$AK298,0),1)/INDEX($C288:$AJ298,MATCH(MIN($AK288:$AK298),$AK288:$AK298,0),MATCH(IF('Data-solution'!$A$3="Maximize",MAX($C299:$AI299),MIN($C299:$AI299)),$C299:$AI299,0))),K288)</f>
        <v>0</v>
      </c>
      <c r="L303" s="1">
        <f>IF(OR($B303&lt;&gt;$B288,$B304&lt;&gt;$B289,$B305&lt;&gt;$B290,$B306&lt;&gt;$B291,$B307&lt;&gt;$B292,$B308&lt;&gt;$B293,$B309&lt;&gt;$B294,$B310&lt;&gt;$B295,$B311&lt;&gt;$B296,$B312&lt;&gt;$B297,$B313&lt;&gt;$B298),IF($B303&lt;&gt;$B288,L288/INDEX($C288:$AJ298,1,MATCH(IF('Data-solution'!$A$3="Maximize",MAX($C299:$AI299),MIN($C299:$AI299)),$C299:$AI299,0)),L288-INDEX($C288:$AJ298,1,MATCH(IF('Data-solution'!$A$3="Maximize",MAX($C299:$AI299),MIN($C299:$AI299)),$C299:$AI299,0))*INDEX(L288:$AJ298,MATCH(MIN($AK288:$AK298),$AK288:$AK298,0),1)/INDEX($C288:$AJ298,MATCH(MIN($AK288:$AK298),$AK288:$AK298,0),MATCH(IF('Data-solution'!$A$3="Maximize",MAX($C299:$AI299),MIN($C299:$AI299)),$C299:$AI299,0))),L288)</f>
        <v>0</v>
      </c>
      <c r="M303" s="1">
        <f>IF(OR($B303&lt;&gt;$B288,$B304&lt;&gt;$B289,$B305&lt;&gt;$B290,$B306&lt;&gt;$B291,$B307&lt;&gt;$B292,$B308&lt;&gt;$B293,$B309&lt;&gt;$B294,$B310&lt;&gt;$B295,$B311&lt;&gt;$B296,$B312&lt;&gt;$B297,$B313&lt;&gt;$B298),IF($B303&lt;&gt;$B288,M288/INDEX($C288:$AJ298,1,MATCH(IF('Data-solution'!$A$3="Maximize",MAX($C299:$AI299),MIN($C299:$AI299)),$C299:$AI299,0)),M288-INDEX($C288:$AJ298,1,MATCH(IF('Data-solution'!$A$3="Maximize",MAX($C299:$AI299),MIN($C299:$AI299)),$C299:$AI299,0))*INDEX(M288:$AJ298,MATCH(MIN($AK288:$AK298),$AK288:$AK298,0),1)/INDEX($C288:$AJ298,MATCH(MIN($AK288:$AK298),$AK288:$AK298,0),MATCH(IF('Data-solution'!$A$3="Maximize",MAX($C299:$AI299),MIN($C299:$AI299)),$C299:$AI299,0))),M288)</f>
        <v>0</v>
      </c>
      <c r="N303" s="1">
        <f>IF(OR($B303&lt;&gt;$B288,$B304&lt;&gt;$B289,$B305&lt;&gt;$B290,$B306&lt;&gt;$B291,$B307&lt;&gt;$B292,$B308&lt;&gt;$B293,$B309&lt;&gt;$B294,$B310&lt;&gt;$B295,$B311&lt;&gt;$B296,$B312&lt;&gt;$B297,$B313&lt;&gt;$B298),IF($B303&lt;&gt;$B288,N288/INDEX($C288:$AJ298,1,MATCH(IF('Data-solution'!$A$3="Maximize",MAX($C299:$AI299),MIN($C299:$AI299)),$C299:$AI299,0)),N288-INDEX($C288:$AJ298,1,MATCH(IF('Data-solution'!$A$3="Maximize",MAX($C299:$AI299),MIN($C299:$AI299)),$C299:$AI299,0))*INDEX(N288:$AJ298,MATCH(MIN($AK288:$AK298),$AK288:$AK298,0),1)/INDEX($C288:$AJ298,MATCH(MIN($AK288:$AK298),$AK288:$AK298,0),MATCH(IF('Data-solution'!$A$3="Maximize",MAX($C299:$AI299),MIN($C299:$AI299)),$C299:$AI299,0))),N288)</f>
        <v>1</v>
      </c>
      <c r="O303" s="1">
        <f>IF(OR($B303&lt;&gt;$B288,$B304&lt;&gt;$B289,$B305&lt;&gt;$B290,$B306&lt;&gt;$B291,$B307&lt;&gt;$B292,$B308&lt;&gt;$B293,$B309&lt;&gt;$B294,$B310&lt;&gt;$B295,$B311&lt;&gt;$B296,$B312&lt;&gt;$B297,$B313&lt;&gt;$B298),IF($B303&lt;&gt;$B288,O288/INDEX($C288:$AJ298,1,MATCH(IF('Data-solution'!$A$3="Maximize",MAX($C299:$AI299),MIN($C299:$AI299)),$C299:$AI299,0)),O288-INDEX($C288:$AJ298,1,MATCH(IF('Data-solution'!$A$3="Maximize",MAX($C299:$AI299),MIN($C299:$AI299)),$C299:$AI299,0))*INDEX(O288:$AJ298,MATCH(MIN($AK288:$AK298),$AK288:$AK298,0),1)/INDEX($C288:$AJ298,MATCH(MIN($AK288:$AK298),$AK288:$AK298,0),MATCH(IF('Data-solution'!$A$3="Maximize",MAX($C299:$AI299),MIN($C299:$AI299)),$C299:$AI299,0))),O288)</f>
        <v>0</v>
      </c>
      <c r="P303" s="1">
        <f>IF(OR($B303&lt;&gt;$B288,$B304&lt;&gt;$B289,$B305&lt;&gt;$B290,$B306&lt;&gt;$B291,$B307&lt;&gt;$B292,$B308&lt;&gt;$B293,$B309&lt;&gt;$B294,$B310&lt;&gt;$B295,$B311&lt;&gt;$B296,$B312&lt;&gt;$B297,$B313&lt;&gt;$B298),IF($B303&lt;&gt;$B288,P288/INDEX($C288:$AJ298,1,MATCH(IF('Data-solution'!$A$3="Maximize",MAX($C299:$AI299),MIN($C299:$AI299)),$C299:$AI299,0)),P288-INDEX($C288:$AJ298,1,MATCH(IF('Data-solution'!$A$3="Maximize",MAX($C299:$AI299),MIN($C299:$AI299)),$C299:$AI299,0))*INDEX(P288:$AJ298,MATCH(MIN($AK288:$AK298),$AK288:$AK298,0),1)/INDEX($C288:$AJ298,MATCH(MIN($AK288:$AK298),$AK288:$AK298,0),MATCH(IF('Data-solution'!$A$3="Maximize",MAX($C299:$AI299),MIN($C299:$AI299)),$C299:$AI299,0))),P288)</f>
        <v>0</v>
      </c>
      <c r="Q303" s="1">
        <f>IF(OR($B303&lt;&gt;$B288,$B304&lt;&gt;$B289,$B305&lt;&gt;$B290,$B306&lt;&gt;$B291,$B307&lt;&gt;$B292,$B308&lt;&gt;$B293,$B309&lt;&gt;$B294,$B310&lt;&gt;$B295,$B311&lt;&gt;$B296,$B312&lt;&gt;$B297,$B313&lt;&gt;$B298),IF($B303&lt;&gt;$B288,Q288/INDEX($C288:$AJ298,1,MATCH(IF('Data-solution'!$A$3="Maximize",MAX($C299:$AI299),MIN($C299:$AI299)),$C299:$AI299,0)),Q288-INDEX($C288:$AJ298,1,MATCH(IF('Data-solution'!$A$3="Maximize",MAX($C299:$AI299),MIN($C299:$AI299)),$C299:$AI299,0))*INDEX(Q288:$AJ298,MATCH(MIN($AK288:$AK298),$AK288:$AK298,0),1)/INDEX($C288:$AJ298,MATCH(MIN($AK288:$AK298),$AK288:$AK298,0),MATCH(IF('Data-solution'!$A$3="Maximize",MAX($C299:$AI299),MIN($C299:$AI299)),$C299:$AI299,0))),Q288)</f>
        <v>-1</v>
      </c>
      <c r="R303" s="1">
        <f>IF(OR($B303&lt;&gt;$B288,$B304&lt;&gt;$B289,$B305&lt;&gt;$B290,$B306&lt;&gt;$B291,$B307&lt;&gt;$B292,$B308&lt;&gt;$B293,$B309&lt;&gt;$B294,$B310&lt;&gt;$B295,$B311&lt;&gt;$B296,$B312&lt;&gt;$B297,$B313&lt;&gt;$B298),IF($B303&lt;&gt;$B288,R288/INDEX($C288:$AJ298,1,MATCH(IF('Data-solution'!$A$3="Maximize",MAX($C299:$AI299),MIN($C299:$AI299)),$C299:$AI299,0)),R288-INDEX($C288:$AJ298,1,MATCH(IF('Data-solution'!$A$3="Maximize",MAX($C299:$AI299),MIN($C299:$AI299)),$C299:$AI299,0))*INDEX(R288:$AJ298,MATCH(MIN($AK288:$AK298),$AK288:$AK298,0),1)/INDEX($C288:$AJ298,MATCH(MIN($AK288:$AK298),$AK288:$AK298,0),MATCH(IF('Data-solution'!$A$3="Maximize",MAX($C299:$AI299),MIN($C299:$AI299)),$C299:$AI299,0))),R288)</f>
        <v>0</v>
      </c>
      <c r="S303" s="1">
        <f>IF(OR($B303&lt;&gt;$B288,$B304&lt;&gt;$B289,$B305&lt;&gt;$B290,$B306&lt;&gt;$B291,$B307&lt;&gt;$B292,$B308&lt;&gt;$B293,$B309&lt;&gt;$B294,$B310&lt;&gt;$B295,$B311&lt;&gt;$B296,$B312&lt;&gt;$B297,$B313&lt;&gt;$B298),IF($B303&lt;&gt;$B288,S288/INDEX($C288:$AJ298,1,MATCH(IF('Data-solution'!$A$3="Maximize",MAX($C299:$AI299),MIN($C299:$AI299)),$C299:$AI299,0)),S288-INDEX($C288:$AJ298,1,MATCH(IF('Data-solution'!$A$3="Maximize",MAX($C299:$AI299),MIN($C299:$AI299)),$C299:$AI299,0))*INDEX(S288:$AJ298,MATCH(MIN($AK288:$AK298),$AK288:$AK298,0),1)/INDEX($C288:$AJ298,MATCH(MIN($AK288:$AK298),$AK288:$AK298,0),MATCH(IF('Data-solution'!$A$3="Maximize",MAX($C299:$AI299),MIN($C299:$AI299)),$C299:$AI299,0))),S288)</f>
        <v>0</v>
      </c>
      <c r="T303" s="1">
        <f>IF(OR($B303&lt;&gt;$B288,$B304&lt;&gt;$B289,$B305&lt;&gt;$B290,$B306&lt;&gt;$B291,$B307&lt;&gt;$B292,$B308&lt;&gt;$B293,$B309&lt;&gt;$B294,$B310&lt;&gt;$B295,$B311&lt;&gt;$B296,$B312&lt;&gt;$B297,$B313&lt;&gt;$B298),IF($B303&lt;&gt;$B288,T288/INDEX($C288:$AJ298,1,MATCH(IF('Data-solution'!$A$3="Maximize",MAX($C299:$AI299),MIN($C299:$AI299)),$C299:$AI299,0)),T288-INDEX($C288:$AJ298,1,MATCH(IF('Data-solution'!$A$3="Maximize",MAX($C299:$AI299),MIN($C299:$AI299)),$C299:$AI299,0))*INDEX(T288:$AJ298,MATCH(MIN($AK288:$AK298),$AK288:$AK298,0),1)/INDEX($C288:$AJ298,MATCH(MIN($AK288:$AK298),$AK288:$AK298,0),MATCH(IF('Data-solution'!$A$3="Maximize",MAX($C299:$AI299),MIN($C299:$AI299)),$C299:$AI299,0))),T288)</f>
        <v>0</v>
      </c>
      <c r="U303" s="1">
        <f>IF(OR($B303&lt;&gt;$B288,$B304&lt;&gt;$B289,$B305&lt;&gt;$B290,$B306&lt;&gt;$B291,$B307&lt;&gt;$B292,$B308&lt;&gt;$B293,$B309&lt;&gt;$B294,$B310&lt;&gt;$B295,$B311&lt;&gt;$B296,$B312&lt;&gt;$B297,$B313&lt;&gt;$B298),IF($B303&lt;&gt;$B288,U288/INDEX($C288:$AJ298,1,MATCH(IF('Data-solution'!$A$3="Maximize",MAX($C299:$AI299),MIN($C299:$AI299)),$C299:$AI299,0)),U288-INDEX($C288:$AJ298,1,MATCH(IF('Data-solution'!$A$3="Maximize",MAX($C299:$AI299),MIN($C299:$AI299)),$C299:$AI299,0))*INDEX(U288:$AJ298,MATCH(MIN($AK288:$AK298),$AK288:$AK298,0),1)/INDEX($C288:$AJ298,MATCH(MIN($AK288:$AK298),$AK288:$AK298,0),MATCH(IF('Data-solution'!$A$3="Maximize",MAX($C299:$AI299),MIN($C299:$AI299)),$C299:$AI299,0))),U288)</f>
        <v>0</v>
      </c>
      <c r="V303" s="1">
        <f>IF(OR($B303&lt;&gt;$B288,$B304&lt;&gt;$B289,$B305&lt;&gt;$B290,$B306&lt;&gt;$B291,$B307&lt;&gt;$B292,$B308&lt;&gt;$B293,$B309&lt;&gt;$B294,$B310&lt;&gt;$B295,$B311&lt;&gt;$B296,$B312&lt;&gt;$B297,$B313&lt;&gt;$B298),IF($B303&lt;&gt;$B288,V288/INDEX($C288:$AJ298,1,MATCH(IF('Data-solution'!$A$3="Maximize",MAX($C299:$AI299),MIN($C299:$AI299)),$C299:$AI299,0)),V288-INDEX($C288:$AJ298,1,MATCH(IF('Data-solution'!$A$3="Maximize",MAX($C299:$AI299),MIN($C299:$AI299)),$C299:$AI299,0))*INDEX(V288:$AJ298,MATCH(MIN($AK288:$AK298),$AK288:$AK298,0),1)/INDEX($C288:$AJ298,MATCH(MIN($AK288:$AK298),$AK288:$AK298,0),MATCH(IF('Data-solution'!$A$3="Maximize",MAX($C299:$AI299),MIN($C299:$AI299)),$C299:$AI299,0))),V288)</f>
        <v>0</v>
      </c>
      <c r="W303" s="1">
        <f>IF(OR($B303&lt;&gt;$B288,$B304&lt;&gt;$B289,$B305&lt;&gt;$B290,$B306&lt;&gt;$B291,$B307&lt;&gt;$B292,$B308&lt;&gt;$B293,$B309&lt;&gt;$B294,$B310&lt;&gt;$B295,$B311&lt;&gt;$B296,$B312&lt;&gt;$B297,$B313&lt;&gt;$B298),IF($B303&lt;&gt;$B288,W288/INDEX($C288:$AJ298,1,MATCH(IF('Data-solution'!$A$3="Maximize",MAX($C299:$AI299),MIN($C299:$AI299)),$C299:$AI299,0)),W288-INDEX($C288:$AJ298,1,MATCH(IF('Data-solution'!$A$3="Maximize",MAX($C299:$AI299),MIN($C299:$AI299)),$C299:$AI299,0))*INDEX(W288:$AJ298,MATCH(MIN($AK288:$AK298),$AK288:$AK298,0),1)/INDEX($C288:$AJ298,MATCH(MIN($AK288:$AK298),$AK288:$AK298,0),MATCH(IF('Data-solution'!$A$3="Maximize",MAX($C299:$AI299),MIN($C299:$AI299)),$C299:$AI299,0))),W288)</f>
        <v>0</v>
      </c>
      <c r="X303" s="1">
        <f>IF(OR($B303&lt;&gt;$B288,$B304&lt;&gt;$B289,$B305&lt;&gt;$B290,$B306&lt;&gt;$B291,$B307&lt;&gt;$B292,$B308&lt;&gt;$B293,$B309&lt;&gt;$B294,$B310&lt;&gt;$B295,$B311&lt;&gt;$B296,$B312&lt;&gt;$B297,$B313&lt;&gt;$B298),IF($B303&lt;&gt;$B288,X288/INDEX($C288:$AJ298,1,MATCH(IF('Data-solution'!$A$3="Maximize",MAX($C299:$AI299),MIN($C299:$AI299)),$C299:$AI299,0)),X288-INDEX($C288:$AJ298,1,MATCH(IF('Data-solution'!$A$3="Maximize",MAX($C299:$AI299),MIN($C299:$AI299)),$C299:$AI299,0))*INDEX(X288:$AJ298,MATCH(MIN($AK288:$AK298),$AK288:$AK298,0),1)/INDEX($C288:$AJ298,MATCH(MIN($AK288:$AK298),$AK288:$AK298,0),MATCH(IF('Data-solution'!$A$3="Maximize",MAX($C299:$AI299),MIN($C299:$AI299)),$C299:$AI299,0))),X288)</f>
        <v>0</v>
      </c>
      <c r="Y303" s="1">
        <f>IF(OR($B303&lt;&gt;$B288,$B304&lt;&gt;$B289,$B305&lt;&gt;$B290,$B306&lt;&gt;$B291,$B307&lt;&gt;$B292,$B308&lt;&gt;$B293,$B309&lt;&gt;$B294,$B310&lt;&gt;$B295,$B311&lt;&gt;$B296,$B312&lt;&gt;$B297,$B313&lt;&gt;$B298),IF($B303&lt;&gt;$B288,Y288/INDEX($C288:$AJ298,1,MATCH(IF('Data-solution'!$A$3="Maximize",MAX($C299:$AI299),MIN($C299:$AI299)),$C299:$AI299,0)),Y288-INDEX($C288:$AJ298,1,MATCH(IF('Data-solution'!$A$3="Maximize",MAX($C299:$AI299),MIN($C299:$AI299)),$C299:$AI299,0))*INDEX(Y288:$AJ298,MATCH(MIN($AK288:$AK298),$AK288:$AK298,0),1)/INDEX($C288:$AJ298,MATCH(MIN($AK288:$AK298),$AK288:$AK298,0),MATCH(IF('Data-solution'!$A$3="Maximize",MAX($C299:$AI299),MIN($C299:$AI299)),$C299:$AI299,0))),Y288)</f>
        <v>1</v>
      </c>
      <c r="Z303" s="1">
        <f>IF(OR($B303&lt;&gt;$B288,$B304&lt;&gt;$B289,$B305&lt;&gt;$B290,$B306&lt;&gt;$B291,$B307&lt;&gt;$B292,$B308&lt;&gt;$B293,$B309&lt;&gt;$B294,$B310&lt;&gt;$B295,$B311&lt;&gt;$B296,$B312&lt;&gt;$B297,$B313&lt;&gt;$B298),IF($B303&lt;&gt;$B288,Z288/INDEX($C288:$AJ298,1,MATCH(IF('Data-solution'!$A$3="Maximize",MAX($C299:$AI299),MIN($C299:$AI299)),$C299:$AI299,0)),Z288-INDEX($C288:$AJ298,1,MATCH(IF('Data-solution'!$A$3="Maximize",MAX($C299:$AI299),MIN($C299:$AI299)),$C299:$AI299,0))*INDEX(Z288:$AJ298,MATCH(MIN($AK288:$AK298),$AK288:$AK298,0),1)/INDEX($C288:$AJ298,MATCH(MIN($AK288:$AK298),$AK288:$AK298,0),MATCH(IF('Data-solution'!$A$3="Maximize",MAX($C299:$AI299),MIN($C299:$AI299)),$C299:$AI299,0))),Z288)</f>
        <v>0</v>
      </c>
      <c r="AA303" s="1">
        <f>IF(OR($B303&lt;&gt;$B288,$B304&lt;&gt;$B289,$B305&lt;&gt;$B290,$B306&lt;&gt;$B291,$B307&lt;&gt;$B292,$B308&lt;&gt;$B293,$B309&lt;&gt;$B294,$B310&lt;&gt;$B295,$B311&lt;&gt;$B296,$B312&lt;&gt;$B297,$B313&lt;&gt;$B298),IF($B303&lt;&gt;$B288,AA288/INDEX($C288:$AJ298,1,MATCH(IF('Data-solution'!$A$3="Maximize",MAX($C299:$AI299),MIN($C299:$AI299)),$C299:$AI299,0)),AA288-INDEX($C288:$AJ298,1,MATCH(IF('Data-solution'!$A$3="Maximize",MAX($C299:$AI299),MIN($C299:$AI299)),$C299:$AI299,0))*INDEX(AA288:$AJ298,MATCH(MIN($AK288:$AK298),$AK288:$AK298,0),1)/INDEX($C288:$AJ298,MATCH(MIN($AK288:$AK298),$AK288:$AK298,0),MATCH(IF('Data-solution'!$A$3="Maximize",MAX($C299:$AI299),MIN($C299:$AI299)),$C299:$AI299,0))),AA288)</f>
        <v>0</v>
      </c>
      <c r="AB303" s="1">
        <f>IF(OR($B303&lt;&gt;$B288,$B304&lt;&gt;$B289,$B305&lt;&gt;$B290,$B306&lt;&gt;$B291,$B307&lt;&gt;$B292,$B308&lt;&gt;$B293,$B309&lt;&gt;$B294,$B310&lt;&gt;$B295,$B311&lt;&gt;$B296,$B312&lt;&gt;$B297,$B313&lt;&gt;$B298),IF($B303&lt;&gt;$B288,AB288/INDEX($C288:$AJ298,1,MATCH(IF('Data-solution'!$A$3="Maximize",MAX($C299:$AI299),MIN($C299:$AI299)),$C299:$AI299,0)),AB288-INDEX($C288:$AJ298,1,MATCH(IF('Data-solution'!$A$3="Maximize",MAX($C299:$AI299),MIN($C299:$AI299)),$C299:$AI299,0))*INDEX(AB288:$AJ298,MATCH(MIN($AK288:$AK298),$AK288:$AK298,0),1)/INDEX($C288:$AJ298,MATCH(MIN($AK288:$AK298),$AK288:$AK298,0),MATCH(IF('Data-solution'!$A$3="Maximize",MAX($C299:$AI299),MIN($C299:$AI299)),$C299:$AI299,0))),AB288)</f>
        <v>-1</v>
      </c>
      <c r="AC303" s="1">
        <f>IF(OR($B303&lt;&gt;$B288,$B304&lt;&gt;$B289,$B305&lt;&gt;$B290,$B306&lt;&gt;$B291,$B307&lt;&gt;$B292,$B308&lt;&gt;$B293,$B309&lt;&gt;$B294,$B310&lt;&gt;$B295,$B311&lt;&gt;$B296,$B312&lt;&gt;$B297,$B313&lt;&gt;$B298),IF($B303&lt;&gt;$B288,AC288/INDEX($C288:$AJ298,1,MATCH(IF('Data-solution'!$A$3="Maximize",MAX($C299:$AI299),MIN($C299:$AI299)),$C299:$AI299,0)),AC288-INDEX($C288:$AJ298,1,MATCH(IF('Data-solution'!$A$3="Maximize",MAX($C299:$AI299),MIN($C299:$AI299)),$C299:$AI299,0))*INDEX(AC288:$AJ298,MATCH(MIN($AK288:$AK298),$AK288:$AK298,0),1)/INDEX($C288:$AJ298,MATCH(MIN($AK288:$AK298),$AK288:$AK298,0),MATCH(IF('Data-solution'!$A$3="Maximize",MAX($C299:$AI299),MIN($C299:$AI299)),$C299:$AI299,0))),AC288)</f>
        <v>0</v>
      </c>
      <c r="AD303" s="1">
        <f>IF(OR($B303&lt;&gt;$B288,$B304&lt;&gt;$B289,$B305&lt;&gt;$B290,$B306&lt;&gt;$B291,$B307&lt;&gt;$B292,$B308&lt;&gt;$B293,$B309&lt;&gt;$B294,$B310&lt;&gt;$B295,$B311&lt;&gt;$B296,$B312&lt;&gt;$B297,$B313&lt;&gt;$B298),IF($B303&lt;&gt;$B288,AD288/INDEX($C288:$AJ298,1,MATCH(IF('Data-solution'!$A$3="Maximize",MAX($C299:$AI299),MIN($C299:$AI299)),$C299:$AI299,0)),AD288-INDEX($C288:$AJ298,1,MATCH(IF('Data-solution'!$A$3="Maximize",MAX($C299:$AI299),MIN($C299:$AI299)),$C299:$AI299,0))*INDEX(AD288:$AJ298,MATCH(MIN($AK288:$AK298),$AK288:$AK298,0),1)/INDEX($C288:$AJ298,MATCH(MIN($AK288:$AK298),$AK288:$AK298,0),MATCH(IF('Data-solution'!$A$3="Maximize",MAX($C299:$AI299),MIN($C299:$AI299)),$C299:$AI299,0))),AD288)</f>
        <v>0</v>
      </c>
      <c r="AE303" s="1">
        <f>IF(OR($B303&lt;&gt;$B288,$B304&lt;&gt;$B289,$B305&lt;&gt;$B290,$B306&lt;&gt;$B291,$B307&lt;&gt;$B292,$B308&lt;&gt;$B293,$B309&lt;&gt;$B294,$B310&lt;&gt;$B295,$B311&lt;&gt;$B296,$B312&lt;&gt;$B297,$B313&lt;&gt;$B298),IF($B303&lt;&gt;$B288,AE288/INDEX($C288:$AJ298,1,MATCH(IF('Data-solution'!$A$3="Maximize",MAX($C299:$AI299),MIN($C299:$AI299)),$C299:$AI299,0)),AE288-INDEX($C288:$AJ298,1,MATCH(IF('Data-solution'!$A$3="Maximize",MAX($C299:$AI299),MIN($C299:$AI299)),$C299:$AI299,0))*INDEX(AE288:$AJ298,MATCH(MIN($AK288:$AK298),$AK288:$AK298,0),1)/INDEX($C288:$AJ298,MATCH(MIN($AK288:$AK298),$AK288:$AK298,0),MATCH(IF('Data-solution'!$A$3="Maximize",MAX($C299:$AI299),MIN($C299:$AI299)),$C299:$AI299,0))),AE288)</f>
        <v>0</v>
      </c>
      <c r="AF303" s="1">
        <f>IF(OR($B303&lt;&gt;$B288,$B304&lt;&gt;$B289,$B305&lt;&gt;$B290,$B306&lt;&gt;$B291,$B307&lt;&gt;$B292,$B308&lt;&gt;$B293,$B309&lt;&gt;$B294,$B310&lt;&gt;$B295,$B311&lt;&gt;$B296,$B312&lt;&gt;$B297,$B313&lt;&gt;$B298),IF($B303&lt;&gt;$B288,AF288/INDEX($C288:$AJ298,1,MATCH(IF('Data-solution'!$A$3="Maximize",MAX($C299:$AI299),MIN($C299:$AI299)),$C299:$AI299,0)),AF288-INDEX($C288:$AJ298,1,MATCH(IF('Data-solution'!$A$3="Maximize",MAX($C299:$AI299),MIN($C299:$AI299)),$C299:$AI299,0))*INDEX(AF288:$AJ298,MATCH(MIN($AK288:$AK298),$AK288:$AK298,0),1)/INDEX($C288:$AJ298,MATCH(MIN($AK288:$AK298),$AK288:$AK298,0),MATCH(IF('Data-solution'!$A$3="Maximize",MAX($C299:$AI299),MIN($C299:$AI299)),$C299:$AI299,0))),AF288)</f>
        <v>0</v>
      </c>
      <c r="AG303" s="1">
        <f>IF(OR($B303&lt;&gt;$B288,$B304&lt;&gt;$B289,$B305&lt;&gt;$B290,$B306&lt;&gt;$B291,$B307&lt;&gt;$B292,$B308&lt;&gt;$B293,$B309&lt;&gt;$B294,$B310&lt;&gt;$B295,$B311&lt;&gt;$B296,$B312&lt;&gt;$B297,$B313&lt;&gt;$B298),IF($B303&lt;&gt;$B288,AG288/INDEX($C288:$AJ298,1,MATCH(IF('Data-solution'!$A$3="Maximize",MAX($C299:$AI299),MIN($C299:$AI299)),$C299:$AI299,0)),AG288-INDEX($C288:$AJ298,1,MATCH(IF('Data-solution'!$A$3="Maximize",MAX($C299:$AI299),MIN($C299:$AI299)),$C299:$AI299,0))*INDEX(AG288:$AJ298,MATCH(MIN($AK288:$AK298),$AK288:$AK298,0),1)/INDEX($C288:$AJ298,MATCH(MIN($AK288:$AK298),$AK288:$AK298,0),MATCH(IF('Data-solution'!$A$3="Maximize",MAX($C299:$AI299),MIN($C299:$AI299)),$C299:$AI299,0))),AG288)</f>
        <v>0</v>
      </c>
      <c r="AH303" s="1">
        <f>IF(OR($B303&lt;&gt;$B288,$B304&lt;&gt;$B289,$B305&lt;&gt;$B290,$B306&lt;&gt;$B291,$B307&lt;&gt;$B292,$B308&lt;&gt;$B293,$B309&lt;&gt;$B294,$B310&lt;&gt;$B295,$B311&lt;&gt;$B296,$B312&lt;&gt;$B297,$B313&lt;&gt;$B298),IF($B303&lt;&gt;$B288,AH288/INDEX($C288:$AJ298,1,MATCH(IF('Data-solution'!$A$3="Maximize",MAX($C299:$AI299),MIN($C299:$AI299)),$C299:$AI299,0)),AH288-INDEX($C288:$AJ298,1,MATCH(IF('Data-solution'!$A$3="Maximize",MAX($C299:$AI299),MIN($C299:$AI299)),$C299:$AI299,0))*INDEX(AH288:$AJ298,MATCH(MIN($AK288:$AK298),$AK288:$AK298,0),1)/INDEX($C288:$AJ298,MATCH(MIN($AK288:$AK298),$AK288:$AK298,0),MATCH(IF('Data-solution'!$A$3="Maximize",MAX($C299:$AI299),MIN($C299:$AI299)),$C299:$AI299,0))),AH288)</f>
        <v>0</v>
      </c>
      <c r="AI303" s="1">
        <f>IF(OR($B303&lt;&gt;$B288,$B304&lt;&gt;$B289,$B305&lt;&gt;$B290,$B306&lt;&gt;$B291,$B307&lt;&gt;$B292,$B308&lt;&gt;$B293,$B309&lt;&gt;$B294,$B310&lt;&gt;$B295,$B311&lt;&gt;$B296,$B312&lt;&gt;$B297,$B313&lt;&gt;$B298),IF($B303&lt;&gt;$B288,AI288/INDEX($C288:$AJ298,1,MATCH(IF('Data-solution'!$A$3="Maximize",MAX($C299:$AI299),MIN($C299:$AI299)),$C299:$AI299,0)),AI288-INDEX($C288:$AJ298,1,MATCH(IF('Data-solution'!$A$3="Maximize",MAX($C299:$AI299),MIN($C299:$AI299)),$C299:$AI299,0))*INDEX(AI288:$AJ298,MATCH(MIN($AK288:$AK298),$AK288:$AK298,0),1)/INDEX($C288:$AJ298,MATCH(MIN($AK288:$AK298),$AK288:$AK298,0),MATCH(IF('Data-solution'!$A$3="Maximize",MAX($C299:$AI299),MIN($C299:$AI299)),$C299:$AI299,0))),AI288)</f>
        <v>0</v>
      </c>
      <c r="AJ303" s="1">
        <f>IF(OR($B303&lt;&gt;$B288,$B304&lt;&gt;$B289,$B305&lt;&gt;$B290,$B306&lt;&gt;$B291,$B307&lt;&gt;$B292,$B308&lt;&gt;$B293,$B309&lt;&gt;$B294,$B310&lt;&gt;$B295,$B311&lt;&gt;$B296,$B312&lt;&gt;$B297,$B313&lt;&gt;$B298),IF($B303&lt;&gt;$B288,AJ288/INDEX($C288:$AJ298,1,MATCH(IF('Data-solution'!$A$3="Maximize",MAX($C299:$AI299),MIN($C299:$AI299)),$C299:$AI299,0)),AJ288-INDEX($C288:$AJ298,1,MATCH(IF('Data-solution'!$A$3="Maximize",MAX($C299:$AI299),MIN($C299:$AI299)),$C299:$AI299,0))*INDEX(AJ288:$AJ298,MATCH(MIN($AK288:$AK298),$AK288:$AK298,0),1)/INDEX($C288:$AJ298,MATCH(MIN($AK288:$AK298),$AK288:$AK298,0),MATCH(IF('Data-solution'!$A$3="Maximize",MAX($C299:$AI299),MIN($C299:$AI299)),$C299:$AI299,0))),AJ288)</f>
        <v>150</v>
      </c>
      <c r="AK303" s="1" t="str">
        <f>IF(INDEX(C303:X303,1,MATCH(IF('Data-solution'!A$3="Maximize",MAX(C314:X314),MIN(C314:X314)),C314:X314,0))&gt;0,AJ303/INDEX(C303:X303,1,MATCH(IF('Data-solution'!A$3="Maximize",MAX(C314:X314),MIN(C314:X314)),C314:X314,0))," ")</f>
        <v xml:space="preserve"> </v>
      </c>
    </row>
    <row r="304" spans="1:37" ht="18" customHeight="1" x14ac:dyDescent="0.2">
      <c r="A304" s="1">
        <f t="shared" ref="A304" si="273">INDEX(C301:AI301,1,MATCH(B304,C302:AI302,0))</f>
        <v>0</v>
      </c>
      <c r="B304" s="2" t="str">
        <f>IF(AND('Data-solution'!A$3="Maximize",COUNTIF(C299:X299,"&gt;"&amp;0)&gt;0,AK289=MIN(AK288:AK298),COUNTIF(B303,INDEX(C287:X287,1,MATCH(MAX(C299:X299),C299:X299,0)))=0),INDEX(C287:X287,1,MATCH(MAX(C299:X299),C299:X299,0)),IF(AND('Data-solution'!A$3="Minimize",COUNTIF(C299:X299,"&lt;"&amp;0)&gt;0,AK289=MIN(AK288:AK298),COUNTIF(B303,INDEX(C287:X287,1,MATCH(MIN(C299:X299),C299:X299,0)))=0),INDEX(C287:X287,1,MATCH(MIN(C299:X299),C299:X299,0)),B289))</f>
        <v>S2</v>
      </c>
      <c r="C304" s="1">
        <f>IF(OR($B303&lt;&gt;$B288,$B304&lt;&gt;$B289,$B305&lt;&gt;$B290,$B306&lt;&gt;$B291,$B307&lt;&gt;$B292,$B308&lt;&gt;$B293,$B309&lt;&gt;$B294,$B310&lt;&gt;$B295,$B311&lt;&gt;$B296,$B312&lt;&gt;$B297,$B313&lt;&gt;$B298),IF($B304&lt;&gt;$B289,C289/INDEX($C288:$AJ298,2,MATCH(IF('Data-solution'!$A$3="Maximize",MAX($C299:$AI299),MIN($C299:$AI299)),$C299:$AI299,0)),C289-INDEX($C288:$AJ298,2,MATCH(IF('Data-solution'!$A$3="Maximize",MAX($C299:$AI299),MIN($C299:$AI299)),$C299:$AI299,0))*INDEX(C288:$AJ298,MATCH(MIN($AK288:$AK298),$AK288:$AK298,0),1)/INDEX($C288:$AJ298,MATCH(MIN($AK288:$AK298),$AK288:$AK298,0),MATCH(IF('Data-solution'!$A$3="Maximize",MAX($C299:$AI299),MIN($C299:$AI299)),$C299:$AI299,0))),C289)</f>
        <v>0</v>
      </c>
      <c r="D304" s="1">
        <f>IF(OR($B303&lt;&gt;$B288,$B304&lt;&gt;$B289,$B305&lt;&gt;$B290,$B306&lt;&gt;$B291,$B307&lt;&gt;$B292,$B308&lt;&gt;$B293,$B309&lt;&gt;$B294,$B310&lt;&gt;$B295,$B311&lt;&gt;$B296,$B312&lt;&gt;$B297,$B313&lt;&gt;$B298),IF($B304&lt;&gt;$B289,D289/INDEX($C288:$AJ298,2,MATCH(IF('Data-solution'!$A$3="Maximize",MAX($C299:$AI299),MIN($C299:$AI299)),$C299:$AI299,0)),D289-INDEX($C288:$AJ298,2,MATCH(IF('Data-solution'!$A$3="Maximize",MAX($C299:$AI299),MIN($C299:$AI299)),$C299:$AI299,0))*INDEX(D288:$AJ298,MATCH(MIN($AK288:$AK298),$AK288:$AK298,0),1)/INDEX($C288:$AJ298,MATCH(MIN($AK288:$AK298),$AK288:$AK298,0),MATCH(IF('Data-solution'!$A$3="Maximize",MAX($C299:$AI299),MIN($C299:$AI299)),$C299:$AI299,0))),D289)</f>
        <v>1.75</v>
      </c>
      <c r="E304" s="1">
        <f>IF(OR($B303&lt;&gt;$B288,$B304&lt;&gt;$B289,$B305&lt;&gt;$B290,$B306&lt;&gt;$B291,$B307&lt;&gt;$B292,$B308&lt;&gt;$B293,$B309&lt;&gt;$B294,$B310&lt;&gt;$B295,$B311&lt;&gt;$B296,$B312&lt;&gt;$B297,$B313&lt;&gt;$B298),IF($B304&lt;&gt;$B289,E289/INDEX($C288:$AJ298,2,MATCH(IF('Data-solution'!$A$3="Maximize",MAX($C299:$AI299),MIN($C299:$AI299)),$C299:$AI299,0)),E289-INDEX($C288:$AJ298,2,MATCH(IF('Data-solution'!$A$3="Maximize",MAX($C299:$AI299),MIN($C299:$AI299)),$C299:$AI299,0))*INDEX(E288:$AJ298,MATCH(MIN($AK288:$AK298),$AK288:$AK298,0),1)/INDEX($C288:$AJ298,MATCH(MIN($AK288:$AK298),$AK288:$AK298,0),MATCH(IF('Data-solution'!$A$3="Maximize",MAX($C299:$AI299),MIN($C299:$AI299)),$C299:$AI299,0))),E289)</f>
        <v>0</v>
      </c>
      <c r="F304" s="1">
        <f>IF(OR($B303&lt;&gt;$B288,$B304&lt;&gt;$B289,$B305&lt;&gt;$B290,$B306&lt;&gt;$B291,$B307&lt;&gt;$B292,$B308&lt;&gt;$B293,$B309&lt;&gt;$B294,$B310&lt;&gt;$B295,$B311&lt;&gt;$B296,$B312&lt;&gt;$B297,$B313&lt;&gt;$B298),IF($B304&lt;&gt;$B289,F289/INDEX($C288:$AJ298,2,MATCH(IF('Data-solution'!$A$3="Maximize",MAX($C299:$AI299),MIN($C299:$AI299)),$C299:$AI299,0)),F289-INDEX($C288:$AJ298,2,MATCH(IF('Data-solution'!$A$3="Maximize",MAX($C299:$AI299),MIN($C299:$AI299)),$C299:$AI299,0))*INDEX(F288:$AJ298,MATCH(MIN($AK288:$AK298),$AK288:$AK298,0),1)/INDEX($C288:$AJ298,MATCH(MIN($AK288:$AK298),$AK288:$AK298,0),MATCH(IF('Data-solution'!$A$3="Maximize",MAX($C299:$AI299),MIN($C299:$AI299)),$C299:$AI299,0))),F289)</f>
        <v>0</v>
      </c>
      <c r="G304" s="1">
        <f>IF(OR($B303&lt;&gt;$B288,$B304&lt;&gt;$B289,$B305&lt;&gt;$B290,$B306&lt;&gt;$B291,$B307&lt;&gt;$B292,$B308&lt;&gt;$B293,$B309&lt;&gt;$B294,$B310&lt;&gt;$B295,$B311&lt;&gt;$B296,$B312&lt;&gt;$B297,$B313&lt;&gt;$B298),IF($B304&lt;&gt;$B289,G289/INDEX($C288:$AJ298,2,MATCH(IF('Data-solution'!$A$3="Maximize",MAX($C299:$AI299),MIN($C299:$AI299)),$C299:$AI299,0)),G289-INDEX($C288:$AJ298,2,MATCH(IF('Data-solution'!$A$3="Maximize",MAX($C299:$AI299),MIN($C299:$AI299)),$C299:$AI299,0))*INDEX(G288:$AJ298,MATCH(MIN($AK288:$AK298),$AK288:$AK298,0),1)/INDEX($C288:$AJ298,MATCH(MIN($AK288:$AK298),$AK288:$AK298,0),MATCH(IF('Data-solution'!$A$3="Maximize",MAX($C299:$AI299),MIN($C299:$AI299)),$C299:$AI299,0))),G289)</f>
        <v>0</v>
      </c>
      <c r="H304" s="1">
        <f>IF(OR($B303&lt;&gt;$B288,$B304&lt;&gt;$B289,$B305&lt;&gt;$B290,$B306&lt;&gt;$B291,$B307&lt;&gt;$B292,$B308&lt;&gt;$B293,$B309&lt;&gt;$B294,$B310&lt;&gt;$B295,$B311&lt;&gt;$B296,$B312&lt;&gt;$B297,$B313&lt;&gt;$B298),IF($B304&lt;&gt;$B289,H289/INDEX($C288:$AJ298,2,MATCH(IF('Data-solution'!$A$3="Maximize",MAX($C299:$AI299),MIN($C299:$AI299)),$C299:$AI299,0)),H289-INDEX($C288:$AJ298,2,MATCH(IF('Data-solution'!$A$3="Maximize",MAX($C299:$AI299),MIN($C299:$AI299)),$C299:$AI299,0))*INDEX(H288:$AJ298,MATCH(MIN($AK288:$AK298),$AK288:$AK298,0),1)/INDEX($C288:$AJ298,MATCH(MIN($AK288:$AK298),$AK288:$AK298,0),MATCH(IF('Data-solution'!$A$3="Maximize",MAX($C299:$AI299),MIN($C299:$AI299)),$C299:$AI299,0))),H289)</f>
        <v>0</v>
      </c>
      <c r="I304" s="1">
        <f>IF(OR($B303&lt;&gt;$B288,$B304&lt;&gt;$B289,$B305&lt;&gt;$B290,$B306&lt;&gt;$B291,$B307&lt;&gt;$B292,$B308&lt;&gt;$B293,$B309&lt;&gt;$B294,$B310&lt;&gt;$B295,$B311&lt;&gt;$B296,$B312&lt;&gt;$B297,$B313&lt;&gt;$B298),IF($B304&lt;&gt;$B289,I289/INDEX($C288:$AJ298,2,MATCH(IF('Data-solution'!$A$3="Maximize",MAX($C299:$AI299),MIN($C299:$AI299)),$C299:$AI299,0)),I289-INDEX($C288:$AJ298,2,MATCH(IF('Data-solution'!$A$3="Maximize",MAX($C299:$AI299),MIN($C299:$AI299)),$C299:$AI299,0))*INDEX(I288:$AJ298,MATCH(MIN($AK288:$AK298),$AK288:$AK298,0),1)/INDEX($C288:$AJ298,MATCH(MIN($AK288:$AK298),$AK288:$AK298,0),MATCH(IF('Data-solution'!$A$3="Maximize",MAX($C299:$AI299),MIN($C299:$AI299)),$C299:$AI299,0))),I289)</f>
        <v>0</v>
      </c>
      <c r="J304" s="1">
        <f>IF(OR($B303&lt;&gt;$B288,$B304&lt;&gt;$B289,$B305&lt;&gt;$B290,$B306&lt;&gt;$B291,$B307&lt;&gt;$B292,$B308&lt;&gt;$B293,$B309&lt;&gt;$B294,$B310&lt;&gt;$B295,$B311&lt;&gt;$B296,$B312&lt;&gt;$B297,$B313&lt;&gt;$B298),IF($B304&lt;&gt;$B289,J289/INDEX($C288:$AJ298,2,MATCH(IF('Data-solution'!$A$3="Maximize",MAX($C299:$AI299),MIN($C299:$AI299)),$C299:$AI299,0)),J289-INDEX($C288:$AJ298,2,MATCH(IF('Data-solution'!$A$3="Maximize",MAX($C299:$AI299),MIN($C299:$AI299)),$C299:$AI299,0))*INDEX(J288:$AJ298,MATCH(MIN($AK288:$AK298),$AK288:$AK298,0),1)/INDEX($C288:$AJ298,MATCH(MIN($AK288:$AK298),$AK288:$AK298,0),MATCH(IF('Data-solution'!$A$3="Maximize",MAX($C299:$AI299),MIN($C299:$AI299)),$C299:$AI299,0))),J289)</f>
        <v>0</v>
      </c>
      <c r="K304" s="1">
        <f>IF(OR($B303&lt;&gt;$B288,$B304&lt;&gt;$B289,$B305&lt;&gt;$B290,$B306&lt;&gt;$B291,$B307&lt;&gt;$B292,$B308&lt;&gt;$B293,$B309&lt;&gt;$B294,$B310&lt;&gt;$B295,$B311&lt;&gt;$B296,$B312&lt;&gt;$B297,$B313&lt;&gt;$B298),IF($B304&lt;&gt;$B289,K289/INDEX($C288:$AJ298,2,MATCH(IF('Data-solution'!$A$3="Maximize",MAX($C299:$AI299),MIN($C299:$AI299)),$C299:$AI299,0)),K289-INDEX($C288:$AJ298,2,MATCH(IF('Data-solution'!$A$3="Maximize",MAX($C299:$AI299),MIN($C299:$AI299)),$C299:$AI299,0))*INDEX(K288:$AJ298,MATCH(MIN($AK288:$AK298),$AK288:$AK298,0),1)/INDEX($C288:$AJ298,MATCH(MIN($AK288:$AK298),$AK288:$AK298,0),MATCH(IF('Data-solution'!$A$3="Maximize",MAX($C299:$AI299),MIN($C299:$AI299)),$C299:$AI299,0))),K289)</f>
        <v>0</v>
      </c>
      <c r="L304" s="1">
        <f>IF(OR($B303&lt;&gt;$B288,$B304&lt;&gt;$B289,$B305&lt;&gt;$B290,$B306&lt;&gt;$B291,$B307&lt;&gt;$B292,$B308&lt;&gt;$B293,$B309&lt;&gt;$B294,$B310&lt;&gt;$B295,$B311&lt;&gt;$B296,$B312&lt;&gt;$B297,$B313&lt;&gt;$B298),IF($B304&lt;&gt;$B289,L289/INDEX($C288:$AJ298,2,MATCH(IF('Data-solution'!$A$3="Maximize",MAX($C299:$AI299),MIN($C299:$AI299)),$C299:$AI299,0)),L289-INDEX($C288:$AJ298,2,MATCH(IF('Data-solution'!$A$3="Maximize",MAX($C299:$AI299),MIN($C299:$AI299)),$C299:$AI299,0))*INDEX(L288:$AJ298,MATCH(MIN($AK288:$AK298),$AK288:$AK298,0),1)/INDEX($C288:$AJ298,MATCH(MIN($AK288:$AK298),$AK288:$AK298,0),MATCH(IF('Data-solution'!$A$3="Maximize",MAX($C299:$AI299),MIN($C299:$AI299)),$C299:$AI299,0))),L289)</f>
        <v>0</v>
      </c>
      <c r="M304" s="1">
        <f>IF(OR($B303&lt;&gt;$B288,$B304&lt;&gt;$B289,$B305&lt;&gt;$B290,$B306&lt;&gt;$B291,$B307&lt;&gt;$B292,$B308&lt;&gt;$B293,$B309&lt;&gt;$B294,$B310&lt;&gt;$B295,$B311&lt;&gt;$B296,$B312&lt;&gt;$B297,$B313&lt;&gt;$B298),IF($B304&lt;&gt;$B289,M289/INDEX($C288:$AJ298,2,MATCH(IF('Data-solution'!$A$3="Maximize",MAX($C299:$AI299),MIN($C299:$AI299)),$C299:$AI299,0)),M289-INDEX($C288:$AJ298,2,MATCH(IF('Data-solution'!$A$3="Maximize",MAX($C299:$AI299),MIN($C299:$AI299)),$C299:$AI299,0))*INDEX(M288:$AJ298,MATCH(MIN($AK288:$AK298),$AK288:$AK298,0),1)/INDEX($C288:$AJ298,MATCH(MIN($AK288:$AK298),$AK288:$AK298,0),MATCH(IF('Data-solution'!$A$3="Maximize",MAX($C299:$AI299),MIN($C299:$AI299)),$C299:$AI299,0))),M289)</f>
        <v>0</v>
      </c>
      <c r="N304" s="1">
        <f>IF(OR($B303&lt;&gt;$B288,$B304&lt;&gt;$B289,$B305&lt;&gt;$B290,$B306&lt;&gt;$B291,$B307&lt;&gt;$B292,$B308&lt;&gt;$B293,$B309&lt;&gt;$B294,$B310&lt;&gt;$B295,$B311&lt;&gt;$B296,$B312&lt;&gt;$B297,$B313&lt;&gt;$B298),IF($B304&lt;&gt;$B289,N289/INDEX($C288:$AJ298,2,MATCH(IF('Data-solution'!$A$3="Maximize",MAX($C299:$AI299),MIN($C299:$AI299)),$C299:$AI299,0)),N289-INDEX($C288:$AJ298,2,MATCH(IF('Data-solution'!$A$3="Maximize",MAX($C299:$AI299),MIN($C299:$AI299)),$C299:$AI299,0))*INDEX(N288:$AJ298,MATCH(MIN($AK288:$AK298),$AK288:$AK298,0),1)/INDEX($C288:$AJ298,MATCH(MIN($AK288:$AK298),$AK288:$AK298,0),MATCH(IF('Data-solution'!$A$3="Maximize",MAX($C299:$AI299),MIN($C299:$AI299)),$C299:$AI299,0))),N289)</f>
        <v>0</v>
      </c>
      <c r="O304" s="1">
        <f>IF(OR($B303&lt;&gt;$B288,$B304&lt;&gt;$B289,$B305&lt;&gt;$B290,$B306&lt;&gt;$B291,$B307&lt;&gt;$B292,$B308&lt;&gt;$B293,$B309&lt;&gt;$B294,$B310&lt;&gt;$B295,$B311&lt;&gt;$B296,$B312&lt;&gt;$B297,$B313&lt;&gt;$B298),IF($B304&lt;&gt;$B289,O289/INDEX($C288:$AJ298,2,MATCH(IF('Data-solution'!$A$3="Maximize",MAX($C299:$AI299),MIN($C299:$AI299)),$C299:$AI299,0)),O289-INDEX($C288:$AJ298,2,MATCH(IF('Data-solution'!$A$3="Maximize",MAX($C299:$AI299),MIN($C299:$AI299)),$C299:$AI299,0))*INDEX(O288:$AJ298,MATCH(MIN($AK288:$AK298),$AK288:$AK298,0),1)/INDEX($C288:$AJ298,MATCH(MIN($AK288:$AK298),$AK288:$AK298,0),MATCH(IF('Data-solution'!$A$3="Maximize",MAX($C299:$AI299),MIN($C299:$AI299)),$C299:$AI299,0))),O289)</f>
        <v>1</v>
      </c>
      <c r="P304" s="1">
        <f>IF(OR($B303&lt;&gt;$B288,$B304&lt;&gt;$B289,$B305&lt;&gt;$B290,$B306&lt;&gt;$B291,$B307&lt;&gt;$B292,$B308&lt;&gt;$B293,$B309&lt;&gt;$B294,$B310&lt;&gt;$B295,$B311&lt;&gt;$B296,$B312&lt;&gt;$B297,$B313&lt;&gt;$B298),IF($B304&lt;&gt;$B289,P289/INDEX($C288:$AJ298,2,MATCH(IF('Data-solution'!$A$3="Maximize",MAX($C299:$AI299),MIN($C299:$AI299)),$C299:$AI299,0)),P289-INDEX($C288:$AJ298,2,MATCH(IF('Data-solution'!$A$3="Maximize",MAX($C299:$AI299),MIN($C299:$AI299)),$C299:$AI299,0))*INDEX(P288:$AJ298,MATCH(MIN($AK288:$AK298),$AK288:$AK298,0),1)/INDEX($C288:$AJ298,MATCH(MIN($AK288:$AK298),$AK288:$AK298,0),MATCH(IF('Data-solution'!$A$3="Maximize",MAX($C299:$AI299),MIN($C299:$AI299)),$C299:$AI299,0))),P289)</f>
        <v>-0.25</v>
      </c>
      <c r="Q304" s="1">
        <f>IF(OR($B303&lt;&gt;$B288,$B304&lt;&gt;$B289,$B305&lt;&gt;$B290,$B306&lt;&gt;$B291,$B307&lt;&gt;$B292,$B308&lt;&gt;$B293,$B309&lt;&gt;$B294,$B310&lt;&gt;$B295,$B311&lt;&gt;$B296,$B312&lt;&gt;$B297,$B313&lt;&gt;$B298),IF($B304&lt;&gt;$B289,Q289/INDEX($C288:$AJ298,2,MATCH(IF('Data-solution'!$A$3="Maximize",MAX($C299:$AI299),MIN($C299:$AI299)),$C299:$AI299,0)),Q289-INDEX($C288:$AJ298,2,MATCH(IF('Data-solution'!$A$3="Maximize",MAX($C299:$AI299),MIN($C299:$AI299)),$C299:$AI299,0))*INDEX(Q288:$AJ298,MATCH(MIN($AK288:$AK298),$AK288:$AK298,0),1)/INDEX($C288:$AJ298,MATCH(MIN($AK288:$AK298),$AK288:$AK298,0),MATCH(IF('Data-solution'!$A$3="Maximize",MAX($C299:$AI299),MIN($C299:$AI299)),$C299:$AI299,0))),Q289)</f>
        <v>-0.5</v>
      </c>
      <c r="R304" s="1">
        <f>IF(OR($B303&lt;&gt;$B288,$B304&lt;&gt;$B289,$B305&lt;&gt;$B290,$B306&lt;&gt;$B291,$B307&lt;&gt;$B292,$B308&lt;&gt;$B293,$B309&lt;&gt;$B294,$B310&lt;&gt;$B295,$B311&lt;&gt;$B296,$B312&lt;&gt;$B297,$B313&lt;&gt;$B298),IF($B304&lt;&gt;$B289,R289/INDEX($C288:$AJ298,2,MATCH(IF('Data-solution'!$A$3="Maximize",MAX($C299:$AI299),MIN($C299:$AI299)),$C299:$AI299,0)),R289-INDEX($C288:$AJ298,2,MATCH(IF('Data-solution'!$A$3="Maximize",MAX($C299:$AI299),MIN($C299:$AI299)),$C299:$AI299,0))*INDEX(R288:$AJ298,MATCH(MIN($AK288:$AK298),$AK288:$AK298,0),1)/INDEX($C288:$AJ298,MATCH(MIN($AK288:$AK298),$AK288:$AK298,0),MATCH(IF('Data-solution'!$A$3="Maximize",MAX($C299:$AI299),MIN($C299:$AI299)),$C299:$AI299,0))),R289)</f>
        <v>0</v>
      </c>
      <c r="S304" s="1">
        <f>IF(OR($B303&lt;&gt;$B288,$B304&lt;&gt;$B289,$B305&lt;&gt;$B290,$B306&lt;&gt;$B291,$B307&lt;&gt;$B292,$B308&lt;&gt;$B293,$B309&lt;&gt;$B294,$B310&lt;&gt;$B295,$B311&lt;&gt;$B296,$B312&lt;&gt;$B297,$B313&lt;&gt;$B298),IF($B304&lt;&gt;$B289,S289/INDEX($C288:$AJ298,2,MATCH(IF('Data-solution'!$A$3="Maximize",MAX($C299:$AI299),MIN($C299:$AI299)),$C299:$AI299,0)),S289-INDEX($C288:$AJ298,2,MATCH(IF('Data-solution'!$A$3="Maximize",MAX($C299:$AI299),MIN($C299:$AI299)),$C299:$AI299,0))*INDEX(S288:$AJ298,MATCH(MIN($AK288:$AK298),$AK288:$AK298,0),1)/INDEX($C288:$AJ298,MATCH(MIN($AK288:$AK298),$AK288:$AK298,0),MATCH(IF('Data-solution'!$A$3="Maximize",MAX($C299:$AI299),MIN($C299:$AI299)),$C299:$AI299,0))),S289)</f>
        <v>0</v>
      </c>
      <c r="T304" s="1">
        <f>IF(OR($B303&lt;&gt;$B288,$B304&lt;&gt;$B289,$B305&lt;&gt;$B290,$B306&lt;&gt;$B291,$B307&lt;&gt;$B292,$B308&lt;&gt;$B293,$B309&lt;&gt;$B294,$B310&lt;&gt;$B295,$B311&lt;&gt;$B296,$B312&lt;&gt;$B297,$B313&lt;&gt;$B298),IF($B304&lt;&gt;$B289,T289/INDEX($C288:$AJ298,2,MATCH(IF('Data-solution'!$A$3="Maximize",MAX($C299:$AI299),MIN($C299:$AI299)),$C299:$AI299,0)),T289-INDEX($C288:$AJ298,2,MATCH(IF('Data-solution'!$A$3="Maximize",MAX($C299:$AI299),MIN($C299:$AI299)),$C299:$AI299,0))*INDEX(T288:$AJ298,MATCH(MIN($AK288:$AK298),$AK288:$AK298,0),1)/INDEX($C288:$AJ298,MATCH(MIN($AK288:$AK298),$AK288:$AK298,0),MATCH(IF('Data-solution'!$A$3="Maximize",MAX($C299:$AI299),MIN($C299:$AI299)),$C299:$AI299,0))),T289)</f>
        <v>0</v>
      </c>
      <c r="U304" s="1">
        <f>IF(OR($B303&lt;&gt;$B288,$B304&lt;&gt;$B289,$B305&lt;&gt;$B290,$B306&lt;&gt;$B291,$B307&lt;&gt;$B292,$B308&lt;&gt;$B293,$B309&lt;&gt;$B294,$B310&lt;&gt;$B295,$B311&lt;&gt;$B296,$B312&lt;&gt;$B297,$B313&lt;&gt;$B298),IF($B304&lt;&gt;$B289,U289/INDEX($C288:$AJ298,2,MATCH(IF('Data-solution'!$A$3="Maximize",MAX($C299:$AI299),MIN($C299:$AI299)),$C299:$AI299,0)),U289-INDEX($C288:$AJ298,2,MATCH(IF('Data-solution'!$A$3="Maximize",MAX($C299:$AI299),MIN($C299:$AI299)),$C299:$AI299,0))*INDEX(U288:$AJ298,MATCH(MIN($AK288:$AK298),$AK288:$AK298,0),1)/INDEX($C288:$AJ298,MATCH(MIN($AK288:$AK298),$AK288:$AK298,0),MATCH(IF('Data-solution'!$A$3="Maximize",MAX($C299:$AI299),MIN($C299:$AI299)),$C299:$AI299,0))),U289)</f>
        <v>0</v>
      </c>
      <c r="V304" s="1">
        <f>IF(OR($B303&lt;&gt;$B288,$B304&lt;&gt;$B289,$B305&lt;&gt;$B290,$B306&lt;&gt;$B291,$B307&lt;&gt;$B292,$B308&lt;&gt;$B293,$B309&lt;&gt;$B294,$B310&lt;&gt;$B295,$B311&lt;&gt;$B296,$B312&lt;&gt;$B297,$B313&lt;&gt;$B298),IF($B304&lt;&gt;$B289,V289/INDEX($C288:$AJ298,2,MATCH(IF('Data-solution'!$A$3="Maximize",MAX($C299:$AI299),MIN($C299:$AI299)),$C299:$AI299,0)),V289-INDEX($C288:$AJ298,2,MATCH(IF('Data-solution'!$A$3="Maximize",MAX($C299:$AI299),MIN($C299:$AI299)),$C299:$AI299,0))*INDEX(V288:$AJ298,MATCH(MIN($AK288:$AK298),$AK288:$AK298,0),1)/INDEX($C288:$AJ298,MATCH(MIN($AK288:$AK298),$AK288:$AK298,0),MATCH(IF('Data-solution'!$A$3="Maximize",MAX($C299:$AI299),MIN($C299:$AI299)),$C299:$AI299,0))),V289)</f>
        <v>0</v>
      </c>
      <c r="W304" s="1">
        <f>IF(OR($B303&lt;&gt;$B288,$B304&lt;&gt;$B289,$B305&lt;&gt;$B290,$B306&lt;&gt;$B291,$B307&lt;&gt;$B292,$B308&lt;&gt;$B293,$B309&lt;&gt;$B294,$B310&lt;&gt;$B295,$B311&lt;&gt;$B296,$B312&lt;&gt;$B297,$B313&lt;&gt;$B298),IF($B304&lt;&gt;$B289,W289/INDEX($C288:$AJ298,2,MATCH(IF('Data-solution'!$A$3="Maximize",MAX($C299:$AI299),MIN($C299:$AI299)),$C299:$AI299,0)),W289-INDEX($C288:$AJ298,2,MATCH(IF('Data-solution'!$A$3="Maximize",MAX($C299:$AI299),MIN($C299:$AI299)),$C299:$AI299,0))*INDEX(W288:$AJ298,MATCH(MIN($AK288:$AK298),$AK288:$AK298,0),1)/INDEX($C288:$AJ298,MATCH(MIN($AK288:$AK298),$AK288:$AK298,0),MATCH(IF('Data-solution'!$A$3="Maximize",MAX($C299:$AI299),MIN($C299:$AI299)),$C299:$AI299,0))),W289)</f>
        <v>0</v>
      </c>
      <c r="X304" s="1">
        <f>IF(OR($B303&lt;&gt;$B288,$B304&lt;&gt;$B289,$B305&lt;&gt;$B290,$B306&lt;&gt;$B291,$B307&lt;&gt;$B292,$B308&lt;&gt;$B293,$B309&lt;&gt;$B294,$B310&lt;&gt;$B295,$B311&lt;&gt;$B296,$B312&lt;&gt;$B297,$B313&lt;&gt;$B298),IF($B304&lt;&gt;$B289,X289/INDEX($C288:$AJ298,2,MATCH(IF('Data-solution'!$A$3="Maximize",MAX($C299:$AI299),MIN($C299:$AI299)),$C299:$AI299,0)),X289-INDEX($C288:$AJ298,2,MATCH(IF('Data-solution'!$A$3="Maximize",MAX($C299:$AI299),MIN($C299:$AI299)),$C299:$AI299,0))*INDEX(X288:$AJ298,MATCH(MIN($AK288:$AK298),$AK288:$AK298,0),1)/INDEX($C288:$AJ298,MATCH(MIN($AK288:$AK298),$AK288:$AK298,0),MATCH(IF('Data-solution'!$A$3="Maximize",MAX($C299:$AI299),MIN($C299:$AI299)),$C299:$AI299,0))),X289)</f>
        <v>0</v>
      </c>
      <c r="Y304" s="1">
        <f>IF(OR($B303&lt;&gt;$B288,$B304&lt;&gt;$B289,$B305&lt;&gt;$B290,$B306&lt;&gt;$B291,$B307&lt;&gt;$B292,$B308&lt;&gt;$B293,$B309&lt;&gt;$B294,$B310&lt;&gt;$B295,$B311&lt;&gt;$B296,$B312&lt;&gt;$B297,$B313&lt;&gt;$B298),IF($B304&lt;&gt;$B289,Y289/INDEX($C288:$AJ298,2,MATCH(IF('Data-solution'!$A$3="Maximize",MAX($C299:$AI299),MIN($C299:$AI299)),$C299:$AI299,0)),Y289-INDEX($C288:$AJ298,2,MATCH(IF('Data-solution'!$A$3="Maximize",MAX($C299:$AI299),MIN($C299:$AI299)),$C299:$AI299,0))*INDEX(Y288:$AJ298,MATCH(MIN($AK288:$AK298),$AK288:$AK298,0),1)/INDEX($C288:$AJ298,MATCH(MIN($AK288:$AK298),$AK288:$AK298,0),MATCH(IF('Data-solution'!$A$3="Maximize",MAX($C299:$AI299),MIN($C299:$AI299)),$C299:$AI299,0))),Y289)</f>
        <v>0</v>
      </c>
      <c r="Z304" s="1">
        <f>IF(OR($B303&lt;&gt;$B288,$B304&lt;&gt;$B289,$B305&lt;&gt;$B290,$B306&lt;&gt;$B291,$B307&lt;&gt;$B292,$B308&lt;&gt;$B293,$B309&lt;&gt;$B294,$B310&lt;&gt;$B295,$B311&lt;&gt;$B296,$B312&lt;&gt;$B297,$B313&lt;&gt;$B298),IF($B304&lt;&gt;$B289,Z289/INDEX($C288:$AJ298,2,MATCH(IF('Data-solution'!$A$3="Maximize",MAX($C299:$AI299),MIN($C299:$AI299)),$C299:$AI299,0)),Z289-INDEX($C288:$AJ298,2,MATCH(IF('Data-solution'!$A$3="Maximize",MAX($C299:$AI299),MIN($C299:$AI299)),$C299:$AI299,0))*INDEX(Z288:$AJ298,MATCH(MIN($AK288:$AK298),$AK288:$AK298,0),1)/INDEX($C288:$AJ298,MATCH(MIN($AK288:$AK298),$AK288:$AK298,0),MATCH(IF('Data-solution'!$A$3="Maximize",MAX($C299:$AI299),MIN($C299:$AI299)),$C299:$AI299,0))),Z289)</f>
        <v>1</v>
      </c>
      <c r="AA304" s="1">
        <f>IF(OR($B303&lt;&gt;$B288,$B304&lt;&gt;$B289,$B305&lt;&gt;$B290,$B306&lt;&gt;$B291,$B307&lt;&gt;$B292,$B308&lt;&gt;$B293,$B309&lt;&gt;$B294,$B310&lt;&gt;$B295,$B311&lt;&gt;$B296,$B312&lt;&gt;$B297,$B313&lt;&gt;$B298),IF($B304&lt;&gt;$B289,AA289/INDEX($C288:$AJ298,2,MATCH(IF('Data-solution'!$A$3="Maximize",MAX($C299:$AI299),MIN($C299:$AI299)),$C299:$AI299,0)),AA289-INDEX($C288:$AJ298,2,MATCH(IF('Data-solution'!$A$3="Maximize",MAX($C299:$AI299),MIN($C299:$AI299)),$C299:$AI299,0))*INDEX(AA288:$AJ298,MATCH(MIN($AK288:$AK298),$AK288:$AK298,0),1)/INDEX($C288:$AJ298,MATCH(MIN($AK288:$AK298),$AK288:$AK298,0),MATCH(IF('Data-solution'!$A$3="Maximize",MAX($C299:$AI299),MIN($C299:$AI299)),$C299:$AI299,0))),AA289)</f>
        <v>-0.25</v>
      </c>
      <c r="AB304" s="1">
        <f>IF(OR($B303&lt;&gt;$B288,$B304&lt;&gt;$B289,$B305&lt;&gt;$B290,$B306&lt;&gt;$B291,$B307&lt;&gt;$B292,$B308&lt;&gt;$B293,$B309&lt;&gt;$B294,$B310&lt;&gt;$B295,$B311&lt;&gt;$B296,$B312&lt;&gt;$B297,$B313&lt;&gt;$B298),IF($B304&lt;&gt;$B289,AB289/INDEX($C288:$AJ298,2,MATCH(IF('Data-solution'!$A$3="Maximize",MAX($C299:$AI299),MIN($C299:$AI299)),$C299:$AI299,0)),AB289-INDEX($C288:$AJ298,2,MATCH(IF('Data-solution'!$A$3="Maximize",MAX($C299:$AI299),MIN($C299:$AI299)),$C299:$AI299,0))*INDEX(AB288:$AJ298,MATCH(MIN($AK288:$AK298),$AK288:$AK298,0),1)/INDEX($C288:$AJ298,MATCH(MIN($AK288:$AK298),$AK288:$AK298,0),MATCH(IF('Data-solution'!$A$3="Maximize",MAX($C299:$AI299),MIN($C299:$AI299)),$C299:$AI299,0))),AB289)</f>
        <v>-0.5</v>
      </c>
      <c r="AC304" s="1">
        <f>IF(OR($B303&lt;&gt;$B288,$B304&lt;&gt;$B289,$B305&lt;&gt;$B290,$B306&lt;&gt;$B291,$B307&lt;&gt;$B292,$B308&lt;&gt;$B293,$B309&lt;&gt;$B294,$B310&lt;&gt;$B295,$B311&lt;&gt;$B296,$B312&lt;&gt;$B297,$B313&lt;&gt;$B298),IF($B304&lt;&gt;$B289,AC289/INDEX($C288:$AJ298,2,MATCH(IF('Data-solution'!$A$3="Maximize",MAX($C299:$AI299),MIN($C299:$AI299)),$C299:$AI299,0)),AC289-INDEX($C288:$AJ298,2,MATCH(IF('Data-solution'!$A$3="Maximize",MAX($C299:$AI299),MIN($C299:$AI299)),$C299:$AI299,0))*INDEX(AC288:$AJ298,MATCH(MIN($AK288:$AK298),$AK288:$AK298,0),1)/INDEX($C288:$AJ298,MATCH(MIN($AK288:$AK298),$AK288:$AK298,0),MATCH(IF('Data-solution'!$A$3="Maximize",MAX($C299:$AI299),MIN($C299:$AI299)),$C299:$AI299,0))),AC289)</f>
        <v>0</v>
      </c>
      <c r="AD304" s="1">
        <f>IF(OR($B303&lt;&gt;$B288,$B304&lt;&gt;$B289,$B305&lt;&gt;$B290,$B306&lt;&gt;$B291,$B307&lt;&gt;$B292,$B308&lt;&gt;$B293,$B309&lt;&gt;$B294,$B310&lt;&gt;$B295,$B311&lt;&gt;$B296,$B312&lt;&gt;$B297,$B313&lt;&gt;$B298),IF($B304&lt;&gt;$B289,AD289/INDEX($C288:$AJ298,2,MATCH(IF('Data-solution'!$A$3="Maximize",MAX($C299:$AI299),MIN($C299:$AI299)),$C299:$AI299,0)),AD289-INDEX($C288:$AJ298,2,MATCH(IF('Data-solution'!$A$3="Maximize",MAX($C299:$AI299),MIN($C299:$AI299)),$C299:$AI299,0))*INDEX(AD288:$AJ298,MATCH(MIN($AK288:$AK298),$AK288:$AK298,0),1)/INDEX($C288:$AJ298,MATCH(MIN($AK288:$AK298),$AK288:$AK298,0),MATCH(IF('Data-solution'!$A$3="Maximize",MAX($C299:$AI299),MIN($C299:$AI299)),$C299:$AI299,0))),AD289)</f>
        <v>0</v>
      </c>
      <c r="AE304" s="1">
        <f>IF(OR($B303&lt;&gt;$B288,$B304&lt;&gt;$B289,$B305&lt;&gt;$B290,$B306&lt;&gt;$B291,$B307&lt;&gt;$B292,$B308&lt;&gt;$B293,$B309&lt;&gt;$B294,$B310&lt;&gt;$B295,$B311&lt;&gt;$B296,$B312&lt;&gt;$B297,$B313&lt;&gt;$B298),IF($B304&lt;&gt;$B289,AE289/INDEX($C288:$AJ298,2,MATCH(IF('Data-solution'!$A$3="Maximize",MAX($C299:$AI299),MIN($C299:$AI299)),$C299:$AI299,0)),AE289-INDEX($C288:$AJ298,2,MATCH(IF('Data-solution'!$A$3="Maximize",MAX($C299:$AI299),MIN($C299:$AI299)),$C299:$AI299,0))*INDEX(AE288:$AJ298,MATCH(MIN($AK288:$AK298),$AK288:$AK298,0),1)/INDEX($C288:$AJ298,MATCH(MIN($AK288:$AK298),$AK288:$AK298,0),MATCH(IF('Data-solution'!$A$3="Maximize",MAX($C299:$AI299),MIN($C299:$AI299)),$C299:$AI299,0))),AE289)</f>
        <v>0</v>
      </c>
      <c r="AF304" s="1">
        <f>IF(OR($B303&lt;&gt;$B288,$B304&lt;&gt;$B289,$B305&lt;&gt;$B290,$B306&lt;&gt;$B291,$B307&lt;&gt;$B292,$B308&lt;&gt;$B293,$B309&lt;&gt;$B294,$B310&lt;&gt;$B295,$B311&lt;&gt;$B296,$B312&lt;&gt;$B297,$B313&lt;&gt;$B298),IF($B304&lt;&gt;$B289,AF289/INDEX($C288:$AJ298,2,MATCH(IF('Data-solution'!$A$3="Maximize",MAX($C299:$AI299),MIN($C299:$AI299)),$C299:$AI299,0)),AF289-INDEX($C288:$AJ298,2,MATCH(IF('Data-solution'!$A$3="Maximize",MAX($C299:$AI299),MIN($C299:$AI299)),$C299:$AI299,0))*INDEX(AF288:$AJ298,MATCH(MIN($AK288:$AK298),$AK288:$AK298,0),1)/INDEX($C288:$AJ298,MATCH(MIN($AK288:$AK298),$AK288:$AK298,0),MATCH(IF('Data-solution'!$A$3="Maximize",MAX($C299:$AI299),MIN($C299:$AI299)),$C299:$AI299,0))),AF289)</f>
        <v>0</v>
      </c>
      <c r="AG304" s="1">
        <f>IF(OR($B303&lt;&gt;$B288,$B304&lt;&gt;$B289,$B305&lt;&gt;$B290,$B306&lt;&gt;$B291,$B307&lt;&gt;$B292,$B308&lt;&gt;$B293,$B309&lt;&gt;$B294,$B310&lt;&gt;$B295,$B311&lt;&gt;$B296,$B312&lt;&gt;$B297,$B313&lt;&gt;$B298),IF($B304&lt;&gt;$B289,AG289/INDEX($C288:$AJ298,2,MATCH(IF('Data-solution'!$A$3="Maximize",MAX($C299:$AI299),MIN($C299:$AI299)),$C299:$AI299,0)),AG289-INDEX($C288:$AJ298,2,MATCH(IF('Data-solution'!$A$3="Maximize",MAX($C299:$AI299),MIN($C299:$AI299)),$C299:$AI299,0))*INDEX(AG288:$AJ298,MATCH(MIN($AK288:$AK298),$AK288:$AK298,0),1)/INDEX($C288:$AJ298,MATCH(MIN($AK288:$AK298),$AK288:$AK298,0),MATCH(IF('Data-solution'!$A$3="Maximize",MAX($C299:$AI299),MIN($C299:$AI299)),$C299:$AI299,0))),AG289)</f>
        <v>0</v>
      </c>
      <c r="AH304" s="1">
        <f>IF(OR($B303&lt;&gt;$B288,$B304&lt;&gt;$B289,$B305&lt;&gt;$B290,$B306&lt;&gt;$B291,$B307&lt;&gt;$B292,$B308&lt;&gt;$B293,$B309&lt;&gt;$B294,$B310&lt;&gt;$B295,$B311&lt;&gt;$B296,$B312&lt;&gt;$B297,$B313&lt;&gt;$B298),IF($B304&lt;&gt;$B289,AH289/INDEX($C288:$AJ298,2,MATCH(IF('Data-solution'!$A$3="Maximize",MAX($C299:$AI299),MIN($C299:$AI299)),$C299:$AI299,0)),AH289-INDEX($C288:$AJ298,2,MATCH(IF('Data-solution'!$A$3="Maximize",MAX($C299:$AI299),MIN($C299:$AI299)),$C299:$AI299,0))*INDEX(AH288:$AJ298,MATCH(MIN($AK288:$AK298),$AK288:$AK298,0),1)/INDEX($C288:$AJ298,MATCH(MIN($AK288:$AK298),$AK288:$AK298,0),MATCH(IF('Data-solution'!$A$3="Maximize",MAX($C299:$AI299),MIN($C299:$AI299)),$C299:$AI299,0))),AH289)</f>
        <v>0</v>
      </c>
      <c r="AI304" s="1">
        <f>IF(OR($B303&lt;&gt;$B288,$B304&lt;&gt;$B289,$B305&lt;&gt;$B290,$B306&lt;&gt;$B291,$B307&lt;&gt;$B292,$B308&lt;&gt;$B293,$B309&lt;&gt;$B294,$B310&lt;&gt;$B295,$B311&lt;&gt;$B296,$B312&lt;&gt;$B297,$B313&lt;&gt;$B298),IF($B304&lt;&gt;$B289,AI289/INDEX($C288:$AJ298,2,MATCH(IF('Data-solution'!$A$3="Maximize",MAX($C299:$AI299),MIN($C299:$AI299)),$C299:$AI299,0)),AI289-INDEX($C288:$AJ298,2,MATCH(IF('Data-solution'!$A$3="Maximize",MAX($C299:$AI299),MIN($C299:$AI299)),$C299:$AI299,0))*INDEX(AI288:$AJ298,MATCH(MIN($AK288:$AK298),$AK288:$AK298,0),1)/INDEX($C288:$AJ298,MATCH(MIN($AK288:$AK298),$AK288:$AK298,0),MATCH(IF('Data-solution'!$A$3="Maximize",MAX($C299:$AI299),MIN($C299:$AI299)),$C299:$AI299,0))),AI289)</f>
        <v>0</v>
      </c>
      <c r="AJ304" s="1">
        <f>IF(OR($B303&lt;&gt;$B288,$B304&lt;&gt;$B289,$B305&lt;&gt;$B290,$B306&lt;&gt;$B291,$B307&lt;&gt;$B292,$B308&lt;&gt;$B293,$B309&lt;&gt;$B294,$B310&lt;&gt;$B295,$B311&lt;&gt;$B296,$B312&lt;&gt;$B297,$B313&lt;&gt;$B298),IF($B304&lt;&gt;$B289,AJ289/INDEX($C288:$AJ298,2,MATCH(IF('Data-solution'!$A$3="Maximize",MAX($C299:$AI299),MIN($C299:$AI299)),$C299:$AI299,0)),AJ289-INDEX($C288:$AJ298,2,MATCH(IF('Data-solution'!$A$3="Maximize",MAX($C299:$AI299),MIN($C299:$AI299)),$C299:$AI299,0))*INDEX(AJ288:$AJ298,MATCH(MIN($AK288:$AK298),$AK288:$AK298,0),1)/INDEX($C288:$AJ298,MATCH(MIN($AK288:$AK298),$AK288:$AK298,0),MATCH(IF('Data-solution'!$A$3="Maximize",MAX($C299:$AI299),MIN($C299:$AI299)),$C299:$AI299,0))),AJ289)</f>
        <v>300</v>
      </c>
      <c r="AK304" s="1" t="str">
        <f>IF(INDEX(C304:X304,1,MATCH(IF('Data-solution'!A$3="Maximize",MAX(C314:X314),MIN(C314:X314)),C314:X314,0))&gt;0,AJ304/INDEX(C304:X304,1,MATCH(IF('Data-solution'!A$3="Maximize",MAX(C314:X314),MIN(C314:X314)),C314:X314,0))," ")</f>
        <v xml:space="preserve"> </v>
      </c>
    </row>
    <row r="305" spans="1:37" ht="18" customHeight="1" x14ac:dyDescent="0.2">
      <c r="A305" s="1">
        <f t="shared" ref="A305" si="274">INDEX(C301:AI301,1,MATCH(B305,C302:AI302,0))</f>
        <v>350</v>
      </c>
      <c r="B305" s="2" t="str">
        <f>IF(AND('Data-solution'!A$3="Maximize",COUNTIF(C299:X299,"&gt;"&amp;0)&gt;0,AK290=MIN(AK288:AK298),COUNTIF(B303:B304,INDEX(C287:X287,1,MATCH(MAX(C299:X299),C299:X299,0)))=0),INDEX(C287:X287,1,MATCH(MAX(C299:X299),C299:X299,0)),IF(AND('Data-solution'!A$3="Minimize",COUNTIF(C299:X299,"&lt;"&amp;0)&gt;0,AK290=MIN(AK288:AK298),COUNTIF(B303:B304,INDEX(C287:X287,1,MATCH(MIN(C299:X299),C299:X299,0)))=0),INDEX(C287:X287,1,MATCH(MIN(C299:X299),C299:X299,0)),B290))</f>
        <v>X3</v>
      </c>
      <c r="C305" s="1">
        <f>IF(OR($B303&lt;&gt;$B288,$B304&lt;&gt;$B289,$B305&lt;&gt;$B290,$B306&lt;&gt;$B291,$B307&lt;&gt;$B292,$B308&lt;&gt;$B293,$B309&lt;&gt;$B294,$B310&lt;&gt;$B295,$B311&lt;&gt;$B296,$B312&lt;&gt;$B297,$B313&lt;&gt;$B298),IF($B305&lt;&gt;$B290,C290/INDEX($C288:$AJ298,3,MATCH(IF('Data-solution'!$A$3="Maximize",MAX($C299:$AI299),MIN($C299:$AI299)),$C299:$AI299,0)),C290-INDEX($C288:$AJ298,3,MATCH(IF('Data-solution'!$A$3="Maximize",MAX($C299:$AI299),MIN($C299:$AI299)),$C299:$AI299,0))*INDEX(C288:$AJ298,MATCH(MIN($AK288:$AK298),$AK288:$AK298,0),1)/INDEX($C288:$AJ298,MATCH(MIN($AK288:$AK298),$AK288:$AK298,0),MATCH(IF('Data-solution'!$A$3="Maximize",MAX($C299:$AI299),MIN($C299:$AI299)),$C299:$AI299,0))),C290)</f>
        <v>0</v>
      </c>
      <c r="D305" s="1">
        <f>IF(OR($B303&lt;&gt;$B288,$B304&lt;&gt;$B289,$B305&lt;&gt;$B290,$B306&lt;&gt;$B291,$B307&lt;&gt;$B292,$B308&lt;&gt;$B293,$B309&lt;&gt;$B294,$B310&lt;&gt;$B295,$B311&lt;&gt;$B296,$B312&lt;&gt;$B297,$B313&lt;&gt;$B298),IF($B305&lt;&gt;$B290,D290/INDEX($C288:$AJ298,3,MATCH(IF('Data-solution'!$A$3="Maximize",MAX($C299:$AI299),MIN($C299:$AI299)),$C299:$AI299,0)),D290-INDEX($C288:$AJ298,3,MATCH(IF('Data-solution'!$A$3="Maximize",MAX($C299:$AI299),MIN($C299:$AI299)),$C299:$AI299,0))*INDEX(D288:$AJ298,MATCH(MIN($AK288:$AK298),$AK288:$AK298,0),1)/INDEX($C288:$AJ298,MATCH(MIN($AK288:$AK298),$AK288:$AK298,0),MATCH(IF('Data-solution'!$A$3="Maximize",MAX($C299:$AI299),MIN($C299:$AI299)),$C299:$AI299,0))),D290)</f>
        <v>1.25</v>
      </c>
      <c r="E305" s="1">
        <f>IF(OR($B303&lt;&gt;$B288,$B304&lt;&gt;$B289,$B305&lt;&gt;$B290,$B306&lt;&gt;$B291,$B307&lt;&gt;$B292,$B308&lt;&gt;$B293,$B309&lt;&gt;$B294,$B310&lt;&gt;$B295,$B311&lt;&gt;$B296,$B312&lt;&gt;$B297,$B313&lt;&gt;$B298),IF($B305&lt;&gt;$B290,E290/INDEX($C288:$AJ298,3,MATCH(IF('Data-solution'!$A$3="Maximize",MAX($C299:$AI299),MIN($C299:$AI299)),$C299:$AI299,0)),E290-INDEX($C288:$AJ298,3,MATCH(IF('Data-solution'!$A$3="Maximize",MAX($C299:$AI299),MIN($C299:$AI299)),$C299:$AI299,0))*INDEX(E288:$AJ298,MATCH(MIN($AK288:$AK298),$AK288:$AK298,0),1)/INDEX($C288:$AJ298,MATCH(MIN($AK288:$AK298),$AK288:$AK298,0),MATCH(IF('Data-solution'!$A$3="Maximize",MAX($C299:$AI299),MIN($C299:$AI299)),$C299:$AI299,0))),E290)</f>
        <v>1</v>
      </c>
      <c r="F305" s="1">
        <f>IF(OR($B303&lt;&gt;$B288,$B304&lt;&gt;$B289,$B305&lt;&gt;$B290,$B306&lt;&gt;$B291,$B307&lt;&gt;$B292,$B308&lt;&gt;$B293,$B309&lt;&gt;$B294,$B310&lt;&gt;$B295,$B311&lt;&gt;$B296,$B312&lt;&gt;$B297,$B313&lt;&gt;$B298),IF($B305&lt;&gt;$B290,F290/INDEX($C288:$AJ298,3,MATCH(IF('Data-solution'!$A$3="Maximize",MAX($C299:$AI299),MIN($C299:$AI299)),$C299:$AI299,0)),F290-INDEX($C288:$AJ298,3,MATCH(IF('Data-solution'!$A$3="Maximize",MAX($C299:$AI299),MIN($C299:$AI299)),$C299:$AI299,0))*INDEX(F288:$AJ298,MATCH(MIN($AK288:$AK298),$AK288:$AK298,0),1)/INDEX($C288:$AJ298,MATCH(MIN($AK288:$AK298),$AK288:$AK298,0),MATCH(IF('Data-solution'!$A$3="Maximize",MAX($C299:$AI299),MIN($C299:$AI299)),$C299:$AI299,0))),F290)</f>
        <v>0</v>
      </c>
      <c r="G305" s="1">
        <f>IF(OR($B303&lt;&gt;$B288,$B304&lt;&gt;$B289,$B305&lt;&gt;$B290,$B306&lt;&gt;$B291,$B307&lt;&gt;$B292,$B308&lt;&gt;$B293,$B309&lt;&gt;$B294,$B310&lt;&gt;$B295,$B311&lt;&gt;$B296,$B312&lt;&gt;$B297,$B313&lt;&gt;$B298),IF($B305&lt;&gt;$B290,G290/INDEX($C288:$AJ298,3,MATCH(IF('Data-solution'!$A$3="Maximize",MAX($C299:$AI299),MIN($C299:$AI299)),$C299:$AI299,0)),G290-INDEX($C288:$AJ298,3,MATCH(IF('Data-solution'!$A$3="Maximize",MAX($C299:$AI299),MIN($C299:$AI299)),$C299:$AI299,0))*INDEX(G288:$AJ298,MATCH(MIN($AK288:$AK298),$AK288:$AK298,0),1)/INDEX($C288:$AJ298,MATCH(MIN($AK288:$AK298),$AK288:$AK298,0),MATCH(IF('Data-solution'!$A$3="Maximize",MAX($C299:$AI299),MIN($C299:$AI299)),$C299:$AI299,0))),G290)</f>
        <v>0</v>
      </c>
      <c r="H305" s="1">
        <f>IF(OR($B303&lt;&gt;$B288,$B304&lt;&gt;$B289,$B305&lt;&gt;$B290,$B306&lt;&gt;$B291,$B307&lt;&gt;$B292,$B308&lt;&gt;$B293,$B309&lt;&gt;$B294,$B310&lt;&gt;$B295,$B311&lt;&gt;$B296,$B312&lt;&gt;$B297,$B313&lt;&gt;$B298),IF($B305&lt;&gt;$B290,H290/INDEX($C288:$AJ298,3,MATCH(IF('Data-solution'!$A$3="Maximize",MAX($C299:$AI299),MIN($C299:$AI299)),$C299:$AI299,0)),H290-INDEX($C288:$AJ298,3,MATCH(IF('Data-solution'!$A$3="Maximize",MAX($C299:$AI299),MIN($C299:$AI299)),$C299:$AI299,0))*INDEX(H288:$AJ298,MATCH(MIN($AK288:$AK298),$AK288:$AK298,0),1)/INDEX($C288:$AJ298,MATCH(MIN($AK288:$AK298),$AK288:$AK298,0),MATCH(IF('Data-solution'!$A$3="Maximize",MAX($C299:$AI299),MIN($C299:$AI299)),$C299:$AI299,0))),H290)</f>
        <v>0</v>
      </c>
      <c r="I305" s="1">
        <f>IF(OR($B303&lt;&gt;$B288,$B304&lt;&gt;$B289,$B305&lt;&gt;$B290,$B306&lt;&gt;$B291,$B307&lt;&gt;$B292,$B308&lt;&gt;$B293,$B309&lt;&gt;$B294,$B310&lt;&gt;$B295,$B311&lt;&gt;$B296,$B312&lt;&gt;$B297,$B313&lt;&gt;$B298),IF($B305&lt;&gt;$B290,I290/INDEX($C288:$AJ298,3,MATCH(IF('Data-solution'!$A$3="Maximize",MAX($C299:$AI299),MIN($C299:$AI299)),$C299:$AI299,0)),I290-INDEX($C288:$AJ298,3,MATCH(IF('Data-solution'!$A$3="Maximize",MAX($C299:$AI299),MIN($C299:$AI299)),$C299:$AI299,0))*INDEX(I288:$AJ298,MATCH(MIN($AK288:$AK298),$AK288:$AK298,0),1)/INDEX($C288:$AJ298,MATCH(MIN($AK288:$AK298),$AK288:$AK298,0),MATCH(IF('Data-solution'!$A$3="Maximize",MAX($C299:$AI299),MIN($C299:$AI299)),$C299:$AI299,0))),I290)</f>
        <v>0</v>
      </c>
      <c r="J305" s="1">
        <f>IF(OR($B303&lt;&gt;$B288,$B304&lt;&gt;$B289,$B305&lt;&gt;$B290,$B306&lt;&gt;$B291,$B307&lt;&gt;$B292,$B308&lt;&gt;$B293,$B309&lt;&gt;$B294,$B310&lt;&gt;$B295,$B311&lt;&gt;$B296,$B312&lt;&gt;$B297,$B313&lt;&gt;$B298),IF($B305&lt;&gt;$B290,J290/INDEX($C288:$AJ298,3,MATCH(IF('Data-solution'!$A$3="Maximize",MAX($C299:$AI299),MIN($C299:$AI299)),$C299:$AI299,0)),J290-INDEX($C288:$AJ298,3,MATCH(IF('Data-solution'!$A$3="Maximize",MAX($C299:$AI299),MIN($C299:$AI299)),$C299:$AI299,0))*INDEX(J288:$AJ298,MATCH(MIN($AK288:$AK298),$AK288:$AK298,0),1)/INDEX($C288:$AJ298,MATCH(MIN($AK288:$AK298),$AK288:$AK298,0),MATCH(IF('Data-solution'!$A$3="Maximize",MAX($C299:$AI299),MIN($C299:$AI299)),$C299:$AI299,0))),J290)</f>
        <v>0</v>
      </c>
      <c r="K305" s="1">
        <f>IF(OR($B303&lt;&gt;$B288,$B304&lt;&gt;$B289,$B305&lt;&gt;$B290,$B306&lt;&gt;$B291,$B307&lt;&gt;$B292,$B308&lt;&gt;$B293,$B309&lt;&gt;$B294,$B310&lt;&gt;$B295,$B311&lt;&gt;$B296,$B312&lt;&gt;$B297,$B313&lt;&gt;$B298),IF($B305&lt;&gt;$B290,K290/INDEX($C288:$AJ298,3,MATCH(IF('Data-solution'!$A$3="Maximize",MAX($C299:$AI299),MIN($C299:$AI299)),$C299:$AI299,0)),K290-INDEX($C288:$AJ298,3,MATCH(IF('Data-solution'!$A$3="Maximize",MAX($C299:$AI299),MIN($C299:$AI299)),$C299:$AI299,0))*INDEX(K288:$AJ298,MATCH(MIN($AK288:$AK298),$AK288:$AK298,0),1)/INDEX($C288:$AJ298,MATCH(MIN($AK288:$AK298),$AK288:$AK298,0),MATCH(IF('Data-solution'!$A$3="Maximize",MAX($C299:$AI299),MIN($C299:$AI299)),$C299:$AI299,0))),K290)</f>
        <v>0</v>
      </c>
      <c r="L305" s="1">
        <f>IF(OR($B303&lt;&gt;$B288,$B304&lt;&gt;$B289,$B305&lt;&gt;$B290,$B306&lt;&gt;$B291,$B307&lt;&gt;$B292,$B308&lt;&gt;$B293,$B309&lt;&gt;$B294,$B310&lt;&gt;$B295,$B311&lt;&gt;$B296,$B312&lt;&gt;$B297,$B313&lt;&gt;$B298),IF($B305&lt;&gt;$B290,L290/INDEX($C288:$AJ298,3,MATCH(IF('Data-solution'!$A$3="Maximize",MAX($C299:$AI299),MIN($C299:$AI299)),$C299:$AI299,0)),L290-INDEX($C288:$AJ298,3,MATCH(IF('Data-solution'!$A$3="Maximize",MAX($C299:$AI299),MIN($C299:$AI299)),$C299:$AI299,0))*INDEX(L288:$AJ298,MATCH(MIN($AK288:$AK298),$AK288:$AK298,0),1)/INDEX($C288:$AJ298,MATCH(MIN($AK288:$AK298),$AK288:$AK298,0),MATCH(IF('Data-solution'!$A$3="Maximize",MAX($C299:$AI299),MIN($C299:$AI299)),$C299:$AI299,0))),L290)</f>
        <v>0</v>
      </c>
      <c r="M305" s="1">
        <f>IF(OR($B303&lt;&gt;$B288,$B304&lt;&gt;$B289,$B305&lt;&gt;$B290,$B306&lt;&gt;$B291,$B307&lt;&gt;$B292,$B308&lt;&gt;$B293,$B309&lt;&gt;$B294,$B310&lt;&gt;$B295,$B311&lt;&gt;$B296,$B312&lt;&gt;$B297,$B313&lt;&gt;$B298),IF($B305&lt;&gt;$B290,M290/INDEX($C288:$AJ298,3,MATCH(IF('Data-solution'!$A$3="Maximize",MAX($C299:$AI299),MIN($C299:$AI299)),$C299:$AI299,0)),M290-INDEX($C288:$AJ298,3,MATCH(IF('Data-solution'!$A$3="Maximize",MAX($C299:$AI299),MIN($C299:$AI299)),$C299:$AI299,0))*INDEX(M288:$AJ298,MATCH(MIN($AK288:$AK298),$AK288:$AK298,0),1)/INDEX($C288:$AJ298,MATCH(MIN($AK288:$AK298),$AK288:$AK298,0),MATCH(IF('Data-solution'!$A$3="Maximize",MAX($C299:$AI299),MIN($C299:$AI299)),$C299:$AI299,0))),M290)</f>
        <v>0</v>
      </c>
      <c r="N305" s="1">
        <f>IF(OR($B303&lt;&gt;$B288,$B304&lt;&gt;$B289,$B305&lt;&gt;$B290,$B306&lt;&gt;$B291,$B307&lt;&gt;$B292,$B308&lt;&gt;$B293,$B309&lt;&gt;$B294,$B310&lt;&gt;$B295,$B311&lt;&gt;$B296,$B312&lt;&gt;$B297,$B313&lt;&gt;$B298),IF($B305&lt;&gt;$B290,N290/INDEX($C288:$AJ298,3,MATCH(IF('Data-solution'!$A$3="Maximize",MAX($C299:$AI299),MIN($C299:$AI299)),$C299:$AI299,0)),N290-INDEX($C288:$AJ298,3,MATCH(IF('Data-solution'!$A$3="Maximize",MAX($C299:$AI299),MIN($C299:$AI299)),$C299:$AI299,0))*INDEX(N288:$AJ298,MATCH(MIN($AK288:$AK298),$AK288:$AK298,0),1)/INDEX($C288:$AJ298,MATCH(MIN($AK288:$AK298),$AK288:$AK298,0),MATCH(IF('Data-solution'!$A$3="Maximize",MAX($C299:$AI299),MIN($C299:$AI299)),$C299:$AI299,0))),N290)</f>
        <v>0</v>
      </c>
      <c r="O305" s="1">
        <f>IF(OR($B303&lt;&gt;$B288,$B304&lt;&gt;$B289,$B305&lt;&gt;$B290,$B306&lt;&gt;$B291,$B307&lt;&gt;$B292,$B308&lt;&gt;$B293,$B309&lt;&gt;$B294,$B310&lt;&gt;$B295,$B311&lt;&gt;$B296,$B312&lt;&gt;$B297,$B313&lt;&gt;$B298),IF($B305&lt;&gt;$B290,O290/INDEX($C288:$AJ298,3,MATCH(IF('Data-solution'!$A$3="Maximize",MAX($C299:$AI299),MIN($C299:$AI299)),$C299:$AI299,0)),O290-INDEX($C288:$AJ298,3,MATCH(IF('Data-solution'!$A$3="Maximize",MAX($C299:$AI299),MIN($C299:$AI299)),$C299:$AI299,0))*INDEX(O288:$AJ298,MATCH(MIN($AK288:$AK298),$AK288:$AK298,0),1)/INDEX($C288:$AJ298,MATCH(MIN($AK288:$AK298),$AK288:$AK298,0),MATCH(IF('Data-solution'!$A$3="Maximize",MAX($C299:$AI299),MIN($C299:$AI299)),$C299:$AI299,0))),O290)</f>
        <v>0</v>
      </c>
      <c r="P305" s="1">
        <f>IF(OR($B303&lt;&gt;$B288,$B304&lt;&gt;$B289,$B305&lt;&gt;$B290,$B306&lt;&gt;$B291,$B307&lt;&gt;$B292,$B308&lt;&gt;$B293,$B309&lt;&gt;$B294,$B310&lt;&gt;$B295,$B311&lt;&gt;$B296,$B312&lt;&gt;$B297,$B313&lt;&gt;$B298),IF($B305&lt;&gt;$B290,P290/INDEX($C288:$AJ298,3,MATCH(IF('Data-solution'!$A$3="Maximize",MAX($C299:$AI299),MIN($C299:$AI299)),$C299:$AI299,0)),P290-INDEX($C288:$AJ298,3,MATCH(IF('Data-solution'!$A$3="Maximize",MAX($C299:$AI299),MIN($C299:$AI299)),$C299:$AI299,0))*INDEX(P288:$AJ298,MATCH(MIN($AK288:$AK298),$AK288:$AK298,0),1)/INDEX($C288:$AJ298,MATCH(MIN($AK288:$AK298),$AK288:$AK298,0),MATCH(IF('Data-solution'!$A$3="Maximize",MAX($C299:$AI299),MIN($C299:$AI299)),$C299:$AI299,0))),P290)</f>
        <v>0.24999999999999997</v>
      </c>
      <c r="Q305" s="1">
        <f>IF(OR($B303&lt;&gt;$B288,$B304&lt;&gt;$B289,$B305&lt;&gt;$B290,$B306&lt;&gt;$B291,$B307&lt;&gt;$B292,$B308&lt;&gt;$B293,$B309&lt;&gt;$B294,$B310&lt;&gt;$B295,$B311&lt;&gt;$B296,$B312&lt;&gt;$B297,$B313&lt;&gt;$B298),IF($B305&lt;&gt;$B290,Q290/INDEX($C288:$AJ298,3,MATCH(IF('Data-solution'!$A$3="Maximize",MAX($C299:$AI299),MIN($C299:$AI299)),$C299:$AI299,0)),Q290-INDEX($C288:$AJ298,3,MATCH(IF('Data-solution'!$A$3="Maximize",MAX($C299:$AI299),MIN($C299:$AI299)),$C299:$AI299,0))*INDEX(Q288:$AJ298,MATCH(MIN($AK288:$AK298),$AK288:$AK298,0),1)/INDEX($C288:$AJ298,MATCH(MIN($AK288:$AK298),$AK288:$AK298,0),MATCH(IF('Data-solution'!$A$3="Maximize",MAX($C299:$AI299),MIN($C299:$AI299)),$C299:$AI299,0))),Q290)</f>
        <v>-0.49999999999999989</v>
      </c>
      <c r="R305" s="1">
        <f>IF(OR($B303&lt;&gt;$B288,$B304&lt;&gt;$B289,$B305&lt;&gt;$B290,$B306&lt;&gt;$B291,$B307&lt;&gt;$B292,$B308&lt;&gt;$B293,$B309&lt;&gt;$B294,$B310&lt;&gt;$B295,$B311&lt;&gt;$B296,$B312&lt;&gt;$B297,$B313&lt;&gt;$B298),IF($B305&lt;&gt;$B290,R290/INDEX($C288:$AJ298,3,MATCH(IF('Data-solution'!$A$3="Maximize",MAX($C299:$AI299),MIN($C299:$AI299)),$C299:$AI299,0)),R290-INDEX($C288:$AJ298,3,MATCH(IF('Data-solution'!$A$3="Maximize",MAX($C299:$AI299),MIN($C299:$AI299)),$C299:$AI299,0))*INDEX(R288:$AJ298,MATCH(MIN($AK288:$AK298),$AK288:$AK298,0),1)/INDEX($C288:$AJ298,MATCH(MIN($AK288:$AK298),$AK288:$AK298,0),MATCH(IF('Data-solution'!$A$3="Maximize",MAX($C299:$AI299),MIN($C299:$AI299)),$C299:$AI299,0))),R290)</f>
        <v>0</v>
      </c>
      <c r="S305" s="1">
        <f>IF(OR($B303&lt;&gt;$B288,$B304&lt;&gt;$B289,$B305&lt;&gt;$B290,$B306&lt;&gt;$B291,$B307&lt;&gt;$B292,$B308&lt;&gt;$B293,$B309&lt;&gt;$B294,$B310&lt;&gt;$B295,$B311&lt;&gt;$B296,$B312&lt;&gt;$B297,$B313&lt;&gt;$B298),IF($B305&lt;&gt;$B290,S290/INDEX($C288:$AJ298,3,MATCH(IF('Data-solution'!$A$3="Maximize",MAX($C299:$AI299),MIN($C299:$AI299)),$C299:$AI299,0)),S290-INDEX($C288:$AJ298,3,MATCH(IF('Data-solution'!$A$3="Maximize",MAX($C299:$AI299),MIN($C299:$AI299)),$C299:$AI299,0))*INDEX(S288:$AJ298,MATCH(MIN($AK288:$AK298),$AK288:$AK298,0),1)/INDEX($C288:$AJ298,MATCH(MIN($AK288:$AK298),$AK288:$AK298,0),MATCH(IF('Data-solution'!$A$3="Maximize",MAX($C299:$AI299),MIN($C299:$AI299)),$C299:$AI299,0))),S290)</f>
        <v>0</v>
      </c>
      <c r="T305" s="1">
        <f>IF(OR($B303&lt;&gt;$B288,$B304&lt;&gt;$B289,$B305&lt;&gt;$B290,$B306&lt;&gt;$B291,$B307&lt;&gt;$B292,$B308&lt;&gt;$B293,$B309&lt;&gt;$B294,$B310&lt;&gt;$B295,$B311&lt;&gt;$B296,$B312&lt;&gt;$B297,$B313&lt;&gt;$B298),IF($B305&lt;&gt;$B290,T290/INDEX($C288:$AJ298,3,MATCH(IF('Data-solution'!$A$3="Maximize",MAX($C299:$AI299),MIN($C299:$AI299)),$C299:$AI299,0)),T290-INDEX($C288:$AJ298,3,MATCH(IF('Data-solution'!$A$3="Maximize",MAX($C299:$AI299),MIN($C299:$AI299)),$C299:$AI299,0))*INDEX(T288:$AJ298,MATCH(MIN($AK288:$AK298),$AK288:$AK298,0),1)/INDEX($C288:$AJ298,MATCH(MIN($AK288:$AK298),$AK288:$AK298,0),MATCH(IF('Data-solution'!$A$3="Maximize",MAX($C299:$AI299),MIN($C299:$AI299)),$C299:$AI299,0))),T290)</f>
        <v>0</v>
      </c>
      <c r="U305" s="1">
        <f>IF(OR($B303&lt;&gt;$B288,$B304&lt;&gt;$B289,$B305&lt;&gt;$B290,$B306&lt;&gt;$B291,$B307&lt;&gt;$B292,$B308&lt;&gt;$B293,$B309&lt;&gt;$B294,$B310&lt;&gt;$B295,$B311&lt;&gt;$B296,$B312&lt;&gt;$B297,$B313&lt;&gt;$B298),IF($B305&lt;&gt;$B290,U290/INDEX($C288:$AJ298,3,MATCH(IF('Data-solution'!$A$3="Maximize",MAX($C299:$AI299),MIN($C299:$AI299)),$C299:$AI299,0)),U290-INDEX($C288:$AJ298,3,MATCH(IF('Data-solution'!$A$3="Maximize",MAX($C299:$AI299),MIN($C299:$AI299)),$C299:$AI299,0))*INDEX(U288:$AJ298,MATCH(MIN($AK288:$AK298),$AK288:$AK298,0),1)/INDEX($C288:$AJ298,MATCH(MIN($AK288:$AK298),$AK288:$AK298,0),MATCH(IF('Data-solution'!$A$3="Maximize",MAX($C299:$AI299),MIN($C299:$AI299)),$C299:$AI299,0))),U290)</f>
        <v>0</v>
      </c>
      <c r="V305" s="1">
        <f>IF(OR($B303&lt;&gt;$B288,$B304&lt;&gt;$B289,$B305&lt;&gt;$B290,$B306&lt;&gt;$B291,$B307&lt;&gt;$B292,$B308&lt;&gt;$B293,$B309&lt;&gt;$B294,$B310&lt;&gt;$B295,$B311&lt;&gt;$B296,$B312&lt;&gt;$B297,$B313&lt;&gt;$B298),IF($B305&lt;&gt;$B290,V290/INDEX($C288:$AJ298,3,MATCH(IF('Data-solution'!$A$3="Maximize",MAX($C299:$AI299),MIN($C299:$AI299)),$C299:$AI299,0)),V290-INDEX($C288:$AJ298,3,MATCH(IF('Data-solution'!$A$3="Maximize",MAX($C299:$AI299),MIN($C299:$AI299)),$C299:$AI299,0))*INDEX(V288:$AJ298,MATCH(MIN($AK288:$AK298),$AK288:$AK298,0),1)/INDEX($C288:$AJ298,MATCH(MIN($AK288:$AK298),$AK288:$AK298,0),MATCH(IF('Data-solution'!$A$3="Maximize",MAX($C299:$AI299),MIN($C299:$AI299)),$C299:$AI299,0))),V290)</f>
        <v>0</v>
      </c>
      <c r="W305" s="1">
        <f>IF(OR($B303&lt;&gt;$B288,$B304&lt;&gt;$B289,$B305&lt;&gt;$B290,$B306&lt;&gt;$B291,$B307&lt;&gt;$B292,$B308&lt;&gt;$B293,$B309&lt;&gt;$B294,$B310&lt;&gt;$B295,$B311&lt;&gt;$B296,$B312&lt;&gt;$B297,$B313&lt;&gt;$B298),IF($B305&lt;&gt;$B290,W290/INDEX($C288:$AJ298,3,MATCH(IF('Data-solution'!$A$3="Maximize",MAX($C299:$AI299),MIN($C299:$AI299)),$C299:$AI299,0)),W290-INDEX($C288:$AJ298,3,MATCH(IF('Data-solution'!$A$3="Maximize",MAX($C299:$AI299),MIN($C299:$AI299)),$C299:$AI299,0))*INDEX(W288:$AJ298,MATCH(MIN($AK288:$AK298),$AK288:$AK298,0),1)/INDEX($C288:$AJ298,MATCH(MIN($AK288:$AK298),$AK288:$AK298,0),MATCH(IF('Data-solution'!$A$3="Maximize",MAX($C299:$AI299),MIN($C299:$AI299)),$C299:$AI299,0))),W290)</f>
        <v>0</v>
      </c>
      <c r="X305" s="1">
        <f>IF(OR($B303&lt;&gt;$B288,$B304&lt;&gt;$B289,$B305&lt;&gt;$B290,$B306&lt;&gt;$B291,$B307&lt;&gt;$B292,$B308&lt;&gt;$B293,$B309&lt;&gt;$B294,$B310&lt;&gt;$B295,$B311&lt;&gt;$B296,$B312&lt;&gt;$B297,$B313&lt;&gt;$B298),IF($B305&lt;&gt;$B290,X290/INDEX($C288:$AJ298,3,MATCH(IF('Data-solution'!$A$3="Maximize",MAX($C299:$AI299),MIN($C299:$AI299)),$C299:$AI299,0)),X290-INDEX($C288:$AJ298,3,MATCH(IF('Data-solution'!$A$3="Maximize",MAX($C299:$AI299),MIN($C299:$AI299)),$C299:$AI299,0))*INDEX(X288:$AJ298,MATCH(MIN($AK288:$AK298),$AK288:$AK298,0),1)/INDEX($C288:$AJ298,MATCH(MIN($AK288:$AK298),$AK288:$AK298,0),MATCH(IF('Data-solution'!$A$3="Maximize",MAX($C299:$AI299),MIN($C299:$AI299)),$C299:$AI299,0))),X290)</f>
        <v>0</v>
      </c>
      <c r="Y305" s="1">
        <f>IF(OR($B303&lt;&gt;$B288,$B304&lt;&gt;$B289,$B305&lt;&gt;$B290,$B306&lt;&gt;$B291,$B307&lt;&gt;$B292,$B308&lt;&gt;$B293,$B309&lt;&gt;$B294,$B310&lt;&gt;$B295,$B311&lt;&gt;$B296,$B312&lt;&gt;$B297,$B313&lt;&gt;$B298),IF($B305&lt;&gt;$B290,Y290/INDEX($C288:$AJ298,3,MATCH(IF('Data-solution'!$A$3="Maximize",MAX($C299:$AI299),MIN($C299:$AI299)),$C299:$AI299,0)),Y290-INDEX($C288:$AJ298,3,MATCH(IF('Data-solution'!$A$3="Maximize",MAX($C299:$AI299),MIN($C299:$AI299)),$C299:$AI299,0))*INDEX(Y288:$AJ298,MATCH(MIN($AK288:$AK298),$AK288:$AK298,0),1)/INDEX($C288:$AJ298,MATCH(MIN($AK288:$AK298),$AK288:$AK298,0),MATCH(IF('Data-solution'!$A$3="Maximize",MAX($C299:$AI299),MIN($C299:$AI299)),$C299:$AI299,0))),Y290)</f>
        <v>0</v>
      </c>
      <c r="Z305" s="1">
        <f>IF(OR($B303&lt;&gt;$B288,$B304&lt;&gt;$B289,$B305&lt;&gt;$B290,$B306&lt;&gt;$B291,$B307&lt;&gt;$B292,$B308&lt;&gt;$B293,$B309&lt;&gt;$B294,$B310&lt;&gt;$B295,$B311&lt;&gt;$B296,$B312&lt;&gt;$B297,$B313&lt;&gt;$B298),IF($B305&lt;&gt;$B290,Z290/INDEX($C288:$AJ298,3,MATCH(IF('Data-solution'!$A$3="Maximize",MAX($C299:$AI299),MIN($C299:$AI299)),$C299:$AI299,0)),Z290-INDEX($C288:$AJ298,3,MATCH(IF('Data-solution'!$A$3="Maximize",MAX($C299:$AI299),MIN($C299:$AI299)),$C299:$AI299,0))*INDEX(Z288:$AJ298,MATCH(MIN($AK288:$AK298),$AK288:$AK298,0),1)/INDEX($C288:$AJ298,MATCH(MIN($AK288:$AK298),$AK288:$AK298,0),MATCH(IF('Data-solution'!$A$3="Maximize",MAX($C299:$AI299),MIN($C299:$AI299)),$C299:$AI299,0))),Z290)</f>
        <v>0</v>
      </c>
      <c r="AA305" s="1">
        <f>IF(OR($B303&lt;&gt;$B288,$B304&lt;&gt;$B289,$B305&lt;&gt;$B290,$B306&lt;&gt;$B291,$B307&lt;&gt;$B292,$B308&lt;&gt;$B293,$B309&lt;&gt;$B294,$B310&lt;&gt;$B295,$B311&lt;&gt;$B296,$B312&lt;&gt;$B297,$B313&lt;&gt;$B298),IF($B305&lt;&gt;$B290,AA290/INDEX($C288:$AJ298,3,MATCH(IF('Data-solution'!$A$3="Maximize",MAX($C299:$AI299),MIN($C299:$AI299)),$C299:$AI299,0)),AA290-INDEX($C288:$AJ298,3,MATCH(IF('Data-solution'!$A$3="Maximize",MAX($C299:$AI299),MIN($C299:$AI299)),$C299:$AI299,0))*INDEX(AA288:$AJ298,MATCH(MIN($AK288:$AK298),$AK288:$AK298,0),1)/INDEX($C288:$AJ298,MATCH(MIN($AK288:$AK298),$AK288:$AK298,0),MATCH(IF('Data-solution'!$A$3="Maximize",MAX($C299:$AI299),MIN($C299:$AI299)),$C299:$AI299,0))),AA290)</f>
        <v>0.24999999999999997</v>
      </c>
      <c r="AB305" s="1">
        <f>IF(OR($B303&lt;&gt;$B288,$B304&lt;&gt;$B289,$B305&lt;&gt;$B290,$B306&lt;&gt;$B291,$B307&lt;&gt;$B292,$B308&lt;&gt;$B293,$B309&lt;&gt;$B294,$B310&lt;&gt;$B295,$B311&lt;&gt;$B296,$B312&lt;&gt;$B297,$B313&lt;&gt;$B298),IF($B305&lt;&gt;$B290,AB290/INDEX($C288:$AJ298,3,MATCH(IF('Data-solution'!$A$3="Maximize",MAX($C299:$AI299),MIN($C299:$AI299)),$C299:$AI299,0)),AB290-INDEX($C288:$AJ298,3,MATCH(IF('Data-solution'!$A$3="Maximize",MAX($C299:$AI299),MIN($C299:$AI299)),$C299:$AI299,0))*INDEX(AB288:$AJ298,MATCH(MIN($AK288:$AK298),$AK288:$AK298,0),1)/INDEX($C288:$AJ298,MATCH(MIN($AK288:$AK298),$AK288:$AK298,0),MATCH(IF('Data-solution'!$A$3="Maximize",MAX($C299:$AI299),MIN($C299:$AI299)),$C299:$AI299,0))),AB290)</f>
        <v>-0.49999999999999989</v>
      </c>
      <c r="AC305" s="1">
        <f>IF(OR($B303&lt;&gt;$B288,$B304&lt;&gt;$B289,$B305&lt;&gt;$B290,$B306&lt;&gt;$B291,$B307&lt;&gt;$B292,$B308&lt;&gt;$B293,$B309&lt;&gt;$B294,$B310&lt;&gt;$B295,$B311&lt;&gt;$B296,$B312&lt;&gt;$B297,$B313&lt;&gt;$B298),IF($B305&lt;&gt;$B290,AC290/INDEX($C288:$AJ298,3,MATCH(IF('Data-solution'!$A$3="Maximize",MAX($C299:$AI299),MIN($C299:$AI299)),$C299:$AI299,0)),AC290-INDEX($C288:$AJ298,3,MATCH(IF('Data-solution'!$A$3="Maximize",MAX($C299:$AI299),MIN($C299:$AI299)),$C299:$AI299,0))*INDEX(AC288:$AJ298,MATCH(MIN($AK288:$AK298),$AK288:$AK298,0),1)/INDEX($C288:$AJ298,MATCH(MIN($AK288:$AK298),$AK288:$AK298,0),MATCH(IF('Data-solution'!$A$3="Maximize",MAX($C299:$AI299),MIN($C299:$AI299)),$C299:$AI299,0))),AC290)</f>
        <v>0</v>
      </c>
      <c r="AD305" s="1">
        <f>IF(OR($B303&lt;&gt;$B288,$B304&lt;&gt;$B289,$B305&lt;&gt;$B290,$B306&lt;&gt;$B291,$B307&lt;&gt;$B292,$B308&lt;&gt;$B293,$B309&lt;&gt;$B294,$B310&lt;&gt;$B295,$B311&lt;&gt;$B296,$B312&lt;&gt;$B297,$B313&lt;&gt;$B298),IF($B305&lt;&gt;$B290,AD290/INDEX($C288:$AJ298,3,MATCH(IF('Data-solution'!$A$3="Maximize",MAX($C299:$AI299),MIN($C299:$AI299)),$C299:$AI299,0)),AD290-INDEX($C288:$AJ298,3,MATCH(IF('Data-solution'!$A$3="Maximize",MAX($C299:$AI299),MIN($C299:$AI299)),$C299:$AI299,0))*INDEX(AD288:$AJ298,MATCH(MIN($AK288:$AK298),$AK288:$AK298,0),1)/INDEX($C288:$AJ298,MATCH(MIN($AK288:$AK298),$AK288:$AK298,0),MATCH(IF('Data-solution'!$A$3="Maximize",MAX($C299:$AI299),MIN($C299:$AI299)),$C299:$AI299,0))),AD290)</f>
        <v>0</v>
      </c>
      <c r="AE305" s="1">
        <f>IF(OR($B303&lt;&gt;$B288,$B304&lt;&gt;$B289,$B305&lt;&gt;$B290,$B306&lt;&gt;$B291,$B307&lt;&gt;$B292,$B308&lt;&gt;$B293,$B309&lt;&gt;$B294,$B310&lt;&gt;$B295,$B311&lt;&gt;$B296,$B312&lt;&gt;$B297,$B313&lt;&gt;$B298),IF($B305&lt;&gt;$B290,AE290/INDEX($C288:$AJ298,3,MATCH(IF('Data-solution'!$A$3="Maximize",MAX($C299:$AI299),MIN($C299:$AI299)),$C299:$AI299,0)),AE290-INDEX($C288:$AJ298,3,MATCH(IF('Data-solution'!$A$3="Maximize",MAX($C299:$AI299),MIN($C299:$AI299)),$C299:$AI299,0))*INDEX(AE288:$AJ298,MATCH(MIN($AK288:$AK298),$AK288:$AK298,0),1)/INDEX($C288:$AJ298,MATCH(MIN($AK288:$AK298),$AK288:$AK298,0),MATCH(IF('Data-solution'!$A$3="Maximize",MAX($C299:$AI299),MIN($C299:$AI299)),$C299:$AI299,0))),AE290)</f>
        <v>0</v>
      </c>
      <c r="AF305" s="1">
        <f>IF(OR($B303&lt;&gt;$B288,$B304&lt;&gt;$B289,$B305&lt;&gt;$B290,$B306&lt;&gt;$B291,$B307&lt;&gt;$B292,$B308&lt;&gt;$B293,$B309&lt;&gt;$B294,$B310&lt;&gt;$B295,$B311&lt;&gt;$B296,$B312&lt;&gt;$B297,$B313&lt;&gt;$B298),IF($B305&lt;&gt;$B290,AF290/INDEX($C288:$AJ298,3,MATCH(IF('Data-solution'!$A$3="Maximize",MAX($C299:$AI299),MIN($C299:$AI299)),$C299:$AI299,0)),AF290-INDEX($C288:$AJ298,3,MATCH(IF('Data-solution'!$A$3="Maximize",MAX($C299:$AI299),MIN($C299:$AI299)),$C299:$AI299,0))*INDEX(AF288:$AJ298,MATCH(MIN($AK288:$AK298),$AK288:$AK298,0),1)/INDEX($C288:$AJ298,MATCH(MIN($AK288:$AK298),$AK288:$AK298,0),MATCH(IF('Data-solution'!$A$3="Maximize",MAX($C299:$AI299),MIN($C299:$AI299)),$C299:$AI299,0))),AF290)</f>
        <v>0</v>
      </c>
      <c r="AG305" s="1">
        <f>IF(OR($B303&lt;&gt;$B288,$B304&lt;&gt;$B289,$B305&lt;&gt;$B290,$B306&lt;&gt;$B291,$B307&lt;&gt;$B292,$B308&lt;&gt;$B293,$B309&lt;&gt;$B294,$B310&lt;&gt;$B295,$B311&lt;&gt;$B296,$B312&lt;&gt;$B297,$B313&lt;&gt;$B298),IF($B305&lt;&gt;$B290,AG290/INDEX($C288:$AJ298,3,MATCH(IF('Data-solution'!$A$3="Maximize",MAX($C299:$AI299),MIN($C299:$AI299)),$C299:$AI299,0)),AG290-INDEX($C288:$AJ298,3,MATCH(IF('Data-solution'!$A$3="Maximize",MAX($C299:$AI299),MIN($C299:$AI299)),$C299:$AI299,0))*INDEX(AG288:$AJ298,MATCH(MIN($AK288:$AK298),$AK288:$AK298,0),1)/INDEX($C288:$AJ298,MATCH(MIN($AK288:$AK298),$AK288:$AK298,0),MATCH(IF('Data-solution'!$A$3="Maximize",MAX($C299:$AI299),MIN($C299:$AI299)),$C299:$AI299,0))),AG290)</f>
        <v>0</v>
      </c>
      <c r="AH305" s="1">
        <f>IF(OR($B303&lt;&gt;$B288,$B304&lt;&gt;$B289,$B305&lt;&gt;$B290,$B306&lt;&gt;$B291,$B307&lt;&gt;$B292,$B308&lt;&gt;$B293,$B309&lt;&gt;$B294,$B310&lt;&gt;$B295,$B311&lt;&gt;$B296,$B312&lt;&gt;$B297,$B313&lt;&gt;$B298),IF($B305&lt;&gt;$B290,AH290/INDEX($C288:$AJ298,3,MATCH(IF('Data-solution'!$A$3="Maximize",MAX($C299:$AI299),MIN($C299:$AI299)),$C299:$AI299,0)),AH290-INDEX($C288:$AJ298,3,MATCH(IF('Data-solution'!$A$3="Maximize",MAX($C299:$AI299),MIN($C299:$AI299)),$C299:$AI299,0))*INDEX(AH288:$AJ298,MATCH(MIN($AK288:$AK298),$AK288:$AK298,0),1)/INDEX($C288:$AJ298,MATCH(MIN($AK288:$AK298),$AK288:$AK298,0),MATCH(IF('Data-solution'!$A$3="Maximize",MAX($C299:$AI299),MIN($C299:$AI299)),$C299:$AI299,0))),AH290)</f>
        <v>0</v>
      </c>
      <c r="AI305" s="1">
        <f>IF(OR($B303&lt;&gt;$B288,$B304&lt;&gt;$B289,$B305&lt;&gt;$B290,$B306&lt;&gt;$B291,$B307&lt;&gt;$B292,$B308&lt;&gt;$B293,$B309&lt;&gt;$B294,$B310&lt;&gt;$B295,$B311&lt;&gt;$B296,$B312&lt;&gt;$B297,$B313&lt;&gt;$B298),IF($B305&lt;&gt;$B290,AI290/INDEX($C288:$AJ298,3,MATCH(IF('Data-solution'!$A$3="Maximize",MAX($C299:$AI299),MIN($C299:$AI299)),$C299:$AI299,0)),AI290-INDEX($C288:$AJ298,3,MATCH(IF('Data-solution'!$A$3="Maximize",MAX($C299:$AI299),MIN($C299:$AI299)),$C299:$AI299,0))*INDEX(AI288:$AJ298,MATCH(MIN($AK288:$AK298),$AK288:$AK298,0),1)/INDEX($C288:$AJ298,MATCH(MIN($AK288:$AK298),$AK288:$AK298,0),MATCH(IF('Data-solution'!$A$3="Maximize",MAX($C299:$AI299),MIN($C299:$AI299)),$C299:$AI299,0))),AI290)</f>
        <v>0</v>
      </c>
      <c r="AJ305" s="1">
        <f>IF(OR($B303&lt;&gt;$B288,$B304&lt;&gt;$B289,$B305&lt;&gt;$B290,$B306&lt;&gt;$B291,$B307&lt;&gt;$B292,$B308&lt;&gt;$B293,$B309&lt;&gt;$B294,$B310&lt;&gt;$B295,$B311&lt;&gt;$B296,$B312&lt;&gt;$B297,$B313&lt;&gt;$B298),IF($B305&lt;&gt;$B290,AJ290/INDEX($C288:$AJ298,3,MATCH(IF('Data-solution'!$A$3="Maximize",MAX($C299:$AI299),MIN($C299:$AI299)),$C299:$AI299,0)),AJ290-INDEX($C288:$AJ298,3,MATCH(IF('Data-solution'!$A$3="Maximize",MAX($C299:$AI299),MIN($C299:$AI299)),$C299:$AI299,0))*INDEX(AJ288:$AJ298,MATCH(MIN($AK288:$AK298),$AK288:$AK298,0),1)/INDEX($C288:$AJ298,MATCH(MIN($AK288:$AK298),$AK288:$AK298,0),MATCH(IF('Data-solution'!$A$3="Maximize",MAX($C299:$AI299),MIN($C299:$AI299)),$C299:$AI299,0))),AJ290)</f>
        <v>300</v>
      </c>
      <c r="AK305" s="1" t="str">
        <f>IF(INDEX(C305:X305,1,MATCH(IF('Data-solution'!A$3="Maximize",MAX(C314:X314),MIN(C314:X314)),C314:X314,0))&gt;0,AJ305/INDEX(C305:X305,1,MATCH(IF('Data-solution'!A$3="Maximize",MAX(C314:X314),MIN(C314:X314)),C314:X314,0))," ")</f>
        <v xml:space="preserve"> </v>
      </c>
    </row>
    <row r="306" spans="1:37" ht="18" customHeight="1" x14ac:dyDescent="0.2">
      <c r="A306" s="1">
        <f t="shared" ref="A306" si="275">INDEX(C301:AI301,1,MATCH(B306,C302:AI302,0))</f>
        <v>150</v>
      </c>
      <c r="B306" s="2" t="str">
        <f>IF(AND('Data-solution'!A$3="Maximize",COUNTIF(C299:X299,"&gt;"&amp;0)&gt;0,AK291=MIN(AK288:AK298),COUNTIF(B303:B305,INDEX(C287:X287,1,MATCH(MAX(C299:X299),C299:X299,0)))=0),INDEX(C287:X287,1,MATCH(MAX(C299:X299),C299:X299,0)),IF(AND('Data-solution'!A$3="Minimize",COUNTIF(C299:X299,"&lt;"&amp;0)&gt;0,AK291=MIN(AK288:AK298),COUNTIF(B303:B305,INDEX(C287:X287,1,MATCH(MIN(C299:X299),C299:X299,0)))=0),INDEX(C287:X287,1,MATCH(MIN(C299:X299),C299:X299,0)),B291))</f>
        <v>X1</v>
      </c>
      <c r="C306" s="1">
        <f>IF(OR($B303&lt;&gt;$B288,$B304&lt;&gt;$B289,$B305&lt;&gt;$B290,$B306&lt;&gt;$B291,$B307&lt;&gt;$B292,$B308&lt;&gt;$B293,$B309&lt;&gt;$B294,$B310&lt;&gt;$B295,$B311&lt;&gt;$B296,$B312&lt;&gt;$B297,$B313&lt;&gt;$B298),IF($B306&lt;&gt;$B291,C291/INDEX($C288:$AJ298,4,MATCH(IF('Data-solution'!$A$3="Maximize",MAX($C299:$AI299),MIN($C299:$AI299)),$C299:$AI299,0)),C291-INDEX($C288:$AJ298,4,MATCH(IF('Data-solution'!$A$3="Maximize",MAX($C299:$AI299),MIN($C299:$AI299)),$C299:$AI299,0))*INDEX(C288:$AJ298,MATCH(MIN($AK288:$AK298),$AK288:$AK298,0),1)/INDEX($C288:$AJ298,MATCH(MIN($AK288:$AK298),$AK288:$AK298,0),MATCH(IF('Data-solution'!$A$3="Maximize",MAX($C299:$AI299),MIN($C299:$AI299)),$C299:$AI299,0))),C291)</f>
        <v>1</v>
      </c>
      <c r="D306" s="1">
        <f>IF(OR($B303&lt;&gt;$B288,$B304&lt;&gt;$B289,$B305&lt;&gt;$B290,$B306&lt;&gt;$B291,$B307&lt;&gt;$B292,$B308&lt;&gt;$B293,$B309&lt;&gt;$B294,$B310&lt;&gt;$B295,$B311&lt;&gt;$B296,$B312&lt;&gt;$B297,$B313&lt;&gt;$B298),IF($B306&lt;&gt;$B291,D291/INDEX($C288:$AJ298,4,MATCH(IF('Data-solution'!$A$3="Maximize",MAX($C299:$AI299),MIN($C299:$AI299)),$C299:$AI299,0)),D291-INDEX($C288:$AJ298,4,MATCH(IF('Data-solution'!$A$3="Maximize",MAX($C299:$AI299),MIN($C299:$AI299)),$C299:$AI299,0))*INDEX(D288:$AJ298,MATCH(MIN($AK288:$AK298),$AK288:$AK298,0),1)/INDEX($C288:$AJ298,MATCH(MIN($AK288:$AK298),$AK288:$AK298,0),MATCH(IF('Data-solution'!$A$3="Maximize",MAX($C299:$AI299),MIN($C299:$AI299)),$C299:$AI299,0))),D291)</f>
        <v>-1.25</v>
      </c>
      <c r="E306" s="1">
        <f>IF(OR($B303&lt;&gt;$B288,$B304&lt;&gt;$B289,$B305&lt;&gt;$B290,$B306&lt;&gt;$B291,$B307&lt;&gt;$B292,$B308&lt;&gt;$B293,$B309&lt;&gt;$B294,$B310&lt;&gt;$B295,$B311&lt;&gt;$B296,$B312&lt;&gt;$B297,$B313&lt;&gt;$B298),IF($B306&lt;&gt;$B291,E291/INDEX($C288:$AJ298,4,MATCH(IF('Data-solution'!$A$3="Maximize",MAX($C299:$AI299),MIN($C299:$AI299)),$C299:$AI299,0)),E291-INDEX($C288:$AJ298,4,MATCH(IF('Data-solution'!$A$3="Maximize",MAX($C299:$AI299),MIN($C299:$AI299)),$C299:$AI299,0))*INDEX(E288:$AJ298,MATCH(MIN($AK288:$AK298),$AK288:$AK298,0),1)/INDEX($C288:$AJ298,MATCH(MIN($AK288:$AK298),$AK288:$AK298,0),MATCH(IF('Data-solution'!$A$3="Maximize",MAX($C299:$AI299),MIN($C299:$AI299)),$C299:$AI299,0))),E291)</f>
        <v>0</v>
      </c>
      <c r="F306" s="1">
        <f>IF(OR($B303&lt;&gt;$B288,$B304&lt;&gt;$B289,$B305&lt;&gt;$B290,$B306&lt;&gt;$B291,$B307&lt;&gt;$B292,$B308&lt;&gt;$B293,$B309&lt;&gt;$B294,$B310&lt;&gt;$B295,$B311&lt;&gt;$B296,$B312&lt;&gt;$B297,$B313&lt;&gt;$B298),IF($B306&lt;&gt;$B291,F291/INDEX($C288:$AJ298,4,MATCH(IF('Data-solution'!$A$3="Maximize",MAX($C299:$AI299),MIN($C299:$AI299)),$C299:$AI299,0)),F291-INDEX($C288:$AJ298,4,MATCH(IF('Data-solution'!$A$3="Maximize",MAX($C299:$AI299),MIN($C299:$AI299)),$C299:$AI299,0))*INDEX(F288:$AJ298,MATCH(MIN($AK288:$AK298),$AK288:$AK298,0),1)/INDEX($C288:$AJ298,MATCH(MIN($AK288:$AK298),$AK288:$AK298,0),MATCH(IF('Data-solution'!$A$3="Maximize",MAX($C299:$AI299),MIN($C299:$AI299)),$C299:$AI299,0))),F291)</f>
        <v>0</v>
      </c>
      <c r="G306" s="1">
        <f>IF(OR($B303&lt;&gt;$B288,$B304&lt;&gt;$B289,$B305&lt;&gt;$B290,$B306&lt;&gt;$B291,$B307&lt;&gt;$B292,$B308&lt;&gt;$B293,$B309&lt;&gt;$B294,$B310&lt;&gt;$B295,$B311&lt;&gt;$B296,$B312&lt;&gt;$B297,$B313&lt;&gt;$B298),IF($B306&lt;&gt;$B291,G291/INDEX($C288:$AJ298,4,MATCH(IF('Data-solution'!$A$3="Maximize",MAX($C299:$AI299),MIN($C299:$AI299)),$C299:$AI299,0)),G291-INDEX($C288:$AJ298,4,MATCH(IF('Data-solution'!$A$3="Maximize",MAX($C299:$AI299),MIN($C299:$AI299)),$C299:$AI299,0))*INDEX(G288:$AJ298,MATCH(MIN($AK288:$AK298),$AK288:$AK298,0),1)/INDEX($C288:$AJ298,MATCH(MIN($AK288:$AK298),$AK288:$AK298,0),MATCH(IF('Data-solution'!$A$3="Maximize",MAX($C299:$AI299),MIN($C299:$AI299)),$C299:$AI299,0))),G291)</f>
        <v>0</v>
      </c>
      <c r="H306" s="1">
        <f>IF(OR($B303&lt;&gt;$B288,$B304&lt;&gt;$B289,$B305&lt;&gt;$B290,$B306&lt;&gt;$B291,$B307&lt;&gt;$B292,$B308&lt;&gt;$B293,$B309&lt;&gt;$B294,$B310&lt;&gt;$B295,$B311&lt;&gt;$B296,$B312&lt;&gt;$B297,$B313&lt;&gt;$B298),IF($B306&lt;&gt;$B291,H291/INDEX($C288:$AJ298,4,MATCH(IF('Data-solution'!$A$3="Maximize",MAX($C299:$AI299),MIN($C299:$AI299)),$C299:$AI299,0)),H291-INDEX($C288:$AJ298,4,MATCH(IF('Data-solution'!$A$3="Maximize",MAX($C299:$AI299),MIN($C299:$AI299)),$C299:$AI299,0))*INDEX(H288:$AJ298,MATCH(MIN($AK288:$AK298),$AK288:$AK298,0),1)/INDEX($C288:$AJ298,MATCH(MIN($AK288:$AK298),$AK288:$AK298,0),MATCH(IF('Data-solution'!$A$3="Maximize",MAX($C299:$AI299),MIN($C299:$AI299)),$C299:$AI299,0))),H291)</f>
        <v>0</v>
      </c>
      <c r="I306" s="1">
        <f>IF(OR($B303&lt;&gt;$B288,$B304&lt;&gt;$B289,$B305&lt;&gt;$B290,$B306&lt;&gt;$B291,$B307&lt;&gt;$B292,$B308&lt;&gt;$B293,$B309&lt;&gt;$B294,$B310&lt;&gt;$B295,$B311&lt;&gt;$B296,$B312&lt;&gt;$B297,$B313&lt;&gt;$B298),IF($B306&lt;&gt;$B291,I291/INDEX($C288:$AJ298,4,MATCH(IF('Data-solution'!$A$3="Maximize",MAX($C299:$AI299),MIN($C299:$AI299)),$C299:$AI299,0)),I291-INDEX($C288:$AJ298,4,MATCH(IF('Data-solution'!$A$3="Maximize",MAX($C299:$AI299),MIN($C299:$AI299)),$C299:$AI299,0))*INDEX(I288:$AJ298,MATCH(MIN($AK288:$AK298),$AK288:$AK298,0),1)/INDEX($C288:$AJ298,MATCH(MIN($AK288:$AK298),$AK288:$AK298,0),MATCH(IF('Data-solution'!$A$3="Maximize",MAX($C299:$AI299),MIN($C299:$AI299)),$C299:$AI299,0))),I291)</f>
        <v>0</v>
      </c>
      <c r="J306" s="1">
        <f>IF(OR($B303&lt;&gt;$B288,$B304&lt;&gt;$B289,$B305&lt;&gt;$B290,$B306&lt;&gt;$B291,$B307&lt;&gt;$B292,$B308&lt;&gt;$B293,$B309&lt;&gt;$B294,$B310&lt;&gt;$B295,$B311&lt;&gt;$B296,$B312&lt;&gt;$B297,$B313&lt;&gt;$B298),IF($B306&lt;&gt;$B291,J291/INDEX($C288:$AJ298,4,MATCH(IF('Data-solution'!$A$3="Maximize",MAX($C299:$AI299),MIN($C299:$AI299)),$C299:$AI299,0)),J291-INDEX($C288:$AJ298,4,MATCH(IF('Data-solution'!$A$3="Maximize",MAX($C299:$AI299),MIN($C299:$AI299)),$C299:$AI299,0))*INDEX(J288:$AJ298,MATCH(MIN($AK288:$AK298),$AK288:$AK298,0),1)/INDEX($C288:$AJ298,MATCH(MIN($AK288:$AK298),$AK288:$AK298,0),MATCH(IF('Data-solution'!$A$3="Maximize",MAX($C299:$AI299),MIN($C299:$AI299)),$C299:$AI299,0))),J291)</f>
        <v>0</v>
      </c>
      <c r="K306" s="1">
        <f>IF(OR($B303&lt;&gt;$B288,$B304&lt;&gt;$B289,$B305&lt;&gt;$B290,$B306&lt;&gt;$B291,$B307&lt;&gt;$B292,$B308&lt;&gt;$B293,$B309&lt;&gt;$B294,$B310&lt;&gt;$B295,$B311&lt;&gt;$B296,$B312&lt;&gt;$B297,$B313&lt;&gt;$B298),IF($B306&lt;&gt;$B291,K291/INDEX($C288:$AJ298,4,MATCH(IF('Data-solution'!$A$3="Maximize",MAX($C299:$AI299),MIN($C299:$AI299)),$C299:$AI299,0)),K291-INDEX($C288:$AJ298,4,MATCH(IF('Data-solution'!$A$3="Maximize",MAX($C299:$AI299),MIN($C299:$AI299)),$C299:$AI299,0))*INDEX(K288:$AJ298,MATCH(MIN($AK288:$AK298),$AK288:$AK298,0),1)/INDEX($C288:$AJ298,MATCH(MIN($AK288:$AK298),$AK288:$AK298,0),MATCH(IF('Data-solution'!$A$3="Maximize",MAX($C299:$AI299),MIN($C299:$AI299)),$C299:$AI299,0))),K291)</f>
        <v>0</v>
      </c>
      <c r="L306" s="1">
        <f>IF(OR($B303&lt;&gt;$B288,$B304&lt;&gt;$B289,$B305&lt;&gt;$B290,$B306&lt;&gt;$B291,$B307&lt;&gt;$B292,$B308&lt;&gt;$B293,$B309&lt;&gt;$B294,$B310&lt;&gt;$B295,$B311&lt;&gt;$B296,$B312&lt;&gt;$B297,$B313&lt;&gt;$B298),IF($B306&lt;&gt;$B291,L291/INDEX($C288:$AJ298,4,MATCH(IF('Data-solution'!$A$3="Maximize",MAX($C299:$AI299),MIN($C299:$AI299)),$C299:$AI299,0)),L291-INDEX($C288:$AJ298,4,MATCH(IF('Data-solution'!$A$3="Maximize",MAX($C299:$AI299),MIN($C299:$AI299)),$C299:$AI299,0))*INDEX(L288:$AJ298,MATCH(MIN($AK288:$AK298),$AK288:$AK298,0),1)/INDEX($C288:$AJ298,MATCH(MIN($AK288:$AK298),$AK288:$AK298,0),MATCH(IF('Data-solution'!$A$3="Maximize",MAX($C299:$AI299),MIN($C299:$AI299)),$C299:$AI299,0))),L291)</f>
        <v>0</v>
      </c>
      <c r="M306" s="1">
        <f>IF(OR($B303&lt;&gt;$B288,$B304&lt;&gt;$B289,$B305&lt;&gt;$B290,$B306&lt;&gt;$B291,$B307&lt;&gt;$B292,$B308&lt;&gt;$B293,$B309&lt;&gt;$B294,$B310&lt;&gt;$B295,$B311&lt;&gt;$B296,$B312&lt;&gt;$B297,$B313&lt;&gt;$B298),IF($B306&lt;&gt;$B291,M291/INDEX($C288:$AJ298,4,MATCH(IF('Data-solution'!$A$3="Maximize",MAX($C299:$AI299),MIN($C299:$AI299)),$C299:$AI299,0)),M291-INDEX($C288:$AJ298,4,MATCH(IF('Data-solution'!$A$3="Maximize",MAX($C299:$AI299),MIN($C299:$AI299)),$C299:$AI299,0))*INDEX(M288:$AJ298,MATCH(MIN($AK288:$AK298),$AK288:$AK298,0),1)/INDEX($C288:$AJ298,MATCH(MIN($AK288:$AK298),$AK288:$AK298,0),MATCH(IF('Data-solution'!$A$3="Maximize",MAX($C299:$AI299),MIN($C299:$AI299)),$C299:$AI299,0))),M291)</f>
        <v>0</v>
      </c>
      <c r="N306" s="1">
        <f>IF(OR($B303&lt;&gt;$B288,$B304&lt;&gt;$B289,$B305&lt;&gt;$B290,$B306&lt;&gt;$B291,$B307&lt;&gt;$B292,$B308&lt;&gt;$B293,$B309&lt;&gt;$B294,$B310&lt;&gt;$B295,$B311&lt;&gt;$B296,$B312&lt;&gt;$B297,$B313&lt;&gt;$B298),IF($B306&lt;&gt;$B291,N291/INDEX($C288:$AJ298,4,MATCH(IF('Data-solution'!$A$3="Maximize",MAX($C299:$AI299),MIN($C299:$AI299)),$C299:$AI299,0)),N291-INDEX($C288:$AJ298,4,MATCH(IF('Data-solution'!$A$3="Maximize",MAX($C299:$AI299),MIN($C299:$AI299)),$C299:$AI299,0))*INDEX(N288:$AJ298,MATCH(MIN($AK288:$AK298),$AK288:$AK298,0),1)/INDEX($C288:$AJ298,MATCH(MIN($AK288:$AK298),$AK288:$AK298,0),MATCH(IF('Data-solution'!$A$3="Maximize",MAX($C299:$AI299),MIN($C299:$AI299)),$C299:$AI299,0))),N291)</f>
        <v>0</v>
      </c>
      <c r="O306" s="1">
        <f>IF(OR($B303&lt;&gt;$B288,$B304&lt;&gt;$B289,$B305&lt;&gt;$B290,$B306&lt;&gt;$B291,$B307&lt;&gt;$B292,$B308&lt;&gt;$B293,$B309&lt;&gt;$B294,$B310&lt;&gt;$B295,$B311&lt;&gt;$B296,$B312&lt;&gt;$B297,$B313&lt;&gt;$B298),IF($B306&lt;&gt;$B291,O291/INDEX($C288:$AJ298,4,MATCH(IF('Data-solution'!$A$3="Maximize",MAX($C299:$AI299),MIN($C299:$AI299)),$C299:$AI299,0)),O291-INDEX($C288:$AJ298,4,MATCH(IF('Data-solution'!$A$3="Maximize",MAX($C299:$AI299),MIN($C299:$AI299)),$C299:$AI299,0))*INDEX(O288:$AJ298,MATCH(MIN($AK288:$AK298),$AK288:$AK298,0),1)/INDEX($C288:$AJ298,MATCH(MIN($AK288:$AK298),$AK288:$AK298,0),MATCH(IF('Data-solution'!$A$3="Maximize",MAX($C299:$AI299),MIN($C299:$AI299)),$C299:$AI299,0))),O291)</f>
        <v>0</v>
      </c>
      <c r="P306" s="1">
        <f>IF(OR($B303&lt;&gt;$B288,$B304&lt;&gt;$B289,$B305&lt;&gt;$B290,$B306&lt;&gt;$B291,$B307&lt;&gt;$B292,$B308&lt;&gt;$B293,$B309&lt;&gt;$B294,$B310&lt;&gt;$B295,$B311&lt;&gt;$B296,$B312&lt;&gt;$B297,$B313&lt;&gt;$B298),IF($B306&lt;&gt;$B291,P291/INDEX($C288:$AJ298,4,MATCH(IF('Data-solution'!$A$3="Maximize",MAX($C299:$AI299),MIN($C299:$AI299)),$C299:$AI299,0)),P291-INDEX($C288:$AJ298,4,MATCH(IF('Data-solution'!$A$3="Maximize",MAX($C299:$AI299),MIN($C299:$AI299)),$C299:$AI299,0))*INDEX(P288:$AJ298,MATCH(MIN($AK288:$AK298),$AK288:$AK298,0),1)/INDEX($C288:$AJ298,MATCH(MIN($AK288:$AK298),$AK288:$AK298,0),MATCH(IF('Data-solution'!$A$3="Maximize",MAX($C299:$AI299),MIN($C299:$AI299)),$C299:$AI299,0))),P291)</f>
        <v>-0.24999999999999994</v>
      </c>
      <c r="Q306" s="1">
        <f>IF(OR($B303&lt;&gt;$B288,$B304&lt;&gt;$B289,$B305&lt;&gt;$B290,$B306&lt;&gt;$B291,$B307&lt;&gt;$B292,$B308&lt;&gt;$B293,$B309&lt;&gt;$B294,$B310&lt;&gt;$B295,$B311&lt;&gt;$B296,$B312&lt;&gt;$B297,$B313&lt;&gt;$B298),IF($B306&lt;&gt;$B291,Q291/INDEX($C288:$AJ298,4,MATCH(IF('Data-solution'!$A$3="Maximize",MAX($C299:$AI299),MIN($C299:$AI299)),$C299:$AI299,0)),Q291-INDEX($C288:$AJ298,4,MATCH(IF('Data-solution'!$A$3="Maximize",MAX($C299:$AI299),MIN($C299:$AI299)),$C299:$AI299,0))*INDEX(Q288:$AJ298,MATCH(MIN($AK288:$AK298),$AK288:$AK298,0),1)/INDEX($C288:$AJ298,MATCH(MIN($AK288:$AK298),$AK288:$AK298,0),MATCH(IF('Data-solution'!$A$3="Maximize",MAX($C299:$AI299),MIN($C299:$AI299)),$C299:$AI299,0))),Q291)</f>
        <v>1.4999999999999998</v>
      </c>
      <c r="R306" s="1">
        <f>IF(OR($B303&lt;&gt;$B288,$B304&lt;&gt;$B289,$B305&lt;&gt;$B290,$B306&lt;&gt;$B291,$B307&lt;&gt;$B292,$B308&lt;&gt;$B293,$B309&lt;&gt;$B294,$B310&lt;&gt;$B295,$B311&lt;&gt;$B296,$B312&lt;&gt;$B297,$B313&lt;&gt;$B298),IF($B306&lt;&gt;$B291,R291/INDEX($C288:$AJ298,4,MATCH(IF('Data-solution'!$A$3="Maximize",MAX($C299:$AI299),MIN($C299:$AI299)),$C299:$AI299,0)),R291-INDEX($C288:$AJ298,4,MATCH(IF('Data-solution'!$A$3="Maximize",MAX($C299:$AI299),MIN($C299:$AI299)),$C299:$AI299,0))*INDEX(R288:$AJ298,MATCH(MIN($AK288:$AK298),$AK288:$AK298,0),1)/INDEX($C288:$AJ298,MATCH(MIN($AK288:$AK298),$AK288:$AK298,0),MATCH(IF('Data-solution'!$A$3="Maximize",MAX($C299:$AI299),MIN($C299:$AI299)),$C299:$AI299,0))),R291)</f>
        <v>0</v>
      </c>
      <c r="S306" s="1">
        <f>IF(OR($B303&lt;&gt;$B288,$B304&lt;&gt;$B289,$B305&lt;&gt;$B290,$B306&lt;&gt;$B291,$B307&lt;&gt;$B292,$B308&lt;&gt;$B293,$B309&lt;&gt;$B294,$B310&lt;&gt;$B295,$B311&lt;&gt;$B296,$B312&lt;&gt;$B297,$B313&lt;&gt;$B298),IF($B306&lt;&gt;$B291,S291/INDEX($C288:$AJ298,4,MATCH(IF('Data-solution'!$A$3="Maximize",MAX($C299:$AI299),MIN($C299:$AI299)),$C299:$AI299,0)),S291-INDEX($C288:$AJ298,4,MATCH(IF('Data-solution'!$A$3="Maximize",MAX($C299:$AI299),MIN($C299:$AI299)),$C299:$AI299,0))*INDEX(S288:$AJ298,MATCH(MIN($AK288:$AK298),$AK288:$AK298,0),1)/INDEX($C288:$AJ298,MATCH(MIN($AK288:$AK298),$AK288:$AK298,0),MATCH(IF('Data-solution'!$A$3="Maximize",MAX($C299:$AI299),MIN($C299:$AI299)),$C299:$AI299,0))),S291)</f>
        <v>0</v>
      </c>
      <c r="T306" s="1">
        <f>IF(OR($B303&lt;&gt;$B288,$B304&lt;&gt;$B289,$B305&lt;&gt;$B290,$B306&lt;&gt;$B291,$B307&lt;&gt;$B292,$B308&lt;&gt;$B293,$B309&lt;&gt;$B294,$B310&lt;&gt;$B295,$B311&lt;&gt;$B296,$B312&lt;&gt;$B297,$B313&lt;&gt;$B298),IF($B306&lt;&gt;$B291,T291/INDEX($C288:$AJ298,4,MATCH(IF('Data-solution'!$A$3="Maximize",MAX($C299:$AI299),MIN($C299:$AI299)),$C299:$AI299,0)),T291-INDEX($C288:$AJ298,4,MATCH(IF('Data-solution'!$A$3="Maximize",MAX($C299:$AI299),MIN($C299:$AI299)),$C299:$AI299,0))*INDEX(T288:$AJ298,MATCH(MIN($AK288:$AK298),$AK288:$AK298,0),1)/INDEX($C288:$AJ298,MATCH(MIN($AK288:$AK298),$AK288:$AK298,0),MATCH(IF('Data-solution'!$A$3="Maximize",MAX($C299:$AI299),MIN($C299:$AI299)),$C299:$AI299,0))),T291)</f>
        <v>0</v>
      </c>
      <c r="U306" s="1">
        <f>IF(OR($B303&lt;&gt;$B288,$B304&lt;&gt;$B289,$B305&lt;&gt;$B290,$B306&lt;&gt;$B291,$B307&lt;&gt;$B292,$B308&lt;&gt;$B293,$B309&lt;&gt;$B294,$B310&lt;&gt;$B295,$B311&lt;&gt;$B296,$B312&lt;&gt;$B297,$B313&lt;&gt;$B298),IF($B306&lt;&gt;$B291,U291/INDEX($C288:$AJ298,4,MATCH(IF('Data-solution'!$A$3="Maximize",MAX($C299:$AI299),MIN($C299:$AI299)),$C299:$AI299,0)),U291-INDEX($C288:$AJ298,4,MATCH(IF('Data-solution'!$A$3="Maximize",MAX($C299:$AI299),MIN($C299:$AI299)),$C299:$AI299,0))*INDEX(U288:$AJ298,MATCH(MIN($AK288:$AK298),$AK288:$AK298,0),1)/INDEX($C288:$AJ298,MATCH(MIN($AK288:$AK298),$AK288:$AK298,0),MATCH(IF('Data-solution'!$A$3="Maximize",MAX($C299:$AI299),MIN($C299:$AI299)),$C299:$AI299,0))),U291)</f>
        <v>0</v>
      </c>
      <c r="V306" s="1">
        <f>IF(OR($B303&lt;&gt;$B288,$B304&lt;&gt;$B289,$B305&lt;&gt;$B290,$B306&lt;&gt;$B291,$B307&lt;&gt;$B292,$B308&lt;&gt;$B293,$B309&lt;&gt;$B294,$B310&lt;&gt;$B295,$B311&lt;&gt;$B296,$B312&lt;&gt;$B297,$B313&lt;&gt;$B298),IF($B306&lt;&gt;$B291,V291/INDEX($C288:$AJ298,4,MATCH(IF('Data-solution'!$A$3="Maximize",MAX($C299:$AI299),MIN($C299:$AI299)),$C299:$AI299,0)),V291-INDEX($C288:$AJ298,4,MATCH(IF('Data-solution'!$A$3="Maximize",MAX($C299:$AI299),MIN($C299:$AI299)),$C299:$AI299,0))*INDEX(V288:$AJ298,MATCH(MIN($AK288:$AK298),$AK288:$AK298,0),1)/INDEX($C288:$AJ298,MATCH(MIN($AK288:$AK298),$AK288:$AK298,0),MATCH(IF('Data-solution'!$A$3="Maximize",MAX($C299:$AI299),MIN($C299:$AI299)),$C299:$AI299,0))),V291)</f>
        <v>0</v>
      </c>
      <c r="W306" s="1">
        <f>IF(OR($B303&lt;&gt;$B288,$B304&lt;&gt;$B289,$B305&lt;&gt;$B290,$B306&lt;&gt;$B291,$B307&lt;&gt;$B292,$B308&lt;&gt;$B293,$B309&lt;&gt;$B294,$B310&lt;&gt;$B295,$B311&lt;&gt;$B296,$B312&lt;&gt;$B297,$B313&lt;&gt;$B298),IF($B306&lt;&gt;$B291,W291/INDEX($C288:$AJ298,4,MATCH(IF('Data-solution'!$A$3="Maximize",MAX($C299:$AI299),MIN($C299:$AI299)),$C299:$AI299,0)),W291-INDEX($C288:$AJ298,4,MATCH(IF('Data-solution'!$A$3="Maximize",MAX($C299:$AI299),MIN($C299:$AI299)),$C299:$AI299,0))*INDEX(W288:$AJ298,MATCH(MIN($AK288:$AK298),$AK288:$AK298,0),1)/INDEX($C288:$AJ298,MATCH(MIN($AK288:$AK298),$AK288:$AK298,0),MATCH(IF('Data-solution'!$A$3="Maximize",MAX($C299:$AI299),MIN($C299:$AI299)),$C299:$AI299,0))),W291)</f>
        <v>0</v>
      </c>
      <c r="X306" s="1">
        <f>IF(OR($B303&lt;&gt;$B288,$B304&lt;&gt;$B289,$B305&lt;&gt;$B290,$B306&lt;&gt;$B291,$B307&lt;&gt;$B292,$B308&lt;&gt;$B293,$B309&lt;&gt;$B294,$B310&lt;&gt;$B295,$B311&lt;&gt;$B296,$B312&lt;&gt;$B297,$B313&lt;&gt;$B298),IF($B306&lt;&gt;$B291,X291/INDEX($C288:$AJ298,4,MATCH(IF('Data-solution'!$A$3="Maximize",MAX($C299:$AI299),MIN($C299:$AI299)),$C299:$AI299,0)),X291-INDEX($C288:$AJ298,4,MATCH(IF('Data-solution'!$A$3="Maximize",MAX($C299:$AI299),MIN($C299:$AI299)),$C299:$AI299,0))*INDEX(X288:$AJ298,MATCH(MIN($AK288:$AK298),$AK288:$AK298,0),1)/INDEX($C288:$AJ298,MATCH(MIN($AK288:$AK298),$AK288:$AK298,0),MATCH(IF('Data-solution'!$A$3="Maximize",MAX($C299:$AI299),MIN($C299:$AI299)),$C299:$AI299,0))),X291)</f>
        <v>0</v>
      </c>
      <c r="Y306" s="1">
        <f>IF(OR($B303&lt;&gt;$B288,$B304&lt;&gt;$B289,$B305&lt;&gt;$B290,$B306&lt;&gt;$B291,$B307&lt;&gt;$B292,$B308&lt;&gt;$B293,$B309&lt;&gt;$B294,$B310&lt;&gt;$B295,$B311&lt;&gt;$B296,$B312&lt;&gt;$B297,$B313&lt;&gt;$B298),IF($B306&lt;&gt;$B291,Y291/INDEX($C288:$AJ298,4,MATCH(IF('Data-solution'!$A$3="Maximize",MAX($C299:$AI299),MIN($C299:$AI299)),$C299:$AI299,0)),Y291-INDEX($C288:$AJ298,4,MATCH(IF('Data-solution'!$A$3="Maximize",MAX($C299:$AI299),MIN($C299:$AI299)),$C299:$AI299,0))*INDEX(Y288:$AJ298,MATCH(MIN($AK288:$AK298),$AK288:$AK298,0),1)/INDEX($C288:$AJ298,MATCH(MIN($AK288:$AK298),$AK288:$AK298,0),MATCH(IF('Data-solution'!$A$3="Maximize",MAX($C299:$AI299),MIN($C299:$AI299)),$C299:$AI299,0))),Y291)</f>
        <v>0</v>
      </c>
      <c r="Z306" s="1">
        <f>IF(OR($B303&lt;&gt;$B288,$B304&lt;&gt;$B289,$B305&lt;&gt;$B290,$B306&lt;&gt;$B291,$B307&lt;&gt;$B292,$B308&lt;&gt;$B293,$B309&lt;&gt;$B294,$B310&lt;&gt;$B295,$B311&lt;&gt;$B296,$B312&lt;&gt;$B297,$B313&lt;&gt;$B298),IF($B306&lt;&gt;$B291,Z291/INDEX($C288:$AJ298,4,MATCH(IF('Data-solution'!$A$3="Maximize",MAX($C299:$AI299),MIN($C299:$AI299)),$C299:$AI299,0)),Z291-INDEX($C288:$AJ298,4,MATCH(IF('Data-solution'!$A$3="Maximize",MAX($C299:$AI299),MIN($C299:$AI299)),$C299:$AI299,0))*INDEX(Z288:$AJ298,MATCH(MIN($AK288:$AK298),$AK288:$AK298,0),1)/INDEX($C288:$AJ298,MATCH(MIN($AK288:$AK298),$AK288:$AK298,0),MATCH(IF('Data-solution'!$A$3="Maximize",MAX($C299:$AI299),MIN($C299:$AI299)),$C299:$AI299,0))),Z291)</f>
        <v>0</v>
      </c>
      <c r="AA306" s="1">
        <f>IF(OR($B303&lt;&gt;$B288,$B304&lt;&gt;$B289,$B305&lt;&gt;$B290,$B306&lt;&gt;$B291,$B307&lt;&gt;$B292,$B308&lt;&gt;$B293,$B309&lt;&gt;$B294,$B310&lt;&gt;$B295,$B311&lt;&gt;$B296,$B312&lt;&gt;$B297,$B313&lt;&gt;$B298),IF($B306&lt;&gt;$B291,AA291/INDEX($C288:$AJ298,4,MATCH(IF('Data-solution'!$A$3="Maximize",MAX($C299:$AI299),MIN($C299:$AI299)),$C299:$AI299,0)),AA291-INDEX($C288:$AJ298,4,MATCH(IF('Data-solution'!$A$3="Maximize",MAX($C299:$AI299),MIN($C299:$AI299)),$C299:$AI299,0))*INDEX(AA288:$AJ298,MATCH(MIN($AK288:$AK298),$AK288:$AK298,0),1)/INDEX($C288:$AJ298,MATCH(MIN($AK288:$AK298),$AK288:$AK298,0),MATCH(IF('Data-solution'!$A$3="Maximize",MAX($C299:$AI299),MIN($C299:$AI299)),$C299:$AI299,0))),AA291)</f>
        <v>-0.24999999999999994</v>
      </c>
      <c r="AB306" s="1">
        <f>IF(OR($B303&lt;&gt;$B288,$B304&lt;&gt;$B289,$B305&lt;&gt;$B290,$B306&lt;&gt;$B291,$B307&lt;&gt;$B292,$B308&lt;&gt;$B293,$B309&lt;&gt;$B294,$B310&lt;&gt;$B295,$B311&lt;&gt;$B296,$B312&lt;&gt;$B297,$B313&lt;&gt;$B298),IF($B306&lt;&gt;$B291,AB291/INDEX($C288:$AJ298,4,MATCH(IF('Data-solution'!$A$3="Maximize",MAX($C299:$AI299),MIN($C299:$AI299)),$C299:$AI299,0)),AB291-INDEX($C288:$AJ298,4,MATCH(IF('Data-solution'!$A$3="Maximize",MAX($C299:$AI299),MIN($C299:$AI299)),$C299:$AI299,0))*INDEX(AB288:$AJ298,MATCH(MIN($AK288:$AK298),$AK288:$AK298,0),1)/INDEX($C288:$AJ298,MATCH(MIN($AK288:$AK298),$AK288:$AK298,0),MATCH(IF('Data-solution'!$A$3="Maximize",MAX($C299:$AI299),MIN($C299:$AI299)),$C299:$AI299,0))),AB291)</f>
        <v>1.4999999999999998</v>
      </c>
      <c r="AC306" s="1">
        <f>IF(OR($B303&lt;&gt;$B288,$B304&lt;&gt;$B289,$B305&lt;&gt;$B290,$B306&lt;&gt;$B291,$B307&lt;&gt;$B292,$B308&lt;&gt;$B293,$B309&lt;&gt;$B294,$B310&lt;&gt;$B295,$B311&lt;&gt;$B296,$B312&lt;&gt;$B297,$B313&lt;&gt;$B298),IF($B306&lt;&gt;$B291,AC291/INDEX($C288:$AJ298,4,MATCH(IF('Data-solution'!$A$3="Maximize",MAX($C299:$AI299),MIN($C299:$AI299)),$C299:$AI299,0)),AC291-INDEX($C288:$AJ298,4,MATCH(IF('Data-solution'!$A$3="Maximize",MAX($C299:$AI299),MIN($C299:$AI299)),$C299:$AI299,0))*INDEX(AC288:$AJ298,MATCH(MIN($AK288:$AK298),$AK288:$AK298,0),1)/INDEX($C288:$AJ298,MATCH(MIN($AK288:$AK298),$AK288:$AK298,0),MATCH(IF('Data-solution'!$A$3="Maximize",MAX($C299:$AI299),MIN($C299:$AI299)),$C299:$AI299,0))),AC291)</f>
        <v>0</v>
      </c>
      <c r="AD306" s="1">
        <f>IF(OR($B303&lt;&gt;$B288,$B304&lt;&gt;$B289,$B305&lt;&gt;$B290,$B306&lt;&gt;$B291,$B307&lt;&gt;$B292,$B308&lt;&gt;$B293,$B309&lt;&gt;$B294,$B310&lt;&gt;$B295,$B311&lt;&gt;$B296,$B312&lt;&gt;$B297,$B313&lt;&gt;$B298),IF($B306&lt;&gt;$B291,AD291/INDEX($C288:$AJ298,4,MATCH(IF('Data-solution'!$A$3="Maximize",MAX($C299:$AI299),MIN($C299:$AI299)),$C299:$AI299,0)),AD291-INDEX($C288:$AJ298,4,MATCH(IF('Data-solution'!$A$3="Maximize",MAX($C299:$AI299),MIN($C299:$AI299)),$C299:$AI299,0))*INDEX(AD288:$AJ298,MATCH(MIN($AK288:$AK298),$AK288:$AK298,0),1)/INDEX($C288:$AJ298,MATCH(MIN($AK288:$AK298),$AK288:$AK298,0),MATCH(IF('Data-solution'!$A$3="Maximize",MAX($C299:$AI299),MIN($C299:$AI299)),$C299:$AI299,0))),AD291)</f>
        <v>0</v>
      </c>
      <c r="AE306" s="1">
        <f>IF(OR($B303&lt;&gt;$B288,$B304&lt;&gt;$B289,$B305&lt;&gt;$B290,$B306&lt;&gt;$B291,$B307&lt;&gt;$B292,$B308&lt;&gt;$B293,$B309&lt;&gt;$B294,$B310&lt;&gt;$B295,$B311&lt;&gt;$B296,$B312&lt;&gt;$B297,$B313&lt;&gt;$B298),IF($B306&lt;&gt;$B291,AE291/INDEX($C288:$AJ298,4,MATCH(IF('Data-solution'!$A$3="Maximize",MAX($C299:$AI299),MIN($C299:$AI299)),$C299:$AI299,0)),AE291-INDEX($C288:$AJ298,4,MATCH(IF('Data-solution'!$A$3="Maximize",MAX($C299:$AI299),MIN($C299:$AI299)),$C299:$AI299,0))*INDEX(AE288:$AJ298,MATCH(MIN($AK288:$AK298),$AK288:$AK298,0),1)/INDEX($C288:$AJ298,MATCH(MIN($AK288:$AK298),$AK288:$AK298,0),MATCH(IF('Data-solution'!$A$3="Maximize",MAX($C299:$AI299),MIN($C299:$AI299)),$C299:$AI299,0))),AE291)</f>
        <v>0</v>
      </c>
      <c r="AF306" s="1">
        <f>IF(OR($B303&lt;&gt;$B288,$B304&lt;&gt;$B289,$B305&lt;&gt;$B290,$B306&lt;&gt;$B291,$B307&lt;&gt;$B292,$B308&lt;&gt;$B293,$B309&lt;&gt;$B294,$B310&lt;&gt;$B295,$B311&lt;&gt;$B296,$B312&lt;&gt;$B297,$B313&lt;&gt;$B298),IF($B306&lt;&gt;$B291,AF291/INDEX($C288:$AJ298,4,MATCH(IF('Data-solution'!$A$3="Maximize",MAX($C299:$AI299),MIN($C299:$AI299)),$C299:$AI299,0)),AF291-INDEX($C288:$AJ298,4,MATCH(IF('Data-solution'!$A$3="Maximize",MAX($C299:$AI299),MIN($C299:$AI299)),$C299:$AI299,0))*INDEX(AF288:$AJ298,MATCH(MIN($AK288:$AK298),$AK288:$AK298,0),1)/INDEX($C288:$AJ298,MATCH(MIN($AK288:$AK298),$AK288:$AK298,0),MATCH(IF('Data-solution'!$A$3="Maximize",MAX($C299:$AI299),MIN($C299:$AI299)),$C299:$AI299,0))),AF291)</f>
        <v>0</v>
      </c>
      <c r="AG306" s="1">
        <f>IF(OR($B303&lt;&gt;$B288,$B304&lt;&gt;$B289,$B305&lt;&gt;$B290,$B306&lt;&gt;$B291,$B307&lt;&gt;$B292,$B308&lt;&gt;$B293,$B309&lt;&gt;$B294,$B310&lt;&gt;$B295,$B311&lt;&gt;$B296,$B312&lt;&gt;$B297,$B313&lt;&gt;$B298),IF($B306&lt;&gt;$B291,AG291/INDEX($C288:$AJ298,4,MATCH(IF('Data-solution'!$A$3="Maximize",MAX($C299:$AI299),MIN($C299:$AI299)),$C299:$AI299,0)),AG291-INDEX($C288:$AJ298,4,MATCH(IF('Data-solution'!$A$3="Maximize",MAX($C299:$AI299),MIN($C299:$AI299)),$C299:$AI299,0))*INDEX(AG288:$AJ298,MATCH(MIN($AK288:$AK298),$AK288:$AK298,0),1)/INDEX($C288:$AJ298,MATCH(MIN($AK288:$AK298),$AK288:$AK298,0),MATCH(IF('Data-solution'!$A$3="Maximize",MAX($C299:$AI299),MIN($C299:$AI299)),$C299:$AI299,0))),AG291)</f>
        <v>0</v>
      </c>
      <c r="AH306" s="1">
        <f>IF(OR($B303&lt;&gt;$B288,$B304&lt;&gt;$B289,$B305&lt;&gt;$B290,$B306&lt;&gt;$B291,$B307&lt;&gt;$B292,$B308&lt;&gt;$B293,$B309&lt;&gt;$B294,$B310&lt;&gt;$B295,$B311&lt;&gt;$B296,$B312&lt;&gt;$B297,$B313&lt;&gt;$B298),IF($B306&lt;&gt;$B291,AH291/INDEX($C288:$AJ298,4,MATCH(IF('Data-solution'!$A$3="Maximize",MAX($C299:$AI299),MIN($C299:$AI299)),$C299:$AI299,0)),AH291-INDEX($C288:$AJ298,4,MATCH(IF('Data-solution'!$A$3="Maximize",MAX($C299:$AI299),MIN($C299:$AI299)),$C299:$AI299,0))*INDEX(AH288:$AJ298,MATCH(MIN($AK288:$AK298),$AK288:$AK298,0),1)/INDEX($C288:$AJ298,MATCH(MIN($AK288:$AK298),$AK288:$AK298,0),MATCH(IF('Data-solution'!$A$3="Maximize",MAX($C299:$AI299),MIN($C299:$AI299)),$C299:$AI299,0))),AH291)</f>
        <v>0</v>
      </c>
      <c r="AI306" s="1">
        <f>IF(OR($B303&lt;&gt;$B288,$B304&lt;&gt;$B289,$B305&lt;&gt;$B290,$B306&lt;&gt;$B291,$B307&lt;&gt;$B292,$B308&lt;&gt;$B293,$B309&lt;&gt;$B294,$B310&lt;&gt;$B295,$B311&lt;&gt;$B296,$B312&lt;&gt;$B297,$B313&lt;&gt;$B298),IF($B306&lt;&gt;$B291,AI291/INDEX($C288:$AJ298,4,MATCH(IF('Data-solution'!$A$3="Maximize",MAX($C299:$AI299),MIN($C299:$AI299)),$C299:$AI299,0)),AI291-INDEX($C288:$AJ298,4,MATCH(IF('Data-solution'!$A$3="Maximize",MAX($C299:$AI299),MIN($C299:$AI299)),$C299:$AI299,0))*INDEX(AI288:$AJ298,MATCH(MIN($AK288:$AK298),$AK288:$AK298,0),1)/INDEX($C288:$AJ298,MATCH(MIN($AK288:$AK298),$AK288:$AK298,0),MATCH(IF('Data-solution'!$A$3="Maximize",MAX($C299:$AI299),MIN($C299:$AI299)),$C299:$AI299,0))),AI291)</f>
        <v>0</v>
      </c>
      <c r="AJ306" s="1">
        <f>IF(OR($B303&lt;&gt;$B288,$B304&lt;&gt;$B289,$B305&lt;&gt;$B290,$B306&lt;&gt;$B291,$B307&lt;&gt;$B292,$B308&lt;&gt;$B293,$B309&lt;&gt;$B294,$B310&lt;&gt;$B295,$B311&lt;&gt;$B296,$B312&lt;&gt;$B297,$B313&lt;&gt;$B298),IF($B306&lt;&gt;$B291,AJ291/INDEX($C288:$AJ298,4,MATCH(IF('Data-solution'!$A$3="Maximize",MAX($C299:$AI299),MIN($C299:$AI299)),$C299:$AI299,0)),AJ291-INDEX($C288:$AJ298,4,MATCH(IF('Data-solution'!$A$3="Maximize",MAX($C299:$AI299),MIN($C299:$AI299)),$C299:$AI299,0))*INDEX(AJ288:$AJ298,MATCH(MIN($AK288:$AK298),$AK288:$AK298,0),1)/INDEX($C288:$AJ298,MATCH(MIN($AK288:$AK298),$AK288:$AK298,0),MATCH(IF('Data-solution'!$A$3="Maximize",MAX($C299:$AI299),MIN($C299:$AI299)),$C299:$AI299,0))),AJ291)</f>
        <v>100.00000000000001</v>
      </c>
      <c r="AK306" s="1">
        <f>IF(INDEX(C306:X306,1,MATCH(IF('Data-solution'!A$3="Maximize",MAX(C314:X314),MIN(C314:X314)),C314:X314,0))&gt;0,AJ306/INDEX(C306:X306,1,MATCH(IF('Data-solution'!A$3="Maximize",MAX(C314:X314),MIN(C314:X314)),C314:X314,0))," ")</f>
        <v>100.00000000000001</v>
      </c>
    </row>
    <row r="307" spans="1:37" ht="18" customHeight="1" x14ac:dyDescent="0.2">
      <c r="A307" s="1">
        <f t="shared" ref="A307" si="276">INDEX(C301:AI301,1,MATCH(B307,C302:AI302,0))</f>
        <v>0</v>
      </c>
      <c r="B307" s="2" t="str">
        <f>IF(AND('Data-solution'!A$3="Maximize",COUNTIF(C299:X299,"&gt;"&amp;0)&gt;0,AK292=MIN(AK288:AK298),COUNTIF(B303:B306,INDEX(C287:X287,1,MATCH(MAX(C299:X299),C299:X299,0)))=0),INDEX(C287:X287,1,MATCH(MAX(C299:X299),C299:X299,0)),IF(AND('Data-solution'!A$3="Minimize",COUNTIF(C299:X299,"&lt;"&amp;0)&gt;0,AK292=MIN(AK288:AK298),COUNTIF(B303:B306,INDEX(C287:X287,1,MATCH(MIN(C299:X299),C299:X299,0)))=0),INDEX(C287:X287,1,MATCH(MIN(C299:X299),C299:X299,0)),B292))</f>
        <v>S5</v>
      </c>
      <c r="C307" s="1">
        <f>IF(OR($B303&lt;&gt;$B288,$B304&lt;&gt;$B289,$B305&lt;&gt;$B290,$B306&lt;&gt;$B291,$B307&lt;&gt;$B292,$B308&lt;&gt;$B293,$B309&lt;&gt;$B294,$B310&lt;&gt;$B295,$B311&lt;&gt;$B296,$B312&lt;&gt;$B297,$B313&lt;&gt;$B298),IF($B307&lt;&gt;$B292,C292/INDEX($C288:$AJ298,5,MATCH(IF('Data-solution'!$A$3="Maximize",MAX($C299:$AI299),MIN($C299:$AI299)),$C299:$AI299,0)),C292-INDEX($C288:$AJ298,5,MATCH(IF('Data-solution'!$A$3="Maximize",MAX($C299:$AI299),MIN($C299:$AI299)),$C299:$AI299,0))*INDEX(C288:$AJ298,MATCH(MIN($AK288:$AK298),$AK288:$AK298,0),1)/INDEX($C288:$AJ298,MATCH(MIN($AK288:$AK298),$AK288:$AK298,0),MATCH(IF('Data-solution'!$A$3="Maximize",MAX($C299:$AI299),MIN($C299:$AI299)),$C299:$AI299,0))),C292)</f>
        <v>0</v>
      </c>
      <c r="D307" s="1">
        <f>IF(OR($B303&lt;&gt;$B288,$B304&lt;&gt;$B289,$B305&lt;&gt;$B290,$B306&lt;&gt;$B291,$B307&lt;&gt;$B292,$B308&lt;&gt;$B293,$B309&lt;&gt;$B294,$B310&lt;&gt;$B295,$B311&lt;&gt;$B296,$B312&lt;&gt;$B297,$B313&lt;&gt;$B298),IF($B307&lt;&gt;$B292,D292/INDEX($C288:$AJ298,5,MATCH(IF('Data-solution'!$A$3="Maximize",MAX($C299:$AI299),MIN($C299:$AI299)),$C299:$AI299,0)),D292-INDEX($C288:$AJ298,5,MATCH(IF('Data-solution'!$A$3="Maximize",MAX($C299:$AI299),MIN($C299:$AI299)),$C299:$AI299,0))*INDEX(D288:$AJ298,MATCH(MIN($AK288:$AK298),$AK288:$AK298,0),1)/INDEX($C288:$AJ298,MATCH(MIN($AK288:$AK298),$AK288:$AK298,0),MATCH(IF('Data-solution'!$A$3="Maximize",MAX($C299:$AI299),MIN($C299:$AI299)),$C299:$AI299,0))),D292)</f>
        <v>0</v>
      </c>
      <c r="E307" s="1">
        <f>IF(OR($B303&lt;&gt;$B288,$B304&lt;&gt;$B289,$B305&lt;&gt;$B290,$B306&lt;&gt;$B291,$B307&lt;&gt;$B292,$B308&lt;&gt;$B293,$B309&lt;&gt;$B294,$B310&lt;&gt;$B295,$B311&lt;&gt;$B296,$B312&lt;&gt;$B297,$B313&lt;&gt;$B298),IF($B307&lt;&gt;$B292,E292/INDEX($C288:$AJ298,5,MATCH(IF('Data-solution'!$A$3="Maximize",MAX($C299:$AI299),MIN($C299:$AI299)),$C299:$AI299,0)),E292-INDEX($C288:$AJ298,5,MATCH(IF('Data-solution'!$A$3="Maximize",MAX($C299:$AI299),MIN($C299:$AI299)),$C299:$AI299,0))*INDEX(E288:$AJ298,MATCH(MIN($AK288:$AK298),$AK288:$AK298,0),1)/INDEX($C288:$AJ298,MATCH(MIN($AK288:$AK298),$AK288:$AK298,0),MATCH(IF('Data-solution'!$A$3="Maximize",MAX($C299:$AI299),MIN($C299:$AI299)),$C299:$AI299,0))),E292)</f>
        <v>0</v>
      </c>
      <c r="F307" s="1">
        <f>IF(OR($B303&lt;&gt;$B288,$B304&lt;&gt;$B289,$B305&lt;&gt;$B290,$B306&lt;&gt;$B291,$B307&lt;&gt;$B292,$B308&lt;&gt;$B293,$B309&lt;&gt;$B294,$B310&lt;&gt;$B295,$B311&lt;&gt;$B296,$B312&lt;&gt;$B297,$B313&lt;&gt;$B298),IF($B307&lt;&gt;$B292,F292/INDEX($C288:$AJ298,5,MATCH(IF('Data-solution'!$A$3="Maximize",MAX($C299:$AI299),MIN($C299:$AI299)),$C299:$AI299,0)),F292-INDEX($C288:$AJ298,5,MATCH(IF('Data-solution'!$A$3="Maximize",MAX($C299:$AI299),MIN($C299:$AI299)),$C299:$AI299,0))*INDEX(F288:$AJ298,MATCH(MIN($AK288:$AK298),$AK288:$AK298,0),1)/INDEX($C288:$AJ298,MATCH(MIN($AK288:$AK298),$AK288:$AK298,0),MATCH(IF('Data-solution'!$A$3="Maximize",MAX($C299:$AI299),MIN($C299:$AI299)),$C299:$AI299,0))),F292)</f>
        <v>0</v>
      </c>
      <c r="G307" s="1">
        <f>IF(OR($B303&lt;&gt;$B288,$B304&lt;&gt;$B289,$B305&lt;&gt;$B290,$B306&lt;&gt;$B291,$B307&lt;&gt;$B292,$B308&lt;&gt;$B293,$B309&lt;&gt;$B294,$B310&lt;&gt;$B295,$B311&lt;&gt;$B296,$B312&lt;&gt;$B297,$B313&lt;&gt;$B298),IF($B307&lt;&gt;$B292,G292/INDEX($C288:$AJ298,5,MATCH(IF('Data-solution'!$A$3="Maximize",MAX($C299:$AI299),MIN($C299:$AI299)),$C299:$AI299,0)),G292-INDEX($C288:$AJ298,5,MATCH(IF('Data-solution'!$A$3="Maximize",MAX($C299:$AI299),MIN($C299:$AI299)),$C299:$AI299,0))*INDEX(G288:$AJ298,MATCH(MIN($AK288:$AK298),$AK288:$AK298,0),1)/INDEX($C288:$AJ298,MATCH(MIN($AK288:$AK298),$AK288:$AK298,0),MATCH(IF('Data-solution'!$A$3="Maximize",MAX($C299:$AI299),MIN($C299:$AI299)),$C299:$AI299,0))),G292)</f>
        <v>0</v>
      </c>
      <c r="H307" s="1">
        <f>IF(OR($B303&lt;&gt;$B288,$B304&lt;&gt;$B289,$B305&lt;&gt;$B290,$B306&lt;&gt;$B291,$B307&lt;&gt;$B292,$B308&lt;&gt;$B293,$B309&lt;&gt;$B294,$B310&lt;&gt;$B295,$B311&lt;&gt;$B296,$B312&lt;&gt;$B297,$B313&lt;&gt;$B298),IF($B307&lt;&gt;$B292,H292/INDEX($C288:$AJ298,5,MATCH(IF('Data-solution'!$A$3="Maximize",MAX($C299:$AI299),MIN($C299:$AI299)),$C299:$AI299,0)),H292-INDEX($C288:$AJ298,5,MATCH(IF('Data-solution'!$A$3="Maximize",MAX($C299:$AI299),MIN($C299:$AI299)),$C299:$AI299,0))*INDEX(H288:$AJ298,MATCH(MIN($AK288:$AK298),$AK288:$AK298,0),1)/INDEX($C288:$AJ298,MATCH(MIN($AK288:$AK298),$AK288:$AK298,0),MATCH(IF('Data-solution'!$A$3="Maximize",MAX($C299:$AI299),MIN($C299:$AI299)),$C299:$AI299,0))),H292)</f>
        <v>0</v>
      </c>
      <c r="I307" s="1">
        <f>IF(OR($B303&lt;&gt;$B288,$B304&lt;&gt;$B289,$B305&lt;&gt;$B290,$B306&lt;&gt;$B291,$B307&lt;&gt;$B292,$B308&lt;&gt;$B293,$B309&lt;&gt;$B294,$B310&lt;&gt;$B295,$B311&lt;&gt;$B296,$B312&lt;&gt;$B297,$B313&lt;&gt;$B298),IF($B307&lt;&gt;$B292,I292/INDEX($C288:$AJ298,5,MATCH(IF('Data-solution'!$A$3="Maximize",MAX($C299:$AI299),MIN($C299:$AI299)),$C299:$AI299,0)),I292-INDEX($C288:$AJ298,5,MATCH(IF('Data-solution'!$A$3="Maximize",MAX($C299:$AI299),MIN($C299:$AI299)),$C299:$AI299,0))*INDEX(I288:$AJ298,MATCH(MIN($AK288:$AK298),$AK288:$AK298,0),1)/INDEX($C288:$AJ298,MATCH(MIN($AK288:$AK298),$AK288:$AK298,0),MATCH(IF('Data-solution'!$A$3="Maximize",MAX($C299:$AI299),MIN($C299:$AI299)),$C299:$AI299,0))),I292)</f>
        <v>0</v>
      </c>
      <c r="J307" s="1">
        <f>IF(OR($B303&lt;&gt;$B288,$B304&lt;&gt;$B289,$B305&lt;&gt;$B290,$B306&lt;&gt;$B291,$B307&lt;&gt;$B292,$B308&lt;&gt;$B293,$B309&lt;&gt;$B294,$B310&lt;&gt;$B295,$B311&lt;&gt;$B296,$B312&lt;&gt;$B297,$B313&lt;&gt;$B298),IF($B307&lt;&gt;$B292,J292/INDEX($C288:$AJ298,5,MATCH(IF('Data-solution'!$A$3="Maximize",MAX($C299:$AI299),MIN($C299:$AI299)),$C299:$AI299,0)),J292-INDEX($C288:$AJ298,5,MATCH(IF('Data-solution'!$A$3="Maximize",MAX($C299:$AI299),MIN($C299:$AI299)),$C299:$AI299,0))*INDEX(J288:$AJ298,MATCH(MIN($AK288:$AK298),$AK288:$AK298,0),1)/INDEX($C288:$AJ298,MATCH(MIN($AK288:$AK298),$AK288:$AK298,0),MATCH(IF('Data-solution'!$A$3="Maximize",MAX($C299:$AI299),MIN($C299:$AI299)),$C299:$AI299,0))),J292)</f>
        <v>0</v>
      </c>
      <c r="K307" s="1">
        <f>IF(OR($B303&lt;&gt;$B288,$B304&lt;&gt;$B289,$B305&lt;&gt;$B290,$B306&lt;&gt;$B291,$B307&lt;&gt;$B292,$B308&lt;&gt;$B293,$B309&lt;&gt;$B294,$B310&lt;&gt;$B295,$B311&lt;&gt;$B296,$B312&lt;&gt;$B297,$B313&lt;&gt;$B298),IF($B307&lt;&gt;$B292,K292/INDEX($C288:$AJ298,5,MATCH(IF('Data-solution'!$A$3="Maximize",MAX($C299:$AI299),MIN($C299:$AI299)),$C299:$AI299,0)),K292-INDEX($C288:$AJ298,5,MATCH(IF('Data-solution'!$A$3="Maximize",MAX($C299:$AI299),MIN($C299:$AI299)),$C299:$AI299,0))*INDEX(K288:$AJ298,MATCH(MIN($AK288:$AK298),$AK288:$AK298,0),1)/INDEX($C288:$AJ298,MATCH(MIN($AK288:$AK298),$AK288:$AK298,0),MATCH(IF('Data-solution'!$A$3="Maximize",MAX($C299:$AI299),MIN($C299:$AI299)),$C299:$AI299,0))),K292)</f>
        <v>0</v>
      </c>
      <c r="L307" s="1">
        <f>IF(OR($B303&lt;&gt;$B288,$B304&lt;&gt;$B289,$B305&lt;&gt;$B290,$B306&lt;&gt;$B291,$B307&lt;&gt;$B292,$B308&lt;&gt;$B293,$B309&lt;&gt;$B294,$B310&lt;&gt;$B295,$B311&lt;&gt;$B296,$B312&lt;&gt;$B297,$B313&lt;&gt;$B298),IF($B307&lt;&gt;$B292,L292/INDEX($C288:$AJ298,5,MATCH(IF('Data-solution'!$A$3="Maximize",MAX($C299:$AI299),MIN($C299:$AI299)),$C299:$AI299,0)),L292-INDEX($C288:$AJ298,5,MATCH(IF('Data-solution'!$A$3="Maximize",MAX($C299:$AI299),MIN($C299:$AI299)),$C299:$AI299,0))*INDEX(L288:$AJ298,MATCH(MIN($AK288:$AK298),$AK288:$AK298,0),1)/INDEX($C288:$AJ298,MATCH(MIN($AK288:$AK298),$AK288:$AK298,0),MATCH(IF('Data-solution'!$A$3="Maximize",MAX($C299:$AI299),MIN($C299:$AI299)),$C299:$AI299,0))),L292)</f>
        <v>0</v>
      </c>
      <c r="M307" s="1">
        <f>IF(OR($B303&lt;&gt;$B288,$B304&lt;&gt;$B289,$B305&lt;&gt;$B290,$B306&lt;&gt;$B291,$B307&lt;&gt;$B292,$B308&lt;&gt;$B293,$B309&lt;&gt;$B294,$B310&lt;&gt;$B295,$B311&lt;&gt;$B296,$B312&lt;&gt;$B297,$B313&lt;&gt;$B298),IF($B307&lt;&gt;$B292,M292/INDEX($C288:$AJ298,5,MATCH(IF('Data-solution'!$A$3="Maximize",MAX($C299:$AI299),MIN($C299:$AI299)),$C299:$AI299,0)),M292-INDEX($C288:$AJ298,5,MATCH(IF('Data-solution'!$A$3="Maximize",MAX($C299:$AI299),MIN($C299:$AI299)),$C299:$AI299,0))*INDEX(M288:$AJ298,MATCH(MIN($AK288:$AK298),$AK288:$AK298,0),1)/INDEX($C288:$AJ298,MATCH(MIN($AK288:$AK298),$AK288:$AK298,0),MATCH(IF('Data-solution'!$A$3="Maximize",MAX($C299:$AI299),MIN($C299:$AI299)),$C299:$AI299,0))),M292)</f>
        <v>0</v>
      </c>
      <c r="N307" s="1">
        <f>IF(OR($B303&lt;&gt;$B288,$B304&lt;&gt;$B289,$B305&lt;&gt;$B290,$B306&lt;&gt;$B291,$B307&lt;&gt;$B292,$B308&lt;&gt;$B293,$B309&lt;&gt;$B294,$B310&lt;&gt;$B295,$B311&lt;&gt;$B296,$B312&lt;&gt;$B297,$B313&lt;&gt;$B298),IF($B307&lt;&gt;$B292,N292/INDEX($C288:$AJ298,5,MATCH(IF('Data-solution'!$A$3="Maximize",MAX($C299:$AI299),MIN($C299:$AI299)),$C299:$AI299,0)),N292-INDEX($C288:$AJ298,5,MATCH(IF('Data-solution'!$A$3="Maximize",MAX($C299:$AI299),MIN($C299:$AI299)),$C299:$AI299,0))*INDEX(N288:$AJ298,MATCH(MIN($AK288:$AK298),$AK288:$AK298,0),1)/INDEX($C288:$AJ298,MATCH(MIN($AK288:$AK298),$AK288:$AK298,0),MATCH(IF('Data-solution'!$A$3="Maximize",MAX($C299:$AI299),MIN($C299:$AI299)),$C299:$AI299,0))),N292)</f>
        <v>0</v>
      </c>
      <c r="O307" s="1">
        <f>IF(OR($B303&lt;&gt;$B288,$B304&lt;&gt;$B289,$B305&lt;&gt;$B290,$B306&lt;&gt;$B291,$B307&lt;&gt;$B292,$B308&lt;&gt;$B293,$B309&lt;&gt;$B294,$B310&lt;&gt;$B295,$B311&lt;&gt;$B296,$B312&lt;&gt;$B297,$B313&lt;&gt;$B298),IF($B307&lt;&gt;$B292,O292/INDEX($C288:$AJ298,5,MATCH(IF('Data-solution'!$A$3="Maximize",MAX($C299:$AI299),MIN($C299:$AI299)),$C299:$AI299,0)),O292-INDEX($C288:$AJ298,5,MATCH(IF('Data-solution'!$A$3="Maximize",MAX($C299:$AI299),MIN($C299:$AI299)),$C299:$AI299,0))*INDEX(O288:$AJ298,MATCH(MIN($AK288:$AK298),$AK288:$AK298,0),1)/INDEX($C288:$AJ298,MATCH(MIN($AK288:$AK298),$AK288:$AK298,0),MATCH(IF('Data-solution'!$A$3="Maximize",MAX($C299:$AI299),MIN($C299:$AI299)),$C299:$AI299,0))),O292)</f>
        <v>0</v>
      </c>
      <c r="P307" s="1">
        <f>IF(OR($B303&lt;&gt;$B288,$B304&lt;&gt;$B289,$B305&lt;&gt;$B290,$B306&lt;&gt;$B291,$B307&lt;&gt;$B292,$B308&lt;&gt;$B293,$B309&lt;&gt;$B294,$B310&lt;&gt;$B295,$B311&lt;&gt;$B296,$B312&lt;&gt;$B297,$B313&lt;&gt;$B298),IF($B307&lt;&gt;$B292,P292/INDEX($C288:$AJ298,5,MATCH(IF('Data-solution'!$A$3="Maximize",MAX($C299:$AI299),MIN($C299:$AI299)),$C299:$AI299,0)),P292-INDEX($C288:$AJ298,5,MATCH(IF('Data-solution'!$A$3="Maximize",MAX($C299:$AI299),MIN($C299:$AI299)),$C299:$AI299,0))*INDEX(P288:$AJ298,MATCH(MIN($AK288:$AK298),$AK288:$AK298,0),1)/INDEX($C288:$AJ298,MATCH(MIN($AK288:$AK298),$AK288:$AK298,0),MATCH(IF('Data-solution'!$A$3="Maximize",MAX($C299:$AI299),MIN($C299:$AI299)),$C299:$AI299,0))),P292)</f>
        <v>0</v>
      </c>
      <c r="Q307" s="1">
        <f>IF(OR($B303&lt;&gt;$B288,$B304&lt;&gt;$B289,$B305&lt;&gt;$B290,$B306&lt;&gt;$B291,$B307&lt;&gt;$B292,$B308&lt;&gt;$B293,$B309&lt;&gt;$B294,$B310&lt;&gt;$B295,$B311&lt;&gt;$B296,$B312&lt;&gt;$B297,$B313&lt;&gt;$B298),IF($B307&lt;&gt;$B292,Q292/INDEX($C288:$AJ298,5,MATCH(IF('Data-solution'!$A$3="Maximize",MAX($C299:$AI299),MIN($C299:$AI299)),$C299:$AI299,0)),Q292-INDEX($C288:$AJ298,5,MATCH(IF('Data-solution'!$A$3="Maximize",MAX($C299:$AI299),MIN($C299:$AI299)),$C299:$AI299,0))*INDEX(Q288:$AJ298,MATCH(MIN($AK288:$AK298),$AK288:$AK298,0),1)/INDEX($C288:$AJ298,MATCH(MIN($AK288:$AK298),$AK288:$AK298,0),MATCH(IF('Data-solution'!$A$3="Maximize",MAX($C299:$AI299),MIN($C299:$AI299)),$C299:$AI299,0))),Q292)</f>
        <v>0</v>
      </c>
      <c r="R307" s="1">
        <f>IF(OR($B303&lt;&gt;$B288,$B304&lt;&gt;$B289,$B305&lt;&gt;$B290,$B306&lt;&gt;$B291,$B307&lt;&gt;$B292,$B308&lt;&gt;$B293,$B309&lt;&gt;$B294,$B310&lt;&gt;$B295,$B311&lt;&gt;$B296,$B312&lt;&gt;$B297,$B313&lt;&gt;$B298),IF($B307&lt;&gt;$B292,R292/INDEX($C288:$AJ298,5,MATCH(IF('Data-solution'!$A$3="Maximize",MAX($C299:$AI299),MIN($C299:$AI299)),$C299:$AI299,0)),R292-INDEX($C288:$AJ298,5,MATCH(IF('Data-solution'!$A$3="Maximize",MAX($C299:$AI299),MIN($C299:$AI299)),$C299:$AI299,0))*INDEX(R288:$AJ298,MATCH(MIN($AK288:$AK298),$AK288:$AK298,0),1)/INDEX($C288:$AJ298,MATCH(MIN($AK288:$AK298),$AK288:$AK298,0),MATCH(IF('Data-solution'!$A$3="Maximize",MAX($C299:$AI299),MIN($C299:$AI299)),$C299:$AI299,0))),R292)</f>
        <v>1</v>
      </c>
      <c r="S307" s="1">
        <f>IF(OR($B303&lt;&gt;$B288,$B304&lt;&gt;$B289,$B305&lt;&gt;$B290,$B306&lt;&gt;$B291,$B307&lt;&gt;$B292,$B308&lt;&gt;$B293,$B309&lt;&gt;$B294,$B310&lt;&gt;$B295,$B311&lt;&gt;$B296,$B312&lt;&gt;$B297,$B313&lt;&gt;$B298),IF($B307&lt;&gt;$B292,S292/INDEX($C288:$AJ298,5,MATCH(IF('Data-solution'!$A$3="Maximize",MAX($C299:$AI299),MIN($C299:$AI299)),$C299:$AI299,0)),S292-INDEX($C288:$AJ298,5,MATCH(IF('Data-solution'!$A$3="Maximize",MAX($C299:$AI299),MIN($C299:$AI299)),$C299:$AI299,0))*INDEX(S288:$AJ298,MATCH(MIN($AK288:$AK298),$AK288:$AK298,0),1)/INDEX($C288:$AJ298,MATCH(MIN($AK288:$AK298),$AK288:$AK298,0),MATCH(IF('Data-solution'!$A$3="Maximize",MAX($C299:$AI299),MIN($C299:$AI299)),$C299:$AI299,0))),S292)</f>
        <v>0</v>
      </c>
      <c r="T307" s="1">
        <f>IF(OR($B303&lt;&gt;$B288,$B304&lt;&gt;$B289,$B305&lt;&gt;$B290,$B306&lt;&gt;$B291,$B307&lt;&gt;$B292,$B308&lt;&gt;$B293,$B309&lt;&gt;$B294,$B310&lt;&gt;$B295,$B311&lt;&gt;$B296,$B312&lt;&gt;$B297,$B313&lt;&gt;$B298),IF($B307&lt;&gt;$B292,T292/INDEX($C288:$AJ298,5,MATCH(IF('Data-solution'!$A$3="Maximize",MAX($C299:$AI299),MIN($C299:$AI299)),$C299:$AI299,0)),T292-INDEX($C288:$AJ298,5,MATCH(IF('Data-solution'!$A$3="Maximize",MAX($C299:$AI299),MIN($C299:$AI299)),$C299:$AI299,0))*INDEX(T288:$AJ298,MATCH(MIN($AK288:$AK298),$AK288:$AK298,0),1)/INDEX($C288:$AJ298,MATCH(MIN($AK288:$AK298),$AK288:$AK298,0),MATCH(IF('Data-solution'!$A$3="Maximize",MAX($C299:$AI299),MIN($C299:$AI299)),$C299:$AI299,0))),T292)</f>
        <v>0</v>
      </c>
      <c r="U307" s="1">
        <f>IF(OR($B303&lt;&gt;$B288,$B304&lt;&gt;$B289,$B305&lt;&gt;$B290,$B306&lt;&gt;$B291,$B307&lt;&gt;$B292,$B308&lt;&gt;$B293,$B309&lt;&gt;$B294,$B310&lt;&gt;$B295,$B311&lt;&gt;$B296,$B312&lt;&gt;$B297,$B313&lt;&gt;$B298),IF($B307&lt;&gt;$B292,U292/INDEX($C288:$AJ298,5,MATCH(IF('Data-solution'!$A$3="Maximize",MAX($C299:$AI299),MIN($C299:$AI299)),$C299:$AI299,0)),U292-INDEX($C288:$AJ298,5,MATCH(IF('Data-solution'!$A$3="Maximize",MAX($C299:$AI299),MIN($C299:$AI299)),$C299:$AI299,0))*INDEX(U288:$AJ298,MATCH(MIN($AK288:$AK298),$AK288:$AK298,0),1)/INDEX($C288:$AJ298,MATCH(MIN($AK288:$AK298),$AK288:$AK298,0),MATCH(IF('Data-solution'!$A$3="Maximize",MAX($C299:$AI299),MIN($C299:$AI299)),$C299:$AI299,0))),U292)</f>
        <v>0</v>
      </c>
      <c r="V307" s="1">
        <f>IF(OR($B303&lt;&gt;$B288,$B304&lt;&gt;$B289,$B305&lt;&gt;$B290,$B306&lt;&gt;$B291,$B307&lt;&gt;$B292,$B308&lt;&gt;$B293,$B309&lt;&gt;$B294,$B310&lt;&gt;$B295,$B311&lt;&gt;$B296,$B312&lt;&gt;$B297,$B313&lt;&gt;$B298),IF($B307&lt;&gt;$B292,V292/INDEX($C288:$AJ298,5,MATCH(IF('Data-solution'!$A$3="Maximize",MAX($C299:$AI299),MIN($C299:$AI299)),$C299:$AI299,0)),V292-INDEX($C288:$AJ298,5,MATCH(IF('Data-solution'!$A$3="Maximize",MAX($C299:$AI299),MIN($C299:$AI299)),$C299:$AI299,0))*INDEX(V288:$AJ298,MATCH(MIN($AK288:$AK298),$AK288:$AK298,0),1)/INDEX($C288:$AJ298,MATCH(MIN($AK288:$AK298),$AK288:$AK298,0),MATCH(IF('Data-solution'!$A$3="Maximize",MAX($C299:$AI299),MIN($C299:$AI299)),$C299:$AI299,0))),V292)</f>
        <v>0</v>
      </c>
      <c r="W307" s="1">
        <f>IF(OR($B303&lt;&gt;$B288,$B304&lt;&gt;$B289,$B305&lt;&gt;$B290,$B306&lt;&gt;$B291,$B307&lt;&gt;$B292,$B308&lt;&gt;$B293,$B309&lt;&gt;$B294,$B310&lt;&gt;$B295,$B311&lt;&gt;$B296,$B312&lt;&gt;$B297,$B313&lt;&gt;$B298),IF($B307&lt;&gt;$B292,W292/INDEX($C288:$AJ298,5,MATCH(IF('Data-solution'!$A$3="Maximize",MAX($C299:$AI299),MIN($C299:$AI299)),$C299:$AI299,0)),W292-INDEX($C288:$AJ298,5,MATCH(IF('Data-solution'!$A$3="Maximize",MAX($C299:$AI299),MIN($C299:$AI299)),$C299:$AI299,0))*INDEX(W288:$AJ298,MATCH(MIN($AK288:$AK298),$AK288:$AK298,0),1)/INDEX($C288:$AJ298,MATCH(MIN($AK288:$AK298),$AK288:$AK298,0),MATCH(IF('Data-solution'!$A$3="Maximize",MAX($C299:$AI299),MIN($C299:$AI299)),$C299:$AI299,0))),W292)</f>
        <v>0</v>
      </c>
      <c r="X307" s="1">
        <f>IF(OR($B303&lt;&gt;$B288,$B304&lt;&gt;$B289,$B305&lt;&gt;$B290,$B306&lt;&gt;$B291,$B307&lt;&gt;$B292,$B308&lt;&gt;$B293,$B309&lt;&gt;$B294,$B310&lt;&gt;$B295,$B311&lt;&gt;$B296,$B312&lt;&gt;$B297,$B313&lt;&gt;$B298),IF($B307&lt;&gt;$B292,X292/INDEX($C288:$AJ298,5,MATCH(IF('Data-solution'!$A$3="Maximize",MAX($C299:$AI299),MIN($C299:$AI299)),$C299:$AI299,0)),X292-INDEX($C288:$AJ298,5,MATCH(IF('Data-solution'!$A$3="Maximize",MAX($C299:$AI299),MIN($C299:$AI299)),$C299:$AI299,0))*INDEX(X288:$AJ298,MATCH(MIN($AK288:$AK298),$AK288:$AK298,0),1)/INDEX($C288:$AJ298,MATCH(MIN($AK288:$AK298),$AK288:$AK298,0),MATCH(IF('Data-solution'!$A$3="Maximize",MAX($C299:$AI299),MIN($C299:$AI299)),$C299:$AI299,0))),X292)</f>
        <v>0</v>
      </c>
      <c r="Y307" s="1">
        <f>IF(OR($B303&lt;&gt;$B288,$B304&lt;&gt;$B289,$B305&lt;&gt;$B290,$B306&lt;&gt;$B291,$B307&lt;&gt;$B292,$B308&lt;&gt;$B293,$B309&lt;&gt;$B294,$B310&lt;&gt;$B295,$B311&lt;&gt;$B296,$B312&lt;&gt;$B297,$B313&lt;&gt;$B298),IF($B307&lt;&gt;$B292,Y292/INDEX($C288:$AJ298,5,MATCH(IF('Data-solution'!$A$3="Maximize",MAX($C299:$AI299),MIN($C299:$AI299)),$C299:$AI299,0)),Y292-INDEX($C288:$AJ298,5,MATCH(IF('Data-solution'!$A$3="Maximize",MAX($C299:$AI299),MIN($C299:$AI299)),$C299:$AI299,0))*INDEX(Y288:$AJ298,MATCH(MIN($AK288:$AK298),$AK288:$AK298,0),1)/INDEX($C288:$AJ298,MATCH(MIN($AK288:$AK298),$AK288:$AK298,0),MATCH(IF('Data-solution'!$A$3="Maximize",MAX($C299:$AI299),MIN($C299:$AI299)),$C299:$AI299,0))),Y292)</f>
        <v>0</v>
      </c>
      <c r="Z307" s="1">
        <f>IF(OR($B303&lt;&gt;$B288,$B304&lt;&gt;$B289,$B305&lt;&gt;$B290,$B306&lt;&gt;$B291,$B307&lt;&gt;$B292,$B308&lt;&gt;$B293,$B309&lt;&gt;$B294,$B310&lt;&gt;$B295,$B311&lt;&gt;$B296,$B312&lt;&gt;$B297,$B313&lt;&gt;$B298),IF($B307&lt;&gt;$B292,Z292/INDEX($C288:$AJ298,5,MATCH(IF('Data-solution'!$A$3="Maximize",MAX($C299:$AI299),MIN($C299:$AI299)),$C299:$AI299,0)),Z292-INDEX($C288:$AJ298,5,MATCH(IF('Data-solution'!$A$3="Maximize",MAX($C299:$AI299),MIN($C299:$AI299)),$C299:$AI299,0))*INDEX(Z288:$AJ298,MATCH(MIN($AK288:$AK298),$AK288:$AK298,0),1)/INDEX($C288:$AJ298,MATCH(MIN($AK288:$AK298),$AK288:$AK298,0),MATCH(IF('Data-solution'!$A$3="Maximize",MAX($C299:$AI299),MIN($C299:$AI299)),$C299:$AI299,0))),Z292)</f>
        <v>0</v>
      </c>
      <c r="AA307" s="1">
        <f>IF(OR($B303&lt;&gt;$B288,$B304&lt;&gt;$B289,$B305&lt;&gt;$B290,$B306&lt;&gt;$B291,$B307&lt;&gt;$B292,$B308&lt;&gt;$B293,$B309&lt;&gt;$B294,$B310&lt;&gt;$B295,$B311&lt;&gt;$B296,$B312&lt;&gt;$B297,$B313&lt;&gt;$B298),IF($B307&lt;&gt;$B292,AA292/INDEX($C288:$AJ298,5,MATCH(IF('Data-solution'!$A$3="Maximize",MAX($C299:$AI299),MIN($C299:$AI299)),$C299:$AI299,0)),AA292-INDEX($C288:$AJ298,5,MATCH(IF('Data-solution'!$A$3="Maximize",MAX($C299:$AI299),MIN($C299:$AI299)),$C299:$AI299,0))*INDEX(AA288:$AJ298,MATCH(MIN($AK288:$AK298),$AK288:$AK298,0),1)/INDEX($C288:$AJ298,MATCH(MIN($AK288:$AK298),$AK288:$AK298,0),MATCH(IF('Data-solution'!$A$3="Maximize",MAX($C299:$AI299),MIN($C299:$AI299)),$C299:$AI299,0))),AA292)</f>
        <v>0</v>
      </c>
      <c r="AB307" s="1">
        <f>IF(OR($B303&lt;&gt;$B288,$B304&lt;&gt;$B289,$B305&lt;&gt;$B290,$B306&lt;&gt;$B291,$B307&lt;&gt;$B292,$B308&lt;&gt;$B293,$B309&lt;&gt;$B294,$B310&lt;&gt;$B295,$B311&lt;&gt;$B296,$B312&lt;&gt;$B297,$B313&lt;&gt;$B298),IF($B307&lt;&gt;$B292,AB292/INDEX($C288:$AJ298,5,MATCH(IF('Data-solution'!$A$3="Maximize",MAX($C299:$AI299),MIN($C299:$AI299)),$C299:$AI299,0)),AB292-INDEX($C288:$AJ298,5,MATCH(IF('Data-solution'!$A$3="Maximize",MAX($C299:$AI299),MIN($C299:$AI299)),$C299:$AI299,0))*INDEX(AB288:$AJ298,MATCH(MIN($AK288:$AK298),$AK288:$AK298,0),1)/INDEX($C288:$AJ298,MATCH(MIN($AK288:$AK298),$AK288:$AK298,0),MATCH(IF('Data-solution'!$A$3="Maximize",MAX($C299:$AI299),MIN($C299:$AI299)),$C299:$AI299,0))),AB292)</f>
        <v>0</v>
      </c>
      <c r="AC307" s="1">
        <f>IF(OR($B303&lt;&gt;$B288,$B304&lt;&gt;$B289,$B305&lt;&gt;$B290,$B306&lt;&gt;$B291,$B307&lt;&gt;$B292,$B308&lt;&gt;$B293,$B309&lt;&gt;$B294,$B310&lt;&gt;$B295,$B311&lt;&gt;$B296,$B312&lt;&gt;$B297,$B313&lt;&gt;$B298),IF($B307&lt;&gt;$B292,AC292/INDEX($C288:$AJ298,5,MATCH(IF('Data-solution'!$A$3="Maximize",MAX($C299:$AI299),MIN($C299:$AI299)),$C299:$AI299,0)),AC292-INDEX($C288:$AJ298,5,MATCH(IF('Data-solution'!$A$3="Maximize",MAX($C299:$AI299),MIN($C299:$AI299)),$C299:$AI299,0))*INDEX(AC288:$AJ298,MATCH(MIN($AK288:$AK298),$AK288:$AK298,0),1)/INDEX($C288:$AJ298,MATCH(MIN($AK288:$AK298),$AK288:$AK298,0),MATCH(IF('Data-solution'!$A$3="Maximize",MAX($C299:$AI299),MIN($C299:$AI299)),$C299:$AI299,0))),AC292)</f>
        <v>1</v>
      </c>
      <c r="AD307" s="1">
        <f>IF(OR($B303&lt;&gt;$B288,$B304&lt;&gt;$B289,$B305&lt;&gt;$B290,$B306&lt;&gt;$B291,$B307&lt;&gt;$B292,$B308&lt;&gt;$B293,$B309&lt;&gt;$B294,$B310&lt;&gt;$B295,$B311&lt;&gt;$B296,$B312&lt;&gt;$B297,$B313&lt;&gt;$B298),IF($B307&lt;&gt;$B292,AD292/INDEX($C288:$AJ298,5,MATCH(IF('Data-solution'!$A$3="Maximize",MAX($C299:$AI299),MIN($C299:$AI299)),$C299:$AI299,0)),AD292-INDEX($C288:$AJ298,5,MATCH(IF('Data-solution'!$A$3="Maximize",MAX($C299:$AI299),MIN($C299:$AI299)),$C299:$AI299,0))*INDEX(AD288:$AJ298,MATCH(MIN($AK288:$AK298),$AK288:$AK298,0),1)/INDEX($C288:$AJ298,MATCH(MIN($AK288:$AK298),$AK288:$AK298,0),MATCH(IF('Data-solution'!$A$3="Maximize",MAX($C299:$AI299),MIN($C299:$AI299)),$C299:$AI299,0))),AD292)</f>
        <v>0</v>
      </c>
      <c r="AE307" s="1">
        <f>IF(OR($B303&lt;&gt;$B288,$B304&lt;&gt;$B289,$B305&lt;&gt;$B290,$B306&lt;&gt;$B291,$B307&lt;&gt;$B292,$B308&lt;&gt;$B293,$B309&lt;&gt;$B294,$B310&lt;&gt;$B295,$B311&lt;&gt;$B296,$B312&lt;&gt;$B297,$B313&lt;&gt;$B298),IF($B307&lt;&gt;$B292,AE292/INDEX($C288:$AJ298,5,MATCH(IF('Data-solution'!$A$3="Maximize",MAX($C299:$AI299),MIN($C299:$AI299)),$C299:$AI299,0)),AE292-INDEX($C288:$AJ298,5,MATCH(IF('Data-solution'!$A$3="Maximize",MAX($C299:$AI299),MIN($C299:$AI299)),$C299:$AI299,0))*INDEX(AE288:$AJ298,MATCH(MIN($AK288:$AK298),$AK288:$AK298,0),1)/INDEX($C288:$AJ298,MATCH(MIN($AK288:$AK298),$AK288:$AK298,0),MATCH(IF('Data-solution'!$A$3="Maximize",MAX($C299:$AI299),MIN($C299:$AI299)),$C299:$AI299,0))),AE292)</f>
        <v>0</v>
      </c>
      <c r="AF307" s="1">
        <f>IF(OR($B303&lt;&gt;$B288,$B304&lt;&gt;$B289,$B305&lt;&gt;$B290,$B306&lt;&gt;$B291,$B307&lt;&gt;$B292,$B308&lt;&gt;$B293,$B309&lt;&gt;$B294,$B310&lt;&gt;$B295,$B311&lt;&gt;$B296,$B312&lt;&gt;$B297,$B313&lt;&gt;$B298),IF($B307&lt;&gt;$B292,AF292/INDEX($C288:$AJ298,5,MATCH(IF('Data-solution'!$A$3="Maximize",MAX($C299:$AI299),MIN($C299:$AI299)),$C299:$AI299,0)),AF292-INDEX($C288:$AJ298,5,MATCH(IF('Data-solution'!$A$3="Maximize",MAX($C299:$AI299),MIN($C299:$AI299)),$C299:$AI299,0))*INDEX(AF288:$AJ298,MATCH(MIN($AK288:$AK298),$AK288:$AK298,0),1)/INDEX($C288:$AJ298,MATCH(MIN($AK288:$AK298),$AK288:$AK298,0),MATCH(IF('Data-solution'!$A$3="Maximize",MAX($C299:$AI299),MIN($C299:$AI299)),$C299:$AI299,0))),AF292)</f>
        <v>0</v>
      </c>
      <c r="AG307" s="1">
        <f>IF(OR($B303&lt;&gt;$B288,$B304&lt;&gt;$B289,$B305&lt;&gt;$B290,$B306&lt;&gt;$B291,$B307&lt;&gt;$B292,$B308&lt;&gt;$B293,$B309&lt;&gt;$B294,$B310&lt;&gt;$B295,$B311&lt;&gt;$B296,$B312&lt;&gt;$B297,$B313&lt;&gt;$B298),IF($B307&lt;&gt;$B292,AG292/INDEX($C288:$AJ298,5,MATCH(IF('Data-solution'!$A$3="Maximize",MAX($C299:$AI299),MIN($C299:$AI299)),$C299:$AI299,0)),AG292-INDEX($C288:$AJ298,5,MATCH(IF('Data-solution'!$A$3="Maximize",MAX($C299:$AI299),MIN($C299:$AI299)),$C299:$AI299,0))*INDEX(AG288:$AJ298,MATCH(MIN($AK288:$AK298),$AK288:$AK298,0),1)/INDEX($C288:$AJ298,MATCH(MIN($AK288:$AK298),$AK288:$AK298,0),MATCH(IF('Data-solution'!$A$3="Maximize",MAX($C299:$AI299),MIN($C299:$AI299)),$C299:$AI299,0))),AG292)</f>
        <v>0</v>
      </c>
      <c r="AH307" s="1">
        <f>IF(OR($B303&lt;&gt;$B288,$B304&lt;&gt;$B289,$B305&lt;&gt;$B290,$B306&lt;&gt;$B291,$B307&lt;&gt;$B292,$B308&lt;&gt;$B293,$B309&lt;&gt;$B294,$B310&lt;&gt;$B295,$B311&lt;&gt;$B296,$B312&lt;&gt;$B297,$B313&lt;&gt;$B298),IF($B307&lt;&gt;$B292,AH292/INDEX($C288:$AJ298,5,MATCH(IF('Data-solution'!$A$3="Maximize",MAX($C299:$AI299),MIN($C299:$AI299)),$C299:$AI299,0)),AH292-INDEX($C288:$AJ298,5,MATCH(IF('Data-solution'!$A$3="Maximize",MAX($C299:$AI299),MIN($C299:$AI299)),$C299:$AI299,0))*INDEX(AH288:$AJ298,MATCH(MIN($AK288:$AK298),$AK288:$AK298,0),1)/INDEX($C288:$AJ298,MATCH(MIN($AK288:$AK298),$AK288:$AK298,0),MATCH(IF('Data-solution'!$A$3="Maximize",MAX($C299:$AI299),MIN($C299:$AI299)),$C299:$AI299,0))),AH292)</f>
        <v>0</v>
      </c>
      <c r="AI307" s="1">
        <f>IF(OR($B303&lt;&gt;$B288,$B304&lt;&gt;$B289,$B305&lt;&gt;$B290,$B306&lt;&gt;$B291,$B307&lt;&gt;$B292,$B308&lt;&gt;$B293,$B309&lt;&gt;$B294,$B310&lt;&gt;$B295,$B311&lt;&gt;$B296,$B312&lt;&gt;$B297,$B313&lt;&gt;$B298),IF($B307&lt;&gt;$B292,AI292/INDEX($C288:$AJ298,5,MATCH(IF('Data-solution'!$A$3="Maximize",MAX($C299:$AI299),MIN($C299:$AI299)),$C299:$AI299,0)),AI292-INDEX($C288:$AJ298,5,MATCH(IF('Data-solution'!$A$3="Maximize",MAX($C299:$AI299),MIN($C299:$AI299)),$C299:$AI299,0))*INDEX(AI288:$AJ298,MATCH(MIN($AK288:$AK298),$AK288:$AK298,0),1)/INDEX($C288:$AJ298,MATCH(MIN($AK288:$AK298),$AK288:$AK298,0),MATCH(IF('Data-solution'!$A$3="Maximize",MAX($C299:$AI299),MIN($C299:$AI299)),$C299:$AI299,0))),AI292)</f>
        <v>0</v>
      </c>
      <c r="AJ307" s="1">
        <f>IF(OR($B303&lt;&gt;$B288,$B304&lt;&gt;$B289,$B305&lt;&gt;$B290,$B306&lt;&gt;$B291,$B307&lt;&gt;$B292,$B308&lt;&gt;$B293,$B309&lt;&gt;$B294,$B310&lt;&gt;$B295,$B311&lt;&gt;$B296,$B312&lt;&gt;$B297,$B313&lt;&gt;$B298),IF($B307&lt;&gt;$B292,AJ292/INDEX($C288:$AJ298,5,MATCH(IF('Data-solution'!$A$3="Maximize",MAX($C299:$AI299),MIN($C299:$AI299)),$C299:$AI299,0)),AJ292-INDEX($C288:$AJ298,5,MATCH(IF('Data-solution'!$A$3="Maximize",MAX($C299:$AI299),MIN($C299:$AI299)),$C299:$AI299,0))*INDEX(AJ288:$AJ298,MATCH(MIN($AK288:$AK298),$AK288:$AK298,0),1)/INDEX($C288:$AJ298,MATCH(MIN($AK288:$AK298),$AK288:$AK298,0),MATCH(IF('Data-solution'!$A$3="Maximize",MAX($C299:$AI299),MIN($C299:$AI299)),$C299:$AI299,0))),AJ292)</f>
        <v>0</v>
      </c>
      <c r="AK307" s="1" t="str">
        <f>IF(INDEX(C307:X307,1,MATCH(IF('Data-solution'!A$3="Maximize",MAX(C314:X314),MIN(C314:X314)),C314:X314,0))&gt;0,AJ307/INDEX(C307:X307,1,MATCH(IF('Data-solution'!A$3="Maximize",MAX(C314:X314),MIN(C314:X314)),C314:X314,0))," ")</f>
        <v xml:space="preserve"> </v>
      </c>
    </row>
    <row r="308" spans="1:37" ht="18" customHeight="1" x14ac:dyDescent="0.2">
      <c r="A308" s="1">
        <f t="shared" ref="A308" si="277">INDEX(C301:AI301,1,MATCH(B308,C302:AI302,0))</f>
        <v>0</v>
      </c>
      <c r="B308" s="2" t="str">
        <f>IF(AND('Data-solution'!A$3="Maximize",COUNTIF(C299:X299,"&gt;"&amp;0)&gt;0,AK293=MIN(AK288:AK298),COUNTIF(B303:B307,INDEX(C287:X287,1,MATCH(MAX(C299:X299),C299:X299,0)))=0),INDEX(C287:X287,1,MATCH(MAX(C299:X299),C299:X299,0)),IF(AND('Data-solution'!A$3="Minimize",COUNTIF(C299:X299,"&lt;"&amp;0)&gt;0,AK293=MIN(AK288:AK298),COUNTIF(B303:B307,INDEX(C287:X287,1,MATCH(MIN(C299:X299),C299:X299,0)))=0),INDEX(C287:X287,1,MATCH(MIN(C299:X299),C299:X299,0)),B293))</f>
        <v>S6</v>
      </c>
      <c r="C308" s="1">
        <f>IF(OR($B303&lt;&gt;$B288,$B304&lt;&gt;$B289,$B305&lt;&gt;$B290,$B306&lt;&gt;$B291,$B307&lt;&gt;$B292,$B308&lt;&gt;$B293,$B309&lt;&gt;$B294,$B310&lt;&gt;$B295,$B311&lt;&gt;$B296,$B312&lt;&gt;$B297,$B313&lt;&gt;$B298),IF($B308&lt;&gt;$B293,C293/INDEX($C288:$AJ298,6,MATCH(IF('Data-solution'!$A$3="Maximize",MAX($C299:$AI299),MIN($C299:$AI299)),$C299:$AI299,0)),C293-INDEX($C288:$AJ298,6,MATCH(IF('Data-solution'!$A$3="Maximize",MAX($C299:$AI299),MIN($C299:$AI299)),$C299:$AI299,0))*INDEX(C288:$AJ298,MATCH(MIN($AK288:$AK298),$AK288:$AK298,0),1)/INDEX($C288:$AJ298,MATCH(MIN($AK288:$AK298),$AK288:$AK298,0),MATCH(IF('Data-solution'!$A$3="Maximize",MAX($C299:$AI299),MIN($C299:$AI299)),$C299:$AI299,0))),C293)</f>
        <v>0</v>
      </c>
      <c r="D308" s="1">
        <f>IF(OR($B303&lt;&gt;$B288,$B304&lt;&gt;$B289,$B305&lt;&gt;$B290,$B306&lt;&gt;$B291,$B307&lt;&gt;$B292,$B308&lt;&gt;$B293,$B309&lt;&gt;$B294,$B310&lt;&gt;$B295,$B311&lt;&gt;$B296,$B312&lt;&gt;$B297,$B313&lt;&gt;$B298),IF($B308&lt;&gt;$B293,D293/INDEX($C288:$AJ298,6,MATCH(IF('Data-solution'!$A$3="Maximize",MAX($C299:$AI299),MIN($C299:$AI299)),$C299:$AI299,0)),D293-INDEX($C288:$AJ298,6,MATCH(IF('Data-solution'!$A$3="Maximize",MAX($C299:$AI299),MIN($C299:$AI299)),$C299:$AI299,0))*INDEX(D288:$AJ298,MATCH(MIN($AK288:$AK298),$AK288:$AK298,0),1)/INDEX($C288:$AJ298,MATCH(MIN($AK288:$AK298),$AK288:$AK298,0),MATCH(IF('Data-solution'!$A$3="Maximize",MAX($C299:$AI299),MIN($C299:$AI299)),$C299:$AI299,0))),D293)</f>
        <v>0</v>
      </c>
      <c r="E308" s="1">
        <f>IF(OR($B303&lt;&gt;$B288,$B304&lt;&gt;$B289,$B305&lt;&gt;$B290,$B306&lt;&gt;$B291,$B307&lt;&gt;$B292,$B308&lt;&gt;$B293,$B309&lt;&gt;$B294,$B310&lt;&gt;$B295,$B311&lt;&gt;$B296,$B312&lt;&gt;$B297,$B313&lt;&gt;$B298),IF($B308&lt;&gt;$B293,E293/INDEX($C288:$AJ298,6,MATCH(IF('Data-solution'!$A$3="Maximize",MAX($C299:$AI299),MIN($C299:$AI299)),$C299:$AI299,0)),E293-INDEX($C288:$AJ298,6,MATCH(IF('Data-solution'!$A$3="Maximize",MAX($C299:$AI299),MIN($C299:$AI299)),$C299:$AI299,0))*INDEX(E288:$AJ298,MATCH(MIN($AK288:$AK298),$AK288:$AK298,0),1)/INDEX($C288:$AJ298,MATCH(MIN($AK288:$AK298),$AK288:$AK298,0),MATCH(IF('Data-solution'!$A$3="Maximize",MAX($C299:$AI299),MIN($C299:$AI299)),$C299:$AI299,0))),E293)</f>
        <v>0</v>
      </c>
      <c r="F308" s="1">
        <f>IF(OR($B303&lt;&gt;$B288,$B304&lt;&gt;$B289,$B305&lt;&gt;$B290,$B306&lt;&gt;$B291,$B307&lt;&gt;$B292,$B308&lt;&gt;$B293,$B309&lt;&gt;$B294,$B310&lt;&gt;$B295,$B311&lt;&gt;$B296,$B312&lt;&gt;$B297,$B313&lt;&gt;$B298),IF($B308&lt;&gt;$B293,F293/INDEX($C288:$AJ298,6,MATCH(IF('Data-solution'!$A$3="Maximize",MAX($C299:$AI299),MIN($C299:$AI299)),$C299:$AI299,0)),F293-INDEX($C288:$AJ298,6,MATCH(IF('Data-solution'!$A$3="Maximize",MAX($C299:$AI299),MIN($C299:$AI299)),$C299:$AI299,0))*INDEX(F288:$AJ298,MATCH(MIN($AK288:$AK298),$AK288:$AK298,0),1)/INDEX($C288:$AJ298,MATCH(MIN($AK288:$AK298),$AK288:$AK298,0),MATCH(IF('Data-solution'!$A$3="Maximize",MAX($C299:$AI299),MIN($C299:$AI299)),$C299:$AI299,0))),F293)</f>
        <v>0</v>
      </c>
      <c r="G308" s="1">
        <f>IF(OR($B303&lt;&gt;$B288,$B304&lt;&gt;$B289,$B305&lt;&gt;$B290,$B306&lt;&gt;$B291,$B307&lt;&gt;$B292,$B308&lt;&gt;$B293,$B309&lt;&gt;$B294,$B310&lt;&gt;$B295,$B311&lt;&gt;$B296,$B312&lt;&gt;$B297,$B313&lt;&gt;$B298),IF($B308&lt;&gt;$B293,G293/INDEX($C288:$AJ298,6,MATCH(IF('Data-solution'!$A$3="Maximize",MAX($C299:$AI299),MIN($C299:$AI299)),$C299:$AI299,0)),G293-INDEX($C288:$AJ298,6,MATCH(IF('Data-solution'!$A$3="Maximize",MAX($C299:$AI299),MIN($C299:$AI299)),$C299:$AI299,0))*INDEX(G288:$AJ298,MATCH(MIN($AK288:$AK298),$AK288:$AK298,0),1)/INDEX($C288:$AJ298,MATCH(MIN($AK288:$AK298),$AK288:$AK298,0),MATCH(IF('Data-solution'!$A$3="Maximize",MAX($C299:$AI299),MIN($C299:$AI299)),$C299:$AI299,0))),G293)</f>
        <v>0</v>
      </c>
      <c r="H308" s="1">
        <f>IF(OR($B303&lt;&gt;$B288,$B304&lt;&gt;$B289,$B305&lt;&gt;$B290,$B306&lt;&gt;$B291,$B307&lt;&gt;$B292,$B308&lt;&gt;$B293,$B309&lt;&gt;$B294,$B310&lt;&gt;$B295,$B311&lt;&gt;$B296,$B312&lt;&gt;$B297,$B313&lt;&gt;$B298),IF($B308&lt;&gt;$B293,H293/INDEX($C288:$AJ298,6,MATCH(IF('Data-solution'!$A$3="Maximize",MAX($C299:$AI299),MIN($C299:$AI299)),$C299:$AI299,0)),H293-INDEX($C288:$AJ298,6,MATCH(IF('Data-solution'!$A$3="Maximize",MAX($C299:$AI299),MIN($C299:$AI299)),$C299:$AI299,0))*INDEX(H288:$AJ298,MATCH(MIN($AK288:$AK298),$AK288:$AK298,0),1)/INDEX($C288:$AJ298,MATCH(MIN($AK288:$AK298),$AK288:$AK298,0),MATCH(IF('Data-solution'!$A$3="Maximize",MAX($C299:$AI299),MIN($C299:$AI299)),$C299:$AI299,0))),H293)</f>
        <v>0</v>
      </c>
      <c r="I308" s="1">
        <f>IF(OR($B303&lt;&gt;$B288,$B304&lt;&gt;$B289,$B305&lt;&gt;$B290,$B306&lt;&gt;$B291,$B307&lt;&gt;$B292,$B308&lt;&gt;$B293,$B309&lt;&gt;$B294,$B310&lt;&gt;$B295,$B311&lt;&gt;$B296,$B312&lt;&gt;$B297,$B313&lt;&gt;$B298),IF($B308&lt;&gt;$B293,I293/INDEX($C288:$AJ298,6,MATCH(IF('Data-solution'!$A$3="Maximize",MAX($C299:$AI299),MIN($C299:$AI299)),$C299:$AI299,0)),I293-INDEX($C288:$AJ298,6,MATCH(IF('Data-solution'!$A$3="Maximize",MAX($C299:$AI299),MIN($C299:$AI299)),$C299:$AI299,0))*INDEX(I288:$AJ298,MATCH(MIN($AK288:$AK298),$AK288:$AK298,0),1)/INDEX($C288:$AJ298,MATCH(MIN($AK288:$AK298),$AK288:$AK298,0),MATCH(IF('Data-solution'!$A$3="Maximize",MAX($C299:$AI299),MIN($C299:$AI299)),$C299:$AI299,0))),I293)</f>
        <v>0</v>
      </c>
      <c r="J308" s="1">
        <f>IF(OR($B303&lt;&gt;$B288,$B304&lt;&gt;$B289,$B305&lt;&gt;$B290,$B306&lt;&gt;$B291,$B307&lt;&gt;$B292,$B308&lt;&gt;$B293,$B309&lt;&gt;$B294,$B310&lt;&gt;$B295,$B311&lt;&gt;$B296,$B312&lt;&gt;$B297,$B313&lt;&gt;$B298),IF($B308&lt;&gt;$B293,J293/INDEX($C288:$AJ298,6,MATCH(IF('Data-solution'!$A$3="Maximize",MAX($C299:$AI299),MIN($C299:$AI299)),$C299:$AI299,0)),J293-INDEX($C288:$AJ298,6,MATCH(IF('Data-solution'!$A$3="Maximize",MAX($C299:$AI299),MIN($C299:$AI299)),$C299:$AI299,0))*INDEX(J288:$AJ298,MATCH(MIN($AK288:$AK298),$AK288:$AK298,0),1)/INDEX($C288:$AJ298,MATCH(MIN($AK288:$AK298),$AK288:$AK298,0),MATCH(IF('Data-solution'!$A$3="Maximize",MAX($C299:$AI299),MIN($C299:$AI299)),$C299:$AI299,0))),J293)</f>
        <v>0</v>
      </c>
      <c r="K308" s="1">
        <f>IF(OR($B303&lt;&gt;$B288,$B304&lt;&gt;$B289,$B305&lt;&gt;$B290,$B306&lt;&gt;$B291,$B307&lt;&gt;$B292,$B308&lt;&gt;$B293,$B309&lt;&gt;$B294,$B310&lt;&gt;$B295,$B311&lt;&gt;$B296,$B312&lt;&gt;$B297,$B313&lt;&gt;$B298),IF($B308&lt;&gt;$B293,K293/INDEX($C288:$AJ298,6,MATCH(IF('Data-solution'!$A$3="Maximize",MAX($C299:$AI299),MIN($C299:$AI299)),$C299:$AI299,0)),K293-INDEX($C288:$AJ298,6,MATCH(IF('Data-solution'!$A$3="Maximize",MAX($C299:$AI299),MIN($C299:$AI299)),$C299:$AI299,0))*INDEX(K288:$AJ298,MATCH(MIN($AK288:$AK298),$AK288:$AK298,0),1)/INDEX($C288:$AJ298,MATCH(MIN($AK288:$AK298),$AK288:$AK298,0),MATCH(IF('Data-solution'!$A$3="Maximize",MAX($C299:$AI299),MIN($C299:$AI299)),$C299:$AI299,0))),K293)</f>
        <v>0</v>
      </c>
      <c r="L308" s="1">
        <f>IF(OR($B303&lt;&gt;$B288,$B304&lt;&gt;$B289,$B305&lt;&gt;$B290,$B306&lt;&gt;$B291,$B307&lt;&gt;$B292,$B308&lt;&gt;$B293,$B309&lt;&gt;$B294,$B310&lt;&gt;$B295,$B311&lt;&gt;$B296,$B312&lt;&gt;$B297,$B313&lt;&gt;$B298),IF($B308&lt;&gt;$B293,L293/INDEX($C288:$AJ298,6,MATCH(IF('Data-solution'!$A$3="Maximize",MAX($C299:$AI299),MIN($C299:$AI299)),$C299:$AI299,0)),L293-INDEX($C288:$AJ298,6,MATCH(IF('Data-solution'!$A$3="Maximize",MAX($C299:$AI299),MIN($C299:$AI299)),$C299:$AI299,0))*INDEX(L288:$AJ298,MATCH(MIN($AK288:$AK298),$AK288:$AK298,0),1)/INDEX($C288:$AJ298,MATCH(MIN($AK288:$AK298),$AK288:$AK298,0),MATCH(IF('Data-solution'!$A$3="Maximize",MAX($C299:$AI299),MIN($C299:$AI299)),$C299:$AI299,0))),L293)</f>
        <v>0</v>
      </c>
      <c r="M308" s="1">
        <f>IF(OR($B303&lt;&gt;$B288,$B304&lt;&gt;$B289,$B305&lt;&gt;$B290,$B306&lt;&gt;$B291,$B307&lt;&gt;$B292,$B308&lt;&gt;$B293,$B309&lt;&gt;$B294,$B310&lt;&gt;$B295,$B311&lt;&gt;$B296,$B312&lt;&gt;$B297,$B313&lt;&gt;$B298),IF($B308&lt;&gt;$B293,M293/INDEX($C288:$AJ298,6,MATCH(IF('Data-solution'!$A$3="Maximize",MAX($C299:$AI299),MIN($C299:$AI299)),$C299:$AI299,0)),M293-INDEX($C288:$AJ298,6,MATCH(IF('Data-solution'!$A$3="Maximize",MAX($C299:$AI299),MIN($C299:$AI299)),$C299:$AI299,0))*INDEX(M288:$AJ298,MATCH(MIN($AK288:$AK298),$AK288:$AK298,0),1)/INDEX($C288:$AJ298,MATCH(MIN($AK288:$AK298),$AK288:$AK298,0),MATCH(IF('Data-solution'!$A$3="Maximize",MAX($C299:$AI299),MIN($C299:$AI299)),$C299:$AI299,0))),M293)</f>
        <v>0</v>
      </c>
      <c r="N308" s="1">
        <f>IF(OR($B303&lt;&gt;$B288,$B304&lt;&gt;$B289,$B305&lt;&gt;$B290,$B306&lt;&gt;$B291,$B307&lt;&gt;$B292,$B308&lt;&gt;$B293,$B309&lt;&gt;$B294,$B310&lt;&gt;$B295,$B311&lt;&gt;$B296,$B312&lt;&gt;$B297,$B313&lt;&gt;$B298),IF($B308&lt;&gt;$B293,N293/INDEX($C288:$AJ298,6,MATCH(IF('Data-solution'!$A$3="Maximize",MAX($C299:$AI299),MIN($C299:$AI299)),$C299:$AI299,0)),N293-INDEX($C288:$AJ298,6,MATCH(IF('Data-solution'!$A$3="Maximize",MAX($C299:$AI299),MIN($C299:$AI299)),$C299:$AI299,0))*INDEX(N288:$AJ298,MATCH(MIN($AK288:$AK298),$AK288:$AK298,0),1)/INDEX($C288:$AJ298,MATCH(MIN($AK288:$AK298),$AK288:$AK298,0),MATCH(IF('Data-solution'!$A$3="Maximize",MAX($C299:$AI299),MIN($C299:$AI299)),$C299:$AI299,0))),N293)</f>
        <v>0</v>
      </c>
      <c r="O308" s="1">
        <f>IF(OR($B303&lt;&gt;$B288,$B304&lt;&gt;$B289,$B305&lt;&gt;$B290,$B306&lt;&gt;$B291,$B307&lt;&gt;$B292,$B308&lt;&gt;$B293,$B309&lt;&gt;$B294,$B310&lt;&gt;$B295,$B311&lt;&gt;$B296,$B312&lt;&gt;$B297,$B313&lt;&gt;$B298),IF($B308&lt;&gt;$B293,O293/INDEX($C288:$AJ298,6,MATCH(IF('Data-solution'!$A$3="Maximize",MAX($C299:$AI299),MIN($C299:$AI299)),$C299:$AI299,0)),O293-INDEX($C288:$AJ298,6,MATCH(IF('Data-solution'!$A$3="Maximize",MAX($C299:$AI299),MIN($C299:$AI299)),$C299:$AI299,0))*INDEX(O288:$AJ298,MATCH(MIN($AK288:$AK298),$AK288:$AK298,0),1)/INDEX($C288:$AJ298,MATCH(MIN($AK288:$AK298),$AK288:$AK298,0),MATCH(IF('Data-solution'!$A$3="Maximize",MAX($C299:$AI299),MIN($C299:$AI299)),$C299:$AI299,0))),O293)</f>
        <v>0</v>
      </c>
      <c r="P308" s="1">
        <f>IF(OR($B303&lt;&gt;$B288,$B304&lt;&gt;$B289,$B305&lt;&gt;$B290,$B306&lt;&gt;$B291,$B307&lt;&gt;$B292,$B308&lt;&gt;$B293,$B309&lt;&gt;$B294,$B310&lt;&gt;$B295,$B311&lt;&gt;$B296,$B312&lt;&gt;$B297,$B313&lt;&gt;$B298),IF($B308&lt;&gt;$B293,P293/INDEX($C288:$AJ298,6,MATCH(IF('Data-solution'!$A$3="Maximize",MAX($C299:$AI299),MIN($C299:$AI299)),$C299:$AI299,0)),P293-INDEX($C288:$AJ298,6,MATCH(IF('Data-solution'!$A$3="Maximize",MAX($C299:$AI299),MIN($C299:$AI299)),$C299:$AI299,0))*INDEX(P288:$AJ298,MATCH(MIN($AK288:$AK298),$AK288:$AK298,0),1)/INDEX($C288:$AJ298,MATCH(MIN($AK288:$AK298),$AK288:$AK298,0),MATCH(IF('Data-solution'!$A$3="Maximize",MAX($C299:$AI299),MIN($C299:$AI299)),$C299:$AI299,0))),P293)</f>
        <v>0</v>
      </c>
      <c r="Q308" s="1">
        <f>IF(OR($B303&lt;&gt;$B288,$B304&lt;&gt;$B289,$B305&lt;&gt;$B290,$B306&lt;&gt;$B291,$B307&lt;&gt;$B292,$B308&lt;&gt;$B293,$B309&lt;&gt;$B294,$B310&lt;&gt;$B295,$B311&lt;&gt;$B296,$B312&lt;&gt;$B297,$B313&lt;&gt;$B298),IF($B308&lt;&gt;$B293,Q293/INDEX($C288:$AJ298,6,MATCH(IF('Data-solution'!$A$3="Maximize",MAX($C299:$AI299),MIN($C299:$AI299)),$C299:$AI299,0)),Q293-INDEX($C288:$AJ298,6,MATCH(IF('Data-solution'!$A$3="Maximize",MAX($C299:$AI299),MIN($C299:$AI299)),$C299:$AI299,0))*INDEX(Q288:$AJ298,MATCH(MIN($AK288:$AK298),$AK288:$AK298,0),1)/INDEX($C288:$AJ298,MATCH(MIN($AK288:$AK298),$AK288:$AK298,0),MATCH(IF('Data-solution'!$A$3="Maximize",MAX($C299:$AI299),MIN($C299:$AI299)),$C299:$AI299,0))),Q293)</f>
        <v>0</v>
      </c>
      <c r="R308" s="1">
        <f>IF(OR($B303&lt;&gt;$B288,$B304&lt;&gt;$B289,$B305&lt;&gt;$B290,$B306&lt;&gt;$B291,$B307&lt;&gt;$B292,$B308&lt;&gt;$B293,$B309&lt;&gt;$B294,$B310&lt;&gt;$B295,$B311&lt;&gt;$B296,$B312&lt;&gt;$B297,$B313&lt;&gt;$B298),IF($B308&lt;&gt;$B293,R293/INDEX($C288:$AJ298,6,MATCH(IF('Data-solution'!$A$3="Maximize",MAX($C299:$AI299),MIN($C299:$AI299)),$C299:$AI299,0)),R293-INDEX($C288:$AJ298,6,MATCH(IF('Data-solution'!$A$3="Maximize",MAX($C299:$AI299),MIN($C299:$AI299)),$C299:$AI299,0))*INDEX(R288:$AJ298,MATCH(MIN($AK288:$AK298),$AK288:$AK298,0),1)/INDEX($C288:$AJ298,MATCH(MIN($AK288:$AK298),$AK288:$AK298,0),MATCH(IF('Data-solution'!$A$3="Maximize",MAX($C299:$AI299),MIN($C299:$AI299)),$C299:$AI299,0))),R293)</f>
        <v>0</v>
      </c>
      <c r="S308" s="1">
        <f>IF(OR($B303&lt;&gt;$B288,$B304&lt;&gt;$B289,$B305&lt;&gt;$B290,$B306&lt;&gt;$B291,$B307&lt;&gt;$B292,$B308&lt;&gt;$B293,$B309&lt;&gt;$B294,$B310&lt;&gt;$B295,$B311&lt;&gt;$B296,$B312&lt;&gt;$B297,$B313&lt;&gt;$B298),IF($B308&lt;&gt;$B293,S293/INDEX($C288:$AJ298,6,MATCH(IF('Data-solution'!$A$3="Maximize",MAX($C299:$AI299),MIN($C299:$AI299)),$C299:$AI299,0)),S293-INDEX($C288:$AJ298,6,MATCH(IF('Data-solution'!$A$3="Maximize",MAX($C299:$AI299),MIN($C299:$AI299)),$C299:$AI299,0))*INDEX(S288:$AJ298,MATCH(MIN($AK288:$AK298),$AK288:$AK298,0),1)/INDEX($C288:$AJ298,MATCH(MIN($AK288:$AK298),$AK288:$AK298,0),MATCH(IF('Data-solution'!$A$3="Maximize",MAX($C299:$AI299),MIN($C299:$AI299)),$C299:$AI299,0))),S293)</f>
        <v>1</v>
      </c>
      <c r="T308" s="1">
        <f>IF(OR($B303&lt;&gt;$B288,$B304&lt;&gt;$B289,$B305&lt;&gt;$B290,$B306&lt;&gt;$B291,$B307&lt;&gt;$B292,$B308&lt;&gt;$B293,$B309&lt;&gt;$B294,$B310&lt;&gt;$B295,$B311&lt;&gt;$B296,$B312&lt;&gt;$B297,$B313&lt;&gt;$B298),IF($B308&lt;&gt;$B293,T293/INDEX($C288:$AJ298,6,MATCH(IF('Data-solution'!$A$3="Maximize",MAX($C299:$AI299),MIN($C299:$AI299)),$C299:$AI299,0)),T293-INDEX($C288:$AJ298,6,MATCH(IF('Data-solution'!$A$3="Maximize",MAX($C299:$AI299),MIN($C299:$AI299)),$C299:$AI299,0))*INDEX(T288:$AJ298,MATCH(MIN($AK288:$AK298),$AK288:$AK298,0),1)/INDEX($C288:$AJ298,MATCH(MIN($AK288:$AK298),$AK288:$AK298,0),MATCH(IF('Data-solution'!$A$3="Maximize",MAX($C299:$AI299),MIN($C299:$AI299)),$C299:$AI299,0))),T293)</f>
        <v>0</v>
      </c>
      <c r="U308" s="1">
        <f>IF(OR($B303&lt;&gt;$B288,$B304&lt;&gt;$B289,$B305&lt;&gt;$B290,$B306&lt;&gt;$B291,$B307&lt;&gt;$B292,$B308&lt;&gt;$B293,$B309&lt;&gt;$B294,$B310&lt;&gt;$B295,$B311&lt;&gt;$B296,$B312&lt;&gt;$B297,$B313&lt;&gt;$B298),IF($B308&lt;&gt;$B293,U293/INDEX($C288:$AJ298,6,MATCH(IF('Data-solution'!$A$3="Maximize",MAX($C299:$AI299),MIN($C299:$AI299)),$C299:$AI299,0)),U293-INDEX($C288:$AJ298,6,MATCH(IF('Data-solution'!$A$3="Maximize",MAX($C299:$AI299),MIN($C299:$AI299)),$C299:$AI299,0))*INDEX(U288:$AJ298,MATCH(MIN($AK288:$AK298),$AK288:$AK298,0),1)/INDEX($C288:$AJ298,MATCH(MIN($AK288:$AK298),$AK288:$AK298,0),MATCH(IF('Data-solution'!$A$3="Maximize",MAX($C299:$AI299),MIN($C299:$AI299)),$C299:$AI299,0))),U293)</f>
        <v>0</v>
      </c>
      <c r="V308" s="1">
        <f>IF(OR($B303&lt;&gt;$B288,$B304&lt;&gt;$B289,$B305&lt;&gt;$B290,$B306&lt;&gt;$B291,$B307&lt;&gt;$B292,$B308&lt;&gt;$B293,$B309&lt;&gt;$B294,$B310&lt;&gt;$B295,$B311&lt;&gt;$B296,$B312&lt;&gt;$B297,$B313&lt;&gt;$B298),IF($B308&lt;&gt;$B293,V293/INDEX($C288:$AJ298,6,MATCH(IF('Data-solution'!$A$3="Maximize",MAX($C299:$AI299),MIN($C299:$AI299)),$C299:$AI299,0)),V293-INDEX($C288:$AJ298,6,MATCH(IF('Data-solution'!$A$3="Maximize",MAX($C299:$AI299),MIN($C299:$AI299)),$C299:$AI299,0))*INDEX(V288:$AJ298,MATCH(MIN($AK288:$AK298),$AK288:$AK298,0),1)/INDEX($C288:$AJ298,MATCH(MIN($AK288:$AK298),$AK288:$AK298,0),MATCH(IF('Data-solution'!$A$3="Maximize",MAX($C299:$AI299),MIN($C299:$AI299)),$C299:$AI299,0))),V293)</f>
        <v>0</v>
      </c>
      <c r="W308" s="1">
        <f>IF(OR($B303&lt;&gt;$B288,$B304&lt;&gt;$B289,$B305&lt;&gt;$B290,$B306&lt;&gt;$B291,$B307&lt;&gt;$B292,$B308&lt;&gt;$B293,$B309&lt;&gt;$B294,$B310&lt;&gt;$B295,$B311&lt;&gt;$B296,$B312&lt;&gt;$B297,$B313&lt;&gt;$B298),IF($B308&lt;&gt;$B293,W293/INDEX($C288:$AJ298,6,MATCH(IF('Data-solution'!$A$3="Maximize",MAX($C299:$AI299),MIN($C299:$AI299)),$C299:$AI299,0)),W293-INDEX($C288:$AJ298,6,MATCH(IF('Data-solution'!$A$3="Maximize",MAX($C299:$AI299),MIN($C299:$AI299)),$C299:$AI299,0))*INDEX(W288:$AJ298,MATCH(MIN($AK288:$AK298),$AK288:$AK298,0),1)/INDEX($C288:$AJ298,MATCH(MIN($AK288:$AK298),$AK288:$AK298,0),MATCH(IF('Data-solution'!$A$3="Maximize",MAX($C299:$AI299),MIN($C299:$AI299)),$C299:$AI299,0))),W293)</f>
        <v>0</v>
      </c>
      <c r="X308" s="1">
        <f>IF(OR($B303&lt;&gt;$B288,$B304&lt;&gt;$B289,$B305&lt;&gt;$B290,$B306&lt;&gt;$B291,$B307&lt;&gt;$B292,$B308&lt;&gt;$B293,$B309&lt;&gt;$B294,$B310&lt;&gt;$B295,$B311&lt;&gt;$B296,$B312&lt;&gt;$B297,$B313&lt;&gt;$B298),IF($B308&lt;&gt;$B293,X293/INDEX($C288:$AJ298,6,MATCH(IF('Data-solution'!$A$3="Maximize",MAX($C299:$AI299),MIN($C299:$AI299)),$C299:$AI299,0)),X293-INDEX($C288:$AJ298,6,MATCH(IF('Data-solution'!$A$3="Maximize",MAX($C299:$AI299),MIN($C299:$AI299)),$C299:$AI299,0))*INDEX(X288:$AJ298,MATCH(MIN($AK288:$AK298),$AK288:$AK298,0),1)/INDEX($C288:$AJ298,MATCH(MIN($AK288:$AK298),$AK288:$AK298,0),MATCH(IF('Data-solution'!$A$3="Maximize",MAX($C299:$AI299),MIN($C299:$AI299)),$C299:$AI299,0))),X293)</f>
        <v>0</v>
      </c>
      <c r="Y308" s="1">
        <f>IF(OR($B303&lt;&gt;$B288,$B304&lt;&gt;$B289,$B305&lt;&gt;$B290,$B306&lt;&gt;$B291,$B307&lt;&gt;$B292,$B308&lt;&gt;$B293,$B309&lt;&gt;$B294,$B310&lt;&gt;$B295,$B311&lt;&gt;$B296,$B312&lt;&gt;$B297,$B313&lt;&gt;$B298),IF($B308&lt;&gt;$B293,Y293/INDEX($C288:$AJ298,6,MATCH(IF('Data-solution'!$A$3="Maximize",MAX($C299:$AI299),MIN($C299:$AI299)),$C299:$AI299,0)),Y293-INDEX($C288:$AJ298,6,MATCH(IF('Data-solution'!$A$3="Maximize",MAX($C299:$AI299),MIN($C299:$AI299)),$C299:$AI299,0))*INDEX(Y288:$AJ298,MATCH(MIN($AK288:$AK298),$AK288:$AK298,0),1)/INDEX($C288:$AJ298,MATCH(MIN($AK288:$AK298),$AK288:$AK298,0),MATCH(IF('Data-solution'!$A$3="Maximize",MAX($C299:$AI299),MIN($C299:$AI299)),$C299:$AI299,0))),Y293)</f>
        <v>0</v>
      </c>
      <c r="Z308" s="1">
        <f>IF(OR($B303&lt;&gt;$B288,$B304&lt;&gt;$B289,$B305&lt;&gt;$B290,$B306&lt;&gt;$B291,$B307&lt;&gt;$B292,$B308&lt;&gt;$B293,$B309&lt;&gt;$B294,$B310&lt;&gt;$B295,$B311&lt;&gt;$B296,$B312&lt;&gt;$B297,$B313&lt;&gt;$B298),IF($B308&lt;&gt;$B293,Z293/INDEX($C288:$AJ298,6,MATCH(IF('Data-solution'!$A$3="Maximize",MAX($C299:$AI299),MIN($C299:$AI299)),$C299:$AI299,0)),Z293-INDEX($C288:$AJ298,6,MATCH(IF('Data-solution'!$A$3="Maximize",MAX($C299:$AI299),MIN($C299:$AI299)),$C299:$AI299,0))*INDEX(Z288:$AJ298,MATCH(MIN($AK288:$AK298),$AK288:$AK298,0),1)/INDEX($C288:$AJ298,MATCH(MIN($AK288:$AK298),$AK288:$AK298,0),MATCH(IF('Data-solution'!$A$3="Maximize",MAX($C299:$AI299),MIN($C299:$AI299)),$C299:$AI299,0))),Z293)</f>
        <v>0</v>
      </c>
      <c r="AA308" s="1">
        <f>IF(OR($B303&lt;&gt;$B288,$B304&lt;&gt;$B289,$B305&lt;&gt;$B290,$B306&lt;&gt;$B291,$B307&lt;&gt;$B292,$B308&lt;&gt;$B293,$B309&lt;&gt;$B294,$B310&lt;&gt;$B295,$B311&lt;&gt;$B296,$B312&lt;&gt;$B297,$B313&lt;&gt;$B298),IF($B308&lt;&gt;$B293,AA293/INDEX($C288:$AJ298,6,MATCH(IF('Data-solution'!$A$3="Maximize",MAX($C299:$AI299),MIN($C299:$AI299)),$C299:$AI299,0)),AA293-INDEX($C288:$AJ298,6,MATCH(IF('Data-solution'!$A$3="Maximize",MAX($C299:$AI299),MIN($C299:$AI299)),$C299:$AI299,0))*INDEX(AA288:$AJ298,MATCH(MIN($AK288:$AK298),$AK288:$AK298,0),1)/INDEX($C288:$AJ298,MATCH(MIN($AK288:$AK298),$AK288:$AK298,0),MATCH(IF('Data-solution'!$A$3="Maximize",MAX($C299:$AI299),MIN($C299:$AI299)),$C299:$AI299,0))),AA293)</f>
        <v>0</v>
      </c>
      <c r="AB308" s="1">
        <f>IF(OR($B303&lt;&gt;$B288,$B304&lt;&gt;$B289,$B305&lt;&gt;$B290,$B306&lt;&gt;$B291,$B307&lt;&gt;$B292,$B308&lt;&gt;$B293,$B309&lt;&gt;$B294,$B310&lt;&gt;$B295,$B311&lt;&gt;$B296,$B312&lt;&gt;$B297,$B313&lt;&gt;$B298),IF($B308&lt;&gt;$B293,AB293/INDEX($C288:$AJ298,6,MATCH(IF('Data-solution'!$A$3="Maximize",MAX($C299:$AI299),MIN($C299:$AI299)),$C299:$AI299,0)),AB293-INDEX($C288:$AJ298,6,MATCH(IF('Data-solution'!$A$3="Maximize",MAX($C299:$AI299),MIN($C299:$AI299)),$C299:$AI299,0))*INDEX(AB288:$AJ298,MATCH(MIN($AK288:$AK298),$AK288:$AK298,0),1)/INDEX($C288:$AJ298,MATCH(MIN($AK288:$AK298),$AK288:$AK298,0),MATCH(IF('Data-solution'!$A$3="Maximize",MAX($C299:$AI299),MIN($C299:$AI299)),$C299:$AI299,0))),AB293)</f>
        <v>0</v>
      </c>
      <c r="AC308" s="1">
        <f>IF(OR($B303&lt;&gt;$B288,$B304&lt;&gt;$B289,$B305&lt;&gt;$B290,$B306&lt;&gt;$B291,$B307&lt;&gt;$B292,$B308&lt;&gt;$B293,$B309&lt;&gt;$B294,$B310&lt;&gt;$B295,$B311&lt;&gt;$B296,$B312&lt;&gt;$B297,$B313&lt;&gt;$B298),IF($B308&lt;&gt;$B293,AC293/INDEX($C288:$AJ298,6,MATCH(IF('Data-solution'!$A$3="Maximize",MAX($C299:$AI299),MIN($C299:$AI299)),$C299:$AI299,0)),AC293-INDEX($C288:$AJ298,6,MATCH(IF('Data-solution'!$A$3="Maximize",MAX($C299:$AI299),MIN($C299:$AI299)),$C299:$AI299,0))*INDEX(AC288:$AJ298,MATCH(MIN($AK288:$AK298),$AK288:$AK298,0),1)/INDEX($C288:$AJ298,MATCH(MIN($AK288:$AK298),$AK288:$AK298,0),MATCH(IF('Data-solution'!$A$3="Maximize",MAX($C299:$AI299),MIN($C299:$AI299)),$C299:$AI299,0))),AC293)</f>
        <v>0</v>
      </c>
      <c r="AD308" s="1">
        <f>IF(OR($B303&lt;&gt;$B288,$B304&lt;&gt;$B289,$B305&lt;&gt;$B290,$B306&lt;&gt;$B291,$B307&lt;&gt;$B292,$B308&lt;&gt;$B293,$B309&lt;&gt;$B294,$B310&lt;&gt;$B295,$B311&lt;&gt;$B296,$B312&lt;&gt;$B297,$B313&lt;&gt;$B298),IF($B308&lt;&gt;$B293,AD293/INDEX($C288:$AJ298,6,MATCH(IF('Data-solution'!$A$3="Maximize",MAX($C299:$AI299),MIN($C299:$AI299)),$C299:$AI299,0)),AD293-INDEX($C288:$AJ298,6,MATCH(IF('Data-solution'!$A$3="Maximize",MAX($C299:$AI299),MIN($C299:$AI299)),$C299:$AI299,0))*INDEX(AD288:$AJ298,MATCH(MIN($AK288:$AK298),$AK288:$AK298,0),1)/INDEX($C288:$AJ298,MATCH(MIN($AK288:$AK298),$AK288:$AK298,0),MATCH(IF('Data-solution'!$A$3="Maximize",MAX($C299:$AI299),MIN($C299:$AI299)),$C299:$AI299,0))),AD293)</f>
        <v>1</v>
      </c>
      <c r="AE308" s="1">
        <f>IF(OR($B303&lt;&gt;$B288,$B304&lt;&gt;$B289,$B305&lt;&gt;$B290,$B306&lt;&gt;$B291,$B307&lt;&gt;$B292,$B308&lt;&gt;$B293,$B309&lt;&gt;$B294,$B310&lt;&gt;$B295,$B311&lt;&gt;$B296,$B312&lt;&gt;$B297,$B313&lt;&gt;$B298),IF($B308&lt;&gt;$B293,AE293/INDEX($C288:$AJ298,6,MATCH(IF('Data-solution'!$A$3="Maximize",MAX($C299:$AI299),MIN($C299:$AI299)),$C299:$AI299,0)),AE293-INDEX($C288:$AJ298,6,MATCH(IF('Data-solution'!$A$3="Maximize",MAX($C299:$AI299),MIN($C299:$AI299)),$C299:$AI299,0))*INDEX(AE288:$AJ298,MATCH(MIN($AK288:$AK298),$AK288:$AK298,0),1)/INDEX($C288:$AJ298,MATCH(MIN($AK288:$AK298),$AK288:$AK298,0),MATCH(IF('Data-solution'!$A$3="Maximize",MAX($C299:$AI299),MIN($C299:$AI299)),$C299:$AI299,0))),AE293)</f>
        <v>0</v>
      </c>
      <c r="AF308" s="1">
        <f>IF(OR($B303&lt;&gt;$B288,$B304&lt;&gt;$B289,$B305&lt;&gt;$B290,$B306&lt;&gt;$B291,$B307&lt;&gt;$B292,$B308&lt;&gt;$B293,$B309&lt;&gt;$B294,$B310&lt;&gt;$B295,$B311&lt;&gt;$B296,$B312&lt;&gt;$B297,$B313&lt;&gt;$B298),IF($B308&lt;&gt;$B293,AF293/INDEX($C288:$AJ298,6,MATCH(IF('Data-solution'!$A$3="Maximize",MAX($C299:$AI299),MIN($C299:$AI299)),$C299:$AI299,0)),AF293-INDEX($C288:$AJ298,6,MATCH(IF('Data-solution'!$A$3="Maximize",MAX($C299:$AI299),MIN($C299:$AI299)),$C299:$AI299,0))*INDEX(AF288:$AJ298,MATCH(MIN($AK288:$AK298),$AK288:$AK298,0),1)/INDEX($C288:$AJ298,MATCH(MIN($AK288:$AK298),$AK288:$AK298,0),MATCH(IF('Data-solution'!$A$3="Maximize",MAX($C299:$AI299),MIN($C299:$AI299)),$C299:$AI299,0))),AF293)</f>
        <v>0</v>
      </c>
      <c r="AG308" s="1">
        <f>IF(OR($B303&lt;&gt;$B288,$B304&lt;&gt;$B289,$B305&lt;&gt;$B290,$B306&lt;&gt;$B291,$B307&lt;&gt;$B292,$B308&lt;&gt;$B293,$B309&lt;&gt;$B294,$B310&lt;&gt;$B295,$B311&lt;&gt;$B296,$B312&lt;&gt;$B297,$B313&lt;&gt;$B298),IF($B308&lt;&gt;$B293,AG293/INDEX($C288:$AJ298,6,MATCH(IF('Data-solution'!$A$3="Maximize",MAX($C299:$AI299),MIN($C299:$AI299)),$C299:$AI299,0)),AG293-INDEX($C288:$AJ298,6,MATCH(IF('Data-solution'!$A$3="Maximize",MAX($C299:$AI299),MIN($C299:$AI299)),$C299:$AI299,0))*INDEX(AG288:$AJ298,MATCH(MIN($AK288:$AK298),$AK288:$AK298,0),1)/INDEX($C288:$AJ298,MATCH(MIN($AK288:$AK298),$AK288:$AK298,0),MATCH(IF('Data-solution'!$A$3="Maximize",MAX($C299:$AI299),MIN($C299:$AI299)),$C299:$AI299,0))),AG293)</f>
        <v>0</v>
      </c>
      <c r="AH308" s="1">
        <f>IF(OR($B303&lt;&gt;$B288,$B304&lt;&gt;$B289,$B305&lt;&gt;$B290,$B306&lt;&gt;$B291,$B307&lt;&gt;$B292,$B308&lt;&gt;$B293,$B309&lt;&gt;$B294,$B310&lt;&gt;$B295,$B311&lt;&gt;$B296,$B312&lt;&gt;$B297,$B313&lt;&gt;$B298),IF($B308&lt;&gt;$B293,AH293/INDEX($C288:$AJ298,6,MATCH(IF('Data-solution'!$A$3="Maximize",MAX($C299:$AI299),MIN($C299:$AI299)),$C299:$AI299,0)),AH293-INDEX($C288:$AJ298,6,MATCH(IF('Data-solution'!$A$3="Maximize",MAX($C299:$AI299),MIN($C299:$AI299)),$C299:$AI299,0))*INDEX(AH288:$AJ298,MATCH(MIN($AK288:$AK298),$AK288:$AK298,0),1)/INDEX($C288:$AJ298,MATCH(MIN($AK288:$AK298),$AK288:$AK298,0),MATCH(IF('Data-solution'!$A$3="Maximize",MAX($C299:$AI299),MIN($C299:$AI299)),$C299:$AI299,0))),AH293)</f>
        <v>0</v>
      </c>
      <c r="AI308" s="1">
        <f>IF(OR($B303&lt;&gt;$B288,$B304&lt;&gt;$B289,$B305&lt;&gt;$B290,$B306&lt;&gt;$B291,$B307&lt;&gt;$B292,$B308&lt;&gt;$B293,$B309&lt;&gt;$B294,$B310&lt;&gt;$B295,$B311&lt;&gt;$B296,$B312&lt;&gt;$B297,$B313&lt;&gt;$B298),IF($B308&lt;&gt;$B293,AI293/INDEX($C288:$AJ298,6,MATCH(IF('Data-solution'!$A$3="Maximize",MAX($C299:$AI299),MIN($C299:$AI299)),$C299:$AI299,0)),AI293-INDEX($C288:$AJ298,6,MATCH(IF('Data-solution'!$A$3="Maximize",MAX($C299:$AI299),MIN($C299:$AI299)),$C299:$AI299,0))*INDEX(AI288:$AJ298,MATCH(MIN($AK288:$AK298),$AK288:$AK298,0),1)/INDEX($C288:$AJ298,MATCH(MIN($AK288:$AK298),$AK288:$AK298,0),MATCH(IF('Data-solution'!$A$3="Maximize",MAX($C299:$AI299),MIN($C299:$AI299)),$C299:$AI299,0))),AI293)</f>
        <v>0</v>
      </c>
      <c r="AJ308" s="1">
        <f>IF(OR($B303&lt;&gt;$B288,$B304&lt;&gt;$B289,$B305&lt;&gt;$B290,$B306&lt;&gt;$B291,$B307&lt;&gt;$B292,$B308&lt;&gt;$B293,$B309&lt;&gt;$B294,$B310&lt;&gt;$B295,$B311&lt;&gt;$B296,$B312&lt;&gt;$B297,$B313&lt;&gt;$B298),IF($B308&lt;&gt;$B293,AJ293/INDEX($C288:$AJ298,6,MATCH(IF('Data-solution'!$A$3="Maximize",MAX($C299:$AI299),MIN($C299:$AI299)),$C299:$AI299,0)),AJ293-INDEX($C288:$AJ298,6,MATCH(IF('Data-solution'!$A$3="Maximize",MAX($C299:$AI299),MIN($C299:$AI299)),$C299:$AI299,0))*INDEX(AJ288:$AJ298,MATCH(MIN($AK288:$AK298),$AK288:$AK298,0),1)/INDEX($C288:$AJ298,MATCH(MIN($AK288:$AK298),$AK288:$AK298,0),MATCH(IF('Data-solution'!$A$3="Maximize",MAX($C299:$AI299),MIN($C299:$AI299)),$C299:$AI299,0))),AJ293)</f>
        <v>0</v>
      </c>
      <c r="AK308" s="1" t="str">
        <f>IF(INDEX(C308:X308,1,MATCH(IF('Data-solution'!A$3="Maximize",MAX(C314:X314),MIN(C314:X314)),C314:X314,0))&gt;0,AJ308/INDEX(C308:X308,1,MATCH(IF('Data-solution'!A$3="Maximize",MAX(C314:X314),MIN(C314:X314)),C314:X314,0))," ")</f>
        <v xml:space="preserve"> </v>
      </c>
    </row>
    <row r="309" spans="1:37" ht="18" customHeight="1" x14ac:dyDescent="0.2">
      <c r="A309" s="1">
        <f t="shared" ref="A309" si="278">INDEX(C301:AI301,1,MATCH(B309,C302:AI302,0))</f>
        <v>0</v>
      </c>
      <c r="B309" s="2" t="str">
        <f>IF(AND('Data-solution'!A$3="Maximize",COUNTIF(C299:X299,"&gt;"&amp;0)&gt;0,AK294=MIN(AK288:AK298),COUNTIF(B303:B308,INDEX(C287:X287,1,MATCH(MAX(C299:X299),C299:X299,0)))=0),INDEX(C287:X287,1,MATCH(MAX(C299:X299),C299:X299,0)),IF(AND('Data-solution'!A$3="Minimize",COUNTIF(C299:X299,"&lt;"&amp;0)&gt;0,AK294=MIN(AK288:AK298),COUNTIF(B303:B308,INDEX(C287:X287,1,MATCH(MIN(C299:X299),C299:X299,0)))=0),INDEX(C287:X287,1,MATCH(MIN(C299:X299),C299:X299,0)),B294))</f>
        <v>S7</v>
      </c>
      <c r="C309" s="1">
        <f>IF(OR($B303&lt;&gt;$B288,$B304&lt;&gt;$B289,$B305&lt;&gt;$B290,$B306&lt;&gt;$B291,$B307&lt;&gt;$B292,$B308&lt;&gt;$B293,$B309&lt;&gt;$B294,$B310&lt;&gt;$B295,$B311&lt;&gt;$B296,$B312&lt;&gt;$B297,$B313&lt;&gt;$B298),IF($B309&lt;&gt;$B294,C294/INDEX($C288:$AJ298,7,MATCH(IF('Data-solution'!$A$3="Maximize",MAX($C299:$AI299),MIN($C299:$AI299)),$C299:$AI299,0)),C294-INDEX($C288:$AJ298,7,MATCH(IF('Data-solution'!$A$3="Maximize",MAX($C299:$AI299),MIN($C299:$AI299)),$C299:$AI299,0))*INDEX(C288:$AJ298,MATCH(MIN($AK288:$AK298),$AK288:$AK298,0),1)/INDEX($C288:$AJ298,MATCH(MIN($AK288:$AK298),$AK288:$AK298,0),MATCH(IF('Data-solution'!$A$3="Maximize",MAX($C299:$AI299),MIN($C299:$AI299)),$C299:$AI299,0))),C294)</f>
        <v>0</v>
      </c>
      <c r="D309" s="1">
        <f>IF(OR($B303&lt;&gt;$B288,$B304&lt;&gt;$B289,$B305&lt;&gt;$B290,$B306&lt;&gt;$B291,$B307&lt;&gt;$B292,$B308&lt;&gt;$B293,$B309&lt;&gt;$B294,$B310&lt;&gt;$B295,$B311&lt;&gt;$B296,$B312&lt;&gt;$B297,$B313&lt;&gt;$B298),IF($B309&lt;&gt;$B294,D294/INDEX($C288:$AJ298,7,MATCH(IF('Data-solution'!$A$3="Maximize",MAX($C299:$AI299),MIN($C299:$AI299)),$C299:$AI299,0)),D294-INDEX($C288:$AJ298,7,MATCH(IF('Data-solution'!$A$3="Maximize",MAX($C299:$AI299),MIN($C299:$AI299)),$C299:$AI299,0))*INDEX(D288:$AJ298,MATCH(MIN($AK288:$AK298),$AK288:$AK298,0),1)/INDEX($C288:$AJ298,MATCH(MIN($AK288:$AK298),$AK288:$AK298,0),MATCH(IF('Data-solution'!$A$3="Maximize",MAX($C299:$AI299),MIN($C299:$AI299)),$C299:$AI299,0))),D294)</f>
        <v>0</v>
      </c>
      <c r="E309" s="1">
        <f>IF(OR($B303&lt;&gt;$B288,$B304&lt;&gt;$B289,$B305&lt;&gt;$B290,$B306&lt;&gt;$B291,$B307&lt;&gt;$B292,$B308&lt;&gt;$B293,$B309&lt;&gt;$B294,$B310&lt;&gt;$B295,$B311&lt;&gt;$B296,$B312&lt;&gt;$B297,$B313&lt;&gt;$B298),IF($B309&lt;&gt;$B294,E294/INDEX($C288:$AJ298,7,MATCH(IF('Data-solution'!$A$3="Maximize",MAX($C299:$AI299),MIN($C299:$AI299)),$C299:$AI299,0)),E294-INDEX($C288:$AJ298,7,MATCH(IF('Data-solution'!$A$3="Maximize",MAX($C299:$AI299),MIN($C299:$AI299)),$C299:$AI299,0))*INDEX(E288:$AJ298,MATCH(MIN($AK288:$AK298),$AK288:$AK298,0),1)/INDEX($C288:$AJ298,MATCH(MIN($AK288:$AK298),$AK288:$AK298,0),MATCH(IF('Data-solution'!$A$3="Maximize",MAX($C299:$AI299),MIN($C299:$AI299)),$C299:$AI299,0))),E294)</f>
        <v>0</v>
      </c>
      <c r="F309" s="1">
        <f>IF(OR($B303&lt;&gt;$B288,$B304&lt;&gt;$B289,$B305&lt;&gt;$B290,$B306&lt;&gt;$B291,$B307&lt;&gt;$B292,$B308&lt;&gt;$B293,$B309&lt;&gt;$B294,$B310&lt;&gt;$B295,$B311&lt;&gt;$B296,$B312&lt;&gt;$B297,$B313&lt;&gt;$B298),IF($B309&lt;&gt;$B294,F294/INDEX($C288:$AJ298,7,MATCH(IF('Data-solution'!$A$3="Maximize",MAX($C299:$AI299),MIN($C299:$AI299)),$C299:$AI299,0)),F294-INDEX($C288:$AJ298,7,MATCH(IF('Data-solution'!$A$3="Maximize",MAX($C299:$AI299),MIN($C299:$AI299)),$C299:$AI299,0))*INDEX(F288:$AJ298,MATCH(MIN($AK288:$AK298),$AK288:$AK298,0),1)/INDEX($C288:$AJ298,MATCH(MIN($AK288:$AK298),$AK288:$AK298,0),MATCH(IF('Data-solution'!$A$3="Maximize",MAX($C299:$AI299),MIN($C299:$AI299)),$C299:$AI299,0))),F294)</f>
        <v>0</v>
      </c>
      <c r="G309" s="1">
        <f>IF(OR($B303&lt;&gt;$B288,$B304&lt;&gt;$B289,$B305&lt;&gt;$B290,$B306&lt;&gt;$B291,$B307&lt;&gt;$B292,$B308&lt;&gt;$B293,$B309&lt;&gt;$B294,$B310&lt;&gt;$B295,$B311&lt;&gt;$B296,$B312&lt;&gt;$B297,$B313&lt;&gt;$B298),IF($B309&lt;&gt;$B294,G294/INDEX($C288:$AJ298,7,MATCH(IF('Data-solution'!$A$3="Maximize",MAX($C299:$AI299),MIN($C299:$AI299)),$C299:$AI299,0)),G294-INDEX($C288:$AJ298,7,MATCH(IF('Data-solution'!$A$3="Maximize",MAX($C299:$AI299),MIN($C299:$AI299)),$C299:$AI299,0))*INDEX(G288:$AJ298,MATCH(MIN($AK288:$AK298),$AK288:$AK298,0),1)/INDEX($C288:$AJ298,MATCH(MIN($AK288:$AK298),$AK288:$AK298,0),MATCH(IF('Data-solution'!$A$3="Maximize",MAX($C299:$AI299),MIN($C299:$AI299)),$C299:$AI299,0))),G294)</f>
        <v>0</v>
      </c>
      <c r="H309" s="1">
        <f>IF(OR($B303&lt;&gt;$B288,$B304&lt;&gt;$B289,$B305&lt;&gt;$B290,$B306&lt;&gt;$B291,$B307&lt;&gt;$B292,$B308&lt;&gt;$B293,$B309&lt;&gt;$B294,$B310&lt;&gt;$B295,$B311&lt;&gt;$B296,$B312&lt;&gt;$B297,$B313&lt;&gt;$B298),IF($B309&lt;&gt;$B294,H294/INDEX($C288:$AJ298,7,MATCH(IF('Data-solution'!$A$3="Maximize",MAX($C299:$AI299),MIN($C299:$AI299)),$C299:$AI299,0)),H294-INDEX($C288:$AJ298,7,MATCH(IF('Data-solution'!$A$3="Maximize",MAX($C299:$AI299),MIN($C299:$AI299)),$C299:$AI299,0))*INDEX(H288:$AJ298,MATCH(MIN($AK288:$AK298),$AK288:$AK298,0),1)/INDEX($C288:$AJ298,MATCH(MIN($AK288:$AK298),$AK288:$AK298,0),MATCH(IF('Data-solution'!$A$3="Maximize",MAX($C299:$AI299),MIN($C299:$AI299)),$C299:$AI299,0))),H294)</f>
        <v>0</v>
      </c>
      <c r="I309" s="1">
        <f>IF(OR($B303&lt;&gt;$B288,$B304&lt;&gt;$B289,$B305&lt;&gt;$B290,$B306&lt;&gt;$B291,$B307&lt;&gt;$B292,$B308&lt;&gt;$B293,$B309&lt;&gt;$B294,$B310&lt;&gt;$B295,$B311&lt;&gt;$B296,$B312&lt;&gt;$B297,$B313&lt;&gt;$B298),IF($B309&lt;&gt;$B294,I294/INDEX($C288:$AJ298,7,MATCH(IF('Data-solution'!$A$3="Maximize",MAX($C299:$AI299),MIN($C299:$AI299)),$C299:$AI299,0)),I294-INDEX($C288:$AJ298,7,MATCH(IF('Data-solution'!$A$3="Maximize",MAX($C299:$AI299),MIN($C299:$AI299)),$C299:$AI299,0))*INDEX(I288:$AJ298,MATCH(MIN($AK288:$AK298),$AK288:$AK298,0),1)/INDEX($C288:$AJ298,MATCH(MIN($AK288:$AK298),$AK288:$AK298,0),MATCH(IF('Data-solution'!$A$3="Maximize",MAX($C299:$AI299),MIN($C299:$AI299)),$C299:$AI299,0))),I294)</f>
        <v>0</v>
      </c>
      <c r="J309" s="1">
        <f>IF(OR($B303&lt;&gt;$B288,$B304&lt;&gt;$B289,$B305&lt;&gt;$B290,$B306&lt;&gt;$B291,$B307&lt;&gt;$B292,$B308&lt;&gt;$B293,$B309&lt;&gt;$B294,$B310&lt;&gt;$B295,$B311&lt;&gt;$B296,$B312&lt;&gt;$B297,$B313&lt;&gt;$B298),IF($B309&lt;&gt;$B294,J294/INDEX($C288:$AJ298,7,MATCH(IF('Data-solution'!$A$3="Maximize",MAX($C299:$AI299),MIN($C299:$AI299)),$C299:$AI299,0)),J294-INDEX($C288:$AJ298,7,MATCH(IF('Data-solution'!$A$3="Maximize",MAX($C299:$AI299),MIN($C299:$AI299)),$C299:$AI299,0))*INDEX(J288:$AJ298,MATCH(MIN($AK288:$AK298),$AK288:$AK298,0),1)/INDEX($C288:$AJ298,MATCH(MIN($AK288:$AK298),$AK288:$AK298,0),MATCH(IF('Data-solution'!$A$3="Maximize",MAX($C299:$AI299),MIN($C299:$AI299)),$C299:$AI299,0))),J294)</f>
        <v>0</v>
      </c>
      <c r="K309" s="1">
        <f>IF(OR($B303&lt;&gt;$B288,$B304&lt;&gt;$B289,$B305&lt;&gt;$B290,$B306&lt;&gt;$B291,$B307&lt;&gt;$B292,$B308&lt;&gt;$B293,$B309&lt;&gt;$B294,$B310&lt;&gt;$B295,$B311&lt;&gt;$B296,$B312&lt;&gt;$B297,$B313&lt;&gt;$B298),IF($B309&lt;&gt;$B294,K294/INDEX($C288:$AJ298,7,MATCH(IF('Data-solution'!$A$3="Maximize",MAX($C299:$AI299),MIN($C299:$AI299)),$C299:$AI299,0)),K294-INDEX($C288:$AJ298,7,MATCH(IF('Data-solution'!$A$3="Maximize",MAX($C299:$AI299),MIN($C299:$AI299)),$C299:$AI299,0))*INDEX(K288:$AJ298,MATCH(MIN($AK288:$AK298),$AK288:$AK298,0),1)/INDEX($C288:$AJ298,MATCH(MIN($AK288:$AK298),$AK288:$AK298,0),MATCH(IF('Data-solution'!$A$3="Maximize",MAX($C299:$AI299),MIN($C299:$AI299)),$C299:$AI299,0))),K294)</f>
        <v>0</v>
      </c>
      <c r="L309" s="1">
        <f>IF(OR($B303&lt;&gt;$B288,$B304&lt;&gt;$B289,$B305&lt;&gt;$B290,$B306&lt;&gt;$B291,$B307&lt;&gt;$B292,$B308&lt;&gt;$B293,$B309&lt;&gt;$B294,$B310&lt;&gt;$B295,$B311&lt;&gt;$B296,$B312&lt;&gt;$B297,$B313&lt;&gt;$B298),IF($B309&lt;&gt;$B294,L294/INDEX($C288:$AJ298,7,MATCH(IF('Data-solution'!$A$3="Maximize",MAX($C299:$AI299),MIN($C299:$AI299)),$C299:$AI299,0)),L294-INDEX($C288:$AJ298,7,MATCH(IF('Data-solution'!$A$3="Maximize",MAX($C299:$AI299),MIN($C299:$AI299)),$C299:$AI299,0))*INDEX(L288:$AJ298,MATCH(MIN($AK288:$AK298),$AK288:$AK298,0),1)/INDEX($C288:$AJ298,MATCH(MIN($AK288:$AK298),$AK288:$AK298,0),MATCH(IF('Data-solution'!$A$3="Maximize",MAX($C299:$AI299),MIN($C299:$AI299)),$C299:$AI299,0))),L294)</f>
        <v>0</v>
      </c>
      <c r="M309" s="1">
        <f>IF(OR($B303&lt;&gt;$B288,$B304&lt;&gt;$B289,$B305&lt;&gt;$B290,$B306&lt;&gt;$B291,$B307&lt;&gt;$B292,$B308&lt;&gt;$B293,$B309&lt;&gt;$B294,$B310&lt;&gt;$B295,$B311&lt;&gt;$B296,$B312&lt;&gt;$B297,$B313&lt;&gt;$B298),IF($B309&lt;&gt;$B294,M294/INDEX($C288:$AJ298,7,MATCH(IF('Data-solution'!$A$3="Maximize",MAX($C299:$AI299),MIN($C299:$AI299)),$C299:$AI299,0)),M294-INDEX($C288:$AJ298,7,MATCH(IF('Data-solution'!$A$3="Maximize",MAX($C299:$AI299),MIN($C299:$AI299)),$C299:$AI299,0))*INDEX(M288:$AJ298,MATCH(MIN($AK288:$AK298),$AK288:$AK298,0),1)/INDEX($C288:$AJ298,MATCH(MIN($AK288:$AK298),$AK288:$AK298,0),MATCH(IF('Data-solution'!$A$3="Maximize",MAX($C299:$AI299),MIN($C299:$AI299)),$C299:$AI299,0))),M294)</f>
        <v>0</v>
      </c>
      <c r="N309" s="1">
        <f>IF(OR($B303&lt;&gt;$B288,$B304&lt;&gt;$B289,$B305&lt;&gt;$B290,$B306&lt;&gt;$B291,$B307&lt;&gt;$B292,$B308&lt;&gt;$B293,$B309&lt;&gt;$B294,$B310&lt;&gt;$B295,$B311&lt;&gt;$B296,$B312&lt;&gt;$B297,$B313&lt;&gt;$B298),IF($B309&lt;&gt;$B294,N294/INDEX($C288:$AJ298,7,MATCH(IF('Data-solution'!$A$3="Maximize",MAX($C299:$AI299),MIN($C299:$AI299)),$C299:$AI299,0)),N294-INDEX($C288:$AJ298,7,MATCH(IF('Data-solution'!$A$3="Maximize",MAX($C299:$AI299),MIN($C299:$AI299)),$C299:$AI299,0))*INDEX(N288:$AJ298,MATCH(MIN($AK288:$AK298),$AK288:$AK298,0),1)/INDEX($C288:$AJ298,MATCH(MIN($AK288:$AK298),$AK288:$AK298,0),MATCH(IF('Data-solution'!$A$3="Maximize",MAX($C299:$AI299),MIN($C299:$AI299)),$C299:$AI299,0))),N294)</f>
        <v>0</v>
      </c>
      <c r="O309" s="1">
        <f>IF(OR($B303&lt;&gt;$B288,$B304&lt;&gt;$B289,$B305&lt;&gt;$B290,$B306&lt;&gt;$B291,$B307&lt;&gt;$B292,$B308&lt;&gt;$B293,$B309&lt;&gt;$B294,$B310&lt;&gt;$B295,$B311&lt;&gt;$B296,$B312&lt;&gt;$B297,$B313&lt;&gt;$B298),IF($B309&lt;&gt;$B294,O294/INDEX($C288:$AJ298,7,MATCH(IF('Data-solution'!$A$3="Maximize",MAX($C299:$AI299),MIN($C299:$AI299)),$C299:$AI299,0)),O294-INDEX($C288:$AJ298,7,MATCH(IF('Data-solution'!$A$3="Maximize",MAX($C299:$AI299),MIN($C299:$AI299)),$C299:$AI299,0))*INDEX(O288:$AJ298,MATCH(MIN($AK288:$AK298),$AK288:$AK298,0),1)/INDEX($C288:$AJ298,MATCH(MIN($AK288:$AK298),$AK288:$AK298,0),MATCH(IF('Data-solution'!$A$3="Maximize",MAX($C299:$AI299),MIN($C299:$AI299)),$C299:$AI299,0))),O294)</f>
        <v>0</v>
      </c>
      <c r="P309" s="1">
        <f>IF(OR($B303&lt;&gt;$B288,$B304&lt;&gt;$B289,$B305&lt;&gt;$B290,$B306&lt;&gt;$B291,$B307&lt;&gt;$B292,$B308&lt;&gt;$B293,$B309&lt;&gt;$B294,$B310&lt;&gt;$B295,$B311&lt;&gt;$B296,$B312&lt;&gt;$B297,$B313&lt;&gt;$B298),IF($B309&lt;&gt;$B294,P294/INDEX($C288:$AJ298,7,MATCH(IF('Data-solution'!$A$3="Maximize",MAX($C299:$AI299),MIN($C299:$AI299)),$C299:$AI299,0)),P294-INDEX($C288:$AJ298,7,MATCH(IF('Data-solution'!$A$3="Maximize",MAX($C299:$AI299),MIN($C299:$AI299)),$C299:$AI299,0))*INDEX(P288:$AJ298,MATCH(MIN($AK288:$AK298),$AK288:$AK298,0),1)/INDEX($C288:$AJ298,MATCH(MIN($AK288:$AK298),$AK288:$AK298,0),MATCH(IF('Data-solution'!$A$3="Maximize",MAX($C299:$AI299),MIN($C299:$AI299)),$C299:$AI299,0))),P294)</f>
        <v>0</v>
      </c>
      <c r="Q309" s="1">
        <f>IF(OR($B303&lt;&gt;$B288,$B304&lt;&gt;$B289,$B305&lt;&gt;$B290,$B306&lt;&gt;$B291,$B307&lt;&gt;$B292,$B308&lt;&gt;$B293,$B309&lt;&gt;$B294,$B310&lt;&gt;$B295,$B311&lt;&gt;$B296,$B312&lt;&gt;$B297,$B313&lt;&gt;$B298),IF($B309&lt;&gt;$B294,Q294/INDEX($C288:$AJ298,7,MATCH(IF('Data-solution'!$A$3="Maximize",MAX($C299:$AI299),MIN($C299:$AI299)),$C299:$AI299,0)),Q294-INDEX($C288:$AJ298,7,MATCH(IF('Data-solution'!$A$3="Maximize",MAX($C299:$AI299),MIN($C299:$AI299)),$C299:$AI299,0))*INDEX(Q288:$AJ298,MATCH(MIN($AK288:$AK298),$AK288:$AK298,0),1)/INDEX($C288:$AJ298,MATCH(MIN($AK288:$AK298),$AK288:$AK298,0),MATCH(IF('Data-solution'!$A$3="Maximize",MAX($C299:$AI299),MIN($C299:$AI299)),$C299:$AI299,0))),Q294)</f>
        <v>0</v>
      </c>
      <c r="R309" s="1">
        <f>IF(OR($B303&lt;&gt;$B288,$B304&lt;&gt;$B289,$B305&lt;&gt;$B290,$B306&lt;&gt;$B291,$B307&lt;&gt;$B292,$B308&lt;&gt;$B293,$B309&lt;&gt;$B294,$B310&lt;&gt;$B295,$B311&lt;&gt;$B296,$B312&lt;&gt;$B297,$B313&lt;&gt;$B298),IF($B309&lt;&gt;$B294,R294/INDEX($C288:$AJ298,7,MATCH(IF('Data-solution'!$A$3="Maximize",MAX($C299:$AI299),MIN($C299:$AI299)),$C299:$AI299,0)),R294-INDEX($C288:$AJ298,7,MATCH(IF('Data-solution'!$A$3="Maximize",MAX($C299:$AI299),MIN($C299:$AI299)),$C299:$AI299,0))*INDEX(R288:$AJ298,MATCH(MIN($AK288:$AK298),$AK288:$AK298,0),1)/INDEX($C288:$AJ298,MATCH(MIN($AK288:$AK298),$AK288:$AK298,0),MATCH(IF('Data-solution'!$A$3="Maximize",MAX($C299:$AI299),MIN($C299:$AI299)),$C299:$AI299,0))),R294)</f>
        <v>0</v>
      </c>
      <c r="S309" s="1">
        <f>IF(OR($B303&lt;&gt;$B288,$B304&lt;&gt;$B289,$B305&lt;&gt;$B290,$B306&lt;&gt;$B291,$B307&lt;&gt;$B292,$B308&lt;&gt;$B293,$B309&lt;&gt;$B294,$B310&lt;&gt;$B295,$B311&lt;&gt;$B296,$B312&lt;&gt;$B297,$B313&lt;&gt;$B298),IF($B309&lt;&gt;$B294,S294/INDEX($C288:$AJ298,7,MATCH(IF('Data-solution'!$A$3="Maximize",MAX($C299:$AI299),MIN($C299:$AI299)),$C299:$AI299,0)),S294-INDEX($C288:$AJ298,7,MATCH(IF('Data-solution'!$A$3="Maximize",MAX($C299:$AI299),MIN($C299:$AI299)),$C299:$AI299,0))*INDEX(S288:$AJ298,MATCH(MIN($AK288:$AK298),$AK288:$AK298,0),1)/INDEX($C288:$AJ298,MATCH(MIN($AK288:$AK298),$AK288:$AK298,0),MATCH(IF('Data-solution'!$A$3="Maximize",MAX($C299:$AI299),MIN($C299:$AI299)),$C299:$AI299,0))),S294)</f>
        <v>0</v>
      </c>
      <c r="T309" s="1">
        <f>IF(OR($B303&lt;&gt;$B288,$B304&lt;&gt;$B289,$B305&lt;&gt;$B290,$B306&lt;&gt;$B291,$B307&lt;&gt;$B292,$B308&lt;&gt;$B293,$B309&lt;&gt;$B294,$B310&lt;&gt;$B295,$B311&lt;&gt;$B296,$B312&lt;&gt;$B297,$B313&lt;&gt;$B298),IF($B309&lt;&gt;$B294,T294/INDEX($C288:$AJ298,7,MATCH(IF('Data-solution'!$A$3="Maximize",MAX($C299:$AI299),MIN($C299:$AI299)),$C299:$AI299,0)),T294-INDEX($C288:$AJ298,7,MATCH(IF('Data-solution'!$A$3="Maximize",MAX($C299:$AI299),MIN($C299:$AI299)),$C299:$AI299,0))*INDEX(T288:$AJ298,MATCH(MIN($AK288:$AK298),$AK288:$AK298,0),1)/INDEX($C288:$AJ298,MATCH(MIN($AK288:$AK298),$AK288:$AK298,0),MATCH(IF('Data-solution'!$A$3="Maximize",MAX($C299:$AI299),MIN($C299:$AI299)),$C299:$AI299,0))),T294)</f>
        <v>1</v>
      </c>
      <c r="U309" s="1">
        <f>IF(OR($B303&lt;&gt;$B288,$B304&lt;&gt;$B289,$B305&lt;&gt;$B290,$B306&lt;&gt;$B291,$B307&lt;&gt;$B292,$B308&lt;&gt;$B293,$B309&lt;&gt;$B294,$B310&lt;&gt;$B295,$B311&lt;&gt;$B296,$B312&lt;&gt;$B297,$B313&lt;&gt;$B298),IF($B309&lt;&gt;$B294,U294/INDEX($C288:$AJ298,7,MATCH(IF('Data-solution'!$A$3="Maximize",MAX($C299:$AI299),MIN($C299:$AI299)),$C299:$AI299,0)),U294-INDEX($C288:$AJ298,7,MATCH(IF('Data-solution'!$A$3="Maximize",MAX($C299:$AI299),MIN($C299:$AI299)),$C299:$AI299,0))*INDEX(U288:$AJ298,MATCH(MIN($AK288:$AK298),$AK288:$AK298,0),1)/INDEX($C288:$AJ298,MATCH(MIN($AK288:$AK298),$AK288:$AK298,0),MATCH(IF('Data-solution'!$A$3="Maximize",MAX($C299:$AI299),MIN($C299:$AI299)),$C299:$AI299,0))),U294)</f>
        <v>0</v>
      </c>
      <c r="V309" s="1">
        <f>IF(OR($B303&lt;&gt;$B288,$B304&lt;&gt;$B289,$B305&lt;&gt;$B290,$B306&lt;&gt;$B291,$B307&lt;&gt;$B292,$B308&lt;&gt;$B293,$B309&lt;&gt;$B294,$B310&lt;&gt;$B295,$B311&lt;&gt;$B296,$B312&lt;&gt;$B297,$B313&lt;&gt;$B298),IF($B309&lt;&gt;$B294,V294/INDEX($C288:$AJ298,7,MATCH(IF('Data-solution'!$A$3="Maximize",MAX($C299:$AI299),MIN($C299:$AI299)),$C299:$AI299,0)),V294-INDEX($C288:$AJ298,7,MATCH(IF('Data-solution'!$A$3="Maximize",MAX($C299:$AI299),MIN($C299:$AI299)),$C299:$AI299,0))*INDEX(V288:$AJ298,MATCH(MIN($AK288:$AK298),$AK288:$AK298,0),1)/INDEX($C288:$AJ298,MATCH(MIN($AK288:$AK298),$AK288:$AK298,0),MATCH(IF('Data-solution'!$A$3="Maximize",MAX($C299:$AI299),MIN($C299:$AI299)),$C299:$AI299,0))),V294)</f>
        <v>0</v>
      </c>
      <c r="W309" s="1">
        <f>IF(OR($B303&lt;&gt;$B288,$B304&lt;&gt;$B289,$B305&lt;&gt;$B290,$B306&lt;&gt;$B291,$B307&lt;&gt;$B292,$B308&lt;&gt;$B293,$B309&lt;&gt;$B294,$B310&lt;&gt;$B295,$B311&lt;&gt;$B296,$B312&lt;&gt;$B297,$B313&lt;&gt;$B298),IF($B309&lt;&gt;$B294,W294/INDEX($C288:$AJ298,7,MATCH(IF('Data-solution'!$A$3="Maximize",MAX($C299:$AI299),MIN($C299:$AI299)),$C299:$AI299,0)),W294-INDEX($C288:$AJ298,7,MATCH(IF('Data-solution'!$A$3="Maximize",MAX($C299:$AI299),MIN($C299:$AI299)),$C299:$AI299,0))*INDEX(W288:$AJ298,MATCH(MIN($AK288:$AK298),$AK288:$AK298,0),1)/INDEX($C288:$AJ298,MATCH(MIN($AK288:$AK298),$AK288:$AK298,0),MATCH(IF('Data-solution'!$A$3="Maximize",MAX($C299:$AI299),MIN($C299:$AI299)),$C299:$AI299,0))),W294)</f>
        <v>0</v>
      </c>
      <c r="X309" s="1">
        <f>IF(OR($B303&lt;&gt;$B288,$B304&lt;&gt;$B289,$B305&lt;&gt;$B290,$B306&lt;&gt;$B291,$B307&lt;&gt;$B292,$B308&lt;&gt;$B293,$B309&lt;&gt;$B294,$B310&lt;&gt;$B295,$B311&lt;&gt;$B296,$B312&lt;&gt;$B297,$B313&lt;&gt;$B298),IF($B309&lt;&gt;$B294,X294/INDEX($C288:$AJ298,7,MATCH(IF('Data-solution'!$A$3="Maximize",MAX($C299:$AI299),MIN($C299:$AI299)),$C299:$AI299,0)),X294-INDEX($C288:$AJ298,7,MATCH(IF('Data-solution'!$A$3="Maximize",MAX($C299:$AI299),MIN($C299:$AI299)),$C299:$AI299,0))*INDEX(X288:$AJ298,MATCH(MIN($AK288:$AK298),$AK288:$AK298,0),1)/INDEX($C288:$AJ298,MATCH(MIN($AK288:$AK298),$AK288:$AK298,0),MATCH(IF('Data-solution'!$A$3="Maximize",MAX($C299:$AI299),MIN($C299:$AI299)),$C299:$AI299,0))),X294)</f>
        <v>0</v>
      </c>
      <c r="Y309" s="1">
        <f>IF(OR($B303&lt;&gt;$B288,$B304&lt;&gt;$B289,$B305&lt;&gt;$B290,$B306&lt;&gt;$B291,$B307&lt;&gt;$B292,$B308&lt;&gt;$B293,$B309&lt;&gt;$B294,$B310&lt;&gt;$B295,$B311&lt;&gt;$B296,$B312&lt;&gt;$B297,$B313&lt;&gt;$B298),IF($B309&lt;&gt;$B294,Y294/INDEX($C288:$AJ298,7,MATCH(IF('Data-solution'!$A$3="Maximize",MAX($C299:$AI299),MIN($C299:$AI299)),$C299:$AI299,0)),Y294-INDEX($C288:$AJ298,7,MATCH(IF('Data-solution'!$A$3="Maximize",MAX($C299:$AI299),MIN($C299:$AI299)),$C299:$AI299,0))*INDEX(Y288:$AJ298,MATCH(MIN($AK288:$AK298),$AK288:$AK298,0),1)/INDEX($C288:$AJ298,MATCH(MIN($AK288:$AK298),$AK288:$AK298,0),MATCH(IF('Data-solution'!$A$3="Maximize",MAX($C299:$AI299),MIN($C299:$AI299)),$C299:$AI299,0))),Y294)</f>
        <v>0</v>
      </c>
      <c r="Z309" s="1">
        <f>IF(OR($B303&lt;&gt;$B288,$B304&lt;&gt;$B289,$B305&lt;&gt;$B290,$B306&lt;&gt;$B291,$B307&lt;&gt;$B292,$B308&lt;&gt;$B293,$B309&lt;&gt;$B294,$B310&lt;&gt;$B295,$B311&lt;&gt;$B296,$B312&lt;&gt;$B297,$B313&lt;&gt;$B298),IF($B309&lt;&gt;$B294,Z294/INDEX($C288:$AJ298,7,MATCH(IF('Data-solution'!$A$3="Maximize",MAX($C299:$AI299),MIN($C299:$AI299)),$C299:$AI299,0)),Z294-INDEX($C288:$AJ298,7,MATCH(IF('Data-solution'!$A$3="Maximize",MAX($C299:$AI299),MIN($C299:$AI299)),$C299:$AI299,0))*INDEX(Z288:$AJ298,MATCH(MIN($AK288:$AK298),$AK288:$AK298,0),1)/INDEX($C288:$AJ298,MATCH(MIN($AK288:$AK298),$AK288:$AK298,0),MATCH(IF('Data-solution'!$A$3="Maximize",MAX($C299:$AI299),MIN($C299:$AI299)),$C299:$AI299,0))),Z294)</f>
        <v>0</v>
      </c>
      <c r="AA309" s="1">
        <f>IF(OR($B303&lt;&gt;$B288,$B304&lt;&gt;$B289,$B305&lt;&gt;$B290,$B306&lt;&gt;$B291,$B307&lt;&gt;$B292,$B308&lt;&gt;$B293,$B309&lt;&gt;$B294,$B310&lt;&gt;$B295,$B311&lt;&gt;$B296,$B312&lt;&gt;$B297,$B313&lt;&gt;$B298),IF($B309&lt;&gt;$B294,AA294/INDEX($C288:$AJ298,7,MATCH(IF('Data-solution'!$A$3="Maximize",MAX($C299:$AI299),MIN($C299:$AI299)),$C299:$AI299,0)),AA294-INDEX($C288:$AJ298,7,MATCH(IF('Data-solution'!$A$3="Maximize",MAX($C299:$AI299),MIN($C299:$AI299)),$C299:$AI299,0))*INDEX(AA288:$AJ298,MATCH(MIN($AK288:$AK298),$AK288:$AK298,0),1)/INDEX($C288:$AJ298,MATCH(MIN($AK288:$AK298),$AK288:$AK298,0),MATCH(IF('Data-solution'!$A$3="Maximize",MAX($C299:$AI299),MIN($C299:$AI299)),$C299:$AI299,0))),AA294)</f>
        <v>0</v>
      </c>
      <c r="AB309" s="1">
        <f>IF(OR($B303&lt;&gt;$B288,$B304&lt;&gt;$B289,$B305&lt;&gt;$B290,$B306&lt;&gt;$B291,$B307&lt;&gt;$B292,$B308&lt;&gt;$B293,$B309&lt;&gt;$B294,$B310&lt;&gt;$B295,$B311&lt;&gt;$B296,$B312&lt;&gt;$B297,$B313&lt;&gt;$B298),IF($B309&lt;&gt;$B294,AB294/INDEX($C288:$AJ298,7,MATCH(IF('Data-solution'!$A$3="Maximize",MAX($C299:$AI299),MIN($C299:$AI299)),$C299:$AI299,0)),AB294-INDEX($C288:$AJ298,7,MATCH(IF('Data-solution'!$A$3="Maximize",MAX($C299:$AI299),MIN($C299:$AI299)),$C299:$AI299,0))*INDEX(AB288:$AJ298,MATCH(MIN($AK288:$AK298),$AK288:$AK298,0),1)/INDEX($C288:$AJ298,MATCH(MIN($AK288:$AK298),$AK288:$AK298,0),MATCH(IF('Data-solution'!$A$3="Maximize",MAX($C299:$AI299),MIN($C299:$AI299)),$C299:$AI299,0))),AB294)</f>
        <v>0</v>
      </c>
      <c r="AC309" s="1">
        <f>IF(OR($B303&lt;&gt;$B288,$B304&lt;&gt;$B289,$B305&lt;&gt;$B290,$B306&lt;&gt;$B291,$B307&lt;&gt;$B292,$B308&lt;&gt;$B293,$B309&lt;&gt;$B294,$B310&lt;&gt;$B295,$B311&lt;&gt;$B296,$B312&lt;&gt;$B297,$B313&lt;&gt;$B298),IF($B309&lt;&gt;$B294,AC294/INDEX($C288:$AJ298,7,MATCH(IF('Data-solution'!$A$3="Maximize",MAX($C299:$AI299),MIN($C299:$AI299)),$C299:$AI299,0)),AC294-INDEX($C288:$AJ298,7,MATCH(IF('Data-solution'!$A$3="Maximize",MAX($C299:$AI299),MIN($C299:$AI299)),$C299:$AI299,0))*INDEX(AC288:$AJ298,MATCH(MIN($AK288:$AK298),$AK288:$AK298,0),1)/INDEX($C288:$AJ298,MATCH(MIN($AK288:$AK298),$AK288:$AK298,0),MATCH(IF('Data-solution'!$A$3="Maximize",MAX($C299:$AI299),MIN($C299:$AI299)),$C299:$AI299,0))),AC294)</f>
        <v>0</v>
      </c>
      <c r="AD309" s="1">
        <f>IF(OR($B303&lt;&gt;$B288,$B304&lt;&gt;$B289,$B305&lt;&gt;$B290,$B306&lt;&gt;$B291,$B307&lt;&gt;$B292,$B308&lt;&gt;$B293,$B309&lt;&gt;$B294,$B310&lt;&gt;$B295,$B311&lt;&gt;$B296,$B312&lt;&gt;$B297,$B313&lt;&gt;$B298),IF($B309&lt;&gt;$B294,AD294/INDEX($C288:$AJ298,7,MATCH(IF('Data-solution'!$A$3="Maximize",MAX($C299:$AI299),MIN($C299:$AI299)),$C299:$AI299,0)),AD294-INDEX($C288:$AJ298,7,MATCH(IF('Data-solution'!$A$3="Maximize",MAX($C299:$AI299),MIN($C299:$AI299)),$C299:$AI299,0))*INDEX(AD288:$AJ298,MATCH(MIN($AK288:$AK298),$AK288:$AK298,0),1)/INDEX($C288:$AJ298,MATCH(MIN($AK288:$AK298),$AK288:$AK298,0),MATCH(IF('Data-solution'!$A$3="Maximize",MAX($C299:$AI299),MIN($C299:$AI299)),$C299:$AI299,0))),AD294)</f>
        <v>0</v>
      </c>
      <c r="AE309" s="1">
        <f>IF(OR($B303&lt;&gt;$B288,$B304&lt;&gt;$B289,$B305&lt;&gt;$B290,$B306&lt;&gt;$B291,$B307&lt;&gt;$B292,$B308&lt;&gt;$B293,$B309&lt;&gt;$B294,$B310&lt;&gt;$B295,$B311&lt;&gt;$B296,$B312&lt;&gt;$B297,$B313&lt;&gt;$B298),IF($B309&lt;&gt;$B294,AE294/INDEX($C288:$AJ298,7,MATCH(IF('Data-solution'!$A$3="Maximize",MAX($C299:$AI299),MIN($C299:$AI299)),$C299:$AI299,0)),AE294-INDEX($C288:$AJ298,7,MATCH(IF('Data-solution'!$A$3="Maximize",MAX($C299:$AI299),MIN($C299:$AI299)),$C299:$AI299,0))*INDEX(AE288:$AJ298,MATCH(MIN($AK288:$AK298),$AK288:$AK298,0),1)/INDEX($C288:$AJ298,MATCH(MIN($AK288:$AK298),$AK288:$AK298,0),MATCH(IF('Data-solution'!$A$3="Maximize",MAX($C299:$AI299),MIN($C299:$AI299)),$C299:$AI299,0))),AE294)</f>
        <v>1</v>
      </c>
      <c r="AF309" s="1">
        <f>IF(OR($B303&lt;&gt;$B288,$B304&lt;&gt;$B289,$B305&lt;&gt;$B290,$B306&lt;&gt;$B291,$B307&lt;&gt;$B292,$B308&lt;&gt;$B293,$B309&lt;&gt;$B294,$B310&lt;&gt;$B295,$B311&lt;&gt;$B296,$B312&lt;&gt;$B297,$B313&lt;&gt;$B298),IF($B309&lt;&gt;$B294,AF294/INDEX($C288:$AJ298,7,MATCH(IF('Data-solution'!$A$3="Maximize",MAX($C299:$AI299),MIN($C299:$AI299)),$C299:$AI299,0)),AF294-INDEX($C288:$AJ298,7,MATCH(IF('Data-solution'!$A$3="Maximize",MAX($C299:$AI299),MIN($C299:$AI299)),$C299:$AI299,0))*INDEX(AF288:$AJ298,MATCH(MIN($AK288:$AK298),$AK288:$AK298,0),1)/INDEX($C288:$AJ298,MATCH(MIN($AK288:$AK298),$AK288:$AK298,0),MATCH(IF('Data-solution'!$A$3="Maximize",MAX($C299:$AI299),MIN($C299:$AI299)),$C299:$AI299,0))),AF294)</f>
        <v>0</v>
      </c>
      <c r="AG309" s="1">
        <f>IF(OR($B303&lt;&gt;$B288,$B304&lt;&gt;$B289,$B305&lt;&gt;$B290,$B306&lt;&gt;$B291,$B307&lt;&gt;$B292,$B308&lt;&gt;$B293,$B309&lt;&gt;$B294,$B310&lt;&gt;$B295,$B311&lt;&gt;$B296,$B312&lt;&gt;$B297,$B313&lt;&gt;$B298),IF($B309&lt;&gt;$B294,AG294/INDEX($C288:$AJ298,7,MATCH(IF('Data-solution'!$A$3="Maximize",MAX($C299:$AI299),MIN($C299:$AI299)),$C299:$AI299,0)),AG294-INDEX($C288:$AJ298,7,MATCH(IF('Data-solution'!$A$3="Maximize",MAX($C299:$AI299),MIN($C299:$AI299)),$C299:$AI299,0))*INDEX(AG288:$AJ298,MATCH(MIN($AK288:$AK298),$AK288:$AK298,0),1)/INDEX($C288:$AJ298,MATCH(MIN($AK288:$AK298),$AK288:$AK298,0),MATCH(IF('Data-solution'!$A$3="Maximize",MAX($C299:$AI299),MIN($C299:$AI299)),$C299:$AI299,0))),AG294)</f>
        <v>0</v>
      </c>
      <c r="AH309" s="1">
        <f>IF(OR($B303&lt;&gt;$B288,$B304&lt;&gt;$B289,$B305&lt;&gt;$B290,$B306&lt;&gt;$B291,$B307&lt;&gt;$B292,$B308&lt;&gt;$B293,$B309&lt;&gt;$B294,$B310&lt;&gt;$B295,$B311&lt;&gt;$B296,$B312&lt;&gt;$B297,$B313&lt;&gt;$B298),IF($B309&lt;&gt;$B294,AH294/INDEX($C288:$AJ298,7,MATCH(IF('Data-solution'!$A$3="Maximize",MAX($C299:$AI299),MIN($C299:$AI299)),$C299:$AI299,0)),AH294-INDEX($C288:$AJ298,7,MATCH(IF('Data-solution'!$A$3="Maximize",MAX($C299:$AI299),MIN($C299:$AI299)),$C299:$AI299,0))*INDEX(AH288:$AJ298,MATCH(MIN($AK288:$AK298),$AK288:$AK298,0),1)/INDEX($C288:$AJ298,MATCH(MIN($AK288:$AK298),$AK288:$AK298,0),MATCH(IF('Data-solution'!$A$3="Maximize",MAX($C299:$AI299),MIN($C299:$AI299)),$C299:$AI299,0))),AH294)</f>
        <v>0</v>
      </c>
      <c r="AI309" s="1">
        <f>IF(OR($B303&lt;&gt;$B288,$B304&lt;&gt;$B289,$B305&lt;&gt;$B290,$B306&lt;&gt;$B291,$B307&lt;&gt;$B292,$B308&lt;&gt;$B293,$B309&lt;&gt;$B294,$B310&lt;&gt;$B295,$B311&lt;&gt;$B296,$B312&lt;&gt;$B297,$B313&lt;&gt;$B298),IF($B309&lt;&gt;$B294,AI294/INDEX($C288:$AJ298,7,MATCH(IF('Data-solution'!$A$3="Maximize",MAX($C299:$AI299),MIN($C299:$AI299)),$C299:$AI299,0)),AI294-INDEX($C288:$AJ298,7,MATCH(IF('Data-solution'!$A$3="Maximize",MAX($C299:$AI299),MIN($C299:$AI299)),$C299:$AI299,0))*INDEX(AI288:$AJ298,MATCH(MIN($AK288:$AK298),$AK288:$AK298,0),1)/INDEX($C288:$AJ298,MATCH(MIN($AK288:$AK298),$AK288:$AK298,0),MATCH(IF('Data-solution'!$A$3="Maximize",MAX($C299:$AI299),MIN($C299:$AI299)),$C299:$AI299,0))),AI294)</f>
        <v>0</v>
      </c>
      <c r="AJ309" s="1">
        <f>IF(OR($B303&lt;&gt;$B288,$B304&lt;&gt;$B289,$B305&lt;&gt;$B290,$B306&lt;&gt;$B291,$B307&lt;&gt;$B292,$B308&lt;&gt;$B293,$B309&lt;&gt;$B294,$B310&lt;&gt;$B295,$B311&lt;&gt;$B296,$B312&lt;&gt;$B297,$B313&lt;&gt;$B298),IF($B309&lt;&gt;$B294,AJ294/INDEX($C288:$AJ298,7,MATCH(IF('Data-solution'!$A$3="Maximize",MAX($C299:$AI299),MIN($C299:$AI299)),$C299:$AI299,0)),AJ294-INDEX($C288:$AJ298,7,MATCH(IF('Data-solution'!$A$3="Maximize",MAX($C299:$AI299),MIN($C299:$AI299)),$C299:$AI299,0))*INDEX(AJ288:$AJ298,MATCH(MIN($AK288:$AK298),$AK288:$AK298,0),1)/INDEX($C288:$AJ298,MATCH(MIN($AK288:$AK298),$AK288:$AK298,0),MATCH(IF('Data-solution'!$A$3="Maximize",MAX($C299:$AI299),MIN($C299:$AI299)),$C299:$AI299,0))),AJ294)</f>
        <v>0</v>
      </c>
      <c r="AK309" s="1" t="str">
        <f>IF(INDEX(C309:X309,1,MATCH(IF('Data-solution'!A$3="Maximize",MAX(C314:X314),MIN(C314:X314)),C314:X314,0))&gt;0,AJ309/INDEX(C309:X309,1,MATCH(IF('Data-solution'!A$3="Maximize",MAX(C314:X314),MIN(C314:X314)),C314:X314,0))," ")</f>
        <v xml:space="preserve"> </v>
      </c>
    </row>
    <row r="310" spans="1:37" ht="18" customHeight="1" x14ac:dyDescent="0.2">
      <c r="A310" s="1">
        <f t="shared" ref="A310" si="279">INDEX(C301:AI301,1,MATCH(B310,C302:AI302,0))</f>
        <v>0</v>
      </c>
      <c r="B310" s="2" t="str">
        <f>IF(AND('Data-solution'!A$3="Maximize",COUNTIF(C299:X299,"&gt;"&amp;0)&gt;0,AK295=MIN(AK288:AK298),COUNTIF(B303:B309,INDEX(C287:X287,1,MATCH(MAX(C299:X299),C299:X299,0)))=0),INDEX(C287:X287,1,MATCH(MAX(C299:X299),C299:X299,0)),IF(AND('Data-solution'!A$3="Minimize",COUNTIF(C299:X299,"&lt;"&amp;0)&gt;0,AK295=MIN(AK288:AK298),COUNTIF(B303:B309,INDEX(C287:X287,1,MATCH(MIN(C299:X299),C299:X299,0)))=0),INDEX(C287:X287,1,MATCH(MIN(C299:X299),C299:X299,0)),B295))</f>
        <v>S8</v>
      </c>
      <c r="C310" s="1">
        <f>IF(OR($B303&lt;&gt;$B288,$B304&lt;&gt;$B289,$B305&lt;&gt;$B290,$B306&lt;&gt;$B291,$B307&lt;&gt;$B292,$B308&lt;&gt;$B293,$B309&lt;&gt;$B294,$B310&lt;&gt;$B295,$B311&lt;&gt;$B296,$B312&lt;&gt;$B297,$B313&lt;&gt;$B298),IF($B310&lt;&gt;$B295,C295/INDEX($C288:$AJ298,8,MATCH(IF('Data-solution'!$A$3="Maximize",MAX($C299:$AI299),MIN($C299:$AI299)),$C299:$AI299,0)),C295-INDEX($C288:$AJ298,8,MATCH(IF('Data-solution'!$A$3="Maximize",MAX($C299:$AI299),MIN($C299:$AI299)),$C299:$AI299,0))*INDEX(C288:$AJ298,MATCH(MIN($AK288:$AK298),$AK288:$AK298,0),1)/INDEX($C288:$AJ298,MATCH(MIN($AK288:$AK298),$AK288:$AK298,0),MATCH(IF('Data-solution'!$A$3="Maximize",MAX($C299:$AI299),MIN($C299:$AI299)),$C299:$AI299,0))),C295)</f>
        <v>0</v>
      </c>
      <c r="D310" s="1">
        <f>IF(OR($B303&lt;&gt;$B288,$B304&lt;&gt;$B289,$B305&lt;&gt;$B290,$B306&lt;&gt;$B291,$B307&lt;&gt;$B292,$B308&lt;&gt;$B293,$B309&lt;&gt;$B294,$B310&lt;&gt;$B295,$B311&lt;&gt;$B296,$B312&lt;&gt;$B297,$B313&lt;&gt;$B298),IF($B310&lt;&gt;$B295,D295/INDEX($C288:$AJ298,8,MATCH(IF('Data-solution'!$A$3="Maximize",MAX($C299:$AI299),MIN($C299:$AI299)),$C299:$AI299,0)),D295-INDEX($C288:$AJ298,8,MATCH(IF('Data-solution'!$A$3="Maximize",MAX($C299:$AI299),MIN($C299:$AI299)),$C299:$AI299,0))*INDEX(D288:$AJ298,MATCH(MIN($AK288:$AK298),$AK288:$AK298,0),1)/INDEX($C288:$AJ298,MATCH(MIN($AK288:$AK298),$AK288:$AK298,0),MATCH(IF('Data-solution'!$A$3="Maximize",MAX($C299:$AI299),MIN($C299:$AI299)),$C299:$AI299,0))),D295)</f>
        <v>0</v>
      </c>
      <c r="E310" s="1">
        <f>IF(OR($B303&lt;&gt;$B288,$B304&lt;&gt;$B289,$B305&lt;&gt;$B290,$B306&lt;&gt;$B291,$B307&lt;&gt;$B292,$B308&lt;&gt;$B293,$B309&lt;&gt;$B294,$B310&lt;&gt;$B295,$B311&lt;&gt;$B296,$B312&lt;&gt;$B297,$B313&lt;&gt;$B298),IF($B310&lt;&gt;$B295,E295/INDEX($C288:$AJ298,8,MATCH(IF('Data-solution'!$A$3="Maximize",MAX($C299:$AI299),MIN($C299:$AI299)),$C299:$AI299,0)),E295-INDEX($C288:$AJ298,8,MATCH(IF('Data-solution'!$A$3="Maximize",MAX($C299:$AI299),MIN($C299:$AI299)),$C299:$AI299,0))*INDEX(E288:$AJ298,MATCH(MIN($AK288:$AK298),$AK288:$AK298,0),1)/INDEX($C288:$AJ298,MATCH(MIN($AK288:$AK298),$AK288:$AK298,0),MATCH(IF('Data-solution'!$A$3="Maximize",MAX($C299:$AI299),MIN($C299:$AI299)),$C299:$AI299,0))),E295)</f>
        <v>0</v>
      </c>
      <c r="F310" s="1">
        <f>IF(OR($B303&lt;&gt;$B288,$B304&lt;&gt;$B289,$B305&lt;&gt;$B290,$B306&lt;&gt;$B291,$B307&lt;&gt;$B292,$B308&lt;&gt;$B293,$B309&lt;&gt;$B294,$B310&lt;&gt;$B295,$B311&lt;&gt;$B296,$B312&lt;&gt;$B297,$B313&lt;&gt;$B298),IF($B310&lt;&gt;$B295,F295/INDEX($C288:$AJ298,8,MATCH(IF('Data-solution'!$A$3="Maximize",MAX($C299:$AI299),MIN($C299:$AI299)),$C299:$AI299,0)),F295-INDEX($C288:$AJ298,8,MATCH(IF('Data-solution'!$A$3="Maximize",MAX($C299:$AI299),MIN($C299:$AI299)),$C299:$AI299,0))*INDEX(F288:$AJ298,MATCH(MIN($AK288:$AK298),$AK288:$AK298,0),1)/INDEX($C288:$AJ298,MATCH(MIN($AK288:$AK298),$AK288:$AK298,0),MATCH(IF('Data-solution'!$A$3="Maximize",MAX($C299:$AI299),MIN($C299:$AI299)),$C299:$AI299,0))),F295)</f>
        <v>0</v>
      </c>
      <c r="G310" s="1">
        <f>IF(OR($B303&lt;&gt;$B288,$B304&lt;&gt;$B289,$B305&lt;&gt;$B290,$B306&lt;&gt;$B291,$B307&lt;&gt;$B292,$B308&lt;&gt;$B293,$B309&lt;&gt;$B294,$B310&lt;&gt;$B295,$B311&lt;&gt;$B296,$B312&lt;&gt;$B297,$B313&lt;&gt;$B298),IF($B310&lt;&gt;$B295,G295/INDEX($C288:$AJ298,8,MATCH(IF('Data-solution'!$A$3="Maximize",MAX($C299:$AI299),MIN($C299:$AI299)),$C299:$AI299,0)),G295-INDEX($C288:$AJ298,8,MATCH(IF('Data-solution'!$A$3="Maximize",MAX($C299:$AI299),MIN($C299:$AI299)),$C299:$AI299,0))*INDEX(G288:$AJ298,MATCH(MIN($AK288:$AK298),$AK288:$AK298,0),1)/INDEX($C288:$AJ298,MATCH(MIN($AK288:$AK298),$AK288:$AK298,0),MATCH(IF('Data-solution'!$A$3="Maximize",MAX($C299:$AI299),MIN($C299:$AI299)),$C299:$AI299,0))),G295)</f>
        <v>0</v>
      </c>
      <c r="H310" s="1">
        <f>IF(OR($B303&lt;&gt;$B288,$B304&lt;&gt;$B289,$B305&lt;&gt;$B290,$B306&lt;&gt;$B291,$B307&lt;&gt;$B292,$B308&lt;&gt;$B293,$B309&lt;&gt;$B294,$B310&lt;&gt;$B295,$B311&lt;&gt;$B296,$B312&lt;&gt;$B297,$B313&lt;&gt;$B298),IF($B310&lt;&gt;$B295,H295/INDEX($C288:$AJ298,8,MATCH(IF('Data-solution'!$A$3="Maximize",MAX($C299:$AI299),MIN($C299:$AI299)),$C299:$AI299,0)),H295-INDEX($C288:$AJ298,8,MATCH(IF('Data-solution'!$A$3="Maximize",MAX($C299:$AI299),MIN($C299:$AI299)),$C299:$AI299,0))*INDEX(H288:$AJ298,MATCH(MIN($AK288:$AK298),$AK288:$AK298,0),1)/INDEX($C288:$AJ298,MATCH(MIN($AK288:$AK298),$AK288:$AK298,0),MATCH(IF('Data-solution'!$A$3="Maximize",MAX($C299:$AI299),MIN($C299:$AI299)),$C299:$AI299,0))),H295)</f>
        <v>0</v>
      </c>
      <c r="I310" s="1">
        <f>IF(OR($B303&lt;&gt;$B288,$B304&lt;&gt;$B289,$B305&lt;&gt;$B290,$B306&lt;&gt;$B291,$B307&lt;&gt;$B292,$B308&lt;&gt;$B293,$B309&lt;&gt;$B294,$B310&lt;&gt;$B295,$B311&lt;&gt;$B296,$B312&lt;&gt;$B297,$B313&lt;&gt;$B298),IF($B310&lt;&gt;$B295,I295/INDEX($C288:$AJ298,8,MATCH(IF('Data-solution'!$A$3="Maximize",MAX($C299:$AI299),MIN($C299:$AI299)),$C299:$AI299,0)),I295-INDEX($C288:$AJ298,8,MATCH(IF('Data-solution'!$A$3="Maximize",MAX($C299:$AI299),MIN($C299:$AI299)),$C299:$AI299,0))*INDEX(I288:$AJ298,MATCH(MIN($AK288:$AK298),$AK288:$AK298,0),1)/INDEX($C288:$AJ298,MATCH(MIN($AK288:$AK298),$AK288:$AK298,0),MATCH(IF('Data-solution'!$A$3="Maximize",MAX($C299:$AI299),MIN($C299:$AI299)),$C299:$AI299,0))),I295)</f>
        <v>0</v>
      </c>
      <c r="J310" s="1">
        <f>IF(OR($B303&lt;&gt;$B288,$B304&lt;&gt;$B289,$B305&lt;&gt;$B290,$B306&lt;&gt;$B291,$B307&lt;&gt;$B292,$B308&lt;&gt;$B293,$B309&lt;&gt;$B294,$B310&lt;&gt;$B295,$B311&lt;&gt;$B296,$B312&lt;&gt;$B297,$B313&lt;&gt;$B298),IF($B310&lt;&gt;$B295,J295/INDEX($C288:$AJ298,8,MATCH(IF('Data-solution'!$A$3="Maximize",MAX($C299:$AI299),MIN($C299:$AI299)),$C299:$AI299,0)),J295-INDEX($C288:$AJ298,8,MATCH(IF('Data-solution'!$A$3="Maximize",MAX($C299:$AI299),MIN($C299:$AI299)),$C299:$AI299,0))*INDEX(J288:$AJ298,MATCH(MIN($AK288:$AK298),$AK288:$AK298,0),1)/INDEX($C288:$AJ298,MATCH(MIN($AK288:$AK298),$AK288:$AK298,0),MATCH(IF('Data-solution'!$A$3="Maximize",MAX($C299:$AI299),MIN($C299:$AI299)),$C299:$AI299,0))),J295)</f>
        <v>0</v>
      </c>
      <c r="K310" s="1">
        <f>IF(OR($B303&lt;&gt;$B288,$B304&lt;&gt;$B289,$B305&lt;&gt;$B290,$B306&lt;&gt;$B291,$B307&lt;&gt;$B292,$B308&lt;&gt;$B293,$B309&lt;&gt;$B294,$B310&lt;&gt;$B295,$B311&lt;&gt;$B296,$B312&lt;&gt;$B297,$B313&lt;&gt;$B298),IF($B310&lt;&gt;$B295,K295/INDEX($C288:$AJ298,8,MATCH(IF('Data-solution'!$A$3="Maximize",MAX($C299:$AI299),MIN($C299:$AI299)),$C299:$AI299,0)),K295-INDEX($C288:$AJ298,8,MATCH(IF('Data-solution'!$A$3="Maximize",MAX($C299:$AI299),MIN($C299:$AI299)),$C299:$AI299,0))*INDEX(K288:$AJ298,MATCH(MIN($AK288:$AK298),$AK288:$AK298,0),1)/INDEX($C288:$AJ298,MATCH(MIN($AK288:$AK298),$AK288:$AK298,0),MATCH(IF('Data-solution'!$A$3="Maximize",MAX($C299:$AI299),MIN($C299:$AI299)),$C299:$AI299,0))),K295)</f>
        <v>0</v>
      </c>
      <c r="L310" s="1">
        <f>IF(OR($B303&lt;&gt;$B288,$B304&lt;&gt;$B289,$B305&lt;&gt;$B290,$B306&lt;&gt;$B291,$B307&lt;&gt;$B292,$B308&lt;&gt;$B293,$B309&lt;&gt;$B294,$B310&lt;&gt;$B295,$B311&lt;&gt;$B296,$B312&lt;&gt;$B297,$B313&lt;&gt;$B298),IF($B310&lt;&gt;$B295,L295/INDEX($C288:$AJ298,8,MATCH(IF('Data-solution'!$A$3="Maximize",MAX($C299:$AI299),MIN($C299:$AI299)),$C299:$AI299,0)),L295-INDEX($C288:$AJ298,8,MATCH(IF('Data-solution'!$A$3="Maximize",MAX($C299:$AI299),MIN($C299:$AI299)),$C299:$AI299,0))*INDEX(L288:$AJ298,MATCH(MIN($AK288:$AK298),$AK288:$AK298,0),1)/INDEX($C288:$AJ298,MATCH(MIN($AK288:$AK298),$AK288:$AK298,0),MATCH(IF('Data-solution'!$A$3="Maximize",MAX($C299:$AI299),MIN($C299:$AI299)),$C299:$AI299,0))),L295)</f>
        <v>0</v>
      </c>
      <c r="M310" s="1">
        <f>IF(OR($B303&lt;&gt;$B288,$B304&lt;&gt;$B289,$B305&lt;&gt;$B290,$B306&lt;&gt;$B291,$B307&lt;&gt;$B292,$B308&lt;&gt;$B293,$B309&lt;&gt;$B294,$B310&lt;&gt;$B295,$B311&lt;&gt;$B296,$B312&lt;&gt;$B297,$B313&lt;&gt;$B298),IF($B310&lt;&gt;$B295,M295/INDEX($C288:$AJ298,8,MATCH(IF('Data-solution'!$A$3="Maximize",MAX($C299:$AI299),MIN($C299:$AI299)),$C299:$AI299,0)),M295-INDEX($C288:$AJ298,8,MATCH(IF('Data-solution'!$A$3="Maximize",MAX($C299:$AI299),MIN($C299:$AI299)),$C299:$AI299,0))*INDEX(M288:$AJ298,MATCH(MIN($AK288:$AK298),$AK288:$AK298,0),1)/INDEX($C288:$AJ298,MATCH(MIN($AK288:$AK298),$AK288:$AK298,0),MATCH(IF('Data-solution'!$A$3="Maximize",MAX($C299:$AI299),MIN($C299:$AI299)),$C299:$AI299,0))),M295)</f>
        <v>0</v>
      </c>
      <c r="N310" s="1">
        <f>IF(OR($B303&lt;&gt;$B288,$B304&lt;&gt;$B289,$B305&lt;&gt;$B290,$B306&lt;&gt;$B291,$B307&lt;&gt;$B292,$B308&lt;&gt;$B293,$B309&lt;&gt;$B294,$B310&lt;&gt;$B295,$B311&lt;&gt;$B296,$B312&lt;&gt;$B297,$B313&lt;&gt;$B298),IF($B310&lt;&gt;$B295,N295/INDEX($C288:$AJ298,8,MATCH(IF('Data-solution'!$A$3="Maximize",MAX($C299:$AI299),MIN($C299:$AI299)),$C299:$AI299,0)),N295-INDEX($C288:$AJ298,8,MATCH(IF('Data-solution'!$A$3="Maximize",MAX($C299:$AI299),MIN($C299:$AI299)),$C299:$AI299,0))*INDEX(N288:$AJ298,MATCH(MIN($AK288:$AK298),$AK288:$AK298,0),1)/INDEX($C288:$AJ298,MATCH(MIN($AK288:$AK298),$AK288:$AK298,0),MATCH(IF('Data-solution'!$A$3="Maximize",MAX($C299:$AI299),MIN($C299:$AI299)),$C299:$AI299,0))),N295)</f>
        <v>0</v>
      </c>
      <c r="O310" s="1">
        <f>IF(OR($B303&lt;&gt;$B288,$B304&lt;&gt;$B289,$B305&lt;&gt;$B290,$B306&lt;&gt;$B291,$B307&lt;&gt;$B292,$B308&lt;&gt;$B293,$B309&lt;&gt;$B294,$B310&lt;&gt;$B295,$B311&lt;&gt;$B296,$B312&lt;&gt;$B297,$B313&lt;&gt;$B298),IF($B310&lt;&gt;$B295,O295/INDEX($C288:$AJ298,8,MATCH(IF('Data-solution'!$A$3="Maximize",MAX($C299:$AI299),MIN($C299:$AI299)),$C299:$AI299,0)),O295-INDEX($C288:$AJ298,8,MATCH(IF('Data-solution'!$A$3="Maximize",MAX($C299:$AI299),MIN($C299:$AI299)),$C299:$AI299,0))*INDEX(O288:$AJ298,MATCH(MIN($AK288:$AK298),$AK288:$AK298,0),1)/INDEX($C288:$AJ298,MATCH(MIN($AK288:$AK298),$AK288:$AK298,0),MATCH(IF('Data-solution'!$A$3="Maximize",MAX($C299:$AI299),MIN($C299:$AI299)),$C299:$AI299,0))),O295)</f>
        <v>0</v>
      </c>
      <c r="P310" s="1">
        <f>IF(OR($B303&lt;&gt;$B288,$B304&lt;&gt;$B289,$B305&lt;&gt;$B290,$B306&lt;&gt;$B291,$B307&lt;&gt;$B292,$B308&lt;&gt;$B293,$B309&lt;&gt;$B294,$B310&lt;&gt;$B295,$B311&lt;&gt;$B296,$B312&lt;&gt;$B297,$B313&lt;&gt;$B298),IF($B310&lt;&gt;$B295,P295/INDEX($C288:$AJ298,8,MATCH(IF('Data-solution'!$A$3="Maximize",MAX($C299:$AI299),MIN($C299:$AI299)),$C299:$AI299,0)),P295-INDEX($C288:$AJ298,8,MATCH(IF('Data-solution'!$A$3="Maximize",MAX($C299:$AI299),MIN($C299:$AI299)),$C299:$AI299,0))*INDEX(P288:$AJ298,MATCH(MIN($AK288:$AK298),$AK288:$AK298,0),1)/INDEX($C288:$AJ298,MATCH(MIN($AK288:$AK298),$AK288:$AK298,0),MATCH(IF('Data-solution'!$A$3="Maximize",MAX($C299:$AI299),MIN($C299:$AI299)),$C299:$AI299,0))),P295)</f>
        <v>0</v>
      </c>
      <c r="Q310" s="1">
        <f>IF(OR($B303&lt;&gt;$B288,$B304&lt;&gt;$B289,$B305&lt;&gt;$B290,$B306&lt;&gt;$B291,$B307&lt;&gt;$B292,$B308&lt;&gt;$B293,$B309&lt;&gt;$B294,$B310&lt;&gt;$B295,$B311&lt;&gt;$B296,$B312&lt;&gt;$B297,$B313&lt;&gt;$B298),IF($B310&lt;&gt;$B295,Q295/INDEX($C288:$AJ298,8,MATCH(IF('Data-solution'!$A$3="Maximize",MAX($C299:$AI299),MIN($C299:$AI299)),$C299:$AI299,0)),Q295-INDEX($C288:$AJ298,8,MATCH(IF('Data-solution'!$A$3="Maximize",MAX($C299:$AI299),MIN($C299:$AI299)),$C299:$AI299,0))*INDEX(Q288:$AJ298,MATCH(MIN($AK288:$AK298),$AK288:$AK298,0),1)/INDEX($C288:$AJ298,MATCH(MIN($AK288:$AK298),$AK288:$AK298,0),MATCH(IF('Data-solution'!$A$3="Maximize",MAX($C299:$AI299),MIN($C299:$AI299)),$C299:$AI299,0))),Q295)</f>
        <v>0</v>
      </c>
      <c r="R310" s="1">
        <f>IF(OR($B303&lt;&gt;$B288,$B304&lt;&gt;$B289,$B305&lt;&gt;$B290,$B306&lt;&gt;$B291,$B307&lt;&gt;$B292,$B308&lt;&gt;$B293,$B309&lt;&gt;$B294,$B310&lt;&gt;$B295,$B311&lt;&gt;$B296,$B312&lt;&gt;$B297,$B313&lt;&gt;$B298),IF($B310&lt;&gt;$B295,R295/INDEX($C288:$AJ298,8,MATCH(IF('Data-solution'!$A$3="Maximize",MAX($C299:$AI299),MIN($C299:$AI299)),$C299:$AI299,0)),R295-INDEX($C288:$AJ298,8,MATCH(IF('Data-solution'!$A$3="Maximize",MAX($C299:$AI299),MIN($C299:$AI299)),$C299:$AI299,0))*INDEX(R288:$AJ298,MATCH(MIN($AK288:$AK298),$AK288:$AK298,0),1)/INDEX($C288:$AJ298,MATCH(MIN($AK288:$AK298),$AK288:$AK298,0),MATCH(IF('Data-solution'!$A$3="Maximize",MAX($C299:$AI299),MIN($C299:$AI299)),$C299:$AI299,0))),R295)</f>
        <v>0</v>
      </c>
      <c r="S310" s="1">
        <f>IF(OR($B303&lt;&gt;$B288,$B304&lt;&gt;$B289,$B305&lt;&gt;$B290,$B306&lt;&gt;$B291,$B307&lt;&gt;$B292,$B308&lt;&gt;$B293,$B309&lt;&gt;$B294,$B310&lt;&gt;$B295,$B311&lt;&gt;$B296,$B312&lt;&gt;$B297,$B313&lt;&gt;$B298),IF($B310&lt;&gt;$B295,S295/INDEX($C288:$AJ298,8,MATCH(IF('Data-solution'!$A$3="Maximize",MAX($C299:$AI299),MIN($C299:$AI299)),$C299:$AI299,0)),S295-INDEX($C288:$AJ298,8,MATCH(IF('Data-solution'!$A$3="Maximize",MAX($C299:$AI299),MIN($C299:$AI299)),$C299:$AI299,0))*INDEX(S288:$AJ298,MATCH(MIN($AK288:$AK298),$AK288:$AK298,0),1)/INDEX($C288:$AJ298,MATCH(MIN($AK288:$AK298),$AK288:$AK298,0),MATCH(IF('Data-solution'!$A$3="Maximize",MAX($C299:$AI299),MIN($C299:$AI299)),$C299:$AI299,0))),S295)</f>
        <v>0</v>
      </c>
      <c r="T310" s="1">
        <f>IF(OR($B303&lt;&gt;$B288,$B304&lt;&gt;$B289,$B305&lt;&gt;$B290,$B306&lt;&gt;$B291,$B307&lt;&gt;$B292,$B308&lt;&gt;$B293,$B309&lt;&gt;$B294,$B310&lt;&gt;$B295,$B311&lt;&gt;$B296,$B312&lt;&gt;$B297,$B313&lt;&gt;$B298),IF($B310&lt;&gt;$B295,T295/INDEX($C288:$AJ298,8,MATCH(IF('Data-solution'!$A$3="Maximize",MAX($C299:$AI299),MIN($C299:$AI299)),$C299:$AI299,0)),T295-INDEX($C288:$AJ298,8,MATCH(IF('Data-solution'!$A$3="Maximize",MAX($C299:$AI299),MIN($C299:$AI299)),$C299:$AI299,0))*INDEX(T288:$AJ298,MATCH(MIN($AK288:$AK298),$AK288:$AK298,0),1)/INDEX($C288:$AJ298,MATCH(MIN($AK288:$AK298),$AK288:$AK298,0),MATCH(IF('Data-solution'!$A$3="Maximize",MAX($C299:$AI299),MIN($C299:$AI299)),$C299:$AI299,0))),T295)</f>
        <v>0</v>
      </c>
      <c r="U310" s="1">
        <f>IF(OR($B303&lt;&gt;$B288,$B304&lt;&gt;$B289,$B305&lt;&gt;$B290,$B306&lt;&gt;$B291,$B307&lt;&gt;$B292,$B308&lt;&gt;$B293,$B309&lt;&gt;$B294,$B310&lt;&gt;$B295,$B311&lt;&gt;$B296,$B312&lt;&gt;$B297,$B313&lt;&gt;$B298),IF($B310&lt;&gt;$B295,U295/INDEX($C288:$AJ298,8,MATCH(IF('Data-solution'!$A$3="Maximize",MAX($C299:$AI299),MIN($C299:$AI299)),$C299:$AI299,0)),U295-INDEX($C288:$AJ298,8,MATCH(IF('Data-solution'!$A$3="Maximize",MAX($C299:$AI299),MIN($C299:$AI299)),$C299:$AI299,0))*INDEX(U288:$AJ298,MATCH(MIN($AK288:$AK298),$AK288:$AK298,0),1)/INDEX($C288:$AJ298,MATCH(MIN($AK288:$AK298),$AK288:$AK298,0),MATCH(IF('Data-solution'!$A$3="Maximize",MAX($C299:$AI299),MIN($C299:$AI299)),$C299:$AI299,0))),U295)</f>
        <v>1</v>
      </c>
      <c r="V310" s="1">
        <f>IF(OR($B303&lt;&gt;$B288,$B304&lt;&gt;$B289,$B305&lt;&gt;$B290,$B306&lt;&gt;$B291,$B307&lt;&gt;$B292,$B308&lt;&gt;$B293,$B309&lt;&gt;$B294,$B310&lt;&gt;$B295,$B311&lt;&gt;$B296,$B312&lt;&gt;$B297,$B313&lt;&gt;$B298),IF($B310&lt;&gt;$B295,V295/INDEX($C288:$AJ298,8,MATCH(IF('Data-solution'!$A$3="Maximize",MAX($C299:$AI299),MIN($C299:$AI299)),$C299:$AI299,0)),V295-INDEX($C288:$AJ298,8,MATCH(IF('Data-solution'!$A$3="Maximize",MAX($C299:$AI299),MIN($C299:$AI299)),$C299:$AI299,0))*INDEX(V288:$AJ298,MATCH(MIN($AK288:$AK298),$AK288:$AK298,0),1)/INDEX($C288:$AJ298,MATCH(MIN($AK288:$AK298),$AK288:$AK298,0),MATCH(IF('Data-solution'!$A$3="Maximize",MAX($C299:$AI299),MIN($C299:$AI299)),$C299:$AI299,0))),V295)</f>
        <v>0</v>
      </c>
      <c r="W310" s="1">
        <f>IF(OR($B303&lt;&gt;$B288,$B304&lt;&gt;$B289,$B305&lt;&gt;$B290,$B306&lt;&gt;$B291,$B307&lt;&gt;$B292,$B308&lt;&gt;$B293,$B309&lt;&gt;$B294,$B310&lt;&gt;$B295,$B311&lt;&gt;$B296,$B312&lt;&gt;$B297,$B313&lt;&gt;$B298),IF($B310&lt;&gt;$B295,W295/INDEX($C288:$AJ298,8,MATCH(IF('Data-solution'!$A$3="Maximize",MAX($C299:$AI299),MIN($C299:$AI299)),$C299:$AI299,0)),W295-INDEX($C288:$AJ298,8,MATCH(IF('Data-solution'!$A$3="Maximize",MAX($C299:$AI299),MIN($C299:$AI299)),$C299:$AI299,0))*INDEX(W288:$AJ298,MATCH(MIN($AK288:$AK298),$AK288:$AK298,0),1)/INDEX($C288:$AJ298,MATCH(MIN($AK288:$AK298),$AK288:$AK298,0),MATCH(IF('Data-solution'!$A$3="Maximize",MAX($C299:$AI299),MIN($C299:$AI299)),$C299:$AI299,0))),W295)</f>
        <v>0</v>
      </c>
      <c r="X310" s="1">
        <f>IF(OR($B303&lt;&gt;$B288,$B304&lt;&gt;$B289,$B305&lt;&gt;$B290,$B306&lt;&gt;$B291,$B307&lt;&gt;$B292,$B308&lt;&gt;$B293,$B309&lt;&gt;$B294,$B310&lt;&gt;$B295,$B311&lt;&gt;$B296,$B312&lt;&gt;$B297,$B313&lt;&gt;$B298),IF($B310&lt;&gt;$B295,X295/INDEX($C288:$AJ298,8,MATCH(IF('Data-solution'!$A$3="Maximize",MAX($C299:$AI299),MIN($C299:$AI299)),$C299:$AI299,0)),X295-INDEX($C288:$AJ298,8,MATCH(IF('Data-solution'!$A$3="Maximize",MAX($C299:$AI299),MIN($C299:$AI299)),$C299:$AI299,0))*INDEX(X288:$AJ298,MATCH(MIN($AK288:$AK298),$AK288:$AK298,0),1)/INDEX($C288:$AJ298,MATCH(MIN($AK288:$AK298),$AK288:$AK298,0),MATCH(IF('Data-solution'!$A$3="Maximize",MAX($C299:$AI299),MIN($C299:$AI299)),$C299:$AI299,0))),X295)</f>
        <v>0</v>
      </c>
      <c r="Y310" s="1">
        <f>IF(OR($B303&lt;&gt;$B288,$B304&lt;&gt;$B289,$B305&lt;&gt;$B290,$B306&lt;&gt;$B291,$B307&lt;&gt;$B292,$B308&lt;&gt;$B293,$B309&lt;&gt;$B294,$B310&lt;&gt;$B295,$B311&lt;&gt;$B296,$B312&lt;&gt;$B297,$B313&lt;&gt;$B298),IF($B310&lt;&gt;$B295,Y295/INDEX($C288:$AJ298,8,MATCH(IF('Data-solution'!$A$3="Maximize",MAX($C299:$AI299),MIN($C299:$AI299)),$C299:$AI299,0)),Y295-INDEX($C288:$AJ298,8,MATCH(IF('Data-solution'!$A$3="Maximize",MAX($C299:$AI299),MIN($C299:$AI299)),$C299:$AI299,0))*INDEX(Y288:$AJ298,MATCH(MIN($AK288:$AK298),$AK288:$AK298,0),1)/INDEX($C288:$AJ298,MATCH(MIN($AK288:$AK298),$AK288:$AK298,0),MATCH(IF('Data-solution'!$A$3="Maximize",MAX($C299:$AI299),MIN($C299:$AI299)),$C299:$AI299,0))),Y295)</f>
        <v>0</v>
      </c>
      <c r="Z310" s="1">
        <f>IF(OR($B303&lt;&gt;$B288,$B304&lt;&gt;$B289,$B305&lt;&gt;$B290,$B306&lt;&gt;$B291,$B307&lt;&gt;$B292,$B308&lt;&gt;$B293,$B309&lt;&gt;$B294,$B310&lt;&gt;$B295,$B311&lt;&gt;$B296,$B312&lt;&gt;$B297,$B313&lt;&gt;$B298),IF($B310&lt;&gt;$B295,Z295/INDEX($C288:$AJ298,8,MATCH(IF('Data-solution'!$A$3="Maximize",MAX($C299:$AI299),MIN($C299:$AI299)),$C299:$AI299,0)),Z295-INDEX($C288:$AJ298,8,MATCH(IF('Data-solution'!$A$3="Maximize",MAX($C299:$AI299),MIN($C299:$AI299)),$C299:$AI299,0))*INDEX(Z288:$AJ298,MATCH(MIN($AK288:$AK298),$AK288:$AK298,0),1)/INDEX($C288:$AJ298,MATCH(MIN($AK288:$AK298),$AK288:$AK298,0),MATCH(IF('Data-solution'!$A$3="Maximize",MAX($C299:$AI299),MIN($C299:$AI299)),$C299:$AI299,0))),Z295)</f>
        <v>0</v>
      </c>
      <c r="AA310" s="1">
        <f>IF(OR($B303&lt;&gt;$B288,$B304&lt;&gt;$B289,$B305&lt;&gt;$B290,$B306&lt;&gt;$B291,$B307&lt;&gt;$B292,$B308&lt;&gt;$B293,$B309&lt;&gt;$B294,$B310&lt;&gt;$B295,$B311&lt;&gt;$B296,$B312&lt;&gt;$B297,$B313&lt;&gt;$B298),IF($B310&lt;&gt;$B295,AA295/INDEX($C288:$AJ298,8,MATCH(IF('Data-solution'!$A$3="Maximize",MAX($C299:$AI299),MIN($C299:$AI299)),$C299:$AI299,0)),AA295-INDEX($C288:$AJ298,8,MATCH(IF('Data-solution'!$A$3="Maximize",MAX($C299:$AI299),MIN($C299:$AI299)),$C299:$AI299,0))*INDEX(AA288:$AJ298,MATCH(MIN($AK288:$AK298),$AK288:$AK298,0),1)/INDEX($C288:$AJ298,MATCH(MIN($AK288:$AK298),$AK288:$AK298,0),MATCH(IF('Data-solution'!$A$3="Maximize",MAX($C299:$AI299),MIN($C299:$AI299)),$C299:$AI299,0))),AA295)</f>
        <v>0</v>
      </c>
      <c r="AB310" s="1">
        <f>IF(OR($B303&lt;&gt;$B288,$B304&lt;&gt;$B289,$B305&lt;&gt;$B290,$B306&lt;&gt;$B291,$B307&lt;&gt;$B292,$B308&lt;&gt;$B293,$B309&lt;&gt;$B294,$B310&lt;&gt;$B295,$B311&lt;&gt;$B296,$B312&lt;&gt;$B297,$B313&lt;&gt;$B298),IF($B310&lt;&gt;$B295,AB295/INDEX($C288:$AJ298,8,MATCH(IF('Data-solution'!$A$3="Maximize",MAX($C299:$AI299),MIN($C299:$AI299)),$C299:$AI299,0)),AB295-INDEX($C288:$AJ298,8,MATCH(IF('Data-solution'!$A$3="Maximize",MAX($C299:$AI299),MIN($C299:$AI299)),$C299:$AI299,0))*INDEX(AB288:$AJ298,MATCH(MIN($AK288:$AK298),$AK288:$AK298,0),1)/INDEX($C288:$AJ298,MATCH(MIN($AK288:$AK298),$AK288:$AK298,0),MATCH(IF('Data-solution'!$A$3="Maximize",MAX($C299:$AI299),MIN($C299:$AI299)),$C299:$AI299,0))),AB295)</f>
        <v>0</v>
      </c>
      <c r="AC310" s="1">
        <f>IF(OR($B303&lt;&gt;$B288,$B304&lt;&gt;$B289,$B305&lt;&gt;$B290,$B306&lt;&gt;$B291,$B307&lt;&gt;$B292,$B308&lt;&gt;$B293,$B309&lt;&gt;$B294,$B310&lt;&gt;$B295,$B311&lt;&gt;$B296,$B312&lt;&gt;$B297,$B313&lt;&gt;$B298),IF($B310&lt;&gt;$B295,AC295/INDEX($C288:$AJ298,8,MATCH(IF('Data-solution'!$A$3="Maximize",MAX($C299:$AI299),MIN($C299:$AI299)),$C299:$AI299,0)),AC295-INDEX($C288:$AJ298,8,MATCH(IF('Data-solution'!$A$3="Maximize",MAX($C299:$AI299),MIN($C299:$AI299)),$C299:$AI299,0))*INDEX(AC288:$AJ298,MATCH(MIN($AK288:$AK298),$AK288:$AK298,0),1)/INDEX($C288:$AJ298,MATCH(MIN($AK288:$AK298),$AK288:$AK298,0),MATCH(IF('Data-solution'!$A$3="Maximize",MAX($C299:$AI299),MIN($C299:$AI299)),$C299:$AI299,0))),AC295)</f>
        <v>0</v>
      </c>
      <c r="AD310" s="1">
        <f>IF(OR($B303&lt;&gt;$B288,$B304&lt;&gt;$B289,$B305&lt;&gt;$B290,$B306&lt;&gt;$B291,$B307&lt;&gt;$B292,$B308&lt;&gt;$B293,$B309&lt;&gt;$B294,$B310&lt;&gt;$B295,$B311&lt;&gt;$B296,$B312&lt;&gt;$B297,$B313&lt;&gt;$B298),IF($B310&lt;&gt;$B295,AD295/INDEX($C288:$AJ298,8,MATCH(IF('Data-solution'!$A$3="Maximize",MAX($C299:$AI299),MIN($C299:$AI299)),$C299:$AI299,0)),AD295-INDEX($C288:$AJ298,8,MATCH(IF('Data-solution'!$A$3="Maximize",MAX($C299:$AI299),MIN($C299:$AI299)),$C299:$AI299,0))*INDEX(AD288:$AJ298,MATCH(MIN($AK288:$AK298),$AK288:$AK298,0),1)/INDEX($C288:$AJ298,MATCH(MIN($AK288:$AK298),$AK288:$AK298,0),MATCH(IF('Data-solution'!$A$3="Maximize",MAX($C299:$AI299),MIN($C299:$AI299)),$C299:$AI299,0))),AD295)</f>
        <v>0</v>
      </c>
      <c r="AE310" s="1">
        <f>IF(OR($B303&lt;&gt;$B288,$B304&lt;&gt;$B289,$B305&lt;&gt;$B290,$B306&lt;&gt;$B291,$B307&lt;&gt;$B292,$B308&lt;&gt;$B293,$B309&lt;&gt;$B294,$B310&lt;&gt;$B295,$B311&lt;&gt;$B296,$B312&lt;&gt;$B297,$B313&lt;&gt;$B298),IF($B310&lt;&gt;$B295,AE295/INDEX($C288:$AJ298,8,MATCH(IF('Data-solution'!$A$3="Maximize",MAX($C299:$AI299),MIN($C299:$AI299)),$C299:$AI299,0)),AE295-INDEX($C288:$AJ298,8,MATCH(IF('Data-solution'!$A$3="Maximize",MAX($C299:$AI299),MIN($C299:$AI299)),$C299:$AI299,0))*INDEX(AE288:$AJ298,MATCH(MIN($AK288:$AK298),$AK288:$AK298,0),1)/INDEX($C288:$AJ298,MATCH(MIN($AK288:$AK298),$AK288:$AK298,0),MATCH(IF('Data-solution'!$A$3="Maximize",MAX($C299:$AI299),MIN($C299:$AI299)),$C299:$AI299,0))),AE295)</f>
        <v>0</v>
      </c>
      <c r="AF310" s="1">
        <f>IF(OR($B303&lt;&gt;$B288,$B304&lt;&gt;$B289,$B305&lt;&gt;$B290,$B306&lt;&gt;$B291,$B307&lt;&gt;$B292,$B308&lt;&gt;$B293,$B309&lt;&gt;$B294,$B310&lt;&gt;$B295,$B311&lt;&gt;$B296,$B312&lt;&gt;$B297,$B313&lt;&gt;$B298),IF($B310&lt;&gt;$B295,AF295/INDEX($C288:$AJ298,8,MATCH(IF('Data-solution'!$A$3="Maximize",MAX($C299:$AI299),MIN($C299:$AI299)),$C299:$AI299,0)),AF295-INDEX($C288:$AJ298,8,MATCH(IF('Data-solution'!$A$3="Maximize",MAX($C299:$AI299),MIN($C299:$AI299)),$C299:$AI299,0))*INDEX(AF288:$AJ298,MATCH(MIN($AK288:$AK298),$AK288:$AK298,0),1)/INDEX($C288:$AJ298,MATCH(MIN($AK288:$AK298),$AK288:$AK298,0),MATCH(IF('Data-solution'!$A$3="Maximize",MAX($C299:$AI299),MIN($C299:$AI299)),$C299:$AI299,0))),AF295)</f>
        <v>1</v>
      </c>
      <c r="AG310" s="1">
        <f>IF(OR($B303&lt;&gt;$B288,$B304&lt;&gt;$B289,$B305&lt;&gt;$B290,$B306&lt;&gt;$B291,$B307&lt;&gt;$B292,$B308&lt;&gt;$B293,$B309&lt;&gt;$B294,$B310&lt;&gt;$B295,$B311&lt;&gt;$B296,$B312&lt;&gt;$B297,$B313&lt;&gt;$B298),IF($B310&lt;&gt;$B295,AG295/INDEX($C288:$AJ298,8,MATCH(IF('Data-solution'!$A$3="Maximize",MAX($C299:$AI299),MIN($C299:$AI299)),$C299:$AI299,0)),AG295-INDEX($C288:$AJ298,8,MATCH(IF('Data-solution'!$A$3="Maximize",MAX($C299:$AI299),MIN($C299:$AI299)),$C299:$AI299,0))*INDEX(AG288:$AJ298,MATCH(MIN($AK288:$AK298),$AK288:$AK298,0),1)/INDEX($C288:$AJ298,MATCH(MIN($AK288:$AK298),$AK288:$AK298,0),MATCH(IF('Data-solution'!$A$3="Maximize",MAX($C299:$AI299),MIN($C299:$AI299)),$C299:$AI299,0))),AG295)</f>
        <v>0</v>
      </c>
      <c r="AH310" s="1">
        <f>IF(OR($B303&lt;&gt;$B288,$B304&lt;&gt;$B289,$B305&lt;&gt;$B290,$B306&lt;&gt;$B291,$B307&lt;&gt;$B292,$B308&lt;&gt;$B293,$B309&lt;&gt;$B294,$B310&lt;&gt;$B295,$B311&lt;&gt;$B296,$B312&lt;&gt;$B297,$B313&lt;&gt;$B298),IF($B310&lt;&gt;$B295,AH295/INDEX($C288:$AJ298,8,MATCH(IF('Data-solution'!$A$3="Maximize",MAX($C299:$AI299),MIN($C299:$AI299)),$C299:$AI299,0)),AH295-INDEX($C288:$AJ298,8,MATCH(IF('Data-solution'!$A$3="Maximize",MAX($C299:$AI299),MIN($C299:$AI299)),$C299:$AI299,0))*INDEX(AH288:$AJ298,MATCH(MIN($AK288:$AK298),$AK288:$AK298,0),1)/INDEX($C288:$AJ298,MATCH(MIN($AK288:$AK298),$AK288:$AK298,0),MATCH(IF('Data-solution'!$A$3="Maximize",MAX($C299:$AI299),MIN($C299:$AI299)),$C299:$AI299,0))),AH295)</f>
        <v>0</v>
      </c>
      <c r="AI310" s="1">
        <f>IF(OR($B303&lt;&gt;$B288,$B304&lt;&gt;$B289,$B305&lt;&gt;$B290,$B306&lt;&gt;$B291,$B307&lt;&gt;$B292,$B308&lt;&gt;$B293,$B309&lt;&gt;$B294,$B310&lt;&gt;$B295,$B311&lt;&gt;$B296,$B312&lt;&gt;$B297,$B313&lt;&gt;$B298),IF($B310&lt;&gt;$B295,AI295/INDEX($C288:$AJ298,8,MATCH(IF('Data-solution'!$A$3="Maximize",MAX($C299:$AI299),MIN($C299:$AI299)),$C299:$AI299,0)),AI295-INDEX($C288:$AJ298,8,MATCH(IF('Data-solution'!$A$3="Maximize",MAX($C299:$AI299),MIN($C299:$AI299)),$C299:$AI299,0))*INDEX(AI288:$AJ298,MATCH(MIN($AK288:$AK298),$AK288:$AK298,0),1)/INDEX($C288:$AJ298,MATCH(MIN($AK288:$AK298),$AK288:$AK298,0),MATCH(IF('Data-solution'!$A$3="Maximize",MAX($C299:$AI299),MIN($C299:$AI299)),$C299:$AI299,0))),AI295)</f>
        <v>0</v>
      </c>
      <c r="AJ310" s="1">
        <f>IF(OR($B303&lt;&gt;$B288,$B304&lt;&gt;$B289,$B305&lt;&gt;$B290,$B306&lt;&gt;$B291,$B307&lt;&gt;$B292,$B308&lt;&gt;$B293,$B309&lt;&gt;$B294,$B310&lt;&gt;$B295,$B311&lt;&gt;$B296,$B312&lt;&gt;$B297,$B313&lt;&gt;$B298),IF($B310&lt;&gt;$B295,AJ295/INDEX($C288:$AJ298,8,MATCH(IF('Data-solution'!$A$3="Maximize",MAX($C299:$AI299),MIN($C299:$AI299)),$C299:$AI299,0)),AJ295-INDEX($C288:$AJ298,8,MATCH(IF('Data-solution'!$A$3="Maximize",MAX($C299:$AI299),MIN($C299:$AI299)),$C299:$AI299,0))*INDEX(AJ288:$AJ298,MATCH(MIN($AK288:$AK298),$AK288:$AK298,0),1)/INDEX($C288:$AJ298,MATCH(MIN($AK288:$AK298),$AK288:$AK298,0),MATCH(IF('Data-solution'!$A$3="Maximize",MAX($C299:$AI299),MIN($C299:$AI299)),$C299:$AI299,0))),AJ295)</f>
        <v>0</v>
      </c>
      <c r="AK310" s="1" t="str">
        <f>IF(INDEX(C310:X310,1,MATCH(IF('Data-solution'!A$3="Maximize",MAX(C314:X314),MIN(C314:X314)),C314:X314,0))&gt;0,AJ310/INDEX(C310:X310,1,MATCH(IF('Data-solution'!A$3="Maximize",MAX(C314:X314),MIN(C314:X314)),C314:X314,0))," ")</f>
        <v xml:space="preserve"> </v>
      </c>
    </row>
    <row r="311" spans="1:37" ht="18" customHeight="1" x14ac:dyDescent="0.2">
      <c r="A311" s="1">
        <f t="shared" ref="A311" si="280">INDEX(C301:AI301,1,MATCH(B311,C302:AI302,0))</f>
        <v>0</v>
      </c>
      <c r="B311" s="2" t="str">
        <f>IF(AND('Data-solution'!A$3="Maximize",COUNTIF(C299:X299,"&gt;"&amp;0)&gt;0,AK296=MIN(AK288:AK298),COUNTIF(B303:B310,INDEX(C287:X287,1,MATCH(MAX(C299:X299),C299:X299,0)))=0),INDEX(C287:X287,1,MATCH(MAX(C299:X299),C299:X299,0)),IF(AND('Data-solution'!A$3="Minimize",COUNTIF(C299:X299,"&lt;"&amp;0)&gt;0,AK296=MIN(AK288:AK298),COUNTIF(B303:B310,INDEX(C287:X287,1,MATCH(MIN(C299:X299),C299:X299,0)))=0),INDEX(C287:X287,1,MATCH(MIN(C299:X299),C299:X299,0)),B296))</f>
        <v>S9</v>
      </c>
      <c r="C311" s="1">
        <f>IF(OR($B303&lt;&gt;$B288,$B304&lt;&gt;$B289,$B305&lt;&gt;$B290,$B306&lt;&gt;$B291,$B307&lt;&gt;$B292,$B308&lt;&gt;$B293,$B309&lt;&gt;$B294,$B310&lt;&gt;$B295,$B311&lt;&gt;$B296,$B312&lt;&gt;$B297,$B313&lt;&gt;$B298),IF($B311&lt;&gt;$B296,C296/INDEX($C288:$AJ298,9,MATCH(IF('Data-solution'!$A$3="Maximize",MAX($C299:$AI299),MIN($C299:$AI299)),$C299:$AI299,0)),C296-INDEX($C288:$AJ298,9,MATCH(IF('Data-solution'!$A$3="Maximize",MAX($C299:$AI299),MIN($C299:$AI299)),$C299:$AI299,0))*INDEX(C288:$AJ298,MATCH(MIN($AK288:$AK298),$AK288:$AK298,0),1)/INDEX($C288:$AJ298,MATCH(MIN($AK288:$AK298),$AK288:$AK298,0),MATCH(IF('Data-solution'!$A$3="Maximize",MAX($C299:$AI299),MIN($C299:$AI299)),$C299:$AI299,0))),C296)</f>
        <v>0</v>
      </c>
      <c r="D311" s="1">
        <f>IF(OR($B303&lt;&gt;$B288,$B304&lt;&gt;$B289,$B305&lt;&gt;$B290,$B306&lt;&gt;$B291,$B307&lt;&gt;$B292,$B308&lt;&gt;$B293,$B309&lt;&gt;$B294,$B310&lt;&gt;$B295,$B311&lt;&gt;$B296,$B312&lt;&gt;$B297,$B313&lt;&gt;$B298),IF($B311&lt;&gt;$B296,D296/INDEX($C288:$AJ298,9,MATCH(IF('Data-solution'!$A$3="Maximize",MAX($C299:$AI299),MIN($C299:$AI299)),$C299:$AI299,0)),D296-INDEX($C288:$AJ298,9,MATCH(IF('Data-solution'!$A$3="Maximize",MAX($C299:$AI299),MIN($C299:$AI299)),$C299:$AI299,0))*INDEX(D288:$AJ298,MATCH(MIN($AK288:$AK298),$AK288:$AK298,0),1)/INDEX($C288:$AJ298,MATCH(MIN($AK288:$AK298),$AK288:$AK298,0),MATCH(IF('Data-solution'!$A$3="Maximize",MAX($C299:$AI299),MIN($C299:$AI299)),$C299:$AI299,0))),D296)</f>
        <v>0</v>
      </c>
      <c r="E311" s="1">
        <f>IF(OR($B303&lt;&gt;$B288,$B304&lt;&gt;$B289,$B305&lt;&gt;$B290,$B306&lt;&gt;$B291,$B307&lt;&gt;$B292,$B308&lt;&gt;$B293,$B309&lt;&gt;$B294,$B310&lt;&gt;$B295,$B311&lt;&gt;$B296,$B312&lt;&gt;$B297,$B313&lt;&gt;$B298),IF($B311&lt;&gt;$B296,E296/INDEX($C288:$AJ298,9,MATCH(IF('Data-solution'!$A$3="Maximize",MAX($C299:$AI299),MIN($C299:$AI299)),$C299:$AI299,0)),E296-INDEX($C288:$AJ298,9,MATCH(IF('Data-solution'!$A$3="Maximize",MAX($C299:$AI299),MIN($C299:$AI299)),$C299:$AI299,0))*INDEX(E288:$AJ298,MATCH(MIN($AK288:$AK298),$AK288:$AK298,0),1)/INDEX($C288:$AJ298,MATCH(MIN($AK288:$AK298),$AK288:$AK298,0),MATCH(IF('Data-solution'!$A$3="Maximize",MAX($C299:$AI299),MIN($C299:$AI299)),$C299:$AI299,0))),E296)</f>
        <v>0</v>
      </c>
      <c r="F311" s="1">
        <f>IF(OR($B303&lt;&gt;$B288,$B304&lt;&gt;$B289,$B305&lt;&gt;$B290,$B306&lt;&gt;$B291,$B307&lt;&gt;$B292,$B308&lt;&gt;$B293,$B309&lt;&gt;$B294,$B310&lt;&gt;$B295,$B311&lt;&gt;$B296,$B312&lt;&gt;$B297,$B313&lt;&gt;$B298),IF($B311&lt;&gt;$B296,F296/INDEX($C288:$AJ298,9,MATCH(IF('Data-solution'!$A$3="Maximize",MAX($C299:$AI299),MIN($C299:$AI299)),$C299:$AI299,0)),F296-INDEX($C288:$AJ298,9,MATCH(IF('Data-solution'!$A$3="Maximize",MAX($C299:$AI299),MIN($C299:$AI299)),$C299:$AI299,0))*INDEX(F288:$AJ298,MATCH(MIN($AK288:$AK298),$AK288:$AK298,0),1)/INDEX($C288:$AJ298,MATCH(MIN($AK288:$AK298),$AK288:$AK298,0),MATCH(IF('Data-solution'!$A$3="Maximize",MAX($C299:$AI299),MIN($C299:$AI299)),$C299:$AI299,0))),F296)</f>
        <v>0</v>
      </c>
      <c r="G311" s="1">
        <f>IF(OR($B303&lt;&gt;$B288,$B304&lt;&gt;$B289,$B305&lt;&gt;$B290,$B306&lt;&gt;$B291,$B307&lt;&gt;$B292,$B308&lt;&gt;$B293,$B309&lt;&gt;$B294,$B310&lt;&gt;$B295,$B311&lt;&gt;$B296,$B312&lt;&gt;$B297,$B313&lt;&gt;$B298),IF($B311&lt;&gt;$B296,G296/INDEX($C288:$AJ298,9,MATCH(IF('Data-solution'!$A$3="Maximize",MAX($C299:$AI299),MIN($C299:$AI299)),$C299:$AI299,0)),G296-INDEX($C288:$AJ298,9,MATCH(IF('Data-solution'!$A$3="Maximize",MAX($C299:$AI299),MIN($C299:$AI299)),$C299:$AI299,0))*INDEX(G288:$AJ298,MATCH(MIN($AK288:$AK298),$AK288:$AK298,0),1)/INDEX($C288:$AJ298,MATCH(MIN($AK288:$AK298),$AK288:$AK298,0),MATCH(IF('Data-solution'!$A$3="Maximize",MAX($C299:$AI299),MIN($C299:$AI299)),$C299:$AI299,0))),G296)</f>
        <v>0</v>
      </c>
      <c r="H311" s="1">
        <f>IF(OR($B303&lt;&gt;$B288,$B304&lt;&gt;$B289,$B305&lt;&gt;$B290,$B306&lt;&gt;$B291,$B307&lt;&gt;$B292,$B308&lt;&gt;$B293,$B309&lt;&gt;$B294,$B310&lt;&gt;$B295,$B311&lt;&gt;$B296,$B312&lt;&gt;$B297,$B313&lt;&gt;$B298),IF($B311&lt;&gt;$B296,H296/INDEX($C288:$AJ298,9,MATCH(IF('Data-solution'!$A$3="Maximize",MAX($C299:$AI299),MIN($C299:$AI299)),$C299:$AI299,0)),H296-INDEX($C288:$AJ298,9,MATCH(IF('Data-solution'!$A$3="Maximize",MAX($C299:$AI299),MIN($C299:$AI299)),$C299:$AI299,0))*INDEX(H288:$AJ298,MATCH(MIN($AK288:$AK298),$AK288:$AK298,0),1)/INDEX($C288:$AJ298,MATCH(MIN($AK288:$AK298),$AK288:$AK298,0),MATCH(IF('Data-solution'!$A$3="Maximize",MAX($C299:$AI299),MIN($C299:$AI299)),$C299:$AI299,0))),H296)</f>
        <v>0</v>
      </c>
      <c r="I311" s="1">
        <f>IF(OR($B303&lt;&gt;$B288,$B304&lt;&gt;$B289,$B305&lt;&gt;$B290,$B306&lt;&gt;$B291,$B307&lt;&gt;$B292,$B308&lt;&gt;$B293,$B309&lt;&gt;$B294,$B310&lt;&gt;$B295,$B311&lt;&gt;$B296,$B312&lt;&gt;$B297,$B313&lt;&gt;$B298),IF($B311&lt;&gt;$B296,I296/INDEX($C288:$AJ298,9,MATCH(IF('Data-solution'!$A$3="Maximize",MAX($C299:$AI299),MIN($C299:$AI299)),$C299:$AI299,0)),I296-INDEX($C288:$AJ298,9,MATCH(IF('Data-solution'!$A$3="Maximize",MAX($C299:$AI299),MIN($C299:$AI299)),$C299:$AI299,0))*INDEX(I288:$AJ298,MATCH(MIN($AK288:$AK298),$AK288:$AK298,0),1)/INDEX($C288:$AJ298,MATCH(MIN($AK288:$AK298),$AK288:$AK298,0),MATCH(IF('Data-solution'!$A$3="Maximize",MAX($C299:$AI299),MIN($C299:$AI299)),$C299:$AI299,0))),I296)</f>
        <v>0</v>
      </c>
      <c r="J311" s="1">
        <f>IF(OR($B303&lt;&gt;$B288,$B304&lt;&gt;$B289,$B305&lt;&gt;$B290,$B306&lt;&gt;$B291,$B307&lt;&gt;$B292,$B308&lt;&gt;$B293,$B309&lt;&gt;$B294,$B310&lt;&gt;$B295,$B311&lt;&gt;$B296,$B312&lt;&gt;$B297,$B313&lt;&gt;$B298),IF($B311&lt;&gt;$B296,J296/INDEX($C288:$AJ298,9,MATCH(IF('Data-solution'!$A$3="Maximize",MAX($C299:$AI299),MIN($C299:$AI299)),$C299:$AI299,0)),J296-INDEX($C288:$AJ298,9,MATCH(IF('Data-solution'!$A$3="Maximize",MAX($C299:$AI299),MIN($C299:$AI299)),$C299:$AI299,0))*INDEX(J288:$AJ298,MATCH(MIN($AK288:$AK298),$AK288:$AK298,0),1)/INDEX($C288:$AJ298,MATCH(MIN($AK288:$AK298),$AK288:$AK298,0),MATCH(IF('Data-solution'!$A$3="Maximize",MAX($C299:$AI299),MIN($C299:$AI299)),$C299:$AI299,0))),J296)</f>
        <v>0</v>
      </c>
      <c r="K311" s="1">
        <f>IF(OR($B303&lt;&gt;$B288,$B304&lt;&gt;$B289,$B305&lt;&gt;$B290,$B306&lt;&gt;$B291,$B307&lt;&gt;$B292,$B308&lt;&gt;$B293,$B309&lt;&gt;$B294,$B310&lt;&gt;$B295,$B311&lt;&gt;$B296,$B312&lt;&gt;$B297,$B313&lt;&gt;$B298),IF($B311&lt;&gt;$B296,K296/INDEX($C288:$AJ298,9,MATCH(IF('Data-solution'!$A$3="Maximize",MAX($C299:$AI299),MIN($C299:$AI299)),$C299:$AI299,0)),K296-INDEX($C288:$AJ298,9,MATCH(IF('Data-solution'!$A$3="Maximize",MAX($C299:$AI299),MIN($C299:$AI299)),$C299:$AI299,0))*INDEX(K288:$AJ298,MATCH(MIN($AK288:$AK298),$AK288:$AK298,0),1)/INDEX($C288:$AJ298,MATCH(MIN($AK288:$AK298),$AK288:$AK298,0),MATCH(IF('Data-solution'!$A$3="Maximize",MAX($C299:$AI299),MIN($C299:$AI299)),$C299:$AI299,0))),K296)</f>
        <v>0</v>
      </c>
      <c r="L311" s="1">
        <f>IF(OR($B303&lt;&gt;$B288,$B304&lt;&gt;$B289,$B305&lt;&gt;$B290,$B306&lt;&gt;$B291,$B307&lt;&gt;$B292,$B308&lt;&gt;$B293,$B309&lt;&gt;$B294,$B310&lt;&gt;$B295,$B311&lt;&gt;$B296,$B312&lt;&gt;$B297,$B313&lt;&gt;$B298),IF($B311&lt;&gt;$B296,L296/INDEX($C288:$AJ298,9,MATCH(IF('Data-solution'!$A$3="Maximize",MAX($C299:$AI299),MIN($C299:$AI299)),$C299:$AI299,0)),L296-INDEX($C288:$AJ298,9,MATCH(IF('Data-solution'!$A$3="Maximize",MAX($C299:$AI299),MIN($C299:$AI299)),$C299:$AI299,0))*INDEX(L288:$AJ298,MATCH(MIN($AK288:$AK298),$AK288:$AK298,0),1)/INDEX($C288:$AJ298,MATCH(MIN($AK288:$AK298),$AK288:$AK298,0),MATCH(IF('Data-solution'!$A$3="Maximize",MAX($C299:$AI299),MIN($C299:$AI299)),$C299:$AI299,0))),L296)</f>
        <v>0</v>
      </c>
      <c r="M311" s="1">
        <f>IF(OR($B303&lt;&gt;$B288,$B304&lt;&gt;$B289,$B305&lt;&gt;$B290,$B306&lt;&gt;$B291,$B307&lt;&gt;$B292,$B308&lt;&gt;$B293,$B309&lt;&gt;$B294,$B310&lt;&gt;$B295,$B311&lt;&gt;$B296,$B312&lt;&gt;$B297,$B313&lt;&gt;$B298),IF($B311&lt;&gt;$B296,M296/INDEX($C288:$AJ298,9,MATCH(IF('Data-solution'!$A$3="Maximize",MAX($C299:$AI299),MIN($C299:$AI299)),$C299:$AI299,0)),M296-INDEX($C288:$AJ298,9,MATCH(IF('Data-solution'!$A$3="Maximize",MAX($C299:$AI299),MIN($C299:$AI299)),$C299:$AI299,0))*INDEX(M288:$AJ298,MATCH(MIN($AK288:$AK298),$AK288:$AK298,0),1)/INDEX($C288:$AJ298,MATCH(MIN($AK288:$AK298),$AK288:$AK298,0),MATCH(IF('Data-solution'!$A$3="Maximize",MAX($C299:$AI299),MIN($C299:$AI299)),$C299:$AI299,0))),M296)</f>
        <v>0</v>
      </c>
      <c r="N311" s="1">
        <f>IF(OR($B303&lt;&gt;$B288,$B304&lt;&gt;$B289,$B305&lt;&gt;$B290,$B306&lt;&gt;$B291,$B307&lt;&gt;$B292,$B308&lt;&gt;$B293,$B309&lt;&gt;$B294,$B310&lt;&gt;$B295,$B311&lt;&gt;$B296,$B312&lt;&gt;$B297,$B313&lt;&gt;$B298),IF($B311&lt;&gt;$B296,N296/INDEX($C288:$AJ298,9,MATCH(IF('Data-solution'!$A$3="Maximize",MAX($C299:$AI299),MIN($C299:$AI299)),$C299:$AI299,0)),N296-INDEX($C288:$AJ298,9,MATCH(IF('Data-solution'!$A$3="Maximize",MAX($C299:$AI299),MIN($C299:$AI299)),$C299:$AI299,0))*INDEX(N288:$AJ298,MATCH(MIN($AK288:$AK298),$AK288:$AK298,0),1)/INDEX($C288:$AJ298,MATCH(MIN($AK288:$AK298),$AK288:$AK298,0),MATCH(IF('Data-solution'!$A$3="Maximize",MAX($C299:$AI299),MIN($C299:$AI299)),$C299:$AI299,0))),N296)</f>
        <v>0</v>
      </c>
      <c r="O311" s="1">
        <f>IF(OR($B303&lt;&gt;$B288,$B304&lt;&gt;$B289,$B305&lt;&gt;$B290,$B306&lt;&gt;$B291,$B307&lt;&gt;$B292,$B308&lt;&gt;$B293,$B309&lt;&gt;$B294,$B310&lt;&gt;$B295,$B311&lt;&gt;$B296,$B312&lt;&gt;$B297,$B313&lt;&gt;$B298),IF($B311&lt;&gt;$B296,O296/INDEX($C288:$AJ298,9,MATCH(IF('Data-solution'!$A$3="Maximize",MAX($C299:$AI299),MIN($C299:$AI299)),$C299:$AI299,0)),O296-INDEX($C288:$AJ298,9,MATCH(IF('Data-solution'!$A$3="Maximize",MAX($C299:$AI299),MIN($C299:$AI299)),$C299:$AI299,0))*INDEX(O288:$AJ298,MATCH(MIN($AK288:$AK298),$AK288:$AK298,0),1)/INDEX($C288:$AJ298,MATCH(MIN($AK288:$AK298),$AK288:$AK298,0),MATCH(IF('Data-solution'!$A$3="Maximize",MAX($C299:$AI299),MIN($C299:$AI299)),$C299:$AI299,0))),O296)</f>
        <v>0</v>
      </c>
      <c r="P311" s="1">
        <f>IF(OR($B303&lt;&gt;$B288,$B304&lt;&gt;$B289,$B305&lt;&gt;$B290,$B306&lt;&gt;$B291,$B307&lt;&gt;$B292,$B308&lt;&gt;$B293,$B309&lt;&gt;$B294,$B310&lt;&gt;$B295,$B311&lt;&gt;$B296,$B312&lt;&gt;$B297,$B313&lt;&gt;$B298),IF($B311&lt;&gt;$B296,P296/INDEX($C288:$AJ298,9,MATCH(IF('Data-solution'!$A$3="Maximize",MAX($C299:$AI299),MIN($C299:$AI299)),$C299:$AI299,0)),P296-INDEX($C288:$AJ298,9,MATCH(IF('Data-solution'!$A$3="Maximize",MAX($C299:$AI299),MIN($C299:$AI299)),$C299:$AI299,0))*INDEX(P288:$AJ298,MATCH(MIN($AK288:$AK298),$AK288:$AK298,0),1)/INDEX($C288:$AJ298,MATCH(MIN($AK288:$AK298),$AK288:$AK298,0),MATCH(IF('Data-solution'!$A$3="Maximize",MAX($C299:$AI299),MIN($C299:$AI299)),$C299:$AI299,0))),P296)</f>
        <v>0</v>
      </c>
      <c r="Q311" s="1">
        <f>IF(OR($B303&lt;&gt;$B288,$B304&lt;&gt;$B289,$B305&lt;&gt;$B290,$B306&lt;&gt;$B291,$B307&lt;&gt;$B292,$B308&lt;&gt;$B293,$B309&lt;&gt;$B294,$B310&lt;&gt;$B295,$B311&lt;&gt;$B296,$B312&lt;&gt;$B297,$B313&lt;&gt;$B298),IF($B311&lt;&gt;$B296,Q296/INDEX($C288:$AJ298,9,MATCH(IF('Data-solution'!$A$3="Maximize",MAX($C299:$AI299),MIN($C299:$AI299)),$C299:$AI299,0)),Q296-INDEX($C288:$AJ298,9,MATCH(IF('Data-solution'!$A$3="Maximize",MAX($C299:$AI299),MIN($C299:$AI299)),$C299:$AI299,0))*INDEX(Q288:$AJ298,MATCH(MIN($AK288:$AK298),$AK288:$AK298,0),1)/INDEX($C288:$AJ298,MATCH(MIN($AK288:$AK298),$AK288:$AK298,0),MATCH(IF('Data-solution'!$A$3="Maximize",MAX($C299:$AI299),MIN($C299:$AI299)),$C299:$AI299,0))),Q296)</f>
        <v>0</v>
      </c>
      <c r="R311" s="1">
        <f>IF(OR($B303&lt;&gt;$B288,$B304&lt;&gt;$B289,$B305&lt;&gt;$B290,$B306&lt;&gt;$B291,$B307&lt;&gt;$B292,$B308&lt;&gt;$B293,$B309&lt;&gt;$B294,$B310&lt;&gt;$B295,$B311&lt;&gt;$B296,$B312&lt;&gt;$B297,$B313&lt;&gt;$B298),IF($B311&lt;&gt;$B296,R296/INDEX($C288:$AJ298,9,MATCH(IF('Data-solution'!$A$3="Maximize",MAX($C299:$AI299),MIN($C299:$AI299)),$C299:$AI299,0)),R296-INDEX($C288:$AJ298,9,MATCH(IF('Data-solution'!$A$3="Maximize",MAX($C299:$AI299),MIN($C299:$AI299)),$C299:$AI299,0))*INDEX(R288:$AJ298,MATCH(MIN($AK288:$AK298),$AK288:$AK298,0),1)/INDEX($C288:$AJ298,MATCH(MIN($AK288:$AK298),$AK288:$AK298,0),MATCH(IF('Data-solution'!$A$3="Maximize",MAX($C299:$AI299),MIN($C299:$AI299)),$C299:$AI299,0))),R296)</f>
        <v>0</v>
      </c>
      <c r="S311" s="1">
        <f>IF(OR($B303&lt;&gt;$B288,$B304&lt;&gt;$B289,$B305&lt;&gt;$B290,$B306&lt;&gt;$B291,$B307&lt;&gt;$B292,$B308&lt;&gt;$B293,$B309&lt;&gt;$B294,$B310&lt;&gt;$B295,$B311&lt;&gt;$B296,$B312&lt;&gt;$B297,$B313&lt;&gt;$B298),IF($B311&lt;&gt;$B296,S296/INDEX($C288:$AJ298,9,MATCH(IF('Data-solution'!$A$3="Maximize",MAX($C299:$AI299),MIN($C299:$AI299)),$C299:$AI299,0)),S296-INDEX($C288:$AJ298,9,MATCH(IF('Data-solution'!$A$3="Maximize",MAX($C299:$AI299),MIN($C299:$AI299)),$C299:$AI299,0))*INDEX(S288:$AJ298,MATCH(MIN($AK288:$AK298),$AK288:$AK298,0),1)/INDEX($C288:$AJ298,MATCH(MIN($AK288:$AK298),$AK288:$AK298,0),MATCH(IF('Data-solution'!$A$3="Maximize",MAX($C299:$AI299),MIN($C299:$AI299)),$C299:$AI299,0))),S296)</f>
        <v>0</v>
      </c>
      <c r="T311" s="1">
        <f>IF(OR($B303&lt;&gt;$B288,$B304&lt;&gt;$B289,$B305&lt;&gt;$B290,$B306&lt;&gt;$B291,$B307&lt;&gt;$B292,$B308&lt;&gt;$B293,$B309&lt;&gt;$B294,$B310&lt;&gt;$B295,$B311&lt;&gt;$B296,$B312&lt;&gt;$B297,$B313&lt;&gt;$B298),IF($B311&lt;&gt;$B296,T296/INDEX($C288:$AJ298,9,MATCH(IF('Data-solution'!$A$3="Maximize",MAX($C299:$AI299),MIN($C299:$AI299)),$C299:$AI299,0)),T296-INDEX($C288:$AJ298,9,MATCH(IF('Data-solution'!$A$3="Maximize",MAX($C299:$AI299),MIN($C299:$AI299)),$C299:$AI299,0))*INDEX(T288:$AJ298,MATCH(MIN($AK288:$AK298),$AK288:$AK298,0),1)/INDEX($C288:$AJ298,MATCH(MIN($AK288:$AK298),$AK288:$AK298,0),MATCH(IF('Data-solution'!$A$3="Maximize",MAX($C299:$AI299),MIN($C299:$AI299)),$C299:$AI299,0))),T296)</f>
        <v>0</v>
      </c>
      <c r="U311" s="1">
        <f>IF(OR($B303&lt;&gt;$B288,$B304&lt;&gt;$B289,$B305&lt;&gt;$B290,$B306&lt;&gt;$B291,$B307&lt;&gt;$B292,$B308&lt;&gt;$B293,$B309&lt;&gt;$B294,$B310&lt;&gt;$B295,$B311&lt;&gt;$B296,$B312&lt;&gt;$B297,$B313&lt;&gt;$B298),IF($B311&lt;&gt;$B296,U296/INDEX($C288:$AJ298,9,MATCH(IF('Data-solution'!$A$3="Maximize",MAX($C299:$AI299),MIN($C299:$AI299)),$C299:$AI299,0)),U296-INDEX($C288:$AJ298,9,MATCH(IF('Data-solution'!$A$3="Maximize",MAX($C299:$AI299),MIN($C299:$AI299)),$C299:$AI299,0))*INDEX(U288:$AJ298,MATCH(MIN($AK288:$AK298),$AK288:$AK298,0),1)/INDEX($C288:$AJ298,MATCH(MIN($AK288:$AK298),$AK288:$AK298,0),MATCH(IF('Data-solution'!$A$3="Maximize",MAX($C299:$AI299),MIN($C299:$AI299)),$C299:$AI299,0))),U296)</f>
        <v>0</v>
      </c>
      <c r="V311" s="1">
        <f>IF(OR($B303&lt;&gt;$B288,$B304&lt;&gt;$B289,$B305&lt;&gt;$B290,$B306&lt;&gt;$B291,$B307&lt;&gt;$B292,$B308&lt;&gt;$B293,$B309&lt;&gt;$B294,$B310&lt;&gt;$B295,$B311&lt;&gt;$B296,$B312&lt;&gt;$B297,$B313&lt;&gt;$B298),IF($B311&lt;&gt;$B296,V296/INDEX($C288:$AJ298,9,MATCH(IF('Data-solution'!$A$3="Maximize",MAX($C299:$AI299),MIN($C299:$AI299)),$C299:$AI299,0)),V296-INDEX($C288:$AJ298,9,MATCH(IF('Data-solution'!$A$3="Maximize",MAX($C299:$AI299),MIN($C299:$AI299)),$C299:$AI299,0))*INDEX(V288:$AJ298,MATCH(MIN($AK288:$AK298),$AK288:$AK298,0),1)/INDEX($C288:$AJ298,MATCH(MIN($AK288:$AK298),$AK288:$AK298,0),MATCH(IF('Data-solution'!$A$3="Maximize",MAX($C299:$AI299),MIN($C299:$AI299)),$C299:$AI299,0))),V296)</f>
        <v>1</v>
      </c>
      <c r="W311" s="1">
        <f>IF(OR($B303&lt;&gt;$B288,$B304&lt;&gt;$B289,$B305&lt;&gt;$B290,$B306&lt;&gt;$B291,$B307&lt;&gt;$B292,$B308&lt;&gt;$B293,$B309&lt;&gt;$B294,$B310&lt;&gt;$B295,$B311&lt;&gt;$B296,$B312&lt;&gt;$B297,$B313&lt;&gt;$B298),IF($B311&lt;&gt;$B296,W296/INDEX($C288:$AJ298,9,MATCH(IF('Data-solution'!$A$3="Maximize",MAX($C299:$AI299),MIN($C299:$AI299)),$C299:$AI299,0)),W296-INDEX($C288:$AJ298,9,MATCH(IF('Data-solution'!$A$3="Maximize",MAX($C299:$AI299),MIN($C299:$AI299)),$C299:$AI299,0))*INDEX(W288:$AJ298,MATCH(MIN($AK288:$AK298),$AK288:$AK298,0),1)/INDEX($C288:$AJ298,MATCH(MIN($AK288:$AK298),$AK288:$AK298,0),MATCH(IF('Data-solution'!$A$3="Maximize",MAX($C299:$AI299),MIN($C299:$AI299)),$C299:$AI299,0))),W296)</f>
        <v>0</v>
      </c>
      <c r="X311" s="1">
        <f>IF(OR($B303&lt;&gt;$B288,$B304&lt;&gt;$B289,$B305&lt;&gt;$B290,$B306&lt;&gt;$B291,$B307&lt;&gt;$B292,$B308&lt;&gt;$B293,$B309&lt;&gt;$B294,$B310&lt;&gt;$B295,$B311&lt;&gt;$B296,$B312&lt;&gt;$B297,$B313&lt;&gt;$B298),IF($B311&lt;&gt;$B296,X296/INDEX($C288:$AJ298,9,MATCH(IF('Data-solution'!$A$3="Maximize",MAX($C299:$AI299),MIN($C299:$AI299)),$C299:$AI299,0)),X296-INDEX($C288:$AJ298,9,MATCH(IF('Data-solution'!$A$3="Maximize",MAX($C299:$AI299),MIN($C299:$AI299)),$C299:$AI299,0))*INDEX(X288:$AJ298,MATCH(MIN($AK288:$AK298),$AK288:$AK298,0),1)/INDEX($C288:$AJ298,MATCH(MIN($AK288:$AK298),$AK288:$AK298,0),MATCH(IF('Data-solution'!$A$3="Maximize",MAX($C299:$AI299),MIN($C299:$AI299)),$C299:$AI299,0))),X296)</f>
        <v>0</v>
      </c>
      <c r="Y311" s="1">
        <f>IF(OR($B303&lt;&gt;$B288,$B304&lt;&gt;$B289,$B305&lt;&gt;$B290,$B306&lt;&gt;$B291,$B307&lt;&gt;$B292,$B308&lt;&gt;$B293,$B309&lt;&gt;$B294,$B310&lt;&gt;$B295,$B311&lt;&gt;$B296,$B312&lt;&gt;$B297,$B313&lt;&gt;$B298),IF($B311&lt;&gt;$B296,Y296/INDEX($C288:$AJ298,9,MATCH(IF('Data-solution'!$A$3="Maximize",MAX($C299:$AI299),MIN($C299:$AI299)),$C299:$AI299,0)),Y296-INDEX($C288:$AJ298,9,MATCH(IF('Data-solution'!$A$3="Maximize",MAX($C299:$AI299),MIN($C299:$AI299)),$C299:$AI299,0))*INDEX(Y288:$AJ298,MATCH(MIN($AK288:$AK298),$AK288:$AK298,0),1)/INDEX($C288:$AJ298,MATCH(MIN($AK288:$AK298),$AK288:$AK298,0),MATCH(IF('Data-solution'!$A$3="Maximize",MAX($C299:$AI299),MIN($C299:$AI299)),$C299:$AI299,0))),Y296)</f>
        <v>0</v>
      </c>
      <c r="Z311" s="1">
        <f>IF(OR($B303&lt;&gt;$B288,$B304&lt;&gt;$B289,$B305&lt;&gt;$B290,$B306&lt;&gt;$B291,$B307&lt;&gt;$B292,$B308&lt;&gt;$B293,$B309&lt;&gt;$B294,$B310&lt;&gt;$B295,$B311&lt;&gt;$B296,$B312&lt;&gt;$B297,$B313&lt;&gt;$B298),IF($B311&lt;&gt;$B296,Z296/INDEX($C288:$AJ298,9,MATCH(IF('Data-solution'!$A$3="Maximize",MAX($C299:$AI299),MIN($C299:$AI299)),$C299:$AI299,0)),Z296-INDEX($C288:$AJ298,9,MATCH(IF('Data-solution'!$A$3="Maximize",MAX($C299:$AI299),MIN($C299:$AI299)),$C299:$AI299,0))*INDEX(Z288:$AJ298,MATCH(MIN($AK288:$AK298),$AK288:$AK298,0),1)/INDEX($C288:$AJ298,MATCH(MIN($AK288:$AK298),$AK288:$AK298,0),MATCH(IF('Data-solution'!$A$3="Maximize",MAX($C299:$AI299),MIN($C299:$AI299)),$C299:$AI299,0))),Z296)</f>
        <v>0</v>
      </c>
      <c r="AA311" s="1">
        <f>IF(OR($B303&lt;&gt;$B288,$B304&lt;&gt;$B289,$B305&lt;&gt;$B290,$B306&lt;&gt;$B291,$B307&lt;&gt;$B292,$B308&lt;&gt;$B293,$B309&lt;&gt;$B294,$B310&lt;&gt;$B295,$B311&lt;&gt;$B296,$B312&lt;&gt;$B297,$B313&lt;&gt;$B298),IF($B311&lt;&gt;$B296,AA296/INDEX($C288:$AJ298,9,MATCH(IF('Data-solution'!$A$3="Maximize",MAX($C299:$AI299),MIN($C299:$AI299)),$C299:$AI299,0)),AA296-INDEX($C288:$AJ298,9,MATCH(IF('Data-solution'!$A$3="Maximize",MAX($C299:$AI299),MIN($C299:$AI299)),$C299:$AI299,0))*INDEX(AA288:$AJ298,MATCH(MIN($AK288:$AK298),$AK288:$AK298,0),1)/INDEX($C288:$AJ298,MATCH(MIN($AK288:$AK298),$AK288:$AK298,0),MATCH(IF('Data-solution'!$A$3="Maximize",MAX($C299:$AI299),MIN($C299:$AI299)),$C299:$AI299,0))),AA296)</f>
        <v>0</v>
      </c>
      <c r="AB311" s="1">
        <f>IF(OR($B303&lt;&gt;$B288,$B304&lt;&gt;$B289,$B305&lt;&gt;$B290,$B306&lt;&gt;$B291,$B307&lt;&gt;$B292,$B308&lt;&gt;$B293,$B309&lt;&gt;$B294,$B310&lt;&gt;$B295,$B311&lt;&gt;$B296,$B312&lt;&gt;$B297,$B313&lt;&gt;$B298),IF($B311&lt;&gt;$B296,AB296/INDEX($C288:$AJ298,9,MATCH(IF('Data-solution'!$A$3="Maximize",MAX($C299:$AI299),MIN($C299:$AI299)),$C299:$AI299,0)),AB296-INDEX($C288:$AJ298,9,MATCH(IF('Data-solution'!$A$3="Maximize",MAX($C299:$AI299),MIN($C299:$AI299)),$C299:$AI299,0))*INDEX(AB288:$AJ298,MATCH(MIN($AK288:$AK298),$AK288:$AK298,0),1)/INDEX($C288:$AJ298,MATCH(MIN($AK288:$AK298),$AK288:$AK298,0),MATCH(IF('Data-solution'!$A$3="Maximize",MAX($C299:$AI299),MIN($C299:$AI299)),$C299:$AI299,0))),AB296)</f>
        <v>0</v>
      </c>
      <c r="AC311" s="1">
        <f>IF(OR($B303&lt;&gt;$B288,$B304&lt;&gt;$B289,$B305&lt;&gt;$B290,$B306&lt;&gt;$B291,$B307&lt;&gt;$B292,$B308&lt;&gt;$B293,$B309&lt;&gt;$B294,$B310&lt;&gt;$B295,$B311&lt;&gt;$B296,$B312&lt;&gt;$B297,$B313&lt;&gt;$B298),IF($B311&lt;&gt;$B296,AC296/INDEX($C288:$AJ298,9,MATCH(IF('Data-solution'!$A$3="Maximize",MAX($C299:$AI299),MIN($C299:$AI299)),$C299:$AI299,0)),AC296-INDEX($C288:$AJ298,9,MATCH(IF('Data-solution'!$A$3="Maximize",MAX($C299:$AI299),MIN($C299:$AI299)),$C299:$AI299,0))*INDEX(AC288:$AJ298,MATCH(MIN($AK288:$AK298),$AK288:$AK298,0),1)/INDEX($C288:$AJ298,MATCH(MIN($AK288:$AK298),$AK288:$AK298,0),MATCH(IF('Data-solution'!$A$3="Maximize",MAX($C299:$AI299),MIN($C299:$AI299)),$C299:$AI299,0))),AC296)</f>
        <v>0</v>
      </c>
      <c r="AD311" s="1">
        <f>IF(OR($B303&lt;&gt;$B288,$B304&lt;&gt;$B289,$B305&lt;&gt;$B290,$B306&lt;&gt;$B291,$B307&lt;&gt;$B292,$B308&lt;&gt;$B293,$B309&lt;&gt;$B294,$B310&lt;&gt;$B295,$B311&lt;&gt;$B296,$B312&lt;&gt;$B297,$B313&lt;&gt;$B298),IF($B311&lt;&gt;$B296,AD296/INDEX($C288:$AJ298,9,MATCH(IF('Data-solution'!$A$3="Maximize",MAX($C299:$AI299),MIN($C299:$AI299)),$C299:$AI299,0)),AD296-INDEX($C288:$AJ298,9,MATCH(IF('Data-solution'!$A$3="Maximize",MAX($C299:$AI299),MIN($C299:$AI299)),$C299:$AI299,0))*INDEX(AD288:$AJ298,MATCH(MIN($AK288:$AK298),$AK288:$AK298,0),1)/INDEX($C288:$AJ298,MATCH(MIN($AK288:$AK298),$AK288:$AK298,0),MATCH(IF('Data-solution'!$A$3="Maximize",MAX($C299:$AI299),MIN($C299:$AI299)),$C299:$AI299,0))),AD296)</f>
        <v>0</v>
      </c>
      <c r="AE311" s="1">
        <f>IF(OR($B303&lt;&gt;$B288,$B304&lt;&gt;$B289,$B305&lt;&gt;$B290,$B306&lt;&gt;$B291,$B307&lt;&gt;$B292,$B308&lt;&gt;$B293,$B309&lt;&gt;$B294,$B310&lt;&gt;$B295,$B311&lt;&gt;$B296,$B312&lt;&gt;$B297,$B313&lt;&gt;$B298),IF($B311&lt;&gt;$B296,AE296/INDEX($C288:$AJ298,9,MATCH(IF('Data-solution'!$A$3="Maximize",MAX($C299:$AI299),MIN($C299:$AI299)),$C299:$AI299,0)),AE296-INDEX($C288:$AJ298,9,MATCH(IF('Data-solution'!$A$3="Maximize",MAX($C299:$AI299),MIN($C299:$AI299)),$C299:$AI299,0))*INDEX(AE288:$AJ298,MATCH(MIN($AK288:$AK298),$AK288:$AK298,0),1)/INDEX($C288:$AJ298,MATCH(MIN($AK288:$AK298),$AK288:$AK298,0),MATCH(IF('Data-solution'!$A$3="Maximize",MAX($C299:$AI299),MIN($C299:$AI299)),$C299:$AI299,0))),AE296)</f>
        <v>0</v>
      </c>
      <c r="AF311" s="1">
        <f>IF(OR($B303&lt;&gt;$B288,$B304&lt;&gt;$B289,$B305&lt;&gt;$B290,$B306&lt;&gt;$B291,$B307&lt;&gt;$B292,$B308&lt;&gt;$B293,$B309&lt;&gt;$B294,$B310&lt;&gt;$B295,$B311&lt;&gt;$B296,$B312&lt;&gt;$B297,$B313&lt;&gt;$B298),IF($B311&lt;&gt;$B296,AF296/INDEX($C288:$AJ298,9,MATCH(IF('Data-solution'!$A$3="Maximize",MAX($C299:$AI299),MIN($C299:$AI299)),$C299:$AI299,0)),AF296-INDEX($C288:$AJ298,9,MATCH(IF('Data-solution'!$A$3="Maximize",MAX($C299:$AI299),MIN($C299:$AI299)),$C299:$AI299,0))*INDEX(AF288:$AJ298,MATCH(MIN($AK288:$AK298),$AK288:$AK298,0),1)/INDEX($C288:$AJ298,MATCH(MIN($AK288:$AK298),$AK288:$AK298,0),MATCH(IF('Data-solution'!$A$3="Maximize",MAX($C299:$AI299),MIN($C299:$AI299)),$C299:$AI299,0))),AF296)</f>
        <v>0</v>
      </c>
      <c r="AG311" s="1">
        <f>IF(OR($B303&lt;&gt;$B288,$B304&lt;&gt;$B289,$B305&lt;&gt;$B290,$B306&lt;&gt;$B291,$B307&lt;&gt;$B292,$B308&lt;&gt;$B293,$B309&lt;&gt;$B294,$B310&lt;&gt;$B295,$B311&lt;&gt;$B296,$B312&lt;&gt;$B297,$B313&lt;&gt;$B298),IF($B311&lt;&gt;$B296,AG296/INDEX($C288:$AJ298,9,MATCH(IF('Data-solution'!$A$3="Maximize",MAX($C299:$AI299),MIN($C299:$AI299)),$C299:$AI299,0)),AG296-INDEX($C288:$AJ298,9,MATCH(IF('Data-solution'!$A$3="Maximize",MAX($C299:$AI299),MIN($C299:$AI299)),$C299:$AI299,0))*INDEX(AG288:$AJ298,MATCH(MIN($AK288:$AK298),$AK288:$AK298,0),1)/INDEX($C288:$AJ298,MATCH(MIN($AK288:$AK298),$AK288:$AK298,0),MATCH(IF('Data-solution'!$A$3="Maximize",MAX($C299:$AI299),MIN($C299:$AI299)),$C299:$AI299,0))),AG296)</f>
        <v>1</v>
      </c>
      <c r="AH311" s="1">
        <f>IF(OR($B303&lt;&gt;$B288,$B304&lt;&gt;$B289,$B305&lt;&gt;$B290,$B306&lt;&gt;$B291,$B307&lt;&gt;$B292,$B308&lt;&gt;$B293,$B309&lt;&gt;$B294,$B310&lt;&gt;$B295,$B311&lt;&gt;$B296,$B312&lt;&gt;$B297,$B313&lt;&gt;$B298),IF($B311&lt;&gt;$B296,AH296/INDEX($C288:$AJ298,9,MATCH(IF('Data-solution'!$A$3="Maximize",MAX($C299:$AI299),MIN($C299:$AI299)),$C299:$AI299,0)),AH296-INDEX($C288:$AJ298,9,MATCH(IF('Data-solution'!$A$3="Maximize",MAX($C299:$AI299),MIN($C299:$AI299)),$C299:$AI299,0))*INDEX(AH288:$AJ298,MATCH(MIN($AK288:$AK298),$AK288:$AK298,0),1)/INDEX($C288:$AJ298,MATCH(MIN($AK288:$AK298),$AK288:$AK298,0),MATCH(IF('Data-solution'!$A$3="Maximize",MAX($C299:$AI299),MIN($C299:$AI299)),$C299:$AI299,0))),AH296)</f>
        <v>0</v>
      </c>
      <c r="AI311" s="1">
        <f>IF(OR($B303&lt;&gt;$B288,$B304&lt;&gt;$B289,$B305&lt;&gt;$B290,$B306&lt;&gt;$B291,$B307&lt;&gt;$B292,$B308&lt;&gt;$B293,$B309&lt;&gt;$B294,$B310&lt;&gt;$B295,$B311&lt;&gt;$B296,$B312&lt;&gt;$B297,$B313&lt;&gt;$B298),IF($B311&lt;&gt;$B296,AI296/INDEX($C288:$AJ298,9,MATCH(IF('Data-solution'!$A$3="Maximize",MAX($C299:$AI299),MIN($C299:$AI299)),$C299:$AI299,0)),AI296-INDEX($C288:$AJ298,9,MATCH(IF('Data-solution'!$A$3="Maximize",MAX($C299:$AI299),MIN($C299:$AI299)),$C299:$AI299,0))*INDEX(AI288:$AJ298,MATCH(MIN($AK288:$AK298),$AK288:$AK298,0),1)/INDEX($C288:$AJ298,MATCH(MIN($AK288:$AK298),$AK288:$AK298,0),MATCH(IF('Data-solution'!$A$3="Maximize",MAX($C299:$AI299),MIN($C299:$AI299)),$C299:$AI299,0))),AI296)</f>
        <v>0</v>
      </c>
      <c r="AJ311" s="1">
        <f>IF(OR($B303&lt;&gt;$B288,$B304&lt;&gt;$B289,$B305&lt;&gt;$B290,$B306&lt;&gt;$B291,$B307&lt;&gt;$B292,$B308&lt;&gt;$B293,$B309&lt;&gt;$B294,$B310&lt;&gt;$B295,$B311&lt;&gt;$B296,$B312&lt;&gt;$B297,$B313&lt;&gt;$B298),IF($B311&lt;&gt;$B296,AJ296/INDEX($C288:$AJ298,9,MATCH(IF('Data-solution'!$A$3="Maximize",MAX($C299:$AI299),MIN($C299:$AI299)),$C299:$AI299,0)),AJ296-INDEX($C288:$AJ298,9,MATCH(IF('Data-solution'!$A$3="Maximize",MAX($C299:$AI299),MIN($C299:$AI299)),$C299:$AI299,0))*INDEX(AJ288:$AJ298,MATCH(MIN($AK288:$AK298),$AK288:$AK298,0),1)/INDEX($C288:$AJ298,MATCH(MIN($AK288:$AK298),$AK288:$AK298,0),MATCH(IF('Data-solution'!$A$3="Maximize",MAX($C299:$AI299),MIN($C299:$AI299)),$C299:$AI299,0))),AJ296)</f>
        <v>0</v>
      </c>
      <c r="AK311" s="1" t="str">
        <f>IF(INDEX(C311:X311,1,MATCH(IF('Data-solution'!A$3="Maximize",MAX(C314:X314),MIN(C314:X314)),C314:X314,0))&gt;0,AJ311/INDEX(C311:X311,1,MATCH(IF('Data-solution'!A$3="Maximize",MAX(C314:X314),MIN(C314:X314)),C314:X314,0))," ")</f>
        <v xml:space="preserve"> </v>
      </c>
    </row>
    <row r="312" spans="1:37" ht="18" customHeight="1" x14ac:dyDescent="0.2">
      <c r="A312" s="1">
        <f t="shared" ref="A312" si="281">INDEX(C301:AI301,1,MATCH(B312,C302:AI302,0))</f>
        <v>0</v>
      </c>
      <c r="B312" s="2" t="str">
        <f>IF(AND('Data-solution'!A$3="Maximize",COUNTIF(C299:X299,"&gt;"&amp;0)&gt;0,AK297=MIN(AK288:AK298),COUNTIF(B303:B311,INDEX(C287:X287,1,MATCH(MAX(C299:X299),C299:X299,0)))=0),INDEX(C287:X287,1,MATCH(MAX(C299:X299),C299:X299,0)),IF(AND('Data-solution'!A$3="Minimize",COUNTIF(C299:X299,"&lt;"&amp;0)&gt;0,AK297=MIN(AK288:AK298),COUNTIF(B303:B311,INDEX(C287:X287,1,MATCH(MIN(C299:X299),C299:X299,0)))=0),INDEX(C287:X287,1,MATCH(MIN(C299:X299),C299:X299,0)),B297))</f>
        <v>S10</v>
      </c>
      <c r="C312" s="1">
        <f>IF(OR($B303&lt;&gt;$B288,$B304&lt;&gt;$B289,$B305&lt;&gt;$B290,$B306&lt;&gt;$B291,$B307&lt;&gt;$B292,$B308&lt;&gt;$B293,$B309&lt;&gt;$B294,$B310&lt;&gt;$B295,$B311&lt;&gt;$B296,$B312&lt;&gt;$B297,$B313&lt;&gt;$B298),IF($B312&lt;&gt;$B297,C297/INDEX($C288:$AJ298,10,MATCH(IF('Data-solution'!$A$3="Maximize",MAX($C299:$AI299),MIN($C299:$AI299)),$C299:$AI299,0)),C297-INDEX($C288:$AJ298,10,MATCH(IF('Data-solution'!$A$3="Maximize",MAX($C299:$AI299),MIN($C299:$AI299)),$C299:$AI299,0))*INDEX(C288:$AJ298,MATCH(MIN($AK288:$AK298),$AK288:$AK298,0),1)/INDEX($C288:$AJ298,MATCH(MIN($AK288:$AK298),$AK288:$AK298,0),MATCH(IF('Data-solution'!$A$3="Maximize",MAX($C299:$AI299),MIN($C299:$AI299)),$C299:$AI299,0))),C297)</f>
        <v>0</v>
      </c>
      <c r="D312" s="1">
        <f>IF(OR($B303&lt;&gt;$B288,$B304&lt;&gt;$B289,$B305&lt;&gt;$B290,$B306&lt;&gt;$B291,$B307&lt;&gt;$B292,$B308&lt;&gt;$B293,$B309&lt;&gt;$B294,$B310&lt;&gt;$B295,$B311&lt;&gt;$B296,$B312&lt;&gt;$B297,$B313&lt;&gt;$B298),IF($B312&lt;&gt;$B297,D297/INDEX($C288:$AJ298,10,MATCH(IF('Data-solution'!$A$3="Maximize",MAX($C299:$AI299),MIN($C299:$AI299)),$C299:$AI299,0)),D297-INDEX($C288:$AJ298,10,MATCH(IF('Data-solution'!$A$3="Maximize",MAX($C299:$AI299),MIN($C299:$AI299)),$C299:$AI299,0))*INDEX(D288:$AJ298,MATCH(MIN($AK288:$AK298),$AK288:$AK298,0),1)/INDEX($C288:$AJ298,MATCH(MIN($AK288:$AK298),$AK288:$AK298,0),MATCH(IF('Data-solution'!$A$3="Maximize",MAX($C299:$AI299),MIN($C299:$AI299)),$C299:$AI299,0))),D297)</f>
        <v>0</v>
      </c>
      <c r="E312" s="1">
        <f>IF(OR($B303&lt;&gt;$B288,$B304&lt;&gt;$B289,$B305&lt;&gt;$B290,$B306&lt;&gt;$B291,$B307&lt;&gt;$B292,$B308&lt;&gt;$B293,$B309&lt;&gt;$B294,$B310&lt;&gt;$B295,$B311&lt;&gt;$B296,$B312&lt;&gt;$B297,$B313&lt;&gt;$B298),IF($B312&lt;&gt;$B297,E297/INDEX($C288:$AJ298,10,MATCH(IF('Data-solution'!$A$3="Maximize",MAX($C299:$AI299),MIN($C299:$AI299)),$C299:$AI299,0)),E297-INDEX($C288:$AJ298,10,MATCH(IF('Data-solution'!$A$3="Maximize",MAX($C299:$AI299),MIN($C299:$AI299)),$C299:$AI299,0))*INDEX(E288:$AJ298,MATCH(MIN($AK288:$AK298),$AK288:$AK298,0),1)/INDEX($C288:$AJ298,MATCH(MIN($AK288:$AK298),$AK288:$AK298,0),MATCH(IF('Data-solution'!$A$3="Maximize",MAX($C299:$AI299),MIN($C299:$AI299)),$C299:$AI299,0))),E297)</f>
        <v>0</v>
      </c>
      <c r="F312" s="1">
        <f>IF(OR($B303&lt;&gt;$B288,$B304&lt;&gt;$B289,$B305&lt;&gt;$B290,$B306&lt;&gt;$B291,$B307&lt;&gt;$B292,$B308&lt;&gt;$B293,$B309&lt;&gt;$B294,$B310&lt;&gt;$B295,$B311&lt;&gt;$B296,$B312&lt;&gt;$B297,$B313&lt;&gt;$B298),IF($B312&lt;&gt;$B297,F297/INDEX($C288:$AJ298,10,MATCH(IF('Data-solution'!$A$3="Maximize",MAX($C299:$AI299),MIN($C299:$AI299)),$C299:$AI299,0)),F297-INDEX($C288:$AJ298,10,MATCH(IF('Data-solution'!$A$3="Maximize",MAX($C299:$AI299),MIN($C299:$AI299)),$C299:$AI299,0))*INDEX(F288:$AJ298,MATCH(MIN($AK288:$AK298),$AK288:$AK298,0),1)/INDEX($C288:$AJ298,MATCH(MIN($AK288:$AK298),$AK288:$AK298,0),MATCH(IF('Data-solution'!$A$3="Maximize",MAX($C299:$AI299),MIN($C299:$AI299)),$C299:$AI299,0))),F297)</f>
        <v>0</v>
      </c>
      <c r="G312" s="1">
        <f>IF(OR($B303&lt;&gt;$B288,$B304&lt;&gt;$B289,$B305&lt;&gt;$B290,$B306&lt;&gt;$B291,$B307&lt;&gt;$B292,$B308&lt;&gt;$B293,$B309&lt;&gt;$B294,$B310&lt;&gt;$B295,$B311&lt;&gt;$B296,$B312&lt;&gt;$B297,$B313&lt;&gt;$B298),IF($B312&lt;&gt;$B297,G297/INDEX($C288:$AJ298,10,MATCH(IF('Data-solution'!$A$3="Maximize",MAX($C299:$AI299),MIN($C299:$AI299)),$C299:$AI299,0)),G297-INDEX($C288:$AJ298,10,MATCH(IF('Data-solution'!$A$3="Maximize",MAX($C299:$AI299),MIN($C299:$AI299)),$C299:$AI299,0))*INDEX(G288:$AJ298,MATCH(MIN($AK288:$AK298),$AK288:$AK298,0),1)/INDEX($C288:$AJ298,MATCH(MIN($AK288:$AK298),$AK288:$AK298,0),MATCH(IF('Data-solution'!$A$3="Maximize",MAX($C299:$AI299),MIN($C299:$AI299)),$C299:$AI299,0))),G297)</f>
        <v>0</v>
      </c>
      <c r="H312" s="1">
        <f>IF(OR($B303&lt;&gt;$B288,$B304&lt;&gt;$B289,$B305&lt;&gt;$B290,$B306&lt;&gt;$B291,$B307&lt;&gt;$B292,$B308&lt;&gt;$B293,$B309&lt;&gt;$B294,$B310&lt;&gt;$B295,$B311&lt;&gt;$B296,$B312&lt;&gt;$B297,$B313&lt;&gt;$B298),IF($B312&lt;&gt;$B297,H297/INDEX($C288:$AJ298,10,MATCH(IF('Data-solution'!$A$3="Maximize",MAX($C299:$AI299),MIN($C299:$AI299)),$C299:$AI299,0)),H297-INDEX($C288:$AJ298,10,MATCH(IF('Data-solution'!$A$3="Maximize",MAX($C299:$AI299),MIN($C299:$AI299)),$C299:$AI299,0))*INDEX(H288:$AJ298,MATCH(MIN($AK288:$AK298),$AK288:$AK298,0),1)/INDEX($C288:$AJ298,MATCH(MIN($AK288:$AK298),$AK288:$AK298,0),MATCH(IF('Data-solution'!$A$3="Maximize",MAX($C299:$AI299),MIN($C299:$AI299)),$C299:$AI299,0))),H297)</f>
        <v>0</v>
      </c>
      <c r="I312" s="1">
        <f>IF(OR($B303&lt;&gt;$B288,$B304&lt;&gt;$B289,$B305&lt;&gt;$B290,$B306&lt;&gt;$B291,$B307&lt;&gt;$B292,$B308&lt;&gt;$B293,$B309&lt;&gt;$B294,$B310&lt;&gt;$B295,$B311&lt;&gt;$B296,$B312&lt;&gt;$B297,$B313&lt;&gt;$B298),IF($B312&lt;&gt;$B297,I297/INDEX($C288:$AJ298,10,MATCH(IF('Data-solution'!$A$3="Maximize",MAX($C299:$AI299),MIN($C299:$AI299)),$C299:$AI299,0)),I297-INDEX($C288:$AJ298,10,MATCH(IF('Data-solution'!$A$3="Maximize",MAX($C299:$AI299),MIN($C299:$AI299)),$C299:$AI299,0))*INDEX(I288:$AJ298,MATCH(MIN($AK288:$AK298),$AK288:$AK298,0),1)/INDEX($C288:$AJ298,MATCH(MIN($AK288:$AK298),$AK288:$AK298,0),MATCH(IF('Data-solution'!$A$3="Maximize",MAX($C299:$AI299),MIN($C299:$AI299)),$C299:$AI299,0))),I297)</f>
        <v>0</v>
      </c>
      <c r="J312" s="1">
        <f>IF(OR($B303&lt;&gt;$B288,$B304&lt;&gt;$B289,$B305&lt;&gt;$B290,$B306&lt;&gt;$B291,$B307&lt;&gt;$B292,$B308&lt;&gt;$B293,$B309&lt;&gt;$B294,$B310&lt;&gt;$B295,$B311&lt;&gt;$B296,$B312&lt;&gt;$B297,$B313&lt;&gt;$B298),IF($B312&lt;&gt;$B297,J297/INDEX($C288:$AJ298,10,MATCH(IF('Data-solution'!$A$3="Maximize",MAX($C299:$AI299),MIN($C299:$AI299)),$C299:$AI299,0)),J297-INDEX($C288:$AJ298,10,MATCH(IF('Data-solution'!$A$3="Maximize",MAX($C299:$AI299),MIN($C299:$AI299)),$C299:$AI299,0))*INDEX(J288:$AJ298,MATCH(MIN($AK288:$AK298),$AK288:$AK298,0),1)/INDEX($C288:$AJ298,MATCH(MIN($AK288:$AK298),$AK288:$AK298,0),MATCH(IF('Data-solution'!$A$3="Maximize",MAX($C299:$AI299),MIN($C299:$AI299)),$C299:$AI299,0))),J297)</f>
        <v>0</v>
      </c>
      <c r="K312" s="1">
        <f>IF(OR($B303&lt;&gt;$B288,$B304&lt;&gt;$B289,$B305&lt;&gt;$B290,$B306&lt;&gt;$B291,$B307&lt;&gt;$B292,$B308&lt;&gt;$B293,$B309&lt;&gt;$B294,$B310&lt;&gt;$B295,$B311&lt;&gt;$B296,$B312&lt;&gt;$B297,$B313&lt;&gt;$B298),IF($B312&lt;&gt;$B297,K297/INDEX($C288:$AJ298,10,MATCH(IF('Data-solution'!$A$3="Maximize",MAX($C299:$AI299),MIN($C299:$AI299)),$C299:$AI299,0)),K297-INDEX($C288:$AJ298,10,MATCH(IF('Data-solution'!$A$3="Maximize",MAX($C299:$AI299),MIN($C299:$AI299)),$C299:$AI299,0))*INDEX(K288:$AJ298,MATCH(MIN($AK288:$AK298),$AK288:$AK298,0),1)/INDEX($C288:$AJ298,MATCH(MIN($AK288:$AK298),$AK288:$AK298,0),MATCH(IF('Data-solution'!$A$3="Maximize",MAX($C299:$AI299),MIN($C299:$AI299)),$C299:$AI299,0))),K297)</f>
        <v>0</v>
      </c>
      <c r="L312" s="1">
        <f>IF(OR($B303&lt;&gt;$B288,$B304&lt;&gt;$B289,$B305&lt;&gt;$B290,$B306&lt;&gt;$B291,$B307&lt;&gt;$B292,$B308&lt;&gt;$B293,$B309&lt;&gt;$B294,$B310&lt;&gt;$B295,$B311&lt;&gt;$B296,$B312&lt;&gt;$B297,$B313&lt;&gt;$B298),IF($B312&lt;&gt;$B297,L297/INDEX($C288:$AJ298,10,MATCH(IF('Data-solution'!$A$3="Maximize",MAX($C299:$AI299),MIN($C299:$AI299)),$C299:$AI299,0)),L297-INDEX($C288:$AJ298,10,MATCH(IF('Data-solution'!$A$3="Maximize",MAX($C299:$AI299),MIN($C299:$AI299)),$C299:$AI299,0))*INDEX(L288:$AJ298,MATCH(MIN($AK288:$AK298),$AK288:$AK298,0),1)/INDEX($C288:$AJ298,MATCH(MIN($AK288:$AK298),$AK288:$AK298,0),MATCH(IF('Data-solution'!$A$3="Maximize",MAX($C299:$AI299),MIN($C299:$AI299)),$C299:$AI299,0))),L297)</f>
        <v>0</v>
      </c>
      <c r="M312" s="1">
        <f>IF(OR($B303&lt;&gt;$B288,$B304&lt;&gt;$B289,$B305&lt;&gt;$B290,$B306&lt;&gt;$B291,$B307&lt;&gt;$B292,$B308&lt;&gt;$B293,$B309&lt;&gt;$B294,$B310&lt;&gt;$B295,$B311&lt;&gt;$B296,$B312&lt;&gt;$B297,$B313&lt;&gt;$B298),IF($B312&lt;&gt;$B297,M297/INDEX($C288:$AJ298,10,MATCH(IF('Data-solution'!$A$3="Maximize",MAX($C299:$AI299),MIN($C299:$AI299)),$C299:$AI299,0)),M297-INDEX($C288:$AJ298,10,MATCH(IF('Data-solution'!$A$3="Maximize",MAX($C299:$AI299),MIN($C299:$AI299)),$C299:$AI299,0))*INDEX(M288:$AJ298,MATCH(MIN($AK288:$AK298),$AK288:$AK298,0),1)/INDEX($C288:$AJ298,MATCH(MIN($AK288:$AK298),$AK288:$AK298,0),MATCH(IF('Data-solution'!$A$3="Maximize",MAX($C299:$AI299),MIN($C299:$AI299)),$C299:$AI299,0))),M297)</f>
        <v>0</v>
      </c>
      <c r="N312" s="1">
        <f>IF(OR($B303&lt;&gt;$B288,$B304&lt;&gt;$B289,$B305&lt;&gt;$B290,$B306&lt;&gt;$B291,$B307&lt;&gt;$B292,$B308&lt;&gt;$B293,$B309&lt;&gt;$B294,$B310&lt;&gt;$B295,$B311&lt;&gt;$B296,$B312&lt;&gt;$B297,$B313&lt;&gt;$B298),IF($B312&lt;&gt;$B297,N297/INDEX($C288:$AJ298,10,MATCH(IF('Data-solution'!$A$3="Maximize",MAX($C299:$AI299),MIN($C299:$AI299)),$C299:$AI299,0)),N297-INDEX($C288:$AJ298,10,MATCH(IF('Data-solution'!$A$3="Maximize",MAX($C299:$AI299),MIN($C299:$AI299)),$C299:$AI299,0))*INDEX(N288:$AJ298,MATCH(MIN($AK288:$AK298),$AK288:$AK298,0),1)/INDEX($C288:$AJ298,MATCH(MIN($AK288:$AK298),$AK288:$AK298,0),MATCH(IF('Data-solution'!$A$3="Maximize",MAX($C299:$AI299),MIN($C299:$AI299)),$C299:$AI299,0))),N297)</f>
        <v>0</v>
      </c>
      <c r="O312" s="1">
        <f>IF(OR($B303&lt;&gt;$B288,$B304&lt;&gt;$B289,$B305&lt;&gt;$B290,$B306&lt;&gt;$B291,$B307&lt;&gt;$B292,$B308&lt;&gt;$B293,$B309&lt;&gt;$B294,$B310&lt;&gt;$B295,$B311&lt;&gt;$B296,$B312&lt;&gt;$B297,$B313&lt;&gt;$B298),IF($B312&lt;&gt;$B297,O297/INDEX($C288:$AJ298,10,MATCH(IF('Data-solution'!$A$3="Maximize",MAX($C299:$AI299),MIN($C299:$AI299)),$C299:$AI299,0)),O297-INDEX($C288:$AJ298,10,MATCH(IF('Data-solution'!$A$3="Maximize",MAX($C299:$AI299),MIN($C299:$AI299)),$C299:$AI299,0))*INDEX(O288:$AJ298,MATCH(MIN($AK288:$AK298),$AK288:$AK298,0),1)/INDEX($C288:$AJ298,MATCH(MIN($AK288:$AK298),$AK288:$AK298,0),MATCH(IF('Data-solution'!$A$3="Maximize",MAX($C299:$AI299),MIN($C299:$AI299)),$C299:$AI299,0))),O297)</f>
        <v>0</v>
      </c>
      <c r="P312" s="1">
        <f>IF(OR($B303&lt;&gt;$B288,$B304&lt;&gt;$B289,$B305&lt;&gt;$B290,$B306&lt;&gt;$B291,$B307&lt;&gt;$B292,$B308&lt;&gt;$B293,$B309&lt;&gt;$B294,$B310&lt;&gt;$B295,$B311&lt;&gt;$B296,$B312&lt;&gt;$B297,$B313&lt;&gt;$B298),IF($B312&lt;&gt;$B297,P297/INDEX($C288:$AJ298,10,MATCH(IF('Data-solution'!$A$3="Maximize",MAX($C299:$AI299),MIN($C299:$AI299)),$C299:$AI299,0)),P297-INDEX($C288:$AJ298,10,MATCH(IF('Data-solution'!$A$3="Maximize",MAX($C299:$AI299),MIN($C299:$AI299)),$C299:$AI299,0))*INDEX(P288:$AJ298,MATCH(MIN($AK288:$AK298),$AK288:$AK298,0),1)/INDEX($C288:$AJ298,MATCH(MIN($AK288:$AK298),$AK288:$AK298,0),MATCH(IF('Data-solution'!$A$3="Maximize",MAX($C299:$AI299),MIN($C299:$AI299)),$C299:$AI299,0))),P297)</f>
        <v>0</v>
      </c>
      <c r="Q312" s="1">
        <f>IF(OR($B303&lt;&gt;$B288,$B304&lt;&gt;$B289,$B305&lt;&gt;$B290,$B306&lt;&gt;$B291,$B307&lt;&gt;$B292,$B308&lt;&gt;$B293,$B309&lt;&gt;$B294,$B310&lt;&gt;$B295,$B311&lt;&gt;$B296,$B312&lt;&gt;$B297,$B313&lt;&gt;$B298),IF($B312&lt;&gt;$B297,Q297/INDEX($C288:$AJ298,10,MATCH(IF('Data-solution'!$A$3="Maximize",MAX($C299:$AI299),MIN($C299:$AI299)),$C299:$AI299,0)),Q297-INDEX($C288:$AJ298,10,MATCH(IF('Data-solution'!$A$3="Maximize",MAX($C299:$AI299),MIN($C299:$AI299)),$C299:$AI299,0))*INDEX(Q288:$AJ298,MATCH(MIN($AK288:$AK298),$AK288:$AK298,0),1)/INDEX($C288:$AJ298,MATCH(MIN($AK288:$AK298),$AK288:$AK298,0),MATCH(IF('Data-solution'!$A$3="Maximize",MAX($C299:$AI299),MIN($C299:$AI299)),$C299:$AI299,0))),Q297)</f>
        <v>0</v>
      </c>
      <c r="R312" s="1">
        <f>IF(OR($B303&lt;&gt;$B288,$B304&lt;&gt;$B289,$B305&lt;&gt;$B290,$B306&lt;&gt;$B291,$B307&lt;&gt;$B292,$B308&lt;&gt;$B293,$B309&lt;&gt;$B294,$B310&lt;&gt;$B295,$B311&lt;&gt;$B296,$B312&lt;&gt;$B297,$B313&lt;&gt;$B298),IF($B312&lt;&gt;$B297,R297/INDEX($C288:$AJ298,10,MATCH(IF('Data-solution'!$A$3="Maximize",MAX($C299:$AI299),MIN($C299:$AI299)),$C299:$AI299,0)),R297-INDEX($C288:$AJ298,10,MATCH(IF('Data-solution'!$A$3="Maximize",MAX($C299:$AI299),MIN($C299:$AI299)),$C299:$AI299,0))*INDEX(R288:$AJ298,MATCH(MIN($AK288:$AK298),$AK288:$AK298,0),1)/INDEX($C288:$AJ298,MATCH(MIN($AK288:$AK298),$AK288:$AK298,0),MATCH(IF('Data-solution'!$A$3="Maximize",MAX($C299:$AI299),MIN($C299:$AI299)),$C299:$AI299,0))),R297)</f>
        <v>0</v>
      </c>
      <c r="S312" s="1">
        <f>IF(OR($B303&lt;&gt;$B288,$B304&lt;&gt;$B289,$B305&lt;&gt;$B290,$B306&lt;&gt;$B291,$B307&lt;&gt;$B292,$B308&lt;&gt;$B293,$B309&lt;&gt;$B294,$B310&lt;&gt;$B295,$B311&lt;&gt;$B296,$B312&lt;&gt;$B297,$B313&lt;&gt;$B298),IF($B312&lt;&gt;$B297,S297/INDEX($C288:$AJ298,10,MATCH(IF('Data-solution'!$A$3="Maximize",MAX($C299:$AI299),MIN($C299:$AI299)),$C299:$AI299,0)),S297-INDEX($C288:$AJ298,10,MATCH(IF('Data-solution'!$A$3="Maximize",MAX($C299:$AI299),MIN($C299:$AI299)),$C299:$AI299,0))*INDEX(S288:$AJ298,MATCH(MIN($AK288:$AK298),$AK288:$AK298,0),1)/INDEX($C288:$AJ298,MATCH(MIN($AK288:$AK298),$AK288:$AK298,0),MATCH(IF('Data-solution'!$A$3="Maximize",MAX($C299:$AI299),MIN($C299:$AI299)),$C299:$AI299,0))),S297)</f>
        <v>0</v>
      </c>
      <c r="T312" s="1">
        <f>IF(OR($B303&lt;&gt;$B288,$B304&lt;&gt;$B289,$B305&lt;&gt;$B290,$B306&lt;&gt;$B291,$B307&lt;&gt;$B292,$B308&lt;&gt;$B293,$B309&lt;&gt;$B294,$B310&lt;&gt;$B295,$B311&lt;&gt;$B296,$B312&lt;&gt;$B297,$B313&lt;&gt;$B298),IF($B312&lt;&gt;$B297,T297/INDEX($C288:$AJ298,10,MATCH(IF('Data-solution'!$A$3="Maximize",MAX($C299:$AI299),MIN($C299:$AI299)),$C299:$AI299,0)),T297-INDEX($C288:$AJ298,10,MATCH(IF('Data-solution'!$A$3="Maximize",MAX($C299:$AI299),MIN($C299:$AI299)),$C299:$AI299,0))*INDEX(T288:$AJ298,MATCH(MIN($AK288:$AK298),$AK288:$AK298,0),1)/INDEX($C288:$AJ298,MATCH(MIN($AK288:$AK298),$AK288:$AK298,0),MATCH(IF('Data-solution'!$A$3="Maximize",MAX($C299:$AI299),MIN($C299:$AI299)),$C299:$AI299,0))),T297)</f>
        <v>0</v>
      </c>
      <c r="U312" s="1">
        <f>IF(OR($B303&lt;&gt;$B288,$B304&lt;&gt;$B289,$B305&lt;&gt;$B290,$B306&lt;&gt;$B291,$B307&lt;&gt;$B292,$B308&lt;&gt;$B293,$B309&lt;&gt;$B294,$B310&lt;&gt;$B295,$B311&lt;&gt;$B296,$B312&lt;&gt;$B297,$B313&lt;&gt;$B298),IF($B312&lt;&gt;$B297,U297/INDEX($C288:$AJ298,10,MATCH(IF('Data-solution'!$A$3="Maximize",MAX($C299:$AI299),MIN($C299:$AI299)),$C299:$AI299,0)),U297-INDEX($C288:$AJ298,10,MATCH(IF('Data-solution'!$A$3="Maximize",MAX($C299:$AI299),MIN($C299:$AI299)),$C299:$AI299,0))*INDEX(U288:$AJ298,MATCH(MIN($AK288:$AK298),$AK288:$AK298,0),1)/INDEX($C288:$AJ298,MATCH(MIN($AK288:$AK298),$AK288:$AK298,0),MATCH(IF('Data-solution'!$A$3="Maximize",MAX($C299:$AI299),MIN($C299:$AI299)),$C299:$AI299,0))),U297)</f>
        <v>0</v>
      </c>
      <c r="V312" s="1">
        <f>IF(OR($B303&lt;&gt;$B288,$B304&lt;&gt;$B289,$B305&lt;&gt;$B290,$B306&lt;&gt;$B291,$B307&lt;&gt;$B292,$B308&lt;&gt;$B293,$B309&lt;&gt;$B294,$B310&lt;&gt;$B295,$B311&lt;&gt;$B296,$B312&lt;&gt;$B297,$B313&lt;&gt;$B298),IF($B312&lt;&gt;$B297,V297/INDEX($C288:$AJ298,10,MATCH(IF('Data-solution'!$A$3="Maximize",MAX($C299:$AI299),MIN($C299:$AI299)),$C299:$AI299,0)),V297-INDEX($C288:$AJ298,10,MATCH(IF('Data-solution'!$A$3="Maximize",MAX($C299:$AI299),MIN($C299:$AI299)),$C299:$AI299,0))*INDEX(V288:$AJ298,MATCH(MIN($AK288:$AK298),$AK288:$AK298,0),1)/INDEX($C288:$AJ298,MATCH(MIN($AK288:$AK298),$AK288:$AK298,0),MATCH(IF('Data-solution'!$A$3="Maximize",MAX($C299:$AI299),MIN($C299:$AI299)),$C299:$AI299,0))),V297)</f>
        <v>0</v>
      </c>
      <c r="W312" s="1">
        <f>IF(OR($B303&lt;&gt;$B288,$B304&lt;&gt;$B289,$B305&lt;&gt;$B290,$B306&lt;&gt;$B291,$B307&lt;&gt;$B292,$B308&lt;&gt;$B293,$B309&lt;&gt;$B294,$B310&lt;&gt;$B295,$B311&lt;&gt;$B296,$B312&lt;&gt;$B297,$B313&lt;&gt;$B298),IF($B312&lt;&gt;$B297,W297/INDEX($C288:$AJ298,10,MATCH(IF('Data-solution'!$A$3="Maximize",MAX($C299:$AI299),MIN($C299:$AI299)),$C299:$AI299,0)),W297-INDEX($C288:$AJ298,10,MATCH(IF('Data-solution'!$A$3="Maximize",MAX($C299:$AI299),MIN($C299:$AI299)),$C299:$AI299,0))*INDEX(W288:$AJ298,MATCH(MIN($AK288:$AK298),$AK288:$AK298,0),1)/INDEX($C288:$AJ298,MATCH(MIN($AK288:$AK298),$AK288:$AK298,0),MATCH(IF('Data-solution'!$A$3="Maximize",MAX($C299:$AI299),MIN($C299:$AI299)),$C299:$AI299,0))),W297)</f>
        <v>1</v>
      </c>
      <c r="X312" s="1">
        <f>IF(OR($B303&lt;&gt;$B288,$B304&lt;&gt;$B289,$B305&lt;&gt;$B290,$B306&lt;&gt;$B291,$B307&lt;&gt;$B292,$B308&lt;&gt;$B293,$B309&lt;&gt;$B294,$B310&lt;&gt;$B295,$B311&lt;&gt;$B296,$B312&lt;&gt;$B297,$B313&lt;&gt;$B298),IF($B312&lt;&gt;$B297,X297/INDEX($C288:$AJ298,10,MATCH(IF('Data-solution'!$A$3="Maximize",MAX($C299:$AI299),MIN($C299:$AI299)),$C299:$AI299,0)),X297-INDEX($C288:$AJ298,10,MATCH(IF('Data-solution'!$A$3="Maximize",MAX($C299:$AI299),MIN($C299:$AI299)),$C299:$AI299,0))*INDEX(X288:$AJ298,MATCH(MIN($AK288:$AK298),$AK288:$AK298,0),1)/INDEX($C288:$AJ298,MATCH(MIN($AK288:$AK298),$AK288:$AK298,0),MATCH(IF('Data-solution'!$A$3="Maximize",MAX($C299:$AI299),MIN($C299:$AI299)),$C299:$AI299,0))),X297)</f>
        <v>0</v>
      </c>
      <c r="Y312" s="1">
        <f>IF(OR($B303&lt;&gt;$B288,$B304&lt;&gt;$B289,$B305&lt;&gt;$B290,$B306&lt;&gt;$B291,$B307&lt;&gt;$B292,$B308&lt;&gt;$B293,$B309&lt;&gt;$B294,$B310&lt;&gt;$B295,$B311&lt;&gt;$B296,$B312&lt;&gt;$B297,$B313&lt;&gt;$B298),IF($B312&lt;&gt;$B297,Y297/INDEX($C288:$AJ298,10,MATCH(IF('Data-solution'!$A$3="Maximize",MAX($C299:$AI299),MIN($C299:$AI299)),$C299:$AI299,0)),Y297-INDEX($C288:$AJ298,10,MATCH(IF('Data-solution'!$A$3="Maximize",MAX($C299:$AI299),MIN($C299:$AI299)),$C299:$AI299,0))*INDEX(Y288:$AJ298,MATCH(MIN($AK288:$AK298),$AK288:$AK298,0),1)/INDEX($C288:$AJ298,MATCH(MIN($AK288:$AK298),$AK288:$AK298,0),MATCH(IF('Data-solution'!$A$3="Maximize",MAX($C299:$AI299),MIN($C299:$AI299)),$C299:$AI299,0))),Y297)</f>
        <v>0</v>
      </c>
      <c r="Z312" s="1">
        <f>IF(OR($B303&lt;&gt;$B288,$B304&lt;&gt;$B289,$B305&lt;&gt;$B290,$B306&lt;&gt;$B291,$B307&lt;&gt;$B292,$B308&lt;&gt;$B293,$B309&lt;&gt;$B294,$B310&lt;&gt;$B295,$B311&lt;&gt;$B296,$B312&lt;&gt;$B297,$B313&lt;&gt;$B298),IF($B312&lt;&gt;$B297,Z297/INDEX($C288:$AJ298,10,MATCH(IF('Data-solution'!$A$3="Maximize",MAX($C299:$AI299),MIN($C299:$AI299)),$C299:$AI299,0)),Z297-INDEX($C288:$AJ298,10,MATCH(IF('Data-solution'!$A$3="Maximize",MAX($C299:$AI299),MIN($C299:$AI299)),$C299:$AI299,0))*INDEX(Z288:$AJ298,MATCH(MIN($AK288:$AK298),$AK288:$AK298,0),1)/INDEX($C288:$AJ298,MATCH(MIN($AK288:$AK298),$AK288:$AK298,0),MATCH(IF('Data-solution'!$A$3="Maximize",MAX($C299:$AI299),MIN($C299:$AI299)),$C299:$AI299,0))),Z297)</f>
        <v>0</v>
      </c>
      <c r="AA312" s="1">
        <f>IF(OR($B303&lt;&gt;$B288,$B304&lt;&gt;$B289,$B305&lt;&gt;$B290,$B306&lt;&gt;$B291,$B307&lt;&gt;$B292,$B308&lt;&gt;$B293,$B309&lt;&gt;$B294,$B310&lt;&gt;$B295,$B311&lt;&gt;$B296,$B312&lt;&gt;$B297,$B313&lt;&gt;$B298),IF($B312&lt;&gt;$B297,AA297/INDEX($C288:$AJ298,10,MATCH(IF('Data-solution'!$A$3="Maximize",MAX($C299:$AI299),MIN($C299:$AI299)),$C299:$AI299,0)),AA297-INDEX($C288:$AJ298,10,MATCH(IF('Data-solution'!$A$3="Maximize",MAX($C299:$AI299),MIN($C299:$AI299)),$C299:$AI299,0))*INDEX(AA288:$AJ298,MATCH(MIN($AK288:$AK298),$AK288:$AK298,0),1)/INDEX($C288:$AJ298,MATCH(MIN($AK288:$AK298),$AK288:$AK298,0),MATCH(IF('Data-solution'!$A$3="Maximize",MAX($C299:$AI299),MIN($C299:$AI299)),$C299:$AI299,0))),AA297)</f>
        <v>0</v>
      </c>
      <c r="AB312" s="1">
        <f>IF(OR($B303&lt;&gt;$B288,$B304&lt;&gt;$B289,$B305&lt;&gt;$B290,$B306&lt;&gt;$B291,$B307&lt;&gt;$B292,$B308&lt;&gt;$B293,$B309&lt;&gt;$B294,$B310&lt;&gt;$B295,$B311&lt;&gt;$B296,$B312&lt;&gt;$B297,$B313&lt;&gt;$B298),IF($B312&lt;&gt;$B297,AB297/INDEX($C288:$AJ298,10,MATCH(IF('Data-solution'!$A$3="Maximize",MAX($C299:$AI299),MIN($C299:$AI299)),$C299:$AI299,0)),AB297-INDEX($C288:$AJ298,10,MATCH(IF('Data-solution'!$A$3="Maximize",MAX($C299:$AI299),MIN($C299:$AI299)),$C299:$AI299,0))*INDEX(AB288:$AJ298,MATCH(MIN($AK288:$AK298),$AK288:$AK298,0),1)/INDEX($C288:$AJ298,MATCH(MIN($AK288:$AK298),$AK288:$AK298,0),MATCH(IF('Data-solution'!$A$3="Maximize",MAX($C299:$AI299),MIN($C299:$AI299)),$C299:$AI299,0))),AB297)</f>
        <v>0</v>
      </c>
      <c r="AC312" s="1">
        <f>IF(OR($B303&lt;&gt;$B288,$B304&lt;&gt;$B289,$B305&lt;&gt;$B290,$B306&lt;&gt;$B291,$B307&lt;&gt;$B292,$B308&lt;&gt;$B293,$B309&lt;&gt;$B294,$B310&lt;&gt;$B295,$B311&lt;&gt;$B296,$B312&lt;&gt;$B297,$B313&lt;&gt;$B298),IF($B312&lt;&gt;$B297,AC297/INDEX($C288:$AJ298,10,MATCH(IF('Data-solution'!$A$3="Maximize",MAX($C299:$AI299),MIN($C299:$AI299)),$C299:$AI299,0)),AC297-INDEX($C288:$AJ298,10,MATCH(IF('Data-solution'!$A$3="Maximize",MAX($C299:$AI299),MIN($C299:$AI299)),$C299:$AI299,0))*INDEX(AC288:$AJ298,MATCH(MIN($AK288:$AK298),$AK288:$AK298,0),1)/INDEX($C288:$AJ298,MATCH(MIN($AK288:$AK298),$AK288:$AK298,0),MATCH(IF('Data-solution'!$A$3="Maximize",MAX($C299:$AI299),MIN($C299:$AI299)),$C299:$AI299,0))),AC297)</f>
        <v>0</v>
      </c>
      <c r="AD312" s="1">
        <f>IF(OR($B303&lt;&gt;$B288,$B304&lt;&gt;$B289,$B305&lt;&gt;$B290,$B306&lt;&gt;$B291,$B307&lt;&gt;$B292,$B308&lt;&gt;$B293,$B309&lt;&gt;$B294,$B310&lt;&gt;$B295,$B311&lt;&gt;$B296,$B312&lt;&gt;$B297,$B313&lt;&gt;$B298),IF($B312&lt;&gt;$B297,AD297/INDEX($C288:$AJ298,10,MATCH(IF('Data-solution'!$A$3="Maximize",MAX($C299:$AI299),MIN($C299:$AI299)),$C299:$AI299,0)),AD297-INDEX($C288:$AJ298,10,MATCH(IF('Data-solution'!$A$3="Maximize",MAX($C299:$AI299),MIN($C299:$AI299)),$C299:$AI299,0))*INDEX(AD288:$AJ298,MATCH(MIN($AK288:$AK298),$AK288:$AK298,0),1)/INDEX($C288:$AJ298,MATCH(MIN($AK288:$AK298),$AK288:$AK298,0),MATCH(IF('Data-solution'!$A$3="Maximize",MAX($C299:$AI299),MIN($C299:$AI299)),$C299:$AI299,0))),AD297)</f>
        <v>0</v>
      </c>
      <c r="AE312" s="1">
        <f>IF(OR($B303&lt;&gt;$B288,$B304&lt;&gt;$B289,$B305&lt;&gt;$B290,$B306&lt;&gt;$B291,$B307&lt;&gt;$B292,$B308&lt;&gt;$B293,$B309&lt;&gt;$B294,$B310&lt;&gt;$B295,$B311&lt;&gt;$B296,$B312&lt;&gt;$B297,$B313&lt;&gt;$B298),IF($B312&lt;&gt;$B297,AE297/INDEX($C288:$AJ298,10,MATCH(IF('Data-solution'!$A$3="Maximize",MAX($C299:$AI299),MIN($C299:$AI299)),$C299:$AI299,0)),AE297-INDEX($C288:$AJ298,10,MATCH(IF('Data-solution'!$A$3="Maximize",MAX($C299:$AI299),MIN($C299:$AI299)),$C299:$AI299,0))*INDEX(AE288:$AJ298,MATCH(MIN($AK288:$AK298),$AK288:$AK298,0),1)/INDEX($C288:$AJ298,MATCH(MIN($AK288:$AK298),$AK288:$AK298,0),MATCH(IF('Data-solution'!$A$3="Maximize",MAX($C299:$AI299),MIN($C299:$AI299)),$C299:$AI299,0))),AE297)</f>
        <v>0</v>
      </c>
      <c r="AF312" s="1">
        <f>IF(OR($B303&lt;&gt;$B288,$B304&lt;&gt;$B289,$B305&lt;&gt;$B290,$B306&lt;&gt;$B291,$B307&lt;&gt;$B292,$B308&lt;&gt;$B293,$B309&lt;&gt;$B294,$B310&lt;&gt;$B295,$B311&lt;&gt;$B296,$B312&lt;&gt;$B297,$B313&lt;&gt;$B298),IF($B312&lt;&gt;$B297,AF297/INDEX($C288:$AJ298,10,MATCH(IF('Data-solution'!$A$3="Maximize",MAX($C299:$AI299),MIN($C299:$AI299)),$C299:$AI299,0)),AF297-INDEX($C288:$AJ298,10,MATCH(IF('Data-solution'!$A$3="Maximize",MAX($C299:$AI299),MIN($C299:$AI299)),$C299:$AI299,0))*INDEX(AF288:$AJ298,MATCH(MIN($AK288:$AK298),$AK288:$AK298,0),1)/INDEX($C288:$AJ298,MATCH(MIN($AK288:$AK298),$AK288:$AK298,0),MATCH(IF('Data-solution'!$A$3="Maximize",MAX($C299:$AI299),MIN($C299:$AI299)),$C299:$AI299,0))),AF297)</f>
        <v>0</v>
      </c>
      <c r="AG312" s="1">
        <f>IF(OR($B303&lt;&gt;$B288,$B304&lt;&gt;$B289,$B305&lt;&gt;$B290,$B306&lt;&gt;$B291,$B307&lt;&gt;$B292,$B308&lt;&gt;$B293,$B309&lt;&gt;$B294,$B310&lt;&gt;$B295,$B311&lt;&gt;$B296,$B312&lt;&gt;$B297,$B313&lt;&gt;$B298),IF($B312&lt;&gt;$B297,AG297/INDEX($C288:$AJ298,10,MATCH(IF('Data-solution'!$A$3="Maximize",MAX($C299:$AI299),MIN($C299:$AI299)),$C299:$AI299,0)),AG297-INDEX($C288:$AJ298,10,MATCH(IF('Data-solution'!$A$3="Maximize",MAX($C299:$AI299),MIN($C299:$AI299)),$C299:$AI299,0))*INDEX(AG288:$AJ298,MATCH(MIN($AK288:$AK298),$AK288:$AK298,0),1)/INDEX($C288:$AJ298,MATCH(MIN($AK288:$AK298),$AK288:$AK298,0),MATCH(IF('Data-solution'!$A$3="Maximize",MAX($C299:$AI299),MIN($C299:$AI299)),$C299:$AI299,0))),AG297)</f>
        <v>0</v>
      </c>
      <c r="AH312" s="1">
        <f>IF(OR($B303&lt;&gt;$B288,$B304&lt;&gt;$B289,$B305&lt;&gt;$B290,$B306&lt;&gt;$B291,$B307&lt;&gt;$B292,$B308&lt;&gt;$B293,$B309&lt;&gt;$B294,$B310&lt;&gt;$B295,$B311&lt;&gt;$B296,$B312&lt;&gt;$B297,$B313&lt;&gt;$B298),IF($B312&lt;&gt;$B297,AH297/INDEX($C288:$AJ298,10,MATCH(IF('Data-solution'!$A$3="Maximize",MAX($C299:$AI299),MIN($C299:$AI299)),$C299:$AI299,0)),AH297-INDEX($C288:$AJ298,10,MATCH(IF('Data-solution'!$A$3="Maximize",MAX($C299:$AI299),MIN($C299:$AI299)),$C299:$AI299,0))*INDEX(AH288:$AJ298,MATCH(MIN($AK288:$AK298),$AK288:$AK298,0),1)/INDEX($C288:$AJ298,MATCH(MIN($AK288:$AK298),$AK288:$AK298,0),MATCH(IF('Data-solution'!$A$3="Maximize",MAX($C299:$AI299),MIN($C299:$AI299)),$C299:$AI299,0))),AH297)</f>
        <v>1</v>
      </c>
      <c r="AI312" s="1">
        <f>IF(OR($B303&lt;&gt;$B288,$B304&lt;&gt;$B289,$B305&lt;&gt;$B290,$B306&lt;&gt;$B291,$B307&lt;&gt;$B292,$B308&lt;&gt;$B293,$B309&lt;&gt;$B294,$B310&lt;&gt;$B295,$B311&lt;&gt;$B296,$B312&lt;&gt;$B297,$B313&lt;&gt;$B298),IF($B312&lt;&gt;$B297,AI297/INDEX($C288:$AJ298,10,MATCH(IF('Data-solution'!$A$3="Maximize",MAX($C299:$AI299),MIN($C299:$AI299)),$C299:$AI299,0)),AI297-INDEX($C288:$AJ298,10,MATCH(IF('Data-solution'!$A$3="Maximize",MAX($C299:$AI299),MIN($C299:$AI299)),$C299:$AI299,0))*INDEX(AI288:$AJ298,MATCH(MIN($AK288:$AK298),$AK288:$AK298,0),1)/INDEX($C288:$AJ298,MATCH(MIN($AK288:$AK298),$AK288:$AK298,0),MATCH(IF('Data-solution'!$A$3="Maximize",MAX($C299:$AI299),MIN($C299:$AI299)),$C299:$AI299,0))),AI297)</f>
        <v>0</v>
      </c>
      <c r="AJ312" s="1">
        <f>IF(OR($B303&lt;&gt;$B288,$B304&lt;&gt;$B289,$B305&lt;&gt;$B290,$B306&lt;&gt;$B291,$B307&lt;&gt;$B292,$B308&lt;&gt;$B293,$B309&lt;&gt;$B294,$B310&lt;&gt;$B295,$B311&lt;&gt;$B296,$B312&lt;&gt;$B297,$B313&lt;&gt;$B298),IF($B312&lt;&gt;$B297,AJ297/INDEX($C288:$AJ298,10,MATCH(IF('Data-solution'!$A$3="Maximize",MAX($C299:$AI299),MIN($C299:$AI299)),$C299:$AI299,0)),AJ297-INDEX($C288:$AJ298,10,MATCH(IF('Data-solution'!$A$3="Maximize",MAX($C299:$AI299),MIN($C299:$AI299)),$C299:$AI299,0))*INDEX(AJ288:$AJ298,MATCH(MIN($AK288:$AK298),$AK288:$AK298,0),1)/INDEX($C288:$AJ298,MATCH(MIN($AK288:$AK298),$AK288:$AK298,0),MATCH(IF('Data-solution'!$A$3="Maximize",MAX($C299:$AI299),MIN($C299:$AI299)),$C299:$AI299,0))),AJ297)</f>
        <v>0</v>
      </c>
      <c r="AK312" s="1" t="str">
        <f>IF(INDEX(C312:X312,1,MATCH(IF('Data-solution'!A$3="Maximize",MAX(C314:X314),MIN(C314:X314)),C314:X314,0))&gt;0,AJ312/INDEX(C312:X312,1,MATCH(IF('Data-solution'!A$3="Maximize",MAX(C314:X314),MIN(C314:X314)),C314:X314,0))," ")</f>
        <v xml:space="preserve"> </v>
      </c>
    </row>
    <row r="313" spans="1:37" ht="18" customHeight="1" x14ac:dyDescent="0.2">
      <c r="A313" s="1">
        <f t="shared" ref="A313" si="282">INDEX(C301:AI301,1,MATCH(B313,C302:AI302,0))</f>
        <v>0</v>
      </c>
      <c r="B313" s="2" t="str">
        <f>IF(AND('Data-solution'!A$3="Maximize",COUNTIF(C299:X299,"&gt;"&amp;0)&gt;0,AK298=MIN(AK288:AK298),COUNTIF(B303:B312,INDEX(C287:X287,1,MATCH(MAX(C299:X299),C299:X299,0)))=0),INDEX(C287:X287,1,MATCH(MAX(C299:X299),C299:X299,0)),IF(AND('Data-solution'!A$3="Minimize",COUNTIF(C299:X299,"&lt;"&amp;0)&gt;0,AK298=MIN(AK288:AK298),COUNTIF(B303:B312,INDEX(C287:X287,1,MATCH(MIN(C299:X299),C299:X299,0)))=0),INDEX(C287:X287,1,MATCH(MIN(C299:X299),C299:X299,0)),B298))</f>
        <v>S11</v>
      </c>
      <c r="C313" s="1">
        <f>IF(OR($B303&lt;&gt;$B288,$B304&lt;&gt;$B289,$B305&lt;&gt;$B290,$B306&lt;&gt;$B291,$B307&lt;&gt;$B292,$B308&lt;&gt;$B293,$B309&lt;&gt;$B294,$B310&lt;&gt;$B295,$B311&lt;&gt;$B296,$B312&lt;&gt;$B297,$B313&lt;&gt;$B298),IF($B313&lt;&gt;$B298,C298/INDEX($C288:$AJ298,11,MATCH(IF('Data-solution'!$A$3="Maximize",MAX($C299:$AI299),MIN($C299:$AI299)),$C299:$AI299,0)),C298-INDEX($C288:$AJ298,11,MATCH(IF('Data-solution'!$A$3="Maximize",MAX($C299:$AI299),MIN($C299:$AI299)),$C299:$AI299,0))*INDEX(C288:$AJ298,MATCH(MIN($AK288:$AK298),$AK288:$AK298,0),1)/INDEX($C288:$AJ298,MATCH(MIN($AK288:$AK298),$AK288:$AK298,0),MATCH(IF('Data-solution'!$A$3="Maximize",MAX($C299:$AI299),MIN($C299:$AI299)),$C299:$AI299,0))),C298)</f>
        <v>0</v>
      </c>
      <c r="D313" s="1">
        <f>IF(OR($B303&lt;&gt;$B288,$B304&lt;&gt;$B289,$B305&lt;&gt;$B290,$B306&lt;&gt;$B291,$B307&lt;&gt;$B292,$B308&lt;&gt;$B293,$B309&lt;&gt;$B294,$B310&lt;&gt;$B295,$B311&lt;&gt;$B296,$B312&lt;&gt;$B297,$B313&lt;&gt;$B298),IF($B313&lt;&gt;$B298,D298/INDEX($C288:$AJ298,11,MATCH(IF('Data-solution'!$A$3="Maximize",MAX($C299:$AI299),MIN($C299:$AI299)),$C299:$AI299,0)),D298-INDEX($C288:$AJ298,11,MATCH(IF('Data-solution'!$A$3="Maximize",MAX($C299:$AI299),MIN($C299:$AI299)),$C299:$AI299,0))*INDEX(D288:$AJ298,MATCH(MIN($AK288:$AK298),$AK288:$AK298,0),1)/INDEX($C288:$AJ298,MATCH(MIN($AK288:$AK298),$AK288:$AK298,0),MATCH(IF('Data-solution'!$A$3="Maximize",MAX($C299:$AI299),MIN($C299:$AI299)),$C299:$AI299,0))),D298)</f>
        <v>0</v>
      </c>
      <c r="E313" s="1">
        <f>IF(OR($B303&lt;&gt;$B288,$B304&lt;&gt;$B289,$B305&lt;&gt;$B290,$B306&lt;&gt;$B291,$B307&lt;&gt;$B292,$B308&lt;&gt;$B293,$B309&lt;&gt;$B294,$B310&lt;&gt;$B295,$B311&lt;&gt;$B296,$B312&lt;&gt;$B297,$B313&lt;&gt;$B298),IF($B313&lt;&gt;$B298,E298/INDEX($C288:$AJ298,11,MATCH(IF('Data-solution'!$A$3="Maximize",MAX($C299:$AI299),MIN($C299:$AI299)),$C299:$AI299,0)),E298-INDEX($C288:$AJ298,11,MATCH(IF('Data-solution'!$A$3="Maximize",MAX($C299:$AI299),MIN($C299:$AI299)),$C299:$AI299,0))*INDEX(E288:$AJ298,MATCH(MIN($AK288:$AK298),$AK288:$AK298,0),1)/INDEX($C288:$AJ298,MATCH(MIN($AK288:$AK298),$AK288:$AK298,0),MATCH(IF('Data-solution'!$A$3="Maximize",MAX($C299:$AI299),MIN($C299:$AI299)),$C299:$AI299,0))),E298)</f>
        <v>0</v>
      </c>
      <c r="F313" s="1">
        <f>IF(OR($B303&lt;&gt;$B288,$B304&lt;&gt;$B289,$B305&lt;&gt;$B290,$B306&lt;&gt;$B291,$B307&lt;&gt;$B292,$B308&lt;&gt;$B293,$B309&lt;&gt;$B294,$B310&lt;&gt;$B295,$B311&lt;&gt;$B296,$B312&lt;&gt;$B297,$B313&lt;&gt;$B298),IF($B313&lt;&gt;$B298,F298/INDEX($C288:$AJ298,11,MATCH(IF('Data-solution'!$A$3="Maximize",MAX($C299:$AI299),MIN($C299:$AI299)),$C299:$AI299,0)),F298-INDEX($C288:$AJ298,11,MATCH(IF('Data-solution'!$A$3="Maximize",MAX($C299:$AI299),MIN($C299:$AI299)),$C299:$AI299,0))*INDEX(F288:$AJ298,MATCH(MIN($AK288:$AK298),$AK288:$AK298,0),1)/INDEX($C288:$AJ298,MATCH(MIN($AK288:$AK298),$AK288:$AK298,0),MATCH(IF('Data-solution'!$A$3="Maximize",MAX($C299:$AI299),MIN($C299:$AI299)),$C299:$AI299,0))),F298)</f>
        <v>0</v>
      </c>
      <c r="G313" s="1">
        <f>IF(OR($B303&lt;&gt;$B288,$B304&lt;&gt;$B289,$B305&lt;&gt;$B290,$B306&lt;&gt;$B291,$B307&lt;&gt;$B292,$B308&lt;&gt;$B293,$B309&lt;&gt;$B294,$B310&lt;&gt;$B295,$B311&lt;&gt;$B296,$B312&lt;&gt;$B297,$B313&lt;&gt;$B298),IF($B313&lt;&gt;$B298,G298/INDEX($C288:$AJ298,11,MATCH(IF('Data-solution'!$A$3="Maximize",MAX($C299:$AI299),MIN($C299:$AI299)),$C299:$AI299,0)),G298-INDEX($C288:$AJ298,11,MATCH(IF('Data-solution'!$A$3="Maximize",MAX($C299:$AI299),MIN($C299:$AI299)),$C299:$AI299,0))*INDEX(G288:$AJ298,MATCH(MIN($AK288:$AK298),$AK288:$AK298,0),1)/INDEX($C288:$AJ298,MATCH(MIN($AK288:$AK298),$AK288:$AK298,0),MATCH(IF('Data-solution'!$A$3="Maximize",MAX($C299:$AI299),MIN($C299:$AI299)),$C299:$AI299,0))),G298)</f>
        <v>0</v>
      </c>
      <c r="H313" s="1">
        <f>IF(OR($B303&lt;&gt;$B288,$B304&lt;&gt;$B289,$B305&lt;&gt;$B290,$B306&lt;&gt;$B291,$B307&lt;&gt;$B292,$B308&lt;&gt;$B293,$B309&lt;&gt;$B294,$B310&lt;&gt;$B295,$B311&lt;&gt;$B296,$B312&lt;&gt;$B297,$B313&lt;&gt;$B298),IF($B313&lt;&gt;$B298,H298/INDEX($C288:$AJ298,11,MATCH(IF('Data-solution'!$A$3="Maximize",MAX($C299:$AI299),MIN($C299:$AI299)),$C299:$AI299,0)),H298-INDEX($C288:$AJ298,11,MATCH(IF('Data-solution'!$A$3="Maximize",MAX($C299:$AI299),MIN($C299:$AI299)),$C299:$AI299,0))*INDEX(H288:$AJ298,MATCH(MIN($AK288:$AK298),$AK288:$AK298,0),1)/INDEX($C288:$AJ298,MATCH(MIN($AK288:$AK298),$AK288:$AK298,0),MATCH(IF('Data-solution'!$A$3="Maximize",MAX($C299:$AI299),MIN($C299:$AI299)),$C299:$AI299,0))),H298)</f>
        <v>0</v>
      </c>
      <c r="I313" s="1">
        <f>IF(OR($B303&lt;&gt;$B288,$B304&lt;&gt;$B289,$B305&lt;&gt;$B290,$B306&lt;&gt;$B291,$B307&lt;&gt;$B292,$B308&lt;&gt;$B293,$B309&lt;&gt;$B294,$B310&lt;&gt;$B295,$B311&lt;&gt;$B296,$B312&lt;&gt;$B297,$B313&lt;&gt;$B298),IF($B313&lt;&gt;$B298,I298/INDEX($C288:$AJ298,11,MATCH(IF('Data-solution'!$A$3="Maximize",MAX($C299:$AI299),MIN($C299:$AI299)),$C299:$AI299,0)),I298-INDEX($C288:$AJ298,11,MATCH(IF('Data-solution'!$A$3="Maximize",MAX($C299:$AI299),MIN($C299:$AI299)),$C299:$AI299,0))*INDEX(I288:$AJ298,MATCH(MIN($AK288:$AK298),$AK288:$AK298,0),1)/INDEX($C288:$AJ298,MATCH(MIN($AK288:$AK298),$AK288:$AK298,0),MATCH(IF('Data-solution'!$A$3="Maximize",MAX($C299:$AI299),MIN($C299:$AI299)),$C299:$AI299,0))),I298)</f>
        <v>0</v>
      </c>
      <c r="J313" s="1">
        <f>IF(OR($B303&lt;&gt;$B288,$B304&lt;&gt;$B289,$B305&lt;&gt;$B290,$B306&lt;&gt;$B291,$B307&lt;&gt;$B292,$B308&lt;&gt;$B293,$B309&lt;&gt;$B294,$B310&lt;&gt;$B295,$B311&lt;&gt;$B296,$B312&lt;&gt;$B297,$B313&lt;&gt;$B298),IF($B313&lt;&gt;$B298,J298/INDEX($C288:$AJ298,11,MATCH(IF('Data-solution'!$A$3="Maximize",MAX($C299:$AI299),MIN($C299:$AI299)),$C299:$AI299,0)),J298-INDEX($C288:$AJ298,11,MATCH(IF('Data-solution'!$A$3="Maximize",MAX($C299:$AI299),MIN($C299:$AI299)),$C299:$AI299,0))*INDEX(J288:$AJ298,MATCH(MIN($AK288:$AK298),$AK288:$AK298,0),1)/INDEX($C288:$AJ298,MATCH(MIN($AK288:$AK298),$AK288:$AK298,0),MATCH(IF('Data-solution'!$A$3="Maximize",MAX($C299:$AI299),MIN($C299:$AI299)),$C299:$AI299,0))),J298)</f>
        <v>0</v>
      </c>
      <c r="K313" s="1">
        <f>IF(OR($B303&lt;&gt;$B288,$B304&lt;&gt;$B289,$B305&lt;&gt;$B290,$B306&lt;&gt;$B291,$B307&lt;&gt;$B292,$B308&lt;&gt;$B293,$B309&lt;&gt;$B294,$B310&lt;&gt;$B295,$B311&lt;&gt;$B296,$B312&lt;&gt;$B297,$B313&lt;&gt;$B298),IF($B313&lt;&gt;$B298,K298/INDEX($C288:$AJ298,11,MATCH(IF('Data-solution'!$A$3="Maximize",MAX($C299:$AI299),MIN($C299:$AI299)),$C299:$AI299,0)),K298-INDEX($C288:$AJ298,11,MATCH(IF('Data-solution'!$A$3="Maximize",MAX($C299:$AI299),MIN($C299:$AI299)),$C299:$AI299,0))*INDEX(K288:$AJ298,MATCH(MIN($AK288:$AK298),$AK288:$AK298,0),1)/INDEX($C288:$AJ298,MATCH(MIN($AK288:$AK298),$AK288:$AK298,0),MATCH(IF('Data-solution'!$A$3="Maximize",MAX($C299:$AI299),MIN($C299:$AI299)),$C299:$AI299,0))),K298)</f>
        <v>0</v>
      </c>
      <c r="L313" s="1">
        <f>IF(OR($B303&lt;&gt;$B288,$B304&lt;&gt;$B289,$B305&lt;&gt;$B290,$B306&lt;&gt;$B291,$B307&lt;&gt;$B292,$B308&lt;&gt;$B293,$B309&lt;&gt;$B294,$B310&lt;&gt;$B295,$B311&lt;&gt;$B296,$B312&lt;&gt;$B297,$B313&lt;&gt;$B298),IF($B313&lt;&gt;$B298,L298/INDEX($C288:$AJ298,11,MATCH(IF('Data-solution'!$A$3="Maximize",MAX($C299:$AI299),MIN($C299:$AI299)),$C299:$AI299,0)),L298-INDEX($C288:$AJ298,11,MATCH(IF('Data-solution'!$A$3="Maximize",MAX($C299:$AI299),MIN($C299:$AI299)),$C299:$AI299,0))*INDEX(L288:$AJ298,MATCH(MIN($AK288:$AK298),$AK288:$AK298,0),1)/INDEX($C288:$AJ298,MATCH(MIN($AK288:$AK298),$AK288:$AK298,0),MATCH(IF('Data-solution'!$A$3="Maximize",MAX($C299:$AI299),MIN($C299:$AI299)),$C299:$AI299,0))),L298)</f>
        <v>0</v>
      </c>
      <c r="M313" s="1">
        <f>IF(OR($B303&lt;&gt;$B288,$B304&lt;&gt;$B289,$B305&lt;&gt;$B290,$B306&lt;&gt;$B291,$B307&lt;&gt;$B292,$B308&lt;&gt;$B293,$B309&lt;&gt;$B294,$B310&lt;&gt;$B295,$B311&lt;&gt;$B296,$B312&lt;&gt;$B297,$B313&lt;&gt;$B298),IF($B313&lt;&gt;$B298,M298/INDEX($C288:$AJ298,11,MATCH(IF('Data-solution'!$A$3="Maximize",MAX($C299:$AI299),MIN($C299:$AI299)),$C299:$AI299,0)),M298-INDEX($C288:$AJ298,11,MATCH(IF('Data-solution'!$A$3="Maximize",MAX($C299:$AI299),MIN($C299:$AI299)),$C299:$AI299,0))*INDEX(M288:$AJ298,MATCH(MIN($AK288:$AK298),$AK288:$AK298,0),1)/INDEX($C288:$AJ298,MATCH(MIN($AK288:$AK298),$AK288:$AK298,0),MATCH(IF('Data-solution'!$A$3="Maximize",MAX($C299:$AI299),MIN($C299:$AI299)),$C299:$AI299,0))),M298)</f>
        <v>0</v>
      </c>
      <c r="N313" s="1">
        <f>IF(OR($B303&lt;&gt;$B288,$B304&lt;&gt;$B289,$B305&lt;&gt;$B290,$B306&lt;&gt;$B291,$B307&lt;&gt;$B292,$B308&lt;&gt;$B293,$B309&lt;&gt;$B294,$B310&lt;&gt;$B295,$B311&lt;&gt;$B296,$B312&lt;&gt;$B297,$B313&lt;&gt;$B298),IF($B313&lt;&gt;$B298,N298/INDEX($C288:$AJ298,11,MATCH(IF('Data-solution'!$A$3="Maximize",MAX($C299:$AI299),MIN($C299:$AI299)),$C299:$AI299,0)),N298-INDEX($C288:$AJ298,11,MATCH(IF('Data-solution'!$A$3="Maximize",MAX($C299:$AI299),MIN($C299:$AI299)),$C299:$AI299,0))*INDEX(N288:$AJ298,MATCH(MIN($AK288:$AK298),$AK288:$AK298,0),1)/INDEX($C288:$AJ298,MATCH(MIN($AK288:$AK298),$AK288:$AK298,0),MATCH(IF('Data-solution'!$A$3="Maximize",MAX($C299:$AI299),MIN($C299:$AI299)),$C299:$AI299,0))),N298)</f>
        <v>0</v>
      </c>
      <c r="O313" s="1">
        <f>IF(OR($B303&lt;&gt;$B288,$B304&lt;&gt;$B289,$B305&lt;&gt;$B290,$B306&lt;&gt;$B291,$B307&lt;&gt;$B292,$B308&lt;&gt;$B293,$B309&lt;&gt;$B294,$B310&lt;&gt;$B295,$B311&lt;&gt;$B296,$B312&lt;&gt;$B297,$B313&lt;&gt;$B298),IF($B313&lt;&gt;$B298,O298/INDEX($C288:$AJ298,11,MATCH(IF('Data-solution'!$A$3="Maximize",MAX($C299:$AI299),MIN($C299:$AI299)),$C299:$AI299,0)),O298-INDEX($C288:$AJ298,11,MATCH(IF('Data-solution'!$A$3="Maximize",MAX($C299:$AI299),MIN($C299:$AI299)),$C299:$AI299,0))*INDEX(O288:$AJ298,MATCH(MIN($AK288:$AK298),$AK288:$AK298,0),1)/INDEX($C288:$AJ298,MATCH(MIN($AK288:$AK298),$AK288:$AK298,0),MATCH(IF('Data-solution'!$A$3="Maximize",MAX($C299:$AI299),MIN($C299:$AI299)),$C299:$AI299,0))),O298)</f>
        <v>0</v>
      </c>
      <c r="P313" s="1">
        <f>IF(OR($B303&lt;&gt;$B288,$B304&lt;&gt;$B289,$B305&lt;&gt;$B290,$B306&lt;&gt;$B291,$B307&lt;&gt;$B292,$B308&lt;&gt;$B293,$B309&lt;&gt;$B294,$B310&lt;&gt;$B295,$B311&lt;&gt;$B296,$B312&lt;&gt;$B297,$B313&lt;&gt;$B298),IF($B313&lt;&gt;$B298,P298/INDEX($C288:$AJ298,11,MATCH(IF('Data-solution'!$A$3="Maximize",MAX($C299:$AI299),MIN($C299:$AI299)),$C299:$AI299,0)),P298-INDEX($C288:$AJ298,11,MATCH(IF('Data-solution'!$A$3="Maximize",MAX($C299:$AI299),MIN($C299:$AI299)),$C299:$AI299,0))*INDEX(P288:$AJ298,MATCH(MIN($AK288:$AK298),$AK288:$AK298,0),1)/INDEX($C288:$AJ298,MATCH(MIN($AK288:$AK298),$AK288:$AK298,0),MATCH(IF('Data-solution'!$A$3="Maximize",MAX($C299:$AI299),MIN($C299:$AI299)),$C299:$AI299,0))),P298)</f>
        <v>0</v>
      </c>
      <c r="Q313" s="1">
        <f>IF(OR($B303&lt;&gt;$B288,$B304&lt;&gt;$B289,$B305&lt;&gt;$B290,$B306&lt;&gt;$B291,$B307&lt;&gt;$B292,$B308&lt;&gt;$B293,$B309&lt;&gt;$B294,$B310&lt;&gt;$B295,$B311&lt;&gt;$B296,$B312&lt;&gt;$B297,$B313&lt;&gt;$B298),IF($B313&lt;&gt;$B298,Q298/INDEX($C288:$AJ298,11,MATCH(IF('Data-solution'!$A$3="Maximize",MAX($C299:$AI299),MIN($C299:$AI299)),$C299:$AI299,0)),Q298-INDEX($C288:$AJ298,11,MATCH(IF('Data-solution'!$A$3="Maximize",MAX($C299:$AI299),MIN($C299:$AI299)),$C299:$AI299,0))*INDEX(Q288:$AJ298,MATCH(MIN($AK288:$AK298),$AK288:$AK298,0),1)/INDEX($C288:$AJ298,MATCH(MIN($AK288:$AK298),$AK288:$AK298,0),MATCH(IF('Data-solution'!$A$3="Maximize",MAX($C299:$AI299),MIN($C299:$AI299)),$C299:$AI299,0))),Q298)</f>
        <v>0</v>
      </c>
      <c r="R313" s="1">
        <f>IF(OR($B303&lt;&gt;$B288,$B304&lt;&gt;$B289,$B305&lt;&gt;$B290,$B306&lt;&gt;$B291,$B307&lt;&gt;$B292,$B308&lt;&gt;$B293,$B309&lt;&gt;$B294,$B310&lt;&gt;$B295,$B311&lt;&gt;$B296,$B312&lt;&gt;$B297,$B313&lt;&gt;$B298),IF($B313&lt;&gt;$B298,R298/INDEX($C288:$AJ298,11,MATCH(IF('Data-solution'!$A$3="Maximize",MAX($C299:$AI299),MIN($C299:$AI299)),$C299:$AI299,0)),R298-INDEX($C288:$AJ298,11,MATCH(IF('Data-solution'!$A$3="Maximize",MAX($C299:$AI299),MIN($C299:$AI299)),$C299:$AI299,0))*INDEX(R288:$AJ298,MATCH(MIN($AK288:$AK298),$AK288:$AK298,0),1)/INDEX($C288:$AJ298,MATCH(MIN($AK288:$AK298),$AK288:$AK298,0),MATCH(IF('Data-solution'!$A$3="Maximize",MAX($C299:$AI299),MIN($C299:$AI299)),$C299:$AI299,0))),R298)</f>
        <v>0</v>
      </c>
      <c r="S313" s="1">
        <f>IF(OR($B303&lt;&gt;$B288,$B304&lt;&gt;$B289,$B305&lt;&gt;$B290,$B306&lt;&gt;$B291,$B307&lt;&gt;$B292,$B308&lt;&gt;$B293,$B309&lt;&gt;$B294,$B310&lt;&gt;$B295,$B311&lt;&gt;$B296,$B312&lt;&gt;$B297,$B313&lt;&gt;$B298),IF($B313&lt;&gt;$B298,S298/INDEX($C288:$AJ298,11,MATCH(IF('Data-solution'!$A$3="Maximize",MAX($C299:$AI299),MIN($C299:$AI299)),$C299:$AI299,0)),S298-INDEX($C288:$AJ298,11,MATCH(IF('Data-solution'!$A$3="Maximize",MAX($C299:$AI299),MIN($C299:$AI299)),$C299:$AI299,0))*INDEX(S288:$AJ298,MATCH(MIN($AK288:$AK298),$AK288:$AK298,0),1)/INDEX($C288:$AJ298,MATCH(MIN($AK288:$AK298),$AK288:$AK298,0),MATCH(IF('Data-solution'!$A$3="Maximize",MAX($C299:$AI299),MIN($C299:$AI299)),$C299:$AI299,0))),S298)</f>
        <v>0</v>
      </c>
      <c r="T313" s="1">
        <f>IF(OR($B303&lt;&gt;$B288,$B304&lt;&gt;$B289,$B305&lt;&gt;$B290,$B306&lt;&gt;$B291,$B307&lt;&gt;$B292,$B308&lt;&gt;$B293,$B309&lt;&gt;$B294,$B310&lt;&gt;$B295,$B311&lt;&gt;$B296,$B312&lt;&gt;$B297,$B313&lt;&gt;$B298),IF($B313&lt;&gt;$B298,T298/INDEX($C288:$AJ298,11,MATCH(IF('Data-solution'!$A$3="Maximize",MAX($C299:$AI299),MIN($C299:$AI299)),$C299:$AI299,0)),T298-INDEX($C288:$AJ298,11,MATCH(IF('Data-solution'!$A$3="Maximize",MAX($C299:$AI299),MIN($C299:$AI299)),$C299:$AI299,0))*INDEX(T288:$AJ298,MATCH(MIN($AK288:$AK298),$AK288:$AK298,0),1)/INDEX($C288:$AJ298,MATCH(MIN($AK288:$AK298),$AK288:$AK298,0),MATCH(IF('Data-solution'!$A$3="Maximize",MAX($C299:$AI299),MIN($C299:$AI299)),$C299:$AI299,0))),T298)</f>
        <v>0</v>
      </c>
      <c r="U313" s="1">
        <f>IF(OR($B303&lt;&gt;$B288,$B304&lt;&gt;$B289,$B305&lt;&gt;$B290,$B306&lt;&gt;$B291,$B307&lt;&gt;$B292,$B308&lt;&gt;$B293,$B309&lt;&gt;$B294,$B310&lt;&gt;$B295,$B311&lt;&gt;$B296,$B312&lt;&gt;$B297,$B313&lt;&gt;$B298),IF($B313&lt;&gt;$B298,U298/INDEX($C288:$AJ298,11,MATCH(IF('Data-solution'!$A$3="Maximize",MAX($C299:$AI299),MIN($C299:$AI299)),$C299:$AI299,0)),U298-INDEX($C288:$AJ298,11,MATCH(IF('Data-solution'!$A$3="Maximize",MAX($C299:$AI299),MIN($C299:$AI299)),$C299:$AI299,0))*INDEX(U288:$AJ298,MATCH(MIN($AK288:$AK298),$AK288:$AK298,0),1)/INDEX($C288:$AJ298,MATCH(MIN($AK288:$AK298),$AK288:$AK298,0),MATCH(IF('Data-solution'!$A$3="Maximize",MAX($C299:$AI299),MIN($C299:$AI299)),$C299:$AI299,0))),U298)</f>
        <v>0</v>
      </c>
      <c r="V313" s="1">
        <f>IF(OR($B303&lt;&gt;$B288,$B304&lt;&gt;$B289,$B305&lt;&gt;$B290,$B306&lt;&gt;$B291,$B307&lt;&gt;$B292,$B308&lt;&gt;$B293,$B309&lt;&gt;$B294,$B310&lt;&gt;$B295,$B311&lt;&gt;$B296,$B312&lt;&gt;$B297,$B313&lt;&gt;$B298),IF($B313&lt;&gt;$B298,V298/INDEX($C288:$AJ298,11,MATCH(IF('Data-solution'!$A$3="Maximize",MAX($C299:$AI299),MIN($C299:$AI299)),$C299:$AI299,0)),V298-INDEX($C288:$AJ298,11,MATCH(IF('Data-solution'!$A$3="Maximize",MAX($C299:$AI299),MIN($C299:$AI299)),$C299:$AI299,0))*INDEX(V288:$AJ298,MATCH(MIN($AK288:$AK298),$AK288:$AK298,0),1)/INDEX($C288:$AJ298,MATCH(MIN($AK288:$AK298),$AK288:$AK298,0),MATCH(IF('Data-solution'!$A$3="Maximize",MAX($C299:$AI299),MIN($C299:$AI299)),$C299:$AI299,0))),V298)</f>
        <v>0</v>
      </c>
      <c r="W313" s="1">
        <f>IF(OR($B303&lt;&gt;$B288,$B304&lt;&gt;$B289,$B305&lt;&gt;$B290,$B306&lt;&gt;$B291,$B307&lt;&gt;$B292,$B308&lt;&gt;$B293,$B309&lt;&gt;$B294,$B310&lt;&gt;$B295,$B311&lt;&gt;$B296,$B312&lt;&gt;$B297,$B313&lt;&gt;$B298),IF($B313&lt;&gt;$B298,W298/INDEX($C288:$AJ298,11,MATCH(IF('Data-solution'!$A$3="Maximize",MAX($C299:$AI299),MIN($C299:$AI299)),$C299:$AI299,0)),W298-INDEX($C288:$AJ298,11,MATCH(IF('Data-solution'!$A$3="Maximize",MAX($C299:$AI299),MIN($C299:$AI299)),$C299:$AI299,0))*INDEX(W288:$AJ298,MATCH(MIN($AK288:$AK298),$AK288:$AK298,0),1)/INDEX($C288:$AJ298,MATCH(MIN($AK288:$AK298),$AK288:$AK298,0),MATCH(IF('Data-solution'!$A$3="Maximize",MAX($C299:$AI299),MIN($C299:$AI299)),$C299:$AI299,0))),W298)</f>
        <v>0</v>
      </c>
      <c r="X313" s="1">
        <f>IF(OR($B303&lt;&gt;$B288,$B304&lt;&gt;$B289,$B305&lt;&gt;$B290,$B306&lt;&gt;$B291,$B307&lt;&gt;$B292,$B308&lt;&gt;$B293,$B309&lt;&gt;$B294,$B310&lt;&gt;$B295,$B311&lt;&gt;$B296,$B312&lt;&gt;$B297,$B313&lt;&gt;$B298),IF($B313&lt;&gt;$B298,X298/INDEX($C288:$AJ298,11,MATCH(IF('Data-solution'!$A$3="Maximize",MAX($C299:$AI299),MIN($C299:$AI299)),$C299:$AI299,0)),X298-INDEX($C288:$AJ298,11,MATCH(IF('Data-solution'!$A$3="Maximize",MAX($C299:$AI299),MIN($C299:$AI299)),$C299:$AI299,0))*INDEX(X288:$AJ298,MATCH(MIN($AK288:$AK298),$AK288:$AK298,0),1)/INDEX($C288:$AJ298,MATCH(MIN($AK288:$AK298),$AK288:$AK298,0),MATCH(IF('Data-solution'!$A$3="Maximize",MAX($C299:$AI299),MIN($C299:$AI299)),$C299:$AI299,0))),X298)</f>
        <v>1</v>
      </c>
      <c r="Y313" s="1">
        <f>IF(OR($B303&lt;&gt;$B288,$B304&lt;&gt;$B289,$B305&lt;&gt;$B290,$B306&lt;&gt;$B291,$B307&lt;&gt;$B292,$B308&lt;&gt;$B293,$B309&lt;&gt;$B294,$B310&lt;&gt;$B295,$B311&lt;&gt;$B296,$B312&lt;&gt;$B297,$B313&lt;&gt;$B298),IF($B313&lt;&gt;$B298,Y298/INDEX($C288:$AJ298,11,MATCH(IF('Data-solution'!$A$3="Maximize",MAX($C299:$AI299),MIN($C299:$AI299)),$C299:$AI299,0)),Y298-INDEX($C288:$AJ298,11,MATCH(IF('Data-solution'!$A$3="Maximize",MAX($C299:$AI299),MIN($C299:$AI299)),$C299:$AI299,0))*INDEX(Y288:$AJ298,MATCH(MIN($AK288:$AK298),$AK288:$AK298,0),1)/INDEX($C288:$AJ298,MATCH(MIN($AK288:$AK298),$AK288:$AK298,0),MATCH(IF('Data-solution'!$A$3="Maximize",MAX($C299:$AI299),MIN($C299:$AI299)),$C299:$AI299,0))),Y298)</f>
        <v>0</v>
      </c>
      <c r="Z313" s="1">
        <f>IF(OR($B303&lt;&gt;$B288,$B304&lt;&gt;$B289,$B305&lt;&gt;$B290,$B306&lt;&gt;$B291,$B307&lt;&gt;$B292,$B308&lt;&gt;$B293,$B309&lt;&gt;$B294,$B310&lt;&gt;$B295,$B311&lt;&gt;$B296,$B312&lt;&gt;$B297,$B313&lt;&gt;$B298),IF($B313&lt;&gt;$B298,Z298/INDEX($C288:$AJ298,11,MATCH(IF('Data-solution'!$A$3="Maximize",MAX($C299:$AI299),MIN($C299:$AI299)),$C299:$AI299,0)),Z298-INDEX($C288:$AJ298,11,MATCH(IF('Data-solution'!$A$3="Maximize",MAX($C299:$AI299),MIN($C299:$AI299)),$C299:$AI299,0))*INDEX(Z288:$AJ298,MATCH(MIN($AK288:$AK298),$AK288:$AK298,0),1)/INDEX($C288:$AJ298,MATCH(MIN($AK288:$AK298),$AK288:$AK298,0),MATCH(IF('Data-solution'!$A$3="Maximize",MAX($C299:$AI299),MIN($C299:$AI299)),$C299:$AI299,0))),Z298)</f>
        <v>0</v>
      </c>
      <c r="AA313" s="1">
        <f>IF(OR($B303&lt;&gt;$B288,$B304&lt;&gt;$B289,$B305&lt;&gt;$B290,$B306&lt;&gt;$B291,$B307&lt;&gt;$B292,$B308&lt;&gt;$B293,$B309&lt;&gt;$B294,$B310&lt;&gt;$B295,$B311&lt;&gt;$B296,$B312&lt;&gt;$B297,$B313&lt;&gt;$B298),IF($B313&lt;&gt;$B298,AA298/INDEX($C288:$AJ298,11,MATCH(IF('Data-solution'!$A$3="Maximize",MAX($C299:$AI299),MIN($C299:$AI299)),$C299:$AI299,0)),AA298-INDEX($C288:$AJ298,11,MATCH(IF('Data-solution'!$A$3="Maximize",MAX($C299:$AI299),MIN($C299:$AI299)),$C299:$AI299,0))*INDEX(AA288:$AJ298,MATCH(MIN($AK288:$AK298),$AK288:$AK298,0),1)/INDEX($C288:$AJ298,MATCH(MIN($AK288:$AK298),$AK288:$AK298,0),MATCH(IF('Data-solution'!$A$3="Maximize",MAX($C299:$AI299),MIN($C299:$AI299)),$C299:$AI299,0))),AA298)</f>
        <v>0</v>
      </c>
      <c r="AB313" s="1">
        <f>IF(OR($B303&lt;&gt;$B288,$B304&lt;&gt;$B289,$B305&lt;&gt;$B290,$B306&lt;&gt;$B291,$B307&lt;&gt;$B292,$B308&lt;&gt;$B293,$B309&lt;&gt;$B294,$B310&lt;&gt;$B295,$B311&lt;&gt;$B296,$B312&lt;&gt;$B297,$B313&lt;&gt;$B298),IF($B313&lt;&gt;$B298,AB298/INDEX($C288:$AJ298,11,MATCH(IF('Data-solution'!$A$3="Maximize",MAX($C299:$AI299),MIN($C299:$AI299)),$C299:$AI299,0)),AB298-INDEX($C288:$AJ298,11,MATCH(IF('Data-solution'!$A$3="Maximize",MAX($C299:$AI299),MIN($C299:$AI299)),$C299:$AI299,0))*INDEX(AB288:$AJ298,MATCH(MIN($AK288:$AK298),$AK288:$AK298,0),1)/INDEX($C288:$AJ298,MATCH(MIN($AK288:$AK298),$AK288:$AK298,0),MATCH(IF('Data-solution'!$A$3="Maximize",MAX($C299:$AI299),MIN($C299:$AI299)),$C299:$AI299,0))),AB298)</f>
        <v>0</v>
      </c>
      <c r="AC313" s="1">
        <f>IF(OR($B303&lt;&gt;$B288,$B304&lt;&gt;$B289,$B305&lt;&gt;$B290,$B306&lt;&gt;$B291,$B307&lt;&gt;$B292,$B308&lt;&gt;$B293,$B309&lt;&gt;$B294,$B310&lt;&gt;$B295,$B311&lt;&gt;$B296,$B312&lt;&gt;$B297,$B313&lt;&gt;$B298),IF($B313&lt;&gt;$B298,AC298/INDEX($C288:$AJ298,11,MATCH(IF('Data-solution'!$A$3="Maximize",MAX($C299:$AI299),MIN($C299:$AI299)),$C299:$AI299,0)),AC298-INDEX($C288:$AJ298,11,MATCH(IF('Data-solution'!$A$3="Maximize",MAX($C299:$AI299),MIN($C299:$AI299)),$C299:$AI299,0))*INDEX(AC288:$AJ298,MATCH(MIN($AK288:$AK298),$AK288:$AK298,0),1)/INDEX($C288:$AJ298,MATCH(MIN($AK288:$AK298),$AK288:$AK298,0),MATCH(IF('Data-solution'!$A$3="Maximize",MAX($C299:$AI299),MIN($C299:$AI299)),$C299:$AI299,0))),AC298)</f>
        <v>0</v>
      </c>
      <c r="AD313" s="1">
        <f>IF(OR($B303&lt;&gt;$B288,$B304&lt;&gt;$B289,$B305&lt;&gt;$B290,$B306&lt;&gt;$B291,$B307&lt;&gt;$B292,$B308&lt;&gt;$B293,$B309&lt;&gt;$B294,$B310&lt;&gt;$B295,$B311&lt;&gt;$B296,$B312&lt;&gt;$B297,$B313&lt;&gt;$B298),IF($B313&lt;&gt;$B298,AD298/INDEX($C288:$AJ298,11,MATCH(IF('Data-solution'!$A$3="Maximize",MAX($C299:$AI299),MIN($C299:$AI299)),$C299:$AI299,0)),AD298-INDEX($C288:$AJ298,11,MATCH(IF('Data-solution'!$A$3="Maximize",MAX($C299:$AI299),MIN($C299:$AI299)),$C299:$AI299,0))*INDEX(AD288:$AJ298,MATCH(MIN($AK288:$AK298),$AK288:$AK298,0),1)/INDEX($C288:$AJ298,MATCH(MIN($AK288:$AK298),$AK288:$AK298,0),MATCH(IF('Data-solution'!$A$3="Maximize",MAX($C299:$AI299),MIN($C299:$AI299)),$C299:$AI299,0))),AD298)</f>
        <v>0</v>
      </c>
      <c r="AE313" s="1">
        <f>IF(OR($B303&lt;&gt;$B288,$B304&lt;&gt;$B289,$B305&lt;&gt;$B290,$B306&lt;&gt;$B291,$B307&lt;&gt;$B292,$B308&lt;&gt;$B293,$B309&lt;&gt;$B294,$B310&lt;&gt;$B295,$B311&lt;&gt;$B296,$B312&lt;&gt;$B297,$B313&lt;&gt;$B298),IF($B313&lt;&gt;$B298,AE298/INDEX($C288:$AJ298,11,MATCH(IF('Data-solution'!$A$3="Maximize",MAX($C299:$AI299),MIN($C299:$AI299)),$C299:$AI299,0)),AE298-INDEX($C288:$AJ298,11,MATCH(IF('Data-solution'!$A$3="Maximize",MAX($C299:$AI299),MIN($C299:$AI299)),$C299:$AI299,0))*INDEX(AE288:$AJ298,MATCH(MIN($AK288:$AK298),$AK288:$AK298,0),1)/INDEX($C288:$AJ298,MATCH(MIN($AK288:$AK298),$AK288:$AK298,0),MATCH(IF('Data-solution'!$A$3="Maximize",MAX($C299:$AI299),MIN($C299:$AI299)),$C299:$AI299,0))),AE298)</f>
        <v>0</v>
      </c>
      <c r="AF313" s="1">
        <f>IF(OR($B303&lt;&gt;$B288,$B304&lt;&gt;$B289,$B305&lt;&gt;$B290,$B306&lt;&gt;$B291,$B307&lt;&gt;$B292,$B308&lt;&gt;$B293,$B309&lt;&gt;$B294,$B310&lt;&gt;$B295,$B311&lt;&gt;$B296,$B312&lt;&gt;$B297,$B313&lt;&gt;$B298),IF($B313&lt;&gt;$B298,AF298/INDEX($C288:$AJ298,11,MATCH(IF('Data-solution'!$A$3="Maximize",MAX($C299:$AI299),MIN($C299:$AI299)),$C299:$AI299,0)),AF298-INDEX($C288:$AJ298,11,MATCH(IF('Data-solution'!$A$3="Maximize",MAX($C299:$AI299),MIN($C299:$AI299)),$C299:$AI299,0))*INDEX(AF288:$AJ298,MATCH(MIN($AK288:$AK298),$AK288:$AK298,0),1)/INDEX($C288:$AJ298,MATCH(MIN($AK288:$AK298),$AK288:$AK298,0),MATCH(IF('Data-solution'!$A$3="Maximize",MAX($C299:$AI299),MIN($C299:$AI299)),$C299:$AI299,0))),AF298)</f>
        <v>0</v>
      </c>
      <c r="AG313" s="1">
        <f>IF(OR($B303&lt;&gt;$B288,$B304&lt;&gt;$B289,$B305&lt;&gt;$B290,$B306&lt;&gt;$B291,$B307&lt;&gt;$B292,$B308&lt;&gt;$B293,$B309&lt;&gt;$B294,$B310&lt;&gt;$B295,$B311&lt;&gt;$B296,$B312&lt;&gt;$B297,$B313&lt;&gt;$B298),IF($B313&lt;&gt;$B298,AG298/INDEX($C288:$AJ298,11,MATCH(IF('Data-solution'!$A$3="Maximize",MAX($C299:$AI299),MIN($C299:$AI299)),$C299:$AI299,0)),AG298-INDEX($C288:$AJ298,11,MATCH(IF('Data-solution'!$A$3="Maximize",MAX($C299:$AI299),MIN($C299:$AI299)),$C299:$AI299,0))*INDEX(AG288:$AJ298,MATCH(MIN($AK288:$AK298),$AK288:$AK298,0),1)/INDEX($C288:$AJ298,MATCH(MIN($AK288:$AK298),$AK288:$AK298,0),MATCH(IF('Data-solution'!$A$3="Maximize",MAX($C299:$AI299),MIN($C299:$AI299)),$C299:$AI299,0))),AG298)</f>
        <v>0</v>
      </c>
      <c r="AH313" s="1">
        <f>IF(OR($B303&lt;&gt;$B288,$B304&lt;&gt;$B289,$B305&lt;&gt;$B290,$B306&lt;&gt;$B291,$B307&lt;&gt;$B292,$B308&lt;&gt;$B293,$B309&lt;&gt;$B294,$B310&lt;&gt;$B295,$B311&lt;&gt;$B296,$B312&lt;&gt;$B297,$B313&lt;&gt;$B298),IF($B313&lt;&gt;$B298,AH298/INDEX($C288:$AJ298,11,MATCH(IF('Data-solution'!$A$3="Maximize",MAX($C299:$AI299),MIN($C299:$AI299)),$C299:$AI299,0)),AH298-INDEX($C288:$AJ298,11,MATCH(IF('Data-solution'!$A$3="Maximize",MAX($C299:$AI299),MIN($C299:$AI299)),$C299:$AI299,0))*INDEX(AH288:$AJ298,MATCH(MIN($AK288:$AK298),$AK288:$AK298,0),1)/INDEX($C288:$AJ298,MATCH(MIN($AK288:$AK298),$AK288:$AK298,0),MATCH(IF('Data-solution'!$A$3="Maximize",MAX($C299:$AI299),MIN($C299:$AI299)),$C299:$AI299,0))),AH298)</f>
        <v>0</v>
      </c>
      <c r="AI313" s="1">
        <f>IF(OR($B303&lt;&gt;$B288,$B304&lt;&gt;$B289,$B305&lt;&gt;$B290,$B306&lt;&gt;$B291,$B307&lt;&gt;$B292,$B308&lt;&gt;$B293,$B309&lt;&gt;$B294,$B310&lt;&gt;$B295,$B311&lt;&gt;$B296,$B312&lt;&gt;$B297,$B313&lt;&gt;$B298),IF($B313&lt;&gt;$B298,AI298/INDEX($C288:$AJ298,11,MATCH(IF('Data-solution'!$A$3="Maximize",MAX($C299:$AI299),MIN($C299:$AI299)),$C299:$AI299,0)),AI298-INDEX($C288:$AJ298,11,MATCH(IF('Data-solution'!$A$3="Maximize",MAX($C299:$AI299),MIN($C299:$AI299)),$C299:$AI299,0))*INDEX(AI288:$AJ298,MATCH(MIN($AK288:$AK298),$AK288:$AK298,0),1)/INDEX($C288:$AJ298,MATCH(MIN($AK288:$AK298),$AK288:$AK298,0),MATCH(IF('Data-solution'!$A$3="Maximize",MAX($C299:$AI299),MIN($C299:$AI299)),$C299:$AI299,0))),AI298)</f>
        <v>1</v>
      </c>
      <c r="AJ313" s="1">
        <f>IF(OR($B303&lt;&gt;$B288,$B304&lt;&gt;$B289,$B305&lt;&gt;$B290,$B306&lt;&gt;$B291,$B307&lt;&gt;$B292,$B308&lt;&gt;$B293,$B309&lt;&gt;$B294,$B310&lt;&gt;$B295,$B311&lt;&gt;$B296,$B312&lt;&gt;$B297,$B313&lt;&gt;$B298),IF($B313&lt;&gt;$B298,AJ298/INDEX($C288:$AJ298,11,MATCH(IF('Data-solution'!$A$3="Maximize",MAX($C299:$AI299),MIN($C299:$AI299)),$C299:$AI299,0)),AJ298-INDEX($C288:$AJ298,11,MATCH(IF('Data-solution'!$A$3="Maximize",MAX($C299:$AI299),MIN($C299:$AI299)),$C299:$AI299,0))*INDEX(AJ288:$AJ298,MATCH(MIN($AK288:$AK298),$AK288:$AK298,0),1)/INDEX($C288:$AJ298,MATCH(MIN($AK288:$AK298),$AK288:$AK298,0),MATCH(IF('Data-solution'!$A$3="Maximize",MAX($C299:$AI299),MIN($C299:$AI299)),$C299:$AI299,0))),AJ298)</f>
        <v>0</v>
      </c>
      <c r="AK313" s="1" t="str">
        <f>IF(INDEX(C313:X313,1,MATCH(IF('Data-solution'!A$3="Maximize",MAX(C314:X314),MIN(C314:X314)),C314:X314,0))&gt;0,AJ313/INDEX(C313:X313,1,MATCH(IF('Data-solution'!A$3="Maximize",MAX(C314:X314),MIN(C314:X314)),C314:X314,0))," ")</f>
        <v xml:space="preserve"> </v>
      </c>
    </row>
    <row r="314" spans="1:37" ht="18" customHeight="1" x14ac:dyDescent="0.2">
      <c r="B314" s="2" t="s">
        <v>5</v>
      </c>
      <c r="C314" s="1">
        <f>IF(SUM(COUNTIF($B303:$B313,$Y302),COUNTIF($B303:$B313,$Z302),COUNTIF($B303:$B313,$AA302),COUNTIF($B303:$B313,$AB302),COUNTIF($B303:$B313,$AC302),COUNTIF($B303:$B313,$AD302),COUNTIF($B303:$B313,$AE302),COUNTIF($B303:$B313,$AF302),COUNTIF($B303:$B313,$AG302),COUNTIF($B303:$B313,$AH302),COUNTIF($B303:$B313,$AI302))=0,C301-SUMPRODUCT($A303:$A313,C303:C313),IF('Data-solution'!$A$3="Maximize",1,-1)*SUM(SUMIF($B303:$B313,$Y302,C303:C313),SUMIF($B303:$B313,$Z302,C303:C313),SUMIF($B303:$B313,$AA302,C303:C313),SUMIF($B303:$B313,$AB302,C303:C313),SUMIF($B303:$B313,$AC302,C303:C313),SUMIF($B303:$B313,$AD302,C303:C313),SUMIF($B303:$B313,$AE302,C303:C313),SUMIF($B303:$B313,$AF302,C303:C313),SUMIF($B303:$B313,$AG302,C303:C313),SUMIF($B303:$B313,$AH302,C303:C313),SUMIF($B303:$B313,$AI302,C303:C313)))</f>
        <v>0</v>
      </c>
      <c r="D314" s="1">
        <f>IF(SUM(COUNTIF($B303:$B313,$Y302),COUNTIF($B303:$B313,$Z302),COUNTIF($B303:$B313,$AA302),COUNTIF($B303:$B313,$AB302),COUNTIF($B303:$B313,$AC302),COUNTIF($B303:$B313,$AD302),COUNTIF($B303:$B313,$AE302),COUNTIF($B303:$B313,$AF302),COUNTIF($B303:$B313,$AG302),COUNTIF($B303:$B313,$AH302),COUNTIF($B303:$B313,$AI302))=0,D301-SUMPRODUCT($A303:$A313,D303:D313),IF('Data-solution'!$A$3="Maximize",1,-1)*SUM(SUMIF($B303:$B313,$Y302,D303:D313),SUMIF($B303:$B313,$Z302,D303:D313),SUMIF($B303:$B313,$AA302,D303:D313),SUMIF($B303:$B313,$AB302,D303:D313),SUMIF($B303:$B313,$AC302,D303:D313),SUMIF($B303:$B313,$AD302,D303:D313),SUMIF($B303:$B313,$AE302,D303:D313),SUMIF($B303:$B313,$AF302,D303:D313),SUMIF($B303:$B313,$AG302,D303:D313),SUMIF($B303:$B313,$AH302,D303:D313),SUMIF($B303:$B313,$AI302,D303:D313)))</f>
        <v>-50</v>
      </c>
      <c r="E314" s="1">
        <f>IF(SUM(COUNTIF($B303:$B313,$Y302),COUNTIF($B303:$B313,$Z302),COUNTIF($B303:$B313,$AA302),COUNTIF($B303:$B313,$AB302),COUNTIF($B303:$B313,$AC302),COUNTIF($B303:$B313,$AD302),COUNTIF($B303:$B313,$AE302),COUNTIF($B303:$B313,$AF302),COUNTIF($B303:$B313,$AG302),COUNTIF($B303:$B313,$AH302),COUNTIF($B303:$B313,$AI302))=0,E301-SUMPRODUCT($A303:$A313,E303:E313),IF('Data-solution'!$A$3="Maximize",1,-1)*SUM(SUMIF($B303:$B313,$Y302,E303:E313),SUMIF($B303:$B313,$Z302,E303:E313),SUMIF($B303:$B313,$AA302,E303:E313),SUMIF($B303:$B313,$AB302,E303:E313),SUMIF($B303:$B313,$AC302,E303:E313),SUMIF($B303:$B313,$AD302,E303:E313),SUMIF($B303:$B313,$AE302,E303:E313),SUMIF($B303:$B313,$AF302,E303:E313),SUMIF($B303:$B313,$AG302,E303:E313),SUMIF($B303:$B313,$AH302,E303:E313),SUMIF($B303:$B313,$AI302,E303:E313)))</f>
        <v>0</v>
      </c>
      <c r="F314" s="1">
        <f>IF(SUM(COUNTIF($B303:$B313,$Y302),COUNTIF($B303:$B313,$Z302),COUNTIF($B303:$B313,$AA302),COUNTIF($B303:$B313,$AB302),COUNTIF($B303:$B313,$AC302),COUNTIF($B303:$B313,$AD302),COUNTIF($B303:$B313,$AE302),COUNTIF($B303:$B313,$AF302),COUNTIF($B303:$B313,$AG302),COUNTIF($B303:$B313,$AH302),COUNTIF($B303:$B313,$AI302))=0,F301-SUMPRODUCT($A303:$A313,F303:F313),IF('Data-solution'!$A$3="Maximize",1,-1)*SUM(SUMIF($B303:$B313,$Y302,F303:F313),SUMIF($B303:$B313,$Z302,F303:F313),SUMIF($B303:$B313,$AA302,F303:F313),SUMIF($B303:$B313,$AB302,F303:F313),SUMIF($B303:$B313,$AC302,F303:F313),SUMIF($B303:$B313,$AD302,F303:F313),SUMIF($B303:$B313,$AE302,F303:F313),SUMIF($B303:$B313,$AF302,F303:F313),SUMIF($B303:$B313,$AG302,F303:F313),SUMIF($B303:$B313,$AH302,F303:F313),SUMIF($B303:$B313,$AI302,F303:F313)))</f>
        <v>0</v>
      </c>
      <c r="G314" s="1">
        <f>IF(SUM(COUNTIF($B303:$B313,$Y302),COUNTIF($B303:$B313,$Z302),COUNTIF($B303:$B313,$AA302),COUNTIF($B303:$B313,$AB302),COUNTIF($B303:$B313,$AC302),COUNTIF($B303:$B313,$AD302),COUNTIF($B303:$B313,$AE302),COUNTIF($B303:$B313,$AF302),COUNTIF($B303:$B313,$AG302),COUNTIF($B303:$B313,$AH302),COUNTIF($B303:$B313,$AI302))=0,G301-SUMPRODUCT($A303:$A313,G303:G313),IF('Data-solution'!$A$3="Maximize",1,-1)*SUM(SUMIF($B303:$B313,$Y302,G303:G313),SUMIF($B303:$B313,$Z302,G303:G313),SUMIF($B303:$B313,$AA302,G303:G313),SUMIF($B303:$B313,$AB302,G303:G313),SUMIF($B303:$B313,$AC302,G303:G313),SUMIF($B303:$B313,$AD302,G303:G313),SUMIF($B303:$B313,$AE302,G303:G313),SUMIF($B303:$B313,$AF302,G303:G313),SUMIF($B303:$B313,$AG302,G303:G313),SUMIF($B303:$B313,$AH302,G303:G313),SUMIF($B303:$B313,$AI302,G303:G313)))</f>
        <v>0</v>
      </c>
      <c r="H314" s="1">
        <f>IF(SUM(COUNTIF($B303:$B313,$Y302),COUNTIF($B303:$B313,$Z302),COUNTIF($B303:$B313,$AA302),COUNTIF($B303:$B313,$AB302),COUNTIF($B303:$B313,$AC302),COUNTIF($B303:$B313,$AD302),COUNTIF($B303:$B313,$AE302),COUNTIF($B303:$B313,$AF302),COUNTIF($B303:$B313,$AG302),COUNTIF($B303:$B313,$AH302),COUNTIF($B303:$B313,$AI302))=0,H301-SUMPRODUCT($A303:$A313,H303:H313),IF('Data-solution'!$A$3="Maximize",1,-1)*SUM(SUMIF($B303:$B313,$Y302,H303:H313),SUMIF($B303:$B313,$Z302,H303:H313),SUMIF($B303:$B313,$AA302,H303:H313),SUMIF($B303:$B313,$AB302,H303:H313),SUMIF($B303:$B313,$AC302,H303:H313),SUMIF($B303:$B313,$AD302,H303:H313),SUMIF($B303:$B313,$AE302,H303:H313),SUMIF($B303:$B313,$AF302,H303:H313),SUMIF($B303:$B313,$AG302,H303:H313),SUMIF($B303:$B313,$AH302,H303:H313),SUMIF($B303:$B313,$AI302,H303:H313)))</f>
        <v>0</v>
      </c>
      <c r="I314" s="1">
        <f>IF(SUM(COUNTIF($B303:$B313,$Y302),COUNTIF($B303:$B313,$Z302),COUNTIF($B303:$B313,$AA302),COUNTIF($B303:$B313,$AB302),COUNTIF($B303:$B313,$AC302),COUNTIF($B303:$B313,$AD302),COUNTIF($B303:$B313,$AE302),COUNTIF($B303:$B313,$AF302),COUNTIF($B303:$B313,$AG302),COUNTIF($B303:$B313,$AH302),COUNTIF($B303:$B313,$AI302))=0,I301-SUMPRODUCT($A303:$A313,I303:I313),IF('Data-solution'!$A$3="Maximize",1,-1)*SUM(SUMIF($B303:$B313,$Y302,I303:I313),SUMIF($B303:$B313,$Z302,I303:I313),SUMIF($B303:$B313,$AA302,I303:I313),SUMIF($B303:$B313,$AB302,I303:I313),SUMIF($B303:$B313,$AC302,I303:I313),SUMIF($B303:$B313,$AD302,I303:I313),SUMIF($B303:$B313,$AE302,I303:I313),SUMIF($B303:$B313,$AF302,I303:I313),SUMIF($B303:$B313,$AG302,I303:I313),SUMIF($B303:$B313,$AH302,I303:I313),SUMIF($B303:$B313,$AI302,I303:I313)))</f>
        <v>0</v>
      </c>
      <c r="J314" s="1">
        <f>IF(SUM(COUNTIF($B303:$B313,$Y302),COUNTIF($B303:$B313,$Z302),COUNTIF($B303:$B313,$AA302),COUNTIF($B303:$B313,$AB302),COUNTIF($B303:$B313,$AC302),COUNTIF($B303:$B313,$AD302),COUNTIF($B303:$B313,$AE302),COUNTIF($B303:$B313,$AF302),COUNTIF($B303:$B313,$AG302),COUNTIF($B303:$B313,$AH302),COUNTIF($B303:$B313,$AI302))=0,J301-SUMPRODUCT($A303:$A313,J303:J313),IF('Data-solution'!$A$3="Maximize",1,-1)*SUM(SUMIF($B303:$B313,$Y302,J303:J313),SUMIF($B303:$B313,$Z302,J303:J313),SUMIF($B303:$B313,$AA302,J303:J313),SUMIF($B303:$B313,$AB302,J303:J313),SUMIF($B303:$B313,$AC302,J303:J313),SUMIF($B303:$B313,$AD302,J303:J313),SUMIF($B303:$B313,$AE302,J303:J313),SUMIF($B303:$B313,$AF302,J303:J313),SUMIF($B303:$B313,$AG302,J303:J313),SUMIF($B303:$B313,$AH302,J303:J313),SUMIF($B303:$B313,$AI302,J303:J313)))</f>
        <v>0</v>
      </c>
      <c r="K314" s="1">
        <f>IF(SUM(COUNTIF($B303:$B313,$Y302),COUNTIF($B303:$B313,$Z302),COUNTIF($B303:$B313,$AA302),COUNTIF($B303:$B313,$AB302),COUNTIF($B303:$B313,$AC302),COUNTIF($B303:$B313,$AD302),COUNTIF($B303:$B313,$AE302),COUNTIF($B303:$B313,$AF302),COUNTIF($B303:$B313,$AG302),COUNTIF($B303:$B313,$AH302),COUNTIF($B303:$B313,$AI302))=0,K301-SUMPRODUCT($A303:$A313,K303:K313),IF('Data-solution'!$A$3="Maximize",1,-1)*SUM(SUMIF($B303:$B313,$Y302,K303:K313),SUMIF($B303:$B313,$Z302,K303:K313),SUMIF($B303:$B313,$AA302,K303:K313),SUMIF($B303:$B313,$AB302,K303:K313),SUMIF($B303:$B313,$AC302,K303:K313),SUMIF($B303:$B313,$AD302,K303:K313),SUMIF($B303:$B313,$AE302,K303:K313),SUMIF($B303:$B313,$AF302,K303:K313),SUMIF($B303:$B313,$AG302,K303:K313),SUMIF($B303:$B313,$AH302,K303:K313),SUMIF($B303:$B313,$AI302,K303:K313)))</f>
        <v>0</v>
      </c>
      <c r="L314" s="1">
        <f>IF(SUM(COUNTIF($B303:$B313,$Y302),COUNTIF($B303:$B313,$Z302),COUNTIF($B303:$B313,$AA302),COUNTIF($B303:$B313,$AB302),COUNTIF($B303:$B313,$AC302),COUNTIF($B303:$B313,$AD302),COUNTIF($B303:$B313,$AE302),COUNTIF($B303:$B313,$AF302),COUNTIF($B303:$B313,$AG302),COUNTIF($B303:$B313,$AH302),COUNTIF($B303:$B313,$AI302))=0,L301-SUMPRODUCT($A303:$A313,L303:L313),IF('Data-solution'!$A$3="Maximize",1,-1)*SUM(SUMIF($B303:$B313,$Y302,L303:L313),SUMIF($B303:$B313,$Z302,L303:L313),SUMIF($B303:$B313,$AA302,L303:L313),SUMIF($B303:$B313,$AB302,L303:L313),SUMIF($B303:$B313,$AC302,L303:L313),SUMIF($B303:$B313,$AD302,L303:L313),SUMIF($B303:$B313,$AE302,L303:L313),SUMIF($B303:$B313,$AF302,L303:L313),SUMIF($B303:$B313,$AG302,L303:L313),SUMIF($B303:$B313,$AH302,L303:L313),SUMIF($B303:$B313,$AI302,L303:L313)))</f>
        <v>0</v>
      </c>
      <c r="M314" s="1">
        <f>IF(SUM(COUNTIF($B303:$B313,$Y302),COUNTIF($B303:$B313,$Z302),COUNTIF($B303:$B313,$AA302),COUNTIF($B303:$B313,$AB302),COUNTIF($B303:$B313,$AC302),COUNTIF($B303:$B313,$AD302),COUNTIF($B303:$B313,$AE302),COUNTIF($B303:$B313,$AF302),COUNTIF($B303:$B313,$AG302),COUNTIF($B303:$B313,$AH302),COUNTIF($B303:$B313,$AI302))=0,M301-SUMPRODUCT($A303:$A313,M303:M313),IF('Data-solution'!$A$3="Maximize",1,-1)*SUM(SUMIF($B303:$B313,$Y302,M303:M313),SUMIF($B303:$B313,$Z302,M303:M313),SUMIF($B303:$B313,$AA302,M303:M313),SUMIF($B303:$B313,$AB302,M303:M313),SUMIF($B303:$B313,$AC302,M303:M313),SUMIF($B303:$B313,$AD302,M303:M313),SUMIF($B303:$B313,$AE302,M303:M313),SUMIF($B303:$B313,$AF302,M303:M313),SUMIF($B303:$B313,$AG302,M303:M313),SUMIF($B303:$B313,$AH302,M303:M313),SUMIF($B303:$B313,$AI302,M303:M313)))</f>
        <v>0</v>
      </c>
      <c r="N314" s="1">
        <f>IF(SUM(COUNTIF($B303:$B313,$Y302),COUNTIF($B303:$B313,$Z302),COUNTIF($B303:$B313,$AA302),COUNTIF($B303:$B313,$AB302),COUNTIF($B303:$B313,$AC302),COUNTIF($B303:$B313,$AD302),COUNTIF($B303:$B313,$AE302),COUNTIF($B303:$B313,$AF302),COUNTIF($B303:$B313,$AG302),COUNTIF($B303:$B313,$AH302),COUNTIF($B303:$B313,$AI302))=0,N301-SUMPRODUCT($A303:$A313,N303:N313),IF('Data-solution'!$A$3="Maximize",1,-1)*SUM(SUMIF($B303:$B313,$Y302,N303:N313),SUMIF($B303:$B313,$Z302,N303:N313),SUMIF($B303:$B313,$AA302,N303:N313),SUMIF($B303:$B313,$AB302,N303:N313),SUMIF($B303:$B313,$AC302,N303:N313),SUMIF($B303:$B313,$AD302,N303:N313),SUMIF($B303:$B313,$AE302,N303:N313),SUMIF($B303:$B313,$AF302,N303:N313),SUMIF($B303:$B313,$AG302,N303:N313),SUMIF($B303:$B313,$AH302,N303:N313),SUMIF($B303:$B313,$AI302,N303:N313)))</f>
        <v>0</v>
      </c>
      <c r="O314" s="1">
        <f>IF(SUM(COUNTIF($B303:$B313,$Y302),COUNTIF($B303:$B313,$Z302),COUNTIF($B303:$B313,$AA302),COUNTIF($B303:$B313,$AB302),COUNTIF($B303:$B313,$AC302),COUNTIF($B303:$B313,$AD302),COUNTIF($B303:$B313,$AE302),COUNTIF($B303:$B313,$AF302),COUNTIF($B303:$B313,$AG302),COUNTIF($B303:$B313,$AH302),COUNTIF($B303:$B313,$AI302))=0,O301-SUMPRODUCT($A303:$A313,O303:O313),IF('Data-solution'!$A$3="Maximize",1,-1)*SUM(SUMIF($B303:$B313,$Y302,O303:O313),SUMIF($B303:$B313,$Z302,O303:O313),SUMIF($B303:$B313,$AA302,O303:O313),SUMIF($B303:$B313,$AB302,O303:O313),SUMIF($B303:$B313,$AC302,O303:O313),SUMIF($B303:$B313,$AD302,O303:O313),SUMIF($B303:$B313,$AE302,O303:O313),SUMIF($B303:$B313,$AF302,O303:O313),SUMIF($B303:$B313,$AG302,O303:O313),SUMIF($B303:$B313,$AH302,O303:O313),SUMIF($B303:$B313,$AI302,O303:O313)))</f>
        <v>0</v>
      </c>
      <c r="P314" s="1">
        <f>IF(SUM(COUNTIF($B303:$B313,$Y302),COUNTIF($B303:$B313,$Z302),COUNTIF($B303:$B313,$AA302),COUNTIF($B303:$B313,$AB302),COUNTIF($B303:$B313,$AC302),COUNTIF($B303:$B313,$AD302),COUNTIF($B303:$B313,$AE302),COUNTIF($B303:$B313,$AF302),COUNTIF($B303:$B313,$AG302),COUNTIF($B303:$B313,$AH302),COUNTIF($B303:$B313,$AI302))=0,P301-SUMPRODUCT($A303:$A313,P303:P313),IF('Data-solution'!$A$3="Maximize",1,-1)*SUM(SUMIF($B303:$B313,$Y302,P303:P313),SUMIF($B303:$B313,$Z302,P303:P313),SUMIF($B303:$B313,$AA302,P303:P313),SUMIF($B303:$B313,$AB302,P303:P313),SUMIF($B303:$B313,$AC302,P303:P313),SUMIF($B303:$B313,$AD302,P303:P313),SUMIF($B303:$B313,$AE302,P303:P313),SUMIF($B303:$B313,$AF302,P303:P313),SUMIF($B303:$B313,$AG302,P303:P313),SUMIF($B303:$B313,$AH302,P303:P313),SUMIF($B303:$B313,$AI302,P303:P313)))</f>
        <v>-49.999999999999993</v>
      </c>
      <c r="Q314" s="1">
        <f>IF(SUM(COUNTIF($B303:$B313,$Y302),COUNTIF($B303:$B313,$Z302),COUNTIF($B303:$B313,$AA302),COUNTIF($B303:$B313,$AB302),COUNTIF($B303:$B313,$AC302),COUNTIF($B303:$B313,$AD302),COUNTIF($B303:$B313,$AE302),COUNTIF($B303:$B313,$AF302),COUNTIF($B303:$B313,$AG302),COUNTIF($B303:$B313,$AH302),COUNTIF($B303:$B313,$AI302))=0,Q301-SUMPRODUCT($A303:$A313,Q303:Q313),IF('Data-solution'!$A$3="Maximize",1,-1)*SUM(SUMIF($B303:$B313,$Y302,Q303:Q313),SUMIF($B303:$B313,$Z302,Q303:Q313),SUMIF($B303:$B313,$AA302,Q303:Q313),SUMIF($B303:$B313,$AB302,Q303:Q313),SUMIF($B303:$B313,$AC302,Q303:Q313),SUMIF($B303:$B313,$AD302,Q303:Q313),SUMIF($B303:$B313,$AE302,Q303:Q313),SUMIF($B303:$B313,$AF302,Q303:Q313),SUMIF($B303:$B313,$AG302,Q303:Q313),SUMIF($B303:$B313,$AH302,Q303:Q313),SUMIF($B303:$B313,$AI302,Q303:Q313)))</f>
        <v>-50</v>
      </c>
      <c r="R314" s="1">
        <f>IF(SUM(COUNTIF($B303:$B313,$Y302),COUNTIF($B303:$B313,$Z302),COUNTIF($B303:$B313,$AA302),COUNTIF($B303:$B313,$AB302),COUNTIF($B303:$B313,$AC302),COUNTIF($B303:$B313,$AD302),COUNTIF($B303:$B313,$AE302),COUNTIF($B303:$B313,$AF302),COUNTIF($B303:$B313,$AG302),COUNTIF($B303:$B313,$AH302),COUNTIF($B303:$B313,$AI302))=0,R301-SUMPRODUCT($A303:$A313,R303:R313),IF('Data-solution'!$A$3="Maximize",1,-1)*SUM(SUMIF($B303:$B313,$Y302,R303:R313),SUMIF($B303:$B313,$Z302,R303:R313),SUMIF($B303:$B313,$AA302,R303:R313),SUMIF($B303:$B313,$AB302,R303:R313),SUMIF($B303:$B313,$AC302,R303:R313),SUMIF($B303:$B313,$AD302,R303:R313),SUMIF($B303:$B313,$AE302,R303:R313),SUMIF($B303:$B313,$AF302,R303:R313),SUMIF($B303:$B313,$AG302,R303:R313),SUMIF($B303:$B313,$AH302,R303:R313),SUMIF($B303:$B313,$AI302,R303:R313)))</f>
        <v>0</v>
      </c>
      <c r="S314" s="1">
        <f>IF(SUM(COUNTIF($B303:$B313,$Y302),COUNTIF($B303:$B313,$Z302),COUNTIF($B303:$B313,$AA302),COUNTIF($B303:$B313,$AB302),COUNTIF($B303:$B313,$AC302),COUNTIF($B303:$B313,$AD302),COUNTIF($B303:$B313,$AE302),COUNTIF($B303:$B313,$AF302),COUNTIF($B303:$B313,$AG302),COUNTIF($B303:$B313,$AH302),COUNTIF($B303:$B313,$AI302))=0,S301-SUMPRODUCT($A303:$A313,S303:S313),IF('Data-solution'!$A$3="Maximize",1,-1)*SUM(SUMIF($B303:$B313,$Y302,S303:S313),SUMIF($B303:$B313,$Z302,S303:S313),SUMIF($B303:$B313,$AA302,S303:S313),SUMIF($B303:$B313,$AB302,S303:S313),SUMIF($B303:$B313,$AC302,S303:S313),SUMIF($B303:$B313,$AD302,S303:S313),SUMIF($B303:$B313,$AE302,S303:S313),SUMIF($B303:$B313,$AF302,S303:S313),SUMIF($B303:$B313,$AG302,S303:S313),SUMIF($B303:$B313,$AH302,S303:S313),SUMIF($B303:$B313,$AI302,S303:S313)))</f>
        <v>0</v>
      </c>
      <c r="T314" s="1">
        <f>IF(SUM(COUNTIF($B303:$B313,$Y302),COUNTIF($B303:$B313,$Z302),COUNTIF($B303:$B313,$AA302),COUNTIF($B303:$B313,$AB302),COUNTIF($B303:$B313,$AC302),COUNTIF($B303:$B313,$AD302),COUNTIF($B303:$B313,$AE302),COUNTIF($B303:$B313,$AF302),COUNTIF($B303:$B313,$AG302),COUNTIF($B303:$B313,$AH302),COUNTIF($B303:$B313,$AI302))=0,T301-SUMPRODUCT($A303:$A313,T303:T313),IF('Data-solution'!$A$3="Maximize",1,-1)*SUM(SUMIF($B303:$B313,$Y302,T303:T313),SUMIF($B303:$B313,$Z302,T303:T313),SUMIF($B303:$B313,$AA302,T303:T313),SUMIF($B303:$B313,$AB302,T303:T313),SUMIF($B303:$B313,$AC302,T303:T313),SUMIF($B303:$B313,$AD302,T303:T313),SUMIF($B303:$B313,$AE302,T303:T313),SUMIF($B303:$B313,$AF302,T303:T313),SUMIF($B303:$B313,$AG302,T303:T313),SUMIF($B303:$B313,$AH302,T303:T313),SUMIF($B303:$B313,$AI302,T303:T313)))</f>
        <v>0</v>
      </c>
      <c r="U314" s="1">
        <f>IF(SUM(COUNTIF($B303:$B313,$Y302),COUNTIF($B303:$B313,$Z302),COUNTIF($B303:$B313,$AA302),COUNTIF($B303:$B313,$AB302),COUNTIF($B303:$B313,$AC302),COUNTIF($B303:$B313,$AD302),COUNTIF($B303:$B313,$AE302),COUNTIF($B303:$B313,$AF302),COUNTIF($B303:$B313,$AG302),COUNTIF($B303:$B313,$AH302),COUNTIF($B303:$B313,$AI302))=0,U301-SUMPRODUCT($A303:$A313,U303:U313),IF('Data-solution'!$A$3="Maximize",1,-1)*SUM(SUMIF($B303:$B313,$Y302,U303:U313),SUMIF($B303:$B313,$Z302,U303:U313),SUMIF($B303:$B313,$AA302,U303:U313),SUMIF($B303:$B313,$AB302,U303:U313),SUMIF($B303:$B313,$AC302,U303:U313),SUMIF($B303:$B313,$AD302,U303:U313),SUMIF($B303:$B313,$AE302,U303:U313),SUMIF($B303:$B313,$AF302,U303:U313),SUMIF($B303:$B313,$AG302,U303:U313),SUMIF($B303:$B313,$AH302,U303:U313),SUMIF($B303:$B313,$AI302,U303:U313)))</f>
        <v>0</v>
      </c>
      <c r="V314" s="1">
        <f>IF(SUM(COUNTIF($B303:$B313,$Y302),COUNTIF($B303:$B313,$Z302),COUNTIF($B303:$B313,$AA302),COUNTIF($B303:$B313,$AB302),COUNTIF($B303:$B313,$AC302),COUNTIF($B303:$B313,$AD302),COUNTIF($B303:$B313,$AE302),COUNTIF($B303:$B313,$AF302),COUNTIF($B303:$B313,$AG302),COUNTIF($B303:$B313,$AH302),COUNTIF($B303:$B313,$AI302))=0,V301-SUMPRODUCT($A303:$A313,V303:V313),IF('Data-solution'!$A$3="Maximize",1,-1)*SUM(SUMIF($B303:$B313,$Y302,V303:V313),SUMIF($B303:$B313,$Z302,V303:V313),SUMIF($B303:$B313,$AA302,V303:V313),SUMIF($B303:$B313,$AB302,V303:V313),SUMIF($B303:$B313,$AC302,V303:V313),SUMIF($B303:$B313,$AD302,V303:V313),SUMIF($B303:$B313,$AE302,V303:V313),SUMIF($B303:$B313,$AF302,V303:V313),SUMIF($B303:$B313,$AG302,V303:V313),SUMIF($B303:$B313,$AH302,V303:V313),SUMIF($B303:$B313,$AI302,V303:V313)))</f>
        <v>0</v>
      </c>
      <c r="W314" s="1">
        <f>IF(SUM(COUNTIF($B303:$B313,$Y302),COUNTIF($B303:$B313,$Z302),COUNTIF($B303:$B313,$AA302),COUNTIF($B303:$B313,$AB302),COUNTIF($B303:$B313,$AC302),COUNTIF($B303:$B313,$AD302),COUNTIF($B303:$B313,$AE302),COUNTIF($B303:$B313,$AF302),COUNTIF($B303:$B313,$AG302),COUNTIF($B303:$B313,$AH302),COUNTIF($B303:$B313,$AI302))=0,W301-SUMPRODUCT($A303:$A313,W303:W313),IF('Data-solution'!$A$3="Maximize",1,-1)*SUM(SUMIF($B303:$B313,$Y302,W303:W313),SUMIF($B303:$B313,$Z302,W303:W313),SUMIF($B303:$B313,$AA302,W303:W313),SUMIF($B303:$B313,$AB302,W303:W313),SUMIF($B303:$B313,$AC302,W303:W313),SUMIF($B303:$B313,$AD302,W303:W313),SUMIF($B303:$B313,$AE302,W303:W313),SUMIF($B303:$B313,$AF302,W303:W313),SUMIF($B303:$B313,$AG302,W303:W313),SUMIF($B303:$B313,$AH302,W303:W313),SUMIF($B303:$B313,$AI302,W303:W313)))</f>
        <v>0</v>
      </c>
      <c r="X314" s="1">
        <f>IF(SUM(COUNTIF($B303:$B313,$Y302),COUNTIF($B303:$B313,$Z302),COUNTIF($B303:$B313,$AA302),COUNTIF($B303:$B313,$AB302),COUNTIF($B303:$B313,$AC302),COUNTIF($B303:$B313,$AD302),COUNTIF($B303:$B313,$AE302),COUNTIF($B303:$B313,$AF302),COUNTIF($B303:$B313,$AG302),COUNTIF($B303:$B313,$AH302),COUNTIF($B303:$B313,$AI302))=0,X301-SUMPRODUCT($A303:$A313,X303:X313),IF('Data-solution'!$A$3="Maximize",1,-1)*SUM(SUMIF($B303:$B313,$Y302,X303:X313),SUMIF($B303:$B313,$Z302,X303:X313),SUMIF($B303:$B313,$AA302,X303:X313),SUMIF($B303:$B313,$AB302,X303:X313),SUMIF($B303:$B313,$AC302,X303:X313),SUMIF($B303:$B313,$AD302,X303:X313),SUMIF($B303:$B313,$AE302,X303:X313),SUMIF($B303:$B313,$AF302,X303:X313),SUMIF($B303:$B313,$AG302,X303:X313),SUMIF($B303:$B313,$AH302,X303:X313),SUMIF($B303:$B313,$AI302,X303:X313)))</f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2">
        <f t="shared" ref="AJ314" si="283">IF(SUMPRODUCT(A303:A313,AJ303:AJ313)&gt;=0,SUMPRODUCT(A303:A313,AJ303:AJ313),0)</f>
        <v>120000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4B6B9B-5EAA-496D-B5F2-59734E210B46}">
  <dimension ref="A1:CI2836"/>
  <sheetViews>
    <sheetView zoomScale="65" zoomScaleNormal="65" workbookViewId="0"/>
  </sheetViews>
  <sheetFormatPr baseColWidth="10" defaultColWidth="9.1640625" defaultRowHeight="15" x14ac:dyDescent="0.2"/>
  <cols>
    <col min="1" max="1" width="11" style="4" bestFit="1" customWidth="1"/>
    <col min="2" max="2" width="6" style="4" bestFit="1" customWidth="1"/>
    <col min="3" max="3" width="9.5" style="4" bestFit="1" customWidth="1"/>
    <col min="4" max="5" width="5.6640625" style="4" bestFit="1" customWidth="1"/>
    <col min="6" max="12" width="5" style="4" bestFit="1" customWidth="1"/>
    <col min="13" max="13" width="12.83203125" style="4" customWidth="1"/>
    <col min="14" max="14" width="9.33203125" style="4" customWidth="1"/>
    <col min="15" max="15" width="15.1640625" style="4" customWidth="1"/>
    <col min="16" max="16" width="14.33203125" style="4" customWidth="1"/>
    <col min="17" max="17" width="12" style="4" customWidth="1"/>
    <col min="18" max="18" width="12.5" style="4" bestFit="1" customWidth="1"/>
    <col min="19" max="19" width="12.6640625" style="4" bestFit="1" customWidth="1"/>
    <col min="20" max="20" width="10.83203125" style="18" bestFit="1" customWidth="1"/>
    <col min="21" max="21" width="9.83203125" style="4" bestFit="1" customWidth="1"/>
    <col min="22" max="22" width="10.6640625" style="4" bestFit="1" customWidth="1"/>
    <col min="23" max="23" width="12.33203125" style="4" bestFit="1" customWidth="1"/>
    <col min="24" max="25" width="10.6640625" style="4" bestFit="1" customWidth="1"/>
    <col min="26" max="26" width="11" style="4" bestFit="1" customWidth="1"/>
    <col min="27" max="27" width="9.6640625" style="4" customWidth="1"/>
    <col min="28" max="28" width="8.1640625" style="32" customWidth="1"/>
    <col min="29" max="29" width="11.5" style="4" bestFit="1" customWidth="1"/>
    <col min="30" max="30" width="8.83203125" style="4" bestFit="1" customWidth="1"/>
    <col min="31" max="31" width="7.83203125" style="4" bestFit="1" customWidth="1"/>
    <col min="32" max="32" width="8.6640625" style="4" bestFit="1" customWidth="1"/>
    <col min="33" max="33" width="9.83203125" style="4" bestFit="1" customWidth="1"/>
    <col min="34" max="34" width="5.6640625" style="4" bestFit="1" customWidth="1"/>
    <col min="35" max="35" width="11.5" style="4" bestFit="1" customWidth="1"/>
    <col min="36" max="36" width="8.83203125" style="4" customWidth="1"/>
    <col min="37" max="37" width="7.83203125" style="4" bestFit="1" customWidth="1"/>
    <col min="38" max="38" width="7.1640625" style="4" bestFit="1" customWidth="1"/>
    <col min="39" max="39" width="9.83203125" style="4" bestFit="1" customWidth="1"/>
    <col min="40" max="40" width="5.6640625" style="4" bestFit="1" customWidth="1"/>
    <col min="41" max="41" width="11.5" style="4" bestFit="1" customWidth="1"/>
    <col min="42" max="42" width="8.83203125" style="4" bestFit="1" customWidth="1"/>
    <col min="43" max="43" width="7.83203125" style="4" bestFit="1" customWidth="1"/>
    <col min="44" max="44" width="19.5" style="4" customWidth="1"/>
    <col min="45" max="45" width="9.83203125" style="4" bestFit="1" customWidth="1"/>
    <col min="46" max="46" width="5.6640625" style="4" bestFit="1" customWidth="1"/>
    <col min="47" max="47" width="11.5" style="4" bestFit="1" customWidth="1"/>
    <col min="48" max="48" width="8.83203125" style="4" bestFit="1" customWidth="1"/>
    <col min="49" max="49" width="6.5" style="4" bestFit="1" customWidth="1"/>
    <col min="50" max="50" width="7.1640625" style="4" bestFit="1" customWidth="1"/>
    <col min="51" max="51" width="8.5" style="4" bestFit="1" customWidth="1"/>
    <col min="52" max="52" width="5.6640625" style="4" bestFit="1" customWidth="1"/>
    <col min="53" max="53" width="11.5" style="4" bestFit="1" customWidth="1"/>
    <col min="54" max="54" width="8.83203125" style="4" bestFit="1" customWidth="1"/>
    <col min="55" max="55" width="6.5" style="4" bestFit="1" customWidth="1"/>
    <col min="56" max="56" width="7.1640625" style="4" bestFit="1" customWidth="1"/>
    <col min="57" max="57" width="8.5" style="4" bestFit="1" customWidth="1"/>
    <col min="58" max="58" width="5.6640625" style="4" bestFit="1" customWidth="1"/>
    <col min="59" max="59" width="11.5" style="4" bestFit="1" customWidth="1"/>
    <col min="60" max="60" width="8.83203125" style="4" bestFit="1" customWidth="1"/>
    <col min="61" max="61" width="6.5" style="4" bestFit="1" customWidth="1"/>
    <col min="62" max="62" width="7.1640625" style="4" bestFit="1" customWidth="1"/>
    <col min="63" max="63" width="8.5" style="4" bestFit="1" customWidth="1"/>
    <col min="64" max="64" width="5.6640625" style="4" bestFit="1" customWidth="1"/>
    <col min="65" max="65" width="11.5" style="4" bestFit="1" customWidth="1"/>
    <col min="66" max="66" width="8.83203125" style="4" bestFit="1" customWidth="1"/>
    <col min="67" max="67" width="6.5" style="4" bestFit="1" customWidth="1"/>
    <col min="68" max="68" width="7.1640625" style="4" bestFit="1" customWidth="1"/>
    <col min="69" max="69" width="8.5" style="4" bestFit="1" customWidth="1"/>
    <col min="70" max="70" width="5.6640625" style="4" bestFit="1" customWidth="1"/>
    <col min="71" max="71" width="10.5" style="4" bestFit="1" customWidth="1"/>
    <col min="72" max="72" width="8.83203125" style="4" bestFit="1" customWidth="1"/>
    <col min="73" max="73" width="7.83203125" style="4" bestFit="1" customWidth="1"/>
    <col min="74" max="74" width="8.6640625" style="4" bestFit="1" customWidth="1"/>
    <col min="75" max="75" width="8.5" style="4" bestFit="1" customWidth="1"/>
    <col min="76" max="76" width="5.6640625" style="4" bestFit="1" customWidth="1"/>
    <col min="77" max="77" width="11.5" style="4" bestFit="1" customWidth="1"/>
    <col min="78" max="78" width="8.83203125" style="4" bestFit="1" customWidth="1"/>
    <col min="79" max="79" width="7.1640625" style="4" bestFit="1" customWidth="1"/>
    <col min="80" max="80" width="8.6640625" style="4" bestFit="1" customWidth="1"/>
    <col min="81" max="81" width="8.5" style="4" bestFit="1" customWidth="1"/>
    <col min="82" max="82" width="5.6640625" style="4" bestFit="1" customWidth="1"/>
    <col min="83" max="83" width="11.5" style="4" bestFit="1" customWidth="1"/>
    <col min="84" max="84" width="8.83203125" style="4" bestFit="1" customWidth="1"/>
    <col min="85" max="85" width="6.5" style="4" bestFit="1" customWidth="1"/>
    <col min="86" max="86" width="7.1640625" style="4" bestFit="1" customWidth="1"/>
    <col min="87" max="16384" width="9.1640625" style="4"/>
  </cols>
  <sheetData>
    <row r="1" spans="1:35" s="5" customFormat="1" x14ac:dyDescent="0.2">
      <c r="A1" s="5" t="s">
        <v>18</v>
      </c>
      <c r="M1" s="24" t="s">
        <v>30</v>
      </c>
      <c r="N1" s="24" t="str">
        <f>IF('Data-solution'!A3="Maximize","Unit profit","Unit cost")</f>
        <v>Unit profit</v>
      </c>
      <c r="O1" s="24" t="s">
        <v>31</v>
      </c>
      <c r="P1" s="24" t="s">
        <v>35</v>
      </c>
      <c r="Q1" s="24" t="s">
        <v>29</v>
      </c>
      <c r="R1" s="24" t="s">
        <v>13</v>
      </c>
      <c r="S1" s="24" t="s">
        <v>14</v>
      </c>
      <c r="T1" s="8">
        <v>1</v>
      </c>
      <c r="U1" s="46" t="s">
        <v>21</v>
      </c>
      <c r="V1" s="46"/>
      <c r="W1" s="46"/>
      <c r="X1" s="46" t="s">
        <v>20</v>
      </c>
      <c r="Y1" s="46"/>
      <c r="Z1" s="46"/>
      <c r="AA1" s="5" t="s">
        <v>60</v>
      </c>
      <c r="AB1" s="5" t="s">
        <v>24</v>
      </c>
      <c r="AC1" s="11"/>
      <c r="AD1" s="11"/>
      <c r="AE1" s="11"/>
      <c r="AF1" s="11"/>
      <c r="AG1" s="11"/>
      <c r="AH1" s="11"/>
      <c r="AI1" s="11"/>
    </row>
    <row r="2" spans="1:35" x14ac:dyDescent="0.2">
      <c r="A2" s="4" t="str">
        <f>'Data-solution'!B2</f>
        <v>X1</v>
      </c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>
        <f>IFERROR(VLOOKUP(A2,'Simplex algorithm'!$B$303:$AJ$313,35,FALSE),0)</f>
        <v>100.00000000000001</v>
      </c>
      <c r="N2" s="4">
        <f>'Data-solution'!B3</f>
        <v>150</v>
      </c>
      <c r="O2" s="4">
        <f>M2*N2</f>
        <v>15000.000000000002</v>
      </c>
      <c r="P2" s="8">
        <f>IF(M2&gt;0,0,IF(R2="-M",N2-S2,IF(S2="M",R2-N2,0)))</f>
        <v>0</v>
      </c>
      <c r="Q2" s="8" t="str">
        <f>IF(M2&gt;0,"Basic","Non basic")</f>
        <v>Basic</v>
      </c>
      <c r="R2" s="12">
        <f>IF(AND(Y38=" ",Y292=" ",Y546=" ",Y800=" ",Y1054=" ",Y1308=" ",Y1562=" ",Y1816=" ",Y2070=" ",Y2324=" ",Y2578=" "),"-M",MAX(Y38,Y292,Y546,Y800,Y1054,Y1308,Y1562,Y1816,Y2070,Y2324,Y2578))</f>
        <v>116.66666666666669</v>
      </c>
      <c r="S2" s="12">
        <f>IF(AND(Z38=" ",Z292=" ",Z546=" ",Z800=" ",Z1054=" ",Z1308=" ",Z1562=" ",Z1816=" ",Z2070=" ",Z2324=" ",Z2578=" "),"M",MIN(Z38,Z292,Z546,Z800,Z1054,Z1308,Z1562,Z1816,Z2070,Z2324,Z2578))</f>
        <v>189.99999999999994</v>
      </c>
      <c r="T2" s="8">
        <f>IF(AND(N2=0,B$15=0,B$16=0,B$17=0,B$18=0,B$19=0,B$20=0,B$21=0,B$22=0,B$23=0,B$24=0,B$25=0)," ",MAX(T$1:T1)+1)</f>
        <v>2</v>
      </c>
      <c r="U2" s="52" t="s">
        <v>17</v>
      </c>
      <c r="V2" s="46"/>
      <c r="W2" s="24" t="s">
        <v>28</v>
      </c>
      <c r="X2" s="46" t="s">
        <v>17</v>
      </c>
      <c r="Y2" s="46"/>
      <c r="Z2" s="24" t="s">
        <v>28</v>
      </c>
      <c r="AA2" s="43" t="s">
        <v>11</v>
      </c>
      <c r="AB2" s="31" t="s">
        <v>0</v>
      </c>
      <c r="AC2" s="7"/>
      <c r="AD2" s="7"/>
      <c r="AE2" s="7"/>
      <c r="AF2" s="7"/>
      <c r="AG2" s="7"/>
      <c r="AH2" s="7"/>
      <c r="AI2" s="7"/>
    </row>
    <row r="3" spans="1:35" x14ac:dyDescent="0.2">
      <c r="A3" s="4" t="str">
        <f>'Data-solution'!C2</f>
        <v>X2</v>
      </c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39">
        <f>IFERROR(VLOOKUP(A3,'Simplex algorithm'!$B$303:$AJ$313,35,FALSE),0)</f>
        <v>0</v>
      </c>
      <c r="N3" s="8">
        <f>'Data-solution'!C3</f>
        <v>200</v>
      </c>
      <c r="O3" s="8">
        <f t="shared" ref="O3:O12" si="0">M3*N3</f>
        <v>0</v>
      </c>
      <c r="P3" s="8">
        <f t="shared" ref="P3:P12" si="1">IF(M3&gt;0,0,IF(R3="-M",N3-S3,IF(S3="M",R3-N3,0)))</f>
        <v>-49.999999999999943</v>
      </c>
      <c r="Q3" s="8" t="str">
        <f t="shared" ref="Q3:Q12" si="2">IF(M3&gt;0,"Basic","Non basic")</f>
        <v>Non basic</v>
      </c>
      <c r="R3" s="12" t="str">
        <f>IF(AND(AE38=" ",AE292=" ",AE546=" ",AE800=" ",AE1054=" ",AE1308=" ",AE1562=" ",AE1816=" ",AE2070=" ",AE2324=" ",AE2578=" "),"-M",MAX(AE38,AE292,AE546,AE800,AE1054,AE1308,AE1562,AE1816,AE2070,AE2324,AE2578))</f>
        <v>-M</v>
      </c>
      <c r="S3" s="12">
        <f>IF(AND(AF38=" ",AF292=" ",AF546=" ",AF800=" ",AF1054=" ",AF1308=" ",AF1562=" ",AF1816=" ",AF2070=" ",AF2324=" ",AF2578=" "),"M",MIN(AF38,AF292,AF546,AF800,AF1054,AF1308,AF1562,AF1816,AF2070,AF2324,AF2578))</f>
        <v>249.99999999999994</v>
      </c>
      <c r="T3" s="8">
        <f>IF(AND(N3=0,C$15=0,C$16=0,C$17=0,C$18=0,C$19=0,C$20=0,C$21=0,C$22=0,C$23=0,C$24=0,C$25=0)," ",MAX(T$1:T2)+1)</f>
        <v>3</v>
      </c>
      <c r="U3" s="22" t="str">
        <f>IF(OR(COUNTIF('Simplex algorithm'!B$303:B$313,"S1")&gt;0,COUNTIF('Simplex algorithm'!B$303:B$313,"E1")&gt;0)," ",A15)</f>
        <v xml:space="preserve"> </v>
      </c>
      <c r="V3" s="8" t="str">
        <f>IF(U3=" "," ",1)</f>
        <v xml:space="preserve"> </v>
      </c>
      <c r="W3" s="8" t="str">
        <f>IFERROR(INDEX(U3:U24,MATCH(SMALL(V3:V24,1),V3:V24,0),1)," ")</f>
        <v>C3</v>
      </c>
      <c r="X3" s="8" t="str">
        <f>IF(U3=" ","C1"," ")</f>
        <v>C1</v>
      </c>
      <c r="Y3" s="8">
        <f>IF(X3=" "," ",1)</f>
        <v>1</v>
      </c>
      <c r="Z3" s="8" t="str">
        <f>IFERROR(INDEX(X3:X24,MATCH(SMALL(Y3:Y24,1),Y3:Y24,0),1)," ")</f>
        <v>C1</v>
      </c>
      <c r="AA3" s="7" t="s">
        <v>58</v>
      </c>
      <c r="AB3" s="31" t="s">
        <v>59</v>
      </c>
      <c r="AC3" s="8"/>
      <c r="AD3" s="8"/>
      <c r="AE3" s="8"/>
      <c r="AF3" s="8"/>
      <c r="AG3" s="8"/>
      <c r="AH3" s="8"/>
      <c r="AI3" s="8"/>
    </row>
    <row r="4" spans="1:35" x14ac:dyDescent="0.2">
      <c r="A4" s="4" t="str">
        <f>'Data-solution'!D2</f>
        <v>X3</v>
      </c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39">
        <f>IFERROR(VLOOKUP(A4,'Simplex algorithm'!$B$303:$AJ$313,35,FALSE),0)</f>
        <v>300</v>
      </c>
      <c r="N4" s="8">
        <f>'Data-solution'!D3</f>
        <v>350</v>
      </c>
      <c r="O4" s="8">
        <f t="shared" si="0"/>
        <v>105000</v>
      </c>
      <c r="P4" s="8">
        <f t="shared" si="1"/>
        <v>0</v>
      </c>
      <c r="Q4" s="8" t="str">
        <f t="shared" si="2"/>
        <v>Basic</v>
      </c>
      <c r="R4" s="12">
        <f>IF(AND(AK38=" ",AK292=" ",AK546=" ",AK800=" ",AK1054=" ",AK1308=" ",AK1562=" ",AK1816=" ",AK2070=" ",AK2324=" ",AK2578=" "),"-M",MAX(AK38,AK292,AK546,AK800,AK1054,AK1308,AK1562,AK1816,AK2070,AK2324,AK2578))</f>
        <v>310</v>
      </c>
      <c r="S4" s="12">
        <f>IF(AND(AL38=" ",AL292=" ",AL546=" ",AL800=" ",AL1054=" ",AL1308=" ",AL1562=" ",AL1816=" ",AL2070=" ",AL2324=" ",AL2578=" "),"M",MIN(AL38,AL292,AL546,AL800,AL1054,AL1308,AL1562,AL1816,AL2070,AL2324,AL2578))</f>
        <v>450</v>
      </c>
      <c r="T4" s="8">
        <f>IF(AND(N4=0,D$15=0,D$16=0,D$17=0,D$18=0,D$19=0,D$20=0,D$21=0,D$22=0,D$23=0,D$24=0,D$25=0)," ",MAX(T$1:T3)+1)</f>
        <v>4</v>
      </c>
      <c r="U4" s="22" t="str">
        <f>IF(OR(COUNTIF('Simplex algorithm'!B$303:B$313,"S2")&gt;0,COUNTIF('Simplex algorithm'!B$303:B$313,"E2")&gt;0)," ",A16)</f>
        <v xml:space="preserve"> </v>
      </c>
      <c r="V4" s="8" t="str">
        <f>IF(U4=" "," ",MAX(V$3:V3)+1)</f>
        <v xml:space="preserve"> </v>
      </c>
      <c r="W4" s="8" t="str">
        <f>IFERROR(INDEX(U3:U24,MATCH(SMALL(V3:V24,2),V3:V24,0),1)," ")</f>
        <v>C4</v>
      </c>
      <c r="X4" s="8" t="str">
        <f>IF(U4=" ","C2"," ")</f>
        <v>C2</v>
      </c>
      <c r="Y4" s="8">
        <f>IF(X4=" "," ",MAX(Y$3:Y3)+1)</f>
        <v>2</v>
      </c>
      <c r="Z4" s="8" t="str">
        <f>IFERROR(INDEX(X3:X24,MATCH(SMALL(Y3:Y24,2),Y3:Y24,0),1)," ")</f>
        <v>C2</v>
      </c>
      <c r="AA4" s="8"/>
      <c r="AB4" s="32" t="s">
        <v>16</v>
      </c>
      <c r="AC4" s="8"/>
      <c r="AD4" s="8"/>
      <c r="AE4" s="8"/>
      <c r="AF4" s="8"/>
      <c r="AG4" s="8"/>
      <c r="AH4" s="8"/>
      <c r="AI4" s="8"/>
    </row>
    <row r="5" spans="1:35" s="8" customFormat="1" x14ac:dyDescent="0.2">
      <c r="A5" s="8" t="str">
        <f>'Data-solution'!E2</f>
        <v>X4</v>
      </c>
      <c r="M5" s="39">
        <f>IFERROR(VLOOKUP(A5,'Simplex algorithm'!$B$303:$AJ$313,35,FALSE),0)</f>
        <v>0</v>
      </c>
      <c r="N5" s="8">
        <f>'Data-solution'!E3</f>
        <v>0</v>
      </c>
      <c r="O5" s="8">
        <f t="shared" si="0"/>
        <v>0</v>
      </c>
      <c r="P5" s="8" t="e">
        <f t="shared" si="1"/>
        <v>#VALUE!</v>
      </c>
      <c r="Q5" s="8" t="str">
        <f t="shared" si="2"/>
        <v>Non basic</v>
      </c>
      <c r="R5" s="12" t="str">
        <f>IF(AND(AQ38=" ",AQ292=" ",AQ546=" ",AQ800=" ",AQ1054=" ",AQ1308=" ",AQ1562=" ",AQ1816=" ",AQ2070=" ",AQ2324=" ",AQ2578=" "),"-M",MAX(AQ38,AQ292,AQ546,AQ800,AQ1054,AQ1308,AQ1562,AQ1816,AQ2070,AQ2324,AQ2578))</f>
        <v>-M</v>
      </c>
      <c r="S5" s="12" t="str">
        <f>IF(AND(AR38=" ",AR292=" ",AR546=" ",AR800=" ",AR1054=" ",AR1308=" ",AR1562=" ",AR1816=" ",AR2070=" ",AR2324=" ",AR2578=" "),"M",MIN(AR38,AR292,AR546,AR800,AR1054,AR1308,AR1562,AR1816,AR2070,AR2324,AR2578))</f>
        <v>M</v>
      </c>
      <c r="T5" s="8" t="str">
        <f>IF(AND(N5=0,E$15=0,E$16=0,E$17=0,E$18=0,E$19=0,E$20=0,E$21=0,E$22=0,E$23=0,E$24=0,E$25=0)," ",MAX(T$1:T4)+1)</f>
        <v xml:space="preserve"> </v>
      </c>
      <c r="U5" s="22" t="str">
        <f>IF(OR(COUNTIF('Simplex algorithm'!B$303:B$313,"S3")&gt;0,COUNTIF('Simplex algorithm'!B$303:B$313,"E3")&gt;0)," ",A17)</f>
        <v>C3</v>
      </c>
      <c r="V5" s="8">
        <f>IF(U5=" "," ",MAX(V$3:V4)+1)</f>
        <v>1</v>
      </c>
      <c r="W5" s="8" t="str">
        <f>IFERROR(INDEX(U3:U24,MATCH(SMALL(V3:V24,3),V3:V24,0),1)," ")</f>
        <v>C13</v>
      </c>
      <c r="X5" s="8" t="str">
        <f>IF(U5=" ","C3"," ")</f>
        <v xml:space="preserve"> </v>
      </c>
      <c r="Y5" s="8" t="str">
        <f>IF(X5=" "," ",MAX(Y$3:Y4)+1)</f>
        <v xml:space="preserve"> </v>
      </c>
      <c r="Z5" s="8" t="str">
        <f>IFERROR(INDEX(X3:X24,MATCH(SMALL(Y3:Y24,3),Y3:Y24,0),1)," ")</f>
        <v>C5</v>
      </c>
      <c r="AB5" s="32"/>
    </row>
    <row r="6" spans="1:35" s="8" customFormat="1" x14ac:dyDescent="0.2">
      <c r="A6" s="8" t="str">
        <f>'Data-solution'!F2</f>
        <v>X5</v>
      </c>
      <c r="M6" s="39">
        <f>IFERROR(VLOOKUP(A6,'Simplex algorithm'!$B$303:$AJ$313,35,FALSE),0)</f>
        <v>0</v>
      </c>
      <c r="N6" s="8">
        <f>'Data-solution'!F3</f>
        <v>0</v>
      </c>
      <c r="O6" s="8">
        <f t="shared" si="0"/>
        <v>0</v>
      </c>
      <c r="P6" s="8" t="e">
        <f t="shared" si="1"/>
        <v>#VALUE!</v>
      </c>
      <c r="Q6" s="8" t="str">
        <f t="shared" si="2"/>
        <v>Non basic</v>
      </c>
      <c r="R6" s="12" t="str">
        <f>IF(AND(AW38=" ",AW292=" ",AW546=" ",AW800=" ",AW1054=" ",AW1308=" ",AW1562=" ",AW1816=" ",AW2070=" ",AW2324=" ",AW2578=" "),"-M",MAX(AW38,AW292,AW546,AW800,AW1054,AW1308,AW1562,AW1816,AW2070,AW2324,AW2578))</f>
        <v>-M</v>
      </c>
      <c r="S6" s="12" t="str">
        <f>IF(AND(AX38=" ",AX292=" ",AX546=" ",AX800=" ",AX1054=" ",AX1308=" ",AX1562=" ",AX1816=" ",AX2070=" ",AX2324=" ",AX2578=" "),"M",MIN(AX38,AX292,AX546,AX800,AX1054,AX1308,AX1562,AX1816,AX2070,AX2324,AX2578))</f>
        <v>M</v>
      </c>
      <c r="T6" s="8" t="str">
        <f>IF(AND(N6=0,F$15=0,F$16=0,F$17=0,F$18=0,F$19=0,F$20=0,F$21=0,F$22=0,F$23=0,F$24=0,F$25=0)," ",MAX(T$1:T5)+1)</f>
        <v xml:space="preserve"> </v>
      </c>
      <c r="U6" s="22" t="str">
        <f>IF(OR(COUNTIF('Simplex algorithm'!B$303:B$313,"S4")&gt;0,COUNTIF('Simplex algorithm'!B$303:B$313,"E4")&gt;0)," ",A18)</f>
        <v>C4</v>
      </c>
      <c r="V6" s="8">
        <f>IF(U6=" "," ",MAX(V$3:V5)+1)</f>
        <v>2</v>
      </c>
      <c r="W6" s="8" t="str">
        <f>IFERROR(INDEX(U3:U24,MATCH(SMALL(V3:V24,4),V3:V24,0),1)," ")</f>
        <v>C15</v>
      </c>
      <c r="X6" s="8" t="str">
        <f>IF(U6=" ","C4"," ")</f>
        <v xml:space="preserve"> </v>
      </c>
      <c r="Y6" s="8" t="str">
        <f>IF(X6=" "," ",MAX(Y$3:Y5)+1)</f>
        <v xml:space="preserve"> </v>
      </c>
      <c r="Z6" s="8" t="str">
        <f>IFERROR(INDEX(X3:X24,MATCH(SMALL(Y3:Y24,4),Y3:Y24,0),1)," ")</f>
        <v>C6</v>
      </c>
      <c r="AB6" s="32"/>
    </row>
    <row r="7" spans="1:35" s="8" customFormat="1" x14ac:dyDescent="0.2">
      <c r="A7" s="8" t="str">
        <f>'Data-solution'!G2</f>
        <v>X6</v>
      </c>
      <c r="M7" s="39">
        <f>IFERROR(VLOOKUP(A7,'Simplex algorithm'!$B$303:$AJ$313,35,FALSE),0)</f>
        <v>0</v>
      </c>
      <c r="N7" s="8">
        <f>'Data-solution'!G3</f>
        <v>0</v>
      </c>
      <c r="O7" s="8">
        <f t="shared" si="0"/>
        <v>0</v>
      </c>
      <c r="P7" s="8" t="e">
        <f t="shared" si="1"/>
        <v>#VALUE!</v>
      </c>
      <c r="Q7" s="8" t="str">
        <f t="shared" si="2"/>
        <v>Non basic</v>
      </c>
      <c r="R7" s="12" t="str">
        <f>IF(AND(BC38=" ",BC292=" ",BC546=" ",BC800=" ",BC1054=" ",BC1308=" ",BC1562=" ",BC1816=" ",BC2070=" ",BC2324=" ",BC2578=" "),"-M",MAX(BC38,BC292,BC546,BC800,BC1054,BC1308,BC1562,BC1816,BC2070,BC2324,BC2578))</f>
        <v>-M</v>
      </c>
      <c r="S7" s="12" t="str">
        <f>IF(AND(BD38=" ",BD292=" ",BD546=" ",BD800=" ",BD1054=" ",BD1308=" ",BD1562=" ",BD1816=" ",BD2070=" ",BD2324=" ",BD2578=" "),"M",MIN(BD38,BD292,BD546,BD800,BD1054,BD1308,BD1562,BD1816,BD2070,BD2324,BD2578))</f>
        <v>M</v>
      </c>
      <c r="T7" s="8" t="str">
        <f>IF(AND(N7=0,G$15=0,G$16=0,G$17=0,G$18=0,G$19=0,G$20=0,G$21=0,G$22=0,G$23=0,G$24=0,G$25=0)," ",MAX(T$1:T6)+1)</f>
        <v xml:space="preserve"> </v>
      </c>
      <c r="U7" s="22" t="str">
        <f>IF(OR(COUNTIF('Simplex algorithm'!B$303:B$313,"S5")&gt;0,COUNTIF('Simplex algorithm'!B$303:B$313,"E5")&gt;0)," ",A19)</f>
        <v xml:space="preserve"> </v>
      </c>
      <c r="V7" s="8" t="str">
        <f>IF(U7=" "," ",MAX(V$3:V6)+1)</f>
        <v xml:space="preserve"> </v>
      </c>
      <c r="W7" s="8" t="str">
        <f>IFERROR(INDEX(U3:U24,MATCH(SMALL(V3:V24,5),V3:V24,0),1)," ")</f>
        <v>C16</v>
      </c>
      <c r="X7" s="8" t="str">
        <f>IF(U7=" ","C5"," ")</f>
        <v>C5</v>
      </c>
      <c r="Y7" s="8">
        <f>IF(X7=" "," ",MAX(Y$3:Y6)+1)</f>
        <v>3</v>
      </c>
      <c r="Z7" s="8" t="str">
        <f>IFERROR(INDEX(X3:X24,MATCH(SMALL(Y3:Y24,5),Y3:Y24,0),1)," ")</f>
        <v>C7</v>
      </c>
      <c r="AB7" s="32"/>
    </row>
    <row r="8" spans="1:35" s="8" customFormat="1" x14ac:dyDescent="0.2">
      <c r="A8" s="8" t="str">
        <f>'Data-solution'!H2</f>
        <v>X7</v>
      </c>
      <c r="M8" s="39">
        <f>IFERROR(VLOOKUP(A8,'Simplex algorithm'!$B$303:$AJ$313,35,FALSE),0)</f>
        <v>0</v>
      </c>
      <c r="N8" s="8">
        <f>'Data-solution'!H3</f>
        <v>0</v>
      </c>
      <c r="O8" s="8">
        <f t="shared" si="0"/>
        <v>0</v>
      </c>
      <c r="P8" s="8" t="e">
        <f t="shared" si="1"/>
        <v>#VALUE!</v>
      </c>
      <c r="Q8" s="8" t="str">
        <f t="shared" si="2"/>
        <v>Non basic</v>
      </c>
      <c r="R8" s="12" t="str">
        <f>IF(AND(BI38=" ",BI292=" ",BI546=" ",BI800=" ",BI1054=" ",BI1308=" ",BI1562=" ",BI1816=" ",BI2070=" ",BI2324=" ",BI2578=" "),"-M",MAX(BI38,BI292,BI546,BI800,BI1054,BI1308,BI1562,BI1816,BI2070,BI2324,BI2578))</f>
        <v>-M</v>
      </c>
      <c r="S8" s="12" t="str">
        <f>IF(AND(BJ38=" ",BJ292=" ",BJ546=" ",BJ800=" ",BJ1054=" ",BJ1308=" ",BJ1562=" ",BJ1816=" ",BJ2070=" ",BJ2324=" ",BJ2578=" "),"M",MIN(BJ38,BJ292,BJ546,BJ800,BJ1054,BJ1308,BJ1562,BJ1816,BJ2070,BJ2324,BJ2578))</f>
        <v>M</v>
      </c>
      <c r="T8" s="8" t="str">
        <f>IF(AND(N8=0,H$15=0,H$16=0,H$17=0,H$18=0,H$19=0,H$20=0,H$21=0,H$22=0,H$23=0,H$24=0,H$25=0)," ",MAX(T$1:T7)+1)</f>
        <v xml:space="preserve"> </v>
      </c>
      <c r="U8" s="22" t="str">
        <f>IF(OR(COUNTIF('Simplex algorithm'!B$303:B$313,"S6")&gt;0,COUNTIF('Simplex algorithm'!B$303:B$313,"E6")&gt;0)," ",A20)</f>
        <v xml:space="preserve"> </v>
      </c>
      <c r="V8" s="8" t="str">
        <f>IF(U8=" "," ",MAX(V$3:V7)+1)</f>
        <v xml:space="preserve"> </v>
      </c>
      <c r="W8" s="8" t="str">
        <f>IFERROR(INDEX(U3:U24,MATCH(SMALL(V3:V24,6),V3:V24,0),1)," ")</f>
        <v>C17</v>
      </c>
      <c r="X8" s="8" t="str">
        <f>IF(U8=" ","C6"," ")</f>
        <v>C6</v>
      </c>
      <c r="Y8" s="8">
        <f>IF(X8=" "," ",MAX(Y$3:Y7)+1)</f>
        <v>4</v>
      </c>
      <c r="Z8" s="8" t="str">
        <f>IFERROR(INDEX(X3:X24,MATCH(SMALL(Y3:Y24,6),Y3:Y24,0),1)," ")</f>
        <v>C8</v>
      </c>
      <c r="AB8" s="32"/>
    </row>
    <row r="9" spans="1:35" s="8" customFormat="1" x14ac:dyDescent="0.2">
      <c r="A9" s="8" t="str">
        <f>'Data-solution'!I2</f>
        <v>X8</v>
      </c>
      <c r="M9" s="39">
        <f>IFERROR(VLOOKUP(A9,'Simplex algorithm'!$B$303:$AJ$313,35,FALSE),0)</f>
        <v>0</v>
      </c>
      <c r="N9" s="8">
        <f>'Data-solution'!I3</f>
        <v>0</v>
      </c>
      <c r="O9" s="8">
        <f t="shared" si="0"/>
        <v>0</v>
      </c>
      <c r="P9" s="8" t="e">
        <f t="shared" si="1"/>
        <v>#VALUE!</v>
      </c>
      <c r="Q9" s="8" t="str">
        <f t="shared" si="2"/>
        <v>Non basic</v>
      </c>
      <c r="R9" s="12" t="str">
        <f>IF(AND(BO38=" ",BO292=" ",BO546=" ",BO800=" ",BO1054=" ",BO1308=" ",BO1562=" ",BO1816=" ",BO2070=" ",BO2324=" ",BO2578=" "),"-M",MAX(BO38,BO292,BO546,BO800,BO1054,BO1308,BO1562,BO1816,BO2070,BO2324,BO2578))</f>
        <v>-M</v>
      </c>
      <c r="S9" s="12" t="str">
        <f>IF(AND(BP38=" ",BP292=" ",BP546=" ",BP800=" ",BP1054=" ",BP1308=" ",BP1562=" ",BP1816=" ",BP2070=" ",BP2324=" ",BP2578=" "),"M",MIN(BP38,BP292,BP546,BP800,BP1054,BP1308,BP1562,BP1816,BP2070,BP2324,BP2578))</f>
        <v>M</v>
      </c>
      <c r="T9" s="8" t="str">
        <f>IF(AND(N9=0,I$15=0,I$16=0,I$17=0,I$18=0,I$19=0,I$20=0,I$21=0,I$22=0,I$23=0,I$24=0,I$25=0)," ",MAX(T$1:T8)+1)</f>
        <v xml:space="preserve"> </v>
      </c>
      <c r="U9" s="22" t="str">
        <f>IF(OR(COUNTIF('Simplex algorithm'!B$303:B$313,"S7")&gt;0,COUNTIF('Simplex algorithm'!B$303:B$313,"E7")&gt;0)," ",A21)</f>
        <v xml:space="preserve"> </v>
      </c>
      <c r="V9" s="8" t="str">
        <f>IF(U9=" "," ",MAX(V$3:V8)+1)</f>
        <v xml:space="preserve"> </v>
      </c>
      <c r="W9" s="8" t="str">
        <f>IFERROR(INDEX(U3:U24,MATCH(SMALL(V3:V24,7),V3:V24,0),1)," ")</f>
        <v>C18</v>
      </c>
      <c r="X9" s="8" t="str">
        <f>IF(U9=" ","C7"," ")</f>
        <v>C7</v>
      </c>
      <c r="Y9" s="8">
        <f>IF(X9=" "," ",MAX(Y$3:Y8)+1)</f>
        <v>5</v>
      </c>
      <c r="Z9" s="8" t="str">
        <f>IFERROR(INDEX(X3:X24,MATCH(SMALL(Y3:Y24,7),Y3:Y24,0),1)," ")</f>
        <v>C9</v>
      </c>
      <c r="AB9" s="32"/>
    </row>
    <row r="10" spans="1:35" s="8" customFormat="1" x14ac:dyDescent="0.2">
      <c r="A10" s="8" t="str">
        <f>'Data-solution'!J2</f>
        <v>X9</v>
      </c>
      <c r="M10" s="39">
        <f>IFERROR(VLOOKUP(A10,'Simplex algorithm'!$B$303:$AJ$313,35,FALSE),0)</f>
        <v>0</v>
      </c>
      <c r="N10" s="8">
        <f>'Data-solution'!J3</f>
        <v>0</v>
      </c>
      <c r="O10" s="8">
        <f t="shared" si="0"/>
        <v>0</v>
      </c>
      <c r="P10" s="8" t="e">
        <f t="shared" si="1"/>
        <v>#VALUE!</v>
      </c>
      <c r="Q10" s="8" t="str">
        <f t="shared" si="2"/>
        <v>Non basic</v>
      </c>
      <c r="R10" s="12" t="str">
        <f>IF(AND(BU38=" ",BU292=" ",BU546=" ",BU800=" ",BU1054=" ",BU1308=" ",BU1562=" ",BU1816=" ",BU2070=" ",BU2324=" ",BU2578=" "),"-M",MAX(BU38,BU292,BU546,BU800,BU1054,BU1308,BU1562,BU1816,BU2070,BU2324,BU2578))</f>
        <v>-M</v>
      </c>
      <c r="S10" s="12" t="str">
        <f>IF(AND(BV38=" ",BV292=" ",BV546=" ",BV800=" ",BV1054=" ",BV1308=" ",BV1562=" ",BV1816=" ",BV2070=" ",BV2324=" ",BV2578=" "),"M",MIN(BV38,BV292,BV546,BV800,BV1054,BV1308,BV1562,BV1816,BV2070,BV2324,BV2578))</f>
        <v>M</v>
      </c>
      <c r="T10" s="8" t="str">
        <f>IF(AND(N10=0,J$15=0,J$16=0,J$17=0,J$18=0,J$19=0,J$20=0,J$21=0,J$22=0,J$23=0,J$24=0,J$25=0)," ",MAX(T$1:T9)+1)</f>
        <v xml:space="preserve"> </v>
      </c>
      <c r="U10" s="22" t="str">
        <f>IF(OR(COUNTIF('Simplex algorithm'!B$303:B$313,"S8")&gt;0,COUNTIF('Simplex algorithm'!B$303:B$313,"E8")&gt;0)," ",A22)</f>
        <v xml:space="preserve"> </v>
      </c>
      <c r="V10" s="8" t="str">
        <f>IF(U10=" "," ",MAX(V$3:V9)+1)</f>
        <v xml:space="preserve"> </v>
      </c>
      <c r="W10" s="8" t="str">
        <f>IFERROR(INDEX(U3:U24,MATCH(SMALL(V3:V24,8),V3:V24,0),1)," ")</f>
        <v>C19</v>
      </c>
      <c r="X10" s="8" t="str">
        <f>IF(U10=" ","C8"," ")</f>
        <v>C8</v>
      </c>
      <c r="Y10" s="8">
        <f>IF(X10=" "," ",MAX(Y$3:Y9)+1)</f>
        <v>6</v>
      </c>
      <c r="Z10" s="8" t="str">
        <f>IFERROR(INDEX(X3:X24,MATCH(SMALL(Y3:Y24,8),Y3:Y24,0),1)," ")</f>
        <v>C10</v>
      </c>
      <c r="AB10" s="32"/>
    </row>
    <row r="11" spans="1:35" s="8" customFormat="1" x14ac:dyDescent="0.2">
      <c r="A11" s="8" t="str">
        <f>'Data-solution'!K2</f>
        <v>X10</v>
      </c>
      <c r="M11" s="39">
        <f>IFERROR(VLOOKUP(A11,'Simplex algorithm'!$B$303:$AJ$313,35,FALSE),0)</f>
        <v>0</v>
      </c>
      <c r="N11" s="8">
        <f>'Data-solution'!K3</f>
        <v>0</v>
      </c>
      <c r="O11" s="8">
        <f t="shared" si="0"/>
        <v>0</v>
      </c>
      <c r="P11" s="8" t="e">
        <f t="shared" si="1"/>
        <v>#VALUE!</v>
      </c>
      <c r="Q11" s="8" t="str">
        <f t="shared" si="2"/>
        <v>Non basic</v>
      </c>
      <c r="R11" s="12" t="str">
        <f>IF(AND(CA38=" ",CA292=" ",CA546=" ",CA800=" ",CA1054=" ",CA1308=" ",CA1562=" ",CA1816=" ",CA2070=" ",CA2324=" ",CA2578=" "),"-M",MAX(CA38,CA292,CA546,CA800,CA1054,CA1308,CA1562,CA1816,CA2070,CA2324,CA2578))</f>
        <v>-M</v>
      </c>
      <c r="S11" s="12" t="str">
        <f>IF(AND(CB38=" ",CB292=" ",CB546=" ",CB800=" ",CB1054=" ",CB1308=" ",CB1562=" ",CB1816=" ",CB2070=" ",CB2324=" ",CB2578=" "),"M",MIN(CB38,CB292,CB546,CB800,CB1054,CB1308,CB1562,CB1816,CB2070,CB2324,CB2578))</f>
        <v>M</v>
      </c>
      <c r="T11" s="8" t="str">
        <f>IF(AND(N11=0,K$15=0,K$16=0,K$17=0,K$18=0,K$19=0,K$20=0,K$21=0,K$22=0,K$23=0,K$24=0,K$25=0)," ",MAX(T$1:T10)+1)</f>
        <v xml:space="preserve"> </v>
      </c>
      <c r="U11" s="22" t="str">
        <f>IF(OR(COUNTIF('Simplex algorithm'!B$303:B$313,"S9")&gt;0,COUNTIF('Simplex algorithm'!B$303:B$313,"E9")&gt;0)," ",A23)</f>
        <v xml:space="preserve"> </v>
      </c>
      <c r="V11" s="8" t="str">
        <f>IF(U11=" "," ",MAX(V$3:V10)+1)</f>
        <v xml:space="preserve"> </v>
      </c>
      <c r="W11" s="8" t="str">
        <f>IFERROR(INDEX(U3:U24,MATCH(SMALL(V3:V24,9),V3:V24,0),1)," ")</f>
        <v>C20</v>
      </c>
      <c r="X11" s="8" t="str">
        <f>IF(U11=" ","C9"," ")</f>
        <v>C9</v>
      </c>
      <c r="Y11" s="8">
        <f>IF(X11=" "," ",MAX(Y$3:Y10)+1)</f>
        <v>7</v>
      </c>
      <c r="Z11" s="8" t="str">
        <f>IFERROR(INDEX(X3:X24,MATCH(SMALL(Y3:Y24,9),Y3:Y24,0),1)," ")</f>
        <v>C11</v>
      </c>
      <c r="AB11" s="32"/>
    </row>
    <row r="12" spans="1:35" s="8" customFormat="1" x14ac:dyDescent="0.2">
      <c r="A12" s="8" t="str">
        <f>'Data-solution'!L2</f>
        <v>X11</v>
      </c>
      <c r="M12" s="39">
        <f>IFERROR(VLOOKUP(A12,'Simplex algorithm'!$B$303:$AJ$313,35,FALSE),0)</f>
        <v>0</v>
      </c>
      <c r="N12" s="8">
        <f>'Data-solution'!L3</f>
        <v>0</v>
      </c>
      <c r="O12" s="8">
        <f t="shared" si="0"/>
        <v>0</v>
      </c>
      <c r="P12" s="8" t="e">
        <f t="shared" si="1"/>
        <v>#VALUE!</v>
      </c>
      <c r="Q12" s="8" t="str">
        <f t="shared" si="2"/>
        <v>Non basic</v>
      </c>
      <c r="R12" s="12" t="str">
        <f>IF(AND(CG38=" ",CG292=" ",CG546=" ",CG800=" ",CG1054=" ",CG1308=" ",CG1562=" ",CG1816=" ",CG2070=" ",CG2324=" ",CG2578=" "),"-M",MAX(CG38,CG292,CG546,CG800,CG1054,CG1308,CG1562,CG1816,CG2070,CG2324,CG2578))</f>
        <v>-M</v>
      </c>
      <c r="S12" s="12" t="str">
        <f>IF(AND(CH38=" ",CH292=" ",CH546=" ",CH800=" ",CH1054=" ",CH1308=" ",CH1562=" ",CH1816=" ",CH2070=" ",CH2324=" ",CH2578=" "),"M",MIN(CH38,CH292,CH546,CH800,CH1054,CH1308,CH1562,CH1816,CH2070,CH2324,CH2578))</f>
        <v>M</v>
      </c>
      <c r="T12" s="8" t="str">
        <f>IF(AND(N12=0,L$15=0,L$16=0,L$17=0,L$18=0,L$19=0,L$20=0,L$21=0,L$22=0,L$23=0,L$24=0,L$25=0)," ",MAX(T$1:T11)+1)</f>
        <v xml:space="preserve"> </v>
      </c>
      <c r="U12" s="22" t="str">
        <f>IF(OR(COUNTIF('Simplex algorithm'!B$303:B$313,"S10")&gt;0,COUNTIF('Simplex algorithm'!B$303:B$313,"E10")&gt;0)," ",A24)</f>
        <v xml:space="preserve"> </v>
      </c>
      <c r="V12" s="8" t="str">
        <f>IF(U12=" "," ",MAX(V$3:V11)+1)</f>
        <v xml:space="preserve"> </v>
      </c>
      <c r="W12" s="8" t="str">
        <f>IFERROR(INDEX(U3:U24,MATCH(SMALL(V3:V24,10),V3:V24,0),1)," ")</f>
        <v>C21</v>
      </c>
      <c r="X12" s="8" t="str">
        <f>IF(U12=" ","C10"," ")</f>
        <v>C10</v>
      </c>
      <c r="Y12" s="8">
        <f>IF(X12=" "," ",MAX(Y$3:Y11)+1)</f>
        <v>8</v>
      </c>
      <c r="Z12" s="8" t="str">
        <f>IFERROR(INDEX(X3:X24,MATCH(SMALL(Y3:Y24,10),Y3:Y24,0),1)," ")</f>
        <v>C12</v>
      </c>
      <c r="AB12" s="32"/>
      <c r="AC12" s="40"/>
    </row>
    <row r="13" spans="1:35" s="8" customFormat="1" x14ac:dyDescent="0.2">
      <c r="A13" s="11" t="str">
        <f>IF('Data-solution'!A3="Maximize","Max value:","Min value:")</f>
        <v>Max value:</v>
      </c>
      <c r="B13" s="11"/>
      <c r="C13" s="11"/>
      <c r="D13" s="11"/>
      <c r="M13" s="25" t="s">
        <v>57</v>
      </c>
      <c r="N13" s="25" t="s">
        <v>57</v>
      </c>
      <c r="O13" s="7">
        <f>'Simplex algorithm'!AJ314</f>
        <v>120000</v>
      </c>
      <c r="P13" s="25" t="s">
        <v>57</v>
      </c>
      <c r="Q13" s="25" t="s">
        <v>57</v>
      </c>
      <c r="R13" s="25" t="s">
        <v>57</v>
      </c>
      <c r="S13" s="25" t="s">
        <v>57</v>
      </c>
      <c r="T13" s="22">
        <f>MAX(T$1:T12)+1</f>
        <v>5</v>
      </c>
      <c r="U13" s="22" t="str">
        <f>IF(OR(COUNTIF('Simplex algorithm'!B$303:B$313,"S11")&gt;0,COUNTIF('Simplex algorithm'!B$303:B$313,"E11")&gt;0)," ",A25)</f>
        <v xml:space="preserve"> </v>
      </c>
      <c r="V13" s="8" t="str">
        <f>IF(U13=" "," ",MAX(V$3:V12)+1)</f>
        <v xml:space="preserve"> </v>
      </c>
      <c r="W13" s="8" t="str">
        <f>IFERROR(INDEX(U3:U24,MATCH(SMALL(V3:V24,11),V3:V24,0),1)," ")</f>
        <v>C22</v>
      </c>
      <c r="X13" s="8" t="str">
        <f>IF(U13=" ","C11"," ")</f>
        <v>C11</v>
      </c>
      <c r="Y13" s="8">
        <f>IF(X13=" "," ",MAX(Y$3:Y12)+1)</f>
        <v>9</v>
      </c>
      <c r="Z13" s="8" t="str">
        <f>IFERROR(INDEX(X3:X24,MATCH(SMALL(Y3:Y24,11),Y3:Y24,0),1)," ")</f>
        <v>C14</v>
      </c>
      <c r="AB13" s="32"/>
    </row>
    <row r="14" spans="1:35" s="8" customFormat="1" x14ac:dyDescent="0.2">
      <c r="A14" s="7" t="s">
        <v>28</v>
      </c>
      <c r="B14" s="7" t="str">
        <f>'Data-solution'!B2</f>
        <v>X1</v>
      </c>
      <c r="C14" s="7" t="str">
        <f>'Data-solution'!C2</f>
        <v>X2</v>
      </c>
      <c r="D14" s="7" t="str">
        <f>'Data-solution'!D2</f>
        <v>X3</v>
      </c>
      <c r="E14" s="7" t="str">
        <f>'Data-solution'!E2</f>
        <v>X4</v>
      </c>
      <c r="F14" s="7" t="str">
        <f>'Data-solution'!F2</f>
        <v>X5</v>
      </c>
      <c r="G14" s="7" t="str">
        <f>'Data-solution'!G2</f>
        <v>X6</v>
      </c>
      <c r="H14" s="7" t="str">
        <f>'Data-solution'!H2</f>
        <v>X7</v>
      </c>
      <c r="I14" s="7" t="str">
        <f>'Data-solution'!I2</f>
        <v>X8</v>
      </c>
      <c r="J14" s="7" t="str">
        <f>'Data-solution'!J2</f>
        <v>X9</v>
      </c>
      <c r="K14" s="7" t="str">
        <f>'Data-solution'!K2</f>
        <v>X10</v>
      </c>
      <c r="L14" s="7" t="str">
        <f>'Data-solution'!L2</f>
        <v>X11</v>
      </c>
      <c r="M14" s="24" t="s">
        <v>33</v>
      </c>
      <c r="N14" s="24" t="s">
        <v>24</v>
      </c>
      <c r="O14" s="24" t="s">
        <v>32</v>
      </c>
      <c r="P14" s="24" t="s">
        <v>70</v>
      </c>
      <c r="Q14" s="24" t="s">
        <v>34</v>
      </c>
      <c r="R14" s="24" t="s">
        <v>13</v>
      </c>
      <c r="S14" s="24" t="s">
        <v>14</v>
      </c>
      <c r="T14" s="22">
        <f>MAX(T$1:T13)+1</f>
        <v>6</v>
      </c>
      <c r="U14" s="22" t="str">
        <f t="shared" ref="U14:U24" si="3">IF(M2&gt;0," ",A26)</f>
        <v xml:space="preserve"> </v>
      </c>
      <c r="V14" s="8" t="str">
        <f>IF(U14=" "," ",MAX(V$3:V13)+1)</f>
        <v xml:space="preserve"> </v>
      </c>
      <c r="X14" s="8" t="str">
        <f>IF(U14=" ","C12"," ")</f>
        <v>C12</v>
      </c>
      <c r="Y14" s="8">
        <f>IF(X14=" "," ",MAX(Y$3:Y13)+1)</f>
        <v>10</v>
      </c>
      <c r="Z14" s="40"/>
      <c r="AB14" s="32"/>
    </row>
    <row r="15" spans="1:35" x14ac:dyDescent="0.2">
      <c r="A15" s="45" t="s">
        <v>82</v>
      </c>
      <c r="B15" s="4">
        <f>'Data-solution'!B4</f>
        <v>1</v>
      </c>
      <c r="C15" s="8">
        <f>'Data-solution'!C4</f>
        <v>1</v>
      </c>
      <c r="D15" s="8">
        <f>'Data-solution'!D4</f>
        <v>1</v>
      </c>
      <c r="E15" s="8">
        <f>'Data-solution'!E4</f>
        <v>0</v>
      </c>
      <c r="F15" s="8">
        <f>'Data-solution'!F4</f>
        <v>0</v>
      </c>
      <c r="G15" s="8">
        <f>'Data-solution'!G4</f>
        <v>0</v>
      </c>
      <c r="H15" s="8">
        <f>'Data-solution'!H4</f>
        <v>0</v>
      </c>
      <c r="I15" s="8">
        <f>'Data-solution'!I4</f>
        <v>0</v>
      </c>
      <c r="J15" s="8">
        <f>'Data-solution'!J4</f>
        <v>0</v>
      </c>
      <c r="K15" s="8">
        <f>'Data-solution'!K4</f>
        <v>0</v>
      </c>
      <c r="L15" s="8">
        <f>'Data-solution'!L4</f>
        <v>0</v>
      </c>
      <c r="M15" s="4">
        <f>MMULT(B15:L15,M$2:M$12)</f>
        <v>400</v>
      </c>
      <c r="N15" s="4" t="str">
        <f>'Data-solution'!M4</f>
        <v>&lt;=</v>
      </c>
      <c r="O15" s="4">
        <f>'Data-solution'!N4</f>
        <v>550</v>
      </c>
      <c r="P15" s="8">
        <f>O15-M15</f>
        <v>150</v>
      </c>
      <c r="Q15" s="12">
        <f>IF(OR(P15&gt;0.001,P15&lt;-0.001),0,VLOOKUP(A15,B$38:R$2830,17,FALSE))</f>
        <v>0</v>
      </c>
      <c r="R15" s="12">
        <f>IFERROR(IF(P15&lt;-0.001,"-M",IF(P15&gt;0.001,MMULT(B15:L15,M$2:M$12),VLOOKUP(A15,B$38:T$2830,18,FALSE))),"-M")</f>
        <v>400</v>
      </c>
      <c r="S15" s="12" t="str">
        <f>IFERROR(IF(P15&gt;0.001,"M",IF(P15&lt;-0.001,MMULT(B15:L15,M$2:M$12),VLOOKUP(A15,B$38:T$2830,19,FALSE))),"M")</f>
        <v>M</v>
      </c>
      <c r="T15" s="22">
        <f>IF(AND(B15=0,C15=0,D15=0,E15=0,F15=0,G15=0,H15=0,I15=0,J15=0,K15=0,L15=0,O15=0)," ",MAX(T$1:T14)+1)</f>
        <v>7</v>
      </c>
      <c r="U15" s="22" t="str">
        <f t="shared" si="3"/>
        <v>C13</v>
      </c>
      <c r="V15" s="8">
        <f>IF(U15=" "," ",MAX(V$3:V14)+1)</f>
        <v>3</v>
      </c>
      <c r="W15" s="8"/>
      <c r="X15" s="8" t="str">
        <f>IF(U15=" ","C13"," ")</f>
        <v xml:space="preserve"> </v>
      </c>
      <c r="Y15" s="8" t="str">
        <f>IF(X15=" "," ",MAX(Y$3:Y14)+1)</f>
        <v xml:space="preserve"> </v>
      </c>
      <c r="Z15" s="8"/>
      <c r="AA15" s="8"/>
    </row>
    <row r="16" spans="1:35" x14ac:dyDescent="0.2">
      <c r="A16" s="45" t="s">
        <v>83</v>
      </c>
      <c r="B16" s="8">
        <f>'Data-solution'!B5</f>
        <v>1</v>
      </c>
      <c r="C16" s="8">
        <f>'Data-solution'!C5</f>
        <v>3</v>
      </c>
      <c r="D16" s="8">
        <f>'Data-solution'!D5</f>
        <v>2</v>
      </c>
      <c r="E16" s="8">
        <f>'Data-solution'!E5</f>
        <v>0</v>
      </c>
      <c r="F16" s="8">
        <f>'Data-solution'!F5</f>
        <v>0</v>
      </c>
      <c r="G16" s="8">
        <f>'Data-solution'!G5</f>
        <v>0</v>
      </c>
      <c r="H16" s="8">
        <f>'Data-solution'!H5</f>
        <v>0</v>
      </c>
      <c r="I16" s="8">
        <f>'Data-solution'!I5</f>
        <v>0</v>
      </c>
      <c r="J16" s="8">
        <f>'Data-solution'!J5</f>
        <v>0</v>
      </c>
      <c r="K16" s="8">
        <f>'Data-solution'!K5</f>
        <v>0</v>
      </c>
      <c r="L16" s="8">
        <f>'Data-solution'!L5</f>
        <v>0</v>
      </c>
      <c r="M16" s="8">
        <f t="shared" ref="M16:M25" si="4">MMULT(B16:L16,M$2:M$12)</f>
        <v>700</v>
      </c>
      <c r="N16" s="8" t="str">
        <f>'Data-solution'!M5</f>
        <v>&lt;=</v>
      </c>
      <c r="O16" s="8">
        <f>'Data-solution'!N5</f>
        <v>1000</v>
      </c>
      <c r="P16" s="37">
        <f t="shared" ref="P16:P25" si="5">O16-M16</f>
        <v>300</v>
      </c>
      <c r="Q16" s="12">
        <f t="shared" ref="Q16:Q25" si="6">IF(OR(P16&gt;0.001,P16&lt;-0.001),0,VLOOKUP(A16,B$38:R$2830,17,FALSE))</f>
        <v>0</v>
      </c>
      <c r="R16" s="12">
        <f t="shared" ref="R16:R25" si="7">IFERROR(IF(P16&lt;-0.001,"-M",IF(P16&gt;0.001,MMULT(B16:L16,M$2:M$12),VLOOKUP(A16,B$38:T$2830,18,FALSE))),"-M")</f>
        <v>700</v>
      </c>
      <c r="S16" s="12" t="str">
        <f t="shared" ref="S16:S25" si="8">IFERROR(IF(P16&gt;0.001,"M",IF(P16&lt;-0.001,MMULT(B16:L16,M$2:M$12),VLOOKUP(A16,B$38:T$2830,19,FALSE))),"M")</f>
        <v>M</v>
      </c>
      <c r="T16" s="22">
        <f>IF(AND(B16=0,C16=0,D16=0,E16=0,F16=0,G16=0,H16=0,I16=0,J16=0,K16=0,L16=0,O16=0)," ",MAX(T$1:T15)+1)</f>
        <v>8</v>
      </c>
      <c r="U16" s="22" t="str">
        <f t="shared" si="3"/>
        <v xml:space="preserve"> </v>
      </c>
      <c r="V16" s="8" t="str">
        <f>IF(U16=" "," ",MAX(V$3:V15)+1)</f>
        <v xml:space="preserve"> </v>
      </c>
      <c r="W16" s="8"/>
      <c r="X16" s="8" t="str">
        <f>IF(U16=" ","C14"," ")</f>
        <v>C14</v>
      </c>
      <c r="Y16" s="8">
        <f>IF(X16=" "," ",MAX(Y$3:Y15)+1)</f>
        <v>11</v>
      </c>
      <c r="Z16" s="8"/>
      <c r="AA16" s="8"/>
    </row>
    <row r="17" spans="1:28" x14ac:dyDescent="0.2">
      <c r="A17" s="45" t="s">
        <v>84</v>
      </c>
      <c r="B17" s="8">
        <f>'Data-solution'!B6</f>
        <v>2</v>
      </c>
      <c r="C17" s="8">
        <f>'Data-solution'!C6</f>
        <v>5</v>
      </c>
      <c r="D17" s="8">
        <f>'Data-solution'!D6</f>
        <v>6</v>
      </c>
      <c r="E17" s="8">
        <f>'Data-solution'!E6</f>
        <v>0</v>
      </c>
      <c r="F17" s="8">
        <f>'Data-solution'!F6</f>
        <v>0</v>
      </c>
      <c r="G17" s="8">
        <f>'Data-solution'!G6</f>
        <v>0</v>
      </c>
      <c r="H17" s="8">
        <f>'Data-solution'!H6</f>
        <v>0</v>
      </c>
      <c r="I17" s="8">
        <f>'Data-solution'!I6</f>
        <v>0</v>
      </c>
      <c r="J17" s="8">
        <f>'Data-solution'!J6</f>
        <v>0</v>
      </c>
      <c r="K17" s="8">
        <f>'Data-solution'!K6</f>
        <v>0</v>
      </c>
      <c r="L17" s="8">
        <f>'Data-solution'!L6</f>
        <v>0</v>
      </c>
      <c r="M17" s="8">
        <f t="shared" si="4"/>
        <v>2000</v>
      </c>
      <c r="N17" s="8" t="str">
        <f>'Data-solution'!M6</f>
        <v>&lt;=</v>
      </c>
      <c r="O17" s="8">
        <f>'Data-solution'!N6</f>
        <v>2000</v>
      </c>
      <c r="P17" s="37">
        <f t="shared" si="5"/>
        <v>0</v>
      </c>
      <c r="Q17" s="12">
        <f t="shared" si="6"/>
        <v>50</v>
      </c>
      <c r="R17" s="12">
        <f t="shared" si="7"/>
        <v>800</v>
      </c>
      <c r="S17" s="12">
        <f t="shared" si="8"/>
        <v>2400</v>
      </c>
      <c r="T17" s="22">
        <f>IF(AND(B17=0,C17=0,D17=0,E17=0,F17=0,G17=0,H17=0,I17=0,J17=0,K17=0,L17=0,O17=0)," ",MAX(T$1:T16)+1)</f>
        <v>9</v>
      </c>
      <c r="U17" s="22" t="str">
        <f t="shared" si="3"/>
        <v>C15</v>
      </c>
      <c r="V17" s="8">
        <f>IF(U17=" "," ",MAX(V$3:V16)+1)</f>
        <v>4</v>
      </c>
      <c r="W17" s="8"/>
      <c r="X17" s="8" t="str">
        <f>IF(U17=" ","C15"," ")</f>
        <v xml:space="preserve"> </v>
      </c>
      <c r="Y17" s="8" t="str">
        <f>IF(X17=" "," ",MAX(Y$3:Y16)+1)</f>
        <v xml:space="preserve"> </v>
      </c>
      <c r="Z17" s="8"/>
      <c r="AA17" s="8"/>
    </row>
    <row r="18" spans="1:28" x14ac:dyDescent="0.2">
      <c r="A18" s="45" t="s">
        <v>85</v>
      </c>
      <c r="B18" s="8">
        <f>'Data-solution'!B7</f>
        <v>1</v>
      </c>
      <c r="C18" s="8">
        <f>'Data-solution'!C7</f>
        <v>0</v>
      </c>
      <c r="D18" s="8">
        <f>'Data-solution'!D7</f>
        <v>1</v>
      </c>
      <c r="E18" s="8">
        <f>'Data-solution'!E7</f>
        <v>0</v>
      </c>
      <c r="F18" s="8">
        <f>'Data-solution'!F7</f>
        <v>0</v>
      </c>
      <c r="G18" s="8">
        <f>'Data-solution'!G7</f>
        <v>0</v>
      </c>
      <c r="H18" s="8">
        <f>'Data-solution'!H7</f>
        <v>0</v>
      </c>
      <c r="I18" s="8">
        <f>'Data-solution'!I7</f>
        <v>0</v>
      </c>
      <c r="J18" s="8">
        <f>'Data-solution'!J7</f>
        <v>0</v>
      </c>
      <c r="K18" s="8">
        <f>'Data-solution'!K7</f>
        <v>0</v>
      </c>
      <c r="L18" s="8">
        <f>'Data-solution'!L7</f>
        <v>0</v>
      </c>
      <c r="M18" s="8">
        <f t="shared" si="4"/>
        <v>400</v>
      </c>
      <c r="N18" s="8" t="str">
        <f>'Data-solution'!M7</f>
        <v>&lt;=</v>
      </c>
      <c r="O18" s="8">
        <f>'Data-solution'!N7</f>
        <v>400</v>
      </c>
      <c r="P18" s="37">
        <f t="shared" si="5"/>
        <v>0</v>
      </c>
      <c r="Q18" s="12">
        <f t="shared" si="6"/>
        <v>50.000000000000043</v>
      </c>
      <c r="R18" s="12">
        <f t="shared" si="7"/>
        <v>333.33333333333331</v>
      </c>
      <c r="S18" s="12">
        <f t="shared" si="8"/>
        <v>550</v>
      </c>
      <c r="T18" s="22">
        <f>IF(AND(B18=0,C18=0,D18=0,E18=0,F18=0,G18=0,H18=0,I18=0,J18=0,K18=0,L18=0,O18=0)," ",MAX(T$1:T17)+1)</f>
        <v>10</v>
      </c>
      <c r="U18" s="22" t="str">
        <f t="shared" si="3"/>
        <v>C16</v>
      </c>
      <c r="V18" s="8">
        <f>IF(U18=" "," ",MAX(V$3:V17)+1)</f>
        <v>5</v>
      </c>
      <c r="W18" s="8"/>
      <c r="X18" s="8" t="str">
        <f>IF(U18=" ","C16"," ")</f>
        <v xml:space="preserve"> </v>
      </c>
      <c r="Y18" s="8" t="str">
        <f>IF(X18=" "," ",MAX(Y$3:Y17)+1)</f>
        <v xml:space="preserve"> </v>
      </c>
      <c r="Z18" s="8"/>
      <c r="AA18" s="8"/>
    </row>
    <row r="19" spans="1:28" s="8" customFormat="1" x14ac:dyDescent="0.2">
      <c r="A19" s="45" t="s">
        <v>86</v>
      </c>
      <c r="B19" s="8">
        <f>'Data-solution'!B8</f>
        <v>0</v>
      </c>
      <c r="C19" s="8">
        <f>'Data-solution'!C8</f>
        <v>0</v>
      </c>
      <c r="D19" s="8">
        <f>'Data-solution'!D8</f>
        <v>0</v>
      </c>
      <c r="E19" s="8">
        <f>'Data-solution'!E8</f>
        <v>0</v>
      </c>
      <c r="F19" s="8">
        <f>'Data-solution'!F8</f>
        <v>0</v>
      </c>
      <c r="G19" s="8">
        <f>'Data-solution'!G8</f>
        <v>0</v>
      </c>
      <c r="H19" s="8">
        <f>'Data-solution'!H8</f>
        <v>0</v>
      </c>
      <c r="I19" s="8">
        <f>'Data-solution'!I8</f>
        <v>0</v>
      </c>
      <c r="J19" s="8">
        <f>'Data-solution'!J8</f>
        <v>0</v>
      </c>
      <c r="K19" s="8">
        <f>'Data-solution'!K8</f>
        <v>0</v>
      </c>
      <c r="L19" s="8">
        <f>'Data-solution'!L8</f>
        <v>0</v>
      </c>
      <c r="M19" s="8">
        <f t="shared" si="4"/>
        <v>0</v>
      </c>
      <c r="N19" s="8" t="str">
        <f>'Data-solution'!M8</f>
        <v>&lt;=</v>
      </c>
      <c r="O19" s="8">
        <f>'Data-solution'!N8</f>
        <v>0</v>
      </c>
      <c r="P19" s="37">
        <f t="shared" si="5"/>
        <v>0</v>
      </c>
      <c r="Q19" s="12" t="e">
        <f t="shared" si="6"/>
        <v>#N/A</v>
      </c>
      <c r="R19" s="12" t="str">
        <f t="shared" si="7"/>
        <v>-M</v>
      </c>
      <c r="S19" s="12" t="str">
        <f t="shared" si="8"/>
        <v>M</v>
      </c>
      <c r="T19" s="22" t="str">
        <f>IF(AND(B19=0,C19=0,D19=0,E19=0,F19=0,G19=0,H19=0,I19=0,J19=0,K19=0,L19=0,O19=0)," ",MAX(T$1:T18)+1)</f>
        <v xml:space="preserve"> </v>
      </c>
      <c r="U19" s="22" t="str">
        <f t="shared" si="3"/>
        <v>C17</v>
      </c>
      <c r="V19" s="8">
        <f>IF(U19=" "," ",MAX(V$3:V18)+1)</f>
        <v>6</v>
      </c>
      <c r="X19" s="8" t="str">
        <f>IF(U19=" ","C17"," ")</f>
        <v xml:space="preserve"> </v>
      </c>
      <c r="Y19" s="8" t="str">
        <f>IF(X19=" "," ",MAX(Y$3:Y18)+1)</f>
        <v xml:space="preserve"> </v>
      </c>
      <c r="AB19" s="32"/>
    </row>
    <row r="20" spans="1:28" s="8" customFormat="1" x14ac:dyDescent="0.2">
      <c r="A20" s="45" t="s">
        <v>87</v>
      </c>
      <c r="B20" s="8">
        <f>'Data-solution'!B9</f>
        <v>0</v>
      </c>
      <c r="C20" s="8">
        <f>'Data-solution'!C9</f>
        <v>0</v>
      </c>
      <c r="D20" s="8">
        <f>'Data-solution'!D9</f>
        <v>0</v>
      </c>
      <c r="E20" s="8">
        <f>'Data-solution'!E9</f>
        <v>0</v>
      </c>
      <c r="F20" s="8">
        <f>'Data-solution'!F9</f>
        <v>0</v>
      </c>
      <c r="G20" s="8">
        <f>'Data-solution'!G9</f>
        <v>0</v>
      </c>
      <c r="H20" s="8">
        <f>'Data-solution'!H9</f>
        <v>0</v>
      </c>
      <c r="I20" s="8">
        <f>'Data-solution'!I9</f>
        <v>0</v>
      </c>
      <c r="J20" s="8">
        <f>'Data-solution'!J9</f>
        <v>0</v>
      </c>
      <c r="K20" s="8">
        <f>'Data-solution'!K9</f>
        <v>0</v>
      </c>
      <c r="L20" s="8">
        <f>'Data-solution'!L9</f>
        <v>0</v>
      </c>
      <c r="M20" s="8">
        <f>MMULT(B20:L20,M$2:M$12)</f>
        <v>0</v>
      </c>
      <c r="N20" s="8" t="str">
        <f>'Data-solution'!M9</f>
        <v>&lt;=</v>
      </c>
      <c r="O20" s="8">
        <f>'Data-solution'!N9</f>
        <v>0</v>
      </c>
      <c r="P20" s="37">
        <f t="shared" si="5"/>
        <v>0</v>
      </c>
      <c r="Q20" s="12" t="e">
        <f t="shared" si="6"/>
        <v>#N/A</v>
      </c>
      <c r="R20" s="12" t="str">
        <f t="shared" si="7"/>
        <v>-M</v>
      </c>
      <c r="S20" s="12" t="str">
        <f t="shared" si="8"/>
        <v>M</v>
      </c>
      <c r="T20" s="22" t="str">
        <f>IF(AND(B20=0,C20=0,D20=0,E20=0,F20=0,G20=0,H20=0,I20=0,J20=0,K20=0,L20=0,O20=0)," ",MAX(T$1:T19)+1)</f>
        <v xml:space="preserve"> </v>
      </c>
      <c r="U20" s="22" t="str">
        <f t="shared" si="3"/>
        <v>C18</v>
      </c>
      <c r="V20" s="8">
        <f>IF(U20=" "," ",MAX(V$3:V19)+1)</f>
        <v>7</v>
      </c>
      <c r="X20" s="8" t="str">
        <f>IF(U20=" ","C18"," ")</f>
        <v xml:space="preserve"> </v>
      </c>
      <c r="Y20" s="8" t="str">
        <f>IF(X20=" "," ",MAX(Y$3:Y19)+1)</f>
        <v xml:space="preserve"> </v>
      </c>
      <c r="AB20" s="32"/>
    </row>
    <row r="21" spans="1:28" s="8" customFormat="1" x14ac:dyDescent="0.2">
      <c r="A21" s="45" t="s">
        <v>88</v>
      </c>
      <c r="B21" s="8">
        <f>'Data-solution'!B10</f>
        <v>0</v>
      </c>
      <c r="C21" s="8">
        <f>'Data-solution'!C10</f>
        <v>0</v>
      </c>
      <c r="D21" s="8">
        <f>'Data-solution'!D10</f>
        <v>0</v>
      </c>
      <c r="E21" s="8">
        <f>'Data-solution'!E10</f>
        <v>0</v>
      </c>
      <c r="F21" s="8">
        <f>'Data-solution'!F10</f>
        <v>0</v>
      </c>
      <c r="G21" s="8">
        <f>'Data-solution'!G10</f>
        <v>0</v>
      </c>
      <c r="H21" s="8">
        <f>'Data-solution'!H10</f>
        <v>0</v>
      </c>
      <c r="I21" s="8">
        <f>'Data-solution'!I10</f>
        <v>0</v>
      </c>
      <c r="J21" s="8">
        <f>'Data-solution'!J10</f>
        <v>0</v>
      </c>
      <c r="K21" s="8">
        <f>'Data-solution'!K10</f>
        <v>0</v>
      </c>
      <c r="L21" s="8">
        <f>'Data-solution'!L10</f>
        <v>0</v>
      </c>
      <c r="M21" s="8">
        <f>MMULT(B21:L21,M$2:M$12)</f>
        <v>0</v>
      </c>
      <c r="N21" s="8" t="str">
        <f>'Data-solution'!M10</f>
        <v>&lt;=</v>
      </c>
      <c r="O21" s="8">
        <f>'Data-solution'!N10</f>
        <v>0</v>
      </c>
      <c r="P21" s="37">
        <f t="shared" si="5"/>
        <v>0</v>
      </c>
      <c r="Q21" s="12" t="e">
        <f t="shared" si="6"/>
        <v>#N/A</v>
      </c>
      <c r="R21" s="12" t="str">
        <f t="shared" si="7"/>
        <v>-M</v>
      </c>
      <c r="S21" s="12" t="str">
        <f t="shared" si="8"/>
        <v>M</v>
      </c>
      <c r="T21" s="22" t="str">
        <f>IF(AND(B21=0,C21=0,D21=0,E21=0,F21=0,G21=0,H21=0,I21=0,J21=0,K21=0,L21=0,O21=0)," ",MAX(T$1:T20)+1)</f>
        <v xml:space="preserve"> </v>
      </c>
      <c r="U21" s="22" t="str">
        <f t="shared" si="3"/>
        <v>C19</v>
      </c>
      <c r="V21" s="8">
        <f>IF(U21=" "," ",MAX(V$3:V20)+1)</f>
        <v>8</v>
      </c>
      <c r="X21" s="8" t="str">
        <f>IF(U21=" ","C19"," ")</f>
        <v xml:space="preserve"> </v>
      </c>
      <c r="Y21" s="8" t="str">
        <f>IF(X21=" "," ",MAX(Y$3:Y20)+1)</f>
        <v xml:space="preserve"> </v>
      </c>
      <c r="AB21" s="32"/>
    </row>
    <row r="22" spans="1:28" s="8" customFormat="1" x14ac:dyDescent="0.2">
      <c r="A22" s="45" t="s">
        <v>89</v>
      </c>
      <c r="B22" s="8">
        <f>'Data-solution'!B11</f>
        <v>0</v>
      </c>
      <c r="C22" s="8">
        <f>'Data-solution'!C11</f>
        <v>0</v>
      </c>
      <c r="D22" s="8">
        <f>'Data-solution'!D11</f>
        <v>0</v>
      </c>
      <c r="E22" s="8">
        <f>'Data-solution'!E11</f>
        <v>0</v>
      </c>
      <c r="F22" s="8">
        <f>'Data-solution'!F11</f>
        <v>0</v>
      </c>
      <c r="G22" s="8">
        <f>'Data-solution'!G11</f>
        <v>0</v>
      </c>
      <c r="H22" s="8">
        <f>'Data-solution'!H11</f>
        <v>0</v>
      </c>
      <c r="I22" s="8">
        <f>'Data-solution'!I11</f>
        <v>0</v>
      </c>
      <c r="J22" s="8">
        <f>'Data-solution'!J11</f>
        <v>0</v>
      </c>
      <c r="K22" s="8">
        <f>'Data-solution'!K11</f>
        <v>0</v>
      </c>
      <c r="L22" s="8">
        <f>'Data-solution'!L11</f>
        <v>0</v>
      </c>
      <c r="M22" s="8">
        <f t="shared" si="4"/>
        <v>0</v>
      </c>
      <c r="N22" s="8" t="str">
        <f>'Data-solution'!M11</f>
        <v>&lt;=</v>
      </c>
      <c r="O22" s="8">
        <f>'Data-solution'!N11</f>
        <v>0</v>
      </c>
      <c r="P22" s="37">
        <f t="shared" si="5"/>
        <v>0</v>
      </c>
      <c r="Q22" s="12" t="e">
        <f t="shared" si="6"/>
        <v>#N/A</v>
      </c>
      <c r="R22" s="12" t="str">
        <f t="shared" si="7"/>
        <v>-M</v>
      </c>
      <c r="S22" s="12" t="str">
        <f t="shared" si="8"/>
        <v>M</v>
      </c>
      <c r="T22" s="22" t="str">
        <f>IF(AND(B22=0,C22=0,D22=0,E22=0,F22=0,G22=0,H22=0,I22=0,J22=0,K22=0,L22=0,O22=0)," ",MAX(T$1:T21)+1)</f>
        <v xml:space="preserve"> </v>
      </c>
      <c r="U22" s="22" t="str">
        <f t="shared" si="3"/>
        <v>C20</v>
      </c>
      <c r="V22" s="8">
        <f>IF(U22=" "," ",MAX(V$3:V21)+1)</f>
        <v>9</v>
      </c>
      <c r="X22" s="8" t="str">
        <f>IF(U22=" ","C20"," ")</f>
        <v xml:space="preserve"> </v>
      </c>
      <c r="Y22" s="8" t="str">
        <f>IF(X22=" "," ",MAX(Y$3:Y21)+1)</f>
        <v xml:space="preserve"> </v>
      </c>
      <c r="AB22" s="32"/>
    </row>
    <row r="23" spans="1:28" s="8" customFormat="1" x14ac:dyDescent="0.2">
      <c r="A23" s="45" t="s">
        <v>90</v>
      </c>
      <c r="B23" s="8">
        <f>'Data-solution'!B12</f>
        <v>0</v>
      </c>
      <c r="C23" s="8">
        <f>'Data-solution'!C12</f>
        <v>0</v>
      </c>
      <c r="D23" s="8">
        <f>'Data-solution'!D12</f>
        <v>0</v>
      </c>
      <c r="E23" s="8">
        <f>'Data-solution'!E12</f>
        <v>0</v>
      </c>
      <c r="F23" s="8">
        <f>'Data-solution'!F12</f>
        <v>0</v>
      </c>
      <c r="G23" s="8">
        <f>'Data-solution'!G12</f>
        <v>0</v>
      </c>
      <c r="H23" s="8">
        <f>'Data-solution'!H12</f>
        <v>0</v>
      </c>
      <c r="I23" s="8">
        <f>'Data-solution'!I12</f>
        <v>0</v>
      </c>
      <c r="J23" s="8">
        <f>'Data-solution'!J12</f>
        <v>0</v>
      </c>
      <c r="K23" s="8">
        <f>'Data-solution'!K12</f>
        <v>0</v>
      </c>
      <c r="L23" s="8">
        <f>'Data-solution'!L12</f>
        <v>0</v>
      </c>
      <c r="M23" s="8">
        <f t="shared" si="4"/>
        <v>0</v>
      </c>
      <c r="N23" s="8" t="str">
        <f>'Data-solution'!M12</f>
        <v>&lt;=</v>
      </c>
      <c r="O23" s="8">
        <f>'Data-solution'!N12</f>
        <v>0</v>
      </c>
      <c r="P23" s="37">
        <f t="shared" si="5"/>
        <v>0</v>
      </c>
      <c r="Q23" s="12" t="e">
        <f t="shared" si="6"/>
        <v>#N/A</v>
      </c>
      <c r="R23" s="12" t="str">
        <f t="shared" si="7"/>
        <v>-M</v>
      </c>
      <c r="S23" s="12" t="str">
        <f t="shared" si="8"/>
        <v>M</v>
      </c>
      <c r="T23" s="22" t="str">
        <f>IF(AND(B23=0,C23=0,D23=0,E23=0,F23=0,G23=0,H23=0,I23=0,J23=0,K23=0,L23=0,O23=0)," ",MAX(T$1:T22)+1)</f>
        <v xml:space="preserve"> </v>
      </c>
      <c r="U23" s="22" t="str">
        <f t="shared" si="3"/>
        <v>C21</v>
      </c>
      <c r="V23" s="8">
        <f>IF(U23=" "," ",MAX(V$3:V22)+1)</f>
        <v>10</v>
      </c>
      <c r="X23" s="8" t="str">
        <f>IF(U23=" ","C21"," ")</f>
        <v xml:space="preserve"> </v>
      </c>
      <c r="Y23" s="8" t="str">
        <f>IF(X23=" "," ",MAX(Y$3:Y22)+1)</f>
        <v xml:space="preserve"> </v>
      </c>
      <c r="AB23" s="32"/>
    </row>
    <row r="24" spans="1:28" s="8" customFormat="1" x14ac:dyDescent="0.2">
      <c r="A24" s="45" t="s">
        <v>91</v>
      </c>
      <c r="B24" s="8">
        <f>'Data-solution'!B13</f>
        <v>0</v>
      </c>
      <c r="C24" s="8">
        <f>'Data-solution'!C13</f>
        <v>0</v>
      </c>
      <c r="D24" s="8">
        <f>'Data-solution'!D13</f>
        <v>0</v>
      </c>
      <c r="E24" s="8">
        <f>'Data-solution'!E13</f>
        <v>0</v>
      </c>
      <c r="F24" s="8">
        <f>'Data-solution'!F13</f>
        <v>0</v>
      </c>
      <c r="G24" s="8">
        <f>'Data-solution'!G13</f>
        <v>0</v>
      </c>
      <c r="H24" s="8">
        <f>'Data-solution'!H13</f>
        <v>0</v>
      </c>
      <c r="I24" s="8">
        <f>'Data-solution'!I13</f>
        <v>0</v>
      </c>
      <c r="J24" s="8">
        <f>'Data-solution'!J13</f>
        <v>0</v>
      </c>
      <c r="K24" s="8">
        <f>'Data-solution'!K13</f>
        <v>0</v>
      </c>
      <c r="L24" s="8">
        <f>'Data-solution'!L13</f>
        <v>0</v>
      </c>
      <c r="M24" s="8">
        <f t="shared" si="4"/>
        <v>0</v>
      </c>
      <c r="N24" s="8" t="str">
        <f>'Data-solution'!M13</f>
        <v>&lt;=</v>
      </c>
      <c r="O24" s="8">
        <f>'Data-solution'!N13</f>
        <v>0</v>
      </c>
      <c r="P24" s="37">
        <f t="shared" si="5"/>
        <v>0</v>
      </c>
      <c r="Q24" s="12" t="e">
        <f t="shared" si="6"/>
        <v>#N/A</v>
      </c>
      <c r="R24" s="12" t="str">
        <f t="shared" si="7"/>
        <v>-M</v>
      </c>
      <c r="S24" s="12" t="str">
        <f t="shared" si="8"/>
        <v>M</v>
      </c>
      <c r="T24" s="22" t="str">
        <f>IF(AND(B24=0,C24=0,D24=0,E24=0,F24=0,G24=0,H24=0,I24=0,J24=0,K24=0,L24=0,O24=0)," ",MAX(T$1:T23)+1)</f>
        <v xml:space="preserve"> </v>
      </c>
      <c r="U24" s="22" t="str">
        <f t="shared" si="3"/>
        <v>C22</v>
      </c>
      <c r="V24" s="8">
        <f>IF(U24=" "," ",MAX(V$3:V23)+1)</f>
        <v>11</v>
      </c>
      <c r="X24" s="8" t="str">
        <f>IF(U24=" ","C22"," ")</f>
        <v xml:space="preserve"> </v>
      </c>
      <c r="AB24" s="32"/>
    </row>
    <row r="25" spans="1:28" s="8" customFormat="1" x14ac:dyDescent="0.2">
      <c r="A25" s="45" t="s">
        <v>92</v>
      </c>
      <c r="B25" s="8">
        <f>'Data-solution'!B14</f>
        <v>0</v>
      </c>
      <c r="C25" s="8">
        <f>'Data-solution'!C14</f>
        <v>0</v>
      </c>
      <c r="D25" s="8">
        <f>'Data-solution'!D14</f>
        <v>0</v>
      </c>
      <c r="E25" s="8">
        <f>'Data-solution'!E14</f>
        <v>0</v>
      </c>
      <c r="F25" s="8">
        <f>'Data-solution'!F14</f>
        <v>0</v>
      </c>
      <c r="G25" s="8">
        <f>'Data-solution'!G14</f>
        <v>0</v>
      </c>
      <c r="H25" s="8">
        <f>'Data-solution'!H14</f>
        <v>0</v>
      </c>
      <c r="I25" s="8">
        <f>'Data-solution'!I14</f>
        <v>0</v>
      </c>
      <c r="J25" s="8">
        <f>'Data-solution'!J14</f>
        <v>0</v>
      </c>
      <c r="K25" s="8">
        <f>'Data-solution'!K14</f>
        <v>0</v>
      </c>
      <c r="L25" s="8">
        <f>'Data-solution'!L14</f>
        <v>0</v>
      </c>
      <c r="M25" s="8">
        <f t="shared" si="4"/>
        <v>0</v>
      </c>
      <c r="N25" s="8" t="str">
        <f>'Data-solution'!M14</f>
        <v>&lt;=</v>
      </c>
      <c r="O25" s="8">
        <f>'Data-solution'!N14</f>
        <v>0</v>
      </c>
      <c r="P25" s="37">
        <f t="shared" si="5"/>
        <v>0</v>
      </c>
      <c r="Q25" s="12" t="e">
        <f t="shared" si="6"/>
        <v>#N/A</v>
      </c>
      <c r="R25" s="12" t="str">
        <f t="shared" si="7"/>
        <v>-M</v>
      </c>
      <c r="S25" s="12" t="str">
        <f t="shared" si="8"/>
        <v>M</v>
      </c>
      <c r="T25" s="22" t="str">
        <f>IF(AND(B25=0,C25=0,D25=0,E25=0,F25=0,G25=0,H25=0,I25=0,J25=0,K25=0,L25=0,O25=0)," ",MAX(T$1:T24)+1)</f>
        <v xml:space="preserve"> </v>
      </c>
      <c r="U25" s="22"/>
      <c r="AB25" s="32"/>
    </row>
    <row r="26" spans="1:28" x14ac:dyDescent="0.2">
      <c r="A26" s="8" t="s">
        <v>44</v>
      </c>
      <c r="B26" s="4">
        <v>1</v>
      </c>
      <c r="C26" s="4">
        <v>0</v>
      </c>
      <c r="D26" s="4">
        <v>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/>
      <c r="N26" s="4" t="s">
        <v>16</v>
      </c>
      <c r="O26" s="4">
        <v>0</v>
      </c>
      <c r="R26" s="3"/>
      <c r="T26" s="22"/>
    </row>
    <row r="27" spans="1:28" x14ac:dyDescent="0.2">
      <c r="A27" s="8" t="s">
        <v>45</v>
      </c>
      <c r="B27" s="4">
        <v>0</v>
      </c>
      <c r="C27" s="4">
        <v>1</v>
      </c>
      <c r="D27" s="4">
        <v>0</v>
      </c>
      <c r="E27" s="8">
        <v>0</v>
      </c>
      <c r="F27" s="8">
        <v>0</v>
      </c>
      <c r="G27" s="8">
        <v>0</v>
      </c>
      <c r="H27" s="8">
        <v>0</v>
      </c>
      <c r="I27" s="8">
        <v>0</v>
      </c>
      <c r="J27" s="8">
        <v>0</v>
      </c>
      <c r="K27" s="8">
        <v>0</v>
      </c>
      <c r="L27" s="8">
        <v>0</v>
      </c>
      <c r="M27" s="8"/>
      <c r="N27" s="8" t="s">
        <v>16</v>
      </c>
      <c r="O27" s="8">
        <v>0</v>
      </c>
      <c r="S27" s="5"/>
      <c r="T27" s="22"/>
      <c r="U27" s="5"/>
    </row>
    <row r="28" spans="1:28" x14ac:dyDescent="0.2">
      <c r="A28" s="8" t="s">
        <v>46</v>
      </c>
      <c r="B28" s="4">
        <v>0</v>
      </c>
      <c r="C28" s="4">
        <v>0</v>
      </c>
      <c r="D28" s="4">
        <v>1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/>
      <c r="N28" s="8" t="s">
        <v>16</v>
      </c>
      <c r="O28" s="8">
        <v>0</v>
      </c>
      <c r="T28" s="22"/>
    </row>
    <row r="29" spans="1:28" s="8" customFormat="1" x14ac:dyDescent="0.2">
      <c r="A29" s="8" t="s">
        <v>47</v>
      </c>
      <c r="B29" s="8">
        <v>0</v>
      </c>
      <c r="C29" s="8">
        <v>0</v>
      </c>
      <c r="D29" s="8">
        <v>0</v>
      </c>
      <c r="E29" s="8">
        <v>1</v>
      </c>
      <c r="F29" s="8">
        <v>0</v>
      </c>
      <c r="G29" s="8">
        <v>0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N29" s="8" t="s">
        <v>16</v>
      </c>
      <c r="O29" s="8">
        <v>0</v>
      </c>
      <c r="T29" s="22"/>
      <c r="AB29" s="32"/>
    </row>
    <row r="30" spans="1:28" s="8" customFormat="1" x14ac:dyDescent="0.2">
      <c r="A30" s="8" t="s">
        <v>48</v>
      </c>
      <c r="B30" s="8">
        <v>0</v>
      </c>
      <c r="C30" s="8">
        <v>0</v>
      </c>
      <c r="D30" s="8">
        <v>0</v>
      </c>
      <c r="E30" s="8">
        <v>0</v>
      </c>
      <c r="F30" s="8">
        <v>1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N30" s="8" t="s">
        <v>16</v>
      </c>
      <c r="O30" s="8">
        <v>0</v>
      </c>
      <c r="T30" s="22"/>
      <c r="AB30" s="32"/>
    </row>
    <row r="31" spans="1:28" s="8" customFormat="1" x14ac:dyDescent="0.2">
      <c r="A31" s="8" t="s">
        <v>49</v>
      </c>
      <c r="B31" s="8">
        <v>0</v>
      </c>
      <c r="C31" s="8">
        <v>0</v>
      </c>
      <c r="D31" s="8">
        <v>0</v>
      </c>
      <c r="E31" s="8">
        <v>0</v>
      </c>
      <c r="F31" s="8">
        <v>0</v>
      </c>
      <c r="G31" s="8">
        <v>1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N31" s="8" t="s">
        <v>16</v>
      </c>
      <c r="O31" s="8">
        <v>0</v>
      </c>
      <c r="R31" s="6"/>
      <c r="T31" s="22"/>
      <c r="AB31" s="32"/>
    </row>
    <row r="32" spans="1:28" s="8" customFormat="1" x14ac:dyDescent="0.2">
      <c r="A32" s="8" t="s">
        <v>50</v>
      </c>
      <c r="B32" s="8">
        <v>0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1</v>
      </c>
      <c r="I32" s="8">
        <v>0</v>
      </c>
      <c r="J32" s="8">
        <v>0</v>
      </c>
      <c r="K32" s="8">
        <v>0</v>
      </c>
      <c r="L32" s="8">
        <v>0</v>
      </c>
      <c r="N32" s="8" t="s">
        <v>16</v>
      </c>
      <c r="O32" s="8">
        <v>0</v>
      </c>
      <c r="T32" s="22"/>
      <c r="AB32" s="32"/>
    </row>
    <row r="33" spans="1:86" s="8" customFormat="1" x14ac:dyDescent="0.2">
      <c r="A33" s="8" t="s">
        <v>51</v>
      </c>
      <c r="B33" s="8">
        <v>0</v>
      </c>
      <c r="C33" s="8">
        <v>0</v>
      </c>
      <c r="D33" s="8">
        <v>0</v>
      </c>
      <c r="E33" s="8">
        <v>0</v>
      </c>
      <c r="F33" s="8">
        <v>0</v>
      </c>
      <c r="G33" s="8">
        <v>0</v>
      </c>
      <c r="H33" s="8">
        <v>0</v>
      </c>
      <c r="I33" s="8">
        <v>1</v>
      </c>
      <c r="J33" s="8">
        <v>0</v>
      </c>
      <c r="K33" s="8">
        <v>0</v>
      </c>
      <c r="L33" s="8">
        <v>0</v>
      </c>
      <c r="N33" s="8" t="s">
        <v>16</v>
      </c>
      <c r="O33" s="8">
        <v>0</v>
      </c>
      <c r="T33" s="22"/>
      <c r="AB33" s="32"/>
    </row>
    <row r="34" spans="1:86" s="8" customFormat="1" x14ac:dyDescent="0.2">
      <c r="A34" s="8" t="s">
        <v>52</v>
      </c>
      <c r="B34" s="8">
        <v>0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1</v>
      </c>
      <c r="K34" s="8">
        <v>0</v>
      </c>
      <c r="L34" s="8">
        <v>0</v>
      </c>
      <c r="N34" s="8" t="s">
        <v>16</v>
      </c>
      <c r="O34" s="8">
        <v>0</v>
      </c>
      <c r="T34" s="22"/>
      <c r="AB34" s="32"/>
    </row>
    <row r="35" spans="1:86" s="8" customFormat="1" x14ac:dyDescent="0.2">
      <c r="A35" s="8" t="s">
        <v>53</v>
      </c>
      <c r="B35" s="8">
        <v>0</v>
      </c>
      <c r="C35" s="8">
        <v>0</v>
      </c>
      <c r="D35" s="8">
        <v>0</v>
      </c>
      <c r="E35" s="8">
        <v>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1</v>
      </c>
      <c r="L35" s="8">
        <v>0</v>
      </c>
      <c r="N35" s="8" t="s">
        <v>16</v>
      </c>
      <c r="O35" s="8">
        <v>0</v>
      </c>
      <c r="T35" s="22"/>
      <c r="AB35" s="32"/>
    </row>
    <row r="36" spans="1:86" s="8" customFormat="1" x14ac:dyDescent="0.2">
      <c r="A36" s="8" t="s">
        <v>54</v>
      </c>
      <c r="B36" s="8">
        <v>0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1</v>
      </c>
      <c r="N36" s="8" t="s">
        <v>16</v>
      </c>
      <c r="O36" s="8">
        <v>0</v>
      </c>
      <c r="T36" s="22"/>
      <c r="Y36" s="34"/>
      <c r="Z36" s="34"/>
      <c r="AA36" s="34"/>
      <c r="AB36" s="34"/>
      <c r="AC36" s="34"/>
      <c r="AD36" s="34"/>
      <c r="AE36" s="34"/>
      <c r="AF36" s="34"/>
      <c r="AG36" s="34"/>
      <c r="AH36" s="34"/>
      <c r="AI36" s="34"/>
      <c r="AJ36" s="34"/>
      <c r="AK36" s="34"/>
      <c r="AL36" s="34"/>
      <c r="AM36" s="34"/>
      <c r="AN36" s="34"/>
      <c r="AO36" s="34"/>
      <c r="AP36" s="34"/>
      <c r="AQ36" s="34"/>
      <c r="AR36" s="34"/>
      <c r="AS36" s="34"/>
      <c r="AT36" s="34"/>
      <c r="AU36" s="34"/>
      <c r="AV36" s="34"/>
      <c r="AW36" s="34"/>
      <c r="AX36" s="34"/>
      <c r="AY36" s="34"/>
      <c r="AZ36" s="34"/>
      <c r="BA36" s="34"/>
      <c r="BB36" s="34"/>
      <c r="BC36" s="34"/>
      <c r="BD36" s="34"/>
      <c r="BE36" s="34"/>
      <c r="BF36" s="34"/>
      <c r="BG36" s="34"/>
      <c r="BH36" s="34"/>
      <c r="BI36" s="34"/>
      <c r="BJ36" s="34"/>
      <c r="BK36" s="34"/>
      <c r="BL36" s="34"/>
      <c r="BM36" s="34"/>
      <c r="BN36" s="34"/>
      <c r="BO36" s="34"/>
      <c r="BP36" s="34"/>
      <c r="BQ36" s="34"/>
      <c r="BR36" s="34"/>
      <c r="BS36" s="34"/>
      <c r="BT36" s="34"/>
      <c r="BU36" s="34"/>
      <c r="BV36" s="34"/>
      <c r="BW36" s="34"/>
      <c r="BX36" s="34"/>
      <c r="BY36" s="34"/>
      <c r="BZ36" s="34"/>
      <c r="CA36" s="34"/>
      <c r="CB36" s="34"/>
      <c r="CC36" s="34"/>
      <c r="CD36" s="34"/>
      <c r="CE36" s="34"/>
      <c r="CF36" s="34"/>
      <c r="CG36" s="34"/>
      <c r="CH36" s="34"/>
    </row>
    <row r="37" spans="1:86" s="5" customFormat="1" x14ac:dyDescent="0.2">
      <c r="A37" s="46" t="s">
        <v>22</v>
      </c>
      <c r="B37" s="46"/>
      <c r="C37" s="46"/>
      <c r="D37" s="46"/>
      <c r="E37" s="46"/>
      <c r="F37" s="46"/>
      <c r="G37" s="46"/>
      <c r="H37" s="46"/>
      <c r="I37" s="46"/>
      <c r="J37" s="46"/>
      <c r="K37" s="46"/>
      <c r="L37" s="46"/>
      <c r="M37" s="46"/>
      <c r="N37" s="46"/>
      <c r="O37" s="46"/>
      <c r="P37" s="46"/>
      <c r="Q37" s="46"/>
      <c r="R37" s="46"/>
      <c r="S37" s="46"/>
      <c r="T37" s="23"/>
      <c r="U37" s="51" t="s">
        <v>81</v>
      </c>
      <c r="V37" s="51"/>
      <c r="W37" s="51"/>
      <c r="X37" s="51"/>
      <c r="Y37" s="51"/>
      <c r="Z37" s="51"/>
      <c r="AA37" s="51"/>
      <c r="AB37" s="51"/>
      <c r="AC37" s="51"/>
      <c r="AD37" s="51"/>
      <c r="AE37" s="51"/>
      <c r="AF37" s="51"/>
      <c r="AG37" s="51"/>
      <c r="AH37" s="51"/>
      <c r="AI37" s="51"/>
      <c r="AJ37" s="51"/>
      <c r="AK37" s="51"/>
      <c r="AL37" s="51"/>
      <c r="AM37" s="51"/>
      <c r="AN37" s="51"/>
      <c r="AO37" s="51"/>
      <c r="AP37" s="51"/>
      <c r="AQ37" s="51"/>
      <c r="AR37" s="51"/>
      <c r="AS37" s="51"/>
      <c r="AT37" s="51"/>
      <c r="AU37" s="51"/>
      <c r="AV37" s="51"/>
      <c r="AW37" s="51"/>
      <c r="AX37" s="51"/>
      <c r="AY37" s="51"/>
      <c r="AZ37" s="51"/>
      <c r="BA37" s="51"/>
      <c r="BB37" s="51"/>
      <c r="BC37" s="51"/>
      <c r="BD37" s="51"/>
      <c r="BE37" s="51"/>
      <c r="BF37" s="51"/>
      <c r="BG37" s="51"/>
      <c r="BH37" s="51"/>
      <c r="BI37" s="51"/>
      <c r="BJ37" s="51"/>
      <c r="BK37" s="51"/>
      <c r="BL37" s="51"/>
      <c r="BM37" s="51"/>
      <c r="BN37" s="51"/>
      <c r="BO37" s="51"/>
      <c r="BP37" s="51"/>
      <c r="BQ37" s="51"/>
      <c r="BR37" s="51"/>
      <c r="BS37" s="51"/>
      <c r="BT37" s="51"/>
      <c r="BU37" s="51"/>
      <c r="BV37" s="51"/>
      <c r="BW37" s="51"/>
      <c r="BX37" s="51"/>
      <c r="BY37" s="51"/>
      <c r="BZ37" s="51"/>
      <c r="CA37" s="51"/>
      <c r="CB37" s="51"/>
      <c r="CC37" s="51"/>
      <c r="CD37" s="51"/>
      <c r="CE37" s="51"/>
      <c r="CF37" s="51"/>
      <c r="CG37" s="51"/>
      <c r="CH37" s="51"/>
    </row>
    <row r="38" spans="1:86" s="9" customFormat="1" x14ac:dyDescent="0.2">
      <c r="B38" s="49" t="str">
        <f>W3</f>
        <v>C3</v>
      </c>
      <c r="C38" s="49"/>
      <c r="D38" s="49"/>
      <c r="E38" s="49"/>
      <c r="F38" s="49"/>
      <c r="G38" s="49"/>
      <c r="H38" s="49"/>
      <c r="I38" s="49"/>
      <c r="J38" s="49"/>
      <c r="K38" s="49"/>
      <c r="L38" s="49"/>
      <c r="M38" s="49"/>
      <c r="N38" s="49"/>
      <c r="O38" s="49"/>
      <c r="P38" s="49"/>
      <c r="Q38" s="49"/>
      <c r="R38" s="9">
        <f>(N$2*INDEX(Q39:R291,MATCH(T38,R39:R291,0),1)+N$3*INDEX(Q39:R291,MATCH(T38,R39:R291,0)+1,1)+N$4*INDEX(Q39:R291,MATCH(T38,R39:R291,0)+2,1)+N$5*INDEX(Q39:R291,MATCH(T38,R39:R291,0)+3,1)+N$6*INDEX(Q39:R291,MATCH(T38,R39:R291,0)+4,1)+N$7*INDEX(Q39:R291,MATCH(T38,R39:R291,0)+5,1)+N$8*INDEX(Q39:R291,MATCH(T38,R39:R291,0)+6,1)+N$9*INDEX(Q39:R291,MATCH(T38,R39:R291,0)+7,1)+N$10*INDEX(Q39:R291,MATCH(T38,R39:R291,0)+8,1)+N$11*INDEX(Q39:R291,MATCH(T38,R39:R291,0)+9,1)+N$12*INDEX(Q39:R291,MATCH(T38,R39:R291,0)+10,1)-N$2*INDEX(Q39:R291,MATCH(S38,R39:R291,0),1)-N$3*INDEX(Q39:R291,MATCH(S38,R39:R291,0)+1,1)-N$4*INDEX(Q39:R291,MATCH(S38,R39:R291,0)+2,1)-N$5*INDEX(Q39:R291,MATCH(S38,R39:R291,0)+3,1)-N$6*INDEX(Q39:R291,MATCH(S38,R39:R291,0)+4,1)-N$7*INDEX(Q39:R291,MATCH(S38,R39:R291,0)+5,1)-N$8*INDEX(Q39:R291,MATCH(S38,R39:R291,0)+6,1)-N$9*INDEX(Q39:R291,MATCH(S38,R39:R291,0)+7,1)-N$10*INDEX(Q39:R291,MATCH(S38,R39:R291,0)+8,1)-N$11*INDEX(Q39:R291,MATCH(S38,R39:R291,0)+9,1)-N$12*INDEX(Q39:R291,MATCH(S38,R39:R291,0)+10,1))/(T38-S38)</f>
        <v>50</v>
      </c>
      <c r="S38" s="9">
        <f>INDEX(R40:T291,MATCH(MAX(S40:S291),S40:S291,0),1)</f>
        <v>800</v>
      </c>
      <c r="T38" s="20">
        <f>INDEX(R40:T291,MATCH(MIN(T40:T291),T40:T291,0),1)</f>
        <v>2400</v>
      </c>
      <c r="U38" s="50" t="str">
        <f>A$2</f>
        <v>X1</v>
      </c>
      <c r="V38" s="49"/>
      <c r="W38" s="49"/>
      <c r="X38" s="49"/>
      <c r="Y38" s="9" t="str">
        <f>IF(INDEX($A$15:$N$36,MATCH($B38,$A$15:$A$36,0),14)&lt;&gt;"=",IFERROR(INDEX(X39:Z291,MATCH(MAX(Y39:Y291),Y39:Y291,0),1)," ")," ")</f>
        <v xml:space="preserve"> </v>
      </c>
      <c r="Z38" s="35">
        <f>IF(INDEX($A$15:$N$36,MATCH($B38,$A$15:$A$36,0),14)&lt;&gt;"=",IFERROR(INDEX(X39:Z291,MATCH(MIN(Z39:Z291),Z39:Z291,0),1)," ")," ")</f>
        <v>350</v>
      </c>
      <c r="AA38" s="49" t="str">
        <f>A$3</f>
        <v>X2</v>
      </c>
      <c r="AB38" s="49"/>
      <c r="AC38" s="49"/>
      <c r="AD38" s="49"/>
      <c r="AE38" s="35" t="str">
        <f>IF(INDEX($A$15:$N$36,MATCH($B38,$A$15:$A$36,0),14)&lt;&gt;"=",IFERROR(INDEX(AD39:AF291,MATCH(MAX(AE39:AE291),AE39:AE291,0),1)," ")," ")</f>
        <v xml:space="preserve"> </v>
      </c>
      <c r="AF38" s="35" t="str">
        <f>IF(INDEX($A$15:$N$36,MATCH($B38,$A$15:$A$36,0),14)&lt;&gt;"=",IFERROR(INDEX(AD39:AF291,MATCH(MIN(AF39:AF291),AF39:AF291,0),1)," ")," ")</f>
        <v xml:space="preserve"> </v>
      </c>
      <c r="AG38" s="49" t="str">
        <f>A$4</f>
        <v>X3</v>
      </c>
      <c r="AH38" s="49"/>
      <c r="AI38" s="49"/>
      <c r="AJ38" s="49"/>
      <c r="AK38" s="35">
        <f>IF(INDEX($A$15:$N$36,MATCH($B38,$A$15:$A$36,0),14)&lt;&gt;"=",IFERROR(INDEX(AJ39:AL291,MATCH(MAX(AK39:AK291),AK39:AK291,0),1)," ")," ")</f>
        <v>150.00000000000003</v>
      </c>
      <c r="AL38" s="35" t="str">
        <f>IF(INDEX($A$15:$N$36,MATCH($B38,$A$15:$A$36,0),14)&lt;&gt;"=",IFERROR(INDEX(AJ39:AL291,MATCH(MIN(AL39:AL291),AL39:AL291,0),1)," ")," ")</f>
        <v xml:space="preserve"> </v>
      </c>
      <c r="AM38" s="49" t="str">
        <f>A$5</f>
        <v>X4</v>
      </c>
      <c r="AN38" s="49"/>
      <c r="AO38" s="49"/>
      <c r="AP38" s="49"/>
      <c r="AQ38" s="35" t="str">
        <f>IF(INDEX($A$15:$N$36,MATCH($B38,$A$15:$A$36,0),14)&lt;&gt;"=",IFERROR(INDEX(AP39:AR291,MATCH(MAX(AQ39:AQ291),AQ39:AQ291,0),1)," ")," ")</f>
        <v xml:space="preserve"> </v>
      </c>
      <c r="AR38" s="35" t="str">
        <f>IF(INDEX($A$15:$N$36,MATCH($B38,$A$15:$A$36,0),14)&lt;&gt;"=",IFERROR(INDEX(AP39:AR291,MATCH(MIN(AR39:AR291),AR39:AR291,0),1)," ")," ")</f>
        <v xml:space="preserve"> </v>
      </c>
      <c r="AS38" s="49" t="str">
        <f>A$6</f>
        <v>X5</v>
      </c>
      <c r="AT38" s="49"/>
      <c r="AU38" s="49"/>
      <c r="AV38" s="49"/>
      <c r="AW38" s="35" t="str">
        <f>IF(INDEX($A$15:$N$36,MATCH($B38,$A$15:$A$36,0),14)&lt;&gt;"=",IFERROR(INDEX(AV39:AX291,MATCH(MAX(AW39:AW291),AW39:AW291,0),1)," ")," ")</f>
        <v xml:space="preserve"> </v>
      </c>
      <c r="AX38" s="35" t="str">
        <f>IF(INDEX($A$15:$N$36,MATCH($B38,$A$15:$A$36,0),14)&lt;&gt;"=",IFERROR(INDEX(AV39:AX291,MATCH(MIN(AX39:AX291),AX39:AX291,0),1)," ")," ")</f>
        <v xml:space="preserve"> </v>
      </c>
      <c r="AY38" s="49" t="str">
        <f>A$7</f>
        <v>X6</v>
      </c>
      <c r="AZ38" s="49"/>
      <c r="BA38" s="49"/>
      <c r="BB38" s="49"/>
      <c r="BC38" s="35" t="str">
        <f>IF(INDEX($A$15:$N$36,MATCH($B38,$A$15:$A$36,0),14)&lt;&gt;"=",IFERROR(INDEX(BB39:BD291,MATCH(MAX(BC39:BC291),BC39:BC291,0),1)," ")," ")</f>
        <v xml:space="preserve"> </v>
      </c>
      <c r="BD38" s="35" t="str">
        <f>IF(INDEX($A$15:$N$36,MATCH($B38,$A$15:$A$36,0),14)&lt;&gt;"=",IFERROR(INDEX(BB39:BD291,MATCH(MIN(BD39:BD291),BD39:BD291,0),1)," ")," ")</f>
        <v xml:space="preserve"> </v>
      </c>
      <c r="BE38" s="49" t="str">
        <f>A$8</f>
        <v>X7</v>
      </c>
      <c r="BF38" s="49"/>
      <c r="BG38" s="49"/>
      <c r="BH38" s="49"/>
      <c r="BI38" s="35" t="str">
        <f>IF(INDEX($A$15:$N$36,MATCH($B38,$A$15:$A$36,0),14)&lt;&gt;"=",IFERROR(INDEX(BH39:BJ291,MATCH(MAX(BI39:BI291),BI39:BI291,0),1)," ")," ")</f>
        <v xml:space="preserve"> </v>
      </c>
      <c r="BJ38" s="35" t="str">
        <f>IF(INDEX($A$15:$N$36,MATCH($B38,$A$15:$A$36,0),14)&lt;&gt;"=",IFERROR(INDEX(BH39:BJ291,MATCH(MIN(BJ39:BJ291),BJ39:BJ291,0),1)," ")," ")</f>
        <v xml:space="preserve"> </v>
      </c>
      <c r="BK38" s="49" t="str">
        <f>A$9</f>
        <v>X8</v>
      </c>
      <c r="BL38" s="49"/>
      <c r="BM38" s="49"/>
      <c r="BN38" s="49"/>
      <c r="BO38" s="35" t="str">
        <f>IF(INDEX($A$15:$N$36,MATCH($B38,$A$15:$A$36,0),14)&lt;&gt;"=",IFERROR(INDEX(BN39:BP291,MATCH(MAX(BO39:BO291),BO39:BO291,0),1)," ")," ")</f>
        <v xml:space="preserve"> </v>
      </c>
      <c r="BP38" s="35" t="str">
        <f>IF(INDEX($A$15:$N$36,MATCH($B38,$A$15:$A$36,0),14)&lt;&gt;"=",IFERROR(INDEX(BN39:BP291,MATCH(MIN(BP39:BP291),BP39:BP291,0),1)," ")," ")</f>
        <v xml:space="preserve"> </v>
      </c>
      <c r="BQ38" s="49" t="str">
        <f>A$10</f>
        <v>X9</v>
      </c>
      <c r="BR38" s="49"/>
      <c r="BS38" s="49"/>
      <c r="BT38" s="49"/>
      <c r="BU38" s="35" t="str">
        <f>IF(INDEX($A$15:$N$36,MATCH($B38,$A$15:$A$36,0),14)&lt;&gt;"=",IFERROR(INDEX(BT39:BV291,MATCH(MAX(BU39:BU291),BU39:BU291,0),1)," ")," ")</f>
        <v xml:space="preserve"> </v>
      </c>
      <c r="BV38" s="35" t="str">
        <f>IF(INDEX($A$15:$N$36,MATCH($B38,$A$15:$A$36,0),14)&lt;&gt;"=",IFERROR(INDEX(BT39:BV291,MATCH(MIN(BV39:BV291),BV39:BV291,0),1)," ")," ")</f>
        <v xml:space="preserve"> </v>
      </c>
      <c r="BW38" s="49" t="str">
        <f>A$11</f>
        <v>X10</v>
      </c>
      <c r="BX38" s="49"/>
      <c r="BY38" s="49"/>
      <c r="BZ38" s="49"/>
      <c r="CA38" s="35" t="str">
        <f>IF(INDEX($A$15:$N$36,MATCH($B38,$A$15:$A$36,0),14)&lt;&gt;"=",IFERROR(INDEX(BZ39:CB291,MATCH(MAX(CA39:CA291),CA39:CA291,0),1)," ")," ")</f>
        <v xml:space="preserve"> </v>
      </c>
      <c r="CB38" s="35" t="str">
        <f>IF(INDEX($A$15:$N$36,MATCH($B38,$A$15:$A$36,0),14)&lt;&gt;"=",IFERROR(INDEX(BZ39:CB291,MATCH(MIN(CB39:CB291),CB39:CB291,0),1)," ")," ")</f>
        <v xml:space="preserve"> </v>
      </c>
      <c r="CC38" s="49" t="str">
        <f>A$12</f>
        <v>X11</v>
      </c>
      <c r="CD38" s="49"/>
      <c r="CE38" s="49"/>
      <c r="CF38" s="49"/>
      <c r="CG38" s="35" t="str">
        <f>IF(INDEX($A$15:$N$36,MATCH($B38,$A$15:$A$36,0),14)&lt;&gt;"=",IFERROR(INDEX(CF39:CH291,MATCH(MAX(CG39:CG291),CG39:CG291,0),1)," ")," ")</f>
        <v xml:space="preserve"> </v>
      </c>
      <c r="CH38" s="35" t="str">
        <f>IF(INDEX($A$15:$N$36,MATCH($B38,$A$15:$A$36,0),14)&lt;&gt;"=",IFERROR(INDEX(CF39:CH291,MATCH(MIN(CH39:CH291),CH39:CH291,0),1)," ")," ")</f>
        <v xml:space="preserve"> </v>
      </c>
    </row>
    <row r="39" spans="1:86" s="5" customFormat="1" x14ac:dyDescent="0.2">
      <c r="A39" s="11" t="s">
        <v>17</v>
      </c>
      <c r="B39" s="11"/>
      <c r="C39" s="5" t="s">
        <v>18</v>
      </c>
      <c r="D39" s="5" t="s">
        <v>2</v>
      </c>
      <c r="E39" s="5" t="s">
        <v>6</v>
      </c>
      <c r="F39" s="5" t="s">
        <v>15</v>
      </c>
      <c r="G39" s="7" t="s">
        <v>36</v>
      </c>
      <c r="H39" s="7" t="s">
        <v>37</v>
      </c>
      <c r="I39" s="7" t="s">
        <v>38</v>
      </c>
      <c r="J39" s="7" t="s">
        <v>39</v>
      </c>
      <c r="K39" s="7" t="s">
        <v>40</v>
      </c>
      <c r="L39" s="7" t="s">
        <v>41</v>
      </c>
      <c r="M39" s="7" t="s">
        <v>42</v>
      </c>
      <c r="N39" s="7" t="s">
        <v>43</v>
      </c>
      <c r="O39" s="5" t="s">
        <v>9</v>
      </c>
      <c r="P39" s="5" t="s">
        <v>12</v>
      </c>
      <c r="Q39" s="5" t="s">
        <v>19</v>
      </c>
      <c r="R39" s="5" t="s">
        <v>55</v>
      </c>
      <c r="S39" s="5" t="s">
        <v>26</v>
      </c>
      <c r="T39" s="19" t="s">
        <v>25</v>
      </c>
      <c r="U39" s="5" t="s">
        <v>27</v>
      </c>
      <c r="V39" s="5" t="s">
        <v>9</v>
      </c>
      <c r="W39" s="5" t="s">
        <v>23</v>
      </c>
      <c r="X39" s="5" t="s">
        <v>12</v>
      </c>
      <c r="Y39" s="5" t="s">
        <v>26</v>
      </c>
      <c r="Z39" s="5" t="s">
        <v>25</v>
      </c>
      <c r="AA39" s="17" t="s">
        <v>27</v>
      </c>
      <c r="AB39" s="31" t="s">
        <v>9</v>
      </c>
      <c r="AC39" s="17" t="s">
        <v>23</v>
      </c>
      <c r="AD39" s="17" t="s">
        <v>12</v>
      </c>
      <c r="AE39" s="17" t="s">
        <v>26</v>
      </c>
      <c r="AF39" s="17" t="s">
        <v>25</v>
      </c>
      <c r="AG39" s="17" t="s">
        <v>27</v>
      </c>
      <c r="AH39" s="17" t="s">
        <v>9</v>
      </c>
      <c r="AI39" s="17" t="s">
        <v>23</v>
      </c>
      <c r="AJ39" s="17" t="s">
        <v>12</v>
      </c>
      <c r="AK39" s="17" t="s">
        <v>26</v>
      </c>
      <c r="AL39" s="17" t="s">
        <v>25</v>
      </c>
      <c r="AM39" s="17" t="s">
        <v>27</v>
      </c>
      <c r="AN39" s="17" t="s">
        <v>9</v>
      </c>
      <c r="AO39" s="17" t="s">
        <v>23</v>
      </c>
      <c r="AP39" s="17" t="s">
        <v>12</v>
      </c>
      <c r="AQ39" s="17" t="s">
        <v>26</v>
      </c>
      <c r="AR39" s="17" t="s">
        <v>25</v>
      </c>
      <c r="AS39" s="17" t="s">
        <v>27</v>
      </c>
      <c r="AT39" s="17" t="s">
        <v>9</v>
      </c>
      <c r="AU39" s="17" t="s">
        <v>23</v>
      </c>
      <c r="AV39" s="17" t="s">
        <v>12</v>
      </c>
      <c r="AW39" s="17" t="s">
        <v>26</v>
      </c>
      <c r="AX39" s="17" t="s">
        <v>25</v>
      </c>
      <c r="AY39" s="17" t="s">
        <v>27</v>
      </c>
      <c r="AZ39" s="17" t="s">
        <v>9</v>
      </c>
      <c r="BA39" s="17" t="s">
        <v>23</v>
      </c>
      <c r="BB39" s="17" t="s">
        <v>12</v>
      </c>
      <c r="BC39" s="17" t="s">
        <v>26</v>
      </c>
      <c r="BD39" s="17" t="s">
        <v>25</v>
      </c>
      <c r="BE39" s="17" t="s">
        <v>27</v>
      </c>
      <c r="BF39" s="17" t="s">
        <v>9</v>
      </c>
      <c r="BG39" s="17" t="s">
        <v>23</v>
      </c>
      <c r="BH39" s="17" t="s">
        <v>12</v>
      </c>
      <c r="BI39" s="17" t="s">
        <v>26</v>
      </c>
      <c r="BJ39" s="17" t="s">
        <v>25</v>
      </c>
      <c r="BK39" s="17" t="s">
        <v>27</v>
      </c>
      <c r="BL39" s="17" t="s">
        <v>9</v>
      </c>
      <c r="BM39" s="17" t="s">
        <v>23</v>
      </c>
      <c r="BN39" s="17" t="s">
        <v>12</v>
      </c>
      <c r="BO39" s="17" t="s">
        <v>26</v>
      </c>
      <c r="BP39" s="17" t="s">
        <v>25</v>
      </c>
      <c r="BQ39" s="17" t="s">
        <v>27</v>
      </c>
      <c r="BR39" s="17" t="s">
        <v>9</v>
      </c>
      <c r="BS39" s="17" t="s">
        <v>23</v>
      </c>
      <c r="BT39" s="17" t="s">
        <v>12</v>
      </c>
      <c r="BU39" s="17" t="s">
        <v>26</v>
      </c>
      <c r="BV39" s="17" t="s">
        <v>25</v>
      </c>
      <c r="BW39" s="17" t="s">
        <v>27</v>
      </c>
      <c r="BX39" s="17" t="s">
        <v>9</v>
      </c>
      <c r="BY39" s="17" t="s">
        <v>23</v>
      </c>
      <c r="BZ39" s="17" t="s">
        <v>12</v>
      </c>
      <c r="CA39" s="17" t="s">
        <v>26</v>
      </c>
      <c r="CB39" s="17" t="s">
        <v>25</v>
      </c>
      <c r="CC39" s="17" t="s">
        <v>27</v>
      </c>
      <c r="CD39" s="17" t="s">
        <v>9</v>
      </c>
      <c r="CE39" s="17" t="s">
        <v>23</v>
      </c>
      <c r="CF39" s="17" t="s">
        <v>12</v>
      </c>
      <c r="CG39" s="17" t="s">
        <v>26</v>
      </c>
      <c r="CH39" s="17" t="s">
        <v>25</v>
      </c>
    </row>
    <row r="40" spans="1:86" s="8" customFormat="1" x14ac:dyDescent="0.2">
      <c r="A40" s="8" t="str">
        <f>IF(AND(COUNTIF(W$3:W$13,A$15)&gt;0,A$15&lt;&gt;B38),A$15,IFERROR(IF(MATCH(A$15,Z$3:Z$13,0)=1,A$15," ")," "))</f>
        <v>C1</v>
      </c>
      <c r="B40" s="8">
        <f>IF(A40=" "," ",1)</f>
        <v>1</v>
      </c>
      <c r="C40" s="8" t="str">
        <f>IFERROR(INDEX(A40:A61,MATCH(SMALL(B40:B61,1),B40:B61,0),1)," ")</f>
        <v>C1</v>
      </c>
      <c r="D40" s="8">
        <f>IFERROR(VLOOKUP($C40,$A$15:$O$36,2,FALSE)," ")</f>
        <v>1</v>
      </c>
      <c r="E40" s="8">
        <f>IFERROR(VLOOKUP($C40,$A$15:$O$36,3,FALSE)," ")</f>
        <v>1</v>
      </c>
      <c r="F40" s="8">
        <f>IFERROR(VLOOKUP($C40,$A$15:$O$36,4,FALSE)," ")</f>
        <v>1</v>
      </c>
      <c r="G40" s="8">
        <f>IFERROR(VLOOKUP($C40,$A$15:$O$36,5,FALSE)," ")</f>
        <v>0</v>
      </c>
      <c r="H40" s="8">
        <f>IFERROR(VLOOKUP($C40,$A$15:$O$36,6,FALSE)," ")</f>
        <v>0</v>
      </c>
      <c r="I40" s="8">
        <f>IFERROR(VLOOKUP($C40,$A$15:$O$36,7,FALSE)," ")</f>
        <v>0</v>
      </c>
      <c r="J40" s="8">
        <f>IFERROR(VLOOKUP($C40,$A$15:$O$36,8,FALSE)," ")</f>
        <v>0</v>
      </c>
      <c r="K40" s="8">
        <f>IFERROR(VLOOKUP($C40,$A$15:$O$36,9,FALSE)," ")</f>
        <v>0</v>
      </c>
      <c r="L40" s="8">
        <f>IFERROR(VLOOKUP($C40,$A$15:$O$36,10,FALSE)," ")</f>
        <v>0</v>
      </c>
      <c r="M40" s="8">
        <f>IFERROR(VLOOKUP($C40,$A$15:$O$36,11,FALSE)," ")</f>
        <v>0</v>
      </c>
      <c r="N40" s="8">
        <f>IFERROR(VLOOKUP($C40,$A$15:$O$36,12,FALSE)," ")</f>
        <v>0</v>
      </c>
      <c r="O40" s="8">
        <f>IFERROR(VLOOKUP($C40,$A$15:$O$36,15,FALSE)," ")</f>
        <v>550</v>
      </c>
      <c r="P40" s="8" t="e">
        <f t="array" ref="P40:P50">MMULT(MINVERSE(D40:N50),O40:O50)</f>
        <v>#NUM!</v>
      </c>
      <c r="Q40" s="8" t="e">
        <f>IF(COUNTIF(P40:P50,"&lt;"&amp;-0.001)=0,IF(ABS(P40)&lt;0.001,0,P40)," ")</f>
        <v>#NUM!</v>
      </c>
      <c r="R40" s="8" t="str">
        <f>IFERROR(VLOOKUP(B38,A$15:L$36,2,FALSE)*Q40+VLOOKUP(B38,A$15:L$36,3,FALSE)*Q41+VLOOKUP(B38,A$15:L$36,4,FALSE)*Q42+VLOOKUP(B38,A$15:L$36,5,FALSE)*Q43+VLOOKUP(B38,A$15:L$36,6,FALSE)*Q44+VLOOKUP(B38,A$15:L$36,7,FALSE)*Q45+VLOOKUP(B38,A$15:L$36,8,FALSE)*Q46+VLOOKUP(B38,A$15:L$36,9,FALSE)*Q47+VLOOKUP(B38,A$15:L$36,10,FALSE)*Q48+VLOOKUP(B38,A$15:L$36,11,FALSE)*Q49+VLOOKUP(B38,A$15:L$36,12,FALSE)*Q50," ")</f>
        <v xml:space="preserve"> </v>
      </c>
      <c r="S40" s="8" t="str">
        <f>IFERROR(IF(R40-VLOOKUP(B38,A$15:O$36,15,FALSE)&lt;0,R40-VLOOKUP(B38,A$15:O$36,15,FALSE)," ")," ")</f>
        <v xml:space="preserve"> </v>
      </c>
      <c r="T40" s="18" t="str">
        <f>IFERROR(IF(R40-VLOOKUP(B38,A$15:O$36,15,FALSE)&gt;0,R40-VLOOKUP(B38,A$15:O$36,15,FALSE)," ")," ")</f>
        <v xml:space="preserve"> </v>
      </c>
      <c r="U40" s="8">
        <f>$M$2</f>
        <v>100.00000000000001</v>
      </c>
      <c r="V40" s="8">
        <v>-1</v>
      </c>
      <c r="W40" s="8">
        <f>-SUMPRODUCT($M$3:$M$12,$N$3:$N$12)</f>
        <v>-105000</v>
      </c>
      <c r="X40" s="8" t="e">
        <f>IF(U40&lt;&gt;U41,MMULT(MINVERSE(U40:V41),W40:W41)," ")</f>
        <v>#NUM!</v>
      </c>
      <c r="Y40" s="8" t="str">
        <f>IFERROR(IF(X40-VLOOKUP(U$38,$A$2:$N$12,14,FALSE)&lt;0,X40-VLOOKUP(U$38,$A$2:$N$12,14,FALSE)," ")," ")</f>
        <v xml:space="preserve"> </v>
      </c>
      <c r="Z40" s="8" t="str">
        <f>IFERROR(IF(X40-VLOOKUP(U$38,$A$2:$N$12,14,FALSE)&gt;0,X40-VLOOKUP(U$38,$A$2:$N$12,14,FALSE)," ")," ")</f>
        <v xml:space="preserve"> </v>
      </c>
      <c r="AA40" s="8">
        <f>$M$3</f>
        <v>0</v>
      </c>
      <c r="AB40" s="32">
        <v>-1</v>
      </c>
      <c r="AC40" s="8">
        <f>-SUMPRODUCT($M$2:$M$2,$N$2:$N$2)-SUMPRODUCT($M$4:$M$12,$N$4:$N$12)</f>
        <v>-120000</v>
      </c>
      <c r="AD40" s="8" t="e">
        <f>IF(AA40&lt;&gt;AA41,MMULT(MINVERSE(AA40:AB41),AC40:AC41)," ")</f>
        <v>#NUM!</v>
      </c>
      <c r="AE40" s="8" t="str">
        <f>IFERROR(IF(AD40-VLOOKUP(AA$38,$A$2:$N$12,14,FALSE)&lt;0,AD40-VLOOKUP(AA$38,$A$2:$N$12,14,FALSE)," ")," ")</f>
        <v xml:space="preserve"> </v>
      </c>
      <c r="AF40" s="8" t="str">
        <f>IFERROR(IF(AD40-VLOOKUP(AA$38,$A$2:$N$12,14,FALSE)&gt;0,AD40-VLOOKUP(AA$38,$A$2:$N$12,14,FALSE)," ")," ")</f>
        <v xml:space="preserve"> </v>
      </c>
      <c r="AG40" s="8">
        <f>$M$4</f>
        <v>300</v>
      </c>
      <c r="AH40" s="8">
        <v>-1</v>
      </c>
      <c r="AI40" s="8">
        <f>-SUMPRODUCT($M$2:$M$3,$N$2:$N$3)-SUMPRODUCT($M$5:$M$12,$N$5:$N$12)</f>
        <v>-15000.000000000002</v>
      </c>
      <c r="AJ40" s="8" t="e">
        <f>IF(AG40&lt;&gt;AG41,MMULT(MINVERSE(AG40:AH41),AI40:AI41)," ")</f>
        <v>#NUM!</v>
      </c>
      <c r="AK40" s="8" t="str">
        <f>IFERROR(IF(AJ40-VLOOKUP(AG$38,$A$2:$N$12,14,FALSE)&lt;0,AJ40-VLOOKUP(AG$38,$A$2:$N$12,14,FALSE)," ")," ")</f>
        <v xml:space="preserve"> </v>
      </c>
      <c r="AL40" s="8" t="str">
        <f>IFERROR(IF(AJ40-VLOOKUP(AG$38,$A$2:$N$12,14,FALSE)&gt;0,AJ40-VLOOKUP(AG$38,$A$2:$N$12,14,FALSE)," ")," ")</f>
        <v xml:space="preserve"> </v>
      </c>
      <c r="AM40" s="8">
        <f>$M$5</f>
        <v>0</v>
      </c>
      <c r="AN40" s="8">
        <v>-1</v>
      </c>
      <c r="AO40" s="8">
        <f>-SUMPRODUCT($M$2:$M$4,$N$2:$N$4)-SUMPRODUCT($M$6:$M$12,$N$6:$N$12)</f>
        <v>-120000</v>
      </c>
      <c r="AP40" s="8" t="e">
        <f>IF(AM40&lt;&gt;AM41,MMULT(MINVERSE(AM40:AN41),AO40:AO41)," ")</f>
        <v>#NUM!</v>
      </c>
      <c r="AQ40" s="8" t="str">
        <f>IFERROR(IF(AP40-VLOOKUP(AM$38,$A$2:$N$12,14,FALSE)&lt;0,AP40-VLOOKUP(AM$38,$A$2:$N$12,14,FALSE)," ")," ")</f>
        <v xml:space="preserve"> </v>
      </c>
      <c r="AR40" s="8" t="str">
        <f>IFERROR(IF(AP40-VLOOKUP(AM$38,$A$2:$N$12,14,FALSE)&gt;0,AP40-VLOOKUP(AM$38,$A$2:$N$12,14,FALSE)," ")," ")</f>
        <v xml:space="preserve"> </v>
      </c>
      <c r="AS40" s="8">
        <f>$M$6</f>
        <v>0</v>
      </c>
      <c r="AT40" s="8">
        <v>-1</v>
      </c>
      <c r="AU40" s="8">
        <f>-SUMPRODUCT($M$2:$M$5,$N$2:$N$5)-SUMPRODUCT($M$7:$M$12,$N$7:$N$12)</f>
        <v>-120000</v>
      </c>
      <c r="AV40" s="8" t="e">
        <f>IF(AS40&lt;&gt;AS41,MMULT(MINVERSE(AS40:AT41),AU40:AU41)," ")</f>
        <v>#NUM!</v>
      </c>
      <c r="AW40" s="8" t="str">
        <f>IFERROR(IF(AV40-VLOOKUP(AS$38,$A$2:$N$12,14,FALSE)&lt;0,AV40-VLOOKUP(AS$38,$A$2:$N$12,14,FALSE)," ")," ")</f>
        <v xml:space="preserve"> </v>
      </c>
      <c r="AX40" s="8" t="str">
        <f>IFERROR(IF(AV40-VLOOKUP(AS$38,$A$2:$N$12,14,FALSE)&gt;0,AV40-VLOOKUP(AS$38,$A$2:$N$12,14,FALSE)," ")," ")</f>
        <v xml:space="preserve"> </v>
      </c>
      <c r="AY40" s="8">
        <f>$M$7</f>
        <v>0</v>
      </c>
      <c r="AZ40" s="8">
        <v>-1</v>
      </c>
      <c r="BA40" s="8">
        <f>-SUMPRODUCT($M$2:$M$6,$N$2:$N$6)-SUMPRODUCT($M$8:$M$12,$N$8:$N$12)</f>
        <v>-120000</v>
      </c>
      <c r="BB40" s="8" t="e">
        <f>IF(AY40&lt;&gt;AY41,MMULT(MINVERSE(AY40:AZ41),BA40:BA41)," ")</f>
        <v>#NUM!</v>
      </c>
      <c r="BC40" s="8" t="str">
        <f>IFERROR(IF(BB40-VLOOKUP(AY$38,$A$2:$N$12,14,FALSE)&lt;0,BB40-VLOOKUP(AY$38,$A$2:$N$12,14,FALSE)," ")," ")</f>
        <v xml:space="preserve"> </v>
      </c>
      <c r="BD40" s="8" t="str">
        <f>IFERROR(IF(BB40-VLOOKUP(AY$38,$A$2:$N$12,14,FALSE)&gt;0,BB40-VLOOKUP(AY$38,$A$2:$N$12,14,FALSE)," ")," ")</f>
        <v xml:space="preserve"> </v>
      </c>
      <c r="BE40" s="8">
        <f>$M$8</f>
        <v>0</v>
      </c>
      <c r="BF40" s="8">
        <v>-1</v>
      </c>
      <c r="BG40" s="8">
        <f>-SUMPRODUCT($M$2:$M$7,$N$2:$N$7)-SUMPRODUCT($M$9:$M$12,$N$9:$N$12)</f>
        <v>-120000</v>
      </c>
      <c r="BH40" s="8" t="e">
        <f>IF(BE40&lt;&gt;BE41,MMULT(MINVERSE(BE40:BF41),BG40:BG41)," ")</f>
        <v>#NUM!</v>
      </c>
      <c r="BI40" s="8" t="str">
        <f>IFERROR(IF(BH40-VLOOKUP(BE$38,$A$2:$N$12,14,FALSE)&lt;0,BH40-VLOOKUP(BE$38,$A$2:$N$12,14,FALSE)," ")," ")</f>
        <v xml:space="preserve"> </v>
      </c>
      <c r="BJ40" s="8" t="str">
        <f>IFERROR(IF(BH40-VLOOKUP(BE$38,$A$2:$N$12,14,FALSE)&gt;0,BH40-VLOOKUP(BE$38,$A$2:$N$12,14,FALSE)," ")," ")</f>
        <v xml:space="preserve"> </v>
      </c>
      <c r="BK40" s="8">
        <f>$M$9</f>
        <v>0</v>
      </c>
      <c r="BL40" s="8">
        <v>-1</v>
      </c>
      <c r="BM40" s="8">
        <f>-SUMPRODUCT($M$2:$M$8,$N$2:$N$8)-SUMPRODUCT($M$10:$M$12,$N$10:$N$12)</f>
        <v>-120000</v>
      </c>
      <c r="BN40" s="8" t="e">
        <f>IF(BK40&lt;&gt;BK41,MMULT(MINVERSE(BK40:BL41),BM40:BM41)," ")</f>
        <v>#NUM!</v>
      </c>
      <c r="BO40" s="8" t="str">
        <f>IFERROR(IF(BN40-VLOOKUP(BK$38,$A$2:$N$12,14,FALSE)&lt;0,BN40-VLOOKUP(BK$38,$A$2:$N$12,14,FALSE)," ")," ")</f>
        <v xml:space="preserve"> </v>
      </c>
      <c r="BP40" s="8" t="str">
        <f>IFERROR(IF(BN40-VLOOKUP(BK$38,$A$2:$N$12,14,FALSE)&gt;0,BN40-VLOOKUP(BK$38,$A$2:$N$12,14,FALSE)," ")," ")</f>
        <v xml:space="preserve"> </v>
      </c>
      <c r="BQ40" s="8">
        <f>$M$10</f>
        <v>0</v>
      </c>
      <c r="BR40" s="8">
        <v>-1</v>
      </c>
      <c r="BS40" s="8">
        <f>-SUMPRODUCT($M$2:$M$9,$N$2:$N$9)-SUMPRODUCT($M$11:$M$12,$N$11:$N$12)</f>
        <v>-120000</v>
      </c>
      <c r="BT40" s="8" t="e">
        <f>IF(BQ40&lt;&gt;BQ41,MMULT(MINVERSE(BQ40:BR41),BS40:BS41)," ")</f>
        <v>#NUM!</v>
      </c>
      <c r="BU40" s="8" t="str">
        <f>IFERROR(IF(BT40-VLOOKUP(BQ$38,$A$2:$N$12,14,FALSE)&lt;0,BT40-VLOOKUP(BQ$38,$A$2:$N$12,14,FALSE)," ")," ")</f>
        <v xml:space="preserve"> </v>
      </c>
      <c r="BV40" s="8" t="str">
        <f>IFERROR(IF(BT40-VLOOKUP(BQ$38,$A$2:$N$12,14,FALSE)&gt;0,BT40-VLOOKUP(BQ$38,$A$2:$N$12,14,FALSE)," ")," ")</f>
        <v xml:space="preserve"> </v>
      </c>
      <c r="BW40" s="8">
        <f>$M$11</f>
        <v>0</v>
      </c>
      <c r="BX40" s="8">
        <v>-1</v>
      </c>
      <c r="BY40" s="8">
        <f>-SUMPRODUCT($M$2:$M$10,$N$2:$N$10)-SUMPRODUCT($M$12,$N$12)</f>
        <v>-120000</v>
      </c>
      <c r="BZ40" s="8" t="e">
        <f>IF(BW40&lt;&gt;BW41,MMULT(MINVERSE(BW40:BX41),BY40:BY41)," ")</f>
        <v>#NUM!</v>
      </c>
      <c r="CA40" s="8" t="str">
        <f>IFERROR(IF(BZ40-VLOOKUP(BW$38,$A$2:$N$12,14,FALSE)&lt;0,BZ40-VLOOKUP(BW$38,$A$2:$N$12,14,FALSE)," ")," ")</f>
        <v xml:space="preserve"> </v>
      </c>
      <c r="CB40" s="8" t="str">
        <f>IFERROR(IF(BZ40-VLOOKUP(BW$38,$A$2:$N$12,14,FALSE)&gt;0,BZ40-VLOOKUP(BW$38,$A$2:$N$12,14,FALSE)," ")," ")</f>
        <v xml:space="preserve"> </v>
      </c>
      <c r="CC40" s="8">
        <f>$M$12</f>
        <v>0</v>
      </c>
      <c r="CD40" s="8">
        <v>-1</v>
      </c>
      <c r="CE40" s="8">
        <f>-SUMPRODUCT($M$2:$M$11,$N$2:$N$11)</f>
        <v>-120000</v>
      </c>
      <c r="CF40" s="8" t="e">
        <f>IF(CC40&lt;&gt;CC41,MMULT(MINVERSE(CC40:CD41),CE40:CE41)," ")</f>
        <v>#NUM!</v>
      </c>
      <c r="CG40" s="8" t="str">
        <f>IFERROR(IF(CF40-VLOOKUP(CC$38,$A$2:$N$12,14,FALSE)&lt;0,CF40-VLOOKUP(CC$38,$A$2:$N$12,14,FALSE)," ")," ")</f>
        <v xml:space="preserve"> </v>
      </c>
      <c r="CH40" s="8" t="str">
        <f>IFERROR(IF(CF40-VLOOKUP(CC$38,$A$2:$N$12,14,FALSE)&gt;0,CF40-VLOOKUP(CC$38,$A$2:$N$12,14,FALSE)," ")," ")</f>
        <v xml:space="preserve"> </v>
      </c>
    </row>
    <row r="41" spans="1:86" s="8" customFormat="1" x14ac:dyDescent="0.2">
      <c r="A41" s="8" t="str">
        <f>IF(AND(COUNTIF(W$3:W$13,A$16)&gt;0,A$16&lt;&gt;B38),A$16,IFERROR(IF(MATCH(A$16,Z$3:Z$13,0)=1,A$16," ")," "))</f>
        <v xml:space="preserve"> </v>
      </c>
      <c r="B41" s="8" t="str">
        <f>IF(A41=" "," ",MAX(B40:B40)+1)</f>
        <v xml:space="preserve"> </v>
      </c>
      <c r="C41" s="8" t="str">
        <f>IFERROR(INDEX(A40:A61,MATCH(SMALL(B40:B61,2),B40:B61,0),1)," ")</f>
        <v>C4</v>
      </c>
      <c r="D41" s="8">
        <f t="shared" ref="D41:D50" si="9">IFERROR(VLOOKUP($C41,$A$15:$O$36,2,FALSE)," ")</f>
        <v>1</v>
      </c>
      <c r="E41" s="8">
        <f t="shared" ref="E41:E50" si="10">IFERROR(VLOOKUP($C41,$A$15:$O$36,3,FALSE)," ")</f>
        <v>0</v>
      </c>
      <c r="F41" s="8">
        <f t="shared" ref="F41:F50" si="11">IFERROR(VLOOKUP($C41,$A$15:$O$36,4,FALSE)," ")</f>
        <v>1</v>
      </c>
      <c r="G41" s="8">
        <f t="shared" ref="G41:G50" si="12">IFERROR(VLOOKUP($C41,$A$15:$O$36,5,FALSE)," ")</f>
        <v>0</v>
      </c>
      <c r="H41" s="8">
        <f t="shared" ref="H41:H50" si="13">IFERROR(VLOOKUP($C41,$A$15:$O$36,6,FALSE)," ")</f>
        <v>0</v>
      </c>
      <c r="I41" s="8">
        <f t="shared" ref="I41:I50" si="14">IFERROR(VLOOKUP($C41,$A$15:$O$36,7,FALSE)," ")</f>
        <v>0</v>
      </c>
      <c r="J41" s="8">
        <f t="shared" ref="J41:J50" si="15">IFERROR(VLOOKUP($C41,$A$15:$O$36,8,FALSE)," ")</f>
        <v>0</v>
      </c>
      <c r="K41" s="8">
        <f t="shared" ref="K41:K50" si="16">IFERROR(VLOOKUP($C41,$A$15:$O$36,9,FALSE)," ")</f>
        <v>0</v>
      </c>
      <c r="L41" s="8">
        <f t="shared" ref="L41:L50" si="17">IFERROR(VLOOKUP($C41,$A$15:$O$36,10,FALSE)," ")</f>
        <v>0</v>
      </c>
      <c r="M41" s="8">
        <f t="shared" ref="M41:M50" si="18">IFERROR(VLOOKUP($C41,$A$15:$O$36,11,FALSE)," ")</f>
        <v>0</v>
      </c>
      <c r="N41" s="8">
        <f t="shared" ref="N41:N50" si="19">IFERROR(VLOOKUP($C41,$A$15:$O$36,12,FALSE)," ")</f>
        <v>0</v>
      </c>
      <c r="O41" s="8">
        <f t="shared" ref="O41:O50" si="20">IFERROR(VLOOKUP($C41,$A$15:$O$36,15,FALSE)," ")</f>
        <v>400</v>
      </c>
      <c r="P41" s="8" t="e">
        <v>#NUM!</v>
      </c>
      <c r="Q41" s="8" t="e">
        <f>IF(COUNTIF(P40:P50,"&lt;"&amp;-0.001)=0,IF(ABS(P41)&lt;0.001,0,P41)," ")</f>
        <v>#NUM!</v>
      </c>
      <c r="T41" s="18"/>
      <c r="U41" s="8" t="e">
        <f>$Q40</f>
        <v>#NUM!</v>
      </c>
      <c r="V41" s="8">
        <v>-1</v>
      </c>
      <c r="W41" s="8" t="e">
        <f>-SUMPRODUCT($Q41:$Q50,$N$3:$N$12)</f>
        <v>#NUM!</v>
      </c>
      <c r="AA41" s="8" t="e">
        <f>$Q41</f>
        <v>#NUM!</v>
      </c>
      <c r="AB41" s="32">
        <v>-1</v>
      </c>
      <c r="AC41" s="8" t="e">
        <f>-SUMPRODUCT($Q40:$Q40,$N$2:$N$2)-SUMPRODUCT($Q42:$Q50,$N$4:$N$12)</f>
        <v>#NUM!</v>
      </c>
      <c r="AG41" s="8" t="e">
        <f>$Q42</f>
        <v>#NUM!</v>
      </c>
      <c r="AH41" s="8">
        <v>-1</v>
      </c>
      <c r="AI41" s="8" t="e">
        <f>-SUMPRODUCT($Q40:$Q41,$N$2:$N$3)-SUMPRODUCT($Q43:$Q50,$N$5:$N$12)</f>
        <v>#NUM!</v>
      </c>
      <c r="AM41" s="8" t="e">
        <f>$Q43</f>
        <v>#NUM!</v>
      </c>
      <c r="AN41" s="8">
        <v>-1</v>
      </c>
      <c r="AO41" s="8" t="e">
        <f>-SUMPRODUCT($Q40:$Q42,$N$2:$N$4)-SUMPRODUCT($Q44:$Q50,$N$6:$N$12)</f>
        <v>#NUM!</v>
      </c>
      <c r="AS41" s="8" t="e">
        <f>$Q44</f>
        <v>#NUM!</v>
      </c>
      <c r="AT41" s="8">
        <v>-1</v>
      </c>
      <c r="AU41" s="8" t="e">
        <f>-SUMPRODUCT($Q40:$Q43,$N$2:$N$5)-SUMPRODUCT($Q45:$Q50,$N$7:$N$12)</f>
        <v>#NUM!</v>
      </c>
      <c r="AY41" s="8" t="e">
        <f>$Q45</f>
        <v>#NUM!</v>
      </c>
      <c r="AZ41" s="8">
        <v>-1</v>
      </c>
      <c r="BA41" s="8" t="e">
        <f>-SUMPRODUCT($Q40:$Q44,$N$2:$N$6)-SUMPRODUCT($Q46:$Q50,$N$8:$N$12)</f>
        <v>#NUM!</v>
      </c>
      <c r="BE41" s="8" t="e">
        <f>$Q46</f>
        <v>#NUM!</v>
      </c>
      <c r="BF41" s="8">
        <v>-1</v>
      </c>
      <c r="BG41" s="8" t="e">
        <f>-SUMPRODUCT($Q40:$Q45,$N$2:$N$7)-SUMPRODUCT($Q47:$Q50,$N$9:$N$12)</f>
        <v>#NUM!</v>
      </c>
      <c r="BK41" s="8" t="e">
        <f>$Q47</f>
        <v>#NUM!</v>
      </c>
      <c r="BL41" s="8">
        <v>-1</v>
      </c>
      <c r="BM41" s="8" t="e">
        <f>-SUMPRODUCT($Q40:$Q46,$N$2:$N$8)-SUMPRODUCT($Q48:$Q50,$N$10:$N$12)</f>
        <v>#NUM!</v>
      </c>
      <c r="BQ41" s="8" t="e">
        <f>$Q48</f>
        <v>#NUM!</v>
      </c>
      <c r="BR41" s="8">
        <v>-1</v>
      </c>
      <c r="BS41" s="8" t="e">
        <f>-SUMPRODUCT($Q40:$Q47,$N$2:$N$9)-SUMPRODUCT($Q49:$Q50,$N$11:$N$12)</f>
        <v>#NUM!</v>
      </c>
      <c r="BW41" s="8" t="e">
        <f>$Q49</f>
        <v>#NUM!</v>
      </c>
      <c r="BX41" s="8">
        <v>-1</v>
      </c>
      <c r="BY41" s="8" t="e">
        <f>-SUMPRODUCT($Q40:$Q48,$N$2:$N$10)-SUMPRODUCT($Q50,$N$12)</f>
        <v>#NUM!</v>
      </c>
      <c r="CC41" s="8" t="e">
        <f>$Q50</f>
        <v>#NUM!</v>
      </c>
      <c r="CD41" s="8">
        <v>-1</v>
      </c>
      <c r="CE41" s="8" t="e">
        <f>-SUMPRODUCT($Q40:$Q49,$N$2:$N$11)</f>
        <v>#NUM!</v>
      </c>
    </row>
    <row r="42" spans="1:86" s="8" customFormat="1" x14ac:dyDescent="0.2">
      <c r="A42" s="8" t="str">
        <f>IF(AND(COUNTIF(W$3:W$13,A$17)&gt;0,A$17&lt;&gt;B38),A$17,IFERROR(IF(MATCH(A$17,Z$3:Z$13,0)=1,A$17," ")," "))</f>
        <v xml:space="preserve"> </v>
      </c>
      <c r="B42" s="8" t="str">
        <f>IF(A42=" "," ",MAX(B40:B41)+1)</f>
        <v xml:space="preserve"> </v>
      </c>
      <c r="C42" s="8" t="str">
        <f>IFERROR(INDEX(A40:A61,MATCH(SMALL(B40:B61,3),B40:B61,0),1)," ")</f>
        <v>C13</v>
      </c>
      <c r="D42" s="8">
        <f t="shared" si="9"/>
        <v>0</v>
      </c>
      <c r="E42" s="8">
        <f t="shared" si="10"/>
        <v>1</v>
      </c>
      <c r="F42" s="8">
        <f t="shared" si="11"/>
        <v>0</v>
      </c>
      <c r="G42" s="8">
        <f t="shared" si="12"/>
        <v>0</v>
      </c>
      <c r="H42" s="8">
        <f t="shared" si="13"/>
        <v>0</v>
      </c>
      <c r="I42" s="8">
        <f t="shared" si="14"/>
        <v>0</v>
      </c>
      <c r="J42" s="8">
        <f t="shared" si="15"/>
        <v>0</v>
      </c>
      <c r="K42" s="8">
        <f t="shared" si="16"/>
        <v>0</v>
      </c>
      <c r="L42" s="8">
        <f t="shared" si="17"/>
        <v>0</v>
      </c>
      <c r="M42" s="8">
        <f t="shared" si="18"/>
        <v>0</v>
      </c>
      <c r="N42" s="8">
        <f t="shared" si="19"/>
        <v>0</v>
      </c>
      <c r="O42" s="8">
        <f t="shared" si="20"/>
        <v>0</v>
      </c>
      <c r="P42" s="8" t="e">
        <v>#NUM!</v>
      </c>
      <c r="Q42" s="8" t="e">
        <f>IF(COUNTIF(P40:P50,"&lt;"&amp;-0.001)=0,IF(ABS(P42)&lt;0.001,0,P42)," ")</f>
        <v>#NUM!</v>
      </c>
      <c r="T42" s="18"/>
      <c r="AB42" s="32"/>
    </row>
    <row r="43" spans="1:86" s="8" customFormat="1" x14ac:dyDescent="0.2">
      <c r="A43" s="8" t="str">
        <f>IF(AND(COUNTIF(W$3:W$13,A$18)&gt;0,A$18&lt;&gt;B38),A$18,IFERROR(IF(MATCH(A$18,Z$3:Z$13,0)=1,A$18," ")," "))</f>
        <v>C4</v>
      </c>
      <c r="B43" s="8">
        <f>IF(A43=" "," ",MAX(B40:B42)+1)</f>
        <v>2</v>
      </c>
      <c r="C43" s="8" t="str">
        <f>IFERROR(INDEX(A40:A61,MATCH(SMALL(B40:B61,4),B40:B61,0),1)," ")</f>
        <v>C15</v>
      </c>
      <c r="D43" s="8">
        <f t="shared" si="9"/>
        <v>0</v>
      </c>
      <c r="E43" s="8">
        <f t="shared" si="10"/>
        <v>0</v>
      </c>
      <c r="F43" s="8">
        <f t="shared" si="11"/>
        <v>0</v>
      </c>
      <c r="G43" s="8">
        <f t="shared" si="12"/>
        <v>1</v>
      </c>
      <c r="H43" s="8">
        <f t="shared" si="13"/>
        <v>0</v>
      </c>
      <c r="I43" s="8">
        <f t="shared" si="14"/>
        <v>0</v>
      </c>
      <c r="J43" s="8">
        <f t="shared" si="15"/>
        <v>0</v>
      </c>
      <c r="K43" s="8">
        <f t="shared" si="16"/>
        <v>0</v>
      </c>
      <c r="L43" s="8">
        <f t="shared" si="17"/>
        <v>0</v>
      </c>
      <c r="M43" s="8">
        <f t="shared" si="18"/>
        <v>0</v>
      </c>
      <c r="N43" s="8">
        <f t="shared" si="19"/>
        <v>0</v>
      </c>
      <c r="O43" s="8">
        <f t="shared" si="20"/>
        <v>0</v>
      </c>
      <c r="P43" s="8" t="e">
        <v>#NUM!</v>
      </c>
      <c r="Q43" s="8" t="e">
        <f>IF(COUNTIF(P40:P50,"&lt;"&amp;-0.001)=0,IF(ABS(P43)&lt;0.001,0,P43)," ")</f>
        <v>#NUM!</v>
      </c>
      <c r="T43" s="18"/>
      <c r="AB43" s="32"/>
    </row>
    <row r="44" spans="1:86" s="8" customFormat="1" x14ac:dyDescent="0.2">
      <c r="A44" s="8" t="str">
        <f>IF(AND(COUNTIF(W$3:W$13,A$19)&gt;0,A$19&lt;&gt;B38),A$19,IFERROR(IF(MATCH(A$19,Z$3:Z$13,0)=1,A$19," ")," "))</f>
        <v xml:space="preserve"> </v>
      </c>
      <c r="B44" s="8" t="str">
        <f>IF(A44=" "," ",MAX(B40:B43)+1)</f>
        <v xml:space="preserve"> </v>
      </c>
      <c r="C44" s="8" t="str">
        <f>IFERROR(INDEX(A40:A61,MATCH(SMALL(B40:B61,5),B40:B61,0),1)," ")</f>
        <v>C16</v>
      </c>
      <c r="D44" s="8">
        <f t="shared" si="9"/>
        <v>0</v>
      </c>
      <c r="E44" s="8">
        <f t="shared" si="10"/>
        <v>0</v>
      </c>
      <c r="F44" s="8">
        <f t="shared" si="11"/>
        <v>0</v>
      </c>
      <c r="G44" s="8">
        <f t="shared" si="12"/>
        <v>0</v>
      </c>
      <c r="H44" s="8">
        <f t="shared" si="13"/>
        <v>1</v>
      </c>
      <c r="I44" s="8">
        <f t="shared" si="14"/>
        <v>0</v>
      </c>
      <c r="J44" s="8">
        <f t="shared" si="15"/>
        <v>0</v>
      </c>
      <c r="K44" s="8">
        <f t="shared" si="16"/>
        <v>0</v>
      </c>
      <c r="L44" s="8">
        <f t="shared" si="17"/>
        <v>0</v>
      </c>
      <c r="M44" s="8">
        <f t="shared" si="18"/>
        <v>0</v>
      </c>
      <c r="N44" s="8">
        <f t="shared" si="19"/>
        <v>0</v>
      </c>
      <c r="O44" s="8">
        <f t="shared" si="20"/>
        <v>0</v>
      </c>
      <c r="P44" s="8" t="e">
        <v>#NUM!</v>
      </c>
      <c r="Q44" s="8" t="e">
        <f>IF(COUNTIF(P40:P50,"&lt;"&amp;-0.001)=0,IF(ABS(P44)&lt;0.001,0,P44)," ")</f>
        <v>#NUM!</v>
      </c>
      <c r="T44" s="18"/>
      <c r="AB44" s="32"/>
    </row>
    <row r="45" spans="1:86" s="8" customFormat="1" x14ac:dyDescent="0.2">
      <c r="A45" s="8" t="str">
        <f>IF(AND(COUNTIF(W$3:W$13,A$20)&gt;0,A$20&lt;&gt;B38),A$20,IFERROR(IF(MATCH(A$20,Z$3:Z$13,0)=1,A$20," ")," "))</f>
        <v xml:space="preserve"> </v>
      </c>
      <c r="B45" s="8" t="str">
        <f>IF(A45=" "," ",MAX(B40:B44)+1)</f>
        <v xml:space="preserve"> </v>
      </c>
      <c r="C45" s="8" t="str">
        <f>IFERROR(INDEX(A40:A61,MATCH(SMALL(B40:B61,6),B40:B61,0),1)," ")</f>
        <v>C17</v>
      </c>
      <c r="D45" s="8">
        <f t="shared" si="9"/>
        <v>0</v>
      </c>
      <c r="E45" s="8">
        <f t="shared" si="10"/>
        <v>0</v>
      </c>
      <c r="F45" s="8">
        <f t="shared" si="11"/>
        <v>0</v>
      </c>
      <c r="G45" s="8">
        <f t="shared" si="12"/>
        <v>0</v>
      </c>
      <c r="H45" s="8">
        <f t="shared" si="13"/>
        <v>0</v>
      </c>
      <c r="I45" s="8">
        <f t="shared" si="14"/>
        <v>1</v>
      </c>
      <c r="J45" s="8">
        <f t="shared" si="15"/>
        <v>0</v>
      </c>
      <c r="K45" s="8">
        <f t="shared" si="16"/>
        <v>0</v>
      </c>
      <c r="L45" s="8">
        <f t="shared" si="17"/>
        <v>0</v>
      </c>
      <c r="M45" s="8">
        <f t="shared" si="18"/>
        <v>0</v>
      </c>
      <c r="N45" s="8">
        <f t="shared" si="19"/>
        <v>0</v>
      </c>
      <c r="O45" s="8">
        <f t="shared" si="20"/>
        <v>0</v>
      </c>
      <c r="P45" s="8" t="e">
        <v>#NUM!</v>
      </c>
      <c r="Q45" s="8" t="e">
        <f>IF(COUNTIF(P40:P50,"&lt;"&amp;-0.001)=0,IF(ABS(P45)&lt;0.001,0,P45)," ")</f>
        <v>#NUM!</v>
      </c>
      <c r="T45" s="18"/>
      <c r="AB45" s="32"/>
    </row>
    <row r="46" spans="1:86" s="8" customFormat="1" x14ac:dyDescent="0.2">
      <c r="A46" s="8" t="str">
        <f>IF(AND(COUNTIF(W$3:W$13,A$21)&gt;0,A$21&lt;&gt;B38),A$21,IFERROR(IF(MATCH(A$21,Z$3:Z$13,0)=1,A$21," ")," "))</f>
        <v xml:space="preserve"> </v>
      </c>
      <c r="B46" s="8" t="str">
        <f>IF(A46=" "," ",MAX(B40:B45)+1)</f>
        <v xml:space="preserve"> </v>
      </c>
      <c r="C46" s="8" t="str">
        <f>IFERROR(INDEX(A40:A61,MATCH(SMALL(B40:B61,7),B40:B61,0),1)," ")</f>
        <v>C18</v>
      </c>
      <c r="D46" s="8">
        <f t="shared" si="9"/>
        <v>0</v>
      </c>
      <c r="E46" s="8">
        <f t="shared" si="10"/>
        <v>0</v>
      </c>
      <c r="F46" s="8">
        <f t="shared" si="11"/>
        <v>0</v>
      </c>
      <c r="G46" s="8">
        <f t="shared" si="12"/>
        <v>0</v>
      </c>
      <c r="H46" s="8">
        <f t="shared" si="13"/>
        <v>0</v>
      </c>
      <c r="I46" s="8">
        <f t="shared" si="14"/>
        <v>0</v>
      </c>
      <c r="J46" s="8">
        <f t="shared" si="15"/>
        <v>1</v>
      </c>
      <c r="K46" s="8">
        <f t="shared" si="16"/>
        <v>0</v>
      </c>
      <c r="L46" s="8">
        <f t="shared" si="17"/>
        <v>0</v>
      </c>
      <c r="M46" s="8">
        <f t="shared" si="18"/>
        <v>0</v>
      </c>
      <c r="N46" s="8">
        <f t="shared" si="19"/>
        <v>0</v>
      </c>
      <c r="O46" s="8">
        <f t="shared" si="20"/>
        <v>0</v>
      </c>
      <c r="P46" s="8" t="e">
        <v>#NUM!</v>
      </c>
      <c r="Q46" s="8" t="e">
        <f>IF(COUNTIF(P40:P50,"&lt;"&amp;-0.001)=0,IF(ABS(P46)&lt;0.001,0,P46)," ")</f>
        <v>#NUM!</v>
      </c>
      <c r="T46" s="18"/>
      <c r="AB46" s="32"/>
    </row>
    <row r="47" spans="1:86" s="8" customFormat="1" x14ac:dyDescent="0.2">
      <c r="A47" s="8" t="str">
        <f>IF(AND(COUNTIF(W$3:W$13,A$22)&gt;0,A$22&lt;&gt;B38),A$22,IFERROR(IF(MATCH(A$22,Z$3:Z$13,0)=1,A$22," ")," "))</f>
        <v xml:space="preserve"> </v>
      </c>
      <c r="B47" s="8" t="str">
        <f>IF(A47=" "," ",MAX(B40:B46)+1)</f>
        <v xml:space="preserve"> </v>
      </c>
      <c r="C47" s="8" t="str">
        <f>IFERROR(INDEX(A40:A61,MATCH(SMALL(B40:B61,8),B40:B61,0),1)," ")</f>
        <v>C19</v>
      </c>
      <c r="D47" s="8">
        <f t="shared" si="9"/>
        <v>0</v>
      </c>
      <c r="E47" s="8">
        <f t="shared" si="10"/>
        <v>0</v>
      </c>
      <c r="F47" s="8">
        <f t="shared" si="11"/>
        <v>0</v>
      </c>
      <c r="G47" s="8">
        <f t="shared" si="12"/>
        <v>0</v>
      </c>
      <c r="H47" s="8">
        <f t="shared" si="13"/>
        <v>0</v>
      </c>
      <c r="I47" s="8">
        <f t="shared" si="14"/>
        <v>0</v>
      </c>
      <c r="J47" s="8">
        <f t="shared" si="15"/>
        <v>0</v>
      </c>
      <c r="K47" s="8">
        <f t="shared" si="16"/>
        <v>1</v>
      </c>
      <c r="L47" s="8">
        <f t="shared" si="17"/>
        <v>0</v>
      </c>
      <c r="M47" s="8">
        <f t="shared" si="18"/>
        <v>0</v>
      </c>
      <c r="N47" s="8">
        <f t="shared" si="19"/>
        <v>0</v>
      </c>
      <c r="O47" s="8">
        <f t="shared" si="20"/>
        <v>0</v>
      </c>
      <c r="P47" s="8" t="e">
        <v>#NUM!</v>
      </c>
      <c r="Q47" s="8" t="e">
        <f>IF(COUNTIF(P40:P50,"&lt;"&amp;-0.001)=0,IF(ABS(P47)&lt;0.001,0,P47)," ")</f>
        <v>#NUM!</v>
      </c>
      <c r="T47" s="18"/>
      <c r="AB47" s="32"/>
    </row>
    <row r="48" spans="1:86" s="8" customFormat="1" x14ac:dyDescent="0.2">
      <c r="A48" s="8" t="str">
        <f>IF(AND(COUNTIF(W$3:W$13,A$23)&gt;0,A$23&lt;&gt;B38),A$23,IFERROR(IF(MATCH(A$23,Z$3:Z$13,0)=1,A$23," ")," "))</f>
        <v xml:space="preserve"> </v>
      </c>
      <c r="B48" s="8" t="str">
        <f>IF(A48=" "," ",MAX(B40:B47)+1)</f>
        <v xml:space="preserve"> </v>
      </c>
      <c r="C48" s="8" t="str">
        <f>IFERROR(INDEX(A40:A61,MATCH(SMALL(B40:B61,9),B40:B61,0),1)," ")</f>
        <v>C20</v>
      </c>
      <c r="D48" s="8">
        <f t="shared" si="9"/>
        <v>0</v>
      </c>
      <c r="E48" s="8">
        <f t="shared" si="10"/>
        <v>0</v>
      </c>
      <c r="F48" s="8">
        <f t="shared" si="11"/>
        <v>0</v>
      </c>
      <c r="G48" s="8">
        <f t="shared" si="12"/>
        <v>0</v>
      </c>
      <c r="H48" s="8">
        <f t="shared" si="13"/>
        <v>0</v>
      </c>
      <c r="I48" s="8">
        <f t="shared" si="14"/>
        <v>0</v>
      </c>
      <c r="J48" s="8">
        <f t="shared" si="15"/>
        <v>0</v>
      </c>
      <c r="K48" s="8">
        <f t="shared" si="16"/>
        <v>0</v>
      </c>
      <c r="L48" s="8">
        <f t="shared" si="17"/>
        <v>1</v>
      </c>
      <c r="M48" s="8">
        <f t="shared" si="18"/>
        <v>0</v>
      </c>
      <c r="N48" s="8">
        <f t="shared" si="19"/>
        <v>0</v>
      </c>
      <c r="O48" s="8">
        <f t="shared" si="20"/>
        <v>0</v>
      </c>
      <c r="P48" s="6" t="e">
        <v>#NUM!</v>
      </c>
      <c r="Q48" s="8" t="e">
        <f>IF(COUNTIF(P40:P50,"&lt;"&amp;-0.001)=0,IF(ABS(P48)&lt;0.001,0,P48)," ")</f>
        <v>#NUM!</v>
      </c>
      <c r="T48" s="18"/>
      <c r="AB48" s="32"/>
    </row>
    <row r="49" spans="1:86" s="8" customFormat="1" x14ac:dyDescent="0.2">
      <c r="A49" s="8" t="str">
        <f>IF(AND(COUNTIF(W$3:W$13,A$24)&gt;0,A$24&lt;&gt;B38),A$24,IFERROR(IF(MATCH(A$24,Z$3:Z$13,0)=1,A$24," ")," "))</f>
        <v xml:space="preserve"> </v>
      </c>
      <c r="B49" s="8" t="str">
        <f>IF(A49=" "," ",MAX(B40:B48)+1)</f>
        <v xml:space="preserve"> </v>
      </c>
      <c r="C49" s="8" t="str">
        <f>IFERROR(INDEX(A40:A61,MATCH(SMALL(B40:B61,10),B40:B61,0),1)," ")</f>
        <v>C21</v>
      </c>
      <c r="D49" s="8">
        <f t="shared" si="9"/>
        <v>0</v>
      </c>
      <c r="E49" s="8">
        <f t="shared" si="10"/>
        <v>0</v>
      </c>
      <c r="F49" s="8">
        <f t="shared" si="11"/>
        <v>0</v>
      </c>
      <c r="G49" s="8">
        <f t="shared" si="12"/>
        <v>0</v>
      </c>
      <c r="H49" s="8">
        <f t="shared" si="13"/>
        <v>0</v>
      </c>
      <c r="I49" s="8">
        <f t="shared" si="14"/>
        <v>0</v>
      </c>
      <c r="J49" s="8">
        <f t="shared" si="15"/>
        <v>0</v>
      </c>
      <c r="K49" s="8">
        <f t="shared" si="16"/>
        <v>0</v>
      </c>
      <c r="L49" s="8">
        <f t="shared" si="17"/>
        <v>0</v>
      </c>
      <c r="M49" s="8">
        <f t="shared" si="18"/>
        <v>1</v>
      </c>
      <c r="N49" s="8">
        <f t="shared" si="19"/>
        <v>0</v>
      </c>
      <c r="O49" s="8">
        <f t="shared" si="20"/>
        <v>0</v>
      </c>
      <c r="P49" s="8" t="e">
        <v>#NUM!</v>
      </c>
      <c r="Q49" s="8" t="e">
        <f>IF(COUNTIF(P40:P50,"&lt;"&amp;-0.001)=0,IF(ABS(P49)&lt;0.001,0,P49)," ")</f>
        <v>#NUM!</v>
      </c>
      <c r="T49" s="18"/>
      <c r="AB49" s="32"/>
    </row>
    <row r="50" spans="1:86" s="8" customFormat="1" x14ac:dyDescent="0.2">
      <c r="A50" s="8" t="str">
        <f>IF(AND(COUNTIF(W$3:W$13,A$25)&gt;0,A$25&lt;&gt;B38),A$25,IFERROR(IF(MATCH(A$25,Z$3:Z$13,0)=1,A$25," ")," "))</f>
        <v xml:space="preserve"> </v>
      </c>
      <c r="B50" s="8" t="str">
        <f>IF(A50=" "," ",MAX(B40:B49)+1)</f>
        <v xml:space="preserve"> </v>
      </c>
      <c r="C50" s="8" t="str">
        <f>IFERROR(INDEX(A40:A61,MATCH(SMALL(B40:B61,11),B40:B61,0),1)," ")</f>
        <v>C22</v>
      </c>
      <c r="D50" s="8">
        <f t="shared" si="9"/>
        <v>0</v>
      </c>
      <c r="E50" s="8">
        <f t="shared" si="10"/>
        <v>0</v>
      </c>
      <c r="F50" s="8">
        <f t="shared" si="11"/>
        <v>0</v>
      </c>
      <c r="G50" s="8">
        <f t="shared" si="12"/>
        <v>0</v>
      </c>
      <c r="H50" s="8">
        <f t="shared" si="13"/>
        <v>0</v>
      </c>
      <c r="I50" s="8">
        <f t="shared" si="14"/>
        <v>0</v>
      </c>
      <c r="J50" s="8">
        <f t="shared" si="15"/>
        <v>0</v>
      </c>
      <c r="K50" s="8">
        <f t="shared" si="16"/>
        <v>0</v>
      </c>
      <c r="L50" s="8">
        <f t="shared" si="17"/>
        <v>0</v>
      </c>
      <c r="M50" s="8">
        <f t="shared" si="18"/>
        <v>0</v>
      </c>
      <c r="N50" s="8">
        <f t="shared" si="19"/>
        <v>1</v>
      </c>
      <c r="O50" s="8">
        <f t="shared" si="20"/>
        <v>0</v>
      </c>
      <c r="P50" s="8" t="e">
        <v>#NUM!</v>
      </c>
      <c r="Q50" s="8" t="e">
        <f>IF(COUNTIF(P40:P50,"&lt;"&amp;-0.001)=0,IF(ABS(P50)&lt;0.001,0,P50)," ")</f>
        <v>#NUM!</v>
      </c>
      <c r="T50" s="18"/>
      <c r="AB50" s="32"/>
    </row>
    <row r="51" spans="1:86" s="8" customFormat="1" x14ac:dyDescent="0.2">
      <c r="A51" s="8" t="str">
        <f>IF(AND(COUNTIF(W$3:W$13,A$26)&gt;0,A$26&lt;&gt;B38),A$26,IFERROR(IF(MATCH(A$26,Z$3:Z$13,0)=1,A$26," ")," "))</f>
        <v xml:space="preserve"> </v>
      </c>
      <c r="B51" s="8" t="str">
        <f>IF(A51=" "," ",MAX(B40:B50)+1)</f>
        <v xml:space="preserve"> </v>
      </c>
      <c r="T51" s="18"/>
      <c r="AB51" s="32"/>
    </row>
    <row r="52" spans="1:86" s="8" customFormat="1" x14ac:dyDescent="0.2">
      <c r="A52" s="8" t="str">
        <f>IF(AND(COUNTIF(W$3:W$13,A$27)&gt;0,A$27&lt;&gt;B38),A$27,IFERROR(IF(MATCH(A$27,Z$3:Z$13,0)=1,A$27," ")," "))</f>
        <v>C13</v>
      </c>
      <c r="B52" s="8">
        <f>IF(A52=" "," ",MAX(B40:B51)+1)</f>
        <v>3</v>
      </c>
      <c r="P52" s="6"/>
      <c r="T52" s="18"/>
      <c r="AB52" s="32"/>
    </row>
    <row r="53" spans="1:86" s="8" customFormat="1" x14ac:dyDescent="0.2">
      <c r="A53" s="8" t="str">
        <f>IF(AND(COUNTIF(W$3:W$13,A$28)&gt;0,A$28&lt;&gt;B38),A$28,IFERROR(IF(MATCH(A$28,Z$3:Z$13,0)=1,A$28," ")," "))</f>
        <v xml:space="preserve"> </v>
      </c>
      <c r="B53" s="8" t="str">
        <f>IF(A53=" "," ",MAX(B40:B52)+1)</f>
        <v xml:space="preserve"> </v>
      </c>
      <c r="T53" s="18"/>
      <c r="AB53" s="32"/>
    </row>
    <row r="54" spans="1:86" s="8" customFormat="1" x14ac:dyDescent="0.2">
      <c r="A54" s="8" t="str">
        <f>IF(AND(COUNTIF(W$3:W$13,A$29)&gt;0,A$29&lt;&gt;B38),A$29,IFERROR(IF(MATCH(A$29,Z$3:Z$13,0)=1,A$29," ")," "))</f>
        <v>C15</v>
      </c>
      <c r="B54" s="8">
        <f>IF(A54=" "," ",MAX(B40:B53)+1)</f>
        <v>4</v>
      </c>
      <c r="T54" s="18"/>
      <c r="AB54" s="32"/>
    </row>
    <row r="55" spans="1:86" s="8" customFormat="1" x14ac:dyDescent="0.2">
      <c r="A55" s="8" t="str">
        <f>IF(AND(COUNTIF(W$3:W$13,A$30)&gt;0,A$30&lt;&gt;B38),A$30,IFERROR(IF(MATCH(A$30,Z$3:Z$13,0)=1,A$30," ")," "))</f>
        <v>C16</v>
      </c>
      <c r="B55" s="8">
        <f>IF(A55=" "," ",MAX(B40:B54)+1)</f>
        <v>5</v>
      </c>
      <c r="T55" s="18"/>
      <c r="AB55" s="32"/>
    </row>
    <row r="56" spans="1:86" s="8" customFormat="1" x14ac:dyDescent="0.2">
      <c r="A56" s="8" t="str">
        <f>IF(AND(COUNTIF(W$3:W$13,A$31)&gt;0,A$31&lt;&gt;B38),A$31,IFERROR(IF(MATCH(A$31,Z$3:Z$13,0)=1,A$31," ")," "))</f>
        <v>C17</v>
      </c>
      <c r="B56" s="8">
        <f>IF(A56=" "," ",MAX(B40:B55)+1)</f>
        <v>6</v>
      </c>
      <c r="T56" s="18"/>
      <c r="AB56" s="32"/>
    </row>
    <row r="57" spans="1:86" s="8" customFormat="1" x14ac:dyDescent="0.2">
      <c r="A57" s="8" t="str">
        <f>IF(AND(COUNTIF(W$3:W$13,A$32)&gt;0,A$32&lt;&gt;B38),A$32,IFERROR(IF(MATCH(A$32,Z$3:Z$13,0)=1,A$32," ")," "))</f>
        <v>C18</v>
      </c>
      <c r="B57" s="8">
        <f>IF(A57=" "," ",MAX(B40:B56)+1)</f>
        <v>7</v>
      </c>
      <c r="T57" s="18"/>
      <c r="AB57" s="32"/>
    </row>
    <row r="58" spans="1:86" s="8" customFormat="1" x14ac:dyDescent="0.2">
      <c r="A58" s="8" t="str">
        <f>IF(AND(COUNTIF(W$3:W$13,A$33)&gt;0,A$33&lt;&gt;B38),A$33,IFERROR(IF(MATCH(A$33,Z$3:Z$13,0)=1,A$33," ")," "))</f>
        <v>C19</v>
      </c>
      <c r="B58" s="8">
        <f>IF(A58=" "," ",MAX(B40:B57)+1)</f>
        <v>8</v>
      </c>
      <c r="T58" s="18"/>
      <c r="AB58" s="32"/>
    </row>
    <row r="59" spans="1:86" s="8" customFormat="1" x14ac:dyDescent="0.2">
      <c r="A59" s="8" t="str">
        <f>IF(AND(COUNTIF(W$3:W$13,A$34)&gt;0,A$34&lt;&gt;B38),A$34,IFERROR(IF(MATCH(A$34,Z$3:Z$13,0)=1,A$34," ")," "))</f>
        <v>C20</v>
      </c>
      <c r="B59" s="8">
        <f>IF(A59=" "," ",MAX(B40:B58)+1)</f>
        <v>9</v>
      </c>
      <c r="T59" s="18"/>
      <c r="AB59" s="32"/>
    </row>
    <row r="60" spans="1:86" s="8" customFormat="1" x14ac:dyDescent="0.2">
      <c r="A60" s="8" t="str">
        <f>IF(AND(COUNTIF(W$3:W$13,A$35)&gt;0,A$35&lt;&gt;B38),A$35,IFERROR(IF(MATCH(A$35,Z$3:Z$13,0)=1,A$35," ")," "))</f>
        <v>C21</v>
      </c>
      <c r="B60" s="8">
        <f>IF(A60=" "," ",MAX(B40:B59)+1)</f>
        <v>10</v>
      </c>
      <c r="T60" s="18"/>
      <c r="AB60" s="32"/>
    </row>
    <row r="61" spans="1:86" s="8" customFormat="1" x14ac:dyDescent="0.2">
      <c r="A61" s="8" t="str">
        <f>IF(AND(COUNTIF(W$3:W$13,A$36)&gt;0,A$36&lt;&gt;B38),A$36,IFERROR(IF(MATCH(A$36,Z$3:Z$13,0)=1,A$36," ")," "))</f>
        <v>C22</v>
      </c>
      <c r="B61" s="8">
        <f>IF(A61=" "," ",MAX(B40:B60)+1)</f>
        <v>11</v>
      </c>
      <c r="T61" s="18"/>
      <c r="AB61" s="32"/>
    </row>
    <row r="62" spans="1:86" s="8" customFormat="1" x14ac:dyDescent="0.2">
      <c r="A62" s="11" t="s">
        <v>17</v>
      </c>
      <c r="B62" s="11"/>
      <c r="C62" s="10" t="s">
        <v>18</v>
      </c>
      <c r="D62" s="10" t="s">
        <v>2</v>
      </c>
      <c r="E62" s="10" t="s">
        <v>6</v>
      </c>
      <c r="F62" s="10" t="s">
        <v>15</v>
      </c>
      <c r="G62" s="10" t="s">
        <v>36</v>
      </c>
      <c r="H62" s="10" t="s">
        <v>37</v>
      </c>
      <c r="I62" s="10" t="s">
        <v>38</v>
      </c>
      <c r="J62" s="10" t="s">
        <v>39</v>
      </c>
      <c r="K62" s="10" t="s">
        <v>40</v>
      </c>
      <c r="L62" s="10" t="s">
        <v>41</v>
      </c>
      <c r="M62" s="10" t="s">
        <v>42</v>
      </c>
      <c r="N62" s="10" t="s">
        <v>43</v>
      </c>
      <c r="O62" s="10" t="s">
        <v>9</v>
      </c>
      <c r="P62" s="10" t="s">
        <v>12</v>
      </c>
      <c r="Q62" s="27" t="s">
        <v>19</v>
      </c>
      <c r="R62" s="10" t="s">
        <v>55</v>
      </c>
      <c r="S62" s="10" t="s">
        <v>26</v>
      </c>
      <c r="T62" s="19" t="s">
        <v>25</v>
      </c>
      <c r="U62" s="29" t="s">
        <v>27</v>
      </c>
      <c r="V62" s="29" t="s">
        <v>9</v>
      </c>
      <c r="W62" s="29" t="s">
        <v>23</v>
      </c>
      <c r="X62" s="29" t="s">
        <v>12</v>
      </c>
      <c r="Y62" s="29" t="s">
        <v>26</v>
      </c>
      <c r="Z62" s="29" t="s">
        <v>25</v>
      </c>
      <c r="AA62" s="29" t="s">
        <v>27</v>
      </c>
      <c r="AB62" s="31" t="s">
        <v>9</v>
      </c>
      <c r="AC62" s="29" t="s">
        <v>23</v>
      </c>
      <c r="AD62" s="29" t="s">
        <v>12</v>
      </c>
      <c r="AE62" s="29" t="s">
        <v>26</v>
      </c>
      <c r="AF62" s="29" t="s">
        <v>25</v>
      </c>
      <c r="AG62" s="29" t="s">
        <v>27</v>
      </c>
      <c r="AH62" s="29" t="s">
        <v>9</v>
      </c>
      <c r="AI62" s="29" t="s">
        <v>23</v>
      </c>
      <c r="AJ62" s="29" t="s">
        <v>12</v>
      </c>
      <c r="AK62" s="29" t="s">
        <v>26</v>
      </c>
      <c r="AL62" s="29" t="s">
        <v>25</v>
      </c>
      <c r="AM62" s="29" t="s">
        <v>27</v>
      </c>
      <c r="AN62" s="29" t="s">
        <v>9</v>
      </c>
      <c r="AO62" s="29" t="s">
        <v>23</v>
      </c>
      <c r="AP62" s="29" t="s">
        <v>12</v>
      </c>
      <c r="AQ62" s="29" t="s">
        <v>26</v>
      </c>
      <c r="AR62" s="29" t="s">
        <v>25</v>
      </c>
      <c r="AS62" s="29" t="s">
        <v>27</v>
      </c>
      <c r="AT62" s="29" t="s">
        <v>9</v>
      </c>
      <c r="AU62" s="29" t="s">
        <v>23</v>
      </c>
      <c r="AV62" s="29" t="s">
        <v>12</v>
      </c>
      <c r="AW62" s="29" t="s">
        <v>26</v>
      </c>
      <c r="AX62" s="29" t="s">
        <v>25</v>
      </c>
      <c r="AY62" s="29" t="s">
        <v>27</v>
      </c>
      <c r="AZ62" s="29" t="s">
        <v>9</v>
      </c>
      <c r="BA62" s="29" t="s">
        <v>23</v>
      </c>
      <c r="BB62" s="29" t="s">
        <v>12</v>
      </c>
      <c r="BC62" s="29" t="s">
        <v>26</v>
      </c>
      <c r="BD62" s="29" t="s">
        <v>25</v>
      </c>
      <c r="BE62" s="29" t="s">
        <v>27</v>
      </c>
      <c r="BF62" s="29" t="s">
        <v>9</v>
      </c>
      <c r="BG62" s="29" t="s">
        <v>23</v>
      </c>
      <c r="BH62" s="29" t="s">
        <v>12</v>
      </c>
      <c r="BI62" s="29" t="s">
        <v>26</v>
      </c>
      <c r="BJ62" s="29" t="s">
        <v>25</v>
      </c>
      <c r="BK62" s="29" t="s">
        <v>27</v>
      </c>
      <c r="BL62" s="29" t="s">
        <v>9</v>
      </c>
      <c r="BM62" s="29" t="s">
        <v>23</v>
      </c>
      <c r="BN62" s="29" t="s">
        <v>12</v>
      </c>
      <c r="BO62" s="29" t="s">
        <v>26</v>
      </c>
      <c r="BP62" s="29" t="s">
        <v>25</v>
      </c>
      <c r="BQ62" s="29" t="s">
        <v>27</v>
      </c>
      <c r="BR62" s="29" t="s">
        <v>9</v>
      </c>
      <c r="BS62" s="29" t="s">
        <v>23</v>
      </c>
      <c r="BT62" s="29" t="s">
        <v>12</v>
      </c>
      <c r="BU62" s="29" t="s">
        <v>26</v>
      </c>
      <c r="BV62" s="29" t="s">
        <v>25</v>
      </c>
      <c r="BW62" s="29" t="s">
        <v>27</v>
      </c>
      <c r="BX62" s="29" t="s">
        <v>9</v>
      </c>
      <c r="BY62" s="29" t="s">
        <v>23</v>
      </c>
      <c r="BZ62" s="29" t="s">
        <v>12</v>
      </c>
      <c r="CA62" s="29" t="s">
        <v>26</v>
      </c>
      <c r="CB62" s="29" t="s">
        <v>25</v>
      </c>
      <c r="CC62" s="29" t="s">
        <v>27</v>
      </c>
      <c r="CD62" s="29" t="s">
        <v>9</v>
      </c>
      <c r="CE62" s="29" t="s">
        <v>23</v>
      </c>
      <c r="CF62" s="29" t="s">
        <v>12</v>
      </c>
      <c r="CG62" s="29" t="s">
        <v>26</v>
      </c>
      <c r="CH62" s="29" t="s">
        <v>25</v>
      </c>
    </row>
    <row r="63" spans="1:86" s="8" customFormat="1" x14ac:dyDescent="0.2">
      <c r="A63" s="8" t="str">
        <f>IF(AND(COUNTIF(W$3:W$13,A$15)&gt;0,A$15&lt;&gt;B38),A$15,IFERROR(IF(MATCH(A$15,Z$3:Z$13,0)=2,A$15," ")," "))</f>
        <v xml:space="preserve"> </v>
      </c>
      <c r="B63" s="8" t="str">
        <f>IF(A63=" "," ",1)</f>
        <v xml:space="preserve"> </v>
      </c>
      <c r="C63" s="8" t="str">
        <f>IFERROR(INDEX(A63:A84,MATCH(SMALL(B63:B84,1),B63:B84,0),1)," ")</f>
        <v>C2</v>
      </c>
      <c r="D63" s="8">
        <f>IFERROR(VLOOKUP($C63,$A$15:$O$36,2,FALSE)," ")</f>
        <v>1</v>
      </c>
      <c r="E63" s="8">
        <f>IFERROR(VLOOKUP($C63,$A$15:$O$36,3,FALSE)," ")</f>
        <v>3</v>
      </c>
      <c r="F63" s="8">
        <f>IFERROR(VLOOKUP($C63,$A$15:$O$36,4,FALSE)," ")</f>
        <v>2</v>
      </c>
      <c r="G63" s="8">
        <f>IFERROR(VLOOKUP($C63,$A$15:$O$36,5,FALSE)," ")</f>
        <v>0</v>
      </c>
      <c r="H63" s="8">
        <f>IFERROR(VLOOKUP($C63,$A$15:$O$36,6,FALSE)," ")</f>
        <v>0</v>
      </c>
      <c r="I63" s="8">
        <f>IFERROR(VLOOKUP($C63,$A$15:$O$36,7,FALSE)," ")</f>
        <v>0</v>
      </c>
      <c r="J63" s="8">
        <f>IFERROR(VLOOKUP($C63,$A$15:$O$36,8,FALSE)," ")</f>
        <v>0</v>
      </c>
      <c r="K63" s="8">
        <f>IFERROR(VLOOKUP($C63,$A$15:$O$36,9,FALSE)," ")</f>
        <v>0</v>
      </c>
      <c r="L63" s="8">
        <f>IFERROR(VLOOKUP($C63,$A$15:$O$36,10,FALSE)," ")</f>
        <v>0</v>
      </c>
      <c r="M63" s="8">
        <f>IFERROR(VLOOKUP($C63,$A$15:$O$36,11,FALSE)," ")</f>
        <v>0</v>
      </c>
      <c r="N63" s="8">
        <f>IFERROR(VLOOKUP($C63,$A$15:$O$36,12,FALSE)," ")</f>
        <v>0</v>
      </c>
      <c r="O63" s="8">
        <f>IFERROR(VLOOKUP($C63,$A$15:$O$36,15,FALSE)," ")</f>
        <v>1000</v>
      </c>
      <c r="P63" s="8">
        <f t="array" ref="P63:P73">MMULT(MINVERSE(D63:N73),O63:O73)</f>
        <v>-200</v>
      </c>
      <c r="Q63" s="8" t="str">
        <f t="shared" ref="Q63" si="21">IF(COUNTIF(P63:P73,"&lt;"&amp;-0.001)=0,IF(ABS(P63)&lt;0.001,0,P63)," ")</f>
        <v xml:space="preserve"> </v>
      </c>
      <c r="R63" s="8" t="str">
        <f>IFERROR(VLOOKUP(B38,A$15:L$36,2,FALSE)*Q63+VLOOKUP(B38,A$15:L$36,3,FALSE)*Q64+VLOOKUP(B38,A$15:L$36,4,FALSE)*Q65+VLOOKUP(B38,A$15:L$36,5,FALSE)*Q66+VLOOKUP(B38,A$15:L$36,6,FALSE)*Q67+VLOOKUP(B38,A$15:L$36,7,FALSE)*Q68+VLOOKUP(B38,A$15:L$36,8,FALSE)*Q69+VLOOKUP(B38,A$15:L$36,9,FALSE)*Q70+VLOOKUP(B38,A$15:L$36,10,FALSE)*Q71+VLOOKUP(B38,A$15:L$36,11,FALSE)*Q72+VLOOKUP(B38,A$15:L$36,12,FALSE)*Q73," ")</f>
        <v xml:space="preserve"> </v>
      </c>
      <c r="S63" s="8" t="str">
        <f>IFERROR(IF(R63-VLOOKUP(B38,A$15:O$36,15,FALSE)&lt;0,R63-VLOOKUP(B38,A$15:O$36,15,FALSE)," ")," ")</f>
        <v xml:space="preserve"> </v>
      </c>
      <c r="T63" s="18" t="str">
        <f>IFERROR(IF(R63-VLOOKUP(B38,A$15:O$36,15,FALSE)&gt;0,R63-VLOOKUP(B38,A$15:O$36,15,FALSE)," ")," ")</f>
        <v xml:space="preserve"> </v>
      </c>
      <c r="U63" s="8">
        <f t="shared" ref="U63" si="22">$M$2</f>
        <v>100.00000000000001</v>
      </c>
      <c r="V63" s="8">
        <v>-1</v>
      </c>
      <c r="W63" s="8">
        <f t="shared" ref="W63" si="23">-SUMPRODUCT($M$3:$M$12,$N$3:$N$12)</f>
        <v>-105000</v>
      </c>
      <c r="X63" s="8" t="e">
        <f t="shared" ref="X63" si="24">IF(U63&lt;&gt;U64,MMULT(MINVERSE(U63:V64),W63:W64)," ")</f>
        <v>#VALUE!</v>
      </c>
      <c r="Y63" s="8" t="str">
        <f t="shared" ref="Y63" si="25">IFERROR(IF(X63-VLOOKUP(U$38,$A$2:$N$12,14,FALSE)&lt;0,X63-VLOOKUP(U$38,$A$2:$N$12,14,FALSE)," ")," ")</f>
        <v xml:space="preserve"> </v>
      </c>
      <c r="Z63" s="8" t="str">
        <f t="shared" ref="Z63" si="26">IFERROR(IF(X63-VLOOKUP(U$38,$A$2:$N$12,14,FALSE)&gt;0,X63-VLOOKUP(U$38,$A$2:$N$12,14,FALSE)," ")," ")</f>
        <v xml:space="preserve"> </v>
      </c>
      <c r="AA63" s="8">
        <f t="shared" ref="AA63" si="27">$M$3</f>
        <v>0</v>
      </c>
      <c r="AB63" s="32">
        <v>-1</v>
      </c>
      <c r="AC63" s="8">
        <f t="shared" ref="AC63" si="28">-SUMPRODUCT($M$2:$M$2,$N$2:$N$2)-SUMPRODUCT($M$4:$M$12,$N$4:$N$12)</f>
        <v>-120000</v>
      </c>
      <c r="AD63" s="8" t="e">
        <f t="shared" ref="AD63" si="29">IF(AA63&lt;&gt;AA64,MMULT(MINVERSE(AA63:AB64),AC63:AC64)," ")</f>
        <v>#VALUE!</v>
      </c>
      <c r="AE63" s="8" t="str">
        <f t="shared" ref="AE63" si="30">IFERROR(IF(AD63-VLOOKUP(AA$38,$A$2:$N$12,14,FALSE)&lt;0,AD63-VLOOKUP(AA$38,$A$2:$N$12,14,FALSE)," ")," ")</f>
        <v xml:space="preserve"> </v>
      </c>
      <c r="AF63" s="8" t="str">
        <f t="shared" ref="AF63" si="31">IFERROR(IF(AD63-VLOOKUP(AA$38,$A$2:$N$12,14,FALSE)&gt;0,AD63-VLOOKUP(AA$38,$A$2:$N$12,14,FALSE)," ")," ")</f>
        <v xml:space="preserve"> </v>
      </c>
      <c r="AG63" s="8">
        <f t="shared" ref="AG63" si="32">$M$4</f>
        <v>300</v>
      </c>
      <c r="AH63" s="8">
        <v>-1</v>
      </c>
      <c r="AI63" s="8">
        <f t="shared" ref="AI63" si="33">-SUMPRODUCT($M$2:$M$3,$N$2:$N$3)-SUMPRODUCT($M$5:$M$12,$N$5:$N$12)</f>
        <v>-15000.000000000002</v>
      </c>
      <c r="AJ63" s="8" t="e">
        <f t="shared" ref="AJ63" si="34">IF(AG63&lt;&gt;AG64,MMULT(MINVERSE(AG63:AH64),AI63:AI64)," ")</f>
        <v>#VALUE!</v>
      </c>
      <c r="AK63" s="8" t="str">
        <f t="shared" ref="AK63" si="35">IFERROR(IF(AJ63-VLOOKUP(AG$38,$A$2:$N$12,14,FALSE)&lt;0,AJ63-VLOOKUP(AG$38,$A$2:$N$12,14,FALSE)," ")," ")</f>
        <v xml:space="preserve"> </v>
      </c>
      <c r="AL63" s="8" t="str">
        <f t="shared" ref="AL63" si="36">IFERROR(IF(AJ63-VLOOKUP(AG$38,$A$2:$N$12,14,FALSE)&gt;0,AJ63-VLOOKUP(AG$38,$A$2:$N$12,14,FALSE)," ")," ")</f>
        <v xml:space="preserve"> </v>
      </c>
      <c r="AM63" s="8">
        <f t="shared" ref="AM63" si="37">$M$5</f>
        <v>0</v>
      </c>
      <c r="AN63" s="8">
        <v>-1</v>
      </c>
      <c r="AO63" s="8">
        <f t="shared" ref="AO63" si="38">-SUMPRODUCT($M$2:$M$4,$N$2:$N$4)-SUMPRODUCT($M$6:$M$12,$N$6:$N$12)</f>
        <v>-120000</v>
      </c>
      <c r="AP63" s="8" t="e">
        <f t="shared" ref="AP63" si="39">IF(AM63&lt;&gt;AM64,MMULT(MINVERSE(AM63:AN64),AO63:AO64)," ")</f>
        <v>#VALUE!</v>
      </c>
      <c r="AQ63" s="8" t="str">
        <f t="shared" ref="AQ63" si="40">IFERROR(IF(AP63-VLOOKUP(AM$38,$A$2:$N$12,14,FALSE)&lt;0,AP63-VLOOKUP(AM$38,$A$2:$N$12,14,FALSE)," ")," ")</f>
        <v xml:space="preserve"> </v>
      </c>
      <c r="AR63" s="8" t="str">
        <f t="shared" ref="AR63" si="41">IFERROR(IF(AP63-VLOOKUP(AM$38,$A$2:$N$12,14,FALSE)&gt;0,AP63-VLOOKUP(AM$38,$A$2:$N$12,14,FALSE)," ")," ")</f>
        <v xml:space="preserve"> </v>
      </c>
      <c r="AS63" s="8">
        <f t="shared" ref="AS63" si="42">$M$6</f>
        <v>0</v>
      </c>
      <c r="AT63" s="8">
        <v>-1</v>
      </c>
      <c r="AU63" s="8">
        <f t="shared" ref="AU63" si="43">-SUMPRODUCT($M$2:$M$5,$N$2:$N$5)-SUMPRODUCT($M$7:$M$12,$N$7:$N$12)</f>
        <v>-120000</v>
      </c>
      <c r="AV63" s="8" t="e">
        <f t="shared" ref="AV63" si="44">IF(AS63&lt;&gt;AS64,MMULT(MINVERSE(AS63:AT64),AU63:AU64)," ")</f>
        <v>#VALUE!</v>
      </c>
      <c r="AW63" s="8" t="str">
        <f t="shared" ref="AW63" si="45">IFERROR(IF(AV63-VLOOKUP(AS$38,$A$2:$N$12,14,FALSE)&lt;0,AV63-VLOOKUP(AS$38,$A$2:$N$12,14,FALSE)," ")," ")</f>
        <v xml:space="preserve"> </v>
      </c>
      <c r="AX63" s="8" t="str">
        <f t="shared" ref="AX63" si="46">IFERROR(IF(AV63-VLOOKUP(AS$38,$A$2:$N$12,14,FALSE)&gt;0,AV63-VLOOKUP(AS$38,$A$2:$N$12,14,FALSE)," ")," ")</f>
        <v xml:space="preserve"> </v>
      </c>
      <c r="AY63" s="8">
        <f t="shared" ref="AY63" si="47">$M$7</f>
        <v>0</v>
      </c>
      <c r="AZ63" s="8">
        <v>-1</v>
      </c>
      <c r="BA63" s="8">
        <f t="shared" ref="BA63" si="48">-SUMPRODUCT($M$2:$M$6,$N$2:$N$6)-SUMPRODUCT($M$8:$M$12,$N$8:$N$12)</f>
        <v>-120000</v>
      </c>
      <c r="BB63" s="8" t="e">
        <f t="shared" ref="BB63" si="49">IF(AY63&lt;&gt;AY64,MMULT(MINVERSE(AY63:AZ64),BA63:BA64)," ")</f>
        <v>#VALUE!</v>
      </c>
      <c r="BC63" s="8" t="str">
        <f t="shared" ref="BC63" si="50">IFERROR(IF(BB63-VLOOKUP(AY$38,$A$2:$N$12,14,FALSE)&lt;0,BB63-VLOOKUP(AY$38,$A$2:$N$12,14,FALSE)," ")," ")</f>
        <v xml:space="preserve"> </v>
      </c>
      <c r="BD63" s="8" t="str">
        <f t="shared" ref="BD63" si="51">IFERROR(IF(BB63-VLOOKUP(AY$38,$A$2:$N$12,14,FALSE)&gt;0,BB63-VLOOKUP(AY$38,$A$2:$N$12,14,FALSE)," ")," ")</f>
        <v xml:space="preserve"> </v>
      </c>
      <c r="BE63" s="8">
        <f t="shared" ref="BE63" si="52">$M$8</f>
        <v>0</v>
      </c>
      <c r="BF63" s="8">
        <v>-1</v>
      </c>
      <c r="BG63" s="8">
        <f t="shared" ref="BG63" si="53">-SUMPRODUCT($M$2:$M$7,$N$2:$N$7)-SUMPRODUCT($M$9:$M$12,$N$9:$N$12)</f>
        <v>-120000</v>
      </c>
      <c r="BH63" s="8" t="e">
        <f t="shared" ref="BH63" si="54">IF(BE63&lt;&gt;BE64,MMULT(MINVERSE(BE63:BF64),BG63:BG64)," ")</f>
        <v>#VALUE!</v>
      </c>
      <c r="BI63" s="8" t="str">
        <f t="shared" ref="BI63" si="55">IFERROR(IF(BH63-VLOOKUP(BE$38,$A$2:$N$12,14,FALSE)&lt;0,BH63-VLOOKUP(BE$38,$A$2:$N$12,14,FALSE)," ")," ")</f>
        <v xml:space="preserve"> </v>
      </c>
      <c r="BJ63" s="8" t="str">
        <f t="shared" ref="BJ63" si="56">IFERROR(IF(BH63-VLOOKUP(BE$38,$A$2:$N$12,14,FALSE)&gt;0,BH63-VLOOKUP(BE$38,$A$2:$N$12,14,FALSE)," ")," ")</f>
        <v xml:space="preserve"> </v>
      </c>
      <c r="BK63" s="8">
        <f t="shared" ref="BK63" si="57">$M$9</f>
        <v>0</v>
      </c>
      <c r="BL63" s="8">
        <v>-1</v>
      </c>
      <c r="BM63" s="8">
        <f t="shared" ref="BM63" si="58">-SUMPRODUCT($M$2:$M$8,$N$2:$N$8)-SUMPRODUCT($M$10:$M$12,$N$10:$N$12)</f>
        <v>-120000</v>
      </c>
      <c r="BN63" s="8" t="e">
        <f t="shared" ref="BN63" si="59">IF(BK63&lt;&gt;BK64,MMULT(MINVERSE(BK63:BL64),BM63:BM64)," ")</f>
        <v>#VALUE!</v>
      </c>
      <c r="BO63" s="8" t="str">
        <f t="shared" ref="BO63" si="60">IFERROR(IF(BN63-VLOOKUP(BK$38,$A$2:$N$12,14,FALSE)&lt;0,BN63-VLOOKUP(BK$38,$A$2:$N$12,14,FALSE)," ")," ")</f>
        <v xml:space="preserve"> </v>
      </c>
      <c r="BP63" s="8" t="str">
        <f t="shared" ref="BP63" si="61">IFERROR(IF(BN63-VLOOKUP(BK$38,$A$2:$N$12,14,FALSE)&gt;0,BN63-VLOOKUP(BK$38,$A$2:$N$12,14,FALSE)," ")," ")</f>
        <v xml:space="preserve"> </v>
      </c>
      <c r="BQ63" s="8">
        <f t="shared" ref="BQ63" si="62">$M$10</f>
        <v>0</v>
      </c>
      <c r="BR63" s="8">
        <v>-1</v>
      </c>
      <c r="BS63" s="8">
        <f t="shared" ref="BS63" si="63">-SUMPRODUCT($M$2:$M$9,$N$2:$N$9)-SUMPRODUCT($M$11:$M$12,$N$11:$N$12)</f>
        <v>-120000</v>
      </c>
      <c r="BT63" s="8" t="e">
        <f t="shared" ref="BT63" si="64">IF(BQ63&lt;&gt;BQ64,MMULT(MINVERSE(BQ63:BR64),BS63:BS64)," ")</f>
        <v>#VALUE!</v>
      </c>
      <c r="BU63" s="8" t="str">
        <f t="shared" ref="BU63" si="65">IFERROR(IF(BT63-VLOOKUP(BQ$38,$A$2:$N$12,14,FALSE)&lt;0,BT63-VLOOKUP(BQ$38,$A$2:$N$12,14,FALSE)," ")," ")</f>
        <v xml:space="preserve"> </v>
      </c>
      <c r="BV63" s="8" t="str">
        <f t="shared" ref="BV63" si="66">IFERROR(IF(BT63-VLOOKUP(BQ$38,$A$2:$N$12,14,FALSE)&gt;0,BT63-VLOOKUP(BQ$38,$A$2:$N$12,14,FALSE)," ")," ")</f>
        <v xml:space="preserve"> </v>
      </c>
      <c r="BW63" s="8">
        <f t="shared" ref="BW63" si="67">$M$11</f>
        <v>0</v>
      </c>
      <c r="BX63" s="8">
        <v>-1</v>
      </c>
      <c r="BY63" s="8">
        <f t="shared" ref="BY63" si="68">-SUMPRODUCT($M$2:$M$10,$N$2:$N$10)-SUMPRODUCT($M$12,$N$12)</f>
        <v>-120000</v>
      </c>
      <c r="BZ63" s="8" t="e">
        <f t="shared" ref="BZ63" si="69">IF(BW63&lt;&gt;BW64,MMULT(MINVERSE(BW63:BX64),BY63:BY64)," ")</f>
        <v>#VALUE!</v>
      </c>
      <c r="CA63" s="8" t="str">
        <f t="shared" ref="CA63" si="70">IFERROR(IF(BZ63-VLOOKUP(BW$38,$A$2:$N$12,14,FALSE)&lt;0,BZ63-VLOOKUP(BW$38,$A$2:$N$12,14,FALSE)," ")," ")</f>
        <v xml:space="preserve"> </v>
      </c>
      <c r="CB63" s="8" t="str">
        <f t="shared" ref="CB63" si="71">IFERROR(IF(BZ63-VLOOKUP(BW$38,$A$2:$N$12,14,FALSE)&gt;0,BZ63-VLOOKUP(BW$38,$A$2:$N$12,14,FALSE)," ")," ")</f>
        <v xml:space="preserve"> </v>
      </c>
      <c r="CC63" s="8">
        <f t="shared" ref="CC63" si="72">$M$12</f>
        <v>0</v>
      </c>
      <c r="CD63" s="8">
        <v>-1</v>
      </c>
      <c r="CE63" s="8">
        <f t="shared" ref="CE63" si="73">-SUMPRODUCT($M$2:$M$11,$N$2:$N$11)</f>
        <v>-120000</v>
      </c>
      <c r="CF63" s="8" t="e">
        <f t="shared" ref="CF63" si="74">IF(CC63&lt;&gt;CC64,MMULT(MINVERSE(CC63:CD64),CE63:CE64)," ")</f>
        <v>#VALUE!</v>
      </c>
      <c r="CG63" s="8" t="str">
        <f t="shared" ref="CG63" si="75">IFERROR(IF(CF63-VLOOKUP(CC$38,$A$2:$N$12,14,FALSE)&lt;0,CF63-VLOOKUP(CC$38,$A$2:$N$12,14,FALSE)," ")," ")</f>
        <v xml:space="preserve"> </v>
      </c>
      <c r="CH63" s="8" t="str">
        <f t="shared" ref="CH63" si="76">IFERROR(IF(CF63-VLOOKUP(CC$38,$A$2:$N$12,14,FALSE)&gt;0,CF63-VLOOKUP(CC$38,$A$2:$N$12,14,FALSE)," ")," ")</f>
        <v xml:space="preserve"> </v>
      </c>
    </row>
    <row r="64" spans="1:86" s="8" customFormat="1" x14ac:dyDescent="0.2">
      <c r="A64" s="8" t="str">
        <f>IF(AND(COUNTIF(W$3:W$13,A$16)&gt;0,A$16&lt;&gt;B38),A$16,IFERROR(IF(MATCH(A$16,Z$3:Z$13,0)=2,A$16," ")," "))</f>
        <v>C2</v>
      </c>
      <c r="B64" s="8">
        <f>IF(A64=" "," ",MAX(B63:B63)+1)</f>
        <v>1</v>
      </c>
      <c r="C64" s="8" t="str">
        <f>IFERROR(INDEX(A63:A84,MATCH(SMALL(B63:B84,2),B63:B84,0),1)," ")</f>
        <v>C4</v>
      </c>
      <c r="D64" s="8">
        <f t="shared" ref="D64:D73" si="77">IFERROR(VLOOKUP($C64,$A$15:$O$36,2,FALSE)," ")</f>
        <v>1</v>
      </c>
      <c r="E64" s="8">
        <f t="shared" ref="E64:E73" si="78">IFERROR(VLOOKUP($C64,$A$15:$O$36,3,FALSE)," ")</f>
        <v>0</v>
      </c>
      <c r="F64" s="8">
        <f t="shared" ref="F64:F73" si="79">IFERROR(VLOOKUP($C64,$A$15:$O$36,4,FALSE)," ")</f>
        <v>1</v>
      </c>
      <c r="G64" s="8">
        <f t="shared" ref="G64:G73" si="80">IFERROR(VLOOKUP($C64,$A$15:$O$36,5,FALSE)," ")</f>
        <v>0</v>
      </c>
      <c r="H64" s="8">
        <f t="shared" ref="H64:H73" si="81">IFERROR(VLOOKUP($C64,$A$15:$O$36,6,FALSE)," ")</f>
        <v>0</v>
      </c>
      <c r="I64" s="8">
        <f t="shared" ref="I64:I73" si="82">IFERROR(VLOOKUP($C64,$A$15:$O$36,7,FALSE)," ")</f>
        <v>0</v>
      </c>
      <c r="J64" s="8">
        <f t="shared" ref="J64:J73" si="83">IFERROR(VLOOKUP($C64,$A$15:$O$36,8,FALSE)," ")</f>
        <v>0</v>
      </c>
      <c r="K64" s="8">
        <f t="shared" ref="K64:K73" si="84">IFERROR(VLOOKUP($C64,$A$15:$O$36,9,FALSE)," ")</f>
        <v>0</v>
      </c>
      <c r="L64" s="8">
        <f t="shared" ref="L64:L73" si="85">IFERROR(VLOOKUP($C64,$A$15:$O$36,10,FALSE)," ")</f>
        <v>0</v>
      </c>
      <c r="M64" s="8">
        <f t="shared" ref="M64:M73" si="86">IFERROR(VLOOKUP($C64,$A$15:$O$36,11,FALSE)," ")</f>
        <v>0</v>
      </c>
      <c r="N64" s="8">
        <f t="shared" ref="N64:N73" si="87">IFERROR(VLOOKUP($C64,$A$15:$O$36,12,FALSE)," ")</f>
        <v>0</v>
      </c>
      <c r="O64" s="8">
        <f t="shared" ref="O64:O73" si="88">IFERROR(VLOOKUP($C64,$A$15:$O$36,15,FALSE)," ")</f>
        <v>400</v>
      </c>
      <c r="P64" s="8">
        <v>0</v>
      </c>
      <c r="Q64" s="8" t="str">
        <f t="shared" ref="Q64" si="89">IF(COUNTIF(P63:P73,"&lt;"&amp;-0.001)=0,IF(ABS(P64)&lt;0.001,0,P64)," ")</f>
        <v xml:space="preserve"> </v>
      </c>
      <c r="T64" s="18"/>
      <c r="U64" s="8" t="str">
        <f t="shared" ref="U64" si="90">$Q63</f>
        <v xml:space="preserve"> </v>
      </c>
      <c r="V64" s="8">
        <v>-1</v>
      </c>
      <c r="W64" s="8">
        <f t="shared" ref="W64" si="91">-SUMPRODUCT($Q64:$Q73,$N$3:$N$12)</f>
        <v>0</v>
      </c>
      <c r="AA64" s="8" t="str">
        <f t="shared" ref="AA64" si="92">$Q64</f>
        <v xml:space="preserve"> </v>
      </c>
      <c r="AB64" s="32">
        <v>-1</v>
      </c>
      <c r="AC64" s="8" t="e">
        <f t="shared" ref="AC64" si="93">-SUMPRODUCT($Q63:$Q63,$N$2:$N$2)-SUMPRODUCT($Q65:$Q73,$N$4:$N$12)</f>
        <v>#VALUE!</v>
      </c>
      <c r="AG64" s="8" t="str">
        <f t="shared" ref="AG64" si="94">$Q65</f>
        <v xml:space="preserve"> </v>
      </c>
      <c r="AH64" s="8">
        <v>-1</v>
      </c>
      <c r="AI64" s="8">
        <f t="shared" ref="AI64" si="95">-SUMPRODUCT($Q63:$Q64,$N$2:$N$3)-SUMPRODUCT($Q66:$Q73,$N$5:$N$12)</f>
        <v>0</v>
      </c>
      <c r="AM64" s="8" t="str">
        <f t="shared" ref="AM64" si="96">$Q66</f>
        <v xml:space="preserve"> </v>
      </c>
      <c r="AN64" s="8">
        <v>-1</v>
      </c>
      <c r="AO64" s="8">
        <f t="shared" ref="AO64" si="97">-SUMPRODUCT($Q63:$Q65,$N$2:$N$4)-SUMPRODUCT($Q67:$Q73,$N$6:$N$12)</f>
        <v>0</v>
      </c>
      <c r="AS64" s="8" t="str">
        <f t="shared" ref="AS64" si="98">$Q67</f>
        <v xml:space="preserve"> </v>
      </c>
      <c r="AT64" s="8">
        <v>-1</v>
      </c>
      <c r="AU64" s="8">
        <f t="shared" ref="AU64" si="99">-SUMPRODUCT($Q63:$Q66,$N$2:$N$5)-SUMPRODUCT($Q68:$Q73,$N$7:$N$12)</f>
        <v>0</v>
      </c>
      <c r="AY64" s="8" t="str">
        <f t="shared" ref="AY64" si="100">$Q68</f>
        <v xml:space="preserve"> </v>
      </c>
      <c r="AZ64" s="8">
        <v>-1</v>
      </c>
      <c r="BA64" s="8">
        <f t="shared" ref="BA64" si="101">-SUMPRODUCT($Q63:$Q67,$N$2:$N$6)-SUMPRODUCT($Q69:$Q73,$N$8:$N$12)</f>
        <v>0</v>
      </c>
      <c r="BE64" s="8" t="str">
        <f t="shared" ref="BE64" si="102">$Q69</f>
        <v xml:space="preserve"> </v>
      </c>
      <c r="BF64" s="8">
        <v>-1</v>
      </c>
      <c r="BG64" s="8">
        <f t="shared" ref="BG64" si="103">-SUMPRODUCT($Q63:$Q68,$N$2:$N$7)-SUMPRODUCT($Q70:$Q73,$N$9:$N$12)</f>
        <v>0</v>
      </c>
      <c r="BK64" s="8" t="str">
        <f t="shared" ref="BK64" si="104">$Q70</f>
        <v xml:space="preserve"> </v>
      </c>
      <c r="BL64" s="8">
        <v>-1</v>
      </c>
      <c r="BM64" s="8">
        <f t="shared" ref="BM64" si="105">-SUMPRODUCT($Q63:$Q69,$N$2:$N$8)-SUMPRODUCT($Q71:$Q73,$N$10:$N$12)</f>
        <v>0</v>
      </c>
      <c r="BQ64" s="8" t="str">
        <f t="shared" ref="BQ64" si="106">$Q71</f>
        <v xml:space="preserve"> </v>
      </c>
      <c r="BR64" s="8">
        <v>-1</v>
      </c>
      <c r="BS64" s="8">
        <f t="shared" ref="BS64" si="107">-SUMPRODUCT($Q63:$Q70,$N$2:$N$9)-SUMPRODUCT($Q72:$Q73,$N$11:$N$12)</f>
        <v>0</v>
      </c>
      <c r="BW64" s="8" t="str">
        <f t="shared" ref="BW64" si="108">$Q72</f>
        <v xml:space="preserve"> </v>
      </c>
      <c r="BX64" s="8">
        <v>-1</v>
      </c>
      <c r="BY64" s="8" t="e">
        <f t="shared" ref="BY64" si="109">-SUMPRODUCT($Q63:$Q71,$N$2:$N$10)-SUMPRODUCT($Q73,$N$12)</f>
        <v>#VALUE!</v>
      </c>
      <c r="CC64" s="8" t="str">
        <f t="shared" ref="CC64" si="110">$Q73</f>
        <v xml:space="preserve"> </v>
      </c>
      <c r="CD64" s="8">
        <v>-1</v>
      </c>
      <c r="CE64" s="8">
        <f t="shared" ref="CE64" si="111">-SUMPRODUCT($Q63:$Q72,$N$2:$N$11)</f>
        <v>0</v>
      </c>
    </row>
    <row r="65" spans="1:86" s="8" customFormat="1" x14ac:dyDescent="0.2">
      <c r="A65" s="8" t="str">
        <f>IF(AND(COUNTIF(W$3:W$13,A$17)&gt;0,A$17&lt;&gt;B38),A$17,IFERROR(IF(MATCH(A$17,Z$3:Z$13,0)=2,A$17," ")," "))</f>
        <v xml:space="preserve"> </v>
      </c>
      <c r="B65" s="8" t="str">
        <f>IF(A65=" "," ",MAX(B63:B64)+1)</f>
        <v xml:space="preserve"> </v>
      </c>
      <c r="C65" s="8" t="str">
        <f>IFERROR(INDEX(A63:A84,MATCH(SMALL(B63:B84,3),B63:B84,0),1)," ")</f>
        <v>C13</v>
      </c>
      <c r="D65" s="8">
        <f t="shared" si="77"/>
        <v>0</v>
      </c>
      <c r="E65" s="8">
        <f t="shared" si="78"/>
        <v>1</v>
      </c>
      <c r="F65" s="8">
        <f t="shared" si="79"/>
        <v>0</v>
      </c>
      <c r="G65" s="8">
        <f t="shared" si="80"/>
        <v>0</v>
      </c>
      <c r="H65" s="8">
        <f t="shared" si="81"/>
        <v>0</v>
      </c>
      <c r="I65" s="8">
        <f t="shared" si="82"/>
        <v>0</v>
      </c>
      <c r="J65" s="8">
        <f t="shared" si="83"/>
        <v>0</v>
      </c>
      <c r="K65" s="8">
        <f t="shared" si="84"/>
        <v>0</v>
      </c>
      <c r="L65" s="8">
        <f t="shared" si="85"/>
        <v>0</v>
      </c>
      <c r="M65" s="8">
        <f t="shared" si="86"/>
        <v>0</v>
      </c>
      <c r="N65" s="8">
        <f t="shared" si="87"/>
        <v>0</v>
      </c>
      <c r="O65" s="8">
        <f t="shared" si="88"/>
        <v>0</v>
      </c>
      <c r="P65" s="8">
        <v>600</v>
      </c>
      <c r="Q65" s="8" t="str">
        <f t="shared" ref="Q65" si="112">IF(COUNTIF(P63:P73,"&lt;"&amp;-0.001)=0,IF(ABS(P65)&lt;0.001,0,P65)," ")</f>
        <v xml:space="preserve"> </v>
      </c>
      <c r="T65" s="18"/>
      <c r="AB65" s="32"/>
    </row>
    <row r="66" spans="1:86" s="8" customFormat="1" x14ac:dyDescent="0.2">
      <c r="A66" s="8" t="str">
        <f>IF(AND(COUNTIF(W$3:W$13,A$18)&gt;0,A$18&lt;&gt;B38),A$18,IFERROR(IF(MATCH(A$18,Z$3:Z$13,0)=2,A$18," ")," "))</f>
        <v>C4</v>
      </c>
      <c r="B66" s="8">
        <f>IF(A66=" "," ",MAX(B63:B65)+1)</f>
        <v>2</v>
      </c>
      <c r="C66" s="8" t="str">
        <f>IFERROR(INDEX(A63:A84,MATCH(SMALL(B63:B84,4),B63:B84,0),1)," ")</f>
        <v>C15</v>
      </c>
      <c r="D66" s="8">
        <f t="shared" si="77"/>
        <v>0</v>
      </c>
      <c r="E66" s="8">
        <f t="shared" si="78"/>
        <v>0</v>
      </c>
      <c r="F66" s="8">
        <f t="shared" si="79"/>
        <v>0</v>
      </c>
      <c r="G66" s="8">
        <f t="shared" si="80"/>
        <v>1</v>
      </c>
      <c r="H66" s="8">
        <f t="shared" si="81"/>
        <v>0</v>
      </c>
      <c r="I66" s="8">
        <f t="shared" si="82"/>
        <v>0</v>
      </c>
      <c r="J66" s="8">
        <f t="shared" si="83"/>
        <v>0</v>
      </c>
      <c r="K66" s="8">
        <f t="shared" si="84"/>
        <v>0</v>
      </c>
      <c r="L66" s="8">
        <f t="shared" si="85"/>
        <v>0</v>
      </c>
      <c r="M66" s="8">
        <f t="shared" si="86"/>
        <v>0</v>
      </c>
      <c r="N66" s="8">
        <f t="shared" si="87"/>
        <v>0</v>
      </c>
      <c r="O66" s="8">
        <f t="shared" si="88"/>
        <v>0</v>
      </c>
      <c r="P66" s="8">
        <v>0</v>
      </c>
      <c r="Q66" s="8" t="str">
        <f t="shared" ref="Q66" si="113">IF(COUNTIF(P63:P73,"&lt;"&amp;-0.001)=0,IF(ABS(P66)&lt;0.001,0,P66)," ")</f>
        <v xml:space="preserve"> </v>
      </c>
      <c r="T66" s="18"/>
      <c r="AB66" s="32"/>
    </row>
    <row r="67" spans="1:86" s="8" customFormat="1" x14ac:dyDescent="0.2">
      <c r="A67" s="8" t="str">
        <f>IF(AND(COUNTIF(W$3:W$13,A$19)&gt;0,A$19&lt;&gt;B38),A$19,IFERROR(IF(MATCH(A$19,Z$3:Z$13,0)=2,A$19," ")," "))</f>
        <v xml:space="preserve"> </v>
      </c>
      <c r="B67" s="8" t="str">
        <f>IF(A67=" "," ",MAX(B63:B66)+1)</f>
        <v xml:space="preserve"> </v>
      </c>
      <c r="C67" s="8" t="str">
        <f>IFERROR(INDEX(A63:A84,MATCH(SMALL(B63:B84,5),B63:B84,0),1)," ")</f>
        <v>C16</v>
      </c>
      <c r="D67" s="8">
        <f t="shared" si="77"/>
        <v>0</v>
      </c>
      <c r="E67" s="8">
        <f t="shared" si="78"/>
        <v>0</v>
      </c>
      <c r="F67" s="8">
        <f t="shared" si="79"/>
        <v>0</v>
      </c>
      <c r="G67" s="8">
        <f t="shared" si="80"/>
        <v>0</v>
      </c>
      <c r="H67" s="8">
        <f t="shared" si="81"/>
        <v>1</v>
      </c>
      <c r="I67" s="8">
        <f t="shared" si="82"/>
        <v>0</v>
      </c>
      <c r="J67" s="8">
        <f t="shared" si="83"/>
        <v>0</v>
      </c>
      <c r="K67" s="8">
        <f t="shared" si="84"/>
        <v>0</v>
      </c>
      <c r="L67" s="8">
        <f t="shared" si="85"/>
        <v>0</v>
      </c>
      <c r="M67" s="8">
        <f t="shared" si="86"/>
        <v>0</v>
      </c>
      <c r="N67" s="8">
        <f t="shared" si="87"/>
        <v>0</v>
      </c>
      <c r="O67" s="8">
        <f t="shared" si="88"/>
        <v>0</v>
      </c>
      <c r="P67" s="8">
        <v>0</v>
      </c>
      <c r="Q67" s="8" t="str">
        <f t="shared" ref="Q67" si="114">IF(COUNTIF(P63:P73,"&lt;"&amp;-0.001)=0,IF(ABS(P67)&lt;0.001,0,P67)," ")</f>
        <v xml:space="preserve"> </v>
      </c>
      <c r="T67" s="18"/>
      <c r="AB67" s="32"/>
    </row>
    <row r="68" spans="1:86" s="8" customFormat="1" x14ac:dyDescent="0.2">
      <c r="A68" s="8" t="str">
        <f>IF(AND(COUNTIF(W$3:W$13,A$20)&gt;0,A$20&lt;&gt;B38),A$20,IFERROR(IF(MATCH(A$20,Z$3:Z$13,0)=2,A$20," ")," "))</f>
        <v xml:space="preserve"> </v>
      </c>
      <c r="B68" s="8" t="str">
        <f>IF(A68=" "," ",MAX(B63:B67)+1)</f>
        <v xml:space="preserve"> </v>
      </c>
      <c r="C68" s="8" t="str">
        <f>IFERROR(INDEX(A63:A84,MATCH(SMALL(B63:B84,6),B63:B84,0),1)," ")</f>
        <v>C17</v>
      </c>
      <c r="D68" s="8">
        <f t="shared" si="77"/>
        <v>0</v>
      </c>
      <c r="E68" s="8">
        <f t="shared" si="78"/>
        <v>0</v>
      </c>
      <c r="F68" s="8">
        <f t="shared" si="79"/>
        <v>0</v>
      </c>
      <c r="G68" s="8">
        <f t="shared" si="80"/>
        <v>0</v>
      </c>
      <c r="H68" s="8">
        <f t="shared" si="81"/>
        <v>0</v>
      </c>
      <c r="I68" s="8">
        <f t="shared" si="82"/>
        <v>1</v>
      </c>
      <c r="J68" s="8">
        <f t="shared" si="83"/>
        <v>0</v>
      </c>
      <c r="K68" s="8">
        <f t="shared" si="84"/>
        <v>0</v>
      </c>
      <c r="L68" s="8">
        <f t="shared" si="85"/>
        <v>0</v>
      </c>
      <c r="M68" s="8">
        <f t="shared" si="86"/>
        <v>0</v>
      </c>
      <c r="N68" s="8">
        <f t="shared" si="87"/>
        <v>0</v>
      </c>
      <c r="O68" s="8">
        <f t="shared" si="88"/>
        <v>0</v>
      </c>
      <c r="P68" s="8">
        <v>0</v>
      </c>
      <c r="Q68" s="8" t="str">
        <f t="shared" ref="Q68" si="115">IF(COUNTIF(P63:P73,"&lt;"&amp;-0.001)=0,IF(ABS(P68)&lt;0.001,0,P68)," ")</f>
        <v xml:space="preserve"> </v>
      </c>
      <c r="T68" s="18"/>
      <c r="AB68" s="32"/>
    </row>
    <row r="69" spans="1:86" s="8" customFormat="1" x14ac:dyDescent="0.2">
      <c r="A69" s="8" t="str">
        <f>IF(AND(COUNTIF(W$3:W$13,A$21)&gt;0,A$21&lt;&gt;B38),A$21,IFERROR(IF(MATCH(A$21,Z$3:Z$13,0)=2,A$21," ")," "))</f>
        <v xml:space="preserve"> </v>
      </c>
      <c r="B69" s="8" t="str">
        <f>IF(A69=" "," ",MAX(B63:B68)+1)</f>
        <v xml:space="preserve"> </v>
      </c>
      <c r="C69" s="8" t="str">
        <f>IFERROR(INDEX(A63:A84,MATCH(SMALL(B63:B84,7),B63:B84,0),1)," ")</f>
        <v>C18</v>
      </c>
      <c r="D69" s="8">
        <f t="shared" si="77"/>
        <v>0</v>
      </c>
      <c r="E69" s="8">
        <f t="shared" si="78"/>
        <v>0</v>
      </c>
      <c r="F69" s="8">
        <f t="shared" si="79"/>
        <v>0</v>
      </c>
      <c r="G69" s="8">
        <f t="shared" si="80"/>
        <v>0</v>
      </c>
      <c r="H69" s="8">
        <f t="shared" si="81"/>
        <v>0</v>
      </c>
      <c r="I69" s="8">
        <f t="shared" si="82"/>
        <v>0</v>
      </c>
      <c r="J69" s="8">
        <f t="shared" si="83"/>
        <v>1</v>
      </c>
      <c r="K69" s="8">
        <f t="shared" si="84"/>
        <v>0</v>
      </c>
      <c r="L69" s="8">
        <f t="shared" si="85"/>
        <v>0</v>
      </c>
      <c r="M69" s="8">
        <f t="shared" si="86"/>
        <v>0</v>
      </c>
      <c r="N69" s="8">
        <f t="shared" si="87"/>
        <v>0</v>
      </c>
      <c r="O69" s="8">
        <f t="shared" si="88"/>
        <v>0</v>
      </c>
      <c r="P69" s="8">
        <v>0</v>
      </c>
      <c r="Q69" s="8" t="str">
        <f t="shared" ref="Q69" si="116">IF(COUNTIF(P63:P73,"&lt;"&amp;-0.001)=0,IF(ABS(P69)&lt;0.001,0,P69)," ")</f>
        <v xml:space="preserve"> </v>
      </c>
      <c r="T69" s="18"/>
      <c r="AB69" s="32"/>
    </row>
    <row r="70" spans="1:86" s="8" customFormat="1" x14ac:dyDescent="0.2">
      <c r="A70" s="8" t="str">
        <f>IF(AND(COUNTIF(W$3:W$13,A$22)&gt;0,A$22&lt;&gt;B38),A$22,IFERROR(IF(MATCH(A$22,Z$3:Z$13,0)=2,A$22," ")," "))</f>
        <v xml:space="preserve"> </v>
      </c>
      <c r="B70" s="8" t="str">
        <f>IF(A70=" "," ",MAX(B63:B69)+1)</f>
        <v xml:space="preserve"> </v>
      </c>
      <c r="C70" s="8" t="str">
        <f>IFERROR(INDEX(A63:A84,MATCH(SMALL(B63:B84,8),B63:B84,0),1)," ")</f>
        <v>C19</v>
      </c>
      <c r="D70" s="8">
        <f t="shared" si="77"/>
        <v>0</v>
      </c>
      <c r="E70" s="8">
        <f t="shared" si="78"/>
        <v>0</v>
      </c>
      <c r="F70" s="8">
        <f t="shared" si="79"/>
        <v>0</v>
      </c>
      <c r="G70" s="8">
        <f t="shared" si="80"/>
        <v>0</v>
      </c>
      <c r="H70" s="8">
        <f t="shared" si="81"/>
        <v>0</v>
      </c>
      <c r="I70" s="8">
        <f t="shared" si="82"/>
        <v>0</v>
      </c>
      <c r="J70" s="8">
        <f t="shared" si="83"/>
        <v>0</v>
      </c>
      <c r="K70" s="8">
        <f t="shared" si="84"/>
        <v>1</v>
      </c>
      <c r="L70" s="8">
        <f t="shared" si="85"/>
        <v>0</v>
      </c>
      <c r="M70" s="8">
        <f t="shared" si="86"/>
        <v>0</v>
      </c>
      <c r="N70" s="8">
        <f t="shared" si="87"/>
        <v>0</v>
      </c>
      <c r="O70" s="8">
        <f t="shared" si="88"/>
        <v>0</v>
      </c>
      <c r="P70" s="8">
        <v>0</v>
      </c>
      <c r="Q70" s="8" t="str">
        <f t="shared" ref="Q70" si="117">IF(COUNTIF(P63:P73,"&lt;"&amp;-0.001)=0,IF(ABS(P70)&lt;0.001,0,P70)," ")</f>
        <v xml:space="preserve"> </v>
      </c>
      <c r="T70" s="18"/>
      <c r="AB70" s="32"/>
    </row>
    <row r="71" spans="1:86" s="12" customFormat="1" x14ac:dyDescent="0.2">
      <c r="A71" s="8" t="str">
        <f>IF(AND(COUNTIF(W$3:W$13,A$23)&gt;0,A$23&lt;&gt;B38),A$23,IFERROR(IF(MATCH(A$23,Z$3:Z$13,0)=2,A$23," ")," "))</f>
        <v xml:space="preserve"> </v>
      </c>
      <c r="B71" s="8" t="str">
        <f>IF(A71=" "," ",MAX(B63:B70)+1)</f>
        <v xml:space="preserve"> </v>
      </c>
      <c r="C71" s="8" t="str">
        <f>IFERROR(INDEX(A63:A84,MATCH(SMALL(B63:B84,9),B63:B84,0),1)," ")</f>
        <v>C20</v>
      </c>
      <c r="D71" s="8">
        <f t="shared" si="77"/>
        <v>0</v>
      </c>
      <c r="E71" s="8">
        <f t="shared" si="78"/>
        <v>0</v>
      </c>
      <c r="F71" s="8">
        <f t="shared" si="79"/>
        <v>0</v>
      </c>
      <c r="G71" s="8">
        <f t="shared" si="80"/>
        <v>0</v>
      </c>
      <c r="H71" s="8">
        <f t="shared" si="81"/>
        <v>0</v>
      </c>
      <c r="I71" s="8">
        <f t="shared" si="82"/>
        <v>0</v>
      </c>
      <c r="J71" s="8">
        <f t="shared" si="83"/>
        <v>0</v>
      </c>
      <c r="K71" s="8">
        <f t="shared" si="84"/>
        <v>0</v>
      </c>
      <c r="L71" s="8">
        <f t="shared" si="85"/>
        <v>1</v>
      </c>
      <c r="M71" s="8">
        <f t="shared" si="86"/>
        <v>0</v>
      </c>
      <c r="N71" s="8">
        <f t="shared" si="87"/>
        <v>0</v>
      </c>
      <c r="O71" s="8">
        <f t="shared" si="88"/>
        <v>0</v>
      </c>
      <c r="P71" s="6">
        <v>0</v>
      </c>
      <c r="Q71" s="8" t="str">
        <f t="shared" ref="Q71" si="118">IF(COUNTIF(P63:P73,"&lt;"&amp;-0.001)=0,IF(ABS(P71)&lt;0.001,0,P71)," ")</f>
        <v xml:space="preserve"> </v>
      </c>
      <c r="T71" s="21"/>
      <c r="U71" s="8"/>
      <c r="V71" s="8"/>
      <c r="W71" s="8"/>
      <c r="X71" s="8"/>
      <c r="Y71" s="8"/>
      <c r="Z71" s="8"/>
      <c r="AA71" s="8"/>
      <c r="AB71" s="32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/>
      <c r="BB71" s="8"/>
      <c r="BC71" s="8"/>
      <c r="BD71" s="8"/>
      <c r="BE71" s="8"/>
      <c r="BF71" s="8"/>
      <c r="BG71" s="8"/>
      <c r="BH71" s="8"/>
      <c r="BI71" s="8"/>
      <c r="BJ71" s="8"/>
      <c r="BK71" s="8"/>
      <c r="BL71" s="8"/>
      <c r="BM71" s="8"/>
      <c r="BN71" s="8"/>
      <c r="BO71" s="8"/>
      <c r="BP71" s="8"/>
      <c r="BQ71" s="8"/>
      <c r="BR71" s="8"/>
      <c r="BS71" s="8"/>
      <c r="BT71" s="8"/>
      <c r="BU71" s="8"/>
      <c r="BV71" s="8"/>
      <c r="BW71" s="8"/>
      <c r="BX71" s="8"/>
      <c r="BY71" s="8"/>
      <c r="BZ71" s="8"/>
      <c r="CA71" s="8"/>
      <c r="CB71" s="8"/>
      <c r="CC71" s="8"/>
      <c r="CD71" s="8"/>
      <c r="CE71" s="8"/>
      <c r="CF71" s="8"/>
      <c r="CG71" s="8"/>
      <c r="CH71" s="8"/>
    </row>
    <row r="72" spans="1:86" s="8" customFormat="1" x14ac:dyDescent="0.2">
      <c r="A72" s="8" t="str">
        <f>IF(AND(COUNTIF(W$3:W$13,A$24)&gt;0,A$24&lt;&gt;B38),A$24,IFERROR(IF(MATCH(A$24,Z$3:Z$13,0)=2,A$24," ")," "))</f>
        <v xml:space="preserve"> </v>
      </c>
      <c r="B72" s="8" t="str">
        <f>IF(A72=" "," ",MAX(B63:B71)+1)</f>
        <v xml:space="preserve"> </v>
      </c>
      <c r="C72" s="8" t="str">
        <f>IFERROR(INDEX(A63:A84,MATCH(SMALL(B63:B84,10),B63:B84,0),1)," ")</f>
        <v>C21</v>
      </c>
      <c r="D72" s="8">
        <f t="shared" si="77"/>
        <v>0</v>
      </c>
      <c r="E72" s="8">
        <f t="shared" si="78"/>
        <v>0</v>
      </c>
      <c r="F72" s="8">
        <f t="shared" si="79"/>
        <v>0</v>
      </c>
      <c r="G72" s="8">
        <f t="shared" si="80"/>
        <v>0</v>
      </c>
      <c r="H72" s="8">
        <f t="shared" si="81"/>
        <v>0</v>
      </c>
      <c r="I72" s="8">
        <f t="shared" si="82"/>
        <v>0</v>
      </c>
      <c r="J72" s="8">
        <f t="shared" si="83"/>
        <v>0</v>
      </c>
      <c r="K72" s="8">
        <f t="shared" si="84"/>
        <v>0</v>
      </c>
      <c r="L72" s="8">
        <f t="shared" si="85"/>
        <v>0</v>
      </c>
      <c r="M72" s="8">
        <f t="shared" si="86"/>
        <v>1</v>
      </c>
      <c r="N72" s="8">
        <f t="shared" si="87"/>
        <v>0</v>
      </c>
      <c r="O72" s="8">
        <f t="shared" si="88"/>
        <v>0</v>
      </c>
      <c r="P72" s="8">
        <v>0</v>
      </c>
      <c r="Q72" s="8" t="str">
        <f t="shared" ref="Q72" si="119">IF(COUNTIF(P63:P73,"&lt;"&amp;-0.001)=0,IF(ABS(P72)&lt;0.001,0,P72)," ")</f>
        <v xml:space="preserve"> </v>
      </c>
      <c r="T72" s="18"/>
      <c r="AB72" s="32"/>
    </row>
    <row r="73" spans="1:86" s="8" customFormat="1" x14ac:dyDescent="0.2">
      <c r="A73" s="8" t="str">
        <f>IF(AND(COUNTIF(W$3:W$13,A$25)&gt;0,A$25&lt;&gt;B38),A$25,IFERROR(IF(MATCH(A$25,Z$3:Z$13,0)=2,A$25," ")," "))</f>
        <v xml:space="preserve"> </v>
      </c>
      <c r="B73" s="8" t="str">
        <f>IF(A73=" "," ",MAX(B63:B72)+1)</f>
        <v xml:space="preserve"> </v>
      </c>
      <c r="C73" s="8" t="str">
        <f>IFERROR(INDEX(A63:A84,MATCH(SMALL(B63:B84,11),B63:B84,0),1)," ")</f>
        <v>C22</v>
      </c>
      <c r="D73" s="8">
        <f t="shared" si="77"/>
        <v>0</v>
      </c>
      <c r="E73" s="8">
        <f t="shared" si="78"/>
        <v>0</v>
      </c>
      <c r="F73" s="8">
        <f t="shared" si="79"/>
        <v>0</v>
      </c>
      <c r="G73" s="8">
        <f t="shared" si="80"/>
        <v>0</v>
      </c>
      <c r="H73" s="8">
        <f t="shared" si="81"/>
        <v>0</v>
      </c>
      <c r="I73" s="8">
        <f t="shared" si="82"/>
        <v>0</v>
      </c>
      <c r="J73" s="8">
        <f t="shared" si="83"/>
        <v>0</v>
      </c>
      <c r="K73" s="8">
        <f t="shared" si="84"/>
        <v>0</v>
      </c>
      <c r="L73" s="8">
        <f t="shared" si="85"/>
        <v>0</v>
      </c>
      <c r="M73" s="8">
        <f t="shared" si="86"/>
        <v>0</v>
      </c>
      <c r="N73" s="8">
        <f t="shared" si="87"/>
        <v>1</v>
      </c>
      <c r="O73" s="8">
        <f t="shared" si="88"/>
        <v>0</v>
      </c>
      <c r="P73" s="8">
        <v>0</v>
      </c>
      <c r="Q73" s="8" t="str">
        <f t="shared" ref="Q73" si="120">IF(COUNTIF(P63:P73,"&lt;"&amp;-0.001)=0,IF(ABS(P73)&lt;0.001,0,P73)," ")</f>
        <v xml:space="preserve"> </v>
      </c>
      <c r="T73" s="18"/>
      <c r="AB73" s="32"/>
    </row>
    <row r="74" spans="1:86" s="8" customFormat="1" x14ac:dyDescent="0.2">
      <c r="A74" s="8" t="str">
        <f>IF(AND(COUNTIF(W$3:W$13,A$26)&gt;0,A$26&lt;&gt;B38),A$26,IFERROR(IF(MATCH(A$26,Z$3:Z$13,0)=2,A$26," ")," "))</f>
        <v xml:space="preserve"> </v>
      </c>
      <c r="B74" s="8" t="str">
        <f>IF(A74=" "," ",MAX(B63:B73)+1)</f>
        <v xml:space="preserve"> </v>
      </c>
      <c r="T74" s="18"/>
      <c r="AB74" s="32"/>
    </row>
    <row r="75" spans="1:86" s="8" customFormat="1" x14ac:dyDescent="0.2">
      <c r="A75" s="8" t="str">
        <f>IF(AND(COUNTIF(W$3:W$13,A$27)&gt;0,A$27&lt;&gt;B38),A$27,IFERROR(IF(MATCH(A$27,Z$3:Z$13,0)=2,A$27," ")," "))</f>
        <v>C13</v>
      </c>
      <c r="B75" s="8">
        <f>IF(A75=" "," ",MAX(B63:B74)+1)</f>
        <v>3</v>
      </c>
      <c r="T75" s="18"/>
      <c r="AB75" s="32"/>
    </row>
    <row r="76" spans="1:86" s="8" customFormat="1" x14ac:dyDescent="0.2">
      <c r="A76" s="8" t="str">
        <f>IF(AND(COUNTIF(W$3:W$13,A$28)&gt;0,A$28&lt;&gt;B38),A$28,IFERROR(IF(MATCH(A$28,Z$3:Z$13,0)=2,A$28," ")," "))</f>
        <v xml:space="preserve"> </v>
      </c>
      <c r="B76" s="8" t="str">
        <f>IF(A76=" "," ",MAX(B63:B75)+1)</f>
        <v xml:space="preserve"> </v>
      </c>
      <c r="T76" s="18"/>
      <c r="AB76" s="32"/>
    </row>
    <row r="77" spans="1:86" s="8" customFormat="1" x14ac:dyDescent="0.2">
      <c r="A77" s="8" t="str">
        <f>IF(AND(COUNTIF(W$3:W$13,A$29)&gt;0,A$29&lt;&gt;B38),A$29,IFERROR(IF(MATCH(A$29,Z$3:Z$13,0)=2,A$29," ")," "))</f>
        <v>C15</v>
      </c>
      <c r="B77" s="8">
        <f>IF(A77=" "," ",MAX(B63:B76)+1)</f>
        <v>4</v>
      </c>
      <c r="T77" s="18"/>
      <c r="AB77" s="32"/>
    </row>
    <row r="78" spans="1:86" s="8" customFormat="1" x14ac:dyDescent="0.2">
      <c r="A78" s="8" t="str">
        <f>IF(AND(COUNTIF(W$3:W$13,A$30)&gt;0,A$30&lt;&gt;B38),A$30,IFERROR(IF(MATCH(A$30,Z$3:Z$13,0)=2,A$30," ")," "))</f>
        <v>C16</v>
      </c>
      <c r="B78" s="8">
        <f>IF(A78=" "," ",MAX(B63:B77)+1)</f>
        <v>5</v>
      </c>
      <c r="T78" s="18"/>
      <c r="AB78" s="32"/>
    </row>
    <row r="79" spans="1:86" s="8" customFormat="1" x14ac:dyDescent="0.2">
      <c r="A79" s="8" t="str">
        <f>IF(AND(COUNTIF(W$3:W$13,A$31)&gt;0,A$31&lt;&gt;B38),A$31,IFERROR(IF(MATCH(A$31,Z$3:Z$13,0)=2,A$31," ")," "))</f>
        <v>C17</v>
      </c>
      <c r="B79" s="8">
        <f>IF(A79=" "," ",MAX(B63:B78)+1)</f>
        <v>6</v>
      </c>
      <c r="T79" s="18"/>
      <c r="AB79" s="32"/>
    </row>
    <row r="80" spans="1:86" s="8" customFormat="1" x14ac:dyDescent="0.2">
      <c r="A80" s="8" t="str">
        <f>IF(AND(COUNTIF(W$3:W$13,A$32)&gt;0,A$32&lt;&gt;B38),A$32,IFERROR(IF(MATCH(A$32,Z$3:Z$13,0)=2,A$32," ")," "))</f>
        <v>C18</v>
      </c>
      <c r="B80" s="8">
        <f>IF(A80=" "," ",MAX(B63:B79)+1)</f>
        <v>7</v>
      </c>
      <c r="T80" s="18"/>
      <c r="AB80" s="32"/>
    </row>
    <row r="81" spans="1:86" s="8" customFormat="1" x14ac:dyDescent="0.2">
      <c r="A81" s="8" t="str">
        <f>IF(AND(COUNTIF(W$3:W$13,A$33)&gt;0,A$33&lt;&gt;B38),A$33,IFERROR(IF(MATCH(A$33,Z$3:Z$13,0)=2,A$33," ")," "))</f>
        <v>C19</v>
      </c>
      <c r="B81" s="8">
        <f>IF(A81=" "," ",MAX(B63:B80)+1)</f>
        <v>8</v>
      </c>
      <c r="T81" s="18"/>
      <c r="AB81" s="32"/>
    </row>
    <row r="82" spans="1:86" s="8" customFormat="1" x14ac:dyDescent="0.2">
      <c r="A82" s="8" t="str">
        <f>IF(AND(COUNTIF(W$3:W$13,A$34)&gt;0,A$34&lt;&gt;B38),A$34,IFERROR(IF(MATCH(A$34,Z$3:Z$13,0)=2,A$34," ")," "))</f>
        <v>C20</v>
      </c>
      <c r="B82" s="8">
        <f>IF(A82=" "," ",MAX(B63:B81)+1)</f>
        <v>9</v>
      </c>
      <c r="T82" s="18"/>
      <c r="AB82" s="32"/>
    </row>
    <row r="83" spans="1:86" s="8" customFormat="1" x14ac:dyDescent="0.2">
      <c r="A83" s="8" t="str">
        <f>IF(AND(COUNTIF(W$3:W$13,A$35)&gt;0,A$35&lt;&gt;B38),A$35,IFERROR(IF(MATCH(A$35,Z$3:Z$13,0)=2,A$35," ")," "))</f>
        <v>C21</v>
      </c>
      <c r="B83" s="8">
        <f>IF(A83=" "," ",MAX(B63:B82)+1)</f>
        <v>10</v>
      </c>
      <c r="T83" s="18"/>
      <c r="AB83" s="32"/>
    </row>
    <row r="84" spans="1:86" s="8" customFormat="1" x14ac:dyDescent="0.2">
      <c r="A84" s="8" t="str">
        <f>IF(AND(COUNTIF(W$3:W$13,A$36)&gt;0,A$36&lt;&gt;B38),A$36,IFERROR(IF(MATCH(A$36,Z$3:Z$13,0)=2,A$36," ")," "))</f>
        <v>C22</v>
      </c>
      <c r="B84" s="8">
        <f>IF(A84=" "," ",MAX(B63:B83)+1)</f>
        <v>11</v>
      </c>
      <c r="T84" s="18"/>
      <c r="AB84" s="32"/>
    </row>
    <row r="85" spans="1:86" s="8" customFormat="1" x14ac:dyDescent="0.2">
      <c r="A85" s="11" t="s">
        <v>17</v>
      </c>
      <c r="B85" s="11"/>
      <c r="C85" s="10" t="s">
        <v>18</v>
      </c>
      <c r="D85" s="10" t="s">
        <v>2</v>
      </c>
      <c r="E85" s="10" t="s">
        <v>6</v>
      </c>
      <c r="F85" s="10" t="s">
        <v>15</v>
      </c>
      <c r="G85" s="10" t="s">
        <v>36</v>
      </c>
      <c r="H85" s="10" t="s">
        <v>37</v>
      </c>
      <c r="I85" s="10" t="s">
        <v>38</v>
      </c>
      <c r="J85" s="10" t="s">
        <v>39</v>
      </c>
      <c r="K85" s="10" t="s">
        <v>40</v>
      </c>
      <c r="L85" s="10" t="s">
        <v>41</v>
      </c>
      <c r="M85" s="10" t="s">
        <v>42</v>
      </c>
      <c r="N85" s="10" t="s">
        <v>43</v>
      </c>
      <c r="O85" s="10" t="s">
        <v>9</v>
      </c>
      <c r="P85" s="10" t="s">
        <v>12</v>
      </c>
      <c r="Q85" s="27" t="s">
        <v>19</v>
      </c>
      <c r="R85" s="10" t="s">
        <v>55</v>
      </c>
      <c r="S85" s="10" t="s">
        <v>26</v>
      </c>
      <c r="T85" s="19" t="s">
        <v>25</v>
      </c>
      <c r="U85" s="29" t="s">
        <v>27</v>
      </c>
      <c r="V85" s="29" t="s">
        <v>9</v>
      </c>
      <c r="W85" s="29" t="s">
        <v>23</v>
      </c>
      <c r="X85" s="29" t="s">
        <v>12</v>
      </c>
      <c r="Y85" s="29" t="s">
        <v>26</v>
      </c>
      <c r="Z85" s="29" t="s">
        <v>25</v>
      </c>
      <c r="AA85" s="29" t="s">
        <v>27</v>
      </c>
      <c r="AB85" s="31" t="s">
        <v>9</v>
      </c>
      <c r="AC85" s="29" t="s">
        <v>23</v>
      </c>
      <c r="AD85" s="29" t="s">
        <v>12</v>
      </c>
      <c r="AE85" s="29" t="s">
        <v>26</v>
      </c>
      <c r="AF85" s="29" t="s">
        <v>25</v>
      </c>
      <c r="AG85" s="29" t="s">
        <v>27</v>
      </c>
      <c r="AH85" s="29" t="s">
        <v>9</v>
      </c>
      <c r="AI85" s="29" t="s">
        <v>23</v>
      </c>
      <c r="AJ85" s="29" t="s">
        <v>12</v>
      </c>
      <c r="AK85" s="29" t="s">
        <v>26</v>
      </c>
      <c r="AL85" s="29" t="s">
        <v>25</v>
      </c>
      <c r="AM85" s="29" t="s">
        <v>27</v>
      </c>
      <c r="AN85" s="29" t="s">
        <v>9</v>
      </c>
      <c r="AO85" s="29" t="s">
        <v>23</v>
      </c>
      <c r="AP85" s="29" t="s">
        <v>12</v>
      </c>
      <c r="AQ85" s="29" t="s">
        <v>26</v>
      </c>
      <c r="AR85" s="29" t="s">
        <v>25</v>
      </c>
      <c r="AS85" s="29" t="s">
        <v>27</v>
      </c>
      <c r="AT85" s="29" t="s">
        <v>9</v>
      </c>
      <c r="AU85" s="29" t="s">
        <v>23</v>
      </c>
      <c r="AV85" s="29" t="s">
        <v>12</v>
      </c>
      <c r="AW85" s="29" t="s">
        <v>26</v>
      </c>
      <c r="AX85" s="29" t="s">
        <v>25</v>
      </c>
      <c r="AY85" s="29" t="s">
        <v>27</v>
      </c>
      <c r="AZ85" s="29" t="s">
        <v>9</v>
      </c>
      <c r="BA85" s="29" t="s">
        <v>23</v>
      </c>
      <c r="BB85" s="29" t="s">
        <v>12</v>
      </c>
      <c r="BC85" s="29" t="s">
        <v>26</v>
      </c>
      <c r="BD85" s="29" t="s">
        <v>25</v>
      </c>
      <c r="BE85" s="29" t="s">
        <v>27</v>
      </c>
      <c r="BF85" s="29" t="s">
        <v>9</v>
      </c>
      <c r="BG85" s="29" t="s">
        <v>23</v>
      </c>
      <c r="BH85" s="29" t="s">
        <v>12</v>
      </c>
      <c r="BI85" s="29" t="s">
        <v>26</v>
      </c>
      <c r="BJ85" s="29" t="s">
        <v>25</v>
      </c>
      <c r="BK85" s="29" t="s">
        <v>27</v>
      </c>
      <c r="BL85" s="29" t="s">
        <v>9</v>
      </c>
      <c r="BM85" s="29" t="s">
        <v>23</v>
      </c>
      <c r="BN85" s="29" t="s">
        <v>12</v>
      </c>
      <c r="BO85" s="29" t="s">
        <v>26</v>
      </c>
      <c r="BP85" s="29" t="s">
        <v>25</v>
      </c>
      <c r="BQ85" s="29" t="s">
        <v>27</v>
      </c>
      <c r="BR85" s="29" t="s">
        <v>9</v>
      </c>
      <c r="BS85" s="29" t="s">
        <v>23</v>
      </c>
      <c r="BT85" s="29" t="s">
        <v>12</v>
      </c>
      <c r="BU85" s="29" t="s">
        <v>26</v>
      </c>
      <c r="BV85" s="29" t="s">
        <v>25</v>
      </c>
      <c r="BW85" s="29" t="s">
        <v>27</v>
      </c>
      <c r="BX85" s="29" t="s">
        <v>9</v>
      </c>
      <c r="BY85" s="29" t="s">
        <v>23</v>
      </c>
      <c r="BZ85" s="29" t="s">
        <v>12</v>
      </c>
      <c r="CA85" s="29" t="s">
        <v>26</v>
      </c>
      <c r="CB85" s="29" t="s">
        <v>25</v>
      </c>
      <c r="CC85" s="29" t="s">
        <v>27</v>
      </c>
      <c r="CD85" s="29" t="s">
        <v>9</v>
      </c>
      <c r="CE85" s="29" t="s">
        <v>23</v>
      </c>
      <c r="CF85" s="29" t="s">
        <v>12</v>
      </c>
      <c r="CG85" s="29" t="s">
        <v>26</v>
      </c>
      <c r="CH85" s="29" t="s">
        <v>25</v>
      </c>
    </row>
    <row r="86" spans="1:86" s="8" customFormat="1" x14ac:dyDescent="0.2">
      <c r="A86" s="8" t="str">
        <f>IF(AND(COUNTIF(W$3:W$13,A$15)&gt;0,A$15&lt;&gt;B38),A$15,IFERROR(IF(MATCH(A$15,Z$3:Z$13,0)=3,A$15," ")," "))</f>
        <v xml:space="preserve"> </v>
      </c>
      <c r="B86" s="8" t="str">
        <f>IF(A86=" "," ",1)</f>
        <v xml:space="preserve"> </v>
      </c>
      <c r="C86" s="8" t="str">
        <f>IFERROR(INDEX(A86:A107,MATCH(SMALL(B86:B107,1),B86:B107,0),1)," ")</f>
        <v>C4</v>
      </c>
      <c r="D86" s="8">
        <f>IFERROR(VLOOKUP($C86,$A$15:$O$36,2,FALSE)," ")</f>
        <v>1</v>
      </c>
      <c r="E86" s="8">
        <f>IFERROR(VLOOKUP($C86,$A$15:$O$36,3,FALSE)," ")</f>
        <v>0</v>
      </c>
      <c r="F86" s="8">
        <f>IFERROR(VLOOKUP($C86,$A$15:$O$36,4,FALSE)," ")</f>
        <v>1</v>
      </c>
      <c r="G86" s="8">
        <f>IFERROR(VLOOKUP($C86,$A$15:$O$36,5,FALSE)," ")</f>
        <v>0</v>
      </c>
      <c r="H86" s="8">
        <f>IFERROR(VLOOKUP($C86,$A$15:$O$36,6,FALSE)," ")</f>
        <v>0</v>
      </c>
      <c r="I86" s="8">
        <f>IFERROR(VLOOKUP($C86,$A$15:$O$36,7,FALSE)," ")</f>
        <v>0</v>
      </c>
      <c r="J86" s="8">
        <f>IFERROR(VLOOKUP($C86,$A$15:$O$36,8,FALSE)," ")</f>
        <v>0</v>
      </c>
      <c r="K86" s="8">
        <f>IFERROR(VLOOKUP($C86,$A$15:$O$36,9,FALSE)," ")</f>
        <v>0</v>
      </c>
      <c r="L86" s="8">
        <f>IFERROR(VLOOKUP($C86,$A$15:$O$36,10,FALSE)," ")</f>
        <v>0</v>
      </c>
      <c r="M86" s="8">
        <f>IFERROR(VLOOKUP($C86,$A$15:$O$36,11,FALSE)," ")</f>
        <v>0</v>
      </c>
      <c r="N86" s="8">
        <f>IFERROR(VLOOKUP($C86,$A$15:$O$36,12,FALSE)," ")</f>
        <v>0</v>
      </c>
      <c r="O86" s="8">
        <f>IFERROR(VLOOKUP($C86,$A$15:$O$36,15,FALSE)," ")</f>
        <v>400</v>
      </c>
      <c r="P86" s="8" t="e">
        <f t="array" ref="P86:P96">MMULT(MINVERSE(D86:N96),O86:O96)</f>
        <v>#NUM!</v>
      </c>
      <c r="Q86" s="8" t="e">
        <f t="shared" ref="Q86" si="121">IF(COUNTIF(P86:P96,"&lt;"&amp;-0.001)=0,IF(ABS(P86)&lt;0.001,0,P86)," ")</f>
        <v>#NUM!</v>
      </c>
      <c r="R86" s="8" t="str">
        <f>IFERROR(VLOOKUP(B38,A$15:L$36,2,FALSE)*Q86+VLOOKUP(B38,A$15:L$36,3,FALSE)*Q87+VLOOKUP(B38,A$15:L$36,4,FALSE)*Q88+VLOOKUP(B38,A$15:L$36,5,FALSE)*Q89+VLOOKUP(B38,A$15:L$36,6,FALSE)*Q90+VLOOKUP(B38,A$15:L$36,7,FALSE)*Q91+VLOOKUP(B38,A$15:L$36,8,FALSE)*Q92+VLOOKUP(B38,A$15:L$36,9,FALSE)*Q93+VLOOKUP(B38,A$15:L$36,10,FALSE)*Q94+VLOOKUP(B38,A$15:L$36,11,FALSE)*Q95+VLOOKUP(B38,A$15:L$36,12,FALSE)*Q96," ")</f>
        <v xml:space="preserve"> </v>
      </c>
      <c r="S86" s="8" t="str">
        <f>IFERROR(IF(R86-VLOOKUP(B38,A$15:O$36,15,FALSE)&lt;0,R86-VLOOKUP(B38,A$15:O$36,15,FALSE)," ")," ")</f>
        <v xml:space="preserve"> </v>
      </c>
      <c r="T86" s="18" t="str">
        <f>IFERROR(IF(R86-VLOOKUP(B38,A$15:O$36,15,FALSE)&gt;0,R86-VLOOKUP(B38,A$15:O$36,15,FALSE)," ")," ")</f>
        <v xml:space="preserve"> </v>
      </c>
      <c r="U86" s="8">
        <f t="shared" ref="U86" si="122">$M$2</f>
        <v>100.00000000000001</v>
      </c>
      <c r="V86" s="8">
        <v>-1</v>
      </c>
      <c r="W86" s="8">
        <f t="shared" ref="W86" si="123">-SUMPRODUCT($M$3:$M$12,$N$3:$N$12)</f>
        <v>-105000</v>
      </c>
      <c r="X86" s="8" t="e">
        <f t="shared" ref="X86" si="124">IF(U86&lt;&gt;U87,MMULT(MINVERSE(U86:V87),W86:W87)," ")</f>
        <v>#NUM!</v>
      </c>
      <c r="Y86" s="8" t="str">
        <f t="shared" ref="Y86" si="125">IFERROR(IF(X86-VLOOKUP(U$38,$A$2:$N$12,14,FALSE)&lt;0,X86-VLOOKUP(U$38,$A$2:$N$12,14,FALSE)," ")," ")</f>
        <v xml:space="preserve"> </v>
      </c>
      <c r="Z86" s="8" t="str">
        <f t="shared" ref="Z86" si="126">IFERROR(IF(X86-VLOOKUP(U$38,$A$2:$N$12,14,FALSE)&gt;0,X86-VLOOKUP(U$38,$A$2:$N$12,14,FALSE)," ")," ")</f>
        <v xml:space="preserve"> </v>
      </c>
      <c r="AA86" s="8">
        <f t="shared" ref="AA86" si="127">$M$3</f>
        <v>0</v>
      </c>
      <c r="AB86" s="32">
        <v>-1</v>
      </c>
      <c r="AC86" s="8">
        <f t="shared" ref="AC86" si="128">-SUMPRODUCT($M$2:$M$2,$N$2:$N$2)-SUMPRODUCT($M$4:$M$12,$N$4:$N$12)</f>
        <v>-120000</v>
      </c>
      <c r="AD86" s="8" t="e">
        <f t="shared" ref="AD86" si="129">IF(AA86&lt;&gt;AA87,MMULT(MINVERSE(AA86:AB87),AC86:AC87)," ")</f>
        <v>#NUM!</v>
      </c>
      <c r="AE86" s="8" t="str">
        <f t="shared" ref="AE86" si="130">IFERROR(IF(AD86-VLOOKUP(AA$38,$A$2:$N$12,14,FALSE)&lt;0,AD86-VLOOKUP(AA$38,$A$2:$N$12,14,FALSE)," ")," ")</f>
        <v xml:space="preserve"> </v>
      </c>
      <c r="AF86" s="8" t="str">
        <f t="shared" ref="AF86" si="131">IFERROR(IF(AD86-VLOOKUP(AA$38,$A$2:$N$12,14,FALSE)&gt;0,AD86-VLOOKUP(AA$38,$A$2:$N$12,14,FALSE)," ")," ")</f>
        <v xml:space="preserve"> </v>
      </c>
      <c r="AG86" s="8">
        <f t="shared" ref="AG86" si="132">$M$4</f>
        <v>300</v>
      </c>
      <c r="AH86" s="8">
        <v>-1</v>
      </c>
      <c r="AI86" s="8">
        <f t="shared" ref="AI86" si="133">-SUMPRODUCT($M$2:$M$3,$N$2:$N$3)-SUMPRODUCT($M$5:$M$12,$N$5:$N$12)</f>
        <v>-15000.000000000002</v>
      </c>
      <c r="AJ86" s="8" t="e">
        <f t="shared" ref="AJ86" si="134">IF(AG86&lt;&gt;AG87,MMULT(MINVERSE(AG86:AH87),AI86:AI87)," ")</f>
        <v>#NUM!</v>
      </c>
      <c r="AK86" s="8" t="str">
        <f t="shared" ref="AK86" si="135">IFERROR(IF(AJ86-VLOOKUP(AG$38,$A$2:$N$12,14,FALSE)&lt;0,AJ86-VLOOKUP(AG$38,$A$2:$N$12,14,FALSE)," ")," ")</f>
        <v xml:space="preserve"> </v>
      </c>
      <c r="AL86" s="8" t="str">
        <f t="shared" ref="AL86" si="136">IFERROR(IF(AJ86-VLOOKUP(AG$38,$A$2:$N$12,14,FALSE)&gt;0,AJ86-VLOOKUP(AG$38,$A$2:$N$12,14,FALSE)," ")," ")</f>
        <v xml:space="preserve"> </v>
      </c>
      <c r="AM86" s="8">
        <f t="shared" ref="AM86" si="137">$M$5</f>
        <v>0</v>
      </c>
      <c r="AN86" s="8">
        <v>-1</v>
      </c>
      <c r="AO86" s="8">
        <f t="shared" ref="AO86" si="138">-SUMPRODUCT($M$2:$M$4,$N$2:$N$4)-SUMPRODUCT($M$6:$M$12,$N$6:$N$12)</f>
        <v>-120000</v>
      </c>
      <c r="AP86" s="8" t="e">
        <f t="shared" ref="AP86" si="139">IF(AM86&lt;&gt;AM87,MMULT(MINVERSE(AM86:AN87),AO86:AO87)," ")</f>
        <v>#NUM!</v>
      </c>
      <c r="AQ86" s="8" t="str">
        <f t="shared" ref="AQ86" si="140">IFERROR(IF(AP86-VLOOKUP(AM$38,$A$2:$N$12,14,FALSE)&lt;0,AP86-VLOOKUP(AM$38,$A$2:$N$12,14,FALSE)," ")," ")</f>
        <v xml:space="preserve"> </v>
      </c>
      <c r="AR86" s="8" t="str">
        <f t="shared" ref="AR86" si="141">IFERROR(IF(AP86-VLOOKUP(AM$38,$A$2:$N$12,14,FALSE)&gt;0,AP86-VLOOKUP(AM$38,$A$2:$N$12,14,FALSE)," ")," ")</f>
        <v xml:space="preserve"> </v>
      </c>
      <c r="AS86" s="8">
        <f t="shared" ref="AS86" si="142">$M$6</f>
        <v>0</v>
      </c>
      <c r="AT86" s="8">
        <v>-1</v>
      </c>
      <c r="AU86" s="8">
        <f t="shared" ref="AU86" si="143">-SUMPRODUCT($M$2:$M$5,$N$2:$N$5)-SUMPRODUCT($M$7:$M$12,$N$7:$N$12)</f>
        <v>-120000</v>
      </c>
      <c r="AV86" s="8" t="e">
        <f t="shared" ref="AV86" si="144">IF(AS86&lt;&gt;AS87,MMULT(MINVERSE(AS86:AT87),AU86:AU87)," ")</f>
        <v>#NUM!</v>
      </c>
      <c r="AW86" s="8" t="str">
        <f t="shared" ref="AW86" si="145">IFERROR(IF(AV86-VLOOKUP(AS$38,$A$2:$N$12,14,FALSE)&lt;0,AV86-VLOOKUP(AS$38,$A$2:$N$12,14,FALSE)," ")," ")</f>
        <v xml:space="preserve"> </v>
      </c>
      <c r="AX86" s="8" t="str">
        <f t="shared" ref="AX86" si="146">IFERROR(IF(AV86-VLOOKUP(AS$38,$A$2:$N$12,14,FALSE)&gt;0,AV86-VLOOKUP(AS$38,$A$2:$N$12,14,FALSE)," ")," ")</f>
        <v xml:space="preserve"> </v>
      </c>
      <c r="AY86" s="8">
        <f t="shared" ref="AY86" si="147">$M$7</f>
        <v>0</v>
      </c>
      <c r="AZ86" s="8">
        <v>-1</v>
      </c>
      <c r="BA86" s="8">
        <f t="shared" ref="BA86" si="148">-SUMPRODUCT($M$2:$M$6,$N$2:$N$6)-SUMPRODUCT($M$8:$M$12,$N$8:$N$12)</f>
        <v>-120000</v>
      </c>
      <c r="BB86" s="8" t="e">
        <f t="shared" ref="BB86" si="149">IF(AY86&lt;&gt;AY87,MMULT(MINVERSE(AY86:AZ87),BA86:BA87)," ")</f>
        <v>#NUM!</v>
      </c>
      <c r="BC86" s="8" t="str">
        <f t="shared" ref="BC86" si="150">IFERROR(IF(BB86-VLOOKUP(AY$38,$A$2:$N$12,14,FALSE)&lt;0,BB86-VLOOKUP(AY$38,$A$2:$N$12,14,FALSE)," ")," ")</f>
        <v xml:space="preserve"> </v>
      </c>
      <c r="BD86" s="8" t="str">
        <f t="shared" ref="BD86" si="151">IFERROR(IF(BB86-VLOOKUP(AY$38,$A$2:$N$12,14,FALSE)&gt;0,BB86-VLOOKUP(AY$38,$A$2:$N$12,14,FALSE)," ")," ")</f>
        <v xml:space="preserve"> </v>
      </c>
      <c r="BE86" s="8">
        <f t="shared" ref="BE86" si="152">$M$8</f>
        <v>0</v>
      </c>
      <c r="BF86" s="8">
        <v>-1</v>
      </c>
      <c r="BG86" s="8">
        <f t="shared" ref="BG86" si="153">-SUMPRODUCT($M$2:$M$7,$N$2:$N$7)-SUMPRODUCT($M$9:$M$12,$N$9:$N$12)</f>
        <v>-120000</v>
      </c>
      <c r="BH86" s="8" t="e">
        <f t="shared" ref="BH86" si="154">IF(BE86&lt;&gt;BE87,MMULT(MINVERSE(BE86:BF87),BG86:BG87)," ")</f>
        <v>#NUM!</v>
      </c>
      <c r="BI86" s="8" t="str">
        <f t="shared" ref="BI86" si="155">IFERROR(IF(BH86-VLOOKUP(BE$38,$A$2:$N$12,14,FALSE)&lt;0,BH86-VLOOKUP(BE$38,$A$2:$N$12,14,FALSE)," ")," ")</f>
        <v xml:space="preserve"> </v>
      </c>
      <c r="BJ86" s="8" t="str">
        <f t="shared" ref="BJ86" si="156">IFERROR(IF(BH86-VLOOKUP(BE$38,$A$2:$N$12,14,FALSE)&gt;0,BH86-VLOOKUP(BE$38,$A$2:$N$12,14,FALSE)," ")," ")</f>
        <v xml:space="preserve"> </v>
      </c>
      <c r="BK86" s="8">
        <f t="shared" ref="BK86" si="157">$M$9</f>
        <v>0</v>
      </c>
      <c r="BL86" s="8">
        <v>-1</v>
      </c>
      <c r="BM86" s="8">
        <f t="shared" ref="BM86" si="158">-SUMPRODUCT($M$2:$M$8,$N$2:$N$8)-SUMPRODUCT($M$10:$M$12,$N$10:$N$12)</f>
        <v>-120000</v>
      </c>
      <c r="BN86" s="8" t="e">
        <f t="shared" ref="BN86" si="159">IF(BK86&lt;&gt;BK87,MMULT(MINVERSE(BK86:BL87),BM86:BM87)," ")</f>
        <v>#NUM!</v>
      </c>
      <c r="BO86" s="8" t="str">
        <f t="shared" ref="BO86" si="160">IFERROR(IF(BN86-VLOOKUP(BK$38,$A$2:$N$12,14,FALSE)&lt;0,BN86-VLOOKUP(BK$38,$A$2:$N$12,14,FALSE)," ")," ")</f>
        <v xml:space="preserve"> </v>
      </c>
      <c r="BP86" s="8" t="str">
        <f t="shared" ref="BP86" si="161">IFERROR(IF(BN86-VLOOKUP(BK$38,$A$2:$N$12,14,FALSE)&gt;0,BN86-VLOOKUP(BK$38,$A$2:$N$12,14,FALSE)," ")," ")</f>
        <v xml:space="preserve"> </v>
      </c>
      <c r="BQ86" s="8">
        <f t="shared" ref="BQ86" si="162">$M$10</f>
        <v>0</v>
      </c>
      <c r="BR86" s="8">
        <v>-1</v>
      </c>
      <c r="BS86" s="8">
        <f t="shared" ref="BS86" si="163">-SUMPRODUCT($M$2:$M$9,$N$2:$N$9)-SUMPRODUCT($M$11:$M$12,$N$11:$N$12)</f>
        <v>-120000</v>
      </c>
      <c r="BT86" s="8" t="e">
        <f t="shared" ref="BT86" si="164">IF(BQ86&lt;&gt;BQ87,MMULT(MINVERSE(BQ86:BR87),BS86:BS87)," ")</f>
        <v>#NUM!</v>
      </c>
      <c r="BU86" s="8" t="str">
        <f t="shared" ref="BU86" si="165">IFERROR(IF(BT86-VLOOKUP(BQ$38,$A$2:$N$12,14,FALSE)&lt;0,BT86-VLOOKUP(BQ$38,$A$2:$N$12,14,FALSE)," ")," ")</f>
        <v xml:space="preserve"> </v>
      </c>
      <c r="BV86" s="8" t="str">
        <f t="shared" ref="BV86" si="166">IFERROR(IF(BT86-VLOOKUP(BQ$38,$A$2:$N$12,14,FALSE)&gt;0,BT86-VLOOKUP(BQ$38,$A$2:$N$12,14,FALSE)," ")," ")</f>
        <v xml:space="preserve"> </v>
      </c>
      <c r="BW86" s="8">
        <f t="shared" ref="BW86" si="167">$M$11</f>
        <v>0</v>
      </c>
      <c r="BX86" s="8">
        <v>-1</v>
      </c>
      <c r="BY86" s="8">
        <f t="shared" ref="BY86" si="168">-SUMPRODUCT($M$2:$M$10,$N$2:$N$10)-SUMPRODUCT($M$12,$N$12)</f>
        <v>-120000</v>
      </c>
      <c r="BZ86" s="8" t="e">
        <f t="shared" ref="BZ86" si="169">IF(BW86&lt;&gt;BW87,MMULT(MINVERSE(BW86:BX87),BY86:BY87)," ")</f>
        <v>#NUM!</v>
      </c>
      <c r="CA86" s="8" t="str">
        <f t="shared" ref="CA86" si="170">IFERROR(IF(BZ86-VLOOKUP(BW$38,$A$2:$N$12,14,FALSE)&lt;0,BZ86-VLOOKUP(BW$38,$A$2:$N$12,14,FALSE)," ")," ")</f>
        <v xml:space="preserve"> </v>
      </c>
      <c r="CB86" s="8" t="str">
        <f t="shared" ref="CB86" si="171">IFERROR(IF(BZ86-VLOOKUP(BW$38,$A$2:$N$12,14,FALSE)&gt;0,BZ86-VLOOKUP(BW$38,$A$2:$N$12,14,FALSE)," ")," ")</f>
        <v xml:space="preserve"> </v>
      </c>
      <c r="CC86" s="8">
        <f t="shared" ref="CC86" si="172">$M$12</f>
        <v>0</v>
      </c>
      <c r="CD86" s="8">
        <v>-1</v>
      </c>
      <c r="CE86" s="8">
        <f t="shared" ref="CE86" si="173">-SUMPRODUCT($M$2:$M$11,$N$2:$N$11)</f>
        <v>-120000</v>
      </c>
      <c r="CF86" s="8" t="e">
        <f t="shared" ref="CF86" si="174">IF(CC86&lt;&gt;CC87,MMULT(MINVERSE(CC86:CD87),CE86:CE87)," ")</f>
        <v>#NUM!</v>
      </c>
      <c r="CG86" s="8" t="str">
        <f t="shared" ref="CG86" si="175">IFERROR(IF(CF86-VLOOKUP(CC$38,$A$2:$N$12,14,FALSE)&lt;0,CF86-VLOOKUP(CC$38,$A$2:$N$12,14,FALSE)," ")," ")</f>
        <v xml:space="preserve"> </v>
      </c>
      <c r="CH86" s="8" t="str">
        <f t="shared" ref="CH86" si="176">IFERROR(IF(CF86-VLOOKUP(CC$38,$A$2:$N$12,14,FALSE)&gt;0,CF86-VLOOKUP(CC$38,$A$2:$N$12,14,FALSE)," ")," ")</f>
        <v xml:space="preserve"> </v>
      </c>
    </row>
    <row r="87" spans="1:86" s="8" customFormat="1" x14ac:dyDescent="0.2">
      <c r="A87" s="8" t="str">
        <f>IF(AND(COUNTIF(W$3:W$13,A$16)&gt;0,A$16&lt;&gt;B38),A$16,IFERROR(IF(MATCH(A$16,Z$3:Z$13,0)=3,A$16," ")," "))</f>
        <v xml:space="preserve"> </v>
      </c>
      <c r="B87" s="8" t="str">
        <f>IF(A87=" "," ",MAX(B86:B86)+1)</f>
        <v xml:space="preserve"> </v>
      </c>
      <c r="C87" s="8" t="str">
        <f>IFERROR(INDEX(A86:A107,MATCH(SMALL(B86:B107,2),B86:B107,0),1)," ")</f>
        <v>C5</v>
      </c>
      <c r="D87" s="8">
        <f t="shared" ref="D87:D96" si="177">IFERROR(VLOOKUP($C87,$A$15:$O$36,2,FALSE)," ")</f>
        <v>0</v>
      </c>
      <c r="E87" s="8">
        <f t="shared" ref="E87:E96" si="178">IFERROR(VLOOKUP($C87,$A$15:$O$36,3,FALSE)," ")</f>
        <v>0</v>
      </c>
      <c r="F87" s="8">
        <f t="shared" ref="F87:F96" si="179">IFERROR(VLOOKUP($C87,$A$15:$O$36,4,FALSE)," ")</f>
        <v>0</v>
      </c>
      <c r="G87" s="8">
        <f t="shared" ref="G87:G96" si="180">IFERROR(VLOOKUP($C87,$A$15:$O$36,5,FALSE)," ")</f>
        <v>0</v>
      </c>
      <c r="H87" s="8">
        <f t="shared" ref="H87:H96" si="181">IFERROR(VLOOKUP($C87,$A$15:$O$36,6,FALSE)," ")</f>
        <v>0</v>
      </c>
      <c r="I87" s="8">
        <f t="shared" ref="I87:I96" si="182">IFERROR(VLOOKUP($C87,$A$15:$O$36,7,FALSE)," ")</f>
        <v>0</v>
      </c>
      <c r="J87" s="8">
        <f t="shared" ref="J87:J96" si="183">IFERROR(VLOOKUP($C87,$A$15:$O$36,8,FALSE)," ")</f>
        <v>0</v>
      </c>
      <c r="K87" s="8">
        <f t="shared" ref="K87:K96" si="184">IFERROR(VLOOKUP($C87,$A$15:$O$36,9,FALSE)," ")</f>
        <v>0</v>
      </c>
      <c r="L87" s="8">
        <f t="shared" ref="L87:L96" si="185">IFERROR(VLOOKUP($C87,$A$15:$O$36,10,FALSE)," ")</f>
        <v>0</v>
      </c>
      <c r="M87" s="8">
        <f t="shared" ref="M87:M96" si="186">IFERROR(VLOOKUP($C87,$A$15:$O$36,11,FALSE)," ")</f>
        <v>0</v>
      </c>
      <c r="N87" s="8">
        <f t="shared" ref="N87:N96" si="187">IFERROR(VLOOKUP($C87,$A$15:$O$36,12,FALSE)," ")</f>
        <v>0</v>
      </c>
      <c r="O87" s="8">
        <f t="shared" ref="O87:O96" si="188">IFERROR(VLOOKUP($C87,$A$15:$O$36,15,FALSE)," ")</f>
        <v>0</v>
      </c>
      <c r="P87" s="8" t="e">
        <v>#NUM!</v>
      </c>
      <c r="Q87" s="8" t="e">
        <f t="shared" ref="Q87" si="189">IF(COUNTIF(P86:P96,"&lt;"&amp;-0.001)=0,IF(ABS(P87)&lt;0.001,0,P87)," ")</f>
        <v>#NUM!</v>
      </c>
      <c r="T87" s="18"/>
      <c r="U87" s="8" t="e">
        <f t="shared" ref="U87" si="190">$Q86</f>
        <v>#NUM!</v>
      </c>
      <c r="V87" s="8">
        <v>-1</v>
      </c>
      <c r="W87" s="8" t="e">
        <f t="shared" ref="W87" si="191">-SUMPRODUCT($Q87:$Q96,$N$3:$N$12)</f>
        <v>#NUM!</v>
      </c>
      <c r="AA87" s="8" t="e">
        <f t="shared" ref="AA87" si="192">$Q87</f>
        <v>#NUM!</v>
      </c>
      <c r="AB87" s="32">
        <v>-1</v>
      </c>
      <c r="AC87" s="8" t="e">
        <f t="shared" ref="AC87" si="193">-SUMPRODUCT($Q86:$Q86,$N$2:$N$2)-SUMPRODUCT($Q88:$Q96,$N$4:$N$12)</f>
        <v>#NUM!</v>
      </c>
      <c r="AG87" s="8" t="e">
        <f t="shared" ref="AG87" si="194">$Q88</f>
        <v>#NUM!</v>
      </c>
      <c r="AH87" s="8">
        <v>-1</v>
      </c>
      <c r="AI87" s="8" t="e">
        <f t="shared" ref="AI87" si="195">-SUMPRODUCT($Q86:$Q87,$N$2:$N$3)-SUMPRODUCT($Q89:$Q96,$N$5:$N$12)</f>
        <v>#NUM!</v>
      </c>
      <c r="AM87" s="8" t="e">
        <f t="shared" ref="AM87" si="196">$Q89</f>
        <v>#NUM!</v>
      </c>
      <c r="AN87" s="8">
        <v>-1</v>
      </c>
      <c r="AO87" s="8" t="e">
        <f t="shared" ref="AO87" si="197">-SUMPRODUCT($Q86:$Q88,$N$2:$N$4)-SUMPRODUCT($Q90:$Q96,$N$6:$N$12)</f>
        <v>#NUM!</v>
      </c>
      <c r="AS87" s="8" t="e">
        <f t="shared" ref="AS87" si="198">$Q90</f>
        <v>#NUM!</v>
      </c>
      <c r="AT87" s="8">
        <v>-1</v>
      </c>
      <c r="AU87" s="8" t="e">
        <f t="shared" ref="AU87" si="199">-SUMPRODUCT($Q86:$Q89,$N$2:$N$5)-SUMPRODUCT($Q91:$Q96,$N$7:$N$12)</f>
        <v>#NUM!</v>
      </c>
      <c r="AY87" s="8" t="e">
        <f t="shared" ref="AY87" si="200">$Q91</f>
        <v>#NUM!</v>
      </c>
      <c r="AZ87" s="8">
        <v>-1</v>
      </c>
      <c r="BA87" s="8" t="e">
        <f t="shared" ref="BA87" si="201">-SUMPRODUCT($Q86:$Q90,$N$2:$N$6)-SUMPRODUCT($Q92:$Q96,$N$8:$N$12)</f>
        <v>#NUM!</v>
      </c>
      <c r="BE87" s="8" t="e">
        <f t="shared" ref="BE87" si="202">$Q92</f>
        <v>#NUM!</v>
      </c>
      <c r="BF87" s="8">
        <v>-1</v>
      </c>
      <c r="BG87" s="8" t="e">
        <f t="shared" ref="BG87" si="203">-SUMPRODUCT($Q86:$Q91,$N$2:$N$7)-SUMPRODUCT($Q93:$Q96,$N$9:$N$12)</f>
        <v>#NUM!</v>
      </c>
      <c r="BK87" s="8" t="e">
        <f t="shared" ref="BK87" si="204">$Q93</f>
        <v>#NUM!</v>
      </c>
      <c r="BL87" s="8">
        <v>-1</v>
      </c>
      <c r="BM87" s="8" t="e">
        <f t="shared" ref="BM87" si="205">-SUMPRODUCT($Q86:$Q92,$N$2:$N$8)-SUMPRODUCT($Q94:$Q96,$N$10:$N$12)</f>
        <v>#NUM!</v>
      </c>
      <c r="BQ87" s="8" t="e">
        <f t="shared" ref="BQ87" si="206">$Q94</f>
        <v>#NUM!</v>
      </c>
      <c r="BR87" s="8">
        <v>-1</v>
      </c>
      <c r="BS87" s="8" t="e">
        <f t="shared" ref="BS87" si="207">-SUMPRODUCT($Q86:$Q93,$N$2:$N$9)-SUMPRODUCT($Q95:$Q96,$N$11:$N$12)</f>
        <v>#NUM!</v>
      </c>
      <c r="BW87" s="8" t="e">
        <f t="shared" ref="BW87" si="208">$Q95</f>
        <v>#NUM!</v>
      </c>
      <c r="BX87" s="8">
        <v>-1</v>
      </c>
      <c r="BY87" s="8" t="e">
        <f t="shared" ref="BY87" si="209">-SUMPRODUCT($Q86:$Q94,$N$2:$N$10)-SUMPRODUCT($Q96,$N$12)</f>
        <v>#NUM!</v>
      </c>
      <c r="CC87" s="8" t="e">
        <f t="shared" ref="CC87" si="210">$Q96</f>
        <v>#NUM!</v>
      </c>
      <c r="CD87" s="8">
        <v>-1</v>
      </c>
      <c r="CE87" s="8" t="e">
        <f t="shared" ref="CE87" si="211">-SUMPRODUCT($Q86:$Q95,$N$2:$N$11)</f>
        <v>#NUM!</v>
      </c>
    </row>
    <row r="88" spans="1:86" s="8" customFormat="1" x14ac:dyDescent="0.2">
      <c r="A88" s="8" t="str">
        <f>IF(AND(COUNTIF(W$3:W$13,A$17)&gt;0,A$17&lt;&gt;B38),A$17,IFERROR(IF(MATCH(A$17,Z$3:Z$13,0)=3,A$17," ")," "))</f>
        <v xml:space="preserve"> </v>
      </c>
      <c r="B88" s="8" t="str">
        <f>IF(A88=" "," ",MAX(B86:B87)+1)</f>
        <v xml:space="preserve"> </v>
      </c>
      <c r="C88" s="8" t="str">
        <f>IFERROR(INDEX(A86:A107,MATCH(SMALL(B86:B107,3),B86:B107,0),1)," ")</f>
        <v>C13</v>
      </c>
      <c r="D88" s="8">
        <f t="shared" si="177"/>
        <v>0</v>
      </c>
      <c r="E88" s="8">
        <f t="shared" si="178"/>
        <v>1</v>
      </c>
      <c r="F88" s="8">
        <f t="shared" si="179"/>
        <v>0</v>
      </c>
      <c r="G88" s="8">
        <f t="shared" si="180"/>
        <v>0</v>
      </c>
      <c r="H88" s="8">
        <f t="shared" si="181"/>
        <v>0</v>
      </c>
      <c r="I88" s="8">
        <f t="shared" si="182"/>
        <v>0</v>
      </c>
      <c r="J88" s="8">
        <f t="shared" si="183"/>
        <v>0</v>
      </c>
      <c r="K88" s="8">
        <f t="shared" si="184"/>
        <v>0</v>
      </c>
      <c r="L88" s="8">
        <f t="shared" si="185"/>
        <v>0</v>
      </c>
      <c r="M88" s="8">
        <f t="shared" si="186"/>
        <v>0</v>
      </c>
      <c r="N88" s="8">
        <f t="shared" si="187"/>
        <v>0</v>
      </c>
      <c r="O88" s="8">
        <f t="shared" si="188"/>
        <v>0</v>
      </c>
      <c r="P88" s="8" t="e">
        <v>#NUM!</v>
      </c>
      <c r="Q88" s="8" t="e">
        <f t="shared" ref="Q88" si="212">IF(COUNTIF(P86:P96,"&lt;"&amp;-0.001)=0,IF(ABS(P88)&lt;0.001,0,P88)," ")</f>
        <v>#NUM!</v>
      </c>
      <c r="T88" s="18"/>
      <c r="AB88" s="32"/>
    </row>
    <row r="89" spans="1:86" s="8" customFormat="1" x14ac:dyDescent="0.2">
      <c r="A89" s="8" t="str">
        <f>IF(AND(COUNTIF(W$3:W$13,A$18)&gt;0,A$18&lt;&gt;B38),A$18,IFERROR(IF(MATCH(A$18,Z$3:Z$13,0)=3,A$18," ")," "))</f>
        <v>C4</v>
      </c>
      <c r="B89" s="8">
        <f>IF(A89=" "," ",MAX(B86:B88)+1)</f>
        <v>1</v>
      </c>
      <c r="C89" s="8" t="str">
        <f>IFERROR(INDEX(A86:A107,MATCH(SMALL(B86:B107,4),B86:B107,0),1)," ")</f>
        <v>C15</v>
      </c>
      <c r="D89" s="8">
        <f t="shared" si="177"/>
        <v>0</v>
      </c>
      <c r="E89" s="8">
        <f t="shared" si="178"/>
        <v>0</v>
      </c>
      <c r="F89" s="8">
        <f t="shared" si="179"/>
        <v>0</v>
      </c>
      <c r="G89" s="8">
        <f t="shared" si="180"/>
        <v>1</v>
      </c>
      <c r="H89" s="8">
        <f t="shared" si="181"/>
        <v>0</v>
      </c>
      <c r="I89" s="8">
        <f t="shared" si="182"/>
        <v>0</v>
      </c>
      <c r="J89" s="8">
        <f t="shared" si="183"/>
        <v>0</v>
      </c>
      <c r="K89" s="8">
        <f t="shared" si="184"/>
        <v>0</v>
      </c>
      <c r="L89" s="8">
        <f t="shared" si="185"/>
        <v>0</v>
      </c>
      <c r="M89" s="8">
        <f t="shared" si="186"/>
        <v>0</v>
      </c>
      <c r="N89" s="8">
        <f t="shared" si="187"/>
        <v>0</v>
      </c>
      <c r="O89" s="8">
        <f t="shared" si="188"/>
        <v>0</v>
      </c>
      <c r="P89" s="8" t="e">
        <v>#NUM!</v>
      </c>
      <c r="Q89" s="8" t="e">
        <f t="shared" ref="Q89" si="213">IF(COUNTIF(P86:P96,"&lt;"&amp;-0.001)=0,IF(ABS(P89)&lt;0.001,0,P89)," ")</f>
        <v>#NUM!</v>
      </c>
      <c r="T89" s="18"/>
      <c r="AB89" s="32"/>
    </row>
    <row r="90" spans="1:86" s="8" customFormat="1" x14ac:dyDescent="0.2">
      <c r="A90" s="8" t="str">
        <f>IF(AND(COUNTIF(W$3:W$13,A$19)&gt;0,A$19&lt;&gt;B38),A$19,IFERROR(IF(MATCH(A$19,Z$3:Z$13,0)=3,A$19," ")," "))</f>
        <v>C5</v>
      </c>
      <c r="B90" s="8">
        <f>IF(A90=" "," ",MAX(B86:B89)+1)</f>
        <v>2</v>
      </c>
      <c r="C90" s="8" t="str">
        <f>IFERROR(INDEX(A86:A107,MATCH(SMALL(B86:B107,5),B86:B107,0),1)," ")</f>
        <v>C16</v>
      </c>
      <c r="D90" s="8">
        <f t="shared" si="177"/>
        <v>0</v>
      </c>
      <c r="E90" s="8">
        <f t="shared" si="178"/>
        <v>0</v>
      </c>
      <c r="F90" s="8">
        <f t="shared" si="179"/>
        <v>0</v>
      </c>
      <c r="G90" s="8">
        <f t="shared" si="180"/>
        <v>0</v>
      </c>
      <c r="H90" s="8">
        <f t="shared" si="181"/>
        <v>1</v>
      </c>
      <c r="I90" s="8">
        <f t="shared" si="182"/>
        <v>0</v>
      </c>
      <c r="J90" s="8">
        <f t="shared" si="183"/>
        <v>0</v>
      </c>
      <c r="K90" s="8">
        <f t="shared" si="184"/>
        <v>0</v>
      </c>
      <c r="L90" s="8">
        <f t="shared" si="185"/>
        <v>0</v>
      </c>
      <c r="M90" s="8">
        <f t="shared" si="186"/>
        <v>0</v>
      </c>
      <c r="N90" s="8">
        <f t="shared" si="187"/>
        <v>0</v>
      </c>
      <c r="O90" s="8">
        <f t="shared" si="188"/>
        <v>0</v>
      </c>
      <c r="P90" s="8" t="e">
        <v>#NUM!</v>
      </c>
      <c r="Q90" s="8" t="e">
        <f t="shared" ref="Q90" si="214">IF(COUNTIF(P86:P96,"&lt;"&amp;-0.001)=0,IF(ABS(P90)&lt;0.001,0,P90)," ")</f>
        <v>#NUM!</v>
      </c>
      <c r="T90" s="18"/>
      <c r="AB90" s="32"/>
    </row>
    <row r="91" spans="1:86" s="8" customFormat="1" x14ac:dyDescent="0.2">
      <c r="A91" s="8" t="str">
        <f>IF(AND(COUNTIF(W$3:W$13,A$20)&gt;0,A$20&lt;&gt;B38),A$20,IFERROR(IF(MATCH(A$20,Z$3:Z$13,0)=3,A$20," ")," "))</f>
        <v xml:space="preserve"> </v>
      </c>
      <c r="B91" s="8" t="str">
        <f>IF(A91=" "," ",MAX(B86:B90)+1)</f>
        <v xml:space="preserve"> </v>
      </c>
      <c r="C91" s="8" t="str">
        <f>IFERROR(INDEX(A86:A107,MATCH(SMALL(B86:B107,6),B86:B107,0),1)," ")</f>
        <v>C17</v>
      </c>
      <c r="D91" s="8">
        <f t="shared" si="177"/>
        <v>0</v>
      </c>
      <c r="E91" s="8">
        <f t="shared" si="178"/>
        <v>0</v>
      </c>
      <c r="F91" s="8">
        <f t="shared" si="179"/>
        <v>0</v>
      </c>
      <c r="G91" s="8">
        <f t="shared" si="180"/>
        <v>0</v>
      </c>
      <c r="H91" s="8">
        <f t="shared" si="181"/>
        <v>0</v>
      </c>
      <c r="I91" s="8">
        <f t="shared" si="182"/>
        <v>1</v>
      </c>
      <c r="J91" s="8">
        <f t="shared" si="183"/>
        <v>0</v>
      </c>
      <c r="K91" s="8">
        <f t="shared" si="184"/>
        <v>0</v>
      </c>
      <c r="L91" s="8">
        <f t="shared" si="185"/>
        <v>0</v>
      </c>
      <c r="M91" s="8">
        <f t="shared" si="186"/>
        <v>0</v>
      </c>
      <c r="N91" s="8">
        <f t="shared" si="187"/>
        <v>0</v>
      </c>
      <c r="O91" s="8">
        <f t="shared" si="188"/>
        <v>0</v>
      </c>
      <c r="P91" s="8" t="e">
        <v>#NUM!</v>
      </c>
      <c r="Q91" s="8" t="e">
        <f t="shared" ref="Q91" si="215">IF(COUNTIF(P86:P96,"&lt;"&amp;-0.001)=0,IF(ABS(P91)&lt;0.001,0,P91)," ")</f>
        <v>#NUM!</v>
      </c>
      <c r="T91" s="18"/>
      <c r="AB91" s="32"/>
    </row>
    <row r="92" spans="1:86" s="8" customFormat="1" x14ac:dyDescent="0.2">
      <c r="A92" s="8" t="str">
        <f>IF(AND(COUNTIF(W$3:W$13,A$21)&gt;0,A$21&lt;&gt;B38),A$21,IFERROR(IF(MATCH(A$21,Z$3:Z$13,0)=3,A$21," ")," "))</f>
        <v xml:space="preserve"> </v>
      </c>
      <c r="B92" s="8" t="str">
        <f>IF(A92=" "," ",MAX(B86:B91)+1)</f>
        <v xml:space="preserve"> </v>
      </c>
      <c r="C92" s="8" t="str">
        <f>IFERROR(INDEX(A86:A107,MATCH(SMALL(B86:B107,7),B86:B107,0),1)," ")</f>
        <v>C18</v>
      </c>
      <c r="D92" s="8">
        <f t="shared" si="177"/>
        <v>0</v>
      </c>
      <c r="E92" s="8">
        <f t="shared" si="178"/>
        <v>0</v>
      </c>
      <c r="F92" s="8">
        <f t="shared" si="179"/>
        <v>0</v>
      </c>
      <c r="G92" s="8">
        <f t="shared" si="180"/>
        <v>0</v>
      </c>
      <c r="H92" s="8">
        <f t="shared" si="181"/>
        <v>0</v>
      </c>
      <c r="I92" s="8">
        <f t="shared" si="182"/>
        <v>0</v>
      </c>
      <c r="J92" s="8">
        <f t="shared" si="183"/>
        <v>1</v>
      </c>
      <c r="K92" s="8">
        <f t="shared" si="184"/>
        <v>0</v>
      </c>
      <c r="L92" s="8">
        <f t="shared" si="185"/>
        <v>0</v>
      </c>
      <c r="M92" s="8">
        <f t="shared" si="186"/>
        <v>0</v>
      </c>
      <c r="N92" s="8">
        <f t="shared" si="187"/>
        <v>0</v>
      </c>
      <c r="O92" s="8">
        <f t="shared" si="188"/>
        <v>0</v>
      </c>
      <c r="P92" s="8" t="e">
        <v>#NUM!</v>
      </c>
      <c r="Q92" s="8" t="e">
        <f t="shared" ref="Q92" si="216">IF(COUNTIF(P86:P96,"&lt;"&amp;-0.001)=0,IF(ABS(P92)&lt;0.001,0,P92)," ")</f>
        <v>#NUM!</v>
      </c>
      <c r="T92" s="18"/>
      <c r="AB92" s="32"/>
    </row>
    <row r="93" spans="1:86" s="8" customFormat="1" x14ac:dyDescent="0.2">
      <c r="A93" s="8" t="str">
        <f>IF(AND(COUNTIF(W$3:W$13,A$22)&gt;0,A$22&lt;&gt;B38),A$22,IFERROR(IF(MATCH(A$22,Z$3:Z$13,0)=3,A$22," ")," "))</f>
        <v xml:space="preserve"> </v>
      </c>
      <c r="B93" s="8" t="str">
        <f>IF(A93=" "," ",MAX(B86:B92)+1)</f>
        <v xml:space="preserve"> </v>
      </c>
      <c r="C93" s="8" t="str">
        <f>IFERROR(INDEX(A86:A107,MATCH(SMALL(B86:B107,8),B86:B107,0),1)," ")</f>
        <v>C19</v>
      </c>
      <c r="D93" s="8">
        <f t="shared" si="177"/>
        <v>0</v>
      </c>
      <c r="E93" s="8">
        <f t="shared" si="178"/>
        <v>0</v>
      </c>
      <c r="F93" s="8">
        <f t="shared" si="179"/>
        <v>0</v>
      </c>
      <c r="G93" s="8">
        <f t="shared" si="180"/>
        <v>0</v>
      </c>
      <c r="H93" s="8">
        <f t="shared" si="181"/>
        <v>0</v>
      </c>
      <c r="I93" s="8">
        <f t="shared" si="182"/>
        <v>0</v>
      </c>
      <c r="J93" s="8">
        <f t="shared" si="183"/>
        <v>0</v>
      </c>
      <c r="K93" s="8">
        <f t="shared" si="184"/>
        <v>1</v>
      </c>
      <c r="L93" s="8">
        <f t="shared" si="185"/>
        <v>0</v>
      </c>
      <c r="M93" s="8">
        <f t="shared" si="186"/>
        <v>0</v>
      </c>
      <c r="N93" s="8">
        <f t="shared" si="187"/>
        <v>0</v>
      </c>
      <c r="O93" s="8">
        <f t="shared" si="188"/>
        <v>0</v>
      </c>
      <c r="P93" s="8" t="e">
        <v>#NUM!</v>
      </c>
      <c r="Q93" s="8" t="e">
        <f t="shared" ref="Q93" si="217">IF(COUNTIF(P86:P96,"&lt;"&amp;-0.001)=0,IF(ABS(P93)&lt;0.001,0,P93)," ")</f>
        <v>#NUM!</v>
      </c>
      <c r="T93" s="18"/>
      <c r="AB93" s="32"/>
    </row>
    <row r="94" spans="1:86" s="8" customFormat="1" x14ac:dyDescent="0.2">
      <c r="A94" s="8" t="str">
        <f>IF(AND(COUNTIF(W$3:W$13,A$23)&gt;0,A$23&lt;&gt;B38),A$23,IFERROR(IF(MATCH(A$23,Z$3:Z$13,0)=3,A$23," ")," "))</f>
        <v xml:space="preserve"> </v>
      </c>
      <c r="B94" s="8" t="str">
        <f>IF(A94=" "," ",MAX(B86:B93)+1)</f>
        <v xml:space="preserve"> </v>
      </c>
      <c r="C94" s="8" t="str">
        <f>IFERROR(INDEX(A86:A107,MATCH(SMALL(B86:B107,9),B86:B107,0),1)," ")</f>
        <v>C20</v>
      </c>
      <c r="D94" s="8">
        <f t="shared" si="177"/>
        <v>0</v>
      </c>
      <c r="E94" s="8">
        <f t="shared" si="178"/>
        <v>0</v>
      </c>
      <c r="F94" s="8">
        <f t="shared" si="179"/>
        <v>0</v>
      </c>
      <c r="G94" s="8">
        <f t="shared" si="180"/>
        <v>0</v>
      </c>
      <c r="H94" s="8">
        <f t="shared" si="181"/>
        <v>0</v>
      </c>
      <c r="I94" s="8">
        <f t="shared" si="182"/>
        <v>0</v>
      </c>
      <c r="J94" s="8">
        <f t="shared" si="183"/>
        <v>0</v>
      </c>
      <c r="K94" s="8">
        <f t="shared" si="184"/>
        <v>0</v>
      </c>
      <c r="L94" s="8">
        <f t="shared" si="185"/>
        <v>1</v>
      </c>
      <c r="M94" s="8">
        <f t="shared" si="186"/>
        <v>0</v>
      </c>
      <c r="N94" s="8">
        <f t="shared" si="187"/>
        <v>0</v>
      </c>
      <c r="O94" s="8">
        <f t="shared" si="188"/>
        <v>0</v>
      </c>
      <c r="P94" s="6" t="e">
        <v>#NUM!</v>
      </c>
      <c r="Q94" s="8" t="e">
        <f t="shared" ref="Q94" si="218">IF(COUNTIF(P86:P96,"&lt;"&amp;-0.001)=0,IF(ABS(P94)&lt;0.001,0,P94)," ")</f>
        <v>#NUM!</v>
      </c>
      <c r="T94" s="18"/>
      <c r="AB94" s="32"/>
    </row>
    <row r="95" spans="1:86" s="8" customFormat="1" x14ac:dyDescent="0.2">
      <c r="A95" s="8" t="str">
        <f>IF(AND(COUNTIF(W$3:W$13,A$24)&gt;0,A$24&lt;&gt;B38),A$24,IFERROR(IF(MATCH(A$24,Z$3:Z$13,0)=3,A$24," ")," "))</f>
        <v xml:space="preserve"> </v>
      </c>
      <c r="B95" s="8" t="str">
        <f>IF(A95=" "," ",MAX(B86:B94)+1)</f>
        <v xml:space="preserve"> </v>
      </c>
      <c r="C95" s="8" t="str">
        <f>IFERROR(INDEX(A86:A107,MATCH(SMALL(B86:B107,10),B86:B107,0),1)," ")</f>
        <v>C21</v>
      </c>
      <c r="D95" s="8">
        <f t="shared" si="177"/>
        <v>0</v>
      </c>
      <c r="E95" s="8">
        <f t="shared" si="178"/>
        <v>0</v>
      </c>
      <c r="F95" s="8">
        <f t="shared" si="179"/>
        <v>0</v>
      </c>
      <c r="G95" s="8">
        <f t="shared" si="180"/>
        <v>0</v>
      </c>
      <c r="H95" s="8">
        <f t="shared" si="181"/>
        <v>0</v>
      </c>
      <c r="I95" s="8">
        <f t="shared" si="182"/>
        <v>0</v>
      </c>
      <c r="J95" s="8">
        <f t="shared" si="183"/>
        <v>0</v>
      </c>
      <c r="K95" s="8">
        <f t="shared" si="184"/>
        <v>0</v>
      </c>
      <c r="L95" s="8">
        <f t="shared" si="185"/>
        <v>0</v>
      </c>
      <c r="M95" s="8">
        <f t="shared" si="186"/>
        <v>1</v>
      </c>
      <c r="N95" s="8">
        <f t="shared" si="187"/>
        <v>0</v>
      </c>
      <c r="O95" s="8">
        <f t="shared" si="188"/>
        <v>0</v>
      </c>
      <c r="P95" s="8" t="e">
        <v>#NUM!</v>
      </c>
      <c r="Q95" s="8" t="e">
        <f t="shared" ref="Q95" si="219">IF(COUNTIF(P86:P96,"&lt;"&amp;-0.001)=0,IF(ABS(P95)&lt;0.001,0,P95)," ")</f>
        <v>#NUM!</v>
      </c>
      <c r="T95" s="18"/>
      <c r="AB95" s="32"/>
    </row>
    <row r="96" spans="1:86" s="8" customFormat="1" x14ac:dyDescent="0.2">
      <c r="A96" s="8" t="str">
        <f>IF(AND(COUNTIF(W$3:W$13,A$25)&gt;0,A$25&lt;&gt;B38),A$25,IFERROR(IF(MATCH(A$25,Z$3:Z$13,0)=3,A$25," ")," "))</f>
        <v xml:space="preserve"> </v>
      </c>
      <c r="B96" s="8" t="str">
        <f>IF(A96=" "," ",MAX(B86:B95)+1)</f>
        <v xml:space="preserve"> </v>
      </c>
      <c r="C96" s="8" t="str">
        <f>IFERROR(INDEX(A86:A107,MATCH(SMALL(B86:B107,11),B86:B107,0),1)," ")</f>
        <v>C22</v>
      </c>
      <c r="D96" s="8">
        <f t="shared" si="177"/>
        <v>0</v>
      </c>
      <c r="E96" s="8">
        <f t="shared" si="178"/>
        <v>0</v>
      </c>
      <c r="F96" s="8">
        <f t="shared" si="179"/>
        <v>0</v>
      </c>
      <c r="G96" s="8">
        <f t="shared" si="180"/>
        <v>0</v>
      </c>
      <c r="H96" s="8">
        <f t="shared" si="181"/>
        <v>0</v>
      </c>
      <c r="I96" s="8">
        <f t="shared" si="182"/>
        <v>0</v>
      </c>
      <c r="J96" s="8">
        <f t="shared" si="183"/>
        <v>0</v>
      </c>
      <c r="K96" s="8">
        <f t="shared" si="184"/>
        <v>0</v>
      </c>
      <c r="L96" s="8">
        <f t="shared" si="185"/>
        <v>0</v>
      </c>
      <c r="M96" s="8">
        <f t="shared" si="186"/>
        <v>0</v>
      </c>
      <c r="N96" s="8">
        <f t="shared" si="187"/>
        <v>1</v>
      </c>
      <c r="O96" s="8">
        <f t="shared" si="188"/>
        <v>0</v>
      </c>
      <c r="P96" s="8" t="e">
        <v>#NUM!</v>
      </c>
      <c r="Q96" s="8" t="e">
        <f t="shared" ref="Q96" si="220">IF(COUNTIF(P86:P96,"&lt;"&amp;-0.001)=0,IF(ABS(P96)&lt;0.001,0,P96)," ")</f>
        <v>#NUM!</v>
      </c>
      <c r="T96" s="18"/>
      <c r="AB96" s="32"/>
    </row>
    <row r="97" spans="1:86" s="8" customFormat="1" x14ac:dyDescent="0.2">
      <c r="A97" s="8" t="str">
        <f>IF(AND(COUNTIF(W$3:W$13,A$26)&gt;0,A$26&lt;&gt;B38),A$26,IFERROR(IF(MATCH(A$26,Z$3:Z$13,0)=3,A$26," ")," "))</f>
        <v xml:space="preserve"> </v>
      </c>
      <c r="B97" s="8" t="str">
        <f>IF(A97=" "," ",MAX(B86:B96)+1)</f>
        <v xml:space="preserve"> </v>
      </c>
      <c r="T97" s="18"/>
      <c r="AB97" s="32"/>
    </row>
    <row r="98" spans="1:86" s="8" customFormat="1" x14ac:dyDescent="0.2">
      <c r="A98" s="8" t="str">
        <f>IF(AND(COUNTIF(W$3:W$13,A$27)&gt;0,A$27&lt;&gt;B38),A$27,IFERROR(IF(MATCH(A$27,Z$3:Z$13,0)=3,A$27," ")," "))</f>
        <v>C13</v>
      </c>
      <c r="B98" s="8">
        <f>IF(A98=" "," ",MAX(B86:B97)+1)</f>
        <v>3</v>
      </c>
      <c r="T98" s="18"/>
      <c r="AB98" s="32"/>
    </row>
    <row r="99" spans="1:86" s="8" customFormat="1" x14ac:dyDescent="0.2">
      <c r="A99" s="8" t="str">
        <f>IF(AND(COUNTIF(W$3:W$13,A$28)&gt;0,A$28&lt;&gt;B38),A$28,IFERROR(IF(MATCH(A$28,Z$3:Z$13,0)=3,A$28," ")," "))</f>
        <v xml:space="preserve"> </v>
      </c>
      <c r="B99" s="8" t="str">
        <f>IF(A99=" "," ",MAX(B86:B98)+1)</f>
        <v xml:space="preserve"> </v>
      </c>
      <c r="T99" s="18"/>
      <c r="AB99" s="32"/>
    </row>
    <row r="100" spans="1:86" s="8" customFormat="1" x14ac:dyDescent="0.2">
      <c r="A100" s="8" t="str">
        <f>IF(AND(COUNTIF(W$3:W$13,A$29)&gt;0,A$29&lt;&gt;B38),A$29,IFERROR(IF(MATCH(A$29,Z$3:Z$13,0)=3,A$29," ")," "))</f>
        <v>C15</v>
      </c>
      <c r="B100" s="8">
        <f>IF(A100=" "," ",MAX(B86:B99)+1)</f>
        <v>4</v>
      </c>
      <c r="T100" s="18"/>
      <c r="AB100" s="32"/>
    </row>
    <row r="101" spans="1:86" s="8" customFormat="1" x14ac:dyDescent="0.2">
      <c r="A101" s="8" t="str">
        <f>IF(AND(COUNTIF(W$3:W$13,A$30)&gt;0,A$30&lt;&gt;B38),A$30,IFERROR(IF(MATCH(A$30,Z$3:Z$13,0)=3,A$30," ")," "))</f>
        <v>C16</v>
      </c>
      <c r="B101" s="8">
        <f>IF(A101=" "," ",MAX(B86:B100)+1)</f>
        <v>5</v>
      </c>
      <c r="T101" s="18"/>
      <c r="AB101" s="32"/>
    </row>
    <row r="102" spans="1:86" s="8" customFormat="1" x14ac:dyDescent="0.2">
      <c r="A102" s="8" t="str">
        <f>IF(AND(COUNTIF(W$3:W$13,A$31)&gt;0,A$31&lt;&gt;B38),A$31,IFERROR(IF(MATCH(A$31,Z$3:Z$13,0)=3,A$31," ")," "))</f>
        <v>C17</v>
      </c>
      <c r="B102" s="8">
        <f>IF(A102=" "," ",MAX(B86:B101)+1)</f>
        <v>6</v>
      </c>
      <c r="T102" s="18"/>
      <c r="AB102" s="32"/>
    </row>
    <row r="103" spans="1:86" s="8" customFormat="1" x14ac:dyDescent="0.2">
      <c r="A103" s="8" t="str">
        <f>IF(AND(COUNTIF(W$3:W$13,A$32)&gt;0,A$32&lt;&gt;B38),A$32,IFERROR(IF(MATCH(A$32,Z$3:Z$13,0)=3,A$32," ")," "))</f>
        <v>C18</v>
      </c>
      <c r="B103" s="8">
        <f>IF(A103=" "," ",MAX(B86:B102)+1)</f>
        <v>7</v>
      </c>
      <c r="T103" s="18"/>
      <c r="AB103" s="32"/>
    </row>
    <row r="104" spans="1:86" s="12" customFormat="1" x14ac:dyDescent="0.2">
      <c r="A104" s="8" t="str">
        <f>IF(AND(COUNTIF(W$3:W$13,A$33)&gt;0,A$33&lt;&gt;B38),A$33,IFERROR(IF(MATCH(A$33,Z$3:Z$13,0)=3,A$33," ")," "))</f>
        <v>C19</v>
      </c>
      <c r="B104" s="8">
        <f>IF(A104=" "," ",MAX(B86:B103)+1)</f>
        <v>8</v>
      </c>
      <c r="C104" s="14"/>
      <c r="D104" s="14"/>
      <c r="E104" s="14"/>
      <c r="F104" s="14"/>
      <c r="G104" s="14"/>
      <c r="H104" s="14"/>
      <c r="I104" s="14"/>
      <c r="Q104" s="8"/>
      <c r="T104" s="21"/>
      <c r="U104" s="8"/>
      <c r="V104" s="8"/>
      <c r="W104" s="8"/>
      <c r="X104" s="8"/>
      <c r="Y104" s="8"/>
      <c r="Z104" s="8"/>
      <c r="AA104" s="8"/>
      <c r="AB104" s="32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  <c r="BO104" s="8"/>
      <c r="BP104" s="8"/>
      <c r="BQ104" s="8"/>
      <c r="BR104" s="8"/>
      <c r="BS104" s="8"/>
      <c r="BT104" s="8"/>
      <c r="BU104" s="8"/>
      <c r="BV104" s="8"/>
      <c r="BW104" s="8"/>
      <c r="BX104" s="8"/>
      <c r="BY104" s="8"/>
      <c r="BZ104" s="8"/>
      <c r="CA104" s="8"/>
      <c r="CB104" s="8"/>
      <c r="CC104" s="8"/>
      <c r="CD104" s="8"/>
      <c r="CE104" s="8"/>
      <c r="CF104" s="8"/>
      <c r="CG104" s="8"/>
      <c r="CH104" s="8"/>
    </row>
    <row r="105" spans="1:86" s="8" customFormat="1" x14ac:dyDescent="0.2">
      <c r="A105" s="8" t="str">
        <f>IF(AND(COUNTIF(W$3:W$13,A$34)&gt;0,A$34&lt;&gt;B38),A$34,IFERROR(IF(MATCH(A$34,Z$3:Z$13,0)=3,A$34," ")," "))</f>
        <v>C20</v>
      </c>
      <c r="B105" s="8">
        <f>IF(A105=" "," ",MAX(B86:B104)+1)</f>
        <v>9</v>
      </c>
      <c r="T105" s="18"/>
      <c r="AB105" s="32"/>
    </row>
    <row r="106" spans="1:86" s="8" customFormat="1" x14ac:dyDescent="0.2">
      <c r="A106" s="8" t="str">
        <f>IF(AND(COUNTIF(W$3:W$13,A$35)&gt;0,A$35&lt;&gt;B38),A$35,IFERROR(IF(MATCH(A$35,Z$3:Z$13,0)=3,A$35," ")," "))</f>
        <v>C21</v>
      </c>
      <c r="B106" s="8">
        <f>IF(A106=" "," ",MAX(B86:B105)+1)</f>
        <v>10</v>
      </c>
      <c r="T106" s="18"/>
      <c r="AB106" s="32"/>
    </row>
    <row r="107" spans="1:86" s="8" customFormat="1" x14ac:dyDescent="0.2">
      <c r="A107" s="8" t="str">
        <f>IF(AND(COUNTIF(W$3:W$13,A$36)&gt;0,A$36&lt;&gt;B38),A$36,IFERROR(IF(MATCH(A$36,Z$3:Z$13,0)=3,A$36," ")," "))</f>
        <v>C22</v>
      </c>
      <c r="B107" s="8">
        <f>IF(A107=" "," ",MAX(B86:B106)+1)</f>
        <v>11</v>
      </c>
      <c r="T107" s="18"/>
      <c r="AB107" s="32"/>
    </row>
    <row r="108" spans="1:86" s="8" customFormat="1" x14ac:dyDescent="0.2">
      <c r="A108" s="11" t="s">
        <v>17</v>
      </c>
      <c r="B108" s="11"/>
      <c r="C108" s="13" t="s">
        <v>18</v>
      </c>
      <c r="D108" s="10" t="s">
        <v>2</v>
      </c>
      <c r="E108" s="10" t="s">
        <v>6</v>
      </c>
      <c r="F108" s="10" t="s">
        <v>15</v>
      </c>
      <c r="G108" s="10" t="s">
        <v>36</v>
      </c>
      <c r="H108" s="10" t="s">
        <v>37</v>
      </c>
      <c r="I108" s="10" t="s">
        <v>38</v>
      </c>
      <c r="J108" s="10" t="s">
        <v>39</v>
      </c>
      <c r="K108" s="10" t="s">
        <v>40</v>
      </c>
      <c r="L108" s="10" t="s">
        <v>41</v>
      </c>
      <c r="M108" s="10" t="s">
        <v>42</v>
      </c>
      <c r="N108" s="10" t="s">
        <v>43</v>
      </c>
      <c r="O108" s="10" t="s">
        <v>9</v>
      </c>
      <c r="P108" s="13" t="s">
        <v>12</v>
      </c>
      <c r="Q108" s="27" t="s">
        <v>19</v>
      </c>
      <c r="R108" s="13" t="s">
        <v>55</v>
      </c>
      <c r="S108" s="13" t="s">
        <v>26</v>
      </c>
      <c r="T108" s="19" t="s">
        <v>25</v>
      </c>
      <c r="U108" s="29" t="s">
        <v>27</v>
      </c>
      <c r="V108" s="29" t="s">
        <v>9</v>
      </c>
      <c r="W108" s="29" t="s">
        <v>23</v>
      </c>
      <c r="X108" s="29" t="s">
        <v>12</v>
      </c>
      <c r="Y108" s="29" t="s">
        <v>26</v>
      </c>
      <c r="Z108" s="29" t="s">
        <v>25</v>
      </c>
      <c r="AA108" s="29" t="s">
        <v>27</v>
      </c>
      <c r="AB108" s="31" t="s">
        <v>9</v>
      </c>
      <c r="AC108" s="29" t="s">
        <v>23</v>
      </c>
      <c r="AD108" s="29" t="s">
        <v>12</v>
      </c>
      <c r="AE108" s="29" t="s">
        <v>26</v>
      </c>
      <c r="AF108" s="29" t="s">
        <v>25</v>
      </c>
      <c r="AG108" s="29" t="s">
        <v>27</v>
      </c>
      <c r="AH108" s="29" t="s">
        <v>9</v>
      </c>
      <c r="AI108" s="29" t="s">
        <v>23</v>
      </c>
      <c r="AJ108" s="29" t="s">
        <v>12</v>
      </c>
      <c r="AK108" s="29" t="s">
        <v>26</v>
      </c>
      <c r="AL108" s="29" t="s">
        <v>25</v>
      </c>
      <c r="AM108" s="29" t="s">
        <v>27</v>
      </c>
      <c r="AN108" s="29" t="s">
        <v>9</v>
      </c>
      <c r="AO108" s="29" t="s">
        <v>23</v>
      </c>
      <c r="AP108" s="29" t="s">
        <v>12</v>
      </c>
      <c r="AQ108" s="29" t="s">
        <v>26</v>
      </c>
      <c r="AR108" s="29" t="s">
        <v>25</v>
      </c>
      <c r="AS108" s="29" t="s">
        <v>27</v>
      </c>
      <c r="AT108" s="29" t="s">
        <v>9</v>
      </c>
      <c r="AU108" s="29" t="s">
        <v>23</v>
      </c>
      <c r="AV108" s="29" t="s">
        <v>12</v>
      </c>
      <c r="AW108" s="29" t="s">
        <v>26</v>
      </c>
      <c r="AX108" s="29" t="s">
        <v>25</v>
      </c>
      <c r="AY108" s="29" t="s">
        <v>27</v>
      </c>
      <c r="AZ108" s="29" t="s">
        <v>9</v>
      </c>
      <c r="BA108" s="29" t="s">
        <v>23</v>
      </c>
      <c r="BB108" s="29" t="s">
        <v>12</v>
      </c>
      <c r="BC108" s="29" t="s">
        <v>26</v>
      </c>
      <c r="BD108" s="29" t="s">
        <v>25</v>
      </c>
      <c r="BE108" s="29" t="s">
        <v>27</v>
      </c>
      <c r="BF108" s="29" t="s">
        <v>9</v>
      </c>
      <c r="BG108" s="29" t="s">
        <v>23</v>
      </c>
      <c r="BH108" s="29" t="s">
        <v>12</v>
      </c>
      <c r="BI108" s="29" t="s">
        <v>26</v>
      </c>
      <c r="BJ108" s="29" t="s">
        <v>25</v>
      </c>
      <c r="BK108" s="29" t="s">
        <v>27</v>
      </c>
      <c r="BL108" s="29" t="s">
        <v>9</v>
      </c>
      <c r="BM108" s="29" t="s">
        <v>23</v>
      </c>
      <c r="BN108" s="29" t="s">
        <v>12</v>
      </c>
      <c r="BO108" s="29" t="s">
        <v>26</v>
      </c>
      <c r="BP108" s="29" t="s">
        <v>25</v>
      </c>
      <c r="BQ108" s="29" t="s">
        <v>27</v>
      </c>
      <c r="BR108" s="29" t="s">
        <v>9</v>
      </c>
      <c r="BS108" s="29" t="s">
        <v>23</v>
      </c>
      <c r="BT108" s="29" t="s">
        <v>12</v>
      </c>
      <c r="BU108" s="29" t="s">
        <v>26</v>
      </c>
      <c r="BV108" s="29" t="s">
        <v>25</v>
      </c>
      <c r="BW108" s="29" t="s">
        <v>27</v>
      </c>
      <c r="BX108" s="29" t="s">
        <v>9</v>
      </c>
      <c r="BY108" s="29" t="s">
        <v>23</v>
      </c>
      <c r="BZ108" s="29" t="s">
        <v>12</v>
      </c>
      <c r="CA108" s="29" t="s">
        <v>26</v>
      </c>
      <c r="CB108" s="29" t="s">
        <v>25</v>
      </c>
      <c r="CC108" s="29" t="s">
        <v>27</v>
      </c>
      <c r="CD108" s="29" t="s">
        <v>9</v>
      </c>
      <c r="CE108" s="29" t="s">
        <v>23</v>
      </c>
      <c r="CF108" s="29" t="s">
        <v>12</v>
      </c>
      <c r="CG108" s="29" t="s">
        <v>26</v>
      </c>
      <c r="CH108" s="29" t="s">
        <v>25</v>
      </c>
    </row>
    <row r="109" spans="1:86" s="8" customFormat="1" x14ac:dyDescent="0.2">
      <c r="A109" s="8" t="str">
        <f>IF(AND(COUNTIF(W$3:W$13,A$15)&gt;0,A$15&lt;&gt;B38),A$15,IFERROR(IF(MATCH(A$15,Z$3:Z$13,0)=4,A$15," ")," "))</f>
        <v xml:space="preserve"> </v>
      </c>
      <c r="B109" s="8" t="str">
        <f>IF(A109=" "," ",1)</f>
        <v xml:space="preserve"> </v>
      </c>
      <c r="C109" s="8" t="str">
        <f>IFERROR(INDEX(A109:A130,MATCH(SMALL(B109:B130,1),B109:B130,0),1)," ")</f>
        <v>C4</v>
      </c>
      <c r="D109" s="8">
        <f>IFERROR(VLOOKUP($C109,$A$15:$O$36,2,FALSE)," ")</f>
        <v>1</v>
      </c>
      <c r="E109" s="8">
        <f>IFERROR(VLOOKUP($C109,$A$15:$O$36,3,FALSE)," ")</f>
        <v>0</v>
      </c>
      <c r="F109" s="8">
        <f>IFERROR(VLOOKUP($C109,$A$15:$O$36,4,FALSE)," ")</f>
        <v>1</v>
      </c>
      <c r="G109" s="8">
        <f>IFERROR(VLOOKUP($C109,$A$15:$O$36,5,FALSE)," ")</f>
        <v>0</v>
      </c>
      <c r="H109" s="8">
        <f>IFERROR(VLOOKUP($C109,$A$15:$O$36,6,FALSE)," ")</f>
        <v>0</v>
      </c>
      <c r="I109" s="8">
        <f>IFERROR(VLOOKUP($C109,$A$15:$O$36,7,FALSE)," ")</f>
        <v>0</v>
      </c>
      <c r="J109" s="8">
        <f>IFERROR(VLOOKUP($C109,$A$15:$O$36,8,FALSE)," ")</f>
        <v>0</v>
      </c>
      <c r="K109" s="8">
        <f>IFERROR(VLOOKUP($C109,$A$15:$O$36,9,FALSE)," ")</f>
        <v>0</v>
      </c>
      <c r="L109" s="8">
        <f>IFERROR(VLOOKUP($C109,$A$15:$O$36,10,FALSE)," ")</f>
        <v>0</v>
      </c>
      <c r="M109" s="8">
        <f>IFERROR(VLOOKUP($C109,$A$15:$O$36,11,FALSE)," ")</f>
        <v>0</v>
      </c>
      <c r="N109" s="8">
        <f>IFERROR(VLOOKUP($C109,$A$15:$O$36,12,FALSE)," ")</f>
        <v>0</v>
      </c>
      <c r="O109" s="8">
        <f>IFERROR(VLOOKUP($C109,$A$15:$O$36,15,FALSE)," ")</f>
        <v>400</v>
      </c>
      <c r="P109" s="8" t="e">
        <f t="array" ref="P109:P119">MMULT(MINVERSE(D109:N119),O109:O119)</f>
        <v>#NUM!</v>
      </c>
      <c r="Q109" s="8" t="e">
        <f t="shared" ref="Q109" si="221">IF(COUNTIF(P109:P119,"&lt;"&amp;-0.001)=0,IF(ABS(P109)&lt;0.001,0,P109)," ")</f>
        <v>#NUM!</v>
      </c>
      <c r="R109" s="8" t="str">
        <f>IFERROR(VLOOKUP(B38,A$15:L$36,2,FALSE)*Q109+VLOOKUP(B38,A$15:L$36,3,FALSE)*Q110+VLOOKUP(B38,A$15:L$36,4,FALSE)*Q111+VLOOKUP(B38,A$15:L$36,5,FALSE)*Q112+VLOOKUP(B38,A$15:L$36,6,FALSE)*Q113+VLOOKUP(B38,A$15:L$36,7,FALSE)*Q114+VLOOKUP(B38,A$15:L$36,8,FALSE)*Q115+VLOOKUP(B38,A$15:L$36,9,FALSE)*Q116+VLOOKUP(B38,A$15:L$36,10,FALSE)*Q117+VLOOKUP(B38,A$15:L$36,11,FALSE)*Q118+VLOOKUP(B38,A$15:L$36,12,FALSE)*Q119," ")</f>
        <v xml:space="preserve"> </v>
      </c>
      <c r="S109" s="8" t="str">
        <f>IFERROR(IF(R109-VLOOKUP(B38,A$15:O$36,15,FALSE)&lt;0,R109-VLOOKUP(B38,A$15:O$36,15,FALSE)," ")," ")</f>
        <v xml:space="preserve"> </v>
      </c>
      <c r="T109" s="18" t="str">
        <f>IFERROR(IF(R109-VLOOKUP(B38,A$15:O$36,15,FALSE)&gt;0,R109-VLOOKUP(B38,A$15:O$36,15,FALSE)," ")," ")</f>
        <v xml:space="preserve"> </v>
      </c>
      <c r="U109" s="8">
        <f t="shared" ref="U109" si="222">$M$2</f>
        <v>100.00000000000001</v>
      </c>
      <c r="V109" s="8">
        <v>-1</v>
      </c>
      <c r="W109" s="8">
        <f t="shared" ref="W109" si="223">-SUMPRODUCT($M$3:$M$12,$N$3:$N$12)</f>
        <v>-105000</v>
      </c>
      <c r="X109" s="8" t="e">
        <f t="shared" ref="X109" si="224">IF(U109&lt;&gt;U110,MMULT(MINVERSE(U109:V110),W109:W110)," ")</f>
        <v>#NUM!</v>
      </c>
      <c r="Y109" s="8" t="str">
        <f t="shared" ref="Y109" si="225">IFERROR(IF(X109-VLOOKUP(U$38,$A$2:$N$12,14,FALSE)&lt;0,X109-VLOOKUP(U$38,$A$2:$N$12,14,FALSE)," ")," ")</f>
        <v xml:space="preserve"> </v>
      </c>
      <c r="Z109" s="8" t="str">
        <f t="shared" ref="Z109" si="226">IFERROR(IF(X109-VLOOKUP(U$38,$A$2:$N$12,14,FALSE)&gt;0,X109-VLOOKUP(U$38,$A$2:$N$12,14,FALSE)," ")," ")</f>
        <v xml:space="preserve"> </v>
      </c>
      <c r="AA109" s="8">
        <f t="shared" ref="AA109" si="227">$M$3</f>
        <v>0</v>
      </c>
      <c r="AB109" s="32">
        <v>-1</v>
      </c>
      <c r="AC109" s="8">
        <f t="shared" ref="AC109" si="228">-SUMPRODUCT($M$2:$M$2,$N$2:$N$2)-SUMPRODUCT($M$4:$M$12,$N$4:$N$12)</f>
        <v>-120000</v>
      </c>
      <c r="AD109" s="8" t="e">
        <f t="shared" ref="AD109" si="229">IF(AA109&lt;&gt;AA110,MMULT(MINVERSE(AA109:AB110),AC109:AC110)," ")</f>
        <v>#NUM!</v>
      </c>
      <c r="AE109" s="8" t="str">
        <f t="shared" ref="AE109" si="230">IFERROR(IF(AD109-VLOOKUP(AA$38,$A$2:$N$12,14,FALSE)&lt;0,AD109-VLOOKUP(AA$38,$A$2:$N$12,14,FALSE)," ")," ")</f>
        <v xml:space="preserve"> </v>
      </c>
      <c r="AF109" s="8" t="str">
        <f t="shared" ref="AF109" si="231">IFERROR(IF(AD109-VLOOKUP(AA$38,$A$2:$N$12,14,FALSE)&gt;0,AD109-VLOOKUP(AA$38,$A$2:$N$12,14,FALSE)," ")," ")</f>
        <v xml:space="preserve"> </v>
      </c>
      <c r="AG109" s="8">
        <f t="shared" ref="AG109" si="232">$M$4</f>
        <v>300</v>
      </c>
      <c r="AH109" s="8">
        <v>-1</v>
      </c>
      <c r="AI109" s="8">
        <f t="shared" ref="AI109" si="233">-SUMPRODUCT($M$2:$M$3,$N$2:$N$3)-SUMPRODUCT($M$5:$M$12,$N$5:$N$12)</f>
        <v>-15000.000000000002</v>
      </c>
      <c r="AJ109" s="8" t="e">
        <f t="shared" ref="AJ109" si="234">IF(AG109&lt;&gt;AG110,MMULT(MINVERSE(AG109:AH110),AI109:AI110)," ")</f>
        <v>#NUM!</v>
      </c>
      <c r="AK109" s="8" t="str">
        <f t="shared" ref="AK109" si="235">IFERROR(IF(AJ109-VLOOKUP(AG$38,$A$2:$N$12,14,FALSE)&lt;0,AJ109-VLOOKUP(AG$38,$A$2:$N$12,14,FALSE)," ")," ")</f>
        <v xml:space="preserve"> </v>
      </c>
      <c r="AL109" s="8" t="str">
        <f t="shared" ref="AL109" si="236">IFERROR(IF(AJ109-VLOOKUP(AG$38,$A$2:$N$12,14,FALSE)&gt;0,AJ109-VLOOKUP(AG$38,$A$2:$N$12,14,FALSE)," ")," ")</f>
        <v xml:space="preserve"> </v>
      </c>
      <c r="AM109" s="8">
        <f t="shared" ref="AM109" si="237">$M$5</f>
        <v>0</v>
      </c>
      <c r="AN109" s="8">
        <v>-1</v>
      </c>
      <c r="AO109" s="8">
        <f t="shared" ref="AO109" si="238">-SUMPRODUCT($M$2:$M$4,$N$2:$N$4)-SUMPRODUCT($M$6:$M$12,$N$6:$N$12)</f>
        <v>-120000</v>
      </c>
      <c r="AP109" s="8" t="e">
        <f t="shared" ref="AP109" si="239">IF(AM109&lt;&gt;AM110,MMULT(MINVERSE(AM109:AN110),AO109:AO110)," ")</f>
        <v>#NUM!</v>
      </c>
      <c r="AQ109" s="8" t="str">
        <f t="shared" ref="AQ109" si="240">IFERROR(IF(AP109-VLOOKUP(AM$38,$A$2:$N$12,14,FALSE)&lt;0,AP109-VLOOKUP(AM$38,$A$2:$N$12,14,FALSE)," ")," ")</f>
        <v xml:space="preserve"> </v>
      </c>
      <c r="AR109" s="8" t="str">
        <f t="shared" ref="AR109" si="241">IFERROR(IF(AP109-VLOOKUP(AM$38,$A$2:$N$12,14,FALSE)&gt;0,AP109-VLOOKUP(AM$38,$A$2:$N$12,14,FALSE)," ")," ")</f>
        <v xml:space="preserve"> </v>
      </c>
      <c r="AS109" s="8">
        <f t="shared" ref="AS109" si="242">$M$6</f>
        <v>0</v>
      </c>
      <c r="AT109" s="8">
        <v>-1</v>
      </c>
      <c r="AU109" s="8">
        <f t="shared" ref="AU109" si="243">-SUMPRODUCT($M$2:$M$5,$N$2:$N$5)-SUMPRODUCT($M$7:$M$12,$N$7:$N$12)</f>
        <v>-120000</v>
      </c>
      <c r="AV109" s="8" t="e">
        <f t="shared" ref="AV109" si="244">IF(AS109&lt;&gt;AS110,MMULT(MINVERSE(AS109:AT110),AU109:AU110)," ")</f>
        <v>#NUM!</v>
      </c>
      <c r="AW109" s="8" t="str">
        <f t="shared" ref="AW109" si="245">IFERROR(IF(AV109-VLOOKUP(AS$38,$A$2:$N$12,14,FALSE)&lt;0,AV109-VLOOKUP(AS$38,$A$2:$N$12,14,FALSE)," ")," ")</f>
        <v xml:space="preserve"> </v>
      </c>
      <c r="AX109" s="8" t="str">
        <f t="shared" ref="AX109" si="246">IFERROR(IF(AV109-VLOOKUP(AS$38,$A$2:$N$12,14,FALSE)&gt;0,AV109-VLOOKUP(AS$38,$A$2:$N$12,14,FALSE)," ")," ")</f>
        <v xml:space="preserve"> </v>
      </c>
      <c r="AY109" s="8">
        <f t="shared" ref="AY109" si="247">$M$7</f>
        <v>0</v>
      </c>
      <c r="AZ109" s="8">
        <v>-1</v>
      </c>
      <c r="BA109" s="8">
        <f t="shared" ref="BA109" si="248">-SUMPRODUCT($M$2:$M$6,$N$2:$N$6)-SUMPRODUCT($M$8:$M$12,$N$8:$N$12)</f>
        <v>-120000</v>
      </c>
      <c r="BB109" s="8" t="e">
        <f t="shared" ref="BB109" si="249">IF(AY109&lt;&gt;AY110,MMULT(MINVERSE(AY109:AZ110),BA109:BA110)," ")</f>
        <v>#NUM!</v>
      </c>
      <c r="BC109" s="8" t="str">
        <f t="shared" ref="BC109" si="250">IFERROR(IF(BB109-VLOOKUP(AY$38,$A$2:$N$12,14,FALSE)&lt;0,BB109-VLOOKUP(AY$38,$A$2:$N$12,14,FALSE)," ")," ")</f>
        <v xml:space="preserve"> </v>
      </c>
      <c r="BD109" s="8" t="str">
        <f t="shared" ref="BD109" si="251">IFERROR(IF(BB109-VLOOKUP(AY$38,$A$2:$N$12,14,FALSE)&gt;0,BB109-VLOOKUP(AY$38,$A$2:$N$12,14,FALSE)," ")," ")</f>
        <v xml:space="preserve"> </v>
      </c>
      <c r="BE109" s="8">
        <f t="shared" ref="BE109" si="252">$M$8</f>
        <v>0</v>
      </c>
      <c r="BF109" s="8">
        <v>-1</v>
      </c>
      <c r="BG109" s="8">
        <f t="shared" ref="BG109" si="253">-SUMPRODUCT($M$2:$M$7,$N$2:$N$7)-SUMPRODUCT($M$9:$M$12,$N$9:$N$12)</f>
        <v>-120000</v>
      </c>
      <c r="BH109" s="8" t="e">
        <f t="shared" ref="BH109" si="254">IF(BE109&lt;&gt;BE110,MMULT(MINVERSE(BE109:BF110),BG109:BG110)," ")</f>
        <v>#NUM!</v>
      </c>
      <c r="BI109" s="8" t="str">
        <f t="shared" ref="BI109" si="255">IFERROR(IF(BH109-VLOOKUP(BE$38,$A$2:$N$12,14,FALSE)&lt;0,BH109-VLOOKUP(BE$38,$A$2:$N$12,14,FALSE)," ")," ")</f>
        <v xml:space="preserve"> </v>
      </c>
      <c r="BJ109" s="8" t="str">
        <f t="shared" ref="BJ109" si="256">IFERROR(IF(BH109-VLOOKUP(BE$38,$A$2:$N$12,14,FALSE)&gt;0,BH109-VLOOKUP(BE$38,$A$2:$N$12,14,FALSE)," ")," ")</f>
        <v xml:space="preserve"> </v>
      </c>
      <c r="BK109" s="8">
        <f t="shared" ref="BK109" si="257">$M$9</f>
        <v>0</v>
      </c>
      <c r="BL109" s="8">
        <v>-1</v>
      </c>
      <c r="BM109" s="8">
        <f t="shared" ref="BM109" si="258">-SUMPRODUCT($M$2:$M$8,$N$2:$N$8)-SUMPRODUCT($M$10:$M$12,$N$10:$N$12)</f>
        <v>-120000</v>
      </c>
      <c r="BN109" s="8" t="e">
        <f t="shared" ref="BN109" si="259">IF(BK109&lt;&gt;BK110,MMULT(MINVERSE(BK109:BL110),BM109:BM110)," ")</f>
        <v>#NUM!</v>
      </c>
      <c r="BO109" s="8" t="str">
        <f t="shared" ref="BO109" si="260">IFERROR(IF(BN109-VLOOKUP(BK$38,$A$2:$N$12,14,FALSE)&lt;0,BN109-VLOOKUP(BK$38,$A$2:$N$12,14,FALSE)," ")," ")</f>
        <v xml:space="preserve"> </v>
      </c>
      <c r="BP109" s="8" t="str">
        <f t="shared" ref="BP109" si="261">IFERROR(IF(BN109-VLOOKUP(BK$38,$A$2:$N$12,14,FALSE)&gt;0,BN109-VLOOKUP(BK$38,$A$2:$N$12,14,FALSE)," ")," ")</f>
        <v xml:space="preserve"> </v>
      </c>
      <c r="BQ109" s="8">
        <f t="shared" ref="BQ109" si="262">$M$10</f>
        <v>0</v>
      </c>
      <c r="BR109" s="8">
        <v>-1</v>
      </c>
      <c r="BS109" s="8">
        <f t="shared" ref="BS109" si="263">-SUMPRODUCT($M$2:$M$9,$N$2:$N$9)-SUMPRODUCT($M$11:$M$12,$N$11:$N$12)</f>
        <v>-120000</v>
      </c>
      <c r="BT109" s="8" t="e">
        <f t="shared" ref="BT109" si="264">IF(BQ109&lt;&gt;BQ110,MMULT(MINVERSE(BQ109:BR110),BS109:BS110)," ")</f>
        <v>#NUM!</v>
      </c>
      <c r="BU109" s="8" t="str">
        <f t="shared" ref="BU109" si="265">IFERROR(IF(BT109-VLOOKUP(BQ$38,$A$2:$N$12,14,FALSE)&lt;0,BT109-VLOOKUP(BQ$38,$A$2:$N$12,14,FALSE)," ")," ")</f>
        <v xml:space="preserve"> </v>
      </c>
      <c r="BV109" s="8" t="str">
        <f t="shared" ref="BV109" si="266">IFERROR(IF(BT109-VLOOKUP(BQ$38,$A$2:$N$12,14,FALSE)&gt;0,BT109-VLOOKUP(BQ$38,$A$2:$N$12,14,FALSE)," ")," ")</f>
        <v xml:space="preserve"> </v>
      </c>
      <c r="BW109" s="8">
        <f t="shared" ref="BW109" si="267">$M$11</f>
        <v>0</v>
      </c>
      <c r="BX109" s="8">
        <v>-1</v>
      </c>
      <c r="BY109" s="8">
        <f t="shared" ref="BY109" si="268">-SUMPRODUCT($M$2:$M$10,$N$2:$N$10)-SUMPRODUCT($M$12,$N$12)</f>
        <v>-120000</v>
      </c>
      <c r="BZ109" s="8" t="e">
        <f t="shared" ref="BZ109" si="269">IF(BW109&lt;&gt;BW110,MMULT(MINVERSE(BW109:BX110),BY109:BY110)," ")</f>
        <v>#NUM!</v>
      </c>
      <c r="CA109" s="8" t="str">
        <f t="shared" ref="CA109" si="270">IFERROR(IF(BZ109-VLOOKUP(BW$38,$A$2:$N$12,14,FALSE)&lt;0,BZ109-VLOOKUP(BW$38,$A$2:$N$12,14,FALSE)," ")," ")</f>
        <v xml:space="preserve"> </v>
      </c>
      <c r="CB109" s="8" t="str">
        <f t="shared" ref="CB109" si="271">IFERROR(IF(BZ109-VLOOKUP(BW$38,$A$2:$N$12,14,FALSE)&gt;0,BZ109-VLOOKUP(BW$38,$A$2:$N$12,14,FALSE)," ")," ")</f>
        <v xml:space="preserve"> </v>
      </c>
      <c r="CC109" s="8">
        <f t="shared" ref="CC109" si="272">$M$12</f>
        <v>0</v>
      </c>
      <c r="CD109" s="8">
        <v>-1</v>
      </c>
      <c r="CE109" s="8">
        <f t="shared" ref="CE109" si="273">-SUMPRODUCT($M$2:$M$11,$N$2:$N$11)</f>
        <v>-120000</v>
      </c>
      <c r="CF109" s="8" t="e">
        <f t="shared" ref="CF109" si="274">IF(CC109&lt;&gt;CC110,MMULT(MINVERSE(CC109:CD110),CE109:CE110)," ")</f>
        <v>#NUM!</v>
      </c>
      <c r="CG109" s="8" t="str">
        <f t="shared" ref="CG109" si="275">IFERROR(IF(CF109-VLOOKUP(CC$38,$A$2:$N$12,14,FALSE)&lt;0,CF109-VLOOKUP(CC$38,$A$2:$N$12,14,FALSE)," ")," ")</f>
        <v xml:space="preserve"> </v>
      </c>
      <c r="CH109" s="8" t="str">
        <f t="shared" ref="CH109" si="276">IFERROR(IF(CF109-VLOOKUP(CC$38,$A$2:$N$12,14,FALSE)&gt;0,CF109-VLOOKUP(CC$38,$A$2:$N$12,14,FALSE)," ")," ")</f>
        <v xml:space="preserve"> </v>
      </c>
    </row>
    <row r="110" spans="1:86" s="8" customFormat="1" x14ac:dyDescent="0.2">
      <c r="A110" s="8" t="str">
        <f>IF(AND(COUNTIF(W$3:W$13,A$16)&gt;0,A$16&lt;&gt;B38),A$16,IFERROR(IF(MATCH(A$16,Z$3:Z$13,0)=4,A$16," ")," "))</f>
        <v xml:space="preserve"> </v>
      </c>
      <c r="B110" s="8" t="str">
        <f>IF(A110=" "," ",MAX(B109:B109)+1)</f>
        <v xml:space="preserve"> </v>
      </c>
      <c r="C110" s="8" t="str">
        <f>IFERROR(INDEX(A109:A130,MATCH(SMALL(B109:B130,2),B109:B130,0),1)," ")</f>
        <v>C6</v>
      </c>
      <c r="D110" s="8">
        <f t="shared" ref="D110:D119" si="277">IFERROR(VLOOKUP($C110,$A$15:$O$36,2,FALSE)," ")</f>
        <v>0</v>
      </c>
      <c r="E110" s="8">
        <f t="shared" ref="E110:E119" si="278">IFERROR(VLOOKUP($C110,$A$15:$O$36,3,FALSE)," ")</f>
        <v>0</v>
      </c>
      <c r="F110" s="8">
        <f t="shared" ref="F110:F119" si="279">IFERROR(VLOOKUP($C110,$A$15:$O$36,4,FALSE)," ")</f>
        <v>0</v>
      </c>
      <c r="G110" s="8">
        <f t="shared" ref="G110:G119" si="280">IFERROR(VLOOKUP($C110,$A$15:$O$36,5,FALSE)," ")</f>
        <v>0</v>
      </c>
      <c r="H110" s="8">
        <f t="shared" ref="H110:H119" si="281">IFERROR(VLOOKUP($C110,$A$15:$O$36,6,FALSE)," ")</f>
        <v>0</v>
      </c>
      <c r="I110" s="8">
        <f t="shared" ref="I110:I119" si="282">IFERROR(VLOOKUP($C110,$A$15:$O$36,7,FALSE)," ")</f>
        <v>0</v>
      </c>
      <c r="J110" s="8">
        <f t="shared" ref="J110:J119" si="283">IFERROR(VLOOKUP($C110,$A$15:$O$36,8,FALSE)," ")</f>
        <v>0</v>
      </c>
      <c r="K110" s="8">
        <f t="shared" ref="K110:K119" si="284">IFERROR(VLOOKUP($C110,$A$15:$O$36,9,FALSE)," ")</f>
        <v>0</v>
      </c>
      <c r="L110" s="8">
        <f t="shared" ref="L110:L119" si="285">IFERROR(VLOOKUP($C110,$A$15:$O$36,10,FALSE)," ")</f>
        <v>0</v>
      </c>
      <c r="M110" s="8">
        <f t="shared" ref="M110:M119" si="286">IFERROR(VLOOKUP($C110,$A$15:$O$36,11,FALSE)," ")</f>
        <v>0</v>
      </c>
      <c r="N110" s="8">
        <f t="shared" ref="N110:N119" si="287">IFERROR(VLOOKUP($C110,$A$15:$O$36,12,FALSE)," ")</f>
        <v>0</v>
      </c>
      <c r="O110" s="8">
        <f t="shared" ref="O110:O119" si="288">IFERROR(VLOOKUP($C110,$A$15:$O$36,15,FALSE)," ")</f>
        <v>0</v>
      </c>
      <c r="P110" s="8" t="e">
        <v>#NUM!</v>
      </c>
      <c r="Q110" s="8" t="e">
        <f t="shared" ref="Q110" si="289">IF(COUNTIF(P109:P119,"&lt;"&amp;-0.001)=0,IF(ABS(P110)&lt;0.001,0,P110)," ")</f>
        <v>#NUM!</v>
      </c>
      <c r="T110" s="18"/>
      <c r="U110" s="8" t="e">
        <f t="shared" ref="U110" si="290">$Q109</f>
        <v>#NUM!</v>
      </c>
      <c r="V110" s="8">
        <v>-1</v>
      </c>
      <c r="W110" s="8" t="e">
        <f t="shared" ref="W110" si="291">-SUMPRODUCT($Q110:$Q119,$N$3:$N$12)</f>
        <v>#NUM!</v>
      </c>
      <c r="AA110" s="8" t="e">
        <f t="shared" ref="AA110" si="292">$Q110</f>
        <v>#NUM!</v>
      </c>
      <c r="AB110" s="32">
        <v>-1</v>
      </c>
      <c r="AC110" s="8" t="e">
        <f t="shared" ref="AC110" si="293">-SUMPRODUCT($Q109:$Q109,$N$2:$N$2)-SUMPRODUCT($Q111:$Q119,$N$4:$N$12)</f>
        <v>#NUM!</v>
      </c>
      <c r="AG110" s="8" t="e">
        <f t="shared" ref="AG110" si="294">$Q111</f>
        <v>#NUM!</v>
      </c>
      <c r="AH110" s="8">
        <v>-1</v>
      </c>
      <c r="AI110" s="8" t="e">
        <f t="shared" ref="AI110" si="295">-SUMPRODUCT($Q109:$Q110,$N$2:$N$3)-SUMPRODUCT($Q112:$Q119,$N$5:$N$12)</f>
        <v>#NUM!</v>
      </c>
      <c r="AM110" s="8" t="e">
        <f t="shared" ref="AM110" si="296">$Q112</f>
        <v>#NUM!</v>
      </c>
      <c r="AN110" s="8">
        <v>-1</v>
      </c>
      <c r="AO110" s="8" t="e">
        <f t="shared" ref="AO110" si="297">-SUMPRODUCT($Q109:$Q111,$N$2:$N$4)-SUMPRODUCT($Q113:$Q119,$N$6:$N$12)</f>
        <v>#NUM!</v>
      </c>
      <c r="AS110" s="8" t="e">
        <f t="shared" ref="AS110" si="298">$Q113</f>
        <v>#NUM!</v>
      </c>
      <c r="AT110" s="8">
        <v>-1</v>
      </c>
      <c r="AU110" s="8" t="e">
        <f t="shared" ref="AU110" si="299">-SUMPRODUCT($Q109:$Q112,$N$2:$N$5)-SUMPRODUCT($Q114:$Q119,$N$7:$N$12)</f>
        <v>#NUM!</v>
      </c>
      <c r="AY110" s="8" t="e">
        <f t="shared" ref="AY110" si="300">$Q114</f>
        <v>#NUM!</v>
      </c>
      <c r="AZ110" s="8">
        <v>-1</v>
      </c>
      <c r="BA110" s="8" t="e">
        <f t="shared" ref="BA110" si="301">-SUMPRODUCT($Q109:$Q113,$N$2:$N$6)-SUMPRODUCT($Q115:$Q119,$N$8:$N$12)</f>
        <v>#NUM!</v>
      </c>
      <c r="BE110" s="8" t="e">
        <f t="shared" ref="BE110" si="302">$Q115</f>
        <v>#NUM!</v>
      </c>
      <c r="BF110" s="8">
        <v>-1</v>
      </c>
      <c r="BG110" s="8" t="e">
        <f t="shared" ref="BG110" si="303">-SUMPRODUCT($Q109:$Q114,$N$2:$N$7)-SUMPRODUCT($Q116:$Q119,$N$9:$N$12)</f>
        <v>#NUM!</v>
      </c>
      <c r="BK110" s="8" t="e">
        <f t="shared" ref="BK110" si="304">$Q116</f>
        <v>#NUM!</v>
      </c>
      <c r="BL110" s="8">
        <v>-1</v>
      </c>
      <c r="BM110" s="8" t="e">
        <f t="shared" ref="BM110" si="305">-SUMPRODUCT($Q109:$Q115,$N$2:$N$8)-SUMPRODUCT($Q117:$Q119,$N$10:$N$12)</f>
        <v>#NUM!</v>
      </c>
      <c r="BQ110" s="8" t="e">
        <f t="shared" ref="BQ110" si="306">$Q117</f>
        <v>#NUM!</v>
      </c>
      <c r="BR110" s="8">
        <v>-1</v>
      </c>
      <c r="BS110" s="8" t="e">
        <f t="shared" ref="BS110" si="307">-SUMPRODUCT($Q109:$Q116,$N$2:$N$9)-SUMPRODUCT($Q118:$Q119,$N$11:$N$12)</f>
        <v>#NUM!</v>
      </c>
      <c r="BW110" s="8" t="e">
        <f t="shared" ref="BW110" si="308">$Q118</f>
        <v>#NUM!</v>
      </c>
      <c r="BX110" s="8">
        <v>-1</v>
      </c>
      <c r="BY110" s="8" t="e">
        <f t="shared" ref="BY110" si="309">-SUMPRODUCT($Q109:$Q117,$N$2:$N$10)-SUMPRODUCT($Q119,$N$12)</f>
        <v>#NUM!</v>
      </c>
      <c r="CC110" s="8" t="e">
        <f t="shared" ref="CC110" si="310">$Q119</f>
        <v>#NUM!</v>
      </c>
      <c r="CD110" s="8">
        <v>-1</v>
      </c>
      <c r="CE110" s="8" t="e">
        <f t="shared" ref="CE110" si="311">-SUMPRODUCT($Q109:$Q118,$N$2:$N$11)</f>
        <v>#NUM!</v>
      </c>
    </row>
    <row r="111" spans="1:86" s="8" customFormat="1" x14ac:dyDescent="0.2">
      <c r="A111" s="8" t="str">
        <f>IF(AND(COUNTIF(W$3:W$13,A$17)&gt;0,A$17&lt;&gt;B38),A$17,IFERROR(IF(MATCH(A$17,Z$3:Z$13,0)=4,A$17," ")," "))</f>
        <v xml:space="preserve"> </v>
      </c>
      <c r="B111" s="8" t="str">
        <f>IF(A111=" "," ",MAX(B109:B110)+1)</f>
        <v xml:space="preserve"> </v>
      </c>
      <c r="C111" s="8" t="str">
        <f>IFERROR(INDEX(A109:A130,MATCH(SMALL(B109:B130,3),B109:B130,0),1)," ")</f>
        <v>C13</v>
      </c>
      <c r="D111" s="8">
        <f t="shared" si="277"/>
        <v>0</v>
      </c>
      <c r="E111" s="8">
        <f t="shared" si="278"/>
        <v>1</v>
      </c>
      <c r="F111" s="8">
        <f t="shared" si="279"/>
        <v>0</v>
      </c>
      <c r="G111" s="8">
        <f t="shared" si="280"/>
        <v>0</v>
      </c>
      <c r="H111" s="8">
        <f t="shared" si="281"/>
        <v>0</v>
      </c>
      <c r="I111" s="8">
        <f t="shared" si="282"/>
        <v>0</v>
      </c>
      <c r="J111" s="8">
        <f t="shared" si="283"/>
        <v>0</v>
      </c>
      <c r="K111" s="8">
        <f t="shared" si="284"/>
        <v>0</v>
      </c>
      <c r="L111" s="8">
        <f t="shared" si="285"/>
        <v>0</v>
      </c>
      <c r="M111" s="8">
        <f t="shared" si="286"/>
        <v>0</v>
      </c>
      <c r="N111" s="8">
        <f t="shared" si="287"/>
        <v>0</v>
      </c>
      <c r="O111" s="8">
        <f t="shared" si="288"/>
        <v>0</v>
      </c>
      <c r="P111" s="8" t="e">
        <v>#NUM!</v>
      </c>
      <c r="Q111" s="8" t="e">
        <f t="shared" ref="Q111" si="312">IF(COUNTIF(P109:P119,"&lt;"&amp;-0.001)=0,IF(ABS(P111)&lt;0.001,0,P111)," ")</f>
        <v>#NUM!</v>
      </c>
      <c r="T111" s="18"/>
      <c r="AB111" s="32"/>
    </row>
    <row r="112" spans="1:86" s="8" customFormat="1" x14ac:dyDescent="0.2">
      <c r="A112" s="8" t="str">
        <f>IF(AND(COUNTIF(W$3:W$13,A$18)&gt;0,A$18&lt;&gt;B38),A$18,IFERROR(IF(MATCH(A$18,Z$3:Z$13,0)=4,A$18," ")," "))</f>
        <v>C4</v>
      </c>
      <c r="B112" s="8">
        <f>IF(A112=" "," ",MAX(B109:B111)+1)</f>
        <v>1</v>
      </c>
      <c r="C112" s="8" t="str">
        <f>IFERROR(INDEX(A109:A130,MATCH(SMALL(B109:B130,4),B109:B130,0),1)," ")</f>
        <v>C15</v>
      </c>
      <c r="D112" s="8">
        <f t="shared" si="277"/>
        <v>0</v>
      </c>
      <c r="E112" s="8">
        <f t="shared" si="278"/>
        <v>0</v>
      </c>
      <c r="F112" s="8">
        <f t="shared" si="279"/>
        <v>0</v>
      </c>
      <c r="G112" s="8">
        <f t="shared" si="280"/>
        <v>1</v>
      </c>
      <c r="H112" s="8">
        <f t="shared" si="281"/>
        <v>0</v>
      </c>
      <c r="I112" s="8">
        <f t="shared" si="282"/>
        <v>0</v>
      </c>
      <c r="J112" s="8">
        <f t="shared" si="283"/>
        <v>0</v>
      </c>
      <c r="K112" s="8">
        <f t="shared" si="284"/>
        <v>0</v>
      </c>
      <c r="L112" s="8">
        <f t="shared" si="285"/>
        <v>0</v>
      </c>
      <c r="M112" s="8">
        <f t="shared" si="286"/>
        <v>0</v>
      </c>
      <c r="N112" s="8">
        <f t="shared" si="287"/>
        <v>0</v>
      </c>
      <c r="O112" s="8">
        <f t="shared" si="288"/>
        <v>0</v>
      </c>
      <c r="P112" s="8" t="e">
        <v>#NUM!</v>
      </c>
      <c r="Q112" s="8" t="e">
        <f t="shared" ref="Q112" si="313">IF(COUNTIF(P109:P119,"&lt;"&amp;-0.001)=0,IF(ABS(P112)&lt;0.001,0,P112)," ")</f>
        <v>#NUM!</v>
      </c>
      <c r="T112" s="18"/>
      <c r="AB112" s="32"/>
    </row>
    <row r="113" spans="1:28" s="8" customFormat="1" x14ac:dyDescent="0.2">
      <c r="A113" s="8" t="str">
        <f>IF(AND(COUNTIF(W$3:W$13,A$19)&gt;0,A$19&lt;&gt;B38),A$19,IFERROR(IF(MATCH(A$19,Z$3:Z$13,0)=4,A$19," ")," "))</f>
        <v xml:space="preserve"> </v>
      </c>
      <c r="B113" s="8" t="str">
        <f>IF(A113=" "," ",MAX(B109:B112)+1)</f>
        <v xml:space="preserve"> </v>
      </c>
      <c r="C113" s="8" t="str">
        <f>IFERROR(INDEX(A109:A130,MATCH(SMALL(B109:B130,5),B109:B130,0),1)," ")</f>
        <v>C16</v>
      </c>
      <c r="D113" s="8">
        <f t="shared" si="277"/>
        <v>0</v>
      </c>
      <c r="E113" s="8">
        <f t="shared" si="278"/>
        <v>0</v>
      </c>
      <c r="F113" s="8">
        <f t="shared" si="279"/>
        <v>0</v>
      </c>
      <c r="G113" s="8">
        <f t="shared" si="280"/>
        <v>0</v>
      </c>
      <c r="H113" s="8">
        <f t="shared" si="281"/>
        <v>1</v>
      </c>
      <c r="I113" s="8">
        <f t="shared" si="282"/>
        <v>0</v>
      </c>
      <c r="J113" s="8">
        <f t="shared" si="283"/>
        <v>0</v>
      </c>
      <c r="K113" s="8">
        <f t="shared" si="284"/>
        <v>0</v>
      </c>
      <c r="L113" s="8">
        <f t="shared" si="285"/>
        <v>0</v>
      </c>
      <c r="M113" s="8">
        <f t="shared" si="286"/>
        <v>0</v>
      </c>
      <c r="N113" s="8">
        <f t="shared" si="287"/>
        <v>0</v>
      </c>
      <c r="O113" s="8">
        <f t="shared" si="288"/>
        <v>0</v>
      </c>
      <c r="P113" s="8" t="e">
        <v>#NUM!</v>
      </c>
      <c r="Q113" s="8" t="e">
        <f t="shared" ref="Q113" si="314">IF(COUNTIF(P109:P119,"&lt;"&amp;-0.001)=0,IF(ABS(P113)&lt;0.001,0,P113)," ")</f>
        <v>#NUM!</v>
      </c>
      <c r="T113" s="18"/>
      <c r="AB113" s="32"/>
    </row>
    <row r="114" spans="1:28" s="8" customFormat="1" x14ac:dyDescent="0.2">
      <c r="A114" s="8" t="str">
        <f>IF(AND(COUNTIF(W$3:W$13,A$20)&gt;0,A$20&lt;&gt;B38),A$20,IFERROR(IF(MATCH(A$20,Z$3:Z$13,0)=4,A$20," ")," "))</f>
        <v>C6</v>
      </c>
      <c r="B114" s="8">
        <f>IF(A114=" "," ",MAX(B109:B113)+1)</f>
        <v>2</v>
      </c>
      <c r="C114" s="8" t="str">
        <f>IFERROR(INDEX(A109:A130,MATCH(SMALL(B109:B130,6),B109:B130,0),1)," ")</f>
        <v>C17</v>
      </c>
      <c r="D114" s="8">
        <f t="shared" si="277"/>
        <v>0</v>
      </c>
      <c r="E114" s="8">
        <f t="shared" si="278"/>
        <v>0</v>
      </c>
      <c r="F114" s="8">
        <f t="shared" si="279"/>
        <v>0</v>
      </c>
      <c r="G114" s="8">
        <f t="shared" si="280"/>
        <v>0</v>
      </c>
      <c r="H114" s="8">
        <f t="shared" si="281"/>
        <v>0</v>
      </c>
      <c r="I114" s="8">
        <f t="shared" si="282"/>
        <v>1</v>
      </c>
      <c r="J114" s="8">
        <f t="shared" si="283"/>
        <v>0</v>
      </c>
      <c r="K114" s="8">
        <f t="shared" si="284"/>
        <v>0</v>
      </c>
      <c r="L114" s="8">
        <f t="shared" si="285"/>
        <v>0</v>
      </c>
      <c r="M114" s="8">
        <f t="shared" si="286"/>
        <v>0</v>
      </c>
      <c r="N114" s="8">
        <f t="shared" si="287"/>
        <v>0</v>
      </c>
      <c r="O114" s="8">
        <f t="shared" si="288"/>
        <v>0</v>
      </c>
      <c r="P114" s="8" t="e">
        <v>#NUM!</v>
      </c>
      <c r="Q114" s="8" t="e">
        <f t="shared" ref="Q114" si="315">IF(COUNTIF(P109:P119,"&lt;"&amp;-0.001)=0,IF(ABS(P114)&lt;0.001,0,P114)," ")</f>
        <v>#NUM!</v>
      </c>
      <c r="T114" s="18"/>
      <c r="AB114" s="32"/>
    </row>
    <row r="115" spans="1:28" s="8" customFormat="1" x14ac:dyDescent="0.2">
      <c r="A115" s="8" t="str">
        <f>IF(AND(COUNTIF(W$3:W$13,A$21)&gt;0,A$21&lt;&gt;B38),A$21,IFERROR(IF(MATCH(A$21,Z$3:Z$13,0)=4,A$21," ")," "))</f>
        <v xml:space="preserve"> </v>
      </c>
      <c r="B115" s="8" t="str">
        <f>IF(A115=" "," ",MAX(B109:B114)+1)</f>
        <v xml:space="preserve"> </v>
      </c>
      <c r="C115" s="8" t="str">
        <f>IFERROR(INDEX(A109:A130,MATCH(SMALL(B109:B130,7),B109:B130,0),1)," ")</f>
        <v>C18</v>
      </c>
      <c r="D115" s="8">
        <f t="shared" si="277"/>
        <v>0</v>
      </c>
      <c r="E115" s="8">
        <f t="shared" si="278"/>
        <v>0</v>
      </c>
      <c r="F115" s="8">
        <f t="shared" si="279"/>
        <v>0</v>
      </c>
      <c r="G115" s="8">
        <f t="shared" si="280"/>
        <v>0</v>
      </c>
      <c r="H115" s="8">
        <f t="shared" si="281"/>
        <v>0</v>
      </c>
      <c r="I115" s="8">
        <f t="shared" si="282"/>
        <v>0</v>
      </c>
      <c r="J115" s="8">
        <f t="shared" si="283"/>
        <v>1</v>
      </c>
      <c r="K115" s="8">
        <f t="shared" si="284"/>
        <v>0</v>
      </c>
      <c r="L115" s="8">
        <f t="shared" si="285"/>
        <v>0</v>
      </c>
      <c r="M115" s="8">
        <f t="shared" si="286"/>
        <v>0</v>
      </c>
      <c r="N115" s="8">
        <f t="shared" si="287"/>
        <v>0</v>
      </c>
      <c r="O115" s="8">
        <f t="shared" si="288"/>
        <v>0</v>
      </c>
      <c r="P115" s="8" t="e">
        <v>#NUM!</v>
      </c>
      <c r="Q115" s="8" t="e">
        <f t="shared" ref="Q115" si="316">IF(COUNTIF(P109:P119,"&lt;"&amp;-0.001)=0,IF(ABS(P115)&lt;0.001,0,P115)," ")</f>
        <v>#NUM!</v>
      </c>
      <c r="T115" s="18"/>
      <c r="AB115" s="32"/>
    </row>
    <row r="116" spans="1:28" s="8" customFormat="1" x14ac:dyDescent="0.2">
      <c r="A116" s="8" t="str">
        <f>IF(AND(COUNTIF(W$3:W$13,A$22)&gt;0,A$22&lt;&gt;B38),A$22,IFERROR(IF(MATCH(A$22,Z$3:Z$13,0)=4,A$22," ")," "))</f>
        <v xml:space="preserve"> </v>
      </c>
      <c r="B116" s="8" t="str">
        <f>IF(A116=" "," ",MAX(B109:B115)+1)</f>
        <v xml:space="preserve"> </v>
      </c>
      <c r="C116" s="8" t="str">
        <f>IFERROR(INDEX(A109:A130,MATCH(SMALL(B109:B130,8),B109:B130,0),1)," ")</f>
        <v>C19</v>
      </c>
      <c r="D116" s="8">
        <f t="shared" si="277"/>
        <v>0</v>
      </c>
      <c r="E116" s="8">
        <f t="shared" si="278"/>
        <v>0</v>
      </c>
      <c r="F116" s="8">
        <f t="shared" si="279"/>
        <v>0</v>
      </c>
      <c r="G116" s="8">
        <f t="shared" si="280"/>
        <v>0</v>
      </c>
      <c r="H116" s="8">
        <f t="shared" si="281"/>
        <v>0</v>
      </c>
      <c r="I116" s="8">
        <f t="shared" si="282"/>
        <v>0</v>
      </c>
      <c r="J116" s="8">
        <f t="shared" si="283"/>
        <v>0</v>
      </c>
      <c r="K116" s="8">
        <f t="shared" si="284"/>
        <v>1</v>
      </c>
      <c r="L116" s="8">
        <f t="shared" si="285"/>
        <v>0</v>
      </c>
      <c r="M116" s="8">
        <f t="shared" si="286"/>
        <v>0</v>
      </c>
      <c r="N116" s="8">
        <f t="shared" si="287"/>
        <v>0</v>
      </c>
      <c r="O116" s="8">
        <f t="shared" si="288"/>
        <v>0</v>
      </c>
      <c r="P116" s="8" t="e">
        <v>#NUM!</v>
      </c>
      <c r="Q116" s="8" t="e">
        <f t="shared" ref="Q116" si="317">IF(COUNTIF(P109:P119,"&lt;"&amp;-0.001)=0,IF(ABS(P116)&lt;0.001,0,P116)," ")</f>
        <v>#NUM!</v>
      </c>
      <c r="T116" s="18"/>
      <c r="AB116" s="32"/>
    </row>
    <row r="117" spans="1:28" s="8" customFormat="1" x14ac:dyDescent="0.2">
      <c r="A117" s="8" t="str">
        <f>IF(AND(COUNTIF(W$3:W$13,A$23)&gt;0,A$23&lt;&gt;B38),A$23,IFERROR(IF(MATCH(A$23,Z$3:Z$13,0)=4,A$23," ")," "))</f>
        <v xml:space="preserve"> </v>
      </c>
      <c r="B117" s="8" t="str">
        <f>IF(A117=" "," ",MAX(B109:B116)+1)</f>
        <v xml:space="preserve"> </v>
      </c>
      <c r="C117" s="8" t="str">
        <f>IFERROR(INDEX(A109:A130,MATCH(SMALL(B109:B130,9),B109:B130,0),1)," ")</f>
        <v>C20</v>
      </c>
      <c r="D117" s="8">
        <f t="shared" si="277"/>
        <v>0</v>
      </c>
      <c r="E117" s="8">
        <f t="shared" si="278"/>
        <v>0</v>
      </c>
      <c r="F117" s="8">
        <f t="shared" si="279"/>
        <v>0</v>
      </c>
      <c r="G117" s="8">
        <f t="shared" si="280"/>
        <v>0</v>
      </c>
      <c r="H117" s="8">
        <f t="shared" si="281"/>
        <v>0</v>
      </c>
      <c r="I117" s="8">
        <f t="shared" si="282"/>
        <v>0</v>
      </c>
      <c r="J117" s="8">
        <f t="shared" si="283"/>
        <v>0</v>
      </c>
      <c r="K117" s="8">
        <f t="shared" si="284"/>
        <v>0</v>
      </c>
      <c r="L117" s="8">
        <f t="shared" si="285"/>
        <v>1</v>
      </c>
      <c r="M117" s="8">
        <f t="shared" si="286"/>
        <v>0</v>
      </c>
      <c r="N117" s="8">
        <f t="shared" si="287"/>
        <v>0</v>
      </c>
      <c r="O117" s="8">
        <f t="shared" si="288"/>
        <v>0</v>
      </c>
      <c r="P117" s="6" t="e">
        <v>#NUM!</v>
      </c>
      <c r="Q117" s="8" t="e">
        <f t="shared" ref="Q117" si="318">IF(COUNTIF(P109:P119,"&lt;"&amp;-0.001)=0,IF(ABS(P117)&lt;0.001,0,P117)," ")</f>
        <v>#NUM!</v>
      </c>
      <c r="T117" s="18"/>
      <c r="AB117" s="32"/>
    </row>
    <row r="118" spans="1:28" s="8" customFormat="1" x14ac:dyDescent="0.2">
      <c r="A118" s="8" t="str">
        <f>IF(AND(COUNTIF(W$3:W$13,A$24)&gt;0,A$24&lt;&gt;B38),A$24,IFERROR(IF(MATCH(A$24,Z$3:Z$13,0)=4,A$24," ")," "))</f>
        <v xml:space="preserve"> </v>
      </c>
      <c r="B118" s="8" t="str">
        <f>IF(A118=" "," ",MAX(B109:B117)+1)</f>
        <v xml:space="preserve"> </v>
      </c>
      <c r="C118" s="8" t="str">
        <f>IFERROR(INDEX(A109:A130,MATCH(SMALL(B109:B130,10),B109:B130,0),1)," ")</f>
        <v>C21</v>
      </c>
      <c r="D118" s="8">
        <f t="shared" si="277"/>
        <v>0</v>
      </c>
      <c r="E118" s="8">
        <f t="shared" si="278"/>
        <v>0</v>
      </c>
      <c r="F118" s="8">
        <f t="shared" si="279"/>
        <v>0</v>
      </c>
      <c r="G118" s="8">
        <f t="shared" si="280"/>
        <v>0</v>
      </c>
      <c r="H118" s="8">
        <f t="shared" si="281"/>
        <v>0</v>
      </c>
      <c r="I118" s="8">
        <f t="shared" si="282"/>
        <v>0</v>
      </c>
      <c r="J118" s="8">
        <f t="shared" si="283"/>
        <v>0</v>
      </c>
      <c r="K118" s="8">
        <f t="shared" si="284"/>
        <v>0</v>
      </c>
      <c r="L118" s="8">
        <f t="shared" si="285"/>
        <v>0</v>
      </c>
      <c r="M118" s="8">
        <f t="shared" si="286"/>
        <v>1</v>
      </c>
      <c r="N118" s="8">
        <f t="shared" si="287"/>
        <v>0</v>
      </c>
      <c r="O118" s="8">
        <f t="shared" si="288"/>
        <v>0</v>
      </c>
      <c r="P118" s="8" t="e">
        <v>#NUM!</v>
      </c>
      <c r="Q118" s="8" t="e">
        <f t="shared" ref="Q118" si="319">IF(COUNTIF(P109:P119,"&lt;"&amp;-0.001)=0,IF(ABS(P118)&lt;0.001,0,P118)," ")</f>
        <v>#NUM!</v>
      </c>
      <c r="T118" s="18"/>
      <c r="AB118" s="32"/>
    </row>
    <row r="119" spans="1:28" s="8" customFormat="1" x14ac:dyDescent="0.2">
      <c r="A119" s="8" t="str">
        <f>IF(AND(COUNTIF(W$3:W$13,A$25)&gt;0,A$25&lt;&gt;B38),A$25,IFERROR(IF(MATCH(A$25,Z$3:Z$13,0)=4,A$25," ")," "))</f>
        <v xml:space="preserve"> </v>
      </c>
      <c r="B119" s="8" t="str">
        <f>IF(A119=" "," ",MAX(B109:B118)+1)</f>
        <v xml:space="preserve"> </v>
      </c>
      <c r="C119" s="8" t="str">
        <f>IFERROR(INDEX(A109:A130,MATCH(SMALL(B109:B130,11),B109:B130,0),1)," ")</f>
        <v>C22</v>
      </c>
      <c r="D119" s="8">
        <f t="shared" si="277"/>
        <v>0</v>
      </c>
      <c r="E119" s="8">
        <f t="shared" si="278"/>
        <v>0</v>
      </c>
      <c r="F119" s="8">
        <f t="shared" si="279"/>
        <v>0</v>
      </c>
      <c r="G119" s="8">
        <f t="shared" si="280"/>
        <v>0</v>
      </c>
      <c r="H119" s="8">
        <f t="shared" si="281"/>
        <v>0</v>
      </c>
      <c r="I119" s="8">
        <f t="shared" si="282"/>
        <v>0</v>
      </c>
      <c r="J119" s="8">
        <f t="shared" si="283"/>
        <v>0</v>
      </c>
      <c r="K119" s="8">
        <f t="shared" si="284"/>
        <v>0</v>
      </c>
      <c r="L119" s="8">
        <f t="shared" si="285"/>
        <v>0</v>
      </c>
      <c r="M119" s="8">
        <f t="shared" si="286"/>
        <v>0</v>
      </c>
      <c r="N119" s="8">
        <f t="shared" si="287"/>
        <v>1</v>
      </c>
      <c r="O119" s="8">
        <f t="shared" si="288"/>
        <v>0</v>
      </c>
      <c r="P119" s="8" t="e">
        <v>#NUM!</v>
      </c>
      <c r="Q119" s="8" t="e">
        <f t="shared" ref="Q119" si="320">IF(COUNTIF(P109:P119,"&lt;"&amp;-0.001)=0,IF(ABS(P119)&lt;0.001,0,P119)," ")</f>
        <v>#NUM!</v>
      </c>
      <c r="T119" s="18"/>
      <c r="AB119" s="32"/>
    </row>
    <row r="120" spans="1:28" s="8" customFormat="1" x14ac:dyDescent="0.2">
      <c r="A120" s="8" t="str">
        <f>IF(AND(COUNTIF(W$3:W$13,A$26)&gt;0,A$26&lt;&gt;B38),A$26,IFERROR(IF(MATCH(A$26,Z$3:Z$13,0)=4,A$26," ")," "))</f>
        <v xml:space="preserve"> </v>
      </c>
      <c r="B120" s="8" t="str">
        <f>IF(A120=" "," ",MAX(B109:B119)+1)</f>
        <v xml:space="preserve"> </v>
      </c>
      <c r="T120" s="18"/>
      <c r="AB120" s="32"/>
    </row>
    <row r="121" spans="1:28" s="8" customFormat="1" x14ac:dyDescent="0.2">
      <c r="A121" s="8" t="str">
        <f>IF(AND(COUNTIF(W$3:W$13,A$27)&gt;0,A$27&lt;&gt;B38),A$27,IFERROR(IF(MATCH(A$27,Z$3:Z$13,0)=4,A$27," ")," "))</f>
        <v>C13</v>
      </c>
      <c r="B121" s="8">
        <f>IF(A121=" "," ",MAX(B109:B120)+1)</f>
        <v>3</v>
      </c>
      <c r="T121" s="18"/>
      <c r="AB121" s="32"/>
    </row>
    <row r="122" spans="1:28" s="8" customFormat="1" x14ac:dyDescent="0.2">
      <c r="A122" s="8" t="str">
        <f>IF(AND(COUNTIF(W$3:W$13,A$28)&gt;0,A$28&lt;&gt;B38),A$28,IFERROR(IF(MATCH(A$28,Z$3:Z$13,0)=4,A$28," ")," "))</f>
        <v xml:space="preserve"> </v>
      </c>
      <c r="B122" s="8" t="str">
        <f>IF(A122=" "," ",MAX(B109:B121)+1)</f>
        <v xml:space="preserve"> </v>
      </c>
      <c r="T122" s="18"/>
      <c r="AB122" s="32"/>
    </row>
    <row r="123" spans="1:28" s="8" customFormat="1" x14ac:dyDescent="0.2">
      <c r="A123" s="8" t="str">
        <f>IF(AND(COUNTIF(W$3:W$13,A$29)&gt;0,A$29&lt;&gt;B38),A$29,IFERROR(IF(MATCH(A$29,Z$3:Z$13,0)=4,A$29," ")," "))</f>
        <v>C15</v>
      </c>
      <c r="B123" s="8">
        <f>IF(A123=" "," ",MAX(B109:B122)+1)</f>
        <v>4</v>
      </c>
      <c r="T123" s="18"/>
      <c r="AB123" s="32"/>
    </row>
    <row r="124" spans="1:28" s="8" customFormat="1" x14ac:dyDescent="0.2">
      <c r="A124" s="8" t="str">
        <f>IF(AND(COUNTIF(W$3:W$13,A$30)&gt;0,A$30&lt;&gt;B38),A$30,IFERROR(IF(MATCH(A$30,Z$3:Z$13,0)=4,A$30," ")," "))</f>
        <v>C16</v>
      </c>
      <c r="B124" s="8">
        <f>IF(A124=" "," ",MAX(B109:B123)+1)</f>
        <v>5</v>
      </c>
      <c r="T124" s="18"/>
      <c r="AB124" s="32"/>
    </row>
    <row r="125" spans="1:28" s="8" customFormat="1" x14ac:dyDescent="0.2">
      <c r="A125" s="8" t="str">
        <f>IF(AND(COUNTIF(W$3:W$13,A$31)&gt;0,A$31&lt;&gt;B38),A$31,IFERROR(IF(MATCH(A$31,Z$3:Z$13,0)=4,A$31," ")," "))</f>
        <v>C17</v>
      </c>
      <c r="B125" s="8">
        <f>IF(A125=" "," ",MAX(B109:B124)+1)</f>
        <v>6</v>
      </c>
      <c r="T125" s="18"/>
      <c r="AB125" s="32"/>
    </row>
    <row r="126" spans="1:28" s="8" customFormat="1" x14ac:dyDescent="0.2">
      <c r="A126" s="8" t="str">
        <f>IF(AND(COUNTIF(W$3:W$13,A$32)&gt;0,A$32&lt;&gt;B38),A$32,IFERROR(IF(MATCH(A$32,Z$3:Z$13,0)=4,A$32," ")," "))</f>
        <v>C18</v>
      </c>
      <c r="B126" s="8">
        <f>IF(A126=" "," ",MAX(B109:B125)+1)</f>
        <v>7</v>
      </c>
      <c r="T126" s="18"/>
      <c r="AB126" s="32"/>
    </row>
    <row r="127" spans="1:28" s="8" customFormat="1" x14ac:dyDescent="0.2">
      <c r="A127" s="8" t="str">
        <f>IF(AND(COUNTIF(W$3:W$13,A$33)&gt;0,A$33&lt;&gt;B38),A$33,IFERROR(IF(MATCH(A$33,Z$3:Z$13,0)=4,A$33," ")," "))</f>
        <v>C19</v>
      </c>
      <c r="B127" s="8">
        <f>IF(A127=" "," ",MAX(B109:B126)+1)</f>
        <v>8</v>
      </c>
      <c r="T127" s="18"/>
      <c r="AB127" s="32"/>
    </row>
    <row r="128" spans="1:28" s="8" customFormat="1" x14ac:dyDescent="0.2">
      <c r="A128" s="8" t="str">
        <f>IF(AND(COUNTIF(W$3:W$13,A$34)&gt;0,A$34&lt;&gt;B38),A$34,IFERROR(IF(MATCH(A$34,Z$3:Z$13,0)=4,A$34," ")," "))</f>
        <v>C20</v>
      </c>
      <c r="B128" s="8">
        <f>IF(A128=" "," ",MAX(B109:B127)+1)</f>
        <v>9</v>
      </c>
      <c r="T128" s="18"/>
      <c r="AB128" s="32"/>
    </row>
    <row r="129" spans="1:86" s="8" customFormat="1" x14ac:dyDescent="0.2">
      <c r="A129" s="8" t="str">
        <f>IF(AND(COUNTIF(W$3:W$13,A$35)&gt;0,A$35&lt;&gt;B38),A$35,IFERROR(IF(MATCH(A$35,Z$3:Z$13,0)=4,A$35," ")," "))</f>
        <v>C21</v>
      </c>
      <c r="B129" s="8">
        <f>IF(A129=" "," ",MAX(B109:B128)+1)</f>
        <v>10</v>
      </c>
      <c r="T129" s="18"/>
      <c r="AB129" s="32"/>
    </row>
    <row r="130" spans="1:86" s="8" customFormat="1" x14ac:dyDescent="0.2">
      <c r="A130" s="8" t="str">
        <f>IF(AND(COUNTIF(W$3:W$13,A$36)&gt;0,A$36&lt;&gt;B38),A$36,IFERROR(IF(MATCH(A$36,Z$3:Z$13,0)=4,A$36," ")," "))</f>
        <v>C22</v>
      </c>
      <c r="B130" s="8">
        <f>IF(A130=" "," ",MAX(B109:B129)+1)</f>
        <v>11</v>
      </c>
      <c r="T130" s="18"/>
      <c r="AB130" s="32"/>
    </row>
    <row r="131" spans="1:86" s="8" customFormat="1" x14ac:dyDescent="0.2">
      <c r="A131" s="11" t="s">
        <v>17</v>
      </c>
      <c r="B131" s="11"/>
      <c r="C131" s="13" t="s">
        <v>18</v>
      </c>
      <c r="D131" s="13" t="s">
        <v>2</v>
      </c>
      <c r="E131" s="13" t="s">
        <v>6</v>
      </c>
      <c r="F131" s="13" t="s">
        <v>15</v>
      </c>
      <c r="G131" s="13" t="s">
        <v>36</v>
      </c>
      <c r="H131" s="13" t="s">
        <v>37</v>
      </c>
      <c r="I131" s="13" t="s">
        <v>38</v>
      </c>
      <c r="J131" s="13" t="s">
        <v>39</v>
      </c>
      <c r="K131" s="13" t="s">
        <v>40</v>
      </c>
      <c r="L131" s="13" t="s">
        <v>41</v>
      </c>
      <c r="M131" s="13" t="s">
        <v>42</v>
      </c>
      <c r="N131" s="13" t="s">
        <v>43</v>
      </c>
      <c r="O131" s="13" t="s">
        <v>9</v>
      </c>
      <c r="P131" s="13" t="s">
        <v>12</v>
      </c>
      <c r="Q131" s="27" t="s">
        <v>19</v>
      </c>
      <c r="R131" s="13" t="s">
        <v>55</v>
      </c>
      <c r="S131" s="13" t="s">
        <v>26</v>
      </c>
      <c r="T131" s="19" t="s">
        <v>25</v>
      </c>
      <c r="U131" s="29" t="s">
        <v>27</v>
      </c>
      <c r="V131" s="29" t="s">
        <v>9</v>
      </c>
      <c r="W131" s="29" t="s">
        <v>23</v>
      </c>
      <c r="X131" s="29" t="s">
        <v>12</v>
      </c>
      <c r="Y131" s="29" t="s">
        <v>26</v>
      </c>
      <c r="Z131" s="29" t="s">
        <v>25</v>
      </c>
      <c r="AA131" s="29" t="s">
        <v>27</v>
      </c>
      <c r="AB131" s="31" t="s">
        <v>9</v>
      </c>
      <c r="AC131" s="29" t="s">
        <v>23</v>
      </c>
      <c r="AD131" s="29" t="s">
        <v>12</v>
      </c>
      <c r="AE131" s="29" t="s">
        <v>26</v>
      </c>
      <c r="AF131" s="29" t="s">
        <v>25</v>
      </c>
      <c r="AG131" s="29" t="s">
        <v>27</v>
      </c>
      <c r="AH131" s="29" t="s">
        <v>9</v>
      </c>
      <c r="AI131" s="29" t="s">
        <v>23</v>
      </c>
      <c r="AJ131" s="29" t="s">
        <v>12</v>
      </c>
      <c r="AK131" s="29" t="s">
        <v>26</v>
      </c>
      <c r="AL131" s="29" t="s">
        <v>25</v>
      </c>
      <c r="AM131" s="29" t="s">
        <v>27</v>
      </c>
      <c r="AN131" s="29" t="s">
        <v>9</v>
      </c>
      <c r="AO131" s="29" t="s">
        <v>23</v>
      </c>
      <c r="AP131" s="29" t="s">
        <v>12</v>
      </c>
      <c r="AQ131" s="29" t="s">
        <v>26</v>
      </c>
      <c r="AR131" s="29" t="s">
        <v>25</v>
      </c>
      <c r="AS131" s="29" t="s">
        <v>27</v>
      </c>
      <c r="AT131" s="29" t="s">
        <v>9</v>
      </c>
      <c r="AU131" s="29" t="s">
        <v>23</v>
      </c>
      <c r="AV131" s="29" t="s">
        <v>12</v>
      </c>
      <c r="AW131" s="29" t="s">
        <v>26</v>
      </c>
      <c r="AX131" s="29" t="s">
        <v>25</v>
      </c>
      <c r="AY131" s="29" t="s">
        <v>27</v>
      </c>
      <c r="AZ131" s="29" t="s">
        <v>9</v>
      </c>
      <c r="BA131" s="29" t="s">
        <v>23</v>
      </c>
      <c r="BB131" s="29" t="s">
        <v>12</v>
      </c>
      <c r="BC131" s="29" t="s">
        <v>26</v>
      </c>
      <c r="BD131" s="29" t="s">
        <v>25</v>
      </c>
      <c r="BE131" s="29" t="s">
        <v>27</v>
      </c>
      <c r="BF131" s="29" t="s">
        <v>9</v>
      </c>
      <c r="BG131" s="29" t="s">
        <v>23</v>
      </c>
      <c r="BH131" s="29" t="s">
        <v>12</v>
      </c>
      <c r="BI131" s="29" t="s">
        <v>26</v>
      </c>
      <c r="BJ131" s="29" t="s">
        <v>25</v>
      </c>
      <c r="BK131" s="29" t="s">
        <v>27</v>
      </c>
      <c r="BL131" s="29" t="s">
        <v>9</v>
      </c>
      <c r="BM131" s="29" t="s">
        <v>23</v>
      </c>
      <c r="BN131" s="29" t="s">
        <v>12</v>
      </c>
      <c r="BO131" s="29" t="s">
        <v>26</v>
      </c>
      <c r="BP131" s="29" t="s">
        <v>25</v>
      </c>
      <c r="BQ131" s="29" t="s">
        <v>27</v>
      </c>
      <c r="BR131" s="29" t="s">
        <v>9</v>
      </c>
      <c r="BS131" s="29" t="s">
        <v>23</v>
      </c>
      <c r="BT131" s="29" t="s">
        <v>12</v>
      </c>
      <c r="BU131" s="29" t="s">
        <v>26</v>
      </c>
      <c r="BV131" s="29" t="s">
        <v>25</v>
      </c>
      <c r="BW131" s="29" t="s">
        <v>27</v>
      </c>
      <c r="BX131" s="29" t="s">
        <v>9</v>
      </c>
      <c r="BY131" s="29" t="s">
        <v>23</v>
      </c>
      <c r="BZ131" s="29" t="s">
        <v>12</v>
      </c>
      <c r="CA131" s="29" t="s">
        <v>26</v>
      </c>
      <c r="CB131" s="29" t="s">
        <v>25</v>
      </c>
      <c r="CC131" s="29" t="s">
        <v>27</v>
      </c>
      <c r="CD131" s="29" t="s">
        <v>9</v>
      </c>
      <c r="CE131" s="29" t="s">
        <v>23</v>
      </c>
      <c r="CF131" s="29" t="s">
        <v>12</v>
      </c>
      <c r="CG131" s="29" t="s">
        <v>26</v>
      </c>
      <c r="CH131" s="29" t="s">
        <v>25</v>
      </c>
    </row>
    <row r="132" spans="1:86" s="8" customFormat="1" x14ac:dyDescent="0.2">
      <c r="A132" s="8" t="str">
        <f>IF(AND(COUNTIF(W$3:W$13,A$15)&gt;0,A$15&lt;&gt;B38),A$15,IFERROR(IF(MATCH(A$15,Z$3:Z$13,0)=5,A$15," ")," "))</f>
        <v xml:space="preserve"> </v>
      </c>
      <c r="B132" s="8" t="str">
        <f>IF(A132=" "," ",1)</f>
        <v xml:space="preserve"> </v>
      </c>
      <c r="C132" s="8" t="str">
        <f>IFERROR(INDEX(A132:A153,MATCH(SMALL(B132:B153,1),B132:B153,0),1)," ")</f>
        <v>C4</v>
      </c>
      <c r="D132" s="8">
        <f>IFERROR(VLOOKUP($C132,$A$15:$O$36,2,FALSE)," ")</f>
        <v>1</v>
      </c>
      <c r="E132" s="8">
        <f>IFERROR(VLOOKUP($C132,$A$15:$O$36,3,FALSE)," ")</f>
        <v>0</v>
      </c>
      <c r="F132" s="8">
        <f>IFERROR(VLOOKUP($C132,$A$15:$O$36,4,FALSE)," ")</f>
        <v>1</v>
      </c>
      <c r="G132" s="8">
        <f>IFERROR(VLOOKUP($C132,$A$15:$O$36,5,FALSE)," ")</f>
        <v>0</v>
      </c>
      <c r="H132" s="8">
        <f>IFERROR(VLOOKUP($C132,$A$15:$O$36,6,FALSE)," ")</f>
        <v>0</v>
      </c>
      <c r="I132" s="8">
        <f>IFERROR(VLOOKUP($C132,$A$15:$O$36,7,FALSE)," ")</f>
        <v>0</v>
      </c>
      <c r="J132" s="8">
        <f>IFERROR(VLOOKUP($C132,$A$15:$O$36,8,FALSE)," ")</f>
        <v>0</v>
      </c>
      <c r="K132" s="8">
        <f>IFERROR(VLOOKUP($C132,$A$15:$O$36,9,FALSE)," ")</f>
        <v>0</v>
      </c>
      <c r="L132" s="8">
        <f>IFERROR(VLOOKUP($C132,$A$15:$O$36,10,FALSE)," ")</f>
        <v>0</v>
      </c>
      <c r="M132" s="8">
        <f>IFERROR(VLOOKUP($C132,$A$15:$O$36,11,FALSE)," ")</f>
        <v>0</v>
      </c>
      <c r="N132" s="8">
        <f>IFERROR(VLOOKUP($C132,$A$15:$O$36,12,FALSE)," ")</f>
        <v>0</v>
      </c>
      <c r="O132" s="8">
        <f>IFERROR(VLOOKUP($C132,$A$15:$O$36,15,FALSE)," ")</f>
        <v>400</v>
      </c>
      <c r="P132" s="8" t="e">
        <f t="array" ref="P132:P142">MMULT(MINVERSE(D132:N142),O132:O142)</f>
        <v>#NUM!</v>
      </c>
      <c r="Q132" s="8" t="e">
        <f t="shared" ref="Q132" si="321">IF(COUNTIF(P132:P142,"&lt;"&amp;-0.001)=0,IF(ABS(P132)&lt;0.001,0,P132)," ")</f>
        <v>#NUM!</v>
      </c>
      <c r="R132" s="8" t="str">
        <f>IFERROR(VLOOKUP(B38,A$15:L$36,2,FALSE)*Q132+VLOOKUP(B38,A$15:L$36,3,FALSE)*Q133+VLOOKUP(B38,A$15:L$36,4,FALSE)*Q134+VLOOKUP(B38,A$15:L$36,5,FALSE)*Q135+VLOOKUP(B38,A$15:L$36,6,FALSE)*Q136+VLOOKUP(B38,A$15:L$36,7,FALSE)*Q137+VLOOKUP(B38,A$15:L$36,8,FALSE)*Q138+VLOOKUP(B38,A$15:L$36,9,FALSE)*Q139+VLOOKUP(B38,A$15:L$36,10,FALSE)*Q140+VLOOKUP(B38,A$15:L$36,11,FALSE)*Q141+VLOOKUP(B38,A$15:L$36,12,FALSE)*Q142," ")</f>
        <v xml:space="preserve"> </v>
      </c>
      <c r="S132" s="8" t="str">
        <f>IFERROR(IF(R132-VLOOKUP(B38,A$15:O$36,15,FALSE)&lt;0,R132-VLOOKUP(B38,A$15:O$36,15,FALSE)," ")," ")</f>
        <v xml:space="preserve"> </v>
      </c>
      <c r="T132" s="18" t="str">
        <f>IFERROR(IF(R132-VLOOKUP(B38,A$15:O$36,15,FALSE)&gt;0,R132-VLOOKUP(B38,A$15:O$36,15,FALSE)," ")," ")</f>
        <v xml:space="preserve"> </v>
      </c>
      <c r="U132" s="8">
        <f t="shared" ref="U132" si="322">$M$2</f>
        <v>100.00000000000001</v>
      </c>
      <c r="V132" s="8">
        <v>-1</v>
      </c>
      <c r="W132" s="8">
        <f t="shared" ref="W132" si="323">-SUMPRODUCT($M$3:$M$12,$N$3:$N$12)</f>
        <v>-105000</v>
      </c>
      <c r="X132" s="8" t="e">
        <f t="shared" ref="X132" si="324">IF(U132&lt;&gt;U133,MMULT(MINVERSE(U132:V133),W132:W133)," ")</f>
        <v>#NUM!</v>
      </c>
      <c r="Y132" s="8" t="str">
        <f t="shared" ref="Y132" si="325">IFERROR(IF(X132-VLOOKUP(U$38,$A$2:$N$12,14,FALSE)&lt;0,X132-VLOOKUP(U$38,$A$2:$N$12,14,FALSE)," ")," ")</f>
        <v xml:space="preserve"> </v>
      </c>
      <c r="Z132" s="8" t="str">
        <f t="shared" ref="Z132" si="326">IFERROR(IF(X132-VLOOKUP(U$38,$A$2:$N$12,14,FALSE)&gt;0,X132-VLOOKUP(U$38,$A$2:$N$12,14,FALSE)," ")," ")</f>
        <v xml:space="preserve"> </v>
      </c>
      <c r="AA132" s="8">
        <f t="shared" ref="AA132" si="327">$M$3</f>
        <v>0</v>
      </c>
      <c r="AB132" s="32">
        <v>-1</v>
      </c>
      <c r="AC132" s="8">
        <f t="shared" ref="AC132" si="328">-SUMPRODUCT($M$2:$M$2,$N$2:$N$2)-SUMPRODUCT($M$4:$M$12,$N$4:$N$12)</f>
        <v>-120000</v>
      </c>
      <c r="AD132" s="8" t="e">
        <f t="shared" ref="AD132" si="329">IF(AA132&lt;&gt;AA133,MMULT(MINVERSE(AA132:AB133),AC132:AC133)," ")</f>
        <v>#NUM!</v>
      </c>
      <c r="AE132" s="8" t="str">
        <f t="shared" ref="AE132" si="330">IFERROR(IF(AD132-VLOOKUP(AA$38,$A$2:$N$12,14,FALSE)&lt;0,AD132-VLOOKUP(AA$38,$A$2:$N$12,14,FALSE)," ")," ")</f>
        <v xml:space="preserve"> </v>
      </c>
      <c r="AF132" s="8" t="str">
        <f t="shared" ref="AF132" si="331">IFERROR(IF(AD132-VLOOKUP(AA$38,$A$2:$N$12,14,FALSE)&gt;0,AD132-VLOOKUP(AA$38,$A$2:$N$12,14,FALSE)," ")," ")</f>
        <v xml:space="preserve"> </v>
      </c>
      <c r="AG132" s="8">
        <f t="shared" ref="AG132" si="332">$M$4</f>
        <v>300</v>
      </c>
      <c r="AH132" s="8">
        <v>-1</v>
      </c>
      <c r="AI132" s="8">
        <f t="shared" ref="AI132" si="333">-SUMPRODUCT($M$2:$M$3,$N$2:$N$3)-SUMPRODUCT($M$5:$M$12,$N$5:$N$12)</f>
        <v>-15000.000000000002</v>
      </c>
      <c r="AJ132" s="8" t="e">
        <f t="shared" ref="AJ132" si="334">IF(AG132&lt;&gt;AG133,MMULT(MINVERSE(AG132:AH133),AI132:AI133)," ")</f>
        <v>#NUM!</v>
      </c>
      <c r="AK132" s="8" t="str">
        <f t="shared" ref="AK132" si="335">IFERROR(IF(AJ132-VLOOKUP(AG$38,$A$2:$N$12,14,FALSE)&lt;0,AJ132-VLOOKUP(AG$38,$A$2:$N$12,14,FALSE)," ")," ")</f>
        <v xml:space="preserve"> </v>
      </c>
      <c r="AL132" s="8" t="str">
        <f t="shared" ref="AL132" si="336">IFERROR(IF(AJ132-VLOOKUP(AG$38,$A$2:$N$12,14,FALSE)&gt;0,AJ132-VLOOKUP(AG$38,$A$2:$N$12,14,FALSE)," ")," ")</f>
        <v xml:space="preserve"> </v>
      </c>
      <c r="AM132" s="8">
        <f t="shared" ref="AM132" si="337">$M$5</f>
        <v>0</v>
      </c>
      <c r="AN132" s="8">
        <v>-1</v>
      </c>
      <c r="AO132" s="8">
        <f t="shared" ref="AO132" si="338">-SUMPRODUCT($M$2:$M$4,$N$2:$N$4)-SUMPRODUCT($M$6:$M$12,$N$6:$N$12)</f>
        <v>-120000</v>
      </c>
      <c r="AP132" s="8" t="e">
        <f t="shared" ref="AP132" si="339">IF(AM132&lt;&gt;AM133,MMULT(MINVERSE(AM132:AN133),AO132:AO133)," ")</f>
        <v>#NUM!</v>
      </c>
      <c r="AQ132" s="8" t="str">
        <f t="shared" ref="AQ132" si="340">IFERROR(IF(AP132-VLOOKUP(AM$38,$A$2:$N$12,14,FALSE)&lt;0,AP132-VLOOKUP(AM$38,$A$2:$N$12,14,FALSE)," ")," ")</f>
        <v xml:space="preserve"> </v>
      </c>
      <c r="AR132" s="8" t="str">
        <f t="shared" ref="AR132" si="341">IFERROR(IF(AP132-VLOOKUP(AM$38,$A$2:$N$12,14,FALSE)&gt;0,AP132-VLOOKUP(AM$38,$A$2:$N$12,14,FALSE)," ")," ")</f>
        <v xml:space="preserve"> </v>
      </c>
      <c r="AS132" s="8">
        <f t="shared" ref="AS132" si="342">$M$6</f>
        <v>0</v>
      </c>
      <c r="AT132" s="8">
        <v>-1</v>
      </c>
      <c r="AU132" s="8">
        <f t="shared" ref="AU132" si="343">-SUMPRODUCT($M$2:$M$5,$N$2:$N$5)-SUMPRODUCT($M$7:$M$12,$N$7:$N$12)</f>
        <v>-120000</v>
      </c>
      <c r="AV132" s="8" t="e">
        <f t="shared" ref="AV132" si="344">IF(AS132&lt;&gt;AS133,MMULT(MINVERSE(AS132:AT133),AU132:AU133)," ")</f>
        <v>#NUM!</v>
      </c>
      <c r="AW132" s="8" t="str">
        <f t="shared" ref="AW132" si="345">IFERROR(IF(AV132-VLOOKUP(AS$38,$A$2:$N$12,14,FALSE)&lt;0,AV132-VLOOKUP(AS$38,$A$2:$N$12,14,FALSE)," ")," ")</f>
        <v xml:space="preserve"> </v>
      </c>
      <c r="AX132" s="8" t="str">
        <f t="shared" ref="AX132" si="346">IFERROR(IF(AV132-VLOOKUP(AS$38,$A$2:$N$12,14,FALSE)&gt;0,AV132-VLOOKUP(AS$38,$A$2:$N$12,14,FALSE)," ")," ")</f>
        <v xml:space="preserve"> </v>
      </c>
      <c r="AY132" s="8">
        <f t="shared" ref="AY132" si="347">$M$7</f>
        <v>0</v>
      </c>
      <c r="AZ132" s="8">
        <v>-1</v>
      </c>
      <c r="BA132" s="8">
        <f t="shared" ref="BA132" si="348">-SUMPRODUCT($M$2:$M$6,$N$2:$N$6)-SUMPRODUCT($M$8:$M$12,$N$8:$N$12)</f>
        <v>-120000</v>
      </c>
      <c r="BB132" s="8" t="e">
        <f t="shared" ref="BB132" si="349">IF(AY132&lt;&gt;AY133,MMULT(MINVERSE(AY132:AZ133),BA132:BA133)," ")</f>
        <v>#NUM!</v>
      </c>
      <c r="BC132" s="8" t="str">
        <f t="shared" ref="BC132" si="350">IFERROR(IF(BB132-VLOOKUP(AY$38,$A$2:$N$12,14,FALSE)&lt;0,BB132-VLOOKUP(AY$38,$A$2:$N$12,14,FALSE)," ")," ")</f>
        <v xml:space="preserve"> </v>
      </c>
      <c r="BD132" s="8" t="str">
        <f t="shared" ref="BD132" si="351">IFERROR(IF(BB132-VLOOKUP(AY$38,$A$2:$N$12,14,FALSE)&gt;0,BB132-VLOOKUP(AY$38,$A$2:$N$12,14,FALSE)," ")," ")</f>
        <v xml:space="preserve"> </v>
      </c>
      <c r="BE132" s="8">
        <f t="shared" ref="BE132" si="352">$M$8</f>
        <v>0</v>
      </c>
      <c r="BF132" s="8">
        <v>-1</v>
      </c>
      <c r="BG132" s="8">
        <f t="shared" ref="BG132" si="353">-SUMPRODUCT($M$2:$M$7,$N$2:$N$7)-SUMPRODUCT($M$9:$M$12,$N$9:$N$12)</f>
        <v>-120000</v>
      </c>
      <c r="BH132" s="8" t="e">
        <f t="shared" ref="BH132" si="354">IF(BE132&lt;&gt;BE133,MMULT(MINVERSE(BE132:BF133),BG132:BG133)," ")</f>
        <v>#NUM!</v>
      </c>
      <c r="BI132" s="8" t="str">
        <f t="shared" ref="BI132" si="355">IFERROR(IF(BH132-VLOOKUP(BE$38,$A$2:$N$12,14,FALSE)&lt;0,BH132-VLOOKUP(BE$38,$A$2:$N$12,14,FALSE)," ")," ")</f>
        <v xml:space="preserve"> </v>
      </c>
      <c r="BJ132" s="8" t="str">
        <f t="shared" ref="BJ132" si="356">IFERROR(IF(BH132-VLOOKUP(BE$38,$A$2:$N$12,14,FALSE)&gt;0,BH132-VLOOKUP(BE$38,$A$2:$N$12,14,FALSE)," ")," ")</f>
        <v xml:space="preserve"> </v>
      </c>
      <c r="BK132" s="8">
        <f t="shared" ref="BK132" si="357">$M$9</f>
        <v>0</v>
      </c>
      <c r="BL132" s="8">
        <v>-1</v>
      </c>
      <c r="BM132" s="8">
        <f t="shared" ref="BM132" si="358">-SUMPRODUCT($M$2:$M$8,$N$2:$N$8)-SUMPRODUCT($M$10:$M$12,$N$10:$N$12)</f>
        <v>-120000</v>
      </c>
      <c r="BN132" s="8" t="e">
        <f t="shared" ref="BN132" si="359">IF(BK132&lt;&gt;BK133,MMULT(MINVERSE(BK132:BL133),BM132:BM133)," ")</f>
        <v>#NUM!</v>
      </c>
      <c r="BO132" s="8" t="str">
        <f t="shared" ref="BO132" si="360">IFERROR(IF(BN132-VLOOKUP(BK$38,$A$2:$N$12,14,FALSE)&lt;0,BN132-VLOOKUP(BK$38,$A$2:$N$12,14,FALSE)," ")," ")</f>
        <v xml:space="preserve"> </v>
      </c>
      <c r="BP132" s="8" t="str">
        <f t="shared" ref="BP132" si="361">IFERROR(IF(BN132-VLOOKUP(BK$38,$A$2:$N$12,14,FALSE)&gt;0,BN132-VLOOKUP(BK$38,$A$2:$N$12,14,FALSE)," ")," ")</f>
        <v xml:space="preserve"> </v>
      </c>
      <c r="BQ132" s="8">
        <f t="shared" ref="BQ132" si="362">$M$10</f>
        <v>0</v>
      </c>
      <c r="BR132" s="8">
        <v>-1</v>
      </c>
      <c r="BS132" s="8">
        <f t="shared" ref="BS132" si="363">-SUMPRODUCT($M$2:$M$9,$N$2:$N$9)-SUMPRODUCT($M$11:$M$12,$N$11:$N$12)</f>
        <v>-120000</v>
      </c>
      <c r="BT132" s="8" t="e">
        <f t="shared" ref="BT132" si="364">IF(BQ132&lt;&gt;BQ133,MMULT(MINVERSE(BQ132:BR133),BS132:BS133)," ")</f>
        <v>#NUM!</v>
      </c>
      <c r="BU132" s="8" t="str">
        <f t="shared" ref="BU132" si="365">IFERROR(IF(BT132-VLOOKUP(BQ$38,$A$2:$N$12,14,FALSE)&lt;0,BT132-VLOOKUP(BQ$38,$A$2:$N$12,14,FALSE)," ")," ")</f>
        <v xml:space="preserve"> </v>
      </c>
      <c r="BV132" s="8" t="str">
        <f t="shared" ref="BV132" si="366">IFERROR(IF(BT132-VLOOKUP(BQ$38,$A$2:$N$12,14,FALSE)&gt;0,BT132-VLOOKUP(BQ$38,$A$2:$N$12,14,FALSE)," ")," ")</f>
        <v xml:space="preserve"> </v>
      </c>
      <c r="BW132" s="8">
        <f t="shared" ref="BW132" si="367">$M$11</f>
        <v>0</v>
      </c>
      <c r="BX132" s="8">
        <v>-1</v>
      </c>
      <c r="BY132" s="8">
        <f t="shared" ref="BY132" si="368">-SUMPRODUCT($M$2:$M$10,$N$2:$N$10)-SUMPRODUCT($M$12,$N$12)</f>
        <v>-120000</v>
      </c>
      <c r="BZ132" s="8" t="e">
        <f t="shared" ref="BZ132" si="369">IF(BW132&lt;&gt;BW133,MMULT(MINVERSE(BW132:BX133),BY132:BY133)," ")</f>
        <v>#NUM!</v>
      </c>
      <c r="CA132" s="8" t="str">
        <f t="shared" ref="CA132" si="370">IFERROR(IF(BZ132-VLOOKUP(BW$38,$A$2:$N$12,14,FALSE)&lt;0,BZ132-VLOOKUP(BW$38,$A$2:$N$12,14,FALSE)," ")," ")</f>
        <v xml:space="preserve"> </v>
      </c>
      <c r="CB132" s="8" t="str">
        <f t="shared" ref="CB132" si="371">IFERROR(IF(BZ132-VLOOKUP(BW$38,$A$2:$N$12,14,FALSE)&gt;0,BZ132-VLOOKUP(BW$38,$A$2:$N$12,14,FALSE)," ")," ")</f>
        <v xml:space="preserve"> </v>
      </c>
      <c r="CC132" s="8">
        <f t="shared" ref="CC132" si="372">$M$12</f>
        <v>0</v>
      </c>
      <c r="CD132" s="8">
        <v>-1</v>
      </c>
      <c r="CE132" s="8">
        <f t="shared" ref="CE132" si="373">-SUMPRODUCT($M$2:$M$11,$N$2:$N$11)</f>
        <v>-120000</v>
      </c>
      <c r="CF132" s="8" t="e">
        <f t="shared" ref="CF132" si="374">IF(CC132&lt;&gt;CC133,MMULT(MINVERSE(CC132:CD133),CE132:CE133)," ")</f>
        <v>#NUM!</v>
      </c>
      <c r="CG132" s="8" t="str">
        <f t="shared" ref="CG132" si="375">IFERROR(IF(CF132-VLOOKUP(CC$38,$A$2:$N$12,14,FALSE)&lt;0,CF132-VLOOKUP(CC$38,$A$2:$N$12,14,FALSE)," ")," ")</f>
        <v xml:space="preserve"> </v>
      </c>
      <c r="CH132" s="8" t="str">
        <f t="shared" ref="CH132" si="376">IFERROR(IF(CF132-VLOOKUP(CC$38,$A$2:$N$12,14,FALSE)&gt;0,CF132-VLOOKUP(CC$38,$A$2:$N$12,14,FALSE)," ")," ")</f>
        <v xml:space="preserve"> </v>
      </c>
    </row>
    <row r="133" spans="1:86" x14ac:dyDescent="0.2">
      <c r="A133" s="8" t="str">
        <f>IF(AND(COUNTIF(W$3:W$13,A$16)&gt;0,A$16&lt;&gt;B38),A$16,IFERROR(IF(MATCH(A$16,Z$3:Z$13,0)=5,A$16," ")," "))</f>
        <v xml:space="preserve"> </v>
      </c>
      <c r="B133" s="8" t="str">
        <f>IF(A133=" "," ",MAX(B132:B132)+1)</f>
        <v xml:space="preserve"> </v>
      </c>
      <c r="C133" s="8" t="str">
        <f>IFERROR(INDEX(A132:A153,MATCH(SMALL(B132:B153,2),B132:B153,0),1)," ")</f>
        <v>C7</v>
      </c>
      <c r="D133" s="8">
        <f t="shared" ref="D133:D142" si="377">IFERROR(VLOOKUP($C133,$A$15:$O$36,2,FALSE)," ")</f>
        <v>0</v>
      </c>
      <c r="E133" s="8">
        <f t="shared" ref="E133:E142" si="378">IFERROR(VLOOKUP($C133,$A$15:$O$36,3,FALSE)," ")</f>
        <v>0</v>
      </c>
      <c r="F133" s="8">
        <f t="shared" ref="F133:F142" si="379">IFERROR(VLOOKUP($C133,$A$15:$O$36,4,FALSE)," ")</f>
        <v>0</v>
      </c>
      <c r="G133" s="8">
        <f t="shared" ref="G133:G142" si="380">IFERROR(VLOOKUP($C133,$A$15:$O$36,5,FALSE)," ")</f>
        <v>0</v>
      </c>
      <c r="H133" s="8">
        <f t="shared" ref="H133:H142" si="381">IFERROR(VLOOKUP($C133,$A$15:$O$36,6,FALSE)," ")</f>
        <v>0</v>
      </c>
      <c r="I133" s="8">
        <f t="shared" ref="I133:I142" si="382">IFERROR(VLOOKUP($C133,$A$15:$O$36,7,FALSE)," ")</f>
        <v>0</v>
      </c>
      <c r="J133" s="8">
        <f t="shared" ref="J133:J142" si="383">IFERROR(VLOOKUP($C133,$A$15:$O$36,8,FALSE)," ")</f>
        <v>0</v>
      </c>
      <c r="K133" s="8">
        <f t="shared" ref="K133:K142" si="384">IFERROR(VLOOKUP($C133,$A$15:$O$36,9,FALSE)," ")</f>
        <v>0</v>
      </c>
      <c r="L133" s="8">
        <f t="shared" ref="L133:L142" si="385">IFERROR(VLOOKUP($C133,$A$15:$O$36,10,FALSE)," ")</f>
        <v>0</v>
      </c>
      <c r="M133" s="8">
        <f t="shared" ref="M133:M142" si="386">IFERROR(VLOOKUP($C133,$A$15:$O$36,11,FALSE)," ")</f>
        <v>0</v>
      </c>
      <c r="N133" s="8">
        <f t="shared" ref="N133:N142" si="387">IFERROR(VLOOKUP($C133,$A$15:$O$36,12,FALSE)," ")</f>
        <v>0</v>
      </c>
      <c r="O133" s="8">
        <f t="shared" ref="O133:O142" si="388">IFERROR(VLOOKUP($C133,$A$15:$O$36,15,FALSE)," ")</f>
        <v>0</v>
      </c>
      <c r="P133" s="8" t="e">
        <v>#NUM!</v>
      </c>
      <c r="Q133" s="8" t="e">
        <f t="shared" ref="Q133" si="389">IF(COUNTIF(P132:P142,"&lt;"&amp;-0.001)=0,IF(ABS(P133)&lt;0.001,0,P133)," ")</f>
        <v>#NUM!</v>
      </c>
      <c r="R133" s="8"/>
      <c r="S133" s="8"/>
      <c r="U133" s="8" t="e">
        <f t="shared" ref="U133" si="390">$Q132</f>
        <v>#NUM!</v>
      </c>
      <c r="V133" s="8">
        <v>-1</v>
      </c>
      <c r="W133" s="8" t="e">
        <f t="shared" ref="W133" si="391">-SUMPRODUCT($Q133:$Q142,$N$3:$N$12)</f>
        <v>#NUM!</v>
      </c>
      <c r="X133" s="8"/>
      <c r="Y133" s="8"/>
      <c r="Z133" s="8"/>
      <c r="AA133" s="8" t="e">
        <f t="shared" ref="AA133" si="392">$Q133</f>
        <v>#NUM!</v>
      </c>
      <c r="AB133" s="32">
        <v>-1</v>
      </c>
      <c r="AC133" s="8" t="e">
        <f t="shared" ref="AC133" si="393">-SUMPRODUCT($Q132:$Q132,$N$2:$N$2)-SUMPRODUCT($Q134:$Q142,$N$4:$N$12)</f>
        <v>#NUM!</v>
      </c>
      <c r="AD133" s="8"/>
      <c r="AE133" s="8"/>
      <c r="AF133" s="8"/>
      <c r="AG133" s="8" t="e">
        <f t="shared" ref="AG133" si="394">$Q134</f>
        <v>#NUM!</v>
      </c>
      <c r="AH133" s="8">
        <v>-1</v>
      </c>
      <c r="AI133" s="8" t="e">
        <f t="shared" ref="AI133" si="395">-SUMPRODUCT($Q132:$Q133,$N$2:$N$3)-SUMPRODUCT($Q135:$Q142,$N$5:$N$12)</f>
        <v>#NUM!</v>
      </c>
      <c r="AJ133" s="8"/>
      <c r="AK133" s="8"/>
      <c r="AL133" s="8"/>
      <c r="AM133" s="8" t="e">
        <f t="shared" ref="AM133" si="396">$Q135</f>
        <v>#NUM!</v>
      </c>
      <c r="AN133" s="8">
        <v>-1</v>
      </c>
      <c r="AO133" s="8" t="e">
        <f t="shared" ref="AO133" si="397">-SUMPRODUCT($Q132:$Q134,$N$2:$N$4)-SUMPRODUCT($Q136:$Q142,$N$6:$N$12)</f>
        <v>#NUM!</v>
      </c>
      <c r="AP133" s="8"/>
      <c r="AQ133" s="8"/>
      <c r="AR133" s="8"/>
      <c r="AS133" s="8" t="e">
        <f t="shared" ref="AS133" si="398">$Q136</f>
        <v>#NUM!</v>
      </c>
      <c r="AT133" s="8">
        <v>-1</v>
      </c>
      <c r="AU133" s="8" t="e">
        <f t="shared" ref="AU133" si="399">-SUMPRODUCT($Q132:$Q135,$N$2:$N$5)-SUMPRODUCT($Q137:$Q142,$N$7:$N$12)</f>
        <v>#NUM!</v>
      </c>
      <c r="AV133" s="8"/>
      <c r="AW133" s="8"/>
      <c r="AX133" s="8"/>
      <c r="AY133" s="8" t="e">
        <f t="shared" ref="AY133" si="400">$Q137</f>
        <v>#NUM!</v>
      </c>
      <c r="AZ133" s="8">
        <v>-1</v>
      </c>
      <c r="BA133" s="8" t="e">
        <f t="shared" ref="BA133" si="401">-SUMPRODUCT($Q132:$Q136,$N$2:$N$6)-SUMPRODUCT($Q138:$Q142,$N$8:$N$12)</f>
        <v>#NUM!</v>
      </c>
      <c r="BB133" s="8"/>
      <c r="BC133" s="8"/>
      <c r="BD133" s="8"/>
      <c r="BE133" s="8" t="e">
        <f t="shared" ref="BE133" si="402">$Q138</f>
        <v>#NUM!</v>
      </c>
      <c r="BF133" s="8">
        <v>-1</v>
      </c>
      <c r="BG133" s="8" t="e">
        <f t="shared" ref="BG133" si="403">-SUMPRODUCT($Q132:$Q137,$N$2:$N$7)-SUMPRODUCT($Q139:$Q142,$N$9:$N$12)</f>
        <v>#NUM!</v>
      </c>
      <c r="BH133" s="8"/>
      <c r="BI133" s="8"/>
      <c r="BJ133" s="8"/>
      <c r="BK133" s="8" t="e">
        <f t="shared" ref="BK133" si="404">$Q139</f>
        <v>#NUM!</v>
      </c>
      <c r="BL133" s="8">
        <v>-1</v>
      </c>
      <c r="BM133" s="8" t="e">
        <f t="shared" ref="BM133" si="405">-SUMPRODUCT($Q132:$Q138,$N$2:$N$8)-SUMPRODUCT($Q140:$Q142,$N$10:$N$12)</f>
        <v>#NUM!</v>
      </c>
      <c r="BN133" s="8"/>
      <c r="BO133" s="8"/>
      <c r="BP133" s="8"/>
      <c r="BQ133" s="8" t="e">
        <f t="shared" ref="BQ133" si="406">$Q140</f>
        <v>#NUM!</v>
      </c>
      <c r="BR133" s="8">
        <v>-1</v>
      </c>
      <c r="BS133" s="8" t="e">
        <f t="shared" ref="BS133" si="407">-SUMPRODUCT($Q132:$Q139,$N$2:$N$9)-SUMPRODUCT($Q141:$Q142,$N$11:$N$12)</f>
        <v>#NUM!</v>
      </c>
      <c r="BT133" s="8"/>
      <c r="BU133" s="8"/>
      <c r="BV133" s="8"/>
      <c r="BW133" s="8" t="e">
        <f t="shared" ref="BW133" si="408">$Q141</f>
        <v>#NUM!</v>
      </c>
      <c r="BX133" s="8">
        <v>-1</v>
      </c>
      <c r="BY133" s="8" t="e">
        <f t="shared" ref="BY133" si="409">-SUMPRODUCT($Q132:$Q140,$N$2:$N$10)-SUMPRODUCT($Q142,$N$12)</f>
        <v>#NUM!</v>
      </c>
      <c r="BZ133" s="8"/>
      <c r="CA133" s="8"/>
      <c r="CB133" s="8"/>
      <c r="CC133" s="8" t="e">
        <f t="shared" ref="CC133" si="410">$Q142</f>
        <v>#NUM!</v>
      </c>
      <c r="CD133" s="8">
        <v>-1</v>
      </c>
      <c r="CE133" s="8" t="e">
        <f t="shared" ref="CE133" si="411">-SUMPRODUCT($Q132:$Q141,$N$2:$N$11)</f>
        <v>#NUM!</v>
      </c>
      <c r="CF133" s="8"/>
      <c r="CG133" s="8"/>
      <c r="CH133" s="8"/>
    </row>
    <row r="134" spans="1:86" x14ac:dyDescent="0.2">
      <c r="A134" s="8" t="str">
        <f>IF(AND(COUNTIF(W$3:W$13,A$17)&gt;0,A$17&lt;&gt;B38),A$17,IFERROR(IF(MATCH(A$17,Z$3:Z$13,0)=5,A$17," ")," "))</f>
        <v xml:space="preserve"> </v>
      </c>
      <c r="B134" s="8" t="str">
        <f>IF(A134=" "," ",MAX(B132:B133)+1)</f>
        <v xml:space="preserve"> </v>
      </c>
      <c r="C134" s="8" t="str">
        <f>IFERROR(INDEX(A132:A153,MATCH(SMALL(B132:B153,3),B132:B153,0),1)," ")</f>
        <v>C13</v>
      </c>
      <c r="D134" s="8">
        <f t="shared" si="377"/>
        <v>0</v>
      </c>
      <c r="E134" s="8">
        <f t="shared" si="378"/>
        <v>1</v>
      </c>
      <c r="F134" s="8">
        <f t="shared" si="379"/>
        <v>0</v>
      </c>
      <c r="G134" s="8">
        <f t="shared" si="380"/>
        <v>0</v>
      </c>
      <c r="H134" s="8">
        <f t="shared" si="381"/>
        <v>0</v>
      </c>
      <c r="I134" s="8">
        <f t="shared" si="382"/>
        <v>0</v>
      </c>
      <c r="J134" s="8">
        <f t="shared" si="383"/>
        <v>0</v>
      </c>
      <c r="K134" s="8">
        <f t="shared" si="384"/>
        <v>0</v>
      </c>
      <c r="L134" s="8">
        <f t="shared" si="385"/>
        <v>0</v>
      </c>
      <c r="M134" s="8">
        <f t="shared" si="386"/>
        <v>0</v>
      </c>
      <c r="N134" s="8">
        <f t="shared" si="387"/>
        <v>0</v>
      </c>
      <c r="O134" s="8">
        <f t="shared" si="388"/>
        <v>0</v>
      </c>
      <c r="P134" s="8" t="e">
        <v>#NUM!</v>
      </c>
      <c r="Q134" s="8" t="e">
        <f t="shared" ref="Q134" si="412">IF(COUNTIF(P132:P142,"&lt;"&amp;-0.001)=0,IF(ABS(P134)&lt;0.001,0,P134)," ")</f>
        <v>#NUM!</v>
      </c>
      <c r="R134" s="8"/>
      <c r="S134" s="8"/>
      <c r="U134" s="8"/>
      <c r="V134" s="8"/>
      <c r="W134" s="8"/>
      <c r="X134" s="8"/>
      <c r="Y134" s="8"/>
      <c r="Z134" s="8"/>
      <c r="AA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/>
      <c r="AS134" s="8"/>
      <c r="AT134" s="8"/>
      <c r="AU134" s="8"/>
      <c r="AV134" s="8"/>
      <c r="AW134" s="8"/>
      <c r="AX134" s="8"/>
      <c r="AY134" s="8"/>
      <c r="AZ134" s="8"/>
      <c r="BA134" s="8"/>
      <c r="BB134" s="8"/>
      <c r="BC134" s="8"/>
      <c r="BD134" s="8"/>
      <c r="BE134" s="8"/>
      <c r="BF134" s="8"/>
      <c r="BG134" s="8"/>
      <c r="BH134" s="8"/>
      <c r="BI134" s="8"/>
      <c r="BJ134" s="8"/>
      <c r="BK134" s="8"/>
      <c r="BL134" s="8"/>
      <c r="BM134" s="8"/>
      <c r="BN134" s="8"/>
      <c r="BO134" s="8"/>
      <c r="BP134" s="8"/>
      <c r="BQ134" s="8"/>
      <c r="BR134" s="8"/>
      <c r="BS134" s="8"/>
      <c r="BT134" s="8"/>
      <c r="BU134" s="8"/>
      <c r="BV134" s="8"/>
      <c r="BW134" s="8"/>
      <c r="BX134" s="8"/>
      <c r="BY134" s="8"/>
      <c r="BZ134" s="8"/>
      <c r="CA134" s="8"/>
      <c r="CB134" s="8"/>
      <c r="CC134" s="8"/>
      <c r="CD134" s="8"/>
      <c r="CE134" s="8"/>
      <c r="CF134" s="8"/>
      <c r="CG134" s="8"/>
      <c r="CH134" s="8"/>
    </row>
    <row r="135" spans="1:86" x14ac:dyDescent="0.2">
      <c r="A135" s="8" t="str">
        <f>IF(AND(COUNTIF(W$3:W$13,A$18)&gt;0,A$18&lt;&gt;B38),A$18,IFERROR(IF(MATCH(A$18,Z$3:Z$13,0)=5,A$18," ")," "))</f>
        <v>C4</v>
      </c>
      <c r="B135" s="8">
        <f>IF(A135=" "," ",MAX(B132:B134)+1)</f>
        <v>1</v>
      </c>
      <c r="C135" s="8" t="str">
        <f>IFERROR(INDEX(A132:A153,MATCH(SMALL(B132:B153,4),B132:B153,0),1)," ")</f>
        <v>C15</v>
      </c>
      <c r="D135" s="8">
        <f t="shared" si="377"/>
        <v>0</v>
      </c>
      <c r="E135" s="8">
        <f t="shared" si="378"/>
        <v>0</v>
      </c>
      <c r="F135" s="8">
        <f t="shared" si="379"/>
        <v>0</v>
      </c>
      <c r="G135" s="8">
        <f t="shared" si="380"/>
        <v>1</v>
      </c>
      <c r="H135" s="8">
        <f t="shared" si="381"/>
        <v>0</v>
      </c>
      <c r="I135" s="8">
        <f t="shared" si="382"/>
        <v>0</v>
      </c>
      <c r="J135" s="8">
        <f t="shared" si="383"/>
        <v>0</v>
      </c>
      <c r="K135" s="8">
        <f t="shared" si="384"/>
        <v>0</v>
      </c>
      <c r="L135" s="8">
        <f t="shared" si="385"/>
        <v>0</v>
      </c>
      <c r="M135" s="8">
        <f t="shared" si="386"/>
        <v>0</v>
      </c>
      <c r="N135" s="8">
        <f t="shared" si="387"/>
        <v>0</v>
      </c>
      <c r="O135" s="8">
        <f t="shared" si="388"/>
        <v>0</v>
      </c>
      <c r="P135" s="8" t="e">
        <v>#NUM!</v>
      </c>
      <c r="Q135" s="8" t="e">
        <f t="shared" ref="Q135" si="413">IF(COUNTIF(P132:P142,"&lt;"&amp;-0.001)=0,IF(ABS(P135)&lt;0.001,0,P135)," ")</f>
        <v>#NUM!</v>
      </c>
      <c r="R135" s="8"/>
      <c r="S135" s="8"/>
      <c r="U135" s="8"/>
      <c r="V135" s="8"/>
      <c r="W135" s="8"/>
      <c r="X135" s="8"/>
      <c r="Y135" s="8"/>
      <c r="Z135" s="8"/>
      <c r="AA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  <c r="AU135" s="8"/>
      <c r="AV135" s="8"/>
      <c r="AW135" s="8"/>
      <c r="AX135" s="8"/>
      <c r="AY135" s="8"/>
      <c r="AZ135" s="8"/>
      <c r="BA135" s="8"/>
      <c r="BB135" s="8"/>
      <c r="BC135" s="8"/>
      <c r="BD135" s="8"/>
      <c r="BE135" s="8"/>
      <c r="BF135" s="8"/>
      <c r="BG135" s="8"/>
      <c r="BH135" s="8"/>
      <c r="BI135" s="8"/>
      <c r="BJ135" s="8"/>
      <c r="BK135" s="8"/>
      <c r="BL135" s="8"/>
      <c r="BM135" s="8"/>
      <c r="BN135" s="8"/>
      <c r="BO135" s="8"/>
      <c r="BP135" s="8"/>
      <c r="BQ135" s="8"/>
      <c r="BR135" s="8"/>
      <c r="BS135" s="8"/>
      <c r="BT135" s="8"/>
      <c r="BU135" s="8"/>
      <c r="BV135" s="8"/>
      <c r="BW135" s="8"/>
      <c r="BX135" s="8"/>
      <c r="BY135" s="8"/>
      <c r="BZ135" s="8"/>
      <c r="CA135" s="8"/>
      <c r="CB135" s="8"/>
      <c r="CC135" s="8"/>
      <c r="CD135" s="8"/>
      <c r="CE135" s="8"/>
      <c r="CF135" s="8"/>
      <c r="CG135" s="8"/>
      <c r="CH135" s="8"/>
    </row>
    <row r="136" spans="1:86" x14ac:dyDescent="0.2">
      <c r="A136" s="8" t="str">
        <f>IF(AND(COUNTIF(W$3:W$13,A$19)&gt;0,A$19&lt;&gt;B38),A$19,IFERROR(IF(MATCH(A$19,Z$3:Z$13,0)=5,A$19," ")," "))</f>
        <v xml:space="preserve"> </v>
      </c>
      <c r="B136" s="8" t="str">
        <f>IF(A136=" "," ",MAX(B132:B135)+1)</f>
        <v xml:space="preserve"> </v>
      </c>
      <c r="C136" s="8" t="str">
        <f>IFERROR(INDEX(A132:A153,MATCH(SMALL(B132:B153,5),B132:B153,0),1)," ")</f>
        <v>C16</v>
      </c>
      <c r="D136" s="8">
        <f t="shared" si="377"/>
        <v>0</v>
      </c>
      <c r="E136" s="8">
        <f t="shared" si="378"/>
        <v>0</v>
      </c>
      <c r="F136" s="8">
        <f t="shared" si="379"/>
        <v>0</v>
      </c>
      <c r="G136" s="8">
        <f t="shared" si="380"/>
        <v>0</v>
      </c>
      <c r="H136" s="8">
        <f t="shared" si="381"/>
        <v>1</v>
      </c>
      <c r="I136" s="8">
        <f t="shared" si="382"/>
        <v>0</v>
      </c>
      <c r="J136" s="8">
        <f t="shared" si="383"/>
        <v>0</v>
      </c>
      <c r="K136" s="8">
        <f t="shared" si="384"/>
        <v>0</v>
      </c>
      <c r="L136" s="8">
        <f t="shared" si="385"/>
        <v>0</v>
      </c>
      <c r="M136" s="8">
        <f t="shared" si="386"/>
        <v>0</v>
      </c>
      <c r="N136" s="8">
        <f t="shared" si="387"/>
        <v>0</v>
      </c>
      <c r="O136" s="8">
        <f t="shared" si="388"/>
        <v>0</v>
      </c>
      <c r="P136" s="8" t="e">
        <v>#NUM!</v>
      </c>
      <c r="Q136" s="8" t="e">
        <f t="shared" ref="Q136" si="414">IF(COUNTIF(P132:P142,"&lt;"&amp;-0.001)=0,IF(ABS(P136)&lt;0.001,0,P136)," ")</f>
        <v>#NUM!</v>
      </c>
      <c r="R136" s="8"/>
      <c r="S136" s="8"/>
      <c r="U136" s="8"/>
      <c r="V136" s="8"/>
      <c r="W136" s="8"/>
      <c r="X136" s="8"/>
      <c r="Y136" s="8"/>
      <c r="Z136" s="8"/>
      <c r="AA136" s="8"/>
      <c r="AC136" s="8"/>
      <c r="AD136" s="8"/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  <c r="AU136" s="8"/>
      <c r="AV136" s="8"/>
      <c r="AW136" s="8"/>
      <c r="AX136" s="8"/>
      <c r="AY136" s="8"/>
      <c r="AZ136" s="8"/>
      <c r="BA136" s="8"/>
      <c r="BB136" s="8"/>
      <c r="BC136" s="8"/>
      <c r="BD136" s="8"/>
      <c r="BE136" s="8"/>
      <c r="BF136" s="8"/>
      <c r="BG136" s="8"/>
      <c r="BH136" s="8"/>
      <c r="BI136" s="8"/>
      <c r="BJ136" s="8"/>
      <c r="BK136" s="8"/>
      <c r="BL136" s="8"/>
      <c r="BM136" s="8"/>
      <c r="BN136" s="8"/>
      <c r="BO136" s="8"/>
      <c r="BP136" s="8"/>
      <c r="BQ136" s="8"/>
      <c r="BR136" s="8"/>
      <c r="BS136" s="8"/>
      <c r="BT136" s="8"/>
      <c r="BU136" s="8"/>
      <c r="BV136" s="8"/>
      <c r="BW136" s="8"/>
      <c r="BX136" s="8"/>
      <c r="BY136" s="8"/>
      <c r="BZ136" s="8"/>
      <c r="CA136" s="8"/>
      <c r="CB136" s="8"/>
      <c r="CC136" s="8"/>
      <c r="CD136" s="8"/>
      <c r="CE136" s="8"/>
      <c r="CF136" s="8"/>
      <c r="CG136" s="8"/>
      <c r="CH136" s="8"/>
    </row>
    <row r="137" spans="1:86" x14ac:dyDescent="0.2">
      <c r="A137" s="8" t="str">
        <f>IF(AND(COUNTIF(W$3:W$13,A$20)&gt;0,A$20&lt;&gt;B38),A$20,IFERROR(IF(MATCH(A$20,Z$3:Z$13,0)=5,A$20," ")," "))</f>
        <v xml:space="preserve"> </v>
      </c>
      <c r="B137" s="8" t="str">
        <f>IF(A137=" "," ",MAX(B132:B136)+1)</f>
        <v xml:space="preserve"> </v>
      </c>
      <c r="C137" s="8" t="str">
        <f>IFERROR(INDEX(A132:A153,MATCH(SMALL(B132:B153,6),B132:B153,0),1)," ")</f>
        <v>C17</v>
      </c>
      <c r="D137" s="8">
        <f t="shared" si="377"/>
        <v>0</v>
      </c>
      <c r="E137" s="8">
        <f t="shared" si="378"/>
        <v>0</v>
      </c>
      <c r="F137" s="8">
        <f t="shared" si="379"/>
        <v>0</v>
      </c>
      <c r="G137" s="8">
        <f t="shared" si="380"/>
        <v>0</v>
      </c>
      <c r="H137" s="8">
        <f t="shared" si="381"/>
        <v>0</v>
      </c>
      <c r="I137" s="8">
        <f t="shared" si="382"/>
        <v>1</v>
      </c>
      <c r="J137" s="8">
        <f t="shared" si="383"/>
        <v>0</v>
      </c>
      <c r="K137" s="8">
        <f t="shared" si="384"/>
        <v>0</v>
      </c>
      <c r="L137" s="8">
        <f t="shared" si="385"/>
        <v>0</v>
      </c>
      <c r="M137" s="8">
        <f t="shared" si="386"/>
        <v>0</v>
      </c>
      <c r="N137" s="8">
        <f t="shared" si="387"/>
        <v>0</v>
      </c>
      <c r="O137" s="8">
        <f t="shared" si="388"/>
        <v>0</v>
      </c>
      <c r="P137" s="8" t="e">
        <v>#NUM!</v>
      </c>
      <c r="Q137" s="8" t="e">
        <f t="shared" ref="Q137" si="415">IF(COUNTIF(P132:P142,"&lt;"&amp;-0.001)=0,IF(ABS(P137)&lt;0.001,0,P137)," ")</f>
        <v>#NUM!</v>
      </c>
      <c r="R137" s="8"/>
      <c r="S137" s="8"/>
      <c r="U137" s="8"/>
      <c r="V137" s="8"/>
      <c r="W137" s="8"/>
      <c r="X137" s="8"/>
      <c r="Y137" s="8"/>
      <c r="Z137" s="8"/>
      <c r="AA137" s="8"/>
      <c r="AC137" s="8"/>
      <c r="AD137" s="8"/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  <c r="AP137" s="8"/>
      <c r="AQ137" s="8"/>
      <c r="AR137" s="8"/>
      <c r="AS137" s="8"/>
      <c r="AT137" s="8"/>
      <c r="AU137" s="8"/>
      <c r="AV137" s="8"/>
      <c r="AW137" s="8"/>
      <c r="AX137" s="8"/>
      <c r="AY137" s="8"/>
      <c r="AZ137" s="8"/>
      <c r="BA137" s="8"/>
      <c r="BB137" s="8"/>
      <c r="BC137" s="8"/>
      <c r="BD137" s="8"/>
      <c r="BE137" s="8"/>
      <c r="BF137" s="8"/>
      <c r="BG137" s="8"/>
      <c r="BH137" s="8"/>
      <c r="BI137" s="8"/>
      <c r="BJ137" s="8"/>
      <c r="BK137" s="8"/>
      <c r="BL137" s="8"/>
      <c r="BM137" s="8"/>
      <c r="BN137" s="8"/>
      <c r="BO137" s="8"/>
      <c r="BP137" s="8"/>
      <c r="BQ137" s="8"/>
      <c r="BR137" s="8"/>
      <c r="BS137" s="8"/>
      <c r="BT137" s="8"/>
      <c r="BU137" s="8"/>
      <c r="BV137" s="8"/>
      <c r="BW137" s="8"/>
      <c r="BX137" s="8"/>
      <c r="BY137" s="8"/>
      <c r="BZ137" s="8"/>
      <c r="CA137" s="8"/>
      <c r="CB137" s="8"/>
      <c r="CC137" s="8"/>
      <c r="CD137" s="8"/>
      <c r="CE137" s="8"/>
      <c r="CF137" s="8"/>
      <c r="CG137" s="8"/>
      <c r="CH137" s="8"/>
    </row>
    <row r="138" spans="1:86" x14ac:dyDescent="0.2">
      <c r="A138" s="8" t="str">
        <f>IF(AND(COUNTIF(W$3:W$13,A$21)&gt;0,A$21&lt;&gt;B38),A$21,IFERROR(IF(MATCH(A$21,Z$3:Z$13,0)=5,A$21," ")," "))</f>
        <v>C7</v>
      </c>
      <c r="B138" s="8">
        <f>IF(A138=" "," ",MAX(B132:B137)+1)</f>
        <v>2</v>
      </c>
      <c r="C138" s="8" t="str">
        <f>IFERROR(INDEX(A132:A153,MATCH(SMALL(B132:B153,7),B132:B153,0),1)," ")</f>
        <v>C18</v>
      </c>
      <c r="D138" s="8">
        <f t="shared" si="377"/>
        <v>0</v>
      </c>
      <c r="E138" s="8">
        <f t="shared" si="378"/>
        <v>0</v>
      </c>
      <c r="F138" s="8">
        <f t="shared" si="379"/>
        <v>0</v>
      </c>
      <c r="G138" s="8">
        <f t="shared" si="380"/>
        <v>0</v>
      </c>
      <c r="H138" s="8">
        <f t="shared" si="381"/>
        <v>0</v>
      </c>
      <c r="I138" s="8">
        <f t="shared" si="382"/>
        <v>0</v>
      </c>
      <c r="J138" s="8">
        <f t="shared" si="383"/>
        <v>1</v>
      </c>
      <c r="K138" s="8">
        <f t="shared" si="384"/>
        <v>0</v>
      </c>
      <c r="L138" s="8">
        <f t="shared" si="385"/>
        <v>0</v>
      </c>
      <c r="M138" s="8">
        <f t="shared" si="386"/>
        <v>0</v>
      </c>
      <c r="N138" s="8">
        <f t="shared" si="387"/>
        <v>0</v>
      </c>
      <c r="O138" s="8">
        <f t="shared" si="388"/>
        <v>0</v>
      </c>
      <c r="P138" s="8" t="e">
        <v>#NUM!</v>
      </c>
      <c r="Q138" s="8" t="e">
        <f t="shared" ref="Q138" si="416">IF(COUNTIF(P132:P142,"&lt;"&amp;-0.001)=0,IF(ABS(P138)&lt;0.001,0,P138)," ")</f>
        <v>#NUM!</v>
      </c>
      <c r="R138" s="8"/>
      <c r="S138" s="8"/>
      <c r="U138" s="8"/>
      <c r="V138" s="8"/>
      <c r="W138" s="8"/>
      <c r="X138" s="8"/>
      <c r="Y138" s="8"/>
      <c r="Z138" s="8"/>
      <c r="AA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8"/>
      <c r="AV138" s="8"/>
      <c r="AW138" s="8"/>
      <c r="AX138" s="8"/>
      <c r="AY138" s="8"/>
      <c r="AZ138" s="8"/>
      <c r="BA138" s="8"/>
      <c r="BB138" s="8"/>
      <c r="BC138" s="8"/>
      <c r="BD138" s="8"/>
      <c r="BE138" s="8"/>
      <c r="BF138" s="8"/>
      <c r="BG138" s="8"/>
      <c r="BH138" s="8"/>
      <c r="BI138" s="8"/>
      <c r="BJ138" s="8"/>
      <c r="BK138" s="8"/>
      <c r="BL138" s="8"/>
      <c r="BM138" s="8"/>
      <c r="BN138" s="8"/>
      <c r="BO138" s="8"/>
      <c r="BP138" s="8"/>
      <c r="BQ138" s="8"/>
      <c r="BR138" s="8"/>
      <c r="BS138" s="8"/>
      <c r="BT138" s="8"/>
      <c r="BU138" s="8"/>
      <c r="BV138" s="8"/>
      <c r="BW138" s="8"/>
      <c r="BX138" s="8"/>
      <c r="BY138" s="8"/>
      <c r="BZ138" s="8"/>
      <c r="CA138" s="8"/>
      <c r="CB138" s="8"/>
      <c r="CC138" s="8"/>
      <c r="CD138" s="8"/>
      <c r="CE138" s="8"/>
      <c r="CF138" s="8"/>
      <c r="CG138" s="8"/>
      <c r="CH138" s="8"/>
    </row>
    <row r="139" spans="1:86" x14ac:dyDescent="0.2">
      <c r="A139" s="8" t="str">
        <f>IF(AND(COUNTIF(W$3:W$13,A$22)&gt;0,A$22&lt;&gt;B38),A$22,IFERROR(IF(MATCH(A$22,Z$3:Z$13,0)=5,A$22," ")," "))</f>
        <v xml:space="preserve"> </v>
      </c>
      <c r="B139" s="8" t="str">
        <f>IF(A139=" "," ",MAX(B132:B138)+1)</f>
        <v xml:space="preserve"> </v>
      </c>
      <c r="C139" s="8" t="str">
        <f>IFERROR(INDEX(A132:A153,MATCH(SMALL(B132:B153,8),B132:B153,0),1)," ")</f>
        <v>C19</v>
      </c>
      <c r="D139" s="8">
        <f t="shared" si="377"/>
        <v>0</v>
      </c>
      <c r="E139" s="8">
        <f t="shared" si="378"/>
        <v>0</v>
      </c>
      <c r="F139" s="8">
        <f t="shared" si="379"/>
        <v>0</v>
      </c>
      <c r="G139" s="8">
        <f t="shared" si="380"/>
        <v>0</v>
      </c>
      <c r="H139" s="8">
        <f t="shared" si="381"/>
        <v>0</v>
      </c>
      <c r="I139" s="8">
        <f t="shared" si="382"/>
        <v>0</v>
      </c>
      <c r="J139" s="8">
        <f t="shared" si="383"/>
        <v>0</v>
      </c>
      <c r="K139" s="8">
        <f t="shared" si="384"/>
        <v>1</v>
      </c>
      <c r="L139" s="8">
        <f t="shared" si="385"/>
        <v>0</v>
      </c>
      <c r="M139" s="8">
        <f t="shared" si="386"/>
        <v>0</v>
      </c>
      <c r="N139" s="8">
        <f t="shared" si="387"/>
        <v>0</v>
      </c>
      <c r="O139" s="8">
        <f t="shared" si="388"/>
        <v>0</v>
      </c>
      <c r="P139" s="8" t="e">
        <v>#NUM!</v>
      </c>
      <c r="Q139" s="8" t="e">
        <f t="shared" ref="Q139" si="417">IF(COUNTIF(P132:P142,"&lt;"&amp;-0.001)=0,IF(ABS(P139)&lt;0.001,0,P139)," ")</f>
        <v>#NUM!</v>
      </c>
      <c r="R139" s="8"/>
      <c r="S139" s="8"/>
      <c r="U139" s="8"/>
      <c r="V139" s="8"/>
      <c r="W139" s="8"/>
      <c r="X139" s="8"/>
      <c r="Y139" s="8"/>
      <c r="Z139" s="8"/>
      <c r="AA139" s="8"/>
      <c r="AC139" s="8"/>
      <c r="AD139" s="8"/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  <c r="AU139" s="8"/>
      <c r="AV139" s="8"/>
      <c r="AW139" s="8"/>
      <c r="AX139" s="8"/>
      <c r="AY139" s="8"/>
      <c r="AZ139" s="8"/>
      <c r="BA139" s="8"/>
      <c r="BB139" s="8"/>
      <c r="BC139" s="8"/>
      <c r="BD139" s="8"/>
      <c r="BE139" s="8"/>
      <c r="BF139" s="8"/>
      <c r="BG139" s="8"/>
      <c r="BH139" s="8"/>
      <c r="BI139" s="8"/>
      <c r="BJ139" s="8"/>
      <c r="BK139" s="8"/>
      <c r="BL139" s="8"/>
      <c r="BM139" s="8"/>
      <c r="BN139" s="8"/>
      <c r="BO139" s="8"/>
      <c r="BP139" s="8"/>
      <c r="BQ139" s="8"/>
      <c r="BR139" s="8"/>
      <c r="BS139" s="8"/>
      <c r="BT139" s="8"/>
      <c r="BU139" s="8"/>
      <c r="BV139" s="8"/>
      <c r="BW139" s="8"/>
      <c r="BX139" s="8"/>
      <c r="BY139" s="8"/>
      <c r="BZ139" s="8"/>
      <c r="CA139" s="8"/>
      <c r="CB139" s="8"/>
      <c r="CC139" s="8"/>
      <c r="CD139" s="8"/>
      <c r="CE139" s="8"/>
      <c r="CF139" s="8"/>
      <c r="CG139" s="8"/>
      <c r="CH139" s="8"/>
    </row>
    <row r="140" spans="1:86" x14ac:dyDescent="0.2">
      <c r="A140" s="8" t="str">
        <f>IF(AND(COUNTIF(W$3:W$13,A$23)&gt;0,A$23&lt;&gt;B38),A$23,IFERROR(IF(MATCH(A$23,Z$3:Z$13,0)=5,A$23," ")," "))</f>
        <v xml:space="preserve"> </v>
      </c>
      <c r="B140" s="8" t="str">
        <f>IF(A140=" "," ",MAX(B132:B139)+1)</f>
        <v xml:space="preserve"> </v>
      </c>
      <c r="C140" s="8" t="str">
        <f>IFERROR(INDEX(A132:A153,MATCH(SMALL(B132:B153,9),B132:B153,0),1)," ")</f>
        <v>C20</v>
      </c>
      <c r="D140" s="8">
        <f t="shared" si="377"/>
        <v>0</v>
      </c>
      <c r="E140" s="8">
        <f t="shared" si="378"/>
        <v>0</v>
      </c>
      <c r="F140" s="8">
        <f t="shared" si="379"/>
        <v>0</v>
      </c>
      <c r="G140" s="8">
        <f t="shared" si="380"/>
        <v>0</v>
      </c>
      <c r="H140" s="8">
        <f t="shared" si="381"/>
        <v>0</v>
      </c>
      <c r="I140" s="8">
        <f t="shared" si="382"/>
        <v>0</v>
      </c>
      <c r="J140" s="8">
        <f t="shared" si="383"/>
        <v>0</v>
      </c>
      <c r="K140" s="8">
        <f t="shared" si="384"/>
        <v>0</v>
      </c>
      <c r="L140" s="8">
        <f t="shared" si="385"/>
        <v>1</v>
      </c>
      <c r="M140" s="8">
        <f t="shared" si="386"/>
        <v>0</v>
      </c>
      <c r="N140" s="8">
        <f t="shared" si="387"/>
        <v>0</v>
      </c>
      <c r="O140" s="8">
        <f t="shared" si="388"/>
        <v>0</v>
      </c>
      <c r="P140" s="6" t="e">
        <v>#NUM!</v>
      </c>
      <c r="Q140" s="8" t="e">
        <f t="shared" ref="Q140" si="418">IF(COUNTIF(P132:P142,"&lt;"&amp;-0.001)=0,IF(ABS(P140)&lt;0.001,0,P140)," ")</f>
        <v>#NUM!</v>
      </c>
      <c r="R140" s="8"/>
      <c r="S140" s="8"/>
      <c r="U140" s="8"/>
      <c r="V140" s="8"/>
      <c r="W140" s="8"/>
      <c r="X140" s="8"/>
      <c r="Y140" s="8"/>
      <c r="Z140" s="8"/>
      <c r="AA140" s="8"/>
      <c r="AC140" s="8"/>
      <c r="AD140" s="8"/>
      <c r="AE140" s="8"/>
      <c r="AF140" s="8"/>
      <c r="AG140" s="8"/>
      <c r="AH140" s="8"/>
      <c r="AI140" s="8"/>
      <c r="AJ140" s="8"/>
      <c r="AK140" s="8"/>
      <c r="AL140" s="8"/>
      <c r="AM140" s="8"/>
      <c r="AN140" s="8"/>
      <c r="AO140" s="8"/>
      <c r="AP140" s="8"/>
      <c r="AQ140" s="8"/>
      <c r="AR140" s="8"/>
      <c r="AS140" s="8"/>
      <c r="AT140" s="8"/>
      <c r="AU140" s="8"/>
      <c r="AV140" s="8"/>
      <c r="AW140" s="8"/>
      <c r="AX140" s="8"/>
      <c r="AY140" s="8"/>
      <c r="AZ140" s="8"/>
      <c r="BA140" s="8"/>
      <c r="BB140" s="8"/>
      <c r="BC140" s="8"/>
      <c r="BD140" s="8"/>
      <c r="BE140" s="8"/>
      <c r="BF140" s="8"/>
      <c r="BG140" s="8"/>
      <c r="BH140" s="8"/>
      <c r="BI140" s="8"/>
      <c r="BJ140" s="8"/>
      <c r="BK140" s="8"/>
      <c r="BL140" s="8"/>
      <c r="BM140" s="8"/>
      <c r="BN140" s="8"/>
      <c r="BO140" s="8"/>
      <c r="BP140" s="8"/>
      <c r="BQ140" s="8"/>
      <c r="BR140" s="8"/>
      <c r="BS140" s="8"/>
      <c r="BT140" s="8"/>
      <c r="BU140" s="8"/>
      <c r="BV140" s="8"/>
      <c r="BW140" s="8"/>
      <c r="BX140" s="8"/>
      <c r="BY140" s="8"/>
      <c r="BZ140" s="8"/>
      <c r="CA140" s="8"/>
      <c r="CB140" s="8"/>
      <c r="CC140" s="8"/>
      <c r="CD140" s="8"/>
      <c r="CE140" s="8"/>
      <c r="CF140" s="8"/>
      <c r="CG140" s="8"/>
      <c r="CH140" s="8"/>
    </row>
    <row r="141" spans="1:86" x14ac:dyDescent="0.2">
      <c r="A141" s="8" t="str">
        <f>IF(AND(COUNTIF(W$3:W$13,A$24)&gt;0,A$24&lt;&gt;B38),A$24,IFERROR(IF(MATCH(A$24,Z$3:Z$13,0)=5,A$24," ")," "))</f>
        <v xml:space="preserve"> </v>
      </c>
      <c r="B141" s="8" t="str">
        <f>IF(A141=" "," ",MAX(B132:B140)+1)</f>
        <v xml:space="preserve"> </v>
      </c>
      <c r="C141" s="8" t="str">
        <f>IFERROR(INDEX(A132:A153,MATCH(SMALL(B132:B153,10),B132:B153,0),1)," ")</f>
        <v>C21</v>
      </c>
      <c r="D141" s="8">
        <f t="shared" si="377"/>
        <v>0</v>
      </c>
      <c r="E141" s="8">
        <f t="shared" si="378"/>
        <v>0</v>
      </c>
      <c r="F141" s="8">
        <f t="shared" si="379"/>
        <v>0</v>
      </c>
      <c r="G141" s="8">
        <f t="shared" si="380"/>
        <v>0</v>
      </c>
      <c r="H141" s="8">
        <f t="shared" si="381"/>
        <v>0</v>
      </c>
      <c r="I141" s="8">
        <f t="shared" si="382"/>
        <v>0</v>
      </c>
      <c r="J141" s="8">
        <f t="shared" si="383"/>
        <v>0</v>
      </c>
      <c r="K141" s="8">
        <f t="shared" si="384"/>
        <v>0</v>
      </c>
      <c r="L141" s="8">
        <f t="shared" si="385"/>
        <v>0</v>
      </c>
      <c r="M141" s="8">
        <f t="shared" si="386"/>
        <v>1</v>
      </c>
      <c r="N141" s="8">
        <f t="shared" si="387"/>
        <v>0</v>
      </c>
      <c r="O141" s="8">
        <f t="shared" si="388"/>
        <v>0</v>
      </c>
      <c r="P141" s="8" t="e">
        <v>#NUM!</v>
      </c>
      <c r="Q141" s="8" t="e">
        <f t="shared" ref="Q141" si="419">IF(COUNTIF(P132:P142,"&lt;"&amp;-0.001)=0,IF(ABS(P141)&lt;0.001,0,P141)," ")</f>
        <v>#NUM!</v>
      </c>
      <c r="R141" s="8"/>
      <c r="S141" s="8"/>
      <c r="U141" s="8"/>
      <c r="V141" s="8"/>
      <c r="W141" s="8"/>
      <c r="X141" s="8"/>
      <c r="Y141" s="8"/>
      <c r="Z141" s="8"/>
      <c r="AA141" s="8"/>
      <c r="AC141" s="8"/>
      <c r="AD141" s="8"/>
      <c r="AE141" s="8"/>
      <c r="AF141" s="8"/>
      <c r="AG141" s="8"/>
      <c r="AH141" s="8"/>
      <c r="AI141" s="8"/>
      <c r="AJ141" s="8"/>
      <c r="AK141" s="8"/>
      <c r="AL141" s="8"/>
      <c r="AM141" s="8"/>
      <c r="AN141" s="8"/>
      <c r="AO141" s="8"/>
      <c r="AP141" s="8"/>
      <c r="AQ141" s="8"/>
      <c r="AR141" s="8"/>
      <c r="AS141" s="8"/>
      <c r="AT141" s="8"/>
      <c r="AU141" s="8"/>
      <c r="AV141" s="8"/>
      <c r="AW141" s="8"/>
      <c r="AX141" s="8"/>
      <c r="AY141" s="8"/>
      <c r="AZ141" s="8"/>
      <c r="BA141" s="8"/>
      <c r="BB141" s="8"/>
      <c r="BC141" s="8"/>
      <c r="BD141" s="8"/>
      <c r="BE141" s="8"/>
      <c r="BF141" s="8"/>
      <c r="BG141" s="8"/>
      <c r="BH141" s="8"/>
      <c r="BI141" s="8"/>
      <c r="BJ141" s="8"/>
      <c r="BK141" s="8"/>
      <c r="BL141" s="8"/>
      <c r="BM141" s="8"/>
      <c r="BN141" s="8"/>
      <c r="BO141" s="8"/>
      <c r="BP141" s="8"/>
      <c r="BQ141" s="8"/>
      <c r="BR141" s="8"/>
      <c r="BS141" s="8"/>
      <c r="BT141" s="8"/>
      <c r="BU141" s="8"/>
      <c r="BV141" s="8"/>
      <c r="BW141" s="8"/>
      <c r="BX141" s="8"/>
      <c r="BY141" s="8"/>
      <c r="BZ141" s="8"/>
      <c r="CA141" s="8"/>
      <c r="CB141" s="8"/>
      <c r="CC141" s="8"/>
      <c r="CD141" s="8"/>
      <c r="CE141" s="8"/>
      <c r="CF141" s="8"/>
      <c r="CG141" s="8"/>
      <c r="CH141" s="8"/>
    </row>
    <row r="142" spans="1:86" x14ac:dyDescent="0.2">
      <c r="A142" s="8" t="str">
        <f>IF(AND(COUNTIF(W$3:W$13,A$25)&gt;0,A$25&lt;&gt;B38),A$25,IFERROR(IF(MATCH(A$25,Z$3:Z$13,0)=5,A$25," ")," "))</f>
        <v xml:space="preserve"> </v>
      </c>
      <c r="B142" s="8" t="str">
        <f>IF(A142=" "," ",MAX(B132:B141)+1)</f>
        <v xml:space="preserve"> </v>
      </c>
      <c r="C142" s="8" t="str">
        <f>IFERROR(INDEX(A132:A153,MATCH(SMALL(B132:B153,11),B132:B153,0),1)," ")</f>
        <v>C22</v>
      </c>
      <c r="D142" s="8">
        <f t="shared" si="377"/>
        <v>0</v>
      </c>
      <c r="E142" s="8">
        <f t="shared" si="378"/>
        <v>0</v>
      </c>
      <c r="F142" s="8">
        <f t="shared" si="379"/>
        <v>0</v>
      </c>
      <c r="G142" s="8">
        <f t="shared" si="380"/>
        <v>0</v>
      </c>
      <c r="H142" s="8">
        <f t="shared" si="381"/>
        <v>0</v>
      </c>
      <c r="I142" s="8">
        <f t="shared" si="382"/>
        <v>0</v>
      </c>
      <c r="J142" s="8">
        <f t="shared" si="383"/>
        <v>0</v>
      </c>
      <c r="K142" s="8">
        <f t="shared" si="384"/>
        <v>0</v>
      </c>
      <c r="L142" s="8">
        <f t="shared" si="385"/>
        <v>0</v>
      </c>
      <c r="M142" s="8">
        <f t="shared" si="386"/>
        <v>0</v>
      </c>
      <c r="N142" s="8">
        <f t="shared" si="387"/>
        <v>1</v>
      </c>
      <c r="O142" s="8">
        <f t="shared" si="388"/>
        <v>0</v>
      </c>
      <c r="P142" s="8" t="e">
        <v>#NUM!</v>
      </c>
      <c r="Q142" s="8" t="e">
        <f t="shared" ref="Q142" si="420">IF(COUNTIF(P132:P142,"&lt;"&amp;-0.001)=0,IF(ABS(P142)&lt;0.001,0,P142)," ")</f>
        <v>#NUM!</v>
      </c>
      <c r="R142" s="8"/>
      <c r="S142" s="8"/>
      <c r="U142" s="8"/>
      <c r="V142" s="8"/>
      <c r="W142" s="8"/>
      <c r="X142" s="8"/>
      <c r="Y142" s="8"/>
      <c r="Z142" s="8"/>
      <c r="AA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  <c r="AN142" s="8"/>
      <c r="AO142" s="8"/>
      <c r="AP142" s="8"/>
      <c r="AQ142" s="8"/>
      <c r="AR142" s="8"/>
      <c r="AS142" s="8"/>
      <c r="AT142" s="8"/>
      <c r="AU142" s="8"/>
      <c r="AV142" s="8"/>
      <c r="AW142" s="8"/>
      <c r="AX142" s="8"/>
      <c r="AY142" s="8"/>
      <c r="AZ142" s="8"/>
      <c r="BA142" s="8"/>
      <c r="BB142" s="8"/>
      <c r="BC142" s="8"/>
      <c r="BD142" s="8"/>
      <c r="BE142" s="8"/>
      <c r="BF142" s="8"/>
      <c r="BG142" s="8"/>
      <c r="BH142" s="8"/>
      <c r="BI142" s="8"/>
      <c r="BJ142" s="8"/>
      <c r="BK142" s="8"/>
      <c r="BL142" s="8"/>
      <c r="BM142" s="8"/>
      <c r="BN142" s="8"/>
      <c r="BO142" s="8"/>
      <c r="BP142" s="8"/>
      <c r="BQ142" s="8"/>
      <c r="BR142" s="8"/>
      <c r="BS142" s="8"/>
      <c r="BT142" s="8"/>
      <c r="BU142" s="8"/>
      <c r="BV142" s="8"/>
      <c r="BW142" s="8"/>
      <c r="BX142" s="8"/>
      <c r="BY142" s="8"/>
      <c r="BZ142" s="8"/>
      <c r="CA142" s="8"/>
      <c r="CB142" s="8"/>
      <c r="CC142" s="8"/>
      <c r="CD142" s="8"/>
      <c r="CE142" s="8"/>
      <c r="CF142" s="8"/>
      <c r="CG142" s="8"/>
      <c r="CH142" s="8"/>
    </row>
    <row r="143" spans="1:86" x14ac:dyDescent="0.2">
      <c r="A143" s="8" t="str">
        <f>IF(AND(COUNTIF(W$3:W$13,A$26)&gt;0,A$26&lt;&gt;B38),A$26,IFERROR(IF(MATCH(A$26,Z$3:Z$13,0)=5,A$26," ")," "))</f>
        <v xml:space="preserve"> </v>
      </c>
      <c r="B143" s="8" t="str">
        <f>IF(A143=" "," ",MAX(B132:B142)+1)</f>
        <v xml:space="preserve"> </v>
      </c>
      <c r="P143" s="8"/>
      <c r="Q143" s="8"/>
      <c r="R143" s="8"/>
      <c r="S143" s="8"/>
      <c r="U143" s="8"/>
      <c r="V143" s="8"/>
      <c r="W143" s="8"/>
      <c r="X143" s="8"/>
      <c r="Y143" s="8"/>
      <c r="Z143" s="8"/>
      <c r="AA143" s="8"/>
      <c r="AC143" s="8"/>
      <c r="AD143" s="8"/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  <c r="AP143" s="8"/>
      <c r="AQ143" s="8"/>
      <c r="AR143" s="8"/>
      <c r="AS143" s="8"/>
      <c r="AT143" s="8"/>
      <c r="AU143" s="8"/>
      <c r="AV143" s="8"/>
      <c r="AW143" s="8"/>
      <c r="AX143" s="8"/>
      <c r="AY143" s="8"/>
      <c r="AZ143" s="8"/>
      <c r="BA143" s="8"/>
      <c r="BB143" s="8"/>
      <c r="BC143" s="8"/>
      <c r="BD143" s="8"/>
      <c r="BE143" s="8"/>
      <c r="BF143" s="8"/>
      <c r="BG143" s="8"/>
      <c r="BH143" s="8"/>
      <c r="BI143" s="8"/>
      <c r="BJ143" s="8"/>
      <c r="BK143" s="8"/>
      <c r="BL143" s="8"/>
      <c r="BM143" s="8"/>
      <c r="BN143" s="8"/>
      <c r="BO143" s="8"/>
      <c r="BP143" s="8"/>
      <c r="BQ143" s="8"/>
      <c r="BR143" s="8"/>
      <c r="BS143" s="8"/>
      <c r="BT143" s="8"/>
      <c r="BU143" s="8"/>
      <c r="BV143" s="8"/>
      <c r="BW143" s="8"/>
      <c r="BX143" s="8"/>
      <c r="BY143" s="8"/>
      <c r="BZ143" s="8"/>
      <c r="CA143" s="8"/>
      <c r="CB143" s="8"/>
      <c r="CC143" s="8"/>
      <c r="CD143" s="8"/>
      <c r="CE143" s="8"/>
      <c r="CF143" s="8"/>
      <c r="CG143" s="8"/>
      <c r="CH143" s="8"/>
    </row>
    <row r="144" spans="1:86" x14ac:dyDescent="0.2">
      <c r="A144" s="8" t="str">
        <f>IF(AND(COUNTIF(W$3:W$13,A$27)&gt;0,A$27&lt;&gt;B38),A$27,IFERROR(IF(MATCH(A$27,Z$3:Z$13,0)=5,A$27," ")," "))</f>
        <v>C13</v>
      </c>
      <c r="B144" s="8">
        <f>IF(A144=" "," ",MAX(B132:B143)+1)</f>
        <v>3</v>
      </c>
      <c r="P144" s="8"/>
      <c r="Q144" s="8"/>
      <c r="R144" s="8"/>
      <c r="S144" s="8"/>
      <c r="U144" s="8"/>
      <c r="V144" s="8"/>
      <c r="W144" s="8"/>
      <c r="X144" s="8"/>
      <c r="Y144" s="8"/>
      <c r="Z144" s="8"/>
      <c r="AA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  <c r="AN144" s="8"/>
      <c r="AO144" s="8"/>
      <c r="AP144" s="8"/>
      <c r="AQ144" s="8"/>
      <c r="AR144" s="8"/>
      <c r="AS144" s="8"/>
      <c r="AT144" s="8"/>
      <c r="AU144" s="8"/>
      <c r="AV144" s="8"/>
      <c r="AW144" s="8"/>
      <c r="AX144" s="8"/>
      <c r="AY144" s="8"/>
      <c r="AZ144" s="8"/>
      <c r="BA144" s="8"/>
      <c r="BB144" s="8"/>
      <c r="BC144" s="8"/>
      <c r="BD144" s="8"/>
      <c r="BE144" s="8"/>
      <c r="BF144" s="8"/>
      <c r="BG144" s="8"/>
      <c r="BH144" s="8"/>
      <c r="BI144" s="8"/>
      <c r="BJ144" s="8"/>
      <c r="BK144" s="8"/>
      <c r="BL144" s="8"/>
      <c r="BM144" s="8"/>
      <c r="BN144" s="8"/>
      <c r="BO144" s="8"/>
      <c r="BP144" s="8"/>
      <c r="BQ144" s="8"/>
      <c r="BR144" s="8"/>
      <c r="BS144" s="8"/>
      <c r="BT144" s="8"/>
      <c r="BU144" s="8"/>
      <c r="BV144" s="8"/>
      <c r="BW144" s="8"/>
      <c r="BX144" s="8"/>
      <c r="BY144" s="8"/>
      <c r="BZ144" s="8"/>
      <c r="CA144" s="8"/>
      <c r="CB144" s="8"/>
      <c r="CC144" s="8"/>
      <c r="CD144" s="8"/>
      <c r="CE144" s="8"/>
      <c r="CF144" s="8"/>
      <c r="CG144" s="8"/>
      <c r="CH144" s="8"/>
    </row>
    <row r="145" spans="1:86" x14ac:dyDescent="0.2">
      <c r="A145" s="8" t="str">
        <f>IF(AND(COUNTIF(W$3:W$13,A$28)&gt;0,A$28&lt;&gt;B38),A$28,IFERROR(IF(MATCH(A$28,Z$3:Z$13,0)=5,A$28," ")," "))</f>
        <v xml:space="preserve"> </v>
      </c>
      <c r="B145" s="8" t="str">
        <f>IF(A145=" "," ",MAX(B132:B144)+1)</f>
        <v xml:space="preserve"> </v>
      </c>
      <c r="P145" s="8"/>
      <c r="Q145" s="8"/>
      <c r="R145" s="8"/>
      <c r="S145" s="8"/>
      <c r="U145" s="8"/>
      <c r="V145" s="8"/>
      <c r="W145" s="8"/>
      <c r="X145" s="8"/>
      <c r="Y145" s="8"/>
      <c r="Z145" s="8"/>
      <c r="AA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  <c r="AN145" s="8"/>
      <c r="AO145" s="8"/>
      <c r="AP145" s="8"/>
      <c r="AQ145" s="8"/>
      <c r="AR145" s="8"/>
      <c r="AS145" s="8"/>
      <c r="AT145" s="8"/>
      <c r="AU145" s="8"/>
      <c r="AV145" s="8"/>
      <c r="AW145" s="8"/>
      <c r="AX145" s="8"/>
      <c r="AY145" s="8"/>
      <c r="AZ145" s="8"/>
      <c r="BA145" s="8"/>
      <c r="BB145" s="8"/>
      <c r="BC145" s="8"/>
      <c r="BD145" s="8"/>
      <c r="BE145" s="8"/>
      <c r="BF145" s="8"/>
      <c r="BG145" s="8"/>
      <c r="BH145" s="8"/>
      <c r="BI145" s="8"/>
      <c r="BJ145" s="8"/>
      <c r="BK145" s="8"/>
      <c r="BL145" s="8"/>
      <c r="BM145" s="8"/>
      <c r="BN145" s="8"/>
      <c r="BO145" s="8"/>
      <c r="BP145" s="8"/>
      <c r="BQ145" s="8"/>
      <c r="BR145" s="8"/>
      <c r="BS145" s="8"/>
      <c r="BT145" s="8"/>
      <c r="BU145" s="8"/>
      <c r="BV145" s="8"/>
      <c r="BW145" s="8"/>
      <c r="BX145" s="8"/>
      <c r="BY145" s="8"/>
      <c r="BZ145" s="8"/>
      <c r="CA145" s="8"/>
      <c r="CB145" s="8"/>
      <c r="CC145" s="8"/>
      <c r="CD145" s="8"/>
      <c r="CE145" s="8"/>
      <c r="CF145" s="8"/>
      <c r="CG145" s="8"/>
      <c r="CH145" s="8"/>
    </row>
    <row r="146" spans="1:86" x14ac:dyDescent="0.2">
      <c r="A146" s="8" t="str">
        <f>IF(AND(COUNTIF(W$3:W$13,A$29)&gt;0,A$29&lt;&gt;B38),A$29,IFERROR(IF(MATCH(A$29,Z$3:Z$13,0)=5,A$29," ")," "))</f>
        <v>C15</v>
      </c>
      <c r="B146" s="8">
        <f>IF(A146=" "," ",MAX(B132:B145)+1)</f>
        <v>4</v>
      </c>
      <c r="P146" s="8"/>
      <c r="Q146" s="8"/>
      <c r="R146" s="8"/>
      <c r="S146" s="8"/>
      <c r="U146" s="8"/>
      <c r="V146" s="8"/>
      <c r="W146" s="8"/>
      <c r="X146" s="8"/>
      <c r="Y146" s="8"/>
      <c r="Z146" s="8"/>
      <c r="AA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  <c r="AN146" s="8"/>
      <c r="AO146" s="8"/>
      <c r="AP146" s="8"/>
      <c r="AQ146" s="8"/>
      <c r="AR146" s="8"/>
      <c r="AS146" s="8"/>
      <c r="AT146" s="8"/>
      <c r="AU146" s="8"/>
      <c r="AV146" s="8"/>
      <c r="AW146" s="8"/>
      <c r="AX146" s="8"/>
      <c r="AY146" s="8"/>
      <c r="AZ146" s="8"/>
      <c r="BA146" s="8"/>
      <c r="BB146" s="8"/>
      <c r="BC146" s="8"/>
      <c r="BD146" s="8"/>
      <c r="BE146" s="8"/>
      <c r="BF146" s="8"/>
      <c r="BG146" s="8"/>
      <c r="BH146" s="8"/>
      <c r="BI146" s="8"/>
      <c r="BJ146" s="8"/>
      <c r="BK146" s="8"/>
      <c r="BL146" s="8"/>
      <c r="BM146" s="8"/>
      <c r="BN146" s="8"/>
      <c r="BO146" s="8"/>
      <c r="BP146" s="8"/>
      <c r="BQ146" s="8"/>
      <c r="BR146" s="8"/>
      <c r="BS146" s="8"/>
      <c r="BT146" s="8"/>
      <c r="BU146" s="8"/>
      <c r="BV146" s="8"/>
      <c r="BW146" s="8"/>
      <c r="BX146" s="8"/>
      <c r="BY146" s="8"/>
      <c r="BZ146" s="8"/>
      <c r="CA146" s="8"/>
      <c r="CB146" s="8"/>
      <c r="CC146" s="8"/>
      <c r="CD146" s="8"/>
      <c r="CE146" s="8"/>
      <c r="CF146" s="8"/>
      <c r="CG146" s="8"/>
      <c r="CH146" s="8"/>
    </row>
    <row r="147" spans="1:86" x14ac:dyDescent="0.2">
      <c r="A147" s="8" t="str">
        <f>IF(AND(COUNTIF(W$3:W$13,A$30)&gt;0,A$30&lt;&gt;B38),A$30,IFERROR(IF(MATCH(A$30,Z$3:Z$13,0)=5,A$30," ")," "))</f>
        <v>C16</v>
      </c>
      <c r="B147" s="8">
        <f>IF(A147=" "," ",MAX(B132:B146)+1)</f>
        <v>5</v>
      </c>
      <c r="P147" s="8"/>
      <c r="Q147" s="8"/>
      <c r="R147" s="8"/>
      <c r="S147" s="8"/>
      <c r="U147" s="8"/>
      <c r="V147" s="8"/>
      <c r="W147" s="8"/>
      <c r="X147" s="8"/>
      <c r="Y147" s="8"/>
      <c r="Z147" s="8"/>
      <c r="AA147" s="8"/>
      <c r="AC147" s="8"/>
      <c r="AD147" s="8"/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  <c r="AP147" s="8"/>
      <c r="AQ147" s="8"/>
      <c r="AR147" s="8"/>
      <c r="AS147" s="8"/>
      <c r="AT147" s="8"/>
      <c r="AU147" s="8"/>
      <c r="AV147" s="8"/>
      <c r="AW147" s="8"/>
      <c r="AX147" s="8"/>
      <c r="AY147" s="8"/>
      <c r="AZ147" s="8"/>
      <c r="BA147" s="8"/>
      <c r="BB147" s="8"/>
      <c r="BC147" s="8"/>
      <c r="BD147" s="8"/>
      <c r="BE147" s="8"/>
      <c r="BF147" s="8"/>
      <c r="BG147" s="8"/>
      <c r="BH147" s="8"/>
      <c r="BI147" s="8"/>
      <c r="BJ147" s="8"/>
      <c r="BK147" s="8"/>
      <c r="BL147" s="8"/>
      <c r="BM147" s="8"/>
      <c r="BN147" s="8"/>
      <c r="BO147" s="8"/>
      <c r="BP147" s="8"/>
      <c r="BQ147" s="8"/>
      <c r="BR147" s="8"/>
      <c r="BS147" s="8"/>
      <c r="BT147" s="8"/>
      <c r="BU147" s="8"/>
      <c r="BV147" s="8"/>
      <c r="BW147" s="8"/>
      <c r="BX147" s="8"/>
      <c r="BY147" s="8"/>
      <c r="BZ147" s="8"/>
      <c r="CA147" s="8"/>
      <c r="CB147" s="8"/>
      <c r="CC147" s="8"/>
      <c r="CD147" s="8"/>
      <c r="CE147" s="8"/>
      <c r="CF147" s="8"/>
      <c r="CG147" s="8"/>
      <c r="CH147" s="8"/>
    </row>
    <row r="148" spans="1:86" x14ac:dyDescent="0.2">
      <c r="A148" s="8" t="str">
        <f>IF(AND(COUNTIF(W$3:W$13,A$31)&gt;0,A$31&lt;&gt;B38),A$31,IFERROR(IF(MATCH(A$31,Z$3:Z$13,0)=5,A$31," ")," "))</f>
        <v>C17</v>
      </c>
      <c r="B148" s="8">
        <f>IF(A148=" "," ",MAX(B132:B147)+1)</f>
        <v>6</v>
      </c>
      <c r="Q148" s="8"/>
      <c r="U148" s="8"/>
      <c r="V148" s="8"/>
      <c r="W148" s="8"/>
      <c r="X148" s="8"/>
      <c r="Y148" s="8"/>
      <c r="Z148" s="8"/>
      <c r="AA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/>
      <c r="AV148" s="8"/>
      <c r="AW148" s="8"/>
      <c r="AX148" s="8"/>
      <c r="AY148" s="8"/>
      <c r="AZ148" s="8"/>
      <c r="BA148" s="8"/>
      <c r="BB148" s="8"/>
      <c r="BC148" s="8"/>
      <c r="BD148" s="8"/>
      <c r="BE148" s="8"/>
      <c r="BF148" s="8"/>
      <c r="BG148" s="8"/>
      <c r="BH148" s="8"/>
      <c r="BI148" s="8"/>
      <c r="BJ148" s="8"/>
      <c r="BK148" s="8"/>
      <c r="BL148" s="8"/>
      <c r="BM148" s="8"/>
      <c r="BN148" s="8"/>
      <c r="BO148" s="8"/>
      <c r="BP148" s="8"/>
      <c r="BQ148" s="8"/>
      <c r="BR148" s="8"/>
      <c r="BS148" s="8"/>
      <c r="BT148" s="8"/>
      <c r="BU148" s="8"/>
      <c r="BV148" s="8"/>
      <c r="BW148" s="8"/>
      <c r="BX148" s="8"/>
      <c r="BY148" s="8"/>
      <c r="BZ148" s="8"/>
      <c r="CA148" s="8"/>
      <c r="CB148" s="8"/>
      <c r="CC148" s="8"/>
      <c r="CD148" s="8"/>
      <c r="CE148" s="8"/>
      <c r="CF148" s="8"/>
      <c r="CG148" s="8"/>
      <c r="CH148" s="8"/>
    </row>
    <row r="149" spans="1:86" x14ac:dyDescent="0.2">
      <c r="A149" s="8" t="str">
        <f>IF(AND(COUNTIF(W$3:W$13,A$32)&gt;0,A$32&lt;&gt;B38),A$32,IFERROR(IF(MATCH(A$32,Z$3:Z$13,0)=5,A$32," ")," "))</f>
        <v>C18</v>
      </c>
      <c r="B149" s="8">
        <f>IF(A149=" "," ",MAX(B132:B148)+1)</f>
        <v>7</v>
      </c>
      <c r="Q149" s="8"/>
      <c r="U149" s="8"/>
      <c r="V149" s="8"/>
      <c r="W149" s="8"/>
      <c r="X149" s="8"/>
      <c r="Y149" s="8"/>
      <c r="Z149" s="8"/>
      <c r="AA149" s="8"/>
      <c r="AC149" s="8"/>
      <c r="AD149" s="8"/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  <c r="AP149" s="8"/>
      <c r="AQ149" s="8"/>
      <c r="AR149" s="8"/>
      <c r="AS149" s="8"/>
      <c r="AT149" s="8"/>
      <c r="AU149" s="8"/>
      <c r="AV149" s="8"/>
      <c r="AW149" s="8"/>
      <c r="AX149" s="8"/>
      <c r="AY149" s="8"/>
      <c r="AZ149" s="8"/>
      <c r="BA149" s="8"/>
      <c r="BB149" s="8"/>
      <c r="BC149" s="8"/>
      <c r="BD149" s="8"/>
      <c r="BE149" s="8"/>
      <c r="BF149" s="8"/>
      <c r="BG149" s="8"/>
      <c r="BH149" s="8"/>
      <c r="BI149" s="8"/>
      <c r="BJ149" s="8"/>
      <c r="BK149" s="8"/>
      <c r="BL149" s="8"/>
      <c r="BM149" s="8"/>
      <c r="BN149" s="8"/>
      <c r="BO149" s="8"/>
      <c r="BP149" s="8"/>
      <c r="BQ149" s="8"/>
      <c r="BR149" s="8"/>
      <c r="BS149" s="8"/>
      <c r="BT149" s="8"/>
      <c r="BU149" s="8"/>
      <c r="BV149" s="8"/>
      <c r="BW149" s="8"/>
      <c r="BX149" s="8"/>
      <c r="BY149" s="8"/>
      <c r="BZ149" s="8"/>
      <c r="CA149" s="8"/>
      <c r="CB149" s="8"/>
      <c r="CC149" s="8"/>
      <c r="CD149" s="8"/>
      <c r="CE149" s="8"/>
      <c r="CF149" s="8"/>
      <c r="CG149" s="8"/>
      <c r="CH149" s="8"/>
    </row>
    <row r="150" spans="1:86" x14ac:dyDescent="0.2">
      <c r="A150" s="8" t="str">
        <f>IF(AND(COUNTIF(W$3:W$13,A$33)&gt;0,A$33&lt;&gt;B38),A$33,IFERROR(IF(MATCH(A$33,Z$3:Z$13,0)=5,A$33," ")," "))</f>
        <v>C19</v>
      </c>
      <c r="B150" s="8">
        <f>IF(A150=" "," ",MAX(B132:B149)+1)</f>
        <v>8</v>
      </c>
      <c r="Q150" s="8"/>
      <c r="U150" s="8"/>
      <c r="V150" s="8"/>
      <c r="W150" s="8"/>
      <c r="X150" s="8"/>
      <c r="Y150" s="8"/>
      <c r="Z150" s="8"/>
      <c r="AA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/>
      <c r="AS150" s="8"/>
      <c r="AT150" s="8"/>
      <c r="AU150" s="8"/>
      <c r="AV150" s="8"/>
      <c r="AW150" s="8"/>
      <c r="AX150" s="8"/>
      <c r="AY150" s="8"/>
      <c r="AZ150" s="8"/>
      <c r="BA150" s="8"/>
      <c r="BB150" s="8"/>
      <c r="BC150" s="8"/>
      <c r="BD150" s="8"/>
      <c r="BE150" s="8"/>
      <c r="BF150" s="8"/>
      <c r="BG150" s="8"/>
      <c r="BH150" s="8"/>
      <c r="BI150" s="8"/>
      <c r="BJ150" s="8"/>
      <c r="BK150" s="8"/>
      <c r="BL150" s="8"/>
      <c r="BM150" s="8"/>
      <c r="BN150" s="8"/>
      <c r="BO150" s="8"/>
      <c r="BP150" s="8"/>
      <c r="BQ150" s="8"/>
      <c r="BR150" s="8"/>
      <c r="BS150" s="8"/>
      <c r="BT150" s="8"/>
      <c r="BU150" s="8"/>
      <c r="BV150" s="8"/>
      <c r="BW150" s="8"/>
      <c r="BX150" s="8"/>
      <c r="BY150" s="8"/>
      <c r="BZ150" s="8"/>
      <c r="CA150" s="8"/>
      <c r="CB150" s="8"/>
      <c r="CC150" s="8"/>
      <c r="CD150" s="8"/>
      <c r="CE150" s="8"/>
      <c r="CF150" s="8"/>
      <c r="CG150" s="8"/>
      <c r="CH150" s="8"/>
    </row>
    <row r="151" spans="1:86" x14ac:dyDescent="0.2">
      <c r="A151" s="8" t="str">
        <f>IF(AND(COUNTIF(W$3:W$13,A$34)&gt;0,A$34&lt;&gt;B38),A$34,IFERROR(IF(MATCH(A$34,Z$3:Z$13,0)=5,A$34," ")," "))</f>
        <v>C20</v>
      </c>
      <c r="B151" s="8">
        <f>IF(A151=" "," ",MAX(B132:B150)+1)</f>
        <v>9</v>
      </c>
      <c r="Q151" s="8"/>
      <c r="U151" s="8"/>
      <c r="V151" s="8"/>
      <c r="W151" s="8"/>
      <c r="X151" s="8"/>
      <c r="Y151" s="8"/>
      <c r="Z151" s="8"/>
      <c r="AA151" s="8"/>
      <c r="AC151" s="8"/>
      <c r="AD151" s="8"/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  <c r="AU151" s="8"/>
      <c r="AV151" s="8"/>
      <c r="AW151" s="8"/>
      <c r="AX151" s="8"/>
      <c r="AY151" s="8"/>
      <c r="AZ151" s="8"/>
      <c r="BA151" s="8"/>
      <c r="BB151" s="8"/>
      <c r="BC151" s="8"/>
      <c r="BD151" s="8"/>
      <c r="BE151" s="8"/>
      <c r="BF151" s="8"/>
      <c r="BG151" s="8"/>
      <c r="BH151" s="8"/>
      <c r="BI151" s="8"/>
      <c r="BJ151" s="8"/>
      <c r="BK151" s="8"/>
      <c r="BL151" s="8"/>
      <c r="BM151" s="8"/>
      <c r="BN151" s="8"/>
      <c r="BO151" s="8"/>
      <c r="BP151" s="8"/>
      <c r="BQ151" s="8"/>
      <c r="BR151" s="8"/>
      <c r="BS151" s="8"/>
      <c r="BT151" s="8"/>
      <c r="BU151" s="8"/>
      <c r="BV151" s="8"/>
      <c r="BW151" s="8"/>
      <c r="BX151" s="8"/>
      <c r="BY151" s="8"/>
      <c r="BZ151" s="8"/>
      <c r="CA151" s="8"/>
      <c r="CB151" s="8"/>
      <c r="CC151" s="8"/>
      <c r="CD151" s="8"/>
      <c r="CE151" s="8"/>
      <c r="CF151" s="8"/>
      <c r="CG151" s="8"/>
      <c r="CH151" s="8"/>
    </row>
    <row r="152" spans="1:86" x14ac:dyDescent="0.2">
      <c r="A152" s="8" t="str">
        <f>IF(AND(COUNTIF(W$3:W$13,A$35)&gt;0,A$35&lt;&gt;B38),A$35,IFERROR(IF(MATCH(A$35,Z$3:Z$13,0)=5,A$35," ")," "))</f>
        <v>C21</v>
      </c>
      <c r="B152" s="8">
        <f>IF(A152=" "," ",MAX(B132:B151)+1)</f>
        <v>10</v>
      </c>
      <c r="Q152" s="8"/>
      <c r="U152" s="8"/>
      <c r="V152" s="8"/>
      <c r="W152" s="8"/>
      <c r="X152" s="8"/>
      <c r="Y152" s="8"/>
      <c r="Z152" s="8"/>
      <c r="AA152" s="8"/>
      <c r="AC152" s="8"/>
      <c r="AD152" s="8"/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  <c r="AP152" s="8"/>
      <c r="AQ152" s="8"/>
      <c r="AR152" s="8"/>
      <c r="AS152" s="8"/>
      <c r="AT152" s="8"/>
      <c r="AU152" s="8"/>
      <c r="AV152" s="8"/>
      <c r="AW152" s="8"/>
      <c r="AX152" s="8"/>
      <c r="AY152" s="8"/>
      <c r="AZ152" s="8"/>
      <c r="BA152" s="8"/>
      <c r="BB152" s="8"/>
      <c r="BC152" s="8"/>
      <c r="BD152" s="8"/>
      <c r="BE152" s="8"/>
      <c r="BF152" s="8"/>
      <c r="BG152" s="8"/>
      <c r="BH152" s="8"/>
      <c r="BI152" s="8"/>
      <c r="BJ152" s="8"/>
      <c r="BK152" s="8"/>
      <c r="BL152" s="8"/>
      <c r="BM152" s="8"/>
      <c r="BN152" s="8"/>
      <c r="BO152" s="8"/>
      <c r="BP152" s="8"/>
      <c r="BQ152" s="8"/>
      <c r="BR152" s="8"/>
      <c r="BS152" s="8"/>
      <c r="BT152" s="8"/>
      <c r="BU152" s="8"/>
      <c r="BV152" s="8"/>
      <c r="BW152" s="8"/>
      <c r="BX152" s="8"/>
      <c r="BY152" s="8"/>
      <c r="BZ152" s="8"/>
      <c r="CA152" s="8"/>
      <c r="CB152" s="8"/>
      <c r="CC152" s="8"/>
      <c r="CD152" s="8"/>
      <c r="CE152" s="8"/>
      <c r="CF152" s="8"/>
      <c r="CG152" s="8"/>
      <c r="CH152" s="8"/>
    </row>
    <row r="153" spans="1:86" x14ac:dyDescent="0.2">
      <c r="A153" s="8" t="str">
        <f>IF(AND(COUNTIF(W$3:W$13,A$36)&gt;0,A$36&lt;&gt;B38),A$36,IFERROR(IF(MATCH(A$36,Z$3:Z$13,0)=5,A$36," ")," "))</f>
        <v>C22</v>
      </c>
      <c r="B153" s="8">
        <f>IF(A153=" "," ",MAX(B132:B152)+1)</f>
        <v>11</v>
      </c>
      <c r="Q153" s="8"/>
      <c r="U153" s="8"/>
      <c r="V153" s="8"/>
      <c r="W153" s="8"/>
      <c r="X153" s="8"/>
      <c r="Y153" s="8"/>
      <c r="Z153" s="8"/>
      <c r="AA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  <c r="AU153" s="8"/>
      <c r="AV153" s="8"/>
      <c r="AW153" s="8"/>
      <c r="AX153" s="8"/>
      <c r="AY153" s="8"/>
      <c r="AZ153" s="8"/>
      <c r="BA153" s="8"/>
      <c r="BB153" s="8"/>
      <c r="BC153" s="8"/>
      <c r="BD153" s="8"/>
      <c r="BE153" s="8"/>
      <c r="BF153" s="8"/>
      <c r="BG153" s="8"/>
      <c r="BH153" s="8"/>
      <c r="BI153" s="8"/>
      <c r="BJ153" s="8"/>
      <c r="BK153" s="8"/>
      <c r="BL153" s="8"/>
      <c r="BM153" s="8"/>
      <c r="BN153" s="8"/>
      <c r="BO153" s="8"/>
      <c r="BP153" s="8"/>
      <c r="BQ153" s="8"/>
      <c r="BR153" s="8"/>
      <c r="BS153" s="8"/>
      <c r="BT153" s="8"/>
      <c r="BU153" s="8"/>
      <c r="BV153" s="8"/>
      <c r="BW153" s="8"/>
      <c r="BX153" s="8"/>
      <c r="BY153" s="8"/>
      <c r="BZ153" s="8"/>
      <c r="CA153" s="8"/>
      <c r="CB153" s="8"/>
      <c r="CC153" s="8"/>
      <c r="CD153" s="8"/>
      <c r="CE153" s="8"/>
      <c r="CF153" s="8"/>
      <c r="CG153" s="8"/>
      <c r="CH153" s="8"/>
    </row>
    <row r="154" spans="1:86" x14ac:dyDescent="0.2">
      <c r="A154" s="11" t="s">
        <v>17</v>
      </c>
      <c r="B154" s="11"/>
      <c r="C154" s="15" t="s">
        <v>18</v>
      </c>
      <c r="D154" s="13" t="s">
        <v>2</v>
      </c>
      <c r="E154" s="13" t="s">
        <v>6</v>
      </c>
      <c r="F154" s="13" t="s">
        <v>15</v>
      </c>
      <c r="G154" s="13" t="s">
        <v>36</v>
      </c>
      <c r="H154" s="13" t="s">
        <v>37</v>
      </c>
      <c r="I154" s="13" t="s">
        <v>38</v>
      </c>
      <c r="J154" s="13" t="s">
        <v>39</v>
      </c>
      <c r="K154" s="13" t="s">
        <v>40</v>
      </c>
      <c r="L154" s="13" t="s">
        <v>41</v>
      </c>
      <c r="M154" s="13" t="s">
        <v>42</v>
      </c>
      <c r="N154" s="13" t="s">
        <v>43</v>
      </c>
      <c r="O154" s="13" t="s">
        <v>9</v>
      </c>
      <c r="P154" s="15" t="s">
        <v>12</v>
      </c>
      <c r="Q154" s="27" t="s">
        <v>19</v>
      </c>
      <c r="R154" s="15" t="s">
        <v>55</v>
      </c>
      <c r="S154" s="15" t="s">
        <v>26</v>
      </c>
      <c r="T154" s="19" t="s">
        <v>25</v>
      </c>
      <c r="U154" s="29" t="s">
        <v>27</v>
      </c>
      <c r="V154" s="29" t="s">
        <v>9</v>
      </c>
      <c r="W154" s="29" t="s">
        <v>23</v>
      </c>
      <c r="X154" s="29" t="s">
        <v>12</v>
      </c>
      <c r="Y154" s="29" t="s">
        <v>26</v>
      </c>
      <c r="Z154" s="29" t="s">
        <v>25</v>
      </c>
      <c r="AA154" s="29" t="s">
        <v>27</v>
      </c>
      <c r="AB154" s="31" t="s">
        <v>9</v>
      </c>
      <c r="AC154" s="29" t="s">
        <v>23</v>
      </c>
      <c r="AD154" s="29" t="s">
        <v>12</v>
      </c>
      <c r="AE154" s="29" t="s">
        <v>26</v>
      </c>
      <c r="AF154" s="29" t="s">
        <v>25</v>
      </c>
      <c r="AG154" s="29" t="s">
        <v>27</v>
      </c>
      <c r="AH154" s="29" t="s">
        <v>9</v>
      </c>
      <c r="AI154" s="29" t="s">
        <v>23</v>
      </c>
      <c r="AJ154" s="29" t="s">
        <v>12</v>
      </c>
      <c r="AK154" s="29" t="s">
        <v>26</v>
      </c>
      <c r="AL154" s="29" t="s">
        <v>25</v>
      </c>
      <c r="AM154" s="29" t="s">
        <v>27</v>
      </c>
      <c r="AN154" s="29" t="s">
        <v>9</v>
      </c>
      <c r="AO154" s="29" t="s">
        <v>23</v>
      </c>
      <c r="AP154" s="29" t="s">
        <v>12</v>
      </c>
      <c r="AQ154" s="29" t="s">
        <v>26</v>
      </c>
      <c r="AR154" s="29" t="s">
        <v>25</v>
      </c>
      <c r="AS154" s="29" t="s">
        <v>27</v>
      </c>
      <c r="AT154" s="29" t="s">
        <v>9</v>
      </c>
      <c r="AU154" s="29" t="s">
        <v>23</v>
      </c>
      <c r="AV154" s="29" t="s">
        <v>12</v>
      </c>
      <c r="AW154" s="29" t="s">
        <v>26</v>
      </c>
      <c r="AX154" s="29" t="s">
        <v>25</v>
      </c>
      <c r="AY154" s="29" t="s">
        <v>27</v>
      </c>
      <c r="AZ154" s="29" t="s">
        <v>9</v>
      </c>
      <c r="BA154" s="29" t="s">
        <v>23</v>
      </c>
      <c r="BB154" s="29" t="s">
        <v>12</v>
      </c>
      <c r="BC154" s="29" t="s">
        <v>26</v>
      </c>
      <c r="BD154" s="29" t="s">
        <v>25</v>
      </c>
      <c r="BE154" s="29" t="s">
        <v>27</v>
      </c>
      <c r="BF154" s="29" t="s">
        <v>9</v>
      </c>
      <c r="BG154" s="29" t="s">
        <v>23</v>
      </c>
      <c r="BH154" s="29" t="s">
        <v>12</v>
      </c>
      <c r="BI154" s="29" t="s">
        <v>26</v>
      </c>
      <c r="BJ154" s="29" t="s">
        <v>25</v>
      </c>
      <c r="BK154" s="29" t="s">
        <v>27</v>
      </c>
      <c r="BL154" s="29" t="s">
        <v>9</v>
      </c>
      <c r="BM154" s="29" t="s">
        <v>23</v>
      </c>
      <c r="BN154" s="29" t="s">
        <v>12</v>
      </c>
      <c r="BO154" s="29" t="s">
        <v>26</v>
      </c>
      <c r="BP154" s="29" t="s">
        <v>25</v>
      </c>
      <c r="BQ154" s="29" t="s">
        <v>27</v>
      </c>
      <c r="BR154" s="29" t="s">
        <v>9</v>
      </c>
      <c r="BS154" s="29" t="s">
        <v>23</v>
      </c>
      <c r="BT154" s="29" t="s">
        <v>12</v>
      </c>
      <c r="BU154" s="29" t="s">
        <v>26</v>
      </c>
      <c r="BV154" s="29" t="s">
        <v>25</v>
      </c>
      <c r="BW154" s="29" t="s">
        <v>27</v>
      </c>
      <c r="BX154" s="29" t="s">
        <v>9</v>
      </c>
      <c r="BY154" s="29" t="s">
        <v>23</v>
      </c>
      <c r="BZ154" s="29" t="s">
        <v>12</v>
      </c>
      <c r="CA154" s="29" t="s">
        <v>26</v>
      </c>
      <c r="CB154" s="29" t="s">
        <v>25</v>
      </c>
      <c r="CC154" s="29" t="s">
        <v>27</v>
      </c>
      <c r="CD154" s="29" t="s">
        <v>9</v>
      </c>
      <c r="CE154" s="29" t="s">
        <v>23</v>
      </c>
      <c r="CF154" s="29" t="s">
        <v>12</v>
      </c>
      <c r="CG154" s="29" t="s">
        <v>26</v>
      </c>
      <c r="CH154" s="29" t="s">
        <v>25</v>
      </c>
    </row>
    <row r="155" spans="1:86" x14ac:dyDescent="0.2">
      <c r="A155" s="8" t="str">
        <f>IF(AND(COUNTIF(W$3:W$13,A$15)&gt;0,A$15&lt;&gt;B38),A$15,IFERROR(IF(MATCH(A$15,Z$3:Z$13,0)=6,A$15," ")," "))</f>
        <v xml:space="preserve"> </v>
      </c>
      <c r="B155" s="8" t="str">
        <f>IF(A155=" "," ",1)</f>
        <v xml:space="preserve"> </v>
      </c>
      <c r="C155" s="8" t="str">
        <f>IFERROR(INDEX(A155:A176,MATCH(SMALL(B155:B176,1),B155:B176,0),1)," ")</f>
        <v>C4</v>
      </c>
      <c r="D155" s="8">
        <f>IFERROR(VLOOKUP($C155,$A$15:$O$36,2,FALSE)," ")</f>
        <v>1</v>
      </c>
      <c r="E155" s="8">
        <f>IFERROR(VLOOKUP($C155,$A$15:$O$36,3,FALSE)," ")</f>
        <v>0</v>
      </c>
      <c r="F155" s="8">
        <f>IFERROR(VLOOKUP($C155,$A$15:$O$36,4,FALSE)," ")</f>
        <v>1</v>
      </c>
      <c r="G155" s="8">
        <f>IFERROR(VLOOKUP($C155,$A$15:$O$36,5,FALSE)," ")</f>
        <v>0</v>
      </c>
      <c r="H155" s="8">
        <f>IFERROR(VLOOKUP($C155,$A$15:$O$36,6,FALSE)," ")</f>
        <v>0</v>
      </c>
      <c r="I155" s="8">
        <f>IFERROR(VLOOKUP($C155,$A$15:$O$36,7,FALSE)," ")</f>
        <v>0</v>
      </c>
      <c r="J155" s="8">
        <f>IFERROR(VLOOKUP($C155,$A$15:$O$36,8,FALSE)," ")</f>
        <v>0</v>
      </c>
      <c r="K155" s="8">
        <f>IFERROR(VLOOKUP($C155,$A$15:$O$36,9,FALSE)," ")</f>
        <v>0</v>
      </c>
      <c r="L155" s="8">
        <f>IFERROR(VLOOKUP($C155,$A$15:$O$36,10,FALSE)," ")</f>
        <v>0</v>
      </c>
      <c r="M155" s="8">
        <f>IFERROR(VLOOKUP($C155,$A$15:$O$36,11,FALSE)," ")</f>
        <v>0</v>
      </c>
      <c r="N155" s="8">
        <f>IFERROR(VLOOKUP($C155,$A$15:$O$36,12,FALSE)," ")</f>
        <v>0</v>
      </c>
      <c r="O155" s="8">
        <f>IFERROR(VLOOKUP($C155,$A$15:$O$36,15,FALSE)," ")</f>
        <v>400</v>
      </c>
      <c r="P155" s="8" t="e">
        <f t="array" ref="P155:P165">MMULT(MINVERSE(D155:N165),O155:O165)</f>
        <v>#NUM!</v>
      </c>
      <c r="Q155" s="8" t="e">
        <f t="shared" ref="Q155" si="421">IF(COUNTIF(P155:P165,"&lt;"&amp;-0.001)=0,IF(ABS(P155)&lt;0.001,0,P155)," ")</f>
        <v>#NUM!</v>
      </c>
      <c r="R155" s="8" t="str">
        <f>IFERROR(VLOOKUP(B38,A$15:L$36,2,FALSE)*Q155+VLOOKUP(B38,A$15:L$36,3,FALSE)*Q156+VLOOKUP(B38,A$15:L$36,4,FALSE)*Q157+VLOOKUP(B38,A$15:L$36,5,FALSE)*Q158+VLOOKUP(B38,A$15:L$36,6,FALSE)*Q159+VLOOKUP(B38,A$15:L$36,7,FALSE)*Q160+VLOOKUP(B38,A$15:L$36,8,FALSE)*Q161+VLOOKUP(B38,A$15:L$36,9,FALSE)*Q162+VLOOKUP(B38,A$15:L$36,10,FALSE)*Q163+VLOOKUP(B38,A$15:L$36,11,FALSE)*Q164+VLOOKUP(B38,A$15:L$36,12,FALSE)*Q165," ")</f>
        <v xml:space="preserve"> </v>
      </c>
      <c r="S155" s="8" t="str">
        <f>IFERROR(IF(R155-VLOOKUP(B38,A$15:O$36,15,FALSE)&lt;0,R155-VLOOKUP(B38,A$15:O$36,15,FALSE)," ")," ")</f>
        <v xml:space="preserve"> </v>
      </c>
      <c r="T155" s="18" t="str">
        <f>IFERROR(IF(R155-VLOOKUP(B38,A$15:O$36,15,FALSE)&gt;0,R155-VLOOKUP(B38,A$15:O$36,15,FALSE)," ")," ")</f>
        <v xml:space="preserve"> </v>
      </c>
      <c r="U155" s="8">
        <f t="shared" ref="U155" si="422">$M$2</f>
        <v>100.00000000000001</v>
      </c>
      <c r="V155" s="8">
        <v>-1</v>
      </c>
      <c r="W155" s="8">
        <f t="shared" ref="W155" si="423">-SUMPRODUCT($M$3:$M$12,$N$3:$N$12)</f>
        <v>-105000</v>
      </c>
      <c r="X155" s="8" t="e">
        <f t="shared" ref="X155" si="424">IF(U155&lt;&gt;U156,MMULT(MINVERSE(U155:V156),W155:W156)," ")</f>
        <v>#NUM!</v>
      </c>
      <c r="Y155" s="8" t="str">
        <f t="shared" ref="Y155" si="425">IFERROR(IF(X155-VLOOKUP(U$38,$A$2:$N$12,14,FALSE)&lt;0,X155-VLOOKUP(U$38,$A$2:$N$12,14,FALSE)," ")," ")</f>
        <v xml:space="preserve"> </v>
      </c>
      <c r="Z155" s="8" t="str">
        <f t="shared" ref="Z155" si="426">IFERROR(IF(X155-VLOOKUP(U$38,$A$2:$N$12,14,FALSE)&gt;0,X155-VLOOKUP(U$38,$A$2:$N$12,14,FALSE)," ")," ")</f>
        <v xml:space="preserve"> </v>
      </c>
      <c r="AA155" s="8">
        <f t="shared" ref="AA155" si="427">$M$3</f>
        <v>0</v>
      </c>
      <c r="AB155" s="32">
        <v>-1</v>
      </c>
      <c r="AC155" s="8">
        <f t="shared" ref="AC155" si="428">-SUMPRODUCT($M$2:$M$2,$N$2:$N$2)-SUMPRODUCT($M$4:$M$12,$N$4:$N$12)</f>
        <v>-120000</v>
      </c>
      <c r="AD155" s="8" t="e">
        <f t="shared" ref="AD155" si="429">IF(AA155&lt;&gt;AA156,MMULT(MINVERSE(AA155:AB156),AC155:AC156)," ")</f>
        <v>#NUM!</v>
      </c>
      <c r="AE155" s="8" t="str">
        <f t="shared" ref="AE155" si="430">IFERROR(IF(AD155-VLOOKUP(AA$38,$A$2:$N$12,14,FALSE)&lt;0,AD155-VLOOKUP(AA$38,$A$2:$N$12,14,FALSE)," ")," ")</f>
        <v xml:space="preserve"> </v>
      </c>
      <c r="AF155" s="8" t="str">
        <f t="shared" ref="AF155" si="431">IFERROR(IF(AD155-VLOOKUP(AA$38,$A$2:$N$12,14,FALSE)&gt;0,AD155-VLOOKUP(AA$38,$A$2:$N$12,14,FALSE)," ")," ")</f>
        <v xml:space="preserve"> </v>
      </c>
      <c r="AG155" s="8">
        <f t="shared" ref="AG155" si="432">$M$4</f>
        <v>300</v>
      </c>
      <c r="AH155" s="8">
        <v>-1</v>
      </c>
      <c r="AI155" s="8">
        <f t="shared" ref="AI155" si="433">-SUMPRODUCT($M$2:$M$3,$N$2:$N$3)-SUMPRODUCT($M$5:$M$12,$N$5:$N$12)</f>
        <v>-15000.000000000002</v>
      </c>
      <c r="AJ155" s="8" t="e">
        <f t="shared" ref="AJ155" si="434">IF(AG155&lt;&gt;AG156,MMULT(MINVERSE(AG155:AH156),AI155:AI156)," ")</f>
        <v>#NUM!</v>
      </c>
      <c r="AK155" s="8" t="str">
        <f t="shared" ref="AK155" si="435">IFERROR(IF(AJ155-VLOOKUP(AG$38,$A$2:$N$12,14,FALSE)&lt;0,AJ155-VLOOKUP(AG$38,$A$2:$N$12,14,FALSE)," ")," ")</f>
        <v xml:space="preserve"> </v>
      </c>
      <c r="AL155" s="8" t="str">
        <f t="shared" ref="AL155" si="436">IFERROR(IF(AJ155-VLOOKUP(AG$38,$A$2:$N$12,14,FALSE)&gt;0,AJ155-VLOOKUP(AG$38,$A$2:$N$12,14,FALSE)," ")," ")</f>
        <v xml:space="preserve"> </v>
      </c>
      <c r="AM155" s="8">
        <f t="shared" ref="AM155" si="437">$M$5</f>
        <v>0</v>
      </c>
      <c r="AN155" s="8">
        <v>-1</v>
      </c>
      <c r="AO155" s="8">
        <f t="shared" ref="AO155" si="438">-SUMPRODUCT($M$2:$M$4,$N$2:$N$4)-SUMPRODUCT($M$6:$M$12,$N$6:$N$12)</f>
        <v>-120000</v>
      </c>
      <c r="AP155" s="8" t="e">
        <f t="shared" ref="AP155" si="439">IF(AM155&lt;&gt;AM156,MMULT(MINVERSE(AM155:AN156),AO155:AO156)," ")</f>
        <v>#NUM!</v>
      </c>
      <c r="AQ155" s="8" t="str">
        <f t="shared" ref="AQ155" si="440">IFERROR(IF(AP155-VLOOKUP(AM$38,$A$2:$N$12,14,FALSE)&lt;0,AP155-VLOOKUP(AM$38,$A$2:$N$12,14,FALSE)," ")," ")</f>
        <v xml:space="preserve"> </v>
      </c>
      <c r="AR155" s="8" t="str">
        <f t="shared" ref="AR155" si="441">IFERROR(IF(AP155-VLOOKUP(AM$38,$A$2:$N$12,14,FALSE)&gt;0,AP155-VLOOKUP(AM$38,$A$2:$N$12,14,FALSE)," ")," ")</f>
        <v xml:space="preserve"> </v>
      </c>
      <c r="AS155" s="8">
        <f t="shared" ref="AS155" si="442">$M$6</f>
        <v>0</v>
      </c>
      <c r="AT155" s="8">
        <v>-1</v>
      </c>
      <c r="AU155" s="8">
        <f t="shared" ref="AU155" si="443">-SUMPRODUCT($M$2:$M$5,$N$2:$N$5)-SUMPRODUCT($M$7:$M$12,$N$7:$N$12)</f>
        <v>-120000</v>
      </c>
      <c r="AV155" s="8" t="e">
        <f t="shared" ref="AV155" si="444">IF(AS155&lt;&gt;AS156,MMULT(MINVERSE(AS155:AT156),AU155:AU156)," ")</f>
        <v>#NUM!</v>
      </c>
      <c r="AW155" s="8" t="str">
        <f t="shared" ref="AW155" si="445">IFERROR(IF(AV155-VLOOKUP(AS$38,$A$2:$N$12,14,FALSE)&lt;0,AV155-VLOOKUP(AS$38,$A$2:$N$12,14,FALSE)," ")," ")</f>
        <v xml:space="preserve"> </v>
      </c>
      <c r="AX155" s="8" t="str">
        <f t="shared" ref="AX155" si="446">IFERROR(IF(AV155-VLOOKUP(AS$38,$A$2:$N$12,14,FALSE)&gt;0,AV155-VLOOKUP(AS$38,$A$2:$N$12,14,FALSE)," ")," ")</f>
        <v xml:space="preserve"> </v>
      </c>
      <c r="AY155" s="8">
        <f t="shared" ref="AY155" si="447">$M$7</f>
        <v>0</v>
      </c>
      <c r="AZ155" s="8">
        <v>-1</v>
      </c>
      <c r="BA155" s="8">
        <f t="shared" ref="BA155" si="448">-SUMPRODUCT($M$2:$M$6,$N$2:$N$6)-SUMPRODUCT($M$8:$M$12,$N$8:$N$12)</f>
        <v>-120000</v>
      </c>
      <c r="BB155" s="8" t="e">
        <f t="shared" ref="BB155" si="449">IF(AY155&lt;&gt;AY156,MMULT(MINVERSE(AY155:AZ156),BA155:BA156)," ")</f>
        <v>#NUM!</v>
      </c>
      <c r="BC155" s="8" t="str">
        <f t="shared" ref="BC155" si="450">IFERROR(IF(BB155-VLOOKUP(AY$38,$A$2:$N$12,14,FALSE)&lt;0,BB155-VLOOKUP(AY$38,$A$2:$N$12,14,FALSE)," ")," ")</f>
        <v xml:space="preserve"> </v>
      </c>
      <c r="BD155" s="8" t="str">
        <f t="shared" ref="BD155" si="451">IFERROR(IF(BB155-VLOOKUP(AY$38,$A$2:$N$12,14,FALSE)&gt;0,BB155-VLOOKUP(AY$38,$A$2:$N$12,14,FALSE)," ")," ")</f>
        <v xml:space="preserve"> </v>
      </c>
      <c r="BE155" s="8">
        <f t="shared" ref="BE155" si="452">$M$8</f>
        <v>0</v>
      </c>
      <c r="BF155" s="8">
        <v>-1</v>
      </c>
      <c r="BG155" s="8">
        <f t="shared" ref="BG155" si="453">-SUMPRODUCT($M$2:$M$7,$N$2:$N$7)-SUMPRODUCT($M$9:$M$12,$N$9:$N$12)</f>
        <v>-120000</v>
      </c>
      <c r="BH155" s="8" t="e">
        <f t="shared" ref="BH155" si="454">IF(BE155&lt;&gt;BE156,MMULT(MINVERSE(BE155:BF156),BG155:BG156)," ")</f>
        <v>#NUM!</v>
      </c>
      <c r="BI155" s="8" t="str">
        <f t="shared" ref="BI155" si="455">IFERROR(IF(BH155-VLOOKUP(BE$38,$A$2:$N$12,14,FALSE)&lt;0,BH155-VLOOKUP(BE$38,$A$2:$N$12,14,FALSE)," ")," ")</f>
        <v xml:space="preserve"> </v>
      </c>
      <c r="BJ155" s="8" t="str">
        <f t="shared" ref="BJ155" si="456">IFERROR(IF(BH155-VLOOKUP(BE$38,$A$2:$N$12,14,FALSE)&gt;0,BH155-VLOOKUP(BE$38,$A$2:$N$12,14,FALSE)," ")," ")</f>
        <v xml:space="preserve"> </v>
      </c>
      <c r="BK155" s="8">
        <f t="shared" ref="BK155" si="457">$M$9</f>
        <v>0</v>
      </c>
      <c r="BL155" s="8">
        <v>-1</v>
      </c>
      <c r="BM155" s="8">
        <f t="shared" ref="BM155" si="458">-SUMPRODUCT($M$2:$M$8,$N$2:$N$8)-SUMPRODUCT($M$10:$M$12,$N$10:$N$12)</f>
        <v>-120000</v>
      </c>
      <c r="BN155" s="8" t="e">
        <f t="shared" ref="BN155" si="459">IF(BK155&lt;&gt;BK156,MMULT(MINVERSE(BK155:BL156),BM155:BM156)," ")</f>
        <v>#NUM!</v>
      </c>
      <c r="BO155" s="8" t="str">
        <f t="shared" ref="BO155" si="460">IFERROR(IF(BN155-VLOOKUP(BK$38,$A$2:$N$12,14,FALSE)&lt;0,BN155-VLOOKUP(BK$38,$A$2:$N$12,14,FALSE)," ")," ")</f>
        <v xml:space="preserve"> </v>
      </c>
      <c r="BP155" s="8" t="str">
        <f t="shared" ref="BP155" si="461">IFERROR(IF(BN155-VLOOKUP(BK$38,$A$2:$N$12,14,FALSE)&gt;0,BN155-VLOOKUP(BK$38,$A$2:$N$12,14,FALSE)," ")," ")</f>
        <v xml:space="preserve"> </v>
      </c>
      <c r="BQ155" s="8">
        <f t="shared" ref="BQ155" si="462">$M$10</f>
        <v>0</v>
      </c>
      <c r="BR155" s="8">
        <v>-1</v>
      </c>
      <c r="BS155" s="8">
        <f t="shared" ref="BS155" si="463">-SUMPRODUCT($M$2:$M$9,$N$2:$N$9)-SUMPRODUCT($M$11:$M$12,$N$11:$N$12)</f>
        <v>-120000</v>
      </c>
      <c r="BT155" s="8" t="e">
        <f t="shared" ref="BT155" si="464">IF(BQ155&lt;&gt;BQ156,MMULT(MINVERSE(BQ155:BR156),BS155:BS156)," ")</f>
        <v>#NUM!</v>
      </c>
      <c r="BU155" s="8" t="str">
        <f t="shared" ref="BU155" si="465">IFERROR(IF(BT155-VLOOKUP(BQ$38,$A$2:$N$12,14,FALSE)&lt;0,BT155-VLOOKUP(BQ$38,$A$2:$N$12,14,FALSE)," ")," ")</f>
        <v xml:space="preserve"> </v>
      </c>
      <c r="BV155" s="8" t="str">
        <f t="shared" ref="BV155" si="466">IFERROR(IF(BT155-VLOOKUP(BQ$38,$A$2:$N$12,14,FALSE)&gt;0,BT155-VLOOKUP(BQ$38,$A$2:$N$12,14,FALSE)," ")," ")</f>
        <v xml:space="preserve"> </v>
      </c>
      <c r="BW155" s="8">
        <f t="shared" ref="BW155" si="467">$M$11</f>
        <v>0</v>
      </c>
      <c r="BX155" s="8">
        <v>-1</v>
      </c>
      <c r="BY155" s="8">
        <f t="shared" ref="BY155" si="468">-SUMPRODUCT($M$2:$M$10,$N$2:$N$10)-SUMPRODUCT($M$12,$N$12)</f>
        <v>-120000</v>
      </c>
      <c r="BZ155" s="8" t="e">
        <f t="shared" ref="BZ155" si="469">IF(BW155&lt;&gt;BW156,MMULT(MINVERSE(BW155:BX156),BY155:BY156)," ")</f>
        <v>#NUM!</v>
      </c>
      <c r="CA155" s="8" t="str">
        <f t="shared" ref="CA155" si="470">IFERROR(IF(BZ155-VLOOKUP(BW$38,$A$2:$N$12,14,FALSE)&lt;0,BZ155-VLOOKUP(BW$38,$A$2:$N$12,14,FALSE)," ")," ")</f>
        <v xml:space="preserve"> </v>
      </c>
      <c r="CB155" s="8" t="str">
        <f t="shared" ref="CB155" si="471">IFERROR(IF(BZ155-VLOOKUP(BW$38,$A$2:$N$12,14,FALSE)&gt;0,BZ155-VLOOKUP(BW$38,$A$2:$N$12,14,FALSE)," ")," ")</f>
        <v xml:space="preserve"> </v>
      </c>
      <c r="CC155" s="8">
        <f t="shared" ref="CC155" si="472">$M$12</f>
        <v>0</v>
      </c>
      <c r="CD155" s="8">
        <v>-1</v>
      </c>
      <c r="CE155" s="8">
        <f t="shared" ref="CE155" si="473">-SUMPRODUCT($M$2:$M$11,$N$2:$N$11)</f>
        <v>-120000</v>
      </c>
      <c r="CF155" s="8" t="e">
        <f t="shared" ref="CF155" si="474">IF(CC155&lt;&gt;CC156,MMULT(MINVERSE(CC155:CD156),CE155:CE156)," ")</f>
        <v>#NUM!</v>
      </c>
      <c r="CG155" s="8" t="str">
        <f t="shared" ref="CG155" si="475">IFERROR(IF(CF155-VLOOKUP(CC$38,$A$2:$N$12,14,FALSE)&lt;0,CF155-VLOOKUP(CC$38,$A$2:$N$12,14,FALSE)," ")," ")</f>
        <v xml:space="preserve"> </v>
      </c>
      <c r="CH155" s="8" t="str">
        <f t="shared" ref="CH155" si="476">IFERROR(IF(CF155-VLOOKUP(CC$38,$A$2:$N$12,14,FALSE)&gt;0,CF155-VLOOKUP(CC$38,$A$2:$N$12,14,FALSE)," ")," ")</f>
        <v xml:space="preserve"> </v>
      </c>
    </row>
    <row r="156" spans="1:86" x14ac:dyDescent="0.2">
      <c r="A156" s="8" t="str">
        <f>IF(AND(COUNTIF(W$3:W$13,A$16)&gt;0,A$16&lt;&gt;B38),A$16,IFERROR(IF(MATCH(A$16,Z$3:Z$13,0)=6,A$16," ")," "))</f>
        <v xml:space="preserve"> </v>
      </c>
      <c r="B156" s="8" t="str">
        <f>IF(A156=" "," ",MAX(B155:B155)+1)</f>
        <v xml:space="preserve"> </v>
      </c>
      <c r="C156" s="8" t="str">
        <f>IFERROR(INDEX(A155:A176,MATCH(SMALL(B155:B176,2),B155:B176,0),1)," ")</f>
        <v>C8</v>
      </c>
      <c r="D156" s="8">
        <f t="shared" ref="D156:D165" si="477">IFERROR(VLOOKUP($C156,$A$15:$O$36,2,FALSE)," ")</f>
        <v>0</v>
      </c>
      <c r="E156" s="8">
        <f t="shared" ref="E156:E165" si="478">IFERROR(VLOOKUP($C156,$A$15:$O$36,3,FALSE)," ")</f>
        <v>0</v>
      </c>
      <c r="F156" s="8">
        <f t="shared" ref="F156:F165" si="479">IFERROR(VLOOKUP($C156,$A$15:$O$36,4,FALSE)," ")</f>
        <v>0</v>
      </c>
      <c r="G156" s="8">
        <f t="shared" ref="G156:G165" si="480">IFERROR(VLOOKUP($C156,$A$15:$O$36,5,FALSE)," ")</f>
        <v>0</v>
      </c>
      <c r="H156" s="8">
        <f t="shared" ref="H156:H165" si="481">IFERROR(VLOOKUP($C156,$A$15:$O$36,6,FALSE)," ")</f>
        <v>0</v>
      </c>
      <c r="I156" s="8">
        <f t="shared" ref="I156:I165" si="482">IFERROR(VLOOKUP($C156,$A$15:$O$36,7,FALSE)," ")</f>
        <v>0</v>
      </c>
      <c r="J156" s="8">
        <f t="shared" ref="J156:J165" si="483">IFERROR(VLOOKUP($C156,$A$15:$O$36,8,FALSE)," ")</f>
        <v>0</v>
      </c>
      <c r="K156" s="8">
        <f t="shared" ref="K156:K165" si="484">IFERROR(VLOOKUP($C156,$A$15:$O$36,9,FALSE)," ")</f>
        <v>0</v>
      </c>
      <c r="L156" s="8">
        <f t="shared" ref="L156:L165" si="485">IFERROR(VLOOKUP($C156,$A$15:$O$36,10,FALSE)," ")</f>
        <v>0</v>
      </c>
      <c r="M156" s="8">
        <f t="shared" ref="M156:M165" si="486">IFERROR(VLOOKUP($C156,$A$15:$O$36,11,FALSE)," ")</f>
        <v>0</v>
      </c>
      <c r="N156" s="8">
        <f t="shared" ref="N156:N165" si="487">IFERROR(VLOOKUP($C156,$A$15:$O$36,12,FALSE)," ")</f>
        <v>0</v>
      </c>
      <c r="O156" s="8">
        <f t="shared" ref="O156:O165" si="488">IFERROR(VLOOKUP($C156,$A$15:$O$36,15,FALSE)," ")</f>
        <v>0</v>
      </c>
      <c r="P156" s="8" t="e">
        <v>#NUM!</v>
      </c>
      <c r="Q156" s="8" t="e">
        <f t="shared" ref="Q156" si="489">IF(COUNTIF(P155:P165,"&lt;"&amp;-0.001)=0,IF(ABS(P156)&lt;0.001,0,P156)," ")</f>
        <v>#NUM!</v>
      </c>
      <c r="R156" s="8"/>
      <c r="S156" s="8"/>
      <c r="U156" s="8" t="e">
        <f t="shared" ref="U156" si="490">$Q155</f>
        <v>#NUM!</v>
      </c>
      <c r="V156" s="8">
        <v>-1</v>
      </c>
      <c r="W156" s="8" t="e">
        <f t="shared" ref="W156" si="491">-SUMPRODUCT($Q156:$Q165,$N$3:$N$12)</f>
        <v>#NUM!</v>
      </c>
      <c r="X156" s="8"/>
      <c r="Y156" s="8"/>
      <c r="Z156" s="8"/>
      <c r="AA156" s="8" t="e">
        <f t="shared" ref="AA156" si="492">$Q156</f>
        <v>#NUM!</v>
      </c>
      <c r="AB156" s="32">
        <v>-1</v>
      </c>
      <c r="AC156" s="8" t="e">
        <f t="shared" ref="AC156" si="493">-SUMPRODUCT($Q155:$Q155,$N$2:$N$2)-SUMPRODUCT($Q157:$Q165,$N$4:$N$12)</f>
        <v>#NUM!</v>
      </c>
      <c r="AD156" s="8"/>
      <c r="AE156" s="8"/>
      <c r="AF156" s="8"/>
      <c r="AG156" s="8" t="e">
        <f t="shared" ref="AG156" si="494">$Q157</f>
        <v>#NUM!</v>
      </c>
      <c r="AH156" s="8">
        <v>-1</v>
      </c>
      <c r="AI156" s="8" t="e">
        <f t="shared" ref="AI156" si="495">-SUMPRODUCT($Q155:$Q156,$N$2:$N$3)-SUMPRODUCT($Q158:$Q165,$N$5:$N$12)</f>
        <v>#NUM!</v>
      </c>
      <c r="AJ156" s="8"/>
      <c r="AK156" s="8"/>
      <c r="AL156" s="8"/>
      <c r="AM156" s="8" t="e">
        <f t="shared" ref="AM156" si="496">$Q158</f>
        <v>#NUM!</v>
      </c>
      <c r="AN156" s="8">
        <v>-1</v>
      </c>
      <c r="AO156" s="8" t="e">
        <f t="shared" ref="AO156" si="497">-SUMPRODUCT($Q155:$Q157,$N$2:$N$4)-SUMPRODUCT($Q159:$Q165,$N$6:$N$12)</f>
        <v>#NUM!</v>
      </c>
      <c r="AP156" s="8"/>
      <c r="AQ156" s="8"/>
      <c r="AR156" s="8"/>
      <c r="AS156" s="8" t="e">
        <f t="shared" ref="AS156" si="498">$Q159</f>
        <v>#NUM!</v>
      </c>
      <c r="AT156" s="8">
        <v>-1</v>
      </c>
      <c r="AU156" s="8" t="e">
        <f t="shared" ref="AU156" si="499">-SUMPRODUCT($Q155:$Q158,$N$2:$N$5)-SUMPRODUCT($Q160:$Q165,$N$7:$N$12)</f>
        <v>#NUM!</v>
      </c>
      <c r="AV156" s="8"/>
      <c r="AW156" s="8"/>
      <c r="AX156" s="8"/>
      <c r="AY156" s="8" t="e">
        <f t="shared" ref="AY156" si="500">$Q160</f>
        <v>#NUM!</v>
      </c>
      <c r="AZ156" s="8">
        <v>-1</v>
      </c>
      <c r="BA156" s="8" t="e">
        <f t="shared" ref="BA156" si="501">-SUMPRODUCT($Q155:$Q159,$N$2:$N$6)-SUMPRODUCT($Q161:$Q165,$N$8:$N$12)</f>
        <v>#NUM!</v>
      </c>
      <c r="BB156" s="8"/>
      <c r="BC156" s="8"/>
      <c r="BD156" s="8"/>
      <c r="BE156" s="8" t="e">
        <f t="shared" ref="BE156" si="502">$Q161</f>
        <v>#NUM!</v>
      </c>
      <c r="BF156" s="8">
        <v>-1</v>
      </c>
      <c r="BG156" s="8" t="e">
        <f t="shared" ref="BG156" si="503">-SUMPRODUCT($Q155:$Q160,$N$2:$N$7)-SUMPRODUCT($Q162:$Q165,$N$9:$N$12)</f>
        <v>#NUM!</v>
      </c>
      <c r="BH156" s="8"/>
      <c r="BI156" s="8"/>
      <c r="BJ156" s="8"/>
      <c r="BK156" s="8" t="e">
        <f t="shared" ref="BK156" si="504">$Q162</f>
        <v>#NUM!</v>
      </c>
      <c r="BL156" s="8">
        <v>-1</v>
      </c>
      <c r="BM156" s="8" t="e">
        <f t="shared" ref="BM156" si="505">-SUMPRODUCT($Q155:$Q161,$N$2:$N$8)-SUMPRODUCT($Q163:$Q165,$N$10:$N$12)</f>
        <v>#NUM!</v>
      </c>
      <c r="BN156" s="8"/>
      <c r="BO156" s="8"/>
      <c r="BP156" s="8"/>
      <c r="BQ156" s="8" t="e">
        <f t="shared" ref="BQ156" si="506">$Q163</f>
        <v>#NUM!</v>
      </c>
      <c r="BR156" s="8">
        <v>-1</v>
      </c>
      <c r="BS156" s="8" t="e">
        <f t="shared" ref="BS156" si="507">-SUMPRODUCT($Q155:$Q162,$N$2:$N$9)-SUMPRODUCT($Q164:$Q165,$N$11:$N$12)</f>
        <v>#NUM!</v>
      </c>
      <c r="BT156" s="8"/>
      <c r="BU156" s="8"/>
      <c r="BV156" s="8"/>
      <c r="BW156" s="8" t="e">
        <f t="shared" ref="BW156" si="508">$Q164</f>
        <v>#NUM!</v>
      </c>
      <c r="BX156" s="8">
        <v>-1</v>
      </c>
      <c r="BY156" s="8" t="e">
        <f t="shared" ref="BY156" si="509">-SUMPRODUCT($Q155:$Q163,$N$2:$N$10)-SUMPRODUCT($Q165,$N$12)</f>
        <v>#NUM!</v>
      </c>
      <c r="BZ156" s="8"/>
      <c r="CA156" s="8"/>
      <c r="CB156" s="8"/>
      <c r="CC156" s="8" t="e">
        <f t="shared" ref="CC156" si="510">$Q165</f>
        <v>#NUM!</v>
      </c>
      <c r="CD156" s="8">
        <v>-1</v>
      </c>
      <c r="CE156" s="8" t="e">
        <f t="shared" ref="CE156" si="511">-SUMPRODUCT($Q155:$Q164,$N$2:$N$11)</f>
        <v>#NUM!</v>
      </c>
      <c r="CF156" s="8"/>
      <c r="CG156" s="8"/>
      <c r="CH156" s="8"/>
    </row>
    <row r="157" spans="1:86" x14ac:dyDescent="0.2">
      <c r="A157" s="8" t="str">
        <f>IF(AND(COUNTIF(W$3:W$13,A$17)&gt;0,A$17&lt;&gt;B38),A$17,IFERROR(IF(MATCH(A$17,Z$3:Z$13,0)=6,A$17," ")," "))</f>
        <v xml:space="preserve"> </v>
      </c>
      <c r="B157" s="8" t="str">
        <f>IF(A157=" "," ",MAX(B155:B156)+1)</f>
        <v xml:space="preserve"> </v>
      </c>
      <c r="C157" s="8" t="str">
        <f>IFERROR(INDEX(A155:A176,MATCH(SMALL(B155:B176,3),B155:B176,0),1)," ")</f>
        <v>C13</v>
      </c>
      <c r="D157" s="8">
        <f t="shared" si="477"/>
        <v>0</v>
      </c>
      <c r="E157" s="8">
        <f t="shared" si="478"/>
        <v>1</v>
      </c>
      <c r="F157" s="8">
        <f t="shared" si="479"/>
        <v>0</v>
      </c>
      <c r="G157" s="8">
        <f t="shared" si="480"/>
        <v>0</v>
      </c>
      <c r="H157" s="8">
        <f t="shared" si="481"/>
        <v>0</v>
      </c>
      <c r="I157" s="8">
        <f t="shared" si="482"/>
        <v>0</v>
      </c>
      <c r="J157" s="8">
        <f t="shared" si="483"/>
        <v>0</v>
      </c>
      <c r="K157" s="8">
        <f t="shared" si="484"/>
        <v>0</v>
      </c>
      <c r="L157" s="8">
        <f t="shared" si="485"/>
        <v>0</v>
      </c>
      <c r="M157" s="8">
        <f t="shared" si="486"/>
        <v>0</v>
      </c>
      <c r="N157" s="8">
        <f t="shared" si="487"/>
        <v>0</v>
      </c>
      <c r="O157" s="8">
        <f t="shared" si="488"/>
        <v>0</v>
      </c>
      <c r="P157" s="8" t="e">
        <v>#NUM!</v>
      </c>
      <c r="Q157" s="8" t="e">
        <f t="shared" ref="Q157" si="512">IF(COUNTIF(P155:P165,"&lt;"&amp;-0.001)=0,IF(ABS(P157)&lt;0.001,0,P157)," ")</f>
        <v>#NUM!</v>
      </c>
      <c r="R157" s="8"/>
      <c r="S157" s="8"/>
      <c r="U157" s="8"/>
      <c r="V157" s="8"/>
      <c r="W157" s="8"/>
      <c r="X157" s="8"/>
      <c r="Y157" s="8"/>
      <c r="Z157" s="8"/>
      <c r="AA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  <c r="AV157" s="8"/>
      <c r="AW157" s="8"/>
      <c r="AX157" s="8"/>
      <c r="AY157" s="8"/>
      <c r="AZ157" s="8"/>
      <c r="BA157" s="8"/>
      <c r="BB157" s="8"/>
      <c r="BC157" s="8"/>
      <c r="BD157" s="8"/>
      <c r="BE157" s="8"/>
      <c r="BF157" s="8"/>
      <c r="BG157" s="8"/>
      <c r="BH157" s="8"/>
      <c r="BI157" s="8"/>
      <c r="BJ157" s="8"/>
      <c r="BK157" s="8"/>
      <c r="BL157" s="8"/>
      <c r="BM157" s="8"/>
      <c r="BN157" s="8"/>
      <c r="BO157" s="8"/>
      <c r="BP157" s="8"/>
      <c r="BQ157" s="8"/>
      <c r="BR157" s="8"/>
      <c r="BS157" s="8"/>
      <c r="BT157" s="8"/>
      <c r="BU157" s="8"/>
      <c r="BV157" s="8"/>
      <c r="BW157" s="8"/>
      <c r="BX157" s="8"/>
      <c r="BY157" s="8"/>
      <c r="BZ157" s="8"/>
      <c r="CA157" s="8"/>
      <c r="CB157" s="8"/>
      <c r="CC157" s="8"/>
      <c r="CD157" s="8"/>
      <c r="CE157" s="8"/>
      <c r="CF157" s="8"/>
      <c r="CG157" s="8"/>
      <c r="CH157" s="8"/>
    </row>
    <row r="158" spans="1:86" x14ac:dyDescent="0.2">
      <c r="A158" s="8" t="str">
        <f>IF(AND(COUNTIF(W$3:W$13,A$18)&gt;0,A$18&lt;&gt;B38),A$18,IFERROR(IF(MATCH(A$18,Z$3:Z$13,0)=6,A$18," ")," "))</f>
        <v>C4</v>
      </c>
      <c r="B158" s="8">
        <f>IF(A158=" "," ",MAX(B155:B157)+1)</f>
        <v>1</v>
      </c>
      <c r="C158" s="8" t="str">
        <f>IFERROR(INDEX(A155:A176,MATCH(SMALL(B155:B176,4),B155:B176,0),1)," ")</f>
        <v>C15</v>
      </c>
      <c r="D158" s="8">
        <f t="shared" si="477"/>
        <v>0</v>
      </c>
      <c r="E158" s="8">
        <f t="shared" si="478"/>
        <v>0</v>
      </c>
      <c r="F158" s="8">
        <f t="shared" si="479"/>
        <v>0</v>
      </c>
      <c r="G158" s="8">
        <f t="shared" si="480"/>
        <v>1</v>
      </c>
      <c r="H158" s="8">
        <f t="shared" si="481"/>
        <v>0</v>
      </c>
      <c r="I158" s="8">
        <f t="shared" si="482"/>
        <v>0</v>
      </c>
      <c r="J158" s="8">
        <f t="shared" si="483"/>
        <v>0</v>
      </c>
      <c r="K158" s="8">
        <f t="shared" si="484"/>
        <v>0</v>
      </c>
      <c r="L158" s="8">
        <f t="shared" si="485"/>
        <v>0</v>
      </c>
      <c r="M158" s="8">
        <f t="shared" si="486"/>
        <v>0</v>
      </c>
      <c r="N158" s="8">
        <f t="shared" si="487"/>
        <v>0</v>
      </c>
      <c r="O158" s="8">
        <f t="shared" si="488"/>
        <v>0</v>
      </c>
      <c r="P158" s="8" t="e">
        <v>#NUM!</v>
      </c>
      <c r="Q158" s="8" t="e">
        <f t="shared" ref="Q158" si="513">IF(COUNTIF(P155:P165,"&lt;"&amp;-0.001)=0,IF(ABS(P158)&lt;0.001,0,P158)," ")</f>
        <v>#NUM!</v>
      </c>
      <c r="R158" s="8"/>
      <c r="S158" s="8"/>
      <c r="U158" s="8"/>
      <c r="V158" s="8"/>
      <c r="W158" s="8"/>
      <c r="X158" s="8"/>
      <c r="Y158" s="8"/>
      <c r="Z158" s="8"/>
      <c r="AA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  <c r="AV158" s="8"/>
      <c r="AW158" s="8"/>
      <c r="AX158" s="8"/>
      <c r="AY158" s="8"/>
      <c r="AZ158" s="8"/>
      <c r="BA158" s="8"/>
      <c r="BB158" s="8"/>
      <c r="BC158" s="8"/>
      <c r="BD158" s="8"/>
      <c r="BE158" s="8"/>
      <c r="BF158" s="8"/>
      <c r="BG158" s="8"/>
      <c r="BH158" s="8"/>
      <c r="BI158" s="8"/>
      <c r="BJ158" s="8"/>
      <c r="BK158" s="8"/>
      <c r="BL158" s="8"/>
      <c r="BM158" s="8"/>
      <c r="BN158" s="8"/>
      <c r="BO158" s="8"/>
      <c r="BP158" s="8"/>
      <c r="BQ158" s="8"/>
      <c r="BR158" s="8"/>
      <c r="BS158" s="8"/>
      <c r="BT158" s="8"/>
      <c r="BU158" s="8"/>
      <c r="BV158" s="8"/>
      <c r="BW158" s="8"/>
      <c r="BX158" s="8"/>
      <c r="BY158" s="8"/>
      <c r="BZ158" s="8"/>
      <c r="CA158" s="8"/>
      <c r="CB158" s="8"/>
      <c r="CC158" s="8"/>
      <c r="CD158" s="8"/>
      <c r="CE158" s="8"/>
      <c r="CF158" s="8"/>
      <c r="CG158" s="8"/>
      <c r="CH158" s="8"/>
    </row>
    <row r="159" spans="1:86" x14ac:dyDescent="0.2">
      <c r="A159" s="8" t="str">
        <f>IF(AND(COUNTIF(W$3:W$13,A$19)&gt;0,A$19&lt;&gt;B38),A$19,IFERROR(IF(MATCH(A$19,Z$3:Z$13,0)=6,A$19," ")," "))</f>
        <v xml:space="preserve"> </v>
      </c>
      <c r="B159" s="8" t="str">
        <f>IF(A159=" "," ",MAX(B155:B158)+1)</f>
        <v xml:space="preserve"> </v>
      </c>
      <c r="C159" s="8" t="str">
        <f>IFERROR(INDEX(A155:A176,MATCH(SMALL(B155:B176,5),B155:B176,0),1)," ")</f>
        <v>C16</v>
      </c>
      <c r="D159" s="8">
        <f t="shared" si="477"/>
        <v>0</v>
      </c>
      <c r="E159" s="8">
        <f t="shared" si="478"/>
        <v>0</v>
      </c>
      <c r="F159" s="8">
        <f t="shared" si="479"/>
        <v>0</v>
      </c>
      <c r="G159" s="8">
        <f t="shared" si="480"/>
        <v>0</v>
      </c>
      <c r="H159" s="8">
        <f t="shared" si="481"/>
        <v>1</v>
      </c>
      <c r="I159" s="8">
        <f t="shared" si="482"/>
        <v>0</v>
      </c>
      <c r="J159" s="8">
        <f t="shared" si="483"/>
        <v>0</v>
      </c>
      <c r="K159" s="8">
        <f t="shared" si="484"/>
        <v>0</v>
      </c>
      <c r="L159" s="8">
        <f t="shared" si="485"/>
        <v>0</v>
      </c>
      <c r="M159" s="8">
        <f t="shared" si="486"/>
        <v>0</v>
      </c>
      <c r="N159" s="8">
        <f t="shared" si="487"/>
        <v>0</v>
      </c>
      <c r="O159" s="8">
        <f t="shared" si="488"/>
        <v>0</v>
      </c>
      <c r="P159" s="8" t="e">
        <v>#NUM!</v>
      </c>
      <c r="Q159" s="8" t="e">
        <f t="shared" ref="Q159" si="514">IF(COUNTIF(P155:P165,"&lt;"&amp;-0.001)=0,IF(ABS(P159)&lt;0.001,0,P159)," ")</f>
        <v>#NUM!</v>
      </c>
      <c r="R159" s="8"/>
      <c r="S159" s="8"/>
      <c r="U159" s="8"/>
      <c r="V159" s="8"/>
      <c r="W159" s="8"/>
      <c r="X159" s="8"/>
      <c r="Y159" s="8"/>
      <c r="Z159" s="8"/>
      <c r="AA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  <c r="AV159" s="8"/>
      <c r="AW159" s="8"/>
      <c r="AX159" s="8"/>
      <c r="AY159" s="8"/>
      <c r="AZ159" s="8"/>
      <c r="BA159" s="8"/>
      <c r="BB159" s="8"/>
      <c r="BC159" s="8"/>
      <c r="BD159" s="8"/>
      <c r="BE159" s="8"/>
      <c r="BF159" s="8"/>
      <c r="BG159" s="8"/>
      <c r="BH159" s="8"/>
      <c r="BI159" s="8"/>
      <c r="BJ159" s="8"/>
      <c r="BK159" s="8"/>
      <c r="BL159" s="8"/>
      <c r="BM159" s="8"/>
      <c r="BN159" s="8"/>
      <c r="BO159" s="8"/>
      <c r="BP159" s="8"/>
      <c r="BQ159" s="8"/>
      <c r="BR159" s="8"/>
      <c r="BS159" s="8"/>
      <c r="BT159" s="8"/>
      <c r="BU159" s="8"/>
      <c r="BV159" s="8"/>
      <c r="BW159" s="8"/>
      <c r="BX159" s="8"/>
      <c r="BY159" s="8"/>
      <c r="BZ159" s="8"/>
      <c r="CA159" s="8"/>
      <c r="CB159" s="8"/>
      <c r="CC159" s="8"/>
      <c r="CD159" s="8"/>
      <c r="CE159" s="8"/>
      <c r="CF159" s="8"/>
      <c r="CG159" s="8"/>
      <c r="CH159" s="8"/>
    </row>
    <row r="160" spans="1:86" x14ac:dyDescent="0.2">
      <c r="A160" s="8" t="str">
        <f>IF(AND(COUNTIF(W$3:W$13,A$20)&gt;0,A$20&lt;&gt;B38),A$20,IFERROR(IF(MATCH(A$20,Z$3:Z$13,0)=6,A$20," ")," "))</f>
        <v xml:space="preserve"> </v>
      </c>
      <c r="B160" s="8" t="str">
        <f>IF(A160=" "," ",MAX(B155:B159)+1)</f>
        <v xml:space="preserve"> </v>
      </c>
      <c r="C160" s="8" t="str">
        <f>IFERROR(INDEX(A155:A176,MATCH(SMALL(B155:B176,6),B155:B176,0),1)," ")</f>
        <v>C17</v>
      </c>
      <c r="D160" s="8">
        <f t="shared" si="477"/>
        <v>0</v>
      </c>
      <c r="E160" s="8">
        <f t="shared" si="478"/>
        <v>0</v>
      </c>
      <c r="F160" s="8">
        <f t="shared" si="479"/>
        <v>0</v>
      </c>
      <c r="G160" s="8">
        <f t="shared" si="480"/>
        <v>0</v>
      </c>
      <c r="H160" s="8">
        <f t="shared" si="481"/>
        <v>0</v>
      </c>
      <c r="I160" s="8">
        <f t="shared" si="482"/>
        <v>1</v>
      </c>
      <c r="J160" s="8">
        <f t="shared" si="483"/>
        <v>0</v>
      </c>
      <c r="K160" s="8">
        <f t="shared" si="484"/>
        <v>0</v>
      </c>
      <c r="L160" s="8">
        <f t="shared" si="485"/>
        <v>0</v>
      </c>
      <c r="M160" s="8">
        <f t="shared" si="486"/>
        <v>0</v>
      </c>
      <c r="N160" s="8">
        <f t="shared" si="487"/>
        <v>0</v>
      </c>
      <c r="O160" s="8">
        <f t="shared" si="488"/>
        <v>0</v>
      </c>
      <c r="P160" s="8" t="e">
        <v>#NUM!</v>
      </c>
      <c r="Q160" s="8" t="e">
        <f t="shared" ref="Q160" si="515">IF(COUNTIF(P155:P165,"&lt;"&amp;-0.001)=0,IF(ABS(P160)&lt;0.001,0,P160)," ")</f>
        <v>#NUM!</v>
      </c>
      <c r="R160" s="8"/>
      <c r="S160" s="8"/>
      <c r="U160" s="8"/>
      <c r="V160" s="8"/>
      <c r="W160" s="8"/>
      <c r="X160" s="8"/>
      <c r="Y160" s="8"/>
      <c r="Z160" s="8"/>
      <c r="AA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  <c r="AN160" s="8"/>
      <c r="AO160" s="8"/>
      <c r="AP160" s="8"/>
      <c r="AQ160" s="8"/>
      <c r="AR160" s="8"/>
      <c r="AS160" s="8"/>
      <c r="AT160" s="8"/>
      <c r="AU160" s="8"/>
      <c r="AV160" s="8"/>
      <c r="AW160" s="8"/>
      <c r="AX160" s="8"/>
      <c r="AY160" s="8"/>
      <c r="AZ160" s="8"/>
      <c r="BA160" s="8"/>
      <c r="BB160" s="8"/>
      <c r="BC160" s="8"/>
      <c r="BD160" s="8"/>
      <c r="BE160" s="8"/>
      <c r="BF160" s="8"/>
      <c r="BG160" s="8"/>
      <c r="BH160" s="8"/>
      <c r="BI160" s="8"/>
      <c r="BJ160" s="8"/>
      <c r="BK160" s="8"/>
      <c r="BL160" s="8"/>
      <c r="BM160" s="8"/>
      <c r="BN160" s="8"/>
      <c r="BO160" s="8"/>
      <c r="BP160" s="8"/>
      <c r="BQ160" s="8"/>
      <c r="BR160" s="8"/>
      <c r="BS160" s="8"/>
      <c r="BT160" s="8"/>
      <c r="BU160" s="8"/>
      <c r="BV160" s="8"/>
      <c r="BW160" s="8"/>
      <c r="BX160" s="8"/>
      <c r="BY160" s="8"/>
      <c r="BZ160" s="8"/>
      <c r="CA160" s="8"/>
      <c r="CB160" s="8"/>
      <c r="CC160" s="8"/>
      <c r="CD160" s="8"/>
      <c r="CE160" s="8"/>
      <c r="CF160" s="8"/>
      <c r="CG160" s="8"/>
      <c r="CH160" s="8"/>
    </row>
    <row r="161" spans="1:86" x14ac:dyDescent="0.2">
      <c r="A161" s="8" t="str">
        <f>IF(AND(COUNTIF(W$3:W$13,A$21)&gt;0,A$21&lt;&gt;B38),A$21,IFERROR(IF(MATCH(A$21,Z$3:Z$13,0)=6,A$21," ")," "))</f>
        <v xml:space="preserve"> </v>
      </c>
      <c r="B161" s="8" t="str">
        <f>IF(A161=" "," ",MAX(B155:B160)+1)</f>
        <v xml:space="preserve"> </v>
      </c>
      <c r="C161" s="8" t="str">
        <f>IFERROR(INDEX(A155:A176,MATCH(SMALL(B155:B176,7),B155:B176,0),1)," ")</f>
        <v>C18</v>
      </c>
      <c r="D161" s="8">
        <f t="shared" si="477"/>
        <v>0</v>
      </c>
      <c r="E161" s="8">
        <f t="shared" si="478"/>
        <v>0</v>
      </c>
      <c r="F161" s="8">
        <f t="shared" si="479"/>
        <v>0</v>
      </c>
      <c r="G161" s="8">
        <f t="shared" si="480"/>
        <v>0</v>
      </c>
      <c r="H161" s="8">
        <f t="shared" si="481"/>
        <v>0</v>
      </c>
      <c r="I161" s="8">
        <f t="shared" si="482"/>
        <v>0</v>
      </c>
      <c r="J161" s="8">
        <f t="shared" si="483"/>
        <v>1</v>
      </c>
      <c r="K161" s="8">
        <f t="shared" si="484"/>
        <v>0</v>
      </c>
      <c r="L161" s="8">
        <f t="shared" si="485"/>
        <v>0</v>
      </c>
      <c r="M161" s="8">
        <f t="shared" si="486"/>
        <v>0</v>
      </c>
      <c r="N161" s="8">
        <f t="shared" si="487"/>
        <v>0</v>
      </c>
      <c r="O161" s="8">
        <f t="shared" si="488"/>
        <v>0</v>
      </c>
      <c r="P161" s="8" t="e">
        <v>#NUM!</v>
      </c>
      <c r="Q161" s="8" t="e">
        <f t="shared" ref="Q161" si="516">IF(COUNTIF(P155:P165,"&lt;"&amp;-0.001)=0,IF(ABS(P161)&lt;0.001,0,P161)," ")</f>
        <v>#NUM!</v>
      </c>
      <c r="R161" s="8"/>
      <c r="S161" s="8"/>
      <c r="U161" s="8"/>
      <c r="V161" s="8"/>
      <c r="W161" s="8"/>
      <c r="X161" s="8"/>
      <c r="Y161" s="8"/>
      <c r="Z161" s="8"/>
      <c r="AA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M161" s="8"/>
      <c r="AN161" s="8"/>
      <c r="AO161" s="8"/>
      <c r="AP161" s="8"/>
      <c r="AQ161" s="8"/>
      <c r="AR161" s="8"/>
      <c r="AS161" s="8"/>
      <c r="AT161" s="8"/>
      <c r="AU161" s="8"/>
      <c r="AV161" s="8"/>
      <c r="AW161" s="8"/>
      <c r="AX161" s="8"/>
      <c r="AY161" s="8"/>
      <c r="AZ161" s="8"/>
      <c r="BA161" s="8"/>
      <c r="BB161" s="8"/>
      <c r="BC161" s="8"/>
      <c r="BD161" s="8"/>
      <c r="BE161" s="8"/>
      <c r="BF161" s="8"/>
      <c r="BG161" s="8"/>
      <c r="BH161" s="8"/>
      <c r="BI161" s="8"/>
      <c r="BJ161" s="8"/>
      <c r="BK161" s="8"/>
      <c r="BL161" s="8"/>
      <c r="BM161" s="8"/>
      <c r="BN161" s="8"/>
      <c r="BO161" s="8"/>
      <c r="BP161" s="8"/>
      <c r="BQ161" s="8"/>
      <c r="BR161" s="8"/>
      <c r="BS161" s="8"/>
      <c r="BT161" s="8"/>
      <c r="BU161" s="8"/>
      <c r="BV161" s="8"/>
      <c r="BW161" s="8"/>
      <c r="BX161" s="8"/>
      <c r="BY161" s="8"/>
      <c r="BZ161" s="8"/>
      <c r="CA161" s="8"/>
      <c r="CB161" s="8"/>
      <c r="CC161" s="8"/>
      <c r="CD161" s="8"/>
      <c r="CE161" s="8"/>
      <c r="CF161" s="8"/>
      <c r="CG161" s="8"/>
      <c r="CH161" s="8"/>
    </row>
    <row r="162" spans="1:86" x14ac:dyDescent="0.2">
      <c r="A162" s="8" t="str">
        <f>IF(AND(COUNTIF(W$3:W$13,A$22)&gt;0,A$22&lt;&gt;B38),A$22,IFERROR(IF(MATCH(A$22,Z$3:Z$13,0)=6,A$22," ")," "))</f>
        <v>C8</v>
      </c>
      <c r="B162" s="8">
        <f>IF(A162=" "," ",MAX(B155:B161)+1)</f>
        <v>2</v>
      </c>
      <c r="C162" s="8" t="str">
        <f>IFERROR(INDEX(A155:A176,MATCH(SMALL(B155:B176,8),B155:B176,0),1)," ")</f>
        <v>C19</v>
      </c>
      <c r="D162" s="8">
        <f t="shared" si="477"/>
        <v>0</v>
      </c>
      <c r="E162" s="8">
        <f t="shared" si="478"/>
        <v>0</v>
      </c>
      <c r="F162" s="8">
        <f t="shared" si="479"/>
        <v>0</v>
      </c>
      <c r="G162" s="8">
        <f t="shared" si="480"/>
        <v>0</v>
      </c>
      <c r="H162" s="8">
        <f t="shared" si="481"/>
        <v>0</v>
      </c>
      <c r="I162" s="8">
        <f t="shared" si="482"/>
        <v>0</v>
      </c>
      <c r="J162" s="8">
        <f t="shared" si="483"/>
        <v>0</v>
      </c>
      <c r="K162" s="8">
        <f t="shared" si="484"/>
        <v>1</v>
      </c>
      <c r="L162" s="8">
        <f t="shared" si="485"/>
        <v>0</v>
      </c>
      <c r="M162" s="8">
        <f t="shared" si="486"/>
        <v>0</v>
      </c>
      <c r="N162" s="8">
        <f t="shared" si="487"/>
        <v>0</v>
      </c>
      <c r="O162" s="8">
        <f t="shared" si="488"/>
        <v>0</v>
      </c>
      <c r="P162" s="8" t="e">
        <v>#NUM!</v>
      </c>
      <c r="Q162" s="8" t="e">
        <f t="shared" ref="Q162" si="517">IF(COUNTIF(P155:P165,"&lt;"&amp;-0.001)=0,IF(ABS(P162)&lt;0.001,0,P162)," ")</f>
        <v>#NUM!</v>
      </c>
      <c r="R162" s="8"/>
      <c r="S162" s="8"/>
      <c r="U162" s="8"/>
      <c r="V162" s="8"/>
      <c r="W162" s="8"/>
      <c r="X162" s="8"/>
      <c r="Y162" s="8"/>
      <c r="Z162" s="8"/>
      <c r="AA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  <c r="AN162" s="8"/>
      <c r="AO162" s="8"/>
      <c r="AP162" s="8"/>
      <c r="AQ162" s="8"/>
      <c r="AR162" s="8"/>
      <c r="AS162" s="8"/>
      <c r="AT162" s="8"/>
      <c r="AU162" s="8"/>
      <c r="AV162" s="8"/>
      <c r="AW162" s="8"/>
      <c r="AX162" s="8"/>
      <c r="AY162" s="8"/>
      <c r="AZ162" s="8"/>
      <c r="BA162" s="8"/>
      <c r="BB162" s="8"/>
      <c r="BC162" s="8"/>
      <c r="BD162" s="8"/>
      <c r="BE162" s="8"/>
      <c r="BF162" s="8"/>
      <c r="BG162" s="8"/>
      <c r="BH162" s="8"/>
      <c r="BI162" s="8"/>
      <c r="BJ162" s="8"/>
      <c r="BK162" s="8"/>
      <c r="BL162" s="8"/>
      <c r="BM162" s="8"/>
      <c r="BN162" s="8"/>
      <c r="BO162" s="8"/>
      <c r="BP162" s="8"/>
      <c r="BQ162" s="8"/>
      <c r="BR162" s="8"/>
      <c r="BS162" s="8"/>
      <c r="BT162" s="8"/>
      <c r="BU162" s="8"/>
      <c r="BV162" s="8"/>
      <c r="BW162" s="8"/>
      <c r="BX162" s="8"/>
      <c r="BY162" s="8"/>
      <c r="BZ162" s="8"/>
      <c r="CA162" s="8"/>
      <c r="CB162" s="8"/>
      <c r="CC162" s="8"/>
      <c r="CD162" s="8"/>
      <c r="CE162" s="8"/>
      <c r="CF162" s="8"/>
      <c r="CG162" s="8"/>
      <c r="CH162" s="8"/>
    </row>
    <row r="163" spans="1:86" x14ac:dyDescent="0.2">
      <c r="A163" s="8" t="str">
        <f>IF(AND(COUNTIF(W$3:W$13,A$23)&gt;0,A$23&lt;&gt;B38),A$23,IFERROR(IF(MATCH(A$23,Z$3:Z$13,0)=6,A$23," ")," "))</f>
        <v xml:space="preserve"> </v>
      </c>
      <c r="B163" s="8" t="str">
        <f>IF(A163=" "," ",MAX(B155:B162)+1)</f>
        <v xml:space="preserve"> </v>
      </c>
      <c r="C163" s="8" t="str">
        <f>IFERROR(INDEX(A155:A176,MATCH(SMALL(B155:B176,9),B155:B176,0),1)," ")</f>
        <v>C20</v>
      </c>
      <c r="D163" s="8">
        <f t="shared" si="477"/>
        <v>0</v>
      </c>
      <c r="E163" s="8">
        <f t="shared" si="478"/>
        <v>0</v>
      </c>
      <c r="F163" s="8">
        <f t="shared" si="479"/>
        <v>0</v>
      </c>
      <c r="G163" s="8">
        <f t="shared" si="480"/>
        <v>0</v>
      </c>
      <c r="H163" s="8">
        <f t="shared" si="481"/>
        <v>0</v>
      </c>
      <c r="I163" s="8">
        <f t="shared" si="482"/>
        <v>0</v>
      </c>
      <c r="J163" s="8">
        <f t="shared" si="483"/>
        <v>0</v>
      </c>
      <c r="K163" s="8">
        <f t="shared" si="484"/>
        <v>0</v>
      </c>
      <c r="L163" s="8">
        <f t="shared" si="485"/>
        <v>1</v>
      </c>
      <c r="M163" s="8">
        <f t="shared" si="486"/>
        <v>0</v>
      </c>
      <c r="N163" s="8">
        <f t="shared" si="487"/>
        <v>0</v>
      </c>
      <c r="O163" s="8">
        <f t="shared" si="488"/>
        <v>0</v>
      </c>
      <c r="P163" s="6" t="e">
        <v>#NUM!</v>
      </c>
      <c r="Q163" s="8" t="e">
        <f t="shared" ref="Q163" si="518">IF(COUNTIF(P155:P165,"&lt;"&amp;-0.001)=0,IF(ABS(P163)&lt;0.001,0,P163)," ")</f>
        <v>#NUM!</v>
      </c>
      <c r="R163" s="8"/>
      <c r="S163" s="8"/>
      <c r="U163" s="8"/>
      <c r="V163" s="8"/>
      <c r="W163" s="8"/>
      <c r="X163" s="8"/>
      <c r="Y163" s="8"/>
      <c r="Z163" s="8"/>
      <c r="AA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  <c r="BA163" s="8"/>
      <c r="BB163" s="8"/>
      <c r="BC163" s="8"/>
      <c r="BD163" s="8"/>
      <c r="BE163" s="8"/>
      <c r="BF163" s="8"/>
      <c r="BG163" s="8"/>
      <c r="BH163" s="8"/>
      <c r="BI163" s="8"/>
      <c r="BJ163" s="8"/>
      <c r="BK163" s="8"/>
      <c r="BL163" s="8"/>
      <c r="BM163" s="8"/>
      <c r="BN163" s="8"/>
      <c r="BO163" s="8"/>
      <c r="BP163" s="8"/>
      <c r="BQ163" s="8"/>
      <c r="BR163" s="8"/>
      <c r="BS163" s="8"/>
      <c r="BT163" s="8"/>
      <c r="BU163" s="8"/>
      <c r="BV163" s="8"/>
      <c r="BW163" s="8"/>
      <c r="BX163" s="8"/>
      <c r="BY163" s="8"/>
      <c r="BZ163" s="8"/>
      <c r="CA163" s="8"/>
      <c r="CB163" s="8"/>
      <c r="CC163" s="8"/>
      <c r="CD163" s="8"/>
      <c r="CE163" s="8"/>
      <c r="CF163" s="8"/>
      <c r="CG163" s="8"/>
      <c r="CH163" s="8"/>
    </row>
    <row r="164" spans="1:86" x14ac:dyDescent="0.2">
      <c r="A164" s="8" t="str">
        <f>IF(AND(COUNTIF(W$3:W$13,A$24)&gt;0,A$24&lt;&gt;B38),A$24,IFERROR(IF(MATCH(A$24,Z$3:Z$13,0)=6,A$24," ")," "))</f>
        <v xml:space="preserve"> </v>
      </c>
      <c r="B164" s="8" t="str">
        <f>IF(A164=" "," ",MAX(B155:B163)+1)</f>
        <v xml:space="preserve"> </v>
      </c>
      <c r="C164" s="8" t="str">
        <f>IFERROR(INDEX(A155:A176,MATCH(SMALL(B155:B176,10),B155:B176,0),1)," ")</f>
        <v>C21</v>
      </c>
      <c r="D164" s="8">
        <f t="shared" si="477"/>
        <v>0</v>
      </c>
      <c r="E164" s="8">
        <f t="shared" si="478"/>
        <v>0</v>
      </c>
      <c r="F164" s="8">
        <f t="shared" si="479"/>
        <v>0</v>
      </c>
      <c r="G164" s="8">
        <f t="shared" si="480"/>
        <v>0</v>
      </c>
      <c r="H164" s="8">
        <f t="shared" si="481"/>
        <v>0</v>
      </c>
      <c r="I164" s="8">
        <f t="shared" si="482"/>
        <v>0</v>
      </c>
      <c r="J164" s="8">
        <f t="shared" si="483"/>
        <v>0</v>
      </c>
      <c r="K164" s="8">
        <f t="shared" si="484"/>
        <v>0</v>
      </c>
      <c r="L164" s="8">
        <f t="shared" si="485"/>
        <v>0</v>
      </c>
      <c r="M164" s="8">
        <f t="shared" si="486"/>
        <v>1</v>
      </c>
      <c r="N164" s="8">
        <f t="shared" si="487"/>
        <v>0</v>
      </c>
      <c r="O164" s="8">
        <f t="shared" si="488"/>
        <v>0</v>
      </c>
      <c r="P164" s="8" t="e">
        <v>#NUM!</v>
      </c>
      <c r="Q164" s="8" t="e">
        <f t="shared" ref="Q164" si="519">IF(COUNTIF(P155:P165,"&lt;"&amp;-0.001)=0,IF(ABS(P164)&lt;0.001,0,P164)," ")</f>
        <v>#NUM!</v>
      </c>
      <c r="R164" s="8"/>
      <c r="S164" s="8"/>
      <c r="U164" s="8"/>
      <c r="V164" s="8"/>
      <c r="W164" s="8"/>
      <c r="X164" s="8"/>
      <c r="Y164" s="8"/>
      <c r="Z164" s="8"/>
      <c r="AA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/>
      <c r="AY164" s="8"/>
      <c r="AZ164" s="8"/>
      <c r="BA164" s="8"/>
      <c r="BB164" s="8"/>
      <c r="BC164" s="8"/>
      <c r="BD164" s="8"/>
      <c r="BE164" s="8"/>
      <c r="BF164" s="8"/>
      <c r="BG164" s="8"/>
      <c r="BH164" s="8"/>
      <c r="BI164" s="8"/>
      <c r="BJ164" s="8"/>
      <c r="BK164" s="8"/>
      <c r="BL164" s="8"/>
      <c r="BM164" s="8"/>
      <c r="BN164" s="8"/>
      <c r="BO164" s="8"/>
      <c r="BP164" s="8"/>
      <c r="BQ164" s="8"/>
      <c r="BR164" s="8"/>
      <c r="BS164" s="8"/>
      <c r="BT164" s="8"/>
      <c r="BU164" s="8"/>
      <c r="BV164" s="8"/>
      <c r="BW164" s="8"/>
      <c r="BX164" s="8"/>
      <c r="BY164" s="8"/>
      <c r="BZ164" s="8"/>
      <c r="CA164" s="8"/>
      <c r="CB164" s="8"/>
      <c r="CC164" s="8"/>
      <c r="CD164" s="8"/>
      <c r="CE164" s="8"/>
      <c r="CF164" s="8"/>
      <c r="CG164" s="8"/>
      <c r="CH164" s="8"/>
    </row>
    <row r="165" spans="1:86" x14ac:dyDescent="0.2">
      <c r="A165" s="8" t="str">
        <f>IF(AND(COUNTIF(W$3:W$13,A$25)&gt;0,A$25&lt;&gt;B38),A$25,IFERROR(IF(MATCH(A$25,Z$3:Z$13,0)=6,A$25," ")," "))</f>
        <v xml:space="preserve"> </v>
      </c>
      <c r="B165" s="8" t="str">
        <f>IF(A165=" "," ",MAX(B155:B164)+1)</f>
        <v xml:space="preserve"> </v>
      </c>
      <c r="C165" s="8" t="str">
        <f>IFERROR(INDEX(A155:A176,MATCH(SMALL(B155:B176,11),B155:B176,0),1)," ")</f>
        <v>C22</v>
      </c>
      <c r="D165" s="8">
        <f t="shared" si="477"/>
        <v>0</v>
      </c>
      <c r="E165" s="8">
        <f t="shared" si="478"/>
        <v>0</v>
      </c>
      <c r="F165" s="8">
        <f t="shared" si="479"/>
        <v>0</v>
      </c>
      <c r="G165" s="8">
        <f t="shared" si="480"/>
        <v>0</v>
      </c>
      <c r="H165" s="8">
        <f t="shared" si="481"/>
        <v>0</v>
      </c>
      <c r="I165" s="8">
        <f t="shared" si="482"/>
        <v>0</v>
      </c>
      <c r="J165" s="8">
        <f t="shared" si="483"/>
        <v>0</v>
      </c>
      <c r="K165" s="8">
        <f t="shared" si="484"/>
        <v>0</v>
      </c>
      <c r="L165" s="8">
        <f t="shared" si="485"/>
        <v>0</v>
      </c>
      <c r="M165" s="8">
        <f t="shared" si="486"/>
        <v>0</v>
      </c>
      <c r="N165" s="8">
        <f t="shared" si="487"/>
        <v>1</v>
      </c>
      <c r="O165" s="8">
        <f t="shared" si="488"/>
        <v>0</v>
      </c>
      <c r="P165" s="8" t="e">
        <v>#NUM!</v>
      </c>
      <c r="Q165" s="8" t="e">
        <f t="shared" ref="Q165" si="520">IF(COUNTIF(P155:P165,"&lt;"&amp;-0.001)=0,IF(ABS(P165)&lt;0.001,0,P165)," ")</f>
        <v>#NUM!</v>
      </c>
      <c r="R165" s="8"/>
      <c r="S165" s="8"/>
      <c r="U165" s="8"/>
      <c r="V165" s="8"/>
      <c r="W165" s="8"/>
      <c r="X165" s="8"/>
      <c r="Y165" s="8"/>
      <c r="Z165" s="8"/>
      <c r="AA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  <c r="AP165" s="8"/>
      <c r="AQ165" s="8"/>
      <c r="AR165" s="8"/>
      <c r="AS165" s="8"/>
      <c r="AT165" s="8"/>
      <c r="AU165" s="8"/>
      <c r="AV165" s="8"/>
      <c r="AW165" s="8"/>
      <c r="AX165" s="8"/>
      <c r="AY165" s="8"/>
      <c r="AZ165" s="8"/>
      <c r="BA165" s="8"/>
      <c r="BB165" s="8"/>
      <c r="BC165" s="8"/>
      <c r="BD165" s="8"/>
      <c r="BE165" s="8"/>
      <c r="BF165" s="8"/>
      <c r="BG165" s="8"/>
      <c r="BH165" s="8"/>
      <c r="BI165" s="8"/>
      <c r="BJ165" s="8"/>
      <c r="BK165" s="8"/>
      <c r="BL165" s="8"/>
      <c r="BM165" s="8"/>
      <c r="BN165" s="8"/>
      <c r="BO165" s="8"/>
      <c r="BP165" s="8"/>
      <c r="BQ165" s="8"/>
      <c r="BR165" s="8"/>
      <c r="BS165" s="8"/>
      <c r="BT165" s="8"/>
      <c r="BU165" s="8"/>
      <c r="BV165" s="8"/>
      <c r="BW165" s="8"/>
      <c r="BX165" s="8"/>
      <c r="BY165" s="8"/>
      <c r="BZ165" s="8"/>
      <c r="CA165" s="8"/>
      <c r="CB165" s="8"/>
      <c r="CC165" s="8"/>
      <c r="CD165" s="8"/>
      <c r="CE165" s="8"/>
      <c r="CF165" s="8"/>
      <c r="CG165" s="8"/>
      <c r="CH165" s="8"/>
    </row>
    <row r="166" spans="1:86" x14ac:dyDescent="0.2">
      <c r="A166" s="8" t="str">
        <f>IF(AND(COUNTIF(W$3:W$13,A$26)&gt;0,A$26&lt;&gt;B38),A$26,IFERROR(IF(MATCH(A$26,Z$3:Z$13,0)=6,A$26," ")," "))</f>
        <v xml:space="preserve"> </v>
      </c>
      <c r="B166" s="8" t="str">
        <f>IF(A166=" "," ",MAX(B155:B165)+1)</f>
        <v xml:space="preserve"> </v>
      </c>
      <c r="Q166" s="8"/>
      <c r="U166" s="8"/>
      <c r="V166" s="8"/>
      <c r="W166" s="8"/>
      <c r="X166" s="8"/>
      <c r="Y166" s="8"/>
      <c r="Z166" s="8"/>
      <c r="AA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8"/>
      <c r="AR166" s="8"/>
      <c r="AS166" s="8"/>
      <c r="AT166" s="8"/>
      <c r="AU166" s="8"/>
      <c r="AV166" s="8"/>
      <c r="AW166" s="8"/>
      <c r="AX166" s="8"/>
      <c r="AY166" s="8"/>
      <c r="AZ166" s="8"/>
      <c r="BA166" s="8"/>
      <c r="BB166" s="8"/>
      <c r="BC166" s="8"/>
      <c r="BD166" s="8"/>
      <c r="BE166" s="8"/>
      <c r="BF166" s="8"/>
      <c r="BG166" s="8"/>
      <c r="BH166" s="8"/>
      <c r="BI166" s="8"/>
      <c r="BJ166" s="8"/>
      <c r="BK166" s="8"/>
      <c r="BL166" s="8"/>
      <c r="BM166" s="8"/>
      <c r="BN166" s="8"/>
      <c r="BO166" s="8"/>
      <c r="BP166" s="8"/>
      <c r="BQ166" s="8"/>
      <c r="BR166" s="8"/>
      <c r="BS166" s="8"/>
      <c r="BT166" s="8"/>
      <c r="BU166" s="8"/>
      <c r="BV166" s="8"/>
      <c r="BW166" s="8"/>
      <c r="BX166" s="8"/>
      <c r="BY166" s="8"/>
      <c r="BZ166" s="8"/>
      <c r="CA166" s="8"/>
      <c r="CB166" s="8"/>
      <c r="CC166" s="8"/>
      <c r="CD166" s="8"/>
      <c r="CE166" s="8"/>
      <c r="CF166" s="8"/>
      <c r="CG166" s="8"/>
      <c r="CH166" s="8"/>
    </row>
    <row r="167" spans="1:86" x14ac:dyDescent="0.2">
      <c r="A167" s="8" t="str">
        <f>IF(AND(COUNTIF(W$3:W$13,A$27)&gt;0,A$27&lt;&gt;B38),A$27,IFERROR(IF(MATCH(A$27,Z$3:Z$13,0)=6,A$27," ")," "))</f>
        <v>C13</v>
      </c>
      <c r="B167" s="8">
        <f>IF(A167=" "," ",MAX(B155:B166)+1)</f>
        <v>3</v>
      </c>
      <c r="Q167" s="8"/>
      <c r="U167" s="8"/>
      <c r="V167" s="8"/>
      <c r="W167" s="8"/>
      <c r="X167" s="8"/>
      <c r="Y167" s="8"/>
      <c r="Z167" s="8"/>
      <c r="AA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  <c r="AP167" s="8"/>
      <c r="AQ167" s="8"/>
      <c r="AR167" s="8"/>
      <c r="AS167" s="8"/>
      <c r="AT167" s="8"/>
      <c r="AU167" s="8"/>
      <c r="AV167" s="8"/>
      <c r="AW167" s="8"/>
      <c r="AX167" s="8"/>
      <c r="AY167" s="8"/>
      <c r="AZ167" s="8"/>
      <c r="BA167" s="8"/>
      <c r="BB167" s="8"/>
      <c r="BC167" s="8"/>
      <c r="BD167" s="8"/>
      <c r="BE167" s="8"/>
      <c r="BF167" s="8"/>
      <c r="BG167" s="8"/>
      <c r="BH167" s="8"/>
      <c r="BI167" s="8"/>
      <c r="BJ167" s="8"/>
      <c r="BK167" s="8"/>
      <c r="BL167" s="8"/>
      <c r="BM167" s="8"/>
      <c r="BN167" s="8"/>
      <c r="BO167" s="8"/>
      <c r="BP167" s="8"/>
      <c r="BQ167" s="8"/>
      <c r="BR167" s="8"/>
      <c r="BS167" s="8"/>
      <c r="BT167" s="8"/>
      <c r="BU167" s="8"/>
      <c r="BV167" s="8"/>
      <c r="BW167" s="8"/>
      <c r="BX167" s="8"/>
      <c r="BY167" s="8"/>
      <c r="BZ167" s="8"/>
      <c r="CA167" s="8"/>
      <c r="CB167" s="8"/>
      <c r="CC167" s="8"/>
      <c r="CD167" s="8"/>
      <c r="CE167" s="8"/>
      <c r="CF167" s="8"/>
      <c r="CG167" s="8"/>
      <c r="CH167" s="8"/>
    </row>
    <row r="168" spans="1:86" x14ac:dyDescent="0.2">
      <c r="A168" s="8" t="str">
        <f>IF(AND(COUNTIF(W$3:W$13,A$28)&gt;0,A$28&lt;&gt;B38),A$28,IFERROR(IF(MATCH(A$28,Z$3:Z$13,0)=6,A$28," ")," "))</f>
        <v xml:space="preserve"> </v>
      </c>
      <c r="B168" s="8" t="str">
        <f>IF(A168=" "," ",MAX(B155:B167)+1)</f>
        <v xml:space="preserve"> </v>
      </c>
      <c r="Q168" s="8"/>
      <c r="U168" s="8"/>
      <c r="V168" s="8"/>
      <c r="W168" s="8"/>
      <c r="X168" s="8"/>
      <c r="Y168" s="8"/>
      <c r="Z168" s="8"/>
      <c r="AA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  <c r="AP168" s="8"/>
      <c r="AQ168" s="8"/>
      <c r="AR168" s="8"/>
      <c r="AS168" s="8"/>
      <c r="AT168" s="8"/>
      <c r="AU168" s="8"/>
      <c r="AV168" s="8"/>
      <c r="AW168" s="8"/>
      <c r="AX168" s="8"/>
      <c r="AY168" s="8"/>
      <c r="AZ168" s="8"/>
      <c r="BA168" s="8"/>
      <c r="BB168" s="8"/>
      <c r="BC168" s="8"/>
      <c r="BD168" s="8"/>
      <c r="BE168" s="8"/>
      <c r="BF168" s="8"/>
      <c r="BG168" s="8"/>
      <c r="BH168" s="8"/>
      <c r="BI168" s="8"/>
      <c r="BJ168" s="8"/>
      <c r="BK168" s="8"/>
      <c r="BL168" s="8"/>
      <c r="BM168" s="8"/>
      <c r="BN168" s="8"/>
      <c r="BO168" s="8"/>
      <c r="BP168" s="8"/>
      <c r="BQ168" s="8"/>
      <c r="BR168" s="8"/>
      <c r="BS168" s="8"/>
      <c r="BT168" s="8"/>
      <c r="BU168" s="8"/>
      <c r="BV168" s="8"/>
      <c r="BW168" s="8"/>
      <c r="BX168" s="8"/>
      <c r="BY168" s="8"/>
      <c r="BZ168" s="8"/>
      <c r="CA168" s="8"/>
      <c r="CB168" s="8"/>
      <c r="CC168" s="8"/>
      <c r="CD168" s="8"/>
      <c r="CE168" s="8"/>
      <c r="CF168" s="8"/>
      <c r="CG168" s="8"/>
      <c r="CH168" s="8"/>
    </row>
    <row r="169" spans="1:86" x14ac:dyDescent="0.2">
      <c r="A169" s="8" t="str">
        <f>IF(AND(COUNTIF(W$3:W$13,A$29)&gt;0,A$29&lt;&gt;B38),A$29,IFERROR(IF(MATCH(A$29,Z$3:Z$13,0)=6,A$29," ")," "))</f>
        <v>C15</v>
      </c>
      <c r="B169" s="8">
        <f>IF(A169=" "," ",MAX(B155:B168)+1)</f>
        <v>4</v>
      </c>
      <c r="Q169" s="8"/>
      <c r="U169" s="8"/>
      <c r="V169" s="8"/>
      <c r="W169" s="8"/>
      <c r="X169" s="8"/>
      <c r="Y169" s="8"/>
      <c r="Z169" s="8"/>
      <c r="AA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/>
      <c r="BA169" s="8"/>
      <c r="BB169" s="8"/>
      <c r="BC169" s="8"/>
      <c r="BD169" s="8"/>
      <c r="BE169" s="8"/>
      <c r="BF169" s="8"/>
      <c r="BG169" s="8"/>
      <c r="BH169" s="8"/>
      <c r="BI169" s="8"/>
      <c r="BJ169" s="8"/>
      <c r="BK169" s="8"/>
      <c r="BL169" s="8"/>
      <c r="BM169" s="8"/>
      <c r="BN169" s="8"/>
      <c r="BO169" s="8"/>
      <c r="BP169" s="8"/>
      <c r="BQ169" s="8"/>
      <c r="BR169" s="8"/>
      <c r="BS169" s="8"/>
      <c r="BT169" s="8"/>
      <c r="BU169" s="8"/>
      <c r="BV169" s="8"/>
      <c r="BW169" s="8"/>
      <c r="BX169" s="8"/>
      <c r="BY169" s="8"/>
      <c r="BZ169" s="8"/>
      <c r="CA169" s="8"/>
      <c r="CB169" s="8"/>
      <c r="CC169" s="8"/>
      <c r="CD169" s="8"/>
      <c r="CE169" s="8"/>
      <c r="CF169" s="8"/>
      <c r="CG169" s="8"/>
      <c r="CH169" s="8"/>
    </row>
    <row r="170" spans="1:86" x14ac:dyDescent="0.2">
      <c r="A170" s="8" t="str">
        <f>IF(AND(COUNTIF(W$3:W$13,A$30)&gt;0,A$30&lt;&gt;B38),A$30,IFERROR(IF(MATCH(A$30,Z$3:Z$13,0)=6,A$30," ")," "))</f>
        <v>C16</v>
      </c>
      <c r="B170" s="8">
        <f>IF(A170=" "," ",MAX(B155:B169)+1)</f>
        <v>5</v>
      </c>
      <c r="Q170" s="8"/>
      <c r="U170" s="8"/>
      <c r="V170" s="8"/>
      <c r="W170" s="8"/>
      <c r="X170" s="8"/>
      <c r="Y170" s="8"/>
      <c r="Z170" s="8"/>
      <c r="AA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  <c r="AV170" s="8"/>
      <c r="AW170" s="8"/>
      <c r="AX170" s="8"/>
      <c r="AY170" s="8"/>
      <c r="AZ170" s="8"/>
      <c r="BA170" s="8"/>
      <c r="BB170" s="8"/>
      <c r="BC170" s="8"/>
      <c r="BD170" s="8"/>
      <c r="BE170" s="8"/>
      <c r="BF170" s="8"/>
      <c r="BG170" s="8"/>
      <c r="BH170" s="8"/>
      <c r="BI170" s="8"/>
      <c r="BJ170" s="8"/>
      <c r="BK170" s="8"/>
      <c r="BL170" s="8"/>
      <c r="BM170" s="8"/>
      <c r="BN170" s="8"/>
      <c r="BO170" s="8"/>
      <c r="BP170" s="8"/>
      <c r="BQ170" s="8"/>
      <c r="BR170" s="8"/>
      <c r="BS170" s="8"/>
      <c r="BT170" s="8"/>
      <c r="BU170" s="8"/>
      <c r="BV170" s="8"/>
      <c r="BW170" s="8"/>
      <c r="BX170" s="8"/>
      <c r="BY170" s="8"/>
      <c r="BZ170" s="8"/>
      <c r="CA170" s="8"/>
      <c r="CB170" s="8"/>
      <c r="CC170" s="8"/>
      <c r="CD170" s="8"/>
      <c r="CE170" s="8"/>
      <c r="CF170" s="8"/>
      <c r="CG170" s="8"/>
      <c r="CH170" s="8"/>
    </row>
    <row r="171" spans="1:86" x14ac:dyDescent="0.2">
      <c r="A171" s="8" t="str">
        <f>IF(AND(COUNTIF(W$3:W$13,A$31)&gt;0,A$31&lt;&gt;B38),A$31,IFERROR(IF(MATCH(A$31,Z$3:Z$13,0)=6,A$31," ")," "))</f>
        <v>C17</v>
      </c>
      <c r="B171" s="8">
        <f>IF(A171=" "," ",MAX(B155:B170)+1)</f>
        <v>6</v>
      </c>
      <c r="Q171" s="8"/>
      <c r="U171" s="8"/>
      <c r="V171" s="8"/>
      <c r="W171" s="8"/>
      <c r="X171" s="8"/>
      <c r="Y171" s="8"/>
      <c r="Z171" s="8"/>
      <c r="AA171" s="8"/>
      <c r="AC171" s="8"/>
      <c r="AD171" s="8"/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  <c r="AP171" s="8"/>
      <c r="AQ171" s="8"/>
      <c r="AR171" s="8"/>
      <c r="AS171" s="8"/>
      <c r="AT171" s="8"/>
      <c r="AU171" s="8"/>
      <c r="AV171" s="8"/>
      <c r="AW171" s="8"/>
      <c r="AX171" s="8"/>
      <c r="AY171" s="8"/>
      <c r="AZ171" s="8"/>
      <c r="BA171" s="8"/>
      <c r="BB171" s="8"/>
      <c r="BC171" s="8"/>
      <c r="BD171" s="8"/>
      <c r="BE171" s="8"/>
      <c r="BF171" s="8"/>
      <c r="BG171" s="8"/>
      <c r="BH171" s="8"/>
      <c r="BI171" s="8"/>
      <c r="BJ171" s="8"/>
      <c r="BK171" s="8"/>
      <c r="BL171" s="8"/>
      <c r="BM171" s="8"/>
      <c r="BN171" s="8"/>
      <c r="BO171" s="8"/>
      <c r="BP171" s="8"/>
      <c r="BQ171" s="8"/>
      <c r="BR171" s="8"/>
      <c r="BS171" s="8"/>
      <c r="BT171" s="8"/>
      <c r="BU171" s="8"/>
      <c r="BV171" s="8"/>
      <c r="BW171" s="8"/>
      <c r="BX171" s="8"/>
      <c r="BY171" s="8"/>
      <c r="BZ171" s="8"/>
      <c r="CA171" s="8"/>
      <c r="CB171" s="8"/>
      <c r="CC171" s="8"/>
      <c r="CD171" s="8"/>
      <c r="CE171" s="8"/>
      <c r="CF171" s="8"/>
      <c r="CG171" s="8"/>
      <c r="CH171" s="8"/>
    </row>
    <row r="172" spans="1:86" x14ac:dyDescent="0.2">
      <c r="A172" s="8" t="str">
        <f>IF(AND(COUNTIF(W$3:W$13,A$32)&gt;0,A$32&lt;&gt;B38),A$32,IFERROR(IF(MATCH(A$32,Z$3:Z$13,0)=6,A$32," ")," "))</f>
        <v>C18</v>
      </c>
      <c r="B172" s="8">
        <f>IF(A172=" "," ",MAX(B155:B171)+1)</f>
        <v>7</v>
      </c>
      <c r="Q172" s="8"/>
      <c r="U172" s="8"/>
      <c r="V172" s="8"/>
      <c r="W172" s="8"/>
      <c r="X172" s="8"/>
      <c r="Y172" s="8"/>
      <c r="Z172" s="8"/>
      <c r="AA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  <c r="AU172" s="8"/>
      <c r="AV172" s="8"/>
      <c r="AW172" s="8"/>
      <c r="AX172" s="8"/>
      <c r="AY172" s="8"/>
      <c r="AZ172" s="8"/>
      <c r="BA172" s="8"/>
      <c r="BB172" s="8"/>
      <c r="BC172" s="8"/>
      <c r="BD172" s="8"/>
      <c r="BE172" s="8"/>
      <c r="BF172" s="8"/>
      <c r="BG172" s="8"/>
      <c r="BH172" s="8"/>
      <c r="BI172" s="8"/>
      <c r="BJ172" s="8"/>
      <c r="BK172" s="8"/>
      <c r="BL172" s="8"/>
      <c r="BM172" s="8"/>
      <c r="BN172" s="8"/>
      <c r="BO172" s="8"/>
      <c r="BP172" s="8"/>
      <c r="BQ172" s="8"/>
      <c r="BR172" s="8"/>
      <c r="BS172" s="8"/>
      <c r="BT172" s="8"/>
      <c r="BU172" s="8"/>
      <c r="BV172" s="8"/>
      <c r="BW172" s="8"/>
      <c r="BX172" s="8"/>
      <c r="BY172" s="8"/>
      <c r="BZ172" s="8"/>
      <c r="CA172" s="8"/>
      <c r="CB172" s="8"/>
      <c r="CC172" s="8"/>
      <c r="CD172" s="8"/>
      <c r="CE172" s="8"/>
      <c r="CF172" s="8"/>
      <c r="CG172" s="8"/>
      <c r="CH172" s="8"/>
    </row>
    <row r="173" spans="1:86" x14ac:dyDescent="0.2">
      <c r="A173" s="8" t="str">
        <f>IF(AND(COUNTIF(W$3:W$13,A$33)&gt;0,A$33&lt;&gt;B38),A$33,IFERROR(IF(MATCH(A$33,Z$3:Z$13,0)=6,A$33," ")," "))</f>
        <v>C19</v>
      </c>
      <c r="B173" s="8">
        <f>IF(A173=" "," ",MAX(B155:B172)+1)</f>
        <v>8</v>
      </c>
      <c r="Q173" s="8"/>
      <c r="U173" s="8"/>
      <c r="V173" s="8"/>
      <c r="W173" s="8"/>
      <c r="X173" s="8"/>
      <c r="Y173" s="8"/>
      <c r="Z173" s="8"/>
      <c r="AA173" s="8"/>
      <c r="AC173" s="8"/>
      <c r="AD173" s="8"/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8"/>
      <c r="AP173" s="8"/>
      <c r="AQ173" s="8"/>
      <c r="AR173" s="8"/>
      <c r="AS173" s="8"/>
      <c r="AT173" s="8"/>
      <c r="AU173" s="8"/>
      <c r="AV173" s="8"/>
      <c r="AW173" s="8"/>
      <c r="AX173" s="8"/>
      <c r="AY173" s="8"/>
      <c r="AZ173" s="8"/>
      <c r="BA173" s="8"/>
      <c r="BB173" s="8"/>
      <c r="BC173" s="8"/>
      <c r="BD173" s="8"/>
      <c r="BE173" s="8"/>
      <c r="BF173" s="8"/>
      <c r="BG173" s="8"/>
      <c r="BH173" s="8"/>
      <c r="BI173" s="8"/>
      <c r="BJ173" s="8"/>
      <c r="BK173" s="8"/>
      <c r="BL173" s="8"/>
      <c r="BM173" s="8"/>
      <c r="BN173" s="8"/>
      <c r="BO173" s="8"/>
      <c r="BP173" s="8"/>
      <c r="BQ173" s="8"/>
      <c r="BR173" s="8"/>
      <c r="BS173" s="8"/>
      <c r="BT173" s="8"/>
      <c r="BU173" s="8"/>
      <c r="BV173" s="8"/>
      <c r="BW173" s="8"/>
      <c r="BX173" s="8"/>
      <c r="BY173" s="8"/>
      <c r="BZ173" s="8"/>
      <c r="CA173" s="8"/>
      <c r="CB173" s="8"/>
      <c r="CC173" s="8"/>
      <c r="CD173" s="8"/>
      <c r="CE173" s="8"/>
      <c r="CF173" s="8"/>
      <c r="CG173" s="8"/>
      <c r="CH173" s="8"/>
    </row>
    <row r="174" spans="1:86" x14ac:dyDescent="0.2">
      <c r="A174" s="8" t="str">
        <f>IF(AND(COUNTIF(W$3:W$13,A$34)&gt;0,A$34&lt;&gt;B38),A$34,IFERROR(IF(MATCH(A$34,Z$3:Z$13,0)=6,A$34," ")," "))</f>
        <v>C20</v>
      </c>
      <c r="B174" s="8">
        <f>IF(A174=" "," ",MAX(B155:B173)+1)</f>
        <v>9</v>
      </c>
      <c r="Q174" s="8"/>
      <c r="U174" s="8"/>
      <c r="V174" s="8"/>
      <c r="W174" s="8"/>
      <c r="X174" s="8"/>
      <c r="Y174" s="8"/>
      <c r="Z174" s="8"/>
      <c r="AA174" s="8"/>
      <c r="AC174" s="8"/>
      <c r="AD174" s="8"/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  <c r="AP174" s="8"/>
      <c r="AQ174" s="8"/>
      <c r="AR174" s="8"/>
      <c r="AS174" s="8"/>
      <c r="AT174" s="8"/>
      <c r="AU174" s="8"/>
      <c r="AV174" s="8"/>
      <c r="AW174" s="8"/>
      <c r="AX174" s="8"/>
      <c r="AY174" s="8"/>
      <c r="AZ174" s="8"/>
      <c r="BA174" s="8"/>
      <c r="BB174" s="8"/>
      <c r="BC174" s="8"/>
      <c r="BD174" s="8"/>
      <c r="BE174" s="8"/>
      <c r="BF174" s="8"/>
      <c r="BG174" s="8"/>
      <c r="BH174" s="8"/>
      <c r="BI174" s="8"/>
      <c r="BJ174" s="8"/>
      <c r="BK174" s="8"/>
      <c r="BL174" s="8"/>
      <c r="BM174" s="8"/>
      <c r="BN174" s="8"/>
      <c r="BO174" s="8"/>
      <c r="BP174" s="8"/>
      <c r="BQ174" s="8"/>
      <c r="BR174" s="8"/>
      <c r="BS174" s="8"/>
      <c r="BT174" s="8"/>
      <c r="BU174" s="8"/>
      <c r="BV174" s="8"/>
      <c r="BW174" s="8"/>
      <c r="BX174" s="8"/>
      <c r="BY174" s="8"/>
      <c r="BZ174" s="8"/>
      <c r="CA174" s="8"/>
      <c r="CB174" s="8"/>
      <c r="CC174" s="8"/>
      <c r="CD174" s="8"/>
      <c r="CE174" s="8"/>
      <c r="CF174" s="8"/>
      <c r="CG174" s="8"/>
      <c r="CH174" s="8"/>
    </row>
    <row r="175" spans="1:86" x14ac:dyDescent="0.2">
      <c r="A175" s="8" t="str">
        <f>IF(AND(COUNTIF(W$3:W$13,A$35)&gt;0,A$35&lt;&gt;B38),A$35,IFERROR(IF(MATCH(A$35,Z$3:Z$13,0)=6,A$35," ")," "))</f>
        <v>C21</v>
      </c>
      <c r="B175" s="8">
        <f>IF(A175=" "," ",MAX(B155:B174)+1)</f>
        <v>10</v>
      </c>
      <c r="Q175" s="8"/>
      <c r="U175" s="8"/>
      <c r="V175" s="8"/>
      <c r="W175" s="8"/>
      <c r="X175" s="8"/>
      <c r="Y175" s="8"/>
      <c r="Z175" s="8"/>
      <c r="AA175" s="8"/>
      <c r="AC175" s="8"/>
      <c r="AD175" s="8"/>
      <c r="AE175" s="8"/>
      <c r="AF175" s="8"/>
      <c r="AG175" s="8"/>
      <c r="AH175" s="8"/>
      <c r="AI175" s="8"/>
      <c r="AJ175" s="8"/>
      <c r="AK175" s="8"/>
      <c r="AL175" s="8"/>
      <c r="AM175" s="8"/>
      <c r="AN175" s="8"/>
      <c r="AO175" s="8"/>
      <c r="AP175" s="8"/>
      <c r="AQ175" s="8"/>
      <c r="AR175" s="8"/>
      <c r="AS175" s="8"/>
      <c r="AT175" s="8"/>
      <c r="AU175" s="8"/>
      <c r="AV175" s="8"/>
      <c r="AW175" s="8"/>
      <c r="AX175" s="8"/>
      <c r="AY175" s="8"/>
      <c r="AZ175" s="8"/>
      <c r="BA175" s="8"/>
      <c r="BB175" s="8"/>
      <c r="BC175" s="8"/>
      <c r="BD175" s="8"/>
      <c r="BE175" s="8"/>
      <c r="BF175" s="8"/>
      <c r="BG175" s="8"/>
      <c r="BH175" s="8"/>
      <c r="BI175" s="8"/>
      <c r="BJ175" s="8"/>
      <c r="BK175" s="8"/>
      <c r="BL175" s="8"/>
      <c r="BM175" s="8"/>
      <c r="BN175" s="8"/>
      <c r="BO175" s="8"/>
      <c r="BP175" s="8"/>
      <c r="BQ175" s="8"/>
      <c r="BR175" s="8"/>
      <c r="BS175" s="8"/>
      <c r="BT175" s="8"/>
      <c r="BU175" s="8"/>
      <c r="BV175" s="8"/>
      <c r="BW175" s="8"/>
      <c r="BX175" s="8"/>
      <c r="BY175" s="8"/>
      <c r="BZ175" s="8"/>
      <c r="CA175" s="8"/>
      <c r="CB175" s="8"/>
      <c r="CC175" s="8"/>
      <c r="CD175" s="8"/>
      <c r="CE175" s="8"/>
      <c r="CF175" s="8"/>
      <c r="CG175" s="8"/>
      <c r="CH175" s="8"/>
    </row>
    <row r="176" spans="1:86" x14ac:dyDescent="0.2">
      <c r="A176" s="8" t="str">
        <f>IF(AND(COUNTIF(W$3:W$13,A$36)&gt;0,A$36&lt;&gt;B38),A$36,IFERROR(IF(MATCH(A$36,Z$3:Z$13,0)=6,A$36," ")," "))</f>
        <v>C22</v>
      </c>
      <c r="B176" s="8">
        <f>IF(A176=" "," ",MAX(B155:B175)+1)</f>
        <v>11</v>
      </c>
      <c r="Q176" s="8"/>
      <c r="U176" s="8"/>
      <c r="V176" s="8"/>
      <c r="W176" s="8"/>
      <c r="X176" s="8"/>
      <c r="Y176" s="8"/>
      <c r="Z176" s="8"/>
      <c r="AA176" s="8"/>
      <c r="AC176" s="8"/>
      <c r="AD176" s="8"/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  <c r="AP176" s="8"/>
      <c r="AQ176" s="8"/>
      <c r="AR176" s="8"/>
      <c r="AS176" s="8"/>
      <c r="AT176" s="8"/>
      <c r="AU176" s="8"/>
      <c r="AV176" s="8"/>
      <c r="AW176" s="8"/>
      <c r="AX176" s="8"/>
      <c r="AY176" s="8"/>
      <c r="AZ176" s="8"/>
      <c r="BA176" s="8"/>
      <c r="BB176" s="8"/>
      <c r="BC176" s="8"/>
      <c r="BD176" s="8"/>
      <c r="BE176" s="8"/>
      <c r="BF176" s="8"/>
      <c r="BG176" s="8"/>
      <c r="BH176" s="8"/>
      <c r="BI176" s="8"/>
      <c r="BJ176" s="8"/>
      <c r="BK176" s="8"/>
      <c r="BL176" s="8"/>
      <c r="BM176" s="8"/>
      <c r="BN176" s="8"/>
      <c r="BO176" s="8"/>
      <c r="BP176" s="8"/>
      <c r="BQ176" s="8"/>
      <c r="BR176" s="8"/>
      <c r="BS176" s="8"/>
      <c r="BT176" s="8"/>
      <c r="BU176" s="8"/>
      <c r="BV176" s="8"/>
      <c r="BW176" s="8"/>
      <c r="BX176" s="8"/>
      <c r="BY176" s="8"/>
      <c r="BZ176" s="8"/>
      <c r="CA176" s="8"/>
      <c r="CB176" s="8"/>
      <c r="CC176" s="8"/>
      <c r="CD176" s="8"/>
      <c r="CE176" s="8"/>
      <c r="CF176" s="8"/>
      <c r="CG176" s="8"/>
      <c r="CH176" s="8"/>
    </row>
    <row r="177" spans="1:86" x14ac:dyDescent="0.2">
      <c r="A177" s="11" t="s">
        <v>17</v>
      </c>
      <c r="B177" s="11"/>
      <c r="C177" s="15" t="s">
        <v>18</v>
      </c>
      <c r="D177" s="13" t="s">
        <v>2</v>
      </c>
      <c r="E177" s="13" t="s">
        <v>6</v>
      </c>
      <c r="F177" s="13" t="s">
        <v>15</v>
      </c>
      <c r="G177" s="13" t="s">
        <v>36</v>
      </c>
      <c r="H177" s="13" t="s">
        <v>37</v>
      </c>
      <c r="I177" s="13" t="s">
        <v>38</v>
      </c>
      <c r="J177" s="13" t="s">
        <v>39</v>
      </c>
      <c r="K177" s="13" t="s">
        <v>40</v>
      </c>
      <c r="L177" s="13" t="s">
        <v>41</v>
      </c>
      <c r="M177" s="13" t="s">
        <v>42</v>
      </c>
      <c r="N177" s="13" t="s">
        <v>43</v>
      </c>
      <c r="O177" s="13" t="s">
        <v>9</v>
      </c>
      <c r="P177" s="15" t="s">
        <v>12</v>
      </c>
      <c r="Q177" s="27" t="s">
        <v>19</v>
      </c>
      <c r="R177" s="15" t="s">
        <v>55</v>
      </c>
      <c r="S177" s="15" t="s">
        <v>26</v>
      </c>
      <c r="T177" s="19" t="s">
        <v>25</v>
      </c>
      <c r="U177" s="29" t="s">
        <v>27</v>
      </c>
      <c r="V177" s="29" t="s">
        <v>9</v>
      </c>
      <c r="W177" s="29" t="s">
        <v>23</v>
      </c>
      <c r="X177" s="29" t="s">
        <v>12</v>
      </c>
      <c r="Y177" s="29" t="s">
        <v>26</v>
      </c>
      <c r="Z177" s="29" t="s">
        <v>25</v>
      </c>
      <c r="AA177" s="29" t="s">
        <v>27</v>
      </c>
      <c r="AB177" s="31" t="s">
        <v>9</v>
      </c>
      <c r="AC177" s="29" t="s">
        <v>23</v>
      </c>
      <c r="AD177" s="29" t="s">
        <v>12</v>
      </c>
      <c r="AE177" s="29" t="s">
        <v>26</v>
      </c>
      <c r="AF177" s="29" t="s">
        <v>25</v>
      </c>
      <c r="AG177" s="29" t="s">
        <v>27</v>
      </c>
      <c r="AH177" s="29" t="s">
        <v>9</v>
      </c>
      <c r="AI177" s="29" t="s">
        <v>23</v>
      </c>
      <c r="AJ177" s="29" t="s">
        <v>12</v>
      </c>
      <c r="AK177" s="29" t="s">
        <v>26</v>
      </c>
      <c r="AL177" s="29" t="s">
        <v>25</v>
      </c>
      <c r="AM177" s="29" t="s">
        <v>27</v>
      </c>
      <c r="AN177" s="29" t="s">
        <v>9</v>
      </c>
      <c r="AO177" s="29" t="s">
        <v>23</v>
      </c>
      <c r="AP177" s="29" t="s">
        <v>12</v>
      </c>
      <c r="AQ177" s="29" t="s">
        <v>26</v>
      </c>
      <c r="AR177" s="29" t="s">
        <v>25</v>
      </c>
      <c r="AS177" s="29" t="s">
        <v>27</v>
      </c>
      <c r="AT177" s="29" t="s">
        <v>9</v>
      </c>
      <c r="AU177" s="29" t="s">
        <v>23</v>
      </c>
      <c r="AV177" s="29" t="s">
        <v>12</v>
      </c>
      <c r="AW177" s="29" t="s">
        <v>26</v>
      </c>
      <c r="AX177" s="29" t="s">
        <v>25</v>
      </c>
      <c r="AY177" s="29" t="s">
        <v>27</v>
      </c>
      <c r="AZ177" s="29" t="s">
        <v>9</v>
      </c>
      <c r="BA177" s="29" t="s">
        <v>23</v>
      </c>
      <c r="BB177" s="29" t="s">
        <v>12</v>
      </c>
      <c r="BC177" s="29" t="s">
        <v>26</v>
      </c>
      <c r="BD177" s="29" t="s">
        <v>25</v>
      </c>
      <c r="BE177" s="29" t="s">
        <v>27</v>
      </c>
      <c r="BF177" s="29" t="s">
        <v>9</v>
      </c>
      <c r="BG177" s="29" t="s">
        <v>23</v>
      </c>
      <c r="BH177" s="29" t="s">
        <v>12</v>
      </c>
      <c r="BI177" s="29" t="s">
        <v>26</v>
      </c>
      <c r="BJ177" s="29" t="s">
        <v>25</v>
      </c>
      <c r="BK177" s="29" t="s">
        <v>27</v>
      </c>
      <c r="BL177" s="29" t="s">
        <v>9</v>
      </c>
      <c r="BM177" s="29" t="s">
        <v>23</v>
      </c>
      <c r="BN177" s="29" t="s">
        <v>12</v>
      </c>
      <c r="BO177" s="29" t="s">
        <v>26</v>
      </c>
      <c r="BP177" s="29" t="s">
        <v>25</v>
      </c>
      <c r="BQ177" s="29" t="s">
        <v>27</v>
      </c>
      <c r="BR177" s="29" t="s">
        <v>9</v>
      </c>
      <c r="BS177" s="29" t="s">
        <v>23</v>
      </c>
      <c r="BT177" s="29" t="s">
        <v>12</v>
      </c>
      <c r="BU177" s="29" t="s">
        <v>26</v>
      </c>
      <c r="BV177" s="29" t="s">
        <v>25</v>
      </c>
      <c r="BW177" s="29" t="s">
        <v>27</v>
      </c>
      <c r="BX177" s="29" t="s">
        <v>9</v>
      </c>
      <c r="BY177" s="29" t="s">
        <v>23</v>
      </c>
      <c r="BZ177" s="29" t="s">
        <v>12</v>
      </c>
      <c r="CA177" s="29" t="s">
        <v>26</v>
      </c>
      <c r="CB177" s="29" t="s">
        <v>25</v>
      </c>
      <c r="CC177" s="29" t="s">
        <v>27</v>
      </c>
      <c r="CD177" s="29" t="s">
        <v>9</v>
      </c>
      <c r="CE177" s="29" t="s">
        <v>23</v>
      </c>
      <c r="CF177" s="29" t="s">
        <v>12</v>
      </c>
      <c r="CG177" s="29" t="s">
        <v>26</v>
      </c>
      <c r="CH177" s="29" t="s">
        <v>25</v>
      </c>
    </row>
    <row r="178" spans="1:86" x14ac:dyDescent="0.2">
      <c r="A178" s="8" t="str">
        <f>IF(AND(COUNTIF(W$3:W$13,A$15)&gt;0,A$15&lt;&gt;B38),A$15,IFERROR(IF(MATCH(A$15,Z$3:Z$13,0)=7,A$15," ")," "))</f>
        <v xml:space="preserve"> </v>
      </c>
      <c r="B178" s="8" t="str">
        <f>IF(A178=" "," ",1)</f>
        <v xml:space="preserve"> </v>
      </c>
      <c r="C178" s="8" t="str">
        <f>IFERROR(INDEX(A178:A199,MATCH(SMALL(B178:B199,1),B178:B199,0),1)," ")</f>
        <v>C4</v>
      </c>
      <c r="D178" s="8">
        <f>IFERROR(VLOOKUP($C178,$A$15:$O$36,2,FALSE)," ")</f>
        <v>1</v>
      </c>
      <c r="E178" s="8">
        <f>IFERROR(VLOOKUP($C178,$A$15:$O$36,3,FALSE)," ")</f>
        <v>0</v>
      </c>
      <c r="F178" s="8">
        <f>IFERROR(VLOOKUP($C178,$A$15:$O$36,4,FALSE)," ")</f>
        <v>1</v>
      </c>
      <c r="G178" s="8">
        <f>IFERROR(VLOOKUP($C178,$A$15:$O$36,5,FALSE)," ")</f>
        <v>0</v>
      </c>
      <c r="H178" s="8">
        <f>IFERROR(VLOOKUP($C178,$A$15:$O$36,6,FALSE)," ")</f>
        <v>0</v>
      </c>
      <c r="I178" s="8">
        <f>IFERROR(VLOOKUP($C178,$A$15:$O$36,7,FALSE)," ")</f>
        <v>0</v>
      </c>
      <c r="J178" s="8">
        <f>IFERROR(VLOOKUP($C178,$A$15:$O$36,8,FALSE)," ")</f>
        <v>0</v>
      </c>
      <c r="K178" s="8">
        <f>IFERROR(VLOOKUP($C178,$A$15:$O$36,9,FALSE)," ")</f>
        <v>0</v>
      </c>
      <c r="L178" s="8">
        <f>IFERROR(VLOOKUP($C178,$A$15:$O$36,10,FALSE)," ")</f>
        <v>0</v>
      </c>
      <c r="M178" s="8">
        <f>IFERROR(VLOOKUP($C178,$A$15:$O$36,11,FALSE)," ")</f>
        <v>0</v>
      </c>
      <c r="N178" s="8">
        <f>IFERROR(VLOOKUP($C178,$A$15:$O$36,12,FALSE)," ")</f>
        <v>0</v>
      </c>
      <c r="O178" s="8">
        <f>IFERROR(VLOOKUP($C178,$A$15:$O$36,15,FALSE)," ")</f>
        <v>400</v>
      </c>
      <c r="P178" s="8" t="e">
        <f t="array" ref="P178:P188">MMULT(MINVERSE(D178:N188),O178:O188)</f>
        <v>#NUM!</v>
      </c>
      <c r="Q178" s="8" t="e">
        <f t="shared" ref="Q178" si="521">IF(COUNTIF(P178:P188,"&lt;"&amp;-0.001)=0,IF(ABS(P178)&lt;0.001,0,P178)," ")</f>
        <v>#NUM!</v>
      </c>
      <c r="R178" s="8" t="str">
        <f>IFERROR(VLOOKUP(B38,A$15:L$36,2,FALSE)*Q178+VLOOKUP(B38,A$15:L$36,3,FALSE)*Q179+VLOOKUP(B38,A$15:L$36,4,FALSE)*Q180+VLOOKUP(B38,A$15:L$36,5,FALSE)*Q181+VLOOKUP(B38,A$15:L$36,6,FALSE)*Q182+VLOOKUP(B38,A$15:L$36,7,FALSE)*Q183+VLOOKUP(B38,A$15:L$36,8,FALSE)*Q184+VLOOKUP(B38,A$15:L$36,9,FALSE)*Q185+VLOOKUP(B38,A$15:L$36,10,FALSE)*Q186+VLOOKUP(B38,A$15:L$36,11,FALSE)*Q187+VLOOKUP(B38,A$15:L$36,12,FALSE)*Q188," ")</f>
        <v xml:space="preserve"> </v>
      </c>
      <c r="S178" s="8" t="str">
        <f>IFERROR(IF(R178-VLOOKUP(B38,A$15:O$36,15,FALSE)&lt;0,R178-VLOOKUP(B38,A$15:O$36,15,FALSE)," ")," ")</f>
        <v xml:space="preserve"> </v>
      </c>
      <c r="T178" s="18" t="str">
        <f>IFERROR(IF(R178-VLOOKUP(B38,A$15:O$36,15,FALSE)&gt;0,R178-VLOOKUP(B38,A$15:O$36,15,FALSE)," ")," ")</f>
        <v xml:space="preserve"> </v>
      </c>
      <c r="U178" s="8">
        <f t="shared" ref="U178" si="522">$M$2</f>
        <v>100.00000000000001</v>
      </c>
      <c r="V178" s="8">
        <v>-1</v>
      </c>
      <c r="W178" s="8">
        <f t="shared" ref="W178" si="523">-SUMPRODUCT($M$3:$M$12,$N$3:$N$12)</f>
        <v>-105000</v>
      </c>
      <c r="X178" s="8" t="e">
        <f t="shared" ref="X178" si="524">IF(U178&lt;&gt;U179,MMULT(MINVERSE(U178:V179),W178:W179)," ")</f>
        <v>#NUM!</v>
      </c>
      <c r="Y178" s="8" t="str">
        <f t="shared" ref="Y178" si="525">IFERROR(IF(X178-VLOOKUP(U$38,$A$2:$N$12,14,FALSE)&lt;0,X178-VLOOKUP(U$38,$A$2:$N$12,14,FALSE)," ")," ")</f>
        <v xml:space="preserve"> </v>
      </c>
      <c r="Z178" s="8" t="str">
        <f t="shared" ref="Z178" si="526">IFERROR(IF(X178-VLOOKUP(U$38,$A$2:$N$12,14,FALSE)&gt;0,X178-VLOOKUP(U$38,$A$2:$N$12,14,FALSE)," ")," ")</f>
        <v xml:space="preserve"> </v>
      </c>
      <c r="AA178" s="8">
        <f t="shared" ref="AA178" si="527">$M$3</f>
        <v>0</v>
      </c>
      <c r="AB178" s="32">
        <v>-1</v>
      </c>
      <c r="AC178" s="8">
        <f t="shared" ref="AC178" si="528">-SUMPRODUCT($M$2:$M$2,$N$2:$N$2)-SUMPRODUCT($M$4:$M$12,$N$4:$N$12)</f>
        <v>-120000</v>
      </c>
      <c r="AD178" s="8" t="e">
        <f t="shared" ref="AD178" si="529">IF(AA178&lt;&gt;AA179,MMULT(MINVERSE(AA178:AB179),AC178:AC179)," ")</f>
        <v>#NUM!</v>
      </c>
      <c r="AE178" s="8" t="str">
        <f t="shared" ref="AE178" si="530">IFERROR(IF(AD178-VLOOKUP(AA$38,$A$2:$N$12,14,FALSE)&lt;0,AD178-VLOOKUP(AA$38,$A$2:$N$12,14,FALSE)," ")," ")</f>
        <v xml:space="preserve"> </v>
      </c>
      <c r="AF178" s="8" t="str">
        <f t="shared" ref="AF178" si="531">IFERROR(IF(AD178-VLOOKUP(AA$38,$A$2:$N$12,14,FALSE)&gt;0,AD178-VLOOKUP(AA$38,$A$2:$N$12,14,FALSE)," ")," ")</f>
        <v xml:space="preserve"> </v>
      </c>
      <c r="AG178" s="8">
        <f t="shared" ref="AG178" si="532">$M$4</f>
        <v>300</v>
      </c>
      <c r="AH178" s="8">
        <v>-1</v>
      </c>
      <c r="AI178" s="8">
        <f t="shared" ref="AI178" si="533">-SUMPRODUCT($M$2:$M$3,$N$2:$N$3)-SUMPRODUCT($M$5:$M$12,$N$5:$N$12)</f>
        <v>-15000.000000000002</v>
      </c>
      <c r="AJ178" s="8" t="e">
        <f t="shared" ref="AJ178" si="534">IF(AG178&lt;&gt;AG179,MMULT(MINVERSE(AG178:AH179),AI178:AI179)," ")</f>
        <v>#NUM!</v>
      </c>
      <c r="AK178" s="8" t="str">
        <f t="shared" ref="AK178" si="535">IFERROR(IF(AJ178-VLOOKUP(AG$38,$A$2:$N$12,14,FALSE)&lt;0,AJ178-VLOOKUP(AG$38,$A$2:$N$12,14,FALSE)," ")," ")</f>
        <v xml:space="preserve"> </v>
      </c>
      <c r="AL178" s="8" t="str">
        <f t="shared" ref="AL178" si="536">IFERROR(IF(AJ178-VLOOKUP(AG$38,$A$2:$N$12,14,FALSE)&gt;0,AJ178-VLOOKUP(AG$38,$A$2:$N$12,14,FALSE)," ")," ")</f>
        <v xml:space="preserve"> </v>
      </c>
      <c r="AM178" s="8">
        <f t="shared" ref="AM178" si="537">$M$5</f>
        <v>0</v>
      </c>
      <c r="AN178" s="8">
        <v>-1</v>
      </c>
      <c r="AO178" s="8">
        <f t="shared" ref="AO178" si="538">-SUMPRODUCT($M$2:$M$4,$N$2:$N$4)-SUMPRODUCT($M$6:$M$12,$N$6:$N$12)</f>
        <v>-120000</v>
      </c>
      <c r="AP178" s="8" t="e">
        <f t="shared" ref="AP178" si="539">IF(AM178&lt;&gt;AM179,MMULT(MINVERSE(AM178:AN179),AO178:AO179)," ")</f>
        <v>#NUM!</v>
      </c>
      <c r="AQ178" s="8" t="str">
        <f t="shared" ref="AQ178" si="540">IFERROR(IF(AP178-VLOOKUP(AM$38,$A$2:$N$12,14,FALSE)&lt;0,AP178-VLOOKUP(AM$38,$A$2:$N$12,14,FALSE)," ")," ")</f>
        <v xml:space="preserve"> </v>
      </c>
      <c r="AR178" s="8" t="str">
        <f t="shared" ref="AR178" si="541">IFERROR(IF(AP178-VLOOKUP(AM$38,$A$2:$N$12,14,FALSE)&gt;0,AP178-VLOOKUP(AM$38,$A$2:$N$12,14,FALSE)," ")," ")</f>
        <v xml:space="preserve"> </v>
      </c>
      <c r="AS178" s="8">
        <f t="shared" ref="AS178" si="542">$M$6</f>
        <v>0</v>
      </c>
      <c r="AT178" s="8">
        <v>-1</v>
      </c>
      <c r="AU178" s="8">
        <f t="shared" ref="AU178" si="543">-SUMPRODUCT($M$2:$M$5,$N$2:$N$5)-SUMPRODUCT($M$7:$M$12,$N$7:$N$12)</f>
        <v>-120000</v>
      </c>
      <c r="AV178" s="8" t="e">
        <f t="shared" ref="AV178" si="544">IF(AS178&lt;&gt;AS179,MMULT(MINVERSE(AS178:AT179),AU178:AU179)," ")</f>
        <v>#NUM!</v>
      </c>
      <c r="AW178" s="8" t="str">
        <f t="shared" ref="AW178" si="545">IFERROR(IF(AV178-VLOOKUP(AS$38,$A$2:$N$12,14,FALSE)&lt;0,AV178-VLOOKUP(AS$38,$A$2:$N$12,14,FALSE)," ")," ")</f>
        <v xml:space="preserve"> </v>
      </c>
      <c r="AX178" s="8" t="str">
        <f t="shared" ref="AX178" si="546">IFERROR(IF(AV178-VLOOKUP(AS$38,$A$2:$N$12,14,FALSE)&gt;0,AV178-VLOOKUP(AS$38,$A$2:$N$12,14,FALSE)," ")," ")</f>
        <v xml:space="preserve"> </v>
      </c>
      <c r="AY178" s="8">
        <f t="shared" ref="AY178" si="547">$M$7</f>
        <v>0</v>
      </c>
      <c r="AZ178" s="8">
        <v>-1</v>
      </c>
      <c r="BA178" s="8">
        <f t="shared" ref="BA178" si="548">-SUMPRODUCT($M$2:$M$6,$N$2:$N$6)-SUMPRODUCT($M$8:$M$12,$N$8:$N$12)</f>
        <v>-120000</v>
      </c>
      <c r="BB178" s="8" t="e">
        <f t="shared" ref="BB178" si="549">IF(AY178&lt;&gt;AY179,MMULT(MINVERSE(AY178:AZ179),BA178:BA179)," ")</f>
        <v>#NUM!</v>
      </c>
      <c r="BC178" s="8" t="str">
        <f t="shared" ref="BC178" si="550">IFERROR(IF(BB178-VLOOKUP(AY$38,$A$2:$N$12,14,FALSE)&lt;0,BB178-VLOOKUP(AY$38,$A$2:$N$12,14,FALSE)," ")," ")</f>
        <v xml:space="preserve"> </v>
      </c>
      <c r="BD178" s="8" t="str">
        <f t="shared" ref="BD178" si="551">IFERROR(IF(BB178-VLOOKUP(AY$38,$A$2:$N$12,14,FALSE)&gt;0,BB178-VLOOKUP(AY$38,$A$2:$N$12,14,FALSE)," ")," ")</f>
        <v xml:space="preserve"> </v>
      </c>
      <c r="BE178" s="8">
        <f t="shared" ref="BE178" si="552">$M$8</f>
        <v>0</v>
      </c>
      <c r="BF178" s="8">
        <v>-1</v>
      </c>
      <c r="BG178" s="8">
        <f t="shared" ref="BG178" si="553">-SUMPRODUCT($M$2:$M$7,$N$2:$N$7)-SUMPRODUCT($M$9:$M$12,$N$9:$N$12)</f>
        <v>-120000</v>
      </c>
      <c r="BH178" s="8" t="e">
        <f t="shared" ref="BH178" si="554">IF(BE178&lt;&gt;BE179,MMULT(MINVERSE(BE178:BF179),BG178:BG179)," ")</f>
        <v>#NUM!</v>
      </c>
      <c r="BI178" s="8" t="str">
        <f t="shared" ref="BI178" si="555">IFERROR(IF(BH178-VLOOKUP(BE$38,$A$2:$N$12,14,FALSE)&lt;0,BH178-VLOOKUP(BE$38,$A$2:$N$12,14,FALSE)," ")," ")</f>
        <v xml:space="preserve"> </v>
      </c>
      <c r="BJ178" s="8" t="str">
        <f t="shared" ref="BJ178" si="556">IFERROR(IF(BH178-VLOOKUP(BE$38,$A$2:$N$12,14,FALSE)&gt;0,BH178-VLOOKUP(BE$38,$A$2:$N$12,14,FALSE)," ")," ")</f>
        <v xml:space="preserve"> </v>
      </c>
      <c r="BK178" s="8">
        <f t="shared" ref="BK178" si="557">$M$9</f>
        <v>0</v>
      </c>
      <c r="BL178" s="8">
        <v>-1</v>
      </c>
      <c r="BM178" s="8">
        <f t="shared" ref="BM178" si="558">-SUMPRODUCT($M$2:$M$8,$N$2:$N$8)-SUMPRODUCT($M$10:$M$12,$N$10:$N$12)</f>
        <v>-120000</v>
      </c>
      <c r="BN178" s="8" t="e">
        <f t="shared" ref="BN178" si="559">IF(BK178&lt;&gt;BK179,MMULT(MINVERSE(BK178:BL179),BM178:BM179)," ")</f>
        <v>#NUM!</v>
      </c>
      <c r="BO178" s="8" t="str">
        <f t="shared" ref="BO178" si="560">IFERROR(IF(BN178-VLOOKUP(BK$38,$A$2:$N$12,14,FALSE)&lt;0,BN178-VLOOKUP(BK$38,$A$2:$N$12,14,FALSE)," ")," ")</f>
        <v xml:space="preserve"> </v>
      </c>
      <c r="BP178" s="8" t="str">
        <f t="shared" ref="BP178" si="561">IFERROR(IF(BN178-VLOOKUP(BK$38,$A$2:$N$12,14,FALSE)&gt;0,BN178-VLOOKUP(BK$38,$A$2:$N$12,14,FALSE)," ")," ")</f>
        <v xml:space="preserve"> </v>
      </c>
      <c r="BQ178" s="8">
        <f t="shared" ref="BQ178" si="562">$M$10</f>
        <v>0</v>
      </c>
      <c r="BR178" s="8">
        <v>-1</v>
      </c>
      <c r="BS178" s="8">
        <f t="shared" ref="BS178" si="563">-SUMPRODUCT($M$2:$M$9,$N$2:$N$9)-SUMPRODUCT($M$11:$M$12,$N$11:$N$12)</f>
        <v>-120000</v>
      </c>
      <c r="BT178" s="8" t="e">
        <f t="shared" ref="BT178" si="564">IF(BQ178&lt;&gt;BQ179,MMULT(MINVERSE(BQ178:BR179),BS178:BS179)," ")</f>
        <v>#NUM!</v>
      </c>
      <c r="BU178" s="8" t="str">
        <f t="shared" ref="BU178" si="565">IFERROR(IF(BT178-VLOOKUP(BQ$38,$A$2:$N$12,14,FALSE)&lt;0,BT178-VLOOKUP(BQ$38,$A$2:$N$12,14,FALSE)," ")," ")</f>
        <v xml:space="preserve"> </v>
      </c>
      <c r="BV178" s="8" t="str">
        <f t="shared" ref="BV178" si="566">IFERROR(IF(BT178-VLOOKUP(BQ$38,$A$2:$N$12,14,FALSE)&gt;0,BT178-VLOOKUP(BQ$38,$A$2:$N$12,14,FALSE)," ")," ")</f>
        <v xml:space="preserve"> </v>
      </c>
      <c r="BW178" s="8">
        <f t="shared" ref="BW178" si="567">$M$11</f>
        <v>0</v>
      </c>
      <c r="BX178" s="8">
        <v>-1</v>
      </c>
      <c r="BY178" s="8">
        <f t="shared" ref="BY178" si="568">-SUMPRODUCT($M$2:$M$10,$N$2:$N$10)-SUMPRODUCT($M$12,$N$12)</f>
        <v>-120000</v>
      </c>
      <c r="BZ178" s="8" t="e">
        <f t="shared" ref="BZ178" si="569">IF(BW178&lt;&gt;BW179,MMULT(MINVERSE(BW178:BX179),BY178:BY179)," ")</f>
        <v>#NUM!</v>
      </c>
      <c r="CA178" s="8" t="str">
        <f t="shared" ref="CA178" si="570">IFERROR(IF(BZ178-VLOOKUP(BW$38,$A$2:$N$12,14,FALSE)&lt;0,BZ178-VLOOKUP(BW$38,$A$2:$N$12,14,FALSE)," ")," ")</f>
        <v xml:space="preserve"> </v>
      </c>
      <c r="CB178" s="8" t="str">
        <f t="shared" ref="CB178" si="571">IFERROR(IF(BZ178-VLOOKUP(BW$38,$A$2:$N$12,14,FALSE)&gt;0,BZ178-VLOOKUP(BW$38,$A$2:$N$12,14,FALSE)," ")," ")</f>
        <v xml:space="preserve"> </v>
      </c>
      <c r="CC178" s="8">
        <f t="shared" ref="CC178" si="572">$M$12</f>
        <v>0</v>
      </c>
      <c r="CD178" s="8">
        <v>-1</v>
      </c>
      <c r="CE178" s="8">
        <f t="shared" ref="CE178" si="573">-SUMPRODUCT($M$2:$M$11,$N$2:$N$11)</f>
        <v>-120000</v>
      </c>
      <c r="CF178" s="8" t="e">
        <f t="shared" ref="CF178" si="574">IF(CC178&lt;&gt;CC179,MMULT(MINVERSE(CC178:CD179),CE178:CE179)," ")</f>
        <v>#NUM!</v>
      </c>
      <c r="CG178" s="8" t="str">
        <f t="shared" ref="CG178" si="575">IFERROR(IF(CF178-VLOOKUP(CC$38,$A$2:$N$12,14,FALSE)&lt;0,CF178-VLOOKUP(CC$38,$A$2:$N$12,14,FALSE)," ")," ")</f>
        <v xml:space="preserve"> </v>
      </c>
      <c r="CH178" s="8" t="str">
        <f t="shared" ref="CH178" si="576">IFERROR(IF(CF178-VLOOKUP(CC$38,$A$2:$N$12,14,FALSE)&gt;0,CF178-VLOOKUP(CC$38,$A$2:$N$12,14,FALSE)," ")," ")</f>
        <v xml:space="preserve"> </v>
      </c>
    </row>
    <row r="179" spans="1:86" x14ac:dyDescent="0.2">
      <c r="A179" s="8" t="str">
        <f>IF(AND(COUNTIF(W$3:W$13,A$16)&gt;0,A$16&lt;&gt;B638),A$16,IFERROR(IF(MATCH(A$16,Z$3:Z$13,0)=7,A$16," ")," "))</f>
        <v xml:space="preserve"> </v>
      </c>
      <c r="B179" s="8" t="str">
        <f>IF(A179=" "," ",MAX(B178:B178)+1)</f>
        <v xml:space="preserve"> </v>
      </c>
      <c r="C179" s="8" t="str">
        <f>IFERROR(INDEX(A178:A199,MATCH(SMALL(B178:B199,2),B178:B199,0),1)," ")</f>
        <v>C9</v>
      </c>
      <c r="D179" s="8">
        <f t="shared" ref="D179:D188" si="577">IFERROR(VLOOKUP($C179,$A$15:$O$36,2,FALSE)," ")</f>
        <v>0</v>
      </c>
      <c r="E179" s="8">
        <f t="shared" ref="E179:E188" si="578">IFERROR(VLOOKUP($C179,$A$15:$O$36,3,FALSE)," ")</f>
        <v>0</v>
      </c>
      <c r="F179" s="8">
        <f t="shared" ref="F179:F188" si="579">IFERROR(VLOOKUP($C179,$A$15:$O$36,4,FALSE)," ")</f>
        <v>0</v>
      </c>
      <c r="G179" s="8">
        <f t="shared" ref="G179:G188" si="580">IFERROR(VLOOKUP($C179,$A$15:$O$36,5,FALSE)," ")</f>
        <v>0</v>
      </c>
      <c r="H179" s="8">
        <f t="shared" ref="H179:H188" si="581">IFERROR(VLOOKUP($C179,$A$15:$O$36,6,FALSE)," ")</f>
        <v>0</v>
      </c>
      <c r="I179" s="8">
        <f t="shared" ref="I179:I188" si="582">IFERROR(VLOOKUP($C179,$A$15:$O$36,7,FALSE)," ")</f>
        <v>0</v>
      </c>
      <c r="J179" s="8">
        <f t="shared" ref="J179:J188" si="583">IFERROR(VLOOKUP($C179,$A$15:$O$36,8,FALSE)," ")</f>
        <v>0</v>
      </c>
      <c r="K179" s="8">
        <f t="shared" ref="K179:K188" si="584">IFERROR(VLOOKUP($C179,$A$15:$O$36,9,FALSE)," ")</f>
        <v>0</v>
      </c>
      <c r="L179" s="8">
        <f t="shared" ref="L179:L188" si="585">IFERROR(VLOOKUP($C179,$A$15:$O$36,10,FALSE)," ")</f>
        <v>0</v>
      </c>
      <c r="M179" s="8">
        <f t="shared" ref="M179:M188" si="586">IFERROR(VLOOKUP($C179,$A$15:$O$36,11,FALSE)," ")</f>
        <v>0</v>
      </c>
      <c r="N179" s="8">
        <f t="shared" ref="N179:N188" si="587">IFERROR(VLOOKUP($C179,$A$15:$O$36,12,FALSE)," ")</f>
        <v>0</v>
      </c>
      <c r="O179" s="8">
        <f t="shared" ref="O179:O188" si="588">IFERROR(VLOOKUP($C179,$A$15:$O$36,15,FALSE)," ")</f>
        <v>0</v>
      </c>
      <c r="P179" s="8" t="e">
        <v>#NUM!</v>
      </c>
      <c r="Q179" s="8" t="e">
        <f t="shared" ref="Q179" si="589">IF(COUNTIF(P178:P188,"&lt;"&amp;-0.001)=0,IF(ABS(P179)&lt;0.001,0,P179)," ")</f>
        <v>#NUM!</v>
      </c>
      <c r="R179" s="8"/>
      <c r="S179" s="8"/>
      <c r="U179" s="8" t="e">
        <f t="shared" ref="U179" si="590">$Q178</f>
        <v>#NUM!</v>
      </c>
      <c r="V179" s="8">
        <v>-1</v>
      </c>
      <c r="W179" s="8" t="e">
        <f t="shared" ref="W179" si="591">-SUMPRODUCT($Q179:$Q188,$N$3:$N$12)</f>
        <v>#NUM!</v>
      </c>
      <c r="X179" s="8"/>
      <c r="Y179" s="8"/>
      <c r="Z179" s="8"/>
      <c r="AA179" s="8" t="e">
        <f t="shared" ref="AA179" si="592">$Q179</f>
        <v>#NUM!</v>
      </c>
      <c r="AB179" s="32">
        <v>-1</v>
      </c>
      <c r="AC179" s="8" t="e">
        <f t="shared" ref="AC179" si="593">-SUMPRODUCT($Q178:$Q178,$N$2:$N$2)-SUMPRODUCT($Q180:$Q188,$N$4:$N$12)</f>
        <v>#NUM!</v>
      </c>
      <c r="AD179" s="8"/>
      <c r="AE179" s="8"/>
      <c r="AF179" s="8"/>
      <c r="AG179" s="8" t="e">
        <f t="shared" ref="AG179" si="594">$Q180</f>
        <v>#NUM!</v>
      </c>
      <c r="AH179" s="8">
        <v>-1</v>
      </c>
      <c r="AI179" s="8" t="e">
        <f t="shared" ref="AI179" si="595">-SUMPRODUCT($Q178:$Q179,$N$2:$N$3)-SUMPRODUCT($Q181:$Q188,$N$5:$N$12)</f>
        <v>#NUM!</v>
      </c>
      <c r="AJ179" s="8"/>
      <c r="AK179" s="8"/>
      <c r="AL179" s="8"/>
      <c r="AM179" s="8" t="e">
        <f t="shared" ref="AM179" si="596">$Q181</f>
        <v>#NUM!</v>
      </c>
      <c r="AN179" s="8">
        <v>-1</v>
      </c>
      <c r="AO179" s="8" t="e">
        <f t="shared" ref="AO179" si="597">-SUMPRODUCT($Q178:$Q180,$N$2:$N$4)-SUMPRODUCT($Q182:$Q188,$N$6:$N$12)</f>
        <v>#NUM!</v>
      </c>
      <c r="AP179" s="8"/>
      <c r="AQ179" s="8"/>
      <c r="AR179" s="8"/>
      <c r="AS179" s="8" t="e">
        <f t="shared" ref="AS179" si="598">$Q182</f>
        <v>#NUM!</v>
      </c>
      <c r="AT179" s="8">
        <v>-1</v>
      </c>
      <c r="AU179" s="8" t="e">
        <f t="shared" ref="AU179" si="599">-SUMPRODUCT($Q178:$Q181,$N$2:$N$5)-SUMPRODUCT($Q183:$Q188,$N$7:$N$12)</f>
        <v>#NUM!</v>
      </c>
      <c r="AV179" s="8"/>
      <c r="AW179" s="8"/>
      <c r="AX179" s="8"/>
      <c r="AY179" s="8" t="e">
        <f t="shared" ref="AY179" si="600">$Q183</f>
        <v>#NUM!</v>
      </c>
      <c r="AZ179" s="8">
        <v>-1</v>
      </c>
      <c r="BA179" s="8" t="e">
        <f t="shared" ref="BA179" si="601">-SUMPRODUCT($Q178:$Q182,$N$2:$N$6)-SUMPRODUCT($Q184:$Q188,$N$8:$N$12)</f>
        <v>#NUM!</v>
      </c>
      <c r="BB179" s="8"/>
      <c r="BC179" s="8"/>
      <c r="BD179" s="8"/>
      <c r="BE179" s="8" t="e">
        <f t="shared" ref="BE179" si="602">$Q184</f>
        <v>#NUM!</v>
      </c>
      <c r="BF179" s="8">
        <v>-1</v>
      </c>
      <c r="BG179" s="8" t="e">
        <f t="shared" ref="BG179" si="603">-SUMPRODUCT($Q178:$Q183,$N$2:$N$7)-SUMPRODUCT($Q185:$Q188,$N$9:$N$12)</f>
        <v>#NUM!</v>
      </c>
      <c r="BH179" s="8"/>
      <c r="BI179" s="8"/>
      <c r="BJ179" s="8"/>
      <c r="BK179" s="8" t="e">
        <f t="shared" ref="BK179" si="604">$Q185</f>
        <v>#NUM!</v>
      </c>
      <c r="BL179" s="8">
        <v>-1</v>
      </c>
      <c r="BM179" s="8" t="e">
        <f t="shared" ref="BM179" si="605">-SUMPRODUCT($Q178:$Q184,$N$2:$N$8)-SUMPRODUCT($Q186:$Q188,$N$10:$N$12)</f>
        <v>#NUM!</v>
      </c>
      <c r="BN179" s="8"/>
      <c r="BO179" s="8"/>
      <c r="BP179" s="8"/>
      <c r="BQ179" s="8" t="e">
        <f t="shared" ref="BQ179" si="606">$Q186</f>
        <v>#NUM!</v>
      </c>
      <c r="BR179" s="8">
        <v>-1</v>
      </c>
      <c r="BS179" s="8" t="e">
        <f t="shared" ref="BS179" si="607">-SUMPRODUCT($Q178:$Q185,$N$2:$N$9)-SUMPRODUCT($Q187:$Q188,$N$11:$N$12)</f>
        <v>#NUM!</v>
      </c>
      <c r="BT179" s="8"/>
      <c r="BU179" s="8"/>
      <c r="BV179" s="8"/>
      <c r="BW179" s="8" t="e">
        <f t="shared" ref="BW179" si="608">$Q187</f>
        <v>#NUM!</v>
      </c>
      <c r="BX179" s="8">
        <v>-1</v>
      </c>
      <c r="BY179" s="8" t="e">
        <f t="shared" ref="BY179" si="609">-SUMPRODUCT($Q178:$Q186,$N$2:$N$10)-SUMPRODUCT($Q188,$N$12)</f>
        <v>#NUM!</v>
      </c>
      <c r="BZ179" s="8"/>
      <c r="CA179" s="8"/>
      <c r="CB179" s="8"/>
      <c r="CC179" s="8" t="e">
        <f t="shared" ref="CC179" si="610">$Q188</f>
        <v>#NUM!</v>
      </c>
      <c r="CD179" s="8">
        <v>-1</v>
      </c>
      <c r="CE179" s="8" t="e">
        <f t="shared" ref="CE179" si="611">-SUMPRODUCT($Q178:$Q187,$N$2:$N$11)</f>
        <v>#NUM!</v>
      </c>
      <c r="CF179" s="8"/>
      <c r="CG179" s="8"/>
      <c r="CH179" s="8"/>
    </row>
    <row r="180" spans="1:86" x14ac:dyDescent="0.2">
      <c r="A180" s="8" t="str">
        <f>IF(AND(COUNTIF(W$3:W$13,A$17)&gt;0,A$17&lt;&gt;B38),A$17,IFERROR(IF(MATCH(A$17,Z$3:Z$13,0)=7,A$17," ")," "))</f>
        <v xml:space="preserve"> </v>
      </c>
      <c r="B180" s="8" t="str">
        <f>IF(A180=" "," ",MAX(B178:B179)+1)</f>
        <v xml:space="preserve"> </v>
      </c>
      <c r="C180" s="8" t="str">
        <f>IFERROR(INDEX(A178:A199,MATCH(SMALL(B178:B199,3),B178:B199,0),1)," ")</f>
        <v>C13</v>
      </c>
      <c r="D180" s="8">
        <f t="shared" si="577"/>
        <v>0</v>
      </c>
      <c r="E180" s="8">
        <f t="shared" si="578"/>
        <v>1</v>
      </c>
      <c r="F180" s="8">
        <f t="shared" si="579"/>
        <v>0</v>
      </c>
      <c r="G180" s="8">
        <f t="shared" si="580"/>
        <v>0</v>
      </c>
      <c r="H180" s="8">
        <f t="shared" si="581"/>
        <v>0</v>
      </c>
      <c r="I180" s="8">
        <f t="shared" si="582"/>
        <v>0</v>
      </c>
      <c r="J180" s="8">
        <f t="shared" si="583"/>
        <v>0</v>
      </c>
      <c r="K180" s="8">
        <f t="shared" si="584"/>
        <v>0</v>
      </c>
      <c r="L180" s="8">
        <f t="shared" si="585"/>
        <v>0</v>
      </c>
      <c r="M180" s="8">
        <f t="shared" si="586"/>
        <v>0</v>
      </c>
      <c r="N180" s="8">
        <f t="shared" si="587"/>
        <v>0</v>
      </c>
      <c r="O180" s="8">
        <f t="shared" si="588"/>
        <v>0</v>
      </c>
      <c r="P180" s="8" t="e">
        <v>#NUM!</v>
      </c>
      <c r="Q180" s="8" t="e">
        <f t="shared" ref="Q180" si="612">IF(COUNTIF(P178:P188,"&lt;"&amp;-0.001)=0,IF(ABS(P180)&lt;0.001,0,P180)," ")</f>
        <v>#NUM!</v>
      </c>
      <c r="R180" s="8"/>
      <c r="S180" s="8"/>
      <c r="U180" s="8"/>
      <c r="V180" s="8"/>
      <c r="W180" s="8"/>
      <c r="X180" s="8"/>
      <c r="Y180" s="8"/>
      <c r="Z180" s="8"/>
      <c r="AA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/>
      <c r="AT180" s="8"/>
      <c r="AU180" s="8"/>
      <c r="AV180" s="8"/>
      <c r="AW180" s="8"/>
      <c r="AX180" s="8"/>
      <c r="AY180" s="8"/>
      <c r="AZ180" s="8"/>
      <c r="BA180" s="8"/>
      <c r="BB180" s="8"/>
      <c r="BC180" s="8"/>
      <c r="BD180" s="8"/>
      <c r="BE180" s="8"/>
      <c r="BF180" s="8"/>
      <c r="BG180" s="8"/>
      <c r="BH180" s="8"/>
      <c r="BI180" s="8"/>
      <c r="BJ180" s="8"/>
      <c r="BK180" s="8"/>
      <c r="BL180" s="8"/>
      <c r="BM180" s="8"/>
      <c r="BN180" s="8"/>
      <c r="BO180" s="8"/>
      <c r="BP180" s="8"/>
      <c r="BQ180" s="8"/>
      <c r="BR180" s="8"/>
      <c r="BS180" s="8"/>
      <c r="BT180" s="8"/>
      <c r="BU180" s="8"/>
      <c r="BV180" s="8"/>
      <c r="BW180" s="8"/>
      <c r="BX180" s="8"/>
      <c r="BY180" s="8"/>
      <c r="BZ180" s="8"/>
      <c r="CA180" s="8"/>
      <c r="CB180" s="8"/>
      <c r="CC180" s="8"/>
      <c r="CD180" s="8"/>
      <c r="CE180" s="8"/>
      <c r="CF180" s="8"/>
      <c r="CG180" s="8"/>
      <c r="CH180" s="8"/>
    </row>
    <row r="181" spans="1:86" x14ac:dyDescent="0.2">
      <c r="A181" s="8" t="str">
        <f>IF(AND(COUNTIF(W$3:W$13,A$18)&gt;0,A$18&lt;&gt;B38),A$18,IFERROR(IF(MATCH(A$18,Z$3:Z$13,0)=7,A$18," ")," "))</f>
        <v>C4</v>
      </c>
      <c r="B181" s="8">
        <f>IF(A181=" "," ",MAX(B178:B180)+1)</f>
        <v>1</v>
      </c>
      <c r="C181" s="8" t="str">
        <f>IFERROR(INDEX(A178:A199,MATCH(SMALL(B178:B199,4),B178:B199,0),1)," ")</f>
        <v>C15</v>
      </c>
      <c r="D181" s="8">
        <f t="shared" si="577"/>
        <v>0</v>
      </c>
      <c r="E181" s="8">
        <f t="shared" si="578"/>
        <v>0</v>
      </c>
      <c r="F181" s="8">
        <f t="shared" si="579"/>
        <v>0</v>
      </c>
      <c r="G181" s="8">
        <f t="shared" si="580"/>
        <v>1</v>
      </c>
      <c r="H181" s="8">
        <f t="shared" si="581"/>
        <v>0</v>
      </c>
      <c r="I181" s="8">
        <f t="shared" si="582"/>
        <v>0</v>
      </c>
      <c r="J181" s="8">
        <f t="shared" si="583"/>
        <v>0</v>
      </c>
      <c r="K181" s="8">
        <f t="shared" si="584"/>
        <v>0</v>
      </c>
      <c r="L181" s="8">
        <f t="shared" si="585"/>
        <v>0</v>
      </c>
      <c r="M181" s="8">
        <f t="shared" si="586"/>
        <v>0</v>
      </c>
      <c r="N181" s="8">
        <f t="shared" si="587"/>
        <v>0</v>
      </c>
      <c r="O181" s="8">
        <f t="shared" si="588"/>
        <v>0</v>
      </c>
      <c r="P181" s="8" t="e">
        <v>#NUM!</v>
      </c>
      <c r="Q181" s="8" t="e">
        <f t="shared" ref="Q181" si="613">IF(COUNTIF(P178:P188,"&lt;"&amp;-0.001)=0,IF(ABS(P181)&lt;0.001,0,P181)," ")</f>
        <v>#NUM!</v>
      </c>
      <c r="R181" s="8"/>
      <c r="S181" s="8"/>
      <c r="U181" s="8"/>
      <c r="V181" s="8"/>
      <c r="W181" s="8"/>
      <c r="X181" s="8"/>
      <c r="Y181" s="8"/>
      <c r="Z181" s="8"/>
      <c r="AA181" s="8"/>
      <c r="AC181" s="8"/>
      <c r="AD181" s="8"/>
      <c r="AE181" s="8"/>
      <c r="AF181" s="8"/>
      <c r="AG181" s="8"/>
      <c r="AH181" s="8"/>
      <c r="AI181" s="8"/>
      <c r="AJ181" s="8"/>
      <c r="AK181" s="8"/>
      <c r="AL181" s="8"/>
      <c r="AM181" s="8"/>
      <c r="AN181" s="8"/>
      <c r="AO181" s="8"/>
      <c r="AP181" s="8"/>
      <c r="AQ181" s="8"/>
      <c r="AR181" s="8"/>
      <c r="AS181" s="8"/>
      <c r="AT181" s="8"/>
      <c r="AU181" s="8"/>
      <c r="AV181" s="8"/>
      <c r="AW181" s="8"/>
      <c r="AX181" s="8"/>
      <c r="AY181" s="8"/>
      <c r="AZ181" s="8"/>
      <c r="BA181" s="8"/>
      <c r="BB181" s="8"/>
      <c r="BC181" s="8"/>
      <c r="BD181" s="8"/>
      <c r="BE181" s="8"/>
      <c r="BF181" s="8"/>
      <c r="BG181" s="8"/>
      <c r="BH181" s="8"/>
      <c r="BI181" s="8"/>
      <c r="BJ181" s="8"/>
      <c r="BK181" s="8"/>
      <c r="BL181" s="8"/>
      <c r="BM181" s="8"/>
      <c r="BN181" s="8"/>
      <c r="BO181" s="8"/>
      <c r="BP181" s="8"/>
      <c r="BQ181" s="8"/>
      <c r="BR181" s="8"/>
      <c r="BS181" s="8"/>
      <c r="BT181" s="8"/>
      <c r="BU181" s="8"/>
      <c r="BV181" s="8"/>
      <c r="BW181" s="8"/>
      <c r="BX181" s="8"/>
      <c r="BY181" s="8"/>
      <c r="BZ181" s="8"/>
      <c r="CA181" s="8"/>
      <c r="CB181" s="8"/>
      <c r="CC181" s="8"/>
      <c r="CD181" s="8"/>
      <c r="CE181" s="8"/>
      <c r="CF181" s="8"/>
      <c r="CG181" s="8"/>
      <c r="CH181" s="8"/>
    </row>
    <row r="182" spans="1:86" x14ac:dyDescent="0.2">
      <c r="A182" s="8" t="str">
        <f>IF(AND(COUNTIF(W$3:W$13,A$19)&gt;0,A$19&lt;&gt;B38),A$19,IFERROR(IF(MATCH(A$19,Z$3:Z$13,0)=7,A$19," ")," "))</f>
        <v xml:space="preserve"> </v>
      </c>
      <c r="B182" s="8" t="str">
        <f>IF(A182=" "," ",MAX(B178:B181)+1)</f>
        <v xml:space="preserve"> </v>
      </c>
      <c r="C182" s="8" t="str">
        <f>IFERROR(INDEX(A178:A199,MATCH(SMALL(B178:B199,5),B178:B199,0),1)," ")</f>
        <v>C16</v>
      </c>
      <c r="D182" s="8">
        <f t="shared" si="577"/>
        <v>0</v>
      </c>
      <c r="E182" s="8">
        <f t="shared" si="578"/>
        <v>0</v>
      </c>
      <c r="F182" s="8">
        <f t="shared" si="579"/>
        <v>0</v>
      </c>
      <c r="G182" s="8">
        <f t="shared" si="580"/>
        <v>0</v>
      </c>
      <c r="H182" s="8">
        <f t="shared" si="581"/>
        <v>1</v>
      </c>
      <c r="I182" s="8">
        <f t="shared" si="582"/>
        <v>0</v>
      </c>
      <c r="J182" s="8">
        <f t="shared" si="583"/>
        <v>0</v>
      </c>
      <c r="K182" s="8">
        <f t="shared" si="584"/>
        <v>0</v>
      </c>
      <c r="L182" s="8">
        <f t="shared" si="585"/>
        <v>0</v>
      </c>
      <c r="M182" s="8">
        <f t="shared" si="586"/>
        <v>0</v>
      </c>
      <c r="N182" s="8">
        <f t="shared" si="587"/>
        <v>0</v>
      </c>
      <c r="O182" s="8">
        <f t="shared" si="588"/>
        <v>0</v>
      </c>
      <c r="P182" s="8" t="e">
        <v>#NUM!</v>
      </c>
      <c r="Q182" s="8" t="e">
        <f t="shared" ref="Q182" si="614">IF(COUNTIF(P178:P188,"&lt;"&amp;-0.001)=0,IF(ABS(P182)&lt;0.001,0,P182)," ")</f>
        <v>#NUM!</v>
      </c>
      <c r="R182" s="8"/>
      <c r="S182" s="8"/>
      <c r="U182" s="8"/>
      <c r="V182" s="8"/>
      <c r="W182" s="8"/>
      <c r="X182" s="8"/>
      <c r="Y182" s="8"/>
      <c r="Z182" s="8"/>
      <c r="AA182" s="8"/>
      <c r="AC182" s="8"/>
      <c r="AD182" s="8"/>
      <c r="AE182" s="8"/>
      <c r="AF182" s="8"/>
      <c r="AG182" s="8"/>
      <c r="AH182" s="8"/>
      <c r="AI182" s="8"/>
      <c r="AJ182" s="8"/>
      <c r="AK182" s="8"/>
      <c r="AL182" s="8"/>
      <c r="AM182" s="8"/>
      <c r="AN182" s="8"/>
      <c r="AO182" s="8"/>
      <c r="AP182" s="8"/>
      <c r="AQ182" s="8"/>
      <c r="AR182" s="8"/>
      <c r="AS182" s="8"/>
      <c r="AT182" s="8"/>
      <c r="AU182" s="8"/>
      <c r="AV182" s="8"/>
      <c r="AW182" s="8"/>
      <c r="AX182" s="8"/>
      <c r="AY182" s="8"/>
      <c r="AZ182" s="8"/>
      <c r="BA182" s="8"/>
      <c r="BB182" s="8"/>
      <c r="BC182" s="8"/>
      <c r="BD182" s="8"/>
      <c r="BE182" s="8"/>
      <c r="BF182" s="8"/>
      <c r="BG182" s="8"/>
      <c r="BH182" s="8"/>
      <c r="BI182" s="8"/>
      <c r="BJ182" s="8"/>
      <c r="BK182" s="8"/>
      <c r="BL182" s="8"/>
      <c r="BM182" s="8"/>
      <c r="BN182" s="8"/>
      <c r="BO182" s="8"/>
      <c r="BP182" s="8"/>
      <c r="BQ182" s="8"/>
      <c r="BR182" s="8"/>
      <c r="BS182" s="8"/>
      <c r="BT182" s="8"/>
      <c r="BU182" s="8"/>
      <c r="BV182" s="8"/>
      <c r="BW182" s="8"/>
      <c r="BX182" s="8"/>
      <c r="BY182" s="8"/>
      <c r="BZ182" s="8"/>
      <c r="CA182" s="8"/>
      <c r="CB182" s="8"/>
      <c r="CC182" s="8"/>
      <c r="CD182" s="8"/>
      <c r="CE182" s="8"/>
      <c r="CF182" s="8"/>
      <c r="CG182" s="8"/>
      <c r="CH182" s="8"/>
    </row>
    <row r="183" spans="1:86" x14ac:dyDescent="0.2">
      <c r="A183" s="8" t="str">
        <f>IF(AND(COUNTIF(W$3:W$13,A$20)&gt;0,A$20&lt;&gt;B38),A$20,IFERROR(IF(MATCH(A$20,Z$3:Z$13,0)=7,A$20," ")," "))</f>
        <v xml:space="preserve"> </v>
      </c>
      <c r="B183" s="8" t="str">
        <f>IF(A183=" "," ",MAX(B178:B182)+1)</f>
        <v xml:space="preserve"> </v>
      </c>
      <c r="C183" s="8" t="str">
        <f>IFERROR(INDEX(A178:A199,MATCH(SMALL(B178:B199,6),B178:B199,0),1)," ")</f>
        <v>C17</v>
      </c>
      <c r="D183" s="8">
        <f t="shared" si="577"/>
        <v>0</v>
      </c>
      <c r="E183" s="8">
        <f t="shared" si="578"/>
        <v>0</v>
      </c>
      <c r="F183" s="8">
        <f t="shared" si="579"/>
        <v>0</v>
      </c>
      <c r="G183" s="8">
        <f t="shared" si="580"/>
        <v>0</v>
      </c>
      <c r="H183" s="8">
        <f t="shared" si="581"/>
        <v>0</v>
      </c>
      <c r="I183" s="8">
        <f t="shared" si="582"/>
        <v>1</v>
      </c>
      <c r="J183" s="8">
        <f t="shared" si="583"/>
        <v>0</v>
      </c>
      <c r="K183" s="8">
        <f t="shared" si="584"/>
        <v>0</v>
      </c>
      <c r="L183" s="8">
        <f t="shared" si="585"/>
        <v>0</v>
      </c>
      <c r="M183" s="8">
        <f t="shared" si="586"/>
        <v>0</v>
      </c>
      <c r="N183" s="8">
        <f t="shared" si="587"/>
        <v>0</v>
      </c>
      <c r="O183" s="8">
        <f t="shared" si="588"/>
        <v>0</v>
      </c>
      <c r="P183" s="8" t="e">
        <v>#NUM!</v>
      </c>
      <c r="Q183" s="8" t="e">
        <f t="shared" ref="Q183" si="615">IF(COUNTIF(P178:P188,"&lt;"&amp;-0.001)=0,IF(ABS(P183)&lt;0.001,0,P183)," ")</f>
        <v>#NUM!</v>
      </c>
      <c r="R183" s="8"/>
      <c r="S183" s="8"/>
      <c r="U183" s="8"/>
      <c r="V183" s="8"/>
      <c r="W183" s="8"/>
      <c r="X183" s="8"/>
      <c r="Y183" s="8"/>
      <c r="Z183" s="8"/>
      <c r="AA183" s="8"/>
      <c r="AC183" s="8"/>
      <c r="AD183" s="8"/>
      <c r="AE183" s="8"/>
      <c r="AF183" s="8"/>
      <c r="AG183" s="8"/>
      <c r="AH183" s="8"/>
      <c r="AI183" s="8"/>
      <c r="AJ183" s="8"/>
      <c r="AK183" s="8"/>
      <c r="AL183" s="8"/>
      <c r="AM183" s="8"/>
      <c r="AN183" s="8"/>
      <c r="AO183" s="8"/>
      <c r="AP183" s="8"/>
      <c r="AQ183" s="8"/>
      <c r="AR183" s="8"/>
      <c r="AS183" s="8"/>
      <c r="AT183" s="8"/>
      <c r="AU183" s="8"/>
      <c r="AV183" s="8"/>
      <c r="AW183" s="8"/>
      <c r="AX183" s="8"/>
      <c r="AY183" s="8"/>
      <c r="AZ183" s="8"/>
      <c r="BA183" s="8"/>
      <c r="BB183" s="8"/>
      <c r="BC183" s="8"/>
      <c r="BD183" s="8"/>
      <c r="BE183" s="8"/>
      <c r="BF183" s="8"/>
      <c r="BG183" s="8"/>
      <c r="BH183" s="8"/>
      <c r="BI183" s="8"/>
      <c r="BJ183" s="8"/>
      <c r="BK183" s="8"/>
      <c r="BL183" s="8"/>
      <c r="BM183" s="8"/>
      <c r="BN183" s="8"/>
      <c r="BO183" s="8"/>
      <c r="BP183" s="8"/>
      <c r="BQ183" s="8"/>
      <c r="BR183" s="8"/>
      <c r="BS183" s="8"/>
      <c r="BT183" s="8"/>
      <c r="BU183" s="8"/>
      <c r="BV183" s="8"/>
      <c r="BW183" s="8"/>
      <c r="BX183" s="8"/>
      <c r="BY183" s="8"/>
      <c r="BZ183" s="8"/>
      <c r="CA183" s="8"/>
      <c r="CB183" s="8"/>
      <c r="CC183" s="8"/>
      <c r="CD183" s="8"/>
      <c r="CE183" s="8"/>
      <c r="CF183" s="8"/>
      <c r="CG183" s="8"/>
      <c r="CH183" s="8"/>
    </row>
    <row r="184" spans="1:86" x14ac:dyDescent="0.2">
      <c r="A184" s="8" t="str">
        <f>IF(AND(COUNTIF(W$3:W$13,A$21)&gt;0,A$21&lt;&gt;B38),A$21,IFERROR(IF(MATCH(A$21,Z$3:Z$13,0)=7,A$21," ")," "))</f>
        <v xml:space="preserve"> </v>
      </c>
      <c r="B184" s="8" t="str">
        <f>IF(A184=" "," ",MAX(B178:B183)+1)</f>
        <v xml:space="preserve"> </v>
      </c>
      <c r="C184" s="8" t="str">
        <f>IFERROR(INDEX(A178:A199,MATCH(SMALL(B178:B199,7),B178:B199,0),1)," ")</f>
        <v>C18</v>
      </c>
      <c r="D184" s="8">
        <f t="shared" si="577"/>
        <v>0</v>
      </c>
      <c r="E184" s="8">
        <f t="shared" si="578"/>
        <v>0</v>
      </c>
      <c r="F184" s="8">
        <f t="shared" si="579"/>
        <v>0</v>
      </c>
      <c r="G184" s="8">
        <f t="shared" si="580"/>
        <v>0</v>
      </c>
      <c r="H184" s="8">
        <f t="shared" si="581"/>
        <v>0</v>
      </c>
      <c r="I184" s="8">
        <f t="shared" si="582"/>
        <v>0</v>
      </c>
      <c r="J184" s="8">
        <f t="shared" si="583"/>
        <v>1</v>
      </c>
      <c r="K184" s="8">
        <f t="shared" si="584"/>
        <v>0</v>
      </c>
      <c r="L184" s="8">
        <f t="shared" si="585"/>
        <v>0</v>
      </c>
      <c r="M184" s="8">
        <f t="shared" si="586"/>
        <v>0</v>
      </c>
      <c r="N184" s="8">
        <f t="shared" si="587"/>
        <v>0</v>
      </c>
      <c r="O184" s="8">
        <f t="shared" si="588"/>
        <v>0</v>
      </c>
      <c r="P184" s="8" t="e">
        <v>#NUM!</v>
      </c>
      <c r="Q184" s="8" t="e">
        <f t="shared" ref="Q184" si="616">IF(COUNTIF(P178:P188,"&lt;"&amp;-0.001)=0,IF(ABS(P184)&lt;0.001,0,P184)," ")</f>
        <v>#NUM!</v>
      </c>
      <c r="R184" s="8"/>
      <c r="S184" s="8"/>
      <c r="U184" s="8"/>
      <c r="V184" s="8"/>
      <c r="W184" s="8"/>
      <c r="X184" s="8"/>
      <c r="Y184" s="8"/>
      <c r="Z184" s="8"/>
      <c r="AA184" s="8"/>
      <c r="AC184" s="8"/>
      <c r="AD184" s="8"/>
      <c r="AE184" s="8"/>
      <c r="AF184" s="8"/>
      <c r="AG184" s="8"/>
      <c r="AH184" s="8"/>
      <c r="AI184" s="8"/>
      <c r="AJ184" s="8"/>
      <c r="AK184" s="8"/>
      <c r="AL184" s="8"/>
      <c r="AM184" s="8"/>
      <c r="AN184" s="8"/>
      <c r="AO184" s="8"/>
      <c r="AP184" s="8"/>
      <c r="AQ184" s="8"/>
      <c r="AR184" s="8"/>
      <c r="AS184" s="8"/>
      <c r="AT184" s="8"/>
      <c r="AU184" s="8"/>
      <c r="AV184" s="8"/>
      <c r="AW184" s="8"/>
      <c r="AX184" s="8"/>
      <c r="AY184" s="8"/>
      <c r="AZ184" s="8"/>
      <c r="BA184" s="8"/>
      <c r="BB184" s="8"/>
      <c r="BC184" s="8"/>
      <c r="BD184" s="8"/>
      <c r="BE184" s="8"/>
      <c r="BF184" s="8"/>
      <c r="BG184" s="8"/>
      <c r="BH184" s="8"/>
      <c r="BI184" s="8"/>
      <c r="BJ184" s="8"/>
      <c r="BK184" s="8"/>
      <c r="BL184" s="8"/>
      <c r="BM184" s="8"/>
      <c r="BN184" s="8"/>
      <c r="BO184" s="8"/>
      <c r="BP184" s="8"/>
      <c r="BQ184" s="8"/>
      <c r="BR184" s="8"/>
      <c r="BS184" s="8"/>
      <c r="BT184" s="8"/>
      <c r="BU184" s="8"/>
      <c r="BV184" s="8"/>
      <c r="BW184" s="8"/>
      <c r="BX184" s="8"/>
      <c r="BY184" s="8"/>
      <c r="BZ184" s="8"/>
      <c r="CA184" s="8"/>
      <c r="CB184" s="8"/>
      <c r="CC184" s="8"/>
      <c r="CD184" s="8"/>
      <c r="CE184" s="8"/>
      <c r="CF184" s="8"/>
      <c r="CG184" s="8"/>
      <c r="CH184" s="8"/>
    </row>
    <row r="185" spans="1:86" x14ac:dyDescent="0.2">
      <c r="A185" s="8" t="str">
        <f>IF(AND(COUNTIF(W$3:W$13,A$22)&gt;0,A$22&lt;&gt;B38),A$22,IFERROR(IF(MATCH(A$22,Z$3:Z$13,0)=7,A$22," ")," "))</f>
        <v xml:space="preserve"> </v>
      </c>
      <c r="B185" s="8" t="str">
        <f>IF(A185=" "," ",MAX(B178:B184)+1)</f>
        <v xml:space="preserve"> </v>
      </c>
      <c r="C185" s="8" t="str">
        <f>IFERROR(INDEX(A178:A199,MATCH(SMALL(B178:B199,8),B178:B199,0),1)," ")</f>
        <v>C19</v>
      </c>
      <c r="D185" s="8">
        <f t="shared" si="577"/>
        <v>0</v>
      </c>
      <c r="E185" s="8">
        <f t="shared" si="578"/>
        <v>0</v>
      </c>
      <c r="F185" s="8">
        <f t="shared" si="579"/>
        <v>0</v>
      </c>
      <c r="G185" s="8">
        <f t="shared" si="580"/>
        <v>0</v>
      </c>
      <c r="H185" s="8">
        <f t="shared" si="581"/>
        <v>0</v>
      </c>
      <c r="I185" s="8">
        <f t="shared" si="582"/>
        <v>0</v>
      </c>
      <c r="J185" s="8">
        <f t="shared" si="583"/>
        <v>0</v>
      </c>
      <c r="K185" s="8">
        <f t="shared" si="584"/>
        <v>1</v>
      </c>
      <c r="L185" s="8">
        <f t="shared" si="585"/>
        <v>0</v>
      </c>
      <c r="M185" s="8">
        <f t="shared" si="586"/>
        <v>0</v>
      </c>
      <c r="N185" s="8">
        <f t="shared" si="587"/>
        <v>0</v>
      </c>
      <c r="O185" s="8">
        <f t="shared" si="588"/>
        <v>0</v>
      </c>
      <c r="P185" s="8" t="e">
        <v>#NUM!</v>
      </c>
      <c r="Q185" s="8" t="e">
        <f t="shared" ref="Q185" si="617">IF(COUNTIF(P178:P188,"&lt;"&amp;-0.001)=0,IF(ABS(P185)&lt;0.001,0,P185)," ")</f>
        <v>#NUM!</v>
      </c>
      <c r="R185" s="8"/>
      <c r="S185" s="8"/>
      <c r="U185" s="8"/>
      <c r="V185" s="8"/>
      <c r="W185" s="8"/>
      <c r="X185" s="8"/>
      <c r="Y185" s="8"/>
      <c r="Z185" s="8"/>
      <c r="AA185" s="8"/>
      <c r="AC185" s="8"/>
      <c r="AD185" s="8"/>
      <c r="AE185" s="8"/>
      <c r="AF185" s="8"/>
      <c r="AG185" s="8"/>
      <c r="AH185" s="8"/>
      <c r="AI185" s="8"/>
      <c r="AJ185" s="8"/>
      <c r="AK185" s="8"/>
      <c r="AL185" s="8"/>
      <c r="AM185" s="8"/>
      <c r="AN185" s="8"/>
      <c r="AO185" s="8"/>
      <c r="AP185" s="8"/>
      <c r="AQ185" s="8"/>
      <c r="AR185" s="8"/>
      <c r="AS185" s="8"/>
      <c r="AT185" s="8"/>
      <c r="AU185" s="8"/>
      <c r="AV185" s="8"/>
      <c r="AW185" s="8"/>
      <c r="AX185" s="8"/>
      <c r="AY185" s="8"/>
      <c r="AZ185" s="8"/>
      <c r="BA185" s="8"/>
      <c r="BB185" s="8"/>
      <c r="BC185" s="8"/>
      <c r="BD185" s="8"/>
      <c r="BE185" s="8"/>
      <c r="BF185" s="8"/>
      <c r="BG185" s="8"/>
      <c r="BH185" s="8"/>
      <c r="BI185" s="8"/>
      <c r="BJ185" s="8"/>
      <c r="BK185" s="8"/>
      <c r="BL185" s="8"/>
      <c r="BM185" s="8"/>
      <c r="BN185" s="8"/>
      <c r="BO185" s="8"/>
      <c r="BP185" s="8"/>
      <c r="BQ185" s="8"/>
      <c r="BR185" s="8"/>
      <c r="BS185" s="8"/>
      <c r="BT185" s="8"/>
      <c r="BU185" s="8"/>
      <c r="BV185" s="8"/>
      <c r="BW185" s="8"/>
      <c r="BX185" s="8"/>
      <c r="BY185" s="8"/>
      <c r="BZ185" s="8"/>
      <c r="CA185" s="8"/>
      <c r="CB185" s="8"/>
      <c r="CC185" s="8"/>
      <c r="CD185" s="8"/>
      <c r="CE185" s="8"/>
      <c r="CF185" s="8"/>
      <c r="CG185" s="8"/>
      <c r="CH185" s="8"/>
    </row>
    <row r="186" spans="1:86" x14ac:dyDescent="0.2">
      <c r="A186" s="8" t="str">
        <f>IF(AND(COUNTIF(W$3:W$13,A$23)&gt;0,A$23&lt;&gt;B38),A$23,IFERROR(IF(MATCH(A$23,Z$3:Z$13,0)=7,A$23," ")," "))</f>
        <v>C9</v>
      </c>
      <c r="B186" s="8">
        <f>IF(A186=" "," ",MAX(B178:B185)+1)</f>
        <v>2</v>
      </c>
      <c r="C186" s="8" t="str">
        <f>IFERROR(INDEX(A178:A199,MATCH(SMALL(B178:B199,9),B178:B199,0),1)," ")</f>
        <v>C20</v>
      </c>
      <c r="D186" s="8">
        <f t="shared" si="577"/>
        <v>0</v>
      </c>
      <c r="E186" s="8">
        <f t="shared" si="578"/>
        <v>0</v>
      </c>
      <c r="F186" s="8">
        <f t="shared" si="579"/>
        <v>0</v>
      </c>
      <c r="G186" s="8">
        <f t="shared" si="580"/>
        <v>0</v>
      </c>
      <c r="H186" s="8">
        <f t="shared" si="581"/>
        <v>0</v>
      </c>
      <c r="I186" s="8">
        <f t="shared" si="582"/>
        <v>0</v>
      </c>
      <c r="J186" s="8">
        <f t="shared" si="583"/>
        <v>0</v>
      </c>
      <c r="K186" s="8">
        <f t="shared" si="584"/>
        <v>0</v>
      </c>
      <c r="L186" s="8">
        <f t="shared" si="585"/>
        <v>1</v>
      </c>
      <c r="M186" s="8">
        <f t="shared" si="586"/>
        <v>0</v>
      </c>
      <c r="N186" s="8">
        <f t="shared" si="587"/>
        <v>0</v>
      </c>
      <c r="O186" s="8">
        <f t="shared" si="588"/>
        <v>0</v>
      </c>
      <c r="P186" s="6" t="e">
        <v>#NUM!</v>
      </c>
      <c r="Q186" s="8" t="e">
        <f t="shared" ref="Q186" si="618">IF(COUNTIF(P178:P188,"&lt;"&amp;-0.001)=0,IF(ABS(P186)&lt;0.001,0,P186)," ")</f>
        <v>#NUM!</v>
      </c>
      <c r="R186" s="8"/>
      <c r="S186" s="8"/>
      <c r="U186" s="8"/>
      <c r="V186" s="8"/>
      <c r="W186" s="8"/>
      <c r="X186" s="8"/>
      <c r="Y186" s="8"/>
      <c r="Z186" s="8"/>
      <c r="AA186" s="8"/>
      <c r="AC186" s="8"/>
      <c r="AD186" s="8"/>
      <c r="AE186" s="8"/>
      <c r="AF186" s="8"/>
      <c r="AG186" s="8"/>
      <c r="AH186" s="8"/>
      <c r="AI186" s="8"/>
      <c r="AJ186" s="8"/>
      <c r="AK186" s="8"/>
      <c r="AL186" s="8"/>
      <c r="AM186" s="8"/>
      <c r="AN186" s="8"/>
      <c r="AO186" s="8"/>
      <c r="AP186" s="8"/>
      <c r="AQ186" s="8"/>
      <c r="AR186" s="8"/>
      <c r="AS186" s="8"/>
      <c r="AT186" s="8"/>
      <c r="AU186" s="8"/>
      <c r="AV186" s="8"/>
      <c r="AW186" s="8"/>
      <c r="AX186" s="8"/>
      <c r="AY186" s="8"/>
      <c r="AZ186" s="8"/>
      <c r="BA186" s="8"/>
      <c r="BB186" s="8"/>
      <c r="BC186" s="8"/>
      <c r="BD186" s="8"/>
      <c r="BE186" s="8"/>
      <c r="BF186" s="8"/>
      <c r="BG186" s="8"/>
      <c r="BH186" s="8"/>
      <c r="BI186" s="8"/>
      <c r="BJ186" s="8"/>
      <c r="BK186" s="8"/>
      <c r="BL186" s="8"/>
      <c r="BM186" s="8"/>
      <c r="BN186" s="8"/>
      <c r="BO186" s="8"/>
      <c r="BP186" s="8"/>
      <c r="BQ186" s="8"/>
      <c r="BR186" s="8"/>
      <c r="BS186" s="8"/>
      <c r="BT186" s="8"/>
      <c r="BU186" s="8"/>
      <c r="BV186" s="8"/>
      <c r="BW186" s="8"/>
      <c r="BX186" s="8"/>
      <c r="BY186" s="8"/>
      <c r="BZ186" s="8"/>
      <c r="CA186" s="8"/>
      <c r="CB186" s="8"/>
      <c r="CC186" s="8"/>
      <c r="CD186" s="8"/>
      <c r="CE186" s="8"/>
      <c r="CF186" s="8"/>
      <c r="CG186" s="8"/>
      <c r="CH186" s="8"/>
    </row>
    <row r="187" spans="1:86" x14ac:dyDescent="0.2">
      <c r="A187" s="8" t="str">
        <f>IF(AND(COUNTIF(W$3:W$13,A$24)&gt;0,A$24&lt;&gt;B38),A$24,IFERROR(IF(MATCH(A$24,Z$3:Z$13,0)=7,A$24," ")," "))</f>
        <v xml:space="preserve"> </v>
      </c>
      <c r="B187" s="8" t="str">
        <f>IF(A187=" "," ",MAX(B178:B186)+1)</f>
        <v xml:space="preserve"> </v>
      </c>
      <c r="C187" s="8" t="str">
        <f>IFERROR(INDEX(A178:A199,MATCH(SMALL(B178:B199,10),B178:B199,0),1)," ")</f>
        <v>C21</v>
      </c>
      <c r="D187" s="8">
        <f t="shared" si="577"/>
        <v>0</v>
      </c>
      <c r="E187" s="8">
        <f t="shared" si="578"/>
        <v>0</v>
      </c>
      <c r="F187" s="8">
        <f t="shared" si="579"/>
        <v>0</v>
      </c>
      <c r="G187" s="8">
        <f t="shared" si="580"/>
        <v>0</v>
      </c>
      <c r="H187" s="8">
        <f t="shared" si="581"/>
        <v>0</v>
      </c>
      <c r="I187" s="8">
        <f t="shared" si="582"/>
        <v>0</v>
      </c>
      <c r="J187" s="8">
        <f t="shared" si="583"/>
        <v>0</v>
      </c>
      <c r="K187" s="8">
        <f t="shared" si="584"/>
        <v>0</v>
      </c>
      <c r="L187" s="8">
        <f t="shared" si="585"/>
        <v>0</v>
      </c>
      <c r="M187" s="8">
        <f t="shared" si="586"/>
        <v>1</v>
      </c>
      <c r="N187" s="8">
        <f t="shared" si="587"/>
        <v>0</v>
      </c>
      <c r="O187" s="8">
        <f t="shared" si="588"/>
        <v>0</v>
      </c>
      <c r="P187" s="8" t="e">
        <v>#NUM!</v>
      </c>
      <c r="Q187" s="8" t="e">
        <f t="shared" ref="Q187" si="619">IF(COUNTIF(P178:P188,"&lt;"&amp;-0.001)=0,IF(ABS(P187)&lt;0.001,0,P187)," ")</f>
        <v>#NUM!</v>
      </c>
      <c r="R187" s="8"/>
      <c r="S187" s="8"/>
      <c r="U187" s="8"/>
      <c r="V187" s="8"/>
      <c r="W187" s="8"/>
      <c r="X187" s="8"/>
      <c r="Y187" s="8"/>
      <c r="Z187" s="8"/>
      <c r="AA187" s="8"/>
      <c r="AC187" s="8"/>
      <c r="AD187" s="8"/>
      <c r="AE187" s="8"/>
      <c r="AF187" s="8"/>
      <c r="AG187" s="8"/>
      <c r="AH187" s="8"/>
      <c r="AI187" s="8"/>
      <c r="AJ187" s="8"/>
      <c r="AK187" s="8"/>
      <c r="AL187" s="8"/>
      <c r="AM187" s="8"/>
      <c r="AN187" s="8"/>
      <c r="AO187" s="8"/>
      <c r="AP187" s="8"/>
      <c r="AQ187" s="8"/>
      <c r="AR187" s="8"/>
      <c r="AS187" s="8"/>
      <c r="AT187" s="8"/>
      <c r="AU187" s="8"/>
      <c r="AV187" s="8"/>
      <c r="AW187" s="8"/>
      <c r="AX187" s="8"/>
      <c r="AY187" s="8"/>
      <c r="AZ187" s="8"/>
      <c r="BA187" s="8"/>
      <c r="BB187" s="8"/>
      <c r="BC187" s="8"/>
      <c r="BD187" s="8"/>
      <c r="BE187" s="8"/>
      <c r="BF187" s="8"/>
      <c r="BG187" s="8"/>
      <c r="BH187" s="8"/>
      <c r="BI187" s="8"/>
      <c r="BJ187" s="8"/>
      <c r="BK187" s="8"/>
      <c r="BL187" s="8"/>
      <c r="BM187" s="8"/>
      <c r="BN187" s="8"/>
      <c r="BO187" s="8"/>
      <c r="BP187" s="8"/>
      <c r="BQ187" s="8"/>
      <c r="BR187" s="8"/>
      <c r="BS187" s="8"/>
      <c r="BT187" s="8"/>
      <c r="BU187" s="8"/>
      <c r="BV187" s="8"/>
      <c r="BW187" s="8"/>
      <c r="BX187" s="8"/>
      <c r="BY187" s="8"/>
      <c r="BZ187" s="8"/>
      <c r="CA187" s="8"/>
      <c r="CB187" s="8"/>
      <c r="CC187" s="8"/>
      <c r="CD187" s="8"/>
      <c r="CE187" s="8"/>
      <c r="CF187" s="8"/>
      <c r="CG187" s="8"/>
      <c r="CH187" s="8"/>
    </row>
    <row r="188" spans="1:86" x14ac:dyDescent="0.2">
      <c r="A188" s="8" t="str">
        <f>IF(AND(COUNTIF(W$3:W$13,A$25)&gt;0,A$25&lt;&gt;B38),A$25,IFERROR(IF(MATCH(A$25,Z$3:Z$13,0)=7,A$25," ")," "))</f>
        <v xml:space="preserve"> </v>
      </c>
      <c r="B188" s="8" t="str">
        <f>IF(A188=" "," ",MAX(B178:B187)+1)</f>
        <v xml:space="preserve"> </v>
      </c>
      <c r="C188" s="8" t="str">
        <f>IFERROR(INDEX(A178:A199,MATCH(SMALL(B178:B199,11),B178:B199,0),1)," ")</f>
        <v>C22</v>
      </c>
      <c r="D188" s="8">
        <f t="shared" si="577"/>
        <v>0</v>
      </c>
      <c r="E188" s="8">
        <f t="shared" si="578"/>
        <v>0</v>
      </c>
      <c r="F188" s="8">
        <f t="shared" si="579"/>
        <v>0</v>
      </c>
      <c r="G188" s="8">
        <f t="shared" si="580"/>
        <v>0</v>
      </c>
      <c r="H188" s="8">
        <f t="shared" si="581"/>
        <v>0</v>
      </c>
      <c r="I188" s="8">
        <f t="shared" si="582"/>
        <v>0</v>
      </c>
      <c r="J188" s="8">
        <f t="shared" si="583"/>
        <v>0</v>
      </c>
      <c r="K188" s="8">
        <f t="shared" si="584"/>
        <v>0</v>
      </c>
      <c r="L188" s="8">
        <f t="shared" si="585"/>
        <v>0</v>
      </c>
      <c r="M188" s="8">
        <f t="shared" si="586"/>
        <v>0</v>
      </c>
      <c r="N188" s="8">
        <f t="shared" si="587"/>
        <v>1</v>
      </c>
      <c r="O188" s="8">
        <f t="shared" si="588"/>
        <v>0</v>
      </c>
      <c r="P188" s="8" t="e">
        <v>#NUM!</v>
      </c>
      <c r="Q188" s="8" t="e">
        <f t="shared" ref="Q188" si="620">IF(COUNTIF(P178:P188,"&lt;"&amp;-0.001)=0,IF(ABS(P188)&lt;0.001,0,P188)," ")</f>
        <v>#NUM!</v>
      </c>
      <c r="R188" s="8"/>
      <c r="S188" s="8"/>
      <c r="U188" s="8"/>
      <c r="V188" s="8"/>
      <c r="W188" s="8"/>
      <c r="X188" s="8"/>
      <c r="Y188" s="8"/>
      <c r="Z188" s="8"/>
      <c r="AA188" s="8"/>
      <c r="AC188" s="8"/>
      <c r="AD188" s="8"/>
      <c r="AE188" s="8"/>
      <c r="AF188" s="8"/>
      <c r="AG188" s="8"/>
      <c r="AH188" s="8"/>
      <c r="AI188" s="8"/>
      <c r="AJ188" s="8"/>
      <c r="AK188" s="8"/>
      <c r="AL188" s="8"/>
      <c r="AM188" s="8"/>
      <c r="AN188" s="8"/>
      <c r="AO188" s="8"/>
      <c r="AP188" s="8"/>
      <c r="AQ188" s="8"/>
      <c r="AR188" s="8"/>
      <c r="AS188" s="8"/>
      <c r="AT188" s="8"/>
      <c r="AU188" s="8"/>
      <c r="AV188" s="8"/>
      <c r="AW188" s="8"/>
      <c r="AX188" s="8"/>
      <c r="AY188" s="8"/>
      <c r="AZ188" s="8"/>
      <c r="BA188" s="8"/>
      <c r="BB188" s="8"/>
      <c r="BC188" s="8"/>
      <c r="BD188" s="8"/>
      <c r="BE188" s="8"/>
      <c r="BF188" s="8"/>
      <c r="BG188" s="8"/>
      <c r="BH188" s="8"/>
      <c r="BI188" s="8"/>
      <c r="BJ188" s="8"/>
      <c r="BK188" s="8"/>
      <c r="BL188" s="8"/>
      <c r="BM188" s="8"/>
      <c r="BN188" s="8"/>
      <c r="BO188" s="8"/>
      <c r="BP188" s="8"/>
      <c r="BQ188" s="8"/>
      <c r="BR188" s="8"/>
      <c r="BS188" s="8"/>
      <c r="BT188" s="8"/>
      <c r="BU188" s="8"/>
      <c r="BV188" s="8"/>
      <c r="BW188" s="8"/>
      <c r="BX188" s="8"/>
      <c r="BY188" s="8"/>
      <c r="BZ188" s="8"/>
      <c r="CA188" s="8"/>
      <c r="CB188" s="8"/>
      <c r="CC188" s="8"/>
      <c r="CD188" s="8"/>
      <c r="CE188" s="8"/>
      <c r="CF188" s="8"/>
      <c r="CG188" s="8"/>
      <c r="CH188" s="8"/>
    </row>
    <row r="189" spans="1:86" x14ac:dyDescent="0.2">
      <c r="A189" s="8" t="str">
        <f>IF(AND(COUNTIF(W$3:W$13,A$26)&gt;0,A$26&lt;&gt;B38),A$26,IFERROR(IF(MATCH(A$26,Z$3:Z$13,0)=7,A$26," ")," "))</f>
        <v xml:space="preserve"> </v>
      </c>
      <c r="B189" s="8" t="str">
        <f>IF(A189=" "," ",MAX(B178:B188)+1)</f>
        <v xml:space="preserve"> </v>
      </c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U189" s="8"/>
      <c r="V189" s="8"/>
      <c r="W189" s="8"/>
      <c r="X189" s="8"/>
      <c r="Y189" s="8"/>
      <c r="Z189" s="8"/>
      <c r="AA189" s="8"/>
      <c r="AC189" s="8"/>
      <c r="AD189" s="8"/>
      <c r="AE189" s="8"/>
      <c r="AF189" s="8"/>
      <c r="AG189" s="8"/>
      <c r="AH189" s="8"/>
      <c r="AI189" s="8"/>
      <c r="AJ189" s="8"/>
      <c r="AK189" s="8"/>
      <c r="AL189" s="8"/>
      <c r="AM189" s="8"/>
      <c r="AN189" s="8"/>
      <c r="AO189" s="8"/>
      <c r="AP189" s="8"/>
      <c r="AQ189" s="8"/>
      <c r="AR189" s="8"/>
      <c r="AS189" s="8"/>
      <c r="AT189" s="8"/>
      <c r="AU189" s="8"/>
      <c r="AV189" s="8"/>
      <c r="AW189" s="8"/>
      <c r="AX189" s="8"/>
      <c r="AY189" s="8"/>
      <c r="AZ189" s="8"/>
      <c r="BA189" s="8"/>
      <c r="BB189" s="8"/>
      <c r="BC189" s="8"/>
      <c r="BD189" s="8"/>
      <c r="BE189" s="8"/>
      <c r="BF189" s="8"/>
      <c r="BG189" s="8"/>
      <c r="BH189" s="8"/>
      <c r="BI189" s="8"/>
      <c r="BJ189" s="8"/>
      <c r="BK189" s="8"/>
      <c r="BL189" s="8"/>
      <c r="BM189" s="8"/>
      <c r="BN189" s="8"/>
      <c r="BO189" s="8"/>
      <c r="BP189" s="8"/>
      <c r="BQ189" s="8"/>
      <c r="BR189" s="8"/>
      <c r="BS189" s="8"/>
      <c r="BT189" s="8"/>
      <c r="BU189" s="8"/>
      <c r="BV189" s="8"/>
      <c r="BW189" s="8"/>
      <c r="BX189" s="8"/>
      <c r="BY189" s="8"/>
      <c r="BZ189" s="8"/>
      <c r="CA189" s="8"/>
      <c r="CB189" s="8"/>
      <c r="CC189" s="8"/>
      <c r="CD189" s="8"/>
      <c r="CE189" s="8"/>
      <c r="CF189" s="8"/>
      <c r="CG189" s="8"/>
      <c r="CH189" s="8"/>
    </row>
    <row r="190" spans="1:86" x14ac:dyDescent="0.2">
      <c r="A190" s="8" t="str">
        <f>IF(AND(COUNTIF(W$3:W$13,A$27)&gt;0,A$27&lt;&gt;B38),A$27,IFERROR(IF(MATCH(A$27,Z$3:Z$13,0)=7,A$27," ")," "))</f>
        <v>C13</v>
      </c>
      <c r="B190" s="8">
        <f>IF(A190=" "," ",MAX(B178:B189)+1)</f>
        <v>3</v>
      </c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U190" s="8"/>
      <c r="V190" s="8"/>
      <c r="W190" s="8"/>
      <c r="X190" s="8"/>
      <c r="Y190" s="8"/>
      <c r="Z190" s="8"/>
      <c r="AA190" s="8"/>
      <c r="AC190" s="8"/>
      <c r="AD190" s="8"/>
      <c r="AE190" s="8"/>
      <c r="AF190" s="8"/>
      <c r="AG190" s="8"/>
      <c r="AH190" s="8"/>
      <c r="AI190" s="8"/>
      <c r="AJ190" s="8"/>
      <c r="AK190" s="8"/>
      <c r="AL190" s="8"/>
      <c r="AM190" s="8"/>
      <c r="AN190" s="8"/>
      <c r="AO190" s="8"/>
      <c r="AP190" s="8"/>
      <c r="AQ190" s="8"/>
      <c r="AR190" s="8"/>
      <c r="AS190" s="8"/>
      <c r="AT190" s="8"/>
      <c r="AU190" s="8"/>
      <c r="AV190" s="8"/>
      <c r="AW190" s="8"/>
      <c r="AX190" s="8"/>
      <c r="AY190" s="8"/>
      <c r="AZ190" s="8"/>
      <c r="BA190" s="8"/>
      <c r="BB190" s="8"/>
      <c r="BC190" s="8"/>
      <c r="BD190" s="8"/>
      <c r="BE190" s="8"/>
      <c r="BF190" s="8"/>
      <c r="BG190" s="8"/>
      <c r="BH190" s="8"/>
      <c r="BI190" s="8"/>
      <c r="BJ190" s="8"/>
      <c r="BK190" s="8"/>
      <c r="BL190" s="8"/>
      <c r="BM190" s="8"/>
      <c r="BN190" s="8"/>
      <c r="BO190" s="8"/>
      <c r="BP190" s="8"/>
      <c r="BQ190" s="8"/>
      <c r="BR190" s="8"/>
      <c r="BS190" s="8"/>
      <c r="BT190" s="8"/>
      <c r="BU190" s="8"/>
      <c r="BV190" s="8"/>
      <c r="BW190" s="8"/>
      <c r="BX190" s="8"/>
      <c r="BY190" s="8"/>
      <c r="BZ190" s="8"/>
      <c r="CA190" s="8"/>
      <c r="CB190" s="8"/>
      <c r="CC190" s="8"/>
      <c r="CD190" s="8"/>
      <c r="CE190" s="8"/>
      <c r="CF190" s="8"/>
      <c r="CG190" s="8"/>
      <c r="CH190" s="8"/>
    </row>
    <row r="191" spans="1:86" x14ac:dyDescent="0.2">
      <c r="A191" s="8" t="str">
        <f>IF(AND(COUNTIF(W$3:W$13,A$28)&gt;0,A$28&lt;&gt;B38),A$28,IFERROR(IF(MATCH(A$28,Z$3:Z$13,0)=7,A$28," ")," "))</f>
        <v xml:space="preserve"> </v>
      </c>
      <c r="B191" s="8" t="str">
        <f>IF(A191=" "," ",MAX(B178:B190)+1)</f>
        <v xml:space="preserve"> </v>
      </c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U191" s="8"/>
      <c r="V191" s="8"/>
      <c r="W191" s="8"/>
      <c r="X191" s="8"/>
      <c r="Y191" s="8"/>
      <c r="Z191" s="8"/>
      <c r="AA191" s="8"/>
      <c r="AC191" s="8"/>
      <c r="AD191" s="8"/>
      <c r="AE191" s="8"/>
      <c r="AF191" s="8"/>
      <c r="AG191" s="8"/>
      <c r="AH191" s="8"/>
      <c r="AI191" s="8"/>
      <c r="AJ191" s="8"/>
      <c r="AK191" s="8"/>
      <c r="AL191" s="8"/>
      <c r="AM191" s="8"/>
      <c r="AN191" s="8"/>
      <c r="AO191" s="8"/>
      <c r="AP191" s="8"/>
      <c r="AQ191" s="8"/>
      <c r="AR191" s="8"/>
      <c r="AS191" s="8"/>
      <c r="AT191" s="8"/>
      <c r="AU191" s="8"/>
      <c r="AV191" s="8"/>
      <c r="AW191" s="8"/>
      <c r="AX191" s="8"/>
      <c r="AY191" s="8"/>
      <c r="AZ191" s="8"/>
      <c r="BA191" s="8"/>
      <c r="BB191" s="8"/>
      <c r="BC191" s="8"/>
      <c r="BD191" s="8"/>
      <c r="BE191" s="8"/>
      <c r="BF191" s="8"/>
      <c r="BG191" s="8"/>
      <c r="BH191" s="8"/>
      <c r="BI191" s="8"/>
      <c r="BJ191" s="8"/>
      <c r="BK191" s="8"/>
      <c r="BL191" s="8"/>
      <c r="BM191" s="8"/>
      <c r="BN191" s="8"/>
      <c r="BO191" s="8"/>
      <c r="BP191" s="8"/>
      <c r="BQ191" s="8"/>
      <c r="BR191" s="8"/>
      <c r="BS191" s="8"/>
      <c r="BT191" s="8"/>
      <c r="BU191" s="8"/>
      <c r="BV191" s="8"/>
      <c r="BW191" s="8"/>
      <c r="BX191" s="8"/>
      <c r="BY191" s="8"/>
      <c r="BZ191" s="8"/>
      <c r="CA191" s="8"/>
      <c r="CB191" s="8"/>
      <c r="CC191" s="8"/>
      <c r="CD191" s="8"/>
      <c r="CE191" s="8"/>
      <c r="CF191" s="8"/>
      <c r="CG191" s="8"/>
      <c r="CH191" s="8"/>
    </row>
    <row r="192" spans="1:86" x14ac:dyDescent="0.2">
      <c r="A192" s="8" t="str">
        <f>IF(AND(COUNTIF(W$3:W$13,A$29)&gt;0,A$29&lt;&gt;B38),A$29,IFERROR(IF(MATCH(A$29,Z$3:Z$13,0)=7,A$29," ")," "))</f>
        <v>C15</v>
      </c>
      <c r="B192" s="8">
        <f>IF(A192=" "," ",MAX(B178:B191)+1)</f>
        <v>4</v>
      </c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U192" s="8"/>
      <c r="V192" s="8"/>
      <c r="W192" s="8"/>
      <c r="X192" s="8"/>
      <c r="Y192" s="8"/>
      <c r="Z192" s="8"/>
      <c r="AA192" s="8"/>
      <c r="AC192" s="8"/>
      <c r="AD192" s="8"/>
      <c r="AE192" s="8"/>
      <c r="AF192" s="8"/>
      <c r="AG192" s="8"/>
      <c r="AH192" s="8"/>
      <c r="AI192" s="8"/>
      <c r="AJ192" s="8"/>
      <c r="AK192" s="8"/>
      <c r="AL192" s="8"/>
      <c r="AM192" s="8"/>
      <c r="AN192" s="8"/>
      <c r="AO192" s="8"/>
      <c r="AP192" s="8"/>
      <c r="AQ192" s="8"/>
      <c r="AR192" s="8"/>
      <c r="AS192" s="8"/>
      <c r="AT192" s="8"/>
      <c r="AU192" s="8"/>
      <c r="AV192" s="8"/>
      <c r="AW192" s="8"/>
      <c r="AX192" s="8"/>
      <c r="AY192" s="8"/>
      <c r="AZ192" s="8"/>
      <c r="BA192" s="8"/>
      <c r="BB192" s="8"/>
      <c r="BC192" s="8"/>
      <c r="BD192" s="8"/>
      <c r="BE192" s="8"/>
      <c r="BF192" s="8"/>
      <c r="BG192" s="8"/>
      <c r="BH192" s="8"/>
      <c r="BI192" s="8"/>
      <c r="BJ192" s="8"/>
      <c r="BK192" s="8"/>
      <c r="BL192" s="8"/>
      <c r="BM192" s="8"/>
      <c r="BN192" s="8"/>
      <c r="BO192" s="8"/>
      <c r="BP192" s="8"/>
      <c r="BQ192" s="8"/>
      <c r="BR192" s="8"/>
      <c r="BS192" s="8"/>
      <c r="BT192" s="8"/>
      <c r="BU192" s="8"/>
      <c r="BV192" s="8"/>
      <c r="BW192" s="8"/>
      <c r="BX192" s="8"/>
      <c r="BY192" s="8"/>
      <c r="BZ192" s="8"/>
      <c r="CA192" s="8"/>
      <c r="CB192" s="8"/>
      <c r="CC192" s="8"/>
      <c r="CD192" s="8"/>
      <c r="CE192" s="8"/>
      <c r="CF192" s="8"/>
      <c r="CG192" s="8"/>
      <c r="CH192" s="8"/>
    </row>
    <row r="193" spans="1:86" x14ac:dyDescent="0.2">
      <c r="A193" s="8" t="str">
        <f>IF(AND(COUNTIF(W$3:W$13,A$30)&gt;0,A$30&lt;&gt;B38),A$30,IFERROR(IF(MATCH(A$30,Z$3:Z$13,0)=7,A$30," ")," "))</f>
        <v>C16</v>
      </c>
      <c r="B193" s="8">
        <f>IF(A193=" "," ",MAX(B178:B192)+1)</f>
        <v>5</v>
      </c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U193" s="8"/>
      <c r="V193" s="8"/>
      <c r="W193" s="8"/>
      <c r="X193" s="8"/>
      <c r="Y193" s="8"/>
      <c r="Z193" s="8"/>
      <c r="AA193" s="8"/>
      <c r="AC193" s="8"/>
      <c r="AD193" s="8"/>
      <c r="AE193" s="8"/>
      <c r="AF193" s="8"/>
      <c r="AG193" s="8"/>
      <c r="AH193" s="8"/>
      <c r="AI193" s="8"/>
      <c r="AJ193" s="8"/>
      <c r="AK193" s="8"/>
      <c r="AL193" s="8"/>
      <c r="AM193" s="8"/>
      <c r="AN193" s="8"/>
      <c r="AO193" s="8"/>
      <c r="AP193" s="8"/>
      <c r="AQ193" s="8"/>
      <c r="AR193" s="8"/>
      <c r="AS193" s="8"/>
      <c r="AT193" s="8"/>
      <c r="AU193" s="8"/>
      <c r="AV193" s="8"/>
      <c r="AW193" s="8"/>
      <c r="AX193" s="8"/>
      <c r="AY193" s="8"/>
      <c r="AZ193" s="8"/>
      <c r="BA193" s="8"/>
      <c r="BB193" s="8"/>
      <c r="BC193" s="8"/>
      <c r="BD193" s="8"/>
      <c r="BE193" s="8"/>
      <c r="BF193" s="8"/>
      <c r="BG193" s="8"/>
      <c r="BH193" s="8"/>
      <c r="BI193" s="8"/>
      <c r="BJ193" s="8"/>
      <c r="BK193" s="8"/>
      <c r="BL193" s="8"/>
      <c r="BM193" s="8"/>
      <c r="BN193" s="8"/>
      <c r="BO193" s="8"/>
      <c r="BP193" s="8"/>
      <c r="BQ193" s="8"/>
      <c r="BR193" s="8"/>
      <c r="BS193" s="8"/>
      <c r="BT193" s="8"/>
      <c r="BU193" s="8"/>
      <c r="BV193" s="8"/>
      <c r="BW193" s="8"/>
      <c r="BX193" s="8"/>
      <c r="BY193" s="8"/>
      <c r="BZ193" s="8"/>
      <c r="CA193" s="8"/>
      <c r="CB193" s="8"/>
      <c r="CC193" s="8"/>
      <c r="CD193" s="8"/>
      <c r="CE193" s="8"/>
      <c r="CF193" s="8"/>
      <c r="CG193" s="8"/>
      <c r="CH193" s="8"/>
    </row>
    <row r="194" spans="1:86" x14ac:dyDescent="0.2">
      <c r="A194" s="8" t="str">
        <f>IF(AND(COUNTIF(W$3:W$13,A$31)&gt;0,A$31&lt;&gt;B38),A$31,IFERROR(IF(MATCH(A$31,Z$3:Z$13,0)=7,A$31," ")," "))</f>
        <v>C17</v>
      </c>
      <c r="B194" s="8">
        <f>IF(A194=" "," ",MAX(B178:B193)+1)</f>
        <v>6</v>
      </c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U194" s="8"/>
      <c r="V194" s="8"/>
      <c r="W194" s="8"/>
      <c r="X194" s="8"/>
      <c r="Y194" s="8"/>
      <c r="Z194" s="8"/>
      <c r="AA194" s="8"/>
      <c r="AC194" s="8"/>
      <c r="AD194" s="8"/>
      <c r="AE194" s="8"/>
      <c r="AF194" s="8"/>
      <c r="AG194" s="8"/>
      <c r="AH194" s="8"/>
      <c r="AI194" s="8"/>
      <c r="AJ194" s="8"/>
      <c r="AK194" s="8"/>
      <c r="AL194" s="8"/>
      <c r="AM194" s="8"/>
      <c r="AN194" s="8"/>
      <c r="AO194" s="8"/>
      <c r="AP194" s="8"/>
      <c r="AQ194" s="8"/>
      <c r="AR194" s="8"/>
      <c r="AS194" s="8"/>
      <c r="AT194" s="8"/>
      <c r="AU194" s="8"/>
      <c r="AV194" s="8"/>
      <c r="AW194" s="8"/>
      <c r="AX194" s="8"/>
      <c r="AY194" s="8"/>
      <c r="AZ194" s="8"/>
      <c r="BA194" s="8"/>
      <c r="BB194" s="8"/>
      <c r="BC194" s="8"/>
      <c r="BD194" s="8"/>
      <c r="BE194" s="8"/>
      <c r="BF194" s="8"/>
      <c r="BG194" s="8"/>
      <c r="BH194" s="8"/>
      <c r="BI194" s="8"/>
      <c r="BJ194" s="8"/>
      <c r="BK194" s="8"/>
      <c r="BL194" s="8"/>
      <c r="BM194" s="8"/>
      <c r="BN194" s="8"/>
      <c r="BO194" s="8"/>
      <c r="BP194" s="8"/>
      <c r="BQ194" s="8"/>
      <c r="BR194" s="8"/>
      <c r="BS194" s="8"/>
      <c r="BT194" s="8"/>
      <c r="BU194" s="8"/>
      <c r="BV194" s="8"/>
      <c r="BW194" s="8"/>
      <c r="BX194" s="8"/>
      <c r="BY194" s="8"/>
      <c r="BZ194" s="8"/>
      <c r="CA194" s="8"/>
      <c r="CB194" s="8"/>
      <c r="CC194" s="8"/>
      <c r="CD194" s="8"/>
      <c r="CE194" s="8"/>
      <c r="CF194" s="8"/>
      <c r="CG194" s="8"/>
      <c r="CH194" s="8"/>
    </row>
    <row r="195" spans="1:86" x14ac:dyDescent="0.2">
      <c r="A195" s="8" t="str">
        <f>IF(AND(COUNTIF(W$3:W$13,A$32)&gt;0,A$32&lt;&gt;B38),A$32,IFERROR(IF(MATCH(A$32,Z$3:Z$13,0)=7,A$32," ")," "))</f>
        <v>C18</v>
      </c>
      <c r="B195" s="8">
        <f>IF(A195=" "," ",MAX(B178:B194)+1)</f>
        <v>7</v>
      </c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U195" s="8"/>
      <c r="V195" s="8"/>
      <c r="W195" s="8"/>
      <c r="X195" s="8"/>
      <c r="Y195" s="8"/>
      <c r="Z195" s="8"/>
      <c r="AA195" s="8"/>
      <c r="AC195" s="8"/>
      <c r="AD195" s="8"/>
      <c r="AE195" s="8"/>
      <c r="AF195" s="8"/>
      <c r="AG195" s="8"/>
      <c r="AH195" s="8"/>
      <c r="AI195" s="8"/>
      <c r="AJ195" s="8"/>
      <c r="AK195" s="8"/>
      <c r="AL195" s="8"/>
      <c r="AM195" s="8"/>
      <c r="AN195" s="8"/>
      <c r="AO195" s="8"/>
      <c r="AP195" s="8"/>
      <c r="AQ195" s="8"/>
      <c r="AR195" s="8"/>
      <c r="AS195" s="8"/>
      <c r="AT195" s="8"/>
      <c r="AU195" s="8"/>
      <c r="AV195" s="8"/>
      <c r="AW195" s="8"/>
      <c r="AX195" s="8"/>
      <c r="AY195" s="8"/>
      <c r="AZ195" s="8"/>
      <c r="BA195" s="8"/>
      <c r="BB195" s="8"/>
      <c r="BC195" s="8"/>
      <c r="BD195" s="8"/>
      <c r="BE195" s="8"/>
      <c r="BF195" s="8"/>
      <c r="BG195" s="8"/>
      <c r="BH195" s="8"/>
      <c r="BI195" s="8"/>
      <c r="BJ195" s="8"/>
      <c r="BK195" s="8"/>
      <c r="BL195" s="8"/>
      <c r="BM195" s="8"/>
      <c r="BN195" s="8"/>
      <c r="BO195" s="8"/>
      <c r="BP195" s="8"/>
      <c r="BQ195" s="8"/>
      <c r="BR195" s="8"/>
      <c r="BS195" s="8"/>
      <c r="BT195" s="8"/>
      <c r="BU195" s="8"/>
      <c r="BV195" s="8"/>
      <c r="BW195" s="8"/>
      <c r="BX195" s="8"/>
      <c r="BY195" s="8"/>
      <c r="BZ195" s="8"/>
      <c r="CA195" s="8"/>
      <c r="CB195" s="8"/>
      <c r="CC195" s="8"/>
      <c r="CD195" s="8"/>
      <c r="CE195" s="8"/>
      <c r="CF195" s="8"/>
      <c r="CG195" s="8"/>
      <c r="CH195" s="8"/>
    </row>
    <row r="196" spans="1:86" x14ac:dyDescent="0.2">
      <c r="A196" s="8" t="str">
        <f>IF(AND(COUNTIF(W$3:W$13,A$33)&gt;0,A$33&lt;&gt;B38),A$33,IFERROR(IF(MATCH(A$33,Z$3:Z$13,0)=7,A$33," ")," "))</f>
        <v>C19</v>
      </c>
      <c r="B196" s="8">
        <f>IF(A196=" "," ",MAX(B178:B195)+1)</f>
        <v>8</v>
      </c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U196" s="8"/>
      <c r="V196" s="8"/>
      <c r="W196" s="8"/>
      <c r="X196" s="8"/>
      <c r="Y196" s="8"/>
      <c r="Z196" s="8"/>
      <c r="AA196" s="8"/>
      <c r="AC196" s="8"/>
      <c r="AD196" s="8"/>
      <c r="AE196" s="8"/>
      <c r="AF196" s="8"/>
      <c r="AG196" s="8"/>
      <c r="AH196" s="8"/>
      <c r="AI196" s="8"/>
      <c r="AJ196" s="8"/>
      <c r="AK196" s="8"/>
      <c r="AL196" s="8"/>
      <c r="AM196" s="8"/>
      <c r="AN196" s="8"/>
      <c r="AO196" s="8"/>
      <c r="AP196" s="8"/>
      <c r="AQ196" s="8"/>
      <c r="AR196" s="8"/>
      <c r="AS196" s="8"/>
      <c r="AT196" s="8"/>
      <c r="AU196" s="8"/>
      <c r="AV196" s="8"/>
      <c r="AW196" s="8"/>
      <c r="AX196" s="8"/>
      <c r="AY196" s="8"/>
      <c r="AZ196" s="8"/>
      <c r="BA196" s="8"/>
      <c r="BB196" s="8"/>
      <c r="BC196" s="8"/>
      <c r="BD196" s="8"/>
      <c r="BE196" s="8"/>
      <c r="BF196" s="8"/>
      <c r="BG196" s="8"/>
      <c r="BH196" s="8"/>
      <c r="BI196" s="8"/>
      <c r="BJ196" s="8"/>
      <c r="BK196" s="8"/>
      <c r="BL196" s="8"/>
      <c r="BM196" s="8"/>
      <c r="BN196" s="8"/>
      <c r="BO196" s="8"/>
      <c r="BP196" s="8"/>
      <c r="BQ196" s="8"/>
      <c r="BR196" s="8"/>
      <c r="BS196" s="8"/>
      <c r="BT196" s="8"/>
      <c r="BU196" s="8"/>
      <c r="BV196" s="8"/>
      <c r="BW196" s="8"/>
      <c r="BX196" s="8"/>
      <c r="BY196" s="8"/>
      <c r="BZ196" s="8"/>
      <c r="CA196" s="8"/>
      <c r="CB196" s="8"/>
      <c r="CC196" s="8"/>
      <c r="CD196" s="8"/>
      <c r="CE196" s="8"/>
      <c r="CF196" s="8"/>
      <c r="CG196" s="8"/>
      <c r="CH196" s="8"/>
    </row>
    <row r="197" spans="1:86" x14ac:dyDescent="0.2">
      <c r="A197" s="8" t="str">
        <f>IF(AND(COUNTIF(W$3:W$13,A$34)&gt;0,A$34&lt;&gt;B38),A$34,IFERROR(IF(MATCH(A$34,Z$3:Z$13,0)=7,A$34," ")," "))</f>
        <v>C20</v>
      </c>
      <c r="B197" s="8">
        <f>IF(A197=" "," ",MAX(B178:B196)+1)</f>
        <v>9</v>
      </c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U197" s="8"/>
      <c r="V197" s="8"/>
      <c r="W197" s="8"/>
      <c r="X197" s="8"/>
      <c r="Y197" s="8"/>
      <c r="Z197" s="8"/>
      <c r="AA197" s="8"/>
      <c r="AC197" s="8"/>
      <c r="AD197" s="8"/>
      <c r="AE197" s="8"/>
      <c r="AF197" s="8"/>
      <c r="AG197" s="8"/>
      <c r="AH197" s="8"/>
      <c r="AI197" s="8"/>
      <c r="AJ197" s="8"/>
      <c r="AK197" s="8"/>
      <c r="AL197" s="8"/>
      <c r="AM197" s="8"/>
      <c r="AN197" s="8"/>
      <c r="AO197" s="8"/>
      <c r="AP197" s="8"/>
      <c r="AQ197" s="8"/>
      <c r="AR197" s="8"/>
      <c r="AS197" s="8"/>
      <c r="AT197" s="8"/>
      <c r="AU197" s="8"/>
      <c r="AV197" s="8"/>
      <c r="AW197" s="8"/>
      <c r="AX197" s="8"/>
      <c r="AY197" s="8"/>
      <c r="AZ197" s="8"/>
      <c r="BA197" s="8"/>
      <c r="BB197" s="8"/>
      <c r="BC197" s="8"/>
      <c r="BD197" s="8"/>
      <c r="BE197" s="8"/>
      <c r="BF197" s="8"/>
      <c r="BG197" s="8"/>
      <c r="BH197" s="8"/>
      <c r="BI197" s="8"/>
      <c r="BJ197" s="8"/>
      <c r="BK197" s="8"/>
      <c r="BL197" s="8"/>
      <c r="BM197" s="8"/>
      <c r="BN197" s="8"/>
      <c r="BO197" s="8"/>
      <c r="BP197" s="8"/>
      <c r="BQ197" s="8"/>
      <c r="BR197" s="8"/>
      <c r="BS197" s="8"/>
      <c r="BT197" s="8"/>
      <c r="BU197" s="8"/>
      <c r="BV197" s="8"/>
      <c r="BW197" s="8"/>
      <c r="BX197" s="8"/>
      <c r="BY197" s="8"/>
      <c r="BZ197" s="8"/>
      <c r="CA197" s="8"/>
      <c r="CB197" s="8"/>
      <c r="CC197" s="8"/>
      <c r="CD197" s="8"/>
      <c r="CE197" s="8"/>
      <c r="CF197" s="8"/>
      <c r="CG197" s="8"/>
      <c r="CH197" s="8"/>
    </row>
    <row r="198" spans="1:86" x14ac:dyDescent="0.2">
      <c r="A198" s="8" t="str">
        <f>IF(AND(COUNTIF(W$3:W$13,A$35)&gt;0,A$35&lt;&gt;B38),A$35,IFERROR(IF(MATCH(A$35,Z$3:Z$13,0)=7,A$35," ")," "))</f>
        <v>C21</v>
      </c>
      <c r="B198" s="8">
        <f>IF(A198=" "," ",MAX(B178:B197)+1)</f>
        <v>10</v>
      </c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U198" s="8"/>
      <c r="V198" s="8"/>
      <c r="W198" s="8"/>
      <c r="X198" s="8"/>
      <c r="Y198" s="8"/>
      <c r="Z198" s="8"/>
      <c r="AA198" s="8"/>
      <c r="AC198" s="8"/>
      <c r="AD198" s="8"/>
      <c r="AE198" s="8"/>
      <c r="AF198" s="8"/>
      <c r="AG198" s="8"/>
      <c r="AH198" s="8"/>
      <c r="AI198" s="8"/>
      <c r="AJ198" s="8"/>
      <c r="AK198" s="8"/>
      <c r="AL198" s="8"/>
      <c r="AM198" s="8"/>
      <c r="AN198" s="8"/>
      <c r="AO198" s="8"/>
      <c r="AP198" s="8"/>
      <c r="AQ198" s="8"/>
      <c r="AR198" s="8"/>
      <c r="AS198" s="8"/>
      <c r="AT198" s="8"/>
      <c r="AU198" s="8"/>
      <c r="AV198" s="8"/>
      <c r="AW198" s="8"/>
      <c r="AX198" s="8"/>
      <c r="AY198" s="8"/>
      <c r="AZ198" s="8"/>
      <c r="BA198" s="8"/>
      <c r="BB198" s="8"/>
      <c r="BC198" s="8"/>
      <c r="BD198" s="8"/>
      <c r="BE198" s="8"/>
      <c r="BF198" s="8"/>
      <c r="BG198" s="8"/>
      <c r="BH198" s="8"/>
      <c r="BI198" s="8"/>
      <c r="BJ198" s="8"/>
      <c r="BK198" s="8"/>
      <c r="BL198" s="8"/>
      <c r="BM198" s="8"/>
      <c r="BN198" s="8"/>
      <c r="BO198" s="8"/>
      <c r="BP198" s="8"/>
      <c r="BQ198" s="8"/>
      <c r="BR198" s="8"/>
      <c r="BS198" s="8"/>
      <c r="BT198" s="8"/>
      <c r="BU198" s="8"/>
      <c r="BV198" s="8"/>
      <c r="BW198" s="8"/>
      <c r="BX198" s="8"/>
      <c r="BY198" s="8"/>
      <c r="BZ198" s="8"/>
      <c r="CA198" s="8"/>
      <c r="CB198" s="8"/>
      <c r="CC198" s="8"/>
      <c r="CD198" s="8"/>
      <c r="CE198" s="8"/>
      <c r="CF198" s="8"/>
      <c r="CG198" s="8"/>
      <c r="CH198" s="8"/>
    </row>
    <row r="199" spans="1:86" x14ac:dyDescent="0.2">
      <c r="A199" s="8" t="str">
        <f>IF(AND(COUNTIF(W$3:W$13,A$36)&gt;0,A$36&lt;&gt;B38),A$36,IFERROR(IF(MATCH(A$36,Z$3:Z$13,0)=7,A$36," ")," "))</f>
        <v>C22</v>
      </c>
      <c r="B199" s="8">
        <f>IF(A199=" "," ",MAX(B178:B198)+1)</f>
        <v>11</v>
      </c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U199" s="8"/>
      <c r="V199" s="8"/>
      <c r="W199" s="8"/>
      <c r="X199" s="8"/>
      <c r="Y199" s="8"/>
      <c r="Z199" s="8"/>
      <c r="AA199" s="8"/>
      <c r="AC199" s="8"/>
      <c r="AD199" s="8"/>
      <c r="AE199" s="8"/>
      <c r="AF199" s="8"/>
      <c r="AG199" s="8"/>
      <c r="AH199" s="8"/>
      <c r="AI199" s="8"/>
      <c r="AJ199" s="8"/>
      <c r="AK199" s="8"/>
      <c r="AL199" s="8"/>
      <c r="AM199" s="8"/>
      <c r="AN199" s="8"/>
      <c r="AO199" s="8"/>
      <c r="AP199" s="8"/>
      <c r="AQ199" s="8"/>
      <c r="AR199" s="8"/>
      <c r="AS199" s="8"/>
      <c r="AT199" s="8"/>
      <c r="AU199" s="8"/>
      <c r="AV199" s="8"/>
      <c r="AW199" s="8"/>
      <c r="AX199" s="8"/>
      <c r="AY199" s="8"/>
      <c r="AZ199" s="8"/>
      <c r="BA199" s="8"/>
      <c r="BB199" s="8"/>
      <c r="BC199" s="8"/>
      <c r="BD199" s="8"/>
      <c r="BE199" s="8"/>
      <c r="BF199" s="8"/>
      <c r="BG199" s="8"/>
      <c r="BH199" s="8"/>
      <c r="BI199" s="8"/>
      <c r="BJ199" s="8"/>
      <c r="BK199" s="8"/>
      <c r="BL199" s="8"/>
      <c r="BM199" s="8"/>
      <c r="BN199" s="8"/>
      <c r="BO199" s="8"/>
      <c r="BP199" s="8"/>
      <c r="BQ199" s="8"/>
      <c r="BR199" s="8"/>
      <c r="BS199" s="8"/>
      <c r="BT199" s="8"/>
      <c r="BU199" s="8"/>
      <c r="BV199" s="8"/>
      <c r="BW199" s="8"/>
      <c r="BX199" s="8"/>
      <c r="BY199" s="8"/>
      <c r="BZ199" s="8"/>
      <c r="CA199" s="8"/>
      <c r="CB199" s="8"/>
      <c r="CC199" s="8"/>
      <c r="CD199" s="8"/>
      <c r="CE199" s="8"/>
      <c r="CF199" s="8"/>
      <c r="CG199" s="8"/>
      <c r="CH199" s="8"/>
    </row>
    <row r="200" spans="1:86" x14ac:dyDescent="0.2">
      <c r="A200" s="11" t="s">
        <v>17</v>
      </c>
      <c r="B200" s="11"/>
      <c r="C200" s="15" t="s">
        <v>18</v>
      </c>
      <c r="D200" s="13" t="s">
        <v>2</v>
      </c>
      <c r="E200" s="13" t="s">
        <v>6</v>
      </c>
      <c r="F200" s="13" t="s">
        <v>15</v>
      </c>
      <c r="G200" s="13" t="s">
        <v>36</v>
      </c>
      <c r="H200" s="13" t="s">
        <v>37</v>
      </c>
      <c r="I200" s="13" t="s">
        <v>38</v>
      </c>
      <c r="J200" s="13" t="s">
        <v>39</v>
      </c>
      <c r="K200" s="13" t="s">
        <v>40</v>
      </c>
      <c r="L200" s="13" t="s">
        <v>41</v>
      </c>
      <c r="M200" s="13" t="s">
        <v>42</v>
      </c>
      <c r="N200" s="13" t="s">
        <v>43</v>
      </c>
      <c r="O200" s="13" t="s">
        <v>9</v>
      </c>
      <c r="P200" s="15" t="s">
        <v>12</v>
      </c>
      <c r="Q200" s="27" t="s">
        <v>19</v>
      </c>
      <c r="R200" s="15" t="s">
        <v>55</v>
      </c>
      <c r="S200" s="15" t="s">
        <v>26</v>
      </c>
      <c r="T200" s="19" t="s">
        <v>25</v>
      </c>
      <c r="U200" s="29" t="s">
        <v>27</v>
      </c>
      <c r="V200" s="29" t="s">
        <v>9</v>
      </c>
      <c r="W200" s="29" t="s">
        <v>23</v>
      </c>
      <c r="X200" s="29" t="s">
        <v>12</v>
      </c>
      <c r="Y200" s="29" t="s">
        <v>26</v>
      </c>
      <c r="Z200" s="29" t="s">
        <v>25</v>
      </c>
      <c r="AA200" s="29" t="s">
        <v>27</v>
      </c>
      <c r="AB200" s="31" t="s">
        <v>9</v>
      </c>
      <c r="AC200" s="29" t="s">
        <v>23</v>
      </c>
      <c r="AD200" s="29" t="s">
        <v>12</v>
      </c>
      <c r="AE200" s="29" t="s">
        <v>26</v>
      </c>
      <c r="AF200" s="29" t="s">
        <v>25</v>
      </c>
      <c r="AG200" s="29" t="s">
        <v>27</v>
      </c>
      <c r="AH200" s="29" t="s">
        <v>9</v>
      </c>
      <c r="AI200" s="29" t="s">
        <v>23</v>
      </c>
      <c r="AJ200" s="29" t="s">
        <v>12</v>
      </c>
      <c r="AK200" s="29" t="s">
        <v>26</v>
      </c>
      <c r="AL200" s="29" t="s">
        <v>25</v>
      </c>
      <c r="AM200" s="29" t="s">
        <v>27</v>
      </c>
      <c r="AN200" s="29" t="s">
        <v>9</v>
      </c>
      <c r="AO200" s="29" t="s">
        <v>23</v>
      </c>
      <c r="AP200" s="29" t="s">
        <v>12</v>
      </c>
      <c r="AQ200" s="29" t="s">
        <v>26</v>
      </c>
      <c r="AR200" s="29" t="s">
        <v>25</v>
      </c>
      <c r="AS200" s="29" t="s">
        <v>27</v>
      </c>
      <c r="AT200" s="29" t="s">
        <v>9</v>
      </c>
      <c r="AU200" s="29" t="s">
        <v>23</v>
      </c>
      <c r="AV200" s="29" t="s">
        <v>12</v>
      </c>
      <c r="AW200" s="29" t="s">
        <v>26</v>
      </c>
      <c r="AX200" s="29" t="s">
        <v>25</v>
      </c>
      <c r="AY200" s="29" t="s">
        <v>27</v>
      </c>
      <c r="AZ200" s="29" t="s">
        <v>9</v>
      </c>
      <c r="BA200" s="29" t="s">
        <v>23</v>
      </c>
      <c r="BB200" s="29" t="s">
        <v>12</v>
      </c>
      <c r="BC200" s="29" t="s">
        <v>26</v>
      </c>
      <c r="BD200" s="29" t="s">
        <v>25</v>
      </c>
      <c r="BE200" s="29" t="s">
        <v>27</v>
      </c>
      <c r="BF200" s="29" t="s">
        <v>9</v>
      </c>
      <c r="BG200" s="29" t="s">
        <v>23</v>
      </c>
      <c r="BH200" s="29" t="s">
        <v>12</v>
      </c>
      <c r="BI200" s="29" t="s">
        <v>26</v>
      </c>
      <c r="BJ200" s="29" t="s">
        <v>25</v>
      </c>
      <c r="BK200" s="29" t="s">
        <v>27</v>
      </c>
      <c r="BL200" s="29" t="s">
        <v>9</v>
      </c>
      <c r="BM200" s="29" t="s">
        <v>23</v>
      </c>
      <c r="BN200" s="29" t="s">
        <v>12</v>
      </c>
      <c r="BO200" s="29" t="s">
        <v>26</v>
      </c>
      <c r="BP200" s="29" t="s">
        <v>25</v>
      </c>
      <c r="BQ200" s="29" t="s">
        <v>27</v>
      </c>
      <c r="BR200" s="29" t="s">
        <v>9</v>
      </c>
      <c r="BS200" s="29" t="s">
        <v>23</v>
      </c>
      <c r="BT200" s="29" t="s">
        <v>12</v>
      </c>
      <c r="BU200" s="29" t="s">
        <v>26</v>
      </c>
      <c r="BV200" s="29" t="s">
        <v>25</v>
      </c>
      <c r="BW200" s="29" t="s">
        <v>27</v>
      </c>
      <c r="BX200" s="29" t="s">
        <v>9</v>
      </c>
      <c r="BY200" s="29" t="s">
        <v>23</v>
      </c>
      <c r="BZ200" s="29" t="s">
        <v>12</v>
      </c>
      <c r="CA200" s="29" t="s">
        <v>26</v>
      </c>
      <c r="CB200" s="29" t="s">
        <v>25</v>
      </c>
      <c r="CC200" s="29" t="s">
        <v>27</v>
      </c>
      <c r="CD200" s="29" t="s">
        <v>9</v>
      </c>
      <c r="CE200" s="29" t="s">
        <v>23</v>
      </c>
      <c r="CF200" s="29" t="s">
        <v>12</v>
      </c>
      <c r="CG200" s="29" t="s">
        <v>26</v>
      </c>
      <c r="CH200" s="29" t="s">
        <v>25</v>
      </c>
    </row>
    <row r="201" spans="1:86" x14ac:dyDescent="0.2">
      <c r="A201" s="8" t="str">
        <f>IF(AND(COUNTIF(W$3:W$13,A$15)&gt;0,A$15&lt;&gt;B38),A$15,IFERROR(IF(MATCH(A$15,Z$3:Z$13,0)=8,A$15," ")," "))</f>
        <v xml:space="preserve"> </v>
      </c>
      <c r="B201" s="8" t="str">
        <f>IF(A201=" "," ",1)</f>
        <v xml:space="preserve"> </v>
      </c>
      <c r="C201" s="8" t="str">
        <f>IFERROR(INDEX(A201:A222,MATCH(SMALL(B201:B222,1),B201:B222,0),1)," ")</f>
        <v>C4</v>
      </c>
      <c r="D201" s="8">
        <f>IFERROR(VLOOKUP($C201,$A$15:$O$36,2,FALSE)," ")</f>
        <v>1</v>
      </c>
      <c r="E201" s="8">
        <f>IFERROR(VLOOKUP($C201,$A$15:$O$36,3,FALSE)," ")</f>
        <v>0</v>
      </c>
      <c r="F201" s="8">
        <f>IFERROR(VLOOKUP($C201,$A$15:$O$36,4,FALSE)," ")</f>
        <v>1</v>
      </c>
      <c r="G201" s="8">
        <f>IFERROR(VLOOKUP($C201,$A$15:$O$36,5,FALSE)," ")</f>
        <v>0</v>
      </c>
      <c r="H201" s="8">
        <f>IFERROR(VLOOKUP($C201,$A$15:$O$36,6,FALSE)," ")</f>
        <v>0</v>
      </c>
      <c r="I201" s="8">
        <f>IFERROR(VLOOKUP($C201,$A$15:$O$36,7,FALSE)," ")</f>
        <v>0</v>
      </c>
      <c r="J201" s="8">
        <f>IFERROR(VLOOKUP($C201,$A$15:$O$36,8,FALSE)," ")</f>
        <v>0</v>
      </c>
      <c r="K201" s="8">
        <f>IFERROR(VLOOKUP($C201,$A$15:$O$36,9,FALSE)," ")</f>
        <v>0</v>
      </c>
      <c r="L201" s="8">
        <f>IFERROR(VLOOKUP($C201,$A$15:$O$36,10,FALSE)," ")</f>
        <v>0</v>
      </c>
      <c r="M201" s="8">
        <f>IFERROR(VLOOKUP($C201,$A$15:$O$36,11,FALSE)," ")</f>
        <v>0</v>
      </c>
      <c r="N201" s="8">
        <f>IFERROR(VLOOKUP($C201,$A$15:$O$36,12,FALSE)," ")</f>
        <v>0</v>
      </c>
      <c r="O201" s="8">
        <f>IFERROR(VLOOKUP($C201,$A$15:$O$36,15,FALSE)," ")</f>
        <v>400</v>
      </c>
      <c r="P201" s="8" t="e">
        <f t="array" ref="P201:P211">MMULT(MINVERSE(D201:N211),O201:O211)</f>
        <v>#NUM!</v>
      </c>
      <c r="Q201" s="8" t="e">
        <f t="shared" ref="Q201" si="621">IF(COUNTIF(P201:P211,"&lt;"&amp;-0.001)=0,IF(ABS(P201)&lt;0.001,0,P201)," ")</f>
        <v>#NUM!</v>
      </c>
      <c r="R201" s="8" t="str">
        <f>IFERROR(VLOOKUP(B38,A$15:L$36,2,FALSE)*Q201+VLOOKUP(B38,A$15:L$36,3,FALSE)*Q202+VLOOKUP(B38,A$15:L$36,4,FALSE)*Q203+VLOOKUP(B38,A$15:L$36,5,FALSE)*Q204+VLOOKUP(B38,A$15:L$36,6,FALSE)*Q205+VLOOKUP(B38,A$15:L$36,7,FALSE)*Q206+VLOOKUP(B38,A$15:L$36,8,FALSE)*Q207+VLOOKUP(B38,A$15:L$36,9,FALSE)*Q208+VLOOKUP(B38,A$15:L$36,10,FALSE)*Q209+VLOOKUP(B38,A$15:L$36,11,FALSE)*Q210+VLOOKUP(B38,A$15:L$36,12,FALSE)*Q211," ")</f>
        <v xml:space="preserve"> </v>
      </c>
      <c r="S201" s="8" t="str">
        <f>IFERROR(IF(R201-VLOOKUP(B38,A$15:O$36,15,FALSE)&lt;0,R201-VLOOKUP(B38,A$15:O$36,15,FALSE)," ")," ")</f>
        <v xml:space="preserve"> </v>
      </c>
      <c r="T201" s="18" t="str">
        <f>IFERROR(IF(R201-VLOOKUP(B38,A$15:O$36,15,FALSE)&gt;0,R201-VLOOKUP(B38,A$15:O$36,15,FALSE)," ")," ")</f>
        <v xml:space="preserve"> </v>
      </c>
      <c r="U201" s="8">
        <f t="shared" ref="U201" si="622">$M$2</f>
        <v>100.00000000000001</v>
      </c>
      <c r="V201" s="8">
        <v>-1</v>
      </c>
      <c r="W201" s="8">
        <f t="shared" ref="W201" si="623">-SUMPRODUCT($M$3:$M$12,$N$3:$N$12)</f>
        <v>-105000</v>
      </c>
      <c r="X201" s="8" t="e">
        <f t="shared" ref="X201" si="624">IF(U201&lt;&gt;U202,MMULT(MINVERSE(U201:V202),W201:W202)," ")</f>
        <v>#NUM!</v>
      </c>
      <c r="Y201" s="8" t="str">
        <f t="shared" ref="Y201" si="625">IFERROR(IF(X201-VLOOKUP(U$38,$A$2:$N$12,14,FALSE)&lt;0,X201-VLOOKUP(U$38,$A$2:$N$12,14,FALSE)," ")," ")</f>
        <v xml:space="preserve"> </v>
      </c>
      <c r="Z201" s="8" t="str">
        <f t="shared" ref="Z201" si="626">IFERROR(IF(X201-VLOOKUP(U$38,$A$2:$N$12,14,FALSE)&gt;0,X201-VLOOKUP(U$38,$A$2:$N$12,14,FALSE)," ")," ")</f>
        <v xml:space="preserve"> </v>
      </c>
      <c r="AA201" s="8">
        <f t="shared" ref="AA201" si="627">$M$3</f>
        <v>0</v>
      </c>
      <c r="AB201" s="32">
        <v>-1</v>
      </c>
      <c r="AC201" s="8">
        <f t="shared" ref="AC201" si="628">-SUMPRODUCT($M$2:$M$2,$N$2:$N$2)-SUMPRODUCT($M$4:$M$12,$N$4:$N$12)</f>
        <v>-120000</v>
      </c>
      <c r="AD201" s="8" t="e">
        <f t="shared" ref="AD201" si="629">IF(AA201&lt;&gt;AA202,MMULT(MINVERSE(AA201:AB202),AC201:AC202)," ")</f>
        <v>#NUM!</v>
      </c>
      <c r="AE201" s="8" t="str">
        <f t="shared" ref="AE201" si="630">IFERROR(IF(AD201-VLOOKUP(AA$38,$A$2:$N$12,14,FALSE)&lt;0,AD201-VLOOKUP(AA$38,$A$2:$N$12,14,FALSE)," ")," ")</f>
        <v xml:space="preserve"> </v>
      </c>
      <c r="AF201" s="8" t="str">
        <f t="shared" ref="AF201" si="631">IFERROR(IF(AD201-VLOOKUP(AA$38,$A$2:$N$12,14,FALSE)&gt;0,AD201-VLOOKUP(AA$38,$A$2:$N$12,14,FALSE)," ")," ")</f>
        <v xml:space="preserve"> </v>
      </c>
      <c r="AG201" s="8">
        <f t="shared" ref="AG201" si="632">$M$4</f>
        <v>300</v>
      </c>
      <c r="AH201" s="8">
        <v>-1</v>
      </c>
      <c r="AI201" s="8">
        <f t="shared" ref="AI201" si="633">-SUMPRODUCT($M$2:$M$3,$N$2:$N$3)-SUMPRODUCT($M$5:$M$12,$N$5:$N$12)</f>
        <v>-15000.000000000002</v>
      </c>
      <c r="AJ201" s="8" t="e">
        <f t="shared" ref="AJ201" si="634">IF(AG201&lt;&gt;AG202,MMULT(MINVERSE(AG201:AH202),AI201:AI202)," ")</f>
        <v>#NUM!</v>
      </c>
      <c r="AK201" s="8" t="str">
        <f t="shared" ref="AK201" si="635">IFERROR(IF(AJ201-VLOOKUP(AG$38,$A$2:$N$12,14,FALSE)&lt;0,AJ201-VLOOKUP(AG$38,$A$2:$N$12,14,FALSE)," ")," ")</f>
        <v xml:space="preserve"> </v>
      </c>
      <c r="AL201" s="8" t="str">
        <f t="shared" ref="AL201" si="636">IFERROR(IF(AJ201-VLOOKUP(AG$38,$A$2:$N$12,14,FALSE)&gt;0,AJ201-VLOOKUP(AG$38,$A$2:$N$12,14,FALSE)," ")," ")</f>
        <v xml:space="preserve"> </v>
      </c>
      <c r="AM201" s="8">
        <f t="shared" ref="AM201" si="637">$M$5</f>
        <v>0</v>
      </c>
      <c r="AN201" s="8">
        <v>-1</v>
      </c>
      <c r="AO201" s="8">
        <f t="shared" ref="AO201" si="638">-SUMPRODUCT($M$2:$M$4,$N$2:$N$4)-SUMPRODUCT($M$6:$M$12,$N$6:$N$12)</f>
        <v>-120000</v>
      </c>
      <c r="AP201" s="8" t="e">
        <f t="shared" ref="AP201" si="639">IF(AM201&lt;&gt;AM202,MMULT(MINVERSE(AM201:AN202),AO201:AO202)," ")</f>
        <v>#NUM!</v>
      </c>
      <c r="AQ201" s="8" t="str">
        <f t="shared" ref="AQ201" si="640">IFERROR(IF(AP201-VLOOKUP(AM$38,$A$2:$N$12,14,FALSE)&lt;0,AP201-VLOOKUP(AM$38,$A$2:$N$12,14,FALSE)," ")," ")</f>
        <v xml:space="preserve"> </v>
      </c>
      <c r="AR201" s="8" t="str">
        <f t="shared" ref="AR201" si="641">IFERROR(IF(AP201-VLOOKUP(AM$38,$A$2:$N$12,14,FALSE)&gt;0,AP201-VLOOKUP(AM$38,$A$2:$N$12,14,FALSE)," ")," ")</f>
        <v xml:space="preserve"> </v>
      </c>
      <c r="AS201" s="8">
        <f t="shared" ref="AS201" si="642">$M$6</f>
        <v>0</v>
      </c>
      <c r="AT201" s="8">
        <v>-1</v>
      </c>
      <c r="AU201" s="8">
        <f t="shared" ref="AU201" si="643">-SUMPRODUCT($M$2:$M$5,$N$2:$N$5)-SUMPRODUCT($M$7:$M$12,$N$7:$N$12)</f>
        <v>-120000</v>
      </c>
      <c r="AV201" s="8" t="e">
        <f t="shared" ref="AV201" si="644">IF(AS201&lt;&gt;AS202,MMULT(MINVERSE(AS201:AT202),AU201:AU202)," ")</f>
        <v>#NUM!</v>
      </c>
      <c r="AW201" s="8" t="str">
        <f t="shared" ref="AW201" si="645">IFERROR(IF(AV201-VLOOKUP(AS$38,$A$2:$N$12,14,FALSE)&lt;0,AV201-VLOOKUP(AS$38,$A$2:$N$12,14,FALSE)," ")," ")</f>
        <v xml:space="preserve"> </v>
      </c>
      <c r="AX201" s="8" t="str">
        <f t="shared" ref="AX201" si="646">IFERROR(IF(AV201-VLOOKUP(AS$38,$A$2:$N$12,14,FALSE)&gt;0,AV201-VLOOKUP(AS$38,$A$2:$N$12,14,FALSE)," ")," ")</f>
        <v xml:space="preserve"> </v>
      </c>
      <c r="AY201" s="8">
        <f t="shared" ref="AY201" si="647">$M$7</f>
        <v>0</v>
      </c>
      <c r="AZ201" s="8">
        <v>-1</v>
      </c>
      <c r="BA201" s="8">
        <f t="shared" ref="BA201" si="648">-SUMPRODUCT($M$2:$M$6,$N$2:$N$6)-SUMPRODUCT($M$8:$M$12,$N$8:$N$12)</f>
        <v>-120000</v>
      </c>
      <c r="BB201" s="8" t="e">
        <f t="shared" ref="BB201" si="649">IF(AY201&lt;&gt;AY202,MMULT(MINVERSE(AY201:AZ202),BA201:BA202)," ")</f>
        <v>#NUM!</v>
      </c>
      <c r="BC201" s="8" t="str">
        <f t="shared" ref="BC201" si="650">IFERROR(IF(BB201-VLOOKUP(AY$38,$A$2:$N$12,14,FALSE)&lt;0,BB201-VLOOKUP(AY$38,$A$2:$N$12,14,FALSE)," ")," ")</f>
        <v xml:space="preserve"> </v>
      </c>
      <c r="BD201" s="8" t="str">
        <f t="shared" ref="BD201" si="651">IFERROR(IF(BB201-VLOOKUP(AY$38,$A$2:$N$12,14,FALSE)&gt;0,BB201-VLOOKUP(AY$38,$A$2:$N$12,14,FALSE)," ")," ")</f>
        <v xml:space="preserve"> </v>
      </c>
      <c r="BE201" s="8">
        <f t="shared" ref="BE201" si="652">$M$8</f>
        <v>0</v>
      </c>
      <c r="BF201" s="8">
        <v>-1</v>
      </c>
      <c r="BG201" s="8">
        <f t="shared" ref="BG201" si="653">-SUMPRODUCT($M$2:$M$7,$N$2:$N$7)-SUMPRODUCT($M$9:$M$12,$N$9:$N$12)</f>
        <v>-120000</v>
      </c>
      <c r="BH201" s="8" t="e">
        <f t="shared" ref="BH201" si="654">IF(BE201&lt;&gt;BE202,MMULT(MINVERSE(BE201:BF202),BG201:BG202)," ")</f>
        <v>#NUM!</v>
      </c>
      <c r="BI201" s="8" t="str">
        <f t="shared" ref="BI201" si="655">IFERROR(IF(BH201-VLOOKUP(BE$38,$A$2:$N$12,14,FALSE)&lt;0,BH201-VLOOKUP(BE$38,$A$2:$N$12,14,FALSE)," ")," ")</f>
        <v xml:space="preserve"> </v>
      </c>
      <c r="BJ201" s="8" t="str">
        <f t="shared" ref="BJ201" si="656">IFERROR(IF(BH201-VLOOKUP(BE$38,$A$2:$N$12,14,FALSE)&gt;0,BH201-VLOOKUP(BE$38,$A$2:$N$12,14,FALSE)," ")," ")</f>
        <v xml:space="preserve"> </v>
      </c>
      <c r="BK201" s="8">
        <f t="shared" ref="BK201" si="657">$M$9</f>
        <v>0</v>
      </c>
      <c r="BL201" s="8">
        <v>-1</v>
      </c>
      <c r="BM201" s="8">
        <f t="shared" ref="BM201" si="658">-SUMPRODUCT($M$2:$M$8,$N$2:$N$8)-SUMPRODUCT($M$10:$M$12,$N$10:$N$12)</f>
        <v>-120000</v>
      </c>
      <c r="BN201" s="8" t="e">
        <f t="shared" ref="BN201" si="659">IF(BK201&lt;&gt;BK202,MMULT(MINVERSE(BK201:BL202),BM201:BM202)," ")</f>
        <v>#NUM!</v>
      </c>
      <c r="BO201" s="8" t="str">
        <f t="shared" ref="BO201" si="660">IFERROR(IF(BN201-VLOOKUP(BK$38,$A$2:$N$12,14,FALSE)&lt;0,BN201-VLOOKUP(BK$38,$A$2:$N$12,14,FALSE)," ")," ")</f>
        <v xml:space="preserve"> </v>
      </c>
      <c r="BP201" s="8" t="str">
        <f t="shared" ref="BP201" si="661">IFERROR(IF(BN201-VLOOKUP(BK$38,$A$2:$N$12,14,FALSE)&gt;0,BN201-VLOOKUP(BK$38,$A$2:$N$12,14,FALSE)," ")," ")</f>
        <v xml:space="preserve"> </v>
      </c>
      <c r="BQ201" s="8">
        <f t="shared" ref="BQ201" si="662">$M$10</f>
        <v>0</v>
      </c>
      <c r="BR201" s="8">
        <v>-1</v>
      </c>
      <c r="BS201" s="8">
        <f t="shared" ref="BS201" si="663">-SUMPRODUCT($M$2:$M$9,$N$2:$N$9)-SUMPRODUCT($M$11:$M$12,$N$11:$N$12)</f>
        <v>-120000</v>
      </c>
      <c r="BT201" s="8" t="e">
        <f t="shared" ref="BT201" si="664">IF(BQ201&lt;&gt;BQ202,MMULT(MINVERSE(BQ201:BR202),BS201:BS202)," ")</f>
        <v>#NUM!</v>
      </c>
      <c r="BU201" s="8" t="str">
        <f t="shared" ref="BU201" si="665">IFERROR(IF(BT201-VLOOKUP(BQ$38,$A$2:$N$12,14,FALSE)&lt;0,BT201-VLOOKUP(BQ$38,$A$2:$N$12,14,FALSE)," ")," ")</f>
        <v xml:space="preserve"> </v>
      </c>
      <c r="BV201" s="8" t="str">
        <f t="shared" ref="BV201" si="666">IFERROR(IF(BT201-VLOOKUP(BQ$38,$A$2:$N$12,14,FALSE)&gt;0,BT201-VLOOKUP(BQ$38,$A$2:$N$12,14,FALSE)," ")," ")</f>
        <v xml:space="preserve"> </v>
      </c>
      <c r="BW201" s="8">
        <f t="shared" ref="BW201" si="667">$M$11</f>
        <v>0</v>
      </c>
      <c r="BX201" s="8">
        <v>-1</v>
      </c>
      <c r="BY201" s="8">
        <f t="shared" ref="BY201" si="668">-SUMPRODUCT($M$2:$M$10,$N$2:$N$10)-SUMPRODUCT($M$12,$N$12)</f>
        <v>-120000</v>
      </c>
      <c r="BZ201" s="8" t="e">
        <f t="shared" ref="BZ201" si="669">IF(BW201&lt;&gt;BW202,MMULT(MINVERSE(BW201:BX202),BY201:BY202)," ")</f>
        <v>#NUM!</v>
      </c>
      <c r="CA201" s="8" t="str">
        <f t="shared" ref="CA201" si="670">IFERROR(IF(BZ201-VLOOKUP(BW$38,$A$2:$N$12,14,FALSE)&lt;0,BZ201-VLOOKUP(BW$38,$A$2:$N$12,14,FALSE)," ")," ")</f>
        <v xml:space="preserve"> </v>
      </c>
      <c r="CB201" s="8" t="str">
        <f t="shared" ref="CB201" si="671">IFERROR(IF(BZ201-VLOOKUP(BW$38,$A$2:$N$12,14,FALSE)&gt;0,BZ201-VLOOKUP(BW$38,$A$2:$N$12,14,FALSE)," ")," ")</f>
        <v xml:space="preserve"> </v>
      </c>
      <c r="CC201" s="8">
        <f t="shared" ref="CC201" si="672">$M$12</f>
        <v>0</v>
      </c>
      <c r="CD201" s="8">
        <v>-1</v>
      </c>
      <c r="CE201" s="8">
        <f t="shared" ref="CE201" si="673">-SUMPRODUCT($M$2:$M$11,$N$2:$N$11)</f>
        <v>-120000</v>
      </c>
      <c r="CF201" s="8" t="e">
        <f t="shared" ref="CF201" si="674">IF(CC201&lt;&gt;CC202,MMULT(MINVERSE(CC201:CD202),CE201:CE202)," ")</f>
        <v>#NUM!</v>
      </c>
      <c r="CG201" s="8" t="str">
        <f t="shared" ref="CG201" si="675">IFERROR(IF(CF201-VLOOKUP(CC$38,$A$2:$N$12,14,FALSE)&lt;0,CF201-VLOOKUP(CC$38,$A$2:$N$12,14,FALSE)," ")," ")</f>
        <v xml:space="preserve"> </v>
      </c>
      <c r="CH201" s="8" t="str">
        <f t="shared" ref="CH201" si="676">IFERROR(IF(CF201-VLOOKUP(CC$38,$A$2:$N$12,14,FALSE)&gt;0,CF201-VLOOKUP(CC$38,$A$2:$N$12,14,FALSE)," ")," ")</f>
        <v xml:space="preserve"> </v>
      </c>
    </row>
    <row r="202" spans="1:86" x14ac:dyDescent="0.2">
      <c r="A202" s="8" t="str">
        <f>IF(AND(COUNTIF(W$3:W$13,A$16)&gt;0,A$16&lt;&gt;B38),A$16,IFERROR(IF(MATCH(A$16,Z$3:Z$13,0)=8,A$16," ")," "))</f>
        <v xml:space="preserve"> </v>
      </c>
      <c r="B202" s="8" t="str">
        <f>IF(A202=" "," ",MAX(B201:B201)+1)</f>
        <v xml:space="preserve"> </v>
      </c>
      <c r="C202" s="8" t="str">
        <f>IFERROR(INDEX(A201:A222,MATCH(SMALL(B201:B222,2),B201:B222,0),1)," ")</f>
        <v>C10</v>
      </c>
      <c r="D202" s="8">
        <f t="shared" ref="D202:D211" si="677">IFERROR(VLOOKUP($C202,$A$15:$O$36,2,FALSE)," ")</f>
        <v>0</v>
      </c>
      <c r="E202" s="8">
        <f t="shared" ref="E202:E211" si="678">IFERROR(VLOOKUP($C202,$A$15:$O$36,3,FALSE)," ")</f>
        <v>0</v>
      </c>
      <c r="F202" s="8">
        <f t="shared" ref="F202:F211" si="679">IFERROR(VLOOKUP($C202,$A$15:$O$36,4,FALSE)," ")</f>
        <v>0</v>
      </c>
      <c r="G202" s="8">
        <f t="shared" ref="G202:G211" si="680">IFERROR(VLOOKUP($C202,$A$15:$O$36,5,FALSE)," ")</f>
        <v>0</v>
      </c>
      <c r="H202" s="8">
        <f t="shared" ref="H202:H211" si="681">IFERROR(VLOOKUP($C202,$A$15:$O$36,6,FALSE)," ")</f>
        <v>0</v>
      </c>
      <c r="I202" s="8">
        <f t="shared" ref="I202:I211" si="682">IFERROR(VLOOKUP($C202,$A$15:$O$36,7,FALSE)," ")</f>
        <v>0</v>
      </c>
      <c r="J202" s="8">
        <f t="shared" ref="J202:J211" si="683">IFERROR(VLOOKUP($C202,$A$15:$O$36,8,FALSE)," ")</f>
        <v>0</v>
      </c>
      <c r="K202" s="8">
        <f t="shared" ref="K202:K211" si="684">IFERROR(VLOOKUP($C202,$A$15:$O$36,9,FALSE)," ")</f>
        <v>0</v>
      </c>
      <c r="L202" s="8">
        <f t="shared" ref="L202:L211" si="685">IFERROR(VLOOKUP($C202,$A$15:$O$36,10,FALSE)," ")</f>
        <v>0</v>
      </c>
      <c r="M202" s="8">
        <f t="shared" ref="M202:M211" si="686">IFERROR(VLOOKUP($C202,$A$15:$O$36,11,FALSE)," ")</f>
        <v>0</v>
      </c>
      <c r="N202" s="8">
        <f t="shared" ref="N202:N211" si="687">IFERROR(VLOOKUP($C202,$A$15:$O$36,12,FALSE)," ")</f>
        <v>0</v>
      </c>
      <c r="O202" s="8">
        <f t="shared" ref="O202:O211" si="688">IFERROR(VLOOKUP($C202,$A$15:$O$36,15,FALSE)," ")</f>
        <v>0</v>
      </c>
      <c r="P202" s="8" t="e">
        <v>#NUM!</v>
      </c>
      <c r="Q202" s="8" t="e">
        <f t="shared" ref="Q202" si="689">IF(COUNTIF(P201:P211,"&lt;"&amp;-0.001)=0,IF(ABS(P202)&lt;0.001,0,P202)," ")</f>
        <v>#NUM!</v>
      </c>
      <c r="R202" s="8"/>
      <c r="S202" s="8"/>
      <c r="U202" s="8" t="e">
        <f t="shared" ref="U202" si="690">$Q201</f>
        <v>#NUM!</v>
      </c>
      <c r="V202" s="8">
        <v>-1</v>
      </c>
      <c r="W202" s="8" t="e">
        <f t="shared" ref="W202" si="691">-SUMPRODUCT($Q202:$Q211,$N$3:$N$12)</f>
        <v>#NUM!</v>
      </c>
      <c r="X202" s="8"/>
      <c r="Y202" s="8"/>
      <c r="Z202" s="8"/>
      <c r="AA202" s="8" t="e">
        <f t="shared" ref="AA202" si="692">$Q202</f>
        <v>#NUM!</v>
      </c>
      <c r="AB202" s="32">
        <v>-1</v>
      </c>
      <c r="AC202" s="8" t="e">
        <f t="shared" ref="AC202" si="693">-SUMPRODUCT($Q201:$Q201,$N$2:$N$2)-SUMPRODUCT($Q203:$Q211,$N$4:$N$12)</f>
        <v>#NUM!</v>
      </c>
      <c r="AD202" s="8"/>
      <c r="AE202" s="8"/>
      <c r="AF202" s="8"/>
      <c r="AG202" s="8" t="e">
        <f t="shared" ref="AG202" si="694">$Q203</f>
        <v>#NUM!</v>
      </c>
      <c r="AH202" s="8">
        <v>-1</v>
      </c>
      <c r="AI202" s="8" t="e">
        <f t="shared" ref="AI202" si="695">-SUMPRODUCT($Q201:$Q202,$N$2:$N$3)-SUMPRODUCT($Q204:$Q211,$N$5:$N$12)</f>
        <v>#NUM!</v>
      </c>
      <c r="AJ202" s="8"/>
      <c r="AK202" s="8"/>
      <c r="AL202" s="8"/>
      <c r="AM202" s="8" t="e">
        <f t="shared" ref="AM202" si="696">$Q204</f>
        <v>#NUM!</v>
      </c>
      <c r="AN202" s="8">
        <v>-1</v>
      </c>
      <c r="AO202" s="8" t="e">
        <f t="shared" ref="AO202" si="697">-SUMPRODUCT($Q201:$Q203,$N$2:$N$4)-SUMPRODUCT($Q205:$Q211,$N$6:$N$12)</f>
        <v>#NUM!</v>
      </c>
      <c r="AP202" s="8"/>
      <c r="AQ202" s="8"/>
      <c r="AR202" s="8"/>
      <c r="AS202" s="8" t="e">
        <f t="shared" ref="AS202" si="698">$Q205</f>
        <v>#NUM!</v>
      </c>
      <c r="AT202" s="8">
        <v>-1</v>
      </c>
      <c r="AU202" s="8" t="e">
        <f t="shared" ref="AU202" si="699">-SUMPRODUCT($Q201:$Q204,$N$2:$N$5)-SUMPRODUCT($Q206:$Q211,$N$7:$N$12)</f>
        <v>#NUM!</v>
      </c>
      <c r="AV202" s="8"/>
      <c r="AW202" s="8"/>
      <c r="AX202" s="8"/>
      <c r="AY202" s="8" t="e">
        <f t="shared" ref="AY202" si="700">$Q206</f>
        <v>#NUM!</v>
      </c>
      <c r="AZ202" s="8">
        <v>-1</v>
      </c>
      <c r="BA202" s="8" t="e">
        <f t="shared" ref="BA202" si="701">-SUMPRODUCT($Q201:$Q205,$N$2:$N$6)-SUMPRODUCT($Q207:$Q211,$N$8:$N$12)</f>
        <v>#NUM!</v>
      </c>
      <c r="BB202" s="8"/>
      <c r="BC202" s="8"/>
      <c r="BD202" s="8"/>
      <c r="BE202" s="8" t="e">
        <f t="shared" ref="BE202" si="702">$Q207</f>
        <v>#NUM!</v>
      </c>
      <c r="BF202" s="8">
        <v>-1</v>
      </c>
      <c r="BG202" s="8" t="e">
        <f t="shared" ref="BG202" si="703">-SUMPRODUCT($Q201:$Q206,$N$2:$N$7)-SUMPRODUCT($Q208:$Q211,$N$9:$N$12)</f>
        <v>#NUM!</v>
      </c>
      <c r="BH202" s="8"/>
      <c r="BI202" s="8"/>
      <c r="BJ202" s="8"/>
      <c r="BK202" s="8" t="e">
        <f t="shared" ref="BK202" si="704">$Q208</f>
        <v>#NUM!</v>
      </c>
      <c r="BL202" s="8">
        <v>-1</v>
      </c>
      <c r="BM202" s="8" t="e">
        <f t="shared" ref="BM202" si="705">-SUMPRODUCT($Q201:$Q207,$N$2:$N$8)-SUMPRODUCT($Q209:$Q211,$N$10:$N$12)</f>
        <v>#NUM!</v>
      </c>
      <c r="BN202" s="8"/>
      <c r="BO202" s="8"/>
      <c r="BP202" s="8"/>
      <c r="BQ202" s="8" t="e">
        <f t="shared" ref="BQ202" si="706">$Q209</f>
        <v>#NUM!</v>
      </c>
      <c r="BR202" s="8">
        <v>-1</v>
      </c>
      <c r="BS202" s="8" t="e">
        <f t="shared" ref="BS202" si="707">-SUMPRODUCT($Q201:$Q208,$N$2:$N$9)-SUMPRODUCT($Q210:$Q211,$N$11:$N$12)</f>
        <v>#NUM!</v>
      </c>
      <c r="BT202" s="8"/>
      <c r="BU202" s="8"/>
      <c r="BV202" s="8"/>
      <c r="BW202" s="8" t="e">
        <f t="shared" ref="BW202" si="708">$Q210</f>
        <v>#NUM!</v>
      </c>
      <c r="BX202" s="8">
        <v>-1</v>
      </c>
      <c r="BY202" s="8" t="e">
        <f t="shared" ref="BY202" si="709">-SUMPRODUCT($Q201:$Q209,$N$2:$N$10)-SUMPRODUCT($Q211,$N$12)</f>
        <v>#NUM!</v>
      </c>
      <c r="BZ202" s="8"/>
      <c r="CA202" s="8"/>
      <c r="CB202" s="8"/>
      <c r="CC202" s="8" t="e">
        <f t="shared" ref="CC202" si="710">$Q211</f>
        <v>#NUM!</v>
      </c>
      <c r="CD202" s="8">
        <v>-1</v>
      </c>
      <c r="CE202" s="8" t="e">
        <f t="shared" ref="CE202" si="711">-SUMPRODUCT($Q201:$Q210,$N$2:$N$11)</f>
        <v>#NUM!</v>
      </c>
      <c r="CF202" s="8"/>
      <c r="CG202" s="8"/>
      <c r="CH202" s="8"/>
    </row>
    <row r="203" spans="1:86" x14ac:dyDescent="0.2">
      <c r="A203" s="8" t="str">
        <f>IF(AND(COUNTIF(W$3:W$13,A$17)&gt;0,A$17&lt;&gt;B38),A$17,IFERROR(IF(MATCH(A$17,Z$3:Z$13,0)=8,A$17," ")," "))</f>
        <v xml:space="preserve"> </v>
      </c>
      <c r="B203" s="8" t="str">
        <f>IF(A203=" "," ",MAX(B201:B202)+1)</f>
        <v xml:space="preserve"> </v>
      </c>
      <c r="C203" s="8" t="str">
        <f>IFERROR(INDEX(A201:A222,MATCH(SMALL(B201:B222,3),B201:B222,0),1)," ")</f>
        <v>C13</v>
      </c>
      <c r="D203" s="8">
        <f t="shared" si="677"/>
        <v>0</v>
      </c>
      <c r="E203" s="8">
        <f t="shared" si="678"/>
        <v>1</v>
      </c>
      <c r="F203" s="8">
        <f t="shared" si="679"/>
        <v>0</v>
      </c>
      <c r="G203" s="8">
        <f t="shared" si="680"/>
        <v>0</v>
      </c>
      <c r="H203" s="8">
        <f t="shared" si="681"/>
        <v>0</v>
      </c>
      <c r="I203" s="8">
        <f t="shared" si="682"/>
        <v>0</v>
      </c>
      <c r="J203" s="8">
        <f t="shared" si="683"/>
        <v>0</v>
      </c>
      <c r="K203" s="8">
        <f t="shared" si="684"/>
        <v>0</v>
      </c>
      <c r="L203" s="8">
        <f t="shared" si="685"/>
        <v>0</v>
      </c>
      <c r="M203" s="8">
        <f t="shared" si="686"/>
        <v>0</v>
      </c>
      <c r="N203" s="8">
        <f t="shared" si="687"/>
        <v>0</v>
      </c>
      <c r="O203" s="8">
        <f t="shared" si="688"/>
        <v>0</v>
      </c>
      <c r="P203" s="8" t="e">
        <v>#NUM!</v>
      </c>
      <c r="Q203" s="8" t="e">
        <f t="shared" ref="Q203" si="712">IF(COUNTIF(P201:P211,"&lt;"&amp;-0.001)=0,IF(ABS(P203)&lt;0.001,0,P203)," ")</f>
        <v>#NUM!</v>
      </c>
      <c r="R203" s="8"/>
      <c r="S203" s="8"/>
      <c r="U203" s="8"/>
      <c r="V203" s="8"/>
      <c r="W203" s="8"/>
      <c r="X203" s="8"/>
      <c r="Y203" s="8"/>
      <c r="Z203" s="8"/>
      <c r="AA203" s="8"/>
      <c r="AC203" s="8"/>
      <c r="AD203" s="8"/>
      <c r="AE203" s="8"/>
      <c r="AF203" s="8"/>
      <c r="AG203" s="8"/>
      <c r="AH203" s="8"/>
      <c r="AI203" s="8"/>
      <c r="AJ203" s="8"/>
      <c r="AK203" s="8"/>
      <c r="AL203" s="8"/>
      <c r="AM203" s="8"/>
      <c r="AN203" s="8"/>
      <c r="AO203" s="8"/>
      <c r="AP203" s="8"/>
      <c r="AQ203" s="8"/>
      <c r="AR203" s="8"/>
      <c r="AS203" s="8"/>
      <c r="AT203" s="8"/>
      <c r="AU203" s="8"/>
      <c r="AV203" s="8"/>
      <c r="AW203" s="8"/>
      <c r="AX203" s="8"/>
      <c r="AY203" s="8"/>
      <c r="AZ203" s="8"/>
      <c r="BA203" s="8"/>
      <c r="BB203" s="8"/>
      <c r="BC203" s="8"/>
      <c r="BD203" s="8"/>
      <c r="BE203" s="8"/>
      <c r="BF203" s="8"/>
      <c r="BG203" s="8"/>
      <c r="BH203" s="8"/>
      <c r="BI203" s="8"/>
      <c r="BJ203" s="8"/>
      <c r="BK203" s="8"/>
      <c r="BL203" s="8"/>
      <c r="BM203" s="8"/>
      <c r="BN203" s="8"/>
      <c r="BO203" s="8"/>
      <c r="BP203" s="8"/>
      <c r="BQ203" s="8"/>
      <c r="BR203" s="8"/>
      <c r="BS203" s="8"/>
      <c r="BT203" s="8"/>
      <c r="BU203" s="8"/>
      <c r="BV203" s="8"/>
      <c r="BW203" s="8"/>
      <c r="BX203" s="8"/>
      <c r="BY203" s="8"/>
      <c r="BZ203" s="8"/>
      <c r="CA203" s="8"/>
      <c r="CB203" s="8"/>
      <c r="CC203" s="8"/>
      <c r="CD203" s="8"/>
      <c r="CE203" s="8"/>
      <c r="CF203" s="8"/>
      <c r="CG203" s="8"/>
      <c r="CH203" s="8"/>
    </row>
    <row r="204" spans="1:86" x14ac:dyDescent="0.2">
      <c r="A204" s="8" t="str">
        <f>IF(AND(COUNTIF(W$3:W$13,A$18)&gt;0,A$18&lt;&gt;B38),A$18,IFERROR(IF(MATCH(A$18,Z$3:Z$13,0)=8,A$18," ")," "))</f>
        <v>C4</v>
      </c>
      <c r="B204" s="8">
        <f>IF(A204=" "," ",MAX(B201:B203)+1)</f>
        <v>1</v>
      </c>
      <c r="C204" s="8" t="str">
        <f>IFERROR(INDEX(A201:A222,MATCH(SMALL(B201:B222,4),B201:B222,0),1)," ")</f>
        <v>C15</v>
      </c>
      <c r="D204" s="8">
        <f t="shared" si="677"/>
        <v>0</v>
      </c>
      <c r="E204" s="8">
        <f t="shared" si="678"/>
        <v>0</v>
      </c>
      <c r="F204" s="8">
        <f t="shared" si="679"/>
        <v>0</v>
      </c>
      <c r="G204" s="8">
        <f t="shared" si="680"/>
        <v>1</v>
      </c>
      <c r="H204" s="8">
        <f t="shared" si="681"/>
        <v>0</v>
      </c>
      <c r="I204" s="8">
        <f t="shared" si="682"/>
        <v>0</v>
      </c>
      <c r="J204" s="8">
        <f t="shared" si="683"/>
        <v>0</v>
      </c>
      <c r="K204" s="8">
        <f t="shared" si="684"/>
        <v>0</v>
      </c>
      <c r="L204" s="8">
        <f t="shared" si="685"/>
        <v>0</v>
      </c>
      <c r="M204" s="8">
        <f t="shared" si="686"/>
        <v>0</v>
      </c>
      <c r="N204" s="8">
        <f t="shared" si="687"/>
        <v>0</v>
      </c>
      <c r="O204" s="8">
        <f t="shared" si="688"/>
        <v>0</v>
      </c>
      <c r="P204" s="8" t="e">
        <v>#NUM!</v>
      </c>
      <c r="Q204" s="8" t="e">
        <f t="shared" ref="Q204" si="713">IF(COUNTIF(P201:P211,"&lt;"&amp;-0.001)=0,IF(ABS(P204)&lt;0.001,0,P204)," ")</f>
        <v>#NUM!</v>
      </c>
      <c r="R204" s="8"/>
      <c r="S204" s="8"/>
      <c r="U204" s="8"/>
      <c r="V204" s="8"/>
      <c r="W204" s="8"/>
      <c r="X204" s="8"/>
      <c r="Y204" s="8"/>
      <c r="Z204" s="8"/>
      <c r="AA204" s="8"/>
      <c r="AC204" s="8"/>
      <c r="AD204" s="8"/>
      <c r="AE204" s="8"/>
      <c r="AF204" s="8"/>
      <c r="AG204" s="8"/>
      <c r="AH204" s="8"/>
      <c r="AI204" s="8"/>
      <c r="AJ204" s="8"/>
      <c r="AK204" s="8"/>
      <c r="AL204" s="8"/>
      <c r="AM204" s="8"/>
      <c r="AN204" s="8"/>
      <c r="AO204" s="8"/>
      <c r="AP204" s="8"/>
      <c r="AQ204" s="8"/>
      <c r="AR204" s="8"/>
      <c r="AS204" s="8"/>
      <c r="AT204" s="8"/>
      <c r="AU204" s="8"/>
      <c r="AV204" s="8"/>
      <c r="AW204" s="8"/>
      <c r="AX204" s="8"/>
      <c r="AY204" s="8"/>
      <c r="AZ204" s="8"/>
      <c r="BA204" s="8"/>
      <c r="BB204" s="8"/>
      <c r="BC204" s="8"/>
      <c r="BD204" s="8"/>
      <c r="BE204" s="8"/>
      <c r="BF204" s="8"/>
      <c r="BG204" s="8"/>
      <c r="BH204" s="8"/>
      <c r="BI204" s="8"/>
      <c r="BJ204" s="8"/>
      <c r="BK204" s="8"/>
      <c r="BL204" s="8"/>
      <c r="BM204" s="8"/>
      <c r="BN204" s="8"/>
      <c r="BO204" s="8"/>
      <c r="BP204" s="8"/>
      <c r="BQ204" s="8"/>
      <c r="BR204" s="8"/>
      <c r="BS204" s="8"/>
      <c r="BT204" s="8"/>
      <c r="BU204" s="8"/>
      <c r="BV204" s="8"/>
      <c r="BW204" s="8"/>
      <c r="BX204" s="8"/>
      <c r="BY204" s="8"/>
      <c r="BZ204" s="8"/>
      <c r="CA204" s="8"/>
      <c r="CB204" s="8"/>
      <c r="CC204" s="8"/>
      <c r="CD204" s="8"/>
      <c r="CE204" s="8"/>
      <c r="CF204" s="8"/>
      <c r="CG204" s="8"/>
      <c r="CH204" s="8"/>
    </row>
    <row r="205" spans="1:86" x14ac:dyDescent="0.2">
      <c r="A205" s="8" t="str">
        <f>IF(AND(COUNTIF(W$3:W$13,A$19)&gt;0,A$19&lt;&gt;B38),A$19,IFERROR(IF(MATCH(A$19,Z$3:Z$13,0)=8,A$19," ")," "))</f>
        <v xml:space="preserve"> </v>
      </c>
      <c r="B205" s="8" t="str">
        <f>IF(A205=" "," ",MAX(B201:B204)+1)</f>
        <v xml:space="preserve"> </v>
      </c>
      <c r="C205" s="8" t="str">
        <f>IFERROR(INDEX(A201:A222,MATCH(SMALL(B201:B222,5),B201:B222,0),1)," ")</f>
        <v>C16</v>
      </c>
      <c r="D205" s="8">
        <f t="shared" si="677"/>
        <v>0</v>
      </c>
      <c r="E205" s="8">
        <f t="shared" si="678"/>
        <v>0</v>
      </c>
      <c r="F205" s="8">
        <f t="shared" si="679"/>
        <v>0</v>
      </c>
      <c r="G205" s="8">
        <f t="shared" si="680"/>
        <v>0</v>
      </c>
      <c r="H205" s="8">
        <f t="shared" si="681"/>
        <v>1</v>
      </c>
      <c r="I205" s="8">
        <f t="shared" si="682"/>
        <v>0</v>
      </c>
      <c r="J205" s="8">
        <f t="shared" si="683"/>
        <v>0</v>
      </c>
      <c r="K205" s="8">
        <f t="shared" si="684"/>
        <v>0</v>
      </c>
      <c r="L205" s="8">
        <f t="shared" si="685"/>
        <v>0</v>
      </c>
      <c r="M205" s="8">
        <f t="shared" si="686"/>
        <v>0</v>
      </c>
      <c r="N205" s="8">
        <f t="shared" si="687"/>
        <v>0</v>
      </c>
      <c r="O205" s="8">
        <f t="shared" si="688"/>
        <v>0</v>
      </c>
      <c r="P205" s="8" t="e">
        <v>#NUM!</v>
      </c>
      <c r="Q205" s="8" t="e">
        <f t="shared" ref="Q205" si="714">IF(COUNTIF(P201:P211,"&lt;"&amp;-0.001)=0,IF(ABS(P205)&lt;0.001,0,P205)," ")</f>
        <v>#NUM!</v>
      </c>
      <c r="R205" s="8"/>
      <c r="S205" s="8"/>
      <c r="U205" s="8"/>
      <c r="V205" s="8"/>
      <c r="W205" s="8"/>
      <c r="X205" s="8"/>
      <c r="Y205" s="8"/>
      <c r="Z205" s="8"/>
      <c r="AA205" s="8"/>
      <c r="AC205" s="8"/>
      <c r="AD205" s="8"/>
      <c r="AE205" s="8"/>
      <c r="AF205" s="8"/>
      <c r="AG205" s="8"/>
      <c r="AH205" s="8"/>
      <c r="AI205" s="8"/>
      <c r="AJ205" s="8"/>
      <c r="AK205" s="8"/>
      <c r="AL205" s="8"/>
      <c r="AM205" s="8"/>
      <c r="AN205" s="8"/>
      <c r="AO205" s="8"/>
      <c r="AP205" s="8"/>
      <c r="AQ205" s="8"/>
      <c r="AR205" s="8"/>
      <c r="AS205" s="8"/>
      <c r="AT205" s="8"/>
      <c r="AU205" s="8"/>
      <c r="AV205" s="8"/>
      <c r="AW205" s="8"/>
      <c r="AX205" s="8"/>
      <c r="AY205" s="8"/>
      <c r="AZ205" s="8"/>
      <c r="BA205" s="8"/>
      <c r="BB205" s="8"/>
      <c r="BC205" s="8"/>
      <c r="BD205" s="8"/>
      <c r="BE205" s="8"/>
      <c r="BF205" s="8"/>
      <c r="BG205" s="8"/>
      <c r="BH205" s="8"/>
      <c r="BI205" s="8"/>
      <c r="BJ205" s="8"/>
      <c r="BK205" s="8"/>
      <c r="BL205" s="8"/>
      <c r="BM205" s="8"/>
      <c r="BN205" s="8"/>
      <c r="BO205" s="8"/>
      <c r="BP205" s="8"/>
      <c r="BQ205" s="8"/>
      <c r="BR205" s="8"/>
      <c r="BS205" s="8"/>
      <c r="BT205" s="8"/>
      <c r="BU205" s="8"/>
      <c r="BV205" s="8"/>
      <c r="BW205" s="8"/>
      <c r="BX205" s="8"/>
      <c r="BY205" s="8"/>
      <c r="BZ205" s="8"/>
      <c r="CA205" s="8"/>
      <c r="CB205" s="8"/>
      <c r="CC205" s="8"/>
      <c r="CD205" s="8"/>
      <c r="CE205" s="8"/>
      <c r="CF205" s="8"/>
      <c r="CG205" s="8"/>
      <c r="CH205" s="8"/>
    </row>
    <row r="206" spans="1:86" x14ac:dyDescent="0.2">
      <c r="A206" s="8" t="str">
        <f>IF(AND(COUNTIF(W$3:W$13,A$20)&gt;0,A$20&lt;&gt;B38),A$20,IFERROR(IF(MATCH(A$20,Z$3:Z$13,0)=8,A$20," ")," "))</f>
        <v xml:space="preserve"> </v>
      </c>
      <c r="B206" s="8" t="str">
        <f>IF(A206=" "," ",MAX(B201:B205)+1)</f>
        <v xml:space="preserve"> </v>
      </c>
      <c r="C206" s="8" t="str">
        <f>IFERROR(INDEX(A201:A222,MATCH(SMALL(B201:B222,6),B201:B222,0),1)," ")</f>
        <v>C17</v>
      </c>
      <c r="D206" s="8">
        <f t="shared" si="677"/>
        <v>0</v>
      </c>
      <c r="E206" s="8">
        <f t="shared" si="678"/>
        <v>0</v>
      </c>
      <c r="F206" s="8">
        <f t="shared" si="679"/>
        <v>0</v>
      </c>
      <c r="G206" s="8">
        <f t="shared" si="680"/>
        <v>0</v>
      </c>
      <c r="H206" s="8">
        <f t="shared" si="681"/>
        <v>0</v>
      </c>
      <c r="I206" s="8">
        <f t="shared" si="682"/>
        <v>1</v>
      </c>
      <c r="J206" s="8">
        <f t="shared" si="683"/>
        <v>0</v>
      </c>
      <c r="K206" s="8">
        <f t="shared" si="684"/>
        <v>0</v>
      </c>
      <c r="L206" s="8">
        <f t="shared" si="685"/>
        <v>0</v>
      </c>
      <c r="M206" s="8">
        <f t="shared" si="686"/>
        <v>0</v>
      </c>
      <c r="N206" s="8">
        <f t="shared" si="687"/>
        <v>0</v>
      </c>
      <c r="O206" s="8">
        <f t="shared" si="688"/>
        <v>0</v>
      </c>
      <c r="P206" s="8" t="e">
        <v>#NUM!</v>
      </c>
      <c r="Q206" s="8" t="e">
        <f t="shared" ref="Q206" si="715">IF(COUNTIF(P201:P211,"&lt;"&amp;-0.001)=0,IF(ABS(P206)&lt;0.001,0,P206)," ")</f>
        <v>#NUM!</v>
      </c>
      <c r="R206" s="8"/>
      <c r="S206" s="8"/>
      <c r="U206" s="8"/>
      <c r="V206" s="8"/>
      <c r="W206" s="8"/>
      <c r="X206" s="8"/>
      <c r="Y206" s="8"/>
      <c r="Z206" s="8"/>
      <c r="AA206" s="8"/>
      <c r="AC206" s="8"/>
      <c r="AD206" s="8"/>
      <c r="AE206" s="8"/>
      <c r="AF206" s="8"/>
      <c r="AG206" s="8"/>
      <c r="AH206" s="8"/>
      <c r="AI206" s="8"/>
      <c r="AJ206" s="8"/>
      <c r="AK206" s="8"/>
      <c r="AL206" s="8"/>
      <c r="AM206" s="8"/>
      <c r="AN206" s="8"/>
      <c r="AO206" s="8"/>
      <c r="AP206" s="8"/>
      <c r="AQ206" s="8"/>
      <c r="AR206" s="8"/>
      <c r="AS206" s="8"/>
      <c r="AT206" s="8"/>
      <c r="AU206" s="8"/>
      <c r="AV206" s="8"/>
      <c r="AW206" s="8"/>
      <c r="AX206" s="8"/>
      <c r="AY206" s="8"/>
      <c r="AZ206" s="8"/>
      <c r="BA206" s="8"/>
      <c r="BB206" s="8"/>
      <c r="BC206" s="8"/>
      <c r="BD206" s="8"/>
      <c r="BE206" s="8"/>
      <c r="BF206" s="8"/>
      <c r="BG206" s="8"/>
      <c r="BH206" s="8"/>
      <c r="BI206" s="8"/>
      <c r="BJ206" s="8"/>
      <c r="BK206" s="8"/>
      <c r="BL206" s="8"/>
      <c r="BM206" s="8"/>
      <c r="BN206" s="8"/>
      <c r="BO206" s="8"/>
      <c r="BP206" s="8"/>
      <c r="BQ206" s="8"/>
      <c r="BR206" s="8"/>
      <c r="BS206" s="8"/>
      <c r="BT206" s="8"/>
      <c r="BU206" s="8"/>
      <c r="BV206" s="8"/>
      <c r="BW206" s="8"/>
      <c r="BX206" s="8"/>
      <c r="BY206" s="8"/>
      <c r="BZ206" s="8"/>
      <c r="CA206" s="8"/>
      <c r="CB206" s="8"/>
      <c r="CC206" s="8"/>
      <c r="CD206" s="8"/>
      <c r="CE206" s="8"/>
      <c r="CF206" s="8"/>
      <c r="CG206" s="8"/>
      <c r="CH206" s="8"/>
    </row>
    <row r="207" spans="1:86" x14ac:dyDescent="0.2">
      <c r="A207" s="8" t="str">
        <f>IF(AND(COUNTIF(W$3:W$13,A$21)&gt;0,A$21&lt;&gt;B38),A$21,IFERROR(IF(MATCH(A$21,Z$3:Z$13,0)=8,A$21," ")," "))</f>
        <v xml:space="preserve"> </v>
      </c>
      <c r="B207" s="8" t="str">
        <f>IF(A207=" "," ",MAX(B201:B206)+1)</f>
        <v xml:space="preserve"> </v>
      </c>
      <c r="C207" s="8" t="str">
        <f>IFERROR(INDEX(A201:A222,MATCH(SMALL(B201:B222,7),B201:B222,0),1)," ")</f>
        <v>C18</v>
      </c>
      <c r="D207" s="8">
        <f t="shared" si="677"/>
        <v>0</v>
      </c>
      <c r="E207" s="8">
        <f t="shared" si="678"/>
        <v>0</v>
      </c>
      <c r="F207" s="8">
        <f t="shared" si="679"/>
        <v>0</v>
      </c>
      <c r="G207" s="8">
        <f t="shared" si="680"/>
        <v>0</v>
      </c>
      <c r="H207" s="8">
        <f t="shared" si="681"/>
        <v>0</v>
      </c>
      <c r="I207" s="8">
        <f t="shared" si="682"/>
        <v>0</v>
      </c>
      <c r="J207" s="8">
        <f t="shared" si="683"/>
        <v>1</v>
      </c>
      <c r="K207" s="8">
        <f t="shared" si="684"/>
        <v>0</v>
      </c>
      <c r="L207" s="8">
        <f t="shared" si="685"/>
        <v>0</v>
      </c>
      <c r="M207" s="8">
        <f t="shared" si="686"/>
        <v>0</v>
      </c>
      <c r="N207" s="8">
        <f t="shared" si="687"/>
        <v>0</v>
      </c>
      <c r="O207" s="8">
        <f t="shared" si="688"/>
        <v>0</v>
      </c>
      <c r="P207" s="8" t="e">
        <v>#NUM!</v>
      </c>
      <c r="Q207" s="8" t="e">
        <f t="shared" ref="Q207" si="716">IF(COUNTIF(P201:P211,"&lt;"&amp;-0.001)=0,IF(ABS(P207)&lt;0.001,0,P207)," ")</f>
        <v>#NUM!</v>
      </c>
      <c r="R207" s="8"/>
      <c r="S207" s="8"/>
      <c r="U207" s="8"/>
      <c r="V207" s="8"/>
      <c r="W207" s="8"/>
      <c r="X207" s="8"/>
      <c r="Y207" s="8"/>
      <c r="Z207" s="8"/>
      <c r="AA207" s="8"/>
      <c r="AC207" s="8"/>
      <c r="AD207" s="8"/>
      <c r="AE207" s="8"/>
      <c r="AF207" s="8"/>
      <c r="AG207" s="8"/>
      <c r="AH207" s="8"/>
      <c r="AI207" s="8"/>
      <c r="AJ207" s="8"/>
      <c r="AK207" s="8"/>
      <c r="AL207" s="8"/>
      <c r="AM207" s="8"/>
      <c r="AN207" s="8"/>
      <c r="AO207" s="8"/>
      <c r="AP207" s="8"/>
      <c r="AQ207" s="8"/>
      <c r="AR207" s="8"/>
      <c r="AS207" s="8"/>
      <c r="AT207" s="8"/>
      <c r="AU207" s="8"/>
      <c r="AV207" s="8"/>
      <c r="AW207" s="8"/>
      <c r="AX207" s="8"/>
      <c r="AY207" s="8"/>
      <c r="AZ207" s="8"/>
      <c r="BA207" s="8"/>
      <c r="BB207" s="8"/>
      <c r="BC207" s="8"/>
      <c r="BD207" s="8"/>
      <c r="BE207" s="8"/>
      <c r="BF207" s="8"/>
      <c r="BG207" s="8"/>
      <c r="BH207" s="8"/>
      <c r="BI207" s="8"/>
      <c r="BJ207" s="8"/>
      <c r="BK207" s="8"/>
      <c r="BL207" s="8"/>
      <c r="BM207" s="8"/>
      <c r="BN207" s="8"/>
      <c r="BO207" s="8"/>
      <c r="BP207" s="8"/>
      <c r="BQ207" s="8"/>
      <c r="BR207" s="8"/>
      <c r="BS207" s="8"/>
      <c r="BT207" s="8"/>
      <c r="BU207" s="8"/>
      <c r="BV207" s="8"/>
      <c r="BW207" s="8"/>
      <c r="BX207" s="8"/>
      <c r="BY207" s="8"/>
      <c r="BZ207" s="8"/>
      <c r="CA207" s="8"/>
      <c r="CB207" s="8"/>
      <c r="CC207" s="8"/>
      <c r="CD207" s="8"/>
      <c r="CE207" s="8"/>
      <c r="CF207" s="8"/>
      <c r="CG207" s="8"/>
      <c r="CH207" s="8"/>
    </row>
    <row r="208" spans="1:86" x14ac:dyDescent="0.2">
      <c r="A208" s="8" t="str">
        <f>IF(AND(COUNTIF(W$3:W$13,A$22)&gt;0,A$22&lt;&gt;B38),A$22,IFERROR(IF(MATCH(A$22,Z$3:Z$13,0)=8,A$22," ")," "))</f>
        <v xml:space="preserve"> </v>
      </c>
      <c r="B208" s="8" t="str">
        <f>IF(A208=" "," ",MAX(B201:B207)+1)</f>
        <v xml:space="preserve"> </v>
      </c>
      <c r="C208" s="8" t="str">
        <f>IFERROR(INDEX(A201:A222,MATCH(SMALL(B201:B222,8),B201:B222,0),1)," ")</f>
        <v>C19</v>
      </c>
      <c r="D208" s="8">
        <f t="shared" si="677"/>
        <v>0</v>
      </c>
      <c r="E208" s="8">
        <f t="shared" si="678"/>
        <v>0</v>
      </c>
      <c r="F208" s="8">
        <f t="shared" si="679"/>
        <v>0</v>
      </c>
      <c r="G208" s="8">
        <f t="shared" si="680"/>
        <v>0</v>
      </c>
      <c r="H208" s="8">
        <f t="shared" si="681"/>
        <v>0</v>
      </c>
      <c r="I208" s="8">
        <f t="shared" si="682"/>
        <v>0</v>
      </c>
      <c r="J208" s="8">
        <f t="shared" si="683"/>
        <v>0</v>
      </c>
      <c r="K208" s="8">
        <f t="shared" si="684"/>
        <v>1</v>
      </c>
      <c r="L208" s="8">
        <f t="shared" si="685"/>
        <v>0</v>
      </c>
      <c r="M208" s="8">
        <f t="shared" si="686"/>
        <v>0</v>
      </c>
      <c r="N208" s="8">
        <f t="shared" si="687"/>
        <v>0</v>
      </c>
      <c r="O208" s="8">
        <f t="shared" si="688"/>
        <v>0</v>
      </c>
      <c r="P208" s="8" t="e">
        <v>#NUM!</v>
      </c>
      <c r="Q208" s="8" t="e">
        <f t="shared" ref="Q208" si="717">IF(COUNTIF(P201:P211,"&lt;"&amp;-0.001)=0,IF(ABS(P208)&lt;0.001,0,P208)," ")</f>
        <v>#NUM!</v>
      </c>
      <c r="R208" s="8"/>
      <c r="S208" s="8"/>
      <c r="U208" s="8"/>
      <c r="V208" s="8"/>
      <c r="W208" s="8"/>
      <c r="X208" s="8"/>
      <c r="Y208" s="8"/>
      <c r="Z208" s="8"/>
      <c r="AA208" s="8"/>
      <c r="AC208" s="8"/>
      <c r="AD208" s="8"/>
      <c r="AE208" s="8"/>
      <c r="AF208" s="8"/>
      <c r="AG208" s="8"/>
      <c r="AH208" s="8"/>
      <c r="AI208" s="8"/>
      <c r="AJ208" s="8"/>
      <c r="AK208" s="8"/>
      <c r="AL208" s="8"/>
      <c r="AM208" s="8"/>
      <c r="AN208" s="8"/>
      <c r="AO208" s="8"/>
      <c r="AP208" s="8"/>
      <c r="AQ208" s="8"/>
      <c r="AR208" s="8"/>
      <c r="AS208" s="8"/>
      <c r="AT208" s="8"/>
      <c r="AU208" s="8"/>
      <c r="AV208" s="8"/>
      <c r="AW208" s="8"/>
      <c r="AX208" s="8"/>
      <c r="AY208" s="8"/>
      <c r="AZ208" s="8"/>
      <c r="BA208" s="8"/>
      <c r="BB208" s="8"/>
      <c r="BC208" s="8"/>
      <c r="BD208" s="8"/>
      <c r="BE208" s="8"/>
      <c r="BF208" s="8"/>
      <c r="BG208" s="8"/>
      <c r="BH208" s="8"/>
      <c r="BI208" s="8"/>
      <c r="BJ208" s="8"/>
      <c r="BK208" s="8"/>
      <c r="BL208" s="8"/>
      <c r="BM208" s="8"/>
      <c r="BN208" s="8"/>
      <c r="BO208" s="8"/>
      <c r="BP208" s="8"/>
      <c r="BQ208" s="8"/>
      <c r="BR208" s="8"/>
      <c r="BS208" s="8"/>
      <c r="BT208" s="8"/>
      <c r="BU208" s="8"/>
      <c r="BV208" s="8"/>
      <c r="BW208" s="8"/>
      <c r="BX208" s="8"/>
      <c r="BY208" s="8"/>
      <c r="BZ208" s="8"/>
      <c r="CA208" s="8"/>
      <c r="CB208" s="8"/>
      <c r="CC208" s="8"/>
      <c r="CD208" s="8"/>
      <c r="CE208" s="8"/>
      <c r="CF208" s="8"/>
      <c r="CG208" s="8"/>
      <c r="CH208" s="8"/>
    </row>
    <row r="209" spans="1:86" x14ac:dyDescent="0.2">
      <c r="A209" s="8" t="str">
        <f>IF(AND(COUNTIF(W$3:W$13,A$23)&gt;0,A$23&lt;&gt;B38),A$23,IFERROR(IF(MATCH(A$23,Z$3:Z$13,0)=8,A$23," ")," "))</f>
        <v xml:space="preserve"> </v>
      </c>
      <c r="B209" s="8" t="str">
        <f>IF(A209=" "," ",MAX(B201:B208)+1)</f>
        <v xml:space="preserve"> </v>
      </c>
      <c r="C209" s="8" t="str">
        <f>IFERROR(INDEX(A201:A222,MATCH(SMALL(B201:B222,9),B201:B222,0),1)," ")</f>
        <v>C20</v>
      </c>
      <c r="D209" s="8">
        <f t="shared" si="677"/>
        <v>0</v>
      </c>
      <c r="E209" s="8">
        <f t="shared" si="678"/>
        <v>0</v>
      </c>
      <c r="F209" s="8">
        <f t="shared" si="679"/>
        <v>0</v>
      </c>
      <c r="G209" s="8">
        <f t="shared" si="680"/>
        <v>0</v>
      </c>
      <c r="H209" s="8">
        <f t="shared" si="681"/>
        <v>0</v>
      </c>
      <c r="I209" s="8">
        <f t="shared" si="682"/>
        <v>0</v>
      </c>
      <c r="J209" s="8">
        <f t="shared" si="683"/>
        <v>0</v>
      </c>
      <c r="K209" s="8">
        <f t="shared" si="684"/>
        <v>0</v>
      </c>
      <c r="L209" s="8">
        <f t="shared" si="685"/>
        <v>1</v>
      </c>
      <c r="M209" s="8">
        <f t="shared" si="686"/>
        <v>0</v>
      </c>
      <c r="N209" s="8">
        <f t="shared" si="687"/>
        <v>0</v>
      </c>
      <c r="O209" s="8">
        <f t="shared" si="688"/>
        <v>0</v>
      </c>
      <c r="P209" s="6" t="e">
        <v>#NUM!</v>
      </c>
      <c r="Q209" s="8" t="e">
        <f t="shared" ref="Q209" si="718">IF(COUNTIF(P201:P211,"&lt;"&amp;-0.001)=0,IF(ABS(P209)&lt;0.001,0,P209)," ")</f>
        <v>#NUM!</v>
      </c>
      <c r="R209" s="8"/>
      <c r="S209" s="8"/>
      <c r="U209" s="8"/>
      <c r="V209" s="8"/>
      <c r="W209" s="8"/>
      <c r="X209" s="8"/>
      <c r="Y209" s="8"/>
      <c r="Z209" s="8"/>
      <c r="AA209" s="8"/>
      <c r="AC209" s="8"/>
      <c r="AD209" s="8"/>
      <c r="AE209" s="8"/>
      <c r="AF209" s="8"/>
      <c r="AG209" s="8"/>
      <c r="AH209" s="8"/>
      <c r="AI209" s="8"/>
      <c r="AJ209" s="8"/>
      <c r="AK209" s="8"/>
      <c r="AL209" s="8"/>
      <c r="AM209" s="8"/>
      <c r="AN209" s="8"/>
      <c r="AO209" s="8"/>
      <c r="AP209" s="8"/>
      <c r="AQ209" s="8"/>
      <c r="AR209" s="8"/>
      <c r="AS209" s="8"/>
      <c r="AT209" s="8"/>
      <c r="AU209" s="8"/>
      <c r="AV209" s="8"/>
      <c r="AW209" s="8"/>
      <c r="AX209" s="8"/>
      <c r="AY209" s="8"/>
      <c r="AZ209" s="8"/>
      <c r="BA209" s="8"/>
      <c r="BB209" s="8"/>
      <c r="BC209" s="8"/>
      <c r="BD209" s="8"/>
      <c r="BE209" s="8"/>
      <c r="BF209" s="8"/>
      <c r="BG209" s="8"/>
      <c r="BH209" s="8"/>
      <c r="BI209" s="8"/>
      <c r="BJ209" s="8"/>
      <c r="BK209" s="8"/>
      <c r="BL209" s="8"/>
      <c r="BM209" s="8"/>
      <c r="BN209" s="8"/>
      <c r="BO209" s="8"/>
      <c r="BP209" s="8"/>
      <c r="BQ209" s="8"/>
      <c r="BR209" s="8"/>
      <c r="BS209" s="8"/>
      <c r="BT209" s="8"/>
      <c r="BU209" s="8"/>
      <c r="BV209" s="8"/>
      <c r="BW209" s="8"/>
      <c r="BX209" s="8"/>
      <c r="BY209" s="8"/>
      <c r="BZ209" s="8"/>
      <c r="CA209" s="8"/>
      <c r="CB209" s="8"/>
      <c r="CC209" s="8"/>
      <c r="CD209" s="8"/>
      <c r="CE209" s="8"/>
      <c r="CF209" s="8"/>
      <c r="CG209" s="8"/>
      <c r="CH209" s="8"/>
    </row>
    <row r="210" spans="1:86" x14ac:dyDescent="0.2">
      <c r="A210" s="8" t="str">
        <f>IF(AND(COUNTIF(W$3:W$13,A$24)&gt;0,A$24&lt;&gt;B38),A$24,IFERROR(IF(MATCH(A$24,Z$3:Z$13,0)=8,A$24," ")," "))</f>
        <v>C10</v>
      </c>
      <c r="B210" s="8">
        <f>IF(A210=" "," ",MAX(B201:B209)+1)</f>
        <v>2</v>
      </c>
      <c r="C210" s="8" t="str">
        <f>IFERROR(INDEX(A201:A222,MATCH(SMALL(B201:B222,10),B201:B222,0),1)," ")</f>
        <v>C21</v>
      </c>
      <c r="D210" s="8">
        <f t="shared" si="677"/>
        <v>0</v>
      </c>
      <c r="E210" s="8">
        <f t="shared" si="678"/>
        <v>0</v>
      </c>
      <c r="F210" s="8">
        <f t="shared" si="679"/>
        <v>0</v>
      </c>
      <c r="G210" s="8">
        <f t="shared" si="680"/>
        <v>0</v>
      </c>
      <c r="H210" s="8">
        <f t="shared" si="681"/>
        <v>0</v>
      </c>
      <c r="I210" s="8">
        <f t="shared" si="682"/>
        <v>0</v>
      </c>
      <c r="J210" s="8">
        <f t="shared" si="683"/>
        <v>0</v>
      </c>
      <c r="K210" s="8">
        <f t="shared" si="684"/>
        <v>0</v>
      </c>
      <c r="L210" s="8">
        <f t="shared" si="685"/>
        <v>0</v>
      </c>
      <c r="M210" s="8">
        <f t="shared" si="686"/>
        <v>1</v>
      </c>
      <c r="N210" s="8">
        <f t="shared" si="687"/>
        <v>0</v>
      </c>
      <c r="O210" s="8">
        <f t="shared" si="688"/>
        <v>0</v>
      </c>
      <c r="P210" s="8" t="e">
        <v>#NUM!</v>
      </c>
      <c r="Q210" s="8" t="e">
        <f t="shared" ref="Q210" si="719">IF(COUNTIF(P201:P211,"&lt;"&amp;-0.001)=0,IF(ABS(P210)&lt;0.001,0,P210)," ")</f>
        <v>#NUM!</v>
      </c>
      <c r="R210" s="8"/>
      <c r="S210" s="8"/>
      <c r="U210" s="8"/>
      <c r="V210" s="8"/>
      <c r="W210" s="8"/>
      <c r="X210" s="8"/>
      <c r="Y210" s="8"/>
      <c r="Z210" s="8"/>
      <c r="AA210" s="8"/>
      <c r="AC210" s="8"/>
      <c r="AD210" s="8"/>
      <c r="AE210" s="8"/>
      <c r="AF210" s="8"/>
      <c r="AG210" s="8"/>
      <c r="AH210" s="8"/>
      <c r="AI210" s="8"/>
      <c r="AJ210" s="8"/>
      <c r="AK210" s="8"/>
      <c r="AL210" s="8"/>
      <c r="AM210" s="8"/>
      <c r="AN210" s="8"/>
      <c r="AO210" s="8"/>
      <c r="AP210" s="8"/>
      <c r="AQ210" s="8"/>
      <c r="AR210" s="8"/>
      <c r="AS210" s="8"/>
      <c r="AT210" s="8"/>
      <c r="AU210" s="8"/>
      <c r="AV210" s="8"/>
      <c r="AW210" s="8"/>
      <c r="AX210" s="8"/>
      <c r="AY210" s="8"/>
      <c r="AZ210" s="8"/>
      <c r="BA210" s="8"/>
      <c r="BB210" s="8"/>
      <c r="BC210" s="8"/>
      <c r="BD210" s="8"/>
      <c r="BE210" s="8"/>
      <c r="BF210" s="8"/>
      <c r="BG210" s="8"/>
      <c r="BH210" s="8"/>
      <c r="BI210" s="8"/>
      <c r="BJ210" s="8"/>
      <c r="BK210" s="8"/>
      <c r="BL210" s="8"/>
      <c r="BM210" s="8"/>
      <c r="BN210" s="8"/>
      <c r="BO210" s="8"/>
      <c r="BP210" s="8"/>
      <c r="BQ210" s="8"/>
      <c r="BR210" s="8"/>
      <c r="BS210" s="8"/>
      <c r="BT210" s="8"/>
      <c r="BU210" s="8"/>
      <c r="BV210" s="8"/>
      <c r="BW210" s="8"/>
      <c r="BX210" s="8"/>
      <c r="BY210" s="8"/>
      <c r="BZ210" s="8"/>
      <c r="CA210" s="8"/>
      <c r="CB210" s="8"/>
      <c r="CC210" s="8"/>
      <c r="CD210" s="8"/>
      <c r="CE210" s="8"/>
      <c r="CF210" s="8"/>
      <c r="CG210" s="8"/>
      <c r="CH210" s="8"/>
    </row>
    <row r="211" spans="1:86" x14ac:dyDescent="0.2">
      <c r="A211" s="8" t="str">
        <f>IF(AND(COUNTIF(W$3:W$13,A$25)&gt;0,A$25&lt;&gt;B38),A$25,IFERROR(IF(MATCH(A$25,Z$3:Z$13,0)=8,A$25," ")," "))</f>
        <v xml:space="preserve"> </v>
      </c>
      <c r="B211" s="8" t="str">
        <f>IF(A211=" "," ",MAX(B201:B210)+1)</f>
        <v xml:space="preserve"> </v>
      </c>
      <c r="C211" s="8" t="str">
        <f>IFERROR(INDEX(A201:A222,MATCH(SMALL(B201:B222,11),B201:B222,0),1)," ")</f>
        <v>C22</v>
      </c>
      <c r="D211" s="8">
        <f t="shared" si="677"/>
        <v>0</v>
      </c>
      <c r="E211" s="8">
        <f t="shared" si="678"/>
        <v>0</v>
      </c>
      <c r="F211" s="8">
        <f t="shared" si="679"/>
        <v>0</v>
      </c>
      <c r="G211" s="8">
        <f t="shared" si="680"/>
        <v>0</v>
      </c>
      <c r="H211" s="8">
        <f t="shared" si="681"/>
        <v>0</v>
      </c>
      <c r="I211" s="8">
        <f t="shared" si="682"/>
        <v>0</v>
      </c>
      <c r="J211" s="8">
        <f t="shared" si="683"/>
        <v>0</v>
      </c>
      <c r="K211" s="8">
        <f t="shared" si="684"/>
        <v>0</v>
      </c>
      <c r="L211" s="8">
        <f t="shared" si="685"/>
        <v>0</v>
      </c>
      <c r="M211" s="8">
        <f t="shared" si="686"/>
        <v>0</v>
      </c>
      <c r="N211" s="8">
        <f t="shared" si="687"/>
        <v>1</v>
      </c>
      <c r="O211" s="8">
        <f t="shared" si="688"/>
        <v>0</v>
      </c>
      <c r="P211" s="8" t="e">
        <v>#NUM!</v>
      </c>
      <c r="Q211" s="8" t="e">
        <f t="shared" ref="Q211" si="720">IF(COUNTIF(P201:P211,"&lt;"&amp;-0.001)=0,IF(ABS(P211)&lt;0.001,0,P211)," ")</f>
        <v>#NUM!</v>
      </c>
      <c r="R211" s="8"/>
      <c r="S211" s="8"/>
      <c r="U211" s="8"/>
      <c r="V211" s="8"/>
      <c r="W211" s="8"/>
      <c r="X211" s="8"/>
      <c r="Y211" s="8"/>
      <c r="Z211" s="8"/>
      <c r="AA211" s="8"/>
      <c r="AC211" s="8"/>
      <c r="AD211" s="8"/>
      <c r="AE211" s="8"/>
      <c r="AF211" s="8"/>
      <c r="AG211" s="8"/>
      <c r="AH211" s="8"/>
      <c r="AI211" s="8"/>
      <c r="AJ211" s="8"/>
      <c r="AK211" s="8"/>
      <c r="AL211" s="8"/>
      <c r="AM211" s="8"/>
      <c r="AN211" s="8"/>
      <c r="AO211" s="8"/>
      <c r="AP211" s="8"/>
      <c r="AQ211" s="8"/>
      <c r="AR211" s="8"/>
      <c r="AS211" s="8"/>
      <c r="AT211" s="8"/>
      <c r="AU211" s="8"/>
      <c r="AV211" s="8"/>
      <c r="AW211" s="8"/>
      <c r="AX211" s="8"/>
      <c r="AY211" s="8"/>
      <c r="AZ211" s="8"/>
      <c r="BA211" s="8"/>
      <c r="BB211" s="8"/>
      <c r="BC211" s="8"/>
      <c r="BD211" s="8"/>
      <c r="BE211" s="8"/>
      <c r="BF211" s="8"/>
      <c r="BG211" s="8"/>
      <c r="BH211" s="8"/>
      <c r="BI211" s="8"/>
      <c r="BJ211" s="8"/>
      <c r="BK211" s="8"/>
      <c r="BL211" s="8"/>
      <c r="BM211" s="8"/>
      <c r="BN211" s="8"/>
      <c r="BO211" s="8"/>
      <c r="BP211" s="8"/>
      <c r="BQ211" s="8"/>
      <c r="BR211" s="8"/>
      <c r="BS211" s="8"/>
      <c r="BT211" s="8"/>
      <c r="BU211" s="8"/>
      <c r="BV211" s="8"/>
      <c r="BW211" s="8"/>
      <c r="BX211" s="8"/>
      <c r="BY211" s="8"/>
      <c r="BZ211" s="8"/>
      <c r="CA211" s="8"/>
      <c r="CB211" s="8"/>
      <c r="CC211" s="8"/>
      <c r="CD211" s="8"/>
      <c r="CE211" s="8"/>
      <c r="CF211" s="8"/>
      <c r="CG211" s="8"/>
      <c r="CH211" s="8"/>
    </row>
    <row r="212" spans="1:86" x14ac:dyDescent="0.2">
      <c r="A212" s="8" t="str">
        <f>IF(AND(COUNTIF(W$3:W$13,A$26)&gt;0,A$26&lt;&gt;B38),A$26,IFERROR(IF(MATCH(A$26,Z$3:Z$13,0)=8,A$26," ")," "))</f>
        <v xml:space="preserve"> </v>
      </c>
      <c r="B212" s="8" t="str">
        <f>IF(A212=" "," ",MAX(B201:B211)+1)</f>
        <v xml:space="preserve"> </v>
      </c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U212" s="8"/>
      <c r="V212" s="8"/>
      <c r="W212" s="8"/>
      <c r="X212" s="8"/>
      <c r="Y212" s="8"/>
      <c r="Z212" s="8"/>
      <c r="AA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M212" s="8"/>
      <c r="AN212" s="8"/>
      <c r="AO212" s="8"/>
      <c r="AP212" s="8"/>
      <c r="AQ212" s="8"/>
      <c r="AR212" s="8"/>
      <c r="AS212" s="8"/>
      <c r="AT212" s="8"/>
      <c r="AU212" s="8"/>
      <c r="AV212" s="8"/>
      <c r="AW212" s="8"/>
      <c r="AX212" s="8"/>
      <c r="AY212" s="8"/>
      <c r="AZ212" s="8"/>
      <c r="BA212" s="8"/>
      <c r="BB212" s="8"/>
      <c r="BC212" s="8"/>
      <c r="BD212" s="8"/>
      <c r="BE212" s="8"/>
      <c r="BF212" s="8"/>
      <c r="BG212" s="8"/>
      <c r="BH212" s="8"/>
      <c r="BI212" s="8"/>
      <c r="BJ212" s="8"/>
      <c r="BK212" s="8"/>
      <c r="BL212" s="8"/>
      <c r="BM212" s="8"/>
      <c r="BN212" s="8"/>
      <c r="BO212" s="8"/>
      <c r="BP212" s="8"/>
      <c r="BQ212" s="8"/>
      <c r="BR212" s="8"/>
      <c r="BS212" s="8"/>
      <c r="BT212" s="8"/>
      <c r="BU212" s="8"/>
      <c r="BV212" s="8"/>
      <c r="BW212" s="8"/>
      <c r="BX212" s="8"/>
      <c r="BY212" s="8"/>
      <c r="BZ212" s="8"/>
      <c r="CA212" s="8"/>
      <c r="CB212" s="8"/>
      <c r="CC212" s="8"/>
      <c r="CD212" s="8"/>
      <c r="CE212" s="8"/>
      <c r="CF212" s="8"/>
      <c r="CG212" s="8"/>
      <c r="CH212" s="8"/>
    </row>
    <row r="213" spans="1:86" x14ac:dyDescent="0.2">
      <c r="A213" s="8" t="str">
        <f>IF(AND(COUNTIF(W$3:W$13,A$27)&gt;0,A$27&lt;&gt;B38),A$27,IFERROR(IF(MATCH(A$27,Z$3:Z$13,0)=8,A$27," ")," "))</f>
        <v>C13</v>
      </c>
      <c r="B213" s="8">
        <f>IF(A213=" "," ",MAX(B201:B212)+1)</f>
        <v>3</v>
      </c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U213" s="8"/>
      <c r="V213" s="8"/>
      <c r="W213" s="8"/>
      <c r="X213" s="8"/>
      <c r="Y213" s="8"/>
      <c r="Z213" s="8"/>
      <c r="AA213" s="8"/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M213" s="8"/>
      <c r="AN213" s="8"/>
      <c r="AO213" s="8"/>
      <c r="AP213" s="8"/>
      <c r="AQ213" s="8"/>
      <c r="AR213" s="8"/>
      <c r="AS213" s="8"/>
      <c r="AT213" s="8"/>
      <c r="AU213" s="8"/>
      <c r="AV213" s="8"/>
      <c r="AW213" s="8"/>
      <c r="AX213" s="8"/>
      <c r="AY213" s="8"/>
      <c r="AZ213" s="8"/>
      <c r="BA213" s="8"/>
      <c r="BB213" s="8"/>
      <c r="BC213" s="8"/>
      <c r="BD213" s="8"/>
      <c r="BE213" s="8"/>
      <c r="BF213" s="8"/>
      <c r="BG213" s="8"/>
      <c r="BH213" s="8"/>
      <c r="BI213" s="8"/>
      <c r="BJ213" s="8"/>
      <c r="BK213" s="8"/>
      <c r="BL213" s="8"/>
      <c r="BM213" s="8"/>
      <c r="BN213" s="8"/>
      <c r="BO213" s="8"/>
      <c r="BP213" s="8"/>
      <c r="BQ213" s="8"/>
      <c r="BR213" s="8"/>
      <c r="BS213" s="8"/>
      <c r="BT213" s="8"/>
      <c r="BU213" s="8"/>
      <c r="BV213" s="8"/>
      <c r="BW213" s="8"/>
      <c r="BX213" s="8"/>
      <c r="BY213" s="8"/>
      <c r="BZ213" s="8"/>
      <c r="CA213" s="8"/>
      <c r="CB213" s="8"/>
      <c r="CC213" s="8"/>
      <c r="CD213" s="8"/>
      <c r="CE213" s="8"/>
      <c r="CF213" s="8"/>
      <c r="CG213" s="8"/>
      <c r="CH213" s="8"/>
    </row>
    <row r="214" spans="1:86" x14ac:dyDescent="0.2">
      <c r="A214" s="8" t="str">
        <f>IF(AND(COUNTIF(W$3:W$13,A$28)&gt;0,A$28&lt;&gt;B38),A$28,IFERROR(IF(MATCH(A$28,Z$3:Z$13,0)=8,A$28," ")," "))</f>
        <v xml:space="preserve"> </v>
      </c>
      <c r="B214" s="8" t="str">
        <f>IF(A214=" "," ",MAX(B201:B213)+1)</f>
        <v xml:space="preserve"> </v>
      </c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U214" s="8"/>
      <c r="V214" s="8"/>
      <c r="W214" s="8"/>
      <c r="X214" s="8"/>
      <c r="Y214" s="8"/>
      <c r="Z214" s="8"/>
      <c r="AA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8"/>
      <c r="AO214" s="8"/>
      <c r="AP214" s="8"/>
      <c r="AQ214" s="8"/>
      <c r="AR214" s="8"/>
      <c r="AS214" s="8"/>
      <c r="AT214" s="8"/>
      <c r="AU214" s="8"/>
      <c r="AV214" s="8"/>
      <c r="AW214" s="8"/>
      <c r="AX214" s="8"/>
      <c r="AY214" s="8"/>
      <c r="AZ214" s="8"/>
      <c r="BA214" s="8"/>
      <c r="BB214" s="8"/>
      <c r="BC214" s="8"/>
      <c r="BD214" s="8"/>
      <c r="BE214" s="8"/>
      <c r="BF214" s="8"/>
      <c r="BG214" s="8"/>
      <c r="BH214" s="8"/>
      <c r="BI214" s="8"/>
      <c r="BJ214" s="8"/>
      <c r="BK214" s="8"/>
      <c r="BL214" s="8"/>
      <c r="BM214" s="8"/>
      <c r="BN214" s="8"/>
      <c r="BO214" s="8"/>
      <c r="BP214" s="8"/>
      <c r="BQ214" s="8"/>
      <c r="BR214" s="8"/>
      <c r="BS214" s="8"/>
      <c r="BT214" s="8"/>
      <c r="BU214" s="8"/>
      <c r="BV214" s="8"/>
      <c r="BW214" s="8"/>
      <c r="BX214" s="8"/>
      <c r="BY214" s="8"/>
      <c r="BZ214" s="8"/>
      <c r="CA214" s="8"/>
      <c r="CB214" s="8"/>
      <c r="CC214" s="8"/>
      <c r="CD214" s="8"/>
      <c r="CE214" s="8"/>
      <c r="CF214" s="8"/>
      <c r="CG214" s="8"/>
      <c r="CH214" s="8"/>
    </row>
    <row r="215" spans="1:86" x14ac:dyDescent="0.2">
      <c r="A215" s="8" t="str">
        <f>IF(AND(COUNTIF(W$3:W$13,A$29)&gt;0,A$29&lt;&gt;B38),A$29,IFERROR(IF(MATCH(A$29,Z$3:Z$13,0)=8,A$29," ")," "))</f>
        <v>C15</v>
      </c>
      <c r="B215" s="8">
        <f>IF(A215=" "," ",MAX(B201:B214)+1)</f>
        <v>4</v>
      </c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U215" s="8"/>
      <c r="V215" s="8"/>
      <c r="W215" s="8"/>
      <c r="X215" s="8"/>
      <c r="Y215" s="8"/>
      <c r="Z215" s="8"/>
      <c r="AA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  <c r="AN215" s="8"/>
      <c r="AO215" s="8"/>
      <c r="AP215" s="8"/>
      <c r="AQ215" s="8"/>
      <c r="AR215" s="8"/>
      <c r="AS215" s="8"/>
      <c r="AT215" s="8"/>
      <c r="AU215" s="8"/>
      <c r="AV215" s="8"/>
      <c r="AW215" s="8"/>
      <c r="AX215" s="8"/>
      <c r="AY215" s="8"/>
      <c r="AZ215" s="8"/>
      <c r="BA215" s="8"/>
      <c r="BB215" s="8"/>
      <c r="BC215" s="8"/>
      <c r="BD215" s="8"/>
      <c r="BE215" s="8"/>
      <c r="BF215" s="8"/>
      <c r="BG215" s="8"/>
      <c r="BH215" s="8"/>
      <c r="BI215" s="8"/>
      <c r="BJ215" s="8"/>
      <c r="BK215" s="8"/>
      <c r="BL215" s="8"/>
      <c r="BM215" s="8"/>
      <c r="BN215" s="8"/>
      <c r="BO215" s="8"/>
      <c r="BP215" s="8"/>
      <c r="BQ215" s="8"/>
      <c r="BR215" s="8"/>
      <c r="BS215" s="8"/>
      <c r="BT215" s="8"/>
      <c r="BU215" s="8"/>
      <c r="BV215" s="8"/>
      <c r="BW215" s="8"/>
      <c r="BX215" s="8"/>
      <c r="BY215" s="8"/>
      <c r="BZ215" s="8"/>
      <c r="CA215" s="8"/>
      <c r="CB215" s="8"/>
      <c r="CC215" s="8"/>
      <c r="CD215" s="8"/>
      <c r="CE215" s="8"/>
      <c r="CF215" s="8"/>
      <c r="CG215" s="8"/>
      <c r="CH215" s="8"/>
    </row>
    <row r="216" spans="1:86" x14ac:dyDescent="0.2">
      <c r="A216" s="8" t="str">
        <f>IF(AND(COUNTIF(W$3:W$13,A$30)&gt;0,A$30&lt;&gt;B38),A$30,IFERROR(IF(MATCH(A$30,Z$3:Z$13,0)=8,A$30," ")," "))</f>
        <v>C16</v>
      </c>
      <c r="B216" s="8">
        <f>IF(A216=" "," ",MAX(B201:B215)+1)</f>
        <v>5</v>
      </c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U216" s="8"/>
      <c r="V216" s="8"/>
      <c r="W216" s="8"/>
      <c r="X216" s="8"/>
      <c r="Y216" s="8"/>
      <c r="Z216" s="8"/>
      <c r="AA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  <c r="AN216" s="8"/>
      <c r="AO216" s="8"/>
      <c r="AP216" s="8"/>
      <c r="AQ216" s="8"/>
      <c r="AR216" s="8"/>
      <c r="AS216" s="8"/>
      <c r="AT216" s="8"/>
      <c r="AU216" s="8"/>
      <c r="AV216" s="8"/>
      <c r="AW216" s="8"/>
      <c r="AX216" s="8"/>
      <c r="AY216" s="8"/>
      <c r="AZ216" s="8"/>
      <c r="BA216" s="8"/>
      <c r="BB216" s="8"/>
      <c r="BC216" s="8"/>
      <c r="BD216" s="8"/>
      <c r="BE216" s="8"/>
      <c r="BF216" s="8"/>
      <c r="BG216" s="8"/>
      <c r="BH216" s="8"/>
      <c r="BI216" s="8"/>
      <c r="BJ216" s="8"/>
      <c r="BK216" s="8"/>
      <c r="BL216" s="8"/>
      <c r="BM216" s="8"/>
      <c r="BN216" s="8"/>
      <c r="BO216" s="8"/>
      <c r="BP216" s="8"/>
      <c r="BQ216" s="8"/>
      <c r="BR216" s="8"/>
      <c r="BS216" s="8"/>
      <c r="BT216" s="8"/>
      <c r="BU216" s="8"/>
      <c r="BV216" s="8"/>
      <c r="BW216" s="8"/>
      <c r="BX216" s="8"/>
      <c r="BY216" s="8"/>
      <c r="BZ216" s="8"/>
      <c r="CA216" s="8"/>
      <c r="CB216" s="8"/>
      <c r="CC216" s="8"/>
      <c r="CD216" s="8"/>
      <c r="CE216" s="8"/>
      <c r="CF216" s="8"/>
      <c r="CG216" s="8"/>
      <c r="CH216" s="8"/>
    </row>
    <row r="217" spans="1:86" x14ac:dyDescent="0.2">
      <c r="A217" s="8" t="str">
        <f>IF(AND(COUNTIF(W$3:W$13,A$31)&gt;0,A$31&lt;&gt;B38),A$31,IFERROR(IF(MATCH(A$31,Z$3:Z$13,0)=8,A$31," ")," "))</f>
        <v>C17</v>
      </c>
      <c r="B217" s="8">
        <f>IF(A217=" "," ",MAX(B201:B216)+1)</f>
        <v>6</v>
      </c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U217" s="8"/>
      <c r="V217" s="8"/>
      <c r="W217" s="8"/>
      <c r="X217" s="8"/>
      <c r="Y217" s="8"/>
      <c r="Z217" s="8"/>
      <c r="AA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 s="8"/>
      <c r="AN217" s="8"/>
      <c r="AO217" s="8"/>
      <c r="AP217" s="8"/>
      <c r="AQ217" s="8"/>
      <c r="AR217" s="8"/>
      <c r="AS217" s="8"/>
      <c r="AT217" s="8"/>
      <c r="AU217" s="8"/>
      <c r="AV217" s="8"/>
      <c r="AW217" s="8"/>
      <c r="AX217" s="8"/>
      <c r="AY217" s="8"/>
      <c r="AZ217" s="8"/>
      <c r="BA217" s="8"/>
      <c r="BB217" s="8"/>
      <c r="BC217" s="8"/>
      <c r="BD217" s="8"/>
      <c r="BE217" s="8"/>
      <c r="BF217" s="8"/>
      <c r="BG217" s="8"/>
      <c r="BH217" s="8"/>
      <c r="BI217" s="8"/>
      <c r="BJ217" s="8"/>
      <c r="BK217" s="8"/>
      <c r="BL217" s="8"/>
      <c r="BM217" s="8"/>
      <c r="BN217" s="8"/>
      <c r="BO217" s="8"/>
      <c r="BP217" s="8"/>
      <c r="BQ217" s="8"/>
      <c r="BR217" s="8"/>
      <c r="BS217" s="8"/>
      <c r="BT217" s="8"/>
      <c r="BU217" s="8"/>
      <c r="BV217" s="8"/>
      <c r="BW217" s="8"/>
      <c r="BX217" s="8"/>
      <c r="BY217" s="8"/>
      <c r="BZ217" s="8"/>
      <c r="CA217" s="8"/>
      <c r="CB217" s="8"/>
      <c r="CC217" s="8"/>
      <c r="CD217" s="8"/>
      <c r="CE217" s="8"/>
      <c r="CF217" s="8"/>
      <c r="CG217" s="8"/>
      <c r="CH217" s="8"/>
    </row>
    <row r="218" spans="1:86" x14ac:dyDescent="0.2">
      <c r="A218" s="8" t="str">
        <f>IF(AND(COUNTIF(W$3:W$13,A$32)&gt;0,A$32&lt;&gt;B38),A$32,IFERROR(IF(MATCH(A$32,Z$3:Z$13,0)=8,A$32," ")," "))</f>
        <v>C18</v>
      </c>
      <c r="B218" s="8">
        <f>IF(A218=" "," ",MAX(B201:B217)+1)</f>
        <v>7</v>
      </c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U218" s="8"/>
      <c r="V218" s="8"/>
      <c r="W218" s="8"/>
      <c r="X218" s="8"/>
      <c r="Y218" s="8"/>
      <c r="Z218" s="8"/>
      <c r="AA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  <c r="AO218" s="8"/>
      <c r="AP218" s="8"/>
      <c r="AQ218" s="8"/>
      <c r="AR218" s="8"/>
      <c r="AS218" s="8"/>
      <c r="AT218" s="8"/>
      <c r="AU218" s="8"/>
      <c r="AV218" s="8"/>
      <c r="AW218" s="8"/>
      <c r="AX218" s="8"/>
      <c r="AY218" s="8"/>
      <c r="AZ218" s="8"/>
      <c r="BA218" s="8"/>
      <c r="BB218" s="8"/>
      <c r="BC218" s="8"/>
      <c r="BD218" s="8"/>
      <c r="BE218" s="8"/>
      <c r="BF218" s="8"/>
      <c r="BG218" s="8"/>
      <c r="BH218" s="8"/>
      <c r="BI218" s="8"/>
      <c r="BJ218" s="8"/>
      <c r="BK218" s="8"/>
      <c r="BL218" s="8"/>
      <c r="BM218" s="8"/>
      <c r="BN218" s="8"/>
      <c r="BO218" s="8"/>
      <c r="BP218" s="8"/>
      <c r="BQ218" s="8"/>
      <c r="BR218" s="8"/>
      <c r="BS218" s="8"/>
      <c r="BT218" s="8"/>
      <c r="BU218" s="8"/>
      <c r="BV218" s="8"/>
      <c r="BW218" s="8"/>
      <c r="BX218" s="8"/>
      <c r="BY218" s="8"/>
      <c r="BZ218" s="8"/>
      <c r="CA218" s="8"/>
      <c r="CB218" s="8"/>
      <c r="CC218" s="8"/>
      <c r="CD218" s="8"/>
      <c r="CE218" s="8"/>
      <c r="CF218" s="8"/>
      <c r="CG218" s="8"/>
      <c r="CH218" s="8"/>
    </row>
    <row r="219" spans="1:86" x14ac:dyDescent="0.2">
      <c r="A219" s="8" t="str">
        <f>IF(AND(COUNTIF(W$3:W$13,A$33)&gt;0,A$33&lt;&gt;B38),A$33,IFERROR(IF(MATCH(A$33,Z$3:Z$13,0)=8,A$33," ")," "))</f>
        <v>C19</v>
      </c>
      <c r="B219" s="8">
        <f>IF(A219=" "," ",MAX(B201:B218)+1)</f>
        <v>8</v>
      </c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U219" s="8"/>
      <c r="V219" s="8"/>
      <c r="W219" s="8"/>
      <c r="X219" s="8"/>
      <c r="Y219" s="8"/>
      <c r="Z219" s="8"/>
      <c r="AA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M219" s="8"/>
      <c r="AN219" s="8"/>
      <c r="AO219" s="8"/>
      <c r="AP219" s="8"/>
      <c r="AQ219" s="8"/>
      <c r="AR219" s="8"/>
      <c r="AS219" s="8"/>
      <c r="AT219" s="8"/>
      <c r="AU219" s="8"/>
      <c r="AV219" s="8"/>
      <c r="AW219" s="8"/>
      <c r="AX219" s="8"/>
      <c r="AY219" s="8"/>
      <c r="AZ219" s="8"/>
      <c r="BA219" s="8"/>
      <c r="BB219" s="8"/>
      <c r="BC219" s="8"/>
      <c r="BD219" s="8"/>
      <c r="BE219" s="8"/>
      <c r="BF219" s="8"/>
      <c r="BG219" s="8"/>
      <c r="BH219" s="8"/>
      <c r="BI219" s="8"/>
      <c r="BJ219" s="8"/>
      <c r="BK219" s="8"/>
      <c r="BL219" s="8"/>
      <c r="BM219" s="8"/>
      <c r="BN219" s="8"/>
      <c r="BO219" s="8"/>
      <c r="BP219" s="8"/>
      <c r="BQ219" s="8"/>
      <c r="BR219" s="8"/>
      <c r="BS219" s="8"/>
      <c r="BT219" s="8"/>
      <c r="BU219" s="8"/>
      <c r="BV219" s="8"/>
      <c r="BW219" s="8"/>
      <c r="BX219" s="8"/>
      <c r="BY219" s="8"/>
      <c r="BZ219" s="8"/>
      <c r="CA219" s="8"/>
      <c r="CB219" s="8"/>
      <c r="CC219" s="8"/>
      <c r="CD219" s="8"/>
      <c r="CE219" s="8"/>
      <c r="CF219" s="8"/>
      <c r="CG219" s="8"/>
      <c r="CH219" s="8"/>
    </row>
    <row r="220" spans="1:86" x14ac:dyDescent="0.2">
      <c r="A220" s="8" t="str">
        <f>IF(AND(COUNTIF(W$3:W$13,A$34)&gt;0,A$34&lt;&gt;B38),A$34,IFERROR(IF(MATCH(A$34,Z$3:Z$13,0)=8,A$34," ")," "))</f>
        <v>C20</v>
      </c>
      <c r="B220" s="8">
        <f>IF(A220=" "," ",MAX(B201:B219)+1)</f>
        <v>9</v>
      </c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U220" s="8"/>
      <c r="V220" s="8"/>
      <c r="W220" s="8"/>
      <c r="X220" s="8"/>
      <c r="Y220" s="8"/>
      <c r="Z220" s="8"/>
      <c r="AA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  <c r="AN220" s="8"/>
      <c r="AO220" s="8"/>
      <c r="AP220" s="8"/>
      <c r="AQ220" s="8"/>
      <c r="AR220" s="8"/>
      <c r="AS220" s="8"/>
      <c r="AT220" s="8"/>
      <c r="AU220" s="8"/>
      <c r="AV220" s="8"/>
      <c r="AW220" s="8"/>
      <c r="AX220" s="8"/>
      <c r="AY220" s="8"/>
      <c r="AZ220" s="8"/>
      <c r="BA220" s="8"/>
      <c r="BB220" s="8"/>
      <c r="BC220" s="8"/>
      <c r="BD220" s="8"/>
      <c r="BE220" s="8"/>
      <c r="BF220" s="8"/>
      <c r="BG220" s="8"/>
      <c r="BH220" s="8"/>
      <c r="BI220" s="8"/>
      <c r="BJ220" s="8"/>
      <c r="BK220" s="8"/>
      <c r="BL220" s="8"/>
      <c r="BM220" s="8"/>
      <c r="BN220" s="8"/>
      <c r="BO220" s="8"/>
      <c r="BP220" s="8"/>
      <c r="BQ220" s="8"/>
      <c r="BR220" s="8"/>
      <c r="BS220" s="8"/>
      <c r="BT220" s="8"/>
      <c r="BU220" s="8"/>
      <c r="BV220" s="8"/>
      <c r="BW220" s="8"/>
      <c r="BX220" s="8"/>
      <c r="BY220" s="8"/>
      <c r="BZ220" s="8"/>
      <c r="CA220" s="8"/>
      <c r="CB220" s="8"/>
      <c r="CC220" s="8"/>
      <c r="CD220" s="8"/>
      <c r="CE220" s="8"/>
      <c r="CF220" s="8"/>
      <c r="CG220" s="8"/>
      <c r="CH220" s="8"/>
    </row>
    <row r="221" spans="1:86" x14ac:dyDescent="0.2">
      <c r="A221" s="8" t="str">
        <f>IF(AND(COUNTIF(W$3:W$13,A$35)&gt;0,A$35&lt;&gt;B38),A$35,IFERROR(IF(MATCH(A$35,Z$3:Z$13,0)=8,A$35," ")," "))</f>
        <v>C21</v>
      </c>
      <c r="B221" s="8">
        <f>IF(A221=" "," ",MAX(B201:B220)+1)</f>
        <v>10</v>
      </c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U221" s="8"/>
      <c r="V221" s="8"/>
      <c r="W221" s="8"/>
      <c r="X221" s="8"/>
      <c r="Y221" s="8"/>
      <c r="Z221" s="8"/>
      <c r="AA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M221" s="8"/>
      <c r="AN221" s="8"/>
      <c r="AO221" s="8"/>
      <c r="AP221" s="8"/>
      <c r="AQ221" s="8"/>
      <c r="AR221" s="8"/>
      <c r="AS221" s="8"/>
      <c r="AT221" s="8"/>
      <c r="AU221" s="8"/>
      <c r="AV221" s="8"/>
      <c r="AW221" s="8"/>
      <c r="AX221" s="8"/>
      <c r="AY221" s="8"/>
      <c r="AZ221" s="8"/>
      <c r="BA221" s="8"/>
      <c r="BB221" s="8"/>
      <c r="BC221" s="8"/>
      <c r="BD221" s="8"/>
      <c r="BE221" s="8"/>
      <c r="BF221" s="8"/>
      <c r="BG221" s="8"/>
      <c r="BH221" s="8"/>
      <c r="BI221" s="8"/>
      <c r="BJ221" s="8"/>
      <c r="BK221" s="8"/>
      <c r="BL221" s="8"/>
      <c r="BM221" s="8"/>
      <c r="BN221" s="8"/>
      <c r="BO221" s="8"/>
      <c r="BP221" s="8"/>
      <c r="BQ221" s="8"/>
      <c r="BR221" s="8"/>
      <c r="BS221" s="8"/>
      <c r="BT221" s="8"/>
      <c r="BU221" s="8"/>
      <c r="BV221" s="8"/>
      <c r="BW221" s="8"/>
      <c r="BX221" s="8"/>
      <c r="BY221" s="8"/>
      <c r="BZ221" s="8"/>
      <c r="CA221" s="8"/>
      <c r="CB221" s="8"/>
      <c r="CC221" s="8"/>
      <c r="CD221" s="8"/>
      <c r="CE221" s="8"/>
      <c r="CF221" s="8"/>
      <c r="CG221" s="8"/>
      <c r="CH221" s="8"/>
    </row>
    <row r="222" spans="1:86" x14ac:dyDescent="0.2">
      <c r="A222" s="8" t="str">
        <f>IF(AND(COUNTIF(W$3:W$13,A$36)&gt;0,A$36&lt;&gt;B38),A$36,IFERROR(IF(MATCH(A$36,Z$3:Z$13,0)=8,A$36," ")," "))</f>
        <v>C22</v>
      </c>
      <c r="B222" s="8">
        <f>IF(A222=" "," ",MAX(B201:B221)+1)</f>
        <v>11</v>
      </c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U222" s="8"/>
      <c r="V222" s="8"/>
      <c r="W222" s="8"/>
      <c r="X222" s="8"/>
      <c r="Y222" s="8"/>
      <c r="Z222" s="8"/>
      <c r="AA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  <c r="AN222" s="8"/>
      <c r="AO222" s="8"/>
      <c r="AP222" s="8"/>
      <c r="AQ222" s="8"/>
      <c r="AR222" s="8"/>
      <c r="AS222" s="8"/>
      <c r="AT222" s="8"/>
      <c r="AU222" s="8"/>
      <c r="AV222" s="8"/>
      <c r="AW222" s="8"/>
      <c r="AX222" s="8"/>
      <c r="AY222" s="8"/>
      <c r="AZ222" s="8"/>
      <c r="BA222" s="8"/>
      <c r="BB222" s="8"/>
      <c r="BC222" s="8"/>
      <c r="BD222" s="8"/>
      <c r="BE222" s="8"/>
      <c r="BF222" s="8"/>
      <c r="BG222" s="8"/>
      <c r="BH222" s="8"/>
      <c r="BI222" s="8"/>
      <c r="BJ222" s="8"/>
      <c r="BK222" s="8"/>
      <c r="BL222" s="8"/>
      <c r="BM222" s="8"/>
      <c r="BN222" s="8"/>
      <c r="BO222" s="8"/>
      <c r="BP222" s="8"/>
      <c r="BQ222" s="8"/>
      <c r="BR222" s="8"/>
      <c r="BS222" s="8"/>
      <c r="BT222" s="8"/>
      <c r="BU222" s="8"/>
      <c r="BV222" s="8"/>
      <c r="BW222" s="8"/>
      <c r="BX222" s="8"/>
      <c r="BY222" s="8"/>
      <c r="BZ222" s="8"/>
      <c r="CA222" s="8"/>
      <c r="CB222" s="8"/>
      <c r="CC222" s="8"/>
      <c r="CD222" s="8"/>
      <c r="CE222" s="8"/>
      <c r="CF222" s="8"/>
      <c r="CG222" s="8"/>
      <c r="CH222" s="8"/>
    </row>
    <row r="223" spans="1:86" x14ac:dyDescent="0.2">
      <c r="A223" s="11" t="s">
        <v>17</v>
      </c>
      <c r="B223" s="11"/>
      <c r="C223" s="15" t="s">
        <v>18</v>
      </c>
      <c r="D223" s="13" t="s">
        <v>2</v>
      </c>
      <c r="E223" s="13" t="s">
        <v>6</v>
      </c>
      <c r="F223" s="13" t="s">
        <v>15</v>
      </c>
      <c r="G223" s="13" t="s">
        <v>36</v>
      </c>
      <c r="H223" s="13" t="s">
        <v>37</v>
      </c>
      <c r="I223" s="13" t="s">
        <v>38</v>
      </c>
      <c r="J223" s="13" t="s">
        <v>39</v>
      </c>
      <c r="K223" s="13" t="s">
        <v>40</v>
      </c>
      <c r="L223" s="13" t="s">
        <v>41</v>
      </c>
      <c r="M223" s="13" t="s">
        <v>42</v>
      </c>
      <c r="N223" s="13" t="s">
        <v>43</v>
      </c>
      <c r="O223" s="13" t="s">
        <v>9</v>
      </c>
      <c r="P223" s="15" t="s">
        <v>12</v>
      </c>
      <c r="Q223" s="27" t="s">
        <v>19</v>
      </c>
      <c r="R223" s="15" t="s">
        <v>55</v>
      </c>
      <c r="S223" s="15" t="s">
        <v>26</v>
      </c>
      <c r="T223" s="19" t="s">
        <v>25</v>
      </c>
      <c r="U223" s="29" t="s">
        <v>27</v>
      </c>
      <c r="V223" s="29" t="s">
        <v>9</v>
      </c>
      <c r="W223" s="29" t="s">
        <v>23</v>
      </c>
      <c r="X223" s="29" t="s">
        <v>12</v>
      </c>
      <c r="Y223" s="29" t="s">
        <v>26</v>
      </c>
      <c r="Z223" s="29" t="s">
        <v>25</v>
      </c>
      <c r="AA223" s="29" t="s">
        <v>27</v>
      </c>
      <c r="AB223" s="31" t="s">
        <v>9</v>
      </c>
      <c r="AC223" s="29" t="s">
        <v>23</v>
      </c>
      <c r="AD223" s="29" t="s">
        <v>12</v>
      </c>
      <c r="AE223" s="29" t="s">
        <v>26</v>
      </c>
      <c r="AF223" s="29" t="s">
        <v>25</v>
      </c>
      <c r="AG223" s="29" t="s">
        <v>27</v>
      </c>
      <c r="AH223" s="29" t="s">
        <v>9</v>
      </c>
      <c r="AI223" s="29" t="s">
        <v>23</v>
      </c>
      <c r="AJ223" s="29" t="s">
        <v>12</v>
      </c>
      <c r="AK223" s="29" t="s">
        <v>26</v>
      </c>
      <c r="AL223" s="29" t="s">
        <v>25</v>
      </c>
      <c r="AM223" s="29" t="s">
        <v>27</v>
      </c>
      <c r="AN223" s="29" t="s">
        <v>9</v>
      </c>
      <c r="AO223" s="29" t="s">
        <v>23</v>
      </c>
      <c r="AP223" s="29" t="s">
        <v>12</v>
      </c>
      <c r="AQ223" s="29" t="s">
        <v>26</v>
      </c>
      <c r="AR223" s="29" t="s">
        <v>25</v>
      </c>
      <c r="AS223" s="29" t="s">
        <v>27</v>
      </c>
      <c r="AT223" s="29" t="s">
        <v>9</v>
      </c>
      <c r="AU223" s="29" t="s">
        <v>23</v>
      </c>
      <c r="AV223" s="29" t="s">
        <v>12</v>
      </c>
      <c r="AW223" s="29" t="s">
        <v>26</v>
      </c>
      <c r="AX223" s="29" t="s">
        <v>25</v>
      </c>
      <c r="AY223" s="29" t="s">
        <v>27</v>
      </c>
      <c r="AZ223" s="29" t="s">
        <v>9</v>
      </c>
      <c r="BA223" s="29" t="s">
        <v>23</v>
      </c>
      <c r="BB223" s="29" t="s">
        <v>12</v>
      </c>
      <c r="BC223" s="29" t="s">
        <v>26</v>
      </c>
      <c r="BD223" s="29" t="s">
        <v>25</v>
      </c>
      <c r="BE223" s="29" t="s">
        <v>27</v>
      </c>
      <c r="BF223" s="29" t="s">
        <v>9</v>
      </c>
      <c r="BG223" s="29" t="s">
        <v>23</v>
      </c>
      <c r="BH223" s="29" t="s">
        <v>12</v>
      </c>
      <c r="BI223" s="29" t="s">
        <v>26</v>
      </c>
      <c r="BJ223" s="29" t="s">
        <v>25</v>
      </c>
      <c r="BK223" s="29" t="s">
        <v>27</v>
      </c>
      <c r="BL223" s="29" t="s">
        <v>9</v>
      </c>
      <c r="BM223" s="29" t="s">
        <v>23</v>
      </c>
      <c r="BN223" s="29" t="s">
        <v>12</v>
      </c>
      <c r="BO223" s="29" t="s">
        <v>26</v>
      </c>
      <c r="BP223" s="29" t="s">
        <v>25</v>
      </c>
      <c r="BQ223" s="29" t="s">
        <v>27</v>
      </c>
      <c r="BR223" s="29" t="s">
        <v>9</v>
      </c>
      <c r="BS223" s="29" t="s">
        <v>23</v>
      </c>
      <c r="BT223" s="29" t="s">
        <v>12</v>
      </c>
      <c r="BU223" s="29" t="s">
        <v>26</v>
      </c>
      <c r="BV223" s="29" t="s">
        <v>25</v>
      </c>
      <c r="BW223" s="29" t="s">
        <v>27</v>
      </c>
      <c r="BX223" s="29" t="s">
        <v>9</v>
      </c>
      <c r="BY223" s="29" t="s">
        <v>23</v>
      </c>
      <c r="BZ223" s="29" t="s">
        <v>12</v>
      </c>
      <c r="CA223" s="29" t="s">
        <v>26</v>
      </c>
      <c r="CB223" s="29" t="s">
        <v>25</v>
      </c>
      <c r="CC223" s="29" t="s">
        <v>27</v>
      </c>
      <c r="CD223" s="29" t="s">
        <v>9</v>
      </c>
      <c r="CE223" s="29" t="s">
        <v>23</v>
      </c>
      <c r="CF223" s="29" t="s">
        <v>12</v>
      </c>
      <c r="CG223" s="29" t="s">
        <v>26</v>
      </c>
      <c r="CH223" s="29" t="s">
        <v>25</v>
      </c>
    </row>
    <row r="224" spans="1:86" x14ac:dyDescent="0.2">
      <c r="A224" s="8" t="str">
        <f>IF(AND(COUNTIF(W$3:W$13,A$15)&gt;0,A$15&lt;&gt;B38),A$15,IFERROR(IF(MATCH(A$15,Z$3:Z$13,0)=9,A$15," ")," "))</f>
        <v xml:space="preserve"> </v>
      </c>
      <c r="B224" s="8" t="str">
        <f>IF(A224=" "," ",1)</f>
        <v xml:space="preserve"> </v>
      </c>
      <c r="C224" s="8" t="str">
        <f>IFERROR(INDEX(A224:A245,MATCH(SMALL(B224:B245,1),B224:B245,0),1)," ")</f>
        <v>C4</v>
      </c>
      <c r="D224" s="8">
        <f>IFERROR(VLOOKUP($C224,$A$15:$O$36,2,FALSE)," ")</f>
        <v>1</v>
      </c>
      <c r="E224" s="8">
        <f>IFERROR(VLOOKUP($C224,$A$15:$O$36,3,FALSE)," ")</f>
        <v>0</v>
      </c>
      <c r="F224" s="8">
        <f>IFERROR(VLOOKUP($C224,$A$15:$O$36,4,FALSE)," ")</f>
        <v>1</v>
      </c>
      <c r="G224" s="8">
        <f>IFERROR(VLOOKUP($C224,$A$15:$O$36,5,FALSE)," ")</f>
        <v>0</v>
      </c>
      <c r="H224" s="8">
        <f>IFERROR(VLOOKUP($C224,$A$15:$O$36,6,FALSE)," ")</f>
        <v>0</v>
      </c>
      <c r="I224" s="8">
        <f>IFERROR(VLOOKUP($C224,$A$15:$O$36,7,FALSE)," ")</f>
        <v>0</v>
      </c>
      <c r="J224" s="8">
        <f>IFERROR(VLOOKUP($C224,$A$15:$O$36,8,FALSE)," ")</f>
        <v>0</v>
      </c>
      <c r="K224" s="8">
        <f>IFERROR(VLOOKUP($C224,$A$15:$O$36,9,FALSE)," ")</f>
        <v>0</v>
      </c>
      <c r="L224" s="8">
        <f>IFERROR(VLOOKUP($C224,$A$15:$O$36,10,FALSE)," ")</f>
        <v>0</v>
      </c>
      <c r="M224" s="8">
        <f>IFERROR(VLOOKUP($C224,$A$15:$O$36,11,FALSE)," ")</f>
        <v>0</v>
      </c>
      <c r="N224" s="8">
        <f>IFERROR(VLOOKUP($C224,$A$15:$O$36,12,FALSE)," ")</f>
        <v>0</v>
      </c>
      <c r="O224" s="8">
        <f>IFERROR(VLOOKUP($C224,$A$15:$O$36,15,FALSE)," ")</f>
        <v>400</v>
      </c>
      <c r="P224" s="8" t="e">
        <f t="array" ref="P224:P234">MMULT(MINVERSE(D224:N234),O224:O234)</f>
        <v>#NUM!</v>
      </c>
      <c r="Q224" s="8" t="e">
        <f t="shared" ref="Q224" si="721">IF(COUNTIF(P224:P234,"&lt;"&amp;-0.001)=0,IF(ABS(P224)&lt;0.001,0,P224)," ")</f>
        <v>#NUM!</v>
      </c>
      <c r="R224" s="8" t="str">
        <f>IFERROR(VLOOKUP(B38,A$15:L$36,2,FALSE)*Q224+VLOOKUP(B38,A$15:L$36,3,FALSE)*Q225+VLOOKUP(B38,A$15:L$36,4,FALSE)*Q226+VLOOKUP(B38,A$15:L$36,5,FALSE)*Q227+VLOOKUP(B38,A$15:L$36,6,FALSE)*Q228+VLOOKUP(B38,A$15:L$36,7,FALSE)*Q229+VLOOKUP(B38,A$15:L$36,8,FALSE)*Q230+VLOOKUP(B38,A$15:L$36,9,FALSE)*Q231+VLOOKUP(B38,A$15:L$36,10,FALSE)*Q232+VLOOKUP(B38,A$15:L$36,11,FALSE)*Q233+VLOOKUP(B38,A$15:L$36,12,FALSE)*Q234," ")</f>
        <v xml:space="preserve"> </v>
      </c>
      <c r="S224" s="8" t="str">
        <f>IFERROR(IF(R224-VLOOKUP(B38,A$15:O$36,15,FALSE)&lt;0,R224-VLOOKUP(B38,A$15:O$36,15,FALSE)," ")," ")</f>
        <v xml:space="preserve"> </v>
      </c>
      <c r="T224" s="18" t="str">
        <f>IFERROR(IF(R224-VLOOKUP(B38,A$15:O$36,15,FALSE)&gt;0,R224-VLOOKUP(B38,A$15:O$36,15,FALSE)," ")," ")</f>
        <v xml:space="preserve"> </v>
      </c>
      <c r="U224" s="8">
        <f t="shared" ref="U224" si="722">$M$2</f>
        <v>100.00000000000001</v>
      </c>
      <c r="V224" s="8">
        <v>-1</v>
      </c>
      <c r="W224" s="8">
        <f t="shared" ref="W224" si="723">-SUMPRODUCT($M$3:$M$12,$N$3:$N$12)</f>
        <v>-105000</v>
      </c>
      <c r="X224" s="8" t="e">
        <f t="shared" ref="X224" si="724">IF(U224&lt;&gt;U225,MMULT(MINVERSE(U224:V225),W224:W225)," ")</f>
        <v>#NUM!</v>
      </c>
      <c r="Y224" s="8" t="str">
        <f t="shared" ref="Y224" si="725">IFERROR(IF(X224-VLOOKUP(U$38,$A$2:$N$12,14,FALSE)&lt;0,X224-VLOOKUP(U$38,$A$2:$N$12,14,FALSE)," ")," ")</f>
        <v xml:space="preserve"> </v>
      </c>
      <c r="Z224" s="8" t="str">
        <f t="shared" ref="Z224" si="726">IFERROR(IF(X224-VLOOKUP(U$38,$A$2:$N$12,14,FALSE)&gt;0,X224-VLOOKUP(U$38,$A$2:$N$12,14,FALSE)," ")," ")</f>
        <v xml:space="preserve"> </v>
      </c>
      <c r="AA224" s="8">
        <f t="shared" ref="AA224" si="727">$M$3</f>
        <v>0</v>
      </c>
      <c r="AB224" s="32">
        <v>-1</v>
      </c>
      <c r="AC224" s="8">
        <f t="shared" ref="AC224" si="728">-SUMPRODUCT($M$2:$M$2,$N$2:$N$2)-SUMPRODUCT($M$4:$M$12,$N$4:$N$12)</f>
        <v>-120000</v>
      </c>
      <c r="AD224" s="8" t="e">
        <f t="shared" ref="AD224" si="729">IF(AA224&lt;&gt;AA225,MMULT(MINVERSE(AA224:AB225),AC224:AC225)," ")</f>
        <v>#NUM!</v>
      </c>
      <c r="AE224" s="8" t="str">
        <f t="shared" ref="AE224" si="730">IFERROR(IF(AD224-VLOOKUP(AA$38,$A$2:$N$12,14,FALSE)&lt;0,AD224-VLOOKUP(AA$38,$A$2:$N$12,14,FALSE)," ")," ")</f>
        <v xml:space="preserve"> </v>
      </c>
      <c r="AF224" s="8" t="str">
        <f t="shared" ref="AF224" si="731">IFERROR(IF(AD224-VLOOKUP(AA$38,$A$2:$N$12,14,FALSE)&gt;0,AD224-VLOOKUP(AA$38,$A$2:$N$12,14,FALSE)," ")," ")</f>
        <v xml:space="preserve"> </v>
      </c>
      <c r="AG224" s="8">
        <f t="shared" ref="AG224" si="732">$M$4</f>
        <v>300</v>
      </c>
      <c r="AH224" s="8">
        <v>-1</v>
      </c>
      <c r="AI224" s="8">
        <f t="shared" ref="AI224" si="733">-SUMPRODUCT($M$2:$M$3,$N$2:$N$3)-SUMPRODUCT($M$5:$M$12,$N$5:$N$12)</f>
        <v>-15000.000000000002</v>
      </c>
      <c r="AJ224" s="8" t="e">
        <f t="shared" ref="AJ224" si="734">IF(AG224&lt;&gt;AG225,MMULT(MINVERSE(AG224:AH225),AI224:AI225)," ")</f>
        <v>#NUM!</v>
      </c>
      <c r="AK224" s="8" t="str">
        <f t="shared" ref="AK224" si="735">IFERROR(IF(AJ224-VLOOKUP(AG$38,$A$2:$N$12,14,FALSE)&lt;0,AJ224-VLOOKUP(AG$38,$A$2:$N$12,14,FALSE)," ")," ")</f>
        <v xml:space="preserve"> </v>
      </c>
      <c r="AL224" s="8" t="str">
        <f t="shared" ref="AL224" si="736">IFERROR(IF(AJ224-VLOOKUP(AG$38,$A$2:$N$12,14,FALSE)&gt;0,AJ224-VLOOKUP(AG$38,$A$2:$N$12,14,FALSE)," ")," ")</f>
        <v xml:space="preserve"> </v>
      </c>
      <c r="AM224" s="8">
        <f t="shared" ref="AM224" si="737">$M$5</f>
        <v>0</v>
      </c>
      <c r="AN224" s="8">
        <v>-1</v>
      </c>
      <c r="AO224" s="8">
        <f t="shared" ref="AO224" si="738">-SUMPRODUCT($M$2:$M$4,$N$2:$N$4)-SUMPRODUCT($M$6:$M$12,$N$6:$N$12)</f>
        <v>-120000</v>
      </c>
      <c r="AP224" s="8" t="e">
        <f t="shared" ref="AP224" si="739">IF(AM224&lt;&gt;AM225,MMULT(MINVERSE(AM224:AN225),AO224:AO225)," ")</f>
        <v>#NUM!</v>
      </c>
      <c r="AQ224" s="8" t="str">
        <f t="shared" ref="AQ224" si="740">IFERROR(IF(AP224-VLOOKUP(AM$38,$A$2:$N$12,14,FALSE)&lt;0,AP224-VLOOKUP(AM$38,$A$2:$N$12,14,FALSE)," ")," ")</f>
        <v xml:space="preserve"> </v>
      </c>
      <c r="AR224" s="8" t="str">
        <f t="shared" ref="AR224" si="741">IFERROR(IF(AP224-VLOOKUP(AM$38,$A$2:$N$12,14,FALSE)&gt;0,AP224-VLOOKUP(AM$38,$A$2:$N$12,14,FALSE)," ")," ")</f>
        <v xml:space="preserve"> </v>
      </c>
      <c r="AS224" s="8">
        <f t="shared" ref="AS224" si="742">$M$6</f>
        <v>0</v>
      </c>
      <c r="AT224" s="8">
        <v>-1</v>
      </c>
      <c r="AU224" s="8">
        <f t="shared" ref="AU224" si="743">-SUMPRODUCT($M$2:$M$5,$N$2:$N$5)-SUMPRODUCT($M$7:$M$12,$N$7:$N$12)</f>
        <v>-120000</v>
      </c>
      <c r="AV224" s="8" t="e">
        <f t="shared" ref="AV224" si="744">IF(AS224&lt;&gt;AS225,MMULT(MINVERSE(AS224:AT225),AU224:AU225)," ")</f>
        <v>#NUM!</v>
      </c>
      <c r="AW224" s="8" t="str">
        <f t="shared" ref="AW224" si="745">IFERROR(IF(AV224-VLOOKUP(AS$38,$A$2:$N$12,14,FALSE)&lt;0,AV224-VLOOKUP(AS$38,$A$2:$N$12,14,FALSE)," ")," ")</f>
        <v xml:space="preserve"> </v>
      </c>
      <c r="AX224" s="8" t="str">
        <f t="shared" ref="AX224" si="746">IFERROR(IF(AV224-VLOOKUP(AS$38,$A$2:$N$12,14,FALSE)&gt;0,AV224-VLOOKUP(AS$38,$A$2:$N$12,14,FALSE)," ")," ")</f>
        <v xml:space="preserve"> </v>
      </c>
      <c r="AY224" s="8">
        <f t="shared" ref="AY224" si="747">$M$7</f>
        <v>0</v>
      </c>
      <c r="AZ224" s="8">
        <v>-1</v>
      </c>
      <c r="BA224" s="8">
        <f t="shared" ref="BA224" si="748">-SUMPRODUCT($M$2:$M$6,$N$2:$N$6)-SUMPRODUCT($M$8:$M$12,$N$8:$N$12)</f>
        <v>-120000</v>
      </c>
      <c r="BB224" s="8" t="e">
        <f t="shared" ref="BB224" si="749">IF(AY224&lt;&gt;AY225,MMULT(MINVERSE(AY224:AZ225),BA224:BA225)," ")</f>
        <v>#NUM!</v>
      </c>
      <c r="BC224" s="8" t="str">
        <f t="shared" ref="BC224" si="750">IFERROR(IF(BB224-VLOOKUP(AY$38,$A$2:$N$12,14,FALSE)&lt;0,BB224-VLOOKUP(AY$38,$A$2:$N$12,14,FALSE)," ")," ")</f>
        <v xml:space="preserve"> </v>
      </c>
      <c r="BD224" s="8" t="str">
        <f t="shared" ref="BD224" si="751">IFERROR(IF(BB224-VLOOKUP(AY$38,$A$2:$N$12,14,FALSE)&gt;0,BB224-VLOOKUP(AY$38,$A$2:$N$12,14,FALSE)," ")," ")</f>
        <v xml:space="preserve"> </v>
      </c>
      <c r="BE224" s="8">
        <f t="shared" ref="BE224" si="752">$M$8</f>
        <v>0</v>
      </c>
      <c r="BF224" s="8">
        <v>-1</v>
      </c>
      <c r="BG224" s="8">
        <f t="shared" ref="BG224" si="753">-SUMPRODUCT($M$2:$M$7,$N$2:$N$7)-SUMPRODUCT($M$9:$M$12,$N$9:$N$12)</f>
        <v>-120000</v>
      </c>
      <c r="BH224" s="8" t="e">
        <f t="shared" ref="BH224" si="754">IF(BE224&lt;&gt;BE225,MMULT(MINVERSE(BE224:BF225),BG224:BG225)," ")</f>
        <v>#NUM!</v>
      </c>
      <c r="BI224" s="8" t="str">
        <f t="shared" ref="BI224" si="755">IFERROR(IF(BH224-VLOOKUP(BE$38,$A$2:$N$12,14,FALSE)&lt;0,BH224-VLOOKUP(BE$38,$A$2:$N$12,14,FALSE)," ")," ")</f>
        <v xml:space="preserve"> </v>
      </c>
      <c r="BJ224" s="8" t="str">
        <f t="shared" ref="BJ224" si="756">IFERROR(IF(BH224-VLOOKUP(BE$38,$A$2:$N$12,14,FALSE)&gt;0,BH224-VLOOKUP(BE$38,$A$2:$N$12,14,FALSE)," ")," ")</f>
        <v xml:space="preserve"> </v>
      </c>
      <c r="BK224" s="8">
        <f t="shared" ref="BK224" si="757">$M$9</f>
        <v>0</v>
      </c>
      <c r="BL224" s="8">
        <v>-1</v>
      </c>
      <c r="BM224" s="8">
        <f t="shared" ref="BM224" si="758">-SUMPRODUCT($M$2:$M$8,$N$2:$N$8)-SUMPRODUCT($M$10:$M$12,$N$10:$N$12)</f>
        <v>-120000</v>
      </c>
      <c r="BN224" s="8" t="e">
        <f t="shared" ref="BN224" si="759">IF(BK224&lt;&gt;BK225,MMULT(MINVERSE(BK224:BL225),BM224:BM225)," ")</f>
        <v>#NUM!</v>
      </c>
      <c r="BO224" s="8" t="str">
        <f t="shared" ref="BO224" si="760">IFERROR(IF(BN224-VLOOKUP(BK$38,$A$2:$N$12,14,FALSE)&lt;0,BN224-VLOOKUP(BK$38,$A$2:$N$12,14,FALSE)," ")," ")</f>
        <v xml:space="preserve"> </v>
      </c>
      <c r="BP224" s="8" t="str">
        <f t="shared" ref="BP224" si="761">IFERROR(IF(BN224-VLOOKUP(BK$38,$A$2:$N$12,14,FALSE)&gt;0,BN224-VLOOKUP(BK$38,$A$2:$N$12,14,FALSE)," ")," ")</f>
        <v xml:space="preserve"> </v>
      </c>
      <c r="BQ224" s="8">
        <f t="shared" ref="BQ224" si="762">$M$10</f>
        <v>0</v>
      </c>
      <c r="BR224" s="8">
        <v>-1</v>
      </c>
      <c r="BS224" s="8">
        <f t="shared" ref="BS224" si="763">-SUMPRODUCT($M$2:$M$9,$N$2:$N$9)-SUMPRODUCT($M$11:$M$12,$N$11:$N$12)</f>
        <v>-120000</v>
      </c>
      <c r="BT224" s="8" t="e">
        <f t="shared" ref="BT224" si="764">IF(BQ224&lt;&gt;BQ225,MMULT(MINVERSE(BQ224:BR225),BS224:BS225)," ")</f>
        <v>#NUM!</v>
      </c>
      <c r="BU224" s="8" t="str">
        <f t="shared" ref="BU224" si="765">IFERROR(IF(BT224-VLOOKUP(BQ$38,$A$2:$N$12,14,FALSE)&lt;0,BT224-VLOOKUP(BQ$38,$A$2:$N$12,14,FALSE)," ")," ")</f>
        <v xml:space="preserve"> </v>
      </c>
      <c r="BV224" s="8" t="str">
        <f t="shared" ref="BV224" si="766">IFERROR(IF(BT224-VLOOKUP(BQ$38,$A$2:$N$12,14,FALSE)&gt;0,BT224-VLOOKUP(BQ$38,$A$2:$N$12,14,FALSE)," ")," ")</f>
        <v xml:space="preserve"> </v>
      </c>
      <c r="BW224" s="8">
        <f t="shared" ref="BW224" si="767">$M$11</f>
        <v>0</v>
      </c>
      <c r="BX224" s="8">
        <v>-1</v>
      </c>
      <c r="BY224" s="8">
        <f t="shared" ref="BY224" si="768">-SUMPRODUCT($M$2:$M$10,$N$2:$N$10)-SUMPRODUCT($M$12,$N$12)</f>
        <v>-120000</v>
      </c>
      <c r="BZ224" s="8" t="e">
        <f t="shared" ref="BZ224" si="769">IF(BW224&lt;&gt;BW225,MMULT(MINVERSE(BW224:BX225),BY224:BY225)," ")</f>
        <v>#NUM!</v>
      </c>
      <c r="CA224" s="8" t="str">
        <f t="shared" ref="CA224" si="770">IFERROR(IF(BZ224-VLOOKUP(BW$38,$A$2:$N$12,14,FALSE)&lt;0,BZ224-VLOOKUP(BW$38,$A$2:$N$12,14,FALSE)," ")," ")</f>
        <v xml:space="preserve"> </v>
      </c>
      <c r="CB224" s="8" t="str">
        <f t="shared" ref="CB224" si="771">IFERROR(IF(BZ224-VLOOKUP(BW$38,$A$2:$N$12,14,FALSE)&gt;0,BZ224-VLOOKUP(BW$38,$A$2:$N$12,14,FALSE)," ")," ")</f>
        <v xml:space="preserve"> </v>
      </c>
      <c r="CC224" s="8">
        <f t="shared" ref="CC224" si="772">$M$12</f>
        <v>0</v>
      </c>
      <c r="CD224" s="8">
        <v>-1</v>
      </c>
      <c r="CE224" s="8">
        <f t="shared" ref="CE224" si="773">-SUMPRODUCT($M$2:$M$11,$N$2:$N$11)</f>
        <v>-120000</v>
      </c>
      <c r="CF224" s="8" t="e">
        <f t="shared" ref="CF224" si="774">IF(CC224&lt;&gt;CC225,MMULT(MINVERSE(CC224:CD225),CE224:CE225)," ")</f>
        <v>#NUM!</v>
      </c>
      <c r="CG224" s="8" t="str">
        <f t="shared" ref="CG224" si="775">IFERROR(IF(CF224-VLOOKUP(CC$38,$A$2:$N$12,14,FALSE)&lt;0,CF224-VLOOKUP(CC$38,$A$2:$N$12,14,FALSE)," ")," ")</f>
        <v xml:space="preserve"> </v>
      </c>
      <c r="CH224" s="8" t="str">
        <f t="shared" ref="CH224" si="776">IFERROR(IF(CF224-VLOOKUP(CC$38,$A$2:$N$12,14,FALSE)&gt;0,CF224-VLOOKUP(CC$38,$A$2:$N$12,14,FALSE)," ")," ")</f>
        <v xml:space="preserve"> </v>
      </c>
    </row>
    <row r="225" spans="1:86" x14ac:dyDescent="0.2">
      <c r="A225" s="8" t="str">
        <f>IF(AND(COUNTIF(W$3:W$13,A$16)&gt;0,A$16&lt;&gt;B38),A$16,IFERROR(IF(MATCH(A$16,Z$3:Z$13,0)=9,A$16," ")," "))</f>
        <v xml:space="preserve"> </v>
      </c>
      <c r="B225" s="8" t="str">
        <f>IF(A225=" "," ",MAX(B224:B224)+1)</f>
        <v xml:space="preserve"> </v>
      </c>
      <c r="C225" s="8" t="str">
        <f>IFERROR(INDEX(A224:A245,MATCH(SMALL(B224:B245,2),B224:B245,0),1)," ")</f>
        <v>C11</v>
      </c>
      <c r="D225" s="8">
        <f t="shared" ref="D225:D234" si="777">IFERROR(VLOOKUP($C225,$A$15:$O$36,2,FALSE)," ")</f>
        <v>0</v>
      </c>
      <c r="E225" s="8">
        <f t="shared" ref="E225:E234" si="778">IFERROR(VLOOKUP($C225,$A$15:$O$36,3,FALSE)," ")</f>
        <v>0</v>
      </c>
      <c r="F225" s="8">
        <f t="shared" ref="F225:F234" si="779">IFERROR(VLOOKUP($C225,$A$15:$O$36,4,FALSE)," ")</f>
        <v>0</v>
      </c>
      <c r="G225" s="8">
        <f t="shared" ref="G225:G234" si="780">IFERROR(VLOOKUP($C225,$A$15:$O$36,5,FALSE)," ")</f>
        <v>0</v>
      </c>
      <c r="H225" s="8">
        <f t="shared" ref="H225:H234" si="781">IFERROR(VLOOKUP($C225,$A$15:$O$36,6,FALSE)," ")</f>
        <v>0</v>
      </c>
      <c r="I225" s="8">
        <f t="shared" ref="I225:I234" si="782">IFERROR(VLOOKUP($C225,$A$15:$O$36,7,FALSE)," ")</f>
        <v>0</v>
      </c>
      <c r="J225" s="8">
        <f t="shared" ref="J225:J234" si="783">IFERROR(VLOOKUP($C225,$A$15:$O$36,8,FALSE)," ")</f>
        <v>0</v>
      </c>
      <c r="K225" s="8">
        <f t="shared" ref="K225:K234" si="784">IFERROR(VLOOKUP($C225,$A$15:$O$36,9,FALSE)," ")</f>
        <v>0</v>
      </c>
      <c r="L225" s="8">
        <f t="shared" ref="L225:L234" si="785">IFERROR(VLOOKUP($C225,$A$15:$O$36,10,FALSE)," ")</f>
        <v>0</v>
      </c>
      <c r="M225" s="8">
        <f t="shared" ref="M225:M234" si="786">IFERROR(VLOOKUP($C225,$A$15:$O$36,11,FALSE)," ")</f>
        <v>0</v>
      </c>
      <c r="N225" s="8">
        <f t="shared" ref="N225:N234" si="787">IFERROR(VLOOKUP($C225,$A$15:$O$36,12,FALSE)," ")</f>
        <v>0</v>
      </c>
      <c r="O225" s="8">
        <f t="shared" ref="O225:O234" si="788">IFERROR(VLOOKUP($C225,$A$15:$O$36,15,FALSE)," ")</f>
        <v>0</v>
      </c>
      <c r="P225" s="8" t="e">
        <v>#NUM!</v>
      </c>
      <c r="Q225" s="8" t="e">
        <f t="shared" ref="Q225" si="789">IF(COUNTIF(P224:P234,"&lt;"&amp;-0.001)=0,IF(ABS(P225)&lt;0.001,0,P225)," ")</f>
        <v>#NUM!</v>
      </c>
      <c r="R225" s="8"/>
      <c r="S225" s="8"/>
      <c r="U225" s="8" t="e">
        <f t="shared" ref="U225" si="790">$Q224</f>
        <v>#NUM!</v>
      </c>
      <c r="V225" s="8">
        <v>-1</v>
      </c>
      <c r="W225" s="8" t="e">
        <f t="shared" ref="W225" si="791">-SUMPRODUCT($Q225:$Q234,$N$3:$N$12)</f>
        <v>#NUM!</v>
      </c>
      <c r="X225" s="8"/>
      <c r="Y225" s="8"/>
      <c r="Z225" s="8"/>
      <c r="AA225" s="8" t="e">
        <f t="shared" ref="AA225" si="792">$Q225</f>
        <v>#NUM!</v>
      </c>
      <c r="AB225" s="32">
        <v>-1</v>
      </c>
      <c r="AC225" s="8" t="e">
        <f t="shared" ref="AC225" si="793">-SUMPRODUCT($Q224:$Q224,$N$2:$N$2)-SUMPRODUCT($Q226:$Q234,$N$4:$N$12)</f>
        <v>#NUM!</v>
      </c>
      <c r="AD225" s="8"/>
      <c r="AE225" s="8"/>
      <c r="AF225" s="8"/>
      <c r="AG225" s="8" t="e">
        <f t="shared" ref="AG225" si="794">$Q226</f>
        <v>#NUM!</v>
      </c>
      <c r="AH225" s="8">
        <v>-1</v>
      </c>
      <c r="AI225" s="8" t="e">
        <f t="shared" ref="AI225" si="795">-SUMPRODUCT($Q224:$Q225,$N$2:$N$3)-SUMPRODUCT($Q227:$Q234,$N$5:$N$12)</f>
        <v>#NUM!</v>
      </c>
      <c r="AJ225" s="8"/>
      <c r="AK225" s="8"/>
      <c r="AL225" s="8"/>
      <c r="AM225" s="8" t="e">
        <f t="shared" ref="AM225" si="796">$Q227</f>
        <v>#NUM!</v>
      </c>
      <c r="AN225" s="8">
        <v>-1</v>
      </c>
      <c r="AO225" s="8" t="e">
        <f t="shared" ref="AO225" si="797">-SUMPRODUCT($Q224:$Q226,$N$2:$N$4)-SUMPRODUCT($Q228:$Q234,$N$6:$N$12)</f>
        <v>#NUM!</v>
      </c>
      <c r="AP225" s="8"/>
      <c r="AQ225" s="8"/>
      <c r="AR225" s="8"/>
      <c r="AS225" s="8" t="e">
        <f t="shared" ref="AS225" si="798">$Q228</f>
        <v>#NUM!</v>
      </c>
      <c r="AT225" s="8">
        <v>-1</v>
      </c>
      <c r="AU225" s="8" t="e">
        <f t="shared" ref="AU225" si="799">-SUMPRODUCT($Q224:$Q227,$N$2:$N$5)-SUMPRODUCT($Q229:$Q234,$N$7:$N$12)</f>
        <v>#NUM!</v>
      </c>
      <c r="AV225" s="8"/>
      <c r="AW225" s="8"/>
      <c r="AX225" s="8"/>
      <c r="AY225" s="8" t="e">
        <f t="shared" ref="AY225" si="800">$Q229</f>
        <v>#NUM!</v>
      </c>
      <c r="AZ225" s="8">
        <v>-1</v>
      </c>
      <c r="BA225" s="8" t="e">
        <f t="shared" ref="BA225" si="801">-SUMPRODUCT($Q224:$Q228,$N$2:$N$6)-SUMPRODUCT($Q230:$Q234,$N$8:$N$12)</f>
        <v>#NUM!</v>
      </c>
      <c r="BB225" s="8"/>
      <c r="BC225" s="8"/>
      <c r="BD225" s="8"/>
      <c r="BE225" s="8" t="e">
        <f t="shared" ref="BE225" si="802">$Q230</f>
        <v>#NUM!</v>
      </c>
      <c r="BF225" s="8">
        <v>-1</v>
      </c>
      <c r="BG225" s="8" t="e">
        <f t="shared" ref="BG225" si="803">-SUMPRODUCT($Q224:$Q229,$N$2:$N$7)-SUMPRODUCT($Q231:$Q234,$N$9:$N$12)</f>
        <v>#NUM!</v>
      </c>
      <c r="BH225" s="8"/>
      <c r="BI225" s="8"/>
      <c r="BJ225" s="8"/>
      <c r="BK225" s="8" t="e">
        <f t="shared" ref="BK225" si="804">$Q231</f>
        <v>#NUM!</v>
      </c>
      <c r="BL225" s="8">
        <v>-1</v>
      </c>
      <c r="BM225" s="8" t="e">
        <f t="shared" ref="BM225" si="805">-SUMPRODUCT($Q224:$Q230,$N$2:$N$8)-SUMPRODUCT($Q232:$Q234,$N$10:$N$12)</f>
        <v>#NUM!</v>
      </c>
      <c r="BN225" s="8"/>
      <c r="BO225" s="8"/>
      <c r="BP225" s="8"/>
      <c r="BQ225" s="8" t="e">
        <f t="shared" ref="BQ225" si="806">$Q232</f>
        <v>#NUM!</v>
      </c>
      <c r="BR225" s="8">
        <v>-1</v>
      </c>
      <c r="BS225" s="8" t="e">
        <f t="shared" ref="BS225" si="807">-SUMPRODUCT($Q224:$Q231,$N$2:$N$9)-SUMPRODUCT($Q233:$Q234,$N$11:$N$12)</f>
        <v>#NUM!</v>
      </c>
      <c r="BT225" s="8"/>
      <c r="BU225" s="8"/>
      <c r="BV225" s="8"/>
      <c r="BW225" s="8" t="e">
        <f t="shared" ref="BW225" si="808">$Q233</f>
        <v>#NUM!</v>
      </c>
      <c r="BX225" s="8">
        <v>-1</v>
      </c>
      <c r="BY225" s="8" t="e">
        <f t="shared" ref="BY225" si="809">-SUMPRODUCT($Q224:$Q232,$N$2:$N$10)-SUMPRODUCT($Q234,$N$12)</f>
        <v>#NUM!</v>
      </c>
      <c r="BZ225" s="8"/>
      <c r="CA225" s="8"/>
      <c r="CB225" s="8"/>
      <c r="CC225" s="8" t="e">
        <f t="shared" ref="CC225" si="810">$Q234</f>
        <v>#NUM!</v>
      </c>
      <c r="CD225" s="8">
        <v>-1</v>
      </c>
      <c r="CE225" s="8" t="e">
        <f t="shared" ref="CE225" si="811">-SUMPRODUCT($Q224:$Q233,$N$2:$N$11)</f>
        <v>#NUM!</v>
      </c>
      <c r="CF225" s="8"/>
      <c r="CG225" s="8"/>
      <c r="CH225" s="8"/>
    </row>
    <row r="226" spans="1:86" x14ac:dyDescent="0.2">
      <c r="A226" s="8" t="str">
        <f>IF(AND(COUNTIF(W$3:W$13,A$17)&gt;0,A$17&lt;&gt;B38),A$17,IFERROR(IF(MATCH(A$17,Z$3:Z$13,0)=9,A$17," ")," "))</f>
        <v xml:space="preserve"> </v>
      </c>
      <c r="B226" s="8" t="str">
        <f>IF(A226=" "," ",MAX(B224:B225)+1)</f>
        <v xml:space="preserve"> </v>
      </c>
      <c r="C226" s="8" t="str">
        <f>IFERROR(INDEX(A224:A245,MATCH(SMALL(B224:B245,3),B224:B245,0),1)," ")</f>
        <v>C13</v>
      </c>
      <c r="D226" s="8">
        <f t="shared" si="777"/>
        <v>0</v>
      </c>
      <c r="E226" s="8">
        <f t="shared" si="778"/>
        <v>1</v>
      </c>
      <c r="F226" s="8">
        <f t="shared" si="779"/>
        <v>0</v>
      </c>
      <c r="G226" s="8">
        <f t="shared" si="780"/>
        <v>0</v>
      </c>
      <c r="H226" s="8">
        <f t="shared" si="781"/>
        <v>0</v>
      </c>
      <c r="I226" s="8">
        <f t="shared" si="782"/>
        <v>0</v>
      </c>
      <c r="J226" s="8">
        <f t="shared" si="783"/>
        <v>0</v>
      </c>
      <c r="K226" s="8">
        <f t="shared" si="784"/>
        <v>0</v>
      </c>
      <c r="L226" s="8">
        <f t="shared" si="785"/>
        <v>0</v>
      </c>
      <c r="M226" s="8">
        <f t="shared" si="786"/>
        <v>0</v>
      </c>
      <c r="N226" s="8">
        <f t="shared" si="787"/>
        <v>0</v>
      </c>
      <c r="O226" s="8">
        <f t="shared" si="788"/>
        <v>0</v>
      </c>
      <c r="P226" s="8" t="e">
        <v>#NUM!</v>
      </c>
      <c r="Q226" s="8" t="e">
        <f t="shared" ref="Q226" si="812">IF(COUNTIF(P224:P234,"&lt;"&amp;-0.001)=0,IF(ABS(P226)&lt;0.001,0,P226)," ")</f>
        <v>#NUM!</v>
      </c>
      <c r="R226" s="8"/>
      <c r="S226" s="8"/>
      <c r="U226" s="8"/>
      <c r="V226" s="8"/>
      <c r="W226" s="8"/>
      <c r="X226" s="8"/>
      <c r="Y226" s="8"/>
      <c r="Z226" s="8"/>
      <c r="AA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/>
      <c r="AN226" s="8"/>
      <c r="AO226" s="8"/>
      <c r="AP226" s="8"/>
      <c r="AQ226" s="8"/>
      <c r="AR226" s="8"/>
      <c r="AS226" s="8"/>
      <c r="AT226" s="8"/>
      <c r="AU226" s="8"/>
      <c r="AV226" s="8"/>
      <c r="AW226" s="8"/>
      <c r="AX226" s="8"/>
      <c r="AY226" s="8"/>
      <c r="AZ226" s="8"/>
      <c r="BA226" s="8"/>
      <c r="BB226" s="8"/>
      <c r="BC226" s="8"/>
      <c r="BD226" s="8"/>
      <c r="BE226" s="8"/>
      <c r="BF226" s="8"/>
      <c r="BG226" s="8"/>
      <c r="BH226" s="8"/>
      <c r="BI226" s="8"/>
      <c r="BJ226" s="8"/>
      <c r="BK226" s="8"/>
      <c r="BL226" s="8"/>
      <c r="BM226" s="8"/>
      <c r="BN226" s="8"/>
      <c r="BO226" s="8"/>
      <c r="BP226" s="8"/>
      <c r="BQ226" s="8"/>
      <c r="BR226" s="8"/>
      <c r="BS226" s="8"/>
      <c r="BT226" s="8"/>
      <c r="BU226" s="8"/>
      <c r="BV226" s="8"/>
      <c r="BW226" s="8"/>
      <c r="BX226" s="8"/>
      <c r="BY226" s="8"/>
      <c r="BZ226" s="8"/>
      <c r="CA226" s="8"/>
      <c r="CB226" s="8"/>
      <c r="CC226" s="8"/>
      <c r="CD226" s="8"/>
      <c r="CE226" s="8"/>
      <c r="CF226" s="8"/>
      <c r="CG226" s="8"/>
      <c r="CH226" s="8"/>
    </row>
    <row r="227" spans="1:86" x14ac:dyDescent="0.2">
      <c r="A227" s="8" t="str">
        <f>IF(AND(COUNTIF(W$3:W$13,A$18)&gt;0,A$18&lt;&gt;B38),A$18,IFERROR(IF(MATCH(A$18,Z$3:Z$13,0)=9,A$18," ")," "))</f>
        <v>C4</v>
      </c>
      <c r="B227" s="8">
        <f>IF(A227=" "," ",MAX(B224:B226)+1)</f>
        <v>1</v>
      </c>
      <c r="C227" s="8" t="str">
        <f>IFERROR(INDEX(A224:A245,MATCH(SMALL(B224:B245,4),B224:B245,0),1)," ")</f>
        <v>C15</v>
      </c>
      <c r="D227" s="8">
        <f t="shared" si="777"/>
        <v>0</v>
      </c>
      <c r="E227" s="8">
        <f t="shared" si="778"/>
        <v>0</v>
      </c>
      <c r="F227" s="8">
        <f t="shared" si="779"/>
        <v>0</v>
      </c>
      <c r="G227" s="8">
        <f t="shared" si="780"/>
        <v>1</v>
      </c>
      <c r="H227" s="8">
        <f t="shared" si="781"/>
        <v>0</v>
      </c>
      <c r="I227" s="8">
        <f t="shared" si="782"/>
        <v>0</v>
      </c>
      <c r="J227" s="8">
        <f t="shared" si="783"/>
        <v>0</v>
      </c>
      <c r="K227" s="8">
        <f t="shared" si="784"/>
        <v>0</v>
      </c>
      <c r="L227" s="8">
        <f t="shared" si="785"/>
        <v>0</v>
      </c>
      <c r="M227" s="8">
        <f t="shared" si="786"/>
        <v>0</v>
      </c>
      <c r="N227" s="8">
        <f t="shared" si="787"/>
        <v>0</v>
      </c>
      <c r="O227" s="8">
        <f t="shared" si="788"/>
        <v>0</v>
      </c>
      <c r="P227" s="8" t="e">
        <v>#NUM!</v>
      </c>
      <c r="Q227" s="8" t="e">
        <f t="shared" ref="Q227" si="813">IF(COUNTIF(P224:P234,"&lt;"&amp;-0.001)=0,IF(ABS(P227)&lt;0.001,0,P227)," ")</f>
        <v>#NUM!</v>
      </c>
      <c r="R227" s="8"/>
      <c r="S227" s="8"/>
      <c r="U227" s="8"/>
      <c r="V227" s="8"/>
      <c r="W227" s="8"/>
      <c r="X227" s="8"/>
      <c r="Y227" s="8"/>
      <c r="Z227" s="8"/>
      <c r="AA227" s="8"/>
      <c r="AC227" s="8"/>
      <c r="AD227" s="8"/>
      <c r="AE227" s="8"/>
      <c r="AF227" s="8"/>
      <c r="AG227" s="8"/>
      <c r="AH227" s="8"/>
      <c r="AI227" s="8"/>
      <c r="AJ227" s="8"/>
      <c r="AK227" s="8"/>
      <c r="AL227" s="8"/>
      <c r="AM227" s="8"/>
      <c r="AN227" s="8"/>
      <c r="AO227" s="8"/>
      <c r="AP227" s="8"/>
      <c r="AQ227" s="8"/>
      <c r="AR227" s="8"/>
      <c r="AS227" s="8"/>
      <c r="AT227" s="8"/>
      <c r="AU227" s="8"/>
      <c r="AV227" s="8"/>
      <c r="AW227" s="8"/>
      <c r="AX227" s="8"/>
      <c r="AY227" s="8"/>
      <c r="AZ227" s="8"/>
      <c r="BA227" s="8"/>
      <c r="BB227" s="8"/>
      <c r="BC227" s="8"/>
      <c r="BD227" s="8"/>
      <c r="BE227" s="8"/>
      <c r="BF227" s="8"/>
      <c r="BG227" s="8"/>
      <c r="BH227" s="8"/>
      <c r="BI227" s="8"/>
      <c r="BJ227" s="8"/>
      <c r="BK227" s="8"/>
      <c r="BL227" s="8"/>
      <c r="BM227" s="8"/>
      <c r="BN227" s="8"/>
      <c r="BO227" s="8"/>
      <c r="BP227" s="8"/>
      <c r="BQ227" s="8"/>
      <c r="BR227" s="8"/>
      <c r="BS227" s="8"/>
      <c r="BT227" s="8"/>
      <c r="BU227" s="8"/>
      <c r="BV227" s="8"/>
      <c r="BW227" s="8"/>
      <c r="BX227" s="8"/>
      <c r="BY227" s="8"/>
      <c r="BZ227" s="8"/>
      <c r="CA227" s="8"/>
      <c r="CB227" s="8"/>
      <c r="CC227" s="8"/>
      <c r="CD227" s="8"/>
      <c r="CE227" s="8"/>
      <c r="CF227" s="8"/>
      <c r="CG227" s="8"/>
      <c r="CH227" s="8"/>
    </row>
    <row r="228" spans="1:86" x14ac:dyDescent="0.2">
      <c r="A228" s="8" t="str">
        <f>IF(AND(COUNTIF(W$3:W$13,A$19)&gt;0,A$19&lt;&gt;B38),A$19,IFERROR(IF(MATCH(A$19,Z$3:Z$13,0)=9,A$19," ")," "))</f>
        <v xml:space="preserve"> </v>
      </c>
      <c r="B228" s="8" t="str">
        <f>IF(A228=" "," ",MAX(B224:B227)+1)</f>
        <v xml:space="preserve"> </v>
      </c>
      <c r="C228" s="8" t="str">
        <f>IFERROR(INDEX(A224:A245,MATCH(SMALL(B224:B245,5),B224:B245,0),1)," ")</f>
        <v>C16</v>
      </c>
      <c r="D228" s="8">
        <f t="shared" si="777"/>
        <v>0</v>
      </c>
      <c r="E228" s="8">
        <f t="shared" si="778"/>
        <v>0</v>
      </c>
      <c r="F228" s="8">
        <f t="shared" si="779"/>
        <v>0</v>
      </c>
      <c r="G228" s="8">
        <f t="shared" si="780"/>
        <v>0</v>
      </c>
      <c r="H228" s="8">
        <f t="shared" si="781"/>
        <v>1</v>
      </c>
      <c r="I228" s="8">
        <f t="shared" si="782"/>
        <v>0</v>
      </c>
      <c r="J228" s="8">
        <f t="shared" si="783"/>
        <v>0</v>
      </c>
      <c r="K228" s="8">
        <f t="shared" si="784"/>
        <v>0</v>
      </c>
      <c r="L228" s="8">
        <f t="shared" si="785"/>
        <v>0</v>
      </c>
      <c r="M228" s="8">
        <f t="shared" si="786"/>
        <v>0</v>
      </c>
      <c r="N228" s="8">
        <f t="shared" si="787"/>
        <v>0</v>
      </c>
      <c r="O228" s="8">
        <f t="shared" si="788"/>
        <v>0</v>
      </c>
      <c r="P228" s="8" t="e">
        <v>#NUM!</v>
      </c>
      <c r="Q228" s="8" t="e">
        <f t="shared" ref="Q228" si="814">IF(COUNTIF(P224:P234,"&lt;"&amp;-0.001)=0,IF(ABS(P228)&lt;0.001,0,P228)," ")</f>
        <v>#NUM!</v>
      </c>
      <c r="R228" s="8"/>
      <c r="S228" s="8"/>
      <c r="U228" s="8"/>
      <c r="V228" s="8"/>
      <c r="W228" s="8"/>
      <c r="X228" s="8"/>
      <c r="Y228" s="8"/>
      <c r="Z228" s="8"/>
      <c r="AA228" s="8"/>
      <c r="AC228" s="8"/>
      <c r="AD228" s="8"/>
      <c r="AE228" s="8"/>
      <c r="AF228" s="8"/>
      <c r="AG228" s="8"/>
      <c r="AH228" s="8"/>
      <c r="AI228" s="8"/>
      <c r="AJ228" s="8"/>
      <c r="AK228" s="8"/>
      <c r="AL228" s="8"/>
      <c r="AM228" s="8"/>
      <c r="AN228" s="8"/>
      <c r="AO228" s="8"/>
      <c r="AP228" s="8"/>
      <c r="AQ228" s="8"/>
      <c r="AR228" s="8"/>
      <c r="AS228" s="8"/>
      <c r="AT228" s="8"/>
      <c r="AU228" s="8"/>
      <c r="AV228" s="8"/>
      <c r="AW228" s="8"/>
      <c r="AX228" s="8"/>
      <c r="AY228" s="8"/>
      <c r="AZ228" s="8"/>
      <c r="BA228" s="8"/>
      <c r="BB228" s="8"/>
      <c r="BC228" s="8"/>
      <c r="BD228" s="8"/>
      <c r="BE228" s="8"/>
      <c r="BF228" s="8"/>
      <c r="BG228" s="8"/>
      <c r="BH228" s="8"/>
      <c r="BI228" s="8"/>
      <c r="BJ228" s="8"/>
      <c r="BK228" s="8"/>
      <c r="BL228" s="8"/>
      <c r="BM228" s="8"/>
      <c r="BN228" s="8"/>
      <c r="BO228" s="8"/>
      <c r="BP228" s="8"/>
      <c r="BQ228" s="8"/>
      <c r="BR228" s="8"/>
      <c r="BS228" s="8"/>
      <c r="BT228" s="8"/>
      <c r="BU228" s="8"/>
      <c r="BV228" s="8"/>
      <c r="BW228" s="8"/>
      <c r="BX228" s="8"/>
      <c r="BY228" s="8"/>
      <c r="BZ228" s="8"/>
      <c r="CA228" s="8"/>
      <c r="CB228" s="8"/>
      <c r="CC228" s="8"/>
      <c r="CD228" s="8"/>
      <c r="CE228" s="8"/>
      <c r="CF228" s="8"/>
      <c r="CG228" s="8"/>
      <c r="CH228" s="8"/>
    </row>
    <row r="229" spans="1:86" x14ac:dyDescent="0.2">
      <c r="A229" s="8" t="str">
        <f>IF(AND(COUNTIF(W$3:W$13,A$20)&gt;0,A$20&lt;&gt;B38),A$20,IFERROR(IF(MATCH(A$20,Z$3:Z$13,0)=9,A$20," ")," "))</f>
        <v xml:space="preserve"> </v>
      </c>
      <c r="B229" s="8" t="str">
        <f>IF(A229=" "," ",MAX(B224:B228)+1)</f>
        <v xml:space="preserve"> </v>
      </c>
      <c r="C229" s="8" t="str">
        <f>IFERROR(INDEX(A224:A245,MATCH(SMALL(B224:B245,6),B224:B245,0),1)," ")</f>
        <v>C17</v>
      </c>
      <c r="D229" s="8">
        <f t="shared" si="777"/>
        <v>0</v>
      </c>
      <c r="E229" s="8">
        <f t="shared" si="778"/>
        <v>0</v>
      </c>
      <c r="F229" s="8">
        <f t="shared" si="779"/>
        <v>0</v>
      </c>
      <c r="G229" s="8">
        <f t="shared" si="780"/>
        <v>0</v>
      </c>
      <c r="H229" s="8">
        <f t="shared" si="781"/>
        <v>0</v>
      </c>
      <c r="I229" s="8">
        <f t="shared" si="782"/>
        <v>1</v>
      </c>
      <c r="J229" s="8">
        <f t="shared" si="783"/>
        <v>0</v>
      </c>
      <c r="K229" s="8">
        <f t="shared" si="784"/>
        <v>0</v>
      </c>
      <c r="L229" s="8">
        <f t="shared" si="785"/>
        <v>0</v>
      </c>
      <c r="M229" s="8">
        <f t="shared" si="786"/>
        <v>0</v>
      </c>
      <c r="N229" s="8">
        <f t="shared" si="787"/>
        <v>0</v>
      </c>
      <c r="O229" s="8">
        <f t="shared" si="788"/>
        <v>0</v>
      </c>
      <c r="P229" s="8" t="e">
        <v>#NUM!</v>
      </c>
      <c r="Q229" s="8" t="e">
        <f t="shared" ref="Q229" si="815">IF(COUNTIF(P224:P234,"&lt;"&amp;-0.001)=0,IF(ABS(P229)&lt;0.001,0,P229)," ")</f>
        <v>#NUM!</v>
      </c>
      <c r="R229" s="8"/>
      <c r="S229" s="8"/>
      <c r="U229" s="8"/>
      <c r="V229" s="8"/>
      <c r="W229" s="8"/>
      <c r="X229" s="8"/>
      <c r="Y229" s="8"/>
      <c r="Z229" s="8"/>
      <c r="AA229" s="8"/>
      <c r="AC229" s="8"/>
      <c r="AD229" s="8"/>
      <c r="AE229" s="8"/>
      <c r="AF229" s="8"/>
      <c r="AG229" s="8"/>
      <c r="AH229" s="8"/>
      <c r="AI229" s="8"/>
      <c r="AJ229" s="8"/>
      <c r="AK229" s="8"/>
      <c r="AL229" s="8"/>
      <c r="AM229" s="8"/>
      <c r="AN229" s="8"/>
      <c r="AO229" s="8"/>
      <c r="AP229" s="8"/>
      <c r="AQ229" s="8"/>
      <c r="AR229" s="8"/>
      <c r="AS229" s="8"/>
      <c r="AT229" s="8"/>
      <c r="AU229" s="8"/>
      <c r="AV229" s="8"/>
      <c r="AW229" s="8"/>
      <c r="AX229" s="8"/>
      <c r="AY229" s="8"/>
      <c r="AZ229" s="8"/>
      <c r="BA229" s="8"/>
      <c r="BB229" s="8"/>
      <c r="BC229" s="8"/>
      <c r="BD229" s="8"/>
      <c r="BE229" s="8"/>
      <c r="BF229" s="8"/>
      <c r="BG229" s="8"/>
      <c r="BH229" s="8"/>
      <c r="BI229" s="8"/>
      <c r="BJ229" s="8"/>
      <c r="BK229" s="8"/>
      <c r="BL229" s="8"/>
      <c r="BM229" s="8"/>
      <c r="BN229" s="8"/>
      <c r="BO229" s="8"/>
      <c r="BP229" s="8"/>
      <c r="BQ229" s="8"/>
      <c r="BR229" s="8"/>
      <c r="BS229" s="8"/>
      <c r="BT229" s="8"/>
      <c r="BU229" s="8"/>
      <c r="BV229" s="8"/>
      <c r="BW229" s="8"/>
      <c r="BX229" s="8"/>
      <c r="BY229" s="8"/>
      <c r="BZ229" s="8"/>
      <c r="CA229" s="8"/>
      <c r="CB229" s="8"/>
      <c r="CC229" s="8"/>
      <c r="CD229" s="8"/>
      <c r="CE229" s="8"/>
      <c r="CF229" s="8"/>
      <c r="CG229" s="8"/>
      <c r="CH229" s="8"/>
    </row>
    <row r="230" spans="1:86" x14ac:dyDescent="0.2">
      <c r="A230" s="8" t="str">
        <f>IF(AND(COUNTIF(W$3:W$13,A$21)&gt;0,A$21&lt;&gt;B38),A$21,IFERROR(IF(MATCH(A$21,Z$3:Z$13,0)=9,A$21," ")," "))</f>
        <v xml:space="preserve"> </v>
      </c>
      <c r="B230" s="8" t="str">
        <f>IF(A230=" "," ",MAX(B224:B229)+1)</f>
        <v xml:space="preserve"> </v>
      </c>
      <c r="C230" s="8" t="str">
        <f>IFERROR(INDEX(A224:A245,MATCH(SMALL(B224:B245,7),B224:B245,0),1)," ")</f>
        <v>C18</v>
      </c>
      <c r="D230" s="8">
        <f t="shared" si="777"/>
        <v>0</v>
      </c>
      <c r="E230" s="8">
        <f t="shared" si="778"/>
        <v>0</v>
      </c>
      <c r="F230" s="8">
        <f t="shared" si="779"/>
        <v>0</v>
      </c>
      <c r="G230" s="8">
        <f t="shared" si="780"/>
        <v>0</v>
      </c>
      <c r="H230" s="8">
        <f t="shared" si="781"/>
        <v>0</v>
      </c>
      <c r="I230" s="8">
        <f t="shared" si="782"/>
        <v>0</v>
      </c>
      <c r="J230" s="8">
        <f t="shared" si="783"/>
        <v>1</v>
      </c>
      <c r="K230" s="8">
        <f t="shared" si="784"/>
        <v>0</v>
      </c>
      <c r="L230" s="8">
        <f t="shared" si="785"/>
        <v>0</v>
      </c>
      <c r="M230" s="8">
        <f t="shared" si="786"/>
        <v>0</v>
      </c>
      <c r="N230" s="8">
        <f t="shared" si="787"/>
        <v>0</v>
      </c>
      <c r="O230" s="8">
        <f t="shared" si="788"/>
        <v>0</v>
      </c>
      <c r="P230" s="8" t="e">
        <v>#NUM!</v>
      </c>
      <c r="Q230" s="8" t="e">
        <f t="shared" ref="Q230" si="816">IF(COUNTIF(P224:P234,"&lt;"&amp;-0.001)=0,IF(ABS(P230)&lt;0.001,0,P230)," ")</f>
        <v>#NUM!</v>
      </c>
      <c r="R230" s="8"/>
      <c r="S230" s="8"/>
      <c r="U230" s="8"/>
      <c r="V230" s="8"/>
      <c r="W230" s="8"/>
      <c r="X230" s="8"/>
      <c r="Y230" s="8"/>
      <c r="Z230" s="8"/>
      <c r="AA230" s="8"/>
      <c r="AC230" s="8"/>
      <c r="AD230" s="8"/>
      <c r="AE230" s="8"/>
      <c r="AF230" s="8"/>
      <c r="AG230" s="8"/>
      <c r="AH230" s="8"/>
      <c r="AI230" s="8"/>
      <c r="AJ230" s="8"/>
      <c r="AK230" s="8"/>
      <c r="AL230" s="8"/>
      <c r="AM230" s="8"/>
      <c r="AN230" s="8"/>
      <c r="AO230" s="8"/>
      <c r="AP230" s="8"/>
      <c r="AQ230" s="8"/>
      <c r="AR230" s="8"/>
      <c r="AS230" s="8"/>
      <c r="AT230" s="8"/>
      <c r="AU230" s="8"/>
      <c r="AV230" s="8"/>
      <c r="AW230" s="8"/>
      <c r="AX230" s="8"/>
      <c r="AY230" s="8"/>
      <c r="AZ230" s="8"/>
      <c r="BA230" s="8"/>
      <c r="BB230" s="8"/>
      <c r="BC230" s="8"/>
      <c r="BD230" s="8"/>
      <c r="BE230" s="8"/>
      <c r="BF230" s="8"/>
      <c r="BG230" s="8"/>
      <c r="BH230" s="8"/>
      <c r="BI230" s="8"/>
      <c r="BJ230" s="8"/>
      <c r="BK230" s="8"/>
      <c r="BL230" s="8"/>
      <c r="BM230" s="8"/>
      <c r="BN230" s="8"/>
      <c r="BO230" s="8"/>
      <c r="BP230" s="8"/>
      <c r="BQ230" s="8"/>
      <c r="BR230" s="8"/>
      <c r="BS230" s="8"/>
      <c r="BT230" s="8"/>
      <c r="BU230" s="8"/>
      <c r="BV230" s="8"/>
      <c r="BW230" s="8"/>
      <c r="BX230" s="8"/>
      <c r="BY230" s="8"/>
      <c r="BZ230" s="8"/>
      <c r="CA230" s="8"/>
      <c r="CB230" s="8"/>
      <c r="CC230" s="8"/>
      <c r="CD230" s="8"/>
      <c r="CE230" s="8"/>
      <c r="CF230" s="8"/>
      <c r="CG230" s="8"/>
      <c r="CH230" s="8"/>
    </row>
    <row r="231" spans="1:86" x14ac:dyDescent="0.2">
      <c r="A231" s="8" t="str">
        <f>IF(AND(COUNTIF(W$3:W$13,A$22)&gt;0,A$22&lt;&gt;B38),A$22,IFERROR(IF(MATCH(A$22,Z$3:Z$13,0)=9,A$22," ")," "))</f>
        <v xml:space="preserve"> </v>
      </c>
      <c r="B231" s="8" t="str">
        <f>IF(A231=" "," ",MAX(B224:B230)+1)</f>
        <v xml:space="preserve"> </v>
      </c>
      <c r="C231" s="8" t="str">
        <f>IFERROR(INDEX(A224:A245,MATCH(SMALL(B224:B245,8),B224:B245,0),1)," ")</f>
        <v>C19</v>
      </c>
      <c r="D231" s="8">
        <f t="shared" si="777"/>
        <v>0</v>
      </c>
      <c r="E231" s="8">
        <f t="shared" si="778"/>
        <v>0</v>
      </c>
      <c r="F231" s="8">
        <f t="shared" si="779"/>
        <v>0</v>
      </c>
      <c r="G231" s="8">
        <f t="shared" si="780"/>
        <v>0</v>
      </c>
      <c r="H231" s="8">
        <f t="shared" si="781"/>
        <v>0</v>
      </c>
      <c r="I231" s="8">
        <f t="shared" si="782"/>
        <v>0</v>
      </c>
      <c r="J231" s="8">
        <f t="shared" si="783"/>
        <v>0</v>
      </c>
      <c r="K231" s="8">
        <f t="shared" si="784"/>
        <v>1</v>
      </c>
      <c r="L231" s="8">
        <f t="shared" si="785"/>
        <v>0</v>
      </c>
      <c r="M231" s="8">
        <f t="shared" si="786"/>
        <v>0</v>
      </c>
      <c r="N231" s="8">
        <f t="shared" si="787"/>
        <v>0</v>
      </c>
      <c r="O231" s="8">
        <f t="shared" si="788"/>
        <v>0</v>
      </c>
      <c r="P231" s="8" t="e">
        <v>#NUM!</v>
      </c>
      <c r="Q231" s="8" t="e">
        <f t="shared" ref="Q231" si="817">IF(COUNTIF(P224:P234,"&lt;"&amp;-0.001)=0,IF(ABS(P231)&lt;0.001,0,P231)," ")</f>
        <v>#NUM!</v>
      </c>
      <c r="R231" s="8"/>
      <c r="S231" s="8"/>
      <c r="U231" s="8"/>
      <c r="V231" s="8"/>
      <c r="W231" s="8"/>
      <c r="X231" s="8"/>
      <c r="Y231" s="8"/>
      <c r="Z231" s="8"/>
      <c r="AA231" s="8"/>
      <c r="AC231" s="8"/>
      <c r="AD231" s="8"/>
      <c r="AE231" s="8"/>
      <c r="AF231" s="8"/>
      <c r="AG231" s="8"/>
      <c r="AH231" s="8"/>
      <c r="AI231" s="8"/>
      <c r="AJ231" s="8"/>
      <c r="AK231" s="8"/>
      <c r="AL231" s="8"/>
      <c r="AM231" s="8"/>
      <c r="AN231" s="8"/>
      <c r="AO231" s="8"/>
      <c r="AP231" s="8"/>
      <c r="AQ231" s="8"/>
      <c r="AR231" s="8"/>
      <c r="AS231" s="8"/>
      <c r="AT231" s="8"/>
      <c r="AU231" s="8"/>
      <c r="AV231" s="8"/>
      <c r="AW231" s="8"/>
      <c r="AX231" s="8"/>
      <c r="AY231" s="8"/>
      <c r="AZ231" s="8"/>
      <c r="BA231" s="8"/>
      <c r="BB231" s="8"/>
      <c r="BC231" s="8"/>
      <c r="BD231" s="8"/>
      <c r="BE231" s="8"/>
      <c r="BF231" s="8"/>
      <c r="BG231" s="8"/>
      <c r="BH231" s="8"/>
      <c r="BI231" s="8"/>
      <c r="BJ231" s="8"/>
      <c r="BK231" s="8"/>
      <c r="BL231" s="8"/>
      <c r="BM231" s="8"/>
      <c r="BN231" s="8"/>
      <c r="BO231" s="8"/>
      <c r="BP231" s="8"/>
      <c r="BQ231" s="8"/>
      <c r="BR231" s="8"/>
      <c r="BS231" s="8"/>
      <c r="BT231" s="8"/>
      <c r="BU231" s="8"/>
      <c r="BV231" s="8"/>
      <c r="BW231" s="8"/>
      <c r="BX231" s="8"/>
      <c r="BY231" s="8"/>
      <c r="BZ231" s="8"/>
      <c r="CA231" s="8"/>
      <c r="CB231" s="8"/>
      <c r="CC231" s="8"/>
      <c r="CD231" s="8"/>
      <c r="CE231" s="8"/>
      <c r="CF231" s="8"/>
      <c r="CG231" s="8"/>
      <c r="CH231" s="8"/>
    </row>
    <row r="232" spans="1:86" x14ac:dyDescent="0.2">
      <c r="A232" s="8" t="str">
        <f>IF(AND(COUNTIF(W$3:W$13,A$23)&gt;0,A$23&lt;&gt;B38),A$23,IFERROR(IF(MATCH(A$23,Z$3:Z$13,0)=9,A$23," ")," "))</f>
        <v xml:space="preserve"> </v>
      </c>
      <c r="B232" s="8" t="str">
        <f>IF(A232=" "," ",MAX(B224:B231)+1)</f>
        <v xml:space="preserve"> </v>
      </c>
      <c r="C232" s="8" t="str">
        <f>IFERROR(INDEX(A224:A245,MATCH(SMALL(B224:B245,9),B224:B245,0),1)," ")</f>
        <v>C20</v>
      </c>
      <c r="D232" s="8">
        <f t="shared" si="777"/>
        <v>0</v>
      </c>
      <c r="E232" s="8">
        <f t="shared" si="778"/>
        <v>0</v>
      </c>
      <c r="F232" s="8">
        <f t="shared" si="779"/>
        <v>0</v>
      </c>
      <c r="G232" s="8">
        <f t="shared" si="780"/>
        <v>0</v>
      </c>
      <c r="H232" s="8">
        <f t="shared" si="781"/>
        <v>0</v>
      </c>
      <c r="I232" s="8">
        <f t="shared" si="782"/>
        <v>0</v>
      </c>
      <c r="J232" s="8">
        <f t="shared" si="783"/>
        <v>0</v>
      </c>
      <c r="K232" s="8">
        <f t="shared" si="784"/>
        <v>0</v>
      </c>
      <c r="L232" s="8">
        <f t="shared" si="785"/>
        <v>1</v>
      </c>
      <c r="M232" s="8">
        <f t="shared" si="786"/>
        <v>0</v>
      </c>
      <c r="N232" s="8">
        <f t="shared" si="787"/>
        <v>0</v>
      </c>
      <c r="O232" s="8">
        <f t="shared" si="788"/>
        <v>0</v>
      </c>
      <c r="P232" s="6" t="e">
        <v>#NUM!</v>
      </c>
      <c r="Q232" s="8" t="e">
        <f t="shared" ref="Q232" si="818">IF(COUNTIF(P224:P234,"&lt;"&amp;-0.001)=0,IF(ABS(P232)&lt;0.001,0,P232)," ")</f>
        <v>#NUM!</v>
      </c>
      <c r="R232" s="8"/>
      <c r="S232" s="8"/>
      <c r="U232" s="8"/>
      <c r="V232" s="8"/>
      <c r="W232" s="8"/>
      <c r="X232" s="8"/>
      <c r="Y232" s="8"/>
      <c r="Z232" s="8"/>
      <c r="AA232" s="8"/>
      <c r="AC232" s="8"/>
      <c r="AD232" s="8"/>
      <c r="AE232" s="8"/>
      <c r="AF232" s="8"/>
      <c r="AG232" s="8"/>
      <c r="AH232" s="8"/>
      <c r="AI232" s="8"/>
      <c r="AJ232" s="8"/>
      <c r="AK232" s="8"/>
      <c r="AL232" s="8"/>
      <c r="AM232" s="8"/>
      <c r="AN232" s="8"/>
      <c r="AO232" s="8"/>
      <c r="AP232" s="8"/>
      <c r="AQ232" s="8"/>
      <c r="AR232" s="8"/>
      <c r="AS232" s="8"/>
      <c r="AT232" s="8"/>
      <c r="AU232" s="8"/>
      <c r="AV232" s="8"/>
      <c r="AW232" s="8"/>
      <c r="AX232" s="8"/>
      <c r="AY232" s="8"/>
      <c r="AZ232" s="8"/>
      <c r="BA232" s="8"/>
      <c r="BB232" s="8"/>
      <c r="BC232" s="8"/>
      <c r="BD232" s="8"/>
      <c r="BE232" s="8"/>
      <c r="BF232" s="8"/>
      <c r="BG232" s="8"/>
      <c r="BH232" s="8"/>
      <c r="BI232" s="8"/>
      <c r="BJ232" s="8"/>
      <c r="BK232" s="8"/>
      <c r="BL232" s="8"/>
      <c r="BM232" s="8"/>
      <c r="BN232" s="8"/>
      <c r="BO232" s="8"/>
      <c r="BP232" s="8"/>
      <c r="BQ232" s="8"/>
      <c r="BR232" s="8"/>
      <c r="BS232" s="8"/>
      <c r="BT232" s="8"/>
      <c r="BU232" s="8"/>
      <c r="BV232" s="8"/>
      <c r="BW232" s="8"/>
      <c r="BX232" s="8"/>
      <c r="BY232" s="8"/>
      <c r="BZ232" s="8"/>
      <c r="CA232" s="8"/>
      <c r="CB232" s="8"/>
      <c r="CC232" s="8"/>
      <c r="CD232" s="8"/>
      <c r="CE232" s="8"/>
      <c r="CF232" s="8"/>
      <c r="CG232" s="8"/>
      <c r="CH232" s="8"/>
    </row>
    <row r="233" spans="1:86" x14ac:dyDescent="0.2">
      <c r="A233" s="8" t="str">
        <f>IF(AND(COUNTIF(W$3:W$13,A$24)&gt;0,A$24&lt;&gt;B38),A$24,IFERROR(IF(MATCH(A$24,Z$3:Z$13,0)=9,A$24," ")," "))</f>
        <v xml:space="preserve"> </v>
      </c>
      <c r="B233" s="8" t="str">
        <f>IF(A233=" "," ",MAX(B224:B232)+1)</f>
        <v xml:space="preserve"> </v>
      </c>
      <c r="C233" s="8" t="str">
        <f>IFERROR(INDEX(A224:A245,MATCH(SMALL(B224:B245,10),B224:B245,0),1)," ")</f>
        <v>C21</v>
      </c>
      <c r="D233" s="8">
        <f t="shared" si="777"/>
        <v>0</v>
      </c>
      <c r="E233" s="8">
        <f t="shared" si="778"/>
        <v>0</v>
      </c>
      <c r="F233" s="8">
        <f t="shared" si="779"/>
        <v>0</v>
      </c>
      <c r="G233" s="8">
        <f t="shared" si="780"/>
        <v>0</v>
      </c>
      <c r="H233" s="8">
        <f t="shared" si="781"/>
        <v>0</v>
      </c>
      <c r="I233" s="8">
        <f t="shared" si="782"/>
        <v>0</v>
      </c>
      <c r="J233" s="8">
        <f t="shared" si="783"/>
        <v>0</v>
      </c>
      <c r="K233" s="8">
        <f t="shared" si="784"/>
        <v>0</v>
      </c>
      <c r="L233" s="8">
        <f t="shared" si="785"/>
        <v>0</v>
      </c>
      <c r="M233" s="8">
        <f t="shared" si="786"/>
        <v>1</v>
      </c>
      <c r="N233" s="8">
        <f t="shared" si="787"/>
        <v>0</v>
      </c>
      <c r="O233" s="8">
        <f t="shared" si="788"/>
        <v>0</v>
      </c>
      <c r="P233" s="8" t="e">
        <v>#NUM!</v>
      </c>
      <c r="Q233" s="8" t="e">
        <f t="shared" ref="Q233" si="819">IF(COUNTIF(P224:P234,"&lt;"&amp;-0.001)=0,IF(ABS(P233)&lt;0.001,0,P233)," ")</f>
        <v>#NUM!</v>
      </c>
      <c r="R233" s="8"/>
      <c r="S233" s="8"/>
      <c r="U233" s="8"/>
      <c r="V233" s="8"/>
      <c r="W233" s="8"/>
      <c r="X233" s="8"/>
      <c r="Y233" s="8"/>
      <c r="Z233" s="8"/>
      <c r="AA233" s="8"/>
      <c r="AC233" s="8"/>
      <c r="AD233" s="8"/>
      <c r="AE233" s="8"/>
      <c r="AF233" s="8"/>
      <c r="AG233" s="8"/>
      <c r="AH233" s="8"/>
      <c r="AI233" s="8"/>
      <c r="AJ233" s="8"/>
      <c r="AK233" s="8"/>
      <c r="AL233" s="8"/>
      <c r="AM233" s="8"/>
      <c r="AN233" s="8"/>
      <c r="AO233" s="8"/>
      <c r="AP233" s="8"/>
      <c r="AQ233" s="8"/>
      <c r="AR233" s="8"/>
      <c r="AS233" s="8"/>
      <c r="AT233" s="8"/>
      <c r="AU233" s="8"/>
      <c r="AV233" s="8"/>
      <c r="AW233" s="8"/>
      <c r="AX233" s="8"/>
      <c r="AY233" s="8"/>
      <c r="AZ233" s="8"/>
      <c r="BA233" s="8"/>
      <c r="BB233" s="8"/>
      <c r="BC233" s="8"/>
      <c r="BD233" s="8"/>
      <c r="BE233" s="8"/>
      <c r="BF233" s="8"/>
      <c r="BG233" s="8"/>
      <c r="BH233" s="8"/>
      <c r="BI233" s="8"/>
      <c r="BJ233" s="8"/>
      <c r="BK233" s="8"/>
      <c r="BL233" s="8"/>
      <c r="BM233" s="8"/>
      <c r="BN233" s="8"/>
      <c r="BO233" s="8"/>
      <c r="BP233" s="8"/>
      <c r="BQ233" s="8"/>
      <c r="BR233" s="8"/>
      <c r="BS233" s="8"/>
      <c r="BT233" s="8"/>
      <c r="BU233" s="8"/>
      <c r="BV233" s="8"/>
      <c r="BW233" s="8"/>
      <c r="BX233" s="8"/>
      <c r="BY233" s="8"/>
      <c r="BZ233" s="8"/>
      <c r="CA233" s="8"/>
      <c r="CB233" s="8"/>
      <c r="CC233" s="8"/>
      <c r="CD233" s="8"/>
      <c r="CE233" s="8"/>
      <c r="CF233" s="8"/>
      <c r="CG233" s="8"/>
      <c r="CH233" s="8"/>
    </row>
    <row r="234" spans="1:86" x14ac:dyDescent="0.2">
      <c r="A234" s="8" t="str">
        <f>IF(AND(COUNTIF(W$3:W$13,A$25)&gt;0,A$25&lt;&gt;B38),A$25,IFERROR(IF(MATCH(A$25,Z$3:Z$13,0)=9,A$25," ")," "))</f>
        <v>C11</v>
      </c>
      <c r="B234" s="8">
        <f>IF(A234=" "," ",MAX(B224:B233)+1)</f>
        <v>2</v>
      </c>
      <c r="C234" s="8" t="str">
        <f>IFERROR(INDEX(A224:A245,MATCH(SMALL(B224:B245,11),B224:B245,0),1)," ")</f>
        <v>C22</v>
      </c>
      <c r="D234" s="8">
        <f t="shared" si="777"/>
        <v>0</v>
      </c>
      <c r="E234" s="8">
        <f t="shared" si="778"/>
        <v>0</v>
      </c>
      <c r="F234" s="8">
        <f t="shared" si="779"/>
        <v>0</v>
      </c>
      <c r="G234" s="8">
        <f t="shared" si="780"/>
        <v>0</v>
      </c>
      <c r="H234" s="8">
        <f t="shared" si="781"/>
        <v>0</v>
      </c>
      <c r="I234" s="8">
        <f t="shared" si="782"/>
        <v>0</v>
      </c>
      <c r="J234" s="8">
        <f t="shared" si="783"/>
        <v>0</v>
      </c>
      <c r="K234" s="8">
        <f t="shared" si="784"/>
        <v>0</v>
      </c>
      <c r="L234" s="8">
        <f t="shared" si="785"/>
        <v>0</v>
      </c>
      <c r="M234" s="8">
        <f t="shared" si="786"/>
        <v>0</v>
      </c>
      <c r="N234" s="8">
        <f t="shared" si="787"/>
        <v>1</v>
      </c>
      <c r="O234" s="8">
        <f t="shared" si="788"/>
        <v>0</v>
      </c>
      <c r="P234" s="8" t="e">
        <v>#NUM!</v>
      </c>
      <c r="Q234" s="8" t="e">
        <f t="shared" ref="Q234" si="820">IF(COUNTIF(P224:P234,"&lt;"&amp;-0.001)=0,IF(ABS(P234)&lt;0.001,0,P234)," ")</f>
        <v>#NUM!</v>
      </c>
      <c r="R234" s="8"/>
      <c r="S234" s="8"/>
      <c r="U234" s="8"/>
      <c r="V234" s="8"/>
      <c r="W234" s="8"/>
      <c r="X234" s="8"/>
      <c r="Y234" s="8"/>
      <c r="Z234" s="8"/>
      <c r="AA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/>
      <c r="AO234" s="8"/>
      <c r="AP234" s="8"/>
      <c r="AQ234" s="8"/>
      <c r="AR234" s="8"/>
      <c r="AS234" s="8"/>
      <c r="AT234" s="8"/>
      <c r="AU234" s="8"/>
      <c r="AV234" s="8"/>
      <c r="AW234" s="8"/>
      <c r="AX234" s="8"/>
      <c r="AY234" s="8"/>
      <c r="AZ234" s="8"/>
      <c r="BA234" s="8"/>
      <c r="BB234" s="8"/>
      <c r="BC234" s="8"/>
      <c r="BD234" s="8"/>
      <c r="BE234" s="8"/>
      <c r="BF234" s="8"/>
      <c r="BG234" s="8"/>
      <c r="BH234" s="8"/>
      <c r="BI234" s="8"/>
      <c r="BJ234" s="8"/>
      <c r="BK234" s="8"/>
      <c r="BL234" s="8"/>
      <c r="BM234" s="8"/>
      <c r="BN234" s="8"/>
      <c r="BO234" s="8"/>
      <c r="BP234" s="8"/>
      <c r="BQ234" s="8"/>
      <c r="BR234" s="8"/>
      <c r="BS234" s="8"/>
      <c r="BT234" s="8"/>
      <c r="BU234" s="8"/>
      <c r="BV234" s="8"/>
      <c r="BW234" s="8"/>
      <c r="BX234" s="8"/>
      <c r="BY234" s="8"/>
      <c r="BZ234" s="8"/>
      <c r="CA234" s="8"/>
      <c r="CB234" s="8"/>
      <c r="CC234" s="8"/>
      <c r="CD234" s="8"/>
      <c r="CE234" s="8"/>
      <c r="CF234" s="8"/>
      <c r="CG234" s="8"/>
      <c r="CH234" s="8"/>
    </row>
    <row r="235" spans="1:86" x14ac:dyDescent="0.2">
      <c r="A235" s="8" t="str">
        <f>IF(AND(COUNTIF(W$3:W$13,A$26)&gt;0,A$26&lt;&gt;B38),A$26,IFERROR(IF(MATCH(A$26,Z$3:Z$13,0)=9,A$26," ")," "))</f>
        <v xml:space="preserve"> </v>
      </c>
      <c r="B235" s="8" t="str">
        <f>IF(A235=" "," ",MAX(B224:B234)+1)</f>
        <v xml:space="preserve"> </v>
      </c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U235" s="8"/>
      <c r="V235" s="8"/>
      <c r="W235" s="8"/>
      <c r="X235" s="8"/>
      <c r="Y235" s="8"/>
      <c r="Z235" s="8"/>
      <c r="AA235" s="8"/>
      <c r="AC235" s="8"/>
      <c r="AD235" s="8"/>
      <c r="AE235" s="8"/>
      <c r="AF235" s="8"/>
      <c r="AG235" s="8"/>
      <c r="AH235" s="8"/>
      <c r="AI235" s="8"/>
      <c r="AJ235" s="8"/>
      <c r="AK235" s="8"/>
      <c r="AL235" s="8"/>
      <c r="AM235" s="8"/>
      <c r="AN235" s="8"/>
      <c r="AO235" s="8"/>
      <c r="AP235" s="8"/>
      <c r="AQ235" s="8"/>
      <c r="AR235" s="8"/>
      <c r="AS235" s="8"/>
      <c r="AT235" s="8"/>
      <c r="AU235" s="8"/>
      <c r="AV235" s="8"/>
      <c r="AW235" s="8"/>
      <c r="AX235" s="8"/>
      <c r="AY235" s="8"/>
      <c r="AZ235" s="8"/>
      <c r="BA235" s="8"/>
      <c r="BB235" s="8"/>
      <c r="BC235" s="8"/>
      <c r="BD235" s="8"/>
      <c r="BE235" s="8"/>
      <c r="BF235" s="8"/>
      <c r="BG235" s="8"/>
      <c r="BH235" s="8"/>
      <c r="BI235" s="8"/>
      <c r="BJ235" s="8"/>
      <c r="BK235" s="8"/>
      <c r="BL235" s="8"/>
      <c r="BM235" s="8"/>
      <c r="BN235" s="8"/>
      <c r="BO235" s="8"/>
      <c r="BP235" s="8"/>
      <c r="BQ235" s="8"/>
      <c r="BR235" s="8"/>
      <c r="BS235" s="8"/>
      <c r="BT235" s="8"/>
      <c r="BU235" s="8"/>
      <c r="BV235" s="8"/>
      <c r="BW235" s="8"/>
      <c r="BX235" s="8"/>
      <c r="BY235" s="8"/>
      <c r="BZ235" s="8"/>
      <c r="CA235" s="8"/>
      <c r="CB235" s="8"/>
      <c r="CC235" s="8"/>
      <c r="CD235" s="8"/>
      <c r="CE235" s="8"/>
      <c r="CF235" s="8"/>
      <c r="CG235" s="8"/>
      <c r="CH235" s="8"/>
    </row>
    <row r="236" spans="1:86" x14ac:dyDescent="0.2">
      <c r="A236" s="8" t="str">
        <f>IF(AND(COUNTIF(W$3:W$13,A$27)&gt;0,A$27&lt;&gt;B38),A$27,IFERROR(IF(MATCH(A$27,Z$3:Z$13,0)=9,A$27," ")," "))</f>
        <v>C13</v>
      </c>
      <c r="B236" s="8">
        <f>IF(A236=" "," ",MAX(B224:B235)+1)</f>
        <v>3</v>
      </c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U236" s="8"/>
      <c r="V236" s="8"/>
      <c r="W236" s="8"/>
      <c r="X236" s="8"/>
      <c r="Y236" s="8"/>
      <c r="Z236" s="8"/>
      <c r="AA236" s="8"/>
      <c r="AC236" s="8"/>
      <c r="AD236" s="8"/>
      <c r="AE236" s="8"/>
      <c r="AF236" s="8"/>
      <c r="AG236" s="8"/>
      <c r="AH236" s="8"/>
      <c r="AI236" s="8"/>
      <c r="AJ236" s="8"/>
      <c r="AK236" s="8"/>
      <c r="AL236" s="8"/>
      <c r="AM236" s="8"/>
      <c r="AN236" s="8"/>
      <c r="AO236" s="8"/>
      <c r="AP236" s="8"/>
      <c r="AQ236" s="8"/>
      <c r="AR236" s="8"/>
      <c r="AS236" s="8"/>
      <c r="AT236" s="8"/>
      <c r="AU236" s="8"/>
      <c r="AV236" s="8"/>
      <c r="AW236" s="8"/>
      <c r="AX236" s="8"/>
      <c r="AY236" s="8"/>
      <c r="AZ236" s="8"/>
      <c r="BA236" s="8"/>
      <c r="BB236" s="8"/>
      <c r="BC236" s="8"/>
      <c r="BD236" s="8"/>
      <c r="BE236" s="8"/>
      <c r="BF236" s="8"/>
      <c r="BG236" s="8"/>
      <c r="BH236" s="8"/>
      <c r="BI236" s="8"/>
      <c r="BJ236" s="8"/>
      <c r="BK236" s="8"/>
      <c r="BL236" s="8"/>
      <c r="BM236" s="8"/>
      <c r="BN236" s="8"/>
      <c r="BO236" s="8"/>
      <c r="BP236" s="8"/>
      <c r="BQ236" s="8"/>
      <c r="BR236" s="8"/>
      <c r="BS236" s="8"/>
      <c r="BT236" s="8"/>
      <c r="BU236" s="8"/>
      <c r="BV236" s="8"/>
      <c r="BW236" s="8"/>
      <c r="BX236" s="8"/>
      <c r="BY236" s="8"/>
      <c r="BZ236" s="8"/>
      <c r="CA236" s="8"/>
      <c r="CB236" s="8"/>
      <c r="CC236" s="8"/>
      <c r="CD236" s="8"/>
      <c r="CE236" s="8"/>
      <c r="CF236" s="8"/>
      <c r="CG236" s="8"/>
      <c r="CH236" s="8"/>
    </row>
    <row r="237" spans="1:86" x14ac:dyDescent="0.2">
      <c r="A237" s="8" t="str">
        <f>IF(AND(COUNTIF(W$3:W$13,A$28)&gt;0,A$28&lt;&gt;B38),A$28,IFERROR(IF(MATCH(A$28,Z$3:Z$13,0)=9,A$28," ")," "))</f>
        <v xml:space="preserve"> </v>
      </c>
      <c r="B237" s="8" t="str">
        <f>IF(A237=" "," ",MAX(B224:B236)+1)</f>
        <v xml:space="preserve"> </v>
      </c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U237" s="8"/>
      <c r="V237" s="8"/>
      <c r="W237" s="8"/>
      <c r="X237" s="8"/>
      <c r="Y237" s="8"/>
      <c r="Z237" s="8"/>
      <c r="AA237" s="8"/>
      <c r="AC237" s="8"/>
      <c r="AD237" s="8"/>
      <c r="AE237" s="8"/>
      <c r="AF237" s="8"/>
      <c r="AG237" s="8"/>
      <c r="AH237" s="8"/>
      <c r="AI237" s="8"/>
      <c r="AJ237" s="8"/>
      <c r="AK237" s="8"/>
      <c r="AL237" s="8"/>
      <c r="AM237" s="8"/>
      <c r="AN237" s="8"/>
      <c r="AO237" s="8"/>
      <c r="AP237" s="8"/>
      <c r="AQ237" s="8"/>
      <c r="AR237" s="8"/>
      <c r="AS237" s="8"/>
      <c r="AT237" s="8"/>
      <c r="AU237" s="8"/>
      <c r="AV237" s="8"/>
      <c r="AW237" s="8"/>
      <c r="AX237" s="8"/>
      <c r="AY237" s="8"/>
      <c r="AZ237" s="8"/>
      <c r="BA237" s="8"/>
      <c r="BB237" s="8"/>
      <c r="BC237" s="8"/>
      <c r="BD237" s="8"/>
      <c r="BE237" s="8"/>
      <c r="BF237" s="8"/>
      <c r="BG237" s="8"/>
      <c r="BH237" s="8"/>
      <c r="BI237" s="8"/>
      <c r="BJ237" s="8"/>
      <c r="BK237" s="8"/>
      <c r="BL237" s="8"/>
      <c r="BM237" s="8"/>
      <c r="BN237" s="8"/>
      <c r="BO237" s="8"/>
      <c r="BP237" s="8"/>
      <c r="BQ237" s="8"/>
      <c r="BR237" s="8"/>
      <c r="BS237" s="8"/>
      <c r="BT237" s="8"/>
      <c r="BU237" s="8"/>
      <c r="BV237" s="8"/>
      <c r="BW237" s="8"/>
      <c r="BX237" s="8"/>
      <c r="BY237" s="8"/>
      <c r="BZ237" s="8"/>
      <c r="CA237" s="8"/>
      <c r="CB237" s="8"/>
      <c r="CC237" s="8"/>
      <c r="CD237" s="8"/>
      <c r="CE237" s="8"/>
      <c r="CF237" s="8"/>
      <c r="CG237" s="8"/>
      <c r="CH237" s="8"/>
    </row>
    <row r="238" spans="1:86" x14ac:dyDescent="0.2">
      <c r="A238" s="8" t="str">
        <f>IF(AND(COUNTIF(W$3:W$13,A$29)&gt;0,A$29&lt;&gt;B38),A$29,IFERROR(IF(MATCH(A$29,Z$3:Z$13,0)=9,A$29," ")," "))</f>
        <v>C15</v>
      </c>
      <c r="B238" s="8">
        <f>IF(A238=" "," ",MAX(B224:B237)+1)</f>
        <v>4</v>
      </c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U238" s="8"/>
      <c r="V238" s="8"/>
      <c r="W238" s="8"/>
      <c r="X238" s="8"/>
      <c r="Y238" s="8"/>
      <c r="Z238" s="8"/>
      <c r="AA238" s="8"/>
      <c r="AC238" s="8"/>
      <c r="AD238" s="8"/>
      <c r="AE238" s="8"/>
      <c r="AF238" s="8"/>
      <c r="AG238" s="8"/>
      <c r="AH238" s="8"/>
      <c r="AI238" s="8"/>
      <c r="AJ238" s="8"/>
      <c r="AK238" s="8"/>
      <c r="AL238" s="8"/>
      <c r="AM238" s="8"/>
      <c r="AN238" s="8"/>
      <c r="AO238" s="8"/>
      <c r="AP238" s="8"/>
      <c r="AQ238" s="8"/>
      <c r="AR238" s="8"/>
      <c r="AS238" s="8"/>
      <c r="AT238" s="8"/>
      <c r="AU238" s="8"/>
      <c r="AV238" s="8"/>
      <c r="AW238" s="8"/>
      <c r="AX238" s="8"/>
      <c r="AY238" s="8"/>
      <c r="AZ238" s="8"/>
      <c r="BA238" s="8"/>
      <c r="BB238" s="8"/>
      <c r="BC238" s="8"/>
      <c r="BD238" s="8"/>
      <c r="BE238" s="8"/>
      <c r="BF238" s="8"/>
      <c r="BG238" s="8"/>
      <c r="BH238" s="8"/>
      <c r="BI238" s="8"/>
      <c r="BJ238" s="8"/>
      <c r="BK238" s="8"/>
      <c r="BL238" s="8"/>
      <c r="BM238" s="8"/>
      <c r="BN238" s="8"/>
      <c r="BO238" s="8"/>
      <c r="BP238" s="8"/>
      <c r="BQ238" s="8"/>
      <c r="BR238" s="8"/>
      <c r="BS238" s="8"/>
      <c r="BT238" s="8"/>
      <c r="BU238" s="8"/>
      <c r="BV238" s="8"/>
      <c r="BW238" s="8"/>
      <c r="BX238" s="8"/>
      <c r="BY238" s="8"/>
      <c r="BZ238" s="8"/>
      <c r="CA238" s="8"/>
      <c r="CB238" s="8"/>
      <c r="CC238" s="8"/>
      <c r="CD238" s="8"/>
      <c r="CE238" s="8"/>
      <c r="CF238" s="8"/>
      <c r="CG238" s="8"/>
      <c r="CH238" s="8"/>
    </row>
    <row r="239" spans="1:86" x14ac:dyDescent="0.2">
      <c r="A239" s="8" t="str">
        <f>IF(AND(COUNTIF(W$3:W$13,A$30)&gt;0,A$30&lt;&gt;B38),A$30,IFERROR(IF(MATCH(A$30,Z$3:Z$13,0)=9,A$30," ")," "))</f>
        <v>C16</v>
      </c>
      <c r="B239" s="8">
        <f>IF(A239=" "," ",MAX(B224:B238)+1)</f>
        <v>5</v>
      </c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U239" s="8"/>
      <c r="V239" s="8"/>
      <c r="W239" s="8"/>
      <c r="X239" s="8"/>
      <c r="Y239" s="8"/>
      <c r="Z239" s="8"/>
      <c r="AA239" s="8"/>
      <c r="AC239" s="8"/>
      <c r="AD239" s="8"/>
      <c r="AE239" s="8"/>
      <c r="AF239" s="8"/>
      <c r="AG239" s="8"/>
      <c r="AH239" s="8"/>
      <c r="AI239" s="8"/>
      <c r="AJ239" s="8"/>
      <c r="AK239" s="8"/>
      <c r="AL239" s="8"/>
      <c r="AM239" s="8"/>
      <c r="AN239" s="8"/>
      <c r="AO239" s="8"/>
      <c r="AP239" s="8"/>
      <c r="AQ239" s="8"/>
      <c r="AR239" s="8"/>
      <c r="AS239" s="8"/>
      <c r="AT239" s="8"/>
      <c r="AU239" s="8"/>
      <c r="AV239" s="8"/>
      <c r="AW239" s="8"/>
      <c r="AX239" s="8"/>
      <c r="AY239" s="8"/>
      <c r="AZ239" s="8"/>
      <c r="BA239" s="8"/>
      <c r="BB239" s="8"/>
      <c r="BC239" s="8"/>
      <c r="BD239" s="8"/>
      <c r="BE239" s="8"/>
      <c r="BF239" s="8"/>
      <c r="BG239" s="8"/>
      <c r="BH239" s="8"/>
      <c r="BI239" s="8"/>
      <c r="BJ239" s="8"/>
      <c r="BK239" s="8"/>
      <c r="BL239" s="8"/>
      <c r="BM239" s="8"/>
      <c r="BN239" s="8"/>
      <c r="BO239" s="8"/>
      <c r="BP239" s="8"/>
      <c r="BQ239" s="8"/>
      <c r="BR239" s="8"/>
      <c r="BS239" s="8"/>
      <c r="BT239" s="8"/>
      <c r="BU239" s="8"/>
      <c r="BV239" s="8"/>
      <c r="BW239" s="8"/>
      <c r="BX239" s="8"/>
      <c r="BY239" s="8"/>
      <c r="BZ239" s="8"/>
      <c r="CA239" s="8"/>
      <c r="CB239" s="8"/>
      <c r="CC239" s="8"/>
      <c r="CD239" s="8"/>
      <c r="CE239" s="8"/>
      <c r="CF239" s="8"/>
      <c r="CG239" s="8"/>
      <c r="CH239" s="8"/>
    </row>
    <row r="240" spans="1:86" x14ac:dyDescent="0.2">
      <c r="A240" s="8" t="str">
        <f>IF(AND(COUNTIF(W$3:W$13,A$31)&gt;0,A$31&lt;&gt;B38),A$31,IFERROR(IF(MATCH(A$31,Z$3:Z$13,0)=9,A$31," ")," "))</f>
        <v>C17</v>
      </c>
      <c r="B240" s="8">
        <f>IF(A240=" "," ",MAX(B224:B239)+1)</f>
        <v>6</v>
      </c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U240" s="8"/>
      <c r="V240" s="8"/>
      <c r="W240" s="8"/>
      <c r="X240" s="8"/>
      <c r="Y240" s="8"/>
      <c r="Z240" s="8"/>
      <c r="AA240" s="8"/>
      <c r="AC240" s="8"/>
      <c r="AD240" s="8"/>
      <c r="AE240" s="8"/>
      <c r="AF240" s="8"/>
      <c r="AG240" s="8"/>
      <c r="AH240" s="8"/>
      <c r="AI240" s="8"/>
      <c r="AJ240" s="8"/>
      <c r="AK240" s="8"/>
      <c r="AL240" s="8"/>
      <c r="AM240" s="8"/>
      <c r="AN240" s="8"/>
      <c r="AO240" s="8"/>
      <c r="AP240" s="8"/>
      <c r="AQ240" s="8"/>
      <c r="AR240" s="8"/>
      <c r="AS240" s="8"/>
      <c r="AT240" s="8"/>
      <c r="AU240" s="8"/>
      <c r="AV240" s="8"/>
      <c r="AW240" s="8"/>
      <c r="AX240" s="8"/>
      <c r="AY240" s="8"/>
      <c r="AZ240" s="8"/>
      <c r="BA240" s="8"/>
      <c r="BB240" s="8"/>
      <c r="BC240" s="8"/>
      <c r="BD240" s="8"/>
      <c r="BE240" s="8"/>
      <c r="BF240" s="8"/>
      <c r="BG240" s="8"/>
      <c r="BH240" s="8"/>
      <c r="BI240" s="8"/>
      <c r="BJ240" s="8"/>
      <c r="BK240" s="8"/>
      <c r="BL240" s="8"/>
      <c r="BM240" s="8"/>
      <c r="BN240" s="8"/>
      <c r="BO240" s="8"/>
      <c r="BP240" s="8"/>
      <c r="BQ240" s="8"/>
      <c r="BR240" s="8"/>
      <c r="BS240" s="8"/>
      <c r="BT240" s="8"/>
      <c r="BU240" s="8"/>
      <c r="BV240" s="8"/>
      <c r="BW240" s="8"/>
      <c r="BX240" s="8"/>
      <c r="BY240" s="8"/>
      <c r="BZ240" s="8"/>
      <c r="CA240" s="8"/>
      <c r="CB240" s="8"/>
      <c r="CC240" s="8"/>
      <c r="CD240" s="8"/>
      <c r="CE240" s="8"/>
      <c r="CF240" s="8"/>
      <c r="CG240" s="8"/>
      <c r="CH240" s="8"/>
    </row>
    <row r="241" spans="1:86" x14ac:dyDescent="0.2">
      <c r="A241" s="8" t="str">
        <f>IF(AND(COUNTIF(W$3:W$13,A$32)&gt;0,A$32&lt;&gt;B38),A$32,IFERROR(IF(MATCH(A$32,Z$3:Z$13,0)=9,A$32," ")," "))</f>
        <v>C18</v>
      </c>
      <c r="B241" s="8">
        <f>IF(A241=" "," ",MAX(B224:B240)+1)</f>
        <v>7</v>
      </c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U241" s="8"/>
      <c r="V241" s="8"/>
      <c r="W241" s="8"/>
      <c r="X241" s="8"/>
      <c r="Y241" s="8"/>
      <c r="Z241" s="8"/>
      <c r="AA241" s="8"/>
      <c r="AC241" s="8"/>
      <c r="AD241" s="8"/>
      <c r="AE241" s="8"/>
      <c r="AF241" s="8"/>
      <c r="AG241" s="8"/>
      <c r="AH241" s="8"/>
      <c r="AI241" s="8"/>
      <c r="AJ241" s="8"/>
      <c r="AK241" s="8"/>
      <c r="AL241" s="8"/>
      <c r="AM241" s="8"/>
      <c r="AN241" s="8"/>
      <c r="AO241" s="8"/>
      <c r="AP241" s="8"/>
      <c r="AQ241" s="8"/>
      <c r="AR241" s="8"/>
      <c r="AS241" s="8"/>
      <c r="AT241" s="8"/>
      <c r="AU241" s="8"/>
      <c r="AV241" s="8"/>
      <c r="AW241" s="8"/>
      <c r="AX241" s="8"/>
      <c r="AY241" s="8"/>
      <c r="AZ241" s="8"/>
      <c r="BA241" s="8"/>
      <c r="BB241" s="8"/>
      <c r="BC241" s="8"/>
      <c r="BD241" s="8"/>
      <c r="BE241" s="8"/>
      <c r="BF241" s="8"/>
      <c r="BG241" s="8"/>
      <c r="BH241" s="8"/>
      <c r="BI241" s="8"/>
      <c r="BJ241" s="8"/>
      <c r="BK241" s="8"/>
      <c r="BL241" s="8"/>
      <c r="BM241" s="8"/>
      <c r="BN241" s="8"/>
      <c r="BO241" s="8"/>
      <c r="BP241" s="8"/>
      <c r="BQ241" s="8"/>
      <c r="BR241" s="8"/>
      <c r="BS241" s="8"/>
      <c r="BT241" s="8"/>
      <c r="BU241" s="8"/>
      <c r="BV241" s="8"/>
      <c r="BW241" s="8"/>
      <c r="BX241" s="8"/>
      <c r="BY241" s="8"/>
      <c r="BZ241" s="8"/>
      <c r="CA241" s="8"/>
      <c r="CB241" s="8"/>
      <c r="CC241" s="8"/>
      <c r="CD241" s="8"/>
      <c r="CE241" s="8"/>
      <c r="CF241" s="8"/>
      <c r="CG241" s="8"/>
      <c r="CH241" s="8"/>
    </row>
    <row r="242" spans="1:86" x14ac:dyDescent="0.2">
      <c r="A242" s="8" t="str">
        <f>IF(AND(COUNTIF(W$3:W$13,A$33)&gt;0,A$33&lt;&gt;B38),A$33,IFERROR(IF(MATCH(A$33,Z$3:Z$13,0)=9,A$33," ")," "))</f>
        <v>C19</v>
      </c>
      <c r="B242" s="8">
        <f>IF(A242=" "," ",MAX(B224:B241)+1)</f>
        <v>8</v>
      </c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U242" s="8"/>
      <c r="V242" s="8"/>
      <c r="W242" s="8"/>
      <c r="X242" s="8"/>
      <c r="Y242" s="8"/>
      <c r="Z242" s="8"/>
      <c r="AA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  <c r="AN242" s="8"/>
      <c r="AO242" s="8"/>
      <c r="AP242" s="8"/>
      <c r="AQ242" s="8"/>
      <c r="AR242" s="8"/>
      <c r="AS242" s="8"/>
      <c r="AT242" s="8"/>
      <c r="AU242" s="8"/>
      <c r="AV242" s="8"/>
      <c r="AW242" s="8"/>
      <c r="AX242" s="8"/>
      <c r="AY242" s="8"/>
      <c r="AZ242" s="8"/>
      <c r="BA242" s="8"/>
      <c r="BB242" s="8"/>
      <c r="BC242" s="8"/>
      <c r="BD242" s="8"/>
      <c r="BE242" s="8"/>
      <c r="BF242" s="8"/>
      <c r="BG242" s="8"/>
      <c r="BH242" s="8"/>
      <c r="BI242" s="8"/>
      <c r="BJ242" s="8"/>
      <c r="BK242" s="8"/>
      <c r="BL242" s="8"/>
      <c r="BM242" s="8"/>
      <c r="BN242" s="8"/>
      <c r="BO242" s="8"/>
      <c r="BP242" s="8"/>
      <c r="BQ242" s="8"/>
      <c r="BR242" s="8"/>
      <c r="BS242" s="8"/>
      <c r="BT242" s="8"/>
      <c r="BU242" s="8"/>
      <c r="BV242" s="8"/>
      <c r="BW242" s="8"/>
      <c r="BX242" s="8"/>
      <c r="BY242" s="8"/>
      <c r="BZ242" s="8"/>
      <c r="CA242" s="8"/>
      <c r="CB242" s="8"/>
      <c r="CC242" s="8"/>
      <c r="CD242" s="8"/>
      <c r="CE242" s="8"/>
      <c r="CF242" s="8"/>
      <c r="CG242" s="8"/>
      <c r="CH242" s="8"/>
    </row>
    <row r="243" spans="1:86" x14ac:dyDescent="0.2">
      <c r="A243" s="8" t="str">
        <f>IF(AND(COUNTIF(W$3:W$13,A$34)&gt;0,A$34&lt;&gt;B38),A$34,IFERROR(IF(MATCH(A$34,Z$3:Z$13,0)=9,A$34," ")," "))</f>
        <v>C20</v>
      </c>
      <c r="B243" s="8">
        <f>IF(A243=" "," ",MAX(B224:B242)+1)</f>
        <v>9</v>
      </c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U243" s="8"/>
      <c r="V243" s="8"/>
      <c r="W243" s="8"/>
      <c r="X243" s="8"/>
      <c r="Y243" s="8"/>
      <c r="Z243" s="8"/>
      <c r="AA243" s="8"/>
      <c r="AC243" s="8"/>
      <c r="AD243" s="8"/>
      <c r="AE243" s="8"/>
      <c r="AF243" s="8"/>
      <c r="AG243" s="8"/>
      <c r="AH243" s="8"/>
      <c r="AI243" s="8"/>
      <c r="AJ243" s="8"/>
      <c r="AK243" s="8"/>
      <c r="AL243" s="8"/>
      <c r="AM243" s="8"/>
      <c r="AN243" s="8"/>
      <c r="AO243" s="8"/>
      <c r="AP243" s="8"/>
      <c r="AQ243" s="8"/>
      <c r="AR243" s="8"/>
      <c r="AS243" s="8"/>
      <c r="AT243" s="8"/>
      <c r="AU243" s="8"/>
      <c r="AV243" s="8"/>
      <c r="AW243" s="8"/>
      <c r="AX243" s="8"/>
      <c r="AY243" s="8"/>
      <c r="AZ243" s="8"/>
      <c r="BA243" s="8"/>
      <c r="BB243" s="8"/>
      <c r="BC243" s="8"/>
      <c r="BD243" s="8"/>
      <c r="BE243" s="8"/>
      <c r="BF243" s="8"/>
      <c r="BG243" s="8"/>
      <c r="BH243" s="8"/>
      <c r="BI243" s="8"/>
      <c r="BJ243" s="8"/>
      <c r="BK243" s="8"/>
      <c r="BL243" s="8"/>
      <c r="BM243" s="8"/>
      <c r="BN243" s="8"/>
      <c r="BO243" s="8"/>
      <c r="BP243" s="8"/>
      <c r="BQ243" s="8"/>
      <c r="BR243" s="8"/>
      <c r="BS243" s="8"/>
      <c r="BT243" s="8"/>
      <c r="BU243" s="8"/>
      <c r="BV243" s="8"/>
      <c r="BW243" s="8"/>
      <c r="BX243" s="8"/>
      <c r="BY243" s="8"/>
      <c r="BZ243" s="8"/>
      <c r="CA243" s="8"/>
      <c r="CB243" s="8"/>
      <c r="CC243" s="8"/>
      <c r="CD243" s="8"/>
      <c r="CE243" s="8"/>
      <c r="CF243" s="8"/>
      <c r="CG243" s="8"/>
      <c r="CH243" s="8"/>
    </row>
    <row r="244" spans="1:86" x14ac:dyDescent="0.2">
      <c r="A244" s="8" t="str">
        <f>IF(AND(COUNTIF(W$3:W$13,A$35)&gt;0,A$35&lt;&gt;B38),A$35,IFERROR(IF(MATCH(A$35,Z$3:Z$13,0)=9,A$35," ")," "))</f>
        <v>C21</v>
      </c>
      <c r="B244" s="8">
        <f>IF(A244=" "," ",MAX(B224:B243)+1)</f>
        <v>10</v>
      </c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U244" s="8"/>
      <c r="V244" s="8"/>
      <c r="W244" s="8"/>
      <c r="X244" s="8"/>
      <c r="Y244" s="8"/>
      <c r="Z244" s="8"/>
      <c r="AA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M244" s="8"/>
      <c r="AN244" s="8"/>
      <c r="AO244" s="8"/>
      <c r="AP244" s="8"/>
      <c r="AQ244" s="8"/>
      <c r="AR244" s="8"/>
      <c r="AS244" s="8"/>
      <c r="AT244" s="8"/>
      <c r="AU244" s="8"/>
      <c r="AV244" s="8"/>
      <c r="AW244" s="8"/>
      <c r="AX244" s="8"/>
      <c r="AY244" s="8"/>
      <c r="AZ244" s="8"/>
      <c r="BA244" s="8"/>
      <c r="BB244" s="8"/>
      <c r="BC244" s="8"/>
      <c r="BD244" s="8"/>
      <c r="BE244" s="8"/>
      <c r="BF244" s="8"/>
      <c r="BG244" s="8"/>
      <c r="BH244" s="8"/>
      <c r="BI244" s="8"/>
      <c r="BJ244" s="8"/>
      <c r="BK244" s="8"/>
      <c r="BL244" s="8"/>
      <c r="BM244" s="8"/>
      <c r="BN244" s="8"/>
      <c r="BO244" s="8"/>
      <c r="BP244" s="8"/>
      <c r="BQ244" s="8"/>
      <c r="BR244" s="8"/>
      <c r="BS244" s="8"/>
      <c r="BT244" s="8"/>
      <c r="BU244" s="8"/>
      <c r="BV244" s="8"/>
      <c r="BW244" s="8"/>
      <c r="BX244" s="8"/>
      <c r="BY244" s="8"/>
      <c r="BZ244" s="8"/>
      <c r="CA244" s="8"/>
      <c r="CB244" s="8"/>
      <c r="CC244" s="8"/>
      <c r="CD244" s="8"/>
      <c r="CE244" s="8"/>
      <c r="CF244" s="8"/>
      <c r="CG244" s="8"/>
      <c r="CH244" s="8"/>
    </row>
    <row r="245" spans="1:86" x14ac:dyDescent="0.2">
      <c r="A245" s="8" t="str">
        <f>IF(AND(COUNTIF(W$3:W$13,A$36)&gt;0,A$36&lt;&gt;B38),A$36,IFERROR(IF(MATCH(A$36,Z$3:Z$13,0)=9,A$36," ")," "))</f>
        <v>C22</v>
      </c>
      <c r="B245" s="8">
        <f>IF(A245=" "," ",MAX(B224:B244)+1)</f>
        <v>11</v>
      </c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U245" s="8"/>
      <c r="V245" s="8"/>
      <c r="W245" s="8"/>
      <c r="X245" s="8"/>
      <c r="Y245" s="8"/>
      <c r="Z245" s="8"/>
      <c r="AA245" s="8"/>
      <c r="AC245" s="8"/>
      <c r="AD245" s="8"/>
      <c r="AE245" s="8"/>
      <c r="AF245" s="8"/>
      <c r="AG245" s="8"/>
      <c r="AH245" s="8"/>
      <c r="AI245" s="8"/>
      <c r="AJ245" s="8"/>
      <c r="AK245" s="8"/>
      <c r="AL245" s="8"/>
      <c r="AM245" s="8"/>
      <c r="AN245" s="8"/>
      <c r="AO245" s="8"/>
      <c r="AP245" s="8"/>
      <c r="AQ245" s="8"/>
      <c r="AR245" s="8"/>
      <c r="AS245" s="8"/>
      <c r="AT245" s="8"/>
      <c r="AU245" s="8"/>
      <c r="AV245" s="8"/>
      <c r="AW245" s="8"/>
      <c r="AX245" s="8"/>
      <c r="AY245" s="8"/>
      <c r="AZ245" s="8"/>
      <c r="BA245" s="8"/>
      <c r="BB245" s="8"/>
      <c r="BC245" s="8"/>
      <c r="BD245" s="8"/>
      <c r="BE245" s="8"/>
      <c r="BF245" s="8"/>
      <c r="BG245" s="8"/>
      <c r="BH245" s="8"/>
      <c r="BI245" s="8"/>
      <c r="BJ245" s="8"/>
      <c r="BK245" s="8"/>
      <c r="BL245" s="8"/>
      <c r="BM245" s="8"/>
      <c r="BN245" s="8"/>
      <c r="BO245" s="8"/>
      <c r="BP245" s="8"/>
      <c r="BQ245" s="8"/>
      <c r="BR245" s="8"/>
      <c r="BS245" s="8"/>
      <c r="BT245" s="8"/>
      <c r="BU245" s="8"/>
      <c r="BV245" s="8"/>
      <c r="BW245" s="8"/>
      <c r="BX245" s="8"/>
      <c r="BY245" s="8"/>
      <c r="BZ245" s="8"/>
      <c r="CA245" s="8"/>
      <c r="CB245" s="8"/>
      <c r="CC245" s="8"/>
      <c r="CD245" s="8"/>
      <c r="CE245" s="8"/>
      <c r="CF245" s="8"/>
      <c r="CG245" s="8"/>
      <c r="CH245" s="8"/>
    </row>
    <row r="246" spans="1:86" x14ac:dyDescent="0.2">
      <c r="A246" s="11" t="s">
        <v>17</v>
      </c>
      <c r="B246" s="11"/>
      <c r="C246" s="15" t="s">
        <v>18</v>
      </c>
      <c r="D246" s="13" t="s">
        <v>2</v>
      </c>
      <c r="E246" s="13" t="s">
        <v>6</v>
      </c>
      <c r="F246" s="13" t="s">
        <v>15</v>
      </c>
      <c r="G246" s="13" t="s">
        <v>36</v>
      </c>
      <c r="H246" s="13" t="s">
        <v>37</v>
      </c>
      <c r="I246" s="13" t="s">
        <v>38</v>
      </c>
      <c r="J246" s="13" t="s">
        <v>39</v>
      </c>
      <c r="K246" s="13" t="s">
        <v>40</v>
      </c>
      <c r="L246" s="13" t="s">
        <v>41</v>
      </c>
      <c r="M246" s="13" t="s">
        <v>42</v>
      </c>
      <c r="N246" s="13" t="s">
        <v>43</v>
      </c>
      <c r="O246" s="13" t="s">
        <v>9</v>
      </c>
      <c r="P246" s="15" t="s">
        <v>12</v>
      </c>
      <c r="Q246" s="27" t="s">
        <v>19</v>
      </c>
      <c r="R246" s="15" t="s">
        <v>55</v>
      </c>
      <c r="S246" s="15" t="s">
        <v>26</v>
      </c>
      <c r="T246" s="19" t="s">
        <v>25</v>
      </c>
      <c r="U246" s="29" t="s">
        <v>27</v>
      </c>
      <c r="V246" s="29" t="s">
        <v>9</v>
      </c>
      <c r="W246" s="29" t="s">
        <v>23</v>
      </c>
      <c r="X246" s="29" t="s">
        <v>12</v>
      </c>
      <c r="Y246" s="29" t="s">
        <v>26</v>
      </c>
      <c r="Z246" s="29" t="s">
        <v>25</v>
      </c>
      <c r="AA246" s="29" t="s">
        <v>27</v>
      </c>
      <c r="AB246" s="31" t="s">
        <v>9</v>
      </c>
      <c r="AC246" s="29" t="s">
        <v>23</v>
      </c>
      <c r="AD246" s="29" t="s">
        <v>12</v>
      </c>
      <c r="AE246" s="29" t="s">
        <v>26</v>
      </c>
      <c r="AF246" s="29" t="s">
        <v>25</v>
      </c>
      <c r="AG246" s="29" t="s">
        <v>27</v>
      </c>
      <c r="AH246" s="29" t="s">
        <v>9</v>
      </c>
      <c r="AI246" s="29" t="s">
        <v>23</v>
      </c>
      <c r="AJ246" s="29" t="s">
        <v>12</v>
      </c>
      <c r="AK246" s="29" t="s">
        <v>26</v>
      </c>
      <c r="AL246" s="29" t="s">
        <v>25</v>
      </c>
      <c r="AM246" s="29" t="s">
        <v>27</v>
      </c>
      <c r="AN246" s="29" t="s">
        <v>9</v>
      </c>
      <c r="AO246" s="29" t="s">
        <v>23</v>
      </c>
      <c r="AP246" s="29" t="s">
        <v>12</v>
      </c>
      <c r="AQ246" s="29" t="s">
        <v>26</v>
      </c>
      <c r="AR246" s="29" t="s">
        <v>25</v>
      </c>
      <c r="AS246" s="29" t="s">
        <v>27</v>
      </c>
      <c r="AT246" s="29" t="s">
        <v>9</v>
      </c>
      <c r="AU246" s="29" t="s">
        <v>23</v>
      </c>
      <c r="AV246" s="29" t="s">
        <v>12</v>
      </c>
      <c r="AW246" s="29" t="s">
        <v>26</v>
      </c>
      <c r="AX246" s="29" t="s">
        <v>25</v>
      </c>
      <c r="AY246" s="29" t="s">
        <v>27</v>
      </c>
      <c r="AZ246" s="29" t="s">
        <v>9</v>
      </c>
      <c r="BA246" s="29" t="s">
        <v>23</v>
      </c>
      <c r="BB246" s="29" t="s">
        <v>12</v>
      </c>
      <c r="BC246" s="29" t="s">
        <v>26</v>
      </c>
      <c r="BD246" s="29" t="s">
        <v>25</v>
      </c>
      <c r="BE246" s="29" t="s">
        <v>27</v>
      </c>
      <c r="BF246" s="29" t="s">
        <v>9</v>
      </c>
      <c r="BG246" s="29" t="s">
        <v>23</v>
      </c>
      <c r="BH246" s="29" t="s">
        <v>12</v>
      </c>
      <c r="BI246" s="29" t="s">
        <v>26</v>
      </c>
      <c r="BJ246" s="29" t="s">
        <v>25</v>
      </c>
      <c r="BK246" s="29" t="s">
        <v>27</v>
      </c>
      <c r="BL246" s="29" t="s">
        <v>9</v>
      </c>
      <c r="BM246" s="29" t="s">
        <v>23</v>
      </c>
      <c r="BN246" s="29" t="s">
        <v>12</v>
      </c>
      <c r="BO246" s="29" t="s">
        <v>26</v>
      </c>
      <c r="BP246" s="29" t="s">
        <v>25</v>
      </c>
      <c r="BQ246" s="29" t="s">
        <v>27</v>
      </c>
      <c r="BR246" s="29" t="s">
        <v>9</v>
      </c>
      <c r="BS246" s="29" t="s">
        <v>23</v>
      </c>
      <c r="BT246" s="29" t="s">
        <v>12</v>
      </c>
      <c r="BU246" s="29" t="s">
        <v>26</v>
      </c>
      <c r="BV246" s="29" t="s">
        <v>25</v>
      </c>
      <c r="BW246" s="29" t="s">
        <v>27</v>
      </c>
      <c r="BX246" s="29" t="s">
        <v>9</v>
      </c>
      <c r="BY246" s="29" t="s">
        <v>23</v>
      </c>
      <c r="BZ246" s="29" t="s">
        <v>12</v>
      </c>
      <c r="CA246" s="29" t="s">
        <v>26</v>
      </c>
      <c r="CB246" s="29" t="s">
        <v>25</v>
      </c>
      <c r="CC246" s="29" t="s">
        <v>27</v>
      </c>
      <c r="CD246" s="29" t="s">
        <v>9</v>
      </c>
      <c r="CE246" s="29" t="s">
        <v>23</v>
      </c>
      <c r="CF246" s="29" t="s">
        <v>12</v>
      </c>
      <c r="CG246" s="29" t="s">
        <v>26</v>
      </c>
      <c r="CH246" s="29" t="s">
        <v>25</v>
      </c>
    </row>
    <row r="247" spans="1:86" x14ac:dyDescent="0.2">
      <c r="A247" s="8" t="str">
        <f>IF(AND(COUNTIF(W$3:W$13,A$15)&gt;0,A$15&lt;&gt;B38),A$15,IFERROR(IF(MATCH(A$15,Z$3:Z$13,0)=10,A$15," ")," "))</f>
        <v xml:space="preserve"> </v>
      </c>
      <c r="B247" s="8" t="str">
        <f>IF(A247=" "," ",1)</f>
        <v xml:space="preserve"> </v>
      </c>
      <c r="C247" s="8" t="str">
        <f>IFERROR(INDEX(A247:A268,MATCH(SMALL(B247:B268,1),B247:B268,0),1)," ")</f>
        <v>C4</v>
      </c>
      <c r="D247" s="8">
        <f>IFERROR(VLOOKUP($C247,$A$15:$O$36,2,FALSE)," ")</f>
        <v>1</v>
      </c>
      <c r="E247" s="8">
        <f>IFERROR(VLOOKUP($C247,$A$15:$O$36,3,FALSE)," ")</f>
        <v>0</v>
      </c>
      <c r="F247" s="8">
        <f>IFERROR(VLOOKUP($C247,$A$15:$O$36,4,FALSE)," ")</f>
        <v>1</v>
      </c>
      <c r="G247" s="8">
        <f>IFERROR(VLOOKUP($C247,$A$15:$O$36,5,FALSE)," ")</f>
        <v>0</v>
      </c>
      <c r="H247" s="8">
        <f>IFERROR(VLOOKUP($C247,$A$15:$O$36,6,FALSE)," ")</f>
        <v>0</v>
      </c>
      <c r="I247" s="8">
        <f>IFERROR(VLOOKUP($C247,$A$15:$O$36,7,FALSE)," ")</f>
        <v>0</v>
      </c>
      <c r="J247" s="8">
        <f>IFERROR(VLOOKUP($C247,$A$15:$O$36,8,FALSE)," ")</f>
        <v>0</v>
      </c>
      <c r="K247" s="8">
        <f>IFERROR(VLOOKUP($C247,$A$15:$O$36,9,FALSE)," ")</f>
        <v>0</v>
      </c>
      <c r="L247" s="8">
        <f>IFERROR(VLOOKUP($C247,$A$15:$O$36,10,FALSE)," ")</f>
        <v>0</v>
      </c>
      <c r="M247" s="8">
        <f>IFERROR(VLOOKUP($C247,$A$15:$O$36,11,FALSE)," ")</f>
        <v>0</v>
      </c>
      <c r="N247" s="8">
        <f>IFERROR(VLOOKUP($C247,$A$15:$O$36,12,FALSE)," ")</f>
        <v>0</v>
      </c>
      <c r="O247" s="8">
        <f>IFERROR(VLOOKUP($C247,$A$15:$O$36,15,FALSE)," ")</f>
        <v>400</v>
      </c>
      <c r="P247" s="8">
        <f t="array" ref="P247:P257">MMULT(MINVERSE(D247:N257),O247:O257)</f>
        <v>0</v>
      </c>
      <c r="Q247" s="8">
        <f t="shared" ref="Q247" si="821">IF(COUNTIF(P247:P257,"&lt;"&amp;-0.001)=0,IF(ABS(P247)&lt;0.001,0,P247)," ")</f>
        <v>0</v>
      </c>
      <c r="R247" s="8">
        <f>IFERROR(VLOOKUP(B38,A$15:L$36,2,FALSE)*Q247+VLOOKUP(B38,A$15:L$36,3,FALSE)*Q248+VLOOKUP(B38,A$15:L$36,4,FALSE)*Q249+VLOOKUP(B38,A$15:L$36,5,FALSE)*Q250+VLOOKUP(B38,A$15:L$36,6,FALSE)*Q251+VLOOKUP(B38,A$15:L$36,7,FALSE)*Q252+VLOOKUP(B38,A$15:L$36,8,FALSE)*Q253+VLOOKUP(B38,A$15:L$36,9,FALSE)*Q254+VLOOKUP(B38,A$15:L$36,10,FALSE)*Q255+VLOOKUP(B38,A$15:L$36,11,FALSE)*Q256+VLOOKUP(B38,A$15:L$36,12,FALSE)*Q257," ")</f>
        <v>2400</v>
      </c>
      <c r="S247" s="8" t="str">
        <f>IFERROR(IF(R247-VLOOKUP(B38,A$15:O$36,15,FALSE)&lt;0,R247-VLOOKUP(B38,A$15:O$36,15,FALSE)," ")," ")</f>
        <v xml:space="preserve"> </v>
      </c>
      <c r="T247" s="18">
        <f>IFERROR(IF(R247-VLOOKUP(B38,A$15:O$36,15,FALSE)&gt;0,R247-VLOOKUP(B38,A$15:O$36,15,FALSE)," ")," ")</f>
        <v>400</v>
      </c>
      <c r="U247" s="8">
        <f t="shared" ref="U247" si="822">$M$2</f>
        <v>100.00000000000001</v>
      </c>
      <c r="V247" s="8">
        <v>-1</v>
      </c>
      <c r="W247" s="8">
        <f t="shared" ref="W247" si="823">-SUMPRODUCT($M$3:$M$12,$N$3:$N$12)</f>
        <v>-105000</v>
      </c>
      <c r="X247" s="8">
        <f t="shared" ref="X247" si="824">IF(U247&lt;&gt;U248,MMULT(MINVERSE(U247:V248),W247:W248)," ")</f>
        <v>350</v>
      </c>
      <c r="Y247" s="8" t="str">
        <f t="shared" ref="Y247" si="825">IFERROR(IF(X247-VLOOKUP(U$38,$A$2:$N$12,14,FALSE)&lt;0,X247-VLOOKUP(U$38,$A$2:$N$12,14,FALSE)," ")," ")</f>
        <v xml:space="preserve"> </v>
      </c>
      <c r="Z247" s="8">
        <f t="shared" ref="Z247" si="826">IFERROR(IF(X247-VLOOKUP(U$38,$A$2:$N$12,14,FALSE)&gt;0,X247-VLOOKUP(U$38,$A$2:$N$12,14,FALSE)," ")," ")</f>
        <v>200</v>
      </c>
      <c r="AA247" s="8">
        <f t="shared" ref="AA247" si="827">$M$3</f>
        <v>0</v>
      </c>
      <c r="AB247" s="32">
        <v>-1</v>
      </c>
      <c r="AC247" s="8">
        <f t="shared" ref="AC247" si="828">-SUMPRODUCT($M$2:$M$2,$N$2:$N$2)-SUMPRODUCT($M$4:$M$12,$N$4:$N$12)</f>
        <v>-120000</v>
      </c>
      <c r="AD247" s="8" t="str">
        <f t="shared" ref="AD247" si="829">IF(AA247&lt;&gt;AA248,MMULT(MINVERSE(AA247:AB248),AC247:AC248)," ")</f>
        <v xml:space="preserve"> </v>
      </c>
      <c r="AE247" s="8" t="str">
        <f t="shared" ref="AE247" si="830">IFERROR(IF(AD247-VLOOKUP(AA$38,$A$2:$N$12,14,FALSE)&lt;0,AD247-VLOOKUP(AA$38,$A$2:$N$12,14,FALSE)," ")," ")</f>
        <v xml:space="preserve"> </v>
      </c>
      <c r="AF247" s="8" t="str">
        <f t="shared" ref="AF247" si="831">IFERROR(IF(AD247-VLOOKUP(AA$38,$A$2:$N$12,14,FALSE)&gt;0,AD247-VLOOKUP(AA$38,$A$2:$N$12,14,FALSE)," ")," ")</f>
        <v xml:space="preserve"> </v>
      </c>
      <c r="AG247" s="8">
        <f t="shared" ref="AG247" si="832">$M$4</f>
        <v>300</v>
      </c>
      <c r="AH247" s="8">
        <v>-1</v>
      </c>
      <c r="AI247" s="8">
        <f t="shared" ref="AI247" si="833">-SUMPRODUCT($M$2:$M$3,$N$2:$N$3)-SUMPRODUCT($M$5:$M$12,$N$5:$N$12)</f>
        <v>-15000.000000000002</v>
      </c>
      <c r="AJ247" s="8">
        <f t="shared" ref="AJ247" si="834">IF(AG247&lt;&gt;AG248,MMULT(MINVERSE(AG247:AH248),AI247:AI248)," ")</f>
        <v>150.00000000000003</v>
      </c>
      <c r="AK247" s="8">
        <f t="shared" ref="AK247" si="835">IFERROR(IF(AJ247-VLOOKUP(AG$38,$A$2:$N$12,14,FALSE)&lt;0,AJ247-VLOOKUP(AG$38,$A$2:$N$12,14,FALSE)," ")," ")</f>
        <v>-199.99999999999997</v>
      </c>
      <c r="AL247" s="8" t="str">
        <f t="shared" ref="AL247" si="836">IFERROR(IF(AJ247-VLOOKUP(AG$38,$A$2:$N$12,14,FALSE)&gt;0,AJ247-VLOOKUP(AG$38,$A$2:$N$12,14,FALSE)," ")," ")</f>
        <v xml:space="preserve"> </v>
      </c>
      <c r="AM247" s="8">
        <f t="shared" ref="AM247" si="837">$M$5</f>
        <v>0</v>
      </c>
      <c r="AN247" s="8">
        <v>-1</v>
      </c>
      <c r="AO247" s="8">
        <f t="shared" ref="AO247" si="838">-SUMPRODUCT($M$2:$M$4,$N$2:$N$4)-SUMPRODUCT($M$6:$M$12,$N$6:$N$12)</f>
        <v>-120000</v>
      </c>
      <c r="AP247" s="8" t="str">
        <f t="shared" ref="AP247" si="839">IF(AM247&lt;&gt;AM248,MMULT(MINVERSE(AM247:AN248),AO247:AO248)," ")</f>
        <v xml:space="preserve"> </v>
      </c>
      <c r="AQ247" s="8" t="str">
        <f t="shared" ref="AQ247" si="840">IFERROR(IF(AP247-VLOOKUP(AM$38,$A$2:$N$12,14,FALSE)&lt;0,AP247-VLOOKUP(AM$38,$A$2:$N$12,14,FALSE)," ")," ")</f>
        <v xml:space="preserve"> </v>
      </c>
      <c r="AR247" s="8" t="str">
        <f t="shared" ref="AR247" si="841">IFERROR(IF(AP247-VLOOKUP(AM$38,$A$2:$N$12,14,FALSE)&gt;0,AP247-VLOOKUP(AM$38,$A$2:$N$12,14,FALSE)," ")," ")</f>
        <v xml:space="preserve"> </v>
      </c>
      <c r="AS247" s="8">
        <f t="shared" ref="AS247" si="842">$M$6</f>
        <v>0</v>
      </c>
      <c r="AT247" s="8">
        <v>-1</v>
      </c>
      <c r="AU247" s="8">
        <f t="shared" ref="AU247" si="843">-SUMPRODUCT($M$2:$M$5,$N$2:$N$5)-SUMPRODUCT($M$7:$M$12,$N$7:$N$12)</f>
        <v>-120000</v>
      </c>
      <c r="AV247" s="8" t="str">
        <f t="shared" ref="AV247" si="844">IF(AS247&lt;&gt;AS248,MMULT(MINVERSE(AS247:AT248),AU247:AU248)," ")</f>
        <v xml:space="preserve"> </v>
      </c>
      <c r="AW247" s="8" t="str">
        <f t="shared" ref="AW247" si="845">IFERROR(IF(AV247-VLOOKUP(AS$38,$A$2:$N$12,14,FALSE)&lt;0,AV247-VLOOKUP(AS$38,$A$2:$N$12,14,FALSE)," ")," ")</f>
        <v xml:space="preserve"> </v>
      </c>
      <c r="AX247" s="8" t="str">
        <f t="shared" ref="AX247" si="846">IFERROR(IF(AV247-VLOOKUP(AS$38,$A$2:$N$12,14,FALSE)&gt;0,AV247-VLOOKUP(AS$38,$A$2:$N$12,14,FALSE)," ")," ")</f>
        <v xml:space="preserve"> </v>
      </c>
      <c r="AY247" s="8">
        <f t="shared" ref="AY247" si="847">$M$7</f>
        <v>0</v>
      </c>
      <c r="AZ247" s="8">
        <v>-1</v>
      </c>
      <c r="BA247" s="8">
        <f t="shared" ref="BA247" si="848">-SUMPRODUCT($M$2:$M$6,$N$2:$N$6)-SUMPRODUCT($M$8:$M$12,$N$8:$N$12)</f>
        <v>-120000</v>
      </c>
      <c r="BB247" s="8" t="str">
        <f t="shared" ref="BB247" si="849">IF(AY247&lt;&gt;AY248,MMULT(MINVERSE(AY247:AZ248),BA247:BA248)," ")</f>
        <v xml:space="preserve"> </v>
      </c>
      <c r="BC247" s="8" t="str">
        <f t="shared" ref="BC247" si="850">IFERROR(IF(BB247-VLOOKUP(AY$38,$A$2:$N$12,14,FALSE)&lt;0,BB247-VLOOKUP(AY$38,$A$2:$N$12,14,FALSE)," ")," ")</f>
        <v xml:space="preserve"> </v>
      </c>
      <c r="BD247" s="8" t="str">
        <f t="shared" ref="BD247" si="851">IFERROR(IF(BB247-VLOOKUP(AY$38,$A$2:$N$12,14,FALSE)&gt;0,BB247-VLOOKUP(AY$38,$A$2:$N$12,14,FALSE)," ")," ")</f>
        <v xml:space="preserve"> </v>
      </c>
      <c r="BE247" s="8">
        <f t="shared" ref="BE247" si="852">$M$8</f>
        <v>0</v>
      </c>
      <c r="BF247" s="8">
        <v>-1</v>
      </c>
      <c r="BG247" s="8">
        <f t="shared" ref="BG247" si="853">-SUMPRODUCT($M$2:$M$7,$N$2:$N$7)-SUMPRODUCT($M$9:$M$12,$N$9:$N$12)</f>
        <v>-120000</v>
      </c>
      <c r="BH247" s="8" t="str">
        <f t="shared" ref="BH247" si="854">IF(BE247&lt;&gt;BE248,MMULT(MINVERSE(BE247:BF248),BG247:BG248)," ")</f>
        <v xml:space="preserve"> </v>
      </c>
      <c r="BI247" s="8" t="str">
        <f t="shared" ref="BI247" si="855">IFERROR(IF(BH247-VLOOKUP(BE$38,$A$2:$N$12,14,FALSE)&lt;0,BH247-VLOOKUP(BE$38,$A$2:$N$12,14,FALSE)," ")," ")</f>
        <v xml:space="preserve"> </v>
      </c>
      <c r="BJ247" s="8" t="str">
        <f t="shared" ref="BJ247" si="856">IFERROR(IF(BH247-VLOOKUP(BE$38,$A$2:$N$12,14,FALSE)&gt;0,BH247-VLOOKUP(BE$38,$A$2:$N$12,14,FALSE)," ")," ")</f>
        <v xml:space="preserve"> </v>
      </c>
      <c r="BK247" s="8">
        <f t="shared" ref="BK247" si="857">$M$9</f>
        <v>0</v>
      </c>
      <c r="BL247" s="8">
        <v>-1</v>
      </c>
      <c r="BM247" s="8">
        <f t="shared" ref="BM247" si="858">-SUMPRODUCT($M$2:$M$8,$N$2:$N$8)-SUMPRODUCT($M$10:$M$12,$N$10:$N$12)</f>
        <v>-120000</v>
      </c>
      <c r="BN247" s="8" t="str">
        <f t="shared" ref="BN247" si="859">IF(BK247&lt;&gt;BK248,MMULT(MINVERSE(BK247:BL248),BM247:BM248)," ")</f>
        <v xml:space="preserve"> </v>
      </c>
      <c r="BO247" s="8" t="str">
        <f t="shared" ref="BO247" si="860">IFERROR(IF(BN247-VLOOKUP(BK$38,$A$2:$N$12,14,FALSE)&lt;0,BN247-VLOOKUP(BK$38,$A$2:$N$12,14,FALSE)," ")," ")</f>
        <v xml:space="preserve"> </v>
      </c>
      <c r="BP247" s="8" t="str">
        <f t="shared" ref="BP247" si="861">IFERROR(IF(BN247-VLOOKUP(BK$38,$A$2:$N$12,14,FALSE)&gt;0,BN247-VLOOKUP(BK$38,$A$2:$N$12,14,FALSE)," ")," ")</f>
        <v xml:space="preserve"> </v>
      </c>
      <c r="BQ247" s="8">
        <f t="shared" ref="BQ247" si="862">$M$10</f>
        <v>0</v>
      </c>
      <c r="BR247" s="8">
        <v>-1</v>
      </c>
      <c r="BS247" s="8">
        <f t="shared" ref="BS247" si="863">-SUMPRODUCT($M$2:$M$9,$N$2:$N$9)-SUMPRODUCT($M$11:$M$12,$N$11:$N$12)</f>
        <v>-120000</v>
      </c>
      <c r="BT247" s="8" t="str">
        <f t="shared" ref="BT247" si="864">IF(BQ247&lt;&gt;BQ248,MMULT(MINVERSE(BQ247:BR248),BS247:BS248)," ")</f>
        <v xml:space="preserve"> </v>
      </c>
      <c r="BU247" s="8" t="str">
        <f t="shared" ref="BU247" si="865">IFERROR(IF(BT247-VLOOKUP(BQ$38,$A$2:$N$12,14,FALSE)&lt;0,BT247-VLOOKUP(BQ$38,$A$2:$N$12,14,FALSE)," ")," ")</f>
        <v xml:space="preserve"> </v>
      </c>
      <c r="BV247" s="8" t="str">
        <f t="shared" ref="BV247" si="866">IFERROR(IF(BT247-VLOOKUP(BQ$38,$A$2:$N$12,14,FALSE)&gt;0,BT247-VLOOKUP(BQ$38,$A$2:$N$12,14,FALSE)," ")," ")</f>
        <v xml:space="preserve"> </v>
      </c>
      <c r="BW247" s="8">
        <f t="shared" ref="BW247" si="867">$M$11</f>
        <v>0</v>
      </c>
      <c r="BX247" s="8">
        <v>-1</v>
      </c>
      <c r="BY247" s="8">
        <f t="shared" ref="BY247" si="868">-SUMPRODUCT($M$2:$M$10,$N$2:$N$10)-SUMPRODUCT($M$12,$N$12)</f>
        <v>-120000</v>
      </c>
      <c r="BZ247" s="8" t="str">
        <f t="shared" ref="BZ247" si="869">IF(BW247&lt;&gt;BW248,MMULT(MINVERSE(BW247:BX248),BY247:BY248)," ")</f>
        <v xml:space="preserve"> </v>
      </c>
      <c r="CA247" s="8" t="str">
        <f t="shared" ref="CA247" si="870">IFERROR(IF(BZ247-VLOOKUP(BW$38,$A$2:$N$12,14,FALSE)&lt;0,BZ247-VLOOKUP(BW$38,$A$2:$N$12,14,FALSE)," ")," ")</f>
        <v xml:space="preserve"> </v>
      </c>
      <c r="CB247" s="8" t="str">
        <f t="shared" ref="CB247" si="871">IFERROR(IF(BZ247-VLOOKUP(BW$38,$A$2:$N$12,14,FALSE)&gt;0,BZ247-VLOOKUP(BW$38,$A$2:$N$12,14,FALSE)," ")," ")</f>
        <v xml:space="preserve"> </v>
      </c>
      <c r="CC247" s="8">
        <f t="shared" ref="CC247" si="872">$M$12</f>
        <v>0</v>
      </c>
      <c r="CD247" s="8">
        <v>-1</v>
      </c>
      <c r="CE247" s="8">
        <f t="shared" ref="CE247" si="873">-SUMPRODUCT($M$2:$M$11,$N$2:$N$11)</f>
        <v>-120000</v>
      </c>
      <c r="CF247" s="8" t="str">
        <f t="shared" ref="CF247" si="874">IF(CC247&lt;&gt;CC248,MMULT(MINVERSE(CC247:CD248),CE247:CE248)," ")</f>
        <v xml:space="preserve"> </v>
      </c>
      <c r="CG247" s="8" t="str">
        <f t="shared" ref="CG247" si="875">IFERROR(IF(CF247-VLOOKUP(CC$38,$A$2:$N$12,14,FALSE)&lt;0,CF247-VLOOKUP(CC$38,$A$2:$N$12,14,FALSE)," ")," ")</f>
        <v xml:space="preserve"> </v>
      </c>
      <c r="CH247" s="8" t="str">
        <f t="shared" ref="CH247" si="876">IFERROR(IF(CF247-VLOOKUP(CC$38,$A$2:$N$12,14,FALSE)&gt;0,CF247-VLOOKUP(CC$38,$A$2:$N$12,14,FALSE)," ")," ")</f>
        <v xml:space="preserve"> </v>
      </c>
    </row>
    <row r="248" spans="1:86" x14ac:dyDescent="0.2">
      <c r="A248" s="8" t="str">
        <f>IF(AND(COUNTIF(W$3:W$13,A$16)&gt;0,A$16&lt;&gt;B38),A$16,IFERROR(IF(MATCH(A$16,Z$3:Z$13,0)=10,A$16," ")," "))</f>
        <v xml:space="preserve"> </v>
      </c>
      <c r="B248" s="8" t="str">
        <f>IF(A248=" "," ",MAX(B247:B247)+1)</f>
        <v xml:space="preserve"> </v>
      </c>
      <c r="C248" s="8" t="str">
        <f>IFERROR(INDEX(A247:A268,MATCH(SMALL(B247:B268,2),B247:B268,0),1)," ")</f>
        <v>C12</v>
      </c>
      <c r="D248" s="8">
        <f t="shared" ref="D248:D257" si="877">IFERROR(VLOOKUP($C248,$A$15:$O$36,2,FALSE)," ")</f>
        <v>1</v>
      </c>
      <c r="E248" s="8">
        <f t="shared" ref="E248:E257" si="878">IFERROR(VLOOKUP($C248,$A$15:$O$36,3,FALSE)," ")</f>
        <v>0</v>
      </c>
      <c r="F248" s="8">
        <f t="shared" ref="F248:F257" si="879">IFERROR(VLOOKUP($C248,$A$15:$O$36,4,FALSE)," ")</f>
        <v>0</v>
      </c>
      <c r="G248" s="8">
        <f t="shared" ref="G248:G257" si="880">IFERROR(VLOOKUP($C248,$A$15:$O$36,5,FALSE)," ")</f>
        <v>0</v>
      </c>
      <c r="H248" s="8">
        <f t="shared" ref="H248:H257" si="881">IFERROR(VLOOKUP($C248,$A$15:$O$36,6,FALSE)," ")</f>
        <v>0</v>
      </c>
      <c r="I248" s="8">
        <f t="shared" ref="I248:I257" si="882">IFERROR(VLOOKUP($C248,$A$15:$O$36,7,FALSE)," ")</f>
        <v>0</v>
      </c>
      <c r="J248" s="8">
        <f t="shared" ref="J248:J257" si="883">IFERROR(VLOOKUP($C248,$A$15:$O$36,8,FALSE)," ")</f>
        <v>0</v>
      </c>
      <c r="K248" s="8">
        <f t="shared" ref="K248:K257" si="884">IFERROR(VLOOKUP($C248,$A$15:$O$36,9,FALSE)," ")</f>
        <v>0</v>
      </c>
      <c r="L248" s="8">
        <f t="shared" ref="L248:L257" si="885">IFERROR(VLOOKUP($C248,$A$15:$O$36,10,FALSE)," ")</f>
        <v>0</v>
      </c>
      <c r="M248" s="8">
        <f t="shared" ref="M248:M257" si="886">IFERROR(VLOOKUP($C248,$A$15:$O$36,11,FALSE)," ")</f>
        <v>0</v>
      </c>
      <c r="N248" s="8">
        <f t="shared" ref="N248:N257" si="887">IFERROR(VLOOKUP($C248,$A$15:$O$36,12,FALSE)," ")</f>
        <v>0</v>
      </c>
      <c r="O248" s="8">
        <f t="shared" ref="O248:O257" si="888">IFERROR(VLOOKUP($C248,$A$15:$O$36,15,FALSE)," ")</f>
        <v>0</v>
      </c>
      <c r="P248" s="8">
        <v>0</v>
      </c>
      <c r="Q248" s="8">
        <f t="shared" ref="Q248" si="889">IF(COUNTIF(P247:P257,"&lt;"&amp;-0.001)=0,IF(ABS(P248)&lt;0.001,0,P248)," ")</f>
        <v>0</v>
      </c>
      <c r="R248" s="8"/>
      <c r="S248" s="8"/>
      <c r="U248" s="8">
        <f t="shared" ref="U248" si="890">$Q247</f>
        <v>0</v>
      </c>
      <c r="V248" s="8">
        <v>-1</v>
      </c>
      <c r="W248" s="8">
        <f t="shared" ref="W248" si="891">-SUMPRODUCT($Q248:$Q257,$N$3:$N$12)</f>
        <v>-140000</v>
      </c>
      <c r="X248" s="8"/>
      <c r="Y248" s="8"/>
      <c r="Z248" s="8"/>
      <c r="AA248" s="8">
        <f t="shared" ref="AA248" si="892">$Q248</f>
        <v>0</v>
      </c>
      <c r="AB248" s="32">
        <v>-1</v>
      </c>
      <c r="AC248" s="8">
        <f t="shared" ref="AC248" si="893">-SUMPRODUCT($Q247:$Q247,$N$2:$N$2)-SUMPRODUCT($Q249:$Q257,$N$4:$N$12)</f>
        <v>-140000</v>
      </c>
      <c r="AD248" s="8"/>
      <c r="AE248" s="8"/>
      <c r="AF248" s="8"/>
      <c r="AG248" s="8">
        <f t="shared" ref="AG248" si="894">$Q249</f>
        <v>400</v>
      </c>
      <c r="AH248" s="8">
        <v>-1</v>
      </c>
      <c r="AI248" s="8">
        <f t="shared" ref="AI248" si="895">-SUMPRODUCT($Q247:$Q248,$N$2:$N$3)-SUMPRODUCT($Q250:$Q257,$N$5:$N$12)</f>
        <v>0</v>
      </c>
      <c r="AJ248" s="8"/>
      <c r="AK248" s="8"/>
      <c r="AL248" s="8"/>
      <c r="AM248" s="8">
        <f t="shared" ref="AM248" si="896">$Q250</f>
        <v>0</v>
      </c>
      <c r="AN248" s="8">
        <v>-1</v>
      </c>
      <c r="AO248" s="8">
        <f t="shared" ref="AO248" si="897">-SUMPRODUCT($Q247:$Q249,$N$2:$N$4)-SUMPRODUCT($Q251:$Q257,$N$6:$N$12)</f>
        <v>-140000</v>
      </c>
      <c r="AP248" s="8"/>
      <c r="AQ248" s="8"/>
      <c r="AR248" s="8"/>
      <c r="AS248" s="8">
        <f t="shared" ref="AS248" si="898">$Q251</f>
        <v>0</v>
      </c>
      <c r="AT248" s="8">
        <v>-1</v>
      </c>
      <c r="AU248" s="8">
        <f t="shared" ref="AU248" si="899">-SUMPRODUCT($Q247:$Q250,$N$2:$N$5)-SUMPRODUCT($Q252:$Q257,$N$7:$N$12)</f>
        <v>-140000</v>
      </c>
      <c r="AV248" s="8"/>
      <c r="AW248" s="8"/>
      <c r="AX248" s="8"/>
      <c r="AY248" s="8">
        <f t="shared" ref="AY248" si="900">$Q252</f>
        <v>0</v>
      </c>
      <c r="AZ248" s="8">
        <v>-1</v>
      </c>
      <c r="BA248" s="8">
        <f t="shared" ref="BA248" si="901">-SUMPRODUCT($Q247:$Q251,$N$2:$N$6)-SUMPRODUCT($Q253:$Q257,$N$8:$N$12)</f>
        <v>-140000</v>
      </c>
      <c r="BB248" s="8"/>
      <c r="BC248" s="8"/>
      <c r="BD248" s="8"/>
      <c r="BE248" s="8">
        <f t="shared" ref="BE248" si="902">$Q253</f>
        <v>0</v>
      </c>
      <c r="BF248" s="8">
        <v>-1</v>
      </c>
      <c r="BG248" s="8">
        <f t="shared" ref="BG248" si="903">-SUMPRODUCT($Q247:$Q252,$N$2:$N$7)-SUMPRODUCT($Q254:$Q257,$N$9:$N$12)</f>
        <v>-140000</v>
      </c>
      <c r="BH248" s="8"/>
      <c r="BI248" s="8"/>
      <c r="BJ248" s="8"/>
      <c r="BK248" s="8">
        <f t="shared" ref="BK248" si="904">$Q254</f>
        <v>0</v>
      </c>
      <c r="BL248" s="8">
        <v>-1</v>
      </c>
      <c r="BM248" s="8">
        <f t="shared" ref="BM248" si="905">-SUMPRODUCT($Q247:$Q253,$N$2:$N$8)-SUMPRODUCT($Q255:$Q257,$N$10:$N$12)</f>
        <v>-140000</v>
      </c>
      <c r="BN248" s="8"/>
      <c r="BO248" s="8"/>
      <c r="BP248" s="8"/>
      <c r="BQ248" s="8">
        <f t="shared" ref="BQ248" si="906">$Q255</f>
        <v>0</v>
      </c>
      <c r="BR248" s="8">
        <v>-1</v>
      </c>
      <c r="BS248" s="8">
        <f t="shared" ref="BS248" si="907">-SUMPRODUCT($Q247:$Q254,$N$2:$N$9)-SUMPRODUCT($Q256:$Q257,$N$11:$N$12)</f>
        <v>-140000</v>
      </c>
      <c r="BT248" s="8"/>
      <c r="BU248" s="8"/>
      <c r="BV248" s="8"/>
      <c r="BW248" s="8">
        <f t="shared" ref="BW248" si="908">$Q256</f>
        <v>0</v>
      </c>
      <c r="BX248" s="8">
        <v>-1</v>
      </c>
      <c r="BY248" s="8">
        <f t="shared" ref="BY248" si="909">-SUMPRODUCT($Q247:$Q255,$N$2:$N$10)-SUMPRODUCT($Q257,$N$12)</f>
        <v>-140000</v>
      </c>
      <c r="BZ248" s="8"/>
      <c r="CA248" s="8"/>
      <c r="CB248" s="8"/>
      <c r="CC248" s="8">
        <f t="shared" ref="CC248" si="910">$Q257</f>
        <v>0</v>
      </c>
      <c r="CD248" s="8">
        <v>-1</v>
      </c>
      <c r="CE248" s="8">
        <f t="shared" ref="CE248" si="911">-SUMPRODUCT($Q247:$Q256,$N$2:$N$11)</f>
        <v>-140000</v>
      </c>
      <c r="CF248" s="8"/>
      <c r="CG248" s="8"/>
      <c r="CH248" s="8"/>
    </row>
    <row r="249" spans="1:86" x14ac:dyDescent="0.2">
      <c r="A249" s="8" t="str">
        <f>IF(AND(COUNTIF(W$3:W$13,A$17)&gt;0,A$17&lt;&gt;B38),A$17,IFERROR(IF(MATCH(A$17,Z$3:Z$13,0)=10,A$17," ")," "))</f>
        <v xml:space="preserve"> </v>
      </c>
      <c r="B249" s="8" t="str">
        <f>IF(A249=" "," ",MAX(B247:B248)+1)</f>
        <v xml:space="preserve"> </v>
      </c>
      <c r="C249" s="8" t="str">
        <f>IFERROR(INDEX(A247:A268,MATCH(SMALL(B247:B268,3),B247:B268,0),1)," ")</f>
        <v>C13</v>
      </c>
      <c r="D249" s="8">
        <f t="shared" si="877"/>
        <v>0</v>
      </c>
      <c r="E249" s="8">
        <f t="shared" si="878"/>
        <v>1</v>
      </c>
      <c r="F249" s="8">
        <f t="shared" si="879"/>
        <v>0</v>
      </c>
      <c r="G249" s="8">
        <f t="shared" si="880"/>
        <v>0</v>
      </c>
      <c r="H249" s="8">
        <f t="shared" si="881"/>
        <v>0</v>
      </c>
      <c r="I249" s="8">
        <f t="shared" si="882"/>
        <v>0</v>
      </c>
      <c r="J249" s="8">
        <f t="shared" si="883"/>
        <v>0</v>
      </c>
      <c r="K249" s="8">
        <f t="shared" si="884"/>
        <v>0</v>
      </c>
      <c r="L249" s="8">
        <f t="shared" si="885"/>
        <v>0</v>
      </c>
      <c r="M249" s="8">
        <f t="shared" si="886"/>
        <v>0</v>
      </c>
      <c r="N249" s="8">
        <f t="shared" si="887"/>
        <v>0</v>
      </c>
      <c r="O249" s="8">
        <f t="shared" si="888"/>
        <v>0</v>
      </c>
      <c r="P249" s="8">
        <v>400</v>
      </c>
      <c r="Q249" s="8">
        <f t="shared" ref="Q249" si="912">IF(COUNTIF(P247:P257,"&lt;"&amp;-0.001)=0,IF(ABS(P249)&lt;0.001,0,P249)," ")</f>
        <v>400</v>
      </c>
      <c r="R249" s="8"/>
      <c r="S249" s="8"/>
      <c r="U249" s="8"/>
      <c r="V249" s="8"/>
      <c r="W249" s="8"/>
      <c r="X249" s="8"/>
      <c r="Y249" s="8"/>
      <c r="Z249" s="8"/>
      <c r="AA249" s="8"/>
      <c r="AC249" s="8"/>
      <c r="AD249" s="8"/>
      <c r="AE249" s="8"/>
      <c r="AF249" s="8"/>
      <c r="AG249" s="8"/>
      <c r="AH249" s="8"/>
      <c r="AI249" s="8"/>
      <c r="AJ249" s="8"/>
      <c r="AK249" s="8"/>
      <c r="AL249" s="8"/>
      <c r="AM249" s="8"/>
      <c r="AN249" s="8"/>
      <c r="AO249" s="8"/>
      <c r="AP249" s="8"/>
      <c r="AQ249" s="8"/>
      <c r="AR249" s="8"/>
      <c r="AS249" s="8"/>
      <c r="AT249" s="8"/>
      <c r="AU249" s="8"/>
      <c r="AV249" s="8"/>
      <c r="AW249" s="8"/>
      <c r="AX249" s="8"/>
      <c r="AY249" s="8"/>
      <c r="AZ249" s="8"/>
      <c r="BA249" s="8"/>
      <c r="BB249" s="8"/>
      <c r="BC249" s="8"/>
      <c r="BD249" s="8"/>
      <c r="BE249" s="8"/>
      <c r="BF249" s="8"/>
      <c r="BG249" s="8"/>
      <c r="BH249" s="8"/>
      <c r="BI249" s="8"/>
      <c r="BJ249" s="8"/>
      <c r="BK249" s="8"/>
      <c r="BL249" s="8"/>
      <c r="BM249" s="8"/>
      <c r="BN249" s="8"/>
      <c r="BO249" s="8"/>
      <c r="BP249" s="8"/>
      <c r="BQ249" s="8"/>
      <c r="BR249" s="8"/>
      <c r="BS249" s="8"/>
      <c r="BT249" s="8"/>
      <c r="BU249" s="8"/>
      <c r="BV249" s="8"/>
      <c r="BW249" s="8"/>
      <c r="BX249" s="8"/>
      <c r="BY249" s="8"/>
      <c r="BZ249" s="8"/>
      <c r="CA249" s="8"/>
      <c r="CB249" s="8"/>
      <c r="CC249" s="8"/>
      <c r="CD249" s="8"/>
      <c r="CE249" s="8"/>
      <c r="CF249" s="8"/>
      <c r="CG249" s="8"/>
      <c r="CH249" s="8"/>
    </row>
    <row r="250" spans="1:86" x14ac:dyDescent="0.2">
      <c r="A250" s="8" t="str">
        <f>IF(AND(COUNTIF(W$3:W$13,A$18)&gt;0,A$18&lt;&gt;B38),A$18,IFERROR(IF(MATCH(A$18,Z$3:Z$13,0)=10,A$18," ")," "))</f>
        <v>C4</v>
      </c>
      <c r="B250" s="8">
        <f>IF(A250=" "," ",MAX(B247:B249)+1)</f>
        <v>1</v>
      </c>
      <c r="C250" s="8" t="str">
        <f>IFERROR(INDEX(A247:A268,MATCH(SMALL(B247:B268,4),B247:B268,0),1)," ")</f>
        <v>C15</v>
      </c>
      <c r="D250" s="8">
        <f t="shared" si="877"/>
        <v>0</v>
      </c>
      <c r="E250" s="8">
        <f t="shared" si="878"/>
        <v>0</v>
      </c>
      <c r="F250" s="8">
        <f t="shared" si="879"/>
        <v>0</v>
      </c>
      <c r="G250" s="8">
        <f t="shared" si="880"/>
        <v>1</v>
      </c>
      <c r="H250" s="8">
        <f t="shared" si="881"/>
        <v>0</v>
      </c>
      <c r="I250" s="8">
        <f t="shared" si="882"/>
        <v>0</v>
      </c>
      <c r="J250" s="8">
        <f t="shared" si="883"/>
        <v>0</v>
      </c>
      <c r="K250" s="8">
        <f t="shared" si="884"/>
        <v>0</v>
      </c>
      <c r="L250" s="8">
        <f t="shared" si="885"/>
        <v>0</v>
      </c>
      <c r="M250" s="8">
        <f t="shared" si="886"/>
        <v>0</v>
      </c>
      <c r="N250" s="8">
        <f t="shared" si="887"/>
        <v>0</v>
      </c>
      <c r="O250" s="8">
        <f t="shared" si="888"/>
        <v>0</v>
      </c>
      <c r="P250" s="8">
        <v>0</v>
      </c>
      <c r="Q250" s="8">
        <f t="shared" ref="Q250" si="913">IF(COUNTIF(P247:P257,"&lt;"&amp;-0.001)=0,IF(ABS(P250)&lt;0.001,0,P250)," ")</f>
        <v>0</v>
      </c>
      <c r="R250" s="8"/>
      <c r="S250" s="8"/>
      <c r="U250" s="8"/>
      <c r="V250" s="8"/>
      <c r="W250" s="8"/>
      <c r="X250" s="8"/>
      <c r="Y250" s="8"/>
      <c r="Z250" s="8"/>
      <c r="AA250" s="8"/>
      <c r="AC250" s="8"/>
      <c r="AD250" s="8"/>
      <c r="AE250" s="8"/>
      <c r="AF250" s="8"/>
      <c r="AG250" s="8"/>
      <c r="AH250" s="8"/>
      <c r="AI250" s="8"/>
      <c r="AJ250" s="8"/>
      <c r="AK250" s="8"/>
      <c r="AL250" s="8"/>
      <c r="AM250" s="8"/>
      <c r="AN250" s="8"/>
      <c r="AO250" s="8"/>
      <c r="AP250" s="8"/>
      <c r="AQ250" s="8"/>
      <c r="AR250" s="8"/>
      <c r="AS250" s="8"/>
      <c r="AT250" s="8"/>
      <c r="AU250" s="8"/>
      <c r="AV250" s="8"/>
      <c r="AW250" s="8"/>
      <c r="AX250" s="8"/>
      <c r="AY250" s="8"/>
      <c r="AZ250" s="8"/>
      <c r="BA250" s="8"/>
      <c r="BB250" s="8"/>
      <c r="BC250" s="8"/>
      <c r="BD250" s="8"/>
      <c r="BE250" s="8"/>
      <c r="BF250" s="8"/>
      <c r="BG250" s="8"/>
      <c r="BH250" s="8"/>
      <c r="BI250" s="8"/>
      <c r="BJ250" s="8"/>
      <c r="BK250" s="8"/>
      <c r="BL250" s="8"/>
      <c r="BM250" s="8"/>
      <c r="BN250" s="8"/>
      <c r="BO250" s="8"/>
      <c r="BP250" s="8"/>
      <c r="BQ250" s="8"/>
      <c r="BR250" s="8"/>
      <c r="BS250" s="8"/>
      <c r="BT250" s="8"/>
      <c r="BU250" s="8"/>
      <c r="BV250" s="8"/>
      <c r="BW250" s="8"/>
      <c r="BX250" s="8"/>
      <c r="BY250" s="8"/>
      <c r="BZ250" s="8"/>
      <c r="CA250" s="8"/>
      <c r="CB250" s="8"/>
      <c r="CC250" s="8"/>
      <c r="CD250" s="8"/>
      <c r="CE250" s="8"/>
      <c r="CF250" s="8"/>
      <c r="CG250" s="8"/>
      <c r="CH250" s="8"/>
    </row>
    <row r="251" spans="1:86" x14ac:dyDescent="0.2">
      <c r="A251" s="8" t="str">
        <f>IF(AND(COUNTIF(W$3:W$13,A$19)&gt;0,A$19&lt;&gt;B38),A$19,IFERROR(IF(MATCH(A$19,Z$3:Z$13,0)=10,A$19," ")," "))</f>
        <v xml:space="preserve"> </v>
      </c>
      <c r="B251" s="8" t="str">
        <f>IF(A251=" "," ",MAX(B247:B250)+1)</f>
        <v xml:space="preserve"> </v>
      </c>
      <c r="C251" s="8" t="str">
        <f>IFERROR(INDEX(A247:A268,MATCH(SMALL(B247:B268,5),B247:B268,0),1)," ")</f>
        <v>C16</v>
      </c>
      <c r="D251" s="8">
        <f t="shared" si="877"/>
        <v>0</v>
      </c>
      <c r="E251" s="8">
        <f t="shared" si="878"/>
        <v>0</v>
      </c>
      <c r="F251" s="8">
        <f t="shared" si="879"/>
        <v>0</v>
      </c>
      <c r="G251" s="8">
        <f t="shared" si="880"/>
        <v>0</v>
      </c>
      <c r="H251" s="8">
        <f t="shared" si="881"/>
        <v>1</v>
      </c>
      <c r="I251" s="8">
        <f t="shared" si="882"/>
        <v>0</v>
      </c>
      <c r="J251" s="8">
        <f t="shared" si="883"/>
        <v>0</v>
      </c>
      <c r="K251" s="8">
        <f t="shared" si="884"/>
        <v>0</v>
      </c>
      <c r="L251" s="8">
        <f t="shared" si="885"/>
        <v>0</v>
      </c>
      <c r="M251" s="8">
        <f t="shared" si="886"/>
        <v>0</v>
      </c>
      <c r="N251" s="8">
        <f t="shared" si="887"/>
        <v>0</v>
      </c>
      <c r="O251" s="8">
        <f t="shared" si="888"/>
        <v>0</v>
      </c>
      <c r="P251" s="8">
        <v>0</v>
      </c>
      <c r="Q251" s="8">
        <f t="shared" ref="Q251" si="914">IF(COUNTIF(P247:P257,"&lt;"&amp;-0.001)=0,IF(ABS(P251)&lt;0.001,0,P251)," ")</f>
        <v>0</v>
      </c>
      <c r="R251" s="8"/>
      <c r="S251" s="8"/>
      <c r="U251" s="8"/>
      <c r="V251" s="8"/>
      <c r="W251" s="8"/>
      <c r="X251" s="8"/>
      <c r="Y251" s="8"/>
      <c r="Z251" s="8"/>
      <c r="AA251" s="8"/>
      <c r="AC251" s="8"/>
      <c r="AD251" s="8"/>
      <c r="AE251" s="8"/>
      <c r="AF251" s="8"/>
      <c r="AG251" s="8"/>
      <c r="AH251" s="8"/>
      <c r="AI251" s="8"/>
      <c r="AJ251" s="8"/>
      <c r="AK251" s="8"/>
      <c r="AL251" s="8"/>
      <c r="AM251" s="8"/>
      <c r="AN251" s="8"/>
      <c r="AO251" s="8"/>
      <c r="AP251" s="8"/>
      <c r="AQ251" s="8"/>
      <c r="AR251" s="8"/>
      <c r="AS251" s="8"/>
      <c r="AT251" s="8"/>
      <c r="AU251" s="8"/>
      <c r="AV251" s="8"/>
      <c r="AW251" s="8"/>
      <c r="AX251" s="8"/>
      <c r="AY251" s="8"/>
      <c r="AZ251" s="8"/>
      <c r="BA251" s="8"/>
      <c r="BB251" s="8"/>
      <c r="BC251" s="8"/>
      <c r="BD251" s="8"/>
      <c r="BE251" s="8"/>
      <c r="BF251" s="8"/>
      <c r="BG251" s="8"/>
      <c r="BH251" s="8"/>
      <c r="BI251" s="8"/>
      <c r="BJ251" s="8"/>
      <c r="BK251" s="8"/>
      <c r="BL251" s="8"/>
      <c r="BM251" s="8"/>
      <c r="BN251" s="8"/>
      <c r="BO251" s="8"/>
      <c r="BP251" s="8"/>
      <c r="BQ251" s="8"/>
      <c r="BR251" s="8"/>
      <c r="BS251" s="8"/>
      <c r="BT251" s="8"/>
      <c r="BU251" s="8"/>
      <c r="BV251" s="8"/>
      <c r="BW251" s="8"/>
      <c r="BX251" s="8"/>
      <c r="BY251" s="8"/>
      <c r="BZ251" s="8"/>
      <c r="CA251" s="8"/>
      <c r="CB251" s="8"/>
      <c r="CC251" s="8"/>
      <c r="CD251" s="8"/>
      <c r="CE251" s="8"/>
      <c r="CF251" s="8"/>
      <c r="CG251" s="8"/>
      <c r="CH251" s="8"/>
    </row>
    <row r="252" spans="1:86" x14ac:dyDescent="0.2">
      <c r="A252" s="8" t="str">
        <f>IF(AND(COUNTIF(W$3:W$13,A$20)&gt;0,A$20&lt;&gt;B38),A$20,IFERROR(IF(MATCH(A$20,Z$3:Z$13,0)=10,A$20," ")," "))</f>
        <v xml:space="preserve"> </v>
      </c>
      <c r="B252" s="8" t="str">
        <f>IF(A252=" "," ",MAX(B247:B251)+1)</f>
        <v xml:space="preserve"> </v>
      </c>
      <c r="C252" s="8" t="str">
        <f>IFERROR(INDEX(A247:A268,MATCH(SMALL(B247:B268,6),B247:B268,0),1)," ")</f>
        <v>C17</v>
      </c>
      <c r="D252" s="8">
        <f t="shared" si="877"/>
        <v>0</v>
      </c>
      <c r="E252" s="8">
        <f t="shared" si="878"/>
        <v>0</v>
      </c>
      <c r="F252" s="8">
        <f t="shared" si="879"/>
        <v>0</v>
      </c>
      <c r="G252" s="8">
        <f t="shared" si="880"/>
        <v>0</v>
      </c>
      <c r="H252" s="8">
        <f t="shared" si="881"/>
        <v>0</v>
      </c>
      <c r="I252" s="8">
        <f t="shared" si="882"/>
        <v>1</v>
      </c>
      <c r="J252" s="8">
        <f t="shared" si="883"/>
        <v>0</v>
      </c>
      <c r="K252" s="8">
        <f t="shared" si="884"/>
        <v>0</v>
      </c>
      <c r="L252" s="8">
        <f t="shared" si="885"/>
        <v>0</v>
      </c>
      <c r="M252" s="8">
        <f t="shared" si="886"/>
        <v>0</v>
      </c>
      <c r="N252" s="8">
        <f t="shared" si="887"/>
        <v>0</v>
      </c>
      <c r="O252" s="8">
        <f t="shared" si="888"/>
        <v>0</v>
      </c>
      <c r="P252" s="8">
        <v>0</v>
      </c>
      <c r="Q252" s="8">
        <f t="shared" ref="Q252" si="915">IF(COUNTIF(P247:P257,"&lt;"&amp;-0.001)=0,IF(ABS(P252)&lt;0.001,0,P252)," ")</f>
        <v>0</v>
      </c>
      <c r="R252" s="8"/>
      <c r="S252" s="8"/>
      <c r="U252" s="8"/>
      <c r="V252" s="8"/>
      <c r="W252" s="8"/>
      <c r="X252" s="8"/>
      <c r="Y252" s="8"/>
      <c r="Z252" s="8"/>
      <c r="AA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/>
      <c r="AM252" s="8"/>
      <c r="AN252" s="8"/>
      <c r="AO252" s="8"/>
      <c r="AP252" s="8"/>
      <c r="AQ252" s="8"/>
      <c r="AR252" s="8"/>
      <c r="AS252" s="8"/>
      <c r="AT252" s="8"/>
      <c r="AU252" s="8"/>
      <c r="AV252" s="8"/>
      <c r="AW252" s="8"/>
      <c r="AX252" s="8"/>
      <c r="AY252" s="8"/>
      <c r="AZ252" s="8"/>
      <c r="BA252" s="8"/>
      <c r="BB252" s="8"/>
      <c r="BC252" s="8"/>
      <c r="BD252" s="8"/>
      <c r="BE252" s="8"/>
      <c r="BF252" s="8"/>
      <c r="BG252" s="8"/>
      <c r="BH252" s="8"/>
      <c r="BI252" s="8"/>
      <c r="BJ252" s="8"/>
      <c r="BK252" s="8"/>
      <c r="BL252" s="8"/>
      <c r="BM252" s="8"/>
      <c r="BN252" s="8"/>
      <c r="BO252" s="8"/>
      <c r="BP252" s="8"/>
      <c r="BQ252" s="8"/>
      <c r="BR252" s="8"/>
      <c r="BS252" s="8"/>
      <c r="BT252" s="8"/>
      <c r="BU252" s="8"/>
      <c r="BV252" s="8"/>
      <c r="BW252" s="8"/>
      <c r="BX252" s="8"/>
      <c r="BY252" s="8"/>
      <c r="BZ252" s="8"/>
      <c r="CA252" s="8"/>
      <c r="CB252" s="8"/>
      <c r="CC252" s="8"/>
      <c r="CD252" s="8"/>
      <c r="CE252" s="8"/>
      <c r="CF252" s="8"/>
      <c r="CG252" s="8"/>
      <c r="CH252" s="8"/>
    </row>
    <row r="253" spans="1:86" x14ac:dyDescent="0.2">
      <c r="A253" s="8" t="str">
        <f>IF(AND(COUNTIF(W$3:W$13,A$21)&gt;0,A$21&lt;&gt;B38),A$21,IFERROR(IF(MATCH(A$21,Z$3:Z$13,0)=10,A$21," ")," "))</f>
        <v xml:space="preserve"> </v>
      </c>
      <c r="B253" s="8" t="str">
        <f>IF(A253=" "," ",MAX(B247:B252)+1)</f>
        <v xml:space="preserve"> </v>
      </c>
      <c r="C253" s="8" t="str">
        <f>IFERROR(INDEX(A247:A268,MATCH(SMALL(B247:B268,7),B247:B268,0),1)," ")</f>
        <v>C18</v>
      </c>
      <c r="D253" s="8">
        <f t="shared" si="877"/>
        <v>0</v>
      </c>
      <c r="E253" s="8">
        <f t="shared" si="878"/>
        <v>0</v>
      </c>
      <c r="F253" s="8">
        <f t="shared" si="879"/>
        <v>0</v>
      </c>
      <c r="G253" s="8">
        <f t="shared" si="880"/>
        <v>0</v>
      </c>
      <c r="H253" s="8">
        <f t="shared" si="881"/>
        <v>0</v>
      </c>
      <c r="I253" s="8">
        <f t="shared" si="882"/>
        <v>0</v>
      </c>
      <c r="J253" s="8">
        <f t="shared" si="883"/>
        <v>1</v>
      </c>
      <c r="K253" s="8">
        <f t="shared" si="884"/>
        <v>0</v>
      </c>
      <c r="L253" s="8">
        <f t="shared" si="885"/>
        <v>0</v>
      </c>
      <c r="M253" s="8">
        <f t="shared" si="886"/>
        <v>0</v>
      </c>
      <c r="N253" s="8">
        <f t="shared" si="887"/>
        <v>0</v>
      </c>
      <c r="O253" s="8">
        <f t="shared" si="888"/>
        <v>0</v>
      </c>
      <c r="P253" s="8">
        <v>0</v>
      </c>
      <c r="Q253" s="8">
        <f t="shared" ref="Q253" si="916">IF(COUNTIF(P247:P257,"&lt;"&amp;-0.001)=0,IF(ABS(P253)&lt;0.001,0,P253)," ")</f>
        <v>0</v>
      </c>
      <c r="R253" s="8"/>
      <c r="S253" s="8"/>
      <c r="U253" s="8"/>
      <c r="V253" s="8"/>
      <c r="W253" s="8"/>
      <c r="X253" s="8"/>
      <c r="Y253" s="8"/>
      <c r="Z253" s="8"/>
      <c r="AA253" s="8"/>
      <c r="AC253" s="8"/>
      <c r="AD253" s="8"/>
      <c r="AE253" s="8"/>
      <c r="AF253" s="8"/>
      <c r="AG253" s="8"/>
      <c r="AH253" s="8"/>
      <c r="AI253" s="8"/>
      <c r="AJ253" s="8"/>
      <c r="AK253" s="8"/>
      <c r="AL253" s="8"/>
      <c r="AM253" s="8"/>
      <c r="AN253" s="8"/>
      <c r="AO253" s="8"/>
      <c r="AP253" s="8"/>
      <c r="AQ253" s="8"/>
      <c r="AR253" s="8"/>
      <c r="AS253" s="8"/>
      <c r="AT253" s="8"/>
      <c r="AU253" s="8"/>
      <c r="AV253" s="8"/>
      <c r="AW253" s="8"/>
      <c r="AX253" s="8"/>
      <c r="AY253" s="8"/>
      <c r="AZ253" s="8"/>
      <c r="BA253" s="8"/>
      <c r="BB253" s="8"/>
      <c r="BC253" s="8"/>
      <c r="BD253" s="8"/>
      <c r="BE253" s="8"/>
      <c r="BF253" s="8"/>
      <c r="BG253" s="8"/>
      <c r="BH253" s="8"/>
      <c r="BI253" s="8"/>
      <c r="BJ253" s="8"/>
      <c r="BK253" s="8"/>
      <c r="BL253" s="8"/>
      <c r="BM253" s="8"/>
      <c r="BN253" s="8"/>
      <c r="BO253" s="8"/>
      <c r="BP253" s="8"/>
      <c r="BQ253" s="8"/>
      <c r="BR253" s="8"/>
      <c r="BS253" s="8"/>
      <c r="BT253" s="8"/>
      <c r="BU253" s="8"/>
      <c r="BV253" s="8"/>
      <c r="BW253" s="8"/>
      <c r="BX253" s="8"/>
      <c r="BY253" s="8"/>
      <c r="BZ253" s="8"/>
      <c r="CA253" s="8"/>
      <c r="CB253" s="8"/>
      <c r="CC253" s="8"/>
      <c r="CD253" s="8"/>
      <c r="CE253" s="8"/>
      <c r="CF253" s="8"/>
      <c r="CG253" s="8"/>
      <c r="CH253" s="8"/>
    </row>
    <row r="254" spans="1:86" x14ac:dyDescent="0.2">
      <c r="A254" s="8" t="str">
        <f>IF(AND(COUNTIF(W$3:W$13,A$22)&gt;0,A$22&lt;&gt;B38),A$22,IFERROR(IF(MATCH(A$22,Z$3:Z$13,0)=10,A$22," ")," "))</f>
        <v xml:space="preserve"> </v>
      </c>
      <c r="B254" s="8" t="str">
        <f>IF(A254=" "," ",MAX(B247:B253)+1)</f>
        <v xml:space="preserve"> </v>
      </c>
      <c r="C254" s="8" t="str">
        <f>IFERROR(INDEX(A247:A268,MATCH(SMALL(B247:B268,8),B247:B268,0),1)," ")</f>
        <v>C19</v>
      </c>
      <c r="D254" s="8">
        <f t="shared" si="877"/>
        <v>0</v>
      </c>
      <c r="E254" s="8">
        <f t="shared" si="878"/>
        <v>0</v>
      </c>
      <c r="F254" s="8">
        <f t="shared" si="879"/>
        <v>0</v>
      </c>
      <c r="G254" s="8">
        <f t="shared" si="880"/>
        <v>0</v>
      </c>
      <c r="H254" s="8">
        <f t="shared" si="881"/>
        <v>0</v>
      </c>
      <c r="I254" s="8">
        <f t="shared" si="882"/>
        <v>0</v>
      </c>
      <c r="J254" s="8">
        <f t="shared" si="883"/>
        <v>0</v>
      </c>
      <c r="K254" s="8">
        <f t="shared" si="884"/>
        <v>1</v>
      </c>
      <c r="L254" s="8">
        <f t="shared" si="885"/>
        <v>0</v>
      </c>
      <c r="M254" s="8">
        <f t="shared" si="886"/>
        <v>0</v>
      </c>
      <c r="N254" s="8">
        <f t="shared" si="887"/>
        <v>0</v>
      </c>
      <c r="O254" s="8">
        <f t="shared" si="888"/>
        <v>0</v>
      </c>
      <c r="P254" s="8">
        <v>0</v>
      </c>
      <c r="Q254" s="8">
        <f t="shared" ref="Q254" si="917">IF(COUNTIF(P247:P257,"&lt;"&amp;-0.001)=0,IF(ABS(P254)&lt;0.001,0,P254)," ")</f>
        <v>0</v>
      </c>
      <c r="R254" s="8"/>
      <c r="S254" s="8"/>
      <c r="U254" s="8"/>
      <c r="V254" s="8"/>
      <c r="W254" s="8"/>
      <c r="X254" s="8"/>
      <c r="Y254" s="8"/>
      <c r="Z254" s="8"/>
      <c r="AA254" s="8"/>
      <c r="AC254" s="8"/>
      <c r="AD254" s="8"/>
      <c r="AE254" s="8"/>
      <c r="AF254" s="8"/>
      <c r="AG254" s="8"/>
      <c r="AH254" s="8"/>
      <c r="AI254" s="8"/>
      <c r="AJ254" s="8"/>
      <c r="AK254" s="8"/>
      <c r="AL254" s="8"/>
      <c r="AM254" s="8"/>
      <c r="AN254" s="8"/>
      <c r="AO254" s="8"/>
      <c r="AP254" s="8"/>
      <c r="AQ254" s="8"/>
      <c r="AR254" s="8"/>
      <c r="AS254" s="8"/>
      <c r="AT254" s="8"/>
      <c r="AU254" s="8"/>
      <c r="AV254" s="8"/>
      <c r="AW254" s="8"/>
      <c r="AX254" s="8"/>
      <c r="AY254" s="8"/>
      <c r="AZ254" s="8"/>
      <c r="BA254" s="8"/>
      <c r="BB254" s="8"/>
      <c r="BC254" s="8"/>
      <c r="BD254" s="8"/>
      <c r="BE254" s="8"/>
      <c r="BF254" s="8"/>
      <c r="BG254" s="8"/>
      <c r="BH254" s="8"/>
      <c r="BI254" s="8"/>
      <c r="BJ254" s="8"/>
      <c r="BK254" s="8"/>
      <c r="BL254" s="8"/>
      <c r="BM254" s="8"/>
      <c r="BN254" s="8"/>
      <c r="BO254" s="8"/>
      <c r="BP254" s="8"/>
      <c r="BQ254" s="8"/>
      <c r="BR254" s="8"/>
      <c r="BS254" s="8"/>
      <c r="BT254" s="8"/>
      <c r="BU254" s="8"/>
      <c r="BV254" s="8"/>
      <c r="BW254" s="8"/>
      <c r="BX254" s="8"/>
      <c r="BY254" s="8"/>
      <c r="BZ254" s="8"/>
      <c r="CA254" s="8"/>
      <c r="CB254" s="8"/>
      <c r="CC254" s="8"/>
      <c r="CD254" s="8"/>
      <c r="CE254" s="8"/>
      <c r="CF254" s="8"/>
      <c r="CG254" s="8"/>
      <c r="CH254" s="8"/>
    </row>
    <row r="255" spans="1:86" x14ac:dyDescent="0.2">
      <c r="A255" s="8" t="str">
        <f>IF(AND(COUNTIF(W$3:W$13,A$23)&gt;0,A$23&lt;&gt;B38),A$23,IFERROR(IF(MATCH(A$23,Z$3:Z$13,0)=10,A$23," ")," "))</f>
        <v xml:space="preserve"> </v>
      </c>
      <c r="B255" s="8" t="str">
        <f>IF(A255=" "," ",MAX(B247:B254)+1)</f>
        <v xml:space="preserve"> </v>
      </c>
      <c r="C255" s="8" t="str">
        <f>IFERROR(INDEX(A247:A268,MATCH(SMALL(B247:B268,9),B247:B268,0),1)," ")</f>
        <v>C20</v>
      </c>
      <c r="D255" s="8">
        <f t="shared" si="877"/>
        <v>0</v>
      </c>
      <c r="E255" s="8">
        <f t="shared" si="878"/>
        <v>0</v>
      </c>
      <c r="F255" s="8">
        <f t="shared" si="879"/>
        <v>0</v>
      </c>
      <c r="G255" s="8">
        <f t="shared" si="880"/>
        <v>0</v>
      </c>
      <c r="H255" s="8">
        <f t="shared" si="881"/>
        <v>0</v>
      </c>
      <c r="I255" s="8">
        <f t="shared" si="882"/>
        <v>0</v>
      </c>
      <c r="J255" s="8">
        <f t="shared" si="883"/>
        <v>0</v>
      </c>
      <c r="K255" s="8">
        <f t="shared" si="884"/>
        <v>0</v>
      </c>
      <c r="L255" s="8">
        <f t="shared" si="885"/>
        <v>1</v>
      </c>
      <c r="M255" s="8">
        <f t="shared" si="886"/>
        <v>0</v>
      </c>
      <c r="N255" s="8">
        <f t="shared" si="887"/>
        <v>0</v>
      </c>
      <c r="O255" s="8">
        <f t="shared" si="888"/>
        <v>0</v>
      </c>
      <c r="P255" s="6">
        <v>0</v>
      </c>
      <c r="Q255" s="8">
        <f t="shared" ref="Q255" si="918">IF(COUNTIF(P247:P257,"&lt;"&amp;-0.001)=0,IF(ABS(P255)&lt;0.001,0,P255)," ")</f>
        <v>0</v>
      </c>
      <c r="R255" s="8"/>
      <c r="S255" s="8"/>
      <c r="U255" s="8"/>
      <c r="V255" s="8"/>
      <c r="W255" s="8"/>
      <c r="X255" s="8"/>
      <c r="Y255" s="8"/>
      <c r="Z255" s="8"/>
      <c r="AA255" s="8"/>
      <c r="AC255" s="8"/>
      <c r="AD255" s="8"/>
      <c r="AE255" s="8"/>
      <c r="AF255" s="8"/>
      <c r="AG255" s="8"/>
      <c r="AH255" s="8"/>
      <c r="AI255" s="8"/>
      <c r="AJ255" s="8"/>
      <c r="AK255" s="8"/>
      <c r="AL255" s="8"/>
      <c r="AM255" s="8"/>
      <c r="AN255" s="8"/>
      <c r="AO255" s="8"/>
      <c r="AP255" s="8"/>
      <c r="AQ255" s="8"/>
      <c r="AR255" s="8"/>
      <c r="AS255" s="8"/>
      <c r="AT255" s="8"/>
      <c r="AU255" s="8"/>
      <c r="AV255" s="8"/>
      <c r="AW255" s="8"/>
      <c r="AX255" s="8"/>
      <c r="AY255" s="8"/>
      <c r="AZ255" s="8"/>
      <c r="BA255" s="8"/>
      <c r="BB255" s="8"/>
      <c r="BC255" s="8"/>
      <c r="BD255" s="8"/>
      <c r="BE255" s="8"/>
      <c r="BF255" s="8"/>
      <c r="BG255" s="8"/>
      <c r="BH255" s="8"/>
      <c r="BI255" s="8"/>
      <c r="BJ255" s="8"/>
      <c r="BK255" s="8"/>
      <c r="BL255" s="8"/>
      <c r="BM255" s="8"/>
      <c r="BN255" s="8"/>
      <c r="BO255" s="8"/>
      <c r="BP255" s="8"/>
      <c r="BQ255" s="8"/>
      <c r="BR255" s="8"/>
      <c r="BS255" s="8"/>
      <c r="BT255" s="8"/>
      <c r="BU255" s="8"/>
      <c r="BV255" s="8"/>
      <c r="BW255" s="8"/>
      <c r="BX255" s="8"/>
      <c r="BY255" s="8"/>
      <c r="BZ255" s="8"/>
      <c r="CA255" s="8"/>
      <c r="CB255" s="8"/>
      <c r="CC255" s="8"/>
      <c r="CD255" s="8"/>
      <c r="CE255" s="8"/>
      <c r="CF255" s="8"/>
      <c r="CG255" s="8"/>
      <c r="CH255" s="8"/>
    </row>
    <row r="256" spans="1:86" x14ac:dyDescent="0.2">
      <c r="A256" s="8" t="str">
        <f>IF(AND(COUNTIF(W$3:W$13,A$24)&gt;0,A$24&lt;&gt;B38),A$24,IFERROR(IF(MATCH(A$24,Z$3:Z$13,0)=10,A$24," ")," "))</f>
        <v xml:space="preserve"> </v>
      </c>
      <c r="B256" s="8" t="str">
        <f>IF(A256=" "," ",MAX(B247:B255)+1)</f>
        <v xml:space="preserve"> </v>
      </c>
      <c r="C256" s="8" t="str">
        <f>IFERROR(INDEX(A247:A268,MATCH(SMALL(B247:B268,10),B247:B268,0),1)," ")</f>
        <v>C21</v>
      </c>
      <c r="D256" s="8">
        <f t="shared" si="877"/>
        <v>0</v>
      </c>
      <c r="E256" s="8">
        <f t="shared" si="878"/>
        <v>0</v>
      </c>
      <c r="F256" s="8">
        <f t="shared" si="879"/>
        <v>0</v>
      </c>
      <c r="G256" s="8">
        <f t="shared" si="880"/>
        <v>0</v>
      </c>
      <c r="H256" s="8">
        <f t="shared" si="881"/>
        <v>0</v>
      </c>
      <c r="I256" s="8">
        <f t="shared" si="882"/>
        <v>0</v>
      </c>
      <c r="J256" s="8">
        <f t="shared" si="883"/>
        <v>0</v>
      </c>
      <c r="K256" s="8">
        <f t="shared" si="884"/>
        <v>0</v>
      </c>
      <c r="L256" s="8">
        <f t="shared" si="885"/>
        <v>0</v>
      </c>
      <c r="M256" s="8">
        <f t="shared" si="886"/>
        <v>1</v>
      </c>
      <c r="N256" s="8">
        <f t="shared" si="887"/>
        <v>0</v>
      </c>
      <c r="O256" s="8">
        <f t="shared" si="888"/>
        <v>0</v>
      </c>
      <c r="P256" s="8">
        <v>0</v>
      </c>
      <c r="Q256" s="8">
        <f t="shared" ref="Q256" si="919">IF(COUNTIF(P247:P257,"&lt;"&amp;-0.001)=0,IF(ABS(P256)&lt;0.001,0,P256)," ")</f>
        <v>0</v>
      </c>
      <c r="R256" s="8"/>
      <c r="S256" s="8"/>
      <c r="U256" s="8"/>
      <c r="V256" s="8"/>
      <c r="W256" s="8"/>
      <c r="X256" s="8"/>
      <c r="Y256" s="8"/>
      <c r="Z256" s="8"/>
      <c r="AA256" s="8"/>
      <c r="AC256" s="8"/>
      <c r="AD256" s="8"/>
      <c r="AE256" s="8"/>
      <c r="AF256" s="8"/>
      <c r="AG256" s="8"/>
      <c r="AH256" s="8"/>
      <c r="AI256" s="8"/>
      <c r="AJ256" s="8"/>
      <c r="AK256" s="8"/>
      <c r="AL256" s="8"/>
      <c r="AM256" s="8"/>
      <c r="AN256" s="8"/>
      <c r="AO256" s="8"/>
      <c r="AP256" s="8"/>
      <c r="AQ256" s="8"/>
      <c r="AR256" s="8"/>
      <c r="AS256" s="8"/>
      <c r="AT256" s="8"/>
      <c r="AU256" s="8"/>
      <c r="AV256" s="8"/>
      <c r="AW256" s="8"/>
      <c r="AX256" s="8"/>
      <c r="AY256" s="8"/>
      <c r="AZ256" s="8"/>
      <c r="BA256" s="8"/>
      <c r="BB256" s="8"/>
      <c r="BC256" s="8"/>
      <c r="BD256" s="8"/>
      <c r="BE256" s="8"/>
      <c r="BF256" s="8"/>
      <c r="BG256" s="8"/>
      <c r="BH256" s="8"/>
      <c r="BI256" s="8"/>
      <c r="BJ256" s="8"/>
      <c r="BK256" s="8"/>
      <c r="BL256" s="8"/>
      <c r="BM256" s="8"/>
      <c r="BN256" s="8"/>
      <c r="BO256" s="8"/>
      <c r="BP256" s="8"/>
      <c r="BQ256" s="8"/>
      <c r="BR256" s="8"/>
      <c r="BS256" s="8"/>
      <c r="BT256" s="8"/>
      <c r="BU256" s="8"/>
      <c r="BV256" s="8"/>
      <c r="BW256" s="8"/>
      <c r="BX256" s="8"/>
      <c r="BY256" s="8"/>
      <c r="BZ256" s="8"/>
      <c r="CA256" s="8"/>
      <c r="CB256" s="8"/>
      <c r="CC256" s="8"/>
      <c r="CD256" s="8"/>
      <c r="CE256" s="8"/>
      <c r="CF256" s="8"/>
      <c r="CG256" s="8"/>
      <c r="CH256" s="8"/>
    </row>
    <row r="257" spans="1:86" x14ac:dyDescent="0.2">
      <c r="A257" s="8" t="str">
        <f>IF(AND(COUNTIF(W$3:W$13,A$25)&gt;0,A$25&lt;&gt;B38),A$25,IFERROR(IF(MATCH(A$25,Z$3:Z$13,0)=10,A$25," ")," "))</f>
        <v xml:space="preserve"> </v>
      </c>
      <c r="B257" s="8" t="str">
        <f>IF(A257=" "," ",MAX(B247:B256)+1)</f>
        <v xml:space="preserve"> </v>
      </c>
      <c r="C257" s="8" t="str">
        <f>IFERROR(INDEX(A247:A268,MATCH(SMALL(B247:B268,11),B247:B268,0),1)," ")</f>
        <v>C22</v>
      </c>
      <c r="D257" s="8">
        <f t="shared" si="877"/>
        <v>0</v>
      </c>
      <c r="E257" s="8">
        <f t="shared" si="878"/>
        <v>0</v>
      </c>
      <c r="F257" s="8">
        <f t="shared" si="879"/>
        <v>0</v>
      </c>
      <c r="G257" s="8">
        <f t="shared" si="880"/>
        <v>0</v>
      </c>
      <c r="H257" s="8">
        <f t="shared" si="881"/>
        <v>0</v>
      </c>
      <c r="I257" s="8">
        <f t="shared" si="882"/>
        <v>0</v>
      </c>
      <c r="J257" s="8">
        <f t="shared" si="883"/>
        <v>0</v>
      </c>
      <c r="K257" s="8">
        <f t="shared" si="884"/>
        <v>0</v>
      </c>
      <c r="L257" s="8">
        <f t="shared" si="885"/>
        <v>0</v>
      </c>
      <c r="M257" s="8">
        <f t="shared" si="886"/>
        <v>0</v>
      </c>
      <c r="N257" s="8">
        <f t="shared" si="887"/>
        <v>1</v>
      </c>
      <c r="O257" s="8">
        <f t="shared" si="888"/>
        <v>0</v>
      </c>
      <c r="P257" s="8">
        <v>0</v>
      </c>
      <c r="Q257" s="8">
        <f t="shared" ref="Q257" si="920">IF(COUNTIF(P247:P257,"&lt;"&amp;-0.001)=0,IF(ABS(P257)&lt;0.001,0,P257)," ")</f>
        <v>0</v>
      </c>
      <c r="R257" s="8"/>
      <c r="S257" s="8"/>
      <c r="U257" s="8"/>
      <c r="V257" s="8"/>
      <c r="W257" s="8"/>
      <c r="X257" s="8"/>
      <c r="Y257" s="8"/>
      <c r="Z257" s="8"/>
      <c r="AA257" s="8"/>
      <c r="AC257" s="8"/>
      <c r="AD257" s="8"/>
      <c r="AE257" s="8"/>
      <c r="AF257" s="8"/>
      <c r="AG257" s="8"/>
      <c r="AH257" s="8"/>
      <c r="AI257" s="8"/>
      <c r="AJ257" s="8"/>
      <c r="AK257" s="8"/>
      <c r="AL257" s="8"/>
      <c r="AM257" s="8"/>
      <c r="AN257" s="8"/>
      <c r="AO257" s="8"/>
      <c r="AP257" s="8"/>
      <c r="AQ257" s="8"/>
      <c r="AR257" s="8"/>
      <c r="AS257" s="8"/>
      <c r="AT257" s="8"/>
      <c r="AU257" s="8"/>
      <c r="AV257" s="8"/>
      <c r="AW257" s="8"/>
      <c r="AX257" s="8"/>
      <c r="AY257" s="8"/>
      <c r="AZ257" s="8"/>
      <c r="BA257" s="8"/>
      <c r="BB257" s="8"/>
      <c r="BC257" s="8"/>
      <c r="BD257" s="8"/>
      <c r="BE257" s="8"/>
      <c r="BF257" s="8"/>
      <c r="BG257" s="8"/>
      <c r="BH257" s="8"/>
      <c r="BI257" s="8"/>
      <c r="BJ257" s="8"/>
      <c r="BK257" s="8"/>
      <c r="BL257" s="8"/>
      <c r="BM257" s="8"/>
      <c r="BN257" s="8"/>
      <c r="BO257" s="8"/>
      <c r="BP257" s="8"/>
      <c r="BQ257" s="8"/>
      <c r="BR257" s="8"/>
      <c r="BS257" s="8"/>
      <c r="BT257" s="8"/>
      <c r="BU257" s="8"/>
      <c r="BV257" s="8"/>
      <c r="BW257" s="8"/>
      <c r="BX257" s="8"/>
      <c r="BY257" s="8"/>
      <c r="BZ257" s="8"/>
      <c r="CA257" s="8"/>
      <c r="CB257" s="8"/>
      <c r="CC257" s="8"/>
      <c r="CD257" s="8"/>
      <c r="CE257" s="8"/>
      <c r="CF257" s="8"/>
      <c r="CG257" s="8"/>
      <c r="CH257" s="8"/>
    </row>
    <row r="258" spans="1:86" x14ac:dyDescent="0.2">
      <c r="A258" s="8" t="str">
        <f>IF(AND(COUNTIF(W$3:W$13,A$26)&gt;0,A$26&lt;&gt;B38),A$26,IFERROR(IF(MATCH(A$26,Z$3:Z$13,0)=10,A$26," ")," "))</f>
        <v>C12</v>
      </c>
      <c r="B258" s="8">
        <f>IF(A258=" "," ",MAX(B247:B257)+1)</f>
        <v>2</v>
      </c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U258" s="8"/>
      <c r="V258" s="8"/>
      <c r="W258" s="8"/>
      <c r="X258" s="8"/>
      <c r="Y258" s="8"/>
      <c r="Z258" s="8"/>
      <c r="AA258" s="8"/>
      <c r="AC258" s="8"/>
      <c r="AD258" s="8"/>
      <c r="AE258" s="8"/>
      <c r="AF258" s="8"/>
      <c r="AG258" s="8"/>
      <c r="AH258" s="8"/>
      <c r="AI258" s="8"/>
      <c r="AJ258" s="8"/>
      <c r="AK258" s="8"/>
      <c r="AL258" s="8"/>
      <c r="AM258" s="8"/>
      <c r="AN258" s="8"/>
      <c r="AO258" s="8"/>
      <c r="AP258" s="8"/>
      <c r="AQ258" s="8"/>
      <c r="AR258" s="8"/>
      <c r="AS258" s="8"/>
      <c r="AT258" s="8"/>
      <c r="AU258" s="8"/>
      <c r="AV258" s="8"/>
      <c r="AW258" s="8"/>
      <c r="AX258" s="8"/>
      <c r="AY258" s="8"/>
      <c r="AZ258" s="8"/>
      <c r="BA258" s="8"/>
      <c r="BB258" s="8"/>
      <c r="BC258" s="8"/>
      <c r="BD258" s="8"/>
      <c r="BE258" s="8"/>
      <c r="BF258" s="8"/>
      <c r="BG258" s="8"/>
      <c r="BH258" s="8"/>
      <c r="BI258" s="8"/>
      <c r="BJ258" s="8"/>
      <c r="BK258" s="8"/>
      <c r="BL258" s="8"/>
      <c r="BM258" s="8"/>
      <c r="BN258" s="8"/>
      <c r="BO258" s="8"/>
      <c r="BP258" s="8"/>
      <c r="BQ258" s="8"/>
      <c r="BR258" s="8"/>
      <c r="BS258" s="8"/>
      <c r="BT258" s="8"/>
      <c r="BU258" s="8"/>
      <c r="BV258" s="8"/>
      <c r="BW258" s="8"/>
      <c r="BX258" s="8"/>
      <c r="BY258" s="8"/>
      <c r="BZ258" s="8"/>
      <c r="CA258" s="8"/>
      <c r="CB258" s="8"/>
      <c r="CC258" s="8"/>
      <c r="CD258" s="8"/>
      <c r="CE258" s="8"/>
      <c r="CF258" s="8"/>
      <c r="CG258" s="8"/>
      <c r="CH258" s="8"/>
    </row>
    <row r="259" spans="1:86" x14ac:dyDescent="0.2">
      <c r="A259" s="8" t="str">
        <f>IF(AND(COUNTIF(W$3:W$13,A$27)&gt;0,A$27&lt;&gt;B38),A$27,IFERROR(IF(MATCH(A$27,Z$3:Z$13,0)=10,A$27," ")," "))</f>
        <v>C13</v>
      </c>
      <c r="B259" s="8">
        <f>IF(A259=" "," ",MAX(B247:B258)+1)</f>
        <v>3</v>
      </c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U259" s="8"/>
      <c r="V259" s="8"/>
      <c r="W259" s="8"/>
      <c r="X259" s="8"/>
      <c r="Y259" s="8"/>
      <c r="Z259" s="8"/>
      <c r="AA259" s="8"/>
      <c r="AC259" s="8"/>
      <c r="AD259" s="8"/>
      <c r="AE259" s="8"/>
      <c r="AF259" s="8"/>
      <c r="AG259" s="8"/>
      <c r="AH259" s="8"/>
      <c r="AI259" s="8"/>
      <c r="AJ259" s="8"/>
      <c r="AK259" s="8"/>
      <c r="AL259" s="8"/>
      <c r="AM259" s="8"/>
      <c r="AN259" s="8"/>
      <c r="AO259" s="8"/>
      <c r="AP259" s="8"/>
      <c r="AQ259" s="8"/>
      <c r="AR259" s="8"/>
      <c r="AS259" s="8"/>
      <c r="AT259" s="8"/>
      <c r="AU259" s="8"/>
      <c r="AV259" s="8"/>
      <c r="AW259" s="8"/>
      <c r="AX259" s="8"/>
      <c r="AY259" s="8"/>
      <c r="AZ259" s="8"/>
      <c r="BA259" s="8"/>
      <c r="BB259" s="8"/>
      <c r="BC259" s="8"/>
      <c r="BD259" s="8"/>
      <c r="BE259" s="8"/>
      <c r="BF259" s="8"/>
      <c r="BG259" s="8"/>
      <c r="BH259" s="8"/>
      <c r="BI259" s="8"/>
      <c r="BJ259" s="8"/>
      <c r="BK259" s="8"/>
      <c r="BL259" s="8"/>
      <c r="BM259" s="8"/>
      <c r="BN259" s="8"/>
      <c r="BO259" s="8"/>
      <c r="BP259" s="8"/>
      <c r="BQ259" s="8"/>
      <c r="BR259" s="8"/>
      <c r="BS259" s="8"/>
      <c r="BT259" s="8"/>
      <c r="BU259" s="8"/>
      <c r="BV259" s="8"/>
      <c r="BW259" s="8"/>
      <c r="BX259" s="8"/>
      <c r="BY259" s="8"/>
      <c r="BZ259" s="8"/>
      <c r="CA259" s="8"/>
      <c r="CB259" s="8"/>
      <c r="CC259" s="8"/>
      <c r="CD259" s="8"/>
      <c r="CE259" s="8"/>
      <c r="CF259" s="8"/>
      <c r="CG259" s="8"/>
      <c r="CH259" s="8"/>
    </row>
    <row r="260" spans="1:86" x14ac:dyDescent="0.2">
      <c r="A260" s="8" t="str">
        <f>IF(AND(COUNTIF(W$3:W$13,A$28)&gt;0,A$28&lt;&gt;B38),A$28,IFERROR(IF(MATCH(A$28,Z$3:Z$13,0)=10,A$28," ")," "))</f>
        <v xml:space="preserve"> </v>
      </c>
      <c r="B260" s="8" t="str">
        <f>IF(A260=" "," ",MAX(B247:B259)+1)</f>
        <v xml:space="preserve"> </v>
      </c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U260" s="8"/>
      <c r="V260" s="8"/>
      <c r="W260" s="8"/>
      <c r="X260" s="8"/>
      <c r="Y260" s="8"/>
      <c r="Z260" s="8"/>
      <c r="AA260" s="8"/>
      <c r="AC260" s="8"/>
      <c r="AD260" s="8"/>
      <c r="AE260" s="8"/>
      <c r="AF260" s="8"/>
      <c r="AG260" s="8"/>
      <c r="AH260" s="8"/>
      <c r="AI260" s="8"/>
      <c r="AJ260" s="8"/>
      <c r="AK260" s="8"/>
      <c r="AL260" s="8"/>
      <c r="AM260" s="8"/>
      <c r="AN260" s="8"/>
      <c r="AO260" s="8"/>
      <c r="AP260" s="8"/>
      <c r="AQ260" s="8"/>
      <c r="AR260" s="8"/>
      <c r="AS260" s="8"/>
      <c r="AT260" s="8"/>
      <c r="AU260" s="8"/>
      <c r="AV260" s="8"/>
      <c r="AW260" s="8"/>
      <c r="AX260" s="8"/>
      <c r="AY260" s="8"/>
      <c r="AZ260" s="8"/>
      <c r="BA260" s="8"/>
      <c r="BB260" s="8"/>
      <c r="BC260" s="8"/>
      <c r="BD260" s="8"/>
      <c r="BE260" s="8"/>
      <c r="BF260" s="8"/>
      <c r="BG260" s="8"/>
      <c r="BH260" s="8"/>
      <c r="BI260" s="8"/>
      <c r="BJ260" s="8"/>
      <c r="BK260" s="8"/>
      <c r="BL260" s="8"/>
      <c r="BM260" s="8"/>
      <c r="BN260" s="8"/>
      <c r="BO260" s="8"/>
      <c r="BP260" s="8"/>
      <c r="BQ260" s="8"/>
      <c r="BR260" s="8"/>
      <c r="BS260" s="8"/>
      <c r="BT260" s="8"/>
      <c r="BU260" s="8"/>
      <c r="BV260" s="8"/>
      <c r="BW260" s="8"/>
      <c r="BX260" s="8"/>
      <c r="BY260" s="8"/>
      <c r="BZ260" s="8"/>
      <c r="CA260" s="8"/>
      <c r="CB260" s="8"/>
      <c r="CC260" s="8"/>
      <c r="CD260" s="8"/>
      <c r="CE260" s="8"/>
      <c r="CF260" s="8"/>
      <c r="CG260" s="8"/>
      <c r="CH260" s="8"/>
    </row>
    <row r="261" spans="1:86" x14ac:dyDescent="0.2">
      <c r="A261" s="8" t="str">
        <f>IF(AND(COUNTIF(W$3:W$13,A$29)&gt;0,A$29&lt;&gt;B38),A$29,IFERROR(IF(MATCH(A$29,Z$3:Z$13,0)=10,A$29," ")," "))</f>
        <v>C15</v>
      </c>
      <c r="B261" s="8">
        <f>IF(A261=" "," ",MAX(B247:B260)+1)</f>
        <v>4</v>
      </c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U261" s="8"/>
      <c r="V261" s="8"/>
      <c r="W261" s="8"/>
      <c r="X261" s="8"/>
      <c r="Y261" s="8"/>
      <c r="Z261" s="8"/>
      <c r="AA261" s="8"/>
      <c r="AC261" s="8"/>
      <c r="AD261" s="8"/>
      <c r="AE261" s="8"/>
      <c r="AF261" s="8"/>
      <c r="AG261" s="8"/>
      <c r="AH261" s="8"/>
      <c r="AI261" s="8"/>
      <c r="AJ261" s="8"/>
      <c r="AK261" s="8"/>
      <c r="AL261" s="8"/>
      <c r="AM261" s="8"/>
      <c r="AN261" s="8"/>
      <c r="AO261" s="8"/>
      <c r="AP261" s="8"/>
      <c r="AQ261" s="8"/>
      <c r="AR261" s="8"/>
      <c r="AS261" s="8"/>
      <c r="AT261" s="8"/>
      <c r="AU261" s="8"/>
      <c r="AV261" s="8"/>
      <c r="AW261" s="8"/>
      <c r="AX261" s="8"/>
      <c r="AY261" s="8"/>
      <c r="AZ261" s="8"/>
      <c r="BA261" s="8"/>
      <c r="BB261" s="8"/>
      <c r="BC261" s="8"/>
      <c r="BD261" s="8"/>
      <c r="BE261" s="8"/>
      <c r="BF261" s="8"/>
      <c r="BG261" s="8"/>
      <c r="BH261" s="8"/>
      <c r="BI261" s="8"/>
      <c r="BJ261" s="8"/>
      <c r="BK261" s="8"/>
      <c r="BL261" s="8"/>
      <c r="BM261" s="8"/>
      <c r="BN261" s="8"/>
      <c r="BO261" s="8"/>
      <c r="BP261" s="8"/>
      <c r="BQ261" s="8"/>
      <c r="BR261" s="8"/>
      <c r="BS261" s="8"/>
      <c r="BT261" s="8"/>
      <c r="BU261" s="8"/>
      <c r="BV261" s="8"/>
      <c r="BW261" s="8"/>
      <c r="BX261" s="8"/>
      <c r="BY261" s="8"/>
      <c r="BZ261" s="8"/>
      <c r="CA261" s="8"/>
      <c r="CB261" s="8"/>
      <c r="CC261" s="8"/>
      <c r="CD261" s="8"/>
      <c r="CE261" s="8"/>
      <c r="CF261" s="8"/>
      <c r="CG261" s="8"/>
      <c r="CH261" s="8"/>
    </row>
    <row r="262" spans="1:86" x14ac:dyDescent="0.2">
      <c r="A262" s="8" t="str">
        <f>IF(AND(COUNTIF(W$3:W$13,A$30)&gt;0,A$30&lt;&gt;B38),A$30,IFERROR(IF(MATCH(A$30,Z$3:Z$13,0)=10,A$30," ")," "))</f>
        <v>C16</v>
      </c>
      <c r="B262" s="8">
        <f>IF(A262=" "," ",MAX(B247:B261)+1)</f>
        <v>5</v>
      </c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U262" s="8"/>
      <c r="V262" s="8"/>
      <c r="W262" s="8"/>
      <c r="X262" s="8"/>
      <c r="Y262" s="8"/>
      <c r="Z262" s="8"/>
      <c r="AA262" s="8"/>
      <c r="AC262" s="8"/>
      <c r="AD262" s="8"/>
      <c r="AE262" s="8"/>
      <c r="AF262" s="8"/>
      <c r="AG262" s="8"/>
      <c r="AH262" s="8"/>
      <c r="AI262" s="8"/>
      <c r="AJ262" s="8"/>
      <c r="AK262" s="8"/>
      <c r="AL262" s="8"/>
      <c r="AM262" s="8"/>
      <c r="AN262" s="8"/>
      <c r="AO262" s="8"/>
      <c r="AP262" s="8"/>
      <c r="AQ262" s="8"/>
      <c r="AR262" s="8"/>
      <c r="AS262" s="8"/>
      <c r="AT262" s="8"/>
      <c r="AU262" s="8"/>
      <c r="AV262" s="8"/>
      <c r="AW262" s="8"/>
      <c r="AX262" s="8"/>
      <c r="AY262" s="8"/>
      <c r="AZ262" s="8"/>
      <c r="BA262" s="8"/>
      <c r="BB262" s="8"/>
      <c r="BC262" s="8"/>
      <c r="BD262" s="8"/>
      <c r="BE262" s="8"/>
      <c r="BF262" s="8"/>
      <c r="BG262" s="8"/>
      <c r="BH262" s="8"/>
      <c r="BI262" s="8"/>
      <c r="BJ262" s="8"/>
      <c r="BK262" s="8"/>
      <c r="BL262" s="8"/>
      <c r="BM262" s="8"/>
      <c r="BN262" s="8"/>
      <c r="BO262" s="8"/>
      <c r="BP262" s="8"/>
      <c r="BQ262" s="8"/>
      <c r="BR262" s="8"/>
      <c r="BS262" s="8"/>
      <c r="BT262" s="8"/>
      <c r="BU262" s="8"/>
      <c r="BV262" s="8"/>
      <c r="BW262" s="8"/>
      <c r="BX262" s="8"/>
      <c r="BY262" s="8"/>
      <c r="BZ262" s="8"/>
      <c r="CA262" s="8"/>
      <c r="CB262" s="8"/>
      <c r="CC262" s="8"/>
      <c r="CD262" s="8"/>
      <c r="CE262" s="8"/>
      <c r="CF262" s="8"/>
      <c r="CG262" s="8"/>
      <c r="CH262" s="8"/>
    </row>
    <row r="263" spans="1:86" x14ac:dyDescent="0.2">
      <c r="A263" s="8" t="str">
        <f>IF(AND(COUNTIF(W$3:W$13,A$31)&gt;0,A$31&lt;&gt;B38),A$31,IFERROR(IF(MATCH(A$31,Z$3:Z$13,0)=10,A$31," ")," "))</f>
        <v>C17</v>
      </c>
      <c r="B263" s="8">
        <f>IF(A263=" "," ",MAX(B247:B262)+1)</f>
        <v>6</v>
      </c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U263" s="8"/>
      <c r="V263" s="8"/>
      <c r="W263" s="8"/>
      <c r="X263" s="8"/>
      <c r="Y263" s="8"/>
      <c r="Z263" s="8"/>
      <c r="AA263" s="8"/>
      <c r="AC263" s="8"/>
      <c r="AD263" s="8"/>
      <c r="AE263" s="8"/>
      <c r="AF263" s="8"/>
      <c r="AG263" s="8"/>
      <c r="AH263" s="8"/>
      <c r="AI263" s="8"/>
      <c r="AJ263" s="8"/>
      <c r="AK263" s="8"/>
      <c r="AL263" s="8"/>
      <c r="AM263" s="8"/>
      <c r="AN263" s="8"/>
      <c r="AO263" s="8"/>
      <c r="AP263" s="8"/>
      <c r="AQ263" s="8"/>
      <c r="AR263" s="8"/>
      <c r="AS263" s="8"/>
      <c r="AT263" s="8"/>
      <c r="AU263" s="8"/>
      <c r="AV263" s="8"/>
      <c r="AW263" s="8"/>
      <c r="AX263" s="8"/>
      <c r="AY263" s="8"/>
      <c r="AZ263" s="8"/>
      <c r="BA263" s="8"/>
      <c r="BB263" s="8"/>
      <c r="BC263" s="8"/>
      <c r="BD263" s="8"/>
      <c r="BE263" s="8"/>
      <c r="BF263" s="8"/>
      <c r="BG263" s="8"/>
      <c r="BH263" s="8"/>
      <c r="BI263" s="8"/>
      <c r="BJ263" s="8"/>
      <c r="BK263" s="8"/>
      <c r="BL263" s="8"/>
      <c r="BM263" s="8"/>
      <c r="BN263" s="8"/>
      <c r="BO263" s="8"/>
      <c r="BP263" s="8"/>
      <c r="BQ263" s="8"/>
      <c r="BR263" s="8"/>
      <c r="BS263" s="8"/>
      <c r="BT263" s="8"/>
      <c r="BU263" s="8"/>
      <c r="BV263" s="8"/>
      <c r="BW263" s="8"/>
      <c r="BX263" s="8"/>
      <c r="BY263" s="8"/>
      <c r="BZ263" s="8"/>
      <c r="CA263" s="8"/>
      <c r="CB263" s="8"/>
      <c r="CC263" s="8"/>
      <c r="CD263" s="8"/>
      <c r="CE263" s="8"/>
      <c r="CF263" s="8"/>
      <c r="CG263" s="8"/>
      <c r="CH263" s="8"/>
    </row>
    <row r="264" spans="1:86" x14ac:dyDescent="0.2">
      <c r="A264" s="8" t="str">
        <f>IF(AND(COUNTIF(W$3:W$13,A$32)&gt;0,A$32&lt;&gt;B38),A$32,IFERROR(IF(MATCH(A$32,Z$3:Z$13,0)=10,A$32," ")," "))</f>
        <v>C18</v>
      </c>
      <c r="B264" s="8">
        <f>IF(A264=" "," ",MAX(B247:B263)+1)</f>
        <v>7</v>
      </c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U264" s="8"/>
      <c r="V264" s="8"/>
      <c r="W264" s="8"/>
      <c r="X264" s="8"/>
      <c r="Y264" s="8"/>
      <c r="Z264" s="8"/>
      <c r="AA264" s="8"/>
      <c r="AC264" s="8"/>
      <c r="AD264" s="8"/>
      <c r="AE264" s="8"/>
      <c r="AF264" s="8"/>
      <c r="AG264" s="8"/>
      <c r="AH264" s="8"/>
      <c r="AI264" s="8"/>
      <c r="AJ264" s="8"/>
      <c r="AK264" s="8"/>
      <c r="AL264" s="8"/>
      <c r="AM264" s="8"/>
      <c r="AN264" s="8"/>
      <c r="AO264" s="8"/>
      <c r="AP264" s="8"/>
      <c r="AQ264" s="8"/>
      <c r="AR264" s="8"/>
      <c r="AS264" s="8"/>
      <c r="AT264" s="8"/>
      <c r="AU264" s="8"/>
      <c r="AV264" s="8"/>
      <c r="AW264" s="8"/>
      <c r="AX264" s="8"/>
      <c r="AY264" s="8"/>
      <c r="AZ264" s="8"/>
      <c r="BA264" s="8"/>
      <c r="BB264" s="8"/>
      <c r="BC264" s="8"/>
      <c r="BD264" s="8"/>
      <c r="BE264" s="8"/>
      <c r="BF264" s="8"/>
      <c r="BG264" s="8"/>
      <c r="BH264" s="8"/>
      <c r="BI264" s="8"/>
      <c r="BJ264" s="8"/>
      <c r="BK264" s="8"/>
      <c r="BL264" s="8"/>
      <c r="BM264" s="8"/>
      <c r="BN264" s="8"/>
      <c r="BO264" s="8"/>
      <c r="BP264" s="8"/>
      <c r="BQ264" s="8"/>
      <c r="BR264" s="8"/>
      <c r="BS264" s="8"/>
      <c r="BT264" s="8"/>
      <c r="BU264" s="8"/>
      <c r="BV264" s="8"/>
      <c r="BW264" s="8"/>
      <c r="BX264" s="8"/>
      <c r="BY264" s="8"/>
      <c r="BZ264" s="8"/>
      <c r="CA264" s="8"/>
      <c r="CB264" s="8"/>
      <c r="CC264" s="8"/>
      <c r="CD264" s="8"/>
      <c r="CE264" s="8"/>
      <c r="CF264" s="8"/>
      <c r="CG264" s="8"/>
      <c r="CH264" s="8"/>
    </row>
    <row r="265" spans="1:86" x14ac:dyDescent="0.2">
      <c r="A265" s="8" t="str">
        <f>IF(AND(COUNTIF(W$3:W$13,A$33)&gt;0,A$33&lt;&gt;B38),A$33,IFERROR(IF(MATCH(A$33,Z$3:Z$13,0)=10,A$33," ")," "))</f>
        <v>C19</v>
      </c>
      <c r="B265" s="8">
        <f>IF(A265=" "," ",MAX(B247:B264)+1)</f>
        <v>8</v>
      </c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U265" s="8"/>
      <c r="V265" s="8"/>
      <c r="W265" s="8"/>
      <c r="X265" s="8"/>
      <c r="Y265" s="8"/>
      <c r="Z265" s="8"/>
      <c r="AA265" s="8"/>
      <c r="AC265" s="8"/>
      <c r="AD265" s="8"/>
      <c r="AE265" s="8"/>
      <c r="AF265" s="8"/>
      <c r="AG265" s="8"/>
      <c r="AH265" s="8"/>
      <c r="AI265" s="8"/>
      <c r="AJ265" s="8"/>
      <c r="AK265" s="8"/>
      <c r="AL265" s="8"/>
      <c r="AM265" s="8"/>
      <c r="AN265" s="8"/>
      <c r="AO265" s="8"/>
      <c r="AP265" s="8"/>
      <c r="AQ265" s="8"/>
      <c r="AR265" s="8"/>
      <c r="AS265" s="8"/>
      <c r="AT265" s="8"/>
      <c r="AU265" s="8"/>
      <c r="AV265" s="8"/>
      <c r="AW265" s="8"/>
      <c r="AX265" s="8"/>
      <c r="AY265" s="8"/>
      <c r="AZ265" s="8"/>
      <c r="BA265" s="8"/>
      <c r="BB265" s="8"/>
      <c r="BC265" s="8"/>
      <c r="BD265" s="8"/>
      <c r="BE265" s="8"/>
      <c r="BF265" s="8"/>
      <c r="BG265" s="8"/>
      <c r="BH265" s="8"/>
      <c r="BI265" s="8"/>
      <c r="BJ265" s="8"/>
      <c r="BK265" s="8"/>
      <c r="BL265" s="8"/>
      <c r="BM265" s="8"/>
      <c r="BN265" s="8"/>
      <c r="BO265" s="8"/>
      <c r="BP265" s="8"/>
      <c r="BQ265" s="8"/>
      <c r="BR265" s="8"/>
      <c r="BS265" s="8"/>
      <c r="BT265" s="8"/>
      <c r="BU265" s="8"/>
      <c r="BV265" s="8"/>
      <c r="BW265" s="8"/>
      <c r="BX265" s="8"/>
      <c r="BY265" s="8"/>
      <c r="BZ265" s="8"/>
      <c r="CA265" s="8"/>
      <c r="CB265" s="8"/>
      <c r="CC265" s="8"/>
      <c r="CD265" s="8"/>
      <c r="CE265" s="8"/>
      <c r="CF265" s="8"/>
      <c r="CG265" s="8"/>
      <c r="CH265" s="8"/>
    </row>
    <row r="266" spans="1:86" x14ac:dyDescent="0.2">
      <c r="A266" s="8" t="str">
        <f>IF(AND(COUNTIF(W$3:W$13,A$34)&gt;0,A$34&lt;&gt;B38),A$34,IFERROR(IF(MATCH(A$34,Z$3:Z$13,0)=10,A$34," ")," "))</f>
        <v>C20</v>
      </c>
      <c r="B266" s="8">
        <f>IF(A266=" "," ",MAX(B247:B265)+1)</f>
        <v>9</v>
      </c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U266" s="8"/>
      <c r="V266" s="8"/>
      <c r="W266" s="8"/>
      <c r="X266" s="8"/>
      <c r="Y266" s="8"/>
      <c r="Z266" s="8"/>
      <c r="AA266" s="8"/>
      <c r="AC266" s="8"/>
      <c r="AD266" s="8"/>
      <c r="AE266" s="8"/>
      <c r="AF266" s="8"/>
      <c r="AG266" s="8"/>
      <c r="AH266" s="8"/>
      <c r="AI266" s="8"/>
      <c r="AJ266" s="8"/>
      <c r="AK266" s="8"/>
      <c r="AL266" s="8"/>
      <c r="AM266" s="8"/>
      <c r="AN266" s="8"/>
      <c r="AO266" s="8"/>
      <c r="AP266" s="8"/>
      <c r="AQ266" s="8"/>
      <c r="AR266" s="8"/>
      <c r="AS266" s="8"/>
      <c r="AT266" s="8"/>
      <c r="AU266" s="8"/>
      <c r="AV266" s="8"/>
      <c r="AW266" s="8"/>
      <c r="AX266" s="8"/>
      <c r="AY266" s="8"/>
      <c r="AZ266" s="8"/>
      <c r="BA266" s="8"/>
      <c r="BB266" s="8"/>
      <c r="BC266" s="8"/>
      <c r="BD266" s="8"/>
      <c r="BE266" s="8"/>
      <c r="BF266" s="8"/>
      <c r="BG266" s="8"/>
      <c r="BH266" s="8"/>
      <c r="BI266" s="8"/>
      <c r="BJ266" s="8"/>
      <c r="BK266" s="8"/>
      <c r="BL266" s="8"/>
      <c r="BM266" s="8"/>
      <c r="BN266" s="8"/>
      <c r="BO266" s="8"/>
      <c r="BP266" s="8"/>
      <c r="BQ266" s="8"/>
      <c r="BR266" s="8"/>
      <c r="BS266" s="8"/>
      <c r="BT266" s="8"/>
      <c r="BU266" s="8"/>
      <c r="BV266" s="8"/>
      <c r="BW266" s="8"/>
      <c r="BX266" s="8"/>
      <c r="BY266" s="8"/>
      <c r="BZ266" s="8"/>
      <c r="CA266" s="8"/>
      <c r="CB266" s="8"/>
      <c r="CC266" s="8"/>
      <c r="CD266" s="8"/>
      <c r="CE266" s="8"/>
      <c r="CF266" s="8"/>
      <c r="CG266" s="8"/>
      <c r="CH266" s="8"/>
    </row>
    <row r="267" spans="1:86" x14ac:dyDescent="0.2">
      <c r="A267" s="8" t="str">
        <f>IF(AND(COUNTIF(W$3:W$13,A$35)&gt;0,A$35&lt;&gt;B38),A$35,IFERROR(IF(MATCH(A$35,Z$3:Z$13,0)=10,A$35," ")," "))</f>
        <v>C21</v>
      </c>
      <c r="B267" s="8">
        <f>IF(A267=" "," ",MAX(B247:B266)+1)</f>
        <v>10</v>
      </c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U267" s="8"/>
      <c r="V267" s="8"/>
      <c r="W267" s="8"/>
      <c r="X267" s="8"/>
      <c r="Y267" s="8"/>
      <c r="Z267" s="8"/>
      <c r="AA267" s="8"/>
      <c r="AC267" s="8"/>
      <c r="AD267" s="8"/>
      <c r="AE267" s="8"/>
      <c r="AF267" s="8"/>
      <c r="AG267" s="8"/>
      <c r="AH267" s="8"/>
      <c r="AI267" s="8"/>
      <c r="AJ267" s="8"/>
      <c r="AK267" s="8"/>
      <c r="AL267" s="8"/>
      <c r="AM267" s="8"/>
      <c r="AN267" s="8"/>
      <c r="AO267" s="8"/>
      <c r="AP267" s="8"/>
      <c r="AQ267" s="8"/>
      <c r="AR267" s="8"/>
      <c r="AS267" s="8"/>
      <c r="AT267" s="8"/>
      <c r="AU267" s="8"/>
      <c r="AV267" s="8"/>
      <c r="AW267" s="8"/>
      <c r="AX267" s="8"/>
      <c r="AY267" s="8"/>
      <c r="AZ267" s="8"/>
      <c r="BA267" s="8"/>
      <c r="BB267" s="8"/>
      <c r="BC267" s="8"/>
      <c r="BD267" s="8"/>
      <c r="BE267" s="8"/>
      <c r="BF267" s="8"/>
      <c r="BG267" s="8"/>
      <c r="BH267" s="8"/>
      <c r="BI267" s="8"/>
      <c r="BJ267" s="8"/>
      <c r="BK267" s="8"/>
      <c r="BL267" s="8"/>
      <c r="BM267" s="8"/>
      <c r="BN267" s="8"/>
      <c r="BO267" s="8"/>
      <c r="BP267" s="8"/>
      <c r="BQ267" s="8"/>
      <c r="BR267" s="8"/>
      <c r="BS267" s="8"/>
      <c r="BT267" s="8"/>
      <c r="BU267" s="8"/>
      <c r="BV267" s="8"/>
      <c r="BW267" s="8"/>
      <c r="BX267" s="8"/>
      <c r="BY267" s="8"/>
      <c r="BZ267" s="8"/>
      <c r="CA267" s="8"/>
      <c r="CB267" s="8"/>
      <c r="CC267" s="8"/>
      <c r="CD267" s="8"/>
      <c r="CE267" s="8"/>
      <c r="CF267" s="8"/>
      <c r="CG267" s="8"/>
      <c r="CH267" s="8"/>
    </row>
    <row r="268" spans="1:86" x14ac:dyDescent="0.2">
      <c r="A268" s="8" t="str">
        <f>IF(AND(COUNTIF(W$3:W$13,A$36)&gt;0,A$36&lt;&gt;B38),A$36,IFERROR(IF(MATCH(A$36,Z$3:Z$13,0)=10,A$36," ")," "))</f>
        <v>C22</v>
      </c>
      <c r="B268" s="8">
        <f>IF(A268=" "," ",MAX(B247:B267)+1)</f>
        <v>11</v>
      </c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U268" s="8"/>
      <c r="V268" s="8"/>
      <c r="W268" s="8"/>
      <c r="X268" s="8"/>
      <c r="Y268" s="8"/>
      <c r="Z268" s="8"/>
      <c r="AA268" s="8"/>
      <c r="AC268" s="8"/>
      <c r="AD268" s="8"/>
      <c r="AE268" s="8"/>
      <c r="AF268" s="8"/>
      <c r="AG268" s="8"/>
      <c r="AH268" s="8"/>
      <c r="AI268" s="8"/>
      <c r="AJ268" s="8"/>
      <c r="AK268" s="8"/>
      <c r="AL268" s="8"/>
      <c r="AM268" s="8"/>
      <c r="AN268" s="8"/>
      <c r="AO268" s="8"/>
      <c r="AP268" s="8"/>
      <c r="AQ268" s="8"/>
      <c r="AR268" s="8"/>
      <c r="AS268" s="8"/>
      <c r="AT268" s="8"/>
      <c r="AU268" s="8"/>
      <c r="AV268" s="8"/>
      <c r="AW268" s="8"/>
      <c r="AX268" s="8"/>
      <c r="AY268" s="8"/>
      <c r="AZ268" s="8"/>
      <c r="BA268" s="8"/>
      <c r="BB268" s="8"/>
      <c r="BC268" s="8"/>
      <c r="BD268" s="8"/>
      <c r="BE268" s="8"/>
      <c r="BF268" s="8"/>
      <c r="BG268" s="8"/>
      <c r="BH268" s="8"/>
      <c r="BI268" s="8"/>
      <c r="BJ268" s="8"/>
      <c r="BK268" s="8"/>
      <c r="BL268" s="8"/>
      <c r="BM268" s="8"/>
      <c r="BN268" s="8"/>
      <c r="BO268" s="8"/>
      <c r="BP268" s="8"/>
      <c r="BQ268" s="8"/>
      <c r="BR268" s="8"/>
      <c r="BS268" s="8"/>
      <c r="BT268" s="8"/>
      <c r="BU268" s="8"/>
      <c r="BV268" s="8"/>
      <c r="BW268" s="8"/>
      <c r="BX268" s="8"/>
      <c r="BY268" s="8"/>
      <c r="BZ268" s="8"/>
      <c r="CA268" s="8"/>
      <c r="CB268" s="8"/>
      <c r="CC268" s="8"/>
      <c r="CD268" s="8"/>
      <c r="CE268" s="8"/>
      <c r="CF268" s="8"/>
      <c r="CG268" s="8"/>
      <c r="CH268" s="8"/>
    </row>
    <row r="269" spans="1:86" x14ac:dyDescent="0.2">
      <c r="A269" s="11" t="s">
        <v>17</v>
      </c>
      <c r="B269" s="11"/>
      <c r="C269" s="15" t="s">
        <v>18</v>
      </c>
      <c r="D269" s="13" t="s">
        <v>2</v>
      </c>
      <c r="E269" s="13" t="s">
        <v>6</v>
      </c>
      <c r="F269" s="13" t="s">
        <v>15</v>
      </c>
      <c r="G269" s="13" t="s">
        <v>36</v>
      </c>
      <c r="H269" s="13" t="s">
        <v>37</v>
      </c>
      <c r="I269" s="13" t="s">
        <v>38</v>
      </c>
      <c r="J269" s="13" t="s">
        <v>39</v>
      </c>
      <c r="K269" s="13" t="s">
        <v>40</v>
      </c>
      <c r="L269" s="13" t="s">
        <v>41</v>
      </c>
      <c r="M269" s="13" t="s">
        <v>42</v>
      </c>
      <c r="N269" s="13" t="s">
        <v>43</v>
      </c>
      <c r="O269" s="13" t="s">
        <v>9</v>
      </c>
      <c r="P269" s="15" t="s">
        <v>12</v>
      </c>
      <c r="Q269" s="27" t="s">
        <v>19</v>
      </c>
      <c r="R269" s="15" t="s">
        <v>55</v>
      </c>
      <c r="S269" s="15" t="s">
        <v>26</v>
      </c>
      <c r="T269" s="19" t="s">
        <v>25</v>
      </c>
      <c r="U269" s="29" t="s">
        <v>27</v>
      </c>
      <c r="V269" s="29" t="s">
        <v>9</v>
      </c>
      <c r="W269" s="29" t="s">
        <v>23</v>
      </c>
      <c r="X269" s="29" t="s">
        <v>12</v>
      </c>
      <c r="Y269" s="29" t="s">
        <v>26</v>
      </c>
      <c r="Z269" s="29" t="s">
        <v>25</v>
      </c>
      <c r="AA269" s="29" t="s">
        <v>27</v>
      </c>
      <c r="AB269" s="31" t="s">
        <v>9</v>
      </c>
      <c r="AC269" s="29" t="s">
        <v>23</v>
      </c>
      <c r="AD269" s="29" t="s">
        <v>12</v>
      </c>
      <c r="AE269" s="29" t="s">
        <v>26</v>
      </c>
      <c r="AF269" s="29" t="s">
        <v>25</v>
      </c>
      <c r="AG269" s="29" t="s">
        <v>27</v>
      </c>
      <c r="AH269" s="29" t="s">
        <v>9</v>
      </c>
      <c r="AI269" s="29" t="s">
        <v>23</v>
      </c>
      <c r="AJ269" s="29" t="s">
        <v>12</v>
      </c>
      <c r="AK269" s="29" t="s">
        <v>26</v>
      </c>
      <c r="AL269" s="29" t="s">
        <v>25</v>
      </c>
      <c r="AM269" s="29" t="s">
        <v>27</v>
      </c>
      <c r="AN269" s="29" t="s">
        <v>9</v>
      </c>
      <c r="AO269" s="29" t="s">
        <v>23</v>
      </c>
      <c r="AP269" s="29" t="s">
        <v>12</v>
      </c>
      <c r="AQ269" s="29" t="s">
        <v>26</v>
      </c>
      <c r="AR269" s="29" t="s">
        <v>25</v>
      </c>
      <c r="AS269" s="29" t="s">
        <v>27</v>
      </c>
      <c r="AT269" s="29" t="s">
        <v>9</v>
      </c>
      <c r="AU269" s="29" t="s">
        <v>23</v>
      </c>
      <c r="AV269" s="29" t="s">
        <v>12</v>
      </c>
      <c r="AW269" s="29" t="s">
        <v>26</v>
      </c>
      <c r="AX269" s="29" t="s">
        <v>25</v>
      </c>
      <c r="AY269" s="29" t="s">
        <v>27</v>
      </c>
      <c r="AZ269" s="29" t="s">
        <v>9</v>
      </c>
      <c r="BA269" s="29" t="s">
        <v>23</v>
      </c>
      <c r="BB269" s="29" t="s">
        <v>12</v>
      </c>
      <c r="BC269" s="29" t="s">
        <v>26</v>
      </c>
      <c r="BD269" s="29" t="s">
        <v>25</v>
      </c>
      <c r="BE269" s="29" t="s">
        <v>27</v>
      </c>
      <c r="BF269" s="29" t="s">
        <v>9</v>
      </c>
      <c r="BG269" s="29" t="s">
        <v>23</v>
      </c>
      <c r="BH269" s="29" t="s">
        <v>12</v>
      </c>
      <c r="BI269" s="29" t="s">
        <v>26</v>
      </c>
      <c r="BJ269" s="29" t="s">
        <v>25</v>
      </c>
      <c r="BK269" s="29" t="s">
        <v>27</v>
      </c>
      <c r="BL269" s="29" t="s">
        <v>9</v>
      </c>
      <c r="BM269" s="29" t="s">
        <v>23</v>
      </c>
      <c r="BN269" s="29" t="s">
        <v>12</v>
      </c>
      <c r="BO269" s="29" t="s">
        <v>26</v>
      </c>
      <c r="BP269" s="29" t="s">
        <v>25</v>
      </c>
      <c r="BQ269" s="29" t="s">
        <v>27</v>
      </c>
      <c r="BR269" s="29" t="s">
        <v>9</v>
      </c>
      <c r="BS269" s="29" t="s">
        <v>23</v>
      </c>
      <c r="BT269" s="29" t="s">
        <v>12</v>
      </c>
      <c r="BU269" s="29" t="s">
        <v>26</v>
      </c>
      <c r="BV269" s="29" t="s">
        <v>25</v>
      </c>
      <c r="BW269" s="29" t="s">
        <v>27</v>
      </c>
      <c r="BX269" s="29" t="s">
        <v>9</v>
      </c>
      <c r="BY269" s="29" t="s">
        <v>23</v>
      </c>
      <c r="BZ269" s="29" t="s">
        <v>12</v>
      </c>
      <c r="CA269" s="29" t="s">
        <v>26</v>
      </c>
      <c r="CB269" s="29" t="s">
        <v>25</v>
      </c>
      <c r="CC269" s="29" t="s">
        <v>27</v>
      </c>
      <c r="CD269" s="29" t="s">
        <v>9</v>
      </c>
      <c r="CE269" s="29" t="s">
        <v>23</v>
      </c>
      <c r="CF269" s="29" t="s">
        <v>12</v>
      </c>
      <c r="CG269" s="29" t="s">
        <v>26</v>
      </c>
      <c r="CH269" s="29" t="s">
        <v>25</v>
      </c>
    </row>
    <row r="270" spans="1:86" x14ac:dyDescent="0.2">
      <c r="A270" s="8" t="str">
        <f>IF(AND(COUNTIF(W$3:W$13,A$15)&gt;0,A$15&lt;&gt;B38),A$15,IFERROR(IF(MATCH(A$15,Z$3:Z$13,0)=11,A$15," ")," "))</f>
        <v xml:space="preserve"> </v>
      </c>
      <c r="B270" s="8" t="str">
        <f>IF(A270=" "," ",1)</f>
        <v xml:space="preserve"> </v>
      </c>
      <c r="C270" s="8" t="str">
        <f>IFERROR(INDEX(A270:A291,MATCH(SMALL(B270:B291,1),B270:B291,0),1)," ")</f>
        <v>C4</v>
      </c>
      <c r="D270" s="8">
        <f>IFERROR(VLOOKUP($C270,$A$15:$O$36,2,FALSE)," ")</f>
        <v>1</v>
      </c>
      <c r="E270" s="8">
        <f>IFERROR(VLOOKUP($C270,$A$15:$O$36,3,FALSE)," ")</f>
        <v>0</v>
      </c>
      <c r="F270" s="8">
        <f>IFERROR(VLOOKUP($C270,$A$15:$O$36,4,FALSE)," ")</f>
        <v>1</v>
      </c>
      <c r="G270" s="8">
        <f>IFERROR(VLOOKUP($C270,$A$15:$O$36,5,FALSE)," ")</f>
        <v>0</v>
      </c>
      <c r="H270" s="8">
        <f>IFERROR(VLOOKUP($C270,$A$15:$O$36,6,FALSE)," ")</f>
        <v>0</v>
      </c>
      <c r="I270" s="8">
        <f>IFERROR(VLOOKUP($C270,$A$15:$O$36,7,FALSE)," ")</f>
        <v>0</v>
      </c>
      <c r="J270" s="8">
        <f>IFERROR(VLOOKUP($C270,$A$15:$O$36,8,FALSE)," ")</f>
        <v>0</v>
      </c>
      <c r="K270" s="8">
        <f>IFERROR(VLOOKUP($C270,$A$15:$O$36,9,FALSE)," ")</f>
        <v>0</v>
      </c>
      <c r="L270" s="8">
        <f>IFERROR(VLOOKUP($C270,$A$15:$O$36,10,FALSE)," ")</f>
        <v>0</v>
      </c>
      <c r="M270" s="8">
        <f>IFERROR(VLOOKUP($C270,$A$15:$O$36,11,FALSE)," ")</f>
        <v>0</v>
      </c>
      <c r="N270" s="8">
        <f>IFERROR(VLOOKUP($C270,$A$15:$O$36,12,FALSE)," ")</f>
        <v>0</v>
      </c>
      <c r="O270" s="8">
        <f>IFERROR(VLOOKUP($C270,$A$15:$O$36,15,FALSE)," ")</f>
        <v>400</v>
      </c>
      <c r="P270" s="8">
        <f t="array" ref="P270:P280">MMULT(MINVERSE(D270:N280),O270:O280)</f>
        <v>400</v>
      </c>
      <c r="Q270" s="8">
        <f t="shared" ref="Q270" si="921">IF(COUNTIF(P270:P280,"&lt;"&amp;-0.001)=0,IF(ABS(P270)&lt;0.001,0,P270)," ")</f>
        <v>400</v>
      </c>
      <c r="R270" s="8">
        <f>IFERROR(VLOOKUP(B38,A$15:L$36,2,FALSE)*Q270+VLOOKUP(B38,A$15:L$36,3,FALSE)*Q271+VLOOKUP(B38,A$15:L$36,4,FALSE)*Q272+VLOOKUP(B38,A$15:L$36,5,FALSE)*Q273+VLOOKUP(B38,A$15:L$36,6,FALSE)*Q274+VLOOKUP(B38,A$15:L$36,7,FALSE)*Q275+VLOOKUP(B38,A$15:L$36,8,FALSE)*Q276+VLOOKUP(B38,A$15:L$36,9,FALSE)*Q277+VLOOKUP(B38,A$15:L$36,10,FALSE)*Q278+VLOOKUP(B38,A$15:L$36,11,FALSE)*Q279+VLOOKUP(B38,A$15:L$36,12,FALSE)*Q280," ")</f>
        <v>800</v>
      </c>
      <c r="S270" s="8">
        <f>IFERROR(IF(R270-VLOOKUP(B38,A$15:O$36,15,FALSE)&lt;0,R270-VLOOKUP(B38,A$15:O$36,15,FALSE)," ")," ")</f>
        <v>-1200</v>
      </c>
      <c r="T270" s="18" t="str">
        <f>IFERROR(IF(R270-VLOOKUP(B38,A$15:O$36,15,FALSE)&gt;0,R270-VLOOKUP(B38,A$15:O$36,15,FALSE)," ")," ")</f>
        <v xml:space="preserve"> </v>
      </c>
      <c r="U270" s="8">
        <f t="shared" ref="U270" si="922">$M$2</f>
        <v>100.00000000000001</v>
      </c>
      <c r="V270" s="8">
        <v>-1</v>
      </c>
      <c r="W270" s="8">
        <f t="shared" ref="W270" si="923">-SUMPRODUCT($M$3:$M$12,$N$3:$N$12)</f>
        <v>-105000</v>
      </c>
      <c r="X270" s="8">
        <f t="shared" ref="X270" si="924">IF(U270&lt;&gt;U271,MMULT(MINVERSE(U270:V271),W270:W271)," ")</f>
        <v>350</v>
      </c>
      <c r="Y270" s="8" t="str">
        <f t="shared" ref="Y270" si="925">IFERROR(IF(X270-VLOOKUP(U$38,$A$2:$N$12,14,FALSE)&lt;0,X270-VLOOKUP(U$38,$A$2:$N$12,14,FALSE)," ")," ")</f>
        <v xml:space="preserve"> </v>
      </c>
      <c r="Z270" s="8">
        <f t="shared" ref="Z270" si="926">IFERROR(IF(X270-VLOOKUP(U$38,$A$2:$N$12,14,FALSE)&gt;0,X270-VLOOKUP(U$38,$A$2:$N$12,14,FALSE)," ")," ")</f>
        <v>200</v>
      </c>
      <c r="AA270" s="8">
        <f t="shared" ref="AA270" si="927">$M$3</f>
        <v>0</v>
      </c>
      <c r="AB270" s="32">
        <v>-1</v>
      </c>
      <c r="AC270" s="8">
        <f t="shared" ref="AC270" si="928">-SUMPRODUCT($M$2:$M$2,$N$2:$N$2)-SUMPRODUCT($M$4:$M$12,$N$4:$N$12)</f>
        <v>-120000</v>
      </c>
      <c r="AD270" s="8" t="str">
        <f t="shared" ref="AD270" si="929">IF(AA270&lt;&gt;AA271,MMULT(MINVERSE(AA270:AB271),AC270:AC271)," ")</f>
        <v xml:space="preserve"> </v>
      </c>
      <c r="AE270" s="8" t="str">
        <f t="shared" ref="AE270" si="930">IFERROR(IF(AD270-VLOOKUP(AA$38,$A$2:$N$12,14,FALSE)&lt;0,AD270-VLOOKUP(AA$38,$A$2:$N$12,14,FALSE)," ")," ")</f>
        <v xml:space="preserve"> </v>
      </c>
      <c r="AF270" s="8" t="str">
        <f t="shared" ref="AF270" si="931">IFERROR(IF(AD270-VLOOKUP(AA$38,$A$2:$N$12,14,FALSE)&gt;0,AD270-VLOOKUP(AA$38,$A$2:$N$12,14,FALSE)," ")," ")</f>
        <v xml:space="preserve"> </v>
      </c>
      <c r="AG270" s="8">
        <f t="shared" ref="AG270" si="932">$M$4</f>
        <v>300</v>
      </c>
      <c r="AH270" s="8">
        <v>-1</v>
      </c>
      <c r="AI270" s="8">
        <f t="shared" ref="AI270" si="933">-SUMPRODUCT($M$2:$M$3,$N$2:$N$3)-SUMPRODUCT($M$5:$M$12,$N$5:$N$12)</f>
        <v>-15000.000000000002</v>
      </c>
      <c r="AJ270" s="8">
        <f t="shared" ref="AJ270" si="934">IF(AG270&lt;&gt;AG271,MMULT(MINVERSE(AG270:AH271),AI270:AI271)," ")</f>
        <v>150</v>
      </c>
      <c r="AK270" s="8">
        <f t="shared" ref="AK270" si="935">IFERROR(IF(AJ270-VLOOKUP(AG$38,$A$2:$N$12,14,FALSE)&lt;0,AJ270-VLOOKUP(AG$38,$A$2:$N$12,14,FALSE)," ")," ")</f>
        <v>-200</v>
      </c>
      <c r="AL270" s="8" t="str">
        <f t="shared" ref="AL270" si="936">IFERROR(IF(AJ270-VLOOKUP(AG$38,$A$2:$N$12,14,FALSE)&gt;0,AJ270-VLOOKUP(AG$38,$A$2:$N$12,14,FALSE)," ")," ")</f>
        <v xml:space="preserve"> </v>
      </c>
      <c r="AM270" s="8">
        <f t="shared" ref="AM270" si="937">$M$5</f>
        <v>0</v>
      </c>
      <c r="AN270" s="8">
        <v>-1</v>
      </c>
      <c r="AO270" s="8">
        <f t="shared" ref="AO270" si="938">-SUMPRODUCT($M$2:$M$4,$N$2:$N$4)-SUMPRODUCT($M$6:$M$12,$N$6:$N$12)</f>
        <v>-120000</v>
      </c>
      <c r="AP270" s="8" t="str">
        <f t="shared" ref="AP270" si="939">IF(AM270&lt;&gt;AM271,MMULT(MINVERSE(AM270:AN271),AO270:AO271)," ")</f>
        <v xml:space="preserve"> </v>
      </c>
      <c r="AQ270" s="8" t="str">
        <f t="shared" ref="AQ270" si="940">IFERROR(IF(AP270-VLOOKUP(AM$38,$A$2:$N$12,14,FALSE)&lt;0,AP270-VLOOKUP(AM$38,$A$2:$N$12,14,FALSE)," ")," ")</f>
        <v xml:space="preserve"> </v>
      </c>
      <c r="AR270" s="8" t="str">
        <f t="shared" ref="AR270" si="941">IFERROR(IF(AP270-VLOOKUP(AM$38,$A$2:$N$12,14,FALSE)&gt;0,AP270-VLOOKUP(AM$38,$A$2:$N$12,14,FALSE)," ")," ")</f>
        <v xml:space="preserve"> </v>
      </c>
      <c r="AS270" s="8">
        <f t="shared" ref="AS270" si="942">$M$6</f>
        <v>0</v>
      </c>
      <c r="AT270" s="8">
        <v>-1</v>
      </c>
      <c r="AU270" s="8">
        <f t="shared" ref="AU270" si="943">-SUMPRODUCT($M$2:$M$5,$N$2:$N$5)-SUMPRODUCT($M$7:$M$12,$N$7:$N$12)</f>
        <v>-120000</v>
      </c>
      <c r="AV270" s="8" t="str">
        <f t="shared" ref="AV270" si="944">IF(AS270&lt;&gt;AS271,MMULT(MINVERSE(AS270:AT271),AU270:AU271)," ")</f>
        <v xml:space="preserve"> </v>
      </c>
      <c r="AW270" s="8" t="str">
        <f t="shared" ref="AW270" si="945">IFERROR(IF(AV270-VLOOKUP(AS$38,$A$2:$N$12,14,FALSE)&lt;0,AV270-VLOOKUP(AS$38,$A$2:$N$12,14,FALSE)," ")," ")</f>
        <v xml:space="preserve"> </v>
      </c>
      <c r="AX270" s="8" t="str">
        <f t="shared" ref="AX270" si="946">IFERROR(IF(AV270-VLOOKUP(AS$38,$A$2:$N$12,14,FALSE)&gt;0,AV270-VLOOKUP(AS$38,$A$2:$N$12,14,FALSE)," ")," ")</f>
        <v xml:space="preserve"> </v>
      </c>
      <c r="AY270" s="8">
        <f t="shared" ref="AY270" si="947">$M$7</f>
        <v>0</v>
      </c>
      <c r="AZ270" s="8">
        <v>-1</v>
      </c>
      <c r="BA270" s="8">
        <f t="shared" ref="BA270" si="948">-SUMPRODUCT($M$2:$M$6,$N$2:$N$6)-SUMPRODUCT($M$8:$M$12,$N$8:$N$12)</f>
        <v>-120000</v>
      </c>
      <c r="BB270" s="8" t="str">
        <f t="shared" ref="BB270" si="949">IF(AY270&lt;&gt;AY271,MMULT(MINVERSE(AY270:AZ271),BA270:BA271)," ")</f>
        <v xml:space="preserve"> </v>
      </c>
      <c r="BC270" s="8" t="str">
        <f t="shared" ref="BC270" si="950">IFERROR(IF(BB270-VLOOKUP(AY$38,$A$2:$N$12,14,FALSE)&lt;0,BB270-VLOOKUP(AY$38,$A$2:$N$12,14,FALSE)," ")," ")</f>
        <v xml:space="preserve"> </v>
      </c>
      <c r="BD270" s="8" t="str">
        <f t="shared" ref="BD270" si="951">IFERROR(IF(BB270-VLOOKUP(AY$38,$A$2:$N$12,14,FALSE)&gt;0,BB270-VLOOKUP(AY$38,$A$2:$N$12,14,FALSE)," ")," ")</f>
        <v xml:space="preserve"> </v>
      </c>
      <c r="BE270" s="8">
        <f t="shared" ref="BE270" si="952">$M$8</f>
        <v>0</v>
      </c>
      <c r="BF270" s="8">
        <v>-1</v>
      </c>
      <c r="BG270" s="8">
        <f t="shared" ref="BG270" si="953">-SUMPRODUCT($M$2:$M$7,$N$2:$N$7)-SUMPRODUCT($M$9:$M$12,$N$9:$N$12)</f>
        <v>-120000</v>
      </c>
      <c r="BH270" s="8" t="str">
        <f t="shared" ref="BH270" si="954">IF(BE270&lt;&gt;BE271,MMULT(MINVERSE(BE270:BF271),BG270:BG271)," ")</f>
        <v xml:space="preserve"> </v>
      </c>
      <c r="BI270" s="8" t="str">
        <f t="shared" ref="BI270" si="955">IFERROR(IF(BH270-VLOOKUP(BE$38,$A$2:$N$12,14,FALSE)&lt;0,BH270-VLOOKUP(BE$38,$A$2:$N$12,14,FALSE)," ")," ")</f>
        <v xml:space="preserve"> </v>
      </c>
      <c r="BJ270" s="8" t="str">
        <f t="shared" ref="BJ270" si="956">IFERROR(IF(BH270-VLOOKUP(BE$38,$A$2:$N$12,14,FALSE)&gt;0,BH270-VLOOKUP(BE$38,$A$2:$N$12,14,FALSE)," ")," ")</f>
        <v xml:space="preserve"> </v>
      </c>
      <c r="BK270" s="8">
        <f t="shared" ref="BK270" si="957">$M$9</f>
        <v>0</v>
      </c>
      <c r="BL270" s="8">
        <v>-1</v>
      </c>
      <c r="BM270" s="8">
        <f t="shared" ref="BM270" si="958">-SUMPRODUCT($M$2:$M$8,$N$2:$N$8)-SUMPRODUCT($M$10:$M$12,$N$10:$N$12)</f>
        <v>-120000</v>
      </c>
      <c r="BN270" s="8" t="str">
        <f t="shared" ref="BN270" si="959">IF(BK270&lt;&gt;BK271,MMULT(MINVERSE(BK270:BL271),BM270:BM271)," ")</f>
        <v xml:space="preserve"> </v>
      </c>
      <c r="BO270" s="8" t="str">
        <f t="shared" ref="BO270" si="960">IFERROR(IF(BN270-VLOOKUP(BK$38,$A$2:$N$12,14,FALSE)&lt;0,BN270-VLOOKUP(BK$38,$A$2:$N$12,14,FALSE)," ")," ")</f>
        <v xml:space="preserve"> </v>
      </c>
      <c r="BP270" s="8" t="str">
        <f t="shared" ref="BP270" si="961">IFERROR(IF(BN270-VLOOKUP(BK$38,$A$2:$N$12,14,FALSE)&gt;0,BN270-VLOOKUP(BK$38,$A$2:$N$12,14,FALSE)," ")," ")</f>
        <v xml:space="preserve"> </v>
      </c>
      <c r="BQ270" s="8">
        <f t="shared" ref="BQ270" si="962">$M$10</f>
        <v>0</v>
      </c>
      <c r="BR270" s="8">
        <v>-1</v>
      </c>
      <c r="BS270" s="8">
        <f t="shared" ref="BS270" si="963">-SUMPRODUCT($M$2:$M$9,$N$2:$N$9)-SUMPRODUCT($M$11:$M$12,$N$11:$N$12)</f>
        <v>-120000</v>
      </c>
      <c r="BT270" s="8" t="str">
        <f t="shared" ref="BT270" si="964">IF(BQ270&lt;&gt;BQ271,MMULT(MINVERSE(BQ270:BR271),BS270:BS271)," ")</f>
        <v xml:space="preserve"> </v>
      </c>
      <c r="BU270" s="8" t="str">
        <f t="shared" ref="BU270" si="965">IFERROR(IF(BT270-VLOOKUP(BQ$38,$A$2:$N$12,14,FALSE)&lt;0,BT270-VLOOKUP(BQ$38,$A$2:$N$12,14,FALSE)," ")," ")</f>
        <v xml:space="preserve"> </v>
      </c>
      <c r="BV270" s="8" t="str">
        <f t="shared" ref="BV270" si="966">IFERROR(IF(BT270-VLOOKUP(BQ$38,$A$2:$N$12,14,FALSE)&gt;0,BT270-VLOOKUP(BQ$38,$A$2:$N$12,14,FALSE)," ")," ")</f>
        <v xml:space="preserve"> </v>
      </c>
      <c r="BW270" s="8">
        <f t="shared" ref="BW270" si="967">$M$11</f>
        <v>0</v>
      </c>
      <c r="BX270" s="8">
        <v>-1</v>
      </c>
      <c r="BY270" s="8">
        <f t="shared" ref="BY270" si="968">-SUMPRODUCT($M$2:$M$10,$N$2:$N$10)-SUMPRODUCT($M$12,$N$12)</f>
        <v>-120000</v>
      </c>
      <c r="BZ270" s="8" t="str">
        <f t="shared" ref="BZ270" si="969">IF(BW270&lt;&gt;BW271,MMULT(MINVERSE(BW270:BX271),BY270:BY271)," ")</f>
        <v xml:space="preserve"> </v>
      </c>
      <c r="CA270" s="8" t="str">
        <f t="shared" ref="CA270" si="970">IFERROR(IF(BZ270-VLOOKUP(BW$38,$A$2:$N$12,14,FALSE)&lt;0,BZ270-VLOOKUP(BW$38,$A$2:$N$12,14,FALSE)," ")," ")</f>
        <v xml:space="preserve"> </v>
      </c>
      <c r="CB270" s="8" t="str">
        <f t="shared" ref="CB270" si="971">IFERROR(IF(BZ270-VLOOKUP(BW$38,$A$2:$N$12,14,FALSE)&gt;0,BZ270-VLOOKUP(BW$38,$A$2:$N$12,14,FALSE)," ")," ")</f>
        <v xml:space="preserve"> </v>
      </c>
      <c r="CC270" s="8">
        <f t="shared" ref="CC270" si="972">$M$12</f>
        <v>0</v>
      </c>
      <c r="CD270" s="8">
        <v>-1</v>
      </c>
      <c r="CE270" s="8">
        <f t="shared" ref="CE270" si="973">-SUMPRODUCT($M$2:$M$11,$N$2:$N$11)</f>
        <v>-120000</v>
      </c>
      <c r="CF270" s="8" t="str">
        <f t="shared" ref="CF270" si="974">IF(CC270&lt;&gt;CC271,MMULT(MINVERSE(CC270:CD271),CE270:CE271)," ")</f>
        <v xml:space="preserve"> </v>
      </c>
      <c r="CG270" s="8" t="str">
        <f t="shared" ref="CG270" si="975">IFERROR(IF(CF270-VLOOKUP(CC$38,$A$2:$N$12,14,FALSE)&lt;0,CF270-VLOOKUP(CC$38,$A$2:$N$12,14,FALSE)," ")," ")</f>
        <v xml:space="preserve"> </v>
      </c>
      <c r="CH270" s="8" t="str">
        <f t="shared" ref="CH270" si="976">IFERROR(IF(CF270-VLOOKUP(CC$38,$A$2:$N$12,14,FALSE)&gt;0,CF270-VLOOKUP(CC$38,$A$2:$N$12,14,FALSE)," ")," ")</f>
        <v xml:space="preserve"> </v>
      </c>
    </row>
    <row r="271" spans="1:86" x14ac:dyDescent="0.2">
      <c r="A271" s="8" t="str">
        <f>IF(AND(COUNTIF(W$3:W$13,A$16)&gt;0,A$16&lt;&gt;B38),A$16,IFERROR(IF(MATCH(A$16,Z$3:Z$13,0)=11,A$16," ")," "))</f>
        <v xml:space="preserve"> </v>
      </c>
      <c r="B271" s="8" t="str">
        <f>IF(A271=" "," ",MAX(B270:B270)+1)</f>
        <v xml:space="preserve"> </v>
      </c>
      <c r="C271" s="8" t="str">
        <f>IFERROR(INDEX(A270:A291,MATCH(SMALL(B270:B291,2),B270:B291,0),1)," ")</f>
        <v>C13</v>
      </c>
      <c r="D271" s="8">
        <f t="shared" ref="D271:D280" si="977">IFERROR(VLOOKUP($C271,$A$15:$O$36,2,FALSE)," ")</f>
        <v>0</v>
      </c>
      <c r="E271" s="8">
        <f t="shared" ref="E271:E280" si="978">IFERROR(VLOOKUP($C271,$A$15:$O$36,3,FALSE)," ")</f>
        <v>1</v>
      </c>
      <c r="F271" s="8">
        <f t="shared" ref="F271:F280" si="979">IFERROR(VLOOKUP($C271,$A$15:$O$36,4,FALSE)," ")</f>
        <v>0</v>
      </c>
      <c r="G271" s="8">
        <f t="shared" ref="G271:G280" si="980">IFERROR(VLOOKUP($C271,$A$15:$O$36,5,FALSE)," ")</f>
        <v>0</v>
      </c>
      <c r="H271" s="8">
        <f t="shared" ref="H271:H280" si="981">IFERROR(VLOOKUP($C271,$A$15:$O$36,6,FALSE)," ")</f>
        <v>0</v>
      </c>
      <c r="I271" s="8">
        <f t="shared" ref="I271:I280" si="982">IFERROR(VLOOKUP($C271,$A$15:$O$36,7,FALSE)," ")</f>
        <v>0</v>
      </c>
      <c r="J271" s="8">
        <f t="shared" ref="J271:J280" si="983">IFERROR(VLOOKUP($C271,$A$15:$O$36,8,FALSE)," ")</f>
        <v>0</v>
      </c>
      <c r="K271" s="8">
        <f t="shared" ref="K271:K280" si="984">IFERROR(VLOOKUP($C271,$A$15:$O$36,9,FALSE)," ")</f>
        <v>0</v>
      </c>
      <c r="L271" s="8">
        <f t="shared" ref="L271:L280" si="985">IFERROR(VLOOKUP($C271,$A$15:$O$36,10,FALSE)," ")</f>
        <v>0</v>
      </c>
      <c r="M271" s="8">
        <f t="shared" ref="M271:M280" si="986">IFERROR(VLOOKUP($C271,$A$15:$O$36,11,FALSE)," ")</f>
        <v>0</v>
      </c>
      <c r="N271" s="8">
        <f t="shared" ref="N271:N280" si="987">IFERROR(VLOOKUP($C271,$A$15:$O$36,12,FALSE)," ")</f>
        <v>0</v>
      </c>
      <c r="O271" s="8">
        <f t="shared" ref="O271:O280" si="988">IFERROR(VLOOKUP($C271,$A$15:$O$36,15,FALSE)," ")</f>
        <v>0</v>
      </c>
      <c r="P271" s="8">
        <v>0</v>
      </c>
      <c r="Q271" s="8">
        <f t="shared" ref="Q271" si="989">IF(COUNTIF(P270:P280,"&lt;"&amp;-0.001)=0,IF(ABS(P271)&lt;0.001,0,P271)," ")</f>
        <v>0</v>
      </c>
      <c r="R271" s="8"/>
      <c r="S271" s="8"/>
      <c r="U271" s="8">
        <f t="shared" ref="U271" si="990">$Q270</f>
        <v>400</v>
      </c>
      <c r="V271" s="8">
        <v>-1</v>
      </c>
      <c r="W271" s="8">
        <f t="shared" ref="W271" si="991">-SUMPRODUCT($Q271:$Q280,$N$3:$N$12)</f>
        <v>0</v>
      </c>
      <c r="X271" s="8"/>
      <c r="Y271" s="8"/>
      <c r="Z271" s="8"/>
      <c r="AA271" s="8">
        <f t="shared" ref="AA271" si="992">$Q271</f>
        <v>0</v>
      </c>
      <c r="AB271" s="32">
        <v>-1</v>
      </c>
      <c r="AC271" s="8">
        <f t="shared" ref="AC271" si="993">-SUMPRODUCT($Q270:$Q270,$N$2:$N$2)-SUMPRODUCT($Q272:$Q280,$N$4:$N$12)</f>
        <v>-60000</v>
      </c>
      <c r="AD271" s="8"/>
      <c r="AE271" s="8"/>
      <c r="AF271" s="8"/>
      <c r="AG271" s="8">
        <f t="shared" ref="AG271" si="994">$Q272</f>
        <v>0</v>
      </c>
      <c r="AH271" s="8">
        <v>-1</v>
      </c>
      <c r="AI271" s="8">
        <f t="shared" ref="AI271" si="995">-SUMPRODUCT($Q270:$Q271,$N$2:$N$3)-SUMPRODUCT($Q273:$Q280,$N$5:$N$12)</f>
        <v>-60000</v>
      </c>
      <c r="AJ271" s="8"/>
      <c r="AK271" s="8"/>
      <c r="AL271" s="8"/>
      <c r="AM271" s="8">
        <f t="shared" ref="AM271" si="996">$Q273</f>
        <v>0</v>
      </c>
      <c r="AN271" s="8">
        <v>-1</v>
      </c>
      <c r="AO271" s="8">
        <f t="shared" ref="AO271" si="997">-SUMPRODUCT($Q270:$Q272,$N$2:$N$4)-SUMPRODUCT($Q274:$Q280,$N$6:$N$12)</f>
        <v>-60000</v>
      </c>
      <c r="AP271" s="8"/>
      <c r="AQ271" s="8"/>
      <c r="AR271" s="8"/>
      <c r="AS271" s="8">
        <f t="shared" ref="AS271" si="998">$Q274</f>
        <v>0</v>
      </c>
      <c r="AT271" s="8">
        <v>-1</v>
      </c>
      <c r="AU271" s="8">
        <f t="shared" ref="AU271" si="999">-SUMPRODUCT($Q270:$Q273,$N$2:$N$5)-SUMPRODUCT($Q275:$Q280,$N$7:$N$12)</f>
        <v>-60000</v>
      </c>
      <c r="AV271" s="8"/>
      <c r="AW271" s="8"/>
      <c r="AX271" s="8"/>
      <c r="AY271" s="8">
        <f t="shared" ref="AY271" si="1000">$Q275</f>
        <v>0</v>
      </c>
      <c r="AZ271" s="8">
        <v>-1</v>
      </c>
      <c r="BA271" s="8">
        <f t="shared" ref="BA271" si="1001">-SUMPRODUCT($Q270:$Q274,$N$2:$N$6)-SUMPRODUCT($Q276:$Q280,$N$8:$N$12)</f>
        <v>-60000</v>
      </c>
      <c r="BB271" s="8"/>
      <c r="BC271" s="8"/>
      <c r="BD271" s="8"/>
      <c r="BE271" s="8">
        <f t="shared" ref="BE271" si="1002">$Q276</f>
        <v>0</v>
      </c>
      <c r="BF271" s="8">
        <v>-1</v>
      </c>
      <c r="BG271" s="8">
        <f t="shared" ref="BG271" si="1003">-SUMPRODUCT($Q270:$Q275,$N$2:$N$7)-SUMPRODUCT($Q277:$Q280,$N$9:$N$12)</f>
        <v>-60000</v>
      </c>
      <c r="BH271" s="8"/>
      <c r="BI271" s="8"/>
      <c r="BJ271" s="8"/>
      <c r="BK271" s="8">
        <f t="shared" ref="BK271" si="1004">$Q277</f>
        <v>0</v>
      </c>
      <c r="BL271" s="8">
        <v>-1</v>
      </c>
      <c r="BM271" s="8">
        <f t="shared" ref="BM271" si="1005">-SUMPRODUCT($Q270:$Q276,$N$2:$N$8)-SUMPRODUCT($Q278:$Q280,$N$10:$N$12)</f>
        <v>-60000</v>
      </c>
      <c r="BN271" s="8"/>
      <c r="BO271" s="8"/>
      <c r="BP271" s="8"/>
      <c r="BQ271" s="8">
        <f t="shared" ref="BQ271" si="1006">$Q278</f>
        <v>0</v>
      </c>
      <c r="BR271" s="8">
        <v>-1</v>
      </c>
      <c r="BS271" s="8">
        <f t="shared" ref="BS271" si="1007">-SUMPRODUCT($Q270:$Q277,$N$2:$N$9)-SUMPRODUCT($Q279:$Q280,$N$11:$N$12)</f>
        <v>-60000</v>
      </c>
      <c r="BT271" s="8"/>
      <c r="BU271" s="8"/>
      <c r="BV271" s="8"/>
      <c r="BW271" s="8">
        <f t="shared" ref="BW271" si="1008">$Q279</f>
        <v>0</v>
      </c>
      <c r="BX271" s="8">
        <v>-1</v>
      </c>
      <c r="BY271" s="8">
        <f t="shared" ref="BY271" si="1009">-SUMPRODUCT($Q270:$Q278,$N$2:$N$10)-SUMPRODUCT($Q280,$N$12)</f>
        <v>-60000</v>
      </c>
      <c r="BZ271" s="8"/>
      <c r="CA271" s="8"/>
      <c r="CB271" s="8"/>
      <c r="CC271" s="8">
        <f t="shared" ref="CC271" si="1010">$Q280</f>
        <v>0</v>
      </c>
      <c r="CD271" s="8">
        <v>-1</v>
      </c>
      <c r="CE271" s="8">
        <f t="shared" ref="CE271" si="1011">-SUMPRODUCT($Q270:$Q279,$N$2:$N$11)</f>
        <v>-60000</v>
      </c>
      <c r="CF271" s="8"/>
      <c r="CG271" s="8"/>
      <c r="CH271" s="8"/>
    </row>
    <row r="272" spans="1:86" x14ac:dyDescent="0.2">
      <c r="A272" s="8" t="str">
        <f>IF(AND(COUNTIF(W$3:W$13,A$17)&gt;0,A$17&lt;&gt;B38),A$17,IFERROR(IF(MATCH(A$17,Z$3:Z$13,0)=11,A$17," ")," "))</f>
        <v xml:space="preserve"> </v>
      </c>
      <c r="B272" s="8" t="str">
        <f>IF(A272=" "," ",MAX(B270:B271)+1)</f>
        <v xml:space="preserve"> </v>
      </c>
      <c r="C272" s="8" t="str">
        <f>IFERROR(INDEX(A270:A291,MATCH(SMALL(B270:B291,3),B270:B291,0),1)," ")</f>
        <v>C14</v>
      </c>
      <c r="D272" s="8">
        <f t="shared" si="977"/>
        <v>0</v>
      </c>
      <c r="E272" s="8">
        <f t="shared" si="978"/>
        <v>0</v>
      </c>
      <c r="F272" s="8">
        <f t="shared" si="979"/>
        <v>1</v>
      </c>
      <c r="G272" s="8">
        <f t="shared" si="980"/>
        <v>0</v>
      </c>
      <c r="H272" s="8">
        <f t="shared" si="981"/>
        <v>0</v>
      </c>
      <c r="I272" s="8">
        <f t="shared" si="982"/>
        <v>0</v>
      </c>
      <c r="J272" s="8">
        <f t="shared" si="983"/>
        <v>0</v>
      </c>
      <c r="K272" s="8">
        <f t="shared" si="984"/>
        <v>0</v>
      </c>
      <c r="L272" s="8">
        <f t="shared" si="985"/>
        <v>0</v>
      </c>
      <c r="M272" s="8">
        <f t="shared" si="986"/>
        <v>0</v>
      </c>
      <c r="N272" s="8">
        <f t="shared" si="987"/>
        <v>0</v>
      </c>
      <c r="O272" s="8">
        <f t="shared" si="988"/>
        <v>0</v>
      </c>
      <c r="P272" s="8">
        <v>0</v>
      </c>
      <c r="Q272" s="8">
        <f t="shared" ref="Q272" si="1012">IF(COUNTIF(P270:P280,"&lt;"&amp;-0.001)=0,IF(ABS(P272)&lt;0.001,0,P272)," ")</f>
        <v>0</v>
      </c>
      <c r="R272" s="8"/>
      <c r="S272" s="8"/>
      <c r="U272" s="8"/>
      <c r="V272" s="8"/>
      <c r="W272" s="8"/>
      <c r="X272" s="8"/>
      <c r="Y272" s="8"/>
      <c r="Z272" s="8"/>
      <c r="AA272" s="8"/>
      <c r="AC272" s="8"/>
      <c r="AD272" s="8"/>
      <c r="AE272" s="8"/>
      <c r="AF272" s="8"/>
      <c r="AG272" s="8"/>
      <c r="AH272" s="8"/>
      <c r="AI272" s="8"/>
      <c r="AJ272" s="8"/>
      <c r="AK272" s="8"/>
      <c r="AL272" s="8"/>
      <c r="AM272" s="8"/>
      <c r="AN272" s="8"/>
      <c r="AO272" s="8"/>
      <c r="AP272" s="8"/>
      <c r="AQ272" s="8"/>
      <c r="AR272" s="8"/>
      <c r="AS272" s="8"/>
      <c r="AT272" s="8"/>
      <c r="AU272" s="8"/>
      <c r="AV272" s="8"/>
      <c r="AW272" s="8"/>
      <c r="AX272" s="8"/>
      <c r="AY272" s="8"/>
      <c r="AZ272" s="8"/>
      <c r="BA272" s="8"/>
      <c r="BB272" s="8"/>
      <c r="BC272" s="8"/>
      <c r="BD272" s="8"/>
      <c r="BE272" s="8"/>
      <c r="BF272" s="8"/>
      <c r="BG272" s="8"/>
      <c r="BH272" s="8"/>
      <c r="BI272" s="8"/>
      <c r="BJ272" s="8"/>
      <c r="BK272" s="8"/>
      <c r="BL272" s="8"/>
      <c r="BM272" s="8"/>
      <c r="BN272" s="8"/>
      <c r="BO272" s="8"/>
      <c r="BP272" s="8"/>
      <c r="BQ272" s="8"/>
      <c r="BR272" s="8"/>
      <c r="BS272" s="8"/>
      <c r="BT272" s="8"/>
      <c r="BU272" s="8"/>
      <c r="BV272" s="8"/>
      <c r="BW272" s="8"/>
      <c r="BX272" s="8"/>
      <c r="BY272" s="8"/>
      <c r="BZ272" s="8"/>
      <c r="CA272" s="8"/>
      <c r="CB272" s="8"/>
      <c r="CC272" s="8"/>
      <c r="CD272" s="8"/>
      <c r="CE272" s="8"/>
      <c r="CF272" s="8"/>
      <c r="CG272" s="8"/>
      <c r="CH272" s="8"/>
    </row>
    <row r="273" spans="1:86" x14ac:dyDescent="0.2">
      <c r="A273" s="8" t="str">
        <f>IF(AND(COUNTIF(W$3:W$13,A$18)&gt;0,A$18&lt;&gt;B38),A$18,IFERROR(IF(MATCH(A$18,Z$3:Z$13,0)=11,A$18," ")," "))</f>
        <v>C4</v>
      </c>
      <c r="B273" s="8">
        <f>IF(A273=" "," ",MAX(B270:B272)+1)</f>
        <v>1</v>
      </c>
      <c r="C273" s="8" t="str">
        <f>IFERROR(INDEX(A270:A291,MATCH(SMALL(B270:B291,4),B270:B291,0),1)," ")</f>
        <v>C15</v>
      </c>
      <c r="D273" s="8">
        <f t="shared" si="977"/>
        <v>0</v>
      </c>
      <c r="E273" s="8">
        <f t="shared" si="978"/>
        <v>0</v>
      </c>
      <c r="F273" s="8">
        <f t="shared" si="979"/>
        <v>0</v>
      </c>
      <c r="G273" s="8">
        <f t="shared" si="980"/>
        <v>1</v>
      </c>
      <c r="H273" s="8">
        <f t="shared" si="981"/>
        <v>0</v>
      </c>
      <c r="I273" s="8">
        <f t="shared" si="982"/>
        <v>0</v>
      </c>
      <c r="J273" s="8">
        <f t="shared" si="983"/>
        <v>0</v>
      </c>
      <c r="K273" s="8">
        <f t="shared" si="984"/>
        <v>0</v>
      </c>
      <c r="L273" s="8">
        <f t="shared" si="985"/>
        <v>0</v>
      </c>
      <c r="M273" s="8">
        <f t="shared" si="986"/>
        <v>0</v>
      </c>
      <c r="N273" s="8">
        <f t="shared" si="987"/>
        <v>0</v>
      </c>
      <c r="O273" s="8">
        <f t="shared" si="988"/>
        <v>0</v>
      </c>
      <c r="P273" s="8">
        <v>0</v>
      </c>
      <c r="Q273" s="8">
        <f t="shared" ref="Q273" si="1013">IF(COUNTIF(P270:P280,"&lt;"&amp;-0.001)=0,IF(ABS(P273)&lt;0.001,0,P273)," ")</f>
        <v>0</v>
      </c>
      <c r="R273" s="8"/>
      <c r="S273" s="8"/>
      <c r="U273" s="8"/>
      <c r="V273" s="8"/>
      <c r="W273" s="8"/>
      <c r="X273" s="8"/>
      <c r="Y273" s="8"/>
      <c r="Z273" s="8"/>
      <c r="AA273" s="8"/>
      <c r="AC273" s="8"/>
      <c r="AD273" s="8"/>
      <c r="AE273" s="8"/>
      <c r="AF273" s="8"/>
      <c r="AG273" s="8"/>
      <c r="AH273" s="8"/>
      <c r="AI273" s="8"/>
      <c r="AJ273" s="8"/>
      <c r="AK273" s="8"/>
      <c r="AL273" s="8"/>
      <c r="AM273" s="8"/>
      <c r="AN273" s="8"/>
      <c r="AO273" s="8"/>
      <c r="AP273" s="8"/>
      <c r="AQ273" s="8"/>
      <c r="AR273" s="8"/>
      <c r="AS273" s="8"/>
      <c r="AT273" s="8"/>
      <c r="AU273" s="8"/>
      <c r="AV273" s="8"/>
      <c r="AW273" s="8"/>
      <c r="AX273" s="8"/>
      <c r="AY273" s="8"/>
      <c r="AZ273" s="8"/>
      <c r="BA273" s="8"/>
      <c r="BB273" s="8"/>
      <c r="BC273" s="8"/>
      <c r="BD273" s="8"/>
      <c r="BE273" s="8"/>
      <c r="BF273" s="8"/>
      <c r="BG273" s="8"/>
      <c r="BH273" s="8"/>
      <c r="BI273" s="8"/>
      <c r="BJ273" s="8"/>
      <c r="BK273" s="8"/>
      <c r="BL273" s="8"/>
      <c r="BM273" s="8"/>
      <c r="BN273" s="8"/>
      <c r="BO273" s="8"/>
      <c r="BP273" s="8"/>
      <c r="BQ273" s="8"/>
      <c r="BR273" s="8"/>
      <c r="BS273" s="8"/>
      <c r="BT273" s="8"/>
      <c r="BU273" s="8"/>
      <c r="BV273" s="8"/>
      <c r="BW273" s="8"/>
      <c r="BX273" s="8"/>
      <c r="BY273" s="8"/>
      <c r="BZ273" s="8"/>
      <c r="CA273" s="8"/>
      <c r="CB273" s="8"/>
      <c r="CC273" s="8"/>
      <c r="CD273" s="8"/>
      <c r="CE273" s="8"/>
      <c r="CF273" s="8"/>
      <c r="CG273" s="8"/>
      <c r="CH273" s="8"/>
    </row>
    <row r="274" spans="1:86" x14ac:dyDescent="0.2">
      <c r="A274" s="8" t="str">
        <f>IF(AND(COUNTIF(W$3:W$13,A$19)&gt;0,A$19&lt;&gt;B38),A$19,IFERROR(IF(MATCH(A$19,Z$3:Z$13,0)=11,A$19," ")," "))</f>
        <v xml:space="preserve"> </v>
      </c>
      <c r="B274" s="8" t="str">
        <f>IF(A274=" "," ",MAX(B270:B273)+1)</f>
        <v xml:space="preserve"> </v>
      </c>
      <c r="C274" s="8" t="str">
        <f>IFERROR(INDEX(A270:A291,MATCH(SMALL(B270:B291,5),B270:B291,0),1)," ")</f>
        <v>C16</v>
      </c>
      <c r="D274" s="8">
        <f t="shared" si="977"/>
        <v>0</v>
      </c>
      <c r="E274" s="8">
        <f t="shared" si="978"/>
        <v>0</v>
      </c>
      <c r="F274" s="8">
        <f t="shared" si="979"/>
        <v>0</v>
      </c>
      <c r="G274" s="8">
        <f t="shared" si="980"/>
        <v>0</v>
      </c>
      <c r="H274" s="8">
        <f t="shared" si="981"/>
        <v>1</v>
      </c>
      <c r="I274" s="8">
        <f t="shared" si="982"/>
        <v>0</v>
      </c>
      <c r="J274" s="8">
        <f t="shared" si="983"/>
        <v>0</v>
      </c>
      <c r="K274" s="8">
        <f t="shared" si="984"/>
        <v>0</v>
      </c>
      <c r="L274" s="8">
        <f t="shared" si="985"/>
        <v>0</v>
      </c>
      <c r="M274" s="8">
        <f t="shared" si="986"/>
        <v>0</v>
      </c>
      <c r="N274" s="8">
        <f t="shared" si="987"/>
        <v>0</v>
      </c>
      <c r="O274" s="8">
        <f t="shared" si="988"/>
        <v>0</v>
      </c>
      <c r="P274" s="8">
        <v>0</v>
      </c>
      <c r="Q274" s="8">
        <f t="shared" ref="Q274" si="1014">IF(COUNTIF(P270:P280,"&lt;"&amp;-0.001)=0,IF(ABS(P274)&lt;0.001,0,P274)," ")</f>
        <v>0</v>
      </c>
      <c r="R274" s="8"/>
      <c r="S274" s="8"/>
      <c r="U274" s="8"/>
      <c r="V274" s="8"/>
      <c r="W274" s="8"/>
      <c r="X274" s="8"/>
      <c r="Y274" s="8"/>
      <c r="Z274" s="8"/>
      <c r="AA274" s="8"/>
      <c r="AC274" s="8"/>
      <c r="AD274" s="8"/>
      <c r="AE274" s="8"/>
      <c r="AF274" s="8"/>
      <c r="AG274" s="8"/>
      <c r="AH274" s="8"/>
      <c r="AI274" s="8"/>
      <c r="AJ274" s="8"/>
      <c r="AK274" s="8"/>
      <c r="AL274" s="8"/>
      <c r="AM274" s="8"/>
      <c r="AN274" s="8"/>
      <c r="AO274" s="8"/>
      <c r="AP274" s="8"/>
      <c r="AQ274" s="8"/>
      <c r="AR274" s="8"/>
      <c r="AS274" s="8"/>
      <c r="AT274" s="8"/>
      <c r="AU274" s="8"/>
      <c r="AV274" s="8"/>
      <c r="AW274" s="8"/>
      <c r="AX274" s="8"/>
      <c r="AY274" s="8"/>
      <c r="AZ274" s="8"/>
      <c r="BA274" s="8"/>
      <c r="BB274" s="8"/>
      <c r="BC274" s="8"/>
      <c r="BD274" s="8"/>
      <c r="BE274" s="8"/>
      <c r="BF274" s="8"/>
      <c r="BG274" s="8"/>
      <c r="BH274" s="8"/>
      <c r="BI274" s="8"/>
      <c r="BJ274" s="8"/>
      <c r="BK274" s="8"/>
      <c r="BL274" s="8"/>
      <c r="BM274" s="8"/>
      <c r="BN274" s="8"/>
      <c r="BO274" s="8"/>
      <c r="BP274" s="8"/>
      <c r="BQ274" s="8"/>
      <c r="BR274" s="8"/>
      <c r="BS274" s="8"/>
      <c r="BT274" s="8"/>
      <c r="BU274" s="8"/>
      <c r="BV274" s="8"/>
      <c r="BW274" s="8"/>
      <c r="BX274" s="8"/>
      <c r="BY274" s="8"/>
      <c r="BZ274" s="8"/>
      <c r="CA274" s="8"/>
      <c r="CB274" s="8"/>
      <c r="CC274" s="8"/>
      <c r="CD274" s="8"/>
      <c r="CE274" s="8"/>
      <c r="CF274" s="8"/>
      <c r="CG274" s="8"/>
      <c r="CH274" s="8"/>
    </row>
    <row r="275" spans="1:86" x14ac:dyDescent="0.2">
      <c r="A275" s="8" t="str">
        <f>IF(AND(COUNTIF(W$3:W$13,A$20)&gt;0,A$20&lt;&gt;B38),A$20,IFERROR(IF(MATCH(A$20,Z$3:Z$13,0)=11,A$20," ")," "))</f>
        <v xml:space="preserve"> </v>
      </c>
      <c r="B275" s="8" t="str">
        <f>IF(A275=" "," ",MAX(B270:B274)+1)</f>
        <v xml:space="preserve"> </v>
      </c>
      <c r="C275" s="8" t="str">
        <f>IFERROR(INDEX(A270:A291,MATCH(SMALL(B270:B291,6),B270:B291,0),1)," ")</f>
        <v>C17</v>
      </c>
      <c r="D275" s="8">
        <f t="shared" si="977"/>
        <v>0</v>
      </c>
      <c r="E275" s="8">
        <f t="shared" si="978"/>
        <v>0</v>
      </c>
      <c r="F275" s="8">
        <f t="shared" si="979"/>
        <v>0</v>
      </c>
      <c r="G275" s="8">
        <f t="shared" si="980"/>
        <v>0</v>
      </c>
      <c r="H275" s="8">
        <f t="shared" si="981"/>
        <v>0</v>
      </c>
      <c r="I275" s="8">
        <f t="shared" si="982"/>
        <v>1</v>
      </c>
      <c r="J275" s="8">
        <f t="shared" si="983"/>
        <v>0</v>
      </c>
      <c r="K275" s="8">
        <f t="shared" si="984"/>
        <v>0</v>
      </c>
      <c r="L275" s="8">
        <f t="shared" si="985"/>
        <v>0</v>
      </c>
      <c r="M275" s="8">
        <f t="shared" si="986"/>
        <v>0</v>
      </c>
      <c r="N275" s="8">
        <f t="shared" si="987"/>
        <v>0</v>
      </c>
      <c r="O275" s="8">
        <f t="shared" si="988"/>
        <v>0</v>
      </c>
      <c r="P275" s="8">
        <v>0</v>
      </c>
      <c r="Q275" s="8">
        <f t="shared" ref="Q275" si="1015">IF(COUNTIF(P270:P280,"&lt;"&amp;-0.001)=0,IF(ABS(P275)&lt;0.001,0,P275)," ")</f>
        <v>0</v>
      </c>
      <c r="R275" s="8"/>
      <c r="S275" s="8"/>
      <c r="U275" s="8"/>
      <c r="V275" s="8"/>
      <c r="W275" s="8"/>
      <c r="X275" s="8"/>
      <c r="Y275" s="8"/>
      <c r="Z275" s="8"/>
      <c r="AA275" s="8"/>
      <c r="AC275" s="8"/>
      <c r="AD275" s="8"/>
      <c r="AE275" s="8"/>
      <c r="AF275" s="8"/>
      <c r="AG275" s="8"/>
      <c r="AH275" s="8"/>
      <c r="AI275" s="8"/>
      <c r="AJ275" s="8"/>
      <c r="AK275" s="8"/>
      <c r="AL275" s="8"/>
      <c r="AM275" s="8"/>
      <c r="AN275" s="8"/>
      <c r="AO275" s="8"/>
      <c r="AP275" s="8"/>
      <c r="AQ275" s="8"/>
      <c r="AR275" s="8"/>
      <c r="AS275" s="8"/>
      <c r="AT275" s="8"/>
      <c r="AU275" s="8"/>
      <c r="AV275" s="8"/>
      <c r="AW275" s="8"/>
      <c r="AX275" s="8"/>
      <c r="AY275" s="8"/>
      <c r="AZ275" s="8"/>
      <c r="BA275" s="8"/>
      <c r="BB275" s="8"/>
      <c r="BC275" s="8"/>
      <c r="BD275" s="8"/>
      <c r="BE275" s="8"/>
      <c r="BF275" s="8"/>
      <c r="BG275" s="8"/>
      <c r="BH275" s="8"/>
      <c r="BI275" s="8"/>
      <c r="BJ275" s="8"/>
      <c r="BK275" s="8"/>
      <c r="BL275" s="8"/>
      <c r="BM275" s="8"/>
      <c r="BN275" s="8"/>
      <c r="BO275" s="8"/>
      <c r="BP275" s="8"/>
      <c r="BQ275" s="8"/>
      <c r="BR275" s="8"/>
      <c r="BS275" s="8"/>
      <c r="BT275" s="8"/>
      <c r="BU275" s="8"/>
      <c r="BV275" s="8"/>
      <c r="BW275" s="8"/>
      <c r="BX275" s="8"/>
      <c r="BY275" s="8"/>
      <c r="BZ275" s="8"/>
      <c r="CA275" s="8"/>
      <c r="CB275" s="8"/>
      <c r="CC275" s="8"/>
      <c r="CD275" s="8"/>
      <c r="CE275" s="8"/>
      <c r="CF275" s="8"/>
      <c r="CG275" s="8"/>
      <c r="CH275" s="8"/>
    </row>
    <row r="276" spans="1:86" x14ac:dyDescent="0.2">
      <c r="A276" s="8" t="str">
        <f>IF(AND(COUNTIF(W$3:W$13,A$21)&gt;0,A$21&lt;&gt;B38),A$21,IFERROR(IF(MATCH(A$21,Z$3:Z$13,0)=11,A$21," ")," "))</f>
        <v xml:space="preserve"> </v>
      </c>
      <c r="B276" s="8" t="str">
        <f>IF(A276=" "," ",MAX(B270:B275)+1)</f>
        <v xml:space="preserve"> </v>
      </c>
      <c r="C276" s="8" t="str">
        <f>IFERROR(INDEX(A270:A291,MATCH(SMALL(B270:B291,7),B270:B291,0),1)," ")</f>
        <v>C18</v>
      </c>
      <c r="D276" s="8">
        <f t="shared" si="977"/>
        <v>0</v>
      </c>
      <c r="E276" s="8">
        <f t="shared" si="978"/>
        <v>0</v>
      </c>
      <c r="F276" s="8">
        <f t="shared" si="979"/>
        <v>0</v>
      </c>
      <c r="G276" s="8">
        <f t="shared" si="980"/>
        <v>0</v>
      </c>
      <c r="H276" s="8">
        <f t="shared" si="981"/>
        <v>0</v>
      </c>
      <c r="I276" s="8">
        <f t="shared" si="982"/>
        <v>0</v>
      </c>
      <c r="J276" s="8">
        <f t="shared" si="983"/>
        <v>1</v>
      </c>
      <c r="K276" s="8">
        <f t="shared" si="984"/>
        <v>0</v>
      </c>
      <c r="L276" s="8">
        <f t="shared" si="985"/>
        <v>0</v>
      </c>
      <c r="M276" s="8">
        <f t="shared" si="986"/>
        <v>0</v>
      </c>
      <c r="N276" s="8">
        <f t="shared" si="987"/>
        <v>0</v>
      </c>
      <c r="O276" s="8">
        <f t="shared" si="988"/>
        <v>0</v>
      </c>
      <c r="P276" s="8">
        <v>0</v>
      </c>
      <c r="Q276" s="8">
        <f t="shared" ref="Q276" si="1016">IF(COUNTIF(P270:P280,"&lt;"&amp;-0.001)=0,IF(ABS(P276)&lt;0.001,0,P276)," ")</f>
        <v>0</v>
      </c>
      <c r="R276" s="8"/>
      <c r="S276" s="8"/>
      <c r="U276" s="8"/>
      <c r="V276" s="8"/>
      <c r="W276" s="8"/>
      <c r="X276" s="8"/>
      <c r="Y276" s="8"/>
      <c r="Z276" s="8"/>
      <c r="AA276" s="8"/>
      <c r="AC276" s="8"/>
      <c r="AD276" s="8"/>
      <c r="AE276" s="8"/>
      <c r="AF276" s="8"/>
      <c r="AG276" s="8"/>
      <c r="AH276" s="8"/>
      <c r="AI276" s="8"/>
      <c r="AJ276" s="8"/>
      <c r="AK276" s="8"/>
      <c r="AL276" s="8"/>
      <c r="AM276" s="8"/>
      <c r="AN276" s="8"/>
      <c r="AO276" s="8"/>
      <c r="AP276" s="8"/>
      <c r="AQ276" s="8"/>
      <c r="AR276" s="8"/>
      <c r="AS276" s="8"/>
      <c r="AT276" s="8"/>
      <c r="AU276" s="8"/>
      <c r="AV276" s="8"/>
      <c r="AW276" s="8"/>
      <c r="AX276" s="8"/>
      <c r="AY276" s="8"/>
      <c r="AZ276" s="8"/>
      <c r="BA276" s="8"/>
      <c r="BB276" s="8"/>
      <c r="BC276" s="8"/>
      <c r="BD276" s="8"/>
      <c r="BE276" s="8"/>
      <c r="BF276" s="8"/>
      <c r="BG276" s="8"/>
      <c r="BH276" s="8"/>
      <c r="BI276" s="8"/>
      <c r="BJ276" s="8"/>
      <c r="BK276" s="8"/>
      <c r="BL276" s="8"/>
      <c r="BM276" s="8"/>
      <c r="BN276" s="8"/>
      <c r="BO276" s="8"/>
      <c r="BP276" s="8"/>
      <c r="BQ276" s="8"/>
      <c r="BR276" s="8"/>
      <c r="BS276" s="8"/>
      <c r="BT276" s="8"/>
      <c r="BU276" s="8"/>
      <c r="BV276" s="8"/>
      <c r="BW276" s="8"/>
      <c r="BX276" s="8"/>
      <c r="BY276" s="8"/>
      <c r="BZ276" s="8"/>
      <c r="CA276" s="8"/>
      <c r="CB276" s="8"/>
      <c r="CC276" s="8"/>
      <c r="CD276" s="8"/>
      <c r="CE276" s="8"/>
      <c r="CF276" s="8"/>
      <c r="CG276" s="8"/>
      <c r="CH276" s="8"/>
    </row>
    <row r="277" spans="1:86" x14ac:dyDescent="0.2">
      <c r="A277" s="8" t="str">
        <f>IF(AND(COUNTIF(W$3:W$13,A$22)&gt;0,A$22&lt;&gt;B38),A$22,IFERROR(IF(MATCH(A$22,Z$3:Z$13,0)=11,A$22," ")," "))</f>
        <v xml:space="preserve"> </v>
      </c>
      <c r="B277" s="8" t="str">
        <f>IF(A277=" "," ",MAX(B270:B276)+1)</f>
        <v xml:space="preserve"> </v>
      </c>
      <c r="C277" s="8" t="str">
        <f>IFERROR(INDEX(A270:A291,MATCH(SMALL(B270:B291,8),B270:B291,0),1)," ")</f>
        <v>C19</v>
      </c>
      <c r="D277" s="8">
        <f t="shared" si="977"/>
        <v>0</v>
      </c>
      <c r="E277" s="8">
        <f t="shared" si="978"/>
        <v>0</v>
      </c>
      <c r="F277" s="8">
        <f t="shared" si="979"/>
        <v>0</v>
      </c>
      <c r="G277" s="8">
        <f t="shared" si="980"/>
        <v>0</v>
      </c>
      <c r="H277" s="8">
        <f t="shared" si="981"/>
        <v>0</v>
      </c>
      <c r="I277" s="8">
        <f t="shared" si="982"/>
        <v>0</v>
      </c>
      <c r="J277" s="8">
        <f t="shared" si="983"/>
        <v>0</v>
      </c>
      <c r="K277" s="8">
        <f t="shared" si="984"/>
        <v>1</v>
      </c>
      <c r="L277" s="8">
        <f t="shared" si="985"/>
        <v>0</v>
      </c>
      <c r="M277" s="8">
        <f t="shared" si="986"/>
        <v>0</v>
      </c>
      <c r="N277" s="8">
        <f t="shared" si="987"/>
        <v>0</v>
      </c>
      <c r="O277" s="8">
        <f t="shared" si="988"/>
        <v>0</v>
      </c>
      <c r="P277" s="8">
        <v>0</v>
      </c>
      <c r="Q277" s="8">
        <f t="shared" ref="Q277" si="1017">IF(COUNTIF(P270:P280,"&lt;"&amp;-0.001)=0,IF(ABS(P277)&lt;0.001,0,P277)," ")</f>
        <v>0</v>
      </c>
      <c r="R277" s="8"/>
      <c r="S277" s="8"/>
      <c r="U277" s="8"/>
      <c r="V277" s="8"/>
      <c r="W277" s="8"/>
      <c r="X277" s="8"/>
      <c r="Y277" s="8"/>
      <c r="Z277" s="8"/>
      <c r="AA277" s="8"/>
      <c r="AC277" s="8"/>
      <c r="AD277" s="8"/>
      <c r="AE277" s="8"/>
      <c r="AF277" s="8"/>
      <c r="AG277" s="8"/>
      <c r="AH277" s="8"/>
      <c r="AI277" s="8"/>
      <c r="AJ277" s="8"/>
      <c r="AK277" s="8"/>
      <c r="AL277" s="8"/>
      <c r="AM277" s="8"/>
      <c r="AN277" s="8"/>
      <c r="AO277" s="8"/>
      <c r="AP277" s="8"/>
      <c r="AQ277" s="8"/>
      <c r="AR277" s="8"/>
      <c r="AS277" s="8"/>
      <c r="AT277" s="8"/>
      <c r="AU277" s="8"/>
      <c r="AV277" s="8"/>
      <c r="AW277" s="8"/>
      <c r="AX277" s="8"/>
      <c r="AY277" s="8"/>
      <c r="AZ277" s="8"/>
      <c r="BA277" s="8"/>
      <c r="BB277" s="8"/>
      <c r="BC277" s="8"/>
      <c r="BD277" s="8"/>
      <c r="BE277" s="8"/>
      <c r="BF277" s="8"/>
      <c r="BG277" s="8"/>
      <c r="BH277" s="8"/>
      <c r="BI277" s="8"/>
      <c r="BJ277" s="8"/>
      <c r="BK277" s="8"/>
      <c r="BL277" s="8"/>
      <c r="BM277" s="8"/>
      <c r="BN277" s="8"/>
      <c r="BO277" s="8"/>
      <c r="BP277" s="8"/>
      <c r="BQ277" s="8"/>
      <c r="BR277" s="8"/>
      <c r="BS277" s="8"/>
      <c r="BT277" s="8"/>
      <c r="BU277" s="8"/>
      <c r="BV277" s="8"/>
      <c r="BW277" s="8"/>
      <c r="BX277" s="8"/>
      <c r="BY277" s="8"/>
      <c r="BZ277" s="8"/>
      <c r="CA277" s="8"/>
      <c r="CB277" s="8"/>
      <c r="CC277" s="8"/>
      <c r="CD277" s="8"/>
      <c r="CE277" s="8"/>
      <c r="CF277" s="8"/>
      <c r="CG277" s="8"/>
      <c r="CH277" s="8"/>
    </row>
    <row r="278" spans="1:86" x14ac:dyDescent="0.2">
      <c r="A278" s="8" t="str">
        <f>IF(AND(COUNTIF(W$3:W$13,A$23)&gt;0,A$23&lt;&gt;B38),A$23,IFERROR(IF(MATCH(A$23,Z$3:Z$13,0)=11,A$23," ")," "))</f>
        <v xml:space="preserve"> </v>
      </c>
      <c r="B278" s="8" t="str">
        <f>IF(A278=" "," ",MAX(B270:B277)+1)</f>
        <v xml:space="preserve"> </v>
      </c>
      <c r="C278" s="8" t="str">
        <f>IFERROR(INDEX(A270:A291,MATCH(SMALL(B270:B291,9),B270:B291,0),1)," ")</f>
        <v>C20</v>
      </c>
      <c r="D278" s="8">
        <f t="shared" si="977"/>
        <v>0</v>
      </c>
      <c r="E278" s="8">
        <f t="shared" si="978"/>
        <v>0</v>
      </c>
      <c r="F278" s="8">
        <f t="shared" si="979"/>
        <v>0</v>
      </c>
      <c r="G278" s="8">
        <f t="shared" si="980"/>
        <v>0</v>
      </c>
      <c r="H278" s="8">
        <f t="shared" si="981"/>
        <v>0</v>
      </c>
      <c r="I278" s="8">
        <f t="shared" si="982"/>
        <v>0</v>
      </c>
      <c r="J278" s="8">
        <f t="shared" si="983"/>
        <v>0</v>
      </c>
      <c r="K278" s="8">
        <f t="shared" si="984"/>
        <v>0</v>
      </c>
      <c r="L278" s="8">
        <f t="shared" si="985"/>
        <v>1</v>
      </c>
      <c r="M278" s="8">
        <f t="shared" si="986"/>
        <v>0</v>
      </c>
      <c r="N278" s="8">
        <f t="shared" si="987"/>
        <v>0</v>
      </c>
      <c r="O278" s="8">
        <f t="shared" si="988"/>
        <v>0</v>
      </c>
      <c r="P278" s="6">
        <v>0</v>
      </c>
      <c r="Q278" s="8">
        <f t="shared" ref="Q278" si="1018">IF(COUNTIF(P270:P280,"&lt;"&amp;-0.001)=0,IF(ABS(P278)&lt;0.001,0,P278)," ")</f>
        <v>0</v>
      </c>
      <c r="R278" s="8"/>
      <c r="S278" s="8"/>
      <c r="U278" s="8"/>
      <c r="V278" s="8"/>
      <c r="W278" s="8"/>
      <c r="X278" s="8"/>
      <c r="Y278" s="8"/>
      <c r="Z278" s="8"/>
      <c r="AA278" s="8"/>
      <c r="AC278" s="8"/>
      <c r="AD278" s="8"/>
      <c r="AE278" s="8"/>
      <c r="AF278" s="8"/>
      <c r="AG278" s="8"/>
      <c r="AH278" s="8"/>
      <c r="AI278" s="8"/>
      <c r="AJ278" s="8"/>
      <c r="AK278" s="8"/>
      <c r="AL278" s="8"/>
      <c r="AM278" s="8"/>
      <c r="AN278" s="8"/>
      <c r="AO278" s="8"/>
      <c r="AP278" s="8"/>
      <c r="AQ278" s="8"/>
      <c r="AR278" s="8"/>
      <c r="AS278" s="8"/>
      <c r="AT278" s="8"/>
      <c r="AU278" s="8"/>
      <c r="AV278" s="8"/>
      <c r="AW278" s="8"/>
      <c r="AX278" s="8"/>
      <c r="AY278" s="8"/>
      <c r="AZ278" s="8"/>
      <c r="BA278" s="8"/>
      <c r="BB278" s="8"/>
      <c r="BC278" s="8"/>
      <c r="BD278" s="8"/>
      <c r="BE278" s="8"/>
      <c r="BF278" s="8"/>
      <c r="BG278" s="8"/>
      <c r="BH278" s="8"/>
      <c r="BI278" s="8"/>
      <c r="BJ278" s="8"/>
      <c r="BK278" s="8"/>
      <c r="BL278" s="8"/>
      <c r="BM278" s="8"/>
      <c r="BN278" s="8"/>
      <c r="BO278" s="8"/>
      <c r="BP278" s="8"/>
      <c r="BQ278" s="8"/>
      <c r="BR278" s="8"/>
      <c r="BS278" s="8"/>
      <c r="BT278" s="8"/>
      <c r="BU278" s="8"/>
      <c r="BV278" s="8"/>
      <c r="BW278" s="8"/>
      <c r="BX278" s="8"/>
      <c r="BY278" s="8"/>
      <c r="BZ278" s="8"/>
      <c r="CA278" s="8"/>
      <c r="CB278" s="8"/>
      <c r="CC278" s="8"/>
      <c r="CD278" s="8"/>
      <c r="CE278" s="8"/>
      <c r="CF278" s="8"/>
      <c r="CG278" s="8"/>
      <c r="CH278" s="8"/>
    </row>
    <row r="279" spans="1:86" x14ac:dyDescent="0.2">
      <c r="A279" s="8" t="str">
        <f>IF(AND(COUNTIF(W$3:W$13,A$24)&gt;0,A$24&lt;&gt;B38),A$24,IFERROR(IF(MATCH(A$24,Z$3:Z$13,0)=11,A$24," ")," "))</f>
        <v xml:space="preserve"> </v>
      </c>
      <c r="B279" s="8" t="str">
        <f>IF(A279=" "," ",MAX(B270:B278)+1)</f>
        <v xml:space="preserve"> </v>
      </c>
      <c r="C279" s="8" t="str">
        <f>IFERROR(INDEX(A270:A291,MATCH(SMALL(B270:B291,10),B270:B291,0),1)," ")</f>
        <v>C21</v>
      </c>
      <c r="D279" s="8">
        <f t="shared" si="977"/>
        <v>0</v>
      </c>
      <c r="E279" s="8">
        <f t="shared" si="978"/>
        <v>0</v>
      </c>
      <c r="F279" s="8">
        <f t="shared" si="979"/>
        <v>0</v>
      </c>
      <c r="G279" s="8">
        <f t="shared" si="980"/>
        <v>0</v>
      </c>
      <c r="H279" s="8">
        <f t="shared" si="981"/>
        <v>0</v>
      </c>
      <c r="I279" s="8">
        <f t="shared" si="982"/>
        <v>0</v>
      </c>
      <c r="J279" s="8">
        <f t="shared" si="983"/>
        <v>0</v>
      </c>
      <c r="K279" s="8">
        <f t="shared" si="984"/>
        <v>0</v>
      </c>
      <c r="L279" s="8">
        <f t="shared" si="985"/>
        <v>0</v>
      </c>
      <c r="M279" s="8">
        <f t="shared" si="986"/>
        <v>1</v>
      </c>
      <c r="N279" s="8">
        <f t="shared" si="987"/>
        <v>0</v>
      </c>
      <c r="O279" s="8">
        <f t="shared" si="988"/>
        <v>0</v>
      </c>
      <c r="P279" s="8">
        <v>0</v>
      </c>
      <c r="Q279" s="8">
        <f t="shared" ref="Q279" si="1019">IF(COUNTIF(P270:P280,"&lt;"&amp;-0.001)=0,IF(ABS(P279)&lt;0.001,0,P279)," ")</f>
        <v>0</v>
      </c>
      <c r="R279" s="8"/>
      <c r="S279" s="8"/>
      <c r="U279" s="8"/>
      <c r="V279" s="8"/>
      <c r="W279" s="8"/>
      <c r="X279" s="8"/>
      <c r="Y279" s="8"/>
      <c r="Z279" s="8"/>
      <c r="AA279" s="8"/>
      <c r="AC279" s="8"/>
      <c r="AD279" s="8"/>
      <c r="AE279" s="8"/>
      <c r="AF279" s="8"/>
      <c r="AG279" s="8"/>
      <c r="AH279" s="8"/>
      <c r="AI279" s="8"/>
      <c r="AJ279" s="8"/>
      <c r="AK279" s="8"/>
      <c r="AL279" s="8"/>
      <c r="AM279" s="8"/>
      <c r="AN279" s="8"/>
      <c r="AO279" s="8"/>
      <c r="AP279" s="8"/>
      <c r="AQ279" s="8"/>
      <c r="AR279" s="8"/>
      <c r="AS279" s="8"/>
      <c r="AT279" s="8"/>
      <c r="AU279" s="8"/>
      <c r="AV279" s="8"/>
      <c r="AW279" s="8"/>
      <c r="AX279" s="8"/>
      <c r="AY279" s="8"/>
      <c r="AZ279" s="8"/>
      <c r="BA279" s="8"/>
      <c r="BB279" s="8"/>
      <c r="BC279" s="8"/>
      <c r="BD279" s="8"/>
      <c r="BE279" s="8"/>
      <c r="BF279" s="8"/>
      <c r="BG279" s="8"/>
      <c r="BH279" s="8"/>
      <c r="BI279" s="8"/>
      <c r="BJ279" s="8"/>
      <c r="BK279" s="8"/>
      <c r="BL279" s="8"/>
      <c r="BM279" s="8"/>
      <c r="BN279" s="8"/>
      <c r="BO279" s="8"/>
      <c r="BP279" s="8"/>
      <c r="BQ279" s="8"/>
      <c r="BR279" s="8"/>
      <c r="BS279" s="8"/>
      <c r="BT279" s="8"/>
      <c r="BU279" s="8"/>
      <c r="BV279" s="8"/>
      <c r="BW279" s="8"/>
      <c r="BX279" s="8"/>
      <c r="BY279" s="8"/>
      <c r="BZ279" s="8"/>
      <c r="CA279" s="8"/>
      <c r="CB279" s="8"/>
      <c r="CC279" s="8"/>
      <c r="CD279" s="8"/>
      <c r="CE279" s="8"/>
      <c r="CF279" s="8"/>
      <c r="CG279" s="8"/>
      <c r="CH279" s="8"/>
    </row>
    <row r="280" spans="1:86" x14ac:dyDescent="0.2">
      <c r="A280" s="8" t="str">
        <f>IF(AND(COUNTIF(W$3:W$13,A$25)&gt;0,A$25&lt;&gt;B38),A$25,IFERROR(IF(MATCH(A$25,Z$3:Z$13,0)=11,A$25," ")," "))</f>
        <v xml:space="preserve"> </v>
      </c>
      <c r="B280" s="8" t="str">
        <f>IF(A280=" "," ",MAX(B270:B279)+1)</f>
        <v xml:space="preserve"> </v>
      </c>
      <c r="C280" s="8" t="str">
        <f>IFERROR(INDEX(A270:A291,MATCH(SMALL(B270:B291,11),B270:B291,0),1)," ")</f>
        <v>C22</v>
      </c>
      <c r="D280" s="8">
        <f t="shared" si="977"/>
        <v>0</v>
      </c>
      <c r="E280" s="8">
        <f t="shared" si="978"/>
        <v>0</v>
      </c>
      <c r="F280" s="8">
        <f t="shared" si="979"/>
        <v>0</v>
      </c>
      <c r="G280" s="8">
        <f t="shared" si="980"/>
        <v>0</v>
      </c>
      <c r="H280" s="8">
        <f t="shared" si="981"/>
        <v>0</v>
      </c>
      <c r="I280" s="8">
        <f t="shared" si="982"/>
        <v>0</v>
      </c>
      <c r="J280" s="8">
        <f t="shared" si="983"/>
        <v>0</v>
      </c>
      <c r="K280" s="8">
        <f t="shared" si="984"/>
        <v>0</v>
      </c>
      <c r="L280" s="8">
        <f t="shared" si="985"/>
        <v>0</v>
      </c>
      <c r="M280" s="8">
        <f t="shared" si="986"/>
        <v>0</v>
      </c>
      <c r="N280" s="8">
        <f t="shared" si="987"/>
        <v>1</v>
      </c>
      <c r="O280" s="8">
        <f t="shared" si="988"/>
        <v>0</v>
      </c>
      <c r="P280" s="8">
        <v>0</v>
      </c>
      <c r="Q280" s="8">
        <f t="shared" ref="Q280" si="1020">IF(COUNTIF(P270:P280,"&lt;"&amp;-0.001)=0,IF(ABS(P280)&lt;0.001,0,P280)," ")</f>
        <v>0</v>
      </c>
      <c r="R280" s="8"/>
      <c r="S280" s="8"/>
      <c r="U280" s="8"/>
      <c r="V280" s="8"/>
      <c r="W280" s="8"/>
      <c r="X280" s="8"/>
      <c r="Y280" s="8"/>
      <c r="Z280" s="8"/>
      <c r="AA280" s="8"/>
      <c r="AC280" s="8"/>
      <c r="AD280" s="8"/>
      <c r="AE280" s="8"/>
      <c r="AF280" s="8"/>
      <c r="AG280" s="8"/>
      <c r="AH280" s="8"/>
      <c r="AI280" s="8"/>
      <c r="AJ280" s="8"/>
      <c r="AK280" s="8"/>
      <c r="AL280" s="8"/>
      <c r="AM280" s="8"/>
      <c r="AN280" s="8"/>
      <c r="AO280" s="8"/>
      <c r="AP280" s="8"/>
      <c r="AQ280" s="8"/>
      <c r="AR280" s="8"/>
      <c r="AS280" s="8"/>
      <c r="AT280" s="8"/>
      <c r="AU280" s="8"/>
      <c r="AV280" s="8"/>
      <c r="AW280" s="8"/>
      <c r="AX280" s="8"/>
      <c r="AY280" s="8"/>
      <c r="AZ280" s="8"/>
      <c r="BA280" s="8"/>
      <c r="BB280" s="8"/>
      <c r="BC280" s="8"/>
      <c r="BD280" s="8"/>
      <c r="BE280" s="8"/>
      <c r="BF280" s="8"/>
      <c r="BG280" s="8"/>
      <c r="BH280" s="8"/>
      <c r="BI280" s="8"/>
      <c r="BJ280" s="8"/>
      <c r="BK280" s="8"/>
      <c r="BL280" s="8"/>
      <c r="BM280" s="8"/>
      <c r="BN280" s="8"/>
      <c r="BO280" s="8"/>
      <c r="BP280" s="8"/>
      <c r="BQ280" s="8"/>
      <c r="BR280" s="8"/>
      <c r="BS280" s="8"/>
      <c r="BT280" s="8"/>
      <c r="BU280" s="8"/>
      <c r="BV280" s="8"/>
      <c r="BW280" s="8"/>
      <c r="BX280" s="8"/>
      <c r="BY280" s="8"/>
      <c r="BZ280" s="8"/>
      <c r="CA280" s="8"/>
      <c r="CB280" s="8"/>
      <c r="CC280" s="8"/>
      <c r="CD280" s="8"/>
      <c r="CE280" s="8"/>
      <c r="CF280" s="8"/>
      <c r="CG280" s="8"/>
      <c r="CH280" s="8"/>
    </row>
    <row r="281" spans="1:86" x14ac:dyDescent="0.2">
      <c r="A281" s="8" t="str">
        <f>IF(AND(COUNTIF(W$3:W$13,A$26)&gt;0,A$26&lt;&gt;B38),A$26,IFERROR(IF(MATCH(A$26,Z$3:Z$13,0)=11,A$26," ")," "))</f>
        <v xml:space="preserve"> </v>
      </c>
      <c r="B281" s="8" t="str">
        <f>IF(A281=" "," ",MAX(B270:B280)+1)</f>
        <v xml:space="preserve"> </v>
      </c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U281" s="8"/>
      <c r="V281" s="8"/>
      <c r="W281" s="8"/>
      <c r="X281" s="8"/>
      <c r="Y281" s="8"/>
      <c r="Z281" s="8"/>
      <c r="AA281" s="8"/>
      <c r="AC281" s="8"/>
      <c r="AD281" s="8"/>
      <c r="AE281" s="8"/>
      <c r="AF281" s="8"/>
      <c r="AG281" s="8"/>
      <c r="AH281" s="8"/>
      <c r="AI281" s="8"/>
      <c r="AJ281" s="8"/>
      <c r="AK281" s="8"/>
      <c r="AL281" s="8"/>
      <c r="AM281" s="8"/>
      <c r="AN281" s="8"/>
      <c r="AO281" s="8"/>
      <c r="AP281" s="8"/>
      <c r="AQ281" s="8"/>
      <c r="AR281" s="8"/>
      <c r="AS281" s="8"/>
      <c r="AT281" s="8"/>
      <c r="AU281" s="8"/>
      <c r="AV281" s="8"/>
      <c r="AW281" s="8"/>
      <c r="AX281" s="8"/>
      <c r="AY281" s="8"/>
      <c r="AZ281" s="8"/>
      <c r="BA281" s="8"/>
      <c r="BB281" s="8"/>
      <c r="BC281" s="8"/>
      <c r="BD281" s="8"/>
      <c r="BE281" s="8"/>
      <c r="BF281" s="8"/>
      <c r="BG281" s="8"/>
      <c r="BH281" s="8"/>
      <c r="BI281" s="8"/>
      <c r="BJ281" s="8"/>
      <c r="BK281" s="8"/>
      <c r="BL281" s="8"/>
      <c r="BM281" s="8"/>
      <c r="BN281" s="8"/>
      <c r="BO281" s="8"/>
      <c r="BP281" s="8"/>
      <c r="BQ281" s="8"/>
      <c r="BR281" s="8"/>
      <c r="BS281" s="8"/>
      <c r="BT281" s="8"/>
      <c r="BU281" s="8"/>
      <c r="BV281" s="8"/>
      <c r="BW281" s="8"/>
      <c r="BX281" s="8"/>
      <c r="BY281" s="8"/>
      <c r="BZ281" s="8"/>
      <c r="CA281" s="8"/>
      <c r="CB281" s="8"/>
      <c r="CC281" s="8"/>
      <c r="CD281" s="8"/>
      <c r="CE281" s="8"/>
      <c r="CF281" s="8"/>
      <c r="CG281" s="8"/>
      <c r="CH281" s="8"/>
    </row>
    <row r="282" spans="1:86" x14ac:dyDescent="0.2">
      <c r="A282" s="8" t="str">
        <f>IF(AND(COUNTIF(W$3:W$13,A$27)&gt;0,A$27&lt;&gt;B38),A$27,IFERROR(IF(MATCH(A$27,Z$3:Z$13,0)=11,A$27," ")," "))</f>
        <v>C13</v>
      </c>
      <c r="B282" s="8">
        <f>IF(A282=" "," ",MAX(B270:B281)+1)</f>
        <v>2</v>
      </c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U282" s="8"/>
      <c r="V282" s="8"/>
      <c r="W282" s="8"/>
      <c r="X282" s="8"/>
      <c r="Y282" s="8"/>
      <c r="Z282" s="8"/>
      <c r="AA282" s="8"/>
      <c r="AC282" s="8"/>
      <c r="AD282" s="8"/>
      <c r="AE282" s="8"/>
      <c r="AF282" s="8"/>
      <c r="AG282" s="8"/>
      <c r="AH282" s="8"/>
      <c r="AI282" s="8"/>
      <c r="AJ282" s="8"/>
      <c r="AK282" s="8"/>
      <c r="AL282" s="8"/>
      <c r="AM282" s="8"/>
      <c r="AN282" s="8"/>
      <c r="AO282" s="8"/>
      <c r="AP282" s="8"/>
      <c r="AQ282" s="8"/>
      <c r="AR282" s="8"/>
      <c r="AS282" s="8"/>
      <c r="AT282" s="8"/>
      <c r="AU282" s="8"/>
      <c r="AV282" s="8"/>
      <c r="AW282" s="8"/>
      <c r="AX282" s="8"/>
      <c r="AY282" s="8"/>
      <c r="AZ282" s="8"/>
      <c r="BA282" s="8"/>
      <c r="BB282" s="8"/>
      <c r="BC282" s="8"/>
      <c r="BD282" s="8"/>
      <c r="BE282" s="8"/>
      <c r="BF282" s="8"/>
      <c r="BG282" s="8"/>
      <c r="BH282" s="8"/>
      <c r="BI282" s="8"/>
      <c r="BJ282" s="8"/>
      <c r="BK282" s="8"/>
      <c r="BL282" s="8"/>
      <c r="BM282" s="8"/>
      <c r="BN282" s="8"/>
      <c r="BO282" s="8"/>
      <c r="BP282" s="8"/>
      <c r="BQ282" s="8"/>
      <c r="BR282" s="8"/>
      <c r="BS282" s="8"/>
      <c r="BT282" s="8"/>
      <c r="BU282" s="8"/>
      <c r="BV282" s="8"/>
      <c r="BW282" s="8"/>
      <c r="BX282" s="8"/>
      <c r="BY282" s="8"/>
      <c r="BZ282" s="8"/>
      <c r="CA282" s="8"/>
      <c r="CB282" s="8"/>
      <c r="CC282" s="8"/>
      <c r="CD282" s="8"/>
      <c r="CE282" s="8"/>
      <c r="CF282" s="8"/>
      <c r="CG282" s="8"/>
      <c r="CH282" s="8"/>
    </row>
    <row r="283" spans="1:86" x14ac:dyDescent="0.2">
      <c r="A283" s="8" t="str">
        <f>IF(AND(COUNTIF(W$3:W$13,A$28)&gt;0,A$28&lt;&gt;B38),A$28,IFERROR(IF(MATCH(A$28,Z$3:Z$13,0)=11,A$28," ")," "))</f>
        <v>C14</v>
      </c>
      <c r="B283" s="8">
        <f>IF(A283=" "," ",MAX(B270:B282)+1)</f>
        <v>3</v>
      </c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U283" s="8"/>
      <c r="V283" s="8"/>
      <c r="W283" s="8"/>
      <c r="X283" s="8"/>
      <c r="Y283" s="8"/>
      <c r="Z283" s="8"/>
      <c r="AA283" s="8"/>
      <c r="AC283" s="8"/>
      <c r="AD283" s="8"/>
      <c r="AE283" s="8"/>
      <c r="AF283" s="8"/>
      <c r="AG283" s="8"/>
      <c r="AH283" s="8"/>
      <c r="AI283" s="8"/>
      <c r="AJ283" s="8"/>
      <c r="AK283" s="8"/>
      <c r="AL283" s="8"/>
      <c r="AM283" s="8"/>
      <c r="AN283" s="8"/>
      <c r="AO283" s="8"/>
      <c r="AP283" s="8"/>
      <c r="AQ283" s="8"/>
      <c r="AR283" s="8"/>
      <c r="AS283" s="8"/>
      <c r="AT283" s="8"/>
      <c r="AU283" s="8"/>
      <c r="AV283" s="8"/>
      <c r="AW283" s="8"/>
      <c r="AX283" s="8"/>
      <c r="AY283" s="8"/>
      <c r="AZ283" s="8"/>
      <c r="BA283" s="8"/>
      <c r="BB283" s="8"/>
      <c r="BC283" s="8"/>
      <c r="BD283" s="8"/>
      <c r="BE283" s="8"/>
      <c r="BF283" s="8"/>
      <c r="BG283" s="8"/>
      <c r="BH283" s="8"/>
      <c r="BI283" s="8"/>
      <c r="BJ283" s="8"/>
      <c r="BK283" s="8"/>
      <c r="BL283" s="8"/>
      <c r="BM283" s="8"/>
      <c r="BN283" s="8"/>
      <c r="BO283" s="8"/>
      <c r="BP283" s="8"/>
      <c r="BQ283" s="8"/>
      <c r="BR283" s="8"/>
      <c r="BS283" s="8"/>
      <c r="BT283" s="8"/>
      <c r="BU283" s="8"/>
      <c r="BV283" s="8"/>
      <c r="BW283" s="8"/>
      <c r="BX283" s="8"/>
      <c r="BY283" s="8"/>
      <c r="BZ283" s="8"/>
      <c r="CA283" s="8"/>
      <c r="CB283" s="8"/>
      <c r="CC283" s="8"/>
      <c r="CD283" s="8"/>
      <c r="CE283" s="8"/>
      <c r="CF283" s="8"/>
      <c r="CG283" s="8"/>
      <c r="CH283" s="8"/>
    </row>
    <row r="284" spans="1:86" x14ac:dyDescent="0.2">
      <c r="A284" s="8" t="str">
        <f>IF(AND(COUNTIF(W$3:W$13,A$29)&gt;0,A$29&lt;&gt;B38),A$29,IFERROR(IF(MATCH(A$29,Z$3:Z$13,0)=11,A$29," ")," "))</f>
        <v>C15</v>
      </c>
      <c r="B284" s="8">
        <f>IF(A284=" "," ",MAX(B270:B283)+1)</f>
        <v>4</v>
      </c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U284" s="8"/>
      <c r="V284" s="8"/>
      <c r="W284" s="8"/>
      <c r="X284" s="8"/>
      <c r="Y284" s="8"/>
      <c r="Z284" s="8"/>
      <c r="AA284" s="8"/>
      <c r="AC284" s="8"/>
      <c r="AD284" s="8"/>
      <c r="AE284" s="8"/>
      <c r="AF284" s="8"/>
      <c r="AG284" s="8"/>
      <c r="AH284" s="8"/>
      <c r="AI284" s="8"/>
      <c r="AJ284" s="8"/>
      <c r="AK284" s="8"/>
      <c r="AL284" s="8"/>
      <c r="AM284" s="8"/>
      <c r="AN284" s="8"/>
      <c r="AO284" s="8"/>
      <c r="AP284" s="8"/>
      <c r="AQ284" s="8"/>
      <c r="AR284" s="8"/>
      <c r="AS284" s="8"/>
      <c r="AT284" s="8"/>
      <c r="AU284" s="8"/>
      <c r="AV284" s="8"/>
      <c r="AW284" s="8"/>
      <c r="AX284" s="8"/>
      <c r="AY284" s="8"/>
      <c r="AZ284" s="8"/>
      <c r="BA284" s="8"/>
      <c r="BB284" s="8"/>
      <c r="BC284" s="8"/>
      <c r="BD284" s="8"/>
      <c r="BE284" s="8"/>
      <c r="BF284" s="8"/>
      <c r="BG284" s="8"/>
      <c r="BH284" s="8"/>
      <c r="BI284" s="8"/>
      <c r="BJ284" s="8"/>
      <c r="BK284" s="8"/>
      <c r="BL284" s="8"/>
      <c r="BM284" s="8"/>
      <c r="BN284" s="8"/>
      <c r="BO284" s="8"/>
      <c r="BP284" s="8"/>
      <c r="BQ284" s="8"/>
      <c r="BR284" s="8"/>
      <c r="BS284" s="8"/>
      <c r="BT284" s="8"/>
      <c r="BU284" s="8"/>
      <c r="BV284" s="8"/>
      <c r="BW284" s="8"/>
      <c r="BX284" s="8"/>
      <c r="BY284" s="8"/>
      <c r="BZ284" s="8"/>
      <c r="CA284" s="8"/>
      <c r="CB284" s="8"/>
      <c r="CC284" s="8"/>
      <c r="CD284" s="8"/>
      <c r="CE284" s="8"/>
      <c r="CF284" s="8"/>
      <c r="CG284" s="8"/>
      <c r="CH284" s="8"/>
    </row>
    <row r="285" spans="1:86" x14ac:dyDescent="0.2">
      <c r="A285" s="8" t="str">
        <f>IF(AND(COUNTIF(W$3:W$13,A$30)&gt;0,A$30&lt;&gt;B38),A$30,IFERROR(IF(MATCH(A$30,Z$3:Z$13,0)=11,A$30," ")," "))</f>
        <v>C16</v>
      </c>
      <c r="B285" s="8">
        <f>IF(A285=" "," ",MAX(B270:B284)+1)</f>
        <v>5</v>
      </c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U285" s="8"/>
      <c r="V285" s="8"/>
      <c r="W285" s="8"/>
      <c r="X285" s="8"/>
      <c r="Y285" s="8"/>
      <c r="Z285" s="8"/>
      <c r="AA285" s="8"/>
      <c r="AC285" s="8"/>
      <c r="AD285" s="8"/>
      <c r="AE285" s="8"/>
      <c r="AF285" s="8"/>
      <c r="AG285" s="8"/>
      <c r="AH285" s="8"/>
      <c r="AI285" s="8"/>
      <c r="AJ285" s="8"/>
      <c r="AK285" s="8"/>
      <c r="AL285" s="8"/>
      <c r="AM285" s="8"/>
      <c r="AN285" s="8"/>
      <c r="AO285" s="8"/>
      <c r="AP285" s="8"/>
      <c r="AQ285" s="8"/>
      <c r="AR285" s="8"/>
      <c r="AS285" s="8"/>
      <c r="AT285" s="8"/>
      <c r="AU285" s="8"/>
      <c r="AV285" s="8"/>
      <c r="AW285" s="8"/>
      <c r="AX285" s="8"/>
      <c r="AY285" s="8"/>
      <c r="AZ285" s="8"/>
      <c r="BA285" s="8"/>
      <c r="BB285" s="8"/>
      <c r="BC285" s="8"/>
      <c r="BD285" s="8"/>
      <c r="BE285" s="8"/>
      <c r="BF285" s="8"/>
      <c r="BG285" s="8"/>
      <c r="BH285" s="8"/>
      <c r="BI285" s="8"/>
      <c r="BJ285" s="8"/>
      <c r="BK285" s="8"/>
      <c r="BL285" s="8"/>
      <c r="BM285" s="8"/>
      <c r="BN285" s="8"/>
      <c r="BO285" s="8"/>
      <c r="BP285" s="8"/>
      <c r="BQ285" s="8"/>
      <c r="BR285" s="8"/>
      <c r="BS285" s="8"/>
      <c r="BT285" s="8"/>
      <c r="BU285" s="8"/>
      <c r="BV285" s="8"/>
      <c r="BW285" s="8"/>
      <c r="BX285" s="8"/>
      <c r="BY285" s="8"/>
      <c r="BZ285" s="8"/>
      <c r="CA285" s="8"/>
      <c r="CB285" s="8"/>
      <c r="CC285" s="8"/>
      <c r="CD285" s="8"/>
      <c r="CE285" s="8"/>
      <c r="CF285" s="8"/>
      <c r="CG285" s="8"/>
      <c r="CH285" s="8"/>
    </row>
    <row r="286" spans="1:86" x14ac:dyDescent="0.2">
      <c r="A286" s="8" t="str">
        <f>IF(AND(COUNTIF(W$3:W$13,A$31)&gt;0,A$31&lt;&gt;B38),A$31,IFERROR(IF(MATCH(A$31,Z$3:Z$13,0)=11,A$31," ")," "))</f>
        <v>C17</v>
      </c>
      <c r="B286" s="8">
        <f>IF(A286=" "," ",MAX(B270:B285)+1)</f>
        <v>6</v>
      </c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U286" s="8"/>
      <c r="V286" s="8"/>
      <c r="W286" s="8"/>
      <c r="X286" s="8"/>
      <c r="Y286" s="8"/>
      <c r="Z286" s="8"/>
      <c r="AA286" s="8"/>
      <c r="AC286" s="8"/>
      <c r="AD286" s="8"/>
      <c r="AE286" s="8"/>
      <c r="AF286" s="8"/>
      <c r="AG286" s="8"/>
      <c r="AH286" s="8"/>
      <c r="AI286" s="8"/>
      <c r="AJ286" s="8"/>
      <c r="AK286" s="8"/>
      <c r="AL286" s="8"/>
      <c r="AM286" s="8"/>
      <c r="AN286" s="8"/>
      <c r="AO286" s="8"/>
      <c r="AP286" s="8"/>
      <c r="AQ286" s="8"/>
      <c r="AR286" s="8"/>
      <c r="AS286" s="8"/>
      <c r="AT286" s="8"/>
      <c r="AU286" s="8"/>
      <c r="AV286" s="8"/>
      <c r="AW286" s="8"/>
      <c r="AX286" s="8"/>
      <c r="AY286" s="8"/>
      <c r="AZ286" s="8"/>
      <c r="BA286" s="8"/>
      <c r="BB286" s="8"/>
      <c r="BC286" s="8"/>
      <c r="BD286" s="8"/>
      <c r="BE286" s="8"/>
      <c r="BF286" s="8"/>
      <c r="BG286" s="8"/>
      <c r="BH286" s="8"/>
      <c r="BI286" s="8"/>
      <c r="BJ286" s="8"/>
      <c r="BK286" s="8"/>
      <c r="BL286" s="8"/>
      <c r="BM286" s="8"/>
      <c r="BN286" s="8"/>
      <c r="BO286" s="8"/>
      <c r="BP286" s="8"/>
      <c r="BQ286" s="8"/>
      <c r="BR286" s="8"/>
      <c r="BS286" s="8"/>
      <c r="BT286" s="8"/>
      <c r="BU286" s="8"/>
      <c r="BV286" s="8"/>
      <c r="BW286" s="8"/>
      <c r="BX286" s="8"/>
      <c r="BY286" s="8"/>
      <c r="BZ286" s="8"/>
      <c r="CA286" s="8"/>
      <c r="CB286" s="8"/>
      <c r="CC286" s="8"/>
      <c r="CD286" s="8"/>
      <c r="CE286" s="8"/>
      <c r="CF286" s="8"/>
      <c r="CG286" s="8"/>
      <c r="CH286" s="8"/>
    </row>
    <row r="287" spans="1:86" x14ac:dyDescent="0.2">
      <c r="A287" s="8" t="str">
        <f>IF(AND(COUNTIF(W$3:W$13,A$32)&gt;0,A$32&lt;&gt;B38),A$32,IFERROR(IF(MATCH(A$32,Z$3:Z$13,0)=11,A$32," ")," "))</f>
        <v>C18</v>
      </c>
      <c r="B287" s="8">
        <f>IF(A287=" "," ",MAX(B270:B286)+1)</f>
        <v>7</v>
      </c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U287" s="8"/>
      <c r="V287" s="8"/>
      <c r="W287" s="8"/>
      <c r="X287" s="8"/>
      <c r="Y287" s="8"/>
      <c r="Z287" s="8"/>
      <c r="AA287" s="8"/>
      <c r="AC287" s="8"/>
      <c r="AD287" s="8"/>
      <c r="AE287" s="8"/>
      <c r="AF287" s="8"/>
      <c r="AG287" s="8"/>
      <c r="AH287" s="8"/>
      <c r="AI287" s="8"/>
      <c r="AJ287" s="8"/>
      <c r="AK287" s="8"/>
      <c r="AL287" s="8"/>
      <c r="AM287" s="8"/>
      <c r="AN287" s="8"/>
      <c r="AO287" s="8"/>
      <c r="AP287" s="8"/>
      <c r="AQ287" s="8"/>
      <c r="AR287" s="8"/>
      <c r="AS287" s="8"/>
      <c r="AT287" s="8"/>
      <c r="AU287" s="8"/>
      <c r="AV287" s="8"/>
      <c r="AW287" s="8"/>
      <c r="AX287" s="8"/>
      <c r="AY287" s="8"/>
      <c r="AZ287" s="8"/>
      <c r="BA287" s="8"/>
      <c r="BB287" s="8"/>
      <c r="BC287" s="8"/>
      <c r="BD287" s="8"/>
      <c r="BE287" s="8"/>
      <c r="BF287" s="8"/>
      <c r="BG287" s="8"/>
      <c r="BH287" s="8"/>
      <c r="BI287" s="8"/>
      <c r="BJ287" s="8"/>
      <c r="BK287" s="8"/>
      <c r="BL287" s="8"/>
      <c r="BM287" s="8"/>
      <c r="BN287" s="8"/>
      <c r="BO287" s="8"/>
      <c r="BP287" s="8"/>
      <c r="BQ287" s="8"/>
      <c r="BR287" s="8"/>
      <c r="BS287" s="8"/>
      <c r="BT287" s="8"/>
      <c r="BU287" s="8"/>
      <c r="BV287" s="8"/>
      <c r="BW287" s="8"/>
      <c r="BX287" s="8"/>
      <c r="BY287" s="8"/>
      <c r="BZ287" s="8"/>
      <c r="CA287" s="8"/>
      <c r="CB287" s="8"/>
      <c r="CC287" s="8"/>
      <c r="CD287" s="8"/>
      <c r="CE287" s="8"/>
      <c r="CF287" s="8"/>
      <c r="CG287" s="8"/>
      <c r="CH287" s="8"/>
    </row>
    <row r="288" spans="1:86" x14ac:dyDescent="0.2">
      <c r="A288" s="8" t="str">
        <f>IF(AND(COUNTIF(W$3:W$13,A$33)&gt;0,A$33&lt;&gt;B38),A$33,IFERROR(IF(MATCH(A$33,Z$3:Z$13,0)=11,A$33," ")," "))</f>
        <v>C19</v>
      </c>
      <c r="B288" s="8">
        <f>IF(A288=" "," ",MAX(B270:B287)+1)</f>
        <v>8</v>
      </c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U288" s="8"/>
      <c r="V288" s="8"/>
      <c r="W288" s="8"/>
      <c r="X288" s="8"/>
      <c r="Y288" s="8"/>
      <c r="Z288" s="8"/>
      <c r="AA288" s="8"/>
      <c r="AC288" s="8"/>
      <c r="AD288" s="8"/>
      <c r="AE288" s="8"/>
      <c r="AF288" s="8"/>
      <c r="AG288" s="8"/>
      <c r="AH288" s="8"/>
      <c r="AI288" s="8"/>
      <c r="AJ288" s="8"/>
      <c r="AK288" s="8"/>
      <c r="AL288" s="8"/>
      <c r="AM288" s="8"/>
      <c r="AN288" s="8"/>
      <c r="AO288" s="8"/>
      <c r="AP288" s="8"/>
      <c r="AQ288" s="8"/>
      <c r="AR288" s="8"/>
      <c r="AS288" s="8"/>
      <c r="AT288" s="8"/>
      <c r="AU288" s="8"/>
      <c r="AV288" s="8"/>
      <c r="AW288" s="8"/>
      <c r="AX288" s="8"/>
      <c r="AY288" s="8"/>
      <c r="AZ288" s="8"/>
      <c r="BA288" s="8"/>
      <c r="BB288" s="8"/>
      <c r="BC288" s="8"/>
      <c r="BD288" s="8"/>
      <c r="BE288" s="8"/>
      <c r="BF288" s="8"/>
      <c r="BG288" s="8"/>
      <c r="BH288" s="8"/>
      <c r="BI288" s="8"/>
      <c r="BJ288" s="8"/>
      <c r="BK288" s="8"/>
      <c r="BL288" s="8"/>
      <c r="BM288" s="8"/>
      <c r="BN288" s="8"/>
      <c r="BO288" s="8"/>
      <c r="BP288" s="8"/>
      <c r="BQ288" s="8"/>
      <c r="BR288" s="8"/>
      <c r="BS288" s="8"/>
      <c r="BT288" s="8"/>
      <c r="BU288" s="8"/>
      <c r="BV288" s="8"/>
      <c r="BW288" s="8"/>
      <c r="BX288" s="8"/>
      <c r="BY288" s="8"/>
      <c r="BZ288" s="8"/>
      <c r="CA288" s="8"/>
      <c r="CB288" s="8"/>
      <c r="CC288" s="8"/>
      <c r="CD288" s="8"/>
      <c r="CE288" s="8"/>
      <c r="CF288" s="8"/>
      <c r="CG288" s="8"/>
      <c r="CH288" s="8"/>
    </row>
    <row r="289" spans="1:87" x14ac:dyDescent="0.2">
      <c r="A289" s="8" t="str">
        <f>IF(AND(COUNTIF(W$3:W$13,A$34)&gt;0,A$34&lt;&gt;B38),A$34,IFERROR(IF(MATCH(A$34,Z$3:Z$13,0)=11,A$34," ")," "))</f>
        <v>C20</v>
      </c>
      <c r="B289" s="8">
        <f>IF(A289=" "," ",MAX(B270:B288)+1)</f>
        <v>9</v>
      </c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U289" s="8"/>
      <c r="V289" s="8"/>
      <c r="W289" s="8"/>
      <c r="X289" s="8"/>
      <c r="Y289" s="8"/>
      <c r="Z289" s="8"/>
      <c r="AA289" s="8"/>
      <c r="AC289" s="8"/>
      <c r="AD289" s="8"/>
      <c r="AE289" s="8"/>
      <c r="AF289" s="8"/>
      <c r="AG289" s="8"/>
      <c r="AH289" s="8"/>
      <c r="AI289" s="8"/>
      <c r="AJ289" s="8"/>
      <c r="AK289" s="8"/>
      <c r="AL289" s="8"/>
      <c r="AM289" s="8"/>
      <c r="AN289" s="8"/>
      <c r="AO289" s="8"/>
      <c r="AP289" s="8"/>
      <c r="AQ289" s="8"/>
      <c r="AR289" s="8"/>
      <c r="AS289" s="8"/>
      <c r="AT289" s="8"/>
      <c r="AU289" s="8"/>
      <c r="AV289" s="8"/>
      <c r="AW289" s="8"/>
      <c r="AX289" s="8"/>
      <c r="AY289" s="8"/>
      <c r="AZ289" s="8"/>
      <c r="BA289" s="8"/>
      <c r="BB289" s="8"/>
      <c r="BC289" s="8"/>
      <c r="BD289" s="8"/>
      <c r="BE289" s="8"/>
      <c r="BF289" s="8"/>
      <c r="BG289" s="8"/>
      <c r="BH289" s="8"/>
      <c r="BI289" s="8"/>
      <c r="BJ289" s="8"/>
      <c r="BK289" s="8"/>
      <c r="BL289" s="8"/>
      <c r="BM289" s="8"/>
      <c r="BN289" s="8"/>
      <c r="BO289" s="8"/>
      <c r="BP289" s="8"/>
      <c r="BQ289" s="8"/>
      <c r="BR289" s="8"/>
      <c r="BS289" s="8"/>
      <c r="BT289" s="8"/>
      <c r="BU289" s="8"/>
      <c r="BV289" s="8"/>
      <c r="BW289" s="8"/>
      <c r="BX289" s="8"/>
      <c r="BY289" s="8"/>
      <c r="BZ289" s="8"/>
      <c r="CA289" s="8"/>
      <c r="CB289" s="8"/>
      <c r="CC289" s="8"/>
      <c r="CD289" s="8"/>
      <c r="CE289" s="8"/>
      <c r="CF289" s="8"/>
      <c r="CG289" s="8"/>
      <c r="CH289" s="8"/>
    </row>
    <row r="290" spans="1:87" x14ac:dyDescent="0.2">
      <c r="A290" s="8" t="str">
        <f>IF(AND(COUNTIF(W$3:W$13,A$35)&gt;0,A$35&lt;&gt;B38),A$35,IFERROR(IF(MATCH(A$35,Z$3:Z$13,0)=11,A$35," ")," "))</f>
        <v>C21</v>
      </c>
      <c r="B290" s="8">
        <f>IF(A290=" "," ",MAX(B270:B289)+1)</f>
        <v>10</v>
      </c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U290" s="8"/>
      <c r="V290" s="8"/>
      <c r="W290" s="8"/>
      <c r="X290" s="8"/>
      <c r="Y290" s="8"/>
      <c r="Z290" s="8"/>
      <c r="AA290" s="8"/>
      <c r="AC290" s="8"/>
      <c r="AD290" s="8"/>
      <c r="AE290" s="8"/>
      <c r="AF290" s="8"/>
      <c r="AG290" s="8"/>
      <c r="AH290" s="8"/>
      <c r="AI290" s="8"/>
      <c r="AJ290" s="8"/>
      <c r="AK290" s="8"/>
      <c r="AL290" s="8"/>
      <c r="AM290" s="8"/>
      <c r="AN290" s="8"/>
      <c r="AO290" s="8"/>
      <c r="AP290" s="8"/>
      <c r="AQ290" s="8"/>
      <c r="AR290" s="8"/>
      <c r="AS290" s="8"/>
      <c r="AT290" s="8"/>
      <c r="AU290" s="8"/>
      <c r="AV290" s="8"/>
      <c r="AW290" s="8"/>
      <c r="AX290" s="8"/>
      <c r="AY290" s="8"/>
      <c r="AZ290" s="8"/>
      <c r="BA290" s="8"/>
      <c r="BB290" s="8"/>
      <c r="BC290" s="8"/>
      <c r="BD290" s="8"/>
      <c r="BE290" s="8"/>
      <c r="BF290" s="8"/>
      <c r="BG290" s="8"/>
      <c r="BH290" s="8"/>
      <c r="BI290" s="8"/>
      <c r="BJ290" s="8"/>
      <c r="BK290" s="8"/>
      <c r="BL290" s="8"/>
      <c r="BM290" s="8"/>
      <c r="BN290" s="8"/>
      <c r="BO290" s="8"/>
      <c r="BP290" s="8"/>
      <c r="BQ290" s="8"/>
      <c r="BR290" s="8"/>
      <c r="BS290" s="8"/>
      <c r="BT290" s="8"/>
      <c r="BU290" s="8"/>
      <c r="BV290" s="8"/>
      <c r="BW290" s="8"/>
      <c r="BX290" s="8"/>
      <c r="BY290" s="8"/>
      <c r="BZ290" s="8"/>
      <c r="CA290" s="8"/>
      <c r="CB290" s="8"/>
      <c r="CC290" s="8"/>
      <c r="CD290" s="8"/>
      <c r="CE290" s="8"/>
      <c r="CF290" s="8"/>
      <c r="CG290" s="8"/>
      <c r="CH290" s="8"/>
    </row>
    <row r="291" spans="1:87" x14ac:dyDescent="0.2">
      <c r="A291" s="8" t="str">
        <f>IF(AND(COUNTIF(W$3:W$13,A$36)&gt;0,A$36&lt;&gt;B38),A$36,IFERROR(IF(MATCH(A$36,Z$3:Z$13,0)=11,A$36," ")," "))</f>
        <v>C22</v>
      </c>
      <c r="B291" s="8">
        <f>IF(A291=" "," ",MAX(B270:B290)+1)</f>
        <v>11</v>
      </c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U291" s="8"/>
      <c r="V291" s="8"/>
      <c r="W291" s="8"/>
      <c r="X291" s="8"/>
      <c r="Y291" s="8"/>
      <c r="Z291" s="8"/>
      <c r="AA291" s="8"/>
      <c r="AC291" s="8"/>
      <c r="AD291" s="8"/>
      <c r="AE291" s="8"/>
      <c r="AF291" s="8"/>
      <c r="AG291" s="8"/>
      <c r="AH291" s="8"/>
      <c r="AI291" s="8"/>
      <c r="AJ291" s="8"/>
      <c r="AK291" s="8"/>
      <c r="AL291" s="8"/>
      <c r="AM291" s="8"/>
      <c r="AN291" s="8"/>
      <c r="AO291" s="8"/>
      <c r="AP291" s="8"/>
      <c r="AQ291" s="8"/>
      <c r="AR291" s="8"/>
      <c r="AS291" s="8"/>
      <c r="AT291" s="8"/>
      <c r="AU291" s="8"/>
      <c r="AV291" s="8"/>
      <c r="AW291" s="8"/>
      <c r="AX291" s="8"/>
      <c r="AY291" s="8"/>
      <c r="AZ291" s="8"/>
      <c r="BA291" s="8"/>
      <c r="BB291" s="8"/>
      <c r="BC291" s="8"/>
      <c r="BD291" s="8"/>
      <c r="BE291" s="8"/>
      <c r="BF291" s="8"/>
      <c r="BG291" s="8"/>
      <c r="BH291" s="8"/>
      <c r="BI291" s="8"/>
      <c r="BJ291" s="8"/>
      <c r="BK291" s="8"/>
      <c r="BL291" s="8"/>
      <c r="BM291" s="8"/>
      <c r="BN291" s="8"/>
      <c r="BO291" s="8"/>
      <c r="BP291" s="8"/>
      <c r="BQ291" s="8"/>
      <c r="BR291" s="8"/>
      <c r="BS291" s="8"/>
      <c r="BT291" s="8"/>
      <c r="BU291" s="8"/>
      <c r="BV291" s="8"/>
      <c r="BW291" s="8"/>
      <c r="BX291" s="8"/>
      <c r="BY291" s="8"/>
      <c r="BZ291" s="8"/>
      <c r="CA291" s="8"/>
      <c r="CB291" s="8"/>
      <c r="CC291" s="8"/>
      <c r="CD291" s="8"/>
      <c r="CE291" s="8"/>
      <c r="CF291" s="8"/>
      <c r="CG291" s="8"/>
      <c r="CH291" s="8"/>
    </row>
    <row r="292" spans="1:87" s="16" customFormat="1" x14ac:dyDescent="0.2">
      <c r="A292" s="28"/>
      <c r="B292" s="49" t="str">
        <f>W4</f>
        <v>C4</v>
      </c>
      <c r="C292" s="49"/>
      <c r="D292" s="49"/>
      <c r="E292" s="49"/>
      <c r="F292" s="49"/>
      <c r="G292" s="49"/>
      <c r="H292" s="49"/>
      <c r="I292" s="49"/>
      <c r="J292" s="49"/>
      <c r="K292" s="49"/>
      <c r="L292" s="49"/>
      <c r="M292" s="49"/>
      <c r="N292" s="49"/>
      <c r="O292" s="49"/>
      <c r="P292" s="49"/>
      <c r="Q292" s="49"/>
      <c r="R292" s="28">
        <f>(N$2*INDEX(Q293:R545,MATCH(T292,R293:R545,0),1)+N$3*INDEX(Q293:R545,MATCH(T292,R293:R545,0)+1,1)+N$4*INDEX(Q293:R545,MATCH(T292,R293:R545,0)+2,1)+N$5*INDEX(Q293:R545,MATCH(T292,R293:R545,0)+3,1)+N$6*INDEX(Q293:R545,MATCH(T292,R293:R545,0)+4,1)+N$7*INDEX(Q293:R545,MATCH(T292,R293:R545,0)+5,1)+N$8*INDEX(Q293:R545,MATCH(T292,R293:R545,0)+6,1)+N$9*INDEX(Q293:R545,MATCH(T292,R293:R545,0)+7,1)+N$10*INDEX(Q293:R545,MATCH(T292,R293:R545,0)+8,1)+N$11*INDEX(Q293:R545,MATCH(T292,R293:R545,0)+9,1)+N$12*INDEX(Q293:R545,MATCH(T292,R293:R545,0)+10,1)-N$2*INDEX(Q293:R545,MATCH(S292,R293:R545,0),1)-N$3*INDEX(Q293:R545,MATCH(S292,R293:R545,0)+1,1)-N$4*INDEX(Q293:R545,MATCH(S292,R293:R545,0)+2,1)-N$5*INDEX(Q293:R545,MATCH(S292,R293:R545,0)+3,1)-N$6*INDEX(Q293:R545,MATCH(S292,R293:R545,0)+4,1)-N$7*INDEX(Q293:R545,MATCH(S292,R293:R545,0)+5,1)-N$8*INDEX(Q293:R545,MATCH(S292,R293:R545,0)+6,1)-N$9*INDEX(Q293:R545,MATCH(S292,R293:R545,0)+7,1)-N$10*INDEX(Q293:R545,MATCH(S292,R293:R545,0)+8,1)-N$11*INDEX(Q293:R545,MATCH(S292,R293:R545,0)+9,1)-N$12*INDEX(Q293:R545,MATCH(S292,R293:R545,0)+10,1))/(T292-S292)</f>
        <v>50.000000000000043</v>
      </c>
      <c r="S292" s="28">
        <f>INDEX(R294:T545,MATCH(MAX(S294:S545),S294:S545,0),1)</f>
        <v>333.33333333333331</v>
      </c>
      <c r="T292" s="20">
        <f>INDEX(R294:T545,MATCH(MIN(T294:T545),T294:T545,0),1)</f>
        <v>550</v>
      </c>
      <c r="U292" s="50" t="str">
        <f t="shared" ref="U292" si="1021">A$2</f>
        <v>X1</v>
      </c>
      <c r="V292" s="49"/>
      <c r="W292" s="49"/>
      <c r="X292" s="49"/>
      <c r="Y292" s="35">
        <f t="shared" ref="Y292" si="1022">IF(INDEX($A$15:$N$36,MATCH($B292,$A$15:$A$36,0),14)&lt;&gt;"=",IFERROR(INDEX(X293:Z545,MATCH(MAX(Y293:Y545),Y293:Y545,0),1)," ")," ")</f>
        <v>116.66666666666669</v>
      </c>
      <c r="Z292" s="35" t="str">
        <f t="shared" ref="Z292" si="1023">IF(INDEX($A$15:$N$36,MATCH($B292,$A$15:$A$36,0),14)&lt;&gt;"=",IFERROR(INDEX(X293:Z545,MATCH(MIN(Z293:Z545),Z293:Z545,0),1)," ")," ")</f>
        <v xml:space="preserve"> </v>
      </c>
      <c r="AA292" s="49" t="str">
        <f t="shared" ref="AA292" si="1024">A$3</f>
        <v>X2</v>
      </c>
      <c r="AB292" s="49"/>
      <c r="AC292" s="49"/>
      <c r="AD292" s="49"/>
      <c r="AE292" s="35" t="str">
        <f t="shared" ref="AE292" si="1025">IF(INDEX($A$15:$N$36,MATCH($B292,$A$15:$A$36,0),14)&lt;&gt;"=",IFERROR(INDEX(AD293:AF545,MATCH(MAX(AE293:AE545),AE293:AE545,0),1)," ")," ")</f>
        <v xml:space="preserve"> </v>
      </c>
      <c r="AF292" s="35" t="str">
        <f t="shared" ref="AF292" si="1026">IF(INDEX($A$15:$N$36,MATCH($B292,$A$15:$A$36,0),14)&lt;&gt;"=",IFERROR(INDEX(AD293:AF545,MATCH(MIN(AF293:AF545),AF293:AF545,0),1)," ")," ")</f>
        <v xml:space="preserve"> </v>
      </c>
      <c r="AG292" s="49" t="str">
        <f t="shared" ref="AG292" si="1027">A$4</f>
        <v>X3</v>
      </c>
      <c r="AH292" s="49"/>
      <c r="AI292" s="49"/>
      <c r="AJ292" s="49"/>
      <c r="AK292" s="35" t="str">
        <f t="shared" ref="AK292" si="1028">IF(INDEX($A$15:$N$36,MATCH($B292,$A$15:$A$36,0),14)&lt;&gt;"=",IFERROR(INDEX(AJ293:AL545,MATCH(MAX(AK293:AK545),AK293:AK545,0),1)," ")," ")</f>
        <v xml:space="preserve"> </v>
      </c>
      <c r="AL292" s="35">
        <f t="shared" ref="AL292" si="1029">IF(INDEX($A$15:$N$36,MATCH($B292,$A$15:$A$36,0),14)&lt;&gt;"=",IFERROR(INDEX(AJ293:AL545,MATCH(MIN(AL293:AL545),AL293:AL545,0),1)," ")," ")</f>
        <v>450</v>
      </c>
      <c r="AM292" s="49" t="str">
        <f t="shared" ref="AM292" si="1030">A$5</f>
        <v>X4</v>
      </c>
      <c r="AN292" s="49"/>
      <c r="AO292" s="49"/>
      <c r="AP292" s="49"/>
      <c r="AQ292" s="35" t="str">
        <f t="shared" ref="AQ292" si="1031">IF(INDEX($A$15:$N$36,MATCH($B292,$A$15:$A$36,0),14)&lt;&gt;"=",IFERROR(INDEX(AP293:AR545,MATCH(MAX(AQ293:AQ545),AQ293:AQ545,0),1)," ")," ")</f>
        <v xml:space="preserve"> </v>
      </c>
      <c r="AR292" s="35" t="str">
        <f t="shared" ref="AR292" si="1032">IF(INDEX($A$15:$N$36,MATCH($B292,$A$15:$A$36,0),14)&lt;&gt;"=",IFERROR(INDEX(AP293:AR545,MATCH(MIN(AR293:AR545),AR293:AR545,0),1)," ")," ")</f>
        <v xml:space="preserve"> </v>
      </c>
      <c r="AS292" s="49" t="str">
        <f t="shared" ref="AS292" si="1033">A$6</f>
        <v>X5</v>
      </c>
      <c r="AT292" s="49"/>
      <c r="AU292" s="49"/>
      <c r="AV292" s="49"/>
      <c r="AW292" s="35" t="str">
        <f t="shared" ref="AW292" si="1034">IF(INDEX($A$15:$N$36,MATCH($B292,$A$15:$A$36,0),14)&lt;&gt;"=",IFERROR(INDEX(AV293:AX545,MATCH(MAX(AW293:AW545),AW293:AW545,0),1)," ")," ")</f>
        <v xml:space="preserve"> </v>
      </c>
      <c r="AX292" s="35" t="str">
        <f t="shared" ref="AX292" si="1035">IF(INDEX($A$15:$N$36,MATCH($B292,$A$15:$A$36,0),14)&lt;&gt;"=",IFERROR(INDEX(AV293:AX545,MATCH(MIN(AX293:AX545),AX293:AX545,0),1)," ")," ")</f>
        <v xml:space="preserve"> </v>
      </c>
      <c r="AY292" s="49" t="str">
        <f t="shared" ref="AY292" si="1036">A$7</f>
        <v>X6</v>
      </c>
      <c r="AZ292" s="49"/>
      <c r="BA292" s="49"/>
      <c r="BB292" s="49"/>
      <c r="BC292" s="35" t="str">
        <f t="shared" ref="BC292" si="1037">IF(INDEX($A$15:$N$36,MATCH($B292,$A$15:$A$36,0),14)&lt;&gt;"=",IFERROR(INDEX(BB293:BD545,MATCH(MAX(BC293:BC545),BC293:BC545,0),1)," ")," ")</f>
        <v xml:space="preserve"> </v>
      </c>
      <c r="BD292" s="35" t="str">
        <f t="shared" ref="BD292" si="1038">IF(INDEX($A$15:$N$36,MATCH($B292,$A$15:$A$36,0),14)&lt;&gt;"=",IFERROR(INDEX(BB293:BD545,MATCH(MIN(BD293:BD545),BD293:BD545,0),1)," ")," ")</f>
        <v xml:space="preserve"> </v>
      </c>
      <c r="BE292" s="49" t="str">
        <f t="shared" ref="BE292" si="1039">A$8</f>
        <v>X7</v>
      </c>
      <c r="BF292" s="49"/>
      <c r="BG292" s="49"/>
      <c r="BH292" s="49"/>
      <c r="BI292" s="35" t="str">
        <f t="shared" ref="BI292" si="1040">IF(INDEX($A$15:$N$36,MATCH($B292,$A$15:$A$36,0),14)&lt;&gt;"=",IFERROR(INDEX(BH293:BJ545,MATCH(MAX(BI293:BI545),BI293:BI545,0),1)," ")," ")</f>
        <v xml:space="preserve"> </v>
      </c>
      <c r="BJ292" s="35" t="str">
        <f t="shared" ref="BJ292" si="1041">IF(INDEX($A$15:$N$36,MATCH($B292,$A$15:$A$36,0),14)&lt;&gt;"=",IFERROR(INDEX(BH293:BJ545,MATCH(MIN(BJ293:BJ545),BJ293:BJ545,0),1)," ")," ")</f>
        <v xml:space="preserve"> </v>
      </c>
      <c r="BK292" s="49" t="str">
        <f t="shared" ref="BK292" si="1042">A$9</f>
        <v>X8</v>
      </c>
      <c r="BL292" s="49"/>
      <c r="BM292" s="49"/>
      <c r="BN292" s="49"/>
      <c r="BO292" s="35" t="str">
        <f t="shared" ref="BO292" si="1043">IF(INDEX($A$15:$N$36,MATCH($B292,$A$15:$A$36,0),14)&lt;&gt;"=",IFERROR(INDEX(BN293:BP545,MATCH(MAX(BO293:BO545),BO293:BO545,0),1)," ")," ")</f>
        <v xml:space="preserve"> </v>
      </c>
      <c r="BP292" s="35" t="str">
        <f t="shared" ref="BP292" si="1044">IF(INDEX($A$15:$N$36,MATCH($B292,$A$15:$A$36,0),14)&lt;&gt;"=",IFERROR(INDEX(BN293:BP545,MATCH(MIN(BP293:BP545),BP293:BP545,0),1)," ")," ")</f>
        <v xml:space="preserve"> </v>
      </c>
      <c r="BQ292" s="49" t="str">
        <f t="shared" ref="BQ292" si="1045">A$10</f>
        <v>X9</v>
      </c>
      <c r="BR292" s="49"/>
      <c r="BS292" s="49"/>
      <c r="BT292" s="49"/>
      <c r="BU292" s="35" t="str">
        <f t="shared" ref="BU292" si="1046">IF(INDEX($A$15:$N$36,MATCH($B292,$A$15:$A$36,0),14)&lt;&gt;"=",IFERROR(INDEX(BT293:BV545,MATCH(MAX(BU293:BU545),BU293:BU545,0),1)," ")," ")</f>
        <v xml:space="preserve"> </v>
      </c>
      <c r="BV292" s="35" t="str">
        <f t="shared" ref="BV292" si="1047">IF(INDEX($A$15:$N$36,MATCH($B292,$A$15:$A$36,0),14)&lt;&gt;"=",IFERROR(INDEX(BT293:BV545,MATCH(MIN(BV293:BV545),BV293:BV545,0),1)," ")," ")</f>
        <v xml:space="preserve"> </v>
      </c>
      <c r="BW292" s="49" t="str">
        <f t="shared" ref="BW292" si="1048">A$11</f>
        <v>X10</v>
      </c>
      <c r="BX292" s="49"/>
      <c r="BY292" s="49"/>
      <c r="BZ292" s="49"/>
      <c r="CA292" s="35" t="str">
        <f t="shared" ref="CA292" si="1049">IF(INDEX($A$15:$N$36,MATCH($B292,$A$15:$A$36,0),14)&lt;&gt;"=",IFERROR(INDEX(BZ293:CB545,MATCH(MAX(CA293:CA545),CA293:CA545,0),1)," ")," ")</f>
        <v xml:space="preserve"> </v>
      </c>
      <c r="CB292" s="35" t="str">
        <f t="shared" ref="CB292" si="1050">IF(INDEX($A$15:$N$36,MATCH($B292,$A$15:$A$36,0),14)&lt;&gt;"=",IFERROR(INDEX(BZ293:CB545,MATCH(MIN(CB293:CB545),CB293:CB545,0),1)," ")," ")</f>
        <v xml:space="preserve"> </v>
      </c>
      <c r="CC292" s="49" t="str">
        <f t="shared" ref="CC292" si="1051">A$12</f>
        <v>X11</v>
      </c>
      <c r="CD292" s="49"/>
      <c r="CE292" s="49"/>
      <c r="CF292" s="49"/>
      <c r="CG292" s="35" t="str">
        <f t="shared" ref="CG292" si="1052">IF(INDEX($A$15:$N$36,MATCH($B292,$A$15:$A$36,0),14)&lt;&gt;"=",IFERROR(INDEX(CF293:CH545,MATCH(MAX(CG293:CG545),CG293:CG545,0),1)," ")," ")</f>
        <v xml:space="preserve"> </v>
      </c>
      <c r="CH292" s="35" t="str">
        <f t="shared" ref="CH292" si="1053">IF(INDEX($A$15:$N$36,MATCH($B292,$A$15:$A$36,0),14)&lt;&gt;"=",IFERROR(INDEX(CF293:CH545,MATCH(MIN(CH293:CH545),CH293:CH545,0),1)," ")," ")</f>
        <v xml:space="preserve"> </v>
      </c>
    </row>
    <row r="293" spans="1:87" x14ac:dyDescent="0.2">
      <c r="A293" s="11" t="s">
        <v>17</v>
      </c>
      <c r="B293" s="11"/>
      <c r="C293" s="27" t="s">
        <v>18</v>
      </c>
      <c r="D293" s="27" t="s">
        <v>2</v>
      </c>
      <c r="E293" s="27" t="s">
        <v>6</v>
      </c>
      <c r="F293" s="27" t="s">
        <v>15</v>
      </c>
      <c r="G293" s="27" t="s">
        <v>36</v>
      </c>
      <c r="H293" s="27" t="s">
        <v>37</v>
      </c>
      <c r="I293" s="27" t="s">
        <v>38</v>
      </c>
      <c r="J293" s="27" t="s">
        <v>39</v>
      </c>
      <c r="K293" s="27" t="s">
        <v>40</v>
      </c>
      <c r="L293" s="27" t="s">
        <v>41</v>
      </c>
      <c r="M293" s="27" t="s">
        <v>42</v>
      </c>
      <c r="N293" s="27" t="s">
        <v>43</v>
      </c>
      <c r="O293" s="27" t="s">
        <v>9</v>
      </c>
      <c r="P293" s="27" t="s">
        <v>12</v>
      </c>
      <c r="Q293" s="27" t="s">
        <v>19</v>
      </c>
      <c r="R293" s="27" t="s">
        <v>55</v>
      </c>
      <c r="S293" s="27" t="s">
        <v>26</v>
      </c>
      <c r="T293" s="19" t="s">
        <v>25</v>
      </c>
      <c r="U293" s="33" t="s">
        <v>27</v>
      </c>
      <c r="V293" s="33" t="s">
        <v>9</v>
      </c>
      <c r="W293" s="33" t="s">
        <v>23</v>
      </c>
      <c r="X293" s="33" t="s">
        <v>12</v>
      </c>
      <c r="Y293" s="33" t="s">
        <v>26</v>
      </c>
      <c r="Z293" s="33" t="s">
        <v>25</v>
      </c>
      <c r="AA293" s="33" t="s">
        <v>27</v>
      </c>
      <c r="AB293" s="33" t="s">
        <v>9</v>
      </c>
      <c r="AC293" s="33" t="s">
        <v>23</v>
      </c>
      <c r="AD293" s="33" t="s">
        <v>12</v>
      </c>
      <c r="AE293" s="33" t="s">
        <v>26</v>
      </c>
      <c r="AF293" s="33" t="s">
        <v>25</v>
      </c>
      <c r="AG293" s="33" t="s">
        <v>27</v>
      </c>
      <c r="AH293" s="33" t="s">
        <v>9</v>
      </c>
      <c r="AI293" s="33" t="s">
        <v>23</v>
      </c>
      <c r="AJ293" s="33" t="s">
        <v>12</v>
      </c>
      <c r="AK293" s="33" t="s">
        <v>26</v>
      </c>
      <c r="AL293" s="33" t="s">
        <v>25</v>
      </c>
      <c r="AM293" s="33" t="s">
        <v>27</v>
      </c>
      <c r="AN293" s="33" t="s">
        <v>9</v>
      </c>
      <c r="AO293" s="33" t="s">
        <v>23</v>
      </c>
      <c r="AP293" s="33" t="s">
        <v>12</v>
      </c>
      <c r="AQ293" s="33" t="s">
        <v>26</v>
      </c>
      <c r="AR293" s="33" t="s">
        <v>25</v>
      </c>
      <c r="AS293" s="33" t="s">
        <v>27</v>
      </c>
      <c r="AT293" s="33" t="s">
        <v>9</v>
      </c>
      <c r="AU293" s="33" t="s">
        <v>23</v>
      </c>
      <c r="AV293" s="33" t="s">
        <v>12</v>
      </c>
      <c r="AW293" s="33" t="s">
        <v>26</v>
      </c>
      <c r="AX293" s="33" t="s">
        <v>25</v>
      </c>
      <c r="AY293" s="33" t="s">
        <v>27</v>
      </c>
      <c r="AZ293" s="33" t="s">
        <v>9</v>
      </c>
      <c r="BA293" s="33" t="s">
        <v>23</v>
      </c>
      <c r="BB293" s="33" t="s">
        <v>12</v>
      </c>
      <c r="BC293" s="33" t="s">
        <v>26</v>
      </c>
      <c r="BD293" s="33" t="s">
        <v>25</v>
      </c>
      <c r="BE293" s="33" t="s">
        <v>27</v>
      </c>
      <c r="BF293" s="33" t="s">
        <v>9</v>
      </c>
      <c r="BG293" s="33" t="s">
        <v>23</v>
      </c>
      <c r="BH293" s="33" t="s">
        <v>12</v>
      </c>
      <c r="BI293" s="33" t="s">
        <v>26</v>
      </c>
      <c r="BJ293" s="33" t="s">
        <v>25</v>
      </c>
      <c r="BK293" s="33" t="s">
        <v>27</v>
      </c>
      <c r="BL293" s="33" t="s">
        <v>9</v>
      </c>
      <c r="BM293" s="33" t="s">
        <v>23</v>
      </c>
      <c r="BN293" s="33" t="s">
        <v>12</v>
      </c>
      <c r="BO293" s="33" t="s">
        <v>26</v>
      </c>
      <c r="BP293" s="33" t="s">
        <v>25</v>
      </c>
      <c r="BQ293" s="33" t="s">
        <v>27</v>
      </c>
      <c r="BR293" s="33" t="s">
        <v>9</v>
      </c>
      <c r="BS293" s="33" t="s">
        <v>23</v>
      </c>
      <c r="BT293" s="33" t="s">
        <v>12</v>
      </c>
      <c r="BU293" s="33" t="s">
        <v>26</v>
      </c>
      <c r="BV293" s="33" t="s">
        <v>25</v>
      </c>
      <c r="BW293" s="33" t="s">
        <v>27</v>
      </c>
      <c r="BX293" s="33" t="s">
        <v>9</v>
      </c>
      <c r="BY293" s="33" t="s">
        <v>23</v>
      </c>
      <c r="BZ293" s="33" t="s">
        <v>12</v>
      </c>
      <c r="CA293" s="33" t="s">
        <v>26</v>
      </c>
      <c r="CB293" s="33" t="s">
        <v>25</v>
      </c>
      <c r="CC293" s="33" t="s">
        <v>27</v>
      </c>
      <c r="CD293" s="33" t="s">
        <v>9</v>
      </c>
      <c r="CE293" s="33" t="s">
        <v>23</v>
      </c>
      <c r="CF293" s="33" t="s">
        <v>12</v>
      </c>
      <c r="CG293" s="33" t="s">
        <v>26</v>
      </c>
      <c r="CH293" s="33" t="s">
        <v>25</v>
      </c>
      <c r="CI293" s="8"/>
    </row>
    <row r="294" spans="1:87" x14ac:dyDescent="0.2">
      <c r="A294" s="8" t="str">
        <f>IF(AND(COUNTIF(W$3:W$13,A$15)&gt;0,A$15&lt;&gt;B292),A$15,IFERROR(IF(MATCH(A$15,Z$3:Z$13,0)=1,A$15," ")," "))</f>
        <v>C1</v>
      </c>
      <c r="B294" s="8">
        <f>IF(A294=" "," ",1)</f>
        <v>1</v>
      </c>
      <c r="C294" s="8" t="str">
        <f>IFERROR(INDEX(A294:A315,MATCH(SMALL(B294:B315,1),B294:B315,0),1)," ")</f>
        <v>C1</v>
      </c>
      <c r="D294" s="8">
        <f>IFERROR(VLOOKUP($C294,$A$15:$O$36,2,FALSE)," ")</f>
        <v>1</v>
      </c>
      <c r="E294" s="8">
        <f>IFERROR(VLOOKUP($C294,$A$15:$O$36,3,FALSE)," ")</f>
        <v>1</v>
      </c>
      <c r="F294" s="8">
        <f>IFERROR(VLOOKUP($C294,$A$15:$O$36,4,FALSE)," ")</f>
        <v>1</v>
      </c>
      <c r="G294" s="8">
        <f>IFERROR(VLOOKUP($C294,$A$15:$O$36,5,FALSE)," ")</f>
        <v>0</v>
      </c>
      <c r="H294" s="8">
        <f>IFERROR(VLOOKUP($C294,$A$15:$O$36,6,FALSE)," ")</f>
        <v>0</v>
      </c>
      <c r="I294" s="8">
        <f>IFERROR(VLOOKUP($C294,$A$15:$O$36,7,FALSE)," ")</f>
        <v>0</v>
      </c>
      <c r="J294" s="8">
        <f>IFERROR(VLOOKUP($C294,$A$15:$O$36,8,FALSE)," ")</f>
        <v>0</v>
      </c>
      <c r="K294" s="8">
        <f>IFERROR(VLOOKUP($C294,$A$15:$O$36,9,FALSE)," ")</f>
        <v>0</v>
      </c>
      <c r="L294" s="8">
        <f>IFERROR(VLOOKUP($C294,$A$15:$O$36,10,FALSE)," ")</f>
        <v>0</v>
      </c>
      <c r="M294" s="8">
        <f>IFERROR(VLOOKUP($C294,$A$15:$O$36,11,FALSE)," ")</f>
        <v>0</v>
      </c>
      <c r="N294" s="8">
        <f>IFERROR(VLOOKUP($C294,$A$15:$O$36,12,FALSE)," ")</f>
        <v>0</v>
      </c>
      <c r="O294" s="8">
        <f>IFERROR(VLOOKUP($C294,$A$15:$O$36,15,FALSE)," ")</f>
        <v>550</v>
      </c>
      <c r="P294" s="8">
        <f t="array" ref="P294:P304">MMULT(MINVERSE(D294:N304),O294:O304)</f>
        <v>325</v>
      </c>
      <c r="Q294" s="8">
        <f t="shared" ref="Q294" si="1054">IF(COUNTIF(P294:P304,"&lt;"&amp;-0.001)=0,IF(ABS(P294)&lt;0.001,0,P294)," ")</f>
        <v>325</v>
      </c>
      <c r="R294" s="8">
        <f>IFERROR(VLOOKUP(B292,A$15:L$36,2,FALSE)*Q294+VLOOKUP(B292,A$15:L$36,3,FALSE)*Q295+VLOOKUP(B292,A$15:L$36,4,FALSE)*Q296+VLOOKUP(B292,A$15:L$36,5,FALSE)*Q297+VLOOKUP(B292,A$15:L$36,6,FALSE)*Q298+VLOOKUP(B292,A$15:L$36,7,FALSE)*Q299+VLOOKUP(B292,A$15:L$36,8,FALSE)*Q300+VLOOKUP(B292,A$15:L$36,9,FALSE)*Q301+VLOOKUP(B292,A$15:L$36,10,FALSE)*Q302+VLOOKUP(B292,A$15:L$36,11,FALSE)*Q303+VLOOKUP(B292,A$15:L$36,12,FALSE)*Q304," ")</f>
        <v>550</v>
      </c>
      <c r="S294" s="8" t="str">
        <f>IFERROR(IF(R294-VLOOKUP(B292,A$15:O$36,15,FALSE)&lt;0,R294-VLOOKUP(B292,A$15:O$36,15,FALSE)," ")," ")</f>
        <v xml:space="preserve"> </v>
      </c>
      <c r="T294" s="18">
        <f>IFERROR(IF(R294-VLOOKUP(B292,A$15:O$36,15,FALSE)&gt;0,R294-VLOOKUP(B292,A$15:O$36,15,FALSE)," ")," ")</f>
        <v>150</v>
      </c>
      <c r="U294" s="34">
        <f t="shared" ref="U294" si="1055">$M$2</f>
        <v>100.00000000000001</v>
      </c>
      <c r="V294" s="34">
        <v>-1</v>
      </c>
      <c r="W294" s="34">
        <f t="shared" ref="W294" si="1056">-SUMPRODUCT($M$3:$M$12,$N$3:$N$12)</f>
        <v>-105000</v>
      </c>
      <c r="X294" s="34">
        <f t="shared" ref="X294" si="1057">IF(U294&lt;&gt;U295,MMULT(MINVERSE(U294:V295),W294:W295)," ")</f>
        <v>116.66666666666669</v>
      </c>
      <c r="Y294" s="34">
        <f t="shared" ref="Y294" si="1058">IFERROR(IF(X294-VLOOKUP(U$38,$A$2:$N$12,14,FALSE)&lt;0,X294-VLOOKUP(U$38,$A$2:$N$12,14,FALSE)," ")," ")</f>
        <v>-33.333333333333314</v>
      </c>
      <c r="Z294" s="34" t="str">
        <f t="shared" ref="Z294" si="1059">IFERROR(IF(X294-VLOOKUP(U$38,$A$2:$N$12,14,FALSE)&gt;0,X294-VLOOKUP(U$38,$A$2:$N$12,14,FALSE)," ")," ")</f>
        <v xml:space="preserve"> </v>
      </c>
      <c r="AA294" s="34">
        <f t="shared" ref="AA294" si="1060">$M$3</f>
        <v>0</v>
      </c>
      <c r="AB294" s="34">
        <v>-1</v>
      </c>
      <c r="AC294" s="34">
        <f t="shared" ref="AC294" si="1061">-SUMPRODUCT($M$2:$M$2,$N$2:$N$2)-SUMPRODUCT($M$4:$M$12,$N$4:$N$12)</f>
        <v>-120000</v>
      </c>
      <c r="AD294" s="34" t="str">
        <f t="shared" ref="AD294" si="1062">IF(AA294&lt;&gt;AA295,MMULT(MINVERSE(AA294:AB295),AC294:AC295)," ")</f>
        <v xml:space="preserve"> </v>
      </c>
      <c r="AE294" s="34" t="str">
        <f t="shared" ref="AE294" si="1063">IFERROR(IF(AD294-VLOOKUP(AA$38,$A$2:$N$12,14,FALSE)&lt;0,AD294-VLOOKUP(AA$38,$A$2:$N$12,14,FALSE)," ")," ")</f>
        <v xml:space="preserve"> </v>
      </c>
      <c r="AF294" s="34" t="str">
        <f t="shared" ref="AF294" si="1064">IFERROR(IF(AD294-VLOOKUP(AA$38,$A$2:$N$12,14,FALSE)&gt;0,AD294-VLOOKUP(AA$38,$A$2:$N$12,14,FALSE)," ")," ")</f>
        <v xml:space="preserve"> </v>
      </c>
      <c r="AG294" s="34">
        <f t="shared" ref="AG294" si="1065">$M$4</f>
        <v>300</v>
      </c>
      <c r="AH294" s="34">
        <v>-1</v>
      </c>
      <c r="AI294" s="34">
        <f t="shared" ref="AI294" si="1066">-SUMPRODUCT($M$2:$M$3,$N$2:$N$3)-SUMPRODUCT($M$5:$M$12,$N$5:$N$12)</f>
        <v>-15000.000000000002</v>
      </c>
      <c r="AJ294" s="34">
        <f t="shared" ref="AJ294" si="1067">IF(AG294&lt;&gt;AG295,MMULT(MINVERSE(AG294:AH295),AI294:AI295)," ")</f>
        <v>450</v>
      </c>
      <c r="AK294" s="34" t="str">
        <f t="shared" ref="AK294" si="1068">IFERROR(IF(AJ294-VLOOKUP(AG$38,$A$2:$N$12,14,FALSE)&lt;0,AJ294-VLOOKUP(AG$38,$A$2:$N$12,14,FALSE)," ")," ")</f>
        <v xml:space="preserve"> </v>
      </c>
      <c r="AL294" s="34">
        <f t="shared" ref="AL294" si="1069">IFERROR(IF(AJ294-VLOOKUP(AG$38,$A$2:$N$12,14,FALSE)&gt;0,AJ294-VLOOKUP(AG$38,$A$2:$N$12,14,FALSE)," ")," ")</f>
        <v>100</v>
      </c>
      <c r="AM294" s="34">
        <f t="shared" ref="AM294" si="1070">$M$5</f>
        <v>0</v>
      </c>
      <c r="AN294" s="34">
        <v>-1</v>
      </c>
      <c r="AO294" s="34">
        <f t="shared" ref="AO294" si="1071">-SUMPRODUCT($M$2:$M$4,$N$2:$N$4)-SUMPRODUCT($M$6:$M$12,$N$6:$N$12)</f>
        <v>-120000</v>
      </c>
      <c r="AP294" s="34" t="str">
        <f t="shared" ref="AP294" si="1072">IF(AM294&lt;&gt;AM295,MMULT(MINVERSE(AM294:AN295),AO294:AO295)," ")</f>
        <v xml:space="preserve"> </v>
      </c>
      <c r="AQ294" s="34" t="str">
        <f t="shared" ref="AQ294" si="1073">IFERROR(IF(AP294-VLOOKUP(AM$38,$A$2:$N$12,14,FALSE)&lt;0,AP294-VLOOKUP(AM$38,$A$2:$N$12,14,FALSE)," ")," ")</f>
        <v xml:space="preserve"> </v>
      </c>
      <c r="AR294" s="34" t="str">
        <f t="shared" ref="AR294" si="1074">IFERROR(IF(AP294-VLOOKUP(AM$38,$A$2:$N$12,14,FALSE)&gt;0,AP294-VLOOKUP(AM$38,$A$2:$N$12,14,FALSE)," ")," ")</f>
        <v xml:space="preserve"> </v>
      </c>
      <c r="AS294" s="34">
        <f t="shared" ref="AS294" si="1075">$M$6</f>
        <v>0</v>
      </c>
      <c r="AT294" s="34">
        <v>-1</v>
      </c>
      <c r="AU294" s="34">
        <f t="shared" ref="AU294" si="1076">-SUMPRODUCT($M$2:$M$5,$N$2:$N$5)-SUMPRODUCT($M$7:$M$12,$N$7:$N$12)</f>
        <v>-120000</v>
      </c>
      <c r="AV294" s="34" t="str">
        <f t="shared" ref="AV294" si="1077">IF(AS294&lt;&gt;AS295,MMULT(MINVERSE(AS294:AT295),AU294:AU295)," ")</f>
        <v xml:space="preserve"> </v>
      </c>
      <c r="AW294" s="34" t="str">
        <f t="shared" ref="AW294" si="1078">IFERROR(IF(AV294-VLOOKUP(AS$38,$A$2:$N$12,14,FALSE)&lt;0,AV294-VLOOKUP(AS$38,$A$2:$N$12,14,FALSE)," ")," ")</f>
        <v xml:space="preserve"> </v>
      </c>
      <c r="AX294" s="34" t="str">
        <f t="shared" ref="AX294" si="1079">IFERROR(IF(AV294-VLOOKUP(AS$38,$A$2:$N$12,14,FALSE)&gt;0,AV294-VLOOKUP(AS$38,$A$2:$N$12,14,FALSE)," ")," ")</f>
        <v xml:space="preserve"> </v>
      </c>
      <c r="AY294" s="34">
        <f t="shared" ref="AY294" si="1080">$M$7</f>
        <v>0</v>
      </c>
      <c r="AZ294" s="34">
        <v>-1</v>
      </c>
      <c r="BA294" s="34">
        <f t="shared" ref="BA294" si="1081">-SUMPRODUCT($M$2:$M$6,$N$2:$N$6)-SUMPRODUCT($M$8:$M$12,$N$8:$N$12)</f>
        <v>-120000</v>
      </c>
      <c r="BB294" s="34" t="str">
        <f t="shared" ref="BB294" si="1082">IF(AY294&lt;&gt;AY295,MMULT(MINVERSE(AY294:AZ295),BA294:BA295)," ")</f>
        <v xml:space="preserve"> </v>
      </c>
      <c r="BC294" s="34" t="str">
        <f t="shared" ref="BC294" si="1083">IFERROR(IF(BB294-VLOOKUP(AY$38,$A$2:$N$12,14,FALSE)&lt;0,BB294-VLOOKUP(AY$38,$A$2:$N$12,14,FALSE)," ")," ")</f>
        <v xml:space="preserve"> </v>
      </c>
      <c r="BD294" s="34" t="str">
        <f t="shared" ref="BD294" si="1084">IFERROR(IF(BB294-VLOOKUP(AY$38,$A$2:$N$12,14,FALSE)&gt;0,BB294-VLOOKUP(AY$38,$A$2:$N$12,14,FALSE)," ")," ")</f>
        <v xml:space="preserve"> </v>
      </c>
      <c r="BE294" s="34">
        <f t="shared" ref="BE294" si="1085">$M$8</f>
        <v>0</v>
      </c>
      <c r="BF294" s="34">
        <v>-1</v>
      </c>
      <c r="BG294" s="34">
        <f t="shared" ref="BG294" si="1086">-SUMPRODUCT($M$2:$M$7,$N$2:$N$7)-SUMPRODUCT($M$9:$M$12,$N$9:$N$12)</f>
        <v>-120000</v>
      </c>
      <c r="BH294" s="34" t="str">
        <f t="shared" ref="BH294" si="1087">IF(BE294&lt;&gt;BE295,MMULT(MINVERSE(BE294:BF295),BG294:BG295)," ")</f>
        <v xml:space="preserve"> </v>
      </c>
      <c r="BI294" s="34" t="str">
        <f t="shared" ref="BI294" si="1088">IFERROR(IF(BH294-VLOOKUP(BE$38,$A$2:$N$12,14,FALSE)&lt;0,BH294-VLOOKUP(BE$38,$A$2:$N$12,14,FALSE)," ")," ")</f>
        <v xml:space="preserve"> </v>
      </c>
      <c r="BJ294" s="34" t="str">
        <f t="shared" ref="BJ294" si="1089">IFERROR(IF(BH294-VLOOKUP(BE$38,$A$2:$N$12,14,FALSE)&gt;0,BH294-VLOOKUP(BE$38,$A$2:$N$12,14,FALSE)," ")," ")</f>
        <v xml:space="preserve"> </v>
      </c>
      <c r="BK294" s="34">
        <f t="shared" ref="BK294" si="1090">$M$9</f>
        <v>0</v>
      </c>
      <c r="BL294" s="34">
        <v>-1</v>
      </c>
      <c r="BM294" s="34">
        <f t="shared" ref="BM294" si="1091">-SUMPRODUCT($M$2:$M$8,$N$2:$N$8)-SUMPRODUCT($M$10:$M$12,$N$10:$N$12)</f>
        <v>-120000</v>
      </c>
      <c r="BN294" s="34" t="str">
        <f t="shared" ref="BN294" si="1092">IF(BK294&lt;&gt;BK295,MMULT(MINVERSE(BK294:BL295),BM294:BM295)," ")</f>
        <v xml:space="preserve"> </v>
      </c>
      <c r="BO294" s="34" t="str">
        <f t="shared" ref="BO294" si="1093">IFERROR(IF(BN294-VLOOKUP(BK$38,$A$2:$N$12,14,FALSE)&lt;0,BN294-VLOOKUP(BK$38,$A$2:$N$12,14,FALSE)," ")," ")</f>
        <v xml:space="preserve"> </v>
      </c>
      <c r="BP294" s="34" t="str">
        <f t="shared" ref="BP294" si="1094">IFERROR(IF(BN294-VLOOKUP(BK$38,$A$2:$N$12,14,FALSE)&gt;0,BN294-VLOOKUP(BK$38,$A$2:$N$12,14,FALSE)," ")," ")</f>
        <v xml:space="preserve"> </v>
      </c>
      <c r="BQ294" s="34">
        <f t="shared" ref="BQ294" si="1095">$M$10</f>
        <v>0</v>
      </c>
      <c r="BR294" s="34">
        <v>-1</v>
      </c>
      <c r="BS294" s="34">
        <f t="shared" ref="BS294" si="1096">-SUMPRODUCT($M$2:$M$9,$N$2:$N$9)-SUMPRODUCT($M$11:$M$12,$N$11:$N$12)</f>
        <v>-120000</v>
      </c>
      <c r="BT294" s="34" t="str">
        <f t="shared" ref="BT294" si="1097">IF(BQ294&lt;&gt;BQ295,MMULT(MINVERSE(BQ294:BR295),BS294:BS295)," ")</f>
        <v xml:space="preserve"> </v>
      </c>
      <c r="BU294" s="34" t="str">
        <f t="shared" ref="BU294" si="1098">IFERROR(IF(BT294-VLOOKUP(BQ$38,$A$2:$N$12,14,FALSE)&lt;0,BT294-VLOOKUP(BQ$38,$A$2:$N$12,14,FALSE)," ")," ")</f>
        <v xml:space="preserve"> </v>
      </c>
      <c r="BV294" s="34" t="str">
        <f t="shared" ref="BV294" si="1099">IFERROR(IF(BT294-VLOOKUP(BQ$38,$A$2:$N$12,14,FALSE)&gt;0,BT294-VLOOKUP(BQ$38,$A$2:$N$12,14,FALSE)," ")," ")</f>
        <v xml:space="preserve"> </v>
      </c>
      <c r="BW294" s="34">
        <f t="shared" ref="BW294" si="1100">$M$11</f>
        <v>0</v>
      </c>
      <c r="BX294" s="34">
        <v>-1</v>
      </c>
      <c r="BY294" s="34">
        <f t="shared" ref="BY294" si="1101">-SUMPRODUCT($M$2:$M$10,$N$2:$N$10)-SUMPRODUCT($M$12,$N$12)</f>
        <v>-120000</v>
      </c>
      <c r="BZ294" s="34" t="str">
        <f t="shared" ref="BZ294" si="1102">IF(BW294&lt;&gt;BW295,MMULT(MINVERSE(BW294:BX295),BY294:BY295)," ")</f>
        <v xml:space="preserve"> </v>
      </c>
      <c r="CA294" s="34" t="str">
        <f t="shared" ref="CA294" si="1103">IFERROR(IF(BZ294-VLOOKUP(BW$38,$A$2:$N$12,14,FALSE)&lt;0,BZ294-VLOOKUP(BW$38,$A$2:$N$12,14,FALSE)," ")," ")</f>
        <v xml:space="preserve"> </v>
      </c>
      <c r="CB294" s="34" t="str">
        <f t="shared" ref="CB294" si="1104">IFERROR(IF(BZ294-VLOOKUP(BW$38,$A$2:$N$12,14,FALSE)&gt;0,BZ294-VLOOKUP(BW$38,$A$2:$N$12,14,FALSE)," ")," ")</f>
        <v xml:space="preserve"> </v>
      </c>
      <c r="CC294" s="34">
        <f t="shared" ref="CC294" si="1105">$M$12</f>
        <v>0</v>
      </c>
      <c r="CD294" s="34">
        <v>-1</v>
      </c>
      <c r="CE294" s="34">
        <f t="shared" ref="CE294" si="1106">-SUMPRODUCT($M$2:$M$11,$N$2:$N$11)</f>
        <v>-120000</v>
      </c>
      <c r="CF294" s="34" t="str">
        <f t="shared" ref="CF294" si="1107">IF(CC294&lt;&gt;CC295,MMULT(MINVERSE(CC294:CD295),CE294:CE295)," ")</f>
        <v xml:space="preserve"> </v>
      </c>
      <c r="CG294" s="34" t="str">
        <f t="shared" ref="CG294" si="1108">IFERROR(IF(CF294-VLOOKUP(CC$38,$A$2:$N$12,14,FALSE)&lt;0,CF294-VLOOKUP(CC$38,$A$2:$N$12,14,FALSE)," ")," ")</f>
        <v xml:space="preserve"> </v>
      </c>
      <c r="CH294" s="34" t="str">
        <f t="shared" ref="CH294" si="1109">IFERROR(IF(CF294-VLOOKUP(CC$38,$A$2:$N$12,14,FALSE)&gt;0,CF294-VLOOKUP(CC$38,$A$2:$N$12,14,FALSE)," ")," ")</f>
        <v xml:space="preserve"> </v>
      </c>
      <c r="CI294" s="8"/>
    </row>
    <row r="295" spans="1:87" x14ac:dyDescent="0.2">
      <c r="A295" s="8" t="str">
        <f>IF(AND(COUNTIF(W$3:W$13,A$16)&gt;0,A$16&lt;&gt;B292),A$16,IFERROR(IF(MATCH(A$16,Z$3:Z$13,0)=1,A$16," ")," "))</f>
        <v xml:space="preserve"> </v>
      </c>
      <c r="B295" s="8" t="str">
        <f>IF(A295=" "," ",MAX(B294:B294)+1)</f>
        <v xml:space="preserve"> </v>
      </c>
      <c r="C295" s="8" t="str">
        <f>IFERROR(INDEX(A294:A315,MATCH(SMALL(B294:B315,2),B294:B315,0),1)," ")</f>
        <v>C3</v>
      </c>
      <c r="D295" s="8">
        <f t="shared" ref="D295:D304" si="1110">IFERROR(VLOOKUP($C295,$A$15:$O$36,2,FALSE)," ")</f>
        <v>2</v>
      </c>
      <c r="E295" s="8">
        <f t="shared" ref="E295:E304" si="1111">IFERROR(VLOOKUP($C295,$A$15:$O$36,3,FALSE)," ")</f>
        <v>5</v>
      </c>
      <c r="F295" s="8">
        <f t="shared" ref="F295:F304" si="1112">IFERROR(VLOOKUP($C295,$A$15:$O$36,4,FALSE)," ")</f>
        <v>6</v>
      </c>
      <c r="G295" s="8">
        <f t="shared" ref="G295:G304" si="1113">IFERROR(VLOOKUP($C295,$A$15:$O$36,5,FALSE)," ")</f>
        <v>0</v>
      </c>
      <c r="H295" s="8">
        <f t="shared" ref="H295:H304" si="1114">IFERROR(VLOOKUP($C295,$A$15:$O$36,6,FALSE)," ")</f>
        <v>0</v>
      </c>
      <c r="I295" s="8">
        <f t="shared" ref="I295:I304" si="1115">IFERROR(VLOOKUP($C295,$A$15:$O$36,7,FALSE)," ")</f>
        <v>0</v>
      </c>
      <c r="J295" s="8">
        <f t="shared" ref="J295:J304" si="1116">IFERROR(VLOOKUP($C295,$A$15:$O$36,8,FALSE)," ")</f>
        <v>0</v>
      </c>
      <c r="K295" s="8">
        <f t="shared" ref="K295:K304" si="1117">IFERROR(VLOOKUP($C295,$A$15:$O$36,9,FALSE)," ")</f>
        <v>0</v>
      </c>
      <c r="L295" s="8">
        <f t="shared" ref="L295:L304" si="1118">IFERROR(VLOOKUP($C295,$A$15:$O$36,10,FALSE)," ")</f>
        <v>0</v>
      </c>
      <c r="M295" s="8">
        <f t="shared" ref="M295:M304" si="1119">IFERROR(VLOOKUP($C295,$A$15:$O$36,11,FALSE)," ")</f>
        <v>0</v>
      </c>
      <c r="N295" s="8">
        <f t="shared" ref="N295:N304" si="1120">IFERROR(VLOOKUP($C295,$A$15:$O$36,12,FALSE)," ")</f>
        <v>0</v>
      </c>
      <c r="O295" s="8">
        <f t="shared" ref="O295:O304" si="1121">IFERROR(VLOOKUP($C295,$A$15:$O$36,15,FALSE)," ")</f>
        <v>2000</v>
      </c>
      <c r="P295" s="8">
        <v>0</v>
      </c>
      <c r="Q295" s="8">
        <f t="shared" ref="Q295" si="1122">IF(COUNTIF(P294:P304,"&lt;"&amp;-0.001)=0,IF(ABS(P295)&lt;0.001,0,P295)," ")</f>
        <v>0</v>
      </c>
      <c r="R295" s="8"/>
      <c r="S295" s="8"/>
      <c r="U295" s="34">
        <f t="shared" ref="U295" si="1123">$Q294</f>
        <v>325</v>
      </c>
      <c r="V295" s="34">
        <v>-1</v>
      </c>
      <c r="W295" s="34">
        <f t="shared" ref="W295" si="1124">-SUMPRODUCT($Q295:$Q304,$N$3:$N$12)</f>
        <v>-78750</v>
      </c>
      <c r="X295" s="34"/>
      <c r="Y295" s="34"/>
      <c r="Z295" s="34"/>
      <c r="AA295" s="34">
        <f t="shared" ref="AA295" si="1125">$Q295</f>
        <v>0</v>
      </c>
      <c r="AB295" s="34">
        <v>-1</v>
      </c>
      <c r="AC295" s="34">
        <f t="shared" ref="AC295" si="1126">-SUMPRODUCT($Q294:$Q294,$N$2:$N$2)-SUMPRODUCT($Q296:$Q304,$N$4:$N$12)</f>
        <v>-127500</v>
      </c>
      <c r="AD295" s="34"/>
      <c r="AE295" s="34"/>
      <c r="AF295" s="34"/>
      <c r="AG295" s="34">
        <f t="shared" ref="AG295" si="1127">$Q296</f>
        <v>225</v>
      </c>
      <c r="AH295" s="34">
        <v>-1</v>
      </c>
      <c r="AI295" s="34">
        <f t="shared" ref="AI295" si="1128">-SUMPRODUCT($Q294:$Q295,$N$2:$N$3)-SUMPRODUCT($Q297:$Q304,$N$5:$N$12)</f>
        <v>-48750</v>
      </c>
      <c r="AJ295" s="34"/>
      <c r="AK295" s="34"/>
      <c r="AL295" s="34"/>
      <c r="AM295" s="34">
        <f t="shared" ref="AM295" si="1129">$Q297</f>
        <v>0</v>
      </c>
      <c r="AN295" s="34">
        <v>-1</v>
      </c>
      <c r="AO295" s="34">
        <f t="shared" ref="AO295" si="1130">-SUMPRODUCT($Q294:$Q296,$N$2:$N$4)-SUMPRODUCT($Q298:$Q304,$N$6:$N$12)</f>
        <v>-127500</v>
      </c>
      <c r="AP295" s="34"/>
      <c r="AQ295" s="34"/>
      <c r="AR295" s="34"/>
      <c r="AS295" s="34">
        <f t="shared" ref="AS295" si="1131">$Q298</f>
        <v>0</v>
      </c>
      <c r="AT295" s="34">
        <v>-1</v>
      </c>
      <c r="AU295" s="34">
        <f t="shared" ref="AU295" si="1132">-SUMPRODUCT($Q294:$Q297,$N$2:$N$5)-SUMPRODUCT($Q299:$Q304,$N$7:$N$12)</f>
        <v>-127500</v>
      </c>
      <c r="AV295" s="34"/>
      <c r="AW295" s="34"/>
      <c r="AX295" s="34"/>
      <c r="AY295" s="34">
        <f t="shared" ref="AY295" si="1133">$Q299</f>
        <v>0</v>
      </c>
      <c r="AZ295" s="34">
        <v>-1</v>
      </c>
      <c r="BA295" s="34">
        <f t="shared" ref="BA295" si="1134">-SUMPRODUCT($Q294:$Q298,$N$2:$N$6)-SUMPRODUCT($Q300:$Q304,$N$8:$N$12)</f>
        <v>-127500</v>
      </c>
      <c r="BB295" s="34"/>
      <c r="BC295" s="34"/>
      <c r="BD295" s="34"/>
      <c r="BE295" s="34">
        <f t="shared" ref="BE295" si="1135">$Q300</f>
        <v>0</v>
      </c>
      <c r="BF295" s="34">
        <v>-1</v>
      </c>
      <c r="BG295" s="34">
        <f t="shared" ref="BG295" si="1136">-SUMPRODUCT($Q294:$Q299,$N$2:$N$7)-SUMPRODUCT($Q301:$Q304,$N$9:$N$12)</f>
        <v>-127500</v>
      </c>
      <c r="BH295" s="34"/>
      <c r="BI295" s="34"/>
      <c r="BJ295" s="34"/>
      <c r="BK295" s="34">
        <f t="shared" ref="BK295" si="1137">$Q301</f>
        <v>0</v>
      </c>
      <c r="BL295" s="34">
        <v>-1</v>
      </c>
      <c r="BM295" s="34">
        <f t="shared" ref="BM295" si="1138">-SUMPRODUCT($Q294:$Q300,$N$2:$N$8)-SUMPRODUCT($Q302:$Q304,$N$10:$N$12)</f>
        <v>-127500</v>
      </c>
      <c r="BN295" s="34"/>
      <c r="BO295" s="34"/>
      <c r="BP295" s="34"/>
      <c r="BQ295" s="34">
        <f t="shared" ref="BQ295" si="1139">$Q302</f>
        <v>0</v>
      </c>
      <c r="BR295" s="34">
        <v>-1</v>
      </c>
      <c r="BS295" s="34">
        <f t="shared" ref="BS295" si="1140">-SUMPRODUCT($Q294:$Q301,$N$2:$N$9)-SUMPRODUCT($Q303:$Q304,$N$11:$N$12)</f>
        <v>-127500</v>
      </c>
      <c r="BT295" s="34"/>
      <c r="BU295" s="34"/>
      <c r="BV295" s="34"/>
      <c r="BW295" s="34">
        <f t="shared" ref="BW295" si="1141">$Q303</f>
        <v>0</v>
      </c>
      <c r="BX295" s="34">
        <v>-1</v>
      </c>
      <c r="BY295" s="34">
        <f t="shared" ref="BY295" si="1142">-SUMPRODUCT($Q294:$Q302,$N$2:$N$10)-SUMPRODUCT($Q304,$N$12)</f>
        <v>-127500</v>
      </c>
      <c r="BZ295" s="34"/>
      <c r="CA295" s="34"/>
      <c r="CB295" s="34"/>
      <c r="CC295" s="34">
        <f t="shared" ref="CC295" si="1143">$Q304</f>
        <v>0</v>
      </c>
      <c r="CD295" s="34">
        <v>-1</v>
      </c>
      <c r="CE295" s="34">
        <f t="shared" ref="CE295" si="1144">-SUMPRODUCT($Q294:$Q303,$N$2:$N$11)</f>
        <v>-127500</v>
      </c>
      <c r="CF295" s="34"/>
      <c r="CG295" s="34"/>
      <c r="CH295" s="34"/>
      <c r="CI295" s="8"/>
    </row>
    <row r="296" spans="1:87" x14ac:dyDescent="0.2">
      <c r="A296" s="8" t="str">
        <f>IF(AND(COUNTIF(W$3:W$13,A$17)&gt;0,A$17&lt;&gt;B292),A$17,IFERROR(IF(MATCH(A$17,Z$3:Z$13,0)=1,A$17," ")," "))</f>
        <v>C3</v>
      </c>
      <c r="B296" s="8">
        <f>IF(A296=" "," ",MAX(B294:B295)+1)</f>
        <v>2</v>
      </c>
      <c r="C296" s="8" t="str">
        <f>IFERROR(INDEX(A294:A315,MATCH(SMALL(B294:B315,3),B294:B315,0),1)," ")</f>
        <v>C13</v>
      </c>
      <c r="D296" s="8">
        <f t="shared" si="1110"/>
        <v>0</v>
      </c>
      <c r="E296" s="8">
        <f t="shared" si="1111"/>
        <v>1</v>
      </c>
      <c r="F296" s="8">
        <f t="shared" si="1112"/>
        <v>0</v>
      </c>
      <c r="G296" s="8">
        <f t="shared" si="1113"/>
        <v>0</v>
      </c>
      <c r="H296" s="8">
        <f t="shared" si="1114"/>
        <v>0</v>
      </c>
      <c r="I296" s="8">
        <f t="shared" si="1115"/>
        <v>0</v>
      </c>
      <c r="J296" s="8">
        <f t="shared" si="1116"/>
        <v>0</v>
      </c>
      <c r="K296" s="8">
        <f t="shared" si="1117"/>
        <v>0</v>
      </c>
      <c r="L296" s="8">
        <f t="shared" si="1118"/>
        <v>0</v>
      </c>
      <c r="M296" s="8">
        <f t="shared" si="1119"/>
        <v>0</v>
      </c>
      <c r="N296" s="8">
        <f t="shared" si="1120"/>
        <v>0</v>
      </c>
      <c r="O296" s="8">
        <f t="shared" si="1121"/>
        <v>0</v>
      </c>
      <c r="P296" s="8">
        <v>225</v>
      </c>
      <c r="Q296" s="8">
        <f t="shared" ref="Q296" si="1145">IF(COUNTIF(P294:P304,"&lt;"&amp;-0.001)=0,IF(ABS(P296)&lt;0.001,0,P296)," ")</f>
        <v>225</v>
      </c>
      <c r="R296" s="8"/>
      <c r="S296" s="8"/>
      <c r="U296" s="34"/>
      <c r="V296" s="34"/>
      <c r="W296" s="34"/>
      <c r="X296" s="34"/>
      <c r="Y296" s="34"/>
      <c r="Z296" s="34"/>
      <c r="AA296" s="34"/>
      <c r="AB296" s="34"/>
      <c r="AC296" s="34"/>
      <c r="AD296" s="34"/>
      <c r="AE296" s="34"/>
      <c r="AF296" s="34"/>
      <c r="AG296" s="34"/>
      <c r="AH296" s="34"/>
      <c r="AI296" s="34"/>
      <c r="AJ296" s="34"/>
      <c r="AK296" s="34"/>
      <c r="AL296" s="34"/>
      <c r="AM296" s="34"/>
      <c r="AN296" s="34"/>
      <c r="AO296" s="34"/>
      <c r="AP296" s="34"/>
      <c r="AQ296" s="34"/>
      <c r="AR296" s="34"/>
      <c r="AS296" s="34"/>
      <c r="AT296" s="34"/>
      <c r="AU296" s="34"/>
      <c r="AV296" s="34"/>
      <c r="AW296" s="34"/>
      <c r="AX296" s="34"/>
      <c r="AY296" s="34"/>
      <c r="AZ296" s="34"/>
      <c r="BA296" s="34"/>
      <c r="BB296" s="34"/>
      <c r="BC296" s="34"/>
      <c r="BD296" s="34"/>
      <c r="BE296" s="34"/>
      <c r="BF296" s="34"/>
      <c r="BG296" s="34"/>
      <c r="BH296" s="34"/>
      <c r="BI296" s="34"/>
      <c r="BJ296" s="34"/>
      <c r="BK296" s="34"/>
      <c r="BL296" s="34"/>
      <c r="BM296" s="34"/>
      <c r="BN296" s="34"/>
      <c r="BO296" s="34"/>
      <c r="BP296" s="34"/>
      <c r="BQ296" s="34"/>
      <c r="BR296" s="34"/>
      <c r="BS296" s="34"/>
      <c r="BT296" s="34"/>
      <c r="BU296" s="34"/>
      <c r="BV296" s="34"/>
      <c r="BW296" s="34"/>
      <c r="BX296" s="34"/>
      <c r="BY296" s="34"/>
      <c r="BZ296" s="34"/>
      <c r="CA296" s="34"/>
      <c r="CB296" s="34"/>
      <c r="CC296" s="34"/>
      <c r="CD296" s="34"/>
      <c r="CE296" s="34"/>
      <c r="CF296" s="34"/>
      <c r="CG296" s="34"/>
      <c r="CH296" s="34"/>
      <c r="CI296" s="8"/>
    </row>
    <row r="297" spans="1:87" x14ac:dyDescent="0.2">
      <c r="A297" s="8" t="str">
        <f>IF(AND(COUNTIF(W$3:W$13,A$18)&gt;0,A$18&lt;&gt;B292),A$18,IFERROR(IF(MATCH(A$18,Z$3:Z$13,0)=1,A$18," ")," "))</f>
        <v xml:space="preserve"> </v>
      </c>
      <c r="B297" s="8" t="str">
        <f>IF(A297=" "," ",MAX(B294:B296)+1)</f>
        <v xml:space="preserve"> </v>
      </c>
      <c r="C297" s="8" t="str">
        <f>IFERROR(INDEX(A294:A315,MATCH(SMALL(B294:B315,4),B294:B315,0),1)," ")</f>
        <v>C15</v>
      </c>
      <c r="D297" s="8">
        <f t="shared" si="1110"/>
        <v>0</v>
      </c>
      <c r="E297" s="8">
        <f t="shared" si="1111"/>
        <v>0</v>
      </c>
      <c r="F297" s="8">
        <f t="shared" si="1112"/>
        <v>0</v>
      </c>
      <c r="G297" s="8">
        <f t="shared" si="1113"/>
        <v>1</v>
      </c>
      <c r="H297" s="8">
        <f t="shared" si="1114"/>
        <v>0</v>
      </c>
      <c r="I297" s="8">
        <f t="shared" si="1115"/>
        <v>0</v>
      </c>
      <c r="J297" s="8">
        <f t="shared" si="1116"/>
        <v>0</v>
      </c>
      <c r="K297" s="8">
        <f t="shared" si="1117"/>
        <v>0</v>
      </c>
      <c r="L297" s="8">
        <f t="shared" si="1118"/>
        <v>0</v>
      </c>
      <c r="M297" s="8">
        <f t="shared" si="1119"/>
        <v>0</v>
      </c>
      <c r="N297" s="8">
        <f t="shared" si="1120"/>
        <v>0</v>
      </c>
      <c r="O297" s="8">
        <f t="shared" si="1121"/>
        <v>0</v>
      </c>
      <c r="P297" s="8">
        <v>0</v>
      </c>
      <c r="Q297" s="8">
        <f t="shared" ref="Q297" si="1146">IF(COUNTIF(P294:P304,"&lt;"&amp;-0.001)=0,IF(ABS(P297)&lt;0.001,0,P297)," ")</f>
        <v>0</v>
      </c>
      <c r="R297" s="8"/>
      <c r="S297" s="8"/>
      <c r="U297" s="34"/>
      <c r="V297" s="34"/>
      <c r="W297" s="34"/>
      <c r="X297" s="34"/>
      <c r="Y297" s="34"/>
      <c r="Z297" s="34"/>
      <c r="AA297" s="34"/>
      <c r="AB297" s="34"/>
      <c r="AC297" s="34"/>
      <c r="AD297" s="34"/>
      <c r="AE297" s="34"/>
      <c r="AF297" s="34"/>
      <c r="AG297" s="34"/>
      <c r="AH297" s="34"/>
      <c r="AI297" s="34"/>
      <c r="AJ297" s="34"/>
      <c r="AK297" s="34"/>
      <c r="AL297" s="34"/>
      <c r="AM297" s="34"/>
      <c r="AN297" s="34"/>
      <c r="AO297" s="34"/>
      <c r="AP297" s="34"/>
      <c r="AQ297" s="34"/>
      <c r="AR297" s="34"/>
      <c r="AS297" s="34"/>
      <c r="AT297" s="34"/>
      <c r="AU297" s="34"/>
      <c r="AV297" s="34"/>
      <c r="AW297" s="34"/>
      <c r="AX297" s="34"/>
      <c r="AY297" s="34"/>
      <c r="AZ297" s="34"/>
      <c r="BA297" s="34"/>
      <c r="BB297" s="34"/>
      <c r="BC297" s="34"/>
      <c r="BD297" s="34"/>
      <c r="BE297" s="34"/>
      <c r="BF297" s="34"/>
      <c r="BG297" s="34"/>
      <c r="BH297" s="34"/>
      <c r="BI297" s="34"/>
      <c r="BJ297" s="34"/>
      <c r="BK297" s="34"/>
      <c r="BL297" s="34"/>
      <c r="BM297" s="34"/>
      <c r="BN297" s="34"/>
      <c r="BO297" s="34"/>
      <c r="BP297" s="34"/>
      <c r="BQ297" s="34"/>
      <c r="BR297" s="34"/>
      <c r="BS297" s="34"/>
      <c r="BT297" s="34"/>
      <c r="BU297" s="34"/>
      <c r="BV297" s="34"/>
      <c r="BW297" s="34"/>
      <c r="BX297" s="34"/>
      <c r="BY297" s="34"/>
      <c r="BZ297" s="34"/>
      <c r="CA297" s="34"/>
      <c r="CB297" s="34"/>
      <c r="CC297" s="34"/>
      <c r="CD297" s="34"/>
      <c r="CE297" s="34"/>
      <c r="CF297" s="34"/>
      <c r="CG297" s="34"/>
      <c r="CH297" s="34"/>
      <c r="CI297" s="8"/>
    </row>
    <row r="298" spans="1:87" x14ac:dyDescent="0.2">
      <c r="A298" s="8" t="str">
        <f>IF(AND(COUNTIF(W$3:W$13,A$19)&gt;0,A$19&lt;&gt;B292),A$19,IFERROR(IF(MATCH(A$19,Z$3:Z$13,0)=1,A$19," ")," "))</f>
        <v xml:space="preserve"> </v>
      </c>
      <c r="B298" s="8" t="str">
        <f>IF(A298=" "," ",MAX(B294:B297)+1)</f>
        <v xml:space="preserve"> </v>
      </c>
      <c r="C298" s="8" t="str">
        <f>IFERROR(INDEX(A294:A315,MATCH(SMALL(B294:B315,5),B294:B315,0),1)," ")</f>
        <v>C16</v>
      </c>
      <c r="D298" s="8">
        <f t="shared" si="1110"/>
        <v>0</v>
      </c>
      <c r="E298" s="8">
        <f t="shared" si="1111"/>
        <v>0</v>
      </c>
      <c r="F298" s="8">
        <f t="shared" si="1112"/>
        <v>0</v>
      </c>
      <c r="G298" s="8">
        <f t="shared" si="1113"/>
        <v>0</v>
      </c>
      <c r="H298" s="8">
        <f t="shared" si="1114"/>
        <v>1</v>
      </c>
      <c r="I298" s="8">
        <f t="shared" si="1115"/>
        <v>0</v>
      </c>
      <c r="J298" s="8">
        <f t="shared" si="1116"/>
        <v>0</v>
      </c>
      <c r="K298" s="8">
        <f t="shared" si="1117"/>
        <v>0</v>
      </c>
      <c r="L298" s="8">
        <f t="shared" si="1118"/>
        <v>0</v>
      </c>
      <c r="M298" s="8">
        <f t="shared" si="1119"/>
        <v>0</v>
      </c>
      <c r="N298" s="8">
        <f t="shared" si="1120"/>
        <v>0</v>
      </c>
      <c r="O298" s="8">
        <f t="shared" si="1121"/>
        <v>0</v>
      </c>
      <c r="P298" s="8">
        <v>0</v>
      </c>
      <c r="Q298" s="8">
        <f t="shared" ref="Q298" si="1147">IF(COUNTIF(P294:P304,"&lt;"&amp;-0.001)=0,IF(ABS(P298)&lt;0.001,0,P298)," ")</f>
        <v>0</v>
      </c>
      <c r="R298" s="8"/>
      <c r="S298" s="8"/>
      <c r="U298" s="34"/>
      <c r="V298" s="34"/>
      <c r="W298" s="34"/>
      <c r="X298" s="34"/>
      <c r="Y298" s="34"/>
      <c r="Z298" s="34"/>
      <c r="AA298" s="34"/>
      <c r="AB298" s="34"/>
      <c r="AC298" s="34"/>
      <c r="AD298" s="34"/>
      <c r="AE298" s="34"/>
      <c r="AF298" s="34"/>
      <c r="AG298" s="34"/>
      <c r="AH298" s="34"/>
      <c r="AI298" s="34"/>
      <c r="AJ298" s="34"/>
      <c r="AK298" s="34"/>
      <c r="AL298" s="34"/>
      <c r="AM298" s="34"/>
      <c r="AN298" s="34"/>
      <c r="AO298" s="34"/>
      <c r="AP298" s="34"/>
      <c r="AQ298" s="34"/>
      <c r="AR298" s="34"/>
      <c r="AS298" s="34"/>
      <c r="AT298" s="34"/>
      <c r="AU298" s="34"/>
      <c r="AV298" s="34"/>
      <c r="AW298" s="34"/>
      <c r="AX298" s="34"/>
      <c r="AY298" s="34"/>
      <c r="AZ298" s="34"/>
      <c r="BA298" s="34"/>
      <c r="BB298" s="34"/>
      <c r="BC298" s="34"/>
      <c r="BD298" s="34"/>
      <c r="BE298" s="34"/>
      <c r="BF298" s="34"/>
      <c r="BG298" s="34"/>
      <c r="BH298" s="34"/>
      <c r="BI298" s="34"/>
      <c r="BJ298" s="34"/>
      <c r="BK298" s="34"/>
      <c r="BL298" s="34"/>
      <c r="BM298" s="34"/>
      <c r="BN298" s="34"/>
      <c r="BO298" s="34"/>
      <c r="BP298" s="34"/>
      <c r="BQ298" s="34"/>
      <c r="BR298" s="34"/>
      <c r="BS298" s="34"/>
      <c r="BT298" s="34"/>
      <c r="BU298" s="34"/>
      <c r="BV298" s="34"/>
      <c r="BW298" s="34"/>
      <c r="BX298" s="34"/>
      <c r="BY298" s="34"/>
      <c r="BZ298" s="34"/>
      <c r="CA298" s="34"/>
      <c r="CB298" s="34"/>
      <c r="CC298" s="34"/>
      <c r="CD298" s="34"/>
      <c r="CE298" s="34"/>
      <c r="CF298" s="34"/>
      <c r="CG298" s="34"/>
      <c r="CH298" s="34"/>
      <c r="CI298" s="8"/>
    </row>
    <row r="299" spans="1:87" x14ac:dyDescent="0.2">
      <c r="A299" s="8" t="str">
        <f>IF(AND(COUNTIF(W$3:W$13,A$20)&gt;0,A$20&lt;&gt;B292),A$20,IFERROR(IF(MATCH(A$20,Z$3:Z$13,0)=1,A$20," ")," "))</f>
        <v xml:space="preserve"> </v>
      </c>
      <c r="B299" s="8" t="str">
        <f>IF(A299=" "," ",MAX(B294:B298)+1)</f>
        <v xml:space="preserve"> </v>
      </c>
      <c r="C299" s="8" t="str">
        <f>IFERROR(INDEX(A294:A315,MATCH(SMALL(B294:B315,6),B294:B315,0),1)," ")</f>
        <v>C17</v>
      </c>
      <c r="D299" s="8">
        <f t="shared" si="1110"/>
        <v>0</v>
      </c>
      <c r="E299" s="8">
        <f t="shared" si="1111"/>
        <v>0</v>
      </c>
      <c r="F299" s="8">
        <f t="shared" si="1112"/>
        <v>0</v>
      </c>
      <c r="G299" s="8">
        <f t="shared" si="1113"/>
        <v>0</v>
      </c>
      <c r="H299" s="8">
        <f t="shared" si="1114"/>
        <v>0</v>
      </c>
      <c r="I299" s="8">
        <f t="shared" si="1115"/>
        <v>1</v>
      </c>
      <c r="J299" s="8">
        <f t="shared" si="1116"/>
        <v>0</v>
      </c>
      <c r="K299" s="8">
        <f t="shared" si="1117"/>
        <v>0</v>
      </c>
      <c r="L299" s="8">
        <f t="shared" si="1118"/>
        <v>0</v>
      </c>
      <c r="M299" s="8">
        <f t="shared" si="1119"/>
        <v>0</v>
      </c>
      <c r="N299" s="8">
        <f t="shared" si="1120"/>
        <v>0</v>
      </c>
      <c r="O299" s="8">
        <f t="shared" si="1121"/>
        <v>0</v>
      </c>
      <c r="P299" s="8">
        <v>0</v>
      </c>
      <c r="Q299" s="8">
        <f t="shared" ref="Q299" si="1148">IF(COUNTIF(P294:P304,"&lt;"&amp;-0.001)=0,IF(ABS(P299)&lt;0.001,0,P299)," ")</f>
        <v>0</v>
      </c>
      <c r="R299" s="8"/>
      <c r="S299" s="8"/>
      <c r="U299" s="34"/>
      <c r="V299" s="34"/>
      <c r="W299" s="34"/>
      <c r="X299" s="34"/>
      <c r="Y299" s="34"/>
      <c r="Z299" s="34"/>
      <c r="AA299" s="34"/>
      <c r="AB299" s="34"/>
      <c r="AC299" s="34"/>
      <c r="AD299" s="34"/>
      <c r="AE299" s="34"/>
      <c r="AF299" s="34"/>
      <c r="AG299" s="34"/>
      <c r="AH299" s="34"/>
      <c r="AI299" s="34"/>
      <c r="AJ299" s="34"/>
      <c r="AK299" s="34"/>
      <c r="AL299" s="34"/>
      <c r="AM299" s="34"/>
      <c r="AN299" s="34"/>
      <c r="AO299" s="34"/>
      <c r="AP299" s="34"/>
      <c r="AQ299" s="34"/>
      <c r="AR299" s="34"/>
      <c r="AS299" s="34"/>
      <c r="AT299" s="34"/>
      <c r="AU299" s="34"/>
      <c r="AV299" s="34"/>
      <c r="AW299" s="34"/>
      <c r="AX299" s="34"/>
      <c r="AY299" s="34"/>
      <c r="AZ299" s="34"/>
      <c r="BA299" s="34"/>
      <c r="BB299" s="34"/>
      <c r="BC299" s="34"/>
      <c r="BD299" s="34"/>
      <c r="BE299" s="34"/>
      <c r="BF299" s="34"/>
      <c r="BG299" s="34"/>
      <c r="BH299" s="34"/>
      <c r="BI299" s="34"/>
      <c r="BJ299" s="34"/>
      <c r="BK299" s="34"/>
      <c r="BL299" s="34"/>
      <c r="BM299" s="34"/>
      <c r="BN299" s="34"/>
      <c r="BO299" s="34"/>
      <c r="BP299" s="34"/>
      <c r="BQ299" s="34"/>
      <c r="BR299" s="34"/>
      <c r="BS299" s="34"/>
      <c r="BT299" s="34"/>
      <c r="BU299" s="34"/>
      <c r="BV299" s="34"/>
      <c r="BW299" s="34"/>
      <c r="BX299" s="34"/>
      <c r="BY299" s="34"/>
      <c r="BZ299" s="34"/>
      <c r="CA299" s="34"/>
      <c r="CB299" s="34"/>
      <c r="CC299" s="34"/>
      <c r="CD299" s="34"/>
      <c r="CE299" s="34"/>
      <c r="CF299" s="34"/>
      <c r="CG299" s="34"/>
      <c r="CH299" s="34"/>
      <c r="CI299" s="8"/>
    </row>
    <row r="300" spans="1:87" x14ac:dyDescent="0.2">
      <c r="A300" s="8" t="str">
        <f>IF(AND(COUNTIF(W$3:W$13,A$21)&gt;0,A$21&lt;&gt;B292),A$21,IFERROR(IF(MATCH(A$21,Z$3:Z$13,0)=1,A$21," ")," "))</f>
        <v xml:space="preserve"> </v>
      </c>
      <c r="B300" s="8" t="str">
        <f>IF(A300=" "," ",MAX(B294:B299)+1)</f>
        <v xml:space="preserve"> </v>
      </c>
      <c r="C300" s="8" t="str">
        <f>IFERROR(INDEX(A294:A315,MATCH(SMALL(B294:B315,7),B294:B315,0),1)," ")</f>
        <v>C18</v>
      </c>
      <c r="D300" s="8">
        <f t="shared" si="1110"/>
        <v>0</v>
      </c>
      <c r="E300" s="8">
        <f t="shared" si="1111"/>
        <v>0</v>
      </c>
      <c r="F300" s="8">
        <f t="shared" si="1112"/>
        <v>0</v>
      </c>
      <c r="G300" s="8">
        <f t="shared" si="1113"/>
        <v>0</v>
      </c>
      <c r="H300" s="8">
        <f t="shared" si="1114"/>
        <v>0</v>
      </c>
      <c r="I300" s="8">
        <f t="shared" si="1115"/>
        <v>0</v>
      </c>
      <c r="J300" s="8">
        <f t="shared" si="1116"/>
        <v>1</v>
      </c>
      <c r="K300" s="8">
        <f t="shared" si="1117"/>
        <v>0</v>
      </c>
      <c r="L300" s="8">
        <f t="shared" si="1118"/>
        <v>0</v>
      </c>
      <c r="M300" s="8">
        <f t="shared" si="1119"/>
        <v>0</v>
      </c>
      <c r="N300" s="8">
        <f t="shared" si="1120"/>
        <v>0</v>
      </c>
      <c r="O300" s="8">
        <f t="shared" si="1121"/>
        <v>0</v>
      </c>
      <c r="P300" s="8">
        <v>0</v>
      </c>
      <c r="Q300" s="8">
        <f t="shared" ref="Q300" si="1149">IF(COUNTIF(P294:P304,"&lt;"&amp;-0.001)=0,IF(ABS(P300)&lt;0.001,0,P300)," ")</f>
        <v>0</v>
      </c>
      <c r="R300" s="8"/>
      <c r="S300" s="8"/>
      <c r="U300" s="34"/>
      <c r="V300" s="34"/>
      <c r="W300" s="34"/>
      <c r="X300" s="34"/>
      <c r="Y300" s="34"/>
      <c r="Z300" s="34"/>
      <c r="AA300" s="34"/>
      <c r="AB300" s="34"/>
      <c r="AC300" s="34"/>
      <c r="AD300" s="34"/>
      <c r="AE300" s="34"/>
      <c r="AF300" s="34"/>
      <c r="AG300" s="34"/>
      <c r="AH300" s="34"/>
      <c r="AI300" s="34"/>
      <c r="AJ300" s="34"/>
      <c r="AK300" s="34"/>
      <c r="AL300" s="34"/>
      <c r="AM300" s="34"/>
      <c r="AN300" s="34"/>
      <c r="AO300" s="34"/>
      <c r="AP300" s="34"/>
      <c r="AQ300" s="34"/>
      <c r="AR300" s="34"/>
      <c r="AS300" s="34"/>
      <c r="AT300" s="34"/>
      <c r="AU300" s="34"/>
      <c r="AV300" s="34"/>
      <c r="AW300" s="34"/>
      <c r="AX300" s="34"/>
      <c r="AY300" s="34"/>
      <c r="AZ300" s="34"/>
      <c r="BA300" s="34"/>
      <c r="BB300" s="34"/>
      <c r="BC300" s="34"/>
      <c r="BD300" s="34"/>
      <c r="BE300" s="34"/>
      <c r="BF300" s="34"/>
      <c r="BG300" s="34"/>
      <c r="BH300" s="34"/>
      <c r="BI300" s="34"/>
      <c r="BJ300" s="34"/>
      <c r="BK300" s="34"/>
      <c r="BL300" s="34"/>
      <c r="BM300" s="34"/>
      <c r="BN300" s="34"/>
      <c r="BO300" s="34"/>
      <c r="BP300" s="34"/>
      <c r="BQ300" s="34"/>
      <c r="BR300" s="34"/>
      <c r="BS300" s="34"/>
      <c r="BT300" s="34"/>
      <c r="BU300" s="34"/>
      <c r="BV300" s="34"/>
      <c r="BW300" s="34"/>
      <c r="BX300" s="34"/>
      <c r="BY300" s="34"/>
      <c r="BZ300" s="34"/>
      <c r="CA300" s="34"/>
      <c r="CB300" s="34"/>
      <c r="CC300" s="34"/>
      <c r="CD300" s="34"/>
      <c r="CE300" s="34"/>
      <c r="CF300" s="34"/>
      <c r="CG300" s="34"/>
      <c r="CH300" s="34"/>
      <c r="CI300" s="8"/>
    </row>
    <row r="301" spans="1:87" x14ac:dyDescent="0.2">
      <c r="A301" s="8" t="str">
        <f>IF(AND(COUNTIF(W$3:W$13,A$22)&gt;0,A$22&lt;&gt;B292),A$22,IFERROR(IF(MATCH(A$22,Z$3:Z$13,0)=1,A$22," ")," "))</f>
        <v xml:space="preserve"> </v>
      </c>
      <c r="B301" s="8" t="str">
        <f>IF(A301=" "," ",MAX(B294:B300)+1)</f>
        <v xml:space="preserve"> </v>
      </c>
      <c r="C301" s="8" t="str">
        <f>IFERROR(INDEX(A294:A315,MATCH(SMALL(B294:B315,8),B294:B315,0),1)," ")</f>
        <v>C19</v>
      </c>
      <c r="D301" s="8">
        <f t="shared" si="1110"/>
        <v>0</v>
      </c>
      <c r="E301" s="8">
        <f t="shared" si="1111"/>
        <v>0</v>
      </c>
      <c r="F301" s="8">
        <f t="shared" si="1112"/>
        <v>0</v>
      </c>
      <c r="G301" s="8">
        <f t="shared" si="1113"/>
        <v>0</v>
      </c>
      <c r="H301" s="8">
        <f t="shared" si="1114"/>
        <v>0</v>
      </c>
      <c r="I301" s="8">
        <f t="shared" si="1115"/>
        <v>0</v>
      </c>
      <c r="J301" s="8">
        <f t="shared" si="1116"/>
        <v>0</v>
      </c>
      <c r="K301" s="8">
        <f t="shared" si="1117"/>
        <v>1</v>
      </c>
      <c r="L301" s="8">
        <f t="shared" si="1118"/>
        <v>0</v>
      </c>
      <c r="M301" s="8">
        <f t="shared" si="1119"/>
        <v>0</v>
      </c>
      <c r="N301" s="8">
        <f t="shared" si="1120"/>
        <v>0</v>
      </c>
      <c r="O301" s="8">
        <f t="shared" si="1121"/>
        <v>0</v>
      </c>
      <c r="P301" s="8">
        <v>0</v>
      </c>
      <c r="Q301" s="8">
        <f t="shared" ref="Q301" si="1150">IF(COUNTIF(P294:P304,"&lt;"&amp;-0.001)=0,IF(ABS(P301)&lt;0.001,0,P301)," ")</f>
        <v>0</v>
      </c>
      <c r="R301" s="8"/>
      <c r="S301" s="8"/>
      <c r="U301" s="34"/>
      <c r="V301" s="34"/>
      <c r="W301" s="34"/>
      <c r="X301" s="34"/>
      <c r="Y301" s="34"/>
      <c r="Z301" s="34"/>
      <c r="AA301" s="34"/>
      <c r="AB301" s="34"/>
      <c r="AC301" s="34"/>
      <c r="AD301" s="34"/>
      <c r="AE301" s="34"/>
      <c r="AF301" s="34"/>
      <c r="AG301" s="34"/>
      <c r="AH301" s="34"/>
      <c r="AI301" s="34"/>
      <c r="AJ301" s="34"/>
      <c r="AK301" s="34"/>
      <c r="AL301" s="34"/>
      <c r="AM301" s="34"/>
      <c r="AN301" s="34"/>
      <c r="AO301" s="34"/>
      <c r="AP301" s="34"/>
      <c r="AQ301" s="34"/>
      <c r="AR301" s="34"/>
      <c r="AS301" s="34"/>
      <c r="AT301" s="34"/>
      <c r="AU301" s="34"/>
      <c r="AV301" s="34"/>
      <c r="AW301" s="34"/>
      <c r="AX301" s="34"/>
      <c r="AY301" s="34"/>
      <c r="AZ301" s="34"/>
      <c r="BA301" s="34"/>
      <c r="BB301" s="34"/>
      <c r="BC301" s="34"/>
      <c r="BD301" s="34"/>
      <c r="BE301" s="34"/>
      <c r="BF301" s="34"/>
      <c r="BG301" s="34"/>
      <c r="BH301" s="34"/>
      <c r="BI301" s="34"/>
      <c r="BJ301" s="34"/>
      <c r="BK301" s="34"/>
      <c r="BL301" s="34"/>
      <c r="BM301" s="34"/>
      <c r="BN301" s="34"/>
      <c r="BO301" s="34"/>
      <c r="BP301" s="34"/>
      <c r="BQ301" s="34"/>
      <c r="BR301" s="34"/>
      <c r="BS301" s="34"/>
      <c r="BT301" s="34"/>
      <c r="BU301" s="34"/>
      <c r="BV301" s="34"/>
      <c r="BW301" s="34"/>
      <c r="BX301" s="34"/>
      <c r="BY301" s="34"/>
      <c r="BZ301" s="34"/>
      <c r="CA301" s="34"/>
      <c r="CB301" s="34"/>
      <c r="CC301" s="34"/>
      <c r="CD301" s="34"/>
      <c r="CE301" s="34"/>
      <c r="CF301" s="34"/>
      <c r="CG301" s="34"/>
      <c r="CH301" s="34"/>
      <c r="CI301" s="8"/>
    </row>
    <row r="302" spans="1:87" x14ac:dyDescent="0.2">
      <c r="A302" s="8" t="str">
        <f>IF(AND(COUNTIF(W$3:W$13,A$23)&gt;0,A$23&lt;&gt;B292),A$23,IFERROR(IF(MATCH(A$23,Z$3:Z$13,0)=1,A$23," ")," "))</f>
        <v xml:space="preserve"> </v>
      </c>
      <c r="B302" s="8" t="str">
        <f>IF(A302=" "," ",MAX(B294:B301)+1)</f>
        <v xml:space="preserve"> </v>
      </c>
      <c r="C302" s="8" t="str">
        <f>IFERROR(INDEX(A294:A315,MATCH(SMALL(B294:B315,9),B294:B315,0),1)," ")</f>
        <v>C20</v>
      </c>
      <c r="D302" s="8">
        <f t="shared" si="1110"/>
        <v>0</v>
      </c>
      <c r="E302" s="8">
        <f t="shared" si="1111"/>
        <v>0</v>
      </c>
      <c r="F302" s="8">
        <f t="shared" si="1112"/>
        <v>0</v>
      </c>
      <c r="G302" s="8">
        <f t="shared" si="1113"/>
        <v>0</v>
      </c>
      <c r="H302" s="8">
        <f t="shared" si="1114"/>
        <v>0</v>
      </c>
      <c r="I302" s="8">
        <f t="shared" si="1115"/>
        <v>0</v>
      </c>
      <c r="J302" s="8">
        <f t="shared" si="1116"/>
        <v>0</v>
      </c>
      <c r="K302" s="8">
        <f t="shared" si="1117"/>
        <v>0</v>
      </c>
      <c r="L302" s="8">
        <f t="shared" si="1118"/>
        <v>1</v>
      </c>
      <c r="M302" s="8">
        <f t="shared" si="1119"/>
        <v>0</v>
      </c>
      <c r="N302" s="8">
        <f t="shared" si="1120"/>
        <v>0</v>
      </c>
      <c r="O302" s="8">
        <f t="shared" si="1121"/>
        <v>0</v>
      </c>
      <c r="P302" s="6">
        <v>0</v>
      </c>
      <c r="Q302" s="8">
        <f t="shared" ref="Q302" si="1151">IF(COUNTIF(P294:P304,"&lt;"&amp;-0.001)=0,IF(ABS(P302)&lt;0.001,0,P302)," ")</f>
        <v>0</v>
      </c>
      <c r="R302" s="8"/>
      <c r="S302" s="8"/>
      <c r="U302" s="34"/>
      <c r="V302" s="34"/>
      <c r="W302" s="34"/>
      <c r="X302" s="34"/>
      <c r="Y302" s="34"/>
      <c r="Z302" s="34"/>
      <c r="AA302" s="34"/>
      <c r="AB302" s="34"/>
      <c r="AC302" s="34"/>
      <c r="AD302" s="34"/>
      <c r="AE302" s="34"/>
      <c r="AF302" s="34"/>
      <c r="AG302" s="34"/>
      <c r="AH302" s="34"/>
      <c r="AI302" s="34"/>
      <c r="AJ302" s="34"/>
      <c r="AK302" s="34"/>
      <c r="AL302" s="34"/>
      <c r="AM302" s="34"/>
      <c r="AN302" s="34"/>
      <c r="AO302" s="34"/>
      <c r="AP302" s="34"/>
      <c r="AQ302" s="34"/>
      <c r="AR302" s="34"/>
      <c r="AS302" s="34"/>
      <c r="AT302" s="34"/>
      <c r="AU302" s="34"/>
      <c r="AV302" s="34"/>
      <c r="AW302" s="34"/>
      <c r="AX302" s="34"/>
      <c r="AY302" s="34"/>
      <c r="AZ302" s="34"/>
      <c r="BA302" s="34"/>
      <c r="BB302" s="34"/>
      <c r="BC302" s="34"/>
      <c r="BD302" s="34"/>
      <c r="BE302" s="34"/>
      <c r="BF302" s="34"/>
      <c r="BG302" s="34"/>
      <c r="BH302" s="34"/>
      <c r="BI302" s="34"/>
      <c r="BJ302" s="34"/>
      <c r="BK302" s="34"/>
      <c r="BL302" s="34"/>
      <c r="BM302" s="34"/>
      <c r="BN302" s="34"/>
      <c r="BO302" s="34"/>
      <c r="BP302" s="34"/>
      <c r="BQ302" s="34"/>
      <c r="BR302" s="34"/>
      <c r="BS302" s="34"/>
      <c r="BT302" s="34"/>
      <c r="BU302" s="34"/>
      <c r="BV302" s="34"/>
      <c r="BW302" s="34"/>
      <c r="BX302" s="34"/>
      <c r="BY302" s="34"/>
      <c r="BZ302" s="34"/>
      <c r="CA302" s="34"/>
      <c r="CB302" s="34"/>
      <c r="CC302" s="34"/>
      <c r="CD302" s="34"/>
      <c r="CE302" s="34"/>
      <c r="CF302" s="34"/>
      <c r="CG302" s="34"/>
      <c r="CH302" s="34"/>
      <c r="CI302" s="8"/>
    </row>
    <row r="303" spans="1:87" x14ac:dyDescent="0.2">
      <c r="A303" s="8" t="str">
        <f>IF(AND(COUNTIF(W$3:W$13,A$24)&gt;0,A$24&lt;&gt;B292),A$24,IFERROR(IF(MATCH(A$24,Z$3:Z$13,0)=1,A$24," ")," "))</f>
        <v xml:space="preserve"> </v>
      </c>
      <c r="B303" s="8" t="str">
        <f>IF(A303=" "," ",MAX(B294:B302)+1)</f>
        <v xml:space="preserve"> </v>
      </c>
      <c r="C303" s="8" t="str">
        <f>IFERROR(INDEX(A294:A315,MATCH(SMALL(B294:B315,10),B294:B315,0),1)," ")</f>
        <v>C21</v>
      </c>
      <c r="D303" s="8">
        <f t="shared" si="1110"/>
        <v>0</v>
      </c>
      <c r="E303" s="8">
        <f t="shared" si="1111"/>
        <v>0</v>
      </c>
      <c r="F303" s="8">
        <f t="shared" si="1112"/>
        <v>0</v>
      </c>
      <c r="G303" s="8">
        <f t="shared" si="1113"/>
        <v>0</v>
      </c>
      <c r="H303" s="8">
        <f t="shared" si="1114"/>
        <v>0</v>
      </c>
      <c r="I303" s="8">
        <f t="shared" si="1115"/>
        <v>0</v>
      </c>
      <c r="J303" s="8">
        <f t="shared" si="1116"/>
        <v>0</v>
      </c>
      <c r="K303" s="8">
        <f t="shared" si="1117"/>
        <v>0</v>
      </c>
      <c r="L303" s="8">
        <f t="shared" si="1118"/>
        <v>0</v>
      </c>
      <c r="M303" s="8">
        <f t="shared" si="1119"/>
        <v>1</v>
      </c>
      <c r="N303" s="8">
        <f t="shared" si="1120"/>
        <v>0</v>
      </c>
      <c r="O303" s="8">
        <f t="shared" si="1121"/>
        <v>0</v>
      </c>
      <c r="P303" s="8">
        <v>0</v>
      </c>
      <c r="Q303" s="8">
        <f t="shared" ref="Q303" si="1152">IF(COUNTIF(P294:P304,"&lt;"&amp;-0.001)=0,IF(ABS(P303)&lt;0.001,0,P303)," ")</f>
        <v>0</v>
      </c>
      <c r="R303" s="8"/>
      <c r="S303" s="8"/>
      <c r="U303" s="34"/>
      <c r="V303" s="34"/>
      <c r="W303" s="34"/>
      <c r="X303" s="34"/>
      <c r="Y303" s="34"/>
      <c r="Z303" s="34"/>
      <c r="AA303" s="34"/>
      <c r="AB303" s="34"/>
      <c r="AC303" s="34"/>
      <c r="AD303" s="34"/>
      <c r="AE303" s="34"/>
      <c r="AF303" s="34"/>
      <c r="AG303" s="34"/>
      <c r="AH303" s="34"/>
      <c r="AI303" s="34"/>
      <c r="AJ303" s="34"/>
      <c r="AK303" s="34"/>
      <c r="AL303" s="34"/>
      <c r="AM303" s="34"/>
      <c r="AN303" s="34"/>
      <c r="AO303" s="34"/>
      <c r="AP303" s="34"/>
      <c r="AQ303" s="34"/>
      <c r="AR303" s="34"/>
      <c r="AS303" s="34"/>
      <c r="AT303" s="34"/>
      <c r="AU303" s="34"/>
      <c r="AV303" s="34"/>
      <c r="AW303" s="34"/>
      <c r="AX303" s="34"/>
      <c r="AY303" s="34"/>
      <c r="AZ303" s="34"/>
      <c r="BA303" s="34"/>
      <c r="BB303" s="34"/>
      <c r="BC303" s="34"/>
      <c r="BD303" s="34"/>
      <c r="BE303" s="34"/>
      <c r="BF303" s="34"/>
      <c r="BG303" s="34"/>
      <c r="BH303" s="34"/>
      <c r="BI303" s="34"/>
      <c r="BJ303" s="34"/>
      <c r="BK303" s="34"/>
      <c r="BL303" s="34"/>
      <c r="BM303" s="34"/>
      <c r="BN303" s="34"/>
      <c r="BO303" s="34"/>
      <c r="BP303" s="34"/>
      <c r="BQ303" s="34"/>
      <c r="BR303" s="34"/>
      <c r="BS303" s="34"/>
      <c r="BT303" s="34"/>
      <c r="BU303" s="34"/>
      <c r="BV303" s="34"/>
      <c r="BW303" s="34"/>
      <c r="BX303" s="34"/>
      <c r="BY303" s="34"/>
      <c r="BZ303" s="34"/>
      <c r="CA303" s="34"/>
      <c r="CB303" s="34"/>
      <c r="CC303" s="34"/>
      <c r="CD303" s="34"/>
      <c r="CE303" s="34"/>
      <c r="CF303" s="34"/>
      <c r="CG303" s="34"/>
      <c r="CH303" s="34"/>
      <c r="CI303" s="8"/>
    </row>
    <row r="304" spans="1:87" x14ac:dyDescent="0.2">
      <c r="A304" s="8" t="str">
        <f>IF(AND(COUNTIF(W$3:W$13,A$25)&gt;0,A$25&lt;&gt;B292),A$25,IFERROR(IF(MATCH(A$25,Z$3:Z$13,0)=1,A$25," ")," "))</f>
        <v xml:space="preserve"> </v>
      </c>
      <c r="B304" s="8" t="str">
        <f>IF(A304=" "," ",MAX(B294:B303)+1)</f>
        <v xml:space="preserve"> </v>
      </c>
      <c r="C304" s="8" t="str">
        <f>IFERROR(INDEX(A294:A315,MATCH(SMALL(B294:B315,11),B294:B315,0),1)," ")</f>
        <v>C22</v>
      </c>
      <c r="D304" s="8">
        <f t="shared" si="1110"/>
        <v>0</v>
      </c>
      <c r="E304" s="8">
        <f t="shared" si="1111"/>
        <v>0</v>
      </c>
      <c r="F304" s="8">
        <f t="shared" si="1112"/>
        <v>0</v>
      </c>
      <c r="G304" s="8">
        <f t="shared" si="1113"/>
        <v>0</v>
      </c>
      <c r="H304" s="8">
        <f t="shared" si="1114"/>
        <v>0</v>
      </c>
      <c r="I304" s="8">
        <f t="shared" si="1115"/>
        <v>0</v>
      </c>
      <c r="J304" s="8">
        <f t="shared" si="1116"/>
        <v>0</v>
      </c>
      <c r="K304" s="8">
        <f t="shared" si="1117"/>
        <v>0</v>
      </c>
      <c r="L304" s="8">
        <f t="shared" si="1118"/>
        <v>0</v>
      </c>
      <c r="M304" s="8">
        <f t="shared" si="1119"/>
        <v>0</v>
      </c>
      <c r="N304" s="8">
        <f t="shared" si="1120"/>
        <v>1</v>
      </c>
      <c r="O304" s="8">
        <f t="shared" si="1121"/>
        <v>0</v>
      </c>
      <c r="P304" s="8">
        <v>0</v>
      </c>
      <c r="Q304" s="8">
        <f t="shared" ref="Q304" si="1153">IF(COUNTIF(P294:P304,"&lt;"&amp;-0.001)=0,IF(ABS(P304)&lt;0.001,0,P304)," ")</f>
        <v>0</v>
      </c>
      <c r="R304" s="8"/>
      <c r="S304" s="8"/>
      <c r="U304" s="34"/>
      <c r="V304" s="34"/>
      <c r="W304" s="34"/>
      <c r="X304" s="34"/>
      <c r="Y304" s="34"/>
      <c r="Z304" s="34"/>
      <c r="AA304" s="34"/>
      <c r="AB304" s="34"/>
      <c r="AC304" s="34"/>
      <c r="AD304" s="34"/>
      <c r="AE304" s="34"/>
      <c r="AF304" s="34"/>
      <c r="AG304" s="34"/>
      <c r="AH304" s="34"/>
      <c r="AI304" s="34"/>
      <c r="AJ304" s="34"/>
      <c r="AK304" s="34"/>
      <c r="AL304" s="34"/>
      <c r="AM304" s="34"/>
      <c r="AN304" s="34"/>
      <c r="AO304" s="34"/>
      <c r="AP304" s="34"/>
      <c r="AQ304" s="34"/>
      <c r="AR304" s="34"/>
      <c r="AS304" s="34"/>
      <c r="AT304" s="34"/>
      <c r="AU304" s="34"/>
      <c r="AV304" s="34"/>
      <c r="AW304" s="34"/>
      <c r="AX304" s="34"/>
      <c r="AY304" s="34"/>
      <c r="AZ304" s="34"/>
      <c r="BA304" s="34"/>
      <c r="BB304" s="34"/>
      <c r="BC304" s="34"/>
      <c r="BD304" s="34"/>
      <c r="BE304" s="34"/>
      <c r="BF304" s="34"/>
      <c r="BG304" s="34"/>
      <c r="BH304" s="34"/>
      <c r="BI304" s="34"/>
      <c r="BJ304" s="34"/>
      <c r="BK304" s="34"/>
      <c r="BL304" s="34"/>
      <c r="BM304" s="34"/>
      <c r="BN304" s="34"/>
      <c r="BO304" s="34"/>
      <c r="BP304" s="34"/>
      <c r="BQ304" s="34"/>
      <c r="BR304" s="34"/>
      <c r="BS304" s="34"/>
      <c r="BT304" s="34"/>
      <c r="BU304" s="34"/>
      <c r="BV304" s="34"/>
      <c r="BW304" s="34"/>
      <c r="BX304" s="34"/>
      <c r="BY304" s="34"/>
      <c r="BZ304" s="34"/>
      <c r="CA304" s="34"/>
      <c r="CB304" s="34"/>
      <c r="CC304" s="34"/>
      <c r="CD304" s="34"/>
      <c r="CE304" s="34"/>
      <c r="CF304" s="34"/>
      <c r="CG304" s="34"/>
      <c r="CH304" s="34"/>
      <c r="CI304" s="8"/>
    </row>
    <row r="305" spans="1:87" x14ac:dyDescent="0.2">
      <c r="A305" s="8" t="str">
        <f>IF(AND(COUNTIF(W$3:W$13,A$26)&gt;0,A$26&lt;&gt;B292),A$26,IFERROR(IF(MATCH(A$26,Z$3:Z$13,0)=1,A$26," ")," "))</f>
        <v xml:space="preserve"> </v>
      </c>
      <c r="B305" s="8" t="str">
        <f>IF(A305=" "," ",MAX(B294:B304)+1)</f>
        <v xml:space="preserve"> </v>
      </c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U305" s="34"/>
      <c r="V305" s="34"/>
      <c r="W305" s="34"/>
      <c r="X305" s="34"/>
      <c r="Y305" s="34"/>
      <c r="Z305" s="34"/>
      <c r="AA305" s="34"/>
      <c r="AB305" s="34"/>
      <c r="AC305" s="34"/>
      <c r="AD305" s="34"/>
      <c r="AE305" s="34"/>
      <c r="AF305" s="34"/>
      <c r="AG305" s="34"/>
      <c r="AH305" s="34"/>
      <c r="AI305" s="34"/>
      <c r="AJ305" s="34"/>
      <c r="AK305" s="34"/>
      <c r="AL305" s="34"/>
      <c r="AM305" s="34"/>
      <c r="AN305" s="34"/>
      <c r="AO305" s="34"/>
      <c r="AP305" s="34"/>
      <c r="AQ305" s="34"/>
      <c r="AR305" s="34"/>
      <c r="AS305" s="34"/>
      <c r="AT305" s="34"/>
      <c r="AU305" s="34"/>
      <c r="AV305" s="34"/>
      <c r="AW305" s="34"/>
      <c r="AX305" s="34"/>
      <c r="AY305" s="34"/>
      <c r="AZ305" s="34"/>
      <c r="BA305" s="34"/>
      <c r="BB305" s="34"/>
      <c r="BC305" s="34"/>
      <c r="BD305" s="34"/>
      <c r="BE305" s="34"/>
      <c r="BF305" s="34"/>
      <c r="BG305" s="34"/>
      <c r="BH305" s="34"/>
      <c r="BI305" s="34"/>
      <c r="BJ305" s="34"/>
      <c r="BK305" s="34"/>
      <c r="BL305" s="34"/>
      <c r="BM305" s="34"/>
      <c r="BN305" s="34"/>
      <c r="BO305" s="34"/>
      <c r="BP305" s="34"/>
      <c r="BQ305" s="34"/>
      <c r="BR305" s="34"/>
      <c r="BS305" s="34"/>
      <c r="BT305" s="34"/>
      <c r="BU305" s="34"/>
      <c r="BV305" s="34"/>
      <c r="BW305" s="34"/>
      <c r="BX305" s="34"/>
      <c r="BY305" s="34"/>
      <c r="BZ305" s="34"/>
      <c r="CA305" s="34"/>
      <c r="CB305" s="34"/>
      <c r="CC305" s="34"/>
      <c r="CD305" s="34"/>
      <c r="CE305" s="34"/>
      <c r="CF305" s="34"/>
      <c r="CG305" s="34"/>
      <c r="CH305" s="34"/>
      <c r="CI305" s="8"/>
    </row>
    <row r="306" spans="1:87" x14ac:dyDescent="0.2">
      <c r="A306" s="8" t="str">
        <f>IF(AND(COUNTIF(W$3:W$13,A$27)&gt;0,A$27&lt;&gt;B292),A$27,IFERROR(IF(MATCH(A$27,Z$3:Z$13,0)=1,A$27," ")," "))</f>
        <v>C13</v>
      </c>
      <c r="B306" s="8">
        <f>IF(A306=" "," ",MAX(B294:B305)+1)</f>
        <v>3</v>
      </c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6"/>
      <c r="Q306" s="8"/>
      <c r="R306" s="8"/>
      <c r="S306" s="8"/>
      <c r="U306" s="34"/>
      <c r="V306" s="34"/>
      <c r="W306" s="34"/>
      <c r="X306" s="34"/>
      <c r="Y306" s="34"/>
      <c r="Z306" s="34"/>
      <c r="AA306" s="34"/>
      <c r="AB306" s="34"/>
      <c r="AC306" s="34"/>
      <c r="AD306" s="34"/>
      <c r="AE306" s="34"/>
      <c r="AF306" s="34"/>
      <c r="AG306" s="34"/>
      <c r="AH306" s="34"/>
      <c r="AI306" s="34"/>
      <c r="AJ306" s="34"/>
      <c r="AK306" s="34"/>
      <c r="AL306" s="34"/>
      <c r="AM306" s="34"/>
      <c r="AN306" s="34"/>
      <c r="AO306" s="34"/>
      <c r="AP306" s="34"/>
      <c r="AQ306" s="34"/>
      <c r="AR306" s="34"/>
      <c r="AS306" s="34"/>
      <c r="AT306" s="34"/>
      <c r="AU306" s="34"/>
      <c r="AV306" s="34"/>
      <c r="AW306" s="34"/>
      <c r="AX306" s="34"/>
      <c r="AY306" s="34"/>
      <c r="AZ306" s="34"/>
      <c r="BA306" s="34"/>
      <c r="BB306" s="34"/>
      <c r="BC306" s="34"/>
      <c r="BD306" s="34"/>
      <c r="BE306" s="34"/>
      <c r="BF306" s="34"/>
      <c r="BG306" s="34"/>
      <c r="BH306" s="34"/>
      <c r="BI306" s="34"/>
      <c r="BJ306" s="34"/>
      <c r="BK306" s="34"/>
      <c r="BL306" s="34"/>
      <c r="BM306" s="34"/>
      <c r="BN306" s="34"/>
      <c r="BO306" s="34"/>
      <c r="BP306" s="34"/>
      <c r="BQ306" s="34"/>
      <c r="BR306" s="34"/>
      <c r="BS306" s="34"/>
      <c r="BT306" s="34"/>
      <c r="BU306" s="34"/>
      <c r="BV306" s="34"/>
      <c r="BW306" s="34"/>
      <c r="BX306" s="34"/>
      <c r="BY306" s="34"/>
      <c r="BZ306" s="34"/>
      <c r="CA306" s="34"/>
      <c r="CB306" s="34"/>
      <c r="CC306" s="34"/>
      <c r="CD306" s="34"/>
      <c r="CE306" s="34"/>
      <c r="CF306" s="34"/>
      <c r="CG306" s="34"/>
      <c r="CH306" s="34"/>
      <c r="CI306" s="8"/>
    </row>
    <row r="307" spans="1:87" x14ac:dyDescent="0.2">
      <c r="A307" s="8" t="str">
        <f>IF(AND(COUNTIF(W$3:W$13,A$28)&gt;0,A$28&lt;&gt;B292),A$28,IFERROR(IF(MATCH(A$28,Z$3:Z$13,0)=1,A$28," ")," "))</f>
        <v xml:space="preserve"> </v>
      </c>
      <c r="B307" s="8" t="str">
        <f>IF(A307=" "," ",MAX(B294:B306)+1)</f>
        <v xml:space="preserve"> </v>
      </c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U307" s="34"/>
      <c r="V307" s="34"/>
      <c r="W307" s="34"/>
      <c r="X307" s="34"/>
      <c r="Y307" s="34"/>
      <c r="Z307" s="34"/>
      <c r="AA307" s="34"/>
      <c r="AB307" s="34"/>
      <c r="AC307" s="34"/>
      <c r="AD307" s="34"/>
      <c r="AE307" s="34"/>
      <c r="AF307" s="34"/>
      <c r="AG307" s="34"/>
      <c r="AH307" s="34"/>
      <c r="AI307" s="34"/>
      <c r="AJ307" s="34"/>
      <c r="AK307" s="34"/>
      <c r="AL307" s="34"/>
      <c r="AM307" s="34"/>
      <c r="AN307" s="34"/>
      <c r="AO307" s="34"/>
      <c r="AP307" s="34"/>
      <c r="AQ307" s="34"/>
      <c r="AR307" s="34"/>
      <c r="AS307" s="34"/>
      <c r="AT307" s="34"/>
      <c r="AU307" s="34"/>
      <c r="AV307" s="34"/>
      <c r="AW307" s="34"/>
      <c r="AX307" s="34"/>
      <c r="AY307" s="34"/>
      <c r="AZ307" s="34"/>
      <c r="BA307" s="34"/>
      <c r="BB307" s="34"/>
      <c r="BC307" s="34"/>
      <c r="BD307" s="34"/>
      <c r="BE307" s="34"/>
      <c r="BF307" s="34"/>
      <c r="BG307" s="34"/>
      <c r="BH307" s="34"/>
      <c r="BI307" s="34"/>
      <c r="BJ307" s="34"/>
      <c r="BK307" s="34"/>
      <c r="BL307" s="34"/>
      <c r="BM307" s="34"/>
      <c r="BN307" s="34"/>
      <c r="BO307" s="34"/>
      <c r="BP307" s="34"/>
      <c r="BQ307" s="34"/>
      <c r="BR307" s="34"/>
      <c r="BS307" s="34"/>
      <c r="BT307" s="34"/>
      <c r="BU307" s="34"/>
      <c r="BV307" s="34"/>
      <c r="BW307" s="34"/>
      <c r="BX307" s="34"/>
      <c r="BY307" s="34"/>
      <c r="BZ307" s="34"/>
      <c r="CA307" s="34"/>
      <c r="CB307" s="34"/>
      <c r="CC307" s="34"/>
      <c r="CD307" s="34"/>
      <c r="CE307" s="34"/>
      <c r="CF307" s="34"/>
      <c r="CG307" s="34"/>
      <c r="CH307" s="34"/>
      <c r="CI307" s="8"/>
    </row>
    <row r="308" spans="1:87" x14ac:dyDescent="0.2">
      <c r="A308" s="8" t="str">
        <f>IF(AND(COUNTIF(W$3:W$13,A$29)&gt;0,A$29&lt;&gt;B292),A$29,IFERROR(IF(MATCH(A$29,Z$3:Z$13,0)=1,A$29," ")," "))</f>
        <v>C15</v>
      </c>
      <c r="B308" s="8">
        <f>IF(A308=" "," ",MAX(B294:B307)+1)</f>
        <v>4</v>
      </c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U308" s="34"/>
      <c r="V308" s="34"/>
      <c r="W308" s="34"/>
      <c r="X308" s="34"/>
      <c r="Y308" s="34"/>
      <c r="Z308" s="34"/>
      <c r="AA308" s="34"/>
      <c r="AB308" s="34"/>
      <c r="AC308" s="34"/>
      <c r="AD308" s="34"/>
      <c r="AE308" s="34"/>
      <c r="AF308" s="34"/>
      <c r="AG308" s="34"/>
      <c r="AH308" s="34"/>
      <c r="AI308" s="34"/>
      <c r="AJ308" s="34"/>
      <c r="AK308" s="34"/>
      <c r="AL308" s="34"/>
      <c r="AM308" s="34"/>
      <c r="AN308" s="34"/>
      <c r="AO308" s="34"/>
      <c r="AP308" s="34"/>
      <c r="AQ308" s="34"/>
      <c r="AR308" s="34"/>
      <c r="AS308" s="34"/>
      <c r="AT308" s="34"/>
      <c r="AU308" s="34"/>
      <c r="AV308" s="34"/>
      <c r="AW308" s="34"/>
      <c r="AX308" s="34"/>
      <c r="AY308" s="34"/>
      <c r="AZ308" s="34"/>
      <c r="BA308" s="34"/>
      <c r="BB308" s="34"/>
      <c r="BC308" s="34"/>
      <c r="BD308" s="34"/>
      <c r="BE308" s="34"/>
      <c r="BF308" s="34"/>
      <c r="BG308" s="34"/>
      <c r="BH308" s="34"/>
      <c r="BI308" s="34"/>
      <c r="BJ308" s="34"/>
      <c r="BK308" s="34"/>
      <c r="BL308" s="34"/>
      <c r="BM308" s="34"/>
      <c r="BN308" s="34"/>
      <c r="BO308" s="34"/>
      <c r="BP308" s="34"/>
      <c r="BQ308" s="34"/>
      <c r="BR308" s="34"/>
      <c r="BS308" s="34"/>
      <c r="BT308" s="34"/>
      <c r="BU308" s="34"/>
      <c r="BV308" s="34"/>
      <c r="BW308" s="34"/>
      <c r="BX308" s="34"/>
      <c r="BY308" s="34"/>
      <c r="BZ308" s="34"/>
      <c r="CA308" s="34"/>
      <c r="CB308" s="34"/>
      <c r="CC308" s="34"/>
      <c r="CD308" s="34"/>
      <c r="CE308" s="34"/>
      <c r="CF308" s="34"/>
      <c r="CG308" s="34"/>
      <c r="CH308" s="34"/>
      <c r="CI308" s="8"/>
    </row>
    <row r="309" spans="1:87" x14ac:dyDescent="0.2">
      <c r="A309" s="8" t="str">
        <f>IF(AND(COUNTIF(W$3:W$13,A$30)&gt;0,A$30&lt;&gt;B292),A$30,IFERROR(IF(MATCH(A$30,Z$3:Z$13,0)=1,A$30," ")," "))</f>
        <v>C16</v>
      </c>
      <c r="B309" s="8">
        <f>IF(A309=" "," ",MAX(B294:B308)+1)</f>
        <v>5</v>
      </c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U309" s="34"/>
      <c r="V309" s="34"/>
      <c r="W309" s="34"/>
      <c r="X309" s="34"/>
      <c r="Y309" s="34"/>
      <c r="Z309" s="34"/>
      <c r="AA309" s="34"/>
      <c r="AB309" s="34"/>
      <c r="AC309" s="34"/>
      <c r="AD309" s="34"/>
      <c r="AE309" s="34"/>
      <c r="AF309" s="34"/>
      <c r="AG309" s="34"/>
      <c r="AH309" s="34"/>
      <c r="AI309" s="34"/>
      <c r="AJ309" s="34"/>
      <c r="AK309" s="34"/>
      <c r="AL309" s="34"/>
      <c r="AM309" s="34"/>
      <c r="AN309" s="34"/>
      <c r="AO309" s="34"/>
      <c r="AP309" s="34"/>
      <c r="AQ309" s="34"/>
      <c r="AR309" s="34"/>
      <c r="AS309" s="34"/>
      <c r="AT309" s="34"/>
      <c r="AU309" s="34"/>
      <c r="AV309" s="34"/>
      <c r="AW309" s="34"/>
      <c r="AX309" s="34"/>
      <c r="AY309" s="34"/>
      <c r="AZ309" s="34"/>
      <c r="BA309" s="34"/>
      <c r="BB309" s="34"/>
      <c r="BC309" s="34"/>
      <c r="BD309" s="34"/>
      <c r="BE309" s="34"/>
      <c r="BF309" s="34"/>
      <c r="BG309" s="34"/>
      <c r="BH309" s="34"/>
      <c r="BI309" s="34"/>
      <c r="BJ309" s="34"/>
      <c r="BK309" s="34"/>
      <c r="BL309" s="34"/>
      <c r="BM309" s="34"/>
      <c r="BN309" s="34"/>
      <c r="BO309" s="34"/>
      <c r="BP309" s="34"/>
      <c r="BQ309" s="34"/>
      <c r="BR309" s="34"/>
      <c r="BS309" s="34"/>
      <c r="BT309" s="34"/>
      <c r="BU309" s="34"/>
      <c r="BV309" s="34"/>
      <c r="BW309" s="34"/>
      <c r="BX309" s="34"/>
      <c r="BY309" s="34"/>
      <c r="BZ309" s="34"/>
      <c r="CA309" s="34"/>
      <c r="CB309" s="34"/>
      <c r="CC309" s="34"/>
      <c r="CD309" s="34"/>
      <c r="CE309" s="34"/>
      <c r="CF309" s="34"/>
      <c r="CG309" s="34"/>
      <c r="CH309" s="34"/>
      <c r="CI309" s="8"/>
    </row>
    <row r="310" spans="1:87" x14ac:dyDescent="0.2">
      <c r="A310" s="8" t="str">
        <f>IF(AND(COUNTIF(W$3:W$13,A$31)&gt;0,A$31&lt;&gt;B292),A$31,IFERROR(IF(MATCH(A$31,Z$3:Z$13,0)=1,A$31," ")," "))</f>
        <v>C17</v>
      </c>
      <c r="B310" s="8">
        <f>IF(A310=" "," ",MAX(B294:B309)+1)</f>
        <v>6</v>
      </c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U310" s="34"/>
      <c r="V310" s="34"/>
      <c r="W310" s="34"/>
      <c r="X310" s="34"/>
      <c r="Y310" s="34"/>
      <c r="Z310" s="34"/>
      <c r="AA310" s="34"/>
      <c r="AB310" s="34"/>
      <c r="AC310" s="34"/>
      <c r="AD310" s="34"/>
      <c r="AE310" s="34"/>
      <c r="AF310" s="34"/>
      <c r="AG310" s="34"/>
      <c r="AH310" s="34"/>
      <c r="AI310" s="34"/>
      <c r="AJ310" s="34"/>
      <c r="AK310" s="34"/>
      <c r="AL310" s="34"/>
      <c r="AM310" s="34"/>
      <c r="AN310" s="34"/>
      <c r="AO310" s="34"/>
      <c r="AP310" s="34"/>
      <c r="AQ310" s="34"/>
      <c r="AR310" s="34"/>
      <c r="AS310" s="34"/>
      <c r="AT310" s="34"/>
      <c r="AU310" s="34"/>
      <c r="AV310" s="34"/>
      <c r="AW310" s="34"/>
      <c r="AX310" s="34"/>
      <c r="AY310" s="34"/>
      <c r="AZ310" s="34"/>
      <c r="BA310" s="34"/>
      <c r="BB310" s="34"/>
      <c r="BC310" s="34"/>
      <c r="BD310" s="34"/>
      <c r="BE310" s="34"/>
      <c r="BF310" s="34"/>
      <c r="BG310" s="34"/>
      <c r="BH310" s="34"/>
      <c r="BI310" s="34"/>
      <c r="BJ310" s="34"/>
      <c r="BK310" s="34"/>
      <c r="BL310" s="34"/>
      <c r="BM310" s="34"/>
      <c r="BN310" s="34"/>
      <c r="BO310" s="34"/>
      <c r="BP310" s="34"/>
      <c r="BQ310" s="34"/>
      <c r="BR310" s="34"/>
      <c r="BS310" s="34"/>
      <c r="BT310" s="34"/>
      <c r="BU310" s="34"/>
      <c r="BV310" s="34"/>
      <c r="BW310" s="34"/>
      <c r="BX310" s="34"/>
      <c r="BY310" s="34"/>
      <c r="BZ310" s="34"/>
      <c r="CA310" s="34"/>
      <c r="CB310" s="34"/>
      <c r="CC310" s="34"/>
      <c r="CD310" s="34"/>
      <c r="CE310" s="34"/>
      <c r="CF310" s="34"/>
      <c r="CG310" s="34"/>
      <c r="CH310" s="34"/>
      <c r="CI310" s="8"/>
    </row>
    <row r="311" spans="1:87" x14ac:dyDescent="0.2">
      <c r="A311" s="8" t="str">
        <f>IF(AND(COUNTIF(W$3:W$13,A$32)&gt;0,A$32&lt;&gt;B292),A$32,IFERROR(IF(MATCH(A$32,Z$3:Z$13,0)=1,A$32," ")," "))</f>
        <v>C18</v>
      </c>
      <c r="B311" s="8">
        <f>IF(A311=" "," ",MAX(B294:B310)+1)</f>
        <v>7</v>
      </c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U311" s="34"/>
      <c r="V311" s="34"/>
      <c r="W311" s="34"/>
      <c r="X311" s="34"/>
      <c r="Y311" s="34"/>
      <c r="Z311" s="34"/>
      <c r="AA311" s="34"/>
      <c r="AB311" s="34"/>
      <c r="AC311" s="34"/>
      <c r="AD311" s="34"/>
      <c r="AE311" s="34"/>
      <c r="AF311" s="34"/>
      <c r="AG311" s="34"/>
      <c r="AH311" s="34"/>
      <c r="AI311" s="34"/>
      <c r="AJ311" s="34"/>
      <c r="AK311" s="34"/>
      <c r="AL311" s="34"/>
      <c r="AM311" s="34"/>
      <c r="AN311" s="34"/>
      <c r="AO311" s="34"/>
      <c r="AP311" s="34"/>
      <c r="AQ311" s="34"/>
      <c r="AR311" s="34"/>
      <c r="AS311" s="34"/>
      <c r="AT311" s="34"/>
      <c r="AU311" s="34"/>
      <c r="AV311" s="34"/>
      <c r="AW311" s="34"/>
      <c r="AX311" s="34"/>
      <c r="AY311" s="34"/>
      <c r="AZ311" s="34"/>
      <c r="BA311" s="34"/>
      <c r="BB311" s="34"/>
      <c r="BC311" s="34"/>
      <c r="BD311" s="34"/>
      <c r="BE311" s="34"/>
      <c r="BF311" s="34"/>
      <c r="BG311" s="34"/>
      <c r="BH311" s="34"/>
      <c r="BI311" s="34"/>
      <c r="BJ311" s="34"/>
      <c r="BK311" s="34"/>
      <c r="BL311" s="34"/>
      <c r="BM311" s="34"/>
      <c r="BN311" s="34"/>
      <c r="BO311" s="34"/>
      <c r="BP311" s="34"/>
      <c r="BQ311" s="34"/>
      <c r="BR311" s="34"/>
      <c r="BS311" s="34"/>
      <c r="BT311" s="34"/>
      <c r="BU311" s="34"/>
      <c r="BV311" s="34"/>
      <c r="BW311" s="34"/>
      <c r="BX311" s="34"/>
      <c r="BY311" s="34"/>
      <c r="BZ311" s="34"/>
      <c r="CA311" s="34"/>
      <c r="CB311" s="34"/>
      <c r="CC311" s="34"/>
      <c r="CD311" s="34"/>
      <c r="CE311" s="34"/>
      <c r="CF311" s="34"/>
      <c r="CG311" s="34"/>
      <c r="CH311" s="34"/>
      <c r="CI311" s="8"/>
    </row>
    <row r="312" spans="1:87" x14ac:dyDescent="0.2">
      <c r="A312" s="8" t="str">
        <f>IF(AND(COUNTIF(W$3:W$13,A$33)&gt;0,A$33&lt;&gt;B292),A$33,IFERROR(IF(MATCH(A$33,Z$3:Z$13,0)=1,A$33," ")," "))</f>
        <v>C19</v>
      </c>
      <c r="B312" s="8">
        <f>IF(A312=" "," ",MAX(B294:B311)+1)</f>
        <v>8</v>
      </c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U312" s="34"/>
      <c r="V312" s="34"/>
      <c r="W312" s="34"/>
      <c r="X312" s="34"/>
      <c r="Y312" s="34"/>
      <c r="Z312" s="34"/>
      <c r="AA312" s="34"/>
      <c r="AB312" s="34"/>
      <c r="AC312" s="34"/>
      <c r="AD312" s="34"/>
      <c r="AE312" s="34"/>
      <c r="AF312" s="34"/>
      <c r="AG312" s="34"/>
      <c r="AH312" s="34"/>
      <c r="AI312" s="34"/>
      <c r="AJ312" s="34"/>
      <c r="AK312" s="34"/>
      <c r="AL312" s="34"/>
      <c r="AM312" s="34"/>
      <c r="AN312" s="34"/>
      <c r="AO312" s="34"/>
      <c r="AP312" s="34"/>
      <c r="AQ312" s="34"/>
      <c r="AR312" s="34"/>
      <c r="AS312" s="34"/>
      <c r="AT312" s="34"/>
      <c r="AU312" s="34"/>
      <c r="AV312" s="34"/>
      <c r="AW312" s="34"/>
      <c r="AX312" s="34"/>
      <c r="AY312" s="34"/>
      <c r="AZ312" s="34"/>
      <c r="BA312" s="34"/>
      <c r="BB312" s="34"/>
      <c r="BC312" s="34"/>
      <c r="BD312" s="34"/>
      <c r="BE312" s="34"/>
      <c r="BF312" s="34"/>
      <c r="BG312" s="34"/>
      <c r="BH312" s="34"/>
      <c r="BI312" s="34"/>
      <c r="BJ312" s="34"/>
      <c r="BK312" s="34"/>
      <c r="BL312" s="34"/>
      <c r="BM312" s="34"/>
      <c r="BN312" s="34"/>
      <c r="BO312" s="34"/>
      <c r="BP312" s="34"/>
      <c r="BQ312" s="34"/>
      <c r="BR312" s="34"/>
      <c r="BS312" s="34"/>
      <c r="BT312" s="34"/>
      <c r="BU312" s="34"/>
      <c r="BV312" s="34"/>
      <c r="BW312" s="34"/>
      <c r="BX312" s="34"/>
      <c r="BY312" s="34"/>
      <c r="BZ312" s="34"/>
      <c r="CA312" s="34"/>
      <c r="CB312" s="34"/>
      <c r="CC312" s="34"/>
      <c r="CD312" s="34"/>
      <c r="CE312" s="34"/>
      <c r="CF312" s="34"/>
      <c r="CG312" s="34"/>
      <c r="CH312" s="34"/>
      <c r="CI312" s="8"/>
    </row>
    <row r="313" spans="1:87" x14ac:dyDescent="0.2">
      <c r="A313" s="8" t="str">
        <f>IF(AND(COUNTIF(W$3:W$13,A$34)&gt;0,A$34&lt;&gt;B292),A$34,IFERROR(IF(MATCH(A$34,Z$3:Z$13,0)=1,A$34," ")," "))</f>
        <v>C20</v>
      </c>
      <c r="B313" s="8">
        <f>IF(A313=" "," ",MAX(B294:B312)+1)</f>
        <v>9</v>
      </c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U313" s="34"/>
      <c r="V313" s="34"/>
      <c r="W313" s="34"/>
      <c r="X313" s="34"/>
      <c r="Y313" s="34"/>
      <c r="Z313" s="34"/>
      <c r="AA313" s="34"/>
      <c r="AB313" s="34"/>
      <c r="AC313" s="34"/>
      <c r="AD313" s="34"/>
      <c r="AE313" s="34"/>
      <c r="AF313" s="34"/>
      <c r="AG313" s="34"/>
      <c r="AH313" s="34"/>
      <c r="AI313" s="34"/>
      <c r="AJ313" s="34"/>
      <c r="AK313" s="34"/>
      <c r="AL313" s="34"/>
      <c r="AM313" s="34"/>
      <c r="AN313" s="34"/>
      <c r="AO313" s="34"/>
      <c r="AP313" s="34"/>
      <c r="AQ313" s="34"/>
      <c r="AR313" s="34"/>
      <c r="AS313" s="34"/>
      <c r="AT313" s="34"/>
      <c r="AU313" s="34"/>
      <c r="AV313" s="34"/>
      <c r="AW313" s="34"/>
      <c r="AX313" s="34"/>
      <c r="AY313" s="34"/>
      <c r="AZ313" s="34"/>
      <c r="BA313" s="34"/>
      <c r="BB313" s="34"/>
      <c r="BC313" s="34"/>
      <c r="BD313" s="34"/>
      <c r="BE313" s="34"/>
      <c r="BF313" s="34"/>
      <c r="BG313" s="34"/>
      <c r="BH313" s="34"/>
      <c r="BI313" s="34"/>
      <c r="BJ313" s="34"/>
      <c r="BK313" s="34"/>
      <c r="BL313" s="34"/>
      <c r="BM313" s="34"/>
      <c r="BN313" s="34"/>
      <c r="BO313" s="34"/>
      <c r="BP313" s="34"/>
      <c r="BQ313" s="34"/>
      <c r="BR313" s="34"/>
      <c r="BS313" s="34"/>
      <c r="BT313" s="34"/>
      <c r="BU313" s="34"/>
      <c r="BV313" s="34"/>
      <c r="BW313" s="34"/>
      <c r="BX313" s="34"/>
      <c r="BY313" s="34"/>
      <c r="BZ313" s="34"/>
      <c r="CA313" s="34"/>
      <c r="CB313" s="34"/>
      <c r="CC313" s="34"/>
      <c r="CD313" s="34"/>
      <c r="CE313" s="34"/>
      <c r="CF313" s="34"/>
      <c r="CG313" s="34"/>
      <c r="CH313" s="34"/>
      <c r="CI313" s="8"/>
    </row>
    <row r="314" spans="1:87" x14ac:dyDescent="0.2">
      <c r="A314" s="8" t="str">
        <f>IF(AND(COUNTIF(W$3:W$13,A$35)&gt;0,A$35&lt;&gt;B292),A$35,IFERROR(IF(MATCH(A$35,Z$3:Z$13,0)=1,A$35," ")," "))</f>
        <v>C21</v>
      </c>
      <c r="B314" s="8">
        <f>IF(A314=" "," ",MAX(B294:B313)+1)</f>
        <v>10</v>
      </c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U314" s="34"/>
      <c r="V314" s="34"/>
      <c r="W314" s="34"/>
      <c r="X314" s="34"/>
      <c r="Y314" s="34"/>
      <c r="Z314" s="34"/>
      <c r="AA314" s="34"/>
      <c r="AB314" s="34"/>
      <c r="AC314" s="34"/>
      <c r="AD314" s="34"/>
      <c r="AE314" s="34"/>
      <c r="AF314" s="34"/>
      <c r="AG314" s="34"/>
      <c r="AH314" s="34"/>
      <c r="AI314" s="34"/>
      <c r="AJ314" s="34"/>
      <c r="AK314" s="34"/>
      <c r="AL314" s="34"/>
      <c r="AM314" s="34"/>
      <c r="AN314" s="34"/>
      <c r="AO314" s="34"/>
      <c r="AP314" s="34"/>
      <c r="AQ314" s="34"/>
      <c r="AR314" s="34"/>
      <c r="AS314" s="34"/>
      <c r="AT314" s="34"/>
      <c r="AU314" s="34"/>
      <c r="AV314" s="34"/>
      <c r="AW314" s="34"/>
      <c r="AX314" s="34"/>
      <c r="AY314" s="34"/>
      <c r="AZ314" s="34"/>
      <c r="BA314" s="34"/>
      <c r="BB314" s="34"/>
      <c r="BC314" s="34"/>
      <c r="BD314" s="34"/>
      <c r="BE314" s="34"/>
      <c r="BF314" s="34"/>
      <c r="BG314" s="34"/>
      <c r="BH314" s="34"/>
      <c r="BI314" s="34"/>
      <c r="BJ314" s="34"/>
      <c r="BK314" s="34"/>
      <c r="BL314" s="34"/>
      <c r="BM314" s="34"/>
      <c r="BN314" s="34"/>
      <c r="BO314" s="34"/>
      <c r="BP314" s="34"/>
      <c r="BQ314" s="34"/>
      <c r="BR314" s="34"/>
      <c r="BS314" s="34"/>
      <c r="BT314" s="34"/>
      <c r="BU314" s="34"/>
      <c r="BV314" s="34"/>
      <c r="BW314" s="34"/>
      <c r="BX314" s="34"/>
      <c r="BY314" s="34"/>
      <c r="BZ314" s="34"/>
      <c r="CA314" s="34"/>
      <c r="CB314" s="34"/>
      <c r="CC314" s="34"/>
      <c r="CD314" s="34"/>
      <c r="CE314" s="34"/>
      <c r="CF314" s="34"/>
      <c r="CG314" s="34"/>
      <c r="CH314" s="34"/>
      <c r="CI314" s="8"/>
    </row>
    <row r="315" spans="1:87" x14ac:dyDescent="0.2">
      <c r="A315" s="8" t="str">
        <f>IF(AND(COUNTIF(W$3:W$13,A$36)&gt;0,A$36&lt;&gt;B292),A$36,IFERROR(IF(MATCH(A$36,Z$3:Z$13,0)=1,A$36," ")," "))</f>
        <v>C22</v>
      </c>
      <c r="B315" s="8">
        <f>IF(A315=" "," ",MAX(B294:B314)+1)</f>
        <v>11</v>
      </c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U315" s="34"/>
      <c r="V315" s="34"/>
      <c r="W315" s="34"/>
      <c r="X315" s="34"/>
      <c r="Y315" s="34"/>
      <c r="Z315" s="34"/>
      <c r="AA315" s="34"/>
      <c r="AB315" s="34"/>
      <c r="AC315" s="34"/>
      <c r="AD315" s="34"/>
      <c r="AE315" s="34"/>
      <c r="AF315" s="34"/>
      <c r="AG315" s="34"/>
      <c r="AH315" s="34"/>
      <c r="AI315" s="34"/>
      <c r="AJ315" s="34"/>
      <c r="AK315" s="34"/>
      <c r="AL315" s="34"/>
      <c r="AM315" s="34"/>
      <c r="AN315" s="34"/>
      <c r="AO315" s="34"/>
      <c r="AP315" s="34"/>
      <c r="AQ315" s="34"/>
      <c r="AR315" s="34"/>
      <c r="AS315" s="34"/>
      <c r="AT315" s="34"/>
      <c r="AU315" s="34"/>
      <c r="AV315" s="34"/>
      <c r="AW315" s="34"/>
      <c r="AX315" s="34"/>
      <c r="AY315" s="34"/>
      <c r="AZ315" s="34"/>
      <c r="BA315" s="34"/>
      <c r="BB315" s="34"/>
      <c r="BC315" s="34"/>
      <c r="BD315" s="34"/>
      <c r="BE315" s="34"/>
      <c r="BF315" s="34"/>
      <c r="BG315" s="34"/>
      <c r="BH315" s="34"/>
      <c r="BI315" s="34"/>
      <c r="BJ315" s="34"/>
      <c r="BK315" s="34"/>
      <c r="BL315" s="34"/>
      <c r="BM315" s="34"/>
      <c r="BN315" s="34"/>
      <c r="BO315" s="34"/>
      <c r="BP315" s="34"/>
      <c r="BQ315" s="34"/>
      <c r="BR315" s="34"/>
      <c r="BS315" s="34"/>
      <c r="BT315" s="34"/>
      <c r="BU315" s="34"/>
      <c r="BV315" s="34"/>
      <c r="BW315" s="34"/>
      <c r="BX315" s="34"/>
      <c r="BY315" s="34"/>
      <c r="BZ315" s="34"/>
      <c r="CA315" s="34"/>
      <c r="CB315" s="34"/>
      <c r="CC315" s="34"/>
      <c r="CD315" s="34"/>
      <c r="CE315" s="34"/>
      <c r="CF315" s="34"/>
      <c r="CG315" s="34"/>
      <c r="CH315" s="34"/>
      <c r="CI315" s="8"/>
    </row>
    <row r="316" spans="1:87" x14ac:dyDescent="0.2">
      <c r="A316" s="11" t="s">
        <v>17</v>
      </c>
      <c r="B316" s="11"/>
      <c r="C316" s="27" t="s">
        <v>18</v>
      </c>
      <c r="D316" s="27" t="s">
        <v>2</v>
      </c>
      <c r="E316" s="27" t="s">
        <v>6</v>
      </c>
      <c r="F316" s="27" t="s">
        <v>15</v>
      </c>
      <c r="G316" s="27" t="s">
        <v>36</v>
      </c>
      <c r="H316" s="27" t="s">
        <v>37</v>
      </c>
      <c r="I316" s="27" t="s">
        <v>38</v>
      </c>
      <c r="J316" s="27" t="s">
        <v>39</v>
      </c>
      <c r="K316" s="27" t="s">
        <v>40</v>
      </c>
      <c r="L316" s="27" t="s">
        <v>41</v>
      </c>
      <c r="M316" s="27" t="s">
        <v>42</v>
      </c>
      <c r="N316" s="27" t="s">
        <v>43</v>
      </c>
      <c r="O316" s="27" t="s">
        <v>9</v>
      </c>
      <c r="P316" s="27" t="s">
        <v>12</v>
      </c>
      <c r="Q316" s="27" t="s">
        <v>19</v>
      </c>
      <c r="R316" s="27" t="s">
        <v>55</v>
      </c>
      <c r="S316" s="27" t="s">
        <v>26</v>
      </c>
      <c r="T316" s="19" t="s">
        <v>25</v>
      </c>
      <c r="U316" s="33" t="s">
        <v>27</v>
      </c>
      <c r="V316" s="33" t="s">
        <v>9</v>
      </c>
      <c r="W316" s="33" t="s">
        <v>23</v>
      </c>
      <c r="X316" s="33" t="s">
        <v>12</v>
      </c>
      <c r="Y316" s="33" t="s">
        <v>26</v>
      </c>
      <c r="Z316" s="33" t="s">
        <v>25</v>
      </c>
      <c r="AA316" s="33" t="s">
        <v>27</v>
      </c>
      <c r="AB316" s="33" t="s">
        <v>9</v>
      </c>
      <c r="AC316" s="33" t="s">
        <v>23</v>
      </c>
      <c r="AD316" s="33" t="s">
        <v>12</v>
      </c>
      <c r="AE316" s="33" t="s">
        <v>26</v>
      </c>
      <c r="AF316" s="33" t="s">
        <v>25</v>
      </c>
      <c r="AG316" s="33" t="s">
        <v>27</v>
      </c>
      <c r="AH316" s="33" t="s">
        <v>9</v>
      </c>
      <c r="AI316" s="33" t="s">
        <v>23</v>
      </c>
      <c r="AJ316" s="33" t="s">
        <v>12</v>
      </c>
      <c r="AK316" s="33" t="s">
        <v>26</v>
      </c>
      <c r="AL316" s="33" t="s">
        <v>25</v>
      </c>
      <c r="AM316" s="33" t="s">
        <v>27</v>
      </c>
      <c r="AN316" s="33" t="s">
        <v>9</v>
      </c>
      <c r="AO316" s="33" t="s">
        <v>23</v>
      </c>
      <c r="AP316" s="33" t="s">
        <v>12</v>
      </c>
      <c r="AQ316" s="33" t="s">
        <v>26</v>
      </c>
      <c r="AR316" s="33" t="s">
        <v>25</v>
      </c>
      <c r="AS316" s="33" t="s">
        <v>27</v>
      </c>
      <c r="AT316" s="33" t="s">
        <v>9</v>
      </c>
      <c r="AU316" s="33" t="s">
        <v>23</v>
      </c>
      <c r="AV316" s="33" t="s">
        <v>12</v>
      </c>
      <c r="AW316" s="33" t="s">
        <v>26</v>
      </c>
      <c r="AX316" s="33" t="s">
        <v>25</v>
      </c>
      <c r="AY316" s="33" t="s">
        <v>27</v>
      </c>
      <c r="AZ316" s="33" t="s">
        <v>9</v>
      </c>
      <c r="BA316" s="33" t="s">
        <v>23</v>
      </c>
      <c r="BB316" s="33" t="s">
        <v>12</v>
      </c>
      <c r="BC316" s="33" t="s">
        <v>26</v>
      </c>
      <c r="BD316" s="33" t="s">
        <v>25</v>
      </c>
      <c r="BE316" s="33" t="s">
        <v>27</v>
      </c>
      <c r="BF316" s="33" t="s">
        <v>9</v>
      </c>
      <c r="BG316" s="33" t="s">
        <v>23</v>
      </c>
      <c r="BH316" s="33" t="s">
        <v>12</v>
      </c>
      <c r="BI316" s="33" t="s">
        <v>26</v>
      </c>
      <c r="BJ316" s="33" t="s">
        <v>25</v>
      </c>
      <c r="BK316" s="33" t="s">
        <v>27</v>
      </c>
      <c r="BL316" s="33" t="s">
        <v>9</v>
      </c>
      <c r="BM316" s="33" t="s">
        <v>23</v>
      </c>
      <c r="BN316" s="33" t="s">
        <v>12</v>
      </c>
      <c r="BO316" s="33" t="s">
        <v>26</v>
      </c>
      <c r="BP316" s="33" t="s">
        <v>25</v>
      </c>
      <c r="BQ316" s="33" t="s">
        <v>27</v>
      </c>
      <c r="BR316" s="33" t="s">
        <v>9</v>
      </c>
      <c r="BS316" s="33" t="s">
        <v>23</v>
      </c>
      <c r="BT316" s="33" t="s">
        <v>12</v>
      </c>
      <c r="BU316" s="33" t="s">
        <v>26</v>
      </c>
      <c r="BV316" s="33" t="s">
        <v>25</v>
      </c>
      <c r="BW316" s="33" t="s">
        <v>27</v>
      </c>
      <c r="BX316" s="33" t="s">
        <v>9</v>
      </c>
      <c r="BY316" s="33" t="s">
        <v>23</v>
      </c>
      <c r="BZ316" s="33" t="s">
        <v>12</v>
      </c>
      <c r="CA316" s="33" t="s">
        <v>26</v>
      </c>
      <c r="CB316" s="33" t="s">
        <v>25</v>
      </c>
      <c r="CC316" s="33" t="s">
        <v>27</v>
      </c>
      <c r="CD316" s="33" t="s">
        <v>9</v>
      </c>
      <c r="CE316" s="33" t="s">
        <v>23</v>
      </c>
      <c r="CF316" s="33" t="s">
        <v>12</v>
      </c>
      <c r="CG316" s="33" t="s">
        <v>26</v>
      </c>
      <c r="CH316" s="33" t="s">
        <v>25</v>
      </c>
      <c r="CI316" s="8"/>
    </row>
    <row r="317" spans="1:87" x14ac:dyDescent="0.2">
      <c r="A317" s="8" t="str">
        <f>IF(AND(COUNTIF(W$3:W$13,A$15)&gt;0,A$15&lt;&gt;B292),A$15,IFERROR(IF(MATCH(A$15,Z$3:Z$13,0)=2,A$15," ")," "))</f>
        <v xml:space="preserve"> </v>
      </c>
      <c r="B317" s="8" t="str">
        <f>IF(A317=" "," ",1)</f>
        <v xml:space="preserve"> </v>
      </c>
      <c r="C317" s="8" t="str">
        <f>IFERROR(INDEX(A317:A338,MATCH(SMALL(B317:B338,1),B317:B338,0),1)," ")</f>
        <v>C2</v>
      </c>
      <c r="D317" s="8">
        <f>IFERROR(VLOOKUP($C317,$A$15:$O$36,2,FALSE)," ")</f>
        <v>1</v>
      </c>
      <c r="E317" s="8">
        <f>IFERROR(VLOOKUP($C317,$A$15:$O$36,3,FALSE)," ")</f>
        <v>3</v>
      </c>
      <c r="F317" s="8">
        <f>IFERROR(VLOOKUP($C317,$A$15:$O$36,4,FALSE)," ")</f>
        <v>2</v>
      </c>
      <c r="G317" s="8">
        <f>IFERROR(VLOOKUP($C317,$A$15:$O$36,5,FALSE)," ")</f>
        <v>0</v>
      </c>
      <c r="H317" s="8">
        <f>IFERROR(VLOOKUP($C317,$A$15:$O$36,6,FALSE)," ")</f>
        <v>0</v>
      </c>
      <c r="I317" s="8">
        <f>IFERROR(VLOOKUP($C317,$A$15:$O$36,7,FALSE)," ")</f>
        <v>0</v>
      </c>
      <c r="J317" s="8">
        <f>IFERROR(VLOOKUP($C317,$A$15:$O$36,8,FALSE)," ")</f>
        <v>0</v>
      </c>
      <c r="K317" s="8">
        <f>IFERROR(VLOOKUP($C317,$A$15:$O$36,9,FALSE)," ")</f>
        <v>0</v>
      </c>
      <c r="L317" s="8">
        <f>IFERROR(VLOOKUP($C317,$A$15:$O$36,10,FALSE)," ")</f>
        <v>0</v>
      </c>
      <c r="M317" s="8">
        <f>IFERROR(VLOOKUP($C317,$A$15:$O$36,11,FALSE)," ")</f>
        <v>0</v>
      </c>
      <c r="N317" s="8">
        <f>IFERROR(VLOOKUP($C317,$A$15:$O$36,12,FALSE)," ")</f>
        <v>0</v>
      </c>
      <c r="O317" s="8">
        <f>IFERROR(VLOOKUP($C317,$A$15:$O$36,15,FALSE)," ")</f>
        <v>1000</v>
      </c>
      <c r="P317" s="8">
        <f t="array" ref="P317:P327">MMULT(MINVERSE(D317:N327),O317:O327)</f>
        <v>1000</v>
      </c>
      <c r="Q317" s="8">
        <f t="shared" ref="Q317" si="1154">IF(COUNTIF(P317:P327,"&lt;"&amp;-0.001)=0,IF(ABS(P317)&lt;0.001,0,P317)," ")</f>
        <v>1000</v>
      </c>
      <c r="R317" s="8">
        <f>IFERROR(VLOOKUP(B292,A$15:L$36,2,FALSE)*Q317+VLOOKUP(B292,A$15:L$36,3,FALSE)*Q318+VLOOKUP(B292,A$15:L$36,4,FALSE)*Q319+VLOOKUP(B292,A$15:L$36,5,FALSE)*Q320+VLOOKUP(B292,A$15:L$36,6,FALSE)*Q321+VLOOKUP(B292,A$15:L$36,7,FALSE)*Q322+VLOOKUP(B292,A$15:L$36,8,FALSE)*Q323+VLOOKUP(B292,A$15:L$36,9,FALSE)*Q324+VLOOKUP(B292,A$15:L$36,10,FALSE)*Q325+VLOOKUP(B292,A$15:L$36,11,FALSE)*Q326+VLOOKUP(B292,A$15:L$36,12,FALSE)*Q327," ")</f>
        <v>1000</v>
      </c>
      <c r="S317" s="8" t="str">
        <f>IFERROR(IF(R317-VLOOKUP(B292,A$15:O$36,15,FALSE)&lt;0,R317-VLOOKUP(B292,A$15:O$36,15,FALSE)," ")," ")</f>
        <v xml:space="preserve"> </v>
      </c>
      <c r="T317" s="18">
        <f>IFERROR(IF(R317-VLOOKUP(B292,A$15:O$36,15,FALSE)&gt;0,R317-VLOOKUP(B292,A$15:O$36,15,FALSE)," ")," ")</f>
        <v>600</v>
      </c>
      <c r="U317" s="34">
        <f t="shared" ref="U317" si="1155">$M$2</f>
        <v>100.00000000000001</v>
      </c>
      <c r="V317" s="34">
        <v>-1</v>
      </c>
      <c r="W317" s="34">
        <f t="shared" ref="W317" si="1156">-SUMPRODUCT($M$3:$M$12,$N$3:$N$12)</f>
        <v>-105000</v>
      </c>
      <c r="X317" s="34">
        <f t="shared" ref="X317" si="1157">IF(U317&lt;&gt;U318,MMULT(MINVERSE(U317:V318),W317:W318)," ")</f>
        <v>116.66666666666667</v>
      </c>
      <c r="Y317" s="34">
        <f t="shared" ref="Y317" si="1158">IFERROR(IF(X317-VLOOKUP(U$38,$A$2:$N$12,14,FALSE)&lt;0,X317-VLOOKUP(U$38,$A$2:$N$12,14,FALSE)," ")," ")</f>
        <v>-33.333333333333329</v>
      </c>
      <c r="Z317" s="34" t="str">
        <f t="shared" ref="Z317" si="1159">IFERROR(IF(X317-VLOOKUP(U$38,$A$2:$N$12,14,FALSE)&gt;0,X317-VLOOKUP(U$38,$A$2:$N$12,14,FALSE)," ")," ")</f>
        <v xml:space="preserve"> </v>
      </c>
      <c r="AA317" s="34">
        <f t="shared" ref="AA317" si="1160">$M$3</f>
        <v>0</v>
      </c>
      <c r="AB317" s="34">
        <v>-1</v>
      </c>
      <c r="AC317" s="34">
        <f t="shared" ref="AC317" si="1161">-SUMPRODUCT($M$2:$M$2,$N$2:$N$2)-SUMPRODUCT($M$4:$M$12,$N$4:$N$12)</f>
        <v>-120000</v>
      </c>
      <c r="AD317" s="34" t="str">
        <f t="shared" ref="AD317" si="1162">IF(AA317&lt;&gt;AA318,MMULT(MINVERSE(AA317:AB318),AC317:AC318)," ")</f>
        <v xml:space="preserve"> </v>
      </c>
      <c r="AE317" s="34" t="str">
        <f t="shared" ref="AE317" si="1163">IFERROR(IF(AD317-VLOOKUP(AA$38,$A$2:$N$12,14,FALSE)&lt;0,AD317-VLOOKUP(AA$38,$A$2:$N$12,14,FALSE)," ")," ")</f>
        <v xml:space="preserve"> </v>
      </c>
      <c r="AF317" s="34" t="str">
        <f t="shared" ref="AF317" si="1164">IFERROR(IF(AD317-VLOOKUP(AA$38,$A$2:$N$12,14,FALSE)&gt;0,AD317-VLOOKUP(AA$38,$A$2:$N$12,14,FALSE)," ")," ")</f>
        <v xml:space="preserve"> </v>
      </c>
      <c r="AG317" s="34">
        <f t="shared" ref="AG317" si="1165">$M$4</f>
        <v>300</v>
      </c>
      <c r="AH317" s="34">
        <v>-1</v>
      </c>
      <c r="AI317" s="34">
        <f t="shared" ref="AI317" si="1166">-SUMPRODUCT($M$2:$M$3,$N$2:$N$3)-SUMPRODUCT($M$5:$M$12,$N$5:$N$12)</f>
        <v>-15000.000000000002</v>
      </c>
      <c r="AJ317" s="34">
        <f t="shared" ref="AJ317" si="1167">IF(AG317&lt;&gt;AG318,MMULT(MINVERSE(AG317:AH318),AI317:AI318)," ")</f>
        <v>450.00000000000006</v>
      </c>
      <c r="AK317" s="34" t="str">
        <f t="shared" ref="AK317" si="1168">IFERROR(IF(AJ317-VLOOKUP(AG$38,$A$2:$N$12,14,FALSE)&lt;0,AJ317-VLOOKUP(AG$38,$A$2:$N$12,14,FALSE)," ")," ")</f>
        <v xml:space="preserve"> </v>
      </c>
      <c r="AL317" s="34">
        <f t="shared" ref="AL317" si="1169">IFERROR(IF(AJ317-VLOOKUP(AG$38,$A$2:$N$12,14,FALSE)&gt;0,AJ317-VLOOKUP(AG$38,$A$2:$N$12,14,FALSE)," ")," ")</f>
        <v>100.00000000000006</v>
      </c>
      <c r="AM317" s="34">
        <f t="shared" ref="AM317" si="1170">$M$5</f>
        <v>0</v>
      </c>
      <c r="AN317" s="34">
        <v>-1</v>
      </c>
      <c r="AO317" s="34">
        <f t="shared" ref="AO317" si="1171">-SUMPRODUCT($M$2:$M$4,$N$2:$N$4)-SUMPRODUCT($M$6:$M$12,$N$6:$N$12)</f>
        <v>-120000</v>
      </c>
      <c r="AP317" s="34" t="str">
        <f t="shared" ref="AP317" si="1172">IF(AM317&lt;&gt;AM318,MMULT(MINVERSE(AM317:AN318),AO317:AO318)," ")</f>
        <v xml:space="preserve"> </v>
      </c>
      <c r="AQ317" s="34" t="str">
        <f t="shared" ref="AQ317" si="1173">IFERROR(IF(AP317-VLOOKUP(AM$38,$A$2:$N$12,14,FALSE)&lt;0,AP317-VLOOKUP(AM$38,$A$2:$N$12,14,FALSE)," ")," ")</f>
        <v xml:space="preserve"> </v>
      </c>
      <c r="AR317" s="34" t="str">
        <f t="shared" ref="AR317" si="1174">IFERROR(IF(AP317-VLOOKUP(AM$38,$A$2:$N$12,14,FALSE)&gt;0,AP317-VLOOKUP(AM$38,$A$2:$N$12,14,FALSE)," ")," ")</f>
        <v xml:space="preserve"> </v>
      </c>
      <c r="AS317" s="34">
        <f t="shared" ref="AS317" si="1175">$M$6</f>
        <v>0</v>
      </c>
      <c r="AT317" s="34">
        <v>-1</v>
      </c>
      <c r="AU317" s="34">
        <f t="shared" ref="AU317" si="1176">-SUMPRODUCT($M$2:$M$5,$N$2:$N$5)-SUMPRODUCT($M$7:$M$12,$N$7:$N$12)</f>
        <v>-120000</v>
      </c>
      <c r="AV317" s="34" t="str">
        <f t="shared" ref="AV317" si="1177">IF(AS317&lt;&gt;AS318,MMULT(MINVERSE(AS317:AT318),AU317:AU318)," ")</f>
        <v xml:space="preserve"> </v>
      </c>
      <c r="AW317" s="34" t="str">
        <f t="shared" ref="AW317" si="1178">IFERROR(IF(AV317-VLOOKUP(AS$38,$A$2:$N$12,14,FALSE)&lt;0,AV317-VLOOKUP(AS$38,$A$2:$N$12,14,FALSE)," ")," ")</f>
        <v xml:space="preserve"> </v>
      </c>
      <c r="AX317" s="34" t="str">
        <f t="shared" ref="AX317" si="1179">IFERROR(IF(AV317-VLOOKUP(AS$38,$A$2:$N$12,14,FALSE)&gt;0,AV317-VLOOKUP(AS$38,$A$2:$N$12,14,FALSE)," ")," ")</f>
        <v xml:space="preserve"> </v>
      </c>
      <c r="AY317" s="34">
        <f t="shared" ref="AY317" si="1180">$M$7</f>
        <v>0</v>
      </c>
      <c r="AZ317" s="34">
        <v>-1</v>
      </c>
      <c r="BA317" s="34">
        <f t="shared" ref="BA317" si="1181">-SUMPRODUCT($M$2:$M$6,$N$2:$N$6)-SUMPRODUCT($M$8:$M$12,$N$8:$N$12)</f>
        <v>-120000</v>
      </c>
      <c r="BB317" s="34" t="str">
        <f t="shared" ref="BB317" si="1182">IF(AY317&lt;&gt;AY318,MMULT(MINVERSE(AY317:AZ318),BA317:BA318)," ")</f>
        <v xml:space="preserve"> </v>
      </c>
      <c r="BC317" s="34" t="str">
        <f t="shared" ref="BC317" si="1183">IFERROR(IF(BB317-VLOOKUP(AY$38,$A$2:$N$12,14,FALSE)&lt;0,BB317-VLOOKUP(AY$38,$A$2:$N$12,14,FALSE)," ")," ")</f>
        <v xml:space="preserve"> </v>
      </c>
      <c r="BD317" s="34" t="str">
        <f t="shared" ref="BD317" si="1184">IFERROR(IF(BB317-VLOOKUP(AY$38,$A$2:$N$12,14,FALSE)&gt;0,BB317-VLOOKUP(AY$38,$A$2:$N$12,14,FALSE)," ")," ")</f>
        <v xml:space="preserve"> </v>
      </c>
      <c r="BE317" s="34">
        <f t="shared" ref="BE317" si="1185">$M$8</f>
        <v>0</v>
      </c>
      <c r="BF317" s="34">
        <v>-1</v>
      </c>
      <c r="BG317" s="34">
        <f t="shared" ref="BG317" si="1186">-SUMPRODUCT($M$2:$M$7,$N$2:$N$7)-SUMPRODUCT($M$9:$M$12,$N$9:$N$12)</f>
        <v>-120000</v>
      </c>
      <c r="BH317" s="34" t="str">
        <f t="shared" ref="BH317" si="1187">IF(BE317&lt;&gt;BE318,MMULT(MINVERSE(BE317:BF318),BG317:BG318)," ")</f>
        <v xml:space="preserve"> </v>
      </c>
      <c r="BI317" s="34" t="str">
        <f t="shared" ref="BI317" si="1188">IFERROR(IF(BH317-VLOOKUP(BE$38,$A$2:$N$12,14,FALSE)&lt;0,BH317-VLOOKUP(BE$38,$A$2:$N$12,14,FALSE)," ")," ")</f>
        <v xml:space="preserve"> </v>
      </c>
      <c r="BJ317" s="34" t="str">
        <f t="shared" ref="BJ317" si="1189">IFERROR(IF(BH317-VLOOKUP(BE$38,$A$2:$N$12,14,FALSE)&gt;0,BH317-VLOOKUP(BE$38,$A$2:$N$12,14,FALSE)," ")," ")</f>
        <v xml:space="preserve"> </v>
      </c>
      <c r="BK317" s="34">
        <f t="shared" ref="BK317" si="1190">$M$9</f>
        <v>0</v>
      </c>
      <c r="BL317" s="34">
        <v>-1</v>
      </c>
      <c r="BM317" s="34">
        <f t="shared" ref="BM317" si="1191">-SUMPRODUCT($M$2:$M$8,$N$2:$N$8)-SUMPRODUCT($M$10:$M$12,$N$10:$N$12)</f>
        <v>-120000</v>
      </c>
      <c r="BN317" s="34" t="str">
        <f t="shared" ref="BN317" si="1192">IF(BK317&lt;&gt;BK318,MMULT(MINVERSE(BK317:BL318),BM317:BM318)," ")</f>
        <v xml:space="preserve"> </v>
      </c>
      <c r="BO317" s="34" t="str">
        <f t="shared" ref="BO317" si="1193">IFERROR(IF(BN317-VLOOKUP(BK$38,$A$2:$N$12,14,FALSE)&lt;0,BN317-VLOOKUP(BK$38,$A$2:$N$12,14,FALSE)," ")," ")</f>
        <v xml:space="preserve"> </v>
      </c>
      <c r="BP317" s="34" t="str">
        <f t="shared" ref="BP317" si="1194">IFERROR(IF(BN317-VLOOKUP(BK$38,$A$2:$N$12,14,FALSE)&gt;0,BN317-VLOOKUP(BK$38,$A$2:$N$12,14,FALSE)," ")," ")</f>
        <v xml:space="preserve"> </v>
      </c>
      <c r="BQ317" s="34">
        <f t="shared" ref="BQ317" si="1195">$M$10</f>
        <v>0</v>
      </c>
      <c r="BR317" s="34">
        <v>-1</v>
      </c>
      <c r="BS317" s="34">
        <f t="shared" ref="BS317" si="1196">-SUMPRODUCT($M$2:$M$9,$N$2:$N$9)-SUMPRODUCT($M$11:$M$12,$N$11:$N$12)</f>
        <v>-120000</v>
      </c>
      <c r="BT317" s="34" t="str">
        <f t="shared" ref="BT317" si="1197">IF(BQ317&lt;&gt;BQ318,MMULT(MINVERSE(BQ317:BR318),BS317:BS318)," ")</f>
        <v xml:space="preserve"> </v>
      </c>
      <c r="BU317" s="34" t="str">
        <f t="shared" ref="BU317" si="1198">IFERROR(IF(BT317-VLOOKUP(BQ$38,$A$2:$N$12,14,FALSE)&lt;0,BT317-VLOOKUP(BQ$38,$A$2:$N$12,14,FALSE)," ")," ")</f>
        <v xml:space="preserve"> </v>
      </c>
      <c r="BV317" s="34" t="str">
        <f t="shared" ref="BV317" si="1199">IFERROR(IF(BT317-VLOOKUP(BQ$38,$A$2:$N$12,14,FALSE)&gt;0,BT317-VLOOKUP(BQ$38,$A$2:$N$12,14,FALSE)," ")," ")</f>
        <v xml:space="preserve"> </v>
      </c>
      <c r="BW317" s="34">
        <f t="shared" ref="BW317" si="1200">$M$11</f>
        <v>0</v>
      </c>
      <c r="BX317" s="34">
        <v>-1</v>
      </c>
      <c r="BY317" s="34">
        <f t="shared" ref="BY317" si="1201">-SUMPRODUCT($M$2:$M$10,$N$2:$N$10)-SUMPRODUCT($M$12,$N$12)</f>
        <v>-120000</v>
      </c>
      <c r="BZ317" s="34" t="str">
        <f t="shared" ref="BZ317" si="1202">IF(BW317&lt;&gt;BW318,MMULT(MINVERSE(BW317:BX318),BY317:BY318)," ")</f>
        <v xml:space="preserve"> </v>
      </c>
      <c r="CA317" s="34" t="str">
        <f t="shared" ref="CA317" si="1203">IFERROR(IF(BZ317-VLOOKUP(BW$38,$A$2:$N$12,14,FALSE)&lt;0,BZ317-VLOOKUP(BW$38,$A$2:$N$12,14,FALSE)," ")," ")</f>
        <v xml:space="preserve"> </v>
      </c>
      <c r="CB317" s="34" t="str">
        <f t="shared" ref="CB317" si="1204">IFERROR(IF(BZ317-VLOOKUP(BW$38,$A$2:$N$12,14,FALSE)&gt;0,BZ317-VLOOKUP(BW$38,$A$2:$N$12,14,FALSE)," ")," ")</f>
        <v xml:space="preserve"> </v>
      </c>
      <c r="CC317" s="34">
        <f t="shared" ref="CC317" si="1205">$M$12</f>
        <v>0</v>
      </c>
      <c r="CD317" s="34">
        <v>-1</v>
      </c>
      <c r="CE317" s="34">
        <f t="shared" ref="CE317" si="1206">-SUMPRODUCT($M$2:$M$11,$N$2:$N$11)</f>
        <v>-120000</v>
      </c>
      <c r="CF317" s="34" t="str">
        <f t="shared" ref="CF317" si="1207">IF(CC317&lt;&gt;CC318,MMULT(MINVERSE(CC317:CD318),CE317:CE318)," ")</f>
        <v xml:space="preserve"> </v>
      </c>
      <c r="CG317" s="34" t="str">
        <f t="shared" ref="CG317" si="1208">IFERROR(IF(CF317-VLOOKUP(CC$38,$A$2:$N$12,14,FALSE)&lt;0,CF317-VLOOKUP(CC$38,$A$2:$N$12,14,FALSE)," ")," ")</f>
        <v xml:space="preserve"> </v>
      </c>
      <c r="CH317" s="34" t="str">
        <f t="shared" ref="CH317" si="1209">IFERROR(IF(CF317-VLOOKUP(CC$38,$A$2:$N$12,14,FALSE)&gt;0,CF317-VLOOKUP(CC$38,$A$2:$N$12,14,FALSE)," ")," ")</f>
        <v xml:space="preserve"> </v>
      </c>
      <c r="CI317" s="8"/>
    </row>
    <row r="318" spans="1:87" x14ac:dyDescent="0.2">
      <c r="A318" s="8" t="str">
        <f>IF(AND(COUNTIF(W$3:W$13,A$16)&gt;0,A$16&lt;&gt;B292),A$16,IFERROR(IF(MATCH(A$16,Z$3:Z$13,0)=2,A$16," ")," "))</f>
        <v>C2</v>
      </c>
      <c r="B318" s="8">
        <f>IF(A318=" "," ",MAX(B317:B317)+1)</f>
        <v>1</v>
      </c>
      <c r="C318" s="8" t="str">
        <f>IFERROR(INDEX(A317:A338,MATCH(SMALL(B317:B338,2),B317:B338,0),1)," ")</f>
        <v>C3</v>
      </c>
      <c r="D318" s="8">
        <f t="shared" ref="D318:D327" si="1210">IFERROR(VLOOKUP($C318,$A$15:$O$36,2,FALSE)," ")</f>
        <v>2</v>
      </c>
      <c r="E318" s="8">
        <f t="shared" ref="E318:E327" si="1211">IFERROR(VLOOKUP($C318,$A$15:$O$36,3,FALSE)," ")</f>
        <v>5</v>
      </c>
      <c r="F318" s="8">
        <f t="shared" ref="F318:F327" si="1212">IFERROR(VLOOKUP($C318,$A$15:$O$36,4,FALSE)," ")</f>
        <v>6</v>
      </c>
      <c r="G318" s="8">
        <f t="shared" ref="G318:G327" si="1213">IFERROR(VLOOKUP($C318,$A$15:$O$36,5,FALSE)," ")</f>
        <v>0</v>
      </c>
      <c r="H318" s="8">
        <f t="shared" ref="H318:H327" si="1214">IFERROR(VLOOKUP($C318,$A$15:$O$36,6,FALSE)," ")</f>
        <v>0</v>
      </c>
      <c r="I318" s="8">
        <f t="shared" ref="I318:I327" si="1215">IFERROR(VLOOKUP($C318,$A$15:$O$36,7,FALSE)," ")</f>
        <v>0</v>
      </c>
      <c r="J318" s="8">
        <f t="shared" ref="J318:J327" si="1216">IFERROR(VLOOKUP($C318,$A$15:$O$36,8,FALSE)," ")</f>
        <v>0</v>
      </c>
      <c r="K318" s="8">
        <f t="shared" ref="K318:K327" si="1217">IFERROR(VLOOKUP($C318,$A$15:$O$36,9,FALSE)," ")</f>
        <v>0</v>
      </c>
      <c r="L318" s="8">
        <f t="shared" ref="L318:L327" si="1218">IFERROR(VLOOKUP($C318,$A$15:$O$36,10,FALSE)," ")</f>
        <v>0</v>
      </c>
      <c r="M318" s="8">
        <f t="shared" ref="M318:M327" si="1219">IFERROR(VLOOKUP($C318,$A$15:$O$36,11,FALSE)," ")</f>
        <v>0</v>
      </c>
      <c r="N318" s="8">
        <f t="shared" ref="N318:N327" si="1220">IFERROR(VLOOKUP($C318,$A$15:$O$36,12,FALSE)," ")</f>
        <v>0</v>
      </c>
      <c r="O318" s="8">
        <f t="shared" ref="O318:O327" si="1221">IFERROR(VLOOKUP($C318,$A$15:$O$36,15,FALSE)," ")</f>
        <v>2000</v>
      </c>
      <c r="P318" s="8">
        <v>0</v>
      </c>
      <c r="Q318" s="8">
        <f t="shared" ref="Q318" si="1222">IF(COUNTIF(P317:P327,"&lt;"&amp;-0.001)=0,IF(ABS(P318)&lt;0.001,0,P318)," ")</f>
        <v>0</v>
      </c>
      <c r="R318" s="8"/>
      <c r="S318" s="8"/>
      <c r="U318" s="34">
        <f t="shared" ref="U318" si="1223">$Q317</f>
        <v>1000</v>
      </c>
      <c r="V318" s="34">
        <v>-1</v>
      </c>
      <c r="W318" s="34">
        <f t="shared" ref="W318" si="1224">-SUMPRODUCT($Q318:$Q327,$N$3:$N$12)</f>
        <v>0</v>
      </c>
      <c r="X318" s="34"/>
      <c r="Y318" s="34"/>
      <c r="Z318" s="34"/>
      <c r="AA318" s="34">
        <f t="shared" ref="AA318" si="1225">$Q318</f>
        <v>0</v>
      </c>
      <c r="AB318" s="34">
        <v>-1</v>
      </c>
      <c r="AC318" s="34">
        <f t="shared" ref="AC318" si="1226">-SUMPRODUCT($Q317:$Q317,$N$2:$N$2)-SUMPRODUCT($Q319:$Q327,$N$4:$N$12)</f>
        <v>-150000</v>
      </c>
      <c r="AD318" s="34"/>
      <c r="AE318" s="34"/>
      <c r="AF318" s="34"/>
      <c r="AG318" s="34">
        <f t="shared" ref="AG318" si="1227">$Q319</f>
        <v>0</v>
      </c>
      <c r="AH318" s="34">
        <v>-1</v>
      </c>
      <c r="AI318" s="34">
        <f t="shared" ref="AI318" si="1228">-SUMPRODUCT($Q317:$Q318,$N$2:$N$3)-SUMPRODUCT($Q320:$Q327,$N$5:$N$12)</f>
        <v>-150000</v>
      </c>
      <c r="AJ318" s="34"/>
      <c r="AK318" s="34"/>
      <c r="AL318" s="34"/>
      <c r="AM318" s="34">
        <f t="shared" ref="AM318" si="1229">$Q320</f>
        <v>0</v>
      </c>
      <c r="AN318" s="34">
        <v>-1</v>
      </c>
      <c r="AO318" s="34">
        <f t="shared" ref="AO318" si="1230">-SUMPRODUCT($Q317:$Q319,$N$2:$N$4)-SUMPRODUCT($Q321:$Q327,$N$6:$N$12)</f>
        <v>-150000</v>
      </c>
      <c r="AP318" s="34"/>
      <c r="AQ318" s="34"/>
      <c r="AR318" s="34"/>
      <c r="AS318" s="34">
        <f t="shared" ref="AS318" si="1231">$Q321</f>
        <v>0</v>
      </c>
      <c r="AT318" s="34">
        <v>-1</v>
      </c>
      <c r="AU318" s="34">
        <f t="shared" ref="AU318" si="1232">-SUMPRODUCT($Q317:$Q320,$N$2:$N$5)-SUMPRODUCT($Q322:$Q327,$N$7:$N$12)</f>
        <v>-150000</v>
      </c>
      <c r="AV318" s="34"/>
      <c r="AW318" s="34"/>
      <c r="AX318" s="34"/>
      <c r="AY318" s="34">
        <f t="shared" ref="AY318" si="1233">$Q322</f>
        <v>0</v>
      </c>
      <c r="AZ318" s="34">
        <v>-1</v>
      </c>
      <c r="BA318" s="34">
        <f t="shared" ref="BA318" si="1234">-SUMPRODUCT($Q317:$Q321,$N$2:$N$6)-SUMPRODUCT($Q323:$Q327,$N$8:$N$12)</f>
        <v>-150000</v>
      </c>
      <c r="BB318" s="34"/>
      <c r="BC318" s="34"/>
      <c r="BD318" s="34"/>
      <c r="BE318" s="34">
        <f t="shared" ref="BE318" si="1235">$Q323</f>
        <v>0</v>
      </c>
      <c r="BF318" s="34">
        <v>-1</v>
      </c>
      <c r="BG318" s="34">
        <f t="shared" ref="BG318" si="1236">-SUMPRODUCT($Q317:$Q322,$N$2:$N$7)-SUMPRODUCT($Q324:$Q327,$N$9:$N$12)</f>
        <v>-150000</v>
      </c>
      <c r="BH318" s="34"/>
      <c r="BI318" s="34"/>
      <c r="BJ318" s="34"/>
      <c r="BK318" s="34">
        <f t="shared" ref="BK318" si="1237">$Q324</f>
        <v>0</v>
      </c>
      <c r="BL318" s="34">
        <v>-1</v>
      </c>
      <c r="BM318" s="34">
        <f t="shared" ref="BM318" si="1238">-SUMPRODUCT($Q317:$Q323,$N$2:$N$8)-SUMPRODUCT($Q325:$Q327,$N$10:$N$12)</f>
        <v>-150000</v>
      </c>
      <c r="BN318" s="34"/>
      <c r="BO318" s="34"/>
      <c r="BP318" s="34"/>
      <c r="BQ318" s="34">
        <f t="shared" ref="BQ318" si="1239">$Q325</f>
        <v>0</v>
      </c>
      <c r="BR318" s="34">
        <v>-1</v>
      </c>
      <c r="BS318" s="34">
        <f t="shared" ref="BS318" si="1240">-SUMPRODUCT($Q317:$Q324,$N$2:$N$9)-SUMPRODUCT($Q326:$Q327,$N$11:$N$12)</f>
        <v>-150000</v>
      </c>
      <c r="BT318" s="34"/>
      <c r="BU318" s="34"/>
      <c r="BV318" s="34"/>
      <c r="BW318" s="34">
        <f t="shared" ref="BW318" si="1241">$Q326</f>
        <v>0</v>
      </c>
      <c r="BX318" s="34">
        <v>-1</v>
      </c>
      <c r="BY318" s="34">
        <f t="shared" ref="BY318" si="1242">-SUMPRODUCT($Q317:$Q325,$N$2:$N$10)-SUMPRODUCT($Q327,$N$12)</f>
        <v>-150000</v>
      </c>
      <c r="BZ318" s="34"/>
      <c r="CA318" s="34"/>
      <c r="CB318" s="34"/>
      <c r="CC318" s="34">
        <f t="shared" ref="CC318" si="1243">$Q327</f>
        <v>0</v>
      </c>
      <c r="CD318" s="34">
        <v>-1</v>
      </c>
      <c r="CE318" s="34">
        <f t="shared" ref="CE318" si="1244">-SUMPRODUCT($Q317:$Q326,$N$2:$N$11)</f>
        <v>-150000</v>
      </c>
      <c r="CF318" s="34"/>
      <c r="CG318" s="34"/>
      <c r="CH318" s="34"/>
      <c r="CI318" s="8"/>
    </row>
    <row r="319" spans="1:87" x14ac:dyDescent="0.2">
      <c r="A319" s="8" t="str">
        <f>IF(AND(COUNTIF(W$3:W$13,A$17)&gt;0,A$17&lt;&gt;B292),A$17,IFERROR(IF(MATCH(A$17,Z$3:Z$13,0)=2,A$17," ")," "))</f>
        <v>C3</v>
      </c>
      <c r="B319" s="8">
        <f>IF(A319=" "," ",MAX(B317:B318)+1)</f>
        <v>2</v>
      </c>
      <c r="C319" s="8" t="str">
        <f>IFERROR(INDEX(A317:A338,MATCH(SMALL(B317:B338,3),B317:B338,0),1)," ")</f>
        <v>C13</v>
      </c>
      <c r="D319" s="8">
        <f t="shared" si="1210"/>
        <v>0</v>
      </c>
      <c r="E319" s="8">
        <f t="shared" si="1211"/>
        <v>1</v>
      </c>
      <c r="F319" s="8">
        <f t="shared" si="1212"/>
        <v>0</v>
      </c>
      <c r="G319" s="8">
        <f t="shared" si="1213"/>
        <v>0</v>
      </c>
      <c r="H319" s="8">
        <f t="shared" si="1214"/>
        <v>0</v>
      </c>
      <c r="I319" s="8">
        <f t="shared" si="1215"/>
        <v>0</v>
      </c>
      <c r="J319" s="8">
        <f t="shared" si="1216"/>
        <v>0</v>
      </c>
      <c r="K319" s="8">
        <f t="shared" si="1217"/>
        <v>0</v>
      </c>
      <c r="L319" s="8">
        <f t="shared" si="1218"/>
        <v>0</v>
      </c>
      <c r="M319" s="8">
        <f t="shared" si="1219"/>
        <v>0</v>
      </c>
      <c r="N319" s="8">
        <f t="shared" si="1220"/>
        <v>0</v>
      </c>
      <c r="O319" s="8">
        <f t="shared" si="1221"/>
        <v>0</v>
      </c>
      <c r="P319" s="8">
        <v>0</v>
      </c>
      <c r="Q319" s="8">
        <f t="shared" ref="Q319" si="1245">IF(COUNTIF(P317:P327,"&lt;"&amp;-0.001)=0,IF(ABS(P319)&lt;0.001,0,P319)," ")</f>
        <v>0</v>
      </c>
      <c r="R319" s="8"/>
      <c r="S319" s="8"/>
      <c r="U319" s="34"/>
      <c r="V319" s="34"/>
      <c r="W319" s="34"/>
      <c r="X319" s="34"/>
      <c r="Y319" s="34"/>
      <c r="Z319" s="34"/>
      <c r="AA319" s="34"/>
      <c r="AB319" s="34"/>
      <c r="AC319" s="34"/>
      <c r="AD319" s="34"/>
      <c r="AE319" s="34"/>
      <c r="AF319" s="34"/>
      <c r="AG319" s="34"/>
      <c r="AH319" s="34"/>
      <c r="AI319" s="34"/>
      <c r="AJ319" s="34"/>
      <c r="AK319" s="34"/>
      <c r="AL319" s="34"/>
      <c r="AM319" s="34"/>
      <c r="AN319" s="34"/>
      <c r="AO319" s="34"/>
      <c r="AP319" s="34"/>
      <c r="AQ319" s="34"/>
      <c r="AR319" s="34"/>
      <c r="AS319" s="34"/>
      <c r="AT319" s="34"/>
      <c r="AU319" s="34"/>
      <c r="AV319" s="34"/>
      <c r="AW319" s="34"/>
      <c r="AX319" s="34"/>
      <c r="AY319" s="34"/>
      <c r="AZ319" s="34"/>
      <c r="BA319" s="34"/>
      <c r="BB319" s="34"/>
      <c r="BC319" s="34"/>
      <c r="BD319" s="34"/>
      <c r="BE319" s="34"/>
      <c r="BF319" s="34"/>
      <c r="BG319" s="34"/>
      <c r="BH319" s="34"/>
      <c r="BI319" s="34"/>
      <c r="BJ319" s="34"/>
      <c r="BK319" s="34"/>
      <c r="BL319" s="34"/>
      <c r="BM319" s="34"/>
      <c r="BN319" s="34"/>
      <c r="BO319" s="34"/>
      <c r="BP319" s="34"/>
      <c r="BQ319" s="34"/>
      <c r="BR319" s="34"/>
      <c r="BS319" s="34"/>
      <c r="BT319" s="34"/>
      <c r="BU319" s="34"/>
      <c r="BV319" s="34"/>
      <c r="BW319" s="34"/>
      <c r="BX319" s="34"/>
      <c r="BY319" s="34"/>
      <c r="BZ319" s="34"/>
      <c r="CA319" s="34"/>
      <c r="CB319" s="34"/>
      <c r="CC319" s="34"/>
      <c r="CD319" s="34"/>
      <c r="CE319" s="34"/>
      <c r="CF319" s="34"/>
      <c r="CG319" s="34"/>
      <c r="CH319" s="34"/>
      <c r="CI319" s="8"/>
    </row>
    <row r="320" spans="1:87" x14ac:dyDescent="0.2">
      <c r="A320" s="8" t="str">
        <f>IF(AND(COUNTIF(W$3:W$13,A$18)&gt;0,A$18&lt;&gt;B292),A$18,IFERROR(IF(MATCH(A$18,Z$3:Z$13,0)=2,A$18," ")," "))</f>
        <v xml:space="preserve"> </v>
      </c>
      <c r="B320" s="8" t="str">
        <f>IF(A320=" "," ",MAX(B317:B319)+1)</f>
        <v xml:space="preserve"> </v>
      </c>
      <c r="C320" s="8" t="str">
        <f>IFERROR(INDEX(A317:A338,MATCH(SMALL(B317:B338,4),B317:B338,0),1)," ")</f>
        <v>C15</v>
      </c>
      <c r="D320" s="8">
        <f t="shared" si="1210"/>
        <v>0</v>
      </c>
      <c r="E320" s="8">
        <f t="shared" si="1211"/>
        <v>0</v>
      </c>
      <c r="F320" s="8">
        <f t="shared" si="1212"/>
        <v>0</v>
      </c>
      <c r="G320" s="8">
        <f t="shared" si="1213"/>
        <v>1</v>
      </c>
      <c r="H320" s="8">
        <f t="shared" si="1214"/>
        <v>0</v>
      </c>
      <c r="I320" s="8">
        <f t="shared" si="1215"/>
        <v>0</v>
      </c>
      <c r="J320" s="8">
        <f t="shared" si="1216"/>
        <v>0</v>
      </c>
      <c r="K320" s="8">
        <f t="shared" si="1217"/>
        <v>0</v>
      </c>
      <c r="L320" s="8">
        <f t="shared" si="1218"/>
        <v>0</v>
      </c>
      <c r="M320" s="8">
        <f t="shared" si="1219"/>
        <v>0</v>
      </c>
      <c r="N320" s="8">
        <f t="shared" si="1220"/>
        <v>0</v>
      </c>
      <c r="O320" s="8">
        <f t="shared" si="1221"/>
        <v>0</v>
      </c>
      <c r="P320" s="8">
        <v>0</v>
      </c>
      <c r="Q320" s="8">
        <f t="shared" ref="Q320" si="1246">IF(COUNTIF(P317:P327,"&lt;"&amp;-0.001)=0,IF(ABS(P320)&lt;0.001,0,P320)," ")</f>
        <v>0</v>
      </c>
      <c r="R320" s="8"/>
      <c r="S320" s="8"/>
      <c r="U320" s="34"/>
      <c r="V320" s="34"/>
      <c r="W320" s="34"/>
      <c r="X320" s="34"/>
      <c r="Y320" s="34"/>
      <c r="Z320" s="34"/>
      <c r="AA320" s="34"/>
      <c r="AB320" s="34"/>
      <c r="AC320" s="34"/>
      <c r="AD320" s="34"/>
      <c r="AE320" s="34"/>
      <c r="AF320" s="34"/>
      <c r="AG320" s="34"/>
      <c r="AH320" s="34"/>
      <c r="AI320" s="34"/>
      <c r="AJ320" s="34"/>
      <c r="AK320" s="34"/>
      <c r="AL320" s="34"/>
      <c r="AM320" s="34"/>
      <c r="AN320" s="34"/>
      <c r="AO320" s="34"/>
      <c r="AP320" s="34"/>
      <c r="AQ320" s="34"/>
      <c r="AR320" s="34"/>
      <c r="AS320" s="34"/>
      <c r="AT320" s="34"/>
      <c r="AU320" s="34"/>
      <c r="AV320" s="34"/>
      <c r="AW320" s="34"/>
      <c r="AX320" s="34"/>
      <c r="AY320" s="34"/>
      <c r="AZ320" s="34"/>
      <c r="BA320" s="34"/>
      <c r="BB320" s="34"/>
      <c r="BC320" s="34"/>
      <c r="BD320" s="34"/>
      <c r="BE320" s="34"/>
      <c r="BF320" s="34"/>
      <c r="BG320" s="34"/>
      <c r="BH320" s="34"/>
      <c r="BI320" s="34"/>
      <c r="BJ320" s="34"/>
      <c r="BK320" s="34"/>
      <c r="BL320" s="34"/>
      <c r="BM320" s="34"/>
      <c r="BN320" s="34"/>
      <c r="BO320" s="34"/>
      <c r="BP320" s="34"/>
      <c r="BQ320" s="34"/>
      <c r="BR320" s="34"/>
      <c r="BS320" s="34"/>
      <c r="BT320" s="34"/>
      <c r="BU320" s="34"/>
      <c r="BV320" s="34"/>
      <c r="BW320" s="34"/>
      <c r="BX320" s="34"/>
      <c r="BY320" s="34"/>
      <c r="BZ320" s="34"/>
      <c r="CA320" s="34"/>
      <c r="CB320" s="34"/>
      <c r="CC320" s="34"/>
      <c r="CD320" s="34"/>
      <c r="CE320" s="34"/>
      <c r="CF320" s="34"/>
      <c r="CG320" s="34"/>
      <c r="CH320" s="34"/>
      <c r="CI320" s="8"/>
    </row>
    <row r="321" spans="1:87" x14ac:dyDescent="0.2">
      <c r="A321" s="8" t="str">
        <f>IF(AND(COUNTIF(W$3:W$13,A$19)&gt;0,A$19&lt;&gt;B292),A$19,IFERROR(IF(MATCH(A$19,Z$3:Z$13,0)=2,A$19," ")," "))</f>
        <v xml:space="preserve"> </v>
      </c>
      <c r="B321" s="8" t="str">
        <f>IF(A321=" "," ",MAX(B317:B320)+1)</f>
        <v xml:space="preserve"> </v>
      </c>
      <c r="C321" s="8" t="str">
        <f>IFERROR(INDEX(A317:A338,MATCH(SMALL(B317:B338,5),B317:B338,0),1)," ")</f>
        <v>C16</v>
      </c>
      <c r="D321" s="8">
        <f t="shared" si="1210"/>
        <v>0</v>
      </c>
      <c r="E321" s="8">
        <f t="shared" si="1211"/>
        <v>0</v>
      </c>
      <c r="F321" s="8">
        <f t="shared" si="1212"/>
        <v>0</v>
      </c>
      <c r="G321" s="8">
        <f t="shared" si="1213"/>
        <v>0</v>
      </c>
      <c r="H321" s="8">
        <f t="shared" si="1214"/>
        <v>1</v>
      </c>
      <c r="I321" s="8">
        <f t="shared" si="1215"/>
        <v>0</v>
      </c>
      <c r="J321" s="8">
        <f t="shared" si="1216"/>
        <v>0</v>
      </c>
      <c r="K321" s="8">
        <f t="shared" si="1217"/>
        <v>0</v>
      </c>
      <c r="L321" s="8">
        <f t="shared" si="1218"/>
        <v>0</v>
      </c>
      <c r="M321" s="8">
        <f t="shared" si="1219"/>
        <v>0</v>
      </c>
      <c r="N321" s="8">
        <f t="shared" si="1220"/>
        <v>0</v>
      </c>
      <c r="O321" s="8">
        <f t="shared" si="1221"/>
        <v>0</v>
      </c>
      <c r="P321" s="8">
        <v>0</v>
      </c>
      <c r="Q321" s="8">
        <f t="shared" ref="Q321" si="1247">IF(COUNTIF(P317:P327,"&lt;"&amp;-0.001)=0,IF(ABS(P321)&lt;0.001,0,P321)," ")</f>
        <v>0</v>
      </c>
      <c r="R321" s="8"/>
      <c r="S321" s="8"/>
      <c r="U321" s="34"/>
      <c r="V321" s="34"/>
      <c r="W321" s="34"/>
      <c r="X321" s="34"/>
      <c r="Y321" s="34"/>
      <c r="Z321" s="34"/>
      <c r="AA321" s="34"/>
      <c r="AB321" s="34"/>
      <c r="AC321" s="34"/>
      <c r="AD321" s="34"/>
      <c r="AE321" s="34"/>
      <c r="AF321" s="34"/>
      <c r="AG321" s="34"/>
      <c r="AH321" s="34"/>
      <c r="AI321" s="34"/>
      <c r="AJ321" s="34"/>
      <c r="AK321" s="34"/>
      <c r="AL321" s="34"/>
      <c r="AM321" s="34"/>
      <c r="AN321" s="34"/>
      <c r="AO321" s="34"/>
      <c r="AP321" s="34"/>
      <c r="AQ321" s="34"/>
      <c r="AR321" s="34"/>
      <c r="AS321" s="34"/>
      <c r="AT321" s="34"/>
      <c r="AU321" s="34"/>
      <c r="AV321" s="34"/>
      <c r="AW321" s="34"/>
      <c r="AX321" s="34"/>
      <c r="AY321" s="34"/>
      <c r="AZ321" s="34"/>
      <c r="BA321" s="34"/>
      <c r="BB321" s="34"/>
      <c r="BC321" s="34"/>
      <c r="BD321" s="34"/>
      <c r="BE321" s="34"/>
      <c r="BF321" s="34"/>
      <c r="BG321" s="34"/>
      <c r="BH321" s="34"/>
      <c r="BI321" s="34"/>
      <c r="BJ321" s="34"/>
      <c r="BK321" s="34"/>
      <c r="BL321" s="34"/>
      <c r="BM321" s="34"/>
      <c r="BN321" s="34"/>
      <c r="BO321" s="34"/>
      <c r="BP321" s="34"/>
      <c r="BQ321" s="34"/>
      <c r="BR321" s="34"/>
      <c r="BS321" s="34"/>
      <c r="BT321" s="34"/>
      <c r="BU321" s="34"/>
      <c r="BV321" s="34"/>
      <c r="BW321" s="34"/>
      <c r="BX321" s="34"/>
      <c r="BY321" s="34"/>
      <c r="BZ321" s="34"/>
      <c r="CA321" s="34"/>
      <c r="CB321" s="34"/>
      <c r="CC321" s="34"/>
      <c r="CD321" s="34"/>
      <c r="CE321" s="34"/>
      <c r="CF321" s="34"/>
      <c r="CG321" s="34"/>
      <c r="CH321" s="34"/>
      <c r="CI321" s="8"/>
    </row>
    <row r="322" spans="1:87" x14ac:dyDescent="0.2">
      <c r="A322" s="8" t="str">
        <f>IF(AND(COUNTIF(W$3:W$13,A$20)&gt;0,A$20&lt;&gt;B292),A$20,IFERROR(IF(MATCH(A$20,Z$3:Z$13,0)=2,A$20," ")," "))</f>
        <v xml:space="preserve"> </v>
      </c>
      <c r="B322" s="8" t="str">
        <f>IF(A322=" "," ",MAX(B317:B321)+1)</f>
        <v xml:space="preserve"> </v>
      </c>
      <c r="C322" s="8" t="str">
        <f>IFERROR(INDEX(A317:A338,MATCH(SMALL(B317:B338,6),B317:B338,0),1)," ")</f>
        <v>C17</v>
      </c>
      <c r="D322" s="8">
        <f t="shared" si="1210"/>
        <v>0</v>
      </c>
      <c r="E322" s="8">
        <f t="shared" si="1211"/>
        <v>0</v>
      </c>
      <c r="F322" s="8">
        <f t="shared" si="1212"/>
        <v>0</v>
      </c>
      <c r="G322" s="8">
        <f t="shared" si="1213"/>
        <v>0</v>
      </c>
      <c r="H322" s="8">
        <f t="shared" si="1214"/>
        <v>0</v>
      </c>
      <c r="I322" s="8">
        <f t="shared" si="1215"/>
        <v>1</v>
      </c>
      <c r="J322" s="8">
        <f t="shared" si="1216"/>
        <v>0</v>
      </c>
      <c r="K322" s="8">
        <f t="shared" si="1217"/>
        <v>0</v>
      </c>
      <c r="L322" s="8">
        <f t="shared" si="1218"/>
        <v>0</v>
      </c>
      <c r="M322" s="8">
        <f t="shared" si="1219"/>
        <v>0</v>
      </c>
      <c r="N322" s="8">
        <f t="shared" si="1220"/>
        <v>0</v>
      </c>
      <c r="O322" s="8">
        <f t="shared" si="1221"/>
        <v>0</v>
      </c>
      <c r="P322" s="8">
        <v>0</v>
      </c>
      <c r="Q322" s="8">
        <f t="shared" ref="Q322" si="1248">IF(COUNTIF(P317:P327,"&lt;"&amp;-0.001)=0,IF(ABS(P322)&lt;0.001,0,P322)," ")</f>
        <v>0</v>
      </c>
      <c r="R322" s="8"/>
      <c r="S322" s="8"/>
      <c r="U322" s="34"/>
      <c r="V322" s="34"/>
      <c r="W322" s="34"/>
      <c r="X322" s="34"/>
      <c r="Y322" s="34"/>
      <c r="Z322" s="34"/>
      <c r="AA322" s="34"/>
      <c r="AB322" s="34"/>
      <c r="AC322" s="34"/>
      <c r="AD322" s="34"/>
      <c r="AE322" s="34"/>
      <c r="AF322" s="34"/>
      <c r="AG322" s="34"/>
      <c r="AH322" s="34"/>
      <c r="AI322" s="34"/>
      <c r="AJ322" s="34"/>
      <c r="AK322" s="34"/>
      <c r="AL322" s="34"/>
      <c r="AM322" s="34"/>
      <c r="AN322" s="34"/>
      <c r="AO322" s="34"/>
      <c r="AP322" s="34"/>
      <c r="AQ322" s="34"/>
      <c r="AR322" s="34"/>
      <c r="AS322" s="34"/>
      <c r="AT322" s="34"/>
      <c r="AU322" s="34"/>
      <c r="AV322" s="34"/>
      <c r="AW322" s="34"/>
      <c r="AX322" s="34"/>
      <c r="AY322" s="34"/>
      <c r="AZ322" s="34"/>
      <c r="BA322" s="34"/>
      <c r="BB322" s="34"/>
      <c r="BC322" s="34"/>
      <c r="BD322" s="34"/>
      <c r="BE322" s="34"/>
      <c r="BF322" s="34"/>
      <c r="BG322" s="34"/>
      <c r="BH322" s="34"/>
      <c r="BI322" s="34"/>
      <c r="BJ322" s="34"/>
      <c r="BK322" s="34"/>
      <c r="BL322" s="34"/>
      <c r="BM322" s="34"/>
      <c r="BN322" s="34"/>
      <c r="BO322" s="34"/>
      <c r="BP322" s="34"/>
      <c r="BQ322" s="34"/>
      <c r="BR322" s="34"/>
      <c r="BS322" s="34"/>
      <c r="BT322" s="34"/>
      <c r="BU322" s="34"/>
      <c r="BV322" s="34"/>
      <c r="BW322" s="34"/>
      <c r="BX322" s="34"/>
      <c r="BY322" s="34"/>
      <c r="BZ322" s="34"/>
      <c r="CA322" s="34"/>
      <c r="CB322" s="34"/>
      <c r="CC322" s="34"/>
      <c r="CD322" s="34"/>
      <c r="CE322" s="34"/>
      <c r="CF322" s="34"/>
      <c r="CG322" s="34"/>
      <c r="CH322" s="34"/>
      <c r="CI322" s="8"/>
    </row>
    <row r="323" spans="1:87" x14ac:dyDescent="0.2">
      <c r="A323" s="8" t="str">
        <f>IF(AND(COUNTIF(W$3:W$13,A$21)&gt;0,A$21&lt;&gt;B292),A$21,IFERROR(IF(MATCH(A$21,Z$3:Z$13,0)=2,A$21," ")," "))</f>
        <v xml:space="preserve"> </v>
      </c>
      <c r="B323" s="8" t="str">
        <f>IF(A323=" "," ",MAX(B317:B322)+1)</f>
        <v xml:space="preserve"> </v>
      </c>
      <c r="C323" s="8" t="str">
        <f>IFERROR(INDEX(A317:A338,MATCH(SMALL(B317:B338,7),B317:B338,0),1)," ")</f>
        <v>C18</v>
      </c>
      <c r="D323" s="8">
        <f t="shared" si="1210"/>
        <v>0</v>
      </c>
      <c r="E323" s="8">
        <f t="shared" si="1211"/>
        <v>0</v>
      </c>
      <c r="F323" s="8">
        <f t="shared" si="1212"/>
        <v>0</v>
      </c>
      <c r="G323" s="8">
        <f t="shared" si="1213"/>
        <v>0</v>
      </c>
      <c r="H323" s="8">
        <f t="shared" si="1214"/>
        <v>0</v>
      </c>
      <c r="I323" s="8">
        <f t="shared" si="1215"/>
        <v>0</v>
      </c>
      <c r="J323" s="8">
        <f t="shared" si="1216"/>
        <v>1</v>
      </c>
      <c r="K323" s="8">
        <f t="shared" si="1217"/>
        <v>0</v>
      </c>
      <c r="L323" s="8">
        <f t="shared" si="1218"/>
        <v>0</v>
      </c>
      <c r="M323" s="8">
        <f t="shared" si="1219"/>
        <v>0</v>
      </c>
      <c r="N323" s="8">
        <f t="shared" si="1220"/>
        <v>0</v>
      </c>
      <c r="O323" s="8">
        <f t="shared" si="1221"/>
        <v>0</v>
      </c>
      <c r="P323" s="8">
        <v>0</v>
      </c>
      <c r="Q323" s="8">
        <f t="shared" ref="Q323" si="1249">IF(COUNTIF(P317:P327,"&lt;"&amp;-0.001)=0,IF(ABS(P323)&lt;0.001,0,P323)," ")</f>
        <v>0</v>
      </c>
      <c r="R323" s="8"/>
      <c r="S323" s="8"/>
      <c r="U323" s="34"/>
      <c r="V323" s="34"/>
      <c r="W323" s="34"/>
      <c r="X323" s="34"/>
      <c r="Y323" s="34"/>
      <c r="Z323" s="34"/>
      <c r="AA323" s="34"/>
      <c r="AB323" s="34"/>
      <c r="AC323" s="34"/>
      <c r="AD323" s="34"/>
      <c r="AE323" s="34"/>
      <c r="AF323" s="34"/>
      <c r="AG323" s="34"/>
      <c r="AH323" s="34"/>
      <c r="AI323" s="34"/>
      <c r="AJ323" s="34"/>
      <c r="AK323" s="34"/>
      <c r="AL323" s="34"/>
      <c r="AM323" s="34"/>
      <c r="AN323" s="34"/>
      <c r="AO323" s="34"/>
      <c r="AP323" s="34"/>
      <c r="AQ323" s="34"/>
      <c r="AR323" s="34"/>
      <c r="AS323" s="34"/>
      <c r="AT323" s="34"/>
      <c r="AU323" s="34"/>
      <c r="AV323" s="34"/>
      <c r="AW323" s="34"/>
      <c r="AX323" s="34"/>
      <c r="AY323" s="34"/>
      <c r="AZ323" s="34"/>
      <c r="BA323" s="34"/>
      <c r="BB323" s="34"/>
      <c r="BC323" s="34"/>
      <c r="BD323" s="34"/>
      <c r="BE323" s="34"/>
      <c r="BF323" s="34"/>
      <c r="BG323" s="34"/>
      <c r="BH323" s="34"/>
      <c r="BI323" s="34"/>
      <c r="BJ323" s="34"/>
      <c r="BK323" s="34"/>
      <c r="BL323" s="34"/>
      <c r="BM323" s="34"/>
      <c r="BN323" s="34"/>
      <c r="BO323" s="34"/>
      <c r="BP323" s="34"/>
      <c r="BQ323" s="34"/>
      <c r="BR323" s="34"/>
      <c r="BS323" s="34"/>
      <c r="BT323" s="34"/>
      <c r="BU323" s="34"/>
      <c r="BV323" s="34"/>
      <c r="BW323" s="34"/>
      <c r="BX323" s="34"/>
      <c r="BY323" s="34"/>
      <c r="BZ323" s="34"/>
      <c r="CA323" s="34"/>
      <c r="CB323" s="34"/>
      <c r="CC323" s="34"/>
      <c r="CD323" s="34"/>
      <c r="CE323" s="34"/>
      <c r="CF323" s="34"/>
      <c r="CG323" s="34"/>
      <c r="CH323" s="34"/>
      <c r="CI323" s="8"/>
    </row>
    <row r="324" spans="1:87" x14ac:dyDescent="0.2">
      <c r="A324" s="8" t="str">
        <f>IF(AND(COUNTIF(W$3:W$13,A$22)&gt;0,A$22&lt;&gt;B292),A$22,IFERROR(IF(MATCH(A$22,Z$3:Z$13,0)=2,A$22," ")," "))</f>
        <v xml:space="preserve"> </v>
      </c>
      <c r="B324" s="8" t="str">
        <f>IF(A324=" "," ",MAX(B317:B323)+1)</f>
        <v xml:space="preserve"> </v>
      </c>
      <c r="C324" s="8" t="str">
        <f>IFERROR(INDEX(A317:A338,MATCH(SMALL(B317:B338,8),B317:B338,0),1)," ")</f>
        <v>C19</v>
      </c>
      <c r="D324" s="8">
        <f t="shared" si="1210"/>
        <v>0</v>
      </c>
      <c r="E324" s="8">
        <f t="shared" si="1211"/>
        <v>0</v>
      </c>
      <c r="F324" s="8">
        <f t="shared" si="1212"/>
        <v>0</v>
      </c>
      <c r="G324" s="8">
        <f t="shared" si="1213"/>
        <v>0</v>
      </c>
      <c r="H324" s="8">
        <f t="shared" si="1214"/>
        <v>0</v>
      </c>
      <c r="I324" s="8">
        <f t="shared" si="1215"/>
        <v>0</v>
      </c>
      <c r="J324" s="8">
        <f t="shared" si="1216"/>
        <v>0</v>
      </c>
      <c r="K324" s="8">
        <f t="shared" si="1217"/>
        <v>1</v>
      </c>
      <c r="L324" s="8">
        <f t="shared" si="1218"/>
        <v>0</v>
      </c>
      <c r="M324" s="8">
        <f t="shared" si="1219"/>
        <v>0</v>
      </c>
      <c r="N324" s="8">
        <f t="shared" si="1220"/>
        <v>0</v>
      </c>
      <c r="O324" s="8">
        <f t="shared" si="1221"/>
        <v>0</v>
      </c>
      <c r="P324" s="8">
        <v>0</v>
      </c>
      <c r="Q324" s="8">
        <f t="shared" ref="Q324" si="1250">IF(COUNTIF(P317:P327,"&lt;"&amp;-0.001)=0,IF(ABS(P324)&lt;0.001,0,P324)," ")</f>
        <v>0</v>
      </c>
      <c r="R324" s="8"/>
      <c r="S324" s="8"/>
      <c r="U324" s="34"/>
      <c r="V324" s="34"/>
      <c r="W324" s="34"/>
      <c r="X324" s="34"/>
      <c r="Y324" s="34"/>
      <c r="Z324" s="34"/>
      <c r="AA324" s="34"/>
      <c r="AB324" s="34"/>
      <c r="AC324" s="34"/>
      <c r="AD324" s="34"/>
      <c r="AE324" s="34"/>
      <c r="AF324" s="34"/>
      <c r="AG324" s="34"/>
      <c r="AH324" s="34"/>
      <c r="AI324" s="34"/>
      <c r="AJ324" s="34"/>
      <c r="AK324" s="34"/>
      <c r="AL324" s="34"/>
      <c r="AM324" s="34"/>
      <c r="AN324" s="34"/>
      <c r="AO324" s="34"/>
      <c r="AP324" s="34"/>
      <c r="AQ324" s="34"/>
      <c r="AR324" s="34"/>
      <c r="AS324" s="34"/>
      <c r="AT324" s="34"/>
      <c r="AU324" s="34"/>
      <c r="AV324" s="34"/>
      <c r="AW324" s="34"/>
      <c r="AX324" s="34"/>
      <c r="AY324" s="34"/>
      <c r="AZ324" s="34"/>
      <c r="BA324" s="34"/>
      <c r="BB324" s="34"/>
      <c r="BC324" s="34"/>
      <c r="BD324" s="34"/>
      <c r="BE324" s="34"/>
      <c r="BF324" s="34"/>
      <c r="BG324" s="34"/>
      <c r="BH324" s="34"/>
      <c r="BI324" s="34"/>
      <c r="BJ324" s="34"/>
      <c r="BK324" s="34"/>
      <c r="BL324" s="34"/>
      <c r="BM324" s="34"/>
      <c r="BN324" s="34"/>
      <c r="BO324" s="34"/>
      <c r="BP324" s="34"/>
      <c r="BQ324" s="34"/>
      <c r="BR324" s="34"/>
      <c r="BS324" s="34"/>
      <c r="BT324" s="34"/>
      <c r="BU324" s="34"/>
      <c r="BV324" s="34"/>
      <c r="BW324" s="34"/>
      <c r="BX324" s="34"/>
      <c r="BY324" s="34"/>
      <c r="BZ324" s="34"/>
      <c r="CA324" s="34"/>
      <c r="CB324" s="34"/>
      <c r="CC324" s="34"/>
      <c r="CD324" s="34"/>
      <c r="CE324" s="34"/>
      <c r="CF324" s="34"/>
      <c r="CG324" s="34"/>
      <c r="CH324" s="34"/>
      <c r="CI324" s="8"/>
    </row>
    <row r="325" spans="1:87" x14ac:dyDescent="0.2">
      <c r="A325" s="8" t="str">
        <f>IF(AND(COUNTIF(W$3:W$13,A$23)&gt;0,A$23&lt;&gt;B292),A$23,IFERROR(IF(MATCH(A$23,Z$3:Z$13,0)=2,A$23," ")," "))</f>
        <v xml:space="preserve"> </v>
      </c>
      <c r="B325" s="8" t="str">
        <f>IF(A325=" "," ",MAX(B317:B324)+1)</f>
        <v xml:space="preserve"> </v>
      </c>
      <c r="C325" s="8" t="str">
        <f>IFERROR(INDEX(A317:A338,MATCH(SMALL(B317:B338,9),B317:B338,0),1)," ")</f>
        <v>C20</v>
      </c>
      <c r="D325" s="8">
        <f t="shared" si="1210"/>
        <v>0</v>
      </c>
      <c r="E325" s="8">
        <f t="shared" si="1211"/>
        <v>0</v>
      </c>
      <c r="F325" s="8">
        <f t="shared" si="1212"/>
        <v>0</v>
      </c>
      <c r="G325" s="8">
        <f t="shared" si="1213"/>
        <v>0</v>
      </c>
      <c r="H325" s="8">
        <f t="shared" si="1214"/>
        <v>0</v>
      </c>
      <c r="I325" s="8">
        <f t="shared" si="1215"/>
        <v>0</v>
      </c>
      <c r="J325" s="8">
        <f t="shared" si="1216"/>
        <v>0</v>
      </c>
      <c r="K325" s="8">
        <f t="shared" si="1217"/>
        <v>0</v>
      </c>
      <c r="L325" s="8">
        <f t="shared" si="1218"/>
        <v>1</v>
      </c>
      <c r="M325" s="8">
        <f t="shared" si="1219"/>
        <v>0</v>
      </c>
      <c r="N325" s="8">
        <f t="shared" si="1220"/>
        <v>0</v>
      </c>
      <c r="O325" s="8">
        <f t="shared" si="1221"/>
        <v>0</v>
      </c>
      <c r="P325" s="6">
        <v>0</v>
      </c>
      <c r="Q325" s="8">
        <f t="shared" ref="Q325" si="1251">IF(COUNTIF(P317:P327,"&lt;"&amp;-0.001)=0,IF(ABS(P325)&lt;0.001,0,P325)," ")</f>
        <v>0</v>
      </c>
      <c r="R325" s="12"/>
      <c r="S325" s="12"/>
      <c r="T325" s="21"/>
      <c r="U325" s="34"/>
      <c r="V325" s="34"/>
      <c r="W325" s="34"/>
      <c r="X325" s="34"/>
      <c r="Y325" s="34"/>
      <c r="Z325" s="34"/>
      <c r="AA325" s="34"/>
      <c r="AB325" s="34"/>
      <c r="AC325" s="34"/>
      <c r="AD325" s="34"/>
      <c r="AE325" s="34"/>
      <c r="AF325" s="34"/>
      <c r="AG325" s="34"/>
      <c r="AH325" s="34"/>
      <c r="AI325" s="34"/>
      <c r="AJ325" s="34"/>
      <c r="AK325" s="34"/>
      <c r="AL325" s="34"/>
      <c r="AM325" s="34"/>
      <c r="AN325" s="34"/>
      <c r="AO325" s="34"/>
      <c r="AP325" s="34"/>
      <c r="AQ325" s="34"/>
      <c r="AR325" s="34"/>
      <c r="AS325" s="34"/>
      <c r="AT325" s="34"/>
      <c r="AU325" s="34"/>
      <c r="AV325" s="34"/>
      <c r="AW325" s="34"/>
      <c r="AX325" s="34"/>
      <c r="AY325" s="34"/>
      <c r="AZ325" s="34"/>
      <c r="BA325" s="34"/>
      <c r="BB325" s="34"/>
      <c r="BC325" s="34"/>
      <c r="BD325" s="34"/>
      <c r="BE325" s="34"/>
      <c r="BF325" s="34"/>
      <c r="BG325" s="34"/>
      <c r="BH325" s="34"/>
      <c r="BI325" s="34"/>
      <c r="BJ325" s="34"/>
      <c r="BK325" s="34"/>
      <c r="BL325" s="34"/>
      <c r="BM325" s="34"/>
      <c r="BN325" s="34"/>
      <c r="BO325" s="34"/>
      <c r="BP325" s="34"/>
      <c r="BQ325" s="34"/>
      <c r="BR325" s="34"/>
      <c r="BS325" s="34"/>
      <c r="BT325" s="34"/>
      <c r="BU325" s="34"/>
      <c r="BV325" s="34"/>
      <c r="BW325" s="34"/>
      <c r="BX325" s="34"/>
      <c r="BY325" s="34"/>
      <c r="BZ325" s="34"/>
      <c r="CA325" s="34"/>
      <c r="CB325" s="34"/>
      <c r="CC325" s="34"/>
      <c r="CD325" s="34"/>
      <c r="CE325" s="34"/>
      <c r="CF325" s="34"/>
      <c r="CG325" s="34"/>
      <c r="CH325" s="34"/>
      <c r="CI325" s="8"/>
    </row>
    <row r="326" spans="1:87" x14ac:dyDescent="0.2">
      <c r="A326" s="8" t="str">
        <f>IF(AND(COUNTIF(W$3:W$13,A$24)&gt;0,A$24&lt;&gt;B292),A$24,IFERROR(IF(MATCH(A$24,Z$3:Z$13,0)=2,A$24," ")," "))</f>
        <v xml:space="preserve"> </v>
      </c>
      <c r="B326" s="8" t="str">
        <f>IF(A326=" "," ",MAX(B317:B325)+1)</f>
        <v xml:space="preserve"> </v>
      </c>
      <c r="C326" s="8" t="str">
        <f>IFERROR(INDEX(A317:A338,MATCH(SMALL(B317:B338,10),B317:B338,0),1)," ")</f>
        <v>C21</v>
      </c>
      <c r="D326" s="8">
        <f t="shared" si="1210"/>
        <v>0</v>
      </c>
      <c r="E326" s="8">
        <f t="shared" si="1211"/>
        <v>0</v>
      </c>
      <c r="F326" s="8">
        <f t="shared" si="1212"/>
        <v>0</v>
      </c>
      <c r="G326" s="8">
        <f t="shared" si="1213"/>
        <v>0</v>
      </c>
      <c r="H326" s="8">
        <f t="shared" si="1214"/>
        <v>0</v>
      </c>
      <c r="I326" s="8">
        <f t="shared" si="1215"/>
        <v>0</v>
      </c>
      <c r="J326" s="8">
        <f t="shared" si="1216"/>
        <v>0</v>
      </c>
      <c r="K326" s="8">
        <f t="shared" si="1217"/>
        <v>0</v>
      </c>
      <c r="L326" s="8">
        <f t="shared" si="1218"/>
        <v>0</v>
      </c>
      <c r="M326" s="8">
        <f t="shared" si="1219"/>
        <v>1</v>
      </c>
      <c r="N326" s="8">
        <f t="shared" si="1220"/>
        <v>0</v>
      </c>
      <c r="O326" s="8">
        <f t="shared" si="1221"/>
        <v>0</v>
      </c>
      <c r="P326" s="8">
        <v>0</v>
      </c>
      <c r="Q326" s="8">
        <f t="shared" ref="Q326" si="1252">IF(COUNTIF(P317:P327,"&lt;"&amp;-0.001)=0,IF(ABS(P326)&lt;0.001,0,P326)," ")</f>
        <v>0</v>
      </c>
      <c r="R326" s="8"/>
      <c r="S326" s="8"/>
      <c r="U326" s="34"/>
      <c r="V326" s="34"/>
      <c r="W326" s="34"/>
      <c r="X326" s="34"/>
      <c r="Y326" s="34"/>
      <c r="Z326" s="34"/>
      <c r="AA326" s="34"/>
      <c r="AB326" s="34"/>
      <c r="AC326" s="34"/>
      <c r="AD326" s="34"/>
      <c r="AE326" s="34"/>
      <c r="AF326" s="34"/>
      <c r="AG326" s="34"/>
      <c r="AH326" s="34"/>
      <c r="AI326" s="34"/>
      <c r="AJ326" s="34"/>
      <c r="AK326" s="34"/>
      <c r="AL326" s="34"/>
      <c r="AM326" s="34"/>
      <c r="AN326" s="34"/>
      <c r="AO326" s="34"/>
      <c r="AP326" s="34"/>
      <c r="AQ326" s="34"/>
      <c r="AR326" s="34"/>
      <c r="AS326" s="34"/>
      <c r="AT326" s="34"/>
      <c r="AU326" s="34"/>
      <c r="AV326" s="34"/>
      <c r="AW326" s="34"/>
      <c r="AX326" s="34"/>
      <c r="AY326" s="34"/>
      <c r="AZ326" s="34"/>
      <c r="BA326" s="34"/>
      <c r="BB326" s="34"/>
      <c r="BC326" s="34"/>
      <c r="BD326" s="34"/>
      <c r="BE326" s="34"/>
      <c r="BF326" s="34"/>
      <c r="BG326" s="34"/>
      <c r="BH326" s="34"/>
      <c r="BI326" s="34"/>
      <c r="BJ326" s="34"/>
      <c r="BK326" s="34"/>
      <c r="BL326" s="34"/>
      <c r="BM326" s="34"/>
      <c r="BN326" s="34"/>
      <c r="BO326" s="34"/>
      <c r="BP326" s="34"/>
      <c r="BQ326" s="34"/>
      <c r="BR326" s="34"/>
      <c r="BS326" s="34"/>
      <c r="BT326" s="34"/>
      <c r="BU326" s="34"/>
      <c r="BV326" s="34"/>
      <c r="BW326" s="34"/>
      <c r="BX326" s="34"/>
      <c r="BY326" s="34"/>
      <c r="BZ326" s="34"/>
      <c r="CA326" s="34"/>
      <c r="CB326" s="34"/>
      <c r="CC326" s="34"/>
      <c r="CD326" s="34"/>
      <c r="CE326" s="34"/>
      <c r="CF326" s="34"/>
      <c r="CG326" s="34"/>
      <c r="CH326" s="34"/>
      <c r="CI326" s="8"/>
    </row>
    <row r="327" spans="1:87" x14ac:dyDescent="0.2">
      <c r="A327" s="8" t="str">
        <f>IF(AND(COUNTIF(W$3:W$13,A$25)&gt;0,A$25&lt;&gt;B292),A$25,IFERROR(IF(MATCH(A$25,Z$3:Z$13,0)=2,A$25," ")," "))</f>
        <v xml:space="preserve"> </v>
      </c>
      <c r="B327" s="8" t="str">
        <f>IF(A327=" "," ",MAX(B317:B326)+1)</f>
        <v xml:space="preserve"> </v>
      </c>
      <c r="C327" s="8" t="str">
        <f>IFERROR(INDEX(A317:A338,MATCH(SMALL(B317:B338,11),B317:B338,0),1)," ")</f>
        <v>C22</v>
      </c>
      <c r="D327" s="8">
        <f t="shared" si="1210"/>
        <v>0</v>
      </c>
      <c r="E327" s="8">
        <f t="shared" si="1211"/>
        <v>0</v>
      </c>
      <c r="F327" s="8">
        <f t="shared" si="1212"/>
        <v>0</v>
      </c>
      <c r="G327" s="8">
        <f t="shared" si="1213"/>
        <v>0</v>
      </c>
      <c r="H327" s="8">
        <f t="shared" si="1214"/>
        <v>0</v>
      </c>
      <c r="I327" s="8">
        <f t="shared" si="1215"/>
        <v>0</v>
      </c>
      <c r="J327" s="8">
        <f t="shared" si="1216"/>
        <v>0</v>
      </c>
      <c r="K327" s="8">
        <f t="shared" si="1217"/>
        <v>0</v>
      </c>
      <c r="L327" s="8">
        <f t="shared" si="1218"/>
        <v>0</v>
      </c>
      <c r="M327" s="8">
        <f t="shared" si="1219"/>
        <v>0</v>
      </c>
      <c r="N327" s="8">
        <f t="shared" si="1220"/>
        <v>1</v>
      </c>
      <c r="O327" s="8">
        <f t="shared" si="1221"/>
        <v>0</v>
      </c>
      <c r="P327" s="8">
        <v>0</v>
      </c>
      <c r="Q327" s="8">
        <f t="shared" ref="Q327" si="1253">IF(COUNTIF(P317:P327,"&lt;"&amp;-0.001)=0,IF(ABS(P327)&lt;0.001,0,P327)," ")</f>
        <v>0</v>
      </c>
      <c r="R327" s="8"/>
      <c r="S327" s="8"/>
      <c r="U327" s="34"/>
      <c r="V327" s="34"/>
      <c r="W327" s="34"/>
      <c r="X327" s="34"/>
      <c r="Y327" s="34"/>
      <c r="Z327" s="34"/>
      <c r="AA327" s="34"/>
      <c r="AB327" s="34"/>
      <c r="AC327" s="34"/>
      <c r="AD327" s="34"/>
      <c r="AE327" s="34"/>
      <c r="AF327" s="34"/>
      <c r="AG327" s="34"/>
      <c r="AH327" s="34"/>
      <c r="AI327" s="34"/>
      <c r="AJ327" s="34"/>
      <c r="AK327" s="34"/>
      <c r="AL327" s="34"/>
      <c r="AM327" s="34"/>
      <c r="AN327" s="34"/>
      <c r="AO327" s="34"/>
      <c r="AP327" s="34"/>
      <c r="AQ327" s="34"/>
      <c r="AR327" s="34"/>
      <c r="AS327" s="34"/>
      <c r="AT327" s="34"/>
      <c r="AU327" s="34"/>
      <c r="AV327" s="34"/>
      <c r="AW327" s="34"/>
      <c r="AX327" s="34"/>
      <c r="AY327" s="34"/>
      <c r="AZ327" s="34"/>
      <c r="BA327" s="34"/>
      <c r="BB327" s="34"/>
      <c r="BC327" s="34"/>
      <c r="BD327" s="34"/>
      <c r="BE327" s="34"/>
      <c r="BF327" s="34"/>
      <c r="BG327" s="34"/>
      <c r="BH327" s="34"/>
      <c r="BI327" s="34"/>
      <c r="BJ327" s="34"/>
      <c r="BK327" s="34"/>
      <c r="BL327" s="34"/>
      <c r="BM327" s="34"/>
      <c r="BN327" s="34"/>
      <c r="BO327" s="34"/>
      <c r="BP327" s="34"/>
      <c r="BQ327" s="34"/>
      <c r="BR327" s="34"/>
      <c r="BS327" s="34"/>
      <c r="BT327" s="34"/>
      <c r="BU327" s="34"/>
      <c r="BV327" s="34"/>
      <c r="BW327" s="34"/>
      <c r="BX327" s="34"/>
      <c r="BY327" s="34"/>
      <c r="BZ327" s="34"/>
      <c r="CA327" s="34"/>
      <c r="CB327" s="34"/>
      <c r="CC327" s="34"/>
      <c r="CD327" s="34"/>
      <c r="CE327" s="34"/>
      <c r="CF327" s="34"/>
      <c r="CG327" s="34"/>
      <c r="CH327" s="34"/>
      <c r="CI327" s="8"/>
    </row>
    <row r="328" spans="1:87" x14ac:dyDescent="0.2">
      <c r="A328" s="8" t="str">
        <f>IF(AND(COUNTIF(W$3:W$13,A$26)&gt;0,A$26&lt;&gt;B292),A$26,IFERROR(IF(MATCH(A$26,Z$3:Z$13,0)=2,A$26," ")," "))</f>
        <v xml:space="preserve"> </v>
      </c>
      <c r="B328" s="8" t="str">
        <f>IF(A328=" "," ",MAX(B317:B327)+1)</f>
        <v xml:space="preserve"> </v>
      </c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U328" s="34"/>
      <c r="V328" s="34"/>
      <c r="W328" s="34"/>
      <c r="X328" s="34"/>
      <c r="Y328" s="34"/>
      <c r="Z328" s="34"/>
      <c r="AA328" s="34"/>
      <c r="AB328" s="34"/>
      <c r="AC328" s="34"/>
      <c r="AD328" s="34"/>
      <c r="AE328" s="34"/>
      <c r="AF328" s="34"/>
      <c r="AG328" s="34"/>
      <c r="AH328" s="34"/>
      <c r="AI328" s="34"/>
      <c r="AJ328" s="34"/>
      <c r="AK328" s="34"/>
      <c r="AL328" s="34"/>
      <c r="AM328" s="34"/>
      <c r="AN328" s="34"/>
      <c r="AO328" s="34"/>
      <c r="AP328" s="34"/>
      <c r="AQ328" s="34"/>
      <c r="AR328" s="34"/>
      <c r="AS328" s="34"/>
      <c r="AT328" s="34"/>
      <c r="AU328" s="34"/>
      <c r="AV328" s="34"/>
      <c r="AW328" s="34"/>
      <c r="AX328" s="34"/>
      <c r="AY328" s="34"/>
      <c r="AZ328" s="34"/>
      <c r="BA328" s="34"/>
      <c r="BB328" s="34"/>
      <c r="BC328" s="34"/>
      <c r="BD328" s="34"/>
      <c r="BE328" s="34"/>
      <c r="BF328" s="34"/>
      <c r="BG328" s="34"/>
      <c r="BH328" s="34"/>
      <c r="BI328" s="34"/>
      <c r="BJ328" s="34"/>
      <c r="BK328" s="34"/>
      <c r="BL328" s="34"/>
      <c r="BM328" s="34"/>
      <c r="BN328" s="34"/>
      <c r="BO328" s="34"/>
      <c r="BP328" s="34"/>
      <c r="BQ328" s="34"/>
      <c r="BR328" s="34"/>
      <c r="BS328" s="34"/>
      <c r="BT328" s="34"/>
      <c r="BU328" s="34"/>
      <c r="BV328" s="34"/>
      <c r="BW328" s="34"/>
      <c r="BX328" s="34"/>
      <c r="BY328" s="34"/>
      <c r="BZ328" s="34"/>
      <c r="CA328" s="34"/>
      <c r="CB328" s="34"/>
      <c r="CC328" s="34"/>
      <c r="CD328" s="34"/>
      <c r="CE328" s="34"/>
      <c r="CF328" s="34"/>
      <c r="CG328" s="34"/>
      <c r="CH328" s="34"/>
      <c r="CI328" s="8"/>
    </row>
    <row r="329" spans="1:87" x14ac:dyDescent="0.2">
      <c r="A329" s="8" t="str">
        <f>IF(AND(COUNTIF(W$3:W$13,A$27)&gt;0,A$27&lt;&gt;B292),A$27,IFERROR(IF(MATCH(A$27,Z$3:Z$13,0)=2,A$27," ")," "))</f>
        <v>C13</v>
      </c>
      <c r="B329" s="8">
        <f>IF(A329=" "," ",MAX(B317:B328)+1)</f>
        <v>3</v>
      </c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U329" s="34"/>
      <c r="V329" s="34"/>
      <c r="W329" s="34"/>
      <c r="X329" s="34"/>
      <c r="Y329" s="34"/>
      <c r="Z329" s="34"/>
      <c r="AA329" s="34"/>
      <c r="AB329" s="34"/>
      <c r="AC329" s="34"/>
      <c r="AD329" s="34"/>
      <c r="AE329" s="34"/>
      <c r="AF329" s="34"/>
      <c r="AG329" s="34"/>
      <c r="AH329" s="34"/>
      <c r="AI329" s="34"/>
      <c r="AJ329" s="34"/>
      <c r="AK329" s="34"/>
      <c r="AL329" s="34"/>
      <c r="AM329" s="34"/>
      <c r="AN329" s="34"/>
      <c r="AO329" s="34"/>
      <c r="AP329" s="34"/>
      <c r="AQ329" s="34"/>
      <c r="AR329" s="34"/>
      <c r="AS329" s="34"/>
      <c r="AT329" s="34"/>
      <c r="AU329" s="34"/>
      <c r="AV329" s="34"/>
      <c r="AW329" s="34"/>
      <c r="AX329" s="34"/>
      <c r="AY329" s="34"/>
      <c r="AZ329" s="34"/>
      <c r="BA329" s="34"/>
      <c r="BB329" s="34"/>
      <c r="BC329" s="34"/>
      <c r="BD329" s="34"/>
      <c r="BE329" s="34"/>
      <c r="BF329" s="34"/>
      <c r="BG329" s="34"/>
      <c r="BH329" s="34"/>
      <c r="BI329" s="34"/>
      <c r="BJ329" s="34"/>
      <c r="BK329" s="34"/>
      <c r="BL329" s="34"/>
      <c r="BM329" s="34"/>
      <c r="BN329" s="34"/>
      <c r="BO329" s="34"/>
      <c r="BP329" s="34"/>
      <c r="BQ329" s="34"/>
      <c r="BR329" s="34"/>
      <c r="BS329" s="34"/>
      <c r="BT329" s="34"/>
      <c r="BU329" s="34"/>
      <c r="BV329" s="34"/>
      <c r="BW329" s="34"/>
      <c r="BX329" s="34"/>
      <c r="BY329" s="34"/>
      <c r="BZ329" s="34"/>
      <c r="CA329" s="34"/>
      <c r="CB329" s="34"/>
      <c r="CC329" s="34"/>
      <c r="CD329" s="34"/>
      <c r="CE329" s="34"/>
      <c r="CF329" s="34"/>
      <c r="CG329" s="34"/>
      <c r="CH329" s="34"/>
      <c r="CI329" s="8"/>
    </row>
    <row r="330" spans="1:87" x14ac:dyDescent="0.2">
      <c r="A330" s="8" t="str">
        <f>IF(AND(COUNTIF(W$3:W$13,A$28)&gt;0,A$28&lt;&gt;B292),A$28,IFERROR(IF(MATCH(A$28,Z$3:Z$13,0)=2,A$28," ")," "))</f>
        <v xml:space="preserve"> </v>
      </c>
      <c r="B330" s="8" t="str">
        <f>IF(A330=" "," ",MAX(B317:B329)+1)</f>
        <v xml:space="preserve"> </v>
      </c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U330" s="34"/>
      <c r="V330" s="34"/>
      <c r="W330" s="34"/>
      <c r="X330" s="34"/>
      <c r="Y330" s="34"/>
      <c r="Z330" s="34"/>
      <c r="AA330" s="34"/>
      <c r="AB330" s="34"/>
      <c r="AC330" s="34"/>
      <c r="AD330" s="34"/>
      <c r="AE330" s="34"/>
      <c r="AF330" s="34"/>
      <c r="AG330" s="34"/>
      <c r="AH330" s="34"/>
      <c r="AI330" s="34"/>
      <c r="AJ330" s="34"/>
      <c r="AK330" s="34"/>
      <c r="AL330" s="34"/>
      <c r="AM330" s="34"/>
      <c r="AN330" s="34"/>
      <c r="AO330" s="34"/>
      <c r="AP330" s="34"/>
      <c r="AQ330" s="34"/>
      <c r="AR330" s="34"/>
      <c r="AS330" s="34"/>
      <c r="AT330" s="34"/>
      <c r="AU330" s="34"/>
      <c r="AV330" s="34"/>
      <c r="AW330" s="34"/>
      <c r="AX330" s="34"/>
      <c r="AY330" s="34"/>
      <c r="AZ330" s="34"/>
      <c r="BA330" s="34"/>
      <c r="BB330" s="34"/>
      <c r="BC330" s="34"/>
      <c r="BD330" s="34"/>
      <c r="BE330" s="34"/>
      <c r="BF330" s="34"/>
      <c r="BG330" s="34"/>
      <c r="BH330" s="34"/>
      <c r="BI330" s="34"/>
      <c r="BJ330" s="34"/>
      <c r="BK330" s="34"/>
      <c r="BL330" s="34"/>
      <c r="BM330" s="34"/>
      <c r="BN330" s="34"/>
      <c r="BO330" s="34"/>
      <c r="BP330" s="34"/>
      <c r="BQ330" s="34"/>
      <c r="BR330" s="34"/>
      <c r="BS330" s="34"/>
      <c r="BT330" s="34"/>
      <c r="BU330" s="34"/>
      <c r="BV330" s="34"/>
      <c r="BW330" s="34"/>
      <c r="BX330" s="34"/>
      <c r="BY330" s="34"/>
      <c r="BZ330" s="34"/>
      <c r="CA330" s="34"/>
      <c r="CB330" s="34"/>
      <c r="CC330" s="34"/>
      <c r="CD330" s="34"/>
      <c r="CE330" s="34"/>
      <c r="CF330" s="34"/>
      <c r="CG330" s="34"/>
      <c r="CH330" s="34"/>
      <c r="CI330" s="8"/>
    </row>
    <row r="331" spans="1:87" x14ac:dyDescent="0.2">
      <c r="A331" s="8" t="str">
        <f>IF(AND(COUNTIF(W$3:W$13,A$29)&gt;0,A$29&lt;&gt;B292),A$29,IFERROR(IF(MATCH(A$29,Z$3:Z$13,0)=2,A$29," ")," "))</f>
        <v>C15</v>
      </c>
      <c r="B331" s="8">
        <f>IF(A331=" "," ",MAX(B317:B330)+1)</f>
        <v>4</v>
      </c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U331" s="34"/>
      <c r="V331" s="34"/>
      <c r="W331" s="34"/>
      <c r="X331" s="34"/>
      <c r="Y331" s="34"/>
      <c r="Z331" s="34"/>
      <c r="AA331" s="34"/>
      <c r="AB331" s="34"/>
      <c r="AC331" s="34"/>
      <c r="AD331" s="34"/>
      <c r="AE331" s="34"/>
      <c r="AF331" s="34"/>
      <c r="AG331" s="34"/>
      <c r="AH331" s="34"/>
      <c r="AI331" s="34"/>
      <c r="AJ331" s="34"/>
      <c r="AK331" s="34"/>
      <c r="AL331" s="34"/>
      <c r="AM331" s="34"/>
      <c r="AN331" s="34"/>
      <c r="AO331" s="34"/>
      <c r="AP331" s="34"/>
      <c r="AQ331" s="34"/>
      <c r="AR331" s="34"/>
      <c r="AS331" s="34"/>
      <c r="AT331" s="34"/>
      <c r="AU331" s="34"/>
      <c r="AV331" s="34"/>
      <c r="AW331" s="34"/>
      <c r="AX331" s="34"/>
      <c r="AY331" s="34"/>
      <c r="AZ331" s="34"/>
      <c r="BA331" s="34"/>
      <c r="BB331" s="34"/>
      <c r="BC331" s="34"/>
      <c r="BD331" s="34"/>
      <c r="BE331" s="34"/>
      <c r="BF331" s="34"/>
      <c r="BG331" s="34"/>
      <c r="BH331" s="34"/>
      <c r="BI331" s="34"/>
      <c r="BJ331" s="34"/>
      <c r="BK331" s="34"/>
      <c r="BL331" s="34"/>
      <c r="BM331" s="34"/>
      <c r="BN331" s="34"/>
      <c r="BO331" s="34"/>
      <c r="BP331" s="34"/>
      <c r="BQ331" s="34"/>
      <c r="BR331" s="34"/>
      <c r="BS331" s="34"/>
      <c r="BT331" s="34"/>
      <c r="BU331" s="34"/>
      <c r="BV331" s="34"/>
      <c r="BW331" s="34"/>
      <c r="BX331" s="34"/>
      <c r="BY331" s="34"/>
      <c r="BZ331" s="34"/>
      <c r="CA331" s="34"/>
      <c r="CB331" s="34"/>
      <c r="CC331" s="34"/>
      <c r="CD331" s="34"/>
      <c r="CE331" s="34"/>
      <c r="CF331" s="34"/>
      <c r="CG331" s="34"/>
      <c r="CH331" s="34"/>
      <c r="CI331" s="8"/>
    </row>
    <row r="332" spans="1:87" x14ac:dyDescent="0.2">
      <c r="A332" s="8" t="str">
        <f>IF(AND(COUNTIF(W$3:W$13,A$30)&gt;0,A$30&lt;&gt;B292),A$30,IFERROR(IF(MATCH(A$30,Z$3:Z$13,0)=2,A$30," ")," "))</f>
        <v>C16</v>
      </c>
      <c r="B332" s="8">
        <f>IF(A332=" "," ",MAX(B317:B331)+1)</f>
        <v>5</v>
      </c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U332" s="34"/>
      <c r="V332" s="34"/>
      <c r="W332" s="34"/>
      <c r="X332" s="34"/>
      <c r="Y332" s="34"/>
      <c r="Z332" s="34"/>
      <c r="AA332" s="34"/>
      <c r="AB332" s="34"/>
      <c r="AC332" s="34"/>
      <c r="AD332" s="34"/>
      <c r="AE332" s="34"/>
      <c r="AF332" s="34"/>
      <c r="AG332" s="34"/>
      <c r="AH332" s="34"/>
      <c r="AI332" s="34"/>
      <c r="AJ332" s="34"/>
      <c r="AK332" s="34"/>
      <c r="AL332" s="34"/>
      <c r="AM332" s="34"/>
      <c r="AN332" s="34"/>
      <c r="AO332" s="34"/>
      <c r="AP332" s="34"/>
      <c r="AQ332" s="34"/>
      <c r="AR332" s="34"/>
      <c r="AS332" s="34"/>
      <c r="AT332" s="34"/>
      <c r="AU332" s="34"/>
      <c r="AV332" s="34"/>
      <c r="AW332" s="34"/>
      <c r="AX332" s="34"/>
      <c r="AY332" s="34"/>
      <c r="AZ332" s="34"/>
      <c r="BA332" s="34"/>
      <c r="BB332" s="34"/>
      <c r="BC332" s="34"/>
      <c r="BD332" s="34"/>
      <c r="BE332" s="34"/>
      <c r="BF332" s="34"/>
      <c r="BG332" s="34"/>
      <c r="BH332" s="34"/>
      <c r="BI332" s="34"/>
      <c r="BJ332" s="34"/>
      <c r="BK332" s="34"/>
      <c r="BL332" s="34"/>
      <c r="BM332" s="34"/>
      <c r="BN332" s="34"/>
      <c r="BO332" s="34"/>
      <c r="BP332" s="34"/>
      <c r="BQ332" s="34"/>
      <c r="BR332" s="34"/>
      <c r="BS332" s="34"/>
      <c r="BT332" s="34"/>
      <c r="BU332" s="34"/>
      <c r="BV332" s="34"/>
      <c r="BW332" s="34"/>
      <c r="BX332" s="34"/>
      <c r="BY332" s="34"/>
      <c r="BZ332" s="34"/>
      <c r="CA332" s="34"/>
      <c r="CB332" s="34"/>
      <c r="CC332" s="34"/>
      <c r="CD332" s="34"/>
      <c r="CE332" s="34"/>
      <c r="CF332" s="34"/>
      <c r="CG332" s="34"/>
      <c r="CH332" s="34"/>
      <c r="CI332" s="8"/>
    </row>
    <row r="333" spans="1:87" x14ac:dyDescent="0.2">
      <c r="A333" s="8" t="str">
        <f>IF(AND(COUNTIF(W$3:W$13,A$31)&gt;0,A$31&lt;&gt;B292),A$31,IFERROR(IF(MATCH(A$31,Z$3:Z$13,0)=2,A$31," ")," "))</f>
        <v>C17</v>
      </c>
      <c r="B333" s="8">
        <f>IF(A333=" "," ",MAX(B317:B332)+1)</f>
        <v>6</v>
      </c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U333" s="34"/>
      <c r="V333" s="34"/>
      <c r="W333" s="34"/>
      <c r="X333" s="34"/>
      <c r="Y333" s="34"/>
      <c r="Z333" s="34"/>
      <c r="AA333" s="34"/>
      <c r="AB333" s="34"/>
      <c r="AC333" s="34"/>
      <c r="AD333" s="34"/>
      <c r="AE333" s="34"/>
      <c r="AF333" s="34"/>
      <c r="AG333" s="34"/>
      <c r="AH333" s="34"/>
      <c r="AI333" s="34"/>
      <c r="AJ333" s="34"/>
      <c r="AK333" s="34"/>
      <c r="AL333" s="34"/>
      <c r="AM333" s="34"/>
      <c r="AN333" s="34"/>
      <c r="AO333" s="34"/>
      <c r="AP333" s="34"/>
      <c r="AQ333" s="34"/>
      <c r="AR333" s="34"/>
      <c r="AS333" s="34"/>
      <c r="AT333" s="34"/>
      <c r="AU333" s="34"/>
      <c r="AV333" s="34"/>
      <c r="AW333" s="34"/>
      <c r="AX333" s="34"/>
      <c r="AY333" s="34"/>
      <c r="AZ333" s="34"/>
      <c r="BA333" s="34"/>
      <c r="BB333" s="34"/>
      <c r="BC333" s="34"/>
      <c r="BD333" s="34"/>
      <c r="BE333" s="34"/>
      <c r="BF333" s="34"/>
      <c r="BG333" s="34"/>
      <c r="BH333" s="34"/>
      <c r="BI333" s="34"/>
      <c r="BJ333" s="34"/>
      <c r="BK333" s="34"/>
      <c r="BL333" s="34"/>
      <c r="BM333" s="34"/>
      <c r="BN333" s="34"/>
      <c r="BO333" s="34"/>
      <c r="BP333" s="34"/>
      <c r="BQ333" s="34"/>
      <c r="BR333" s="34"/>
      <c r="BS333" s="34"/>
      <c r="BT333" s="34"/>
      <c r="BU333" s="34"/>
      <c r="BV333" s="34"/>
      <c r="BW333" s="34"/>
      <c r="BX333" s="34"/>
      <c r="BY333" s="34"/>
      <c r="BZ333" s="34"/>
      <c r="CA333" s="34"/>
      <c r="CB333" s="34"/>
      <c r="CC333" s="34"/>
      <c r="CD333" s="34"/>
      <c r="CE333" s="34"/>
      <c r="CF333" s="34"/>
      <c r="CG333" s="34"/>
      <c r="CH333" s="34"/>
      <c r="CI333" s="8"/>
    </row>
    <row r="334" spans="1:87" x14ac:dyDescent="0.2">
      <c r="A334" s="8" t="str">
        <f>IF(AND(COUNTIF(W$3:W$13,A$32)&gt;0,A$32&lt;&gt;B292),A$32,IFERROR(IF(MATCH(A$32,Z$3:Z$13,0)=2,A$32," ")," "))</f>
        <v>C18</v>
      </c>
      <c r="B334" s="8">
        <f>IF(A334=" "," ",MAX(B317:B333)+1)</f>
        <v>7</v>
      </c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U334" s="34"/>
      <c r="V334" s="34"/>
      <c r="W334" s="34"/>
      <c r="X334" s="34"/>
      <c r="Y334" s="34"/>
      <c r="Z334" s="34"/>
      <c r="AA334" s="34"/>
      <c r="AB334" s="34"/>
      <c r="AC334" s="34"/>
      <c r="AD334" s="34"/>
      <c r="AE334" s="34"/>
      <c r="AF334" s="34"/>
      <c r="AG334" s="34"/>
      <c r="AH334" s="34"/>
      <c r="AI334" s="34"/>
      <c r="AJ334" s="34"/>
      <c r="AK334" s="34"/>
      <c r="AL334" s="34"/>
      <c r="AM334" s="34"/>
      <c r="AN334" s="34"/>
      <c r="AO334" s="34"/>
      <c r="AP334" s="34"/>
      <c r="AQ334" s="34"/>
      <c r="AR334" s="34"/>
      <c r="AS334" s="34"/>
      <c r="AT334" s="34"/>
      <c r="AU334" s="34"/>
      <c r="AV334" s="34"/>
      <c r="AW334" s="34"/>
      <c r="AX334" s="34"/>
      <c r="AY334" s="34"/>
      <c r="AZ334" s="34"/>
      <c r="BA334" s="34"/>
      <c r="BB334" s="34"/>
      <c r="BC334" s="34"/>
      <c r="BD334" s="34"/>
      <c r="BE334" s="34"/>
      <c r="BF334" s="34"/>
      <c r="BG334" s="34"/>
      <c r="BH334" s="34"/>
      <c r="BI334" s="34"/>
      <c r="BJ334" s="34"/>
      <c r="BK334" s="34"/>
      <c r="BL334" s="34"/>
      <c r="BM334" s="34"/>
      <c r="BN334" s="34"/>
      <c r="BO334" s="34"/>
      <c r="BP334" s="34"/>
      <c r="BQ334" s="34"/>
      <c r="BR334" s="34"/>
      <c r="BS334" s="34"/>
      <c r="BT334" s="34"/>
      <c r="BU334" s="34"/>
      <c r="BV334" s="34"/>
      <c r="BW334" s="34"/>
      <c r="BX334" s="34"/>
      <c r="BY334" s="34"/>
      <c r="BZ334" s="34"/>
      <c r="CA334" s="34"/>
      <c r="CB334" s="34"/>
      <c r="CC334" s="34"/>
      <c r="CD334" s="34"/>
      <c r="CE334" s="34"/>
      <c r="CF334" s="34"/>
      <c r="CG334" s="34"/>
      <c r="CH334" s="34"/>
      <c r="CI334" s="8"/>
    </row>
    <row r="335" spans="1:87" x14ac:dyDescent="0.2">
      <c r="A335" s="8" t="str">
        <f>IF(AND(COUNTIF(W$3:W$13,A$33)&gt;0,A$33&lt;&gt;B292),A$33,IFERROR(IF(MATCH(A$33,Z$3:Z$13,0)=2,A$33," ")," "))</f>
        <v>C19</v>
      </c>
      <c r="B335" s="8">
        <f>IF(A335=" "," ",MAX(B317:B334)+1)</f>
        <v>8</v>
      </c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U335" s="34"/>
      <c r="V335" s="34"/>
      <c r="W335" s="34"/>
      <c r="X335" s="34"/>
      <c r="Y335" s="34"/>
      <c r="Z335" s="34"/>
      <c r="AA335" s="34"/>
      <c r="AB335" s="34"/>
      <c r="AC335" s="34"/>
      <c r="AD335" s="34"/>
      <c r="AE335" s="34"/>
      <c r="AF335" s="34"/>
      <c r="AG335" s="34"/>
      <c r="AH335" s="34"/>
      <c r="AI335" s="34"/>
      <c r="AJ335" s="34"/>
      <c r="AK335" s="34"/>
      <c r="AL335" s="34"/>
      <c r="AM335" s="34"/>
      <c r="AN335" s="34"/>
      <c r="AO335" s="34"/>
      <c r="AP335" s="34"/>
      <c r="AQ335" s="34"/>
      <c r="AR335" s="34"/>
      <c r="AS335" s="34"/>
      <c r="AT335" s="34"/>
      <c r="AU335" s="34"/>
      <c r="AV335" s="34"/>
      <c r="AW335" s="34"/>
      <c r="AX335" s="34"/>
      <c r="AY335" s="34"/>
      <c r="AZ335" s="34"/>
      <c r="BA335" s="34"/>
      <c r="BB335" s="34"/>
      <c r="BC335" s="34"/>
      <c r="BD335" s="34"/>
      <c r="BE335" s="34"/>
      <c r="BF335" s="34"/>
      <c r="BG335" s="34"/>
      <c r="BH335" s="34"/>
      <c r="BI335" s="34"/>
      <c r="BJ335" s="34"/>
      <c r="BK335" s="34"/>
      <c r="BL335" s="34"/>
      <c r="BM335" s="34"/>
      <c r="BN335" s="34"/>
      <c r="BO335" s="34"/>
      <c r="BP335" s="34"/>
      <c r="BQ335" s="34"/>
      <c r="BR335" s="34"/>
      <c r="BS335" s="34"/>
      <c r="BT335" s="34"/>
      <c r="BU335" s="34"/>
      <c r="BV335" s="34"/>
      <c r="BW335" s="34"/>
      <c r="BX335" s="34"/>
      <c r="BY335" s="34"/>
      <c r="BZ335" s="34"/>
      <c r="CA335" s="34"/>
      <c r="CB335" s="34"/>
      <c r="CC335" s="34"/>
      <c r="CD335" s="34"/>
      <c r="CE335" s="34"/>
      <c r="CF335" s="34"/>
      <c r="CG335" s="34"/>
      <c r="CH335" s="34"/>
      <c r="CI335" s="8"/>
    </row>
    <row r="336" spans="1:87" x14ac:dyDescent="0.2">
      <c r="A336" s="8" t="str">
        <f>IF(AND(COUNTIF(W$3:W$13,A$34)&gt;0,A$34&lt;&gt;B292),A$34,IFERROR(IF(MATCH(A$34,Z$3:Z$13,0)=2,A$34," ")," "))</f>
        <v>C20</v>
      </c>
      <c r="B336" s="8">
        <f>IF(A336=" "," ",MAX(B317:B335)+1)</f>
        <v>9</v>
      </c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U336" s="34"/>
      <c r="V336" s="34"/>
      <c r="W336" s="34"/>
      <c r="X336" s="34"/>
      <c r="Y336" s="34"/>
      <c r="Z336" s="34"/>
      <c r="AA336" s="34"/>
      <c r="AB336" s="34"/>
      <c r="AC336" s="34"/>
      <c r="AD336" s="34"/>
      <c r="AE336" s="34"/>
      <c r="AF336" s="34"/>
      <c r="AG336" s="34"/>
      <c r="AH336" s="34"/>
      <c r="AI336" s="34"/>
      <c r="AJ336" s="34"/>
      <c r="AK336" s="34"/>
      <c r="AL336" s="34"/>
      <c r="AM336" s="34"/>
      <c r="AN336" s="34"/>
      <c r="AO336" s="34"/>
      <c r="AP336" s="34"/>
      <c r="AQ336" s="34"/>
      <c r="AR336" s="34"/>
      <c r="AS336" s="34"/>
      <c r="AT336" s="34"/>
      <c r="AU336" s="34"/>
      <c r="AV336" s="34"/>
      <c r="AW336" s="34"/>
      <c r="AX336" s="34"/>
      <c r="AY336" s="34"/>
      <c r="AZ336" s="34"/>
      <c r="BA336" s="34"/>
      <c r="BB336" s="34"/>
      <c r="BC336" s="34"/>
      <c r="BD336" s="34"/>
      <c r="BE336" s="34"/>
      <c r="BF336" s="34"/>
      <c r="BG336" s="34"/>
      <c r="BH336" s="34"/>
      <c r="BI336" s="34"/>
      <c r="BJ336" s="34"/>
      <c r="BK336" s="34"/>
      <c r="BL336" s="34"/>
      <c r="BM336" s="34"/>
      <c r="BN336" s="34"/>
      <c r="BO336" s="34"/>
      <c r="BP336" s="34"/>
      <c r="BQ336" s="34"/>
      <c r="BR336" s="34"/>
      <c r="BS336" s="34"/>
      <c r="BT336" s="34"/>
      <c r="BU336" s="34"/>
      <c r="BV336" s="34"/>
      <c r="BW336" s="34"/>
      <c r="BX336" s="34"/>
      <c r="BY336" s="34"/>
      <c r="BZ336" s="34"/>
      <c r="CA336" s="34"/>
      <c r="CB336" s="34"/>
      <c r="CC336" s="34"/>
      <c r="CD336" s="34"/>
      <c r="CE336" s="34"/>
      <c r="CF336" s="34"/>
      <c r="CG336" s="34"/>
      <c r="CH336" s="34"/>
      <c r="CI336" s="8"/>
    </row>
    <row r="337" spans="1:87" x14ac:dyDescent="0.2">
      <c r="A337" s="8" t="str">
        <f>IF(AND(COUNTIF(W$3:W$13,A$35)&gt;0,A$35&lt;&gt;B292),A$35,IFERROR(IF(MATCH(A$35,Z$3:Z$13,0)=2,A$35," ")," "))</f>
        <v>C21</v>
      </c>
      <c r="B337" s="8">
        <f>IF(A337=" "," ",MAX(B317:B336)+1)</f>
        <v>10</v>
      </c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U337" s="34"/>
      <c r="V337" s="34"/>
      <c r="W337" s="34"/>
      <c r="X337" s="34"/>
      <c r="Y337" s="34"/>
      <c r="Z337" s="34"/>
      <c r="AA337" s="34"/>
      <c r="AB337" s="34"/>
      <c r="AC337" s="34"/>
      <c r="AD337" s="34"/>
      <c r="AE337" s="34"/>
      <c r="AF337" s="34"/>
      <c r="AG337" s="34"/>
      <c r="AH337" s="34"/>
      <c r="AI337" s="34"/>
      <c r="AJ337" s="34"/>
      <c r="AK337" s="34"/>
      <c r="AL337" s="34"/>
      <c r="AM337" s="34"/>
      <c r="AN337" s="34"/>
      <c r="AO337" s="34"/>
      <c r="AP337" s="34"/>
      <c r="AQ337" s="34"/>
      <c r="AR337" s="34"/>
      <c r="AS337" s="34"/>
      <c r="AT337" s="34"/>
      <c r="AU337" s="34"/>
      <c r="AV337" s="34"/>
      <c r="AW337" s="34"/>
      <c r="AX337" s="34"/>
      <c r="AY337" s="34"/>
      <c r="AZ337" s="34"/>
      <c r="BA337" s="34"/>
      <c r="BB337" s="34"/>
      <c r="BC337" s="34"/>
      <c r="BD337" s="34"/>
      <c r="BE337" s="34"/>
      <c r="BF337" s="34"/>
      <c r="BG337" s="34"/>
      <c r="BH337" s="34"/>
      <c r="BI337" s="34"/>
      <c r="BJ337" s="34"/>
      <c r="BK337" s="34"/>
      <c r="BL337" s="34"/>
      <c r="BM337" s="34"/>
      <c r="BN337" s="34"/>
      <c r="BO337" s="34"/>
      <c r="BP337" s="34"/>
      <c r="BQ337" s="34"/>
      <c r="BR337" s="34"/>
      <c r="BS337" s="34"/>
      <c r="BT337" s="34"/>
      <c r="BU337" s="34"/>
      <c r="BV337" s="34"/>
      <c r="BW337" s="34"/>
      <c r="BX337" s="34"/>
      <c r="BY337" s="34"/>
      <c r="BZ337" s="34"/>
      <c r="CA337" s="34"/>
      <c r="CB337" s="34"/>
      <c r="CC337" s="34"/>
      <c r="CD337" s="34"/>
      <c r="CE337" s="34"/>
      <c r="CF337" s="34"/>
      <c r="CG337" s="34"/>
      <c r="CH337" s="34"/>
      <c r="CI337" s="8"/>
    </row>
    <row r="338" spans="1:87" x14ac:dyDescent="0.2">
      <c r="A338" s="8" t="str">
        <f>IF(AND(COUNTIF(W$3:W$13,A$36)&gt;0,A$36&lt;&gt;B292),A$36,IFERROR(IF(MATCH(A$36,Z$3:Z$13,0)=2,A$36," ")," "))</f>
        <v>C22</v>
      </c>
      <c r="B338" s="8">
        <f>IF(A338=" "," ",MAX(B317:B337)+1)</f>
        <v>11</v>
      </c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U338" s="34"/>
      <c r="V338" s="34"/>
      <c r="W338" s="34"/>
      <c r="X338" s="34"/>
      <c r="Y338" s="34"/>
      <c r="Z338" s="34"/>
      <c r="AA338" s="34"/>
      <c r="AB338" s="34"/>
      <c r="AC338" s="34"/>
      <c r="AD338" s="34"/>
      <c r="AE338" s="34"/>
      <c r="AF338" s="34"/>
      <c r="AG338" s="34"/>
      <c r="AH338" s="34"/>
      <c r="AI338" s="34"/>
      <c r="AJ338" s="34"/>
      <c r="AK338" s="34"/>
      <c r="AL338" s="34"/>
      <c r="AM338" s="34"/>
      <c r="AN338" s="34"/>
      <c r="AO338" s="34"/>
      <c r="AP338" s="34"/>
      <c r="AQ338" s="34"/>
      <c r="AR338" s="34"/>
      <c r="AS338" s="34"/>
      <c r="AT338" s="34"/>
      <c r="AU338" s="34"/>
      <c r="AV338" s="34"/>
      <c r="AW338" s="34"/>
      <c r="AX338" s="34"/>
      <c r="AY338" s="34"/>
      <c r="AZ338" s="34"/>
      <c r="BA338" s="34"/>
      <c r="BB338" s="34"/>
      <c r="BC338" s="34"/>
      <c r="BD338" s="34"/>
      <c r="BE338" s="34"/>
      <c r="BF338" s="34"/>
      <c r="BG338" s="34"/>
      <c r="BH338" s="34"/>
      <c r="BI338" s="34"/>
      <c r="BJ338" s="34"/>
      <c r="BK338" s="34"/>
      <c r="BL338" s="34"/>
      <c r="BM338" s="34"/>
      <c r="BN338" s="34"/>
      <c r="BO338" s="34"/>
      <c r="BP338" s="34"/>
      <c r="BQ338" s="34"/>
      <c r="BR338" s="34"/>
      <c r="BS338" s="34"/>
      <c r="BT338" s="34"/>
      <c r="BU338" s="34"/>
      <c r="BV338" s="34"/>
      <c r="BW338" s="34"/>
      <c r="BX338" s="34"/>
      <c r="BY338" s="34"/>
      <c r="BZ338" s="34"/>
      <c r="CA338" s="34"/>
      <c r="CB338" s="34"/>
      <c r="CC338" s="34"/>
      <c r="CD338" s="34"/>
      <c r="CE338" s="34"/>
      <c r="CF338" s="34"/>
      <c r="CG338" s="34"/>
      <c r="CH338" s="34"/>
      <c r="CI338" s="8"/>
    </row>
    <row r="339" spans="1:87" x14ac:dyDescent="0.2">
      <c r="A339" s="11" t="s">
        <v>17</v>
      </c>
      <c r="B339" s="11"/>
      <c r="C339" s="27" t="s">
        <v>18</v>
      </c>
      <c r="D339" s="27" t="s">
        <v>2</v>
      </c>
      <c r="E339" s="27" t="s">
        <v>6</v>
      </c>
      <c r="F339" s="27" t="s">
        <v>15</v>
      </c>
      <c r="G339" s="27" t="s">
        <v>36</v>
      </c>
      <c r="H339" s="27" t="s">
        <v>37</v>
      </c>
      <c r="I339" s="27" t="s">
        <v>38</v>
      </c>
      <c r="J339" s="27" t="s">
        <v>39</v>
      </c>
      <c r="K339" s="27" t="s">
        <v>40</v>
      </c>
      <c r="L339" s="27" t="s">
        <v>41</v>
      </c>
      <c r="M339" s="27" t="s">
        <v>42</v>
      </c>
      <c r="N339" s="27" t="s">
        <v>43</v>
      </c>
      <c r="O339" s="27" t="s">
        <v>9</v>
      </c>
      <c r="P339" s="27" t="s">
        <v>12</v>
      </c>
      <c r="Q339" s="27" t="s">
        <v>19</v>
      </c>
      <c r="R339" s="27" t="s">
        <v>55</v>
      </c>
      <c r="S339" s="27" t="s">
        <v>26</v>
      </c>
      <c r="T339" s="19" t="s">
        <v>25</v>
      </c>
      <c r="U339" s="33" t="s">
        <v>27</v>
      </c>
      <c r="V339" s="33" t="s">
        <v>9</v>
      </c>
      <c r="W339" s="33" t="s">
        <v>23</v>
      </c>
      <c r="X339" s="33" t="s">
        <v>12</v>
      </c>
      <c r="Y339" s="33" t="s">
        <v>26</v>
      </c>
      <c r="Z339" s="33" t="s">
        <v>25</v>
      </c>
      <c r="AA339" s="33" t="s">
        <v>27</v>
      </c>
      <c r="AB339" s="33" t="s">
        <v>9</v>
      </c>
      <c r="AC339" s="33" t="s">
        <v>23</v>
      </c>
      <c r="AD339" s="33" t="s">
        <v>12</v>
      </c>
      <c r="AE339" s="33" t="s">
        <v>26</v>
      </c>
      <c r="AF339" s="33" t="s">
        <v>25</v>
      </c>
      <c r="AG339" s="33" t="s">
        <v>27</v>
      </c>
      <c r="AH339" s="33" t="s">
        <v>9</v>
      </c>
      <c r="AI339" s="33" t="s">
        <v>23</v>
      </c>
      <c r="AJ339" s="33" t="s">
        <v>12</v>
      </c>
      <c r="AK339" s="33" t="s">
        <v>26</v>
      </c>
      <c r="AL339" s="33" t="s">
        <v>25</v>
      </c>
      <c r="AM339" s="33" t="s">
        <v>27</v>
      </c>
      <c r="AN339" s="33" t="s">
        <v>9</v>
      </c>
      <c r="AO339" s="33" t="s">
        <v>23</v>
      </c>
      <c r="AP339" s="33" t="s">
        <v>12</v>
      </c>
      <c r="AQ339" s="33" t="s">
        <v>26</v>
      </c>
      <c r="AR339" s="33" t="s">
        <v>25</v>
      </c>
      <c r="AS339" s="33" t="s">
        <v>27</v>
      </c>
      <c r="AT339" s="33" t="s">
        <v>9</v>
      </c>
      <c r="AU339" s="33" t="s">
        <v>23</v>
      </c>
      <c r="AV339" s="33" t="s">
        <v>12</v>
      </c>
      <c r="AW339" s="33" t="s">
        <v>26</v>
      </c>
      <c r="AX339" s="33" t="s">
        <v>25</v>
      </c>
      <c r="AY339" s="33" t="s">
        <v>27</v>
      </c>
      <c r="AZ339" s="33" t="s">
        <v>9</v>
      </c>
      <c r="BA339" s="33" t="s">
        <v>23</v>
      </c>
      <c r="BB339" s="33" t="s">
        <v>12</v>
      </c>
      <c r="BC339" s="33" t="s">
        <v>26</v>
      </c>
      <c r="BD339" s="33" t="s">
        <v>25</v>
      </c>
      <c r="BE339" s="33" t="s">
        <v>27</v>
      </c>
      <c r="BF339" s="33" t="s">
        <v>9</v>
      </c>
      <c r="BG339" s="33" t="s">
        <v>23</v>
      </c>
      <c r="BH339" s="33" t="s">
        <v>12</v>
      </c>
      <c r="BI339" s="33" t="s">
        <v>26</v>
      </c>
      <c r="BJ339" s="33" t="s">
        <v>25</v>
      </c>
      <c r="BK339" s="33" t="s">
        <v>27</v>
      </c>
      <c r="BL339" s="33" t="s">
        <v>9</v>
      </c>
      <c r="BM339" s="33" t="s">
        <v>23</v>
      </c>
      <c r="BN339" s="33" t="s">
        <v>12</v>
      </c>
      <c r="BO339" s="33" t="s">
        <v>26</v>
      </c>
      <c r="BP339" s="33" t="s">
        <v>25</v>
      </c>
      <c r="BQ339" s="33" t="s">
        <v>27</v>
      </c>
      <c r="BR339" s="33" t="s">
        <v>9</v>
      </c>
      <c r="BS339" s="33" t="s">
        <v>23</v>
      </c>
      <c r="BT339" s="33" t="s">
        <v>12</v>
      </c>
      <c r="BU339" s="33" t="s">
        <v>26</v>
      </c>
      <c r="BV339" s="33" t="s">
        <v>25</v>
      </c>
      <c r="BW339" s="33" t="s">
        <v>27</v>
      </c>
      <c r="BX339" s="33" t="s">
        <v>9</v>
      </c>
      <c r="BY339" s="33" t="s">
        <v>23</v>
      </c>
      <c r="BZ339" s="33" t="s">
        <v>12</v>
      </c>
      <c r="CA339" s="33" t="s">
        <v>26</v>
      </c>
      <c r="CB339" s="33" t="s">
        <v>25</v>
      </c>
      <c r="CC339" s="33" t="s">
        <v>27</v>
      </c>
      <c r="CD339" s="33" t="s">
        <v>9</v>
      </c>
      <c r="CE339" s="33" t="s">
        <v>23</v>
      </c>
      <c r="CF339" s="33" t="s">
        <v>12</v>
      </c>
      <c r="CG339" s="33" t="s">
        <v>26</v>
      </c>
      <c r="CH339" s="33" t="s">
        <v>25</v>
      </c>
      <c r="CI339" s="8"/>
    </row>
    <row r="340" spans="1:87" x14ac:dyDescent="0.2">
      <c r="A340" s="8" t="str">
        <f>IF(AND(COUNTIF(W$3:W$13,A$15)&gt;0,A$15&lt;&gt;B292),A$15,IFERROR(IF(MATCH(A$15,Z$3:Z$13,0)=3,A$15," ")," "))</f>
        <v xml:space="preserve"> </v>
      </c>
      <c r="B340" s="8" t="str">
        <f>IF(A340=" "," ",1)</f>
        <v xml:space="preserve"> </v>
      </c>
      <c r="C340" s="8" t="str">
        <f>IFERROR(INDEX(A340:A361,MATCH(SMALL(B340:B361,1),B340:B361,0),1)," ")</f>
        <v>C3</v>
      </c>
      <c r="D340" s="8">
        <f>IFERROR(VLOOKUP($C340,$A$15:$O$36,2,FALSE)," ")</f>
        <v>2</v>
      </c>
      <c r="E340" s="8">
        <f>IFERROR(VLOOKUP($C340,$A$15:$O$36,3,FALSE)," ")</f>
        <v>5</v>
      </c>
      <c r="F340" s="8">
        <f>IFERROR(VLOOKUP($C340,$A$15:$O$36,4,FALSE)," ")</f>
        <v>6</v>
      </c>
      <c r="G340" s="8">
        <f>IFERROR(VLOOKUP($C340,$A$15:$O$36,5,FALSE)," ")</f>
        <v>0</v>
      </c>
      <c r="H340" s="8">
        <f>IFERROR(VLOOKUP($C340,$A$15:$O$36,6,FALSE)," ")</f>
        <v>0</v>
      </c>
      <c r="I340" s="8">
        <f>IFERROR(VLOOKUP($C340,$A$15:$O$36,7,FALSE)," ")</f>
        <v>0</v>
      </c>
      <c r="J340" s="8">
        <f>IFERROR(VLOOKUP($C340,$A$15:$O$36,8,FALSE)," ")</f>
        <v>0</v>
      </c>
      <c r="K340" s="8">
        <f>IFERROR(VLOOKUP($C340,$A$15:$O$36,9,FALSE)," ")</f>
        <v>0</v>
      </c>
      <c r="L340" s="8">
        <f>IFERROR(VLOOKUP($C340,$A$15:$O$36,10,FALSE)," ")</f>
        <v>0</v>
      </c>
      <c r="M340" s="8">
        <f>IFERROR(VLOOKUP($C340,$A$15:$O$36,11,FALSE)," ")</f>
        <v>0</v>
      </c>
      <c r="N340" s="8">
        <f>IFERROR(VLOOKUP($C340,$A$15:$O$36,12,FALSE)," ")</f>
        <v>0</v>
      </c>
      <c r="O340" s="8">
        <f>IFERROR(VLOOKUP($C340,$A$15:$O$36,15,FALSE)," ")</f>
        <v>2000</v>
      </c>
      <c r="P340" s="8" t="e">
        <f t="array" ref="P340:P350">MMULT(MINVERSE(D340:N350),O340:O350)</f>
        <v>#NUM!</v>
      </c>
      <c r="Q340" s="8" t="e">
        <f t="shared" ref="Q340" si="1254">IF(COUNTIF(P340:P350,"&lt;"&amp;-0.001)=0,IF(ABS(P340)&lt;0.001,0,P340)," ")</f>
        <v>#NUM!</v>
      </c>
      <c r="R340" s="8" t="str">
        <f>IFERROR(VLOOKUP(B292,A$15:L$36,2,FALSE)*Q340+VLOOKUP(B292,A$15:L$36,3,FALSE)*Q341+VLOOKUP(B292,A$15:L$36,4,FALSE)*Q342+VLOOKUP(B292,A$15:L$36,5,FALSE)*Q343+VLOOKUP(B292,A$15:L$36,6,FALSE)*Q344+VLOOKUP(B292,A$15:L$36,7,FALSE)*Q345+VLOOKUP(B292,A$15:L$36,8,FALSE)*Q346+VLOOKUP(B292,A$15:L$36,9,FALSE)*Q347+VLOOKUP(B292,A$15:L$36,10,FALSE)*Q348+VLOOKUP(B292,A$15:L$36,11,FALSE)*Q349+VLOOKUP(B292,A$15:L$36,12,FALSE)*Q350," ")</f>
        <v xml:space="preserve"> </v>
      </c>
      <c r="S340" s="8" t="str">
        <f>IFERROR(IF(R340-VLOOKUP(B292,A$15:O$36,15,FALSE)&lt;0,R340-VLOOKUP(B292,A$15:O$36,15,FALSE)," ")," ")</f>
        <v xml:space="preserve"> </v>
      </c>
      <c r="T340" s="18" t="str">
        <f>IFERROR(IF(R340-VLOOKUP(B292,A$15:O$36,15,FALSE)&gt;0,R340-VLOOKUP(B292,A$15:O$36,15,FALSE)," ")," ")</f>
        <v xml:space="preserve"> </v>
      </c>
      <c r="U340" s="34">
        <f t="shared" ref="U340" si="1255">$M$2</f>
        <v>100.00000000000001</v>
      </c>
      <c r="V340" s="34">
        <v>-1</v>
      </c>
      <c r="W340" s="34">
        <f t="shared" ref="W340" si="1256">-SUMPRODUCT($M$3:$M$12,$N$3:$N$12)</f>
        <v>-105000</v>
      </c>
      <c r="X340" s="34" t="e">
        <f t="shared" ref="X340" si="1257">IF(U340&lt;&gt;U341,MMULT(MINVERSE(U340:V341),W340:W341)," ")</f>
        <v>#NUM!</v>
      </c>
      <c r="Y340" s="34" t="str">
        <f t="shared" ref="Y340" si="1258">IFERROR(IF(X340-VLOOKUP(U$38,$A$2:$N$12,14,FALSE)&lt;0,X340-VLOOKUP(U$38,$A$2:$N$12,14,FALSE)," ")," ")</f>
        <v xml:space="preserve"> </v>
      </c>
      <c r="Z340" s="34" t="str">
        <f t="shared" ref="Z340" si="1259">IFERROR(IF(X340-VLOOKUP(U$38,$A$2:$N$12,14,FALSE)&gt;0,X340-VLOOKUP(U$38,$A$2:$N$12,14,FALSE)," ")," ")</f>
        <v xml:space="preserve"> </v>
      </c>
      <c r="AA340" s="34">
        <f t="shared" ref="AA340" si="1260">$M$3</f>
        <v>0</v>
      </c>
      <c r="AB340" s="34">
        <v>-1</v>
      </c>
      <c r="AC340" s="34">
        <f t="shared" ref="AC340" si="1261">-SUMPRODUCT($M$2:$M$2,$N$2:$N$2)-SUMPRODUCT($M$4:$M$12,$N$4:$N$12)</f>
        <v>-120000</v>
      </c>
      <c r="AD340" s="34" t="e">
        <f t="shared" ref="AD340" si="1262">IF(AA340&lt;&gt;AA341,MMULT(MINVERSE(AA340:AB341),AC340:AC341)," ")</f>
        <v>#NUM!</v>
      </c>
      <c r="AE340" s="34" t="str">
        <f t="shared" ref="AE340" si="1263">IFERROR(IF(AD340-VLOOKUP(AA$38,$A$2:$N$12,14,FALSE)&lt;0,AD340-VLOOKUP(AA$38,$A$2:$N$12,14,FALSE)," ")," ")</f>
        <v xml:space="preserve"> </v>
      </c>
      <c r="AF340" s="34" t="str">
        <f t="shared" ref="AF340" si="1264">IFERROR(IF(AD340-VLOOKUP(AA$38,$A$2:$N$12,14,FALSE)&gt;0,AD340-VLOOKUP(AA$38,$A$2:$N$12,14,FALSE)," ")," ")</f>
        <v xml:space="preserve"> </v>
      </c>
      <c r="AG340" s="34">
        <f t="shared" ref="AG340" si="1265">$M$4</f>
        <v>300</v>
      </c>
      <c r="AH340" s="34">
        <v>-1</v>
      </c>
      <c r="AI340" s="34">
        <f t="shared" ref="AI340" si="1266">-SUMPRODUCT($M$2:$M$3,$N$2:$N$3)-SUMPRODUCT($M$5:$M$12,$N$5:$N$12)</f>
        <v>-15000.000000000002</v>
      </c>
      <c r="AJ340" s="34" t="e">
        <f t="shared" ref="AJ340" si="1267">IF(AG340&lt;&gt;AG341,MMULT(MINVERSE(AG340:AH341),AI340:AI341)," ")</f>
        <v>#NUM!</v>
      </c>
      <c r="AK340" s="34" t="str">
        <f t="shared" ref="AK340" si="1268">IFERROR(IF(AJ340-VLOOKUP(AG$38,$A$2:$N$12,14,FALSE)&lt;0,AJ340-VLOOKUP(AG$38,$A$2:$N$12,14,FALSE)," ")," ")</f>
        <v xml:space="preserve"> </v>
      </c>
      <c r="AL340" s="34" t="str">
        <f t="shared" ref="AL340" si="1269">IFERROR(IF(AJ340-VLOOKUP(AG$38,$A$2:$N$12,14,FALSE)&gt;0,AJ340-VLOOKUP(AG$38,$A$2:$N$12,14,FALSE)," ")," ")</f>
        <v xml:space="preserve"> </v>
      </c>
      <c r="AM340" s="34">
        <f t="shared" ref="AM340" si="1270">$M$5</f>
        <v>0</v>
      </c>
      <c r="AN340" s="34">
        <v>-1</v>
      </c>
      <c r="AO340" s="34">
        <f t="shared" ref="AO340" si="1271">-SUMPRODUCT($M$2:$M$4,$N$2:$N$4)-SUMPRODUCT($M$6:$M$12,$N$6:$N$12)</f>
        <v>-120000</v>
      </c>
      <c r="AP340" s="34" t="e">
        <f t="shared" ref="AP340" si="1272">IF(AM340&lt;&gt;AM341,MMULT(MINVERSE(AM340:AN341),AO340:AO341)," ")</f>
        <v>#NUM!</v>
      </c>
      <c r="AQ340" s="34" t="str">
        <f t="shared" ref="AQ340" si="1273">IFERROR(IF(AP340-VLOOKUP(AM$38,$A$2:$N$12,14,FALSE)&lt;0,AP340-VLOOKUP(AM$38,$A$2:$N$12,14,FALSE)," ")," ")</f>
        <v xml:space="preserve"> </v>
      </c>
      <c r="AR340" s="34" t="str">
        <f t="shared" ref="AR340" si="1274">IFERROR(IF(AP340-VLOOKUP(AM$38,$A$2:$N$12,14,FALSE)&gt;0,AP340-VLOOKUP(AM$38,$A$2:$N$12,14,FALSE)," ")," ")</f>
        <v xml:space="preserve"> </v>
      </c>
      <c r="AS340" s="34">
        <f t="shared" ref="AS340" si="1275">$M$6</f>
        <v>0</v>
      </c>
      <c r="AT340" s="34">
        <v>-1</v>
      </c>
      <c r="AU340" s="34">
        <f t="shared" ref="AU340" si="1276">-SUMPRODUCT($M$2:$M$5,$N$2:$N$5)-SUMPRODUCT($M$7:$M$12,$N$7:$N$12)</f>
        <v>-120000</v>
      </c>
      <c r="AV340" s="34" t="e">
        <f t="shared" ref="AV340" si="1277">IF(AS340&lt;&gt;AS341,MMULT(MINVERSE(AS340:AT341),AU340:AU341)," ")</f>
        <v>#NUM!</v>
      </c>
      <c r="AW340" s="34" t="str">
        <f t="shared" ref="AW340" si="1278">IFERROR(IF(AV340-VLOOKUP(AS$38,$A$2:$N$12,14,FALSE)&lt;0,AV340-VLOOKUP(AS$38,$A$2:$N$12,14,FALSE)," ")," ")</f>
        <v xml:space="preserve"> </v>
      </c>
      <c r="AX340" s="34" t="str">
        <f t="shared" ref="AX340" si="1279">IFERROR(IF(AV340-VLOOKUP(AS$38,$A$2:$N$12,14,FALSE)&gt;0,AV340-VLOOKUP(AS$38,$A$2:$N$12,14,FALSE)," ")," ")</f>
        <v xml:space="preserve"> </v>
      </c>
      <c r="AY340" s="34">
        <f t="shared" ref="AY340" si="1280">$M$7</f>
        <v>0</v>
      </c>
      <c r="AZ340" s="34">
        <v>-1</v>
      </c>
      <c r="BA340" s="34">
        <f t="shared" ref="BA340" si="1281">-SUMPRODUCT($M$2:$M$6,$N$2:$N$6)-SUMPRODUCT($M$8:$M$12,$N$8:$N$12)</f>
        <v>-120000</v>
      </c>
      <c r="BB340" s="34" t="e">
        <f t="shared" ref="BB340" si="1282">IF(AY340&lt;&gt;AY341,MMULT(MINVERSE(AY340:AZ341),BA340:BA341)," ")</f>
        <v>#NUM!</v>
      </c>
      <c r="BC340" s="34" t="str">
        <f t="shared" ref="BC340" si="1283">IFERROR(IF(BB340-VLOOKUP(AY$38,$A$2:$N$12,14,FALSE)&lt;0,BB340-VLOOKUP(AY$38,$A$2:$N$12,14,FALSE)," ")," ")</f>
        <v xml:space="preserve"> </v>
      </c>
      <c r="BD340" s="34" t="str">
        <f t="shared" ref="BD340" si="1284">IFERROR(IF(BB340-VLOOKUP(AY$38,$A$2:$N$12,14,FALSE)&gt;0,BB340-VLOOKUP(AY$38,$A$2:$N$12,14,FALSE)," ")," ")</f>
        <v xml:space="preserve"> </v>
      </c>
      <c r="BE340" s="34">
        <f t="shared" ref="BE340" si="1285">$M$8</f>
        <v>0</v>
      </c>
      <c r="BF340" s="34">
        <v>-1</v>
      </c>
      <c r="BG340" s="34">
        <f t="shared" ref="BG340" si="1286">-SUMPRODUCT($M$2:$M$7,$N$2:$N$7)-SUMPRODUCT($M$9:$M$12,$N$9:$N$12)</f>
        <v>-120000</v>
      </c>
      <c r="BH340" s="34" t="e">
        <f t="shared" ref="BH340" si="1287">IF(BE340&lt;&gt;BE341,MMULT(MINVERSE(BE340:BF341),BG340:BG341)," ")</f>
        <v>#NUM!</v>
      </c>
      <c r="BI340" s="34" t="str">
        <f t="shared" ref="BI340" si="1288">IFERROR(IF(BH340-VLOOKUP(BE$38,$A$2:$N$12,14,FALSE)&lt;0,BH340-VLOOKUP(BE$38,$A$2:$N$12,14,FALSE)," ")," ")</f>
        <v xml:space="preserve"> </v>
      </c>
      <c r="BJ340" s="34" t="str">
        <f t="shared" ref="BJ340" si="1289">IFERROR(IF(BH340-VLOOKUP(BE$38,$A$2:$N$12,14,FALSE)&gt;0,BH340-VLOOKUP(BE$38,$A$2:$N$12,14,FALSE)," ")," ")</f>
        <v xml:space="preserve"> </v>
      </c>
      <c r="BK340" s="34">
        <f t="shared" ref="BK340" si="1290">$M$9</f>
        <v>0</v>
      </c>
      <c r="BL340" s="34">
        <v>-1</v>
      </c>
      <c r="BM340" s="34">
        <f t="shared" ref="BM340" si="1291">-SUMPRODUCT($M$2:$M$8,$N$2:$N$8)-SUMPRODUCT($M$10:$M$12,$N$10:$N$12)</f>
        <v>-120000</v>
      </c>
      <c r="BN340" s="34" t="e">
        <f t="shared" ref="BN340" si="1292">IF(BK340&lt;&gt;BK341,MMULT(MINVERSE(BK340:BL341),BM340:BM341)," ")</f>
        <v>#NUM!</v>
      </c>
      <c r="BO340" s="34" t="str">
        <f t="shared" ref="BO340" si="1293">IFERROR(IF(BN340-VLOOKUP(BK$38,$A$2:$N$12,14,FALSE)&lt;0,BN340-VLOOKUP(BK$38,$A$2:$N$12,14,FALSE)," ")," ")</f>
        <v xml:space="preserve"> </v>
      </c>
      <c r="BP340" s="34" t="str">
        <f t="shared" ref="BP340" si="1294">IFERROR(IF(BN340-VLOOKUP(BK$38,$A$2:$N$12,14,FALSE)&gt;0,BN340-VLOOKUP(BK$38,$A$2:$N$12,14,FALSE)," ")," ")</f>
        <v xml:space="preserve"> </v>
      </c>
      <c r="BQ340" s="34">
        <f t="shared" ref="BQ340" si="1295">$M$10</f>
        <v>0</v>
      </c>
      <c r="BR340" s="34">
        <v>-1</v>
      </c>
      <c r="BS340" s="34">
        <f t="shared" ref="BS340" si="1296">-SUMPRODUCT($M$2:$M$9,$N$2:$N$9)-SUMPRODUCT($M$11:$M$12,$N$11:$N$12)</f>
        <v>-120000</v>
      </c>
      <c r="BT340" s="34" t="e">
        <f t="shared" ref="BT340" si="1297">IF(BQ340&lt;&gt;BQ341,MMULT(MINVERSE(BQ340:BR341),BS340:BS341)," ")</f>
        <v>#NUM!</v>
      </c>
      <c r="BU340" s="34" t="str">
        <f t="shared" ref="BU340" si="1298">IFERROR(IF(BT340-VLOOKUP(BQ$38,$A$2:$N$12,14,FALSE)&lt;0,BT340-VLOOKUP(BQ$38,$A$2:$N$12,14,FALSE)," ")," ")</f>
        <v xml:space="preserve"> </v>
      </c>
      <c r="BV340" s="34" t="str">
        <f t="shared" ref="BV340" si="1299">IFERROR(IF(BT340-VLOOKUP(BQ$38,$A$2:$N$12,14,FALSE)&gt;0,BT340-VLOOKUP(BQ$38,$A$2:$N$12,14,FALSE)," ")," ")</f>
        <v xml:space="preserve"> </v>
      </c>
      <c r="BW340" s="34">
        <f t="shared" ref="BW340" si="1300">$M$11</f>
        <v>0</v>
      </c>
      <c r="BX340" s="34">
        <v>-1</v>
      </c>
      <c r="BY340" s="34">
        <f t="shared" ref="BY340" si="1301">-SUMPRODUCT($M$2:$M$10,$N$2:$N$10)-SUMPRODUCT($M$12,$N$12)</f>
        <v>-120000</v>
      </c>
      <c r="BZ340" s="34" t="e">
        <f t="shared" ref="BZ340" si="1302">IF(BW340&lt;&gt;BW341,MMULT(MINVERSE(BW340:BX341),BY340:BY341)," ")</f>
        <v>#NUM!</v>
      </c>
      <c r="CA340" s="34" t="str">
        <f t="shared" ref="CA340" si="1303">IFERROR(IF(BZ340-VLOOKUP(BW$38,$A$2:$N$12,14,FALSE)&lt;0,BZ340-VLOOKUP(BW$38,$A$2:$N$12,14,FALSE)," ")," ")</f>
        <v xml:space="preserve"> </v>
      </c>
      <c r="CB340" s="34" t="str">
        <f t="shared" ref="CB340" si="1304">IFERROR(IF(BZ340-VLOOKUP(BW$38,$A$2:$N$12,14,FALSE)&gt;0,BZ340-VLOOKUP(BW$38,$A$2:$N$12,14,FALSE)," ")," ")</f>
        <v xml:space="preserve"> </v>
      </c>
      <c r="CC340" s="34">
        <f t="shared" ref="CC340" si="1305">$M$12</f>
        <v>0</v>
      </c>
      <c r="CD340" s="34">
        <v>-1</v>
      </c>
      <c r="CE340" s="34">
        <f t="shared" ref="CE340" si="1306">-SUMPRODUCT($M$2:$M$11,$N$2:$N$11)</f>
        <v>-120000</v>
      </c>
      <c r="CF340" s="34" t="e">
        <f t="shared" ref="CF340" si="1307">IF(CC340&lt;&gt;CC341,MMULT(MINVERSE(CC340:CD341),CE340:CE341)," ")</f>
        <v>#NUM!</v>
      </c>
      <c r="CG340" s="34" t="str">
        <f t="shared" ref="CG340" si="1308">IFERROR(IF(CF340-VLOOKUP(CC$38,$A$2:$N$12,14,FALSE)&lt;0,CF340-VLOOKUP(CC$38,$A$2:$N$12,14,FALSE)," ")," ")</f>
        <v xml:space="preserve"> </v>
      </c>
      <c r="CH340" s="34" t="str">
        <f t="shared" ref="CH340" si="1309">IFERROR(IF(CF340-VLOOKUP(CC$38,$A$2:$N$12,14,FALSE)&gt;0,CF340-VLOOKUP(CC$38,$A$2:$N$12,14,FALSE)," ")," ")</f>
        <v xml:space="preserve"> </v>
      </c>
      <c r="CI340" s="8"/>
    </row>
    <row r="341" spans="1:87" x14ac:dyDescent="0.2">
      <c r="A341" s="8" t="str">
        <f>IF(AND(COUNTIF(W$3:W$13,A$16)&gt;0,A$16&lt;&gt;B292),A$16,IFERROR(IF(MATCH(A$16,Z$3:Z$13,0)=3,A$16," ")," "))</f>
        <v xml:space="preserve"> </v>
      </c>
      <c r="B341" s="8" t="str">
        <f>IF(A341=" "," ",MAX(B340:B340)+1)</f>
        <v xml:space="preserve"> </v>
      </c>
      <c r="C341" s="8" t="str">
        <f>IFERROR(INDEX(A340:A361,MATCH(SMALL(B340:B361,2),B340:B361,0),1)," ")</f>
        <v>C5</v>
      </c>
      <c r="D341" s="8">
        <f t="shared" ref="D341:D350" si="1310">IFERROR(VLOOKUP($C341,$A$15:$O$36,2,FALSE)," ")</f>
        <v>0</v>
      </c>
      <c r="E341" s="8">
        <f t="shared" ref="E341:E350" si="1311">IFERROR(VLOOKUP($C341,$A$15:$O$36,3,FALSE)," ")</f>
        <v>0</v>
      </c>
      <c r="F341" s="8">
        <f t="shared" ref="F341:F350" si="1312">IFERROR(VLOOKUP($C341,$A$15:$O$36,4,FALSE)," ")</f>
        <v>0</v>
      </c>
      <c r="G341" s="8">
        <f t="shared" ref="G341:G350" si="1313">IFERROR(VLOOKUP($C341,$A$15:$O$36,5,FALSE)," ")</f>
        <v>0</v>
      </c>
      <c r="H341" s="8">
        <f t="shared" ref="H341:H350" si="1314">IFERROR(VLOOKUP($C341,$A$15:$O$36,6,FALSE)," ")</f>
        <v>0</v>
      </c>
      <c r="I341" s="8">
        <f t="shared" ref="I341:I350" si="1315">IFERROR(VLOOKUP($C341,$A$15:$O$36,7,FALSE)," ")</f>
        <v>0</v>
      </c>
      <c r="J341" s="8">
        <f t="shared" ref="J341:J350" si="1316">IFERROR(VLOOKUP($C341,$A$15:$O$36,8,FALSE)," ")</f>
        <v>0</v>
      </c>
      <c r="K341" s="8">
        <f t="shared" ref="K341:K350" si="1317">IFERROR(VLOOKUP($C341,$A$15:$O$36,9,FALSE)," ")</f>
        <v>0</v>
      </c>
      <c r="L341" s="8">
        <f t="shared" ref="L341:L350" si="1318">IFERROR(VLOOKUP($C341,$A$15:$O$36,10,FALSE)," ")</f>
        <v>0</v>
      </c>
      <c r="M341" s="8">
        <f t="shared" ref="M341:M350" si="1319">IFERROR(VLOOKUP($C341,$A$15:$O$36,11,FALSE)," ")</f>
        <v>0</v>
      </c>
      <c r="N341" s="8">
        <f t="shared" ref="N341:N350" si="1320">IFERROR(VLOOKUP($C341,$A$15:$O$36,12,FALSE)," ")</f>
        <v>0</v>
      </c>
      <c r="O341" s="8">
        <f t="shared" ref="O341:O350" si="1321">IFERROR(VLOOKUP($C341,$A$15:$O$36,15,FALSE)," ")</f>
        <v>0</v>
      </c>
      <c r="P341" s="8" t="e">
        <v>#NUM!</v>
      </c>
      <c r="Q341" s="8" t="e">
        <f t="shared" ref="Q341" si="1322">IF(COUNTIF(P340:P350,"&lt;"&amp;-0.001)=0,IF(ABS(P341)&lt;0.001,0,P341)," ")</f>
        <v>#NUM!</v>
      </c>
      <c r="R341" s="8"/>
      <c r="S341" s="8"/>
      <c r="U341" s="34" t="e">
        <f t="shared" ref="U341" si="1323">$Q340</f>
        <v>#NUM!</v>
      </c>
      <c r="V341" s="34">
        <v>-1</v>
      </c>
      <c r="W341" s="34" t="e">
        <f t="shared" ref="W341" si="1324">-SUMPRODUCT($Q341:$Q350,$N$3:$N$12)</f>
        <v>#NUM!</v>
      </c>
      <c r="X341" s="34"/>
      <c r="Y341" s="34"/>
      <c r="Z341" s="34"/>
      <c r="AA341" s="34" t="e">
        <f t="shared" ref="AA341" si="1325">$Q341</f>
        <v>#NUM!</v>
      </c>
      <c r="AB341" s="34">
        <v>-1</v>
      </c>
      <c r="AC341" s="34" t="e">
        <f t="shared" ref="AC341" si="1326">-SUMPRODUCT($Q340:$Q340,$N$2:$N$2)-SUMPRODUCT($Q342:$Q350,$N$4:$N$12)</f>
        <v>#NUM!</v>
      </c>
      <c r="AD341" s="34"/>
      <c r="AE341" s="34"/>
      <c r="AF341" s="34"/>
      <c r="AG341" s="34" t="e">
        <f t="shared" ref="AG341" si="1327">$Q342</f>
        <v>#NUM!</v>
      </c>
      <c r="AH341" s="34">
        <v>-1</v>
      </c>
      <c r="AI341" s="34" t="e">
        <f t="shared" ref="AI341" si="1328">-SUMPRODUCT($Q340:$Q341,$N$2:$N$3)-SUMPRODUCT($Q343:$Q350,$N$5:$N$12)</f>
        <v>#NUM!</v>
      </c>
      <c r="AJ341" s="34"/>
      <c r="AK341" s="34"/>
      <c r="AL341" s="34"/>
      <c r="AM341" s="34" t="e">
        <f t="shared" ref="AM341" si="1329">$Q343</f>
        <v>#NUM!</v>
      </c>
      <c r="AN341" s="34">
        <v>-1</v>
      </c>
      <c r="AO341" s="34" t="e">
        <f t="shared" ref="AO341" si="1330">-SUMPRODUCT($Q340:$Q342,$N$2:$N$4)-SUMPRODUCT($Q344:$Q350,$N$6:$N$12)</f>
        <v>#NUM!</v>
      </c>
      <c r="AP341" s="34"/>
      <c r="AQ341" s="34"/>
      <c r="AR341" s="34"/>
      <c r="AS341" s="34" t="e">
        <f t="shared" ref="AS341" si="1331">$Q344</f>
        <v>#NUM!</v>
      </c>
      <c r="AT341" s="34">
        <v>-1</v>
      </c>
      <c r="AU341" s="34" t="e">
        <f t="shared" ref="AU341" si="1332">-SUMPRODUCT($Q340:$Q343,$N$2:$N$5)-SUMPRODUCT($Q345:$Q350,$N$7:$N$12)</f>
        <v>#NUM!</v>
      </c>
      <c r="AV341" s="34"/>
      <c r="AW341" s="34"/>
      <c r="AX341" s="34"/>
      <c r="AY341" s="34" t="e">
        <f t="shared" ref="AY341" si="1333">$Q345</f>
        <v>#NUM!</v>
      </c>
      <c r="AZ341" s="34">
        <v>-1</v>
      </c>
      <c r="BA341" s="34" t="e">
        <f t="shared" ref="BA341" si="1334">-SUMPRODUCT($Q340:$Q344,$N$2:$N$6)-SUMPRODUCT($Q346:$Q350,$N$8:$N$12)</f>
        <v>#NUM!</v>
      </c>
      <c r="BB341" s="34"/>
      <c r="BC341" s="34"/>
      <c r="BD341" s="34"/>
      <c r="BE341" s="34" t="e">
        <f t="shared" ref="BE341" si="1335">$Q346</f>
        <v>#NUM!</v>
      </c>
      <c r="BF341" s="34">
        <v>-1</v>
      </c>
      <c r="BG341" s="34" t="e">
        <f t="shared" ref="BG341" si="1336">-SUMPRODUCT($Q340:$Q345,$N$2:$N$7)-SUMPRODUCT($Q347:$Q350,$N$9:$N$12)</f>
        <v>#NUM!</v>
      </c>
      <c r="BH341" s="34"/>
      <c r="BI341" s="34"/>
      <c r="BJ341" s="34"/>
      <c r="BK341" s="34" t="e">
        <f t="shared" ref="BK341" si="1337">$Q347</f>
        <v>#NUM!</v>
      </c>
      <c r="BL341" s="34">
        <v>-1</v>
      </c>
      <c r="BM341" s="34" t="e">
        <f t="shared" ref="BM341" si="1338">-SUMPRODUCT($Q340:$Q346,$N$2:$N$8)-SUMPRODUCT($Q348:$Q350,$N$10:$N$12)</f>
        <v>#NUM!</v>
      </c>
      <c r="BN341" s="34"/>
      <c r="BO341" s="34"/>
      <c r="BP341" s="34"/>
      <c r="BQ341" s="34" t="e">
        <f t="shared" ref="BQ341" si="1339">$Q348</f>
        <v>#NUM!</v>
      </c>
      <c r="BR341" s="34">
        <v>-1</v>
      </c>
      <c r="BS341" s="34" t="e">
        <f t="shared" ref="BS341" si="1340">-SUMPRODUCT($Q340:$Q347,$N$2:$N$9)-SUMPRODUCT($Q349:$Q350,$N$11:$N$12)</f>
        <v>#NUM!</v>
      </c>
      <c r="BT341" s="34"/>
      <c r="BU341" s="34"/>
      <c r="BV341" s="34"/>
      <c r="BW341" s="34" t="e">
        <f t="shared" ref="BW341" si="1341">$Q349</f>
        <v>#NUM!</v>
      </c>
      <c r="BX341" s="34">
        <v>-1</v>
      </c>
      <c r="BY341" s="34" t="e">
        <f t="shared" ref="BY341" si="1342">-SUMPRODUCT($Q340:$Q348,$N$2:$N$10)-SUMPRODUCT($Q350,$N$12)</f>
        <v>#NUM!</v>
      </c>
      <c r="BZ341" s="34"/>
      <c r="CA341" s="34"/>
      <c r="CB341" s="34"/>
      <c r="CC341" s="34" t="e">
        <f t="shared" ref="CC341" si="1343">$Q350</f>
        <v>#NUM!</v>
      </c>
      <c r="CD341" s="34">
        <v>-1</v>
      </c>
      <c r="CE341" s="34" t="e">
        <f t="shared" ref="CE341" si="1344">-SUMPRODUCT($Q340:$Q349,$N$2:$N$11)</f>
        <v>#NUM!</v>
      </c>
      <c r="CF341" s="34"/>
      <c r="CG341" s="34"/>
      <c r="CH341" s="34"/>
      <c r="CI341" s="8"/>
    </row>
    <row r="342" spans="1:87" x14ac:dyDescent="0.2">
      <c r="A342" s="8" t="str">
        <f>IF(AND(COUNTIF(W$3:W$13,A$17)&gt;0,A$17&lt;&gt;B292),A$17,IFERROR(IF(MATCH(A$17,Z$3:Z$13,0)=3,A$17," ")," "))</f>
        <v>C3</v>
      </c>
      <c r="B342" s="8">
        <f>IF(A342=" "," ",MAX(B340:B341)+1)</f>
        <v>1</v>
      </c>
      <c r="C342" s="8" t="str">
        <f>IFERROR(INDEX(A340:A361,MATCH(SMALL(B340:B361,3),B340:B361,0),1)," ")</f>
        <v>C13</v>
      </c>
      <c r="D342" s="8">
        <f t="shared" si="1310"/>
        <v>0</v>
      </c>
      <c r="E342" s="8">
        <f t="shared" si="1311"/>
        <v>1</v>
      </c>
      <c r="F342" s="8">
        <f t="shared" si="1312"/>
        <v>0</v>
      </c>
      <c r="G342" s="8">
        <f t="shared" si="1313"/>
        <v>0</v>
      </c>
      <c r="H342" s="8">
        <f t="shared" si="1314"/>
        <v>0</v>
      </c>
      <c r="I342" s="8">
        <f t="shared" si="1315"/>
        <v>0</v>
      </c>
      <c r="J342" s="8">
        <f t="shared" si="1316"/>
        <v>0</v>
      </c>
      <c r="K342" s="8">
        <f t="shared" si="1317"/>
        <v>0</v>
      </c>
      <c r="L342" s="8">
        <f t="shared" si="1318"/>
        <v>0</v>
      </c>
      <c r="M342" s="8">
        <f t="shared" si="1319"/>
        <v>0</v>
      </c>
      <c r="N342" s="8">
        <f t="shared" si="1320"/>
        <v>0</v>
      </c>
      <c r="O342" s="8">
        <f t="shared" si="1321"/>
        <v>0</v>
      </c>
      <c r="P342" s="8" t="e">
        <v>#NUM!</v>
      </c>
      <c r="Q342" s="8" t="e">
        <f t="shared" ref="Q342" si="1345">IF(COUNTIF(P340:P350,"&lt;"&amp;-0.001)=0,IF(ABS(P342)&lt;0.001,0,P342)," ")</f>
        <v>#NUM!</v>
      </c>
      <c r="R342" s="8"/>
      <c r="S342" s="8"/>
      <c r="U342" s="34"/>
      <c r="V342" s="34"/>
      <c r="W342" s="34"/>
      <c r="X342" s="34"/>
      <c r="Y342" s="34"/>
      <c r="Z342" s="34"/>
      <c r="AA342" s="34"/>
      <c r="AB342" s="34"/>
      <c r="AC342" s="34"/>
      <c r="AD342" s="34"/>
      <c r="AE342" s="34"/>
      <c r="AF342" s="34"/>
      <c r="AG342" s="34"/>
      <c r="AH342" s="34"/>
      <c r="AI342" s="34"/>
      <c r="AJ342" s="34"/>
      <c r="AK342" s="34"/>
      <c r="AL342" s="34"/>
      <c r="AM342" s="34"/>
      <c r="AN342" s="34"/>
      <c r="AO342" s="34"/>
      <c r="AP342" s="34"/>
      <c r="AQ342" s="34"/>
      <c r="AR342" s="34"/>
      <c r="AS342" s="34"/>
      <c r="AT342" s="34"/>
      <c r="AU342" s="34"/>
      <c r="AV342" s="34"/>
      <c r="AW342" s="34"/>
      <c r="AX342" s="34"/>
      <c r="AY342" s="34"/>
      <c r="AZ342" s="34"/>
      <c r="BA342" s="34"/>
      <c r="BB342" s="34"/>
      <c r="BC342" s="34"/>
      <c r="BD342" s="34"/>
      <c r="BE342" s="34"/>
      <c r="BF342" s="34"/>
      <c r="BG342" s="34"/>
      <c r="BH342" s="34"/>
      <c r="BI342" s="34"/>
      <c r="BJ342" s="34"/>
      <c r="BK342" s="34"/>
      <c r="BL342" s="34"/>
      <c r="BM342" s="34"/>
      <c r="BN342" s="34"/>
      <c r="BO342" s="34"/>
      <c r="BP342" s="34"/>
      <c r="BQ342" s="34"/>
      <c r="BR342" s="34"/>
      <c r="BS342" s="34"/>
      <c r="BT342" s="34"/>
      <c r="BU342" s="34"/>
      <c r="BV342" s="34"/>
      <c r="BW342" s="34"/>
      <c r="BX342" s="34"/>
      <c r="BY342" s="34"/>
      <c r="BZ342" s="34"/>
      <c r="CA342" s="34"/>
      <c r="CB342" s="34"/>
      <c r="CC342" s="34"/>
      <c r="CD342" s="34"/>
      <c r="CE342" s="34"/>
      <c r="CF342" s="34"/>
      <c r="CG342" s="34"/>
      <c r="CH342" s="34"/>
      <c r="CI342" s="8"/>
    </row>
    <row r="343" spans="1:87" x14ac:dyDescent="0.2">
      <c r="A343" s="8" t="str">
        <f>IF(AND(COUNTIF(W$3:W$13,A$18)&gt;0,A$18&lt;&gt;B292),A$18,IFERROR(IF(MATCH(A$18,Z$3:Z$13,0)=3,A$18," ")," "))</f>
        <v xml:space="preserve"> </v>
      </c>
      <c r="B343" s="8" t="str">
        <f>IF(A343=" "," ",MAX(B340:B342)+1)</f>
        <v xml:space="preserve"> </v>
      </c>
      <c r="C343" s="8" t="str">
        <f>IFERROR(INDEX(A340:A361,MATCH(SMALL(B340:B361,4),B340:B361,0),1)," ")</f>
        <v>C15</v>
      </c>
      <c r="D343" s="8">
        <f t="shared" si="1310"/>
        <v>0</v>
      </c>
      <c r="E343" s="8">
        <f t="shared" si="1311"/>
        <v>0</v>
      </c>
      <c r="F343" s="8">
        <f t="shared" si="1312"/>
        <v>0</v>
      </c>
      <c r="G343" s="8">
        <f t="shared" si="1313"/>
        <v>1</v>
      </c>
      <c r="H343" s="8">
        <f t="shared" si="1314"/>
        <v>0</v>
      </c>
      <c r="I343" s="8">
        <f t="shared" si="1315"/>
        <v>0</v>
      </c>
      <c r="J343" s="8">
        <f t="shared" si="1316"/>
        <v>0</v>
      </c>
      <c r="K343" s="8">
        <f t="shared" si="1317"/>
        <v>0</v>
      </c>
      <c r="L343" s="8">
        <f t="shared" si="1318"/>
        <v>0</v>
      </c>
      <c r="M343" s="8">
        <f t="shared" si="1319"/>
        <v>0</v>
      </c>
      <c r="N343" s="8">
        <f t="shared" si="1320"/>
        <v>0</v>
      </c>
      <c r="O343" s="8">
        <f t="shared" si="1321"/>
        <v>0</v>
      </c>
      <c r="P343" s="8" t="e">
        <v>#NUM!</v>
      </c>
      <c r="Q343" s="8" t="e">
        <f t="shared" ref="Q343" si="1346">IF(COUNTIF(P340:P350,"&lt;"&amp;-0.001)=0,IF(ABS(P343)&lt;0.001,0,P343)," ")</f>
        <v>#NUM!</v>
      </c>
      <c r="R343" s="8"/>
      <c r="S343" s="8"/>
      <c r="U343" s="34"/>
      <c r="V343" s="34"/>
      <c r="W343" s="34"/>
      <c r="X343" s="34"/>
      <c r="Y343" s="34"/>
      <c r="Z343" s="34"/>
      <c r="AA343" s="34"/>
      <c r="AB343" s="34"/>
      <c r="AC343" s="34"/>
      <c r="AD343" s="34"/>
      <c r="AE343" s="34"/>
      <c r="AF343" s="34"/>
      <c r="AG343" s="34"/>
      <c r="AH343" s="34"/>
      <c r="AI343" s="34"/>
      <c r="AJ343" s="34"/>
      <c r="AK343" s="34"/>
      <c r="AL343" s="34"/>
      <c r="AM343" s="34"/>
      <c r="AN343" s="34"/>
      <c r="AO343" s="34"/>
      <c r="AP343" s="34"/>
      <c r="AQ343" s="34"/>
      <c r="AR343" s="34"/>
      <c r="AS343" s="34"/>
      <c r="AT343" s="34"/>
      <c r="AU343" s="34"/>
      <c r="AV343" s="34"/>
      <c r="AW343" s="34"/>
      <c r="AX343" s="34"/>
      <c r="AY343" s="34"/>
      <c r="AZ343" s="34"/>
      <c r="BA343" s="34"/>
      <c r="BB343" s="34"/>
      <c r="BC343" s="34"/>
      <c r="BD343" s="34"/>
      <c r="BE343" s="34"/>
      <c r="BF343" s="34"/>
      <c r="BG343" s="34"/>
      <c r="BH343" s="34"/>
      <c r="BI343" s="34"/>
      <c r="BJ343" s="34"/>
      <c r="BK343" s="34"/>
      <c r="BL343" s="34"/>
      <c r="BM343" s="34"/>
      <c r="BN343" s="34"/>
      <c r="BO343" s="34"/>
      <c r="BP343" s="34"/>
      <c r="BQ343" s="34"/>
      <c r="BR343" s="34"/>
      <c r="BS343" s="34"/>
      <c r="BT343" s="34"/>
      <c r="BU343" s="34"/>
      <c r="BV343" s="34"/>
      <c r="BW343" s="34"/>
      <c r="BX343" s="34"/>
      <c r="BY343" s="34"/>
      <c r="BZ343" s="34"/>
      <c r="CA343" s="34"/>
      <c r="CB343" s="34"/>
      <c r="CC343" s="34"/>
      <c r="CD343" s="34"/>
      <c r="CE343" s="34"/>
      <c r="CF343" s="34"/>
      <c r="CG343" s="34"/>
      <c r="CH343" s="34"/>
      <c r="CI343" s="8"/>
    </row>
    <row r="344" spans="1:87" x14ac:dyDescent="0.2">
      <c r="A344" s="8" t="str">
        <f>IF(AND(COUNTIF(W$3:W$13,A$19)&gt;0,A$19&lt;&gt;B292),A$19,IFERROR(IF(MATCH(A$19,Z$3:Z$13,0)=3,A$19," ")," "))</f>
        <v>C5</v>
      </c>
      <c r="B344" s="8">
        <f>IF(A344=" "," ",MAX(B340:B343)+1)</f>
        <v>2</v>
      </c>
      <c r="C344" s="8" t="str">
        <f>IFERROR(INDEX(A340:A361,MATCH(SMALL(B340:B361,5),B340:B361,0),1)," ")</f>
        <v>C16</v>
      </c>
      <c r="D344" s="8">
        <f t="shared" si="1310"/>
        <v>0</v>
      </c>
      <c r="E344" s="8">
        <f t="shared" si="1311"/>
        <v>0</v>
      </c>
      <c r="F344" s="8">
        <f t="shared" si="1312"/>
        <v>0</v>
      </c>
      <c r="G344" s="8">
        <f t="shared" si="1313"/>
        <v>0</v>
      </c>
      <c r="H344" s="8">
        <f t="shared" si="1314"/>
        <v>1</v>
      </c>
      <c r="I344" s="8">
        <f t="shared" si="1315"/>
        <v>0</v>
      </c>
      <c r="J344" s="8">
        <f t="shared" si="1316"/>
        <v>0</v>
      </c>
      <c r="K344" s="8">
        <f t="shared" si="1317"/>
        <v>0</v>
      </c>
      <c r="L344" s="8">
        <f t="shared" si="1318"/>
        <v>0</v>
      </c>
      <c r="M344" s="8">
        <f t="shared" si="1319"/>
        <v>0</v>
      </c>
      <c r="N344" s="8">
        <f t="shared" si="1320"/>
        <v>0</v>
      </c>
      <c r="O344" s="8">
        <f t="shared" si="1321"/>
        <v>0</v>
      </c>
      <c r="P344" s="8" t="e">
        <v>#NUM!</v>
      </c>
      <c r="Q344" s="8" t="e">
        <f t="shared" ref="Q344" si="1347">IF(COUNTIF(P340:P350,"&lt;"&amp;-0.001)=0,IF(ABS(P344)&lt;0.001,0,P344)," ")</f>
        <v>#NUM!</v>
      </c>
      <c r="R344" s="8"/>
      <c r="S344" s="8"/>
      <c r="U344" s="34"/>
      <c r="V344" s="34"/>
      <c r="W344" s="34"/>
      <c r="X344" s="34"/>
      <c r="Y344" s="34"/>
      <c r="Z344" s="34"/>
      <c r="AA344" s="34"/>
      <c r="AB344" s="34"/>
      <c r="AC344" s="34"/>
      <c r="AD344" s="34"/>
      <c r="AE344" s="34"/>
      <c r="AF344" s="34"/>
      <c r="AG344" s="34"/>
      <c r="AH344" s="34"/>
      <c r="AI344" s="34"/>
      <c r="AJ344" s="34"/>
      <c r="AK344" s="34"/>
      <c r="AL344" s="34"/>
      <c r="AM344" s="34"/>
      <c r="AN344" s="34"/>
      <c r="AO344" s="34"/>
      <c r="AP344" s="34"/>
      <c r="AQ344" s="34"/>
      <c r="AR344" s="34"/>
      <c r="AS344" s="34"/>
      <c r="AT344" s="34"/>
      <c r="AU344" s="34"/>
      <c r="AV344" s="34"/>
      <c r="AW344" s="34"/>
      <c r="AX344" s="34"/>
      <c r="AY344" s="34"/>
      <c r="AZ344" s="34"/>
      <c r="BA344" s="34"/>
      <c r="BB344" s="34"/>
      <c r="BC344" s="34"/>
      <c r="BD344" s="34"/>
      <c r="BE344" s="34"/>
      <c r="BF344" s="34"/>
      <c r="BG344" s="34"/>
      <c r="BH344" s="34"/>
      <c r="BI344" s="34"/>
      <c r="BJ344" s="34"/>
      <c r="BK344" s="34"/>
      <c r="BL344" s="34"/>
      <c r="BM344" s="34"/>
      <c r="BN344" s="34"/>
      <c r="BO344" s="34"/>
      <c r="BP344" s="34"/>
      <c r="BQ344" s="34"/>
      <c r="BR344" s="34"/>
      <c r="BS344" s="34"/>
      <c r="BT344" s="34"/>
      <c r="BU344" s="34"/>
      <c r="BV344" s="34"/>
      <c r="BW344" s="34"/>
      <c r="BX344" s="34"/>
      <c r="BY344" s="34"/>
      <c r="BZ344" s="34"/>
      <c r="CA344" s="34"/>
      <c r="CB344" s="34"/>
      <c r="CC344" s="34"/>
      <c r="CD344" s="34"/>
      <c r="CE344" s="34"/>
      <c r="CF344" s="34"/>
      <c r="CG344" s="34"/>
      <c r="CH344" s="34"/>
      <c r="CI344" s="8"/>
    </row>
    <row r="345" spans="1:87" x14ac:dyDescent="0.2">
      <c r="A345" s="8" t="str">
        <f>IF(AND(COUNTIF(W$3:W$13,A$20)&gt;0,A$20&lt;&gt;B292),A$20,IFERROR(IF(MATCH(A$20,Z$3:Z$13,0)=3,A$20," ")," "))</f>
        <v xml:space="preserve"> </v>
      </c>
      <c r="B345" s="8" t="str">
        <f>IF(A345=" "," ",MAX(B340:B344)+1)</f>
        <v xml:space="preserve"> </v>
      </c>
      <c r="C345" s="8" t="str">
        <f>IFERROR(INDEX(A340:A361,MATCH(SMALL(B340:B361,6),B340:B361,0),1)," ")</f>
        <v>C17</v>
      </c>
      <c r="D345" s="8">
        <f t="shared" si="1310"/>
        <v>0</v>
      </c>
      <c r="E345" s="8">
        <f t="shared" si="1311"/>
        <v>0</v>
      </c>
      <c r="F345" s="8">
        <f t="shared" si="1312"/>
        <v>0</v>
      </c>
      <c r="G345" s="8">
        <f t="shared" si="1313"/>
        <v>0</v>
      </c>
      <c r="H345" s="8">
        <f t="shared" si="1314"/>
        <v>0</v>
      </c>
      <c r="I345" s="8">
        <f t="shared" si="1315"/>
        <v>1</v>
      </c>
      <c r="J345" s="8">
        <f t="shared" si="1316"/>
        <v>0</v>
      </c>
      <c r="K345" s="8">
        <f t="shared" si="1317"/>
        <v>0</v>
      </c>
      <c r="L345" s="8">
        <f t="shared" si="1318"/>
        <v>0</v>
      </c>
      <c r="M345" s="8">
        <f t="shared" si="1319"/>
        <v>0</v>
      </c>
      <c r="N345" s="8">
        <f t="shared" si="1320"/>
        <v>0</v>
      </c>
      <c r="O345" s="8">
        <f t="shared" si="1321"/>
        <v>0</v>
      </c>
      <c r="P345" s="8" t="e">
        <v>#NUM!</v>
      </c>
      <c r="Q345" s="8" t="e">
        <f t="shared" ref="Q345" si="1348">IF(COUNTIF(P340:P350,"&lt;"&amp;-0.001)=0,IF(ABS(P345)&lt;0.001,0,P345)," ")</f>
        <v>#NUM!</v>
      </c>
      <c r="R345" s="8"/>
      <c r="S345" s="8"/>
      <c r="U345" s="34"/>
      <c r="V345" s="34"/>
      <c r="W345" s="34"/>
      <c r="X345" s="34"/>
      <c r="Y345" s="34"/>
      <c r="Z345" s="34"/>
      <c r="AA345" s="34"/>
      <c r="AB345" s="34"/>
      <c r="AC345" s="34"/>
      <c r="AD345" s="34"/>
      <c r="AE345" s="34"/>
      <c r="AF345" s="34"/>
      <c r="AG345" s="34"/>
      <c r="AH345" s="34"/>
      <c r="AI345" s="34"/>
      <c r="AJ345" s="34"/>
      <c r="AK345" s="34"/>
      <c r="AL345" s="34"/>
      <c r="AM345" s="34"/>
      <c r="AN345" s="34"/>
      <c r="AO345" s="34"/>
      <c r="AP345" s="34"/>
      <c r="AQ345" s="34"/>
      <c r="AR345" s="34"/>
      <c r="AS345" s="34"/>
      <c r="AT345" s="34"/>
      <c r="AU345" s="34"/>
      <c r="AV345" s="34"/>
      <c r="AW345" s="34"/>
      <c r="AX345" s="34"/>
      <c r="AY345" s="34"/>
      <c r="AZ345" s="34"/>
      <c r="BA345" s="34"/>
      <c r="BB345" s="34"/>
      <c r="BC345" s="34"/>
      <c r="BD345" s="34"/>
      <c r="BE345" s="34"/>
      <c r="BF345" s="34"/>
      <c r="BG345" s="34"/>
      <c r="BH345" s="34"/>
      <c r="BI345" s="34"/>
      <c r="BJ345" s="34"/>
      <c r="BK345" s="34"/>
      <c r="BL345" s="34"/>
      <c r="BM345" s="34"/>
      <c r="BN345" s="34"/>
      <c r="BO345" s="34"/>
      <c r="BP345" s="34"/>
      <c r="BQ345" s="34"/>
      <c r="BR345" s="34"/>
      <c r="BS345" s="34"/>
      <c r="BT345" s="34"/>
      <c r="BU345" s="34"/>
      <c r="BV345" s="34"/>
      <c r="BW345" s="34"/>
      <c r="BX345" s="34"/>
      <c r="BY345" s="34"/>
      <c r="BZ345" s="34"/>
      <c r="CA345" s="34"/>
      <c r="CB345" s="34"/>
      <c r="CC345" s="34"/>
      <c r="CD345" s="34"/>
      <c r="CE345" s="34"/>
      <c r="CF345" s="34"/>
      <c r="CG345" s="34"/>
      <c r="CH345" s="34"/>
      <c r="CI345" s="8"/>
    </row>
    <row r="346" spans="1:87" x14ac:dyDescent="0.2">
      <c r="A346" s="8" t="str">
        <f>IF(AND(COUNTIF(W$3:W$13,A$21)&gt;0,A$21&lt;&gt;B292),A$21,IFERROR(IF(MATCH(A$21,Z$3:Z$13,0)=3,A$21," ")," "))</f>
        <v xml:space="preserve"> </v>
      </c>
      <c r="B346" s="8" t="str">
        <f>IF(A346=" "," ",MAX(B340:B345)+1)</f>
        <v xml:space="preserve"> </v>
      </c>
      <c r="C346" s="8" t="str">
        <f>IFERROR(INDEX(A340:A361,MATCH(SMALL(B340:B361,7),B340:B361,0),1)," ")</f>
        <v>C18</v>
      </c>
      <c r="D346" s="8">
        <f t="shared" si="1310"/>
        <v>0</v>
      </c>
      <c r="E346" s="8">
        <f t="shared" si="1311"/>
        <v>0</v>
      </c>
      <c r="F346" s="8">
        <f t="shared" si="1312"/>
        <v>0</v>
      </c>
      <c r="G346" s="8">
        <f t="shared" si="1313"/>
        <v>0</v>
      </c>
      <c r="H346" s="8">
        <f t="shared" si="1314"/>
        <v>0</v>
      </c>
      <c r="I346" s="8">
        <f t="shared" si="1315"/>
        <v>0</v>
      </c>
      <c r="J346" s="8">
        <f t="shared" si="1316"/>
        <v>1</v>
      </c>
      <c r="K346" s="8">
        <f t="shared" si="1317"/>
        <v>0</v>
      </c>
      <c r="L346" s="8">
        <f t="shared" si="1318"/>
        <v>0</v>
      </c>
      <c r="M346" s="8">
        <f t="shared" si="1319"/>
        <v>0</v>
      </c>
      <c r="N346" s="8">
        <f t="shared" si="1320"/>
        <v>0</v>
      </c>
      <c r="O346" s="8">
        <f t="shared" si="1321"/>
        <v>0</v>
      </c>
      <c r="P346" s="8" t="e">
        <v>#NUM!</v>
      </c>
      <c r="Q346" s="8" t="e">
        <f t="shared" ref="Q346" si="1349">IF(COUNTIF(P340:P350,"&lt;"&amp;-0.001)=0,IF(ABS(P346)&lt;0.001,0,P346)," ")</f>
        <v>#NUM!</v>
      </c>
      <c r="R346" s="8"/>
      <c r="S346" s="8"/>
      <c r="U346" s="34"/>
      <c r="V346" s="34"/>
      <c r="W346" s="34"/>
      <c r="X346" s="34"/>
      <c r="Y346" s="34"/>
      <c r="Z346" s="34"/>
      <c r="AA346" s="34"/>
      <c r="AB346" s="34"/>
      <c r="AC346" s="34"/>
      <c r="AD346" s="34"/>
      <c r="AE346" s="34"/>
      <c r="AF346" s="34"/>
      <c r="AG346" s="34"/>
      <c r="AH346" s="34"/>
      <c r="AI346" s="34"/>
      <c r="AJ346" s="34"/>
      <c r="AK346" s="34"/>
      <c r="AL346" s="34"/>
      <c r="AM346" s="34"/>
      <c r="AN346" s="34"/>
      <c r="AO346" s="34"/>
      <c r="AP346" s="34"/>
      <c r="AQ346" s="34"/>
      <c r="AR346" s="34"/>
      <c r="AS346" s="34"/>
      <c r="AT346" s="34"/>
      <c r="AU346" s="34"/>
      <c r="AV346" s="34"/>
      <c r="AW346" s="34"/>
      <c r="AX346" s="34"/>
      <c r="AY346" s="34"/>
      <c r="AZ346" s="34"/>
      <c r="BA346" s="34"/>
      <c r="BB346" s="34"/>
      <c r="BC346" s="34"/>
      <c r="BD346" s="34"/>
      <c r="BE346" s="34"/>
      <c r="BF346" s="34"/>
      <c r="BG346" s="34"/>
      <c r="BH346" s="34"/>
      <c r="BI346" s="34"/>
      <c r="BJ346" s="34"/>
      <c r="BK346" s="34"/>
      <c r="BL346" s="34"/>
      <c r="BM346" s="34"/>
      <c r="BN346" s="34"/>
      <c r="BO346" s="34"/>
      <c r="BP346" s="34"/>
      <c r="BQ346" s="34"/>
      <c r="BR346" s="34"/>
      <c r="BS346" s="34"/>
      <c r="BT346" s="34"/>
      <c r="BU346" s="34"/>
      <c r="BV346" s="34"/>
      <c r="BW346" s="34"/>
      <c r="BX346" s="34"/>
      <c r="BY346" s="34"/>
      <c r="BZ346" s="34"/>
      <c r="CA346" s="34"/>
      <c r="CB346" s="34"/>
      <c r="CC346" s="34"/>
      <c r="CD346" s="34"/>
      <c r="CE346" s="34"/>
      <c r="CF346" s="34"/>
      <c r="CG346" s="34"/>
      <c r="CH346" s="34"/>
      <c r="CI346" s="8"/>
    </row>
    <row r="347" spans="1:87" x14ac:dyDescent="0.2">
      <c r="A347" s="8" t="str">
        <f>IF(AND(COUNTIF(W$3:W$13,A$22)&gt;0,A$22&lt;&gt;B292),A$22,IFERROR(IF(MATCH(A$22,Z$3:Z$13,0)=3,A$22," ")," "))</f>
        <v xml:space="preserve"> </v>
      </c>
      <c r="B347" s="8" t="str">
        <f>IF(A347=" "," ",MAX(B340:B346)+1)</f>
        <v xml:space="preserve"> </v>
      </c>
      <c r="C347" s="8" t="str">
        <f>IFERROR(INDEX(A340:A361,MATCH(SMALL(B340:B361,8),B340:B361,0),1)," ")</f>
        <v>C19</v>
      </c>
      <c r="D347" s="8">
        <f t="shared" si="1310"/>
        <v>0</v>
      </c>
      <c r="E347" s="8">
        <f t="shared" si="1311"/>
        <v>0</v>
      </c>
      <c r="F347" s="8">
        <f t="shared" si="1312"/>
        <v>0</v>
      </c>
      <c r="G347" s="8">
        <f t="shared" si="1313"/>
        <v>0</v>
      </c>
      <c r="H347" s="8">
        <f t="shared" si="1314"/>
        <v>0</v>
      </c>
      <c r="I347" s="8">
        <f t="shared" si="1315"/>
        <v>0</v>
      </c>
      <c r="J347" s="8">
        <f t="shared" si="1316"/>
        <v>0</v>
      </c>
      <c r="K347" s="8">
        <f t="shared" si="1317"/>
        <v>1</v>
      </c>
      <c r="L347" s="8">
        <f t="shared" si="1318"/>
        <v>0</v>
      </c>
      <c r="M347" s="8">
        <f t="shared" si="1319"/>
        <v>0</v>
      </c>
      <c r="N347" s="8">
        <f t="shared" si="1320"/>
        <v>0</v>
      </c>
      <c r="O347" s="8">
        <f t="shared" si="1321"/>
        <v>0</v>
      </c>
      <c r="P347" s="8" t="e">
        <v>#NUM!</v>
      </c>
      <c r="Q347" s="8" t="e">
        <f t="shared" ref="Q347" si="1350">IF(COUNTIF(P340:P350,"&lt;"&amp;-0.001)=0,IF(ABS(P347)&lt;0.001,0,P347)," ")</f>
        <v>#NUM!</v>
      </c>
      <c r="R347" s="8"/>
      <c r="S347" s="8"/>
      <c r="U347" s="34"/>
      <c r="V347" s="34"/>
      <c r="W347" s="34"/>
      <c r="X347" s="34"/>
      <c r="Y347" s="34"/>
      <c r="Z347" s="34"/>
      <c r="AA347" s="34"/>
      <c r="AB347" s="34"/>
      <c r="AC347" s="34"/>
      <c r="AD347" s="34"/>
      <c r="AE347" s="34"/>
      <c r="AF347" s="34"/>
      <c r="AG347" s="34"/>
      <c r="AH347" s="34"/>
      <c r="AI347" s="34"/>
      <c r="AJ347" s="34"/>
      <c r="AK347" s="34"/>
      <c r="AL347" s="34"/>
      <c r="AM347" s="34"/>
      <c r="AN347" s="34"/>
      <c r="AO347" s="34"/>
      <c r="AP347" s="34"/>
      <c r="AQ347" s="34"/>
      <c r="AR347" s="34"/>
      <c r="AS347" s="34"/>
      <c r="AT347" s="34"/>
      <c r="AU347" s="34"/>
      <c r="AV347" s="34"/>
      <c r="AW347" s="34"/>
      <c r="AX347" s="34"/>
      <c r="AY347" s="34"/>
      <c r="AZ347" s="34"/>
      <c r="BA347" s="34"/>
      <c r="BB347" s="34"/>
      <c r="BC347" s="34"/>
      <c r="BD347" s="34"/>
      <c r="BE347" s="34"/>
      <c r="BF347" s="34"/>
      <c r="BG347" s="34"/>
      <c r="BH347" s="34"/>
      <c r="BI347" s="34"/>
      <c r="BJ347" s="34"/>
      <c r="BK347" s="34"/>
      <c r="BL347" s="34"/>
      <c r="BM347" s="34"/>
      <c r="BN347" s="34"/>
      <c r="BO347" s="34"/>
      <c r="BP347" s="34"/>
      <c r="BQ347" s="34"/>
      <c r="BR347" s="34"/>
      <c r="BS347" s="34"/>
      <c r="BT347" s="34"/>
      <c r="BU347" s="34"/>
      <c r="BV347" s="34"/>
      <c r="BW347" s="34"/>
      <c r="BX347" s="34"/>
      <c r="BY347" s="34"/>
      <c r="BZ347" s="34"/>
      <c r="CA347" s="34"/>
      <c r="CB347" s="34"/>
      <c r="CC347" s="34"/>
      <c r="CD347" s="34"/>
      <c r="CE347" s="34"/>
      <c r="CF347" s="34"/>
      <c r="CG347" s="34"/>
      <c r="CH347" s="34"/>
      <c r="CI347" s="8"/>
    </row>
    <row r="348" spans="1:87" x14ac:dyDescent="0.2">
      <c r="A348" s="8" t="str">
        <f>IF(AND(COUNTIF(W$3:W$13,A$23)&gt;0,A$23&lt;&gt;B292),A$23,IFERROR(IF(MATCH(A$23,Z$3:Z$13,0)=3,A$23," ")," "))</f>
        <v xml:space="preserve"> </v>
      </c>
      <c r="B348" s="8" t="str">
        <f>IF(A348=" "," ",MAX(B340:B347)+1)</f>
        <v xml:space="preserve"> </v>
      </c>
      <c r="C348" s="8" t="str">
        <f>IFERROR(INDEX(A340:A361,MATCH(SMALL(B340:B361,9),B340:B361,0),1)," ")</f>
        <v>C20</v>
      </c>
      <c r="D348" s="8">
        <f t="shared" si="1310"/>
        <v>0</v>
      </c>
      <c r="E348" s="8">
        <f t="shared" si="1311"/>
        <v>0</v>
      </c>
      <c r="F348" s="8">
        <f t="shared" si="1312"/>
        <v>0</v>
      </c>
      <c r="G348" s="8">
        <f t="shared" si="1313"/>
        <v>0</v>
      </c>
      <c r="H348" s="8">
        <f t="shared" si="1314"/>
        <v>0</v>
      </c>
      <c r="I348" s="8">
        <f t="shared" si="1315"/>
        <v>0</v>
      </c>
      <c r="J348" s="8">
        <f t="shared" si="1316"/>
        <v>0</v>
      </c>
      <c r="K348" s="8">
        <f t="shared" si="1317"/>
        <v>0</v>
      </c>
      <c r="L348" s="8">
        <f t="shared" si="1318"/>
        <v>1</v>
      </c>
      <c r="M348" s="8">
        <f t="shared" si="1319"/>
        <v>0</v>
      </c>
      <c r="N348" s="8">
        <f t="shared" si="1320"/>
        <v>0</v>
      </c>
      <c r="O348" s="8">
        <f t="shared" si="1321"/>
        <v>0</v>
      </c>
      <c r="P348" s="6" t="e">
        <v>#NUM!</v>
      </c>
      <c r="Q348" s="8" t="e">
        <f t="shared" ref="Q348" si="1351">IF(COUNTIF(P340:P350,"&lt;"&amp;-0.001)=0,IF(ABS(P348)&lt;0.001,0,P348)," ")</f>
        <v>#NUM!</v>
      </c>
      <c r="R348" s="8"/>
      <c r="S348" s="8"/>
      <c r="U348" s="34"/>
      <c r="V348" s="34"/>
      <c r="W348" s="34"/>
      <c r="X348" s="34"/>
      <c r="Y348" s="34"/>
      <c r="Z348" s="34"/>
      <c r="AA348" s="34"/>
      <c r="AB348" s="34"/>
      <c r="AC348" s="34"/>
      <c r="AD348" s="34"/>
      <c r="AE348" s="34"/>
      <c r="AF348" s="34"/>
      <c r="AG348" s="34"/>
      <c r="AH348" s="34"/>
      <c r="AI348" s="34"/>
      <c r="AJ348" s="34"/>
      <c r="AK348" s="34"/>
      <c r="AL348" s="34"/>
      <c r="AM348" s="34"/>
      <c r="AN348" s="34"/>
      <c r="AO348" s="34"/>
      <c r="AP348" s="34"/>
      <c r="AQ348" s="34"/>
      <c r="AR348" s="34"/>
      <c r="AS348" s="34"/>
      <c r="AT348" s="34"/>
      <c r="AU348" s="34"/>
      <c r="AV348" s="34"/>
      <c r="AW348" s="34"/>
      <c r="AX348" s="34"/>
      <c r="AY348" s="34"/>
      <c r="AZ348" s="34"/>
      <c r="BA348" s="34"/>
      <c r="BB348" s="34"/>
      <c r="BC348" s="34"/>
      <c r="BD348" s="34"/>
      <c r="BE348" s="34"/>
      <c r="BF348" s="34"/>
      <c r="BG348" s="34"/>
      <c r="BH348" s="34"/>
      <c r="BI348" s="34"/>
      <c r="BJ348" s="34"/>
      <c r="BK348" s="34"/>
      <c r="BL348" s="34"/>
      <c r="BM348" s="34"/>
      <c r="BN348" s="34"/>
      <c r="BO348" s="34"/>
      <c r="BP348" s="34"/>
      <c r="BQ348" s="34"/>
      <c r="BR348" s="34"/>
      <c r="BS348" s="34"/>
      <c r="BT348" s="34"/>
      <c r="BU348" s="34"/>
      <c r="BV348" s="34"/>
      <c r="BW348" s="34"/>
      <c r="BX348" s="34"/>
      <c r="BY348" s="34"/>
      <c r="BZ348" s="34"/>
      <c r="CA348" s="34"/>
      <c r="CB348" s="34"/>
      <c r="CC348" s="34"/>
      <c r="CD348" s="34"/>
      <c r="CE348" s="34"/>
      <c r="CF348" s="34"/>
      <c r="CG348" s="34"/>
      <c r="CH348" s="34"/>
      <c r="CI348" s="8"/>
    </row>
    <row r="349" spans="1:87" x14ac:dyDescent="0.2">
      <c r="A349" s="8" t="str">
        <f>IF(AND(COUNTIF(W$3:W$13,A$24)&gt;0,A$24&lt;&gt;B292),A$24,IFERROR(IF(MATCH(A$24,Z$3:Z$13,0)=3,A$24," ")," "))</f>
        <v xml:space="preserve"> </v>
      </c>
      <c r="B349" s="8" t="str">
        <f>IF(A349=" "," ",MAX(B340:B348)+1)</f>
        <v xml:space="preserve"> </v>
      </c>
      <c r="C349" s="8" t="str">
        <f>IFERROR(INDEX(A340:A361,MATCH(SMALL(B340:B361,10),B340:B361,0),1)," ")</f>
        <v>C21</v>
      </c>
      <c r="D349" s="8">
        <f t="shared" si="1310"/>
        <v>0</v>
      </c>
      <c r="E349" s="8">
        <f t="shared" si="1311"/>
        <v>0</v>
      </c>
      <c r="F349" s="8">
        <f t="shared" si="1312"/>
        <v>0</v>
      </c>
      <c r="G349" s="8">
        <f t="shared" si="1313"/>
        <v>0</v>
      </c>
      <c r="H349" s="8">
        <f t="shared" si="1314"/>
        <v>0</v>
      </c>
      <c r="I349" s="8">
        <f t="shared" si="1315"/>
        <v>0</v>
      </c>
      <c r="J349" s="8">
        <f t="shared" si="1316"/>
        <v>0</v>
      </c>
      <c r="K349" s="8">
        <f t="shared" si="1317"/>
        <v>0</v>
      </c>
      <c r="L349" s="8">
        <f t="shared" si="1318"/>
        <v>0</v>
      </c>
      <c r="M349" s="8">
        <f t="shared" si="1319"/>
        <v>1</v>
      </c>
      <c r="N349" s="8">
        <f t="shared" si="1320"/>
        <v>0</v>
      </c>
      <c r="O349" s="8">
        <f t="shared" si="1321"/>
        <v>0</v>
      </c>
      <c r="P349" s="8" t="e">
        <v>#NUM!</v>
      </c>
      <c r="Q349" s="8" t="e">
        <f t="shared" ref="Q349" si="1352">IF(COUNTIF(P340:P350,"&lt;"&amp;-0.001)=0,IF(ABS(P349)&lt;0.001,0,P349)," ")</f>
        <v>#NUM!</v>
      </c>
      <c r="R349" s="8"/>
      <c r="S349" s="8"/>
      <c r="U349" s="34"/>
      <c r="V349" s="34"/>
      <c r="W349" s="34"/>
      <c r="X349" s="34"/>
      <c r="Y349" s="34"/>
      <c r="Z349" s="34"/>
      <c r="AA349" s="34"/>
      <c r="AB349" s="34"/>
      <c r="AC349" s="34"/>
      <c r="AD349" s="34"/>
      <c r="AE349" s="34"/>
      <c r="AF349" s="34"/>
      <c r="AG349" s="34"/>
      <c r="AH349" s="34"/>
      <c r="AI349" s="34"/>
      <c r="AJ349" s="34"/>
      <c r="AK349" s="34"/>
      <c r="AL349" s="34"/>
      <c r="AM349" s="34"/>
      <c r="AN349" s="34"/>
      <c r="AO349" s="34"/>
      <c r="AP349" s="34"/>
      <c r="AQ349" s="34"/>
      <c r="AR349" s="34"/>
      <c r="AS349" s="34"/>
      <c r="AT349" s="34"/>
      <c r="AU349" s="34"/>
      <c r="AV349" s="34"/>
      <c r="AW349" s="34"/>
      <c r="AX349" s="34"/>
      <c r="AY349" s="34"/>
      <c r="AZ349" s="34"/>
      <c r="BA349" s="34"/>
      <c r="BB349" s="34"/>
      <c r="BC349" s="34"/>
      <c r="BD349" s="34"/>
      <c r="BE349" s="34"/>
      <c r="BF349" s="34"/>
      <c r="BG349" s="34"/>
      <c r="BH349" s="34"/>
      <c r="BI349" s="34"/>
      <c r="BJ349" s="34"/>
      <c r="BK349" s="34"/>
      <c r="BL349" s="34"/>
      <c r="BM349" s="34"/>
      <c r="BN349" s="34"/>
      <c r="BO349" s="34"/>
      <c r="BP349" s="34"/>
      <c r="BQ349" s="34"/>
      <c r="BR349" s="34"/>
      <c r="BS349" s="34"/>
      <c r="BT349" s="34"/>
      <c r="BU349" s="34"/>
      <c r="BV349" s="34"/>
      <c r="BW349" s="34"/>
      <c r="BX349" s="34"/>
      <c r="BY349" s="34"/>
      <c r="BZ349" s="34"/>
      <c r="CA349" s="34"/>
      <c r="CB349" s="34"/>
      <c r="CC349" s="34"/>
      <c r="CD349" s="34"/>
      <c r="CE349" s="34"/>
      <c r="CF349" s="34"/>
      <c r="CG349" s="34"/>
      <c r="CH349" s="34"/>
      <c r="CI349" s="8"/>
    </row>
    <row r="350" spans="1:87" x14ac:dyDescent="0.2">
      <c r="A350" s="8" t="str">
        <f>IF(AND(COUNTIF(W$3:W$13,A$25)&gt;0,A$25&lt;&gt;B292),A$25,IFERROR(IF(MATCH(A$25,Z$3:Z$13,0)=3,A$25," ")," "))</f>
        <v xml:space="preserve"> </v>
      </c>
      <c r="B350" s="8" t="str">
        <f>IF(A350=" "," ",MAX(B340:B349)+1)</f>
        <v xml:space="preserve"> </v>
      </c>
      <c r="C350" s="8" t="str">
        <f>IFERROR(INDEX(A340:A361,MATCH(SMALL(B340:B361,11),B340:B361,0),1)," ")</f>
        <v>C22</v>
      </c>
      <c r="D350" s="8">
        <f t="shared" si="1310"/>
        <v>0</v>
      </c>
      <c r="E350" s="8">
        <f t="shared" si="1311"/>
        <v>0</v>
      </c>
      <c r="F350" s="8">
        <f t="shared" si="1312"/>
        <v>0</v>
      </c>
      <c r="G350" s="8">
        <f t="shared" si="1313"/>
        <v>0</v>
      </c>
      <c r="H350" s="8">
        <f t="shared" si="1314"/>
        <v>0</v>
      </c>
      <c r="I350" s="8">
        <f t="shared" si="1315"/>
        <v>0</v>
      </c>
      <c r="J350" s="8">
        <f t="shared" si="1316"/>
        <v>0</v>
      </c>
      <c r="K350" s="8">
        <f t="shared" si="1317"/>
        <v>0</v>
      </c>
      <c r="L350" s="8">
        <f t="shared" si="1318"/>
        <v>0</v>
      </c>
      <c r="M350" s="8">
        <f t="shared" si="1319"/>
        <v>0</v>
      </c>
      <c r="N350" s="8">
        <f t="shared" si="1320"/>
        <v>1</v>
      </c>
      <c r="O350" s="8">
        <f t="shared" si="1321"/>
        <v>0</v>
      </c>
      <c r="P350" s="8" t="e">
        <v>#NUM!</v>
      </c>
      <c r="Q350" s="8" t="e">
        <f t="shared" ref="Q350" si="1353">IF(COUNTIF(P340:P350,"&lt;"&amp;-0.001)=0,IF(ABS(P350)&lt;0.001,0,P350)," ")</f>
        <v>#NUM!</v>
      </c>
      <c r="R350" s="8"/>
      <c r="S350" s="8"/>
      <c r="U350" s="34"/>
      <c r="V350" s="34"/>
      <c r="W350" s="34"/>
      <c r="X350" s="34"/>
      <c r="Y350" s="34"/>
      <c r="Z350" s="34"/>
      <c r="AA350" s="34"/>
      <c r="AB350" s="34"/>
      <c r="AC350" s="34"/>
      <c r="AD350" s="34"/>
      <c r="AE350" s="34"/>
      <c r="AF350" s="34"/>
      <c r="AG350" s="34"/>
      <c r="AH350" s="34"/>
      <c r="AI350" s="34"/>
      <c r="AJ350" s="34"/>
      <c r="AK350" s="34"/>
      <c r="AL350" s="34"/>
      <c r="AM350" s="34"/>
      <c r="AN350" s="34"/>
      <c r="AO350" s="34"/>
      <c r="AP350" s="34"/>
      <c r="AQ350" s="34"/>
      <c r="AR350" s="34"/>
      <c r="AS350" s="34"/>
      <c r="AT350" s="34"/>
      <c r="AU350" s="34"/>
      <c r="AV350" s="34"/>
      <c r="AW350" s="34"/>
      <c r="AX350" s="34"/>
      <c r="AY350" s="34"/>
      <c r="AZ350" s="34"/>
      <c r="BA350" s="34"/>
      <c r="BB350" s="34"/>
      <c r="BC350" s="34"/>
      <c r="BD350" s="34"/>
      <c r="BE350" s="34"/>
      <c r="BF350" s="34"/>
      <c r="BG350" s="34"/>
      <c r="BH350" s="34"/>
      <c r="BI350" s="34"/>
      <c r="BJ350" s="34"/>
      <c r="BK350" s="34"/>
      <c r="BL350" s="34"/>
      <c r="BM350" s="34"/>
      <c r="BN350" s="34"/>
      <c r="BO350" s="34"/>
      <c r="BP350" s="34"/>
      <c r="BQ350" s="34"/>
      <c r="BR350" s="34"/>
      <c r="BS350" s="34"/>
      <c r="BT350" s="34"/>
      <c r="BU350" s="34"/>
      <c r="BV350" s="34"/>
      <c r="BW350" s="34"/>
      <c r="BX350" s="34"/>
      <c r="BY350" s="34"/>
      <c r="BZ350" s="34"/>
      <c r="CA350" s="34"/>
      <c r="CB350" s="34"/>
      <c r="CC350" s="34"/>
      <c r="CD350" s="34"/>
      <c r="CE350" s="34"/>
      <c r="CF350" s="34"/>
      <c r="CG350" s="34"/>
      <c r="CH350" s="34"/>
      <c r="CI350" s="8"/>
    </row>
    <row r="351" spans="1:87" x14ac:dyDescent="0.2">
      <c r="A351" s="8" t="str">
        <f>IF(AND(COUNTIF(W$3:W$13,A$26)&gt;0,A$26&lt;&gt;B292),A$26,IFERROR(IF(MATCH(A$26,Z$3:Z$13,0)=3,A$26," ")," "))</f>
        <v xml:space="preserve"> </v>
      </c>
      <c r="B351" s="8" t="str">
        <f>IF(A351=" "," ",MAX(B340:B350)+1)</f>
        <v xml:space="preserve"> </v>
      </c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U351" s="34"/>
      <c r="V351" s="34"/>
      <c r="W351" s="34"/>
      <c r="X351" s="34"/>
      <c r="Y351" s="34"/>
      <c r="Z351" s="34"/>
      <c r="AA351" s="34"/>
      <c r="AB351" s="34"/>
      <c r="AC351" s="34"/>
      <c r="AD351" s="34"/>
      <c r="AE351" s="34"/>
      <c r="AF351" s="34"/>
      <c r="AG351" s="34"/>
      <c r="AH351" s="34"/>
      <c r="AI351" s="34"/>
      <c r="AJ351" s="34"/>
      <c r="AK351" s="34"/>
      <c r="AL351" s="34"/>
      <c r="AM351" s="34"/>
      <c r="AN351" s="34"/>
      <c r="AO351" s="34"/>
      <c r="AP351" s="34"/>
      <c r="AQ351" s="34"/>
      <c r="AR351" s="34"/>
      <c r="AS351" s="34"/>
      <c r="AT351" s="34"/>
      <c r="AU351" s="34"/>
      <c r="AV351" s="34"/>
      <c r="AW351" s="34"/>
      <c r="AX351" s="34"/>
      <c r="AY351" s="34"/>
      <c r="AZ351" s="34"/>
      <c r="BA351" s="34"/>
      <c r="BB351" s="34"/>
      <c r="BC351" s="34"/>
      <c r="BD351" s="34"/>
      <c r="BE351" s="34"/>
      <c r="BF351" s="34"/>
      <c r="BG351" s="34"/>
      <c r="BH351" s="34"/>
      <c r="BI351" s="34"/>
      <c r="BJ351" s="34"/>
      <c r="BK351" s="34"/>
      <c r="BL351" s="34"/>
      <c r="BM351" s="34"/>
      <c r="BN351" s="34"/>
      <c r="BO351" s="34"/>
      <c r="BP351" s="34"/>
      <c r="BQ351" s="34"/>
      <c r="BR351" s="34"/>
      <c r="BS351" s="34"/>
      <c r="BT351" s="34"/>
      <c r="BU351" s="34"/>
      <c r="BV351" s="34"/>
      <c r="BW351" s="34"/>
      <c r="BX351" s="34"/>
      <c r="BY351" s="34"/>
      <c r="BZ351" s="34"/>
      <c r="CA351" s="34"/>
      <c r="CB351" s="34"/>
      <c r="CC351" s="34"/>
      <c r="CD351" s="34"/>
      <c r="CE351" s="34"/>
      <c r="CF351" s="34"/>
      <c r="CG351" s="34"/>
      <c r="CH351" s="34"/>
      <c r="CI351" s="8"/>
    </row>
    <row r="352" spans="1:87" x14ac:dyDescent="0.2">
      <c r="A352" s="8" t="str">
        <f>IF(AND(COUNTIF(W$3:W$13,A$27)&gt;0,A$27&lt;&gt;B292),A$27,IFERROR(IF(MATCH(A$27,Z$3:Z$13,0)=3,A$27," ")," "))</f>
        <v>C13</v>
      </c>
      <c r="B352" s="8">
        <f>IF(A352=" "," ",MAX(B340:B351)+1)</f>
        <v>3</v>
      </c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U352" s="34"/>
      <c r="V352" s="34"/>
      <c r="W352" s="34"/>
      <c r="X352" s="34"/>
      <c r="Y352" s="34"/>
      <c r="Z352" s="34"/>
      <c r="AA352" s="34"/>
      <c r="AB352" s="34"/>
      <c r="AC352" s="34"/>
      <c r="AD352" s="34"/>
      <c r="AE352" s="34"/>
      <c r="AF352" s="34"/>
      <c r="AG352" s="34"/>
      <c r="AH352" s="34"/>
      <c r="AI352" s="34"/>
      <c r="AJ352" s="34"/>
      <c r="AK352" s="34"/>
      <c r="AL352" s="34"/>
      <c r="AM352" s="34"/>
      <c r="AN352" s="34"/>
      <c r="AO352" s="34"/>
      <c r="AP352" s="34"/>
      <c r="AQ352" s="34"/>
      <c r="AR352" s="34"/>
      <c r="AS352" s="34"/>
      <c r="AT352" s="34"/>
      <c r="AU352" s="34"/>
      <c r="AV352" s="34"/>
      <c r="AW352" s="34"/>
      <c r="AX352" s="34"/>
      <c r="AY352" s="34"/>
      <c r="AZ352" s="34"/>
      <c r="BA352" s="34"/>
      <c r="BB352" s="34"/>
      <c r="BC352" s="34"/>
      <c r="BD352" s="34"/>
      <c r="BE352" s="34"/>
      <c r="BF352" s="34"/>
      <c r="BG352" s="34"/>
      <c r="BH352" s="34"/>
      <c r="BI352" s="34"/>
      <c r="BJ352" s="34"/>
      <c r="BK352" s="34"/>
      <c r="BL352" s="34"/>
      <c r="BM352" s="34"/>
      <c r="BN352" s="34"/>
      <c r="BO352" s="34"/>
      <c r="BP352" s="34"/>
      <c r="BQ352" s="34"/>
      <c r="BR352" s="34"/>
      <c r="BS352" s="34"/>
      <c r="BT352" s="34"/>
      <c r="BU352" s="34"/>
      <c r="BV352" s="34"/>
      <c r="BW352" s="34"/>
      <c r="BX352" s="34"/>
      <c r="BY352" s="34"/>
      <c r="BZ352" s="34"/>
      <c r="CA352" s="34"/>
      <c r="CB352" s="34"/>
      <c r="CC352" s="34"/>
      <c r="CD352" s="34"/>
      <c r="CE352" s="34"/>
      <c r="CF352" s="34"/>
      <c r="CG352" s="34"/>
      <c r="CH352" s="34"/>
      <c r="CI352" s="8"/>
    </row>
    <row r="353" spans="1:87" x14ac:dyDescent="0.2">
      <c r="A353" s="8" t="str">
        <f>IF(AND(COUNTIF(W$3:W$13,A$28)&gt;0,A$28&lt;&gt;B292),A$28,IFERROR(IF(MATCH(A$28,Z$3:Z$13,0)=3,A$28," ")," "))</f>
        <v xml:space="preserve"> </v>
      </c>
      <c r="B353" s="8" t="str">
        <f>IF(A353=" "," ",MAX(B340:B352)+1)</f>
        <v xml:space="preserve"> </v>
      </c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U353" s="34"/>
      <c r="V353" s="34"/>
      <c r="W353" s="34"/>
      <c r="X353" s="34"/>
      <c r="Y353" s="34"/>
      <c r="Z353" s="34"/>
      <c r="AA353" s="34"/>
      <c r="AB353" s="34"/>
      <c r="AC353" s="34"/>
      <c r="AD353" s="34"/>
      <c r="AE353" s="34"/>
      <c r="AF353" s="34"/>
      <c r="AG353" s="34"/>
      <c r="AH353" s="34"/>
      <c r="AI353" s="34"/>
      <c r="AJ353" s="34"/>
      <c r="AK353" s="34"/>
      <c r="AL353" s="34"/>
      <c r="AM353" s="34"/>
      <c r="AN353" s="34"/>
      <c r="AO353" s="34"/>
      <c r="AP353" s="34"/>
      <c r="AQ353" s="34"/>
      <c r="AR353" s="34"/>
      <c r="AS353" s="34"/>
      <c r="AT353" s="34"/>
      <c r="AU353" s="34"/>
      <c r="AV353" s="34"/>
      <c r="AW353" s="34"/>
      <c r="AX353" s="34"/>
      <c r="AY353" s="34"/>
      <c r="AZ353" s="34"/>
      <c r="BA353" s="34"/>
      <c r="BB353" s="34"/>
      <c r="BC353" s="34"/>
      <c r="BD353" s="34"/>
      <c r="BE353" s="34"/>
      <c r="BF353" s="34"/>
      <c r="BG353" s="34"/>
      <c r="BH353" s="34"/>
      <c r="BI353" s="34"/>
      <c r="BJ353" s="34"/>
      <c r="BK353" s="34"/>
      <c r="BL353" s="34"/>
      <c r="BM353" s="34"/>
      <c r="BN353" s="34"/>
      <c r="BO353" s="34"/>
      <c r="BP353" s="34"/>
      <c r="BQ353" s="34"/>
      <c r="BR353" s="34"/>
      <c r="BS353" s="34"/>
      <c r="BT353" s="34"/>
      <c r="BU353" s="34"/>
      <c r="BV353" s="34"/>
      <c r="BW353" s="34"/>
      <c r="BX353" s="34"/>
      <c r="BY353" s="34"/>
      <c r="BZ353" s="34"/>
      <c r="CA353" s="34"/>
      <c r="CB353" s="34"/>
      <c r="CC353" s="34"/>
      <c r="CD353" s="34"/>
      <c r="CE353" s="34"/>
      <c r="CF353" s="34"/>
      <c r="CG353" s="34"/>
      <c r="CH353" s="34"/>
      <c r="CI353" s="8"/>
    </row>
    <row r="354" spans="1:87" x14ac:dyDescent="0.2">
      <c r="A354" s="8" t="str">
        <f>IF(AND(COUNTIF(W$3:W$13,A$29)&gt;0,A$29&lt;&gt;B292),A$29,IFERROR(IF(MATCH(A$29,Z$3:Z$13,0)=3,A$29," ")," "))</f>
        <v>C15</v>
      </c>
      <c r="B354" s="8">
        <f>IF(A354=" "," ",MAX(B340:B353)+1)</f>
        <v>4</v>
      </c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U354" s="34"/>
      <c r="V354" s="34"/>
      <c r="W354" s="34"/>
      <c r="X354" s="34"/>
      <c r="Y354" s="34"/>
      <c r="Z354" s="34"/>
      <c r="AA354" s="34"/>
      <c r="AB354" s="34"/>
      <c r="AC354" s="34"/>
      <c r="AD354" s="34"/>
      <c r="AE354" s="34"/>
      <c r="AF354" s="34"/>
      <c r="AG354" s="34"/>
      <c r="AH354" s="34"/>
      <c r="AI354" s="34"/>
      <c r="AJ354" s="34"/>
      <c r="AK354" s="34"/>
      <c r="AL354" s="34"/>
      <c r="AM354" s="34"/>
      <c r="AN354" s="34"/>
      <c r="AO354" s="34"/>
      <c r="AP354" s="34"/>
      <c r="AQ354" s="34"/>
      <c r="AR354" s="34"/>
      <c r="AS354" s="34"/>
      <c r="AT354" s="34"/>
      <c r="AU354" s="34"/>
      <c r="AV354" s="34"/>
      <c r="AW354" s="34"/>
      <c r="AX354" s="34"/>
      <c r="AY354" s="34"/>
      <c r="AZ354" s="34"/>
      <c r="BA354" s="34"/>
      <c r="BB354" s="34"/>
      <c r="BC354" s="34"/>
      <c r="BD354" s="34"/>
      <c r="BE354" s="34"/>
      <c r="BF354" s="34"/>
      <c r="BG354" s="34"/>
      <c r="BH354" s="34"/>
      <c r="BI354" s="34"/>
      <c r="BJ354" s="34"/>
      <c r="BK354" s="34"/>
      <c r="BL354" s="34"/>
      <c r="BM354" s="34"/>
      <c r="BN354" s="34"/>
      <c r="BO354" s="34"/>
      <c r="BP354" s="34"/>
      <c r="BQ354" s="34"/>
      <c r="BR354" s="34"/>
      <c r="BS354" s="34"/>
      <c r="BT354" s="34"/>
      <c r="BU354" s="34"/>
      <c r="BV354" s="34"/>
      <c r="BW354" s="34"/>
      <c r="BX354" s="34"/>
      <c r="BY354" s="34"/>
      <c r="BZ354" s="34"/>
      <c r="CA354" s="34"/>
      <c r="CB354" s="34"/>
      <c r="CC354" s="34"/>
      <c r="CD354" s="34"/>
      <c r="CE354" s="34"/>
      <c r="CF354" s="34"/>
      <c r="CG354" s="34"/>
      <c r="CH354" s="34"/>
      <c r="CI354" s="8"/>
    </row>
    <row r="355" spans="1:87" x14ac:dyDescent="0.2">
      <c r="A355" s="8" t="str">
        <f>IF(AND(COUNTIF(W$3:W$13,A$30)&gt;0,A$30&lt;&gt;B292),A$30,IFERROR(IF(MATCH(A$30,Z$3:Z$13,0)=3,A$30," ")," "))</f>
        <v>C16</v>
      </c>
      <c r="B355" s="8">
        <f>IF(A355=" "," ",MAX(B340:B354)+1)</f>
        <v>5</v>
      </c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U355" s="34"/>
      <c r="V355" s="34"/>
      <c r="W355" s="34"/>
      <c r="X355" s="34"/>
      <c r="Y355" s="34"/>
      <c r="Z355" s="34"/>
      <c r="AA355" s="34"/>
      <c r="AB355" s="34"/>
      <c r="AC355" s="34"/>
      <c r="AD355" s="34"/>
      <c r="AE355" s="34"/>
      <c r="AF355" s="34"/>
      <c r="AG355" s="34"/>
      <c r="AH355" s="34"/>
      <c r="AI355" s="34"/>
      <c r="AJ355" s="34"/>
      <c r="AK355" s="34"/>
      <c r="AL355" s="34"/>
      <c r="AM355" s="34"/>
      <c r="AN355" s="34"/>
      <c r="AO355" s="34"/>
      <c r="AP355" s="34"/>
      <c r="AQ355" s="34"/>
      <c r="AR355" s="34"/>
      <c r="AS355" s="34"/>
      <c r="AT355" s="34"/>
      <c r="AU355" s="34"/>
      <c r="AV355" s="34"/>
      <c r="AW355" s="34"/>
      <c r="AX355" s="34"/>
      <c r="AY355" s="34"/>
      <c r="AZ355" s="34"/>
      <c r="BA355" s="34"/>
      <c r="BB355" s="34"/>
      <c r="BC355" s="34"/>
      <c r="BD355" s="34"/>
      <c r="BE355" s="34"/>
      <c r="BF355" s="34"/>
      <c r="BG355" s="34"/>
      <c r="BH355" s="34"/>
      <c r="BI355" s="34"/>
      <c r="BJ355" s="34"/>
      <c r="BK355" s="34"/>
      <c r="BL355" s="34"/>
      <c r="BM355" s="34"/>
      <c r="BN355" s="34"/>
      <c r="BO355" s="34"/>
      <c r="BP355" s="34"/>
      <c r="BQ355" s="34"/>
      <c r="BR355" s="34"/>
      <c r="BS355" s="34"/>
      <c r="BT355" s="34"/>
      <c r="BU355" s="34"/>
      <c r="BV355" s="34"/>
      <c r="BW355" s="34"/>
      <c r="BX355" s="34"/>
      <c r="BY355" s="34"/>
      <c r="BZ355" s="34"/>
      <c r="CA355" s="34"/>
      <c r="CB355" s="34"/>
      <c r="CC355" s="34"/>
      <c r="CD355" s="34"/>
      <c r="CE355" s="34"/>
      <c r="CF355" s="34"/>
      <c r="CG355" s="34"/>
      <c r="CH355" s="34"/>
      <c r="CI355" s="8"/>
    </row>
    <row r="356" spans="1:87" x14ac:dyDescent="0.2">
      <c r="A356" s="8" t="str">
        <f>IF(AND(COUNTIF(W$3:W$13,A$31)&gt;0,A$31&lt;&gt;B292),A$31,IFERROR(IF(MATCH(A$31,Z$3:Z$13,0)=3,A$31," ")," "))</f>
        <v>C17</v>
      </c>
      <c r="B356" s="8">
        <f>IF(A356=" "," ",MAX(B340:B355)+1)</f>
        <v>6</v>
      </c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U356" s="34"/>
      <c r="V356" s="34"/>
      <c r="W356" s="34"/>
      <c r="X356" s="34"/>
      <c r="Y356" s="34"/>
      <c r="Z356" s="34"/>
      <c r="AA356" s="34"/>
      <c r="AB356" s="34"/>
      <c r="AC356" s="34"/>
      <c r="AD356" s="34"/>
      <c r="AE356" s="34"/>
      <c r="AF356" s="34"/>
      <c r="AG356" s="34"/>
      <c r="AH356" s="34"/>
      <c r="AI356" s="34"/>
      <c r="AJ356" s="34"/>
      <c r="AK356" s="34"/>
      <c r="AL356" s="34"/>
      <c r="AM356" s="34"/>
      <c r="AN356" s="34"/>
      <c r="AO356" s="34"/>
      <c r="AP356" s="34"/>
      <c r="AQ356" s="34"/>
      <c r="AR356" s="34"/>
      <c r="AS356" s="34"/>
      <c r="AT356" s="34"/>
      <c r="AU356" s="34"/>
      <c r="AV356" s="34"/>
      <c r="AW356" s="34"/>
      <c r="AX356" s="34"/>
      <c r="AY356" s="34"/>
      <c r="AZ356" s="34"/>
      <c r="BA356" s="34"/>
      <c r="BB356" s="34"/>
      <c r="BC356" s="34"/>
      <c r="BD356" s="34"/>
      <c r="BE356" s="34"/>
      <c r="BF356" s="34"/>
      <c r="BG356" s="34"/>
      <c r="BH356" s="34"/>
      <c r="BI356" s="34"/>
      <c r="BJ356" s="34"/>
      <c r="BK356" s="34"/>
      <c r="BL356" s="34"/>
      <c r="BM356" s="34"/>
      <c r="BN356" s="34"/>
      <c r="BO356" s="34"/>
      <c r="BP356" s="34"/>
      <c r="BQ356" s="34"/>
      <c r="BR356" s="34"/>
      <c r="BS356" s="34"/>
      <c r="BT356" s="34"/>
      <c r="BU356" s="34"/>
      <c r="BV356" s="34"/>
      <c r="BW356" s="34"/>
      <c r="BX356" s="34"/>
      <c r="BY356" s="34"/>
      <c r="BZ356" s="34"/>
      <c r="CA356" s="34"/>
      <c r="CB356" s="34"/>
      <c r="CC356" s="34"/>
      <c r="CD356" s="34"/>
      <c r="CE356" s="34"/>
      <c r="CF356" s="34"/>
      <c r="CG356" s="34"/>
      <c r="CH356" s="34"/>
      <c r="CI356" s="8"/>
    </row>
    <row r="357" spans="1:87" x14ac:dyDescent="0.2">
      <c r="A357" s="8" t="str">
        <f>IF(AND(COUNTIF(W$3:W$13,A$32)&gt;0,A$32&lt;&gt;B292),A$32,IFERROR(IF(MATCH(A$32,Z$3:Z$13,0)=3,A$32," ")," "))</f>
        <v>C18</v>
      </c>
      <c r="B357" s="8">
        <f>IF(A357=" "," ",MAX(B340:B356)+1)</f>
        <v>7</v>
      </c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U357" s="34"/>
      <c r="V357" s="34"/>
      <c r="W357" s="34"/>
      <c r="X357" s="34"/>
      <c r="Y357" s="34"/>
      <c r="Z357" s="34"/>
      <c r="AA357" s="34"/>
      <c r="AB357" s="34"/>
      <c r="AC357" s="34"/>
      <c r="AD357" s="34"/>
      <c r="AE357" s="34"/>
      <c r="AF357" s="34"/>
      <c r="AG357" s="34"/>
      <c r="AH357" s="34"/>
      <c r="AI357" s="34"/>
      <c r="AJ357" s="34"/>
      <c r="AK357" s="34"/>
      <c r="AL357" s="34"/>
      <c r="AM357" s="34"/>
      <c r="AN357" s="34"/>
      <c r="AO357" s="34"/>
      <c r="AP357" s="34"/>
      <c r="AQ357" s="34"/>
      <c r="AR357" s="34"/>
      <c r="AS357" s="34"/>
      <c r="AT357" s="34"/>
      <c r="AU357" s="34"/>
      <c r="AV357" s="34"/>
      <c r="AW357" s="34"/>
      <c r="AX357" s="34"/>
      <c r="AY357" s="34"/>
      <c r="AZ357" s="34"/>
      <c r="BA357" s="34"/>
      <c r="BB357" s="34"/>
      <c r="BC357" s="34"/>
      <c r="BD357" s="34"/>
      <c r="BE357" s="34"/>
      <c r="BF357" s="34"/>
      <c r="BG357" s="34"/>
      <c r="BH357" s="34"/>
      <c r="BI357" s="34"/>
      <c r="BJ357" s="34"/>
      <c r="BK357" s="34"/>
      <c r="BL357" s="34"/>
      <c r="BM357" s="34"/>
      <c r="BN357" s="34"/>
      <c r="BO357" s="34"/>
      <c r="BP357" s="34"/>
      <c r="BQ357" s="34"/>
      <c r="BR357" s="34"/>
      <c r="BS357" s="34"/>
      <c r="BT357" s="34"/>
      <c r="BU357" s="34"/>
      <c r="BV357" s="34"/>
      <c r="BW357" s="34"/>
      <c r="BX357" s="34"/>
      <c r="BY357" s="34"/>
      <c r="BZ357" s="34"/>
      <c r="CA357" s="34"/>
      <c r="CB357" s="34"/>
      <c r="CC357" s="34"/>
      <c r="CD357" s="34"/>
      <c r="CE357" s="34"/>
      <c r="CF357" s="34"/>
      <c r="CG357" s="34"/>
      <c r="CH357" s="34"/>
      <c r="CI357" s="8"/>
    </row>
    <row r="358" spans="1:87" x14ac:dyDescent="0.2">
      <c r="A358" s="8" t="str">
        <f>IF(AND(COUNTIF(W$3:W$13,A$33)&gt;0,A$33&lt;&gt;B292),A$33,IFERROR(IF(MATCH(A$33,Z$3:Z$13,0)=3,A$33," ")," "))</f>
        <v>C19</v>
      </c>
      <c r="B358" s="8">
        <f>IF(A358=" "," ",MAX(B340:B357)+1)</f>
        <v>8</v>
      </c>
      <c r="C358" s="14"/>
      <c r="D358" s="14"/>
      <c r="E358" s="14"/>
      <c r="F358" s="14"/>
      <c r="G358" s="14"/>
      <c r="H358" s="14"/>
      <c r="I358" s="14"/>
      <c r="J358" s="12"/>
      <c r="K358" s="12"/>
      <c r="L358" s="12"/>
      <c r="M358" s="12"/>
      <c r="N358" s="12"/>
      <c r="O358" s="12"/>
      <c r="P358" s="12"/>
      <c r="Q358" s="8"/>
      <c r="R358" s="12"/>
      <c r="S358" s="12"/>
      <c r="T358" s="21"/>
      <c r="U358" s="34"/>
      <c r="V358" s="34"/>
      <c r="W358" s="34"/>
      <c r="X358" s="34"/>
      <c r="Y358" s="34"/>
      <c r="Z358" s="34"/>
      <c r="AA358" s="34"/>
      <c r="AB358" s="34"/>
      <c r="AC358" s="34"/>
      <c r="AD358" s="34"/>
      <c r="AE358" s="34"/>
      <c r="AF358" s="34"/>
      <c r="AG358" s="34"/>
      <c r="AH358" s="34"/>
      <c r="AI358" s="34"/>
      <c r="AJ358" s="34"/>
      <c r="AK358" s="34"/>
      <c r="AL358" s="34"/>
      <c r="AM358" s="34"/>
      <c r="AN358" s="34"/>
      <c r="AO358" s="34"/>
      <c r="AP358" s="34"/>
      <c r="AQ358" s="34"/>
      <c r="AR358" s="34"/>
      <c r="AS358" s="34"/>
      <c r="AT358" s="34"/>
      <c r="AU358" s="34"/>
      <c r="AV358" s="34"/>
      <c r="AW358" s="34"/>
      <c r="AX358" s="34"/>
      <c r="AY358" s="34"/>
      <c r="AZ358" s="34"/>
      <c r="BA358" s="34"/>
      <c r="BB358" s="34"/>
      <c r="BC358" s="34"/>
      <c r="BD358" s="34"/>
      <c r="BE358" s="34"/>
      <c r="BF358" s="34"/>
      <c r="BG358" s="34"/>
      <c r="BH358" s="34"/>
      <c r="BI358" s="34"/>
      <c r="BJ358" s="34"/>
      <c r="BK358" s="34"/>
      <c r="BL358" s="34"/>
      <c r="BM358" s="34"/>
      <c r="BN358" s="34"/>
      <c r="BO358" s="34"/>
      <c r="BP358" s="34"/>
      <c r="BQ358" s="34"/>
      <c r="BR358" s="34"/>
      <c r="BS358" s="34"/>
      <c r="BT358" s="34"/>
      <c r="BU358" s="34"/>
      <c r="BV358" s="34"/>
      <c r="BW358" s="34"/>
      <c r="BX358" s="34"/>
      <c r="BY358" s="34"/>
      <c r="BZ358" s="34"/>
      <c r="CA358" s="34"/>
      <c r="CB358" s="34"/>
      <c r="CC358" s="34"/>
      <c r="CD358" s="34"/>
      <c r="CE358" s="34"/>
      <c r="CF358" s="34"/>
      <c r="CG358" s="34"/>
      <c r="CH358" s="34"/>
      <c r="CI358" s="8"/>
    </row>
    <row r="359" spans="1:87" x14ac:dyDescent="0.2">
      <c r="A359" s="8" t="str">
        <f>IF(AND(COUNTIF(W$3:W$13,A$34)&gt;0,A$34&lt;&gt;B292),A$34,IFERROR(IF(MATCH(A$34,Z$3:Z$13,0)=3,A$34," ")," "))</f>
        <v>C20</v>
      </c>
      <c r="B359" s="8">
        <f>IF(A359=" "," ",MAX(B340:B358)+1)</f>
        <v>9</v>
      </c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U359" s="34"/>
      <c r="V359" s="34"/>
      <c r="W359" s="34"/>
      <c r="X359" s="34"/>
      <c r="Y359" s="34"/>
      <c r="Z359" s="34"/>
      <c r="AA359" s="34"/>
      <c r="AB359" s="34"/>
      <c r="AC359" s="34"/>
      <c r="AD359" s="34"/>
      <c r="AE359" s="34"/>
      <c r="AF359" s="34"/>
      <c r="AG359" s="34"/>
      <c r="AH359" s="34"/>
      <c r="AI359" s="34"/>
      <c r="AJ359" s="34"/>
      <c r="AK359" s="34"/>
      <c r="AL359" s="34"/>
      <c r="AM359" s="34"/>
      <c r="AN359" s="34"/>
      <c r="AO359" s="34"/>
      <c r="AP359" s="34"/>
      <c r="AQ359" s="34"/>
      <c r="AR359" s="34"/>
      <c r="AS359" s="34"/>
      <c r="AT359" s="34"/>
      <c r="AU359" s="34"/>
      <c r="AV359" s="34"/>
      <c r="AW359" s="34"/>
      <c r="AX359" s="34"/>
      <c r="AY359" s="34"/>
      <c r="AZ359" s="34"/>
      <c r="BA359" s="34"/>
      <c r="BB359" s="34"/>
      <c r="BC359" s="34"/>
      <c r="BD359" s="34"/>
      <c r="BE359" s="34"/>
      <c r="BF359" s="34"/>
      <c r="BG359" s="34"/>
      <c r="BH359" s="34"/>
      <c r="BI359" s="34"/>
      <c r="BJ359" s="34"/>
      <c r="BK359" s="34"/>
      <c r="BL359" s="34"/>
      <c r="BM359" s="34"/>
      <c r="BN359" s="34"/>
      <c r="BO359" s="34"/>
      <c r="BP359" s="34"/>
      <c r="BQ359" s="34"/>
      <c r="BR359" s="34"/>
      <c r="BS359" s="34"/>
      <c r="BT359" s="34"/>
      <c r="BU359" s="34"/>
      <c r="BV359" s="34"/>
      <c r="BW359" s="34"/>
      <c r="BX359" s="34"/>
      <c r="BY359" s="34"/>
      <c r="BZ359" s="34"/>
      <c r="CA359" s="34"/>
      <c r="CB359" s="34"/>
      <c r="CC359" s="34"/>
      <c r="CD359" s="34"/>
      <c r="CE359" s="34"/>
      <c r="CF359" s="34"/>
      <c r="CG359" s="34"/>
      <c r="CH359" s="34"/>
      <c r="CI359" s="8"/>
    </row>
    <row r="360" spans="1:87" x14ac:dyDescent="0.2">
      <c r="A360" s="8" t="str">
        <f>IF(AND(COUNTIF(W$3:W$13,A$35)&gt;0,A$35&lt;&gt;B292),A$35,IFERROR(IF(MATCH(A$35,Z$3:Z$13,0)=3,A$35," ")," "))</f>
        <v>C21</v>
      </c>
      <c r="B360" s="8">
        <f>IF(A360=" "," ",MAX(B340:B359)+1)</f>
        <v>10</v>
      </c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U360" s="34"/>
      <c r="V360" s="34"/>
      <c r="W360" s="34"/>
      <c r="X360" s="34"/>
      <c r="Y360" s="34"/>
      <c r="Z360" s="34"/>
      <c r="AA360" s="34"/>
      <c r="AB360" s="34"/>
      <c r="AC360" s="34"/>
      <c r="AD360" s="34"/>
      <c r="AE360" s="34"/>
      <c r="AF360" s="34"/>
      <c r="AG360" s="34"/>
      <c r="AH360" s="34"/>
      <c r="AI360" s="34"/>
      <c r="AJ360" s="34"/>
      <c r="AK360" s="34"/>
      <c r="AL360" s="34"/>
      <c r="AM360" s="34"/>
      <c r="AN360" s="34"/>
      <c r="AO360" s="34"/>
      <c r="AP360" s="34"/>
      <c r="AQ360" s="34"/>
      <c r="AR360" s="34"/>
      <c r="AS360" s="34"/>
      <c r="AT360" s="34"/>
      <c r="AU360" s="34"/>
      <c r="AV360" s="34"/>
      <c r="AW360" s="34"/>
      <c r="AX360" s="34"/>
      <c r="AY360" s="34"/>
      <c r="AZ360" s="34"/>
      <c r="BA360" s="34"/>
      <c r="BB360" s="34"/>
      <c r="BC360" s="34"/>
      <c r="BD360" s="34"/>
      <c r="BE360" s="34"/>
      <c r="BF360" s="34"/>
      <c r="BG360" s="34"/>
      <c r="BH360" s="34"/>
      <c r="BI360" s="34"/>
      <c r="BJ360" s="34"/>
      <c r="BK360" s="34"/>
      <c r="BL360" s="34"/>
      <c r="BM360" s="34"/>
      <c r="BN360" s="34"/>
      <c r="BO360" s="34"/>
      <c r="BP360" s="34"/>
      <c r="BQ360" s="34"/>
      <c r="BR360" s="34"/>
      <c r="BS360" s="34"/>
      <c r="BT360" s="34"/>
      <c r="BU360" s="34"/>
      <c r="BV360" s="34"/>
      <c r="BW360" s="34"/>
      <c r="BX360" s="34"/>
      <c r="BY360" s="34"/>
      <c r="BZ360" s="34"/>
      <c r="CA360" s="34"/>
      <c r="CB360" s="34"/>
      <c r="CC360" s="34"/>
      <c r="CD360" s="34"/>
      <c r="CE360" s="34"/>
      <c r="CF360" s="34"/>
      <c r="CG360" s="34"/>
      <c r="CH360" s="34"/>
      <c r="CI360" s="8"/>
    </row>
    <row r="361" spans="1:87" x14ac:dyDescent="0.2">
      <c r="A361" s="8" t="str">
        <f>IF(AND(COUNTIF(W$3:W$13,A$36)&gt;0,A$36&lt;&gt;B292),A$36,IFERROR(IF(MATCH(A$36,Z$3:Z$13,0)=3,A$36," ")," "))</f>
        <v>C22</v>
      </c>
      <c r="B361" s="8">
        <f>IF(A361=" "," ",MAX(B340:B360)+1)</f>
        <v>11</v>
      </c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U361" s="34"/>
      <c r="V361" s="34"/>
      <c r="W361" s="34"/>
      <c r="X361" s="34"/>
      <c r="Y361" s="34"/>
      <c r="Z361" s="34"/>
      <c r="AA361" s="34"/>
      <c r="AB361" s="34"/>
      <c r="AC361" s="34"/>
      <c r="AD361" s="34"/>
      <c r="AE361" s="34"/>
      <c r="AF361" s="34"/>
      <c r="AG361" s="34"/>
      <c r="AH361" s="34"/>
      <c r="AI361" s="34"/>
      <c r="AJ361" s="34"/>
      <c r="AK361" s="34"/>
      <c r="AL361" s="34"/>
      <c r="AM361" s="34"/>
      <c r="AN361" s="34"/>
      <c r="AO361" s="34"/>
      <c r="AP361" s="34"/>
      <c r="AQ361" s="34"/>
      <c r="AR361" s="34"/>
      <c r="AS361" s="34"/>
      <c r="AT361" s="34"/>
      <c r="AU361" s="34"/>
      <c r="AV361" s="34"/>
      <c r="AW361" s="34"/>
      <c r="AX361" s="34"/>
      <c r="AY361" s="34"/>
      <c r="AZ361" s="34"/>
      <c r="BA361" s="34"/>
      <c r="BB361" s="34"/>
      <c r="BC361" s="34"/>
      <c r="BD361" s="34"/>
      <c r="BE361" s="34"/>
      <c r="BF361" s="34"/>
      <c r="BG361" s="34"/>
      <c r="BH361" s="34"/>
      <c r="BI361" s="34"/>
      <c r="BJ361" s="34"/>
      <c r="BK361" s="34"/>
      <c r="BL361" s="34"/>
      <c r="BM361" s="34"/>
      <c r="BN361" s="34"/>
      <c r="BO361" s="34"/>
      <c r="BP361" s="34"/>
      <c r="BQ361" s="34"/>
      <c r="BR361" s="34"/>
      <c r="BS361" s="34"/>
      <c r="BT361" s="34"/>
      <c r="BU361" s="34"/>
      <c r="BV361" s="34"/>
      <c r="BW361" s="34"/>
      <c r="BX361" s="34"/>
      <c r="BY361" s="34"/>
      <c r="BZ361" s="34"/>
      <c r="CA361" s="34"/>
      <c r="CB361" s="34"/>
      <c r="CC361" s="34"/>
      <c r="CD361" s="34"/>
      <c r="CE361" s="34"/>
      <c r="CF361" s="34"/>
      <c r="CG361" s="34"/>
      <c r="CH361" s="34"/>
      <c r="CI361" s="8"/>
    </row>
    <row r="362" spans="1:87" x14ac:dyDescent="0.2">
      <c r="A362" s="11" t="s">
        <v>17</v>
      </c>
      <c r="B362" s="11"/>
      <c r="C362" s="27" t="s">
        <v>18</v>
      </c>
      <c r="D362" s="27" t="s">
        <v>2</v>
      </c>
      <c r="E362" s="27" t="s">
        <v>6</v>
      </c>
      <c r="F362" s="27" t="s">
        <v>15</v>
      </c>
      <c r="G362" s="27" t="s">
        <v>36</v>
      </c>
      <c r="H362" s="27" t="s">
        <v>37</v>
      </c>
      <c r="I362" s="27" t="s">
        <v>38</v>
      </c>
      <c r="J362" s="27" t="s">
        <v>39</v>
      </c>
      <c r="K362" s="27" t="s">
        <v>40</v>
      </c>
      <c r="L362" s="27" t="s">
        <v>41</v>
      </c>
      <c r="M362" s="27" t="s">
        <v>42</v>
      </c>
      <c r="N362" s="27" t="s">
        <v>43</v>
      </c>
      <c r="O362" s="27" t="s">
        <v>9</v>
      </c>
      <c r="P362" s="27" t="s">
        <v>12</v>
      </c>
      <c r="Q362" s="27" t="s">
        <v>19</v>
      </c>
      <c r="R362" s="27" t="s">
        <v>55</v>
      </c>
      <c r="S362" s="27" t="s">
        <v>26</v>
      </c>
      <c r="T362" s="19" t="s">
        <v>25</v>
      </c>
      <c r="U362" s="33" t="s">
        <v>27</v>
      </c>
      <c r="V362" s="33" t="s">
        <v>9</v>
      </c>
      <c r="W362" s="33" t="s">
        <v>23</v>
      </c>
      <c r="X362" s="33" t="s">
        <v>12</v>
      </c>
      <c r="Y362" s="33" t="s">
        <v>26</v>
      </c>
      <c r="Z362" s="33" t="s">
        <v>25</v>
      </c>
      <c r="AA362" s="33" t="s">
        <v>27</v>
      </c>
      <c r="AB362" s="33" t="s">
        <v>9</v>
      </c>
      <c r="AC362" s="33" t="s">
        <v>23</v>
      </c>
      <c r="AD362" s="33" t="s">
        <v>12</v>
      </c>
      <c r="AE362" s="33" t="s">
        <v>26</v>
      </c>
      <c r="AF362" s="33" t="s">
        <v>25</v>
      </c>
      <c r="AG362" s="33" t="s">
        <v>27</v>
      </c>
      <c r="AH362" s="33" t="s">
        <v>9</v>
      </c>
      <c r="AI362" s="33" t="s">
        <v>23</v>
      </c>
      <c r="AJ362" s="33" t="s">
        <v>12</v>
      </c>
      <c r="AK362" s="33" t="s">
        <v>26</v>
      </c>
      <c r="AL362" s="33" t="s">
        <v>25</v>
      </c>
      <c r="AM362" s="33" t="s">
        <v>27</v>
      </c>
      <c r="AN362" s="33" t="s">
        <v>9</v>
      </c>
      <c r="AO362" s="33" t="s">
        <v>23</v>
      </c>
      <c r="AP362" s="33" t="s">
        <v>12</v>
      </c>
      <c r="AQ362" s="33" t="s">
        <v>26</v>
      </c>
      <c r="AR362" s="33" t="s">
        <v>25</v>
      </c>
      <c r="AS362" s="33" t="s">
        <v>27</v>
      </c>
      <c r="AT362" s="33" t="s">
        <v>9</v>
      </c>
      <c r="AU362" s="33" t="s">
        <v>23</v>
      </c>
      <c r="AV362" s="33" t="s">
        <v>12</v>
      </c>
      <c r="AW362" s="33" t="s">
        <v>26</v>
      </c>
      <c r="AX362" s="33" t="s">
        <v>25</v>
      </c>
      <c r="AY362" s="33" t="s">
        <v>27</v>
      </c>
      <c r="AZ362" s="33" t="s">
        <v>9</v>
      </c>
      <c r="BA362" s="33" t="s">
        <v>23</v>
      </c>
      <c r="BB362" s="33" t="s">
        <v>12</v>
      </c>
      <c r="BC362" s="33" t="s">
        <v>26</v>
      </c>
      <c r="BD362" s="33" t="s">
        <v>25</v>
      </c>
      <c r="BE362" s="33" t="s">
        <v>27</v>
      </c>
      <c r="BF362" s="33" t="s">
        <v>9</v>
      </c>
      <c r="BG362" s="33" t="s">
        <v>23</v>
      </c>
      <c r="BH362" s="33" t="s">
        <v>12</v>
      </c>
      <c r="BI362" s="33" t="s">
        <v>26</v>
      </c>
      <c r="BJ362" s="33" t="s">
        <v>25</v>
      </c>
      <c r="BK362" s="33" t="s">
        <v>27</v>
      </c>
      <c r="BL362" s="33" t="s">
        <v>9</v>
      </c>
      <c r="BM362" s="33" t="s">
        <v>23</v>
      </c>
      <c r="BN362" s="33" t="s">
        <v>12</v>
      </c>
      <c r="BO362" s="33" t="s">
        <v>26</v>
      </c>
      <c r="BP362" s="33" t="s">
        <v>25</v>
      </c>
      <c r="BQ362" s="33" t="s">
        <v>27</v>
      </c>
      <c r="BR362" s="33" t="s">
        <v>9</v>
      </c>
      <c r="BS362" s="33" t="s">
        <v>23</v>
      </c>
      <c r="BT362" s="33" t="s">
        <v>12</v>
      </c>
      <c r="BU362" s="33" t="s">
        <v>26</v>
      </c>
      <c r="BV362" s="33" t="s">
        <v>25</v>
      </c>
      <c r="BW362" s="33" t="s">
        <v>27</v>
      </c>
      <c r="BX362" s="33" t="s">
        <v>9</v>
      </c>
      <c r="BY362" s="33" t="s">
        <v>23</v>
      </c>
      <c r="BZ362" s="33" t="s">
        <v>12</v>
      </c>
      <c r="CA362" s="33" t="s">
        <v>26</v>
      </c>
      <c r="CB362" s="33" t="s">
        <v>25</v>
      </c>
      <c r="CC362" s="33" t="s">
        <v>27</v>
      </c>
      <c r="CD362" s="33" t="s">
        <v>9</v>
      </c>
      <c r="CE362" s="33" t="s">
        <v>23</v>
      </c>
      <c r="CF362" s="33" t="s">
        <v>12</v>
      </c>
      <c r="CG362" s="33" t="s">
        <v>26</v>
      </c>
      <c r="CH362" s="33" t="s">
        <v>25</v>
      </c>
      <c r="CI362" s="8"/>
    </row>
    <row r="363" spans="1:87" x14ac:dyDescent="0.2">
      <c r="A363" s="8" t="str">
        <f>IF(AND(COUNTIF(W$3:W$13,A$15)&gt;0,A$15&lt;&gt;B292),A$15,IFERROR(IF(MATCH(A$15,Z$3:Z$13,0)=4,A$15," ")," "))</f>
        <v xml:space="preserve"> </v>
      </c>
      <c r="B363" s="8" t="str">
        <f>IF(A363=" "," ",1)</f>
        <v xml:space="preserve"> </v>
      </c>
      <c r="C363" s="8" t="str">
        <f>IFERROR(INDEX(A363:A384,MATCH(SMALL(B363:B384,1),B363:B384,0),1)," ")</f>
        <v>C3</v>
      </c>
      <c r="D363" s="8">
        <f>IFERROR(VLOOKUP($C363,$A$15:$O$36,2,FALSE)," ")</f>
        <v>2</v>
      </c>
      <c r="E363" s="8">
        <f>IFERROR(VLOOKUP($C363,$A$15:$O$36,3,FALSE)," ")</f>
        <v>5</v>
      </c>
      <c r="F363" s="8">
        <f>IFERROR(VLOOKUP($C363,$A$15:$O$36,4,FALSE)," ")</f>
        <v>6</v>
      </c>
      <c r="G363" s="8">
        <f>IFERROR(VLOOKUP($C363,$A$15:$O$36,5,FALSE)," ")</f>
        <v>0</v>
      </c>
      <c r="H363" s="8">
        <f>IFERROR(VLOOKUP($C363,$A$15:$O$36,6,FALSE)," ")</f>
        <v>0</v>
      </c>
      <c r="I363" s="8">
        <f>IFERROR(VLOOKUP($C363,$A$15:$O$36,7,FALSE)," ")</f>
        <v>0</v>
      </c>
      <c r="J363" s="8">
        <f>IFERROR(VLOOKUP($C363,$A$15:$O$36,8,FALSE)," ")</f>
        <v>0</v>
      </c>
      <c r="K363" s="8">
        <f>IFERROR(VLOOKUP($C363,$A$15:$O$36,9,FALSE)," ")</f>
        <v>0</v>
      </c>
      <c r="L363" s="8">
        <f>IFERROR(VLOOKUP($C363,$A$15:$O$36,10,FALSE)," ")</f>
        <v>0</v>
      </c>
      <c r="M363" s="8">
        <f>IFERROR(VLOOKUP($C363,$A$15:$O$36,11,FALSE)," ")</f>
        <v>0</v>
      </c>
      <c r="N363" s="8">
        <f>IFERROR(VLOOKUP($C363,$A$15:$O$36,12,FALSE)," ")</f>
        <v>0</v>
      </c>
      <c r="O363" s="8">
        <f>IFERROR(VLOOKUP($C363,$A$15:$O$36,15,FALSE)," ")</f>
        <v>2000</v>
      </c>
      <c r="P363" s="8" t="e">
        <f t="array" ref="P363:P373">MMULT(MINVERSE(D363:N373),O363:O373)</f>
        <v>#NUM!</v>
      </c>
      <c r="Q363" s="8" t="e">
        <f t="shared" ref="Q363" si="1354">IF(COUNTIF(P363:P373,"&lt;"&amp;-0.001)=0,IF(ABS(P363)&lt;0.001,0,P363)," ")</f>
        <v>#NUM!</v>
      </c>
      <c r="R363" s="8" t="str">
        <f>IFERROR(VLOOKUP(B292,A$15:L$36,2,FALSE)*Q363+VLOOKUP(B292,A$15:L$36,3,FALSE)*Q364+VLOOKUP(B292,A$15:L$36,4,FALSE)*Q365+VLOOKUP(B292,A$15:L$36,5,FALSE)*Q366+VLOOKUP(B292,A$15:L$36,6,FALSE)*Q367+VLOOKUP(B292,A$15:L$36,7,FALSE)*Q368+VLOOKUP(B292,A$15:L$36,8,FALSE)*Q369+VLOOKUP(B292,A$15:L$36,9,FALSE)*Q370+VLOOKUP(B292,A$15:L$36,10,FALSE)*Q371+VLOOKUP(B292,A$15:L$36,11,FALSE)*Q372+VLOOKUP(B292,A$15:L$36,12,FALSE)*Q373," ")</f>
        <v xml:space="preserve"> </v>
      </c>
      <c r="S363" s="8" t="str">
        <f>IFERROR(IF(R363-VLOOKUP(B292,A$15:O$36,15,FALSE)&lt;0,R363-VLOOKUP(B292,A$15:O$36,15,FALSE)," ")," ")</f>
        <v xml:space="preserve"> </v>
      </c>
      <c r="T363" s="18" t="str">
        <f>IFERROR(IF(R363-VLOOKUP(B292,A$15:O$36,15,FALSE)&gt;0,R363-VLOOKUP(B292,A$15:O$36,15,FALSE)," ")," ")</f>
        <v xml:space="preserve"> </v>
      </c>
      <c r="U363" s="34">
        <f t="shared" ref="U363" si="1355">$M$2</f>
        <v>100.00000000000001</v>
      </c>
      <c r="V363" s="34">
        <v>-1</v>
      </c>
      <c r="W363" s="34">
        <f t="shared" ref="W363" si="1356">-SUMPRODUCT($M$3:$M$12,$N$3:$N$12)</f>
        <v>-105000</v>
      </c>
      <c r="X363" s="34" t="e">
        <f t="shared" ref="X363" si="1357">IF(U363&lt;&gt;U364,MMULT(MINVERSE(U363:V364),W363:W364)," ")</f>
        <v>#NUM!</v>
      </c>
      <c r="Y363" s="34" t="str">
        <f t="shared" ref="Y363" si="1358">IFERROR(IF(X363-VLOOKUP(U$38,$A$2:$N$12,14,FALSE)&lt;0,X363-VLOOKUP(U$38,$A$2:$N$12,14,FALSE)," ")," ")</f>
        <v xml:space="preserve"> </v>
      </c>
      <c r="Z363" s="34" t="str">
        <f t="shared" ref="Z363" si="1359">IFERROR(IF(X363-VLOOKUP(U$38,$A$2:$N$12,14,FALSE)&gt;0,X363-VLOOKUP(U$38,$A$2:$N$12,14,FALSE)," ")," ")</f>
        <v xml:space="preserve"> </v>
      </c>
      <c r="AA363" s="34">
        <f t="shared" ref="AA363" si="1360">$M$3</f>
        <v>0</v>
      </c>
      <c r="AB363" s="34">
        <v>-1</v>
      </c>
      <c r="AC363" s="34">
        <f t="shared" ref="AC363" si="1361">-SUMPRODUCT($M$2:$M$2,$N$2:$N$2)-SUMPRODUCT($M$4:$M$12,$N$4:$N$12)</f>
        <v>-120000</v>
      </c>
      <c r="AD363" s="34" t="e">
        <f t="shared" ref="AD363" si="1362">IF(AA363&lt;&gt;AA364,MMULT(MINVERSE(AA363:AB364),AC363:AC364)," ")</f>
        <v>#NUM!</v>
      </c>
      <c r="AE363" s="34" t="str">
        <f t="shared" ref="AE363" si="1363">IFERROR(IF(AD363-VLOOKUP(AA$38,$A$2:$N$12,14,FALSE)&lt;0,AD363-VLOOKUP(AA$38,$A$2:$N$12,14,FALSE)," ")," ")</f>
        <v xml:space="preserve"> </v>
      </c>
      <c r="AF363" s="34" t="str">
        <f t="shared" ref="AF363" si="1364">IFERROR(IF(AD363-VLOOKUP(AA$38,$A$2:$N$12,14,FALSE)&gt;0,AD363-VLOOKUP(AA$38,$A$2:$N$12,14,FALSE)," ")," ")</f>
        <v xml:space="preserve"> </v>
      </c>
      <c r="AG363" s="34">
        <f t="shared" ref="AG363" si="1365">$M$4</f>
        <v>300</v>
      </c>
      <c r="AH363" s="34">
        <v>-1</v>
      </c>
      <c r="AI363" s="34">
        <f t="shared" ref="AI363" si="1366">-SUMPRODUCT($M$2:$M$3,$N$2:$N$3)-SUMPRODUCT($M$5:$M$12,$N$5:$N$12)</f>
        <v>-15000.000000000002</v>
      </c>
      <c r="AJ363" s="34" t="e">
        <f t="shared" ref="AJ363" si="1367">IF(AG363&lt;&gt;AG364,MMULT(MINVERSE(AG363:AH364),AI363:AI364)," ")</f>
        <v>#NUM!</v>
      </c>
      <c r="AK363" s="34" t="str">
        <f t="shared" ref="AK363" si="1368">IFERROR(IF(AJ363-VLOOKUP(AG$38,$A$2:$N$12,14,FALSE)&lt;0,AJ363-VLOOKUP(AG$38,$A$2:$N$12,14,FALSE)," ")," ")</f>
        <v xml:space="preserve"> </v>
      </c>
      <c r="AL363" s="34" t="str">
        <f t="shared" ref="AL363" si="1369">IFERROR(IF(AJ363-VLOOKUP(AG$38,$A$2:$N$12,14,FALSE)&gt;0,AJ363-VLOOKUP(AG$38,$A$2:$N$12,14,FALSE)," ")," ")</f>
        <v xml:space="preserve"> </v>
      </c>
      <c r="AM363" s="34">
        <f t="shared" ref="AM363" si="1370">$M$5</f>
        <v>0</v>
      </c>
      <c r="AN363" s="34">
        <v>-1</v>
      </c>
      <c r="AO363" s="34">
        <f t="shared" ref="AO363" si="1371">-SUMPRODUCT($M$2:$M$4,$N$2:$N$4)-SUMPRODUCT($M$6:$M$12,$N$6:$N$12)</f>
        <v>-120000</v>
      </c>
      <c r="AP363" s="34" t="e">
        <f t="shared" ref="AP363" si="1372">IF(AM363&lt;&gt;AM364,MMULT(MINVERSE(AM363:AN364),AO363:AO364)," ")</f>
        <v>#NUM!</v>
      </c>
      <c r="AQ363" s="34" t="str">
        <f t="shared" ref="AQ363" si="1373">IFERROR(IF(AP363-VLOOKUP(AM$38,$A$2:$N$12,14,FALSE)&lt;0,AP363-VLOOKUP(AM$38,$A$2:$N$12,14,FALSE)," ")," ")</f>
        <v xml:space="preserve"> </v>
      </c>
      <c r="AR363" s="34" t="str">
        <f t="shared" ref="AR363" si="1374">IFERROR(IF(AP363-VLOOKUP(AM$38,$A$2:$N$12,14,FALSE)&gt;0,AP363-VLOOKUP(AM$38,$A$2:$N$12,14,FALSE)," ")," ")</f>
        <v xml:space="preserve"> </v>
      </c>
      <c r="AS363" s="34">
        <f t="shared" ref="AS363" si="1375">$M$6</f>
        <v>0</v>
      </c>
      <c r="AT363" s="34">
        <v>-1</v>
      </c>
      <c r="AU363" s="34">
        <f t="shared" ref="AU363" si="1376">-SUMPRODUCT($M$2:$M$5,$N$2:$N$5)-SUMPRODUCT($M$7:$M$12,$N$7:$N$12)</f>
        <v>-120000</v>
      </c>
      <c r="AV363" s="34" t="e">
        <f t="shared" ref="AV363" si="1377">IF(AS363&lt;&gt;AS364,MMULT(MINVERSE(AS363:AT364),AU363:AU364)," ")</f>
        <v>#NUM!</v>
      </c>
      <c r="AW363" s="34" t="str">
        <f t="shared" ref="AW363" si="1378">IFERROR(IF(AV363-VLOOKUP(AS$38,$A$2:$N$12,14,FALSE)&lt;0,AV363-VLOOKUP(AS$38,$A$2:$N$12,14,FALSE)," ")," ")</f>
        <v xml:space="preserve"> </v>
      </c>
      <c r="AX363" s="34" t="str">
        <f t="shared" ref="AX363" si="1379">IFERROR(IF(AV363-VLOOKUP(AS$38,$A$2:$N$12,14,FALSE)&gt;0,AV363-VLOOKUP(AS$38,$A$2:$N$12,14,FALSE)," ")," ")</f>
        <v xml:space="preserve"> </v>
      </c>
      <c r="AY363" s="34">
        <f t="shared" ref="AY363" si="1380">$M$7</f>
        <v>0</v>
      </c>
      <c r="AZ363" s="34">
        <v>-1</v>
      </c>
      <c r="BA363" s="34">
        <f t="shared" ref="BA363" si="1381">-SUMPRODUCT($M$2:$M$6,$N$2:$N$6)-SUMPRODUCT($M$8:$M$12,$N$8:$N$12)</f>
        <v>-120000</v>
      </c>
      <c r="BB363" s="34" t="e">
        <f t="shared" ref="BB363" si="1382">IF(AY363&lt;&gt;AY364,MMULT(MINVERSE(AY363:AZ364),BA363:BA364)," ")</f>
        <v>#NUM!</v>
      </c>
      <c r="BC363" s="34" t="str">
        <f t="shared" ref="BC363" si="1383">IFERROR(IF(BB363-VLOOKUP(AY$38,$A$2:$N$12,14,FALSE)&lt;0,BB363-VLOOKUP(AY$38,$A$2:$N$12,14,FALSE)," ")," ")</f>
        <v xml:space="preserve"> </v>
      </c>
      <c r="BD363" s="34" t="str">
        <f t="shared" ref="BD363" si="1384">IFERROR(IF(BB363-VLOOKUP(AY$38,$A$2:$N$12,14,FALSE)&gt;0,BB363-VLOOKUP(AY$38,$A$2:$N$12,14,FALSE)," ")," ")</f>
        <v xml:space="preserve"> </v>
      </c>
      <c r="BE363" s="34">
        <f t="shared" ref="BE363" si="1385">$M$8</f>
        <v>0</v>
      </c>
      <c r="BF363" s="34">
        <v>-1</v>
      </c>
      <c r="BG363" s="34">
        <f t="shared" ref="BG363" si="1386">-SUMPRODUCT($M$2:$M$7,$N$2:$N$7)-SUMPRODUCT($M$9:$M$12,$N$9:$N$12)</f>
        <v>-120000</v>
      </c>
      <c r="BH363" s="34" t="e">
        <f t="shared" ref="BH363" si="1387">IF(BE363&lt;&gt;BE364,MMULT(MINVERSE(BE363:BF364),BG363:BG364)," ")</f>
        <v>#NUM!</v>
      </c>
      <c r="BI363" s="34" t="str">
        <f t="shared" ref="BI363" si="1388">IFERROR(IF(BH363-VLOOKUP(BE$38,$A$2:$N$12,14,FALSE)&lt;0,BH363-VLOOKUP(BE$38,$A$2:$N$12,14,FALSE)," ")," ")</f>
        <v xml:space="preserve"> </v>
      </c>
      <c r="BJ363" s="34" t="str">
        <f t="shared" ref="BJ363" si="1389">IFERROR(IF(BH363-VLOOKUP(BE$38,$A$2:$N$12,14,FALSE)&gt;0,BH363-VLOOKUP(BE$38,$A$2:$N$12,14,FALSE)," ")," ")</f>
        <v xml:space="preserve"> </v>
      </c>
      <c r="BK363" s="34">
        <f t="shared" ref="BK363" si="1390">$M$9</f>
        <v>0</v>
      </c>
      <c r="BL363" s="34">
        <v>-1</v>
      </c>
      <c r="BM363" s="34">
        <f t="shared" ref="BM363" si="1391">-SUMPRODUCT($M$2:$M$8,$N$2:$N$8)-SUMPRODUCT($M$10:$M$12,$N$10:$N$12)</f>
        <v>-120000</v>
      </c>
      <c r="BN363" s="34" t="e">
        <f t="shared" ref="BN363" si="1392">IF(BK363&lt;&gt;BK364,MMULT(MINVERSE(BK363:BL364),BM363:BM364)," ")</f>
        <v>#NUM!</v>
      </c>
      <c r="BO363" s="34" t="str">
        <f t="shared" ref="BO363" si="1393">IFERROR(IF(BN363-VLOOKUP(BK$38,$A$2:$N$12,14,FALSE)&lt;0,BN363-VLOOKUP(BK$38,$A$2:$N$12,14,FALSE)," ")," ")</f>
        <v xml:space="preserve"> </v>
      </c>
      <c r="BP363" s="34" t="str">
        <f t="shared" ref="BP363" si="1394">IFERROR(IF(BN363-VLOOKUP(BK$38,$A$2:$N$12,14,FALSE)&gt;0,BN363-VLOOKUP(BK$38,$A$2:$N$12,14,FALSE)," ")," ")</f>
        <v xml:space="preserve"> </v>
      </c>
      <c r="BQ363" s="34">
        <f t="shared" ref="BQ363" si="1395">$M$10</f>
        <v>0</v>
      </c>
      <c r="BR363" s="34">
        <v>-1</v>
      </c>
      <c r="BS363" s="34">
        <f t="shared" ref="BS363" si="1396">-SUMPRODUCT($M$2:$M$9,$N$2:$N$9)-SUMPRODUCT($M$11:$M$12,$N$11:$N$12)</f>
        <v>-120000</v>
      </c>
      <c r="BT363" s="34" t="e">
        <f t="shared" ref="BT363" si="1397">IF(BQ363&lt;&gt;BQ364,MMULT(MINVERSE(BQ363:BR364),BS363:BS364)," ")</f>
        <v>#NUM!</v>
      </c>
      <c r="BU363" s="34" t="str">
        <f t="shared" ref="BU363" si="1398">IFERROR(IF(BT363-VLOOKUP(BQ$38,$A$2:$N$12,14,FALSE)&lt;0,BT363-VLOOKUP(BQ$38,$A$2:$N$12,14,FALSE)," ")," ")</f>
        <v xml:space="preserve"> </v>
      </c>
      <c r="BV363" s="34" t="str">
        <f t="shared" ref="BV363" si="1399">IFERROR(IF(BT363-VLOOKUP(BQ$38,$A$2:$N$12,14,FALSE)&gt;0,BT363-VLOOKUP(BQ$38,$A$2:$N$12,14,FALSE)," ")," ")</f>
        <v xml:space="preserve"> </v>
      </c>
      <c r="BW363" s="34">
        <f t="shared" ref="BW363" si="1400">$M$11</f>
        <v>0</v>
      </c>
      <c r="BX363" s="34">
        <v>-1</v>
      </c>
      <c r="BY363" s="34">
        <f t="shared" ref="BY363" si="1401">-SUMPRODUCT($M$2:$M$10,$N$2:$N$10)-SUMPRODUCT($M$12,$N$12)</f>
        <v>-120000</v>
      </c>
      <c r="BZ363" s="34" t="e">
        <f t="shared" ref="BZ363" si="1402">IF(BW363&lt;&gt;BW364,MMULT(MINVERSE(BW363:BX364),BY363:BY364)," ")</f>
        <v>#NUM!</v>
      </c>
      <c r="CA363" s="34" t="str">
        <f t="shared" ref="CA363" si="1403">IFERROR(IF(BZ363-VLOOKUP(BW$38,$A$2:$N$12,14,FALSE)&lt;0,BZ363-VLOOKUP(BW$38,$A$2:$N$12,14,FALSE)," ")," ")</f>
        <v xml:space="preserve"> </v>
      </c>
      <c r="CB363" s="34" t="str">
        <f t="shared" ref="CB363" si="1404">IFERROR(IF(BZ363-VLOOKUP(BW$38,$A$2:$N$12,14,FALSE)&gt;0,BZ363-VLOOKUP(BW$38,$A$2:$N$12,14,FALSE)," ")," ")</f>
        <v xml:space="preserve"> </v>
      </c>
      <c r="CC363" s="34">
        <f t="shared" ref="CC363" si="1405">$M$12</f>
        <v>0</v>
      </c>
      <c r="CD363" s="34">
        <v>-1</v>
      </c>
      <c r="CE363" s="34">
        <f t="shared" ref="CE363" si="1406">-SUMPRODUCT($M$2:$M$11,$N$2:$N$11)</f>
        <v>-120000</v>
      </c>
      <c r="CF363" s="34" t="e">
        <f t="shared" ref="CF363" si="1407">IF(CC363&lt;&gt;CC364,MMULT(MINVERSE(CC363:CD364),CE363:CE364)," ")</f>
        <v>#NUM!</v>
      </c>
      <c r="CG363" s="34" t="str">
        <f t="shared" ref="CG363" si="1408">IFERROR(IF(CF363-VLOOKUP(CC$38,$A$2:$N$12,14,FALSE)&lt;0,CF363-VLOOKUP(CC$38,$A$2:$N$12,14,FALSE)," ")," ")</f>
        <v xml:space="preserve"> </v>
      </c>
      <c r="CH363" s="34" t="str">
        <f t="shared" ref="CH363" si="1409">IFERROR(IF(CF363-VLOOKUP(CC$38,$A$2:$N$12,14,FALSE)&gt;0,CF363-VLOOKUP(CC$38,$A$2:$N$12,14,FALSE)," ")," ")</f>
        <v xml:space="preserve"> </v>
      </c>
      <c r="CI363" s="8"/>
    </row>
    <row r="364" spans="1:87" x14ac:dyDescent="0.2">
      <c r="A364" s="8" t="str">
        <f>IF(AND(COUNTIF(W$3:W$13,A$16)&gt;0,A$16&lt;&gt;B292),A$16,IFERROR(IF(MATCH(A$16,Z$3:Z$13,0)=4,A$16," ")," "))</f>
        <v xml:space="preserve"> </v>
      </c>
      <c r="B364" s="8" t="str">
        <f>IF(A364=" "," ",MAX(B363:B363)+1)</f>
        <v xml:space="preserve"> </v>
      </c>
      <c r="C364" s="8" t="str">
        <f>IFERROR(INDEX(A363:A384,MATCH(SMALL(B363:B384,2),B363:B384,0),1)," ")</f>
        <v>C6</v>
      </c>
      <c r="D364" s="8">
        <f t="shared" ref="D364:D373" si="1410">IFERROR(VLOOKUP($C364,$A$15:$O$36,2,FALSE)," ")</f>
        <v>0</v>
      </c>
      <c r="E364" s="8">
        <f t="shared" ref="E364:E373" si="1411">IFERROR(VLOOKUP($C364,$A$15:$O$36,3,FALSE)," ")</f>
        <v>0</v>
      </c>
      <c r="F364" s="8">
        <f t="shared" ref="F364:F373" si="1412">IFERROR(VLOOKUP($C364,$A$15:$O$36,4,FALSE)," ")</f>
        <v>0</v>
      </c>
      <c r="G364" s="8">
        <f t="shared" ref="G364:G373" si="1413">IFERROR(VLOOKUP($C364,$A$15:$O$36,5,FALSE)," ")</f>
        <v>0</v>
      </c>
      <c r="H364" s="8">
        <f t="shared" ref="H364:H373" si="1414">IFERROR(VLOOKUP($C364,$A$15:$O$36,6,FALSE)," ")</f>
        <v>0</v>
      </c>
      <c r="I364" s="8">
        <f t="shared" ref="I364:I373" si="1415">IFERROR(VLOOKUP($C364,$A$15:$O$36,7,FALSE)," ")</f>
        <v>0</v>
      </c>
      <c r="J364" s="8">
        <f t="shared" ref="J364:J373" si="1416">IFERROR(VLOOKUP($C364,$A$15:$O$36,8,FALSE)," ")</f>
        <v>0</v>
      </c>
      <c r="K364" s="8">
        <f t="shared" ref="K364:K373" si="1417">IFERROR(VLOOKUP($C364,$A$15:$O$36,9,FALSE)," ")</f>
        <v>0</v>
      </c>
      <c r="L364" s="8">
        <f t="shared" ref="L364:L373" si="1418">IFERROR(VLOOKUP($C364,$A$15:$O$36,10,FALSE)," ")</f>
        <v>0</v>
      </c>
      <c r="M364" s="8">
        <f t="shared" ref="M364:M373" si="1419">IFERROR(VLOOKUP($C364,$A$15:$O$36,11,FALSE)," ")</f>
        <v>0</v>
      </c>
      <c r="N364" s="8">
        <f t="shared" ref="N364:N373" si="1420">IFERROR(VLOOKUP($C364,$A$15:$O$36,12,FALSE)," ")</f>
        <v>0</v>
      </c>
      <c r="O364" s="8">
        <f t="shared" ref="O364:O373" si="1421">IFERROR(VLOOKUP($C364,$A$15:$O$36,15,FALSE)," ")</f>
        <v>0</v>
      </c>
      <c r="P364" s="8" t="e">
        <v>#NUM!</v>
      </c>
      <c r="Q364" s="8" t="e">
        <f t="shared" ref="Q364" si="1422">IF(COUNTIF(P363:P373,"&lt;"&amp;-0.001)=0,IF(ABS(P364)&lt;0.001,0,P364)," ")</f>
        <v>#NUM!</v>
      </c>
      <c r="R364" s="8"/>
      <c r="S364" s="8"/>
      <c r="U364" s="34" t="e">
        <f t="shared" ref="U364" si="1423">$Q363</f>
        <v>#NUM!</v>
      </c>
      <c r="V364" s="34">
        <v>-1</v>
      </c>
      <c r="W364" s="34" t="e">
        <f t="shared" ref="W364" si="1424">-SUMPRODUCT($Q364:$Q373,$N$3:$N$12)</f>
        <v>#NUM!</v>
      </c>
      <c r="X364" s="34"/>
      <c r="Y364" s="34"/>
      <c r="Z364" s="34"/>
      <c r="AA364" s="34" t="e">
        <f t="shared" ref="AA364" si="1425">$Q364</f>
        <v>#NUM!</v>
      </c>
      <c r="AB364" s="34">
        <v>-1</v>
      </c>
      <c r="AC364" s="34" t="e">
        <f t="shared" ref="AC364" si="1426">-SUMPRODUCT($Q363:$Q363,$N$2:$N$2)-SUMPRODUCT($Q365:$Q373,$N$4:$N$12)</f>
        <v>#NUM!</v>
      </c>
      <c r="AD364" s="34"/>
      <c r="AE364" s="34"/>
      <c r="AF364" s="34"/>
      <c r="AG364" s="34" t="e">
        <f t="shared" ref="AG364" si="1427">$Q365</f>
        <v>#NUM!</v>
      </c>
      <c r="AH364" s="34">
        <v>-1</v>
      </c>
      <c r="AI364" s="34" t="e">
        <f t="shared" ref="AI364" si="1428">-SUMPRODUCT($Q363:$Q364,$N$2:$N$3)-SUMPRODUCT($Q366:$Q373,$N$5:$N$12)</f>
        <v>#NUM!</v>
      </c>
      <c r="AJ364" s="34"/>
      <c r="AK364" s="34"/>
      <c r="AL364" s="34"/>
      <c r="AM364" s="34" t="e">
        <f t="shared" ref="AM364" si="1429">$Q366</f>
        <v>#NUM!</v>
      </c>
      <c r="AN364" s="34">
        <v>-1</v>
      </c>
      <c r="AO364" s="34" t="e">
        <f t="shared" ref="AO364" si="1430">-SUMPRODUCT($Q363:$Q365,$N$2:$N$4)-SUMPRODUCT($Q367:$Q373,$N$6:$N$12)</f>
        <v>#NUM!</v>
      </c>
      <c r="AP364" s="34"/>
      <c r="AQ364" s="34"/>
      <c r="AR364" s="34"/>
      <c r="AS364" s="34" t="e">
        <f t="shared" ref="AS364" si="1431">$Q367</f>
        <v>#NUM!</v>
      </c>
      <c r="AT364" s="34">
        <v>-1</v>
      </c>
      <c r="AU364" s="34" t="e">
        <f t="shared" ref="AU364" si="1432">-SUMPRODUCT($Q363:$Q366,$N$2:$N$5)-SUMPRODUCT($Q368:$Q373,$N$7:$N$12)</f>
        <v>#NUM!</v>
      </c>
      <c r="AV364" s="34"/>
      <c r="AW364" s="34"/>
      <c r="AX364" s="34"/>
      <c r="AY364" s="34" t="e">
        <f t="shared" ref="AY364" si="1433">$Q368</f>
        <v>#NUM!</v>
      </c>
      <c r="AZ364" s="34">
        <v>-1</v>
      </c>
      <c r="BA364" s="34" t="e">
        <f t="shared" ref="BA364" si="1434">-SUMPRODUCT($Q363:$Q367,$N$2:$N$6)-SUMPRODUCT($Q369:$Q373,$N$8:$N$12)</f>
        <v>#NUM!</v>
      </c>
      <c r="BB364" s="34"/>
      <c r="BC364" s="34"/>
      <c r="BD364" s="34"/>
      <c r="BE364" s="34" t="e">
        <f t="shared" ref="BE364" si="1435">$Q369</f>
        <v>#NUM!</v>
      </c>
      <c r="BF364" s="34">
        <v>-1</v>
      </c>
      <c r="BG364" s="34" t="e">
        <f t="shared" ref="BG364" si="1436">-SUMPRODUCT($Q363:$Q368,$N$2:$N$7)-SUMPRODUCT($Q370:$Q373,$N$9:$N$12)</f>
        <v>#NUM!</v>
      </c>
      <c r="BH364" s="34"/>
      <c r="BI364" s="34"/>
      <c r="BJ364" s="34"/>
      <c r="BK364" s="34" t="e">
        <f t="shared" ref="BK364" si="1437">$Q370</f>
        <v>#NUM!</v>
      </c>
      <c r="BL364" s="34">
        <v>-1</v>
      </c>
      <c r="BM364" s="34" t="e">
        <f t="shared" ref="BM364" si="1438">-SUMPRODUCT($Q363:$Q369,$N$2:$N$8)-SUMPRODUCT($Q371:$Q373,$N$10:$N$12)</f>
        <v>#NUM!</v>
      </c>
      <c r="BN364" s="34"/>
      <c r="BO364" s="34"/>
      <c r="BP364" s="34"/>
      <c r="BQ364" s="34" t="e">
        <f t="shared" ref="BQ364" si="1439">$Q371</f>
        <v>#NUM!</v>
      </c>
      <c r="BR364" s="34">
        <v>-1</v>
      </c>
      <c r="BS364" s="34" t="e">
        <f t="shared" ref="BS364" si="1440">-SUMPRODUCT($Q363:$Q370,$N$2:$N$9)-SUMPRODUCT($Q372:$Q373,$N$11:$N$12)</f>
        <v>#NUM!</v>
      </c>
      <c r="BT364" s="34"/>
      <c r="BU364" s="34"/>
      <c r="BV364" s="34"/>
      <c r="BW364" s="34" t="e">
        <f t="shared" ref="BW364" si="1441">$Q372</f>
        <v>#NUM!</v>
      </c>
      <c r="BX364" s="34">
        <v>-1</v>
      </c>
      <c r="BY364" s="34" t="e">
        <f t="shared" ref="BY364" si="1442">-SUMPRODUCT($Q363:$Q371,$N$2:$N$10)-SUMPRODUCT($Q373,$N$12)</f>
        <v>#NUM!</v>
      </c>
      <c r="BZ364" s="34"/>
      <c r="CA364" s="34"/>
      <c r="CB364" s="34"/>
      <c r="CC364" s="34" t="e">
        <f t="shared" ref="CC364" si="1443">$Q373</f>
        <v>#NUM!</v>
      </c>
      <c r="CD364" s="34">
        <v>-1</v>
      </c>
      <c r="CE364" s="34" t="e">
        <f t="shared" ref="CE364" si="1444">-SUMPRODUCT($Q363:$Q372,$N$2:$N$11)</f>
        <v>#NUM!</v>
      </c>
      <c r="CF364" s="34"/>
      <c r="CG364" s="34"/>
      <c r="CH364" s="34"/>
      <c r="CI364" s="8"/>
    </row>
    <row r="365" spans="1:87" x14ac:dyDescent="0.2">
      <c r="A365" s="8" t="str">
        <f>IF(AND(COUNTIF(W$3:W$13,A$17)&gt;0,A$17&lt;&gt;B292),A$17,IFERROR(IF(MATCH(A$17,Z$3:Z$13,0)=4,A$17," ")," "))</f>
        <v>C3</v>
      </c>
      <c r="B365" s="8">
        <f>IF(A365=" "," ",MAX(B363:B364)+1)</f>
        <v>1</v>
      </c>
      <c r="C365" s="8" t="str">
        <f>IFERROR(INDEX(A363:A384,MATCH(SMALL(B363:B384,3),B363:B384,0),1)," ")</f>
        <v>C13</v>
      </c>
      <c r="D365" s="8">
        <f t="shared" si="1410"/>
        <v>0</v>
      </c>
      <c r="E365" s="8">
        <f t="shared" si="1411"/>
        <v>1</v>
      </c>
      <c r="F365" s="8">
        <f t="shared" si="1412"/>
        <v>0</v>
      </c>
      <c r="G365" s="8">
        <f t="shared" si="1413"/>
        <v>0</v>
      </c>
      <c r="H365" s="8">
        <f t="shared" si="1414"/>
        <v>0</v>
      </c>
      <c r="I365" s="8">
        <f t="shared" si="1415"/>
        <v>0</v>
      </c>
      <c r="J365" s="8">
        <f t="shared" si="1416"/>
        <v>0</v>
      </c>
      <c r="K365" s="8">
        <f t="shared" si="1417"/>
        <v>0</v>
      </c>
      <c r="L365" s="8">
        <f t="shared" si="1418"/>
        <v>0</v>
      </c>
      <c r="M365" s="8">
        <f t="shared" si="1419"/>
        <v>0</v>
      </c>
      <c r="N365" s="8">
        <f t="shared" si="1420"/>
        <v>0</v>
      </c>
      <c r="O365" s="8">
        <f t="shared" si="1421"/>
        <v>0</v>
      </c>
      <c r="P365" s="8" t="e">
        <v>#NUM!</v>
      </c>
      <c r="Q365" s="8" t="e">
        <f t="shared" ref="Q365" si="1445">IF(COUNTIF(P363:P373,"&lt;"&amp;-0.001)=0,IF(ABS(P365)&lt;0.001,0,P365)," ")</f>
        <v>#NUM!</v>
      </c>
      <c r="R365" s="8"/>
      <c r="S365" s="8"/>
      <c r="U365" s="34"/>
      <c r="V365" s="34"/>
      <c r="W365" s="34"/>
      <c r="X365" s="34"/>
      <c r="Y365" s="34"/>
      <c r="Z365" s="34"/>
      <c r="AA365" s="34"/>
      <c r="AB365" s="34"/>
      <c r="AC365" s="34"/>
      <c r="AD365" s="34"/>
      <c r="AE365" s="34"/>
      <c r="AF365" s="34"/>
      <c r="AG365" s="34"/>
      <c r="AH365" s="34"/>
      <c r="AI365" s="34"/>
      <c r="AJ365" s="34"/>
      <c r="AK365" s="34"/>
      <c r="AL365" s="34"/>
      <c r="AM365" s="34"/>
      <c r="AN365" s="34"/>
      <c r="AO365" s="34"/>
      <c r="AP365" s="34"/>
      <c r="AQ365" s="34"/>
      <c r="AR365" s="34"/>
      <c r="AS365" s="34"/>
      <c r="AT365" s="34"/>
      <c r="AU365" s="34"/>
      <c r="AV365" s="34"/>
      <c r="AW365" s="34"/>
      <c r="AX365" s="34"/>
      <c r="AY365" s="34"/>
      <c r="AZ365" s="34"/>
      <c r="BA365" s="34"/>
      <c r="BB365" s="34"/>
      <c r="BC365" s="34"/>
      <c r="BD365" s="34"/>
      <c r="BE365" s="34"/>
      <c r="BF365" s="34"/>
      <c r="BG365" s="34"/>
      <c r="BH365" s="34"/>
      <c r="BI365" s="34"/>
      <c r="BJ365" s="34"/>
      <c r="BK365" s="34"/>
      <c r="BL365" s="34"/>
      <c r="BM365" s="34"/>
      <c r="BN365" s="34"/>
      <c r="BO365" s="34"/>
      <c r="BP365" s="34"/>
      <c r="BQ365" s="34"/>
      <c r="BR365" s="34"/>
      <c r="BS365" s="34"/>
      <c r="BT365" s="34"/>
      <c r="BU365" s="34"/>
      <c r="BV365" s="34"/>
      <c r="BW365" s="34"/>
      <c r="BX365" s="34"/>
      <c r="BY365" s="34"/>
      <c r="BZ365" s="34"/>
      <c r="CA365" s="34"/>
      <c r="CB365" s="34"/>
      <c r="CC365" s="34"/>
      <c r="CD365" s="34"/>
      <c r="CE365" s="34"/>
      <c r="CF365" s="34"/>
      <c r="CG365" s="34"/>
      <c r="CH365" s="34"/>
      <c r="CI365" s="8"/>
    </row>
    <row r="366" spans="1:87" x14ac:dyDescent="0.2">
      <c r="A366" s="8" t="str">
        <f>IF(AND(COUNTIF(W$3:W$13,A$18)&gt;0,A$18&lt;&gt;B292),A$18,IFERROR(IF(MATCH(A$18,Z$3:Z$13,0)=4,A$18," ")," "))</f>
        <v xml:space="preserve"> </v>
      </c>
      <c r="B366" s="8" t="str">
        <f>IF(A366=" "," ",MAX(B363:B365)+1)</f>
        <v xml:space="preserve"> </v>
      </c>
      <c r="C366" s="8" t="str">
        <f>IFERROR(INDEX(A363:A384,MATCH(SMALL(B363:B384,4),B363:B384,0),1)," ")</f>
        <v>C15</v>
      </c>
      <c r="D366" s="8">
        <f t="shared" si="1410"/>
        <v>0</v>
      </c>
      <c r="E366" s="8">
        <f t="shared" si="1411"/>
        <v>0</v>
      </c>
      <c r="F366" s="8">
        <f t="shared" si="1412"/>
        <v>0</v>
      </c>
      <c r="G366" s="8">
        <f t="shared" si="1413"/>
        <v>1</v>
      </c>
      <c r="H366" s="8">
        <f t="shared" si="1414"/>
        <v>0</v>
      </c>
      <c r="I366" s="8">
        <f t="shared" si="1415"/>
        <v>0</v>
      </c>
      <c r="J366" s="8">
        <f t="shared" si="1416"/>
        <v>0</v>
      </c>
      <c r="K366" s="8">
        <f t="shared" si="1417"/>
        <v>0</v>
      </c>
      <c r="L366" s="8">
        <f t="shared" si="1418"/>
        <v>0</v>
      </c>
      <c r="M366" s="8">
        <f t="shared" si="1419"/>
        <v>0</v>
      </c>
      <c r="N366" s="8">
        <f t="shared" si="1420"/>
        <v>0</v>
      </c>
      <c r="O366" s="8">
        <f t="shared" si="1421"/>
        <v>0</v>
      </c>
      <c r="P366" s="8" t="e">
        <v>#NUM!</v>
      </c>
      <c r="Q366" s="8" t="e">
        <f t="shared" ref="Q366" si="1446">IF(COUNTIF(P363:P373,"&lt;"&amp;-0.001)=0,IF(ABS(P366)&lt;0.001,0,P366)," ")</f>
        <v>#NUM!</v>
      </c>
      <c r="R366" s="8"/>
      <c r="S366" s="8"/>
      <c r="U366" s="34"/>
      <c r="V366" s="34"/>
      <c r="W366" s="34"/>
      <c r="X366" s="34"/>
      <c r="Y366" s="34"/>
      <c r="Z366" s="34"/>
      <c r="AA366" s="34"/>
      <c r="AB366" s="34"/>
      <c r="AC366" s="34"/>
      <c r="AD366" s="34"/>
      <c r="AE366" s="34"/>
      <c r="AF366" s="34"/>
      <c r="AG366" s="34"/>
      <c r="AH366" s="34"/>
      <c r="AI366" s="34"/>
      <c r="AJ366" s="34"/>
      <c r="AK366" s="34"/>
      <c r="AL366" s="34"/>
      <c r="AM366" s="34"/>
      <c r="AN366" s="34"/>
      <c r="AO366" s="34"/>
      <c r="AP366" s="34"/>
      <c r="AQ366" s="34"/>
      <c r="AR366" s="34"/>
      <c r="AS366" s="34"/>
      <c r="AT366" s="34"/>
      <c r="AU366" s="34"/>
      <c r="AV366" s="34"/>
      <c r="AW366" s="34"/>
      <c r="AX366" s="34"/>
      <c r="AY366" s="34"/>
      <c r="AZ366" s="34"/>
      <c r="BA366" s="34"/>
      <c r="BB366" s="34"/>
      <c r="BC366" s="34"/>
      <c r="BD366" s="34"/>
      <c r="BE366" s="34"/>
      <c r="BF366" s="34"/>
      <c r="BG366" s="34"/>
      <c r="BH366" s="34"/>
      <c r="BI366" s="34"/>
      <c r="BJ366" s="34"/>
      <c r="BK366" s="34"/>
      <c r="BL366" s="34"/>
      <c r="BM366" s="34"/>
      <c r="BN366" s="34"/>
      <c r="BO366" s="34"/>
      <c r="BP366" s="34"/>
      <c r="BQ366" s="34"/>
      <c r="BR366" s="34"/>
      <c r="BS366" s="34"/>
      <c r="BT366" s="34"/>
      <c r="BU366" s="34"/>
      <c r="BV366" s="34"/>
      <c r="BW366" s="34"/>
      <c r="BX366" s="34"/>
      <c r="BY366" s="34"/>
      <c r="BZ366" s="34"/>
      <c r="CA366" s="34"/>
      <c r="CB366" s="34"/>
      <c r="CC366" s="34"/>
      <c r="CD366" s="34"/>
      <c r="CE366" s="34"/>
      <c r="CF366" s="34"/>
      <c r="CG366" s="34"/>
      <c r="CH366" s="34"/>
      <c r="CI366" s="8"/>
    </row>
    <row r="367" spans="1:87" x14ac:dyDescent="0.2">
      <c r="A367" s="8" t="str">
        <f>IF(AND(COUNTIF(W$3:W$13,A$19)&gt;0,A$19&lt;&gt;B292),A$19,IFERROR(IF(MATCH(A$19,Z$3:Z$13,0)=4,A$19," ")," "))</f>
        <v xml:space="preserve"> </v>
      </c>
      <c r="B367" s="8" t="str">
        <f>IF(A367=" "," ",MAX(B363:B366)+1)</f>
        <v xml:space="preserve"> </v>
      </c>
      <c r="C367" s="8" t="str">
        <f>IFERROR(INDEX(A363:A384,MATCH(SMALL(B363:B384,5),B363:B384,0),1)," ")</f>
        <v>C16</v>
      </c>
      <c r="D367" s="8">
        <f t="shared" si="1410"/>
        <v>0</v>
      </c>
      <c r="E367" s="8">
        <f t="shared" si="1411"/>
        <v>0</v>
      </c>
      <c r="F367" s="8">
        <f t="shared" si="1412"/>
        <v>0</v>
      </c>
      <c r="G367" s="8">
        <f t="shared" si="1413"/>
        <v>0</v>
      </c>
      <c r="H367" s="8">
        <f t="shared" si="1414"/>
        <v>1</v>
      </c>
      <c r="I367" s="8">
        <f t="shared" si="1415"/>
        <v>0</v>
      </c>
      <c r="J367" s="8">
        <f t="shared" si="1416"/>
        <v>0</v>
      </c>
      <c r="K367" s="8">
        <f t="shared" si="1417"/>
        <v>0</v>
      </c>
      <c r="L367" s="8">
        <f t="shared" si="1418"/>
        <v>0</v>
      </c>
      <c r="M367" s="8">
        <f t="shared" si="1419"/>
        <v>0</v>
      </c>
      <c r="N367" s="8">
        <f t="shared" si="1420"/>
        <v>0</v>
      </c>
      <c r="O367" s="8">
        <f t="shared" si="1421"/>
        <v>0</v>
      </c>
      <c r="P367" s="8" t="e">
        <v>#NUM!</v>
      </c>
      <c r="Q367" s="8" t="e">
        <f t="shared" ref="Q367" si="1447">IF(COUNTIF(P363:P373,"&lt;"&amp;-0.001)=0,IF(ABS(P367)&lt;0.001,0,P367)," ")</f>
        <v>#NUM!</v>
      </c>
      <c r="R367" s="8"/>
      <c r="S367" s="8"/>
      <c r="U367" s="34"/>
      <c r="V367" s="34"/>
      <c r="W367" s="34"/>
      <c r="X367" s="34"/>
      <c r="Y367" s="34"/>
      <c r="Z367" s="34"/>
      <c r="AA367" s="34"/>
      <c r="AB367" s="34"/>
      <c r="AC367" s="34"/>
      <c r="AD367" s="34"/>
      <c r="AE367" s="34"/>
      <c r="AF367" s="34"/>
      <c r="AG367" s="34"/>
      <c r="AH367" s="34"/>
      <c r="AI367" s="34"/>
      <c r="AJ367" s="34"/>
      <c r="AK367" s="34"/>
      <c r="AL367" s="34"/>
      <c r="AM367" s="34"/>
      <c r="AN367" s="34"/>
      <c r="AO367" s="34"/>
      <c r="AP367" s="34"/>
      <c r="AQ367" s="34"/>
      <c r="AR367" s="34"/>
      <c r="AS367" s="34"/>
      <c r="AT367" s="34"/>
      <c r="AU367" s="34"/>
      <c r="AV367" s="34"/>
      <c r="AW367" s="34"/>
      <c r="AX367" s="34"/>
      <c r="AY367" s="34"/>
      <c r="AZ367" s="34"/>
      <c r="BA367" s="34"/>
      <c r="BB367" s="34"/>
      <c r="BC367" s="34"/>
      <c r="BD367" s="34"/>
      <c r="BE367" s="34"/>
      <c r="BF367" s="34"/>
      <c r="BG367" s="34"/>
      <c r="BH367" s="34"/>
      <c r="BI367" s="34"/>
      <c r="BJ367" s="34"/>
      <c r="BK367" s="34"/>
      <c r="BL367" s="34"/>
      <c r="BM367" s="34"/>
      <c r="BN367" s="34"/>
      <c r="BO367" s="34"/>
      <c r="BP367" s="34"/>
      <c r="BQ367" s="34"/>
      <c r="BR367" s="34"/>
      <c r="BS367" s="34"/>
      <c r="BT367" s="34"/>
      <c r="BU367" s="34"/>
      <c r="BV367" s="34"/>
      <c r="BW367" s="34"/>
      <c r="BX367" s="34"/>
      <c r="BY367" s="34"/>
      <c r="BZ367" s="34"/>
      <c r="CA367" s="34"/>
      <c r="CB367" s="34"/>
      <c r="CC367" s="34"/>
      <c r="CD367" s="34"/>
      <c r="CE367" s="34"/>
      <c r="CF367" s="34"/>
      <c r="CG367" s="34"/>
      <c r="CH367" s="34"/>
      <c r="CI367" s="8"/>
    </row>
    <row r="368" spans="1:87" x14ac:dyDescent="0.2">
      <c r="A368" s="8" t="str">
        <f>IF(AND(COUNTIF(W$3:W$13,A$20)&gt;0,A$20&lt;&gt;B292),A$20,IFERROR(IF(MATCH(A$20,Z$3:Z$13,0)=4,A$20," ")," "))</f>
        <v>C6</v>
      </c>
      <c r="B368" s="8">
        <f>IF(A368=" "," ",MAX(B363:B367)+1)</f>
        <v>2</v>
      </c>
      <c r="C368" s="8" t="str">
        <f>IFERROR(INDEX(A363:A384,MATCH(SMALL(B363:B384,6),B363:B384,0),1)," ")</f>
        <v>C17</v>
      </c>
      <c r="D368" s="8">
        <f t="shared" si="1410"/>
        <v>0</v>
      </c>
      <c r="E368" s="8">
        <f t="shared" si="1411"/>
        <v>0</v>
      </c>
      <c r="F368" s="8">
        <f t="shared" si="1412"/>
        <v>0</v>
      </c>
      <c r="G368" s="8">
        <f t="shared" si="1413"/>
        <v>0</v>
      </c>
      <c r="H368" s="8">
        <f t="shared" si="1414"/>
        <v>0</v>
      </c>
      <c r="I368" s="8">
        <f t="shared" si="1415"/>
        <v>1</v>
      </c>
      <c r="J368" s="8">
        <f t="shared" si="1416"/>
        <v>0</v>
      </c>
      <c r="K368" s="8">
        <f t="shared" si="1417"/>
        <v>0</v>
      </c>
      <c r="L368" s="8">
        <f t="shared" si="1418"/>
        <v>0</v>
      </c>
      <c r="M368" s="8">
        <f t="shared" si="1419"/>
        <v>0</v>
      </c>
      <c r="N368" s="8">
        <f t="shared" si="1420"/>
        <v>0</v>
      </c>
      <c r="O368" s="8">
        <f t="shared" si="1421"/>
        <v>0</v>
      </c>
      <c r="P368" s="8" t="e">
        <v>#NUM!</v>
      </c>
      <c r="Q368" s="8" t="e">
        <f t="shared" ref="Q368" si="1448">IF(COUNTIF(P363:P373,"&lt;"&amp;-0.001)=0,IF(ABS(P368)&lt;0.001,0,P368)," ")</f>
        <v>#NUM!</v>
      </c>
      <c r="R368" s="8"/>
      <c r="S368" s="8"/>
      <c r="U368" s="34"/>
      <c r="V368" s="34"/>
      <c r="W368" s="34"/>
      <c r="X368" s="34"/>
      <c r="Y368" s="34"/>
      <c r="Z368" s="34"/>
      <c r="AA368" s="34"/>
      <c r="AB368" s="34"/>
      <c r="AC368" s="34"/>
      <c r="AD368" s="34"/>
      <c r="AE368" s="34"/>
      <c r="AF368" s="34"/>
      <c r="AG368" s="34"/>
      <c r="AH368" s="34"/>
      <c r="AI368" s="34"/>
      <c r="AJ368" s="34"/>
      <c r="AK368" s="34"/>
      <c r="AL368" s="34"/>
      <c r="AM368" s="34"/>
      <c r="AN368" s="34"/>
      <c r="AO368" s="34"/>
      <c r="AP368" s="34"/>
      <c r="AQ368" s="34"/>
      <c r="AR368" s="34"/>
      <c r="AS368" s="34"/>
      <c r="AT368" s="34"/>
      <c r="AU368" s="34"/>
      <c r="AV368" s="34"/>
      <c r="AW368" s="34"/>
      <c r="AX368" s="34"/>
      <c r="AY368" s="34"/>
      <c r="AZ368" s="34"/>
      <c r="BA368" s="34"/>
      <c r="BB368" s="34"/>
      <c r="BC368" s="34"/>
      <c r="BD368" s="34"/>
      <c r="BE368" s="34"/>
      <c r="BF368" s="34"/>
      <c r="BG368" s="34"/>
      <c r="BH368" s="34"/>
      <c r="BI368" s="34"/>
      <c r="BJ368" s="34"/>
      <c r="BK368" s="34"/>
      <c r="BL368" s="34"/>
      <c r="BM368" s="34"/>
      <c r="BN368" s="34"/>
      <c r="BO368" s="34"/>
      <c r="BP368" s="34"/>
      <c r="BQ368" s="34"/>
      <c r="BR368" s="34"/>
      <c r="BS368" s="34"/>
      <c r="BT368" s="34"/>
      <c r="BU368" s="34"/>
      <c r="BV368" s="34"/>
      <c r="BW368" s="34"/>
      <c r="BX368" s="34"/>
      <c r="BY368" s="34"/>
      <c r="BZ368" s="34"/>
      <c r="CA368" s="34"/>
      <c r="CB368" s="34"/>
      <c r="CC368" s="34"/>
      <c r="CD368" s="34"/>
      <c r="CE368" s="34"/>
      <c r="CF368" s="34"/>
      <c r="CG368" s="34"/>
      <c r="CH368" s="34"/>
      <c r="CI368" s="8"/>
    </row>
    <row r="369" spans="1:87" x14ac:dyDescent="0.2">
      <c r="A369" s="8" t="str">
        <f>IF(AND(COUNTIF(W$3:W$13,A$21)&gt;0,A$21&lt;&gt;B292),A$21,IFERROR(IF(MATCH(A$21,Z$3:Z$13,0)=4,A$21," ")," "))</f>
        <v xml:space="preserve"> </v>
      </c>
      <c r="B369" s="8" t="str">
        <f>IF(A369=" "," ",MAX(B363:B368)+1)</f>
        <v xml:space="preserve"> </v>
      </c>
      <c r="C369" s="8" t="str">
        <f>IFERROR(INDEX(A363:A384,MATCH(SMALL(B363:B384,7),B363:B384,0),1)," ")</f>
        <v>C18</v>
      </c>
      <c r="D369" s="8">
        <f t="shared" si="1410"/>
        <v>0</v>
      </c>
      <c r="E369" s="8">
        <f t="shared" si="1411"/>
        <v>0</v>
      </c>
      <c r="F369" s="8">
        <f t="shared" si="1412"/>
        <v>0</v>
      </c>
      <c r="G369" s="8">
        <f t="shared" si="1413"/>
        <v>0</v>
      </c>
      <c r="H369" s="8">
        <f t="shared" si="1414"/>
        <v>0</v>
      </c>
      <c r="I369" s="8">
        <f t="shared" si="1415"/>
        <v>0</v>
      </c>
      <c r="J369" s="8">
        <f t="shared" si="1416"/>
        <v>1</v>
      </c>
      <c r="K369" s="8">
        <f t="shared" si="1417"/>
        <v>0</v>
      </c>
      <c r="L369" s="8">
        <f t="shared" si="1418"/>
        <v>0</v>
      </c>
      <c r="M369" s="8">
        <f t="shared" si="1419"/>
        <v>0</v>
      </c>
      <c r="N369" s="8">
        <f t="shared" si="1420"/>
        <v>0</v>
      </c>
      <c r="O369" s="8">
        <f t="shared" si="1421"/>
        <v>0</v>
      </c>
      <c r="P369" s="8" t="e">
        <v>#NUM!</v>
      </c>
      <c r="Q369" s="8" t="e">
        <f t="shared" ref="Q369" si="1449">IF(COUNTIF(P363:P373,"&lt;"&amp;-0.001)=0,IF(ABS(P369)&lt;0.001,0,P369)," ")</f>
        <v>#NUM!</v>
      </c>
      <c r="R369" s="8"/>
      <c r="S369" s="8"/>
      <c r="U369" s="34"/>
      <c r="V369" s="34"/>
      <c r="W369" s="34"/>
      <c r="X369" s="34"/>
      <c r="Y369" s="34"/>
      <c r="Z369" s="34"/>
      <c r="AA369" s="34"/>
      <c r="AB369" s="34"/>
      <c r="AC369" s="34"/>
      <c r="AD369" s="34"/>
      <c r="AE369" s="34"/>
      <c r="AF369" s="34"/>
      <c r="AG369" s="34"/>
      <c r="AH369" s="34"/>
      <c r="AI369" s="34"/>
      <c r="AJ369" s="34"/>
      <c r="AK369" s="34"/>
      <c r="AL369" s="34"/>
      <c r="AM369" s="34"/>
      <c r="AN369" s="34"/>
      <c r="AO369" s="34"/>
      <c r="AP369" s="34"/>
      <c r="AQ369" s="34"/>
      <c r="AR369" s="34"/>
      <c r="AS369" s="34"/>
      <c r="AT369" s="34"/>
      <c r="AU369" s="34"/>
      <c r="AV369" s="34"/>
      <c r="AW369" s="34"/>
      <c r="AX369" s="34"/>
      <c r="AY369" s="34"/>
      <c r="AZ369" s="34"/>
      <c r="BA369" s="34"/>
      <c r="BB369" s="34"/>
      <c r="BC369" s="34"/>
      <c r="BD369" s="34"/>
      <c r="BE369" s="34"/>
      <c r="BF369" s="34"/>
      <c r="BG369" s="34"/>
      <c r="BH369" s="34"/>
      <c r="BI369" s="34"/>
      <c r="BJ369" s="34"/>
      <c r="BK369" s="34"/>
      <c r="BL369" s="34"/>
      <c r="BM369" s="34"/>
      <c r="BN369" s="34"/>
      <c r="BO369" s="34"/>
      <c r="BP369" s="34"/>
      <c r="BQ369" s="34"/>
      <c r="BR369" s="34"/>
      <c r="BS369" s="34"/>
      <c r="BT369" s="34"/>
      <c r="BU369" s="34"/>
      <c r="BV369" s="34"/>
      <c r="BW369" s="34"/>
      <c r="BX369" s="34"/>
      <c r="BY369" s="34"/>
      <c r="BZ369" s="34"/>
      <c r="CA369" s="34"/>
      <c r="CB369" s="34"/>
      <c r="CC369" s="34"/>
      <c r="CD369" s="34"/>
      <c r="CE369" s="34"/>
      <c r="CF369" s="34"/>
      <c r="CG369" s="34"/>
      <c r="CH369" s="34"/>
      <c r="CI369" s="8"/>
    </row>
    <row r="370" spans="1:87" x14ac:dyDescent="0.2">
      <c r="A370" s="8" t="str">
        <f>IF(AND(COUNTIF(W$3:W$13,A$22)&gt;0,A$22&lt;&gt;B292),A$22,IFERROR(IF(MATCH(A$22,Z$3:Z$13,0)=4,A$22," ")," "))</f>
        <v xml:space="preserve"> </v>
      </c>
      <c r="B370" s="8" t="str">
        <f>IF(A370=" "," ",MAX(B363:B369)+1)</f>
        <v xml:space="preserve"> </v>
      </c>
      <c r="C370" s="8" t="str">
        <f>IFERROR(INDEX(A363:A384,MATCH(SMALL(B363:B384,8),B363:B384,0),1)," ")</f>
        <v>C19</v>
      </c>
      <c r="D370" s="8">
        <f t="shared" si="1410"/>
        <v>0</v>
      </c>
      <c r="E370" s="8">
        <f t="shared" si="1411"/>
        <v>0</v>
      </c>
      <c r="F370" s="8">
        <f t="shared" si="1412"/>
        <v>0</v>
      </c>
      <c r="G370" s="8">
        <f t="shared" si="1413"/>
        <v>0</v>
      </c>
      <c r="H370" s="8">
        <f t="shared" si="1414"/>
        <v>0</v>
      </c>
      <c r="I370" s="8">
        <f t="shared" si="1415"/>
        <v>0</v>
      </c>
      <c r="J370" s="8">
        <f t="shared" si="1416"/>
        <v>0</v>
      </c>
      <c r="K370" s="8">
        <f t="shared" si="1417"/>
        <v>1</v>
      </c>
      <c r="L370" s="8">
        <f t="shared" si="1418"/>
        <v>0</v>
      </c>
      <c r="M370" s="8">
        <f t="shared" si="1419"/>
        <v>0</v>
      </c>
      <c r="N370" s="8">
        <f t="shared" si="1420"/>
        <v>0</v>
      </c>
      <c r="O370" s="8">
        <f t="shared" si="1421"/>
        <v>0</v>
      </c>
      <c r="P370" s="8" t="e">
        <v>#NUM!</v>
      </c>
      <c r="Q370" s="8" t="e">
        <f t="shared" ref="Q370" si="1450">IF(COUNTIF(P363:P373,"&lt;"&amp;-0.001)=0,IF(ABS(P370)&lt;0.001,0,P370)," ")</f>
        <v>#NUM!</v>
      </c>
      <c r="R370" s="8"/>
      <c r="S370" s="8"/>
      <c r="U370" s="34"/>
      <c r="V370" s="34"/>
      <c r="W370" s="34"/>
      <c r="X370" s="34"/>
      <c r="Y370" s="34"/>
      <c r="Z370" s="34"/>
      <c r="AA370" s="34"/>
      <c r="AB370" s="34"/>
      <c r="AC370" s="34"/>
      <c r="AD370" s="34"/>
      <c r="AE370" s="34"/>
      <c r="AF370" s="34"/>
      <c r="AG370" s="34"/>
      <c r="AH370" s="34"/>
      <c r="AI370" s="34"/>
      <c r="AJ370" s="34"/>
      <c r="AK370" s="34"/>
      <c r="AL370" s="34"/>
      <c r="AM370" s="34"/>
      <c r="AN370" s="34"/>
      <c r="AO370" s="34"/>
      <c r="AP370" s="34"/>
      <c r="AQ370" s="34"/>
      <c r="AR370" s="34"/>
      <c r="AS370" s="34"/>
      <c r="AT370" s="34"/>
      <c r="AU370" s="34"/>
      <c r="AV370" s="34"/>
      <c r="AW370" s="34"/>
      <c r="AX370" s="34"/>
      <c r="AY370" s="34"/>
      <c r="AZ370" s="34"/>
      <c r="BA370" s="34"/>
      <c r="BB370" s="34"/>
      <c r="BC370" s="34"/>
      <c r="BD370" s="34"/>
      <c r="BE370" s="34"/>
      <c r="BF370" s="34"/>
      <c r="BG370" s="34"/>
      <c r="BH370" s="34"/>
      <c r="BI370" s="34"/>
      <c r="BJ370" s="34"/>
      <c r="BK370" s="34"/>
      <c r="BL370" s="34"/>
      <c r="BM370" s="34"/>
      <c r="BN370" s="34"/>
      <c r="BO370" s="34"/>
      <c r="BP370" s="34"/>
      <c r="BQ370" s="34"/>
      <c r="BR370" s="34"/>
      <c r="BS370" s="34"/>
      <c r="BT370" s="34"/>
      <c r="BU370" s="34"/>
      <c r="BV370" s="34"/>
      <c r="BW370" s="34"/>
      <c r="BX370" s="34"/>
      <c r="BY370" s="34"/>
      <c r="BZ370" s="34"/>
      <c r="CA370" s="34"/>
      <c r="CB370" s="34"/>
      <c r="CC370" s="34"/>
      <c r="CD370" s="34"/>
      <c r="CE370" s="34"/>
      <c r="CF370" s="34"/>
      <c r="CG370" s="34"/>
      <c r="CH370" s="34"/>
      <c r="CI370" s="8"/>
    </row>
    <row r="371" spans="1:87" x14ac:dyDescent="0.2">
      <c r="A371" s="8" t="str">
        <f>IF(AND(COUNTIF(W$3:W$13,A$23)&gt;0,A$23&lt;&gt;B292),A$23,IFERROR(IF(MATCH(A$23,Z$3:Z$13,0)=4,A$23," ")," "))</f>
        <v xml:space="preserve"> </v>
      </c>
      <c r="B371" s="8" t="str">
        <f>IF(A371=" "," ",MAX(B363:B370)+1)</f>
        <v xml:space="preserve"> </v>
      </c>
      <c r="C371" s="8" t="str">
        <f>IFERROR(INDEX(A363:A384,MATCH(SMALL(B363:B384,9),B363:B384,0),1)," ")</f>
        <v>C20</v>
      </c>
      <c r="D371" s="8">
        <f t="shared" si="1410"/>
        <v>0</v>
      </c>
      <c r="E371" s="8">
        <f t="shared" si="1411"/>
        <v>0</v>
      </c>
      <c r="F371" s="8">
        <f t="shared" si="1412"/>
        <v>0</v>
      </c>
      <c r="G371" s="8">
        <f t="shared" si="1413"/>
        <v>0</v>
      </c>
      <c r="H371" s="8">
        <f t="shared" si="1414"/>
        <v>0</v>
      </c>
      <c r="I371" s="8">
        <f t="shared" si="1415"/>
        <v>0</v>
      </c>
      <c r="J371" s="8">
        <f t="shared" si="1416"/>
        <v>0</v>
      </c>
      <c r="K371" s="8">
        <f t="shared" si="1417"/>
        <v>0</v>
      </c>
      <c r="L371" s="8">
        <f t="shared" si="1418"/>
        <v>1</v>
      </c>
      <c r="M371" s="8">
        <f t="shared" si="1419"/>
        <v>0</v>
      </c>
      <c r="N371" s="8">
        <f t="shared" si="1420"/>
        <v>0</v>
      </c>
      <c r="O371" s="8">
        <f t="shared" si="1421"/>
        <v>0</v>
      </c>
      <c r="P371" s="6" t="e">
        <v>#NUM!</v>
      </c>
      <c r="Q371" s="8" t="e">
        <f t="shared" ref="Q371" si="1451">IF(COUNTIF(P363:P373,"&lt;"&amp;-0.001)=0,IF(ABS(P371)&lt;0.001,0,P371)," ")</f>
        <v>#NUM!</v>
      </c>
      <c r="R371" s="8"/>
      <c r="S371" s="8"/>
      <c r="U371" s="34"/>
      <c r="V371" s="34"/>
      <c r="W371" s="34"/>
      <c r="X371" s="34"/>
      <c r="Y371" s="34"/>
      <c r="Z371" s="34"/>
      <c r="AA371" s="34"/>
      <c r="AB371" s="34"/>
      <c r="AC371" s="34"/>
      <c r="AD371" s="34"/>
      <c r="AE371" s="34"/>
      <c r="AF371" s="34"/>
      <c r="AG371" s="34"/>
      <c r="AH371" s="34"/>
      <c r="AI371" s="34"/>
      <c r="AJ371" s="34"/>
      <c r="AK371" s="34"/>
      <c r="AL371" s="34"/>
      <c r="AM371" s="34"/>
      <c r="AN371" s="34"/>
      <c r="AO371" s="34"/>
      <c r="AP371" s="34"/>
      <c r="AQ371" s="34"/>
      <c r="AR371" s="34"/>
      <c r="AS371" s="34"/>
      <c r="AT371" s="34"/>
      <c r="AU371" s="34"/>
      <c r="AV371" s="34"/>
      <c r="AW371" s="34"/>
      <c r="AX371" s="34"/>
      <c r="AY371" s="34"/>
      <c r="AZ371" s="34"/>
      <c r="BA371" s="34"/>
      <c r="BB371" s="34"/>
      <c r="BC371" s="34"/>
      <c r="BD371" s="34"/>
      <c r="BE371" s="34"/>
      <c r="BF371" s="34"/>
      <c r="BG371" s="34"/>
      <c r="BH371" s="34"/>
      <c r="BI371" s="34"/>
      <c r="BJ371" s="34"/>
      <c r="BK371" s="34"/>
      <c r="BL371" s="34"/>
      <c r="BM371" s="34"/>
      <c r="BN371" s="34"/>
      <c r="BO371" s="34"/>
      <c r="BP371" s="34"/>
      <c r="BQ371" s="34"/>
      <c r="BR371" s="34"/>
      <c r="BS371" s="34"/>
      <c r="BT371" s="34"/>
      <c r="BU371" s="34"/>
      <c r="BV371" s="34"/>
      <c r="BW371" s="34"/>
      <c r="BX371" s="34"/>
      <c r="BY371" s="34"/>
      <c r="BZ371" s="34"/>
      <c r="CA371" s="34"/>
      <c r="CB371" s="34"/>
      <c r="CC371" s="34"/>
      <c r="CD371" s="34"/>
      <c r="CE371" s="34"/>
      <c r="CF371" s="34"/>
      <c r="CG371" s="34"/>
      <c r="CH371" s="34"/>
      <c r="CI371" s="8"/>
    </row>
    <row r="372" spans="1:87" x14ac:dyDescent="0.2">
      <c r="A372" s="8" t="str">
        <f>IF(AND(COUNTIF(W$3:W$13,A$24)&gt;0,A$24&lt;&gt;B292),A$24,IFERROR(IF(MATCH(A$24,Z$3:Z$13,0)=4,A$24," ")," "))</f>
        <v xml:space="preserve"> </v>
      </c>
      <c r="B372" s="8" t="str">
        <f>IF(A372=" "," ",MAX(B363:B371)+1)</f>
        <v xml:space="preserve"> </v>
      </c>
      <c r="C372" s="8" t="str">
        <f>IFERROR(INDEX(A363:A384,MATCH(SMALL(B363:B384,10),B363:B384,0),1)," ")</f>
        <v>C21</v>
      </c>
      <c r="D372" s="8">
        <f t="shared" si="1410"/>
        <v>0</v>
      </c>
      <c r="E372" s="8">
        <f t="shared" si="1411"/>
        <v>0</v>
      </c>
      <c r="F372" s="8">
        <f t="shared" si="1412"/>
        <v>0</v>
      </c>
      <c r="G372" s="8">
        <f t="shared" si="1413"/>
        <v>0</v>
      </c>
      <c r="H372" s="8">
        <f t="shared" si="1414"/>
        <v>0</v>
      </c>
      <c r="I372" s="8">
        <f t="shared" si="1415"/>
        <v>0</v>
      </c>
      <c r="J372" s="8">
        <f t="shared" si="1416"/>
        <v>0</v>
      </c>
      <c r="K372" s="8">
        <f t="shared" si="1417"/>
        <v>0</v>
      </c>
      <c r="L372" s="8">
        <f t="shared" si="1418"/>
        <v>0</v>
      </c>
      <c r="M372" s="8">
        <f t="shared" si="1419"/>
        <v>1</v>
      </c>
      <c r="N372" s="8">
        <f t="shared" si="1420"/>
        <v>0</v>
      </c>
      <c r="O372" s="8">
        <f t="shared" si="1421"/>
        <v>0</v>
      </c>
      <c r="P372" s="8" t="e">
        <v>#NUM!</v>
      </c>
      <c r="Q372" s="8" t="e">
        <f t="shared" ref="Q372" si="1452">IF(COUNTIF(P363:P373,"&lt;"&amp;-0.001)=0,IF(ABS(P372)&lt;0.001,0,P372)," ")</f>
        <v>#NUM!</v>
      </c>
      <c r="R372" s="8"/>
      <c r="S372" s="8"/>
      <c r="U372" s="34"/>
      <c r="V372" s="34"/>
      <c r="W372" s="34"/>
      <c r="X372" s="34"/>
      <c r="Y372" s="34"/>
      <c r="Z372" s="34"/>
      <c r="AA372" s="34"/>
      <c r="AB372" s="34"/>
      <c r="AC372" s="34"/>
      <c r="AD372" s="34"/>
      <c r="AE372" s="34"/>
      <c r="AF372" s="34"/>
      <c r="AG372" s="34"/>
      <c r="AH372" s="34"/>
      <c r="AI372" s="34"/>
      <c r="AJ372" s="34"/>
      <c r="AK372" s="34"/>
      <c r="AL372" s="34"/>
      <c r="AM372" s="34"/>
      <c r="AN372" s="34"/>
      <c r="AO372" s="34"/>
      <c r="AP372" s="34"/>
      <c r="AQ372" s="34"/>
      <c r="AR372" s="34"/>
      <c r="AS372" s="34"/>
      <c r="AT372" s="34"/>
      <c r="AU372" s="34"/>
      <c r="AV372" s="34"/>
      <c r="AW372" s="34"/>
      <c r="AX372" s="34"/>
      <c r="AY372" s="34"/>
      <c r="AZ372" s="34"/>
      <c r="BA372" s="34"/>
      <c r="BB372" s="34"/>
      <c r="BC372" s="34"/>
      <c r="BD372" s="34"/>
      <c r="BE372" s="34"/>
      <c r="BF372" s="34"/>
      <c r="BG372" s="34"/>
      <c r="BH372" s="34"/>
      <c r="BI372" s="34"/>
      <c r="BJ372" s="34"/>
      <c r="BK372" s="34"/>
      <c r="BL372" s="34"/>
      <c r="BM372" s="34"/>
      <c r="BN372" s="34"/>
      <c r="BO372" s="34"/>
      <c r="BP372" s="34"/>
      <c r="BQ372" s="34"/>
      <c r="BR372" s="34"/>
      <c r="BS372" s="34"/>
      <c r="BT372" s="34"/>
      <c r="BU372" s="34"/>
      <c r="BV372" s="34"/>
      <c r="BW372" s="34"/>
      <c r="BX372" s="34"/>
      <c r="BY372" s="34"/>
      <c r="BZ372" s="34"/>
      <c r="CA372" s="34"/>
      <c r="CB372" s="34"/>
      <c r="CC372" s="34"/>
      <c r="CD372" s="34"/>
      <c r="CE372" s="34"/>
      <c r="CF372" s="34"/>
      <c r="CG372" s="34"/>
      <c r="CH372" s="34"/>
      <c r="CI372" s="8"/>
    </row>
    <row r="373" spans="1:87" x14ac:dyDescent="0.2">
      <c r="A373" s="8" t="str">
        <f>IF(AND(COUNTIF(W$3:W$13,A$25)&gt;0,A$25&lt;&gt;B292),A$25,IFERROR(IF(MATCH(A$25,Z$3:Z$13,0)=4,A$25," ")," "))</f>
        <v xml:space="preserve"> </v>
      </c>
      <c r="B373" s="8" t="str">
        <f>IF(A373=" "," ",MAX(B363:B372)+1)</f>
        <v xml:space="preserve"> </v>
      </c>
      <c r="C373" s="8" t="str">
        <f>IFERROR(INDEX(A363:A384,MATCH(SMALL(B363:B384,11),B363:B384,0),1)," ")</f>
        <v>C22</v>
      </c>
      <c r="D373" s="8">
        <f t="shared" si="1410"/>
        <v>0</v>
      </c>
      <c r="E373" s="8">
        <f t="shared" si="1411"/>
        <v>0</v>
      </c>
      <c r="F373" s="8">
        <f t="shared" si="1412"/>
        <v>0</v>
      </c>
      <c r="G373" s="8">
        <f t="shared" si="1413"/>
        <v>0</v>
      </c>
      <c r="H373" s="8">
        <f t="shared" si="1414"/>
        <v>0</v>
      </c>
      <c r="I373" s="8">
        <f t="shared" si="1415"/>
        <v>0</v>
      </c>
      <c r="J373" s="8">
        <f t="shared" si="1416"/>
        <v>0</v>
      </c>
      <c r="K373" s="8">
        <f t="shared" si="1417"/>
        <v>0</v>
      </c>
      <c r="L373" s="8">
        <f t="shared" si="1418"/>
        <v>0</v>
      </c>
      <c r="M373" s="8">
        <f t="shared" si="1419"/>
        <v>0</v>
      </c>
      <c r="N373" s="8">
        <f t="shared" si="1420"/>
        <v>1</v>
      </c>
      <c r="O373" s="8">
        <f t="shared" si="1421"/>
        <v>0</v>
      </c>
      <c r="P373" s="8" t="e">
        <v>#NUM!</v>
      </c>
      <c r="Q373" s="8" t="e">
        <f t="shared" ref="Q373" si="1453">IF(COUNTIF(P363:P373,"&lt;"&amp;-0.001)=0,IF(ABS(P373)&lt;0.001,0,P373)," ")</f>
        <v>#NUM!</v>
      </c>
      <c r="R373" s="8"/>
      <c r="S373" s="8"/>
      <c r="U373" s="34"/>
      <c r="V373" s="34"/>
      <c r="W373" s="34"/>
      <c r="X373" s="34"/>
      <c r="Y373" s="34"/>
      <c r="Z373" s="34"/>
      <c r="AA373" s="34"/>
      <c r="AB373" s="34"/>
      <c r="AC373" s="34"/>
      <c r="AD373" s="34"/>
      <c r="AE373" s="34"/>
      <c r="AF373" s="34"/>
      <c r="AG373" s="34"/>
      <c r="AH373" s="34"/>
      <c r="AI373" s="34"/>
      <c r="AJ373" s="34"/>
      <c r="AK373" s="34"/>
      <c r="AL373" s="34"/>
      <c r="AM373" s="34"/>
      <c r="AN373" s="34"/>
      <c r="AO373" s="34"/>
      <c r="AP373" s="34"/>
      <c r="AQ373" s="34"/>
      <c r="AR373" s="34"/>
      <c r="AS373" s="34"/>
      <c r="AT373" s="34"/>
      <c r="AU373" s="34"/>
      <c r="AV373" s="34"/>
      <c r="AW373" s="34"/>
      <c r="AX373" s="34"/>
      <c r="AY373" s="34"/>
      <c r="AZ373" s="34"/>
      <c r="BA373" s="34"/>
      <c r="BB373" s="34"/>
      <c r="BC373" s="34"/>
      <c r="BD373" s="34"/>
      <c r="BE373" s="34"/>
      <c r="BF373" s="34"/>
      <c r="BG373" s="34"/>
      <c r="BH373" s="34"/>
      <c r="BI373" s="34"/>
      <c r="BJ373" s="34"/>
      <c r="BK373" s="34"/>
      <c r="BL373" s="34"/>
      <c r="BM373" s="34"/>
      <c r="BN373" s="34"/>
      <c r="BO373" s="34"/>
      <c r="BP373" s="34"/>
      <c r="BQ373" s="34"/>
      <c r="BR373" s="34"/>
      <c r="BS373" s="34"/>
      <c r="BT373" s="34"/>
      <c r="BU373" s="34"/>
      <c r="BV373" s="34"/>
      <c r="BW373" s="34"/>
      <c r="BX373" s="34"/>
      <c r="BY373" s="34"/>
      <c r="BZ373" s="34"/>
      <c r="CA373" s="34"/>
      <c r="CB373" s="34"/>
      <c r="CC373" s="34"/>
      <c r="CD373" s="34"/>
      <c r="CE373" s="34"/>
      <c r="CF373" s="34"/>
      <c r="CG373" s="34"/>
      <c r="CH373" s="34"/>
      <c r="CI373" s="8"/>
    </row>
    <row r="374" spans="1:87" x14ac:dyDescent="0.2">
      <c r="A374" s="8" t="str">
        <f>IF(AND(COUNTIF(W$3:W$13,A$26)&gt;0,A$26&lt;&gt;B292),A$26,IFERROR(IF(MATCH(A$26,Z$3:Z$13,0)=4,A$26," ")," "))</f>
        <v xml:space="preserve"> </v>
      </c>
      <c r="B374" s="8" t="str">
        <f>IF(A374=" "," ",MAX(B363:B373)+1)</f>
        <v xml:space="preserve"> </v>
      </c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U374" s="34"/>
      <c r="V374" s="34"/>
      <c r="W374" s="34"/>
      <c r="X374" s="34"/>
      <c r="Y374" s="34"/>
      <c r="Z374" s="34"/>
      <c r="AA374" s="34"/>
      <c r="AB374" s="34"/>
      <c r="AC374" s="34"/>
      <c r="AD374" s="34"/>
      <c r="AE374" s="34"/>
      <c r="AF374" s="34"/>
      <c r="AG374" s="34"/>
      <c r="AH374" s="34"/>
      <c r="AI374" s="34"/>
      <c r="AJ374" s="34"/>
      <c r="AK374" s="34"/>
      <c r="AL374" s="34"/>
      <c r="AM374" s="34"/>
      <c r="AN374" s="34"/>
      <c r="AO374" s="34"/>
      <c r="AP374" s="34"/>
      <c r="AQ374" s="34"/>
      <c r="AR374" s="34"/>
      <c r="AS374" s="34"/>
      <c r="AT374" s="34"/>
      <c r="AU374" s="34"/>
      <c r="AV374" s="34"/>
      <c r="AW374" s="34"/>
      <c r="AX374" s="34"/>
      <c r="AY374" s="34"/>
      <c r="AZ374" s="34"/>
      <c r="BA374" s="34"/>
      <c r="BB374" s="34"/>
      <c r="BC374" s="34"/>
      <c r="BD374" s="34"/>
      <c r="BE374" s="34"/>
      <c r="BF374" s="34"/>
      <c r="BG374" s="34"/>
      <c r="BH374" s="34"/>
      <c r="BI374" s="34"/>
      <c r="BJ374" s="34"/>
      <c r="BK374" s="34"/>
      <c r="BL374" s="34"/>
      <c r="BM374" s="34"/>
      <c r="BN374" s="34"/>
      <c r="BO374" s="34"/>
      <c r="BP374" s="34"/>
      <c r="BQ374" s="34"/>
      <c r="BR374" s="34"/>
      <c r="BS374" s="34"/>
      <c r="BT374" s="34"/>
      <c r="BU374" s="34"/>
      <c r="BV374" s="34"/>
      <c r="BW374" s="34"/>
      <c r="BX374" s="34"/>
      <c r="BY374" s="34"/>
      <c r="BZ374" s="34"/>
      <c r="CA374" s="34"/>
      <c r="CB374" s="34"/>
      <c r="CC374" s="34"/>
      <c r="CD374" s="34"/>
      <c r="CE374" s="34"/>
      <c r="CF374" s="34"/>
      <c r="CG374" s="34"/>
      <c r="CH374" s="34"/>
      <c r="CI374" s="8"/>
    </row>
    <row r="375" spans="1:87" x14ac:dyDescent="0.2">
      <c r="A375" s="8" t="str">
        <f>IF(AND(COUNTIF(W$3:W$13,A$27)&gt;0,A$27&lt;&gt;B292),A$27,IFERROR(IF(MATCH(A$27,Z$3:Z$13,0)=4,A$27," ")," "))</f>
        <v>C13</v>
      </c>
      <c r="B375" s="8">
        <f>IF(A375=" "," ",MAX(B363:B374)+1)</f>
        <v>3</v>
      </c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U375" s="34"/>
      <c r="V375" s="34"/>
      <c r="W375" s="34"/>
      <c r="X375" s="34"/>
      <c r="Y375" s="34"/>
      <c r="Z375" s="34"/>
      <c r="AA375" s="34"/>
      <c r="AB375" s="34"/>
      <c r="AC375" s="34"/>
      <c r="AD375" s="34"/>
      <c r="AE375" s="34"/>
      <c r="AF375" s="34"/>
      <c r="AG375" s="34"/>
      <c r="AH375" s="34"/>
      <c r="AI375" s="34"/>
      <c r="AJ375" s="34"/>
      <c r="AK375" s="34"/>
      <c r="AL375" s="34"/>
      <c r="AM375" s="34"/>
      <c r="AN375" s="34"/>
      <c r="AO375" s="34"/>
      <c r="AP375" s="34"/>
      <c r="AQ375" s="34"/>
      <c r="AR375" s="34"/>
      <c r="AS375" s="34"/>
      <c r="AT375" s="34"/>
      <c r="AU375" s="34"/>
      <c r="AV375" s="34"/>
      <c r="AW375" s="34"/>
      <c r="AX375" s="34"/>
      <c r="AY375" s="34"/>
      <c r="AZ375" s="34"/>
      <c r="BA375" s="34"/>
      <c r="BB375" s="34"/>
      <c r="BC375" s="34"/>
      <c r="BD375" s="34"/>
      <c r="BE375" s="34"/>
      <c r="BF375" s="34"/>
      <c r="BG375" s="34"/>
      <c r="BH375" s="34"/>
      <c r="BI375" s="34"/>
      <c r="BJ375" s="34"/>
      <c r="BK375" s="34"/>
      <c r="BL375" s="34"/>
      <c r="BM375" s="34"/>
      <c r="BN375" s="34"/>
      <c r="BO375" s="34"/>
      <c r="BP375" s="34"/>
      <c r="BQ375" s="34"/>
      <c r="BR375" s="34"/>
      <c r="BS375" s="34"/>
      <c r="BT375" s="34"/>
      <c r="BU375" s="34"/>
      <c r="BV375" s="34"/>
      <c r="BW375" s="34"/>
      <c r="BX375" s="34"/>
      <c r="BY375" s="34"/>
      <c r="BZ375" s="34"/>
      <c r="CA375" s="34"/>
      <c r="CB375" s="34"/>
      <c r="CC375" s="34"/>
      <c r="CD375" s="34"/>
      <c r="CE375" s="34"/>
      <c r="CF375" s="34"/>
      <c r="CG375" s="34"/>
      <c r="CH375" s="34"/>
      <c r="CI375" s="8"/>
    </row>
    <row r="376" spans="1:87" x14ac:dyDescent="0.2">
      <c r="A376" s="8" t="str">
        <f>IF(AND(COUNTIF(W$3:W$13,A$28)&gt;0,A$28&lt;&gt;B292),A$28,IFERROR(IF(MATCH(A$28,Z$3:Z$13,0)=4,A$28," ")," "))</f>
        <v xml:space="preserve"> </v>
      </c>
      <c r="B376" s="8" t="str">
        <f>IF(A376=" "," ",MAX(B363:B375)+1)</f>
        <v xml:space="preserve"> </v>
      </c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U376" s="34"/>
      <c r="V376" s="34"/>
      <c r="W376" s="34"/>
      <c r="X376" s="34"/>
      <c r="Y376" s="34"/>
      <c r="Z376" s="34"/>
      <c r="AA376" s="34"/>
      <c r="AB376" s="34"/>
      <c r="AC376" s="34"/>
      <c r="AD376" s="34"/>
      <c r="AE376" s="34"/>
      <c r="AF376" s="34"/>
      <c r="AG376" s="34"/>
      <c r="AH376" s="34"/>
      <c r="AI376" s="34"/>
      <c r="AJ376" s="34"/>
      <c r="AK376" s="34"/>
      <c r="AL376" s="34"/>
      <c r="AM376" s="34"/>
      <c r="AN376" s="34"/>
      <c r="AO376" s="34"/>
      <c r="AP376" s="34"/>
      <c r="AQ376" s="34"/>
      <c r="AR376" s="34"/>
      <c r="AS376" s="34"/>
      <c r="AT376" s="34"/>
      <c r="AU376" s="34"/>
      <c r="AV376" s="34"/>
      <c r="AW376" s="34"/>
      <c r="AX376" s="34"/>
      <c r="AY376" s="34"/>
      <c r="AZ376" s="34"/>
      <c r="BA376" s="34"/>
      <c r="BB376" s="34"/>
      <c r="BC376" s="34"/>
      <c r="BD376" s="34"/>
      <c r="BE376" s="34"/>
      <c r="BF376" s="34"/>
      <c r="BG376" s="34"/>
      <c r="BH376" s="34"/>
      <c r="BI376" s="34"/>
      <c r="BJ376" s="34"/>
      <c r="BK376" s="34"/>
      <c r="BL376" s="34"/>
      <c r="BM376" s="34"/>
      <c r="BN376" s="34"/>
      <c r="BO376" s="34"/>
      <c r="BP376" s="34"/>
      <c r="BQ376" s="34"/>
      <c r="BR376" s="34"/>
      <c r="BS376" s="34"/>
      <c r="BT376" s="34"/>
      <c r="BU376" s="34"/>
      <c r="BV376" s="34"/>
      <c r="BW376" s="34"/>
      <c r="BX376" s="34"/>
      <c r="BY376" s="34"/>
      <c r="BZ376" s="34"/>
      <c r="CA376" s="34"/>
      <c r="CB376" s="34"/>
      <c r="CC376" s="34"/>
      <c r="CD376" s="34"/>
      <c r="CE376" s="34"/>
      <c r="CF376" s="34"/>
      <c r="CG376" s="34"/>
      <c r="CH376" s="34"/>
      <c r="CI376" s="8"/>
    </row>
    <row r="377" spans="1:87" x14ac:dyDescent="0.2">
      <c r="A377" s="8" t="str">
        <f>IF(AND(COUNTIF(W$3:W$13,A$29)&gt;0,A$29&lt;&gt;B292),A$29,IFERROR(IF(MATCH(A$29,Z$3:Z$13,0)=4,A$29," ")," "))</f>
        <v>C15</v>
      </c>
      <c r="B377" s="8">
        <f>IF(A377=" "," ",MAX(B363:B376)+1)</f>
        <v>4</v>
      </c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U377" s="34"/>
      <c r="V377" s="34"/>
      <c r="W377" s="34"/>
      <c r="X377" s="34"/>
      <c r="Y377" s="34"/>
      <c r="Z377" s="34"/>
      <c r="AA377" s="34"/>
      <c r="AB377" s="34"/>
      <c r="AC377" s="34"/>
      <c r="AD377" s="34"/>
      <c r="AE377" s="34"/>
      <c r="AF377" s="34"/>
      <c r="AG377" s="34"/>
      <c r="AH377" s="34"/>
      <c r="AI377" s="34"/>
      <c r="AJ377" s="34"/>
      <c r="AK377" s="34"/>
      <c r="AL377" s="34"/>
      <c r="AM377" s="34"/>
      <c r="AN377" s="34"/>
      <c r="AO377" s="34"/>
      <c r="AP377" s="34"/>
      <c r="AQ377" s="34"/>
      <c r="AR377" s="34"/>
      <c r="AS377" s="34"/>
      <c r="AT377" s="34"/>
      <c r="AU377" s="34"/>
      <c r="AV377" s="34"/>
      <c r="AW377" s="34"/>
      <c r="AX377" s="34"/>
      <c r="AY377" s="34"/>
      <c r="AZ377" s="34"/>
      <c r="BA377" s="34"/>
      <c r="BB377" s="34"/>
      <c r="BC377" s="34"/>
      <c r="BD377" s="34"/>
      <c r="BE377" s="34"/>
      <c r="BF377" s="34"/>
      <c r="BG377" s="34"/>
      <c r="BH377" s="34"/>
      <c r="BI377" s="34"/>
      <c r="BJ377" s="34"/>
      <c r="BK377" s="34"/>
      <c r="BL377" s="34"/>
      <c r="BM377" s="34"/>
      <c r="BN377" s="34"/>
      <c r="BO377" s="34"/>
      <c r="BP377" s="34"/>
      <c r="BQ377" s="34"/>
      <c r="BR377" s="34"/>
      <c r="BS377" s="34"/>
      <c r="BT377" s="34"/>
      <c r="BU377" s="34"/>
      <c r="BV377" s="34"/>
      <c r="BW377" s="34"/>
      <c r="BX377" s="34"/>
      <c r="BY377" s="34"/>
      <c r="BZ377" s="34"/>
      <c r="CA377" s="34"/>
      <c r="CB377" s="34"/>
      <c r="CC377" s="34"/>
      <c r="CD377" s="34"/>
      <c r="CE377" s="34"/>
      <c r="CF377" s="34"/>
      <c r="CG377" s="34"/>
      <c r="CH377" s="34"/>
      <c r="CI377" s="8"/>
    </row>
    <row r="378" spans="1:87" x14ac:dyDescent="0.2">
      <c r="A378" s="8" t="str">
        <f>IF(AND(COUNTIF(W$3:W$13,A$30)&gt;0,A$30&lt;&gt;B292),A$30,IFERROR(IF(MATCH(A$30,Z$3:Z$13,0)=4,A$30," ")," "))</f>
        <v>C16</v>
      </c>
      <c r="B378" s="8">
        <f>IF(A378=" "," ",MAX(B363:B377)+1)</f>
        <v>5</v>
      </c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U378" s="34"/>
      <c r="V378" s="34"/>
      <c r="W378" s="34"/>
      <c r="X378" s="34"/>
      <c r="Y378" s="34"/>
      <c r="Z378" s="34"/>
      <c r="AA378" s="34"/>
      <c r="AB378" s="34"/>
      <c r="AC378" s="34"/>
      <c r="AD378" s="34"/>
      <c r="AE378" s="34"/>
      <c r="AF378" s="34"/>
      <c r="AG378" s="34"/>
      <c r="AH378" s="34"/>
      <c r="AI378" s="34"/>
      <c r="AJ378" s="34"/>
      <c r="AK378" s="34"/>
      <c r="AL378" s="34"/>
      <c r="AM378" s="34"/>
      <c r="AN378" s="34"/>
      <c r="AO378" s="34"/>
      <c r="AP378" s="34"/>
      <c r="AQ378" s="34"/>
      <c r="AR378" s="34"/>
      <c r="AS378" s="34"/>
      <c r="AT378" s="34"/>
      <c r="AU378" s="34"/>
      <c r="AV378" s="34"/>
      <c r="AW378" s="34"/>
      <c r="AX378" s="34"/>
      <c r="AY378" s="34"/>
      <c r="AZ378" s="34"/>
      <c r="BA378" s="34"/>
      <c r="BB378" s="34"/>
      <c r="BC378" s="34"/>
      <c r="BD378" s="34"/>
      <c r="BE378" s="34"/>
      <c r="BF378" s="34"/>
      <c r="BG378" s="34"/>
      <c r="BH378" s="34"/>
      <c r="BI378" s="34"/>
      <c r="BJ378" s="34"/>
      <c r="BK378" s="34"/>
      <c r="BL378" s="34"/>
      <c r="BM378" s="34"/>
      <c r="BN378" s="34"/>
      <c r="BO378" s="34"/>
      <c r="BP378" s="34"/>
      <c r="BQ378" s="34"/>
      <c r="BR378" s="34"/>
      <c r="BS378" s="34"/>
      <c r="BT378" s="34"/>
      <c r="BU378" s="34"/>
      <c r="BV378" s="34"/>
      <c r="BW378" s="34"/>
      <c r="BX378" s="34"/>
      <c r="BY378" s="34"/>
      <c r="BZ378" s="34"/>
      <c r="CA378" s="34"/>
      <c r="CB378" s="34"/>
      <c r="CC378" s="34"/>
      <c r="CD378" s="34"/>
      <c r="CE378" s="34"/>
      <c r="CF378" s="34"/>
      <c r="CG378" s="34"/>
      <c r="CH378" s="34"/>
      <c r="CI378" s="8"/>
    </row>
    <row r="379" spans="1:87" x14ac:dyDescent="0.2">
      <c r="A379" s="8" t="str">
        <f>IF(AND(COUNTIF(W$3:W$13,A$31)&gt;0,A$31&lt;&gt;B292),A$31,IFERROR(IF(MATCH(A$31,Z$3:Z$13,0)=4,A$31," ")," "))</f>
        <v>C17</v>
      </c>
      <c r="B379" s="8">
        <f>IF(A379=" "," ",MAX(B363:B378)+1)</f>
        <v>6</v>
      </c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U379" s="34"/>
      <c r="V379" s="34"/>
      <c r="W379" s="34"/>
      <c r="X379" s="34"/>
      <c r="Y379" s="34"/>
      <c r="Z379" s="34"/>
      <c r="AA379" s="34"/>
      <c r="AB379" s="34"/>
      <c r="AC379" s="34"/>
      <c r="AD379" s="34"/>
      <c r="AE379" s="34"/>
      <c r="AF379" s="34"/>
      <c r="AG379" s="34"/>
      <c r="AH379" s="34"/>
      <c r="AI379" s="34"/>
      <c r="AJ379" s="34"/>
      <c r="AK379" s="34"/>
      <c r="AL379" s="34"/>
      <c r="AM379" s="34"/>
      <c r="AN379" s="34"/>
      <c r="AO379" s="34"/>
      <c r="AP379" s="34"/>
      <c r="AQ379" s="34"/>
      <c r="AR379" s="34"/>
      <c r="AS379" s="34"/>
      <c r="AT379" s="34"/>
      <c r="AU379" s="34"/>
      <c r="AV379" s="34"/>
      <c r="AW379" s="34"/>
      <c r="AX379" s="34"/>
      <c r="AY379" s="34"/>
      <c r="AZ379" s="34"/>
      <c r="BA379" s="34"/>
      <c r="BB379" s="34"/>
      <c r="BC379" s="34"/>
      <c r="BD379" s="34"/>
      <c r="BE379" s="34"/>
      <c r="BF379" s="34"/>
      <c r="BG379" s="34"/>
      <c r="BH379" s="34"/>
      <c r="BI379" s="34"/>
      <c r="BJ379" s="34"/>
      <c r="BK379" s="34"/>
      <c r="BL379" s="34"/>
      <c r="BM379" s="34"/>
      <c r="BN379" s="34"/>
      <c r="BO379" s="34"/>
      <c r="BP379" s="34"/>
      <c r="BQ379" s="34"/>
      <c r="BR379" s="34"/>
      <c r="BS379" s="34"/>
      <c r="BT379" s="34"/>
      <c r="BU379" s="34"/>
      <c r="BV379" s="34"/>
      <c r="BW379" s="34"/>
      <c r="BX379" s="34"/>
      <c r="BY379" s="34"/>
      <c r="BZ379" s="34"/>
      <c r="CA379" s="34"/>
      <c r="CB379" s="34"/>
      <c r="CC379" s="34"/>
      <c r="CD379" s="34"/>
      <c r="CE379" s="34"/>
      <c r="CF379" s="34"/>
      <c r="CG379" s="34"/>
      <c r="CH379" s="34"/>
      <c r="CI379" s="8"/>
    </row>
    <row r="380" spans="1:87" x14ac:dyDescent="0.2">
      <c r="A380" s="8" t="str">
        <f>IF(AND(COUNTIF(W$3:W$13,A$32)&gt;0,A$32&lt;&gt;B292),A$32,IFERROR(IF(MATCH(A$32,Z$3:Z$13,0)=4,A$32," ")," "))</f>
        <v>C18</v>
      </c>
      <c r="B380" s="8">
        <f>IF(A380=" "," ",MAX(B363:B379)+1)</f>
        <v>7</v>
      </c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U380" s="34"/>
      <c r="V380" s="34"/>
      <c r="W380" s="34"/>
      <c r="X380" s="34"/>
      <c r="Y380" s="34"/>
      <c r="Z380" s="34"/>
      <c r="AA380" s="34"/>
      <c r="AB380" s="34"/>
      <c r="AC380" s="34"/>
      <c r="AD380" s="34"/>
      <c r="AE380" s="34"/>
      <c r="AF380" s="34"/>
      <c r="AG380" s="34"/>
      <c r="AH380" s="34"/>
      <c r="AI380" s="34"/>
      <c r="AJ380" s="34"/>
      <c r="AK380" s="34"/>
      <c r="AL380" s="34"/>
      <c r="AM380" s="34"/>
      <c r="AN380" s="34"/>
      <c r="AO380" s="34"/>
      <c r="AP380" s="34"/>
      <c r="AQ380" s="34"/>
      <c r="AR380" s="34"/>
      <c r="AS380" s="34"/>
      <c r="AT380" s="34"/>
      <c r="AU380" s="34"/>
      <c r="AV380" s="34"/>
      <c r="AW380" s="34"/>
      <c r="AX380" s="34"/>
      <c r="AY380" s="34"/>
      <c r="AZ380" s="34"/>
      <c r="BA380" s="34"/>
      <c r="BB380" s="34"/>
      <c r="BC380" s="34"/>
      <c r="BD380" s="34"/>
      <c r="BE380" s="34"/>
      <c r="BF380" s="34"/>
      <c r="BG380" s="34"/>
      <c r="BH380" s="34"/>
      <c r="BI380" s="34"/>
      <c r="BJ380" s="34"/>
      <c r="BK380" s="34"/>
      <c r="BL380" s="34"/>
      <c r="BM380" s="34"/>
      <c r="BN380" s="34"/>
      <c r="BO380" s="34"/>
      <c r="BP380" s="34"/>
      <c r="BQ380" s="34"/>
      <c r="BR380" s="34"/>
      <c r="BS380" s="34"/>
      <c r="BT380" s="34"/>
      <c r="BU380" s="34"/>
      <c r="BV380" s="34"/>
      <c r="BW380" s="34"/>
      <c r="BX380" s="34"/>
      <c r="BY380" s="34"/>
      <c r="BZ380" s="34"/>
      <c r="CA380" s="34"/>
      <c r="CB380" s="34"/>
      <c r="CC380" s="34"/>
      <c r="CD380" s="34"/>
      <c r="CE380" s="34"/>
      <c r="CF380" s="34"/>
      <c r="CG380" s="34"/>
      <c r="CH380" s="34"/>
      <c r="CI380" s="8"/>
    </row>
    <row r="381" spans="1:87" x14ac:dyDescent="0.2">
      <c r="A381" s="8" t="str">
        <f>IF(AND(COUNTIF(W$3:W$13,A$33)&gt;0,A$33&lt;&gt;B292),A$33,IFERROR(IF(MATCH(A$33,Z$3:Z$13,0)=4,A$33," ")," "))</f>
        <v>C19</v>
      </c>
      <c r="B381" s="8">
        <f>IF(A381=" "," ",MAX(B363:B380)+1)</f>
        <v>8</v>
      </c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U381" s="34"/>
      <c r="V381" s="34"/>
      <c r="W381" s="34"/>
      <c r="X381" s="34"/>
      <c r="Y381" s="34"/>
      <c r="Z381" s="34"/>
      <c r="AA381" s="34"/>
      <c r="AB381" s="34"/>
      <c r="AC381" s="34"/>
      <c r="AD381" s="34"/>
      <c r="AE381" s="34"/>
      <c r="AF381" s="34"/>
      <c r="AG381" s="34"/>
      <c r="AH381" s="34"/>
      <c r="AI381" s="34"/>
      <c r="AJ381" s="34"/>
      <c r="AK381" s="34"/>
      <c r="AL381" s="34"/>
      <c r="AM381" s="34"/>
      <c r="AN381" s="34"/>
      <c r="AO381" s="34"/>
      <c r="AP381" s="34"/>
      <c r="AQ381" s="34"/>
      <c r="AR381" s="34"/>
      <c r="AS381" s="34"/>
      <c r="AT381" s="34"/>
      <c r="AU381" s="34"/>
      <c r="AV381" s="34"/>
      <c r="AW381" s="34"/>
      <c r="AX381" s="34"/>
      <c r="AY381" s="34"/>
      <c r="AZ381" s="34"/>
      <c r="BA381" s="34"/>
      <c r="BB381" s="34"/>
      <c r="BC381" s="34"/>
      <c r="BD381" s="34"/>
      <c r="BE381" s="34"/>
      <c r="BF381" s="34"/>
      <c r="BG381" s="34"/>
      <c r="BH381" s="34"/>
      <c r="BI381" s="34"/>
      <c r="BJ381" s="34"/>
      <c r="BK381" s="34"/>
      <c r="BL381" s="34"/>
      <c r="BM381" s="34"/>
      <c r="BN381" s="34"/>
      <c r="BO381" s="34"/>
      <c r="BP381" s="34"/>
      <c r="BQ381" s="34"/>
      <c r="BR381" s="34"/>
      <c r="BS381" s="34"/>
      <c r="BT381" s="34"/>
      <c r="BU381" s="34"/>
      <c r="BV381" s="34"/>
      <c r="BW381" s="34"/>
      <c r="BX381" s="34"/>
      <c r="BY381" s="34"/>
      <c r="BZ381" s="34"/>
      <c r="CA381" s="34"/>
      <c r="CB381" s="34"/>
      <c r="CC381" s="34"/>
      <c r="CD381" s="34"/>
      <c r="CE381" s="34"/>
      <c r="CF381" s="34"/>
      <c r="CG381" s="34"/>
      <c r="CH381" s="34"/>
      <c r="CI381" s="8"/>
    </row>
    <row r="382" spans="1:87" x14ac:dyDescent="0.2">
      <c r="A382" s="8" t="str">
        <f>IF(AND(COUNTIF(W$3:W$13,A$34)&gt;0,A$34&lt;&gt;B292),A$34,IFERROR(IF(MATCH(A$34,Z$3:Z$13,0)=4,A$34," ")," "))</f>
        <v>C20</v>
      </c>
      <c r="B382" s="8">
        <f>IF(A382=" "," ",MAX(B363:B381)+1)</f>
        <v>9</v>
      </c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U382" s="34"/>
      <c r="V382" s="34"/>
      <c r="W382" s="34"/>
      <c r="X382" s="34"/>
      <c r="Y382" s="34"/>
      <c r="Z382" s="34"/>
      <c r="AA382" s="34"/>
      <c r="AB382" s="34"/>
      <c r="AC382" s="34"/>
      <c r="AD382" s="34"/>
      <c r="AE382" s="34"/>
      <c r="AF382" s="34"/>
      <c r="AG382" s="34"/>
      <c r="AH382" s="34"/>
      <c r="AI382" s="34"/>
      <c r="AJ382" s="34"/>
      <c r="AK382" s="34"/>
      <c r="AL382" s="34"/>
      <c r="AM382" s="34"/>
      <c r="AN382" s="34"/>
      <c r="AO382" s="34"/>
      <c r="AP382" s="34"/>
      <c r="AQ382" s="34"/>
      <c r="AR382" s="34"/>
      <c r="AS382" s="34"/>
      <c r="AT382" s="34"/>
      <c r="AU382" s="34"/>
      <c r="AV382" s="34"/>
      <c r="AW382" s="34"/>
      <c r="AX382" s="34"/>
      <c r="AY382" s="34"/>
      <c r="AZ382" s="34"/>
      <c r="BA382" s="34"/>
      <c r="BB382" s="34"/>
      <c r="BC382" s="34"/>
      <c r="BD382" s="34"/>
      <c r="BE382" s="34"/>
      <c r="BF382" s="34"/>
      <c r="BG382" s="34"/>
      <c r="BH382" s="34"/>
      <c r="BI382" s="34"/>
      <c r="BJ382" s="34"/>
      <c r="BK382" s="34"/>
      <c r="BL382" s="34"/>
      <c r="BM382" s="34"/>
      <c r="BN382" s="34"/>
      <c r="BO382" s="34"/>
      <c r="BP382" s="34"/>
      <c r="BQ382" s="34"/>
      <c r="BR382" s="34"/>
      <c r="BS382" s="34"/>
      <c r="BT382" s="34"/>
      <c r="BU382" s="34"/>
      <c r="BV382" s="34"/>
      <c r="BW382" s="34"/>
      <c r="BX382" s="34"/>
      <c r="BY382" s="34"/>
      <c r="BZ382" s="34"/>
      <c r="CA382" s="34"/>
      <c r="CB382" s="34"/>
      <c r="CC382" s="34"/>
      <c r="CD382" s="34"/>
      <c r="CE382" s="34"/>
      <c r="CF382" s="34"/>
      <c r="CG382" s="34"/>
      <c r="CH382" s="34"/>
      <c r="CI382" s="8"/>
    </row>
    <row r="383" spans="1:87" x14ac:dyDescent="0.2">
      <c r="A383" s="8" t="str">
        <f>IF(AND(COUNTIF(W$3:W$13,A$35)&gt;0,A$35&lt;&gt;B292),A$35,IFERROR(IF(MATCH(A$35,Z$3:Z$13,0)=4,A$35," ")," "))</f>
        <v>C21</v>
      </c>
      <c r="B383" s="8">
        <f>IF(A383=" "," ",MAX(B363:B382)+1)</f>
        <v>10</v>
      </c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U383" s="34"/>
      <c r="V383" s="34"/>
      <c r="W383" s="34"/>
      <c r="X383" s="34"/>
      <c r="Y383" s="34"/>
      <c r="Z383" s="34"/>
      <c r="AA383" s="34"/>
      <c r="AB383" s="34"/>
      <c r="AC383" s="34"/>
      <c r="AD383" s="34"/>
      <c r="AE383" s="34"/>
      <c r="AF383" s="34"/>
      <c r="AG383" s="34"/>
      <c r="AH383" s="34"/>
      <c r="AI383" s="34"/>
      <c r="AJ383" s="34"/>
      <c r="AK383" s="34"/>
      <c r="AL383" s="34"/>
      <c r="AM383" s="34"/>
      <c r="AN383" s="34"/>
      <c r="AO383" s="34"/>
      <c r="AP383" s="34"/>
      <c r="AQ383" s="34"/>
      <c r="AR383" s="34"/>
      <c r="AS383" s="34"/>
      <c r="AT383" s="34"/>
      <c r="AU383" s="34"/>
      <c r="AV383" s="34"/>
      <c r="AW383" s="34"/>
      <c r="AX383" s="34"/>
      <c r="AY383" s="34"/>
      <c r="AZ383" s="34"/>
      <c r="BA383" s="34"/>
      <c r="BB383" s="34"/>
      <c r="BC383" s="34"/>
      <c r="BD383" s="34"/>
      <c r="BE383" s="34"/>
      <c r="BF383" s="34"/>
      <c r="BG383" s="34"/>
      <c r="BH383" s="34"/>
      <c r="BI383" s="34"/>
      <c r="BJ383" s="34"/>
      <c r="BK383" s="34"/>
      <c r="BL383" s="34"/>
      <c r="BM383" s="34"/>
      <c r="BN383" s="34"/>
      <c r="BO383" s="34"/>
      <c r="BP383" s="34"/>
      <c r="BQ383" s="34"/>
      <c r="BR383" s="34"/>
      <c r="BS383" s="34"/>
      <c r="BT383" s="34"/>
      <c r="BU383" s="34"/>
      <c r="BV383" s="34"/>
      <c r="BW383" s="34"/>
      <c r="BX383" s="34"/>
      <c r="BY383" s="34"/>
      <c r="BZ383" s="34"/>
      <c r="CA383" s="34"/>
      <c r="CB383" s="34"/>
      <c r="CC383" s="34"/>
      <c r="CD383" s="34"/>
      <c r="CE383" s="34"/>
      <c r="CF383" s="34"/>
      <c r="CG383" s="34"/>
      <c r="CH383" s="34"/>
      <c r="CI383" s="8"/>
    </row>
    <row r="384" spans="1:87" x14ac:dyDescent="0.2">
      <c r="A384" s="8" t="str">
        <f>IF(AND(COUNTIF(W$3:W$13,A$36)&gt;0,A$36&lt;&gt;B292),A$36,IFERROR(IF(MATCH(A$36,Z$3:Z$13,0)=4,A$36," ")," "))</f>
        <v>C22</v>
      </c>
      <c r="B384" s="8">
        <f>IF(A384=" "," ",MAX(B363:B383)+1)</f>
        <v>11</v>
      </c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U384" s="34"/>
      <c r="V384" s="34"/>
      <c r="W384" s="34"/>
      <c r="X384" s="34"/>
      <c r="Y384" s="34"/>
      <c r="Z384" s="34"/>
      <c r="AA384" s="34"/>
      <c r="AB384" s="34"/>
      <c r="AC384" s="34"/>
      <c r="AD384" s="34"/>
      <c r="AE384" s="34"/>
      <c r="AF384" s="34"/>
      <c r="AG384" s="34"/>
      <c r="AH384" s="34"/>
      <c r="AI384" s="34"/>
      <c r="AJ384" s="34"/>
      <c r="AK384" s="34"/>
      <c r="AL384" s="34"/>
      <c r="AM384" s="34"/>
      <c r="AN384" s="34"/>
      <c r="AO384" s="34"/>
      <c r="AP384" s="34"/>
      <c r="AQ384" s="34"/>
      <c r="AR384" s="34"/>
      <c r="AS384" s="34"/>
      <c r="AT384" s="34"/>
      <c r="AU384" s="34"/>
      <c r="AV384" s="34"/>
      <c r="AW384" s="34"/>
      <c r="AX384" s="34"/>
      <c r="AY384" s="34"/>
      <c r="AZ384" s="34"/>
      <c r="BA384" s="34"/>
      <c r="BB384" s="34"/>
      <c r="BC384" s="34"/>
      <c r="BD384" s="34"/>
      <c r="BE384" s="34"/>
      <c r="BF384" s="34"/>
      <c r="BG384" s="34"/>
      <c r="BH384" s="34"/>
      <c r="BI384" s="34"/>
      <c r="BJ384" s="34"/>
      <c r="BK384" s="34"/>
      <c r="BL384" s="34"/>
      <c r="BM384" s="34"/>
      <c r="BN384" s="34"/>
      <c r="BO384" s="34"/>
      <c r="BP384" s="34"/>
      <c r="BQ384" s="34"/>
      <c r="BR384" s="34"/>
      <c r="BS384" s="34"/>
      <c r="BT384" s="34"/>
      <c r="BU384" s="34"/>
      <c r="BV384" s="34"/>
      <c r="BW384" s="34"/>
      <c r="BX384" s="34"/>
      <c r="BY384" s="34"/>
      <c r="BZ384" s="34"/>
      <c r="CA384" s="34"/>
      <c r="CB384" s="34"/>
      <c r="CC384" s="34"/>
      <c r="CD384" s="34"/>
      <c r="CE384" s="34"/>
      <c r="CF384" s="34"/>
      <c r="CG384" s="34"/>
      <c r="CH384" s="34"/>
      <c r="CI384" s="8"/>
    </row>
    <row r="385" spans="1:87" x14ac:dyDescent="0.2">
      <c r="A385" s="11" t="s">
        <v>17</v>
      </c>
      <c r="B385" s="11"/>
      <c r="C385" s="27" t="s">
        <v>18</v>
      </c>
      <c r="D385" s="27" t="s">
        <v>2</v>
      </c>
      <c r="E385" s="27" t="s">
        <v>6</v>
      </c>
      <c r="F385" s="27" t="s">
        <v>15</v>
      </c>
      <c r="G385" s="27" t="s">
        <v>36</v>
      </c>
      <c r="H385" s="27" t="s">
        <v>37</v>
      </c>
      <c r="I385" s="27" t="s">
        <v>38</v>
      </c>
      <c r="J385" s="27" t="s">
        <v>39</v>
      </c>
      <c r="K385" s="27" t="s">
        <v>40</v>
      </c>
      <c r="L385" s="27" t="s">
        <v>41</v>
      </c>
      <c r="M385" s="27" t="s">
        <v>42</v>
      </c>
      <c r="N385" s="27" t="s">
        <v>43</v>
      </c>
      <c r="O385" s="27" t="s">
        <v>9</v>
      </c>
      <c r="P385" s="27" t="s">
        <v>12</v>
      </c>
      <c r="Q385" s="27" t="s">
        <v>19</v>
      </c>
      <c r="R385" s="27" t="s">
        <v>55</v>
      </c>
      <c r="S385" s="27" t="s">
        <v>26</v>
      </c>
      <c r="T385" s="19" t="s">
        <v>25</v>
      </c>
      <c r="U385" s="33" t="s">
        <v>27</v>
      </c>
      <c r="V385" s="33" t="s">
        <v>9</v>
      </c>
      <c r="W385" s="33" t="s">
        <v>23</v>
      </c>
      <c r="X385" s="33" t="s">
        <v>12</v>
      </c>
      <c r="Y385" s="33" t="s">
        <v>26</v>
      </c>
      <c r="Z385" s="33" t="s">
        <v>25</v>
      </c>
      <c r="AA385" s="33" t="s">
        <v>27</v>
      </c>
      <c r="AB385" s="33" t="s">
        <v>9</v>
      </c>
      <c r="AC385" s="33" t="s">
        <v>23</v>
      </c>
      <c r="AD385" s="33" t="s">
        <v>12</v>
      </c>
      <c r="AE385" s="33" t="s">
        <v>26</v>
      </c>
      <c r="AF385" s="33" t="s">
        <v>25</v>
      </c>
      <c r="AG385" s="33" t="s">
        <v>27</v>
      </c>
      <c r="AH385" s="33" t="s">
        <v>9</v>
      </c>
      <c r="AI385" s="33" t="s">
        <v>23</v>
      </c>
      <c r="AJ385" s="33" t="s">
        <v>12</v>
      </c>
      <c r="AK385" s="33" t="s">
        <v>26</v>
      </c>
      <c r="AL385" s="33" t="s">
        <v>25</v>
      </c>
      <c r="AM385" s="33" t="s">
        <v>27</v>
      </c>
      <c r="AN385" s="33" t="s">
        <v>9</v>
      </c>
      <c r="AO385" s="33" t="s">
        <v>23</v>
      </c>
      <c r="AP385" s="33" t="s">
        <v>12</v>
      </c>
      <c r="AQ385" s="33" t="s">
        <v>26</v>
      </c>
      <c r="AR385" s="33" t="s">
        <v>25</v>
      </c>
      <c r="AS385" s="33" t="s">
        <v>27</v>
      </c>
      <c r="AT385" s="33" t="s">
        <v>9</v>
      </c>
      <c r="AU385" s="33" t="s">
        <v>23</v>
      </c>
      <c r="AV385" s="33" t="s">
        <v>12</v>
      </c>
      <c r="AW385" s="33" t="s">
        <v>26</v>
      </c>
      <c r="AX385" s="33" t="s">
        <v>25</v>
      </c>
      <c r="AY385" s="33" t="s">
        <v>27</v>
      </c>
      <c r="AZ385" s="33" t="s">
        <v>9</v>
      </c>
      <c r="BA385" s="33" t="s">
        <v>23</v>
      </c>
      <c r="BB385" s="33" t="s">
        <v>12</v>
      </c>
      <c r="BC385" s="33" t="s">
        <v>26</v>
      </c>
      <c r="BD385" s="33" t="s">
        <v>25</v>
      </c>
      <c r="BE385" s="33" t="s">
        <v>27</v>
      </c>
      <c r="BF385" s="33" t="s">
        <v>9</v>
      </c>
      <c r="BG385" s="33" t="s">
        <v>23</v>
      </c>
      <c r="BH385" s="33" t="s">
        <v>12</v>
      </c>
      <c r="BI385" s="33" t="s">
        <v>26</v>
      </c>
      <c r="BJ385" s="33" t="s">
        <v>25</v>
      </c>
      <c r="BK385" s="33" t="s">
        <v>27</v>
      </c>
      <c r="BL385" s="33" t="s">
        <v>9</v>
      </c>
      <c r="BM385" s="33" t="s">
        <v>23</v>
      </c>
      <c r="BN385" s="33" t="s">
        <v>12</v>
      </c>
      <c r="BO385" s="33" t="s">
        <v>26</v>
      </c>
      <c r="BP385" s="33" t="s">
        <v>25</v>
      </c>
      <c r="BQ385" s="33" t="s">
        <v>27</v>
      </c>
      <c r="BR385" s="33" t="s">
        <v>9</v>
      </c>
      <c r="BS385" s="33" t="s">
        <v>23</v>
      </c>
      <c r="BT385" s="33" t="s">
        <v>12</v>
      </c>
      <c r="BU385" s="33" t="s">
        <v>26</v>
      </c>
      <c r="BV385" s="33" t="s">
        <v>25</v>
      </c>
      <c r="BW385" s="33" t="s">
        <v>27</v>
      </c>
      <c r="BX385" s="33" t="s">
        <v>9</v>
      </c>
      <c r="BY385" s="33" t="s">
        <v>23</v>
      </c>
      <c r="BZ385" s="33" t="s">
        <v>12</v>
      </c>
      <c r="CA385" s="33" t="s">
        <v>26</v>
      </c>
      <c r="CB385" s="33" t="s">
        <v>25</v>
      </c>
      <c r="CC385" s="33" t="s">
        <v>27</v>
      </c>
      <c r="CD385" s="33" t="s">
        <v>9</v>
      </c>
      <c r="CE385" s="33" t="s">
        <v>23</v>
      </c>
      <c r="CF385" s="33" t="s">
        <v>12</v>
      </c>
      <c r="CG385" s="33" t="s">
        <v>26</v>
      </c>
      <c r="CH385" s="33" t="s">
        <v>25</v>
      </c>
      <c r="CI385" s="8"/>
    </row>
    <row r="386" spans="1:87" x14ac:dyDescent="0.2">
      <c r="A386" s="8" t="str">
        <f>IF(AND(COUNTIF(W$3:W$13,A$15)&gt;0,A$15&lt;&gt;B292),A$15,IFERROR(IF(MATCH(A$15,Z$3:Z$13,0)=5,A$15," ")," "))</f>
        <v xml:space="preserve"> </v>
      </c>
      <c r="B386" s="8" t="str">
        <f>IF(A386=" "," ",1)</f>
        <v xml:space="preserve"> </v>
      </c>
      <c r="C386" s="8" t="str">
        <f>IFERROR(INDEX(A386:A407,MATCH(SMALL(B386:B407,1),B386:B407,0),1)," ")</f>
        <v>C3</v>
      </c>
      <c r="D386" s="8">
        <f>IFERROR(VLOOKUP($C386,$A$15:$O$36,2,FALSE)," ")</f>
        <v>2</v>
      </c>
      <c r="E386" s="8">
        <f>IFERROR(VLOOKUP($C386,$A$15:$O$36,3,FALSE)," ")</f>
        <v>5</v>
      </c>
      <c r="F386" s="8">
        <f>IFERROR(VLOOKUP($C386,$A$15:$O$36,4,FALSE)," ")</f>
        <v>6</v>
      </c>
      <c r="G386" s="8">
        <f>IFERROR(VLOOKUP($C386,$A$15:$O$36,5,FALSE)," ")</f>
        <v>0</v>
      </c>
      <c r="H386" s="8">
        <f>IFERROR(VLOOKUP($C386,$A$15:$O$36,6,FALSE)," ")</f>
        <v>0</v>
      </c>
      <c r="I386" s="8">
        <f>IFERROR(VLOOKUP($C386,$A$15:$O$36,7,FALSE)," ")</f>
        <v>0</v>
      </c>
      <c r="J386" s="8">
        <f>IFERROR(VLOOKUP($C386,$A$15:$O$36,8,FALSE)," ")</f>
        <v>0</v>
      </c>
      <c r="K386" s="8">
        <f>IFERROR(VLOOKUP($C386,$A$15:$O$36,9,FALSE)," ")</f>
        <v>0</v>
      </c>
      <c r="L386" s="8">
        <f>IFERROR(VLOOKUP($C386,$A$15:$O$36,10,FALSE)," ")</f>
        <v>0</v>
      </c>
      <c r="M386" s="8">
        <f>IFERROR(VLOOKUP($C386,$A$15:$O$36,11,FALSE)," ")</f>
        <v>0</v>
      </c>
      <c r="N386" s="8">
        <f>IFERROR(VLOOKUP($C386,$A$15:$O$36,12,FALSE)," ")</f>
        <v>0</v>
      </c>
      <c r="O386" s="8">
        <f>IFERROR(VLOOKUP($C386,$A$15:$O$36,15,FALSE)," ")</f>
        <v>2000</v>
      </c>
      <c r="P386" s="8" t="e">
        <f t="array" ref="P386:P396">MMULT(MINVERSE(D386:N396),O386:O396)</f>
        <v>#NUM!</v>
      </c>
      <c r="Q386" s="8" t="e">
        <f t="shared" ref="Q386" si="1454">IF(COUNTIF(P386:P396,"&lt;"&amp;-0.001)=0,IF(ABS(P386)&lt;0.001,0,P386)," ")</f>
        <v>#NUM!</v>
      </c>
      <c r="R386" s="8" t="str">
        <f>IFERROR(VLOOKUP(B292,A$15:L$36,2,FALSE)*Q386+VLOOKUP(B292,A$15:L$36,3,FALSE)*Q387+VLOOKUP(B292,A$15:L$36,4,FALSE)*Q388+VLOOKUP(B292,A$15:L$36,5,FALSE)*Q389+VLOOKUP(B292,A$15:L$36,6,FALSE)*Q390+VLOOKUP(B292,A$15:L$36,7,FALSE)*Q391+VLOOKUP(B292,A$15:L$36,8,FALSE)*Q392+VLOOKUP(B292,A$15:L$36,9,FALSE)*Q393+VLOOKUP(B292,A$15:L$36,10,FALSE)*Q394+VLOOKUP(B292,A$15:L$36,11,FALSE)*Q395+VLOOKUP(B292,A$15:L$36,12,FALSE)*Q396," ")</f>
        <v xml:space="preserve"> </v>
      </c>
      <c r="S386" s="8" t="str">
        <f>IFERROR(IF(R386-VLOOKUP(B292,A$15:O$36,15,FALSE)&lt;0,R386-VLOOKUP(B292,A$15:O$36,15,FALSE)," ")," ")</f>
        <v xml:space="preserve"> </v>
      </c>
      <c r="T386" s="18" t="str">
        <f>IFERROR(IF(R386-VLOOKUP(B292,A$15:O$36,15,FALSE)&gt;0,R386-VLOOKUP(B292,A$15:O$36,15,FALSE)," ")," ")</f>
        <v xml:space="preserve"> </v>
      </c>
      <c r="U386" s="34">
        <f t="shared" ref="U386" si="1455">$M$2</f>
        <v>100.00000000000001</v>
      </c>
      <c r="V386" s="34">
        <v>-1</v>
      </c>
      <c r="W386" s="34">
        <f t="shared" ref="W386" si="1456">-SUMPRODUCT($M$3:$M$12,$N$3:$N$12)</f>
        <v>-105000</v>
      </c>
      <c r="X386" s="34" t="e">
        <f t="shared" ref="X386" si="1457">IF(U386&lt;&gt;U387,MMULT(MINVERSE(U386:V387),W386:W387)," ")</f>
        <v>#NUM!</v>
      </c>
      <c r="Y386" s="34" t="str">
        <f t="shared" ref="Y386" si="1458">IFERROR(IF(X386-VLOOKUP(U$38,$A$2:$N$12,14,FALSE)&lt;0,X386-VLOOKUP(U$38,$A$2:$N$12,14,FALSE)," ")," ")</f>
        <v xml:space="preserve"> </v>
      </c>
      <c r="Z386" s="34" t="str">
        <f t="shared" ref="Z386" si="1459">IFERROR(IF(X386-VLOOKUP(U$38,$A$2:$N$12,14,FALSE)&gt;0,X386-VLOOKUP(U$38,$A$2:$N$12,14,FALSE)," ")," ")</f>
        <v xml:space="preserve"> </v>
      </c>
      <c r="AA386" s="34">
        <f t="shared" ref="AA386" si="1460">$M$3</f>
        <v>0</v>
      </c>
      <c r="AB386" s="34">
        <v>-1</v>
      </c>
      <c r="AC386" s="34">
        <f t="shared" ref="AC386" si="1461">-SUMPRODUCT($M$2:$M$2,$N$2:$N$2)-SUMPRODUCT($M$4:$M$12,$N$4:$N$12)</f>
        <v>-120000</v>
      </c>
      <c r="AD386" s="34" t="e">
        <f t="shared" ref="AD386" si="1462">IF(AA386&lt;&gt;AA387,MMULT(MINVERSE(AA386:AB387),AC386:AC387)," ")</f>
        <v>#NUM!</v>
      </c>
      <c r="AE386" s="34" t="str">
        <f t="shared" ref="AE386" si="1463">IFERROR(IF(AD386-VLOOKUP(AA$38,$A$2:$N$12,14,FALSE)&lt;0,AD386-VLOOKUP(AA$38,$A$2:$N$12,14,FALSE)," ")," ")</f>
        <v xml:space="preserve"> </v>
      </c>
      <c r="AF386" s="34" t="str">
        <f t="shared" ref="AF386" si="1464">IFERROR(IF(AD386-VLOOKUP(AA$38,$A$2:$N$12,14,FALSE)&gt;0,AD386-VLOOKUP(AA$38,$A$2:$N$12,14,FALSE)," ")," ")</f>
        <v xml:space="preserve"> </v>
      </c>
      <c r="AG386" s="34">
        <f t="shared" ref="AG386" si="1465">$M$4</f>
        <v>300</v>
      </c>
      <c r="AH386" s="34">
        <v>-1</v>
      </c>
      <c r="AI386" s="34">
        <f t="shared" ref="AI386" si="1466">-SUMPRODUCT($M$2:$M$3,$N$2:$N$3)-SUMPRODUCT($M$5:$M$12,$N$5:$N$12)</f>
        <v>-15000.000000000002</v>
      </c>
      <c r="AJ386" s="34" t="e">
        <f t="shared" ref="AJ386" si="1467">IF(AG386&lt;&gt;AG387,MMULT(MINVERSE(AG386:AH387),AI386:AI387)," ")</f>
        <v>#NUM!</v>
      </c>
      <c r="AK386" s="34" t="str">
        <f t="shared" ref="AK386" si="1468">IFERROR(IF(AJ386-VLOOKUP(AG$38,$A$2:$N$12,14,FALSE)&lt;0,AJ386-VLOOKUP(AG$38,$A$2:$N$12,14,FALSE)," ")," ")</f>
        <v xml:space="preserve"> </v>
      </c>
      <c r="AL386" s="34" t="str">
        <f t="shared" ref="AL386" si="1469">IFERROR(IF(AJ386-VLOOKUP(AG$38,$A$2:$N$12,14,FALSE)&gt;0,AJ386-VLOOKUP(AG$38,$A$2:$N$12,14,FALSE)," ")," ")</f>
        <v xml:space="preserve"> </v>
      </c>
      <c r="AM386" s="34">
        <f t="shared" ref="AM386" si="1470">$M$5</f>
        <v>0</v>
      </c>
      <c r="AN386" s="34">
        <v>-1</v>
      </c>
      <c r="AO386" s="34">
        <f t="shared" ref="AO386" si="1471">-SUMPRODUCT($M$2:$M$4,$N$2:$N$4)-SUMPRODUCT($M$6:$M$12,$N$6:$N$12)</f>
        <v>-120000</v>
      </c>
      <c r="AP386" s="34" t="e">
        <f t="shared" ref="AP386" si="1472">IF(AM386&lt;&gt;AM387,MMULT(MINVERSE(AM386:AN387),AO386:AO387)," ")</f>
        <v>#NUM!</v>
      </c>
      <c r="AQ386" s="34" t="str">
        <f t="shared" ref="AQ386" si="1473">IFERROR(IF(AP386-VLOOKUP(AM$38,$A$2:$N$12,14,FALSE)&lt;0,AP386-VLOOKUP(AM$38,$A$2:$N$12,14,FALSE)," ")," ")</f>
        <v xml:space="preserve"> </v>
      </c>
      <c r="AR386" s="34" t="str">
        <f t="shared" ref="AR386" si="1474">IFERROR(IF(AP386-VLOOKUP(AM$38,$A$2:$N$12,14,FALSE)&gt;0,AP386-VLOOKUP(AM$38,$A$2:$N$12,14,FALSE)," ")," ")</f>
        <v xml:space="preserve"> </v>
      </c>
      <c r="AS386" s="34">
        <f t="shared" ref="AS386" si="1475">$M$6</f>
        <v>0</v>
      </c>
      <c r="AT386" s="34">
        <v>-1</v>
      </c>
      <c r="AU386" s="34">
        <f t="shared" ref="AU386" si="1476">-SUMPRODUCT($M$2:$M$5,$N$2:$N$5)-SUMPRODUCT($M$7:$M$12,$N$7:$N$12)</f>
        <v>-120000</v>
      </c>
      <c r="AV386" s="34" t="e">
        <f t="shared" ref="AV386" si="1477">IF(AS386&lt;&gt;AS387,MMULT(MINVERSE(AS386:AT387),AU386:AU387)," ")</f>
        <v>#NUM!</v>
      </c>
      <c r="AW386" s="34" t="str">
        <f t="shared" ref="AW386" si="1478">IFERROR(IF(AV386-VLOOKUP(AS$38,$A$2:$N$12,14,FALSE)&lt;0,AV386-VLOOKUP(AS$38,$A$2:$N$12,14,FALSE)," ")," ")</f>
        <v xml:space="preserve"> </v>
      </c>
      <c r="AX386" s="34" t="str">
        <f t="shared" ref="AX386" si="1479">IFERROR(IF(AV386-VLOOKUP(AS$38,$A$2:$N$12,14,FALSE)&gt;0,AV386-VLOOKUP(AS$38,$A$2:$N$12,14,FALSE)," ")," ")</f>
        <v xml:space="preserve"> </v>
      </c>
      <c r="AY386" s="34">
        <f t="shared" ref="AY386" si="1480">$M$7</f>
        <v>0</v>
      </c>
      <c r="AZ386" s="34">
        <v>-1</v>
      </c>
      <c r="BA386" s="34">
        <f t="shared" ref="BA386" si="1481">-SUMPRODUCT($M$2:$M$6,$N$2:$N$6)-SUMPRODUCT($M$8:$M$12,$N$8:$N$12)</f>
        <v>-120000</v>
      </c>
      <c r="BB386" s="34" t="e">
        <f t="shared" ref="BB386" si="1482">IF(AY386&lt;&gt;AY387,MMULT(MINVERSE(AY386:AZ387),BA386:BA387)," ")</f>
        <v>#NUM!</v>
      </c>
      <c r="BC386" s="34" t="str">
        <f t="shared" ref="BC386" si="1483">IFERROR(IF(BB386-VLOOKUP(AY$38,$A$2:$N$12,14,FALSE)&lt;0,BB386-VLOOKUP(AY$38,$A$2:$N$12,14,FALSE)," ")," ")</f>
        <v xml:space="preserve"> </v>
      </c>
      <c r="BD386" s="34" t="str">
        <f t="shared" ref="BD386" si="1484">IFERROR(IF(BB386-VLOOKUP(AY$38,$A$2:$N$12,14,FALSE)&gt;0,BB386-VLOOKUP(AY$38,$A$2:$N$12,14,FALSE)," ")," ")</f>
        <v xml:space="preserve"> </v>
      </c>
      <c r="BE386" s="34">
        <f t="shared" ref="BE386" si="1485">$M$8</f>
        <v>0</v>
      </c>
      <c r="BF386" s="34">
        <v>-1</v>
      </c>
      <c r="BG386" s="34">
        <f t="shared" ref="BG386" si="1486">-SUMPRODUCT($M$2:$M$7,$N$2:$N$7)-SUMPRODUCT($M$9:$M$12,$N$9:$N$12)</f>
        <v>-120000</v>
      </c>
      <c r="BH386" s="34" t="e">
        <f t="shared" ref="BH386" si="1487">IF(BE386&lt;&gt;BE387,MMULT(MINVERSE(BE386:BF387),BG386:BG387)," ")</f>
        <v>#NUM!</v>
      </c>
      <c r="BI386" s="34" t="str">
        <f t="shared" ref="BI386" si="1488">IFERROR(IF(BH386-VLOOKUP(BE$38,$A$2:$N$12,14,FALSE)&lt;0,BH386-VLOOKUP(BE$38,$A$2:$N$12,14,FALSE)," ")," ")</f>
        <v xml:space="preserve"> </v>
      </c>
      <c r="BJ386" s="34" t="str">
        <f t="shared" ref="BJ386" si="1489">IFERROR(IF(BH386-VLOOKUP(BE$38,$A$2:$N$12,14,FALSE)&gt;0,BH386-VLOOKUP(BE$38,$A$2:$N$12,14,FALSE)," ")," ")</f>
        <v xml:space="preserve"> </v>
      </c>
      <c r="BK386" s="34">
        <f t="shared" ref="BK386" si="1490">$M$9</f>
        <v>0</v>
      </c>
      <c r="BL386" s="34">
        <v>-1</v>
      </c>
      <c r="BM386" s="34">
        <f t="shared" ref="BM386" si="1491">-SUMPRODUCT($M$2:$M$8,$N$2:$N$8)-SUMPRODUCT($M$10:$M$12,$N$10:$N$12)</f>
        <v>-120000</v>
      </c>
      <c r="BN386" s="34" t="e">
        <f t="shared" ref="BN386" si="1492">IF(BK386&lt;&gt;BK387,MMULT(MINVERSE(BK386:BL387),BM386:BM387)," ")</f>
        <v>#NUM!</v>
      </c>
      <c r="BO386" s="34" t="str">
        <f t="shared" ref="BO386" si="1493">IFERROR(IF(BN386-VLOOKUP(BK$38,$A$2:$N$12,14,FALSE)&lt;0,BN386-VLOOKUP(BK$38,$A$2:$N$12,14,FALSE)," ")," ")</f>
        <v xml:space="preserve"> </v>
      </c>
      <c r="BP386" s="34" t="str">
        <f t="shared" ref="BP386" si="1494">IFERROR(IF(BN386-VLOOKUP(BK$38,$A$2:$N$12,14,FALSE)&gt;0,BN386-VLOOKUP(BK$38,$A$2:$N$12,14,FALSE)," ")," ")</f>
        <v xml:space="preserve"> </v>
      </c>
      <c r="BQ386" s="34">
        <f t="shared" ref="BQ386" si="1495">$M$10</f>
        <v>0</v>
      </c>
      <c r="BR386" s="34">
        <v>-1</v>
      </c>
      <c r="BS386" s="34">
        <f t="shared" ref="BS386" si="1496">-SUMPRODUCT($M$2:$M$9,$N$2:$N$9)-SUMPRODUCT($M$11:$M$12,$N$11:$N$12)</f>
        <v>-120000</v>
      </c>
      <c r="BT386" s="34" t="e">
        <f t="shared" ref="BT386" si="1497">IF(BQ386&lt;&gt;BQ387,MMULT(MINVERSE(BQ386:BR387),BS386:BS387)," ")</f>
        <v>#NUM!</v>
      </c>
      <c r="BU386" s="34" t="str">
        <f t="shared" ref="BU386" si="1498">IFERROR(IF(BT386-VLOOKUP(BQ$38,$A$2:$N$12,14,FALSE)&lt;0,BT386-VLOOKUP(BQ$38,$A$2:$N$12,14,FALSE)," ")," ")</f>
        <v xml:space="preserve"> </v>
      </c>
      <c r="BV386" s="34" t="str">
        <f t="shared" ref="BV386" si="1499">IFERROR(IF(BT386-VLOOKUP(BQ$38,$A$2:$N$12,14,FALSE)&gt;0,BT386-VLOOKUP(BQ$38,$A$2:$N$12,14,FALSE)," ")," ")</f>
        <v xml:space="preserve"> </v>
      </c>
      <c r="BW386" s="34">
        <f t="shared" ref="BW386" si="1500">$M$11</f>
        <v>0</v>
      </c>
      <c r="BX386" s="34">
        <v>-1</v>
      </c>
      <c r="BY386" s="34">
        <f t="shared" ref="BY386" si="1501">-SUMPRODUCT($M$2:$M$10,$N$2:$N$10)-SUMPRODUCT($M$12,$N$12)</f>
        <v>-120000</v>
      </c>
      <c r="BZ386" s="34" t="e">
        <f t="shared" ref="BZ386" si="1502">IF(BW386&lt;&gt;BW387,MMULT(MINVERSE(BW386:BX387),BY386:BY387)," ")</f>
        <v>#NUM!</v>
      </c>
      <c r="CA386" s="34" t="str">
        <f t="shared" ref="CA386" si="1503">IFERROR(IF(BZ386-VLOOKUP(BW$38,$A$2:$N$12,14,FALSE)&lt;0,BZ386-VLOOKUP(BW$38,$A$2:$N$12,14,FALSE)," ")," ")</f>
        <v xml:space="preserve"> </v>
      </c>
      <c r="CB386" s="34" t="str">
        <f t="shared" ref="CB386" si="1504">IFERROR(IF(BZ386-VLOOKUP(BW$38,$A$2:$N$12,14,FALSE)&gt;0,BZ386-VLOOKUP(BW$38,$A$2:$N$12,14,FALSE)," ")," ")</f>
        <v xml:space="preserve"> </v>
      </c>
      <c r="CC386" s="34">
        <f t="shared" ref="CC386" si="1505">$M$12</f>
        <v>0</v>
      </c>
      <c r="CD386" s="34">
        <v>-1</v>
      </c>
      <c r="CE386" s="34">
        <f t="shared" ref="CE386" si="1506">-SUMPRODUCT($M$2:$M$11,$N$2:$N$11)</f>
        <v>-120000</v>
      </c>
      <c r="CF386" s="34" t="e">
        <f t="shared" ref="CF386" si="1507">IF(CC386&lt;&gt;CC387,MMULT(MINVERSE(CC386:CD387),CE386:CE387)," ")</f>
        <v>#NUM!</v>
      </c>
      <c r="CG386" s="34" t="str">
        <f t="shared" ref="CG386" si="1508">IFERROR(IF(CF386-VLOOKUP(CC$38,$A$2:$N$12,14,FALSE)&lt;0,CF386-VLOOKUP(CC$38,$A$2:$N$12,14,FALSE)," ")," ")</f>
        <v xml:space="preserve"> </v>
      </c>
      <c r="CH386" s="34" t="str">
        <f t="shared" ref="CH386" si="1509">IFERROR(IF(CF386-VLOOKUP(CC$38,$A$2:$N$12,14,FALSE)&gt;0,CF386-VLOOKUP(CC$38,$A$2:$N$12,14,FALSE)," ")," ")</f>
        <v xml:space="preserve"> </v>
      </c>
      <c r="CI386" s="8"/>
    </row>
    <row r="387" spans="1:87" x14ac:dyDescent="0.2">
      <c r="A387" s="8" t="str">
        <f>IF(AND(COUNTIF(W$3:W$13,A$16)&gt;0,A$16&lt;&gt;B292),A$16,IFERROR(IF(MATCH(A$16,Z$3:Z$13,0)=5,A$16," ")," "))</f>
        <v xml:space="preserve"> </v>
      </c>
      <c r="B387" s="8" t="str">
        <f>IF(A387=" "," ",MAX(B386:B386)+1)</f>
        <v xml:space="preserve"> </v>
      </c>
      <c r="C387" s="8" t="str">
        <f>IFERROR(INDEX(A386:A407,MATCH(SMALL(B386:B407,2),B386:B407,0),1)," ")</f>
        <v>C7</v>
      </c>
      <c r="D387" s="8">
        <f t="shared" ref="D387:D396" si="1510">IFERROR(VLOOKUP($C387,$A$15:$O$36,2,FALSE)," ")</f>
        <v>0</v>
      </c>
      <c r="E387" s="8">
        <f t="shared" ref="E387:E396" si="1511">IFERROR(VLOOKUP($C387,$A$15:$O$36,3,FALSE)," ")</f>
        <v>0</v>
      </c>
      <c r="F387" s="8">
        <f t="shared" ref="F387:F396" si="1512">IFERROR(VLOOKUP($C387,$A$15:$O$36,4,FALSE)," ")</f>
        <v>0</v>
      </c>
      <c r="G387" s="8">
        <f t="shared" ref="G387:G396" si="1513">IFERROR(VLOOKUP($C387,$A$15:$O$36,5,FALSE)," ")</f>
        <v>0</v>
      </c>
      <c r="H387" s="8">
        <f t="shared" ref="H387:H396" si="1514">IFERROR(VLOOKUP($C387,$A$15:$O$36,6,FALSE)," ")</f>
        <v>0</v>
      </c>
      <c r="I387" s="8">
        <f t="shared" ref="I387:I396" si="1515">IFERROR(VLOOKUP($C387,$A$15:$O$36,7,FALSE)," ")</f>
        <v>0</v>
      </c>
      <c r="J387" s="8">
        <f t="shared" ref="J387:J396" si="1516">IFERROR(VLOOKUP($C387,$A$15:$O$36,8,FALSE)," ")</f>
        <v>0</v>
      </c>
      <c r="K387" s="8">
        <f t="shared" ref="K387:K396" si="1517">IFERROR(VLOOKUP($C387,$A$15:$O$36,9,FALSE)," ")</f>
        <v>0</v>
      </c>
      <c r="L387" s="8">
        <f t="shared" ref="L387:L396" si="1518">IFERROR(VLOOKUP($C387,$A$15:$O$36,10,FALSE)," ")</f>
        <v>0</v>
      </c>
      <c r="M387" s="8">
        <f t="shared" ref="M387:M396" si="1519">IFERROR(VLOOKUP($C387,$A$15:$O$36,11,FALSE)," ")</f>
        <v>0</v>
      </c>
      <c r="N387" s="8">
        <f t="shared" ref="N387:N396" si="1520">IFERROR(VLOOKUP($C387,$A$15:$O$36,12,FALSE)," ")</f>
        <v>0</v>
      </c>
      <c r="O387" s="8">
        <f t="shared" ref="O387:O396" si="1521">IFERROR(VLOOKUP($C387,$A$15:$O$36,15,FALSE)," ")</f>
        <v>0</v>
      </c>
      <c r="P387" s="8" t="e">
        <v>#NUM!</v>
      </c>
      <c r="Q387" s="8" t="e">
        <f t="shared" ref="Q387" si="1522">IF(COUNTIF(P386:P396,"&lt;"&amp;-0.001)=0,IF(ABS(P387)&lt;0.001,0,P387)," ")</f>
        <v>#NUM!</v>
      </c>
      <c r="R387" s="8"/>
      <c r="S387" s="8"/>
      <c r="U387" s="34" t="e">
        <f t="shared" ref="U387" si="1523">$Q386</f>
        <v>#NUM!</v>
      </c>
      <c r="V387" s="34">
        <v>-1</v>
      </c>
      <c r="W387" s="34" t="e">
        <f t="shared" ref="W387" si="1524">-SUMPRODUCT($Q387:$Q396,$N$3:$N$12)</f>
        <v>#NUM!</v>
      </c>
      <c r="X387" s="34"/>
      <c r="Y387" s="34"/>
      <c r="Z387" s="34"/>
      <c r="AA387" s="34" t="e">
        <f t="shared" ref="AA387" si="1525">$Q387</f>
        <v>#NUM!</v>
      </c>
      <c r="AB387" s="34">
        <v>-1</v>
      </c>
      <c r="AC387" s="34" t="e">
        <f t="shared" ref="AC387" si="1526">-SUMPRODUCT($Q386:$Q386,$N$2:$N$2)-SUMPRODUCT($Q388:$Q396,$N$4:$N$12)</f>
        <v>#NUM!</v>
      </c>
      <c r="AD387" s="34"/>
      <c r="AE387" s="34"/>
      <c r="AF387" s="34"/>
      <c r="AG387" s="34" t="e">
        <f t="shared" ref="AG387" si="1527">$Q388</f>
        <v>#NUM!</v>
      </c>
      <c r="AH387" s="34">
        <v>-1</v>
      </c>
      <c r="AI387" s="34" t="e">
        <f t="shared" ref="AI387" si="1528">-SUMPRODUCT($Q386:$Q387,$N$2:$N$3)-SUMPRODUCT($Q389:$Q396,$N$5:$N$12)</f>
        <v>#NUM!</v>
      </c>
      <c r="AJ387" s="34"/>
      <c r="AK387" s="34"/>
      <c r="AL387" s="34"/>
      <c r="AM387" s="34" t="e">
        <f t="shared" ref="AM387" si="1529">$Q389</f>
        <v>#NUM!</v>
      </c>
      <c r="AN387" s="34">
        <v>-1</v>
      </c>
      <c r="AO387" s="34" t="e">
        <f t="shared" ref="AO387" si="1530">-SUMPRODUCT($Q386:$Q388,$N$2:$N$4)-SUMPRODUCT($Q390:$Q396,$N$6:$N$12)</f>
        <v>#NUM!</v>
      </c>
      <c r="AP387" s="34"/>
      <c r="AQ387" s="34"/>
      <c r="AR387" s="34"/>
      <c r="AS387" s="34" t="e">
        <f t="shared" ref="AS387" si="1531">$Q390</f>
        <v>#NUM!</v>
      </c>
      <c r="AT387" s="34">
        <v>-1</v>
      </c>
      <c r="AU387" s="34" t="e">
        <f t="shared" ref="AU387" si="1532">-SUMPRODUCT($Q386:$Q389,$N$2:$N$5)-SUMPRODUCT($Q391:$Q396,$N$7:$N$12)</f>
        <v>#NUM!</v>
      </c>
      <c r="AV387" s="34"/>
      <c r="AW387" s="34"/>
      <c r="AX387" s="34"/>
      <c r="AY387" s="34" t="e">
        <f t="shared" ref="AY387" si="1533">$Q391</f>
        <v>#NUM!</v>
      </c>
      <c r="AZ387" s="34">
        <v>-1</v>
      </c>
      <c r="BA387" s="34" t="e">
        <f t="shared" ref="BA387" si="1534">-SUMPRODUCT($Q386:$Q390,$N$2:$N$6)-SUMPRODUCT($Q392:$Q396,$N$8:$N$12)</f>
        <v>#NUM!</v>
      </c>
      <c r="BB387" s="34"/>
      <c r="BC387" s="34"/>
      <c r="BD387" s="34"/>
      <c r="BE387" s="34" t="e">
        <f t="shared" ref="BE387" si="1535">$Q392</f>
        <v>#NUM!</v>
      </c>
      <c r="BF387" s="34">
        <v>-1</v>
      </c>
      <c r="BG387" s="34" t="e">
        <f t="shared" ref="BG387" si="1536">-SUMPRODUCT($Q386:$Q391,$N$2:$N$7)-SUMPRODUCT($Q393:$Q396,$N$9:$N$12)</f>
        <v>#NUM!</v>
      </c>
      <c r="BH387" s="34"/>
      <c r="BI387" s="34"/>
      <c r="BJ387" s="34"/>
      <c r="BK387" s="34" t="e">
        <f t="shared" ref="BK387" si="1537">$Q393</f>
        <v>#NUM!</v>
      </c>
      <c r="BL387" s="34">
        <v>-1</v>
      </c>
      <c r="BM387" s="34" t="e">
        <f t="shared" ref="BM387" si="1538">-SUMPRODUCT($Q386:$Q392,$N$2:$N$8)-SUMPRODUCT($Q394:$Q396,$N$10:$N$12)</f>
        <v>#NUM!</v>
      </c>
      <c r="BN387" s="34"/>
      <c r="BO387" s="34"/>
      <c r="BP387" s="34"/>
      <c r="BQ387" s="34" t="e">
        <f t="shared" ref="BQ387" si="1539">$Q394</f>
        <v>#NUM!</v>
      </c>
      <c r="BR387" s="34">
        <v>-1</v>
      </c>
      <c r="BS387" s="34" t="e">
        <f t="shared" ref="BS387" si="1540">-SUMPRODUCT($Q386:$Q393,$N$2:$N$9)-SUMPRODUCT($Q395:$Q396,$N$11:$N$12)</f>
        <v>#NUM!</v>
      </c>
      <c r="BT387" s="34"/>
      <c r="BU387" s="34"/>
      <c r="BV387" s="34"/>
      <c r="BW387" s="34" t="e">
        <f t="shared" ref="BW387" si="1541">$Q395</f>
        <v>#NUM!</v>
      </c>
      <c r="BX387" s="34">
        <v>-1</v>
      </c>
      <c r="BY387" s="34" t="e">
        <f t="shared" ref="BY387" si="1542">-SUMPRODUCT($Q386:$Q394,$N$2:$N$10)-SUMPRODUCT($Q396,$N$12)</f>
        <v>#NUM!</v>
      </c>
      <c r="BZ387" s="34"/>
      <c r="CA387" s="34"/>
      <c r="CB387" s="34"/>
      <c r="CC387" s="34" t="e">
        <f t="shared" ref="CC387" si="1543">$Q396</f>
        <v>#NUM!</v>
      </c>
      <c r="CD387" s="34">
        <v>-1</v>
      </c>
      <c r="CE387" s="34" t="e">
        <f t="shared" ref="CE387" si="1544">-SUMPRODUCT($Q386:$Q395,$N$2:$N$11)</f>
        <v>#NUM!</v>
      </c>
      <c r="CF387" s="34"/>
      <c r="CG387" s="34"/>
      <c r="CH387" s="34"/>
      <c r="CI387" s="8"/>
    </row>
    <row r="388" spans="1:87" x14ac:dyDescent="0.2">
      <c r="A388" s="8" t="str">
        <f>IF(AND(COUNTIF(W$3:W$13,A$17)&gt;0,A$17&lt;&gt;B292),A$17,IFERROR(IF(MATCH(A$17,Z$3:Z$13,0)=5,A$17," ")," "))</f>
        <v>C3</v>
      </c>
      <c r="B388" s="8">
        <f>IF(A388=" "," ",MAX(B386:B387)+1)</f>
        <v>1</v>
      </c>
      <c r="C388" s="8" t="str">
        <f>IFERROR(INDEX(A386:A407,MATCH(SMALL(B386:B407,3),B386:B407,0),1)," ")</f>
        <v>C13</v>
      </c>
      <c r="D388" s="8">
        <f t="shared" si="1510"/>
        <v>0</v>
      </c>
      <c r="E388" s="8">
        <f t="shared" si="1511"/>
        <v>1</v>
      </c>
      <c r="F388" s="8">
        <f t="shared" si="1512"/>
        <v>0</v>
      </c>
      <c r="G388" s="8">
        <f t="shared" si="1513"/>
        <v>0</v>
      </c>
      <c r="H388" s="8">
        <f t="shared" si="1514"/>
        <v>0</v>
      </c>
      <c r="I388" s="8">
        <f t="shared" si="1515"/>
        <v>0</v>
      </c>
      <c r="J388" s="8">
        <f t="shared" si="1516"/>
        <v>0</v>
      </c>
      <c r="K388" s="8">
        <f t="shared" si="1517"/>
        <v>0</v>
      </c>
      <c r="L388" s="8">
        <f t="shared" si="1518"/>
        <v>0</v>
      </c>
      <c r="M388" s="8">
        <f t="shared" si="1519"/>
        <v>0</v>
      </c>
      <c r="N388" s="8">
        <f t="shared" si="1520"/>
        <v>0</v>
      </c>
      <c r="O388" s="8">
        <f t="shared" si="1521"/>
        <v>0</v>
      </c>
      <c r="P388" s="8" t="e">
        <v>#NUM!</v>
      </c>
      <c r="Q388" s="8" t="e">
        <f t="shared" ref="Q388" si="1545">IF(COUNTIF(P386:P396,"&lt;"&amp;-0.001)=0,IF(ABS(P388)&lt;0.001,0,P388)," ")</f>
        <v>#NUM!</v>
      </c>
      <c r="R388" s="8"/>
      <c r="S388" s="8"/>
      <c r="U388" s="34"/>
      <c r="V388" s="34"/>
      <c r="W388" s="34"/>
      <c r="X388" s="34"/>
      <c r="Y388" s="34"/>
      <c r="Z388" s="34"/>
      <c r="AA388" s="34"/>
      <c r="AB388" s="34"/>
      <c r="AC388" s="34"/>
      <c r="AD388" s="34"/>
      <c r="AE388" s="34"/>
      <c r="AF388" s="34"/>
      <c r="AG388" s="34"/>
      <c r="AH388" s="34"/>
      <c r="AI388" s="34"/>
      <c r="AJ388" s="34"/>
      <c r="AK388" s="34"/>
      <c r="AL388" s="34"/>
      <c r="AM388" s="34"/>
      <c r="AN388" s="34"/>
      <c r="AO388" s="34"/>
      <c r="AP388" s="34"/>
      <c r="AQ388" s="34"/>
      <c r="AR388" s="34"/>
      <c r="AS388" s="34"/>
      <c r="AT388" s="34"/>
      <c r="AU388" s="34"/>
      <c r="AV388" s="34"/>
      <c r="AW388" s="34"/>
      <c r="AX388" s="34"/>
      <c r="AY388" s="34"/>
      <c r="AZ388" s="34"/>
      <c r="BA388" s="34"/>
      <c r="BB388" s="34"/>
      <c r="BC388" s="34"/>
      <c r="BD388" s="34"/>
      <c r="BE388" s="34"/>
      <c r="BF388" s="34"/>
      <c r="BG388" s="34"/>
      <c r="BH388" s="34"/>
      <c r="BI388" s="34"/>
      <c r="BJ388" s="34"/>
      <c r="BK388" s="34"/>
      <c r="BL388" s="34"/>
      <c r="BM388" s="34"/>
      <c r="BN388" s="34"/>
      <c r="BO388" s="34"/>
      <c r="BP388" s="34"/>
      <c r="BQ388" s="34"/>
      <c r="BR388" s="34"/>
      <c r="BS388" s="34"/>
      <c r="BT388" s="34"/>
      <c r="BU388" s="34"/>
      <c r="BV388" s="34"/>
      <c r="BW388" s="34"/>
      <c r="BX388" s="34"/>
      <c r="BY388" s="34"/>
      <c r="BZ388" s="34"/>
      <c r="CA388" s="34"/>
      <c r="CB388" s="34"/>
      <c r="CC388" s="34"/>
      <c r="CD388" s="34"/>
      <c r="CE388" s="34"/>
      <c r="CF388" s="34"/>
      <c r="CG388" s="34"/>
      <c r="CH388" s="34"/>
      <c r="CI388" s="8"/>
    </row>
    <row r="389" spans="1:87" x14ac:dyDescent="0.2">
      <c r="A389" s="8" t="str">
        <f>IF(AND(COUNTIF(W$3:W$13,A$18)&gt;0,A$18&lt;&gt;B292),A$18,IFERROR(IF(MATCH(A$18,Z$3:Z$13,0)=5,A$18," ")," "))</f>
        <v xml:space="preserve"> </v>
      </c>
      <c r="B389" s="8" t="str">
        <f>IF(A389=" "," ",MAX(B386:B388)+1)</f>
        <v xml:space="preserve"> </v>
      </c>
      <c r="C389" s="8" t="str">
        <f>IFERROR(INDEX(A386:A407,MATCH(SMALL(B386:B407,4),B386:B407,0),1)," ")</f>
        <v>C15</v>
      </c>
      <c r="D389" s="8">
        <f t="shared" si="1510"/>
        <v>0</v>
      </c>
      <c r="E389" s="8">
        <f t="shared" si="1511"/>
        <v>0</v>
      </c>
      <c r="F389" s="8">
        <f t="shared" si="1512"/>
        <v>0</v>
      </c>
      <c r="G389" s="8">
        <f t="shared" si="1513"/>
        <v>1</v>
      </c>
      <c r="H389" s="8">
        <f t="shared" si="1514"/>
        <v>0</v>
      </c>
      <c r="I389" s="8">
        <f t="shared" si="1515"/>
        <v>0</v>
      </c>
      <c r="J389" s="8">
        <f t="shared" si="1516"/>
        <v>0</v>
      </c>
      <c r="K389" s="8">
        <f t="shared" si="1517"/>
        <v>0</v>
      </c>
      <c r="L389" s="8">
        <f t="shared" si="1518"/>
        <v>0</v>
      </c>
      <c r="M389" s="8">
        <f t="shared" si="1519"/>
        <v>0</v>
      </c>
      <c r="N389" s="8">
        <f t="shared" si="1520"/>
        <v>0</v>
      </c>
      <c r="O389" s="8">
        <f t="shared" si="1521"/>
        <v>0</v>
      </c>
      <c r="P389" s="8" t="e">
        <v>#NUM!</v>
      </c>
      <c r="Q389" s="8" t="e">
        <f t="shared" ref="Q389" si="1546">IF(COUNTIF(P386:P396,"&lt;"&amp;-0.001)=0,IF(ABS(P389)&lt;0.001,0,P389)," ")</f>
        <v>#NUM!</v>
      </c>
      <c r="R389" s="8"/>
      <c r="S389" s="8"/>
      <c r="U389" s="34"/>
      <c r="V389" s="34"/>
      <c r="W389" s="34"/>
      <c r="X389" s="34"/>
      <c r="Y389" s="34"/>
      <c r="Z389" s="34"/>
      <c r="AA389" s="34"/>
      <c r="AB389" s="34"/>
      <c r="AC389" s="34"/>
      <c r="AD389" s="34"/>
      <c r="AE389" s="34"/>
      <c r="AF389" s="34"/>
      <c r="AG389" s="34"/>
      <c r="AH389" s="34"/>
      <c r="AI389" s="34"/>
      <c r="AJ389" s="34"/>
      <c r="AK389" s="34"/>
      <c r="AL389" s="34"/>
      <c r="AM389" s="34"/>
      <c r="AN389" s="34"/>
      <c r="AO389" s="34"/>
      <c r="AP389" s="34"/>
      <c r="AQ389" s="34"/>
      <c r="AR389" s="34"/>
      <c r="AS389" s="34"/>
      <c r="AT389" s="34"/>
      <c r="AU389" s="34"/>
      <c r="AV389" s="34"/>
      <c r="AW389" s="34"/>
      <c r="AX389" s="34"/>
      <c r="AY389" s="34"/>
      <c r="AZ389" s="34"/>
      <c r="BA389" s="34"/>
      <c r="BB389" s="34"/>
      <c r="BC389" s="34"/>
      <c r="BD389" s="34"/>
      <c r="BE389" s="34"/>
      <c r="BF389" s="34"/>
      <c r="BG389" s="34"/>
      <c r="BH389" s="34"/>
      <c r="BI389" s="34"/>
      <c r="BJ389" s="34"/>
      <c r="BK389" s="34"/>
      <c r="BL389" s="34"/>
      <c r="BM389" s="34"/>
      <c r="BN389" s="34"/>
      <c r="BO389" s="34"/>
      <c r="BP389" s="34"/>
      <c r="BQ389" s="34"/>
      <c r="BR389" s="34"/>
      <c r="BS389" s="34"/>
      <c r="BT389" s="34"/>
      <c r="BU389" s="34"/>
      <c r="BV389" s="34"/>
      <c r="BW389" s="34"/>
      <c r="BX389" s="34"/>
      <c r="BY389" s="34"/>
      <c r="BZ389" s="34"/>
      <c r="CA389" s="34"/>
      <c r="CB389" s="34"/>
      <c r="CC389" s="34"/>
      <c r="CD389" s="34"/>
      <c r="CE389" s="34"/>
      <c r="CF389" s="34"/>
      <c r="CG389" s="34"/>
      <c r="CH389" s="34"/>
      <c r="CI389" s="8"/>
    </row>
    <row r="390" spans="1:87" x14ac:dyDescent="0.2">
      <c r="A390" s="8" t="str">
        <f>IF(AND(COUNTIF(W$3:W$13,A$19)&gt;0,A$19&lt;&gt;B292),A$19,IFERROR(IF(MATCH(A$19,Z$3:Z$13,0)=5,A$19," ")," "))</f>
        <v xml:space="preserve"> </v>
      </c>
      <c r="B390" s="8" t="str">
        <f>IF(A390=" "," ",MAX(B386:B389)+1)</f>
        <v xml:space="preserve"> </v>
      </c>
      <c r="C390" s="8" t="str">
        <f>IFERROR(INDEX(A386:A407,MATCH(SMALL(B386:B407,5),B386:B407,0),1)," ")</f>
        <v>C16</v>
      </c>
      <c r="D390" s="8">
        <f t="shared" si="1510"/>
        <v>0</v>
      </c>
      <c r="E390" s="8">
        <f t="shared" si="1511"/>
        <v>0</v>
      </c>
      <c r="F390" s="8">
        <f t="shared" si="1512"/>
        <v>0</v>
      </c>
      <c r="G390" s="8">
        <f t="shared" si="1513"/>
        <v>0</v>
      </c>
      <c r="H390" s="8">
        <f t="shared" si="1514"/>
        <v>1</v>
      </c>
      <c r="I390" s="8">
        <f t="shared" si="1515"/>
        <v>0</v>
      </c>
      <c r="J390" s="8">
        <f t="shared" si="1516"/>
        <v>0</v>
      </c>
      <c r="K390" s="8">
        <f t="shared" si="1517"/>
        <v>0</v>
      </c>
      <c r="L390" s="8">
        <f t="shared" si="1518"/>
        <v>0</v>
      </c>
      <c r="M390" s="8">
        <f t="shared" si="1519"/>
        <v>0</v>
      </c>
      <c r="N390" s="8">
        <f t="shared" si="1520"/>
        <v>0</v>
      </c>
      <c r="O390" s="8">
        <f t="shared" si="1521"/>
        <v>0</v>
      </c>
      <c r="P390" s="8" t="e">
        <v>#NUM!</v>
      </c>
      <c r="Q390" s="8" t="e">
        <f t="shared" ref="Q390" si="1547">IF(COUNTIF(P386:P396,"&lt;"&amp;-0.001)=0,IF(ABS(P390)&lt;0.001,0,P390)," ")</f>
        <v>#NUM!</v>
      </c>
      <c r="R390" s="8"/>
      <c r="S390" s="8"/>
      <c r="U390" s="34"/>
      <c r="V390" s="34"/>
      <c r="W390" s="34"/>
      <c r="X390" s="34"/>
      <c r="Y390" s="34"/>
      <c r="Z390" s="34"/>
      <c r="AA390" s="34"/>
      <c r="AB390" s="34"/>
      <c r="AC390" s="34"/>
      <c r="AD390" s="34"/>
      <c r="AE390" s="34"/>
      <c r="AF390" s="34"/>
      <c r="AG390" s="34"/>
      <c r="AH390" s="34"/>
      <c r="AI390" s="34"/>
      <c r="AJ390" s="34"/>
      <c r="AK390" s="34"/>
      <c r="AL390" s="34"/>
      <c r="AM390" s="34"/>
      <c r="AN390" s="34"/>
      <c r="AO390" s="34"/>
      <c r="AP390" s="34"/>
      <c r="AQ390" s="34"/>
      <c r="AR390" s="34"/>
      <c r="AS390" s="34"/>
      <c r="AT390" s="34"/>
      <c r="AU390" s="34"/>
      <c r="AV390" s="34"/>
      <c r="AW390" s="34"/>
      <c r="AX390" s="34"/>
      <c r="AY390" s="34"/>
      <c r="AZ390" s="34"/>
      <c r="BA390" s="34"/>
      <c r="BB390" s="34"/>
      <c r="BC390" s="34"/>
      <c r="BD390" s="34"/>
      <c r="BE390" s="34"/>
      <c r="BF390" s="34"/>
      <c r="BG390" s="34"/>
      <c r="BH390" s="34"/>
      <c r="BI390" s="34"/>
      <c r="BJ390" s="34"/>
      <c r="BK390" s="34"/>
      <c r="BL390" s="34"/>
      <c r="BM390" s="34"/>
      <c r="BN390" s="34"/>
      <c r="BO390" s="34"/>
      <c r="BP390" s="34"/>
      <c r="BQ390" s="34"/>
      <c r="BR390" s="34"/>
      <c r="BS390" s="34"/>
      <c r="BT390" s="34"/>
      <c r="BU390" s="34"/>
      <c r="BV390" s="34"/>
      <c r="BW390" s="34"/>
      <c r="BX390" s="34"/>
      <c r="BY390" s="34"/>
      <c r="BZ390" s="34"/>
      <c r="CA390" s="34"/>
      <c r="CB390" s="34"/>
      <c r="CC390" s="34"/>
      <c r="CD390" s="34"/>
      <c r="CE390" s="34"/>
      <c r="CF390" s="34"/>
      <c r="CG390" s="34"/>
      <c r="CH390" s="34"/>
      <c r="CI390" s="8"/>
    </row>
    <row r="391" spans="1:87" x14ac:dyDescent="0.2">
      <c r="A391" s="8" t="str">
        <f>IF(AND(COUNTIF(W$3:W$13,A$20)&gt;0,A$20&lt;&gt;B292),A$20,IFERROR(IF(MATCH(A$20,Z$3:Z$13,0)=5,A$20," ")," "))</f>
        <v xml:space="preserve"> </v>
      </c>
      <c r="B391" s="8" t="str">
        <f>IF(A391=" "," ",MAX(B386:B390)+1)</f>
        <v xml:space="preserve"> </v>
      </c>
      <c r="C391" s="8" t="str">
        <f>IFERROR(INDEX(A386:A407,MATCH(SMALL(B386:B407,6),B386:B407,0),1)," ")</f>
        <v>C17</v>
      </c>
      <c r="D391" s="8">
        <f t="shared" si="1510"/>
        <v>0</v>
      </c>
      <c r="E391" s="8">
        <f t="shared" si="1511"/>
        <v>0</v>
      </c>
      <c r="F391" s="8">
        <f t="shared" si="1512"/>
        <v>0</v>
      </c>
      <c r="G391" s="8">
        <f t="shared" si="1513"/>
        <v>0</v>
      </c>
      <c r="H391" s="8">
        <f t="shared" si="1514"/>
        <v>0</v>
      </c>
      <c r="I391" s="8">
        <f t="shared" si="1515"/>
        <v>1</v>
      </c>
      <c r="J391" s="8">
        <f t="shared" si="1516"/>
        <v>0</v>
      </c>
      <c r="K391" s="8">
        <f t="shared" si="1517"/>
        <v>0</v>
      </c>
      <c r="L391" s="8">
        <f t="shared" si="1518"/>
        <v>0</v>
      </c>
      <c r="M391" s="8">
        <f t="shared" si="1519"/>
        <v>0</v>
      </c>
      <c r="N391" s="8">
        <f t="shared" si="1520"/>
        <v>0</v>
      </c>
      <c r="O391" s="8">
        <f t="shared" si="1521"/>
        <v>0</v>
      </c>
      <c r="P391" s="8" t="e">
        <v>#NUM!</v>
      </c>
      <c r="Q391" s="8" t="e">
        <f t="shared" ref="Q391" si="1548">IF(COUNTIF(P386:P396,"&lt;"&amp;-0.001)=0,IF(ABS(P391)&lt;0.001,0,P391)," ")</f>
        <v>#NUM!</v>
      </c>
      <c r="R391" s="8"/>
      <c r="S391" s="8"/>
      <c r="U391" s="34"/>
      <c r="V391" s="34"/>
      <c r="W391" s="34"/>
      <c r="X391" s="34"/>
      <c r="Y391" s="34"/>
      <c r="Z391" s="34"/>
      <c r="AA391" s="34"/>
      <c r="AB391" s="34"/>
      <c r="AC391" s="34"/>
      <c r="AD391" s="34"/>
      <c r="AE391" s="34"/>
      <c r="AF391" s="34"/>
      <c r="AG391" s="34"/>
      <c r="AH391" s="34"/>
      <c r="AI391" s="34"/>
      <c r="AJ391" s="34"/>
      <c r="AK391" s="34"/>
      <c r="AL391" s="34"/>
      <c r="AM391" s="34"/>
      <c r="AN391" s="34"/>
      <c r="AO391" s="34"/>
      <c r="AP391" s="34"/>
      <c r="AQ391" s="34"/>
      <c r="AR391" s="34"/>
      <c r="AS391" s="34"/>
      <c r="AT391" s="34"/>
      <c r="AU391" s="34"/>
      <c r="AV391" s="34"/>
      <c r="AW391" s="34"/>
      <c r="AX391" s="34"/>
      <c r="AY391" s="34"/>
      <c r="AZ391" s="34"/>
      <c r="BA391" s="34"/>
      <c r="BB391" s="34"/>
      <c r="BC391" s="34"/>
      <c r="BD391" s="34"/>
      <c r="BE391" s="34"/>
      <c r="BF391" s="34"/>
      <c r="BG391" s="34"/>
      <c r="BH391" s="34"/>
      <c r="BI391" s="34"/>
      <c r="BJ391" s="34"/>
      <c r="BK391" s="34"/>
      <c r="BL391" s="34"/>
      <c r="BM391" s="34"/>
      <c r="BN391" s="34"/>
      <c r="BO391" s="34"/>
      <c r="BP391" s="34"/>
      <c r="BQ391" s="34"/>
      <c r="BR391" s="34"/>
      <c r="BS391" s="34"/>
      <c r="BT391" s="34"/>
      <c r="BU391" s="34"/>
      <c r="BV391" s="34"/>
      <c r="BW391" s="34"/>
      <c r="BX391" s="34"/>
      <c r="BY391" s="34"/>
      <c r="BZ391" s="34"/>
      <c r="CA391" s="34"/>
      <c r="CB391" s="34"/>
      <c r="CC391" s="34"/>
      <c r="CD391" s="34"/>
      <c r="CE391" s="34"/>
      <c r="CF391" s="34"/>
      <c r="CG391" s="34"/>
      <c r="CH391" s="34"/>
      <c r="CI391" s="8"/>
    </row>
    <row r="392" spans="1:87" x14ac:dyDescent="0.2">
      <c r="A392" s="8" t="str">
        <f>IF(AND(COUNTIF(W$3:W$13,A$21)&gt;0,A$21&lt;&gt;B292),A$21,IFERROR(IF(MATCH(A$21,Z$3:Z$13,0)=5,A$21," ")," "))</f>
        <v>C7</v>
      </c>
      <c r="B392" s="8">
        <f>IF(A392=" "," ",MAX(B386:B391)+1)</f>
        <v>2</v>
      </c>
      <c r="C392" s="8" t="str">
        <f>IFERROR(INDEX(A386:A407,MATCH(SMALL(B386:B407,7),B386:B407,0),1)," ")</f>
        <v>C18</v>
      </c>
      <c r="D392" s="8">
        <f t="shared" si="1510"/>
        <v>0</v>
      </c>
      <c r="E392" s="8">
        <f t="shared" si="1511"/>
        <v>0</v>
      </c>
      <c r="F392" s="8">
        <f t="shared" si="1512"/>
        <v>0</v>
      </c>
      <c r="G392" s="8">
        <f t="shared" si="1513"/>
        <v>0</v>
      </c>
      <c r="H392" s="8">
        <f t="shared" si="1514"/>
        <v>0</v>
      </c>
      <c r="I392" s="8">
        <f t="shared" si="1515"/>
        <v>0</v>
      </c>
      <c r="J392" s="8">
        <f t="shared" si="1516"/>
        <v>1</v>
      </c>
      <c r="K392" s="8">
        <f t="shared" si="1517"/>
        <v>0</v>
      </c>
      <c r="L392" s="8">
        <f t="shared" si="1518"/>
        <v>0</v>
      </c>
      <c r="M392" s="8">
        <f t="shared" si="1519"/>
        <v>0</v>
      </c>
      <c r="N392" s="8">
        <f t="shared" si="1520"/>
        <v>0</v>
      </c>
      <c r="O392" s="8">
        <f t="shared" si="1521"/>
        <v>0</v>
      </c>
      <c r="P392" s="8" t="e">
        <v>#NUM!</v>
      </c>
      <c r="Q392" s="8" t="e">
        <f t="shared" ref="Q392" si="1549">IF(COUNTIF(P386:P396,"&lt;"&amp;-0.001)=0,IF(ABS(P392)&lt;0.001,0,P392)," ")</f>
        <v>#NUM!</v>
      </c>
      <c r="R392" s="8"/>
      <c r="S392" s="8"/>
      <c r="U392" s="34"/>
      <c r="V392" s="34"/>
      <c r="W392" s="34"/>
      <c r="X392" s="34"/>
      <c r="Y392" s="34"/>
      <c r="Z392" s="34"/>
      <c r="AA392" s="34"/>
      <c r="AB392" s="34"/>
      <c r="AC392" s="34"/>
      <c r="AD392" s="34"/>
      <c r="AE392" s="34"/>
      <c r="AF392" s="34"/>
      <c r="AG392" s="34"/>
      <c r="AH392" s="34"/>
      <c r="AI392" s="34"/>
      <c r="AJ392" s="34"/>
      <c r="AK392" s="34"/>
      <c r="AL392" s="34"/>
      <c r="AM392" s="34"/>
      <c r="AN392" s="34"/>
      <c r="AO392" s="34"/>
      <c r="AP392" s="34"/>
      <c r="AQ392" s="34"/>
      <c r="AR392" s="34"/>
      <c r="AS392" s="34"/>
      <c r="AT392" s="34"/>
      <c r="AU392" s="34"/>
      <c r="AV392" s="34"/>
      <c r="AW392" s="34"/>
      <c r="AX392" s="34"/>
      <c r="AY392" s="34"/>
      <c r="AZ392" s="34"/>
      <c r="BA392" s="34"/>
      <c r="BB392" s="34"/>
      <c r="BC392" s="34"/>
      <c r="BD392" s="34"/>
      <c r="BE392" s="34"/>
      <c r="BF392" s="34"/>
      <c r="BG392" s="34"/>
      <c r="BH392" s="34"/>
      <c r="BI392" s="34"/>
      <c r="BJ392" s="34"/>
      <c r="BK392" s="34"/>
      <c r="BL392" s="34"/>
      <c r="BM392" s="34"/>
      <c r="BN392" s="34"/>
      <c r="BO392" s="34"/>
      <c r="BP392" s="34"/>
      <c r="BQ392" s="34"/>
      <c r="BR392" s="34"/>
      <c r="BS392" s="34"/>
      <c r="BT392" s="34"/>
      <c r="BU392" s="34"/>
      <c r="BV392" s="34"/>
      <c r="BW392" s="34"/>
      <c r="BX392" s="34"/>
      <c r="BY392" s="34"/>
      <c r="BZ392" s="34"/>
      <c r="CA392" s="34"/>
      <c r="CB392" s="34"/>
      <c r="CC392" s="34"/>
      <c r="CD392" s="34"/>
      <c r="CE392" s="34"/>
      <c r="CF392" s="34"/>
      <c r="CG392" s="34"/>
      <c r="CH392" s="34"/>
      <c r="CI392" s="8"/>
    </row>
    <row r="393" spans="1:87" x14ac:dyDescent="0.2">
      <c r="A393" s="8" t="str">
        <f>IF(AND(COUNTIF(W$3:W$13,A$22)&gt;0,A$22&lt;&gt;B292),A$22,IFERROR(IF(MATCH(A$22,Z$3:Z$13,0)=5,A$22," ")," "))</f>
        <v xml:space="preserve"> </v>
      </c>
      <c r="B393" s="8" t="str">
        <f>IF(A393=" "," ",MAX(B386:B392)+1)</f>
        <v xml:space="preserve"> </v>
      </c>
      <c r="C393" s="8" t="str">
        <f>IFERROR(INDEX(A386:A407,MATCH(SMALL(B386:B407,8),B386:B407,0),1)," ")</f>
        <v>C19</v>
      </c>
      <c r="D393" s="8">
        <f t="shared" si="1510"/>
        <v>0</v>
      </c>
      <c r="E393" s="8">
        <f t="shared" si="1511"/>
        <v>0</v>
      </c>
      <c r="F393" s="8">
        <f t="shared" si="1512"/>
        <v>0</v>
      </c>
      <c r="G393" s="8">
        <f t="shared" si="1513"/>
        <v>0</v>
      </c>
      <c r="H393" s="8">
        <f t="shared" si="1514"/>
        <v>0</v>
      </c>
      <c r="I393" s="8">
        <f t="shared" si="1515"/>
        <v>0</v>
      </c>
      <c r="J393" s="8">
        <f t="shared" si="1516"/>
        <v>0</v>
      </c>
      <c r="K393" s="8">
        <f t="shared" si="1517"/>
        <v>1</v>
      </c>
      <c r="L393" s="8">
        <f t="shared" si="1518"/>
        <v>0</v>
      </c>
      <c r="M393" s="8">
        <f t="shared" si="1519"/>
        <v>0</v>
      </c>
      <c r="N393" s="8">
        <f t="shared" si="1520"/>
        <v>0</v>
      </c>
      <c r="O393" s="8">
        <f t="shared" si="1521"/>
        <v>0</v>
      </c>
      <c r="P393" s="8" t="e">
        <v>#NUM!</v>
      </c>
      <c r="Q393" s="8" t="e">
        <f t="shared" ref="Q393" si="1550">IF(COUNTIF(P386:P396,"&lt;"&amp;-0.001)=0,IF(ABS(P393)&lt;0.001,0,P393)," ")</f>
        <v>#NUM!</v>
      </c>
      <c r="R393" s="8"/>
      <c r="S393" s="8"/>
      <c r="U393" s="34"/>
      <c r="V393" s="34"/>
      <c r="W393" s="34"/>
      <c r="X393" s="34"/>
      <c r="Y393" s="34"/>
      <c r="Z393" s="34"/>
      <c r="AA393" s="34"/>
      <c r="AB393" s="34"/>
      <c r="AC393" s="34"/>
      <c r="AD393" s="34"/>
      <c r="AE393" s="34"/>
      <c r="AF393" s="34"/>
      <c r="AG393" s="34"/>
      <c r="AH393" s="34"/>
      <c r="AI393" s="34"/>
      <c r="AJ393" s="34"/>
      <c r="AK393" s="34"/>
      <c r="AL393" s="34"/>
      <c r="AM393" s="34"/>
      <c r="AN393" s="34"/>
      <c r="AO393" s="34"/>
      <c r="AP393" s="34"/>
      <c r="AQ393" s="34"/>
      <c r="AR393" s="34"/>
      <c r="AS393" s="34"/>
      <c r="AT393" s="34"/>
      <c r="AU393" s="34"/>
      <c r="AV393" s="34"/>
      <c r="AW393" s="34"/>
      <c r="AX393" s="34"/>
      <c r="AY393" s="34"/>
      <c r="AZ393" s="34"/>
      <c r="BA393" s="34"/>
      <c r="BB393" s="34"/>
      <c r="BC393" s="34"/>
      <c r="BD393" s="34"/>
      <c r="BE393" s="34"/>
      <c r="BF393" s="34"/>
      <c r="BG393" s="34"/>
      <c r="BH393" s="34"/>
      <c r="BI393" s="34"/>
      <c r="BJ393" s="34"/>
      <c r="BK393" s="34"/>
      <c r="BL393" s="34"/>
      <c r="BM393" s="34"/>
      <c r="BN393" s="34"/>
      <c r="BO393" s="34"/>
      <c r="BP393" s="34"/>
      <c r="BQ393" s="34"/>
      <c r="BR393" s="34"/>
      <c r="BS393" s="34"/>
      <c r="BT393" s="34"/>
      <c r="BU393" s="34"/>
      <c r="BV393" s="34"/>
      <c r="BW393" s="34"/>
      <c r="BX393" s="34"/>
      <c r="BY393" s="34"/>
      <c r="BZ393" s="34"/>
      <c r="CA393" s="34"/>
      <c r="CB393" s="34"/>
      <c r="CC393" s="34"/>
      <c r="CD393" s="34"/>
      <c r="CE393" s="34"/>
      <c r="CF393" s="34"/>
      <c r="CG393" s="34"/>
      <c r="CH393" s="34"/>
      <c r="CI393" s="8"/>
    </row>
    <row r="394" spans="1:87" x14ac:dyDescent="0.2">
      <c r="A394" s="8" t="str">
        <f>IF(AND(COUNTIF(W$3:W$13,A$23)&gt;0,A$23&lt;&gt;B292),A$23,IFERROR(IF(MATCH(A$23,Z$3:Z$13,0)=5,A$23," ")," "))</f>
        <v xml:space="preserve"> </v>
      </c>
      <c r="B394" s="8" t="str">
        <f>IF(A394=" "," ",MAX(B386:B393)+1)</f>
        <v xml:space="preserve"> </v>
      </c>
      <c r="C394" s="8" t="str">
        <f>IFERROR(INDEX(A386:A407,MATCH(SMALL(B386:B407,9),B386:B407,0),1)," ")</f>
        <v>C20</v>
      </c>
      <c r="D394" s="8">
        <f t="shared" si="1510"/>
        <v>0</v>
      </c>
      <c r="E394" s="8">
        <f t="shared" si="1511"/>
        <v>0</v>
      </c>
      <c r="F394" s="8">
        <f t="shared" si="1512"/>
        <v>0</v>
      </c>
      <c r="G394" s="8">
        <f t="shared" si="1513"/>
        <v>0</v>
      </c>
      <c r="H394" s="8">
        <f t="shared" si="1514"/>
        <v>0</v>
      </c>
      <c r="I394" s="8">
        <f t="shared" si="1515"/>
        <v>0</v>
      </c>
      <c r="J394" s="8">
        <f t="shared" si="1516"/>
        <v>0</v>
      </c>
      <c r="K394" s="8">
        <f t="shared" si="1517"/>
        <v>0</v>
      </c>
      <c r="L394" s="8">
        <f t="shared" si="1518"/>
        <v>1</v>
      </c>
      <c r="M394" s="8">
        <f t="shared" si="1519"/>
        <v>0</v>
      </c>
      <c r="N394" s="8">
        <f t="shared" si="1520"/>
        <v>0</v>
      </c>
      <c r="O394" s="8">
        <f t="shared" si="1521"/>
        <v>0</v>
      </c>
      <c r="P394" s="6" t="e">
        <v>#NUM!</v>
      </c>
      <c r="Q394" s="8" t="e">
        <f t="shared" ref="Q394" si="1551">IF(COUNTIF(P386:P396,"&lt;"&amp;-0.001)=0,IF(ABS(P394)&lt;0.001,0,P394)," ")</f>
        <v>#NUM!</v>
      </c>
      <c r="R394" s="8"/>
      <c r="S394" s="8"/>
      <c r="U394" s="34"/>
      <c r="V394" s="34"/>
      <c r="W394" s="34"/>
      <c r="X394" s="34"/>
      <c r="Y394" s="34"/>
      <c r="Z394" s="34"/>
      <c r="AA394" s="34"/>
      <c r="AB394" s="34"/>
      <c r="AC394" s="34"/>
      <c r="AD394" s="34"/>
      <c r="AE394" s="34"/>
      <c r="AF394" s="34"/>
      <c r="AG394" s="34"/>
      <c r="AH394" s="34"/>
      <c r="AI394" s="34"/>
      <c r="AJ394" s="34"/>
      <c r="AK394" s="34"/>
      <c r="AL394" s="34"/>
      <c r="AM394" s="34"/>
      <c r="AN394" s="34"/>
      <c r="AO394" s="34"/>
      <c r="AP394" s="34"/>
      <c r="AQ394" s="34"/>
      <c r="AR394" s="34"/>
      <c r="AS394" s="34"/>
      <c r="AT394" s="34"/>
      <c r="AU394" s="34"/>
      <c r="AV394" s="34"/>
      <c r="AW394" s="34"/>
      <c r="AX394" s="34"/>
      <c r="AY394" s="34"/>
      <c r="AZ394" s="34"/>
      <c r="BA394" s="34"/>
      <c r="BB394" s="34"/>
      <c r="BC394" s="34"/>
      <c r="BD394" s="34"/>
      <c r="BE394" s="34"/>
      <c r="BF394" s="34"/>
      <c r="BG394" s="34"/>
      <c r="BH394" s="34"/>
      <c r="BI394" s="34"/>
      <c r="BJ394" s="34"/>
      <c r="BK394" s="34"/>
      <c r="BL394" s="34"/>
      <c r="BM394" s="34"/>
      <c r="BN394" s="34"/>
      <c r="BO394" s="34"/>
      <c r="BP394" s="34"/>
      <c r="BQ394" s="34"/>
      <c r="BR394" s="34"/>
      <c r="BS394" s="34"/>
      <c r="BT394" s="34"/>
      <c r="BU394" s="34"/>
      <c r="BV394" s="34"/>
      <c r="BW394" s="34"/>
      <c r="BX394" s="34"/>
      <c r="BY394" s="34"/>
      <c r="BZ394" s="34"/>
      <c r="CA394" s="34"/>
      <c r="CB394" s="34"/>
      <c r="CC394" s="34"/>
      <c r="CD394" s="34"/>
      <c r="CE394" s="34"/>
      <c r="CF394" s="34"/>
      <c r="CG394" s="34"/>
      <c r="CH394" s="34"/>
      <c r="CI394" s="8"/>
    </row>
    <row r="395" spans="1:87" x14ac:dyDescent="0.2">
      <c r="A395" s="8" t="str">
        <f>IF(AND(COUNTIF(W$3:W$13,A$24)&gt;0,A$24&lt;&gt;B292),A$24,IFERROR(IF(MATCH(A$24,Z$3:Z$13,0)=5,A$24," ")," "))</f>
        <v xml:space="preserve"> </v>
      </c>
      <c r="B395" s="8" t="str">
        <f>IF(A395=" "," ",MAX(B386:B394)+1)</f>
        <v xml:space="preserve"> </v>
      </c>
      <c r="C395" s="8" t="str">
        <f>IFERROR(INDEX(A386:A407,MATCH(SMALL(B386:B407,10),B386:B407,0),1)," ")</f>
        <v>C21</v>
      </c>
      <c r="D395" s="8">
        <f t="shared" si="1510"/>
        <v>0</v>
      </c>
      <c r="E395" s="8">
        <f t="shared" si="1511"/>
        <v>0</v>
      </c>
      <c r="F395" s="8">
        <f t="shared" si="1512"/>
        <v>0</v>
      </c>
      <c r="G395" s="8">
        <f t="shared" si="1513"/>
        <v>0</v>
      </c>
      <c r="H395" s="8">
        <f t="shared" si="1514"/>
        <v>0</v>
      </c>
      <c r="I395" s="8">
        <f t="shared" si="1515"/>
        <v>0</v>
      </c>
      <c r="J395" s="8">
        <f t="shared" si="1516"/>
        <v>0</v>
      </c>
      <c r="K395" s="8">
        <f t="shared" si="1517"/>
        <v>0</v>
      </c>
      <c r="L395" s="8">
        <f t="shared" si="1518"/>
        <v>0</v>
      </c>
      <c r="M395" s="8">
        <f t="shared" si="1519"/>
        <v>1</v>
      </c>
      <c r="N395" s="8">
        <f t="shared" si="1520"/>
        <v>0</v>
      </c>
      <c r="O395" s="8">
        <f t="shared" si="1521"/>
        <v>0</v>
      </c>
      <c r="P395" s="8" t="e">
        <v>#NUM!</v>
      </c>
      <c r="Q395" s="8" t="e">
        <f t="shared" ref="Q395" si="1552">IF(COUNTIF(P386:P396,"&lt;"&amp;-0.001)=0,IF(ABS(P395)&lt;0.001,0,P395)," ")</f>
        <v>#NUM!</v>
      </c>
      <c r="R395" s="8"/>
      <c r="S395" s="8"/>
      <c r="U395" s="34"/>
      <c r="V395" s="34"/>
      <c r="W395" s="34"/>
      <c r="X395" s="34"/>
      <c r="Y395" s="34"/>
      <c r="Z395" s="34"/>
      <c r="AA395" s="34"/>
      <c r="AB395" s="34"/>
      <c r="AC395" s="34"/>
      <c r="AD395" s="34"/>
      <c r="AE395" s="34"/>
      <c r="AF395" s="34"/>
      <c r="AG395" s="34"/>
      <c r="AH395" s="34"/>
      <c r="AI395" s="34"/>
      <c r="AJ395" s="34"/>
      <c r="AK395" s="34"/>
      <c r="AL395" s="34"/>
      <c r="AM395" s="34"/>
      <c r="AN395" s="34"/>
      <c r="AO395" s="34"/>
      <c r="AP395" s="34"/>
      <c r="AQ395" s="34"/>
      <c r="AR395" s="34"/>
      <c r="AS395" s="34"/>
      <c r="AT395" s="34"/>
      <c r="AU395" s="34"/>
      <c r="AV395" s="34"/>
      <c r="AW395" s="34"/>
      <c r="AX395" s="34"/>
      <c r="AY395" s="34"/>
      <c r="AZ395" s="34"/>
      <c r="BA395" s="34"/>
      <c r="BB395" s="34"/>
      <c r="BC395" s="34"/>
      <c r="BD395" s="34"/>
      <c r="BE395" s="34"/>
      <c r="BF395" s="34"/>
      <c r="BG395" s="34"/>
      <c r="BH395" s="34"/>
      <c r="BI395" s="34"/>
      <c r="BJ395" s="34"/>
      <c r="BK395" s="34"/>
      <c r="BL395" s="34"/>
      <c r="BM395" s="34"/>
      <c r="BN395" s="34"/>
      <c r="BO395" s="34"/>
      <c r="BP395" s="34"/>
      <c r="BQ395" s="34"/>
      <c r="BR395" s="34"/>
      <c r="BS395" s="34"/>
      <c r="BT395" s="34"/>
      <c r="BU395" s="34"/>
      <c r="BV395" s="34"/>
      <c r="BW395" s="34"/>
      <c r="BX395" s="34"/>
      <c r="BY395" s="34"/>
      <c r="BZ395" s="34"/>
      <c r="CA395" s="34"/>
      <c r="CB395" s="34"/>
      <c r="CC395" s="34"/>
      <c r="CD395" s="34"/>
      <c r="CE395" s="34"/>
      <c r="CF395" s="34"/>
      <c r="CG395" s="34"/>
      <c r="CH395" s="34"/>
      <c r="CI395" s="8"/>
    </row>
    <row r="396" spans="1:87" x14ac:dyDescent="0.2">
      <c r="A396" s="8" t="str">
        <f>IF(AND(COUNTIF(W$3:W$13,A$25)&gt;0,A$25&lt;&gt;B292),A$25,IFERROR(IF(MATCH(A$25,Z$3:Z$13,0)=5,A$25," ")," "))</f>
        <v xml:space="preserve"> </v>
      </c>
      <c r="B396" s="8" t="str">
        <f>IF(A396=" "," ",MAX(B386:B395)+1)</f>
        <v xml:space="preserve"> </v>
      </c>
      <c r="C396" s="8" t="str">
        <f>IFERROR(INDEX(A386:A407,MATCH(SMALL(B386:B407,11),B386:B407,0),1)," ")</f>
        <v>C22</v>
      </c>
      <c r="D396" s="8">
        <f t="shared" si="1510"/>
        <v>0</v>
      </c>
      <c r="E396" s="8">
        <f t="shared" si="1511"/>
        <v>0</v>
      </c>
      <c r="F396" s="8">
        <f t="shared" si="1512"/>
        <v>0</v>
      </c>
      <c r="G396" s="8">
        <f t="shared" si="1513"/>
        <v>0</v>
      </c>
      <c r="H396" s="8">
        <f t="shared" si="1514"/>
        <v>0</v>
      </c>
      <c r="I396" s="8">
        <f t="shared" si="1515"/>
        <v>0</v>
      </c>
      <c r="J396" s="8">
        <f t="shared" si="1516"/>
        <v>0</v>
      </c>
      <c r="K396" s="8">
        <f t="shared" si="1517"/>
        <v>0</v>
      </c>
      <c r="L396" s="8">
        <f t="shared" si="1518"/>
        <v>0</v>
      </c>
      <c r="M396" s="8">
        <f t="shared" si="1519"/>
        <v>0</v>
      </c>
      <c r="N396" s="8">
        <f t="shared" si="1520"/>
        <v>1</v>
      </c>
      <c r="O396" s="8">
        <f t="shared" si="1521"/>
        <v>0</v>
      </c>
      <c r="P396" s="8" t="e">
        <v>#NUM!</v>
      </c>
      <c r="Q396" s="8" t="e">
        <f t="shared" ref="Q396" si="1553">IF(COUNTIF(P386:P396,"&lt;"&amp;-0.001)=0,IF(ABS(P396)&lt;0.001,0,P396)," ")</f>
        <v>#NUM!</v>
      </c>
      <c r="R396" s="8"/>
      <c r="S396" s="8"/>
      <c r="U396" s="34"/>
      <c r="V396" s="34"/>
      <c r="W396" s="34"/>
      <c r="X396" s="34"/>
      <c r="Y396" s="34"/>
      <c r="Z396" s="34"/>
      <c r="AA396" s="34"/>
      <c r="AB396" s="34"/>
      <c r="AC396" s="34"/>
      <c r="AD396" s="34"/>
      <c r="AE396" s="34"/>
      <c r="AF396" s="34"/>
      <c r="AG396" s="34"/>
      <c r="AH396" s="34"/>
      <c r="AI396" s="34"/>
      <c r="AJ396" s="34"/>
      <c r="AK396" s="34"/>
      <c r="AL396" s="34"/>
      <c r="AM396" s="34"/>
      <c r="AN396" s="34"/>
      <c r="AO396" s="34"/>
      <c r="AP396" s="34"/>
      <c r="AQ396" s="34"/>
      <c r="AR396" s="34"/>
      <c r="AS396" s="34"/>
      <c r="AT396" s="34"/>
      <c r="AU396" s="34"/>
      <c r="AV396" s="34"/>
      <c r="AW396" s="34"/>
      <c r="AX396" s="34"/>
      <c r="AY396" s="34"/>
      <c r="AZ396" s="34"/>
      <c r="BA396" s="34"/>
      <c r="BB396" s="34"/>
      <c r="BC396" s="34"/>
      <c r="BD396" s="34"/>
      <c r="BE396" s="34"/>
      <c r="BF396" s="34"/>
      <c r="BG396" s="34"/>
      <c r="BH396" s="34"/>
      <c r="BI396" s="34"/>
      <c r="BJ396" s="34"/>
      <c r="BK396" s="34"/>
      <c r="BL396" s="34"/>
      <c r="BM396" s="34"/>
      <c r="BN396" s="34"/>
      <c r="BO396" s="34"/>
      <c r="BP396" s="34"/>
      <c r="BQ396" s="34"/>
      <c r="BR396" s="34"/>
      <c r="BS396" s="34"/>
      <c r="BT396" s="34"/>
      <c r="BU396" s="34"/>
      <c r="BV396" s="34"/>
      <c r="BW396" s="34"/>
      <c r="BX396" s="34"/>
      <c r="BY396" s="34"/>
      <c r="BZ396" s="34"/>
      <c r="CA396" s="34"/>
      <c r="CB396" s="34"/>
      <c r="CC396" s="34"/>
      <c r="CD396" s="34"/>
      <c r="CE396" s="34"/>
      <c r="CF396" s="34"/>
      <c r="CG396" s="34"/>
      <c r="CH396" s="34"/>
      <c r="CI396" s="8"/>
    </row>
    <row r="397" spans="1:87" x14ac:dyDescent="0.2">
      <c r="A397" s="8" t="str">
        <f>IF(AND(COUNTIF(W$3:W$13,A$26)&gt;0,A$26&lt;&gt;B292),A$26,IFERROR(IF(MATCH(A$26,Z$3:Z$13,0)=5,A$26," ")," "))</f>
        <v xml:space="preserve"> </v>
      </c>
      <c r="B397" s="8" t="str">
        <f>IF(A397=" "," ",MAX(B386:B396)+1)</f>
        <v xml:space="preserve"> </v>
      </c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U397" s="34"/>
      <c r="V397" s="34"/>
      <c r="W397" s="34"/>
      <c r="X397" s="34"/>
      <c r="Y397" s="34"/>
      <c r="Z397" s="34"/>
      <c r="AA397" s="34"/>
      <c r="AB397" s="34"/>
      <c r="AC397" s="34"/>
      <c r="AD397" s="34"/>
      <c r="AE397" s="34"/>
      <c r="AF397" s="34"/>
      <c r="AG397" s="34"/>
      <c r="AH397" s="34"/>
      <c r="AI397" s="34"/>
      <c r="AJ397" s="34"/>
      <c r="AK397" s="34"/>
      <c r="AL397" s="34"/>
      <c r="AM397" s="34"/>
      <c r="AN397" s="34"/>
      <c r="AO397" s="34"/>
      <c r="AP397" s="34"/>
      <c r="AQ397" s="34"/>
      <c r="AR397" s="34"/>
      <c r="AS397" s="34"/>
      <c r="AT397" s="34"/>
      <c r="AU397" s="34"/>
      <c r="AV397" s="34"/>
      <c r="AW397" s="34"/>
      <c r="AX397" s="34"/>
      <c r="AY397" s="34"/>
      <c r="AZ397" s="34"/>
      <c r="BA397" s="34"/>
      <c r="BB397" s="34"/>
      <c r="BC397" s="34"/>
      <c r="BD397" s="34"/>
      <c r="BE397" s="34"/>
      <c r="BF397" s="34"/>
      <c r="BG397" s="34"/>
      <c r="BH397" s="34"/>
      <c r="BI397" s="34"/>
      <c r="BJ397" s="34"/>
      <c r="BK397" s="34"/>
      <c r="BL397" s="34"/>
      <c r="BM397" s="34"/>
      <c r="BN397" s="34"/>
      <c r="BO397" s="34"/>
      <c r="BP397" s="34"/>
      <c r="BQ397" s="34"/>
      <c r="BR397" s="34"/>
      <c r="BS397" s="34"/>
      <c r="BT397" s="34"/>
      <c r="BU397" s="34"/>
      <c r="BV397" s="34"/>
      <c r="BW397" s="34"/>
      <c r="BX397" s="34"/>
      <c r="BY397" s="34"/>
      <c r="BZ397" s="34"/>
      <c r="CA397" s="34"/>
      <c r="CB397" s="34"/>
      <c r="CC397" s="34"/>
      <c r="CD397" s="34"/>
      <c r="CE397" s="34"/>
      <c r="CF397" s="34"/>
      <c r="CG397" s="34"/>
      <c r="CH397" s="34"/>
      <c r="CI397" s="8"/>
    </row>
    <row r="398" spans="1:87" x14ac:dyDescent="0.2">
      <c r="A398" s="8" t="str">
        <f>IF(AND(COUNTIF(W$3:W$13,A$27)&gt;0,A$27&lt;&gt;B292),A$27,IFERROR(IF(MATCH(A$27,Z$3:Z$13,0)=5,A$27," ")," "))</f>
        <v>C13</v>
      </c>
      <c r="B398" s="8">
        <f>IF(A398=" "," ",MAX(B386:B397)+1)</f>
        <v>3</v>
      </c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U398" s="34"/>
      <c r="V398" s="34"/>
      <c r="W398" s="34"/>
      <c r="X398" s="34"/>
      <c r="Y398" s="34"/>
      <c r="Z398" s="34"/>
      <c r="AA398" s="34"/>
      <c r="AB398" s="34"/>
      <c r="AC398" s="34"/>
      <c r="AD398" s="34"/>
      <c r="AE398" s="34"/>
      <c r="AF398" s="34"/>
      <c r="AG398" s="34"/>
      <c r="AH398" s="34"/>
      <c r="AI398" s="34"/>
      <c r="AJ398" s="34"/>
      <c r="AK398" s="34"/>
      <c r="AL398" s="34"/>
      <c r="AM398" s="34"/>
      <c r="AN398" s="34"/>
      <c r="AO398" s="34"/>
      <c r="AP398" s="34"/>
      <c r="AQ398" s="34"/>
      <c r="AR398" s="34"/>
      <c r="AS398" s="34"/>
      <c r="AT398" s="34"/>
      <c r="AU398" s="34"/>
      <c r="AV398" s="34"/>
      <c r="AW398" s="34"/>
      <c r="AX398" s="34"/>
      <c r="AY398" s="34"/>
      <c r="AZ398" s="34"/>
      <c r="BA398" s="34"/>
      <c r="BB398" s="34"/>
      <c r="BC398" s="34"/>
      <c r="BD398" s="34"/>
      <c r="BE398" s="34"/>
      <c r="BF398" s="34"/>
      <c r="BG398" s="34"/>
      <c r="BH398" s="34"/>
      <c r="BI398" s="34"/>
      <c r="BJ398" s="34"/>
      <c r="BK398" s="34"/>
      <c r="BL398" s="34"/>
      <c r="BM398" s="34"/>
      <c r="BN398" s="34"/>
      <c r="BO398" s="34"/>
      <c r="BP398" s="34"/>
      <c r="BQ398" s="34"/>
      <c r="BR398" s="34"/>
      <c r="BS398" s="34"/>
      <c r="BT398" s="34"/>
      <c r="BU398" s="34"/>
      <c r="BV398" s="34"/>
      <c r="BW398" s="34"/>
      <c r="BX398" s="34"/>
      <c r="BY398" s="34"/>
      <c r="BZ398" s="34"/>
      <c r="CA398" s="34"/>
      <c r="CB398" s="34"/>
      <c r="CC398" s="34"/>
      <c r="CD398" s="34"/>
      <c r="CE398" s="34"/>
      <c r="CF398" s="34"/>
      <c r="CG398" s="34"/>
      <c r="CH398" s="34"/>
      <c r="CI398" s="8"/>
    </row>
    <row r="399" spans="1:87" x14ac:dyDescent="0.2">
      <c r="A399" s="8" t="str">
        <f>IF(AND(COUNTIF(W$3:W$13,A$28)&gt;0,A$28&lt;&gt;B292),A$28,IFERROR(IF(MATCH(A$28,Z$3:Z$13,0)=5,A$28," ")," "))</f>
        <v xml:space="preserve"> </v>
      </c>
      <c r="B399" s="8" t="str">
        <f>IF(A399=" "," ",MAX(B386:B398)+1)</f>
        <v xml:space="preserve"> </v>
      </c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U399" s="34"/>
      <c r="V399" s="34"/>
      <c r="W399" s="34"/>
      <c r="X399" s="34"/>
      <c r="Y399" s="34"/>
      <c r="Z399" s="34"/>
      <c r="AA399" s="34"/>
      <c r="AB399" s="34"/>
      <c r="AC399" s="34"/>
      <c r="AD399" s="34"/>
      <c r="AE399" s="34"/>
      <c r="AF399" s="34"/>
      <c r="AG399" s="34"/>
      <c r="AH399" s="34"/>
      <c r="AI399" s="34"/>
      <c r="AJ399" s="34"/>
      <c r="AK399" s="34"/>
      <c r="AL399" s="34"/>
      <c r="AM399" s="34"/>
      <c r="AN399" s="34"/>
      <c r="AO399" s="34"/>
      <c r="AP399" s="34"/>
      <c r="AQ399" s="34"/>
      <c r="AR399" s="34"/>
      <c r="AS399" s="34"/>
      <c r="AT399" s="34"/>
      <c r="AU399" s="34"/>
      <c r="AV399" s="34"/>
      <c r="AW399" s="34"/>
      <c r="AX399" s="34"/>
      <c r="AY399" s="34"/>
      <c r="AZ399" s="34"/>
      <c r="BA399" s="34"/>
      <c r="BB399" s="34"/>
      <c r="BC399" s="34"/>
      <c r="BD399" s="34"/>
      <c r="BE399" s="34"/>
      <c r="BF399" s="34"/>
      <c r="BG399" s="34"/>
      <c r="BH399" s="34"/>
      <c r="BI399" s="34"/>
      <c r="BJ399" s="34"/>
      <c r="BK399" s="34"/>
      <c r="BL399" s="34"/>
      <c r="BM399" s="34"/>
      <c r="BN399" s="34"/>
      <c r="BO399" s="34"/>
      <c r="BP399" s="34"/>
      <c r="BQ399" s="34"/>
      <c r="BR399" s="34"/>
      <c r="BS399" s="34"/>
      <c r="BT399" s="34"/>
      <c r="BU399" s="34"/>
      <c r="BV399" s="34"/>
      <c r="BW399" s="34"/>
      <c r="BX399" s="34"/>
      <c r="BY399" s="34"/>
      <c r="BZ399" s="34"/>
      <c r="CA399" s="34"/>
      <c r="CB399" s="34"/>
      <c r="CC399" s="34"/>
      <c r="CD399" s="34"/>
      <c r="CE399" s="34"/>
      <c r="CF399" s="34"/>
      <c r="CG399" s="34"/>
      <c r="CH399" s="34"/>
      <c r="CI399" s="8"/>
    </row>
    <row r="400" spans="1:87" x14ac:dyDescent="0.2">
      <c r="A400" s="8" t="str">
        <f>IF(AND(COUNTIF(W$3:W$13,A$29)&gt;0,A$29&lt;&gt;B292),A$29,IFERROR(IF(MATCH(A$29,Z$3:Z$13,0)=5,A$29," ")," "))</f>
        <v>C15</v>
      </c>
      <c r="B400" s="8">
        <f>IF(A400=" "," ",MAX(B386:B399)+1)</f>
        <v>4</v>
      </c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U400" s="34"/>
      <c r="V400" s="34"/>
      <c r="W400" s="34"/>
      <c r="X400" s="34"/>
      <c r="Y400" s="34"/>
      <c r="Z400" s="34"/>
      <c r="AA400" s="34"/>
      <c r="AB400" s="34"/>
      <c r="AC400" s="34"/>
      <c r="AD400" s="34"/>
      <c r="AE400" s="34"/>
      <c r="AF400" s="34"/>
      <c r="AG400" s="34"/>
      <c r="AH400" s="34"/>
      <c r="AI400" s="34"/>
      <c r="AJ400" s="34"/>
      <c r="AK400" s="34"/>
      <c r="AL400" s="34"/>
      <c r="AM400" s="34"/>
      <c r="AN400" s="34"/>
      <c r="AO400" s="34"/>
      <c r="AP400" s="34"/>
      <c r="AQ400" s="34"/>
      <c r="AR400" s="34"/>
      <c r="AS400" s="34"/>
      <c r="AT400" s="34"/>
      <c r="AU400" s="34"/>
      <c r="AV400" s="34"/>
      <c r="AW400" s="34"/>
      <c r="AX400" s="34"/>
      <c r="AY400" s="34"/>
      <c r="AZ400" s="34"/>
      <c r="BA400" s="34"/>
      <c r="BB400" s="34"/>
      <c r="BC400" s="34"/>
      <c r="BD400" s="34"/>
      <c r="BE400" s="34"/>
      <c r="BF400" s="34"/>
      <c r="BG400" s="34"/>
      <c r="BH400" s="34"/>
      <c r="BI400" s="34"/>
      <c r="BJ400" s="34"/>
      <c r="BK400" s="34"/>
      <c r="BL400" s="34"/>
      <c r="BM400" s="34"/>
      <c r="BN400" s="34"/>
      <c r="BO400" s="34"/>
      <c r="BP400" s="34"/>
      <c r="BQ400" s="34"/>
      <c r="BR400" s="34"/>
      <c r="BS400" s="34"/>
      <c r="BT400" s="34"/>
      <c r="BU400" s="34"/>
      <c r="BV400" s="34"/>
      <c r="BW400" s="34"/>
      <c r="BX400" s="34"/>
      <c r="BY400" s="34"/>
      <c r="BZ400" s="34"/>
      <c r="CA400" s="34"/>
      <c r="CB400" s="34"/>
      <c r="CC400" s="34"/>
      <c r="CD400" s="34"/>
      <c r="CE400" s="34"/>
      <c r="CF400" s="34"/>
      <c r="CG400" s="34"/>
      <c r="CH400" s="34"/>
      <c r="CI400" s="8"/>
    </row>
    <row r="401" spans="1:87" x14ac:dyDescent="0.2">
      <c r="A401" s="8" t="str">
        <f>IF(AND(COUNTIF(W$3:W$13,A$30)&gt;0,A$30&lt;&gt;B292),A$30,IFERROR(IF(MATCH(A$30,Z$3:Z$13,0)=5,A$30," ")," "))</f>
        <v>C16</v>
      </c>
      <c r="B401" s="8">
        <f>IF(A401=" "," ",MAX(B386:B400)+1)</f>
        <v>5</v>
      </c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U401" s="34"/>
      <c r="V401" s="34"/>
      <c r="W401" s="34"/>
      <c r="X401" s="34"/>
      <c r="Y401" s="34"/>
      <c r="Z401" s="34"/>
      <c r="AA401" s="34"/>
      <c r="AB401" s="34"/>
      <c r="AC401" s="34"/>
      <c r="AD401" s="34"/>
      <c r="AE401" s="34"/>
      <c r="AF401" s="34"/>
      <c r="AG401" s="34"/>
      <c r="AH401" s="34"/>
      <c r="AI401" s="34"/>
      <c r="AJ401" s="34"/>
      <c r="AK401" s="34"/>
      <c r="AL401" s="34"/>
      <c r="AM401" s="34"/>
      <c r="AN401" s="34"/>
      <c r="AO401" s="34"/>
      <c r="AP401" s="34"/>
      <c r="AQ401" s="34"/>
      <c r="AR401" s="34"/>
      <c r="AS401" s="34"/>
      <c r="AT401" s="34"/>
      <c r="AU401" s="34"/>
      <c r="AV401" s="34"/>
      <c r="AW401" s="34"/>
      <c r="AX401" s="34"/>
      <c r="AY401" s="34"/>
      <c r="AZ401" s="34"/>
      <c r="BA401" s="34"/>
      <c r="BB401" s="34"/>
      <c r="BC401" s="34"/>
      <c r="BD401" s="34"/>
      <c r="BE401" s="34"/>
      <c r="BF401" s="34"/>
      <c r="BG401" s="34"/>
      <c r="BH401" s="34"/>
      <c r="BI401" s="34"/>
      <c r="BJ401" s="34"/>
      <c r="BK401" s="34"/>
      <c r="BL401" s="34"/>
      <c r="BM401" s="34"/>
      <c r="BN401" s="34"/>
      <c r="BO401" s="34"/>
      <c r="BP401" s="34"/>
      <c r="BQ401" s="34"/>
      <c r="BR401" s="34"/>
      <c r="BS401" s="34"/>
      <c r="BT401" s="34"/>
      <c r="BU401" s="34"/>
      <c r="BV401" s="34"/>
      <c r="BW401" s="34"/>
      <c r="BX401" s="34"/>
      <c r="BY401" s="34"/>
      <c r="BZ401" s="34"/>
      <c r="CA401" s="34"/>
      <c r="CB401" s="34"/>
      <c r="CC401" s="34"/>
      <c r="CD401" s="34"/>
      <c r="CE401" s="34"/>
      <c r="CF401" s="34"/>
      <c r="CG401" s="34"/>
      <c r="CH401" s="34"/>
      <c r="CI401" s="8"/>
    </row>
    <row r="402" spans="1:87" x14ac:dyDescent="0.2">
      <c r="A402" s="8" t="str">
        <f>IF(AND(COUNTIF(W$3:W$13,A$31)&gt;0,A$31&lt;&gt;B292),A$31,IFERROR(IF(MATCH(A$31,Z$3:Z$13,0)=5,A$31," ")," "))</f>
        <v>C17</v>
      </c>
      <c r="B402" s="8">
        <f>IF(A402=" "," ",MAX(B386:B401)+1)</f>
        <v>6</v>
      </c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U402" s="34"/>
      <c r="V402" s="34"/>
      <c r="W402" s="34"/>
      <c r="X402" s="34"/>
      <c r="Y402" s="34"/>
      <c r="Z402" s="34"/>
      <c r="AA402" s="34"/>
      <c r="AB402" s="34"/>
      <c r="AC402" s="34"/>
      <c r="AD402" s="34"/>
      <c r="AE402" s="34"/>
      <c r="AF402" s="34"/>
      <c r="AG402" s="34"/>
      <c r="AH402" s="34"/>
      <c r="AI402" s="34"/>
      <c r="AJ402" s="34"/>
      <c r="AK402" s="34"/>
      <c r="AL402" s="34"/>
      <c r="AM402" s="34"/>
      <c r="AN402" s="34"/>
      <c r="AO402" s="34"/>
      <c r="AP402" s="34"/>
      <c r="AQ402" s="34"/>
      <c r="AR402" s="34"/>
      <c r="AS402" s="34"/>
      <c r="AT402" s="34"/>
      <c r="AU402" s="34"/>
      <c r="AV402" s="34"/>
      <c r="AW402" s="34"/>
      <c r="AX402" s="34"/>
      <c r="AY402" s="34"/>
      <c r="AZ402" s="34"/>
      <c r="BA402" s="34"/>
      <c r="BB402" s="34"/>
      <c r="BC402" s="34"/>
      <c r="BD402" s="34"/>
      <c r="BE402" s="34"/>
      <c r="BF402" s="34"/>
      <c r="BG402" s="34"/>
      <c r="BH402" s="34"/>
      <c r="BI402" s="34"/>
      <c r="BJ402" s="34"/>
      <c r="BK402" s="34"/>
      <c r="BL402" s="34"/>
      <c r="BM402" s="34"/>
      <c r="BN402" s="34"/>
      <c r="BO402" s="34"/>
      <c r="BP402" s="34"/>
      <c r="BQ402" s="34"/>
      <c r="BR402" s="34"/>
      <c r="BS402" s="34"/>
      <c r="BT402" s="34"/>
      <c r="BU402" s="34"/>
      <c r="BV402" s="34"/>
      <c r="BW402" s="34"/>
      <c r="BX402" s="34"/>
      <c r="BY402" s="34"/>
      <c r="BZ402" s="34"/>
      <c r="CA402" s="34"/>
      <c r="CB402" s="34"/>
      <c r="CC402" s="34"/>
      <c r="CD402" s="34"/>
      <c r="CE402" s="34"/>
      <c r="CF402" s="34"/>
      <c r="CG402" s="34"/>
      <c r="CH402" s="34"/>
      <c r="CI402" s="8"/>
    </row>
    <row r="403" spans="1:87" x14ac:dyDescent="0.2">
      <c r="A403" s="8" t="str">
        <f>IF(AND(COUNTIF(W$3:W$13,A$32)&gt;0,A$32&lt;&gt;B292),A$32,IFERROR(IF(MATCH(A$32,Z$3:Z$13,0)=5,A$32," ")," "))</f>
        <v>C18</v>
      </c>
      <c r="B403" s="8">
        <f>IF(A403=" "," ",MAX(B386:B402)+1)</f>
        <v>7</v>
      </c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U403" s="34"/>
      <c r="V403" s="34"/>
      <c r="W403" s="34"/>
      <c r="X403" s="34"/>
      <c r="Y403" s="34"/>
      <c r="Z403" s="34"/>
      <c r="AA403" s="34"/>
      <c r="AB403" s="34"/>
      <c r="AC403" s="34"/>
      <c r="AD403" s="34"/>
      <c r="AE403" s="34"/>
      <c r="AF403" s="34"/>
      <c r="AG403" s="34"/>
      <c r="AH403" s="34"/>
      <c r="AI403" s="34"/>
      <c r="AJ403" s="34"/>
      <c r="AK403" s="34"/>
      <c r="AL403" s="34"/>
      <c r="AM403" s="34"/>
      <c r="AN403" s="34"/>
      <c r="AO403" s="34"/>
      <c r="AP403" s="34"/>
      <c r="AQ403" s="34"/>
      <c r="AR403" s="34"/>
      <c r="AS403" s="34"/>
      <c r="AT403" s="34"/>
      <c r="AU403" s="34"/>
      <c r="AV403" s="34"/>
      <c r="AW403" s="34"/>
      <c r="AX403" s="34"/>
      <c r="AY403" s="34"/>
      <c r="AZ403" s="34"/>
      <c r="BA403" s="34"/>
      <c r="BB403" s="34"/>
      <c r="BC403" s="34"/>
      <c r="BD403" s="34"/>
      <c r="BE403" s="34"/>
      <c r="BF403" s="34"/>
      <c r="BG403" s="34"/>
      <c r="BH403" s="34"/>
      <c r="BI403" s="34"/>
      <c r="BJ403" s="34"/>
      <c r="BK403" s="34"/>
      <c r="BL403" s="34"/>
      <c r="BM403" s="34"/>
      <c r="BN403" s="34"/>
      <c r="BO403" s="34"/>
      <c r="BP403" s="34"/>
      <c r="BQ403" s="34"/>
      <c r="BR403" s="34"/>
      <c r="BS403" s="34"/>
      <c r="BT403" s="34"/>
      <c r="BU403" s="34"/>
      <c r="BV403" s="34"/>
      <c r="BW403" s="34"/>
      <c r="BX403" s="34"/>
      <c r="BY403" s="34"/>
      <c r="BZ403" s="34"/>
      <c r="CA403" s="34"/>
      <c r="CB403" s="34"/>
      <c r="CC403" s="34"/>
      <c r="CD403" s="34"/>
      <c r="CE403" s="34"/>
      <c r="CF403" s="34"/>
      <c r="CG403" s="34"/>
      <c r="CH403" s="34"/>
      <c r="CI403" s="8"/>
    </row>
    <row r="404" spans="1:87" x14ac:dyDescent="0.2">
      <c r="A404" s="8" t="str">
        <f>IF(AND(COUNTIF(W$3:W$13,A$33)&gt;0,A$33&lt;&gt;B292),A$33,IFERROR(IF(MATCH(A$33,Z$3:Z$13,0)=5,A$33," ")," "))</f>
        <v>C19</v>
      </c>
      <c r="B404" s="8">
        <f>IF(A404=" "," ",MAX(B386:B403)+1)</f>
        <v>8</v>
      </c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U404" s="34"/>
      <c r="V404" s="34"/>
      <c r="W404" s="34"/>
      <c r="X404" s="34"/>
      <c r="Y404" s="34"/>
      <c r="Z404" s="34"/>
      <c r="AA404" s="34"/>
      <c r="AB404" s="34"/>
      <c r="AC404" s="34"/>
      <c r="AD404" s="34"/>
      <c r="AE404" s="34"/>
      <c r="AF404" s="34"/>
      <c r="AG404" s="34"/>
      <c r="AH404" s="34"/>
      <c r="AI404" s="34"/>
      <c r="AJ404" s="34"/>
      <c r="AK404" s="34"/>
      <c r="AL404" s="34"/>
      <c r="AM404" s="34"/>
      <c r="AN404" s="34"/>
      <c r="AO404" s="34"/>
      <c r="AP404" s="34"/>
      <c r="AQ404" s="34"/>
      <c r="AR404" s="34"/>
      <c r="AS404" s="34"/>
      <c r="AT404" s="34"/>
      <c r="AU404" s="34"/>
      <c r="AV404" s="34"/>
      <c r="AW404" s="34"/>
      <c r="AX404" s="34"/>
      <c r="AY404" s="34"/>
      <c r="AZ404" s="34"/>
      <c r="BA404" s="34"/>
      <c r="BB404" s="34"/>
      <c r="BC404" s="34"/>
      <c r="BD404" s="34"/>
      <c r="BE404" s="34"/>
      <c r="BF404" s="34"/>
      <c r="BG404" s="34"/>
      <c r="BH404" s="34"/>
      <c r="BI404" s="34"/>
      <c r="BJ404" s="34"/>
      <c r="BK404" s="34"/>
      <c r="BL404" s="34"/>
      <c r="BM404" s="34"/>
      <c r="BN404" s="34"/>
      <c r="BO404" s="34"/>
      <c r="BP404" s="34"/>
      <c r="BQ404" s="34"/>
      <c r="BR404" s="34"/>
      <c r="BS404" s="34"/>
      <c r="BT404" s="34"/>
      <c r="BU404" s="34"/>
      <c r="BV404" s="34"/>
      <c r="BW404" s="34"/>
      <c r="BX404" s="34"/>
      <c r="BY404" s="34"/>
      <c r="BZ404" s="34"/>
      <c r="CA404" s="34"/>
      <c r="CB404" s="34"/>
      <c r="CC404" s="34"/>
      <c r="CD404" s="34"/>
      <c r="CE404" s="34"/>
      <c r="CF404" s="34"/>
      <c r="CG404" s="34"/>
      <c r="CH404" s="34"/>
      <c r="CI404" s="8"/>
    </row>
    <row r="405" spans="1:87" x14ac:dyDescent="0.2">
      <c r="A405" s="8" t="str">
        <f>IF(AND(COUNTIF(W$3:W$13,A$34)&gt;0,A$34&lt;&gt;B292),A$34,IFERROR(IF(MATCH(A$34,Z$3:Z$13,0)=5,A$34," ")," "))</f>
        <v>C20</v>
      </c>
      <c r="B405" s="8">
        <f>IF(A405=" "," ",MAX(B386:B404)+1)</f>
        <v>9</v>
      </c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U405" s="34"/>
      <c r="V405" s="34"/>
      <c r="W405" s="34"/>
      <c r="X405" s="34"/>
      <c r="Y405" s="34"/>
      <c r="Z405" s="34"/>
      <c r="AA405" s="34"/>
      <c r="AB405" s="34"/>
      <c r="AC405" s="34"/>
      <c r="AD405" s="34"/>
      <c r="AE405" s="34"/>
      <c r="AF405" s="34"/>
      <c r="AG405" s="34"/>
      <c r="AH405" s="34"/>
      <c r="AI405" s="34"/>
      <c r="AJ405" s="34"/>
      <c r="AK405" s="34"/>
      <c r="AL405" s="34"/>
      <c r="AM405" s="34"/>
      <c r="AN405" s="34"/>
      <c r="AO405" s="34"/>
      <c r="AP405" s="34"/>
      <c r="AQ405" s="34"/>
      <c r="AR405" s="34"/>
      <c r="AS405" s="34"/>
      <c r="AT405" s="34"/>
      <c r="AU405" s="34"/>
      <c r="AV405" s="34"/>
      <c r="AW405" s="34"/>
      <c r="AX405" s="34"/>
      <c r="AY405" s="34"/>
      <c r="AZ405" s="34"/>
      <c r="BA405" s="34"/>
      <c r="BB405" s="34"/>
      <c r="BC405" s="34"/>
      <c r="BD405" s="34"/>
      <c r="BE405" s="34"/>
      <c r="BF405" s="34"/>
      <c r="BG405" s="34"/>
      <c r="BH405" s="34"/>
      <c r="BI405" s="34"/>
      <c r="BJ405" s="34"/>
      <c r="BK405" s="34"/>
      <c r="BL405" s="34"/>
      <c r="BM405" s="34"/>
      <c r="BN405" s="34"/>
      <c r="BO405" s="34"/>
      <c r="BP405" s="34"/>
      <c r="BQ405" s="34"/>
      <c r="BR405" s="34"/>
      <c r="BS405" s="34"/>
      <c r="BT405" s="34"/>
      <c r="BU405" s="34"/>
      <c r="BV405" s="34"/>
      <c r="BW405" s="34"/>
      <c r="BX405" s="34"/>
      <c r="BY405" s="34"/>
      <c r="BZ405" s="34"/>
      <c r="CA405" s="34"/>
      <c r="CB405" s="34"/>
      <c r="CC405" s="34"/>
      <c r="CD405" s="34"/>
      <c r="CE405" s="34"/>
      <c r="CF405" s="34"/>
      <c r="CG405" s="34"/>
      <c r="CH405" s="34"/>
      <c r="CI405" s="8"/>
    </row>
    <row r="406" spans="1:87" x14ac:dyDescent="0.2">
      <c r="A406" s="8" t="str">
        <f>IF(AND(COUNTIF(W$3:W$13,A$35)&gt;0,A$35&lt;&gt;B292),A$35,IFERROR(IF(MATCH(A$35,Z$3:Z$13,0)=5,A$35," ")," "))</f>
        <v>C21</v>
      </c>
      <c r="B406" s="8">
        <f>IF(A406=" "," ",MAX(B386:B405)+1)</f>
        <v>10</v>
      </c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U406" s="34"/>
      <c r="V406" s="34"/>
      <c r="W406" s="34"/>
      <c r="X406" s="34"/>
      <c r="Y406" s="34"/>
      <c r="Z406" s="34"/>
      <c r="AA406" s="34"/>
      <c r="AB406" s="34"/>
      <c r="AC406" s="34"/>
      <c r="AD406" s="34"/>
      <c r="AE406" s="34"/>
      <c r="AF406" s="34"/>
      <c r="AG406" s="34"/>
      <c r="AH406" s="34"/>
      <c r="AI406" s="34"/>
      <c r="AJ406" s="34"/>
      <c r="AK406" s="34"/>
      <c r="AL406" s="34"/>
      <c r="AM406" s="34"/>
      <c r="AN406" s="34"/>
      <c r="AO406" s="34"/>
      <c r="AP406" s="34"/>
      <c r="AQ406" s="34"/>
      <c r="AR406" s="34"/>
      <c r="AS406" s="34"/>
      <c r="AT406" s="34"/>
      <c r="AU406" s="34"/>
      <c r="AV406" s="34"/>
      <c r="AW406" s="34"/>
      <c r="AX406" s="34"/>
      <c r="AY406" s="34"/>
      <c r="AZ406" s="34"/>
      <c r="BA406" s="34"/>
      <c r="BB406" s="34"/>
      <c r="BC406" s="34"/>
      <c r="BD406" s="34"/>
      <c r="BE406" s="34"/>
      <c r="BF406" s="34"/>
      <c r="BG406" s="34"/>
      <c r="BH406" s="34"/>
      <c r="BI406" s="34"/>
      <c r="BJ406" s="34"/>
      <c r="BK406" s="34"/>
      <c r="BL406" s="34"/>
      <c r="BM406" s="34"/>
      <c r="BN406" s="34"/>
      <c r="BO406" s="34"/>
      <c r="BP406" s="34"/>
      <c r="BQ406" s="34"/>
      <c r="BR406" s="34"/>
      <c r="BS406" s="34"/>
      <c r="BT406" s="34"/>
      <c r="BU406" s="34"/>
      <c r="BV406" s="34"/>
      <c r="BW406" s="34"/>
      <c r="BX406" s="34"/>
      <c r="BY406" s="34"/>
      <c r="BZ406" s="34"/>
      <c r="CA406" s="34"/>
      <c r="CB406" s="34"/>
      <c r="CC406" s="34"/>
      <c r="CD406" s="34"/>
      <c r="CE406" s="34"/>
      <c r="CF406" s="34"/>
      <c r="CG406" s="34"/>
      <c r="CH406" s="34"/>
      <c r="CI406" s="8"/>
    </row>
    <row r="407" spans="1:87" x14ac:dyDescent="0.2">
      <c r="A407" s="8" t="str">
        <f>IF(AND(COUNTIF(W$3:W$13,A$36)&gt;0,A$36&lt;&gt;B292),A$36,IFERROR(IF(MATCH(A$36,Z$3:Z$13,0)=5,A$36," ")," "))</f>
        <v>C22</v>
      </c>
      <c r="B407" s="8">
        <f>IF(A407=" "," ",MAX(B386:B406)+1)</f>
        <v>11</v>
      </c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U407" s="34"/>
      <c r="V407" s="34"/>
      <c r="W407" s="34"/>
      <c r="X407" s="34"/>
      <c r="Y407" s="34"/>
      <c r="Z407" s="34"/>
      <c r="AA407" s="34"/>
      <c r="AB407" s="34"/>
      <c r="AC407" s="34"/>
      <c r="AD407" s="34"/>
      <c r="AE407" s="34"/>
      <c r="AF407" s="34"/>
      <c r="AG407" s="34"/>
      <c r="AH407" s="34"/>
      <c r="AI407" s="34"/>
      <c r="AJ407" s="34"/>
      <c r="AK407" s="34"/>
      <c r="AL407" s="34"/>
      <c r="AM407" s="34"/>
      <c r="AN407" s="34"/>
      <c r="AO407" s="34"/>
      <c r="AP407" s="34"/>
      <c r="AQ407" s="34"/>
      <c r="AR407" s="34"/>
      <c r="AS407" s="34"/>
      <c r="AT407" s="34"/>
      <c r="AU407" s="34"/>
      <c r="AV407" s="34"/>
      <c r="AW407" s="34"/>
      <c r="AX407" s="34"/>
      <c r="AY407" s="34"/>
      <c r="AZ407" s="34"/>
      <c r="BA407" s="34"/>
      <c r="BB407" s="34"/>
      <c r="BC407" s="34"/>
      <c r="BD407" s="34"/>
      <c r="BE407" s="34"/>
      <c r="BF407" s="34"/>
      <c r="BG407" s="34"/>
      <c r="BH407" s="34"/>
      <c r="BI407" s="34"/>
      <c r="BJ407" s="34"/>
      <c r="BK407" s="34"/>
      <c r="BL407" s="34"/>
      <c r="BM407" s="34"/>
      <c r="BN407" s="34"/>
      <c r="BO407" s="34"/>
      <c r="BP407" s="34"/>
      <c r="BQ407" s="34"/>
      <c r="BR407" s="34"/>
      <c r="BS407" s="34"/>
      <c r="BT407" s="34"/>
      <c r="BU407" s="34"/>
      <c r="BV407" s="34"/>
      <c r="BW407" s="34"/>
      <c r="BX407" s="34"/>
      <c r="BY407" s="34"/>
      <c r="BZ407" s="34"/>
      <c r="CA407" s="34"/>
      <c r="CB407" s="34"/>
      <c r="CC407" s="34"/>
      <c r="CD407" s="34"/>
      <c r="CE407" s="34"/>
      <c r="CF407" s="34"/>
      <c r="CG407" s="34"/>
      <c r="CH407" s="34"/>
      <c r="CI407" s="8"/>
    </row>
    <row r="408" spans="1:87" x14ac:dyDescent="0.2">
      <c r="A408" s="11" t="s">
        <v>17</v>
      </c>
      <c r="B408" s="11"/>
      <c r="C408" s="27" t="s">
        <v>18</v>
      </c>
      <c r="D408" s="27" t="s">
        <v>2</v>
      </c>
      <c r="E408" s="27" t="s">
        <v>6</v>
      </c>
      <c r="F408" s="27" t="s">
        <v>15</v>
      </c>
      <c r="G408" s="27" t="s">
        <v>36</v>
      </c>
      <c r="H408" s="27" t="s">
        <v>37</v>
      </c>
      <c r="I408" s="27" t="s">
        <v>38</v>
      </c>
      <c r="J408" s="27" t="s">
        <v>39</v>
      </c>
      <c r="K408" s="27" t="s">
        <v>40</v>
      </c>
      <c r="L408" s="27" t="s">
        <v>41</v>
      </c>
      <c r="M408" s="27" t="s">
        <v>42</v>
      </c>
      <c r="N408" s="27" t="s">
        <v>43</v>
      </c>
      <c r="O408" s="27" t="s">
        <v>9</v>
      </c>
      <c r="P408" s="27" t="s">
        <v>12</v>
      </c>
      <c r="Q408" s="27" t="s">
        <v>19</v>
      </c>
      <c r="R408" s="27" t="s">
        <v>55</v>
      </c>
      <c r="S408" s="27" t="s">
        <v>26</v>
      </c>
      <c r="T408" s="19" t="s">
        <v>25</v>
      </c>
      <c r="U408" s="33" t="s">
        <v>27</v>
      </c>
      <c r="V408" s="33" t="s">
        <v>9</v>
      </c>
      <c r="W408" s="33" t="s">
        <v>23</v>
      </c>
      <c r="X408" s="33" t="s">
        <v>12</v>
      </c>
      <c r="Y408" s="33" t="s">
        <v>26</v>
      </c>
      <c r="Z408" s="33" t="s">
        <v>25</v>
      </c>
      <c r="AA408" s="33" t="s">
        <v>27</v>
      </c>
      <c r="AB408" s="33" t="s">
        <v>9</v>
      </c>
      <c r="AC408" s="33" t="s">
        <v>23</v>
      </c>
      <c r="AD408" s="33" t="s">
        <v>12</v>
      </c>
      <c r="AE408" s="33" t="s">
        <v>26</v>
      </c>
      <c r="AF408" s="33" t="s">
        <v>25</v>
      </c>
      <c r="AG408" s="33" t="s">
        <v>27</v>
      </c>
      <c r="AH408" s="33" t="s">
        <v>9</v>
      </c>
      <c r="AI408" s="33" t="s">
        <v>23</v>
      </c>
      <c r="AJ408" s="33" t="s">
        <v>12</v>
      </c>
      <c r="AK408" s="33" t="s">
        <v>26</v>
      </c>
      <c r="AL408" s="33" t="s">
        <v>25</v>
      </c>
      <c r="AM408" s="33" t="s">
        <v>27</v>
      </c>
      <c r="AN408" s="33" t="s">
        <v>9</v>
      </c>
      <c r="AO408" s="33" t="s">
        <v>23</v>
      </c>
      <c r="AP408" s="33" t="s">
        <v>12</v>
      </c>
      <c r="AQ408" s="33" t="s">
        <v>26</v>
      </c>
      <c r="AR408" s="33" t="s">
        <v>25</v>
      </c>
      <c r="AS408" s="33" t="s">
        <v>27</v>
      </c>
      <c r="AT408" s="33" t="s">
        <v>9</v>
      </c>
      <c r="AU408" s="33" t="s">
        <v>23</v>
      </c>
      <c r="AV408" s="33" t="s">
        <v>12</v>
      </c>
      <c r="AW408" s="33" t="s">
        <v>26</v>
      </c>
      <c r="AX408" s="33" t="s">
        <v>25</v>
      </c>
      <c r="AY408" s="33" t="s">
        <v>27</v>
      </c>
      <c r="AZ408" s="33" t="s">
        <v>9</v>
      </c>
      <c r="BA408" s="33" t="s">
        <v>23</v>
      </c>
      <c r="BB408" s="33" t="s">
        <v>12</v>
      </c>
      <c r="BC408" s="33" t="s">
        <v>26</v>
      </c>
      <c r="BD408" s="33" t="s">
        <v>25</v>
      </c>
      <c r="BE408" s="33" t="s">
        <v>27</v>
      </c>
      <c r="BF408" s="33" t="s">
        <v>9</v>
      </c>
      <c r="BG408" s="33" t="s">
        <v>23</v>
      </c>
      <c r="BH408" s="33" t="s">
        <v>12</v>
      </c>
      <c r="BI408" s="33" t="s">
        <v>26</v>
      </c>
      <c r="BJ408" s="33" t="s">
        <v>25</v>
      </c>
      <c r="BK408" s="33" t="s">
        <v>27</v>
      </c>
      <c r="BL408" s="33" t="s">
        <v>9</v>
      </c>
      <c r="BM408" s="33" t="s">
        <v>23</v>
      </c>
      <c r="BN408" s="33" t="s">
        <v>12</v>
      </c>
      <c r="BO408" s="33" t="s">
        <v>26</v>
      </c>
      <c r="BP408" s="33" t="s">
        <v>25</v>
      </c>
      <c r="BQ408" s="33" t="s">
        <v>27</v>
      </c>
      <c r="BR408" s="33" t="s">
        <v>9</v>
      </c>
      <c r="BS408" s="33" t="s">
        <v>23</v>
      </c>
      <c r="BT408" s="33" t="s">
        <v>12</v>
      </c>
      <c r="BU408" s="33" t="s">
        <v>26</v>
      </c>
      <c r="BV408" s="33" t="s">
        <v>25</v>
      </c>
      <c r="BW408" s="33" t="s">
        <v>27</v>
      </c>
      <c r="BX408" s="33" t="s">
        <v>9</v>
      </c>
      <c r="BY408" s="33" t="s">
        <v>23</v>
      </c>
      <c r="BZ408" s="33" t="s">
        <v>12</v>
      </c>
      <c r="CA408" s="33" t="s">
        <v>26</v>
      </c>
      <c r="CB408" s="33" t="s">
        <v>25</v>
      </c>
      <c r="CC408" s="33" t="s">
        <v>27</v>
      </c>
      <c r="CD408" s="33" t="s">
        <v>9</v>
      </c>
      <c r="CE408" s="33" t="s">
        <v>23</v>
      </c>
      <c r="CF408" s="33" t="s">
        <v>12</v>
      </c>
      <c r="CG408" s="33" t="s">
        <v>26</v>
      </c>
      <c r="CH408" s="33" t="s">
        <v>25</v>
      </c>
      <c r="CI408" s="8"/>
    </row>
    <row r="409" spans="1:87" x14ac:dyDescent="0.2">
      <c r="A409" s="8" t="str">
        <f>IF(AND(COUNTIF(W$3:W$13,A$15)&gt;0,A$15&lt;&gt;B292),A$15,IFERROR(IF(MATCH(A$15,Z$3:Z$13,0)=6,A$15," ")," "))</f>
        <v xml:space="preserve"> </v>
      </c>
      <c r="B409" s="8" t="str">
        <f>IF(A409=" "," ",1)</f>
        <v xml:space="preserve"> </v>
      </c>
      <c r="C409" s="8" t="str">
        <f>IFERROR(INDEX(A409:A430,MATCH(SMALL(B409:B430,1),B409:B430,0),1)," ")</f>
        <v>C3</v>
      </c>
      <c r="D409" s="8">
        <f>IFERROR(VLOOKUP($C409,$A$15:$O$36,2,FALSE)," ")</f>
        <v>2</v>
      </c>
      <c r="E409" s="8">
        <f>IFERROR(VLOOKUP($C409,$A$15:$O$36,3,FALSE)," ")</f>
        <v>5</v>
      </c>
      <c r="F409" s="8">
        <f>IFERROR(VLOOKUP($C409,$A$15:$O$36,4,FALSE)," ")</f>
        <v>6</v>
      </c>
      <c r="G409" s="8">
        <f>IFERROR(VLOOKUP($C409,$A$15:$O$36,5,FALSE)," ")</f>
        <v>0</v>
      </c>
      <c r="H409" s="8">
        <f>IFERROR(VLOOKUP($C409,$A$15:$O$36,6,FALSE)," ")</f>
        <v>0</v>
      </c>
      <c r="I409" s="8">
        <f>IFERROR(VLOOKUP($C409,$A$15:$O$36,7,FALSE)," ")</f>
        <v>0</v>
      </c>
      <c r="J409" s="8">
        <f>IFERROR(VLOOKUP($C409,$A$15:$O$36,8,FALSE)," ")</f>
        <v>0</v>
      </c>
      <c r="K409" s="8">
        <f>IFERROR(VLOOKUP($C409,$A$15:$O$36,9,FALSE)," ")</f>
        <v>0</v>
      </c>
      <c r="L409" s="8">
        <f>IFERROR(VLOOKUP($C409,$A$15:$O$36,10,FALSE)," ")</f>
        <v>0</v>
      </c>
      <c r="M409" s="8">
        <f>IFERROR(VLOOKUP($C409,$A$15:$O$36,11,FALSE)," ")</f>
        <v>0</v>
      </c>
      <c r="N409" s="8">
        <f>IFERROR(VLOOKUP($C409,$A$15:$O$36,12,FALSE)," ")</f>
        <v>0</v>
      </c>
      <c r="O409" s="8">
        <f>IFERROR(VLOOKUP($C409,$A$15:$O$36,15,FALSE)," ")</f>
        <v>2000</v>
      </c>
      <c r="P409" s="8" t="e">
        <f t="array" ref="P409:P419">MMULT(MINVERSE(D409:N419),O409:O419)</f>
        <v>#NUM!</v>
      </c>
      <c r="Q409" s="8" t="e">
        <f t="shared" ref="Q409" si="1554">IF(COUNTIF(P409:P419,"&lt;"&amp;-0.001)=0,IF(ABS(P409)&lt;0.001,0,P409)," ")</f>
        <v>#NUM!</v>
      </c>
      <c r="R409" s="8" t="str">
        <f>IFERROR(VLOOKUP(B292,A$15:L$36,2,FALSE)*Q409+VLOOKUP(B292,A$15:L$36,3,FALSE)*Q410+VLOOKUP(B292,A$15:L$36,4,FALSE)*Q411+VLOOKUP(B292,A$15:L$36,5,FALSE)*Q412+VLOOKUP(B292,A$15:L$36,6,FALSE)*Q413+VLOOKUP(B292,A$15:L$36,7,FALSE)*Q414+VLOOKUP(B292,A$15:L$36,8,FALSE)*Q415+VLOOKUP(B292,A$15:L$36,9,FALSE)*Q416+VLOOKUP(B292,A$15:L$36,10,FALSE)*Q417+VLOOKUP(B292,A$15:L$36,11,FALSE)*Q418+VLOOKUP(B292,A$15:L$36,12,FALSE)*Q419," ")</f>
        <v xml:space="preserve"> </v>
      </c>
      <c r="S409" s="8" t="str">
        <f>IFERROR(IF(R409-VLOOKUP(B292,A$15:O$36,15,FALSE)&lt;0,R409-VLOOKUP(B292,A$15:O$36,15,FALSE)," ")," ")</f>
        <v xml:space="preserve"> </v>
      </c>
      <c r="T409" s="18" t="str">
        <f>IFERROR(IF(R409-VLOOKUP(B292,A$15:O$36,15,FALSE)&gt;0,R409-VLOOKUP(B292,A$15:O$36,15,FALSE)," ")," ")</f>
        <v xml:space="preserve"> </v>
      </c>
      <c r="U409" s="34">
        <f t="shared" ref="U409" si="1555">$M$2</f>
        <v>100.00000000000001</v>
      </c>
      <c r="V409" s="34">
        <v>-1</v>
      </c>
      <c r="W409" s="34">
        <f t="shared" ref="W409" si="1556">-SUMPRODUCT($M$3:$M$12,$N$3:$N$12)</f>
        <v>-105000</v>
      </c>
      <c r="X409" s="34" t="e">
        <f t="shared" ref="X409" si="1557">IF(U409&lt;&gt;U410,MMULT(MINVERSE(U409:V410),W409:W410)," ")</f>
        <v>#NUM!</v>
      </c>
      <c r="Y409" s="34" t="str">
        <f t="shared" ref="Y409" si="1558">IFERROR(IF(X409-VLOOKUP(U$38,$A$2:$N$12,14,FALSE)&lt;0,X409-VLOOKUP(U$38,$A$2:$N$12,14,FALSE)," ")," ")</f>
        <v xml:space="preserve"> </v>
      </c>
      <c r="Z409" s="34" t="str">
        <f t="shared" ref="Z409" si="1559">IFERROR(IF(X409-VLOOKUP(U$38,$A$2:$N$12,14,FALSE)&gt;0,X409-VLOOKUP(U$38,$A$2:$N$12,14,FALSE)," ")," ")</f>
        <v xml:space="preserve"> </v>
      </c>
      <c r="AA409" s="34">
        <f t="shared" ref="AA409" si="1560">$M$3</f>
        <v>0</v>
      </c>
      <c r="AB409" s="34">
        <v>-1</v>
      </c>
      <c r="AC409" s="34">
        <f t="shared" ref="AC409" si="1561">-SUMPRODUCT($M$2:$M$2,$N$2:$N$2)-SUMPRODUCT($M$4:$M$12,$N$4:$N$12)</f>
        <v>-120000</v>
      </c>
      <c r="AD409" s="34" t="e">
        <f t="shared" ref="AD409" si="1562">IF(AA409&lt;&gt;AA410,MMULT(MINVERSE(AA409:AB410),AC409:AC410)," ")</f>
        <v>#NUM!</v>
      </c>
      <c r="AE409" s="34" t="str">
        <f t="shared" ref="AE409" si="1563">IFERROR(IF(AD409-VLOOKUP(AA$38,$A$2:$N$12,14,FALSE)&lt;0,AD409-VLOOKUP(AA$38,$A$2:$N$12,14,FALSE)," ")," ")</f>
        <v xml:space="preserve"> </v>
      </c>
      <c r="AF409" s="34" t="str">
        <f t="shared" ref="AF409" si="1564">IFERROR(IF(AD409-VLOOKUP(AA$38,$A$2:$N$12,14,FALSE)&gt;0,AD409-VLOOKUP(AA$38,$A$2:$N$12,14,FALSE)," ")," ")</f>
        <v xml:space="preserve"> </v>
      </c>
      <c r="AG409" s="34">
        <f t="shared" ref="AG409" si="1565">$M$4</f>
        <v>300</v>
      </c>
      <c r="AH409" s="34">
        <v>-1</v>
      </c>
      <c r="AI409" s="34">
        <f t="shared" ref="AI409" si="1566">-SUMPRODUCT($M$2:$M$3,$N$2:$N$3)-SUMPRODUCT($M$5:$M$12,$N$5:$N$12)</f>
        <v>-15000.000000000002</v>
      </c>
      <c r="AJ409" s="34" t="e">
        <f t="shared" ref="AJ409" si="1567">IF(AG409&lt;&gt;AG410,MMULT(MINVERSE(AG409:AH410),AI409:AI410)," ")</f>
        <v>#NUM!</v>
      </c>
      <c r="AK409" s="34" t="str">
        <f t="shared" ref="AK409" si="1568">IFERROR(IF(AJ409-VLOOKUP(AG$38,$A$2:$N$12,14,FALSE)&lt;0,AJ409-VLOOKUP(AG$38,$A$2:$N$12,14,FALSE)," ")," ")</f>
        <v xml:space="preserve"> </v>
      </c>
      <c r="AL409" s="34" t="str">
        <f t="shared" ref="AL409" si="1569">IFERROR(IF(AJ409-VLOOKUP(AG$38,$A$2:$N$12,14,FALSE)&gt;0,AJ409-VLOOKUP(AG$38,$A$2:$N$12,14,FALSE)," ")," ")</f>
        <v xml:space="preserve"> </v>
      </c>
      <c r="AM409" s="34">
        <f t="shared" ref="AM409" si="1570">$M$5</f>
        <v>0</v>
      </c>
      <c r="AN409" s="34">
        <v>-1</v>
      </c>
      <c r="AO409" s="34">
        <f t="shared" ref="AO409" si="1571">-SUMPRODUCT($M$2:$M$4,$N$2:$N$4)-SUMPRODUCT($M$6:$M$12,$N$6:$N$12)</f>
        <v>-120000</v>
      </c>
      <c r="AP409" s="34" t="e">
        <f t="shared" ref="AP409" si="1572">IF(AM409&lt;&gt;AM410,MMULT(MINVERSE(AM409:AN410),AO409:AO410)," ")</f>
        <v>#NUM!</v>
      </c>
      <c r="AQ409" s="34" t="str">
        <f t="shared" ref="AQ409" si="1573">IFERROR(IF(AP409-VLOOKUP(AM$38,$A$2:$N$12,14,FALSE)&lt;0,AP409-VLOOKUP(AM$38,$A$2:$N$12,14,FALSE)," ")," ")</f>
        <v xml:space="preserve"> </v>
      </c>
      <c r="AR409" s="34" t="str">
        <f t="shared" ref="AR409" si="1574">IFERROR(IF(AP409-VLOOKUP(AM$38,$A$2:$N$12,14,FALSE)&gt;0,AP409-VLOOKUP(AM$38,$A$2:$N$12,14,FALSE)," ")," ")</f>
        <v xml:space="preserve"> </v>
      </c>
      <c r="AS409" s="34">
        <f t="shared" ref="AS409" si="1575">$M$6</f>
        <v>0</v>
      </c>
      <c r="AT409" s="34">
        <v>-1</v>
      </c>
      <c r="AU409" s="34">
        <f t="shared" ref="AU409" si="1576">-SUMPRODUCT($M$2:$M$5,$N$2:$N$5)-SUMPRODUCT($M$7:$M$12,$N$7:$N$12)</f>
        <v>-120000</v>
      </c>
      <c r="AV409" s="34" t="e">
        <f t="shared" ref="AV409" si="1577">IF(AS409&lt;&gt;AS410,MMULT(MINVERSE(AS409:AT410),AU409:AU410)," ")</f>
        <v>#NUM!</v>
      </c>
      <c r="AW409" s="34" t="str">
        <f t="shared" ref="AW409" si="1578">IFERROR(IF(AV409-VLOOKUP(AS$38,$A$2:$N$12,14,FALSE)&lt;0,AV409-VLOOKUP(AS$38,$A$2:$N$12,14,FALSE)," ")," ")</f>
        <v xml:space="preserve"> </v>
      </c>
      <c r="AX409" s="34" t="str">
        <f t="shared" ref="AX409" si="1579">IFERROR(IF(AV409-VLOOKUP(AS$38,$A$2:$N$12,14,FALSE)&gt;0,AV409-VLOOKUP(AS$38,$A$2:$N$12,14,FALSE)," ")," ")</f>
        <v xml:space="preserve"> </v>
      </c>
      <c r="AY409" s="34">
        <f t="shared" ref="AY409" si="1580">$M$7</f>
        <v>0</v>
      </c>
      <c r="AZ409" s="34">
        <v>-1</v>
      </c>
      <c r="BA409" s="34">
        <f t="shared" ref="BA409" si="1581">-SUMPRODUCT($M$2:$M$6,$N$2:$N$6)-SUMPRODUCT($M$8:$M$12,$N$8:$N$12)</f>
        <v>-120000</v>
      </c>
      <c r="BB409" s="34" t="e">
        <f t="shared" ref="BB409" si="1582">IF(AY409&lt;&gt;AY410,MMULT(MINVERSE(AY409:AZ410),BA409:BA410)," ")</f>
        <v>#NUM!</v>
      </c>
      <c r="BC409" s="34" t="str">
        <f t="shared" ref="BC409" si="1583">IFERROR(IF(BB409-VLOOKUP(AY$38,$A$2:$N$12,14,FALSE)&lt;0,BB409-VLOOKUP(AY$38,$A$2:$N$12,14,FALSE)," ")," ")</f>
        <v xml:space="preserve"> </v>
      </c>
      <c r="BD409" s="34" t="str">
        <f t="shared" ref="BD409" si="1584">IFERROR(IF(BB409-VLOOKUP(AY$38,$A$2:$N$12,14,FALSE)&gt;0,BB409-VLOOKUP(AY$38,$A$2:$N$12,14,FALSE)," ")," ")</f>
        <v xml:space="preserve"> </v>
      </c>
      <c r="BE409" s="34">
        <f t="shared" ref="BE409" si="1585">$M$8</f>
        <v>0</v>
      </c>
      <c r="BF409" s="34">
        <v>-1</v>
      </c>
      <c r="BG409" s="34">
        <f t="shared" ref="BG409" si="1586">-SUMPRODUCT($M$2:$M$7,$N$2:$N$7)-SUMPRODUCT($M$9:$M$12,$N$9:$N$12)</f>
        <v>-120000</v>
      </c>
      <c r="BH409" s="34" t="e">
        <f t="shared" ref="BH409" si="1587">IF(BE409&lt;&gt;BE410,MMULT(MINVERSE(BE409:BF410),BG409:BG410)," ")</f>
        <v>#NUM!</v>
      </c>
      <c r="BI409" s="34" t="str">
        <f t="shared" ref="BI409" si="1588">IFERROR(IF(BH409-VLOOKUP(BE$38,$A$2:$N$12,14,FALSE)&lt;0,BH409-VLOOKUP(BE$38,$A$2:$N$12,14,FALSE)," ")," ")</f>
        <v xml:space="preserve"> </v>
      </c>
      <c r="BJ409" s="34" t="str">
        <f t="shared" ref="BJ409" si="1589">IFERROR(IF(BH409-VLOOKUP(BE$38,$A$2:$N$12,14,FALSE)&gt;0,BH409-VLOOKUP(BE$38,$A$2:$N$12,14,FALSE)," ")," ")</f>
        <v xml:space="preserve"> </v>
      </c>
      <c r="BK409" s="34">
        <f t="shared" ref="BK409" si="1590">$M$9</f>
        <v>0</v>
      </c>
      <c r="BL409" s="34">
        <v>-1</v>
      </c>
      <c r="BM409" s="34">
        <f t="shared" ref="BM409" si="1591">-SUMPRODUCT($M$2:$M$8,$N$2:$N$8)-SUMPRODUCT($M$10:$M$12,$N$10:$N$12)</f>
        <v>-120000</v>
      </c>
      <c r="BN409" s="34" t="e">
        <f t="shared" ref="BN409" si="1592">IF(BK409&lt;&gt;BK410,MMULT(MINVERSE(BK409:BL410),BM409:BM410)," ")</f>
        <v>#NUM!</v>
      </c>
      <c r="BO409" s="34" t="str">
        <f t="shared" ref="BO409" si="1593">IFERROR(IF(BN409-VLOOKUP(BK$38,$A$2:$N$12,14,FALSE)&lt;0,BN409-VLOOKUP(BK$38,$A$2:$N$12,14,FALSE)," ")," ")</f>
        <v xml:space="preserve"> </v>
      </c>
      <c r="BP409" s="34" t="str">
        <f t="shared" ref="BP409" si="1594">IFERROR(IF(BN409-VLOOKUP(BK$38,$A$2:$N$12,14,FALSE)&gt;0,BN409-VLOOKUP(BK$38,$A$2:$N$12,14,FALSE)," ")," ")</f>
        <v xml:space="preserve"> </v>
      </c>
      <c r="BQ409" s="34">
        <f t="shared" ref="BQ409" si="1595">$M$10</f>
        <v>0</v>
      </c>
      <c r="BR409" s="34">
        <v>-1</v>
      </c>
      <c r="BS409" s="34">
        <f t="shared" ref="BS409" si="1596">-SUMPRODUCT($M$2:$M$9,$N$2:$N$9)-SUMPRODUCT($M$11:$M$12,$N$11:$N$12)</f>
        <v>-120000</v>
      </c>
      <c r="BT409" s="34" t="e">
        <f t="shared" ref="BT409" si="1597">IF(BQ409&lt;&gt;BQ410,MMULT(MINVERSE(BQ409:BR410),BS409:BS410)," ")</f>
        <v>#NUM!</v>
      </c>
      <c r="BU409" s="34" t="str">
        <f t="shared" ref="BU409" si="1598">IFERROR(IF(BT409-VLOOKUP(BQ$38,$A$2:$N$12,14,FALSE)&lt;0,BT409-VLOOKUP(BQ$38,$A$2:$N$12,14,FALSE)," ")," ")</f>
        <v xml:space="preserve"> </v>
      </c>
      <c r="BV409" s="34" t="str">
        <f t="shared" ref="BV409" si="1599">IFERROR(IF(BT409-VLOOKUP(BQ$38,$A$2:$N$12,14,FALSE)&gt;0,BT409-VLOOKUP(BQ$38,$A$2:$N$12,14,FALSE)," ")," ")</f>
        <v xml:space="preserve"> </v>
      </c>
      <c r="BW409" s="34">
        <f t="shared" ref="BW409" si="1600">$M$11</f>
        <v>0</v>
      </c>
      <c r="BX409" s="34">
        <v>-1</v>
      </c>
      <c r="BY409" s="34">
        <f t="shared" ref="BY409" si="1601">-SUMPRODUCT($M$2:$M$10,$N$2:$N$10)-SUMPRODUCT($M$12,$N$12)</f>
        <v>-120000</v>
      </c>
      <c r="BZ409" s="34" t="e">
        <f t="shared" ref="BZ409" si="1602">IF(BW409&lt;&gt;BW410,MMULT(MINVERSE(BW409:BX410),BY409:BY410)," ")</f>
        <v>#NUM!</v>
      </c>
      <c r="CA409" s="34" t="str">
        <f t="shared" ref="CA409" si="1603">IFERROR(IF(BZ409-VLOOKUP(BW$38,$A$2:$N$12,14,FALSE)&lt;0,BZ409-VLOOKUP(BW$38,$A$2:$N$12,14,FALSE)," ")," ")</f>
        <v xml:space="preserve"> </v>
      </c>
      <c r="CB409" s="34" t="str">
        <f t="shared" ref="CB409" si="1604">IFERROR(IF(BZ409-VLOOKUP(BW$38,$A$2:$N$12,14,FALSE)&gt;0,BZ409-VLOOKUP(BW$38,$A$2:$N$12,14,FALSE)," ")," ")</f>
        <v xml:space="preserve"> </v>
      </c>
      <c r="CC409" s="34">
        <f t="shared" ref="CC409" si="1605">$M$12</f>
        <v>0</v>
      </c>
      <c r="CD409" s="34">
        <v>-1</v>
      </c>
      <c r="CE409" s="34">
        <f t="shared" ref="CE409" si="1606">-SUMPRODUCT($M$2:$M$11,$N$2:$N$11)</f>
        <v>-120000</v>
      </c>
      <c r="CF409" s="34" t="e">
        <f t="shared" ref="CF409" si="1607">IF(CC409&lt;&gt;CC410,MMULT(MINVERSE(CC409:CD410),CE409:CE410)," ")</f>
        <v>#NUM!</v>
      </c>
      <c r="CG409" s="34" t="str">
        <f t="shared" ref="CG409" si="1608">IFERROR(IF(CF409-VLOOKUP(CC$38,$A$2:$N$12,14,FALSE)&lt;0,CF409-VLOOKUP(CC$38,$A$2:$N$12,14,FALSE)," ")," ")</f>
        <v xml:space="preserve"> </v>
      </c>
      <c r="CH409" s="34" t="str">
        <f t="shared" ref="CH409" si="1609">IFERROR(IF(CF409-VLOOKUP(CC$38,$A$2:$N$12,14,FALSE)&gt;0,CF409-VLOOKUP(CC$38,$A$2:$N$12,14,FALSE)," ")," ")</f>
        <v xml:space="preserve"> </v>
      </c>
      <c r="CI409" s="8"/>
    </row>
    <row r="410" spans="1:87" x14ac:dyDescent="0.2">
      <c r="A410" s="8" t="str">
        <f>IF(AND(COUNTIF(W$3:W$13,A$16)&gt;0,A$16&lt;&gt;B292),A$16,IFERROR(IF(MATCH(A$16,Z$3:Z$13,0)=6,A$16," ")," "))</f>
        <v xml:space="preserve"> </v>
      </c>
      <c r="B410" s="8" t="str">
        <f>IF(A410=" "," ",MAX(B409:B409)+1)</f>
        <v xml:space="preserve"> </v>
      </c>
      <c r="C410" s="8" t="str">
        <f>IFERROR(INDEX(A409:A430,MATCH(SMALL(B409:B430,2),B409:B430,0),1)," ")</f>
        <v>C8</v>
      </c>
      <c r="D410" s="8">
        <f t="shared" ref="D410:D419" si="1610">IFERROR(VLOOKUP($C410,$A$15:$O$36,2,FALSE)," ")</f>
        <v>0</v>
      </c>
      <c r="E410" s="8">
        <f t="shared" ref="E410:E419" si="1611">IFERROR(VLOOKUP($C410,$A$15:$O$36,3,FALSE)," ")</f>
        <v>0</v>
      </c>
      <c r="F410" s="8">
        <f t="shared" ref="F410:F419" si="1612">IFERROR(VLOOKUP($C410,$A$15:$O$36,4,FALSE)," ")</f>
        <v>0</v>
      </c>
      <c r="G410" s="8">
        <f t="shared" ref="G410:G419" si="1613">IFERROR(VLOOKUP($C410,$A$15:$O$36,5,FALSE)," ")</f>
        <v>0</v>
      </c>
      <c r="H410" s="8">
        <f t="shared" ref="H410:H419" si="1614">IFERROR(VLOOKUP($C410,$A$15:$O$36,6,FALSE)," ")</f>
        <v>0</v>
      </c>
      <c r="I410" s="8">
        <f t="shared" ref="I410:I419" si="1615">IFERROR(VLOOKUP($C410,$A$15:$O$36,7,FALSE)," ")</f>
        <v>0</v>
      </c>
      <c r="J410" s="8">
        <f t="shared" ref="J410:J419" si="1616">IFERROR(VLOOKUP($C410,$A$15:$O$36,8,FALSE)," ")</f>
        <v>0</v>
      </c>
      <c r="K410" s="8">
        <f t="shared" ref="K410:K419" si="1617">IFERROR(VLOOKUP($C410,$A$15:$O$36,9,FALSE)," ")</f>
        <v>0</v>
      </c>
      <c r="L410" s="8">
        <f t="shared" ref="L410:L419" si="1618">IFERROR(VLOOKUP($C410,$A$15:$O$36,10,FALSE)," ")</f>
        <v>0</v>
      </c>
      <c r="M410" s="8">
        <f t="shared" ref="M410:M419" si="1619">IFERROR(VLOOKUP($C410,$A$15:$O$36,11,FALSE)," ")</f>
        <v>0</v>
      </c>
      <c r="N410" s="8">
        <f t="shared" ref="N410:N419" si="1620">IFERROR(VLOOKUP($C410,$A$15:$O$36,12,FALSE)," ")</f>
        <v>0</v>
      </c>
      <c r="O410" s="8">
        <f t="shared" ref="O410:O419" si="1621">IFERROR(VLOOKUP($C410,$A$15:$O$36,15,FALSE)," ")</f>
        <v>0</v>
      </c>
      <c r="P410" s="8" t="e">
        <v>#NUM!</v>
      </c>
      <c r="Q410" s="8" t="e">
        <f t="shared" ref="Q410" si="1622">IF(COUNTIF(P409:P419,"&lt;"&amp;-0.001)=0,IF(ABS(P410)&lt;0.001,0,P410)," ")</f>
        <v>#NUM!</v>
      </c>
      <c r="R410" s="8"/>
      <c r="S410" s="8"/>
      <c r="U410" s="34" t="e">
        <f t="shared" ref="U410" si="1623">$Q409</f>
        <v>#NUM!</v>
      </c>
      <c r="V410" s="34">
        <v>-1</v>
      </c>
      <c r="W410" s="34" t="e">
        <f t="shared" ref="W410" si="1624">-SUMPRODUCT($Q410:$Q419,$N$3:$N$12)</f>
        <v>#NUM!</v>
      </c>
      <c r="X410" s="34"/>
      <c r="Y410" s="34"/>
      <c r="Z410" s="34"/>
      <c r="AA410" s="34" t="e">
        <f t="shared" ref="AA410" si="1625">$Q410</f>
        <v>#NUM!</v>
      </c>
      <c r="AB410" s="34">
        <v>-1</v>
      </c>
      <c r="AC410" s="34" t="e">
        <f t="shared" ref="AC410" si="1626">-SUMPRODUCT($Q409:$Q409,$N$2:$N$2)-SUMPRODUCT($Q411:$Q419,$N$4:$N$12)</f>
        <v>#NUM!</v>
      </c>
      <c r="AD410" s="34"/>
      <c r="AE410" s="34"/>
      <c r="AF410" s="34"/>
      <c r="AG410" s="34" t="e">
        <f t="shared" ref="AG410" si="1627">$Q411</f>
        <v>#NUM!</v>
      </c>
      <c r="AH410" s="34">
        <v>-1</v>
      </c>
      <c r="AI410" s="34" t="e">
        <f t="shared" ref="AI410" si="1628">-SUMPRODUCT($Q409:$Q410,$N$2:$N$3)-SUMPRODUCT($Q412:$Q419,$N$5:$N$12)</f>
        <v>#NUM!</v>
      </c>
      <c r="AJ410" s="34"/>
      <c r="AK410" s="34"/>
      <c r="AL410" s="34"/>
      <c r="AM410" s="34" t="e">
        <f t="shared" ref="AM410" si="1629">$Q412</f>
        <v>#NUM!</v>
      </c>
      <c r="AN410" s="34">
        <v>-1</v>
      </c>
      <c r="AO410" s="34" t="e">
        <f t="shared" ref="AO410" si="1630">-SUMPRODUCT($Q409:$Q411,$N$2:$N$4)-SUMPRODUCT($Q413:$Q419,$N$6:$N$12)</f>
        <v>#NUM!</v>
      </c>
      <c r="AP410" s="34"/>
      <c r="AQ410" s="34"/>
      <c r="AR410" s="34"/>
      <c r="AS410" s="34" t="e">
        <f t="shared" ref="AS410" si="1631">$Q413</f>
        <v>#NUM!</v>
      </c>
      <c r="AT410" s="34">
        <v>-1</v>
      </c>
      <c r="AU410" s="34" t="e">
        <f t="shared" ref="AU410" si="1632">-SUMPRODUCT($Q409:$Q412,$N$2:$N$5)-SUMPRODUCT($Q414:$Q419,$N$7:$N$12)</f>
        <v>#NUM!</v>
      </c>
      <c r="AV410" s="34"/>
      <c r="AW410" s="34"/>
      <c r="AX410" s="34"/>
      <c r="AY410" s="34" t="e">
        <f t="shared" ref="AY410" si="1633">$Q414</f>
        <v>#NUM!</v>
      </c>
      <c r="AZ410" s="34">
        <v>-1</v>
      </c>
      <c r="BA410" s="34" t="e">
        <f t="shared" ref="BA410" si="1634">-SUMPRODUCT($Q409:$Q413,$N$2:$N$6)-SUMPRODUCT($Q415:$Q419,$N$8:$N$12)</f>
        <v>#NUM!</v>
      </c>
      <c r="BB410" s="34"/>
      <c r="BC410" s="34"/>
      <c r="BD410" s="34"/>
      <c r="BE410" s="34" t="e">
        <f t="shared" ref="BE410" si="1635">$Q415</f>
        <v>#NUM!</v>
      </c>
      <c r="BF410" s="34">
        <v>-1</v>
      </c>
      <c r="BG410" s="34" t="e">
        <f t="shared" ref="BG410" si="1636">-SUMPRODUCT($Q409:$Q414,$N$2:$N$7)-SUMPRODUCT($Q416:$Q419,$N$9:$N$12)</f>
        <v>#NUM!</v>
      </c>
      <c r="BH410" s="34"/>
      <c r="BI410" s="34"/>
      <c r="BJ410" s="34"/>
      <c r="BK410" s="34" t="e">
        <f t="shared" ref="BK410" si="1637">$Q416</f>
        <v>#NUM!</v>
      </c>
      <c r="BL410" s="34">
        <v>-1</v>
      </c>
      <c r="BM410" s="34" t="e">
        <f t="shared" ref="BM410" si="1638">-SUMPRODUCT($Q409:$Q415,$N$2:$N$8)-SUMPRODUCT($Q417:$Q419,$N$10:$N$12)</f>
        <v>#NUM!</v>
      </c>
      <c r="BN410" s="34"/>
      <c r="BO410" s="34"/>
      <c r="BP410" s="34"/>
      <c r="BQ410" s="34" t="e">
        <f t="shared" ref="BQ410" si="1639">$Q417</f>
        <v>#NUM!</v>
      </c>
      <c r="BR410" s="34">
        <v>-1</v>
      </c>
      <c r="BS410" s="34" t="e">
        <f t="shared" ref="BS410" si="1640">-SUMPRODUCT($Q409:$Q416,$N$2:$N$9)-SUMPRODUCT($Q418:$Q419,$N$11:$N$12)</f>
        <v>#NUM!</v>
      </c>
      <c r="BT410" s="34"/>
      <c r="BU410" s="34"/>
      <c r="BV410" s="34"/>
      <c r="BW410" s="34" t="e">
        <f t="shared" ref="BW410" si="1641">$Q418</f>
        <v>#NUM!</v>
      </c>
      <c r="BX410" s="34">
        <v>-1</v>
      </c>
      <c r="BY410" s="34" t="e">
        <f t="shared" ref="BY410" si="1642">-SUMPRODUCT($Q409:$Q417,$N$2:$N$10)-SUMPRODUCT($Q419,$N$12)</f>
        <v>#NUM!</v>
      </c>
      <c r="BZ410" s="34"/>
      <c r="CA410" s="34"/>
      <c r="CB410" s="34"/>
      <c r="CC410" s="34" t="e">
        <f t="shared" ref="CC410" si="1643">$Q419</f>
        <v>#NUM!</v>
      </c>
      <c r="CD410" s="34">
        <v>-1</v>
      </c>
      <c r="CE410" s="34" t="e">
        <f t="shared" ref="CE410" si="1644">-SUMPRODUCT($Q409:$Q418,$N$2:$N$11)</f>
        <v>#NUM!</v>
      </c>
      <c r="CF410" s="34"/>
      <c r="CG410" s="34"/>
      <c r="CH410" s="34"/>
      <c r="CI410" s="8"/>
    </row>
    <row r="411" spans="1:87" x14ac:dyDescent="0.2">
      <c r="A411" s="8" t="str">
        <f>IF(AND(COUNTIF(W$3:W$13,A$17)&gt;0,A$17&lt;&gt;B292),A$17,IFERROR(IF(MATCH(A$17,Z$3:Z$13,0)=6,A$17," ")," "))</f>
        <v>C3</v>
      </c>
      <c r="B411" s="8">
        <f>IF(A411=" "," ",MAX(B409:B410)+1)</f>
        <v>1</v>
      </c>
      <c r="C411" s="8" t="str">
        <f>IFERROR(INDEX(A409:A430,MATCH(SMALL(B409:B430,3),B409:B430,0),1)," ")</f>
        <v>C13</v>
      </c>
      <c r="D411" s="8">
        <f t="shared" si="1610"/>
        <v>0</v>
      </c>
      <c r="E411" s="8">
        <f t="shared" si="1611"/>
        <v>1</v>
      </c>
      <c r="F411" s="8">
        <f t="shared" si="1612"/>
        <v>0</v>
      </c>
      <c r="G411" s="8">
        <f t="shared" si="1613"/>
        <v>0</v>
      </c>
      <c r="H411" s="8">
        <f t="shared" si="1614"/>
        <v>0</v>
      </c>
      <c r="I411" s="8">
        <f t="shared" si="1615"/>
        <v>0</v>
      </c>
      <c r="J411" s="8">
        <f t="shared" si="1616"/>
        <v>0</v>
      </c>
      <c r="K411" s="8">
        <f t="shared" si="1617"/>
        <v>0</v>
      </c>
      <c r="L411" s="8">
        <f t="shared" si="1618"/>
        <v>0</v>
      </c>
      <c r="M411" s="8">
        <f t="shared" si="1619"/>
        <v>0</v>
      </c>
      <c r="N411" s="8">
        <f t="shared" si="1620"/>
        <v>0</v>
      </c>
      <c r="O411" s="8">
        <f t="shared" si="1621"/>
        <v>0</v>
      </c>
      <c r="P411" s="8" t="e">
        <v>#NUM!</v>
      </c>
      <c r="Q411" s="8" t="e">
        <f t="shared" ref="Q411" si="1645">IF(COUNTIF(P409:P419,"&lt;"&amp;-0.001)=0,IF(ABS(P411)&lt;0.001,0,P411)," ")</f>
        <v>#NUM!</v>
      </c>
      <c r="R411" s="8"/>
      <c r="S411" s="8"/>
      <c r="U411" s="34"/>
      <c r="V411" s="34"/>
      <c r="W411" s="34"/>
      <c r="X411" s="34"/>
      <c r="Y411" s="34"/>
      <c r="Z411" s="34"/>
      <c r="AA411" s="34"/>
      <c r="AB411" s="34"/>
      <c r="AC411" s="34"/>
      <c r="AD411" s="34"/>
      <c r="AE411" s="34"/>
      <c r="AF411" s="34"/>
      <c r="AG411" s="34"/>
      <c r="AH411" s="34"/>
      <c r="AI411" s="34"/>
      <c r="AJ411" s="34"/>
      <c r="AK411" s="34"/>
      <c r="AL411" s="34"/>
      <c r="AM411" s="34"/>
      <c r="AN411" s="34"/>
      <c r="AO411" s="34"/>
      <c r="AP411" s="34"/>
      <c r="AQ411" s="34"/>
      <c r="AR411" s="34"/>
      <c r="AS411" s="34"/>
      <c r="AT411" s="34"/>
      <c r="AU411" s="34"/>
      <c r="AV411" s="34"/>
      <c r="AW411" s="34"/>
      <c r="AX411" s="34"/>
      <c r="AY411" s="34"/>
      <c r="AZ411" s="34"/>
      <c r="BA411" s="34"/>
      <c r="BB411" s="34"/>
      <c r="BC411" s="34"/>
      <c r="BD411" s="34"/>
      <c r="BE411" s="34"/>
      <c r="BF411" s="34"/>
      <c r="BG411" s="34"/>
      <c r="BH411" s="34"/>
      <c r="BI411" s="34"/>
      <c r="BJ411" s="34"/>
      <c r="BK411" s="34"/>
      <c r="BL411" s="34"/>
      <c r="BM411" s="34"/>
      <c r="BN411" s="34"/>
      <c r="BO411" s="34"/>
      <c r="BP411" s="34"/>
      <c r="BQ411" s="34"/>
      <c r="BR411" s="34"/>
      <c r="BS411" s="34"/>
      <c r="BT411" s="34"/>
      <c r="BU411" s="34"/>
      <c r="BV411" s="34"/>
      <c r="BW411" s="34"/>
      <c r="BX411" s="34"/>
      <c r="BY411" s="34"/>
      <c r="BZ411" s="34"/>
      <c r="CA411" s="34"/>
      <c r="CB411" s="34"/>
      <c r="CC411" s="34"/>
      <c r="CD411" s="34"/>
      <c r="CE411" s="34"/>
      <c r="CF411" s="34"/>
      <c r="CG411" s="34"/>
      <c r="CH411" s="34"/>
      <c r="CI411" s="8"/>
    </row>
    <row r="412" spans="1:87" x14ac:dyDescent="0.2">
      <c r="A412" s="8" t="str">
        <f>IF(AND(COUNTIF(W$3:W$13,A$18)&gt;0,A$18&lt;&gt;B292),A$18,IFERROR(IF(MATCH(A$18,Z$3:Z$13,0)=6,A$18," ")," "))</f>
        <v xml:space="preserve"> </v>
      </c>
      <c r="B412" s="8" t="str">
        <f>IF(A412=" "," ",MAX(B409:B411)+1)</f>
        <v xml:space="preserve"> </v>
      </c>
      <c r="C412" s="8" t="str">
        <f>IFERROR(INDEX(A409:A430,MATCH(SMALL(B409:B430,4),B409:B430,0),1)," ")</f>
        <v>C15</v>
      </c>
      <c r="D412" s="8">
        <f t="shared" si="1610"/>
        <v>0</v>
      </c>
      <c r="E412" s="8">
        <f t="shared" si="1611"/>
        <v>0</v>
      </c>
      <c r="F412" s="8">
        <f t="shared" si="1612"/>
        <v>0</v>
      </c>
      <c r="G412" s="8">
        <f t="shared" si="1613"/>
        <v>1</v>
      </c>
      <c r="H412" s="8">
        <f t="shared" si="1614"/>
        <v>0</v>
      </c>
      <c r="I412" s="8">
        <f t="shared" si="1615"/>
        <v>0</v>
      </c>
      <c r="J412" s="8">
        <f t="shared" si="1616"/>
        <v>0</v>
      </c>
      <c r="K412" s="8">
        <f t="shared" si="1617"/>
        <v>0</v>
      </c>
      <c r="L412" s="8">
        <f t="shared" si="1618"/>
        <v>0</v>
      </c>
      <c r="M412" s="8">
        <f t="shared" si="1619"/>
        <v>0</v>
      </c>
      <c r="N412" s="8">
        <f t="shared" si="1620"/>
        <v>0</v>
      </c>
      <c r="O412" s="8">
        <f t="shared" si="1621"/>
        <v>0</v>
      </c>
      <c r="P412" s="8" t="e">
        <v>#NUM!</v>
      </c>
      <c r="Q412" s="8" t="e">
        <f t="shared" ref="Q412" si="1646">IF(COUNTIF(P409:P419,"&lt;"&amp;-0.001)=0,IF(ABS(P412)&lt;0.001,0,P412)," ")</f>
        <v>#NUM!</v>
      </c>
      <c r="R412" s="8"/>
      <c r="S412" s="8"/>
      <c r="U412" s="34"/>
      <c r="V412" s="34"/>
      <c r="W412" s="34"/>
      <c r="X412" s="34"/>
      <c r="Y412" s="34"/>
      <c r="Z412" s="34"/>
      <c r="AA412" s="34"/>
      <c r="AB412" s="34"/>
      <c r="AC412" s="34"/>
      <c r="AD412" s="34"/>
      <c r="AE412" s="34"/>
      <c r="AF412" s="34"/>
      <c r="AG412" s="34"/>
      <c r="AH412" s="34"/>
      <c r="AI412" s="34"/>
      <c r="AJ412" s="34"/>
      <c r="AK412" s="34"/>
      <c r="AL412" s="34"/>
      <c r="AM412" s="34"/>
      <c r="AN412" s="34"/>
      <c r="AO412" s="34"/>
      <c r="AP412" s="34"/>
      <c r="AQ412" s="34"/>
      <c r="AR412" s="34"/>
      <c r="AS412" s="34"/>
      <c r="AT412" s="34"/>
      <c r="AU412" s="34"/>
      <c r="AV412" s="34"/>
      <c r="AW412" s="34"/>
      <c r="AX412" s="34"/>
      <c r="AY412" s="34"/>
      <c r="AZ412" s="34"/>
      <c r="BA412" s="34"/>
      <c r="BB412" s="34"/>
      <c r="BC412" s="34"/>
      <c r="BD412" s="34"/>
      <c r="BE412" s="34"/>
      <c r="BF412" s="34"/>
      <c r="BG412" s="34"/>
      <c r="BH412" s="34"/>
      <c r="BI412" s="34"/>
      <c r="BJ412" s="34"/>
      <c r="BK412" s="34"/>
      <c r="BL412" s="34"/>
      <c r="BM412" s="34"/>
      <c r="BN412" s="34"/>
      <c r="BO412" s="34"/>
      <c r="BP412" s="34"/>
      <c r="BQ412" s="34"/>
      <c r="BR412" s="34"/>
      <c r="BS412" s="34"/>
      <c r="BT412" s="34"/>
      <c r="BU412" s="34"/>
      <c r="BV412" s="34"/>
      <c r="BW412" s="34"/>
      <c r="BX412" s="34"/>
      <c r="BY412" s="34"/>
      <c r="BZ412" s="34"/>
      <c r="CA412" s="34"/>
      <c r="CB412" s="34"/>
      <c r="CC412" s="34"/>
      <c r="CD412" s="34"/>
      <c r="CE412" s="34"/>
      <c r="CF412" s="34"/>
      <c r="CG412" s="34"/>
      <c r="CH412" s="34"/>
      <c r="CI412" s="8"/>
    </row>
    <row r="413" spans="1:87" x14ac:dyDescent="0.2">
      <c r="A413" s="8" t="str">
        <f>IF(AND(COUNTIF(W$3:W$13,A$19)&gt;0,A$19&lt;&gt;B292),A$19,IFERROR(IF(MATCH(A$19,Z$3:Z$13,0)=6,A$19," ")," "))</f>
        <v xml:space="preserve"> </v>
      </c>
      <c r="B413" s="8" t="str">
        <f>IF(A413=" "," ",MAX(B409:B412)+1)</f>
        <v xml:space="preserve"> </v>
      </c>
      <c r="C413" s="8" t="str">
        <f>IFERROR(INDEX(A409:A430,MATCH(SMALL(B409:B430,5),B409:B430,0),1)," ")</f>
        <v>C16</v>
      </c>
      <c r="D413" s="8">
        <f t="shared" si="1610"/>
        <v>0</v>
      </c>
      <c r="E413" s="8">
        <f t="shared" si="1611"/>
        <v>0</v>
      </c>
      <c r="F413" s="8">
        <f t="shared" si="1612"/>
        <v>0</v>
      </c>
      <c r="G413" s="8">
        <f t="shared" si="1613"/>
        <v>0</v>
      </c>
      <c r="H413" s="8">
        <f t="shared" si="1614"/>
        <v>1</v>
      </c>
      <c r="I413" s="8">
        <f t="shared" si="1615"/>
        <v>0</v>
      </c>
      <c r="J413" s="8">
        <f t="shared" si="1616"/>
        <v>0</v>
      </c>
      <c r="K413" s="8">
        <f t="shared" si="1617"/>
        <v>0</v>
      </c>
      <c r="L413" s="8">
        <f t="shared" si="1618"/>
        <v>0</v>
      </c>
      <c r="M413" s="8">
        <f t="shared" si="1619"/>
        <v>0</v>
      </c>
      <c r="N413" s="8">
        <f t="shared" si="1620"/>
        <v>0</v>
      </c>
      <c r="O413" s="8">
        <f t="shared" si="1621"/>
        <v>0</v>
      </c>
      <c r="P413" s="8" t="e">
        <v>#NUM!</v>
      </c>
      <c r="Q413" s="8" t="e">
        <f t="shared" ref="Q413" si="1647">IF(COUNTIF(P409:P419,"&lt;"&amp;-0.001)=0,IF(ABS(P413)&lt;0.001,0,P413)," ")</f>
        <v>#NUM!</v>
      </c>
      <c r="R413" s="8"/>
      <c r="S413" s="8"/>
      <c r="U413" s="34"/>
      <c r="V413" s="34"/>
      <c r="W413" s="34"/>
      <c r="X413" s="34"/>
      <c r="Y413" s="34"/>
      <c r="Z413" s="34"/>
      <c r="AA413" s="34"/>
      <c r="AB413" s="34"/>
      <c r="AC413" s="34"/>
      <c r="AD413" s="34"/>
      <c r="AE413" s="34"/>
      <c r="AF413" s="34"/>
      <c r="AG413" s="34"/>
      <c r="AH413" s="34"/>
      <c r="AI413" s="34"/>
      <c r="AJ413" s="34"/>
      <c r="AK413" s="34"/>
      <c r="AL413" s="34"/>
      <c r="AM413" s="34"/>
      <c r="AN413" s="34"/>
      <c r="AO413" s="34"/>
      <c r="AP413" s="34"/>
      <c r="AQ413" s="34"/>
      <c r="AR413" s="34"/>
      <c r="AS413" s="34"/>
      <c r="AT413" s="34"/>
      <c r="AU413" s="34"/>
      <c r="AV413" s="34"/>
      <c r="AW413" s="34"/>
      <c r="AX413" s="34"/>
      <c r="AY413" s="34"/>
      <c r="AZ413" s="34"/>
      <c r="BA413" s="34"/>
      <c r="BB413" s="34"/>
      <c r="BC413" s="34"/>
      <c r="BD413" s="34"/>
      <c r="BE413" s="34"/>
      <c r="BF413" s="34"/>
      <c r="BG413" s="34"/>
      <c r="BH413" s="34"/>
      <c r="BI413" s="34"/>
      <c r="BJ413" s="34"/>
      <c r="BK413" s="34"/>
      <c r="BL413" s="34"/>
      <c r="BM413" s="34"/>
      <c r="BN413" s="34"/>
      <c r="BO413" s="34"/>
      <c r="BP413" s="34"/>
      <c r="BQ413" s="34"/>
      <c r="BR413" s="34"/>
      <c r="BS413" s="34"/>
      <c r="BT413" s="34"/>
      <c r="BU413" s="34"/>
      <c r="BV413" s="34"/>
      <c r="BW413" s="34"/>
      <c r="BX413" s="34"/>
      <c r="BY413" s="34"/>
      <c r="BZ413" s="34"/>
      <c r="CA413" s="34"/>
      <c r="CB413" s="34"/>
      <c r="CC413" s="34"/>
      <c r="CD413" s="34"/>
      <c r="CE413" s="34"/>
      <c r="CF413" s="34"/>
      <c r="CG413" s="34"/>
      <c r="CH413" s="34"/>
      <c r="CI413" s="8"/>
    </row>
    <row r="414" spans="1:87" x14ac:dyDescent="0.2">
      <c r="A414" s="8" t="str">
        <f>IF(AND(COUNTIF(W$3:W$13,A$20)&gt;0,A$20&lt;&gt;B292),A$20,IFERROR(IF(MATCH(A$20,Z$3:Z$13,0)=6,A$20," ")," "))</f>
        <v xml:space="preserve"> </v>
      </c>
      <c r="B414" s="8" t="str">
        <f>IF(A414=" "," ",MAX(B409:B413)+1)</f>
        <v xml:space="preserve"> </v>
      </c>
      <c r="C414" s="8" t="str">
        <f>IFERROR(INDEX(A409:A430,MATCH(SMALL(B409:B430,6),B409:B430,0),1)," ")</f>
        <v>C17</v>
      </c>
      <c r="D414" s="8">
        <f t="shared" si="1610"/>
        <v>0</v>
      </c>
      <c r="E414" s="8">
        <f t="shared" si="1611"/>
        <v>0</v>
      </c>
      <c r="F414" s="8">
        <f t="shared" si="1612"/>
        <v>0</v>
      </c>
      <c r="G414" s="8">
        <f t="shared" si="1613"/>
        <v>0</v>
      </c>
      <c r="H414" s="8">
        <f t="shared" si="1614"/>
        <v>0</v>
      </c>
      <c r="I414" s="8">
        <f t="shared" si="1615"/>
        <v>1</v>
      </c>
      <c r="J414" s="8">
        <f t="shared" si="1616"/>
        <v>0</v>
      </c>
      <c r="K414" s="8">
        <f t="shared" si="1617"/>
        <v>0</v>
      </c>
      <c r="L414" s="8">
        <f t="shared" si="1618"/>
        <v>0</v>
      </c>
      <c r="M414" s="8">
        <f t="shared" si="1619"/>
        <v>0</v>
      </c>
      <c r="N414" s="8">
        <f t="shared" si="1620"/>
        <v>0</v>
      </c>
      <c r="O414" s="8">
        <f t="shared" si="1621"/>
        <v>0</v>
      </c>
      <c r="P414" s="8" t="e">
        <v>#NUM!</v>
      </c>
      <c r="Q414" s="8" t="e">
        <f t="shared" ref="Q414" si="1648">IF(COUNTIF(P409:P419,"&lt;"&amp;-0.001)=0,IF(ABS(P414)&lt;0.001,0,P414)," ")</f>
        <v>#NUM!</v>
      </c>
      <c r="R414" s="8"/>
      <c r="S414" s="8"/>
      <c r="U414" s="34"/>
      <c r="V414" s="34"/>
      <c r="W414" s="34"/>
      <c r="X414" s="34"/>
      <c r="Y414" s="34"/>
      <c r="Z414" s="34"/>
      <c r="AA414" s="34"/>
      <c r="AB414" s="34"/>
      <c r="AC414" s="34"/>
      <c r="AD414" s="34"/>
      <c r="AE414" s="34"/>
      <c r="AF414" s="34"/>
      <c r="AG414" s="34"/>
      <c r="AH414" s="34"/>
      <c r="AI414" s="34"/>
      <c r="AJ414" s="34"/>
      <c r="AK414" s="34"/>
      <c r="AL414" s="34"/>
      <c r="AM414" s="34"/>
      <c r="AN414" s="34"/>
      <c r="AO414" s="34"/>
      <c r="AP414" s="34"/>
      <c r="AQ414" s="34"/>
      <c r="AR414" s="34"/>
      <c r="AS414" s="34"/>
      <c r="AT414" s="34"/>
      <c r="AU414" s="34"/>
      <c r="AV414" s="34"/>
      <c r="AW414" s="34"/>
      <c r="AX414" s="34"/>
      <c r="AY414" s="34"/>
      <c r="AZ414" s="34"/>
      <c r="BA414" s="34"/>
      <c r="BB414" s="34"/>
      <c r="BC414" s="34"/>
      <c r="BD414" s="34"/>
      <c r="BE414" s="34"/>
      <c r="BF414" s="34"/>
      <c r="BG414" s="34"/>
      <c r="BH414" s="34"/>
      <c r="BI414" s="34"/>
      <c r="BJ414" s="34"/>
      <c r="BK414" s="34"/>
      <c r="BL414" s="34"/>
      <c r="BM414" s="34"/>
      <c r="BN414" s="34"/>
      <c r="BO414" s="34"/>
      <c r="BP414" s="34"/>
      <c r="BQ414" s="34"/>
      <c r="BR414" s="34"/>
      <c r="BS414" s="34"/>
      <c r="BT414" s="34"/>
      <c r="BU414" s="34"/>
      <c r="BV414" s="34"/>
      <c r="BW414" s="34"/>
      <c r="BX414" s="34"/>
      <c r="BY414" s="34"/>
      <c r="BZ414" s="34"/>
      <c r="CA414" s="34"/>
      <c r="CB414" s="34"/>
      <c r="CC414" s="34"/>
      <c r="CD414" s="34"/>
      <c r="CE414" s="34"/>
      <c r="CF414" s="34"/>
      <c r="CG414" s="34"/>
      <c r="CH414" s="34"/>
      <c r="CI414" s="8"/>
    </row>
    <row r="415" spans="1:87" x14ac:dyDescent="0.2">
      <c r="A415" s="8" t="str">
        <f>IF(AND(COUNTIF(W$3:W$13,A$21)&gt;0,A$21&lt;&gt;B292),A$21,IFERROR(IF(MATCH(A$21,Z$3:Z$13,0)=6,A$21," ")," "))</f>
        <v xml:space="preserve"> </v>
      </c>
      <c r="B415" s="8" t="str">
        <f>IF(A415=" "," ",MAX(B409:B414)+1)</f>
        <v xml:space="preserve"> </v>
      </c>
      <c r="C415" s="8" t="str">
        <f>IFERROR(INDEX(A409:A430,MATCH(SMALL(B409:B430,7),B409:B430,0),1)," ")</f>
        <v>C18</v>
      </c>
      <c r="D415" s="8">
        <f t="shared" si="1610"/>
        <v>0</v>
      </c>
      <c r="E415" s="8">
        <f t="shared" si="1611"/>
        <v>0</v>
      </c>
      <c r="F415" s="8">
        <f t="shared" si="1612"/>
        <v>0</v>
      </c>
      <c r="G415" s="8">
        <f t="shared" si="1613"/>
        <v>0</v>
      </c>
      <c r="H415" s="8">
        <f t="shared" si="1614"/>
        <v>0</v>
      </c>
      <c r="I415" s="8">
        <f t="shared" si="1615"/>
        <v>0</v>
      </c>
      <c r="J415" s="8">
        <f t="shared" si="1616"/>
        <v>1</v>
      </c>
      <c r="K415" s="8">
        <f t="shared" si="1617"/>
        <v>0</v>
      </c>
      <c r="L415" s="8">
        <f t="shared" si="1618"/>
        <v>0</v>
      </c>
      <c r="M415" s="8">
        <f t="shared" si="1619"/>
        <v>0</v>
      </c>
      <c r="N415" s="8">
        <f t="shared" si="1620"/>
        <v>0</v>
      </c>
      <c r="O415" s="8">
        <f t="shared" si="1621"/>
        <v>0</v>
      </c>
      <c r="P415" s="8" t="e">
        <v>#NUM!</v>
      </c>
      <c r="Q415" s="8" t="e">
        <f t="shared" ref="Q415" si="1649">IF(COUNTIF(P409:P419,"&lt;"&amp;-0.001)=0,IF(ABS(P415)&lt;0.001,0,P415)," ")</f>
        <v>#NUM!</v>
      </c>
      <c r="R415" s="8"/>
      <c r="S415" s="8"/>
      <c r="U415" s="34"/>
      <c r="V415" s="34"/>
      <c r="W415" s="34"/>
      <c r="X415" s="34"/>
      <c r="Y415" s="34"/>
      <c r="Z415" s="34"/>
      <c r="AA415" s="34"/>
      <c r="AB415" s="34"/>
      <c r="AC415" s="34"/>
      <c r="AD415" s="34"/>
      <c r="AE415" s="34"/>
      <c r="AF415" s="34"/>
      <c r="AG415" s="34"/>
      <c r="AH415" s="34"/>
      <c r="AI415" s="34"/>
      <c r="AJ415" s="34"/>
      <c r="AK415" s="34"/>
      <c r="AL415" s="34"/>
      <c r="AM415" s="34"/>
      <c r="AN415" s="34"/>
      <c r="AO415" s="34"/>
      <c r="AP415" s="34"/>
      <c r="AQ415" s="34"/>
      <c r="AR415" s="34"/>
      <c r="AS415" s="34"/>
      <c r="AT415" s="34"/>
      <c r="AU415" s="34"/>
      <c r="AV415" s="34"/>
      <c r="AW415" s="34"/>
      <c r="AX415" s="34"/>
      <c r="AY415" s="34"/>
      <c r="AZ415" s="34"/>
      <c r="BA415" s="34"/>
      <c r="BB415" s="34"/>
      <c r="BC415" s="34"/>
      <c r="BD415" s="34"/>
      <c r="BE415" s="34"/>
      <c r="BF415" s="34"/>
      <c r="BG415" s="34"/>
      <c r="BH415" s="34"/>
      <c r="BI415" s="34"/>
      <c r="BJ415" s="34"/>
      <c r="BK415" s="34"/>
      <c r="BL415" s="34"/>
      <c r="BM415" s="34"/>
      <c r="BN415" s="34"/>
      <c r="BO415" s="34"/>
      <c r="BP415" s="34"/>
      <c r="BQ415" s="34"/>
      <c r="BR415" s="34"/>
      <c r="BS415" s="34"/>
      <c r="BT415" s="34"/>
      <c r="BU415" s="34"/>
      <c r="BV415" s="34"/>
      <c r="BW415" s="34"/>
      <c r="BX415" s="34"/>
      <c r="BY415" s="34"/>
      <c r="BZ415" s="34"/>
      <c r="CA415" s="34"/>
      <c r="CB415" s="34"/>
      <c r="CC415" s="34"/>
      <c r="CD415" s="34"/>
      <c r="CE415" s="34"/>
      <c r="CF415" s="34"/>
      <c r="CG415" s="34"/>
      <c r="CH415" s="34"/>
      <c r="CI415" s="8"/>
    </row>
    <row r="416" spans="1:87" x14ac:dyDescent="0.2">
      <c r="A416" s="8" t="str">
        <f>IF(AND(COUNTIF(W$3:W$13,A$22)&gt;0,A$22&lt;&gt;B292),A$22,IFERROR(IF(MATCH(A$22,Z$3:Z$13,0)=6,A$22," ")," "))</f>
        <v>C8</v>
      </c>
      <c r="B416" s="8">
        <f>IF(A416=" "," ",MAX(B409:B415)+1)</f>
        <v>2</v>
      </c>
      <c r="C416" s="8" t="str">
        <f>IFERROR(INDEX(A409:A430,MATCH(SMALL(B409:B430,8),B409:B430,0),1)," ")</f>
        <v>C19</v>
      </c>
      <c r="D416" s="8">
        <f t="shared" si="1610"/>
        <v>0</v>
      </c>
      <c r="E416" s="8">
        <f t="shared" si="1611"/>
        <v>0</v>
      </c>
      <c r="F416" s="8">
        <f t="shared" si="1612"/>
        <v>0</v>
      </c>
      <c r="G416" s="8">
        <f t="shared" si="1613"/>
        <v>0</v>
      </c>
      <c r="H416" s="8">
        <f t="shared" si="1614"/>
        <v>0</v>
      </c>
      <c r="I416" s="8">
        <f t="shared" si="1615"/>
        <v>0</v>
      </c>
      <c r="J416" s="8">
        <f t="shared" si="1616"/>
        <v>0</v>
      </c>
      <c r="K416" s="8">
        <f t="shared" si="1617"/>
        <v>1</v>
      </c>
      <c r="L416" s="8">
        <f t="shared" si="1618"/>
        <v>0</v>
      </c>
      <c r="M416" s="8">
        <f t="shared" si="1619"/>
        <v>0</v>
      </c>
      <c r="N416" s="8">
        <f t="shared" si="1620"/>
        <v>0</v>
      </c>
      <c r="O416" s="8">
        <f t="shared" si="1621"/>
        <v>0</v>
      </c>
      <c r="P416" s="8" t="e">
        <v>#NUM!</v>
      </c>
      <c r="Q416" s="8" t="e">
        <f t="shared" ref="Q416" si="1650">IF(COUNTIF(P409:P419,"&lt;"&amp;-0.001)=0,IF(ABS(P416)&lt;0.001,0,P416)," ")</f>
        <v>#NUM!</v>
      </c>
      <c r="R416" s="8"/>
      <c r="S416" s="8"/>
      <c r="U416" s="34"/>
      <c r="V416" s="34"/>
      <c r="W416" s="34"/>
      <c r="X416" s="34"/>
      <c r="Y416" s="34"/>
      <c r="Z416" s="34"/>
      <c r="AA416" s="34"/>
      <c r="AB416" s="34"/>
      <c r="AC416" s="34"/>
      <c r="AD416" s="34"/>
      <c r="AE416" s="34"/>
      <c r="AF416" s="34"/>
      <c r="AG416" s="34"/>
      <c r="AH416" s="34"/>
      <c r="AI416" s="34"/>
      <c r="AJ416" s="34"/>
      <c r="AK416" s="34"/>
      <c r="AL416" s="34"/>
      <c r="AM416" s="34"/>
      <c r="AN416" s="34"/>
      <c r="AO416" s="34"/>
      <c r="AP416" s="34"/>
      <c r="AQ416" s="34"/>
      <c r="AR416" s="34"/>
      <c r="AS416" s="34"/>
      <c r="AT416" s="34"/>
      <c r="AU416" s="34"/>
      <c r="AV416" s="34"/>
      <c r="AW416" s="34"/>
      <c r="AX416" s="34"/>
      <c r="AY416" s="34"/>
      <c r="AZ416" s="34"/>
      <c r="BA416" s="34"/>
      <c r="BB416" s="34"/>
      <c r="BC416" s="34"/>
      <c r="BD416" s="34"/>
      <c r="BE416" s="34"/>
      <c r="BF416" s="34"/>
      <c r="BG416" s="34"/>
      <c r="BH416" s="34"/>
      <c r="BI416" s="34"/>
      <c r="BJ416" s="34"/>
      <c r="BK416" s="34"/>
      <c r="BL416" s="34"/>
      <c r="BM416" s="34"/>
      <c r="BN416" s="34"/>
      <c r="BO416" s="34"/>
      <c r="BP416" s="34"/>
      <c r="BQ416" s="34"/>
      <c r="BR416" s="34"/>
      <c r="BS416" s="34"/>
      <c r="BT416" s="34"/>
      <c r="BU416" s="34"/>
      <c r="BV416" s="34"/>
      <c r="BW416" s="34"/>
      <c r="BX416" s="34"/>
      <c r="BY416" s="34"/>
      <c r="BZ416" s="34"/>
      <c r="CA416" s="34"/>
      <c r="CB416" s="34"/>
      <c r="CC416" s="34"/>
      <c r="CD416" s="34"/>
      <c r="CE416" s="34"/>
      <c r="CF416" s="34"/>
      <c r="CG416" s="34"/>
      <c r="CH416" s="34"/>
      <c r="CI416" s="8"/>
    </row>
    <row r="417" spans="1:87" x14ac:dyDescent="0.2">
      <c r="A417" s="8" t="str">
        <f>IF(AND(COUNTIF(W$3:W$13,A$23)&gt;0,A$23&lt;&gt;B292),A$23,IFERROR(IF(MATCH(A$23,Z$3:Z$13,0)=6,A$23," ")," "))</f>
        <v xml:space="preserve"> </v>
      </c>
      <c r="B417" s="8" t="str">
        <f>IF(A417=" "," ",MAX(B409:B416)+1)</f>
        <v xml:space="preserve"> </v>
      </c>
      <c r="C417" s="8" t="str">
        <f>IFERROR(INDEX(A409:A430,MATCH(SMALL(B409:B430,9),B409:B430,0),1)," ")</f>
        <v>C20</v>
      </c>
      <c r="D417" s="8">
        <f t="shared" si="1610"/>
        <v>0</v>
      </c>
      <c r="E417" s="8">
        <f t="shared" si="1611"/>
        <v>0</v>
      </c>
      <c r="F417" s="8">
        <f t="shared" si="1612"/>
        <v>0</v>
      </c>
      <c r="G417" s="8">
        <f t="shared" si="1613"/>
        <v>0</v>
      </c>
      <c r="H417" s="8">
        <f t="shared" si="1614"/>
        <v>0</v>
      </c>
      <c r="I417" s="8">
        <f t="shared" si="1615"/>
        <v>0</v>
      </c>
      <c r="J417" s="8">
        <f t="shared" si="1616"/>
        <v>0</v>
      </c>
      <c r="K417" s="8">
        <f t="shared" si="1617"/>
        <v>0</v>
      </c>
      <c r="L417" s="8">
        <f t="shared" si="1618"/>
        <v>1</v>
      </c>
      <c r="M417" s="8">
        <f t="shared" si="1619"/>
        <v>0</v>
      </c>
      <c r="N417" s="8">
        <f t="shared" si="1620"/>
        <v>0</v>
      </c>
      <c r="O417" s="8">
        <f t="shared" si="1621"/>
        <v>0</v>
      </c>
      <c r="P417" s="6" t="e">
        <v>#NUM!</v>
      </c>
      <c r="Q417" s="8" t="e">
        <f t="shared" ref="Q417" si="1651">IF(COUNTIF(P409:P419,"&lt;"&amp;-0.001)=0,IF(ABS(P417)&lt;0.001,0,P417)," ")</f>
        <v>#NUM!</v>
      </c>
      <c r="R417" s="8"/>
      <c r="S417" s="8"/>
      <c r="U417" s="34"/>
      <c r="V417" s="34"/>
      <c r="W417" s="34"/>
      <c r="X417" s="34"/>
      <c r="Y417" s="34"/>
      <c r="Z417" s="34"/>
      <c r="AA417" s="34"/>
      <c r="AB417" s="34"/>
      <c r="AC417" s="34"/>
      <c r="AD417" s="34"/>
      <c r="AE417" s="34"/>
      <c r="AF417" s="34"/>
      <c r="AG417" s="34"/>
      <c r="AH417" s="34"/>
      <c r="AI417" s="34"/>
      <c r="AJ417" s="34"/>
      <c r="AK417" s="34"/>
      <c r="AL417" s="34"/>
      <c r="AM417" s="34"/>
      <c r="AN417" s="34"/>
      <c r="AO417" s="34"/>
      <c r="AP417" s="34"/>
      <c r="AQ417" s="34"/>
      <c r="AR417" s="34"/>
      <c r="AS417" s="34"/>
      <c r="AT417" s="34"/>
      <c r="AU417" s="34"/>
      <c r="AV417" s="34"/>
      <c r="AW417" s="34"/>
      <c r="AX417" s="34"/>
      <c r="AY417" s="34"/>
      <c r="AZ417" s="34"/>
      <c r="BA417" s="34"/>
      <c r="BB417" s="34"/>
      <c r="BC417" s="34"/>
      <c r="BD417" s="34"/>
      <c r="BE417" s="34"/>
      <c r="BF417" s="34"/>
      <c r="BG417" s="34"/>
      <c r="BH417" s="34"/>
      <c r="BI417" s="34"/>
      <c r="BJ417" s="34"/>
      <c r="BK417" s="34"/>
      <c r="BL417" s="34"/>
      <c r="BM417" s="34"/>
      <c r="BN417" s="34"/>
      <c r="BO417" s="34"/>
      <c r="BP417" s="34"/>
      <c r="BQ417" s="34"/>
      <c r="BR417" s="34"/>
      <c r="BS417" s="34"/>
      <c r="BT417" s="34"/>
      <c r="BU417" s="34"/>
      <c r="BV417" s="34"/>
      <c r="BW417" s="34"/>
      <c r="BX417" s="34"/>
      <c r="BY417" s="34"/>
      <c r="BZ417" s="34"/>
      <c r="CA417" s="34"/>
      <c r="CB417" s="34"/>
      <c r="CC417" s="34"/>
      <c r="CD417" s="34"/>
      <c r="CE417" s="34"/>
      <c r="CF417" s="34"/>
      <c r="CG417" s="34"/>
      <c r="CH417" s="34"/>
      <c r="CI417" s="8"/>
    </row>
    <row r="418" spans="1:87" x14ac:dyDescent="0.2">
      <c r="A418" s="8" t="str">
        <f>IF(AND(COUNTIF(W$3:W$13,A$24)&gt;0,A$24&lt;&gt;B292),A$24,IFERROR(IF(MATCH(A$24,Z$3:Z$13,0)=6,A$24," ")," "))</f>
        <v xml:space="preserve"> </v>
      </c>
      <c r="B418" s="8" t="str">
        <f>IF(A418=" "," ",MAX(B409:B417)+1)</f>
        <v xml:space="preserve"> </v>
      </c>
      <c r="C418" s="8" t="str">
        <f>IFERROR(INDEX(A409:A430,MATCH(SMALL(B409:B430,10),B409:B430,0),1)," ")</f>
        <v>C21</v>
      </c>
      <c r="D418" s="8">
        <f t="shared" si="1610"/>
        <v>0</v>
      </c>
      <c r="E418" s="8">
        <f t="shared" si="1611"/>
        <v>0</v>
      </c>
      <c r="F418" s="8">
        <f t="shared" si="1612"/>
        <v>0</v>
      </c>
      <c r="G418" s="8">
        <f t="shared" si="1613"/>
        <v>0</v>
      </c>
      <c r="H418" s="8">
        <f t="shared" si="1614"/>
        <v>0</v>
      </c>
      <c r="I418" s="8">
        <f t="shared" si="1615"/>
        <v>0</v>
      </c>
      <c r="J418" s="8">
        <f t="shared" si="1616"/>
        <v>0</v>
      </c>
      <c r="K418" s="8">
        <f t="shared" si="1617"/>
        <v>0</v>
      </c>
      <c r="L418" s="8">
        <f t="shared" si="1618"/>
        <v>0</v>
      </c>
      <c r="M418" s="8">
        <f t="shared" si="1619"/>
        <v>1</v>
      </c>
      <c r="N418" s="8">
        <f t="shared" si="1620"/>
        <v>0</v>
      </c>
      <c r="O418" s="8">
        <f t="shared" si="1621"/>
        <v>0</v>
      </c>
      <c r="P418" s="8" t="e">
        <v>#NUM!</v>
      </c>
      <c r="Q418" s="8" t="e">
        <f t="shared" ref="Q418" si="1652">IF(COUNTIF(P409:P419,"&lt;"&amp;-0.001)=0,IF(ABS(P418)&lt;0.001,0,P418)," ")</f>
        <v>#NUM!</v>
      </c>
      <c r="R418" s="8"/>
      <c r="S418" s="8"/>
      <c r="U418" s="34"/>
      <c r="V418" s="34"/>
      <c r="W418" s="34"/>
      <c r="X418" s="34"/>
      <c r="Y418" s="34"/>
      <c r="Z418" s="34"/>
      <c r="AA418" s="34"/>
      <c r="AB418" s="34"/>
      <c r="AC418" s="34"/>
      <c r="AD418" s="34"/>
      <c r="AE418" s="34"/>
      <c r="AF418" s="34"/>
      <c r="AG418" s="34"/>
      <c r="AH418" s="34"/>
      <c r="AI418" s="34"/>
      <c r="AJ418" s="34"/>
      <c r="AK418" s="34"/>
      <c r="AL418" s="34"/>
      <c r="AM418" s="34"/>
      <c r="AN418" s="34"/>
      <c r="AO418" s="34"/>
      <c r="AP418" s="34"/>
      <c r="AQ418" s="34"/>
      <c r="AR418" s="34"/>
      <c r="AS418" s="34"/>
      <c r="AT418" s="34"/>
      <c r="AU418" s="34"/>
      <c r="AV418" s="34"/>
      <c r="AW418" s="34"/>
      <c r="AX418" s="34"/>
      <c r="AY418" s="34"/>
      <c r="AZ418" s="34"/>
      <c r="BA418" s="34"/>
      <c r="BB418" s="34"/>
      <c r="BC418" s="34"/>
      <c r="BD418" s="34"/>
      <c r="BE418" s="34"/>
      <c r="BF418" s="34"/>
      <c r="BG418" s="34"/>
      <c r="BH418" s="34"/>
      <c r="BI418" s="34"/>
      <c r="BJ418" s="34"/>
      <c r="BK418" s="34"/>
      <c r="BL418" s="34"/>
      <c r="BM418" s="34"/>
      <c r="BN418" s="34"/>
      <c r="BO418" s="34"/>
      <c r="BP418" s="34"/>
      <c r="BQ418" s="34"/>
      <c r="BR418" s="34"/>
      <c r="BS418" s="34"/>
      <c r="BT418" s="34"/>
      <c r="BU418" s="34"/>
      <c r="BV418" s="34"/>
      <c r="BW418" s="34"/>
      <c r="BX418" s="34"/>
      <c r="BY418" s="34"/>
      <c r="BZ418" s="34"/>
      <c r="CA418" s="34"/>
      <c r="CB418" s="34"/>
      <c r="CC418" s="34"/>
      <c r="CD418" s="34"/>
      <c r="CE418" s="34"/>
      <c r="CF418" s="34"/>
      <c r="CG418" s="34"/>
      <c r="CH418" s="34"/>
      <c r="CI418" s="8"/>
    </row>
    <row r="419" spans="1:87" x14ac:dyDescent="0.2">
      <c r="A419" s="8" t="str">
        <f>IF(AND(COUNTIF(W$3:W$13,A$25)&gt;0,A$25&lt;&gt;B292),A$25,IFERROR(IF(MATCH(A$25,Z$3:Z$13,0)=6,A$25," ")," "))</f>
        <v xml:space="preserve"> </v>
      </c>
      <c r="B419" s="8" t="str">
        <f>IF(A419=" "," ",MAX(B409:B418)+1)</f>
        <v xml:space="preserve"> </v>
      </c>
      <c r="C419" s="8" t="str">
        <f>IFERROR(INDEX(A409:A430,MATCH(SMALL(B409:B430,11),B409:B430,0),1)," ")</f>
        <v>C22</v>
      </c>
      <c r="D419" s="8">
        <f t="shared" si="1610"/>
        <v>0</v>
      </c>
      <c r="E419" s="8">
        <f t="shared" si="1611"/>
        <v>0</v>
      </c>
      <c r="F419" s="8">
        <f t="shared" si="1612"/>
        <v>0</v>
      </c>
      <c r="G419" s="8">
        <f t="shared" si="1613"/>
        <v>0</v>
      </c>
      <c r="H419" s="8">
        <f t="shared" si="1614"/>
        <v>0</v>
      </c>
      <c r="I419" s="8">
        <f t="shared" si="1615"/>
        <v>0</v>
      </c>
      <c r="J419" s="8">
        <f t="shared" si="1616"/>
        <v>0</v>
      </c>
      <c r="K419" s="8">
        <f t="shared" si="1617"/>
        <v>0</v>
      </c>
      <c r="L419" s="8">
        <f t="shared" si="1618"/>
        <v>0</v>
      </c>
      <c r="M419" s="8">
        <f t="shared" si="1619"/>
        <v>0</v>
      </c>
      <c r="N419" s="8">
        <f t="shared" si="1620"/>
        <v>1</v>
      </c>
      <c r="O419" s="8">
        <f t="shared" si="1621"/>
        <v>0</v>
      </c>
      <c r="P419" s="8" t="e">
        <v>#NUM!</v>
      </c>
      <c r="Q419" s="8" t="e">
        <f t="shared" ref="Q419" si="1653">IF(COUNTIF(P409:P419,"&lt;"&amp;-0.001)=0,IF(ABS(P419)&lt;0.001,0,P419)," ")</f>
        <v>#NUM!</v>
      </c>
      <c r="R419" s="8"/>
      <c r="S419" s="8"/>
      <c r="U419" s="34"/>
      <c r="V419" s="34"/>
      <c r="W419" s="34"/>
      <c r="X419" s="34"/>
      <c r="Y419" s="34"/>
      <c r="Z419" s="34"/>
      <c r="AA419" s="34"/>
      <c r="AB419" s="34"/>
      <c r="AC419" s="34"/>
      <c r="AD419" s="34"/>
      <c r="AE419" s="34"/>
      <c r="AF419" s="34"/>
      <c r="AG419" s="34"/>
      <c r="AH419" s="34"/>
      <c r="AI419" s="34"/>
      <c r="AJ419" s="34"/>
      <c r="AK419" s="34"/>
      <c r="AL419" s="34"/>
      <c r="AM419" s="34"/>
      <c r="AN419" s="34"/>
      <c r="AO419" s="34"/>
      <c r="AP419" s="34"/>
      <c r="AQ419" s="34"/>
      <c r="AR419" s="34"/>
      <c r="AS419" s="34"/>
      <c r="AT419" s="34"/>
      <c r="AU419" s="34"/>
      <c r="AV419" s="34"/>
      <c r="AW419" s="34"/>
      <c r="AX419" s="34"/>
      <c r="AY419" s="34"/>
      <c r="AZ419" s="34"/>
      <c r="BA419" s="34"/>
      <c r="BB419" s="34"/>
      <c r="BC419" s="34"/>
      <c r="BD419" s="34"/>
      <c r="BE419" s="34"/>
      <c r="BF419" s="34"/>
      <c r="BG419" s="34"/>
      <c r="BH419" s="34"/>
      <c r="BI419" s="34"/>
      <c r="BJ419" s="34"/>
      <c r="BK419" s="34"/>
      <c r="BL419" s="34"/>
      <c r="BM419" s="34"/>
      <c r="BN419" s="34"/>
      <c r="BO419" s="34"/>
      <c r="BP419" s="34"/>
      <c r="BQ419" s="34"/>
      <c r="BR419" s="34"/>
      <c r="BS419" s="34"/>
      <c r="BT419" s="34"/>
      <c r="BU419" s="34"/>
      <c r="BV419" s="34"/>
      <c r="BW419" s="34"/>
      <c r="BX419" s="34"/>
      <c r="BY419" s="34"/>
      <c r="BZ419" s="34"/>
      <c r="CA419" s="34"/>
      <c r="CB419" s="34"/>
      <c r="CC419" s="34"/>
      <c r="CD419" s="34"/>
      <c r="CE419" s="34"/>
      <c r="CF419" s="34"/>
      <c r="CG419" s="34"/>
      <c r="CH419" s="34"/>
      <c r="CI419" s="8"/>
    </row>
    <row r="420" spans="1:87" x14ac:dyDescent="0.2">
      <c r="A420" s="8" t="str">
        <f>IF(AND(COUNTIF(W$3:W$13,A$26)&gt;0,A$26&lt;&gt;B292),A$26,IFERROR(IF(MATCH(A$26,Z$3:Z$13,0)=6,A$26," ")," "))</f>
        <v xml:space="preserve"> </v>
      </c>
      <c r="B420" s="8" t="str">
        <f>IF(A420=" "," ",MAX(B409:B419)+1)</f>
        <v xml:space="preserve"> </v>
      </c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U420" s="34"/>
      <c r="V420" s="34"/>
      <c r="W420" s="34"/>
      <c r="X420" s="34"/>
      <c r="Y420" s="34"/>
      <c r="Z420" s="34"/>
      <c r="AA420" s="34"/>
      <c r="AB420" s="34"/>
      <c r="AC420" s="34"/>
      <c r="AD420" s="34"/>
      <c r="AE420" s="34"/>
      <c r="AF420" s="34"/>
      <c r="AG420" s="34"/>
      <c r="AH420" s="34"/>
      <c r="AI420" s="34"/>
      <c r="AJ420" s="34"/>
      <c r="AK420" s="34"/>
      <c r="AL420" s="34"/>
      <c r="AM420" s="34"/>
      <c r="AN420" s="34"/>
      <c r="AO420" s="34"/>
      <c r="AP420" s="34"/>
      <c r="AQ420" s="34"/>
      <c r="AR420" s="34"/>
      <c r="AS420" s="34"/>
      <c r="AT420" s="34"/>
      <c r="AU420" s="34"/>
      <c r="AV420" s="34"/>
      <c r="AW420" s="34"/>
      <c r="AX420" s="34"/>
      <c r="AY420" s="34"/>
      <c r="AZ420" s="34"/>
      <c r="BA420" s="34"/>
      <c r="BB420" s="34"/>
      <c r="BC420" s="34"/>
      <c r="BD420" s="34"/>
      <c r="BE420" s="34"/>
      <c r="BF420" s="34"/>
      <c r="BG420" s="34"/>
      <c r="BH420" s="34"/>
      <c r="BI420" s="34"/>
      <c r="BJ420" s="34"/>
      <c r="BK420" s="34"/>
      <c r="BL420" s="34"/>
      <c r="BM420" s="34"/>
      <c r="BN420" s="34"/>
      <c r="BO420" s="34"/>
      <c r="BP420" s="34"/>
      <c r="BQ420" s="34"/>
      <c r="BR420" s="34"/>
      <c r="BS420" s="34"/>
      <c r="BT420" s="34"/>
      <c r="BU420" s="34"/>
      <c r="BV420" s="34"/>
      <c r="BW420" s="34"/>
      <c r="BX420" s="34"/>
      <c r="BY420" s="34"/>
      <c r="BZ420" s="34"/>
      <c r="CA420" s="34"/>
      <c r="CB420" s="34"/>
      <c r="CC420" s="34"/>
      <c r="CD420" s="34"/>
      <c r="CE420" s="34"/>
      <c r="CF420" s="34"/>
      <c r="CG420" s="34"/>
      <c r="CH420" s="34"/>
      <c r="CI420" s="8"/>
    </row>
    <row r="421" spans="1:87" x14ac:dyDescent="0.2">
      <c r="A421" s="8" t="str">
        <f>IF(AND(COUNTIF(W$3:W$13,A$27)&gt;0,A$27&lt;&gt;B292),A$27,IFERROR(IF(MATCH(A$27,Z$3:Z$13,0)=6,A$27," ")," "))</f>
        <v>C13</v>
      </c>
      <c r="B421" s="8">
        <f>IF(A421=" "," ",MAX(B409:B420)+1)</f>
        <v>3</v>
      </c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U421" s="34"/>
      <c r="V421" s="34"/>
      <c r="W421" s="34"/>
      <c r="X421" s="34"/>
      <c r="Y421" s="34"/>
      <c r="Z421" s="34"/>
      <c r="AA421" s="34"/>
      <c r="AB421" s="34"/>
      <c r="AC421" s="34"/>
      <c r="AD421" s="34"/>
      <c r="AE421" s="34"/>
      <c r="AF421" s="34"/>
      <c r="AG421" s="34"/>
      <c r="AH421" s="34"/>
      <c r="AI421" s="34"/>
      <c r="AJ421" s="34"/>
      <c r="AK421" s="34"/>
      <c r="AL421" s="34"/>
      <c r="AM421" s="34"/>
      <c r="AN421" s="34"/>
      <c r="AO421" s="34"/>
      <c r="AP421" s="34"/>
      <c r="AQ421" s="34"/>
      <c r="AR421" s="34"/>
      <c r="AS421" s="34"/>
      <c r="AT421" s="34"/>
      <c r="AU421" s="34"/>
      <c r="AV421" s="34"/>
      <c r="AW421" s="34"/>
      <c r="AX421" s="34"/>
      <c r="AY421" s="34"/>
      <c r="AZ421" s="34"/>
      <c r="BA421" s="34"/>
      <c r="BB421" s="34"/>
      <c r="BC421" s="34"/>
      <c r="BD421" s="34"/>
      <c r="BE421" s="34"/>
      <c r="BF421" s="34"/>
      <c r="BG421" s="34"/>
      <c r="BH421" s="34"/>
      <c r="BI421" s="34"/>
      <c r="BJ421" s="34"/>
      <c r="BK421" s="34"/>
      <c r="BL421" s="34"/>
      <c r="BM421" s="34"/>
      <c r="BN421" s="34"/>
      <c r="BO421" s="34"/>
      <c r="BP421" s="34"/>
      <c r="BQ421" s="34"/>
      <c r="BR421" s="34"/>
      <c r="BS421" s="34"/>
      <c r="BT421" s="34"/>
      <c r="BU421" s="34"/>
      <c r="BV421" s="34"/>
      <c r="BW421" s="34"/>
      <c r="BX421" s="34"/>
      <c r="BY421" s="34"/>
      <c r="BZ421" s="34"/>
      <c r="CA421" s="34"/>
      <c r="CB421" s="34"/>
      <c r="CC421" s="34"/>
      <c r="CD421" s="34"/>
      <c r="CE421" s="34"/>
      <c r="CF421" s="34"/>
      <c r="CG421" s="34"/>
      <c r="CH421" s="34"/>
      <c r="CI421" s="8"/>
    </row>
    <row r="422" spans="1:87" x14ac:dyDescent="0.2">
      <c r="A422" s="8" t="str">
        <f>IF(AND(COUNTIF(W$3:W$13,A$28)&gt;0,A$28&lt;&gt;B292),A$28,IFERROR(IF(MATCH(A$28,Z$3:Z$13,0)=6,A$28," ")," "))</f>
        <v xml:space="preserve"> </v>
      </c>
      <c r="B422" s="8" t="str">
        <f>IF(A422=" "," ",MAX(B409:B421)+1)</f>
        <v xml:space="preserve"> </v>
      </c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U422" s="34"/>
      <c r="V422" s="34"/>
      <c r="W422" s="34"/>
      <c r="X422" s="34"/>
      <c r="Y422" s="34"/>
      <c r="Z422" s="34"/>
      <c r="AA422" s="34"/>
      <c r="AB422" s="34"/>
      <c r="AC422" s="34"/>
      <c r="AD422" s="34"/>
      <c r="AE422" s="34"/>
      <c r="AF422" s="34"/>
      <c r="AG422" s="34"/>
      <c r="AH422" s="34"/>
      <c r="AI422" s="34"/>
      <c r="AJ422" s="34"/>
      <c r="AK422" s="34"/>
      <c r="AL422" s="34"/>
      <c r="AM422" s="34"/>
      <c r="AN422" s="34"/>
      <c r="AO422" s="34"/>
      <c r="AP422" s="34"/>
      <c r="AQ422" s="34"/>
      <c r="AR422" s="34"/>
      <c r="AS422" s="34"/>
      <c r="AT422" s="34"/>
      <c r="AU422" s="34"/>
      <c r="AV422" s="34"/>
      <c r="AW422" s="34"/>
      <c r="AX422" s="34"/>
      <c r="AY422" s="34"/>
      <c r="AZ422" s="34"/>
      <c r="BA422" s="34"/>
      <c r="BB422" s="34"/>
      <c r="BC422" s="34"/>
      <c r="BD422" s="34"/>
      <c r="BE422" s="34"/>
      <c r="BF422" s="34"/>
      <c r="BG422" s="34"/>
      <c r="BH422" s="34"/>
      <c r="BI422" s="34"/>
      <c r="BJ422" s="34"/>
      <c r="BK422" s="34"/>
      <c r="BL422" s="34"/>
      <c r="BM422" s="34"/>
      <c r="BN422" s="34"/>
      <c r="BO422" s="34"/>
      <c r="BP422" s="34"/>
      <c r="BQ422" s="34"/>
      <c r="BR422" s="34"/>
      <c r="BS422" s="34"/>
      <c r="BT422" s="34"/>
      <c r="BU422" s="34"/>
      <c r="BV422" s="34"/>
      <c r="BW422" s="34"/>
      <c r="BX422" s="34"/>
      <c r="BY422" s="34"/>
      <c r="BZ422" s="34"/>
      <c r="CA422" s="34"/>
      <c r="CB422" s="34"/>
      <c r="CC422" s="34"/>
      <c r="CD422" s="34"/>
      <c r="CE422" s="34"/>
      <c r="CF422" s="34"/>
      <c r="CG422" s="34"/>
      <c r="CH422" s="34"/>
      <c r="CI422" s="8"/>
    </row>
    <row r="423" spans="1:87" x14ac:dyDescent="0.2">
      <c r="A423" s="8" t="str">
        <f>IF(AND(COUNTIF(W$3:W$13,A$29)&gt;0,A$29&lt;&gt;B292),A$29,IFERROR(IF(MATCH(A$29,Z$3:Z$13,0)=6,A$29," ")," "))</f>
        <v>C15</v>
      </c>
      <c r="B423" s="8">
        <f>IF(A423=" "," ",MAX(B409:B422)+1)</f>
        <v>4</v>
      </c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U423" s="34"/>
      <c r="V423" s="34"/>
      <c r="W423" s="34"/>
      <c r="X423" s="34"/>
      <c r="Y423" s="34"/>
      <c r="Z423" s="34"/>
      <c r="AA423" s="34"/>
      <c r="AB423" s="34"/>
      <c r="AC423" s="34"/>
      <c r="AD423" s="34"/>
      <c r="AE423" s="34"/>
      <c r="AF423" s="34"/>
      <c r="AG423" s="34"/>
      <c r="AH423" s="34"/>
      <c r="AI423" s="34"/>
      <c r="AJ423" s="34"/>
      <c r="AK423" s="34"/>
      <c r="AL423" s="34"/>
      <c r="AM423" s="34"/>
      <c r="AN423" s="34"/>
      <c r="AO423" s="34"/>
      <c r="AP423" s="34"/>
      <c r="AQ423" s="34"/>
      <c r="AR423" s="34"/>
      <c r="AS423" s="34"/>
      <c r="AT423" s="34"/>
      <c r="AU423" s="34"/>
      <c r="AV423" s="34"/>
      <c r="AW423" s="34"/>
      <c r="AX423" s="34"/>
      <c r="AY423" s="34"/>
      <c r="AZ423" s="34"/>
      <c r="BA423" s="34"/>
      <c r="BB423" s="34"/>
      <c r="BC423" s="34"/>
      <c r="BD423" s="34"/>
      <c r="BE423" s="34"/>
      <c r="BF423" s="34"/>
      <c r="BG423" s="34"/>
      <c r="BH423" s="34"/>
      <c r="BI423" s="34"/>
      <c r="BJ423" s="34"/>
      <c r="BK423" s="34"/>
      <c r="BL423" s="34"/>
      <c r="BM423" s="34"/>
      <c r="BN423" s="34"/>
      <c r="BO423" s="34"/>
      <c r="BP423" s="34"/>
      <c r="BQ423" s="34"/>
      <c r="BR423" s="34"/>
      <c r="BS423" s="34"/>
      <c r="BT423" s="34"/>
      <c r="BU423" s="34"/>
      <c r="BV423" s="34"/>
      <c r="BW423" s="34"/>
      <c r="BX423" s="34"/>
      <c r="BY423" s="34"/>
      <c r="BZ423" s="34"/>
      <c r="CA423" s="34"/>
      <c r="CB423" s="34"/>
      <c r="CC423" s="34"/>
      <c r="CD423" s="34"/>
      <c r="CE423" s="34"/>
      <c r="CF423" s="34"/>
      <c r="CG423" s="34"/>
      <c r="CH423" s="34"/>
      <c r="CI423" s="8"/>
    </row>
    <row r="424" spans="1:87" x14ac:dyDescent="0.2">
      <c r="A424" s="8" t="str">
        <f>IF(AND(COUNTIF(W$3:W$13,A$30)&gt;0,A$30&lt;&gt;B292),A$30,IFERROR(IF(MATCH(A$30,Z$3:Z$13,0)=6,A$30," ")," "))</f>
        <v>C16</v>
      </c>
      <c r="B424" s="8">
        <f>IF(A424=" "," ",MAX(B409:B423)+1)</f>
        <v>5</v>
      </c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U424" s="34"/>
      <c r="V424" s="34"/>
      <c r="W424" s="34"/>
      <c r="X424" s="34"/>
      <c r="Y424" s="34"/>
      <c r="Z424" s="34"/>
      <c r="AA424" s="34"/>
      <c r="AB424" s="34"/>
      <c r="AC424" s="34"/>
      <c r="AD424" s="34"/>
      <c r="AE424" s="34"/>
      <c r="AF424" s="34"/>
      <c r="AG424" s="34"/>
      <c r="AH424" s="34"/>
      <c r="AI424" s="34"/>
      <c r="AJ424" s="34"/>
      <c r="AK424" s="34"/>
      <c r="AL424" s="34"/>
      <c r="AM424" s="34"/>
      <c r="AN424" s="34"/>
      <c r="AO424" s="34"/>
      <c r="AP424" s="34"/>
      <c r="AQ424" s="34"/>
      <c r="AR424" s="34"/>
      <c r="AS424" s="34"/>
      <c r="AT424" s="34"/>
      <c r="AU424" s="34"/>
      <c r="AV424" s="34"/>
      <c r="AW424" s="34"/>
      <c r="AX424" s="34"/>
      <c r="AY424" s="34"/>
      <c r="AZ424" s="34"/>
      <c r="BA424" s="34"/>
      <c r="BB424" s="34"/>
      <c r="BC424" s="34"/>
      <c r="BD424" s="34"/>
      <c r="BE424" s="34"/>
      <c r="BF424" s="34"/>
      <c r="BG424" s="34"/>
      <c r="BH424" s="34"/>
      <c r="BI424" s="34"/>
      <c r="BJ424" s="34"/>
      <c r="BK424" s="34"/>
      <c r="BL424" s="34"/>
      <c r="BM424" s="34"/>
      <c r="BN424" s="34"/>
      <c r="BO424" s="34"/>
      <c r="BP424" s="34"/>
      <c r="BQ424" s="34"/>
      <c r="BR424" s="34"/>
      <c r="BS424" s="34"/>
      <c r="BT424" s="34"/>
      <c r="BU424" s="34"/>
      <c r="BV424" s="34"/>
      <c r="BW424" s="34"/>
      <c r="BX424" s="34"/>
      <c r="BY424" s="34"/>
      <c r="BZ424" s="34"/>
      <c r="CA424" s="34"/>
      <c r="CB424" s="34"/>
      <c r="CC424" s="34"/>
      <c r="CD424" s="34"/>
      <c r="CE424" s="34"/>
      <c r="CF424" s="34"/>
      <c r="CG424" s="34"/>
      <c r="CH424" s="34"/>
      <c r="CI424" s="8"/>
    </row>
    <row r="425" spans="1:87" x14ac:dyDescent="0.2">
      <c r="A425" s="8" t="str">
        <f>IF(AND(COUNTIF(W$3:W$13,A$31)&gt;0,A$31&lt;&gt;B292),A$31,IFERROR(IF(MATCH(A$31,Z$3:Z$13,0)=6,A$31," ")," "))</f>
        <v>C17</v>
      </c>
      <c r="B425" s="8">
        <f>IF(A425=" "," ",MAX(B409:B424)+1)</f>
        <v>6</v>
      </c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U425" s="34"/>
      <c r="V425" s="34"/>
      <c r="W425" s="34"/>
      <c r="X425" s="34"/>
      <c r="Y425" s="34"/>
      <c r="Z425" s="34"/>
      <c r="AA425" s="34"/>
      <c r="AB425" s="34"/>
      <c r="AC425" s="34"/>
      <c r="AD425" s="34"/>
      <c r="AE425" s="34"/>
      <c r="AF425" s="34"/>
      <c r="AG425" s="34"/>
      <c r="AH425" s="34"/>
      <c r="AI425" s="34"/>
      <c r="AJ425" s="34"/>
      <c r="AK425" s="34"/>
      <c r="AL425" s="34"/>
      <c r="AM425" s="34"/>
      <c r="AN425" s="34"/>
      <c r="AO425" s="34"/>
      <c r="AP425" s="34"/>
      <c r="AQ425" s="34"/>
      <c r="AR425" s="34"/>
      <c r="AS425" s="34"/>
      <c r="AT425" s="34"/>
      <c r="AU425" s="34"/>
      <c r="AV425" s="34"/>
      <c r="AW425" s="34"/>
      <c r="AX425" s="34"/>
      <c r="AY425" s="34"/>
      <c r="AZ425" s="34"/>
      <c r="BA425" s="34"/>
      <c r="BB425" s="34"/>
      <c r="BC425" s="34"/>
      <c r="BD425" s="34"/>
      <c r="BE425" s="34"/>
      <c r="BF425" s="34"/>
      <c r="BG425" s="34"/>
      <c r="BH425" s="34"/>
      <c r="BI425" s="34"/>
      <c r="BJ425" s="34"/>
      <c r="BK425" s="34"/>
      <c r="BL425" s="34"/>
      <c r="BM425" s="34"/>
      <c r="BN425" s="34"/>
      <c r="BO425" s="34"/>
      <c r="BP425" s="34"/>
      <c r="BQ425" s="34"/>
      <c r="BR425" s="34"/>
      <c r="BS425" s="34"/>
      <c r="BT425" s="34"/>
      <c r="BU425" s="34"/>
      <c r="BV425" s="34"/>
      <c r="BW425" s="34"/>
      <c r="BX425" s="34"/>
      <c r="BY425" s="34"/>
      <c r="BZ425" s="34"/>
      <c r="CA425" s="34"/>
      <c r="CB425" s="34"/>
      <c r="CC425" s="34"/>
      <c r="CD425" s="34"/>
      <c r="CE425" s="34"/>
      <c r="CF425" s="34"/>
      <c r="CG425" s="34"/>
      <c r="CH425" s="34"/>
      <c r="CI425" s="8"/>
    </row>
    <row r="426" spans="1:87" x14ac:dyDescent="0.2">
      <c r="A426" s="8" t="str">
        <f>IF(AND(COUNTIF(W$3:W$13,A$32)&gt;0,A$32&lt;&gt;B292),A$32,IFERROR(IF(MATCH(A$32,Z$3:Z$13,0)=6,A$32," ")," "))</f>
        <v>C18</v>
      </c>
      <c r="B426" s="8">
        <f>IF(A426=" "," ",MAX(B409:B425)+1)</f>
        <v>7</v>
      </c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U426" s="34"/>
      <c r="V426" s="34"/>
      <c r="W426" s="34"/>
      <c r="X426" s="34"/>
      <c r="Y426" s="34"/>
      <c r="Z426" s="34"/>
      <c r="AA426" s="34"/>
      <c r="AB426" s="34"/>
      <c r="AC426" s="34"/>
      <c r="AD426" s="34"/>
      <c r="AE426" s="34"/>
      <c r="AF426" s="34"/>
      <c r="AG426" s="34"/>
      <c r="AH426" s="34"/>
      <c r="AI426" s="34"/>
      <c r="AJ426" s="34"/>
      <c r="AK426" s="34"/>
      <c r="AL426" s="34"/>
      <c r="AM426" s="34"/>
      <c r="AN426" s="34"/>
      <c r="AO426" s="34"/>
      <c r="AP426" s="34"/>
      <c r="AQ426" s="34"/>
      <c r="AR426" s="34"/>
      <c r="AS426" s="34"/>
      <c r="AT426" s="34"/>
      <c r="AU426" s="34"/>
      <c r="AV426" s="34"/>
      <c r="AW426" s="34"/>
      <c r="AX426" s="34"/>
      <c r="AY426" s="34"/>
      <c r="AZ426" s="34"/>
      <c r="BA426" s="34"/>
      <c r="BB426" s="34"/>
      <c r="BC426" s="34"/>
      <c r="BD426" s="34"/>
      <c r="BE426" s="34"/>
      <c r="BF426" s="34"/>
      <c r="BG426" s="34"/>
      <c r="BH426" s="34"/>
      <c r="BI426" s="34"/>
      <c r="BJ426" s="34"/>
      <c r="BK426" s="34"/>
      <c r="BL426" s="34"/>
      <c r="BM426" s="34"/>
      <c r="BN426" s="34"/>
      <c r="BO426" s="34"/>
      <c r="BP426" s="34"/>
      <c r="BQ426" s="34"/>
      <c r="BR426" s="34"/>
      <c r="BS426" s="34"/>
      <c r="BT426" s="34"/>
      <c r="BU426" s="34"/>
      <c r="BV426" s="34"/>
      <c r="BW426" s="34"/>
      <c r="BX426" s="34"/>
      <c r="BY426" s="34"/>
      <c r="BZ426" s="34"/>
      <c r="CA426" s="34"/>
      <c r="CB426" s="34"/>
      <c r="CC426" s="34"/>
      <c r="CD426" s="34"/>
      <c r="CE426" s="34"/>
      <c r="CF426" s="34"/>
      <c r="CG426" s="34"/>
      <c r="CH426" s="34"/>
      <c r="CI426" s="8"/>
    </row>
    <row r="427" spans="1:87" x14ac:dyDescent="0.2">
      <c r="A427" s="8" t="str">
        <f>IF(AND(COUNTIF(W$3:W$13,A$33)&gt;0,A$33&lt;&gt;B292),A$33,IFERROR(IF(MATCH(A$33,Z$3:Z$13,0)=6,A$33," ")," "))</f>
        <v>C19</v>
      </c>
      <c r="B427" s="8">
        <f>IF(A427=" "," ",MAX(B409:B426)+1)</f>
        <v>8</v>
      </c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U427" s="34"/>
      <c r="V427" s="34"/>
      <c r="W427" s="34"/>
      <c r="X427" s="34"/>
      <c r="Y427" s="34"/>
      <c r="Z427" s="34"/>
      <c r="AA427" s="34"/>
      <c r="AB427" s="34"/>
      <c r="AC427" s="34"/>
      <c r="AD427" s="34"/>
      <c r="AE427" s="34"/>
      <c r="AF427" s="34"/>
      <c r="AG427" s="34"/>
      <c r="AH427" s="34"/>
      <c r="AI427" s="34"/>
      <c r="AJ427" s="34"/>
      <c r="AK427" s="34"/>
      <c r="AL427" s="34"/>
      <c r="AM427" s="34"/>
      <c r="AN427" s="34"/>
      <c r="AO427" s="34"/>
      <c r="AP427" s="34"/>
      <c r="AQ427" s="34"/>
      <c r="AR427" s="34"/>
      <c r="AS427" s="34"/>
      <c r="AT427" s="34"/>
      <c r="AU427" s="34"/>
      <c r="AV427" s="34"/>
      <c r="AW427" s="34"/>
      <c r="AX427" s="34"/>
      <c r="AY427" s="34"/>
      <c r="AZ427" s="34"/>
      <c r="BA427" s="34"/>
      <c r="BB427" s="34"/>
      <c r="BC427" s="34"/>
      <c r="BD427" s="34"/>
      <c r="BE427" s="34"/>
      <c r="BF427" s="34"/>
      <c r="BG427" s="34"/>
      <c r="BH427" s="34"/>
      <c r="BI427" s="34"/>
      <c r="BJ427" s="34"/>
      <c r="BK427" s="34"/>
      <c r="BL427" s="34"/>
      <c r="BM427" s="34"/>
      <c r="BN427" s="34"/>
      <c r="BO427" s="34"/>
      <c r="BP427" s="34"/>
      <c r="BQ427" s="34"/>
      <c r="BR427" s="34"/>
      <c r="BS427" s="34"/>
      <c r="BT427" s="34"/>
      <c r="BU427" s="34"/>
      <c r="BV427" s="34"/>
      <c r="BW427" s="34"/>
      <c r="BX427" s="34"/>
      <c r="BY427" s="34"/>
      <c r="BZ427" s="34"/>
      <c r="CA427" s="34"/>
      <c r="CB427" s="34"/>
      <c r="CC427" s="34"/>
      <c r="CD427" s="34"/>
      <c r="CE427" s="34"/>
      <c r="CF427" s="34"/>
      <c r="CG427" s="34"/>
      <c r="CH427" s="34"/>
      <c r="CI427" s="8"/>
    </row>
    <row r="428" spans="1:87" x14ac:dyDescent="0.2">
      <c r="A428" s="8" t="str">
        <f>IF(AND(COUNTIF(W$3:W$13,A$34)&gt;0,A$34&lt;&gt;B292),A$34,IFERROR(IF(MATCH(A$34,Z$3:Z$13,0)=6,A$34," ")," "))</f>
        <v>C20</v>
      </c>
      <c r="B428" s="8">
        <f>IF(A428=" "," ",MAX(B409:B427)+1)</f>
        <v>9</v>
      </c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U428" s="34"/>
      <c r="V428" s="34"/>
      <c r="W428" s="34"/>
      <c r="X428" s="34"/>
      <c r="Y428" s="34"/>
      <c r="Z428" s="34"/>
      <c r="AA428" s="34"/>
      <c r="AB428" s="34"/>
      <c r="AC428" s="34"/>
      <c r="AD428" s="34"/>
      <c r="AE428" s="34"/>
      <c r="AF428" s="34"/>
      <c r="AG428" s="34"/>
      <c r="AH428" s="34"/>
      <c r="AI428" s="34"/>
      <c r="AJ428" s="34"/>
      <c r="AK428" s="34"/>
      <c r="AL428" s="34"/>
      <c r="AM428" s="34"/>
      <c r="AN428" s="34"/>
      <c r="AO428" s="34"/>
      <c r="AP428" s="34"/>
      <c r="AQ428" s="34"/>
      <c r="AR428" s="34"/>
      <c r="AS428" s="34"/>
      <c r="AT428" s="34"/>
      <c r="AU428" s="34"/>
      <c r="AV428" s="34"/>
      <c r="AW428" s="34"/>
      <c r="AX428" s="34"/>
      <c r="AY428" s="34"/>
      <c r="AZ428" s="34"/>
      <c r="BA428" s="34"/>
      <c r="BB428" s="34"/>
      <c r="BC428" s="34"/>
      <c r="BD428" s="34"/>
      <c r="BE428" s="34"/>
      <c r="BF428" s="34"/>
      <c r="BG428" s="34"/>
      <c r="BH428" s="34"/>
      <c r="BI428" s="34"/>
      <c r="BJ428" s="34"/>
      <c r="BK428" s="34"/>
      <c r="BL428" s="34"/>
      <c r="BM428" s="34"/>
      <c r="BN428" s="34"/>
      <c r="BO428" s="34"/>
      <c r="BP428" s="34"/>
      <c r="BQ428" s="34"/>
      <c r="BR428" s="34"/>
      <c r="BS428" s="34"/>
      <c r="BT428" s="34"/>
      <c r="BU428" s="34"/>
      <c r="BV428" s="34"/>
      <c r="BW428" s="34"/>
      <c r="BX428" s="34"/>
      <c r="BY428" s="34"/>
      <c r="BZ428" s="34"/>
      <c r="CA428" s="34"/>
      <c r="CB428" s="34"/>
      <c r="CC428" s="34"/>
      <c r="CD428" s="34"/>
      <c r="CE428" s="34"/>
      <c r="CF428" s="34"/>
      <c r="CG428" s="34"/>
      <c r="CH428" s="34"/>
      <c r="CI428" s="8"/>
    </row>
    <row r="429" spans="1:87" x14ac:dyDescent="0.2">
      <c r="A429" s="8" t="str">
        <f>IF(AND(COUNTIF(W$3:W$13,A$35)&gt;0,A$35&lt;&gt;B292),A$35,IFERROR(IF(MATCH(A$35,Z$3:Z$13,0)=6,A$35," ")," "))</f>
        <v>C21</v>
      </c>
      <c r="B429" s="8">
        <f>IF(A429=" "," ",MAX(B409:B428)+1)</f>
        <v>10</v>
      </c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U429" s="34"/>
      <c r="V429" s="34"/>
      <c r="W429" s="34"/>
      <c r="X429" s="34"/>
      <c r="Y429" s="34"/>
      <c r="Z429" s="34"/>
      <c r="AA429" s="34"/>
      <c r="AB429" s="34"/>
      <c r="AC429" s="34"/>
      <c r="AD429" s="34"/>
      <c r="AE429" s="34"/>
      <c r="AF429" s="34"/>
      <c r="AG429" s="34"/>
      <c r="AH429" s="34"/>
      <c r="AI429" s="34"/>
      <c r="AJ429" s="34"/>
      <c r="AK429" s="34"/>
      <c r="AL429" s="34"/>
      <c r="AM429" s="34"/>
      <c r="AN429" s="34"/>
      <c r="AO429" s="34"/>
      <c r="AP429" s="34"/>
      <c r="AQ429" s="34"/>
      <c r="AR429" s="34"/>
      <c r="AS429" s="34"/>
      <c r="AT429" s="34"/>
      <c r="AU429" s="34"/>
      <c r="AV429" s="34"/>
      <c r="AW429" s="34"/>
      <c r="AX429" s="34"/>
      <c r="AY429" s="34"/>
      <c r="AZ429" s="34"/>
      <c r="BA429" s="34"/>
      <c r="BB429" s="34"/>
      <c r="BC429" s="34"/>
      <c r="BD429" s="34"/>
      <c r="BE429" s="34"/>
      <c r="BF429" s="34"/>
      <c r="BG429" s="34"/>
      <c r="BH429" s="34"/>
      <c r="BI429" s="34"/>
      <c r="BJ429" s="34"/>
      <c r="BK429" s="34"/>
      <c r="BL429" s="34"/>
      <c r="BM429" s="34"/>
      <c r="BN429" s="34"/>
      <c r="BO429" s="34"/>
      <c r="BP429" s="34"/>
      <c r="BQ429" s="34"/>
      <c r="BR429" s="34"/>
      <c r="BS429" s="34"/>
      <c r="BT429" s="34"/>
      <c r="BU429" s="34"/>
      <c r="BV429" s="34"/>
      <c r="BW429" s="34"/>
      <c r="BX429" s="34"/>
      <c r="BY429" s="34"/>
      <c r="BZ429" s="34"/>
      <c r="CA429" s="34"/>
      <c r="CB429" s="34"/>
      <c r="CC429" s="34"/>
      <c r="CD429" s="34"/>
      <c r="CE429" s="34"/>
      <c r="CF429" s="34"/>
      <c r="CG429" s="34"/>
      <c r="CH429" s="34"/>
      <c r="CI429" s="8"/>
    </row>
    <row r="430" spans="1:87" x14ac:dyDescent="0.2">
      <c r="A430" s="8" t="str">
        <f>IF(AND(COUNTIF(W$3:W$13,A$36)&gt;0,A$36&lt;&gt;B292),A$36,IFERROR(IF(MATCH(A$36,Z$3:Z$13,0)=6,A$36," ")," "))</f>
        <v>C22</v>
      </c>
      <c r="B430" s="8">
        <f>IF(A430=" "," ",MAX(B409:B429)+1)</f>
        <v>11</v>
      </c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U430" s="34"/>
      <c r="V430" s="34"/>
      <c r="W430" s="34"/>
      <c r="X430" s="34"/>
      <c r="Y430" s="34"/>
      <c r="Z430" s="34"/>
      <c r="AA430" s="34"/>
      <c r="AB430" s="34"/>
      <c r="AC430" s="34"/>
      <c r="AD430" s="34"/>
      <c r="AE430" s="34"/>
      <c r="AF430" s="34"/>
      <c r="AG430" s="34"/>
      <c r="AH430" s="34"/>
      <c r="AI430" s="34"/>
      <c r="AJ430" s="34"/>
      <c r="AK430" s="34"/>
      <c r="AL430" s="34"/>
      <c r="AM430" s="34"/>
      <c r="AN430" s="34"/>
      <c r="AO430" s="34"/>
      <c r="AP430" s="34"/>
      <c r="AQ430" s="34"/>
      <c r="AR430" s="34"/>
      <c r="AS430" s="34"/>
      <c r="AT430" s="34"/>
      <c r="AU430" s="34"/>
      <c r="AV430" s="34"/>
      <c r="AW430" s="34"/>
      <c r="AX430" s="34"/>
      <c r="AY430" s="34"/>
      <c r="AZ430" s="34"/>
      <c r="BA430" s="34"/>
      <c r="BB430" s="34"/>
      <c r="BC430" s="34"/>
      <c r="BD430" s="34"/>
      <c r="BE430" s="34"/>
      <c r="BF430" s="34"/>
      <c r="BG430" s="34"/>
      <c r="BH430" s="34"/>
      <c r="BI430" s="34"/>
      <c r="BJ430" s="34"/>
      <c r="BK430" s="34"/>
      <c r="BL430" s="34"/>
      <c r="BM430" s="34"/>
      <c r="BN430" s="34"/>
      <c r="BO430" s="34"/>
      <c r="BP430" s="34"/>
      <c r="BQ430" s="34"/>
      <c r="BR430" s="34"/>
      <c r="BS430" s="34"/>
      <c r="BT430" s="34"/>
      <c r="BU430" s="34"/>
      <c r="BV430" s="34"/>
      <c r="BW430" s="34"/>
      <c r="BX430" s="34"/>
      <c r="BY430" s="34"/>
      <c r="BZ430" s="34"/>
      <c r="CA430" s="34"/>
      <c r="CB430" s="34"/>
      <c r="CC430" s="34"/>
      <c r="CD430" s="34"/>
      <c r="CE430" s="34"/>
      <c r="CF430" s="34"/>
      <c r="CG430" s="34"/>
      <c r="CH430" s="34"/>
      <c r="CI430" s="8"/>
    </row>
    <row r="431" spans="1:87" x14ac:dyDescent="0.2">
      <c r="A431" s="11" t="s">
        <v>17</v>
      </c>
      <c r="B431" s="11"/>
      <c r="C431" s="27" t="s">
        <v>18</v>
      </c>
      <c r="D431" s="27" t="s">
        <v>2</v>
      </c>
      <c r="E431" s="27" t="s">
        <v>6</v>
      </c>
      <c r="F431" s="27" t="s">
        <v>15</v>
      </c>
      <c r="G431" s="27" t="s">
        <v>36</v>
      </c>
      <c r="H431" s="27" t="s">
        <v>37</v>
      </c>
      <c r="I431" s="27" t="s">
        <v>38</v>
      </c>
      <c r="J431" s="27" t="s">
        <v>39</v>
      </c>
      <c r="K431" s="27" t="s">
        <v>40</v>
      </c>
      <c r="L431" s="27" t="s">
        <v>41</v>
      </c>
      <c r="M431" s="27" t="s">
        <v>42</v>
      </c>
      <c r="N431" s="27" t="s">
        <v>43</v>
      </c>
      <c r="O431" s="27" t="s">
        <v>9</v>
      </c>
      <c r="P431" s="27" t="s">
        <v>12</v>
      </c>
      <c r="Q431" s="27" t="s">
        <v>19</v>
      </c>
      <c r="R431" s="27" t="s">
        <v>55</v>
      </c>
      <c r="S431" s="27" t="s">
        <v>26</v>
      </c>
      <c r="T431" s="19" t="s">
        <v>25</v>
      </c>
      <c r="U431" s="33" t="s">
        <v>27</v>
      </c>
      <c r="V431" s="33" t="s">
        <v>9</v>
      </c>
      <c r="W431" s="33" t="s">
        <v>23</v>
      </c>
      <c r="X431" s="33" t="s">
        <v>12</v>
      </c>
      <c r="Y431" s="33" t="s">
        <v>26</v>
      </c>
      <c r="Z431" s="33" t="s">
        <v>25</v>
      </c>
      <c r="AA431" s="33" t="s">
        <v>27</v>
      </c>
      <c r="AB431" s="33" t="s">
        <v>9</v>
      </c>
      <c r="AC431" s="33" t="s">
        <v>23</v>
      </c>
      <c r="AD431" s="33" t="s">
        <v>12</v>
      </c>
      <c r="AE431" s="33" t="s">
        <v>26</v>
      </c>
      <c r="AF431" s="33" t="s">
        <v>25</v>
      </c>
      <c r="AG431" s="33" t="s">
        <v>27</v>
      </c>
      <c r="AH431" s="33" t="s">
        <v>9</v>
      </c>
      <c r="AI431" s="33" t="s">
        <v>23</v>
      </c>
      <c r="AJ431" s="33" t="s">
        <v>12</v>
      </c>
      <c r="AK431" s="33" t="s">
        <v>26</v>
      </c>
      <c r="AL431" s="33" t="s">
        <v>25</v>
      </c>
      <c r="AM431" s="33" t="s">
        <v>27</v>
      </c>
      <c r="AN431" s="33" t="s">
        <v>9</v>
      </c>
      <c r="AO431" s="33" t="s">
        <v>23</v>
      </c>
      <c r="AP431" s="33" t="s">
        <v>12</v>
      </c>
      <c r="AQ431" s="33" t="s">
        <v>26</v>
      </c>
      <c r="AR431" s="33" t="s">
        <v>25</v>
      </c>
      <c r="AS431" s="33" t="s">
        <v>27</v>
      </c>
      <c r="AT431" s="33" t="s">
        <v>9</v>
      </c>
      <c r="AU431" s="33" t="s">
        <v>23</v>
      </c>
      <c r="AV431" s="33" t="s">
        <v>12</v>
      </c>
      <c r="AW431" s="33" t="s">
        <v>26</v>
      </c>
      <c r="AX431" s="33" t="s">
        <v>25</v>
      </c>
      <c r="AY431" s="33" t="s">
        <v>27</v>
      </c>
      <c r="AZ431" s="33" t="s">
        <v>9</v>
      </c>
      <c r="BA431" s="33" t="s">
        <v>23</v>
      </c>
      <c r="BB431" s="33" t="s">
        <v>12</v>
      </c>
      <c r="BC431" s="33" t="s">
        <v>26</v>
      </c>
      <c r="BD431" s="33" t="s">
        <v>25</v>
      </c>
      <c r="BE431" s="33" t="s">
        <v>27</v>
      </c>
      <c r="BF431" s="33" t="s">
        <v>9</v>
      </c>
      <c r="BG431" s="33" t="s">
        <v>23</v>
      </c>
      <c r="BH431" s="33" t="s">
        <v>12</v>
      </c>
      <c r="BI431" s="33" t="s">
        <v>26</v>
      </c>
      <c r="BJ431" s="33" t="s">
        <v>25</v>
      </c>
      <c r="BK431" s="33" t="s">
        <v>27</v>
      </c>
      <c r="BL431" s="33" t="s">
        <v>9</v>
      </c>
      <c r="BM431" s="33" t="s">
        <v>23</v>
      </c>
      <c r="BN431" s="33" t="s">
        <v>12</v>
      </c>
      <c r="BO431" s="33" t="s">
        <v>26</v>
      </c>
      <c r="BP431" s="33" t="s">
        <v>25</v>
      </c>
      <c r="BQ431" s="33" t="s">
        <v>27</v>
      </c>
      <c r="BR431" s="33" t="s">
        <v>9</v>
      </c>
      <c r="BS431" s="33" t="s">
        <v>23</v>
      </c>
      <c r="BT431" s="33" t="s">
        <v>12</v>
      </c>
      <c r="BU431" s="33" t="s">
        <v>26</v>
      </c>
      <c r="BV431" s="33" t="s">
        <v>25</v>
      </c>
      <c r="BW431" s="33" t="s">
        <v>27</v>
      </c>
      <c r="BX431" s="33" t="s">
        <v>9</v>
      </c>
      <c r="BY431" s="33" t="s">
        <v>23</v>
      </c>
      <c r="BZ431" s="33" t="s">
        <v>12</v>
      </c>
      <c r="CA431" s="33" t="s">
        <v>26</v>
      </c>
      <c r="CB431" s="33" t="s">
        <v>25</v>
      </c>
      <c r="CC431" s="33" t="s">
        <v>27</v>
      </c>
      <c r="CD431" s="33" t="s">
        <v>9</v>
      </c>
      <c r="CE431" s="33" t="s">
        <v>23</v>
      </c>
      <c r="CF431" s="33" t="s">
        <v>12</v>
      </c>
      <c r="CG431" s="33" t="s">
        <v>26</v>
      </c>
      <c r="CH431" s="33" t="s">
        <v>25</v>
      </c>
      <c r="CI431" s="8"/>
    </row>
    <row r="432" spans="1:87" x14ac:dyDescent="0.2">
      <c r="A432" s="8" t="str">
        <f>IF(AND(COUNTIF(W$3:W$13,A$15)&gt;0,A$15&lt;&gt;B292),A$15,IFERROR(IF(MATCH(A$15,Z$3:Z$13,0)=7,A$15," ")," "))</f>
        <v xml:space="preserve"> </v>
      </c>
      <c r="B432" s="8" t="str">
        <f>IF(A432=" "," ",1)</f>
        <v xml:space="preserve"> </v>
      </c>
      <c r="C432" s="8" t="str">
        <f>IFERROR(INDEX(A432:A453,MATCH(SMALL(B432:B453,1),B432:B453,0),1)," ")</f>
        <v>C3</v>
      </c>
      <c r="D432" s="8">
        <f>IFERROR(VLOOKUP($C432,$A$15:$O$36,2,FALSE)," ")</f>
        <v>2</v>
      </c>
      <c r="E432" s="8">
        <f>IFERROR(VLOOKUP($C432,$A$15:$O$36,3,FALSE)," ")</f>
        <v>5</v>
      </c>
      <c r="F432" s="8">
        <f>IFERROR(VLOOKUP($C432,$A$15:$O$36,4,FALSE)," ")</f>
        <v>6</v>
      </c>
      <c r="G432" s="8">
        <f>IFERROR(VLOOKUP($C432,$A$15:$O$36,5,FALSE)," ")</f>
        <v>0</v>
      </c>
      <c r="H432" s="8">
        <f>IFERROR(VLOOKUP($C432,$A$15:$O$36,6,FALSE)," ")</f>
        <v>0</v>
      </c>
      <c r="I432" s="8">
        <f>IFERROR(VLOOKUP($C432,$A$15:$O$36,7,FALSE)," ")</f>
        <v>0</v>
      </c>
      <c r="J432" s="8">
        <f>IFERROR(VLOOKUP($C432,$A$15:$O$36,8,FALSE)," ")</f>
        <v>0</v>
      </c>
      <c r="K432" s="8">
        <f>IFERROR(VLOOKUP($C432,$A$15:$O$36,9,FALSE)," ")</f>
        <v>0</v>
      </c>
      <c r="L432" s="8">
        <f>IFERROR(VLOOKUP($C432,$A$15:$O$36,10,FALSE)," ")</f>
        <v>0</v>
      </c>
      <c r="M432" s="8">
        <f>IFERROR(VLOOKUP($C432,$A$15:$O$36,11,FALSE)," ")</f>
        <v>0</v>
      </c>
      <c r="N432" s="8">
        <f>IFERROR(VLOOKUP($C432,$A$15:$O$36,12,FALSE)," ")</f>
        <v>0</v>
      </c>
      <c r="O432" s="8">
        <f>IFERROR(VLOOKUP($C432,$A$15:$O$36,15,FALSE)," ")</f>
        <v>2000</v>
      </c>
      <c r="P432" s="8" t="e">
        <f t="array" ref="P432:P442">MMULT(MINVERSE(D432:N442),O432:O442)</f>
        <v>#NUM!</v>
      </c>
      <c r="Q432" s="8" t="e">
        <f t="shared" ref="Q432" si="1654">IF(COUNTIF(P432:P442,"&lt;"&amp;-0.001)=0,IF(ABS(P432)&lt;0.001,0,P432)," ")</f>
        <v>#NUM!</v>
      </c>
      <c r="R432" s="8" t="str">
        <f>IFERROR(VLOOKUP(B292,A$15:L$36,2,FALSE)*Q432+VLOOKUP(B292,A$15:L$36,3,FALSE)*Q433+VLOOKUP(B292,A$15:L$36,4,FALSE)*Q434+VLOOKUP(B292,A$15:L$36,5,FALSE)*Q435+VLOOKUP(B292,A$15:L$36,6,FALSE)*Q436+VLOOKUP(B292,A$15:L$36,7,FALSE)*Q437+VLOOKUP(B292,A$15:L$36,8,FALSE)*Q438+VLOOKUP(B292,A$15:L$36,9,FALSE)*Q439+VLOOKUP(B292,A$15:L$36,10,FALSE)*Q440+VLOOKUP(B292,A$15:L$36,11,FALSE)*Q441+VLOOKUP(B292,A$15:L$36,12,FALSE)*Q442," ")</f>
        <v xml:space="preserve"> </v>
      </c>
      <c r="S432" s="8" t="str">
        <f>IFERROR(IF(R432-VLOOKUP(B292,A$15:O$36,15,FALSE)&lt;0,R432-VLOOKUP(B292,A$15:O$36,15,FALSE)," ")," ")</f>
        <v xml:space="preserve"> </v>
      </c>
      <c r="T432" s="18" t="str">
        <f>IFERROR(IF(R432-VLOOKUP(B292,A$15:O$36,15,FALSE)&gt;0,R432-VLOOKUP(B292,A$15:O$36,15,FALSE)," ")," ")</f>
        <v xml:space="preserve"> </v>
      </c>
      <c r="U432" s="34">
        <f t="shared" ref="U432" si="1655">$M$2</f>
        <v>100.00000000000001</v>
      </c>
      <c r="V432" s="34">
        <v>-1</v>
      </c>
      <c r="W432" s="34">
        <f t="shared" ref="W432" si="1656">-SUMPRODUCT($M$3:$M$12,$N$3:$N$12)</f>
        <v>-105000</v>
      </c>
      <c r="X432" s="34" t="e">
        <f t="shared" ref="X432" si="1657">IF(U432&lt;&gt;U433,MMULT(MINVERSE(U432:V433),W432:W433)," ")</f>
        <v>#NUM!</v>
      </c>
      <c r="Y432" s="34" t="str">
        <f t="shared" ref="Y432" si="1658">IFERROR(IF(X432-VLOOKUP(U$38,$A$2:$N$12,14,FALSE)&lt;0,X432-VLOOKUP(U$38,$A$2:$N$12,14,FALSE)," ")," ")</f>
        <v xml:space="preserve"> </v>
      </c>
      <c r="Z432" s="34" t="str">
        <f t="shared" ref="Z432" si="1659">IFERROR(IF(X432-VLOOKUP(U$38,$A$2:$N$12,14,FALSE)&gt;0,X432-VLOOKUP(U$38,$A$2:$N$12,14,FALSE)," ")," ")</f>
        <v xml:space="preserve"> </v>
      </c>
      <c r="AA432" s="34">
        <f t="shared" ref="AA432" si="1660">$M$3</f>
        <v>0</v>
      </c>
      <c r="AB432" s="34">
        <v>-1</v>
      </c>
      <c r="AC432" s="34">
        <f t="shared" ref="AC432" si="1661">-SUMPRODUCT($M$2:$M$2,$N$2:$N$2)-SUMPRODUCT($M$4:$M$12,$N$4:$N$12)</f>
        <v>-120000</v>
      </c>
      <c r="AD432" s="34" t="e">
        <f t="shared" ref="AD432" si="1662">IF(AA432&lt;&gt;AA433,MMULT(MINVERSE(AA432:AB433),AC432:AC433)," ")</f>
        <v>#NUM!</v>
      </c>
      <c r="AE432" s="34" t="str">
        <f t="shared" ref="AE432" si="1663">IFERROR(IF(AD432-VLOOKUP(AA$38,$A$2:$N$12,14,FALSE)&lt;0,AD432-VLOOKUP(AA$38,$A$2:$N$12,14,FALSE)," ")," ")</f>
        <v xml:space="preserve"> </v>
      </c>
      <c r="AF432" s="34" t="str">
        <f t="shared" ref="AF432" si="1664">IFERROR(IF(AD432-VLOOKUP(AA$38,$A$2:$N$12,14,FALSE)&gt;0,AD432-VLOOKUP(AA$38,$A$2:$N$12,14,FALSE)," ")," ")</f>
        <v xml:space="preserve"> </v>
      </c>
      <c r="AG432" s="34">
        <f t="shared" ref="AG432" si="1665">$M$4</f>
        <v>300</v>
      </c>
      <c r="AH432" s="34">
        <v>-1</v>
      </c>
      <c r="AI432" s="34">
        <f t="shared" ref="AI432" si="1666">-SUMPRODUCT($M$2:$M$3,$N$2:$N$3)-SUMPRODUCT($M$5:$M$12,$N$5:$N$12)</f>
        <v>-15000.000000000002</v>
      </c>
      <c r="AJ432" s="34" t="e">
        <f t="shared" ref="AJ432" si="1667">IF(AG432&lt;&gt;AG433,MMULT(MINVERSE(AG432:AH433),AI432:AI433)," ")</f>
        <v>#NUM!</v>
      </c>
      <c r="AK432" s="34" t="str">
        <f t="shared" ref="AK432" si="1668">IFERROR(IF(AJ432-VLOOKUP(AG$38,$A$2:$N$12,14,FALSE)&lt;0,AJ432-VLOOKUP(AG$38,$A$2:$N$12,14,FALSE)," ")," ")</f>
        <v xml:space="preserve"> </v>
      </c>
      <c r="AL432" s="34" t="str">
        <f t="shared" ref="AL432" si="1669">IFERROR(IF(AJ432-VLOOKUP(AG$38,$A$2:$N$12,14,FALSE)&gt;0,AJ432-VLOOKUP(AG$38,$A$2:$N$12,14,FALSE)," ")," ")</f>
        <v xml:space="preserve"> </v>
      </c>
      <c r="AM432" s="34">
        <f t="shared" ref="AM432" si="1670">$M$5</f>
        <v>0</v>
      </c>
      <c r="AN432" s="34">
        <v>-1</v>
      </c>
      <c r="AO432" s="34">
        <f t="shared" ref="AO432" si="1671">-SUMPRODUCT($M$2:$M$4,$N$2:$N$4)-SUMPRODUCT($M$6:$M$12,$N$6:$N$12)</f>
        <v>-120000</v>
      </c>
      <c r="AP432" s="34" t="e">
        <f t="shared" ref="AP432" si="1672">IF(AM432&lt;&gt;AM433,MMULT(MINVERSE(AM432:AN433),AO432:AO433)," ")</f>
        <v>#NUM!</v>
      </c>
      <c r="AQ432" s="34" t="str">
        <f t="shared" ref="AQ432" si="1673">IFERROR(IF(AP432-VLOOKUP(AM$38,$A$2:$N$12,14,FALSE)&lt;0,AP432-VLOOKUP(AM$38,$A$2:$N$12,14,FALSE)," ")," ")</f>
        <v xml:space="preserve"> </v>
      </c>
      <c r="AR432" s="34" t="str">
        <f t="shared" ref="AR432" si="1674">IFERROR(IF(AP432-VLOOKUP(AM$38,$A$2:$N$12,14,FALSE)&gt;0,AP432-VLOOKUP(AM$38,$A$2:$N$12,14,FALSE)," ")," ")</f>
        <v xml:space="preserve"> </v>
      </c>
      <c r="AS432" s="34">
        <f t="shared" ref="AS432" si="1675">$M$6</f>
        <v>0</v>
      </c>
      <c r="AT432" s="34">
        <v>-1</v>
      </c>
      <c r="AU432" s="34">
        <f t="shared" ref="AU432" si="1676">-SUMPRODUCT($M$2:$M$5,$N$2:$N$5)-SUMPRODUCT($M$7:$M$12,$N$7:$N$12)</f>
        <v>-120000</v>
      </c>
      <c r="AV432" s="34" t="e">
        <f t="shared" ref="AV432" si="1677">IF(AS432&lt;&gt;AS433,MMULT(MINVERSE(AS432:AT433),AU432:AU433)," ")</f>
        <v>#NUM!</v>
      </c>
      <c r="AW432" s="34" t="str">
        <f t="shared" ref="AW432" si="1678">IFERROR(IF(AV432-VLOOKUP(AS$38,$A$2:$N$12,14,FALSE)&lt;0,AV432-VLOOKUP(AS$38,$A$2:$N$12,14,FALSE)," ")," ")</f>
        <v xml:space="preserve"> </v>
      </c>
      <c r="AX432" s="34" t="str">
        <f t="shared" ref="AX432" si="1679">IFERROR(IF(AV432-VLOOKUP(AS$38,$A$2:$N$12,14,FALSE)&gt;0,AV432-VLOOKUP(AS$38,$A$2:$N$12,14,FALSE)," ")," ")</f>
        <v xml:space="preserve"> </v>
      </c>
      <c r="AY432" s="34">
        <f t="shared" ref="AY432" si="1680">$M$7</f>
        <v>0</v>
      </c>
      <c r="AZ432" s="34">
        <v>-1</v>
      </c>
      <c r="BA432" s="34">
        <f t="shared" ref="BA432" si="1681">-SUMPRODUCT($M$2:$M$6,$N$2:$N$6)-SUMPRODUCT($M$8:$M$12,$N$8:$N$12)</f>
        <v>-120000</v>
      </c>
      <c r="BB432" s="34" t="e">
        <f t="shared" ref="BB432" si="1682">IF(AY432&lt;&gt;AY433,MMULT(MINVERSE(AY432:AZ433),BA432:BA433)," ")</f>
        <v>#NUM!</v>
      </c>
      <c r="BC432" s="34" t="str">
        <f t="shared" ref="BC432" si="1683">IFERROR(IF(BB432-VLOOKUP(AY$38,$A$2:$N$12,14,FALSE)&lt;0,BB432-VLOOKUP(AY$38,$A$2:$N$12,14,FALSE)," ")," ")</f>
        <v xml:space="preserve"> </v>
      </c>
      <c r="BD432" s="34" t="str">
        <f t="shared" ref="BD432" si="1684">IFERROR(IF(BB432-VLOOKUP(AY$38,$A$2:$N$12,14,FALSE)&gt;0,BB432-VLOOKUP(AY$38,$A$2:$N$12,14,FALSE)," ")," ")</f>
        <v xml:space="preserve"> </v>
      </c>
      <c r="BE432" s="34">
        <f t="shared" ref="BE432" si="1685">$M$8</f>
        <v>0</v>
      </c>
      <c r="BF432" s="34">
        <v>-1</v>
      </c>
      <c r="BG432" s="34">
        <f t="shared" ref="BG432" si="1686">-SUMPRODUCT($M$2:$M$7,$N$2:$N$7)-SUMPRODUCT($M$9:$M$12,$N$9:$N$12)</f>
        <v>-120000</v>
      </c>
      <c r="BH432" s="34" t="e">
        <f t="shared" ref="BH432" si="1687">IF(BE432&lt;&gt;BE433,MMULT(MINVERSE(BE432:BF433),BG432:BG433)," ")</f>
        <v>#NUM!</v>
      </c>
      <c r="BI432" s="34" t="str">
        <f t="shared" ref="BI432" si="1688">IFERROR(IF(BH432-VLOOKUP(BE$38,$A$2:$N$12,14,FALSE)&lt;0,BH432-VLOOKUP(BE$38,$A$2:$N$12,14,FALSE)," ")," ")</f>
        <v xml:space="preserve"> </v>
      </c>
      <c r="BJ432" s="34" t="str">
        <f t="shared" ref="BJ432" si="1689">IFERROR(IF(BH432-VLOOKUP(BE$38,$A$2:$N$12,14,FALSE)&gt;0,BH432-VLOOKUP(BE$38,$A$2:$N$12,14,FALSE)," ")," ")</f>
        <v xml:space="preserve"> </v>
      </c>
      <c r="BK432" s="34">
        <f t="shared" ref="BK432" si="1690">$M$9</f>
        <v>0</v>
      </c>
      <c r="BL432" s="34">
        <v>-1</v>
      </c>
      <c r="BM432" s="34">
        <f t="shared" ref="BM432" si="1691">-SUMPRODUCT($M$2:$M$8,$N$2:$N$8)-SUMPRODUCT($M$10:$M$12,$N$10:$N$12)</f>
        <v>-120000</v>
      </c>
      <c r="BN432" s="34" t="e">
        <f t="shared" ref="BN432" si="1692">IF(BK432&lt;&gt;BK433,MMULT(MINVERSE(BK432:BL433),BM432:BM433)," ")</f>
        <v>#NUM!</v>
      </c>
      <c r="BO432" s="34" t="str">
        <f t="shared" ref="BO432" si="1693">IFERROR(IF(BN432-VLOOKUP(BK$38,$A$2:$N$12,14,FALSE)&lt;0,BN432-VLOOKUP(BK$38,$A$2:$N$12,14,FALSE)," ")," ")</f>
        <v xml:space="preserve"> </v>
      </c>
      <c r="BP432" s="34" t="str">
        <f t="shared" ref="BP432" si="1694">IFERROR(IF(BN432-VLOOKUP(BK$38,$A$2:$N$12,14,FALSE)&gt;0,BN432-VLOOKUP(BK$38,$A$2:$N$12,14,FALSE)," ")," ")</f>
        <v xml:space="preserve"> </v>
      </c>
      <c r="BQ432" s="34">
        <f t="shared" ref="BQ432" si="1695">$M$10</f>
        <v>0</v>
      </c>
      <c r="BR432" s="34">
        <v>-1</v>
      </c>
      <c r="BS432" s="34">
        <f t="shared" ref="BS432" si="1696">-SUMPRODUCT($M$2:$M$9,$N$2:$N$9)-SUMPRODUCT($M$11:$M$12,$N$11:$N$12)</f>
        <v>-120000</v>
      </c>
      <c r="BT432" s="34" t="e">
        <f t="shared" ref="BT432" si="1697">IF(BQ432&lt;&gt;BQ433,MMULT(MINVERSE(BQ432:BR433),BS432:BS433)," ")</f>
        <v>#NUM!</v>
      </c>
      <c r="BU432" s="34" t="str">
        <f t="shared" ref="BU432" si="1698">IFERROR(IF(BT432-VLOOKUP(BQ$38,$A$2:$N$12,14,FALSE)&lt;0,BT432-VLOOKUP(BQ$38,$A$2:$N$12,14,FALSE)," ")," ")</f>
        <v xml:space="preserve"> </v>
      </c>
      <c r="BV432" s="34" t="str">
        <f t="shared" ref="BV432" si="1699">IFERROR(IF(BT432-VLOOKUP(BQ$38,$A$2:$N$12,14,FALSE)&gt;0,BT432-VLOOKUP(BQ$38,$A$2:$N$12,14,FALSE)," ")," ")</f>
        <v xml:space="preserve"> </v>
      </c>
      <c r="BW432" s="34">
        <f t="shared" ref="BW432" si="1700">$M$11</f>
        <v>0</v>
      </c>
      <c r="BX432" s="34">
        <v>-1</v>
      </c>
      <c r="BY432" s="34">
        <f t="shared" ref="BY432" si="1701">-SUMPRODUCT($M$2:$M$10,$N$2:$N$10)-SUMPRODUCT($M$12,$N$12)</f>
        <v>-120000</v>
      </c>
      <c r="BZ432" s="34" t="e">
        <f t="shared" ref="BZ432" si="1702">IF(BW432&lt;&gt;BW433,MMULT(MINVERSE(BW432:BX433),BY432:BY433)," ")</f>
        <v>#NUM!</v>
      </c>
      <c r="CA432" s="34" t="str">
        <f t="shared" ref="CA432" si="1703">IFERROR(IF(BZ432-VLOOKUP(BW$38,$A$2:$N$12,14,FALSE)&lt;0,BZ432-VLOOKUP(BW$38,$A$2:$N$12,14,FALSE)," ")," ")</f>
        <v xml:space="preserve"> </v>
      </c>
      <c r="CB432" s="34" t="str">
        <f t="shared" ref="CB432" si="1704">IFERROR(IF(BZ432-VLOOKUP(BW$38,$A$2:$N$12,14,FALSE)&gt;0,BZ432-VLOOKUP(BW$38,$A$2:$N$12,14,FALSE)," ")," ")</f>
        <v xml:space="preserve"> </v>
      </c>
      <c r="CC432" s="34">
        <f t="shared" ref="CC432" si="1705">$M$12</f>
        <v>0</v>
      </c>
      <c r="CD432" s="34">
        <v>-1</v>
      </c>
      <c r="CE432" s="34">
        <f t="shared" ref="CE432" si="1706">-SUMPRODUCT($M$2:$M$11,$N$2:$N$11)</f>
        <v>-120000</v>
      </c>
      <c r="CF432" s="34" t="e">
        <f t="shared" ref="CF432" si="1707">IF(CC432&lt;&gt;CC433,MMULT(MINVERSE(CC432:CD433),CE432:CE433)," ")</f>
        <v>#NUM!</v>
      </c>
      <c r="CG432" s="34" t="str">
        <f t="shared" ref="CG432" si="1708">IFERROR(IF(CF432-VLOOKUP(CC$38,$A$2:$N$12,14,FALSE)&lt;0,CF432-VLOOKUP(CC$38,$A$2:$N$12,14,FALSE)," ")," ")</f>
        <v xml:space="preserve"> </v>
      </c>
      <c r="CH432" s="34" t="str">
        <f t="shared" ref="CH432" si="1709">IFERROR(IF(CF432-VLOOKUP(CC$38,$A$2:$N$12,14,FALSE)&gt;0,CF432-VLOOKUP(CC$38,$A$2:$N$12,14,FALSE)," ")," ")</f>
        <v xml:space="preserve"> </v>
      </c>
      <c r="CI432" s="8"/>
    </row>
    <row r="433" spans="1:87" x14ac:dyDescent="0.2">
      <c r="A433" s="8" t="str">
        <f>IF(AND(COUNTIF(W$3:W$13,A$16)&gt;0,A$16&lt;&gt;B892),A$16,IFERROR(IF(MATCH(A$16,Z$3:Z$13,0)=7,A$16," ")," "))</f>
        <v xml:space="preserve"> </v>
      </c>
      <c r="B433" s="8" t="str">
        <f>IF(A433=" "," ",MAX(B432:B432)+1)</f>
        <v xml:space="preserve"> </v>
      </c>
      <c r="C433" s="8" t="str">
        <f>IFERROR(INDEX(A432:A453,MATCH(SMALL(B432:B453,2),B432:B453,0),1)," ")</f>
        <v>C9</v>
      </c>
      <c r="D433" s="8">
        <f t="shared" ref="D433:D442" si="1710">IFERROR(VLOOKUP($C433,$A$15:$O$36,2,FALSE)," ")</f>
        <v>0</v>
      </c>
      <c r="E433" s="8">
        <f t="shared" ref="E433:E442" si="1711">IFERROR(VLOOKUP($C433,$A$15:$O$36,3,FALSE)," ")</f>
        <v>0</v>
      </c>
      <c r="F433" s="8">
        <f t="shared" ref="F433:F442" si="1712">IFERROR(VLOOKUP($C433,$A$15:$O$36,4,FALSE)," ")</f>
        <v>0</v>
      </c>
      <c r="G433" s="8">
        <f t="shared" ref="G433:G442" si="1713">IFERROR(VLOOKUP($C433,$A$15:$O$36,5,FALSE)," ")</f>
        <v>0</v>
      </c>
      <c r="H433" s="8">
        <f t="shared" ref="H433:H442" si="1714">IFERROR(VLOOKUP($C433,$A$15:$O$36,6,FALSE)," ")</f>
        <v>0</v>
      </c>
      <c r="I433" s="8">
        <f t="shared" ref="I433:I442" si="1715">IFERROR(VLOOKUP($C433,$A$15:$O$36,7,FALSE)," ")</f>
        <v>0</v>
      </c>
      <c r="J433" s="8">
        <f t="shared" ref="J433:J442" si="1716">IFERROR(VLOOKUP($C433,$A$15:$O$36,8,FALSE)," ")</f>
        <v>0</v>
      </c>
      <c r="K433" s="8">
        <f t="shared" ref="K433:K442" si="1717">IFERROR(VLOOKUP($C433,$A$15:$O$36,9,FALSE)," ")</f>
        <v>0</v>
      </c>
      <c r="L433" s="8">
        <f t="shared" ref="L433:L442" si="1718">IFERROR(VLOOKUP($C433,$A$15:$O$36,10,FALSE)," ")</f>
        <v>0</v>
      </c>
      <c r="M433" s="8">
        <f t="shared" ref="M433:M442" si="1719">IFERROR(VLOOKUP($C433,$A$15:$O$36,11,FALSE)," ")</f>
        <v>0</v>
      </c>
      <c r="N433" s="8">
        <f t="shared" ref="N433:N442" si="1720">IFERROR(VLOOKUP($C433,$A$15:$O$36,12,FALSE)," ")</f>
        <v>0</v>
      </c>
      <c r="O433" s="8">
        <f t="shared" ref="O433:O442" si="1721">IFERROR(VLOOKUP($C433,$A$15:$O$36,15,FALSE)," ")</f>
        <v>0</v>
      </c>
      <c r="P433" s="8" t="e">
        <v>#NUM!</v>
      </c>
      <c r="Q433" s="8" t="e">
        <f t="shared" ref="Q433" si="1722">IF(COUNTIF(P432:P442,"&lt;"&amp;-0.001)=0,IF(ABS(P433)&lt;0.001,0,P433)," ")</f>
        <v>#NUM!</v>
      </c>
      <c r="R433" s="8"/>
      <c r="S433" s="8"/>
      <c r="U433" s="34" t="e">
        <f t="shared" ref="U433" si="1723">$Q432</f>
        <v>#NUM!</v>
      </c>
      <c r="V433" s="34">
        <v>-1</v>
      </c>
      <c r="W433" s="34" t="e">
        <f t="shared" ref="W433" si="1724">-SUMPRODUCT($Q433:$Q442,$N$3:$N$12)</f>
        <v>#NUM!</v>
      </c>
      <c r="X433" s="34"/>
      <c r="Y433" s="34"/>
      <c r="Z433" s="34"/>
      <c r="AA433" s="34" t="e">
        <f t="shared" ref="AA433" si="1725">$Q433</f>
        <v>#NUM!</v>
      </c>
      <c r="AB433" s="34">
        <v>-1</v>
      </c>
      <c r="AC433" s="34" t="e">
        <f t="shared" ref="AC433" si="1726">-SUMPRODUCT($Q432:$Q432,$N$2:$N$2)-SUMPRODUCT($Q434:$Q442,$N$4:$N$12)</f>
        <v>#NUM!</v>
      </c>
      <c r="AD433" s="34"/>
      <c r="AE433" s="34"/>
      <c r="AF433" s="34"/>
      <c r="AG433" s="34" t="e">
        <f t="shared" ref="AG433" si="1727">$Q434</f>
        <v>#NUM!</v>
      </c>
      <c r="AH433" s="34">
        <v>-1</v>
      </c>
      <c r="AI433" s="34" t="e">
        <f t="shared" ref="AI433" si="1728">-SUMPRODUCT($Q432:$Q433,$N$2:$N$3)-SUMPRODUCT($Q435:$Q442,$N$5:$N$12)</f>
        <v>#NUM!</v>
      </c>
      <c r="AJ433" s="34"/>
      <c r="AK433" s="34"/>
      <c r="AL433" s="34"/>
      <c r="AM433" s="34" t="e">
        <f t="shared" ref="AM433" si="1729">$Q435</f>
        <v>#NUM!</v>
      </c>
      <c r="AN433" s="34">
        <v>-1</v>
      </c>
      <c r="AO433" s="34" t="e">
        <f t="shared" ref="AO433" si="1730">-SUMPRODUCT($Q432:$Q434,$N$2:$N$4)-SUMPRODUCT($Q436:$Q442,$N$6:$N$12)</f>
        <v>#NUM!</v>
      </c>
      <c r="AP433" s="34"/>
      <c r="AQ433" s="34"/>
      <c r="AR433" s="34"/>
      <c r="AS433" s="34" t="e">
        <f t="shared" ref="AS433" si="1731">$Q436</f>
        <v>#NUM!</v>
      </c>
      <c r="AT433" s="34">
        <v>-1</v>
      </c>
      <c r="AU433" s="34" t="e">
        <f t="shared" ref="AU433" si="1732">-SUMPRODUCT($Q432:$Q435,$N$2:$N$5)-SUMPRODUCT($Q437:$Q442,$N$7:$N$12)</f>
        <v>#NUM!</v>
      </c>
      <c r="AV433" s="34"/>
      <c r="AW433" s="34"/>
      <c r="AX433" s="34"/>
      <c r="AY433" s="34" t="e">
        <f t="shared" ref="AY433" si="1733">$Q437</f>
        <v>#NUM!</v>
      </c>
      <c r="AZ433" s="34">
        <v>-1</v>
      </c>
      <c r="BA433" s="34" t="e">
        <f t="shared" ref="BA433" si="1734">-SUMPRODUCT($Q432:$Q436,$N$2:$N$6)-SUMPRODUCT($Q438:$Q442,$N$8:$N$12)</f>
        <v>#NUM!</v>
      </c>
      <c r="BB433" s="34"/>
      <c r="BC433" s="34"/>
      <c r="BD433" s="34"/>
      <c r="BE433" s="34" t="e">
        <f t="shared" ref="BE433" si="1735">$Q438</f>
        <v>#NUM!</v>
      </c>
      <c r="BF433" s="34">
        <v>-1</v>
      </c>
      <c r="BG433" s="34" t="e">
        <f t="shared" ref="BG433" si="1736">-SUMPRODUCT($Q432:$Q437,$N$2:$N$7)-SUMPRODUCT($Q439:$Q442,$N$9:$N$12)</f>
        <v>#NUM!</v>
      </c>
      <c r="BH433" s="34"/>
      <c r="BI433" s="34"/>
      <c r="BJ433" s="34"/>
      <c r="BK433" s="34" t="e">
        <f t="shared" ref="BK433" si="1737">$Q439</f>
        <v>#NUM!</v>
      </c>
      <c r="BL433" s="34">
        <v>-1</v>
      </c>
      <c r="BM433" s="34" t="e">
        <f t="shared" ref="BM433" si="1738">-SUMPRODUCT($Q432:$Q438,$N$2:$N$8)-SUMPRODUCT($Q440:$Q442,$N$10:$N$12)</f>
        <v>#NUM!</v>
      </c>
      <c r="BN433" s="34"/>
      <c r="BO433" s="34"/>
      <c r="BP433" s="34"/>
      <c r="BQ433" s="34" t="e">
        <f t="shared" ref="BQ433" si="1739">$Q440</f>
        <v>#NUM!</v>
      </c>
      <c r="BR433" s="34">
        <v>-1</v>
      </c>
      <c r="BS433" s="34" t="e">
        <f t="shared" ref="BS433" si="1740">-SUMPRODUCT($Q432:$Q439,$N$2:$N$9)-SUMPRODUCT($Q441:$Q442,$N$11:$N$12)</f>
        <v>#NUM!</v>
      </c>
      <c r="BT433" s="34"/>
      <c r="BU433" s="34"/>
      <c r="BV433" s="34"/>
      <c r="BW433" s="34" t="e">
        <f t="shared" ref="BW433" si="1741">$Q441</f>
        <v>#NUM!</v>
      </c>
      <c r="BX433" s="34">
        <v>-1</v>
      </c>
      <c r="BY433" s="34" t="e">
        <f t="shared" ref="BY433" si="1742">-SUMPRODUCT($Q432:$Q440,$N$2:$N$10)-SUMPRODUCT($Q442,$N$12)</f>
        <v>#NUM!</v>
      </c>
      <c r="BZ433" s="34"/>
      <c r="CA433" s="34"/>
      <c r="CB433" s="34"/>
      <c r="CC433" s="34" t="e">
        <f t="shared" ref="CC433" si="1743">$Q442</f>
        <v>#NUM!</v>
      </c>
      <c r="CD433" s="34">
        <v>-1</v>
      </c>
      <c r="CE433" s="34" t="e">
        <f t="shared" ref="CE433" si="1744">-SUMPRODUCT($Q432:$Q441,$N$2:$N$11)</f>
        <v>#NUM!</v>
      </c>
      <c r="CF433" s="34"/>
      <c r="CG433" s="34"/>
      <c r="CH433" s="34"/>
      <c r="CI433" s="8"/>
    </row>
    <row r="434" spans="1:87" x14ac:dyDescent="0.2">
      <c r="A434" s="8" t="str">
        <f>IF(AND(COUNTIF(W$3:W$13,A$17)&gt;0,A$17&lt;&gt;B292),A$17,IFERROR(IF(MATCH(A$17,Z$3:Z$13,0)=7,A$17," ")," "))</f>
        <v>C3</v>
      </c>
      <c r="B434" s="8">
        <f>IF(A434=" "," ",MAX(B432:B433)+1)</f>
        <v>1</v>
      </c>
      <c r="C434" s="8" t="str">
        <f>IFERROR(INDEX(A432:A453,MATCH(SMALL(B432:B453,3),B432:B453,0),1)," ")</f>
        <v>C13</v>
      </c>
      <c r="D434" s="8">
        <f t="shared" si="1710"/>
        <v>0</v>
      </c>
      <c r="E434" s="8">
        <f t="shared" si="1711"/>
        <v>1</v>
      </c>
      <c r="F434" s="8">
        <f t="shared" si="1712"/>
        <v>0</v>
      </c>
      <c r="G434" s="8">
        <f t="shared" si="1713"/>
        <v>0</v>
      </c>
      <c r="H434" s="8">
        <f t="shared" si="1714"/>
        <v>0</v>
      </c>
      <c r="I434" s="8">
        <f t="shared" si="1715"/>
        <v>0</v>
      </c>
      <c r="J434" s="8">
        <f t="shared" si="1716"/>
        <v>0</v>
      </c>
      <c r="K434" s="8">
        <f t="shared" si="1717"/>
        <v>0</v>
      </c>
      <c r="L434" s="8">
        <f t="shared" si="1718"/>
        <v>0</v>
      </c>
      <c r="M434" s="8">
        <f t="shared" si="1719"/>
        <v>0</v>
      </c>
      <c r="N434" s="8">
        <f t="shared" si="1720"/>
        <v>0</v>
      </c>
      <c r="O434" s="8">
        <f t="shared" si="1721"/>
        <v>0</v>
      </c>
      <c r="P434" s="8" t="e">
        <v>#NUM!</v>
      </c>
      <c r="Q434" s="8" t="e">
        <f t="shared" ref="Q434" si="1745">IF(COUNTIF(P432:P442,"&lt;"&amp;-0.001)=0,IF(ABS(P434)&lt;0.001,0,P434)," ")</f>
        <v>#NUM!</v>
      </c>
      <c r="R434" s="8"/>
      <c r="S434" s="8"/>
      <c r="U434" s="34"/>
      <c r="V434" s="34"/>
      <c r="W434" s="34"/>
      <c r="X434" s="34"/>
      <c r="Y434" s="34"/>
      <c r="Z434" s="34"/>
      <c r="AA434" s="34"/>
      <c r="AB434" s="34"/>
      <c r="AC434" s="34"/>
      <c r="AD434" s="34"/>
      <c r="AE434" s="34"/>
      <c r="AF434" s="34"/>
      <c r="AG434" s="34"/>
      <c r="AH434" s="34"/>
      <c r="AI434" s="34"/>
      <c r="AJ434" s="34"/>
      <c r="AK434" s="34"/>
      <c r="AL434" s="34"/>
      <c r="AM434" s="34"/>
      <c r="AN434" s="34"/>
      <c r="AO434" s="34"/>
      <c r="AP434" s="34"/>
      <c r="AQ434" s="34"/>
      <c r="AR434" s="34"/>
      <c r="AS434" s="34"/>
      <c r="AT434" s="34"/>
      <c r="AU434" s="34"/>
      <c r="AV434" s="34"/>
      <c r="AW434" s="34"/>
      <c r="AX434" s="34"/>
      <c r="AY434" s="34"/>
      <c r="AZ434" s="34"/>
      <c r="BA434" s="34"/>
      <c r="BB434" s="34"/>
      <c r="BC434" s="34"/>
      <c r="BD434" s="34"/>
      <c r="BE434" s="34"/>
      <c r="BF434" s="34"/>
      <c r="BG434" s="34"/>
      <c r="BH434" s="34"/>
      <c r="BI434" s="34"/>
      <c r="BJ434" s="34"/>
      <c r="BK434" s="34"/>
      <c r="BL434" s="34"/>
      <c r="BM434" s="34"/>
      <c r="BN434" s="34"/>
      <c r="BO434" s="34"/>
      <c r="BP434" s="34"/>
      <c r="BQ434" s="34"/>
      <c r="BR434" s="34"/>
      <c r="BS434" s="34"/>
      <c r="BT434" s="34"/>
      <c r="BU434" s="34"/>
      <c r="BV434" s="34"/>
      <c r="BW434" s="34"/>
      <c r="BX434" s="34"/>
      <c r="BY434" s="34"/>
      <c r="BZ434" s="34"/>
      <c r="CA434" s="34"/>
      <c r="CB434" s="34"/>
      <c r="CC434" s="34"/>
      <c r="CD434" s="34"/>
      <c r="CE434" s="34"/>
      <c r="CF434" s="34"/>
      <c r="CG434" s="34"/>
      <c r="CH434" s="34"/>
      <c r="CI434" s="8"/>
    </row>
    <row r="435" spans="1:87" x14ac:dyDescent="0.2">
      <c r="A435" s="8" t="str">
        <f>IF(AND(COUNTIF(W$3:W$13,A$18)&gt;0,A$18&lt;&gt;B292),A$18,IFERROR(IF(MATCH(A$18,Z$3:Z$13,0)=7,A$18," ")," "))</f>
        <v xml:space="preserve"> </v>
      </c>
      <c r="B435" s="8" t="str">
        <f>IF(A435=" "," ",MAX(B432:B434)+1)</f>
        <v xml:space="preserve"> </v>
      </c>
      <c r="C435" s="8" t="str">
        <f>IFERROR(INDEX(A432:A453,MATCH(SMALL(B432:B453,4),B432:B453,0),1)," ")</f>
        <v>C15</v>
      </c>
      <c r="D435" s="8">
        <f t="shared" si="1710"/>
        <v>0</v>
      </c>
      <c r="E435" s="8">
        <f t="shared" si="1711"/>
        <v>0</v>
      </c>
      <c r="F435" s="8">
        <f t="shared" si="1712"/>
        <v>0</v>
      </c>
      <c r="G435" s="8">
        <f t="shared" si="1713"/>
        <v>1</v>
      </c>
      <c r="H435" s="8">
        <f t="shared" si="1714"/>
        <v>0</v>
      </c>
      <c r="I435" s="8">
        <f t="shared" si="1715"/>
        <v>0</v>
      </c>
      <c r="J435" s="8">
        <f t="shared" si="1716"/>
        <v>0</v>
      </c>
      <c r="K435" s="8">
        <f t="shared" si="1717"/>
        <v>0</v>
      </c>
      <c r="L435" s="8">
        <f t="shared" si="1718"/>
        <v>0</v>
      </c>
      <c r="M435" s="8">
        <f t="shared" si="1719"/>
        <v>0</v>
      </c>
      <c r="N435" s="8">
        <f t="shared" si="1720"/>
        <v>0</v>
      </c>
      <c r="O435" s="8">
        <f t="shared" si="1721"/>
        <v>0</v>
      </c>
      <c r="P435" s="8" t="e">
        <v>#NUM!</v>
      </c>
      <c r="Q435" s="8" t="e">
        <f t="shared" ref="Q435" si="1746">IF(COUNTIF(P432:P442,"&lt;"&amp;-0.001)=0,IF(ABS(P435)&lt;0.001,0,P435)," ")</f>
        <v>#NUM!</v>
      </c>
      <c r="R435" s="8"/>
      <c r="S435" s="8"/>
      <c r="U435" s="34"/>
      <c r="V435" s="34"/>
      <c r="W435" s="34"/>
      <c r="X435" s="34"/>
      <c r="Y435" s="34"/>
      <c r="Z435" s="34"/>
      <c r="AA435" s="34"/>
      <c r="AB435" s="34"/>
      <c r="AC435" s="34"/>
      <c r="AD435" s="34"/>
      <c r="AE435" s="34"/>
      <c r="AF435" s="34"/>
      <c r="AG435" s="34"/>
      <c r="AH435" s="34"/>
      <c r="AI435" s="34"/>
      <c r="AJ435" s="34"/>
      <c r="AK435" s="34"/>
      <c r="AL435" s="34"/>
      <c r="AM435" s="34"/>
      <c r="AN435" s="34"/>
      <c r="AO435" s="34"/>
      <c r="AP435" s="34"/>
      <c r="AQ435" s="34"/>
      <c r="AR435" s="34"/>
      <c r="AS435" s="34"/>
      <c r="AT435" s="34"/>
      <c r="AU435" s="34"/>
      <c r="AV435" s="34"/>
      <c r="AW435" s="34"/>
      <c r="AX435" s="34"/>
      <c r="AY435" s="34"/>
      <c r="AZ435" s="34"/>
      <c r="BA435" s="34"/>
      <c r="BB435" s="34"/>
      <c r="BC435" s="34"/>
      <c r="BD435" s="34"/>
      <c r="BE435" s="34"/>
      <c r="BF435" s="34"/>
      <c r="BG435" s="34"/>
      <c r="BH435" s="34"/>
      <c r="BI435" s="34"/>
      <c r="BJ435" s="34"/>
      <c r="BK435" s="34"/>
      <c r="BL435" s="34"/>
      <c r="BM435" s="34"/>
      <c r="BN435" s="34"/>
      <c r="BO435" s="34"/>
      <c r="BP435" s="34"/>
      <c r="BQ435" s="34"/>
      <c r="BR435" s="34"/>
      <c r="BS435" s="34"/>
      <c r="BT435" s="34"/>
      <c r="BU435" s="34"/>
      <c r="BV435" s="34"/>
      <c r="BW435" s="34"/>
      <c r="BX435" s="34"/>
      <c r="BY435" s="34"/>
      <c r="BZ435" s="34"/>
      <c r="CA435" s="34"/>
      <c r="CB435" s="34"/>
      <c r="CC435" s="34"/>
      <c r="CD435" s="34"/>
      <c r="CE435" s="34"/>
      <c r="CF435" s="34"/>
      <c r="CG435" s="34"/>
      <c r="CH435" s="34"/>
      <c r="CI435" s="8"/>
    </row>
    <row r="436" spans="1:87" x14ac:dyDescent="0.2">
      <c r="A436" s="8" t="str">
        <f>IF(AND(COUNTIF(W$3:W$13,A$19)&gt;0,A$19&lt;&gt;B292),A$19,IFERROR(IF(MATCH(A$19,Z$3:Z$13,0)=7,A$19," ")," "))</f>
        <v xml:space="preserve"> </v>
      </c>
      <c r="B436" s="8" t="str">
        <f>IF(A436=" "," ",MAX(B432:B435)+1)</f>
        <v xml:space="preserve"> </v>
      </c>
      <c r="C436" s="8" t="str">
        <f>IFERROR(INDEX(A432:A453,MATCH(SMALL(B432:B453,5),B432:B453,0),1)," ")</f>
        <v>C16</v>
      </c>
      <c r="D436" s="8">
        <f t="shared" si="1710"/>
        <v>0</v>
      </c>
      <c r="E436" s="8">
        <f t="shared" si="1711"/>
        <v>0</v>
      </c>
      <c r="F436" s="8">
        <f t="shared" si="1712"/>
        <v>0</v>
      </c>
      <c r="G436" s="8">
        <f t="shared" si="1713"/>
        <v>0</v>
      </c>
      <c r="H436" s="8">
        <f t="shared" si="1714"/>
        <v>1</v>
      </c>
      <c r="I436" s="8">
        <f t="shared" si="1715"/>
        <v>0</v>
      </c>
      <c r="J436" s="8">
        <f t="shared" si="1716"/>
        <v>0</v>
      </c>
      <c r="K436" s="8">
        <f t="shared" si="1717"/>
        <v>0</v>
      </c>
      <c r="L436" s="8">
        <f t="shared" si="1718"/>
        <v>0</v>
      </c>
      <c r="M436" s="8">
        <f t="shared" si="1719"/>
        <v>0</v>
      </c>
      <c r="N436" s="8">
        <f t="shared" si="1720"/>
        <v>0</v>
      </c>
      <c r="O436" s="8">
        <f t="shared" si="1721"/>
        <v>0</v>
      </c>
      <c r="P436" s="8" t="e">
        <v>#NUM!</v>
      </c>
      <c r="Q436" s="8" t="e">
        <f t="shared" ref="Q436" si="1747">IF(COUNTIF(P432:P442,"&lt;"&amp;-0.001)=0,IF(ABS(P436)&lt;0.001,0,P436)," ")</f>
        <v>#NUM!</v>
      </c>
      <c r="R436" s="8"/>
      <c r="S436" s="8"/>
      <c r="U436" s="34"/>
      <c r="V436" s="34"/>
      <c r="W436" s="34"/>
      <c r="X436" s="34"/>
      <c r="Y436" s="34"/>
      <c r="Z436" s="34"/>
      <c r="AA436" s="34"/>
      <c r="AB436" s="34"/>
      <c r="AC436" s="34"/>
      <c r="AD436" s="34"/>
      <c r="AE436" s="34"/>
      <c r="AF436" s="34"/>
      <c r="AG436" s="34"/>
      <c r="AH436" s="34"/>
      <c r="AI436" s="34"/>
      <c r="AJ436" s="34"/>
      <c r="AK436" s="34"/>
      <c r="AL436" s="34"/>
      <c r="AM436" s="34"/>
      <c r="AN436" s="34"/>
      <c r="AO436" s="34"/>
      <c r="AP436" s="34"/>
      <c r="AQ436" s="34"/>
      <c r="AR436" s="34"/>
      <c r="AS436" s="34"/>
      <c r="AT436" s="34"/>
      <c r="AU436" s="34"/>
      <c r="AV436" s="34"/>
      <c r="AW436" s="34"/>
      <c r="AX436" s="34"/>
      <c r="AY436" s="34"/>
      <c r="AZ436" s="34"/>
      <c r="BA436" s="34"/>
      <c r="BB436" s="34"/>
      <c r="BC436" s="34"/>
      <c r="BD436" s="34"/>
      <c r="BE436" s="34"/>
      <c r="BF436" s="34"/>
      <c r="BG436" s="34"/>
      <c r="BH436" s="34"/>
      <c r="BI436" s="34"/>
      <c r="BJ436" s="34"/>
      <c r="BK436" s="34"/>
      <c r="BL436" s="34"/>
      <c r="BM436" s="34"/>
      <c r="BN436" s="34"/>
      <c r="BO436" s="34"/>
      <c r="BP436" s="34"/>
      <c r="BQ436" s="34"/>
      <c r="BR436" s="34"/>
      <c r="BS436" s="34"/>
      <c r="BT436" s="34"/>
      <c r="BU436" s="34"/>
      <c r="BV436" s="34"/>
      <c r="BW436" s="34"/>
      <c r="BX436" s="34"/>
      <c r="BY436" s="34"/>
      <c r="BZ436" s="34"/>
      <c r="CA436" s="34"/>
      <c r="CB436" s="34"/>
      <c r="CC436" s="34"/>
      <c r="CD436" s="34"/>
      <c r="CE436" s="34"/>
      <c r="CF436" s="34"/>
      <c r="CG436" s="34"/>
      <c r="CH436" s="34"/>
      <c r="CI436" s="8"/>
    </row>
    <row r="437" spans="1:87" x14ac:dyDescent="0.2">
      <c r="A437" s="8" t="str">
        <f>IF(AND(COUNTIF(W$3:W$13,A$20)&gt;0,A$20&lt;&gt;B292),A$20,IFERROR(IF(MATCH(A$20,Z$3:Z$13,0)=7,A$20," ")," "))</f>
        <v xml:space="preserve"> </v>
      </c>
      <c r="B437" s="8" t="str">
        <f>IF(A437=" "," ",MAX(B432:B436)+1)</f>
        <v xml:space="preserve"> </v>
      </c>
      <c r="C437" s="8" t="str">
        <f>IFERROR(INDEX(A432:A453,MATCH(SMALL(B432:B453,6),B432:B453,0),1)," ")</f>
        <v>C17</v>
      </c>
      <c r="D437" s="8">
        <f t="shared" si="1710"/>
        <v>0</v>
      </c>
      <c r="E437" s="8">
        <f t="shared" si="1711"/>
        <v>0</v>
      </c>
      <c r="F437" s="8">
        <f t="shared" si="1712"/>
        <v>0</v>
      </c>
      <c r="G437" s="8">
        <f t="shared" si="1713"/>
        <v>0</v>
      </c>
      <c r="H437" s="8">
        <f t="shared" si="1714"/>
        <v>0</v>
      </c>
      <c r="I437" s="8">
        <f t="shared" si="1715"/>
        <v>1</v>
      </c>
      <c r="J437" s="8">
        <f t="shared" si="1716"/>
        <v>0</v>
      </c>
      <c r="K437" s="8">
        <f t="shared" si="1717"/>
        <v>0</v>
      </c>
      <c r="L437" s="8">
        <f t="shared" si="1718"/>
        <v>0</v>
      </c>
      <c r="M437" s="8">
        <f t="shared" si="1719"/>
        <v>0</v>
      </c>
      <c r="N437" s="8">
        <f t="shared" si="1720"/>
        <v>0</v>
      </c>
      <c r="O437" s="8">
        <f t="shared" si="1721"/>
        <v>0</v>
      </c>
      <c r="P437" s="8" t="e">
        <v>#NUM!</v>
      </c>
      <c r="Q437" s="8" t="e">
        <f t="shared" ref="Q437" si="1748">IF(COUNTIF(P432:P442,"&lt;"&amp;-0.001)=0,IF(ABS(P437)&lt;0.001,0,P437)," ")</f>
        <v>#NUM!</v>
      </c>
      <c r="R437" s="8"/>
      <c r="S437" s="8"/>
      <c r="U437" s="34"/>
      <c r="V437" s="34"/>
      <c r="W437" s="34"/>
      <c r="X437" s="34"/>
      <c r="Y437" s="34"/>
      <c r="Z437" s="34"/>
      <c r="AA437" s="34"/>
      <c r="AB437" s="34"/>
      <c r="AC437" s="34"/>
      <c r="AD437" s="34"/>
      <c r="AE437" s="34"/>
      <c r="AF437" s="34"/>
      <c r="AG437" s="34"/>
      <c r="AH437" s="34"/>
      <c r="AI437" s="34"/>
      <c r="AJ437" s="34"/>
      <c r="AK437" s="34"/>
      <c r="AL437" s="34"/>
      <c r="AM437" s="34"/>
      <c r="AN437" s="34"/>
      <c r="AO437" s="34"/>
      <c r="AP437" s="34"/>
      <c r="AQ437" s="34"/>
      <c r="AR437" s="34"/>
      <c r="AS437" s="34"/>
      <c r="AT437" s="34"/>
      <c r="AU437" s="34"/>
      <c r="AV437" s="34"/>
      <c r="AW437" s="34"/>
      <c r="AX437" s="34"/>
      <c r="AY437" s="34"/>
      <c r="AZ437" s="34"/>
      <c r="BA437" s="34"/>
      <c r="BB437" s="34"/>
      <c r="BC437" s="34"/>
      <c r="BD437" s="34"/>
      <c r="BE437" s="34"/>
      <c r="BF437" s="34"/>
      <c r="BG437" s="34"/>
      <c r="BH437" s="34"/>
      <c r="BI437" s="34"/>
      <c r="BJ437" s="34"/>
      <c r="BK437" s="34"/>
      <c r="BL437" s="34"/>
      <c r="BM437" s="34"/>
      <c r="BN437" s="34"/>
      <c r="BO437" s="34"/>
      <c r="BP437" s="34"/>
      <c r="BQ437" s="34"/>
      <c r="BR437" s="34"/>
      <c r="BS437" s="34"/>
      <c r="BT437" s="34"/>
      <c r="BU437" s="34"/>
      <c r="BV437" s="34"/>
      <c r="BW437" s="34"/>
      <c r="BX437" s="34"/>
      <c r="BY437" s="34"/>
      <c r="BZ437" s="34"/>
      <c r="CA437" s="34"/>
      <c r="CB437" s="34"/>
      <c r="CC437" s="34"/>
      <c r="CD437" s="34"/>
      <c r="CE437" s="34"/>
      <c r="CF437" s="34"/>
      <c r="CG437" s="34"/>
      <c r="CH437" s="34"/>
      <c r="CI437" s="8"/>
    </row>
    <row r="438" spans="1:87" x14ac:dyDescent="0.2">
      <c r="A438" s="8" t="str">
        <f>IF(AND(COUNTIF(W$3:W$13,A$21)&gt;0,A$21&lt;&gt;B292),A$21,IFERROR(IF(MATCH(A$21,Z$3:Z$13,0)=7,A$21," ")," "))</f>
        <v xml:space="preserve"> </v>
      </c>
      <c r="B438" s="8" t="str">
        <f>IF(A438=" "," ",MAX(B432:B437)+1)</f>
        <v xml:space="preserve"> </v>
      </c>
      <c r="C438" s="8" t="str">
        <f>IFERROR(INDEX(A432:A453,MATCH(SMALL(B432:B453,7),B432:B453,0),1)," ")</f>
        <v>C18</v>
      </c>
      <c r="D438" s="8">
        <f t="shared" si="1710"/>
        <v>0</v>
      </c>
      <c r="E438" s="8">
        <f t="shared" si="1711"/>
        <v>0</v>
      </c>
      <c r="F438" s="8">
        <f t="shared" si="1712"/>
        <v>0</v>
      </c>
      <c r="G438" s="8">
        <f t="shared" si="1713"/>
        <v>0</v>
      </c>
      <c r="H438" s="8">
        <f t="shared" si="1714"/>
        <v>0</v>
      </c>
      <c r="I438" s="8">
        <f t="shared" si="1715"/>
        <v>0</v>
      </c>
      <c r="J438" s="8">
        <f t="shared" si="1716"/>
        <v>1</v>
      </c>
      <c r="K438" s="8">
        <f t="shared" si="1717"/>
        <v>0</v>
      </c>
      <c r="L438" s="8">
        <f t="shared" si="1718"/>
        <v>0</v>
      </c>
      <c r="M438" s="8">
        <f t="shared" si="1719"/>
        <v>0</v>
      </c>
      <c r="N438" s="8">
        <f t="shared" si="1720"/>
        <v>0</v>
      </c>
      <c r="O438" s="8">
        <f t="shared" si="1721"/>
        <v>0</v>
      </c>
      <c r="P438" s="8" t="e">
        <v>#NUM!</v>
      </c>
      <c r="Q438" s="8" t="e">
        <f t="shared" ref="Q438" si="1749">IF(COUNTIF(P432:P442,"&lt;"&amp;-0.001)=0,IF(ABS(P438)&lt;0.001,0,P438)," ")</f>
        <v>#NUM!</v>
      </c>
      <c r="R438" s="8"/>
      <c r="S438" s="8"/>
      <c r="U438" s="34"/>
      <c r="V438" s="34"/>
      <c r="W438" s="34"/>
      <c r="X438" s="34"/>
      <c r="Y438" s="34"/>
      <c r="Z438" s="34"/>
      <c r="AA438" s="34"/>
      <c r="AB438" s="34"/>
      <c r="AC438" s="34"/>
      <c r="AD438" s="34"/>
      <c r="AE438" s="34"/>
      <c r="AF438" s="34"/>
      <c r="AG438" s="34"/>
      <c r="AH438" s="34"/>
      <c r="AI438" s="34"/>
      <c r="AJ438" s="34"/>
      <c r="AK438" s="34"/>
      <c r="AL438" s="34"/>
      <c r="AM438" s="34"/>
      <c r="AN438" s="34"/>
      <c r="AO438" s="34"/>
      <c r="AP438" s="34"/>
      <c r="AQ438" s="34"/>
      <c r="AR438" s="34"/>
      <c r="AS438" s="34"/>
      <c r="AT438" s="34"/>
      <c r="AU438" s="34"/>
      <c r="AV438" s="34"/>
      <c r="AW438" s="34"/>
      <c r="AX438" s="34"/>
      <c r="AY438" s="34"/>
      <c r="AZ438" s="34"/>
      <c r="BA438" s="34"/>
      <c r="BB438" s="34"/>
      <c r="BC438" s="34"/>
      <c r="BD438" s="34"/>
      <c r="BE438" s="34"/>
      <c r="BF438" s="34"/>
      <c r="BG438" s="34"/>
      <c r="BH438" s="34"/>
      <c r="BI438" s="34"/>
      <c r="BJ438" s="34"/>
      <c r="BK438" s="34"/>
      <c r="BL438" s="34"/>
      <c r="BM438" s="34"/>
      <c r="BN438" s="34"/>
      <c r="BO438" s="34"/>
      <c r="BP438" s="34"/>
      <c r="BQ438" s="34"/>
      <c r="BR438" s="34"/>
      <c r="BS438" s="34"/>
      <c r="BT438" s="34"/>
      <c r="BU438" s="34"/>
      <c r="BV438" s="34"/>
      <c r="BW438" s="34"/>
      <c r="BX438" s="34"/>
      <c r="BY438" s="34"/>
      <c r="BZ438" s="34"/>
      <c r="CA438" s="34"/>
      <c r="CB438" s="34"/>
      <c r="CC438" s="34"/>
      <c r="CD438" s="34"/>
      <c r="CE438" s="34"/>
      <c r="CF438" s="34"/>
      <c r="CG438" s="34"/>
      <c r="CH438" s="34"/>
      <c r="CI438" s="8"/>
    </row>
    <row r="439" spans="1:87" x14ac:dyDescent="0.2">
      <c r="A439" s="8" t="str">
        <f>IF(AND(COUNTIF(W$3:W$13,A$22)&gt;0,A$22&lt;&gt;B292),A$22,IFERROR(IF(MATCH(A$22,Z$3:Z$13,0)=7,A$22," ")," "))</f>
        <v xml:space="preserve"> </v>
      </c>
      <c r="B439" s="8" t="str">
        <f>IF(A439=" "," ",MAX(B432:B438)+1)</f>
        <v xml:space="preserve"> </v>
      </c>
      <c r="C439" s="8" t="str">
        <f>IFERROR(INDEX(A432:A453,MATCH(SMALL(B432:B453,8),B432:B453,0),1)," ")</f>
        <v>C19</v>
      </c>
      <c r="D439" s="8">
        <f t="shared" si="1710"/>
        <v>0</v>
      </c>
      <c r="E439" s="8">
        <f t="shared" si="1711"/>
        <v>0</v>
      </c>
      <c r="F439" s="8">
        <f t="shared" si="1712"/>
        <v>0</v>
      </c>
      <c r="G439" s="8">
        <f t="shared" si="1713"/>
        <v>0</v>
      </c>
      <c r="H439" s="8">
        <f t="shared" si="1714"/>
        <v>0</v>
      </c>
      <c r="I439" s="8">
        <f t="shared" si="1715"/>
        <v>0</v>
      </c>
      <c r="J439" s="8">
        <f t="shared" si="1716"/>
        <v>0</v>
      </c>
      <c r="K439" s="8">
        <f t="shared" si="1717"/>
        <v>1</v>
      </c>
      <c r="L439" s="8">
        <f t="shared" si="1718"/>
        <v>0</v>
      </c>
      <c r="M439" s="8">
        <f t="shared" si="1719"/>
        <v>0</v>
      </c>
      <c r="N439" s="8">
        <f t="shared" si="1720"/>
        <v>0</v>
      </c>
      <c r="O439" s="8">
        <f t="shared" si="1721"/>
        <v>0</v>
      </c>
      <c r="P439" s="8" t="e">
        <v>#NUM!</v>
      </c>
      <c r="Q439" s="8" t="e">
        <f t="shared" ref="Q439" si="1750">IF(COUNTIF(P432:P442,"&lt;"&amp;-0.001)=0,IF(ABS(P439)&lt;0.001,0,P439)," ")</f>
        <v>#NUM!</v>
      </c>
      <c r="R439" s="8"/>
      <c r="S439" s="8"/>
      <c r="U439" s="34"/>
      <c r="V439" s="34"/>
      <c r="W439" s="34"/>
      <c r="X439" s="34"/>
      <c r="Y439" s="34"/>
      <c r="Z439" s="34"/>
      <c r="AA439" s="34"/>
      <c r="AB439" s="34"/>
      <c r="AC439" s="34"/>
      <c r="AD439" s="34"/>
      <c r="AE439" s="34"/>
      <c r="AF439" s="34"/>
      <c r="AG439" s="34"/>
      <c r="AH439" s="34"/>
      <c r="AI439" s="34"/>
      <c r="AJ439" s="34"/>
      <c r="AK439" s="34"/>
      <c r="AL439" s="34"/>
      <c r="AM439" s="34"/>
      <c r="AN439" s="34"/>
      <c r="AO439" s="34"/>
      <c r="AP439" s="34"/>
      <c r="AQ439" s="34"/>
      <c r="AR439" s="34"/>
      <c r="AS439" s="34"/>
      <c r="AT439" s="34"/>
      <c r="AU439" s="34"/>
      <c r="AV439" s="34"/>
      <c r="AW439" s="34"/>
      <c r="AX439" s="34"/>
      <c r="AY439" s="34"/>
      <c r="AZ439" s="34"/>
      <c r="BA439" s="34"/>
      <c r="BB439" s="34"/>
      <c r="BC439" s="34"/>
      <c r="BD439" s="34"/>
      <c r="BE439" s="34"/>
      <c r="BF439" s="34"/>
      <c r="BG439" s="34"/>
      <c r="BH439" s="34"/>
      <c r="BI439" s="34"/>
      <c r="BJ439" s="34"/>
      <c r="BK439" s="34"/>
      <c r="BL439" s="34"/>
      <c r="BM439" s="34"/>
      <c r="BN439" s="34"/>
      <c r="BO439" s="34"/>
      <c r="BP439" s="34"/>
      <c r="BQ439" s="34"/>
      <c r="BR439" s="34"/>
      <c r="BS439" s="34"/>
      <c r="BT439" s="34"/>
      <c r="BU439" s="34"/>
      <c r="BV439" s="34"/>
      <c r="BW439" s="34"/>
      <c r="BX439" s="34"/>
      <c r="BY439" s="34"/>
      <c r="BZ439" s="34"/>
      <c r="CA439" s="34"/>
      <c r="CB439" s="34"/>
      <c r="CC439" s="34"/>
      <c r="CD439" s="34"/>
      <c r="CE439" s="34"/>
      <c r="CF439" s="34"/>
      <c r="CG439" s="34"/>
      <c r="CH439" s="34"/>
      <c r="CI439" s="8"/>
    </row>
    <row r="440" spans="1:87" x14ac:dyDescent="0.2">
      <c r="A440" s="8" t="str">
        <f>IF(AND(COUNTIF(W$3:W$13,A$23)&gt;0,A$23&lt;&gt;B292),A$23,IFERROR(IF(MATCH(A$23,Z$3:Z$13,0)=7,A$23," ")," "))</f>
        <v>C9</v>
      </c>
      <c r="B440" s="8">
        <f>IF(A440=" "," ",MAX(B432:B439)+1)</f>
        <v>2</v>
      </c>
      <c r="C440" s="8" t="str">
        <f>IFERROR(INDEX(A432:A453,MATCH(SMALL(B432:B453,9),B432:B453,0),1)," ")</f>
        <v>C20</v>
      </c>
      <c r="D440" s="8">
        <f t="shared" si="1710"/>
        <v>0</v>
      </c>
      <c r="E440" s="8">
        <f t="shared" si="1711"/>
        <v>0</v>
      </c>
      <c r="F440" s="8">
        <f t="shared" si="1712"/>
        <v>0</v>
      </c>
      <c r="G440" s="8">
        <f t="shared" si="1713"/>
        <v>0</v>
      </c>
      <c r="H440" s="8">
        <f t="shared" si="1714"/>
        <v>0</v>
      </c>
      <c r="I440" s="8">
        <f t="shared" si="1715"/>
        <v>0</v>
      </c>
      <c r="J440" s="8">
        <f t="shared" si="1716"/>
        <v>0</v>
      </c>
      <c r="K440" s="8">
        <f t="shared" si="1717"/>
        <v>0</v>
      </c>
      <c r="L440" s="8">
        <f t="shared" si="1718"/>
        <v>1</v>
      </c>
      <c r="M440" s="8">
        <f t="shared" si="1719"/>
        <v>0</v>
      </c>
      <c r="N440" s="8">
        <f t="shared" si="1720"/>
        <v>0</v>
      </c>
      <c r="O440" s="8">
        <f t="shared" si="1721"/>
        <v>0</v>
      </c>
      <c r="P440" s="6" t="e">
        <v>#NUM!</v>
      </c>
      <c r="Q440" s="8" t="e">
        <f t="shared" ref="Q440" si="1751">IF(COUNTIF(P432:P442,"&lt;"&amp;-0.001)=0,IF(ABS(P440)&lt;0.001,0,P440)," ")</f>
        <v>#NUM!</v>
      </c>
      <c r="R440" s="8"/>
      <c r="S440" s="8"/>
      <c r="U440" s="34"/>
      <c r="V440" s="34"/>
      <c r="W440" s="34"/>
      <c r="X440" s="34"/>
      <c r="Y440" s="34"/>
      <c r="Z440" s="34"/>
      <c r="AA440" s="34"/>
      <c r="AB440" s="34"/>
      <c r="AC440" s="34"/>
      <c r="AD440" s="34"/>
      <c r="AE440" s="34"/>
      <c r="AF440" s="34"/>
      <c r="AG440" s="34"/>
      <c r="AH440" s="34"/>
      <c r="AI440" s="34"/>
      <c r="AJ440" s="34"/>
      <c r="AK440" s="34"/>
      <c r="AL440" s="34"/>
      <c r="AM440" s="34"/>
      <c r="AN440" s="34"/>
      <c r="AO440" s="34"/>
      <c r="AP440" s="34"/>
      <c r="AQ440" s="34"/>
      <c r="AR440" s="34"/>
      <c r="AS440" s="34"/>
      <c r="AT440" s="34"/>
      <c r="AU440" s="34"/>
      <c r="AV440" s="34"/>
      <c r="AW440" s="34"/>
      <c r="AX440" s="34"/>
      <c r="AY440" s="34"/>
      <c r="AZ440" s="34"/>
      <c r="BA440" s="34"/>
      <c r="BB440" s="34"/>
      <c r="BC440" s="34"/>
      <c r="BD440" s="34"/>
      <c r="BE440" s="34"/>
      <c r="BF440" s="34"/>
      <c r="BG440" s="34"/>
      <c r="BH440" s="34"/>
      <c r="BI440" s="34"/>
      <c r="BJ440" s="34"/>
      <c r="BK440" s="34"/>
      <c r="BL440" s="34"/>
      <c r="BM440" s="34"/>
      <c r="BN440" s="34"/>
      <c r="BO440" s="34"/>
      <c r="BP440" s="34"/>
      <c r="BQ440" s="34"/>
      <c r="BR440" s="34"/>
      <c r="BS440" s="34"/>
      <c r="BT440" s="34"/>
      <c r="BU440" s="34"/>
      <c r="BV440" s="34"/>
      <c r="BW440" s="34"/>
      <c r="BX440" s="34"/>
      <c r="BY440" s="34"/>
      <c r="BZ440" s="34"/>
      <c r="CA440" s="34"/>
      <c r="CB440" s="34"/>
      <c r="CC440" s="34"/>
      <c r="CD440" s="34"/>
      <c r="CE440" s="34"/>
      <c r="CF440" s="34"/>
      <c r="CG440" s="34"/>
      <c r="CH440" s="34"/>
      <c r="CI440" s="8"/>
    </row>
    <row r="441" spans="1:87" x14ac:dyDescent="0.2">
      <c r="A441" s="8" t="str">
        <f>IF(AND(COUNTIF(W$3:W$13,A$24)&gt;0,A$24&lt;&gt;B292),A$24,IFERROR(IF(MATCH(A$24,Z$3:Z$13,0)=7,A$24," ")," "))</f>
        <v xml:space="preserve"> </v>
      </c>
      <c r="B441" s="8" t="str">
        <f>IF(A441=" "," ",MAX(B432:B440)+1)</f>
        <v xml:space="preserve"> </v>
      </c>
      <c r="C441" s="8" t="str">
        <f>IFERROR(INDEX(A432:A453,MATCH(SMALL(B432:B453,10),B432:B453,0),1)," ")</f>
        <v>C21</v>
      </c>
      <c r="D441" s="8">
        <f t="shared" si="1710"/>
        <v>0</v>
      </c>
      <c r="E441" s="8">
        <f t="shared" si="1711"/>
        <v>0</v>
      </c>
      <c r="F441" s="8">
        <f t="shared" si="1712"/>
        <v>0</v>
      </c>
      <c r="G441" s="8">
        <f t="shared" si="1713"/>
        <v>0</v>
      </c>
      <c r="H441" s="8">
        <f t="shared" si="1714"/>
        <v>0</v>
      </c>
      <c r="I441" s="8">
        <f t="shared" si="1715"/>
        <v>0</v>
      </c>
      <c r="J441" s="8">
        <f t="shared" si="1716"/>
        <v>0</v>
      </c>
      <c r="K441" s="8">
        <f t="shared" si="1717"/>
        <v>0</v>
      </c>
      <c r="L441" s="8">
        <f t="shared" si="1718"/>
        <v>0</v>
      </c>
      <c r="M441" s="8">
        <f t="shared" si="1719"/>
        <v>1</v>
      </c>
      <c r="N441" s="8">
        <f t="shared" si="1720"/>
        <v>0</v>
      </c>
      <c r="O441" s="8">
        <f t="shared" si="1721"/>
        <v>0</v>
      </c>
      <c r="P441" s="8" t="e">
        <v>#NUM!</v>
      </c>
      <c r="Q441" s="8" t="e">
        <f t="shared" ref="Q441" si="1752">IF(COUNTIF(P432:P442,"&lt;"&amp;-0.001)=0,IF(ABS(P441)&lt;0.001,0,P441)," ")</f>
        <v>#NUM!</v>
      </c>
      <c r="R441" s="8"/>
      <c r="S441" s="8"/>
      <c r="U441" s="34"/>
      <c r="V441" s="34"/>
      <c r="W441" s="34"/>
      <c r="X441" s="34"/>
      <c r="Y441" s="34"/>
      <c r="Z441" s="34"/>
      <c r="AA441" s="34"/>
      <c r="AB441" s="34"/>
      <c r="AC441" s="34"/>
      <c r="AD441" s="34"/>
      <c r="AE441" s="34"/>
      <c r="AF441" s="34"/>
      <c r="AG441" s="34"/>
      <c r="AH441" s="34"/>
      <c r="AI441" s="34"/>
      <c r="AJ441" s="34"/>
      <c r="AK441" s="34"/>
      <c r="AL441" s="34"/>
      <c r="AM441" s="34"/>
      <c r="AN441" s="34"/>
      <c r="AO441" s="34"/>
      <c r="AP441" s="34"/>
      <c r="AQ441" s="34"/>
      <c r="AR441" s="34"/>
      <c r="AS441" s="34"/>
      <c r="AT441" s="34"/>
      <c r="AU441" s="34"/>
      <c r="AV441" s="34"/>
      <c r="AW441" s="34"/>
      <c r="AX441" s="34"/>
      <c r="AY441" s="34"/>
      <c r="AZ441" s="34"/>
      <c r="BA441" s="34"/>
      <c r="BB441" s="34"/>
      <c r="BC441" s="34"/>
      <c r="BD441" s="34"/>
      <c r="BE441" s="34"/>
      <c r="BF441" s="34"/>
      <c r="BG441" s="34"/>
      <c r="BH441" s="34"/>
      <c r="BI441" s="34"/>
      <c r="BJ441" s="34"/>
      <c r="BK441" s="34"/>
      <c r="BL441" s="34"/>
      <c r="BM441" s="34"/>
      <c r="BN441" s="34"/>
      <c r="BO441" s="34"/>
      <c r="BP441" s="34"/>
      <c r="BQ441" s="34"/>
      <c r="BR441" s="34"/>
      <c r="BS441" s="34"/>
      <c r="BT441" s="34"/>
      <c r="BU441" s="34"/>
      <c r="BV441" s="34"/>
      <c r="BW441" s="34"/>
      <c r="BX441" s="34"/>
      <c r="BY441" s="34"/>
      <c r="BZ441" s="34"/>
      <c r="CA441" s="34"/>
      <c r="CB441" s="34"/>
      <c r="CC441" s="34"/>
      <c r="CD441" s="34"/>
      <c r="CE441" s="34"/>
      <c r="CF441" s="34"/>
      <c r="CG441" s="34"/>
      <c r="CH441" s="34"/>
      <c r="CI441" s="8"/>
    </row>
    <row r="442" spans="1:87" x14ac:dyDescent="0.2">
      <c r="A442" s="8" t="str">
        <f>IF(AND(COUNTIF(W$3:W$13,A$25)&gt;0,A$25&lt;&gt;B292),A$25,IFERROR(IF(MATCH(A$25,Z$3:Z$13,0)=7,A$25," ")," "))</f>
        <v xml:space="preserve"> </v>
      </c>
      <c r="B442" s="8" t="str">
        <f>IF(A442=" "," ",MAX(B432:B441)+1)</f>
        <v xml:space="preserve"> </v>
      </c>
      <c r="C442" s="8" t="str">
        <f>IFERROR(INDEX(A432:A453,MATCH(SMALL(B432:B453,11),B432:B453,0),1)," ")</f>
        <v>C22</v>
      </c>
      <c r="D442" s="8">
        <f t="shared" si="1710"/>
        <v>0</v>
      </c>
      <c r="E442" s="8">
        <f t="shared" si="1711"/>
        <v>0</v>
      </c>
      <c r="F442" s="8">
        <f t="shared" si="1712"/>
        <v>0</v>
      </c>
      <c r="G442" s="8">
        <f t="shared" si="1713"/>
        <v>0</v>
      </c>
      <c r="H442" s="8">
        <f t="shared" si="1714"/>
        <v>0</v>
      </c>
      <c r="I442" s="8">
        <f t="shared" si="1715"/>
        <v>0</v>
      </c>
      <c r="J442" s="8">
        <f t="shared" si="1716"/>
        <v>0</v>
      </c>
      <c r="K442" s="8">
        <f t="shared" si="1717"/>
        <v>0</v>
      </c>
      <c r="L442" s="8">
        <f t="shared" si="1718"/>
        <v>0</v>
      </c>
      <c r="M442" s="8">
        <f t="shared" si="1719"/>
        <v>0</v>
      </c>
      <c r="N442" s="8">
        <f t="shared" si="1720"/>
        <v>1</v>
      </c>
      <c r="O442" s="8">
        <f t="shared" si="1721"/>
        <v>0</v>
      </c>
      <c r="P442" s="8" t="e">
        <v>#NUM!</v>
      </c>
      <c r="Q442" s="8" t="e">
        <f t="shared" ref="Q442" si="1753">IF(COUNTIF(P432:P442,"&lt;"&amp;-0.001)=0,IF(ABS(P442)&lt;0.001,0,P442)," ")</f>
        <v>#NUM!</v>
      </c>
      <c r="R442" s="8"/>
      <c r="S442" s="8"/>
      <c r="U442" s="34"/>
      <c r="V442" s="34"/>
      <c r="W442" s="34"/>
      <c r="X442" s="34"/>
      <c r="Y442" s="34"/>
      <c r="Z442" s="34"/>
      <c r="AA442" s="34"/>
      <c r="AB442" s="34"/>
      <c r="AC442" s="34"/>
      <c r="AD442" s="34"/>
      <c r="AE442" s="34"/>
      <c r="AF442" s="34"/>
      <c r="AG442" s="34"/>
      <c r="AH442" s="34"/>
      <c r="AI442" s="34"/>
      <c r="AJ442" s="34"/>
      <c r="AK442" s="34"/>
      <c r="AL442" s="34"/>
      <c r="AM442" s="34"/>
      <c r="AN442" s="34"/>
      <c r="AO442" s="34"/>
      <c r="AP442" s="34"/>
      <c r="AQ442" s="34"/>
      <c r="AR442" s="34"/>
      <c r="AS442" s="34"/>
      <c r="AT442" s="34"/>
      <c r="AU442" s="34"/>
      <c r="AV442" s="34"/>
      <c r="AW442" s="34"/>
      <c r="AX442" s="34"/>
      <c r="AY442" s="34"/>
      <c r="AZ442" s="34"/>
      <c r="BA442" s="34"/>
      <c r="BB442" s="34"/>
      <c r="BC442" s="34"/>
      <c r="BD442" s="34"/>
      <c r="BE442" s="34"/>
      <c r="BF442" s="34"/>
      <c r="BG442" s="34"/>
      <c r="BH442" s="34"/>
      <c r="BI442" s="34"/>
      <c r="BJ442" s="34"/>
      <c r="BK442" s="34"/>
      <c r="BL442" s="34"/>
      <c r="BM442" s="34"/>
      <c r="BN442" s="34"/>
      <c r="BO442" s="34"/>
      <c r="BP442" s="34"/>
      <c r="BQ442" s="34"/>
      <c r="BR442" s="34"/>
      <c r="BS442" s="34"/>
      <c r="BT442" s="34"/>
      <c r="BU442" s="34"/>
      <c r="BV442" s="34"/>
      <c r="BW442" s="34"/>
      <c r="BX442" s="34"/>
      <c r="BY442" s="34"/>
      <c r="BZ442" s="34"/>
      <c r="CA442" s="34"/>
      <c r="CB442" s="34"/>
      <c r="CC442" s="34"/>
      <c r="CD442" s="34"/>
      <c r="CE442" s="34"/>
      <c r="CF442" s="34"/>
      <c r="CG442" s="34"/>
      <c r="CH442" s="34"/>
      <c r="CI442" s="8"/>
    </row>
    <row r="443" spans="1:87" x14ac:dyDescent="0.2">
      <c r="A443" s="8" t="str">
        <f>IF(AND(COUNTIF(W$3:W$13,A$26)&gt;0,A$26&lt;&gt;B292),A$26,IFERROR(IF(MATCH(A$26,Z$3:Z$13,0)=7,A$26," ")," "))</f>
        <v xml:space="preserve"> </v>
      </c>
      <c r="B443" s="8" t="str">
        <f>IF(A443=" "," ",MAX(B432:B442)+1)</f>
        <v xml:space="preserve"> </v>
      </c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U443" s="34"/>
      <c r="V443" s="34"/>
      <c r="W443" s="34"/>
      <c r="X443" s="34"/>
      <c r="Y443" s="34"/>
      <c r="Z443" s="34"/>
      <c r="AA443" s="34"/>
      <c r="AB443" s="34"/>
      <c r="AC443" s="34"/>
      <c r="AD443" s="34"/>
      <c r="AE443" s="34"/>
      <c r="AF443" s="34"/>
      <c r="AG443" s="34"/>
      <c r="AH443" s="34"/>
      <c r="AI443" s="34"/>
      <c r="AJ443" s="34"/>
      <c r="AK443" s="34"/>
      <c r="AL443" s="34"/>
      <c r="AM443" s="34"/>
      <c r="AN443" s="34"/>
      <c r="AO443" s="34"/>
      <c r="AP443" s="34"/>
      <c r="AQ443" s="34"/>
      <c r="AR443" s="34"/>
      <c r="AS443" s="34"/>
      <c r="AT443" s="34"/>
      <c r="AU443" s="34"/>
      <c r="AV443" s="34"/>
      <c r="AW443" s="34"/>
      <c r="AX443" s="34"/>
      <c r="AY443" s="34"/>
      <c r="AZ443" s="34"/>
      <c r="BA443" s="34"/>
      <c r="BB443" s="34"/>
      <c r="BC443" s="34"/>
      <c r="BD443" s="34"/>
      <c r="BE443" s="34"/>
      <c r="BF443" s="34"/>
      <c r="BG443" s="34"/>
      <c r="BH443" s="34"/>
      <c r="BI443" s="34"/>
      <c r="BJ443" s="34"/>
      <c r="BK443" s="34"/>
      <c r="BL443" s="34"/>
      <c r="BM443" s="34"/>
      <c r="BN443" s="34"/>
      <c r="BO443" s="34"/>
      <c r="BP443" s="34"/>
      <c r="BQ443" s="34"/>
      <c r="BR443" s="34"/>
      <c r="BS443" s="34"/>
      <c r="BT443" s="34"/>
      <c r="BU443" s="34"/>
      <c r="BV443" s="34"/>
      <c r="BW443" s="34"/>
      <c r="BX443" s="34"/>
      <c r="BY443" s="34"/>
      <c r="BZ443" s="34"/>
      <c r="CA443" s="34"/>
      <c r="CB443" s="34"/>
      <c r="CC443" s="34"/>
      <c r="CD443" s="34"/>
      <c r="CE443" s="34"/>
      <c r="CF443" s="34"/>
      <c r="CG443" s="34"/>
      <c r="CH443" s="34"/>
      <c r="CI443" s="8"/>
    </row>
    <row r="444" spans="1:87" x14ac:dyDescent="0.2">
      <c r="A444" s="8" t="str">
        <f>IF(AND(COUNTIF(W$3:W$13,A$27)&gt;0,A$27&lt;&gt;B292),A$27,IFERROR(IF(MATCH(A$27,Z$3:Z$13,0)=7,A$27," ")," "))</f>
        <v>C13</v>
      </c>
      <c r="B444" s="8">
        <f>IF(A444=" "," ",MAX(B432:B443)+1)</f>
        <v>3</v>
      </c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U444" s="34"/>
      <c r="V444" s="34"/>
      <c r="W444" s="34"/>
      <c r="X444" s="34"/>
      <c r="Y444" s="34"/>
      <c r="Z444" s="34"/>
      <c r="AA444" s="34"/>
      <c r="AB444" s="34"/>
      <c r="AC444" s="34"/>
      <c r="AD444" s="34"/>
      <c r="AE444" s="34"/>
      <c r="AF444" s="34"/>
      <c r="AG444" s="34"/>
      <c r="AH444" s="34"/>
      <c r="AI444" s="34"/>
      <c r="AJ444" s="34"/>
      <c r="AK444" s="34"/>
      <c r="AL444" s="34"/>
      <c r="AM444" s="34"/>
      <c r="AN444" s="34"/>
      <c r="AO444" s="34"/>
      <c r="AP444" s="34"/>
      <c r="AQ444" s="34"/>
      <c r="AR444" s="34"/>
      <c r="AS444" s="34"/>
      <c r="AT444" s="34"/>
      <c r="AU444" s="34"/>
      <c r="AV444" s="34"/>
      <c r="AW444" s="34"/>
      <c r="AX444" s="34"/>
      <c r="AY444" s="34"/>
      <c r="AZ444" s="34"/>
      <c r="BA444" s="34"/>
      <c r="BB444" s="34"/>
      <c r="BC444" s="34"/>
      <c r="BD444" s="34"/>
      <c r="BE444" s="34"/>
      <c r="BF444" s="34"/>
      <c r="BG444" s="34"/>
      <c r="BH444" s="34"/>
      <c r="BI444" s="34"/>
      <c r="BJ444" s="34"/>
      <c r="BK444" s="34"/>
      <c r="BL444" s="34"/>
      <c r="BM444" s="34"/>
      <c r="BN444" s="34"/>
      <c r="BO444" s="34"/>
      <c r="BP444" s="34"/>
      <c r="BQ444" s="34"/>
      <c r="BR444" s="34"/>
      <c r="BS444" s="34"/>
      <c r="BT444" s="34"/>
      <c r="BU444" s="34"/>
      <c r="BV444" s="34"/>
      <c r="BW444" s="34"/>
      <c r="BX444" s="34"/>
      <c r="BY444" s="34"/>
      <c r="BZ444" s="34"/>
      <c r="CA444" s="34"/>
      <c r="CB444" s="34"/>
      <c r="CC444" s="34"/>
      <c r="CD444" s="34"/>
      <c r="CE444" s="34"/>
      <c r="CF444" s="34"/>
      <c r="CG444" s="34"/>
      <c r="CH444" s="34"/>
      <c r="CI444" s="8"/>
    </row>
    <row r="445" spans="1:87" x14ac:dyDescent="0.2">
      <c r="A445" s="8" t="str">
        <f>IF(AND(COUNTIF(W$3:W$13,A$28)&gt;0,A$28&lt;&gt;B292),A$28,IFERROR(IF(MATCH(A$28,Z$3:Z$13,0)=7,A$28," ")," "))</f>
        <v xml:space="preserve"> </v>
      </c>
      <c r="B445" s="8" t="str">
        <f>IF(A445=" "," ",MAX(B432:B444)+1)</f>
        <v xml:space="preserve"> </v>
      </c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U445" s="34"/>
      <c r="V445" s="34"/>
      <c r="W445" s="34"/>
      <c r="X445" s="34"/>
      <c r="Y445" s="34"/>
      <c r="Z445" s="34"/>
      <c r="AA445" s="34"/>
      <c r="AB445" s="34"/>
      <c r="AC445" s="34"/>
      <c r="AD445" s="34"/>
      <c r="AE445" s="34"/>
      <c r="AF445" s="34"/>
      <c r="AG445" s="34"/>
      <c r="AH445" s="34"/>
      <c r="AI445" s="34"/>
      <c r="AJ445" s="34"/>
      <c r="AK445" s="34"/>
      <c r="AL445" s="34"/>
      <c r="AM445" s="34"/>
      <c r="AN445" s="34"/>
      <c r="AO445" s="34"/>
      <c r="AP445" s="34"/>
      <c r="AQ445" s="34"/>
      <c r="AR445" s="34"/>
      <c r="AS445" s="34"/>
      <c r="AT445" s="34"/>
      <c r="AU445" s="34"/>
      <c r="AV445" s="34"/>
      <c r="AW445" s="34"/>
      <c r="AX445" s="34"/>
      <c r="AY445" s="34"/>
      <c r="AZ445" s="34"/>
      <c r="BA445" s="34"/>
      <c r="BB445" s="34"/>
      <c r="BC445" s="34"/>
      <c r="BD445" s="34"/>
      <c r="BE445" s="34"/>
      <c r="BF445" s="34"/>
      <c r="BG445" s="34"/>
      <c r="BH445" s="34"/>
      <c r="BI445" s="34"/>
      <c r="BJ445" s="34"/>
      <c r="BK445" s="34"/>
      <c r="BL445" s="34"/>
      <c r="BM445" s="34"/>
      <c r="BN445" s="34"/>
      <c r="BO445" s="34"/>
      <c r="BP445" s="34"/>
      <c r="BQ445" s="34"/>
      <c r="BR445" s="34"/>
      <c r="BS445" s="34"/>
      <c r="BT445" s="34"/>
      <c r="BU445" s="34"/>
      <c r="BV445" s="34"/>
      <c r="BW445" s="34"/>
      <c r="BX445" s="34"/>
      <c r="BY445" s="34"/>
      <c r="BZ445" s="34"/>
      <c r="CA445" s="34"/>
      <c r="CB445" s="34"/>
      <c r="CC445" s="34"/>
      <c r="CD445" s="34"/>
      <c r="CE445" s="34"/>
      <c r="CF445" s="34"/>
      <c r="CG445" s="34"/>
      <c r="CH445" s="34"/>
      <c r="CI445" s="8"/>
    </row>
    <row r="446" spans="1:87" x14ac:dyDescent="0.2">
      <c r="A446" s="8" t="str">
        <f>IF(AND(COUNTIF(W$3:W$13,A$29)&gt;0,A$29&lt;&gt;B292),A$29,IFERROR(IF(MATCH(A$29,Z$3:Z$13,0)=7,A$29," ")," "))</f>
        <v>C15</v>
      </c>
      <c r="B446" s="8">
        <f>IF(A446=" "," ",MAX(B432:B445)+1)</f>
        <v>4</v>
      </c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U446" s="34"/>
      <c r="V446" s="34"/>
      <c r="W446" s="34"/>
      <c r="X446" s="34"/>
      <c r="Y446" s="34"/>
      <c r="Z446" s="34"/>
      <c r="AA446" s="34"/>
      <c r="AB446" s="34"/>
      <c r="AC446" s="34"/>
      <c r="AD446" s="34"/>
      <c r="AE446" s="34"/>
      <c r="AF446" s="34"/>
      <c r="AG446" s="34"/>
      <c r="AH446" s="34"/>
      <c r="AI446" s="34"/>
      <c r="AJ446" s="34"/>
      <c r="AK446" s="34"/>
      <c r="AL446" s="34"/>
      <c r="AM446" s="34"/>
      <c r="AN446" s="34"/>
      <c r="AO446" s="34"/>
      <c r="AP446" s="34"/>
      <c r="AQ446" s="34"/>
      <c r="AR446" s="34"/>
      <c r="AS446" s="34"/>
      <c r="AT446" s="34"/>
      <c r="AU446" s="34"/>
      <c r="AV446" s="34"/>
      <c r="AW446" s="34"/>
      <c r="AX446" s="34"/>
      <c r="AY446" s="34"/>
      <c r="AZ446" s="34"/>
      <c r="BA446" s="34"/>
      <c r="BB446" s="34"/>
      <c r="BC446" s="34"/>
      <c r="BD446" s="34"/>
      <c r="BE446" s="34"/>
      <c r="BF446" s="34"/>
      <c r="BG446" s="34"/>
      <c r="BH446" s="34"/>
      <c r="BI446" s="34"/>
      <c r="BJ446" s="34"/>
      <c r="BK446" s="34"/>
      <c r="BL446" s="34"/>
      <c r="BM446" s="34"/>
      <c r="BN446" s="34"/>
      <c r="BO446" s="34"/>
      <c r="BP446" s="34"/>
      <c r="BQ446" s="34"/>
      <c r="BR446" s="34"/>
      <c r="BS446" s="34"/>
      <c r="BT446" s="34"/>
      <c r="BU446" s="34"/>
      <c r="BV446" s="34"/>
      <c r="BW446" s="34"/>
      <c r="BX446" s="34"/>
      <c r="BY446" s="34"/>
      <c r="BZ446" s="34"/>
      <c r="CA446" s="34"/>
      <c r="CB446" s="34"/>
      <c r="CC446" s="34"/>
      <c r="CD446" s="34"/>
      <c r="CE446" s="34"/>
      <c r="CF446" s="34"/>
      <c r="CG446" s="34"/>
      <c r="CH446" s="34"/>
      <c r="CI446" s="8"/>
    </row>
    <row r="447" spans="1:87" x14ac:dyDescent="0.2">
      <c r="A447" s="8" t="str">
        <f>IF(AND(COUNTIF(W$3:W$13,A$30)&gt;0,A$30&lt;&gt;B292),A$30,IFERROR(IF(MATCH(A$30,Z$3:Z$13,0)=7,A$30," ")," "))</f>
        <v>C16</v>
      </c>
      <c r="B447" s="8">
        <f>IF(A447=" "," ",MAX(B432:B446)+1)</f>
        <v>5</v>
      </c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U447" s="34"/>
      <c r="V447" s="34"/>
      <c r="W447" s="34"/>
      <c r="X447" s="34"/>
      <c r="Y447" s="34"/>
      <c r="Z447" s="34"/>
      <c r="AA447" s="34"/>
      <c r="AB447" s="34"/>
      <c r="AC447" s="34"/>
      <c r="AD447" s="34"/>
      <c r="AE447" s="34"/>
      <c r="AF447" s="34"/>
      <c r="AG447" s="34"/>
      <c r="AH447" s="34"/>
      <c r="AI447" s="34"/>
      <c r="AJ447" s="34"/>
      <c r="AK447" s="34"/>
      <c r="AL447" s="34"/>
      <c r="AM447" s="34"/>
      <c r="AN447" s="34"/>
      <c r="AO447" s="34"/>
      <c r="AP447" s="34"/>
      <c r="AQ447" s="34"/>
      <c r="AR447" s="34"/>
      <c r="AS447" s="34"/>
      <c r="AT447" s="34"/>
      <c r="AU447" s="34"/>
      <c r="AV447" s="34"/>
      <c r="AW447" s="34"/>
      <c r="AX447" s="34"/>
      <c r="AY447" s="34"/>
      <c r="AZ447" s="34"/>
      <c r="BA447" s="34"/>
      <c r="BB447" s="34"/>
      <c r="BC447" s="34"/>
      <c r="BD447" s="34"/>
      <c r="BE447" s="34"/>
      <c r="BF447" s="34"/>
      <c r="BG447" s="34"/>
      <c r="BH447" s="34"/>
      <c r="BI447" s="34"/>
      <c r="BJ447" s="34"/>
      <c r="BK447" s="34"/>
      <c r="BL447" s="34"/>
      <c r="BM447" s="34"/>
      <c r="BN447" s="34"/>
      <c r="BO447" s="34"/>
      <c r="BP447" s="34"/>
      <c r="BQ447" s="34"/>
      <c r="BR447" s="34"/>
      <c r="BS447" s="34"/>
      <c r="BT447" s="34"/>
      <c r="BU447" s="34"/>
      <c r="BV447" s="34"/>
      <c r="BW447" s="34"/>
      <c r="BX447" s="34"/>
      <c r="BY447" s="34"/>
      <c r="BZ447" s="34"/>
      <c r="CA447" s="34"/>
      <c r="CB447" s="34"/>
      <c r="CC447" s="34"/>
      <c r="CD447" s="34"/>
      <c r="CE447" s="34"/>
      <c r="CF447" s="34"/>
      <c r="CG447" s="34"/>
      <c r="CH447" s="34"/>
      <c r="CI447" s="8"/>
    </row>
    <row r="448" spans="1:87" x14ac:dyDescent="0.2">
      <c r="A448" s="8" t="str">
        <f>IF(AND(COUNTIF(W$3:W$13,A$31)&gt;0,A$31&lt;&gt;B292),A$31,IFERROR(IF(MATCH(A$31,Z$3:Z$13,0)=7,A$31," ")," "))</f>
        <v>C17</v>
      </c>
      <c r="B448" s="8">
        <f>IF(A448=" "," ",MAX(B432:B447)+1)</f>
        <v>6</v>
      </c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U448" s="34"/>
      <c r="V448" s="34"/>
      <c r="W448" s="34"/>
      <c r="X448" s="34"/>
      <c r="Y448" s="34"/>
      <c r="Z448" s="34"/>
      <c r="AA448" s="34"/>
      <c r="AB448" s="34"/>
      <c r="AC448" s="34"/>
      <c r="AD448" s="34"/>
      <c r="AE448" s="34"/>
      <c r="AF448" s="34"/>
      <c r="AG448" s="34"/>
      <c r="AH448" s="34"/>
      <c r="AI448" s="34"/>
      <c r="AJ448" s="34"/>
      <c r="AK448" s="34"/>
      <c r="AL448" s="34"/>
      <c r="AM448" s="34"/>
      <c r="AN448" s="34"/>
      <c r="AO448" s="34"/>
      <c r="AP448" s="34"/>
      <c r="AQ448" s="34"/>
      <c r="AR448" s="34"/>
      <c r="AS448" s="34"/>
      <c r="AT448" s="34"/>
      <c r="AU448" s="34"/>
      <c r="AV448" s="34"/>
      <c r="AW448" s="34"/>
      <c r="AX448" s="34"/>
      <c r="AY448" s="34"/>
      <c r="AZ448" s="34"/>
      <c r="BA448" s="34"/>
      <c r="BB448" s="34"/>
      <c r="BC448" s="34"/>
      <c r="BD448" s="34"/>
      <c r="BE448" s="34"/>
      <c r="BF448" s="34"/>
      <c r="BG448" s="34"/>
      <c r="BH448" s="34"/>
      <c r="BI448" s="34"/>
      <c r="BJ448" s="34"/>
      <c r="BK448" s="34"/>
      <c r="BL448" s="34"/>
      <c r="BM448" s="34"/>
      <c r="BN448" s="34"/>
      <c r="BO448" s="34"/>
      <c r="BP448" s="34"/>
      <c r="BQ448" s="34"/>
      <c r="BR448" s="34"/>
      <c r="BS448" s="34"/>
      <c r="BT448" s="34"/>
      <c r="BU448" s="34"/>
      <c r="BV448" s="34"/>
      <c r="BW448" s="34"/>
      <c r="BX448" s="34"/>
      <c r="BY448" s="34"/>
      <c r="BZ448" s="34"/>
      <c r="CA448" s="34"/>
      <c r="CB448" s="34"/>
      <c r="CC448" s="34"/>
      <c r="CD448" s="34"/>
      <c r="CE448" s="34"/>
      <c r="CF448" s="34"/>
      <c r="CG448" s="34"/>
      <c r="CH448" s="34"/>
      <c r="CI448" s="8"/>
    </row>
    <row r="449" spans="1:87" x14ac:dyDescent="0.2">
      <c r="A449" s="8" t="str">
        <f>IF(AND(COUNTIF(W$3:W$13,A$32)&gt;0,A$32&lt;&gt;B292),A$32,IFERROR(IF(MATCH(A$32,Z$3:Z$13,0)=7,A$32," ")," "))</f>
        <v>C18</v>
      </c>
      <c r="B449" s="8">
        <f>IF(A449=" "," ",MAX(B432:B448)+1)</f>
        <v>7</v>
      </c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U449" s="34"/>
      <c r="V449" s="34"/>
      <c r="W449" s="34"/>
      <c r="X449" s="34"/>
      <c r="Y449" s="34"/>
      <c r="Z449" s="34"/>
      <c r="AA449" s="34"/>
      <c r="AB449" s="34"/>
      <c r="AC449" s="34"/>
      <c r="AD449" s="34"/>
      <c r="AE449" s="34"/>
      <c r="AF449" s="34"/>
      <c r="AG449" s="34"/>
      <c r="AH449" s="34"/>
      <c r="AI449" s="34"/>
      <c r="AJ449" s="34"/>
      <c r="AK449" s="34"/>
      <c r="AL449" s="34"/>
      <c r="AM449" s="34"/>
      <c r="AN449" s="34"/>
      <c r="AO449" s="34"/>
      <c r="AP449" s="34"/>
      <c r="AQ449" s="34"/>
      <c r="AR449" s="34"/>
      <c r="AS449" s="34"/>
      <c r="AT449" s="34"/>
      <c r="AU449" s="34"/>
      <c r="AV449" s="34"/>
      <c r="AW449" s="34"/>
      <c r="AX449" s="34"/>
      <c r="AY449" s="34"/>
      <c r="AZ449" s="34"/>
      <c r="BA449" s="34"/>
      <c r="BB449" s="34"/>
      <c r="BC449" s="34"/>
      <c r="BD449" s="34"/>
      <c r="BE449" s="34"/>
      <c r="BF449" s="34"/>
      <c r="BG449" s="34"/>
      <c r="BH449" s="34"/>
      <c r="BI449" s="34"/>
      <c r="BJ449" s="34"/>
      <c r="BK449" s="34"/>
      <c r="BL449" s="34"/>
      <c r="BM449" s="34"/>
      <c r="BN449" s="34"/>
      <c r="BO449" s="34"/>
      <c r="BP449" s="34"/>
      <c r="BQ449" s="34"/>
      <c r="BR449" s="34"/>
      <c r="BS449" s="34"/>
      <c r="BT449" s="34"/>
      <c r="BU449" s="34"/>
      <c r="BV449" s="34"/>
      <c r="BW449" s="34"/>
      <c r="BX449" s="34"/>
      <c r="BY449" s="34"/>
      <c r="BZ449" s="34"/>
      <c r="CA449" s="34"/>
      <c r="CB449" s="34"/>
      <c r="CC449" s="34"/>
      <c r="CD449" s="34"/>
      <c r="CE449" s="34"/>
      <c r="CF449" s="34"/>
      <c r="CG449" s="34"/>
      <c r="CH449" s="34"/>
      <c r="CI449" s="8"/>
    </row>
    <row r="450" spans="1:87" x14ac:dyDescent="0.2">
      <c r="A450" s="8" t="str">
        <f>IF(AND(COUNTIF(W$3:W$13,A$33)&gt;0,A$33&lt;&gt;B292),A$33,IFERROR(IF(MATCH(A$33,Z$3:Z$13,0)=7,A$33," ")," "))</f>
        <v>C19</v>
      </c>
      <c r="B450" s="8">
        <f>IF(A450=" "," ",MAX(B432:B449)+1)</f>
        <v>8</v>
      </c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U450" s="34"/>
      <c r="V450" s="34"/>
      <c r="W450" s="34"/>
      <c r="X450" s="34"/>
      <c r="Y450" s="34"/>
      <c r="Z450" s="34"/>
      <c r="AA450" s="34"/>
      <c r="AB450" s="34"/>
      <c r="AC450" s="34"/>
      <c r="AD450" s="34"/>
      <c r="AE450" s="34"/>
      <c r="AF450" s="34"/>
      <c r="AG450" s="34"/>
      <c r="AH450" s="34"/>
      <c r="AI450" s="34"/>
      <c r="AJ450" s="34"/>
      <c r="AK450" s="34"/>
      <c r="AL450" s="34"/>
      <c r="AM450" s="34"/>
      <c r="AN450" s="34"/>
      <c r="AO450" s="34"/>
      <c r="AP450" s="34"/>
      <c r="AQ450" s="34"/>
      <c r="AR450" s="34"/>
      <c r="AS450" s="34"/>
      <c r="AT450" s="34"/>
      <c r="AU450" s="34"/>
      <c r="AV450" s="34"/>
      <c r="AW450" s="34"/>
      <c r="AX450" s="34"/>
      <c r="AY450" s="34"/>
      <c r="AZ450" s="34"/>
      <c r="BA450" s="34"/>
      <c r="BB450" s="34"/>
      <c r="BC450" s="34"/>
      <c r="BD450" s="34"/>
      <c r="BE450" s="34"/>
      <c r="BF450" s="34"/>
      <c r="BG450" s="34"/>
      <c r="BH450" s="34"/>
      <c r="BI450" s="34"/>
      <c r="BJ450" s="34"/>
      <c r="BK450" s="34"/>
      <c r="BL450" s="34"/>
      <c r="BM450" s="34"/>
      <c r="BN450" s="34"/>
      <c r="BO450" s="34"/>
      <c r="BP450" s="34"/>
      <c r="BQ450" s="34"/>
      <c r="BR450" s="34"/>
      <c r="BS450" s="34"/>
      <c r="BT450" s="34"/>
      <c r="BU450" s="34"/>
      <c r="BV450" s="34"/>
      <c r="BW450" s="34"/>
      <c r="BX450" s="34"/>
      <c r="BY450" s="34"/>
      <c r="BZ450" s="34"/>
      <c r="CA450" s="34"/>
      <c r="CB450" s="34"/>
      <c r="CC450" s="34"/>
      <c r="CD450" s="34"/>
      <c r="CE450" s="34"/>
      <c r="CF450" s="34"/>
      <c r="CG450" s="34"/>
      <c r="CH450" s="34"/>
      <c r="CI450" s="8"/>
    </row>
    <row r="451" spans="1:87" x14ac:dyDescent="0.2">
      <c r="A451" s="8" t="str">
        <f>IF(AND(COUNTIF(W$3:W$13,A$34)&gt;0,A$34&lt;&gt;B292),A$34,IFERROR(IF(MATCH(A$34,Z$3:Z$13,0)=7,A$34," ")," "))</f>
        <v>C20</v>
      </c>
      <c r="B451" s="8">
        <f>IF(A451=" "," ",MAX(B432:B450)+1)</f>
        <v>9</v>
      </c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U451" s="34"/>
      <c r="V451" s="34"/>
      <c r="W451" s="34"/>
      <c r="X451" s="34"/>
      <c r="Y451" s="34"/>
      <c r="Z451" s="34"/>
      <c r="AA451" s="34"/>
      <c r="AB451" s="34"/>
      <c r="AC451" s="34"/>
      <c r="AD451" s="34"/>
      <c r="AE451" s="34"/>
      <c r="AF451" s="34"/>
      <c r="AG451" s="34"/>
      <c r="AH451" s="34"/>
      <c r="AI451" s="34"/>
      <c r="AJ451" s="34"/>
      <c r="AK451" s="34"/>
      <c r="AL451" s="34"/>
      <c r="AM451" s="34"/>
      <c r="AN451" s="34"/>
      <c r="AO451" s="34"/>
      <c r="AP451" s="34"/>
      <c r="AQ451" s="34"/>
      <c r="AR451" s="34"/>
      <c r="AS451" s="34"/>
      <c r="AT451" s="34"/>
      <c r="AU451" s="34"/>
      <c r="AV451" s="34"/>
      <c r="AW451" s="34"/>
      <c r="AX451" s="34"/>
      <c r="AY451" s="34"/>
      <c r="AZ451" s="34"/>
      <c r="BA451" s="34"/>
      <c r="BB451" s="34"/>
      <c r="BC451" s="34"/>
      <c r="BD451" s="34"/>
      <c r="BE451" s="34"/>
      <c r="BF451" s="34"/>
      <c r="BG451" s="34"/>
      <c r="BH451" s="34"/>
      <c r="BI451" s="34"/>
      <c r="BJ451" s="34"/>
      <c r="BK451" s="34"/>
      <c r="BL451" s="34"/>
      <c r="BM451" s="34"/>
      <c r="BN451" s="34"/>
      <c r="BO451" s="34"/>
      <c r="BP451" s="34"/>
      <c r="BQ451" s="34"/>
      <c r="BR451" s="34"/>
      <c r="BS451" s="34"/>
      <c r="BT451" s="34"/>
      <c r="BU451" s="34"/>
      <c r="BV451" s="34"/>
      <c r="BW451" s="34"/>
      <c r="BX451" s="34"/>
      <c r="BY451" s="34"/>
      <c r="BZ451" s="34"/>
      <c r="CA451" s="34"/>
      <c r="CB451" s="34"/>
      <c r="CC451" s="34"/>
      <c r="CD451" s="34"/>
      <c r="CE451" s="34"/>
      <c r="CF451" s="34"/>
      <c r="CG451" s="34"/>
      <c r="CH451" s="34"/>
      <c r="CI451" s="8"/>
    </row>
    <row r="452" spans="1:87" x14ac:dyDescent="0.2">
      <c r="A452" s="8" t="str">
        <f>IF(AND(COUNTIF(W$3:W$13,A$35)&gt;0,A$35&lt;&gt;B292),A$35,IFERROR(IF(MATCH(A$35,Z$3:Z$13,0)=7,A$35," ")," "))</f>
        <v>C21</v>
      </c>
      <c r="B452" s="8">
        <f>IF(A452=" "," ",MAX(B432:B451)+1)</f>
        <v>10</v>
      </c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U452" s="34"/>
      <c r="V452" s="34"/>
      <c r="W452" s="34"/>
      <c r="X452" s="34"/>
      <c r="Y452" s="34"/>
      <c r="Z452" s="34"/>
      <c r="AA452" s="34"/>
      <c r="AB452" s="34"/>
      <c r="AC452" s="34"/>
      <c r="AD452" s="34"/>
      <c r="AE452" s="34"/>
      <c r="AF452" s="34"/>
      <c r="AG452" s="34"/>
      <c r="AH452" s="34"/>
      <c r="AI452" s="34"/>
      <c r="AJ452" s="34"/>
      <c r="AK452" s="34"/>
      <c r="AL452" s="34"/>
      <c r="AM452" s="34"/>
      <c r="AN452" s="34"/>
      <c r="AO452" s="34"/>
      <c r="AP452" s="34"/>
      <c r="AQ452" s="34"/>
      <c r="AR452" s="34"/>
      <c r="AS452" s="34"/>
      <c r="AT452" s="34"/>
      <c r="AU452" s="34"/>
      <c r="AV452" s="34"/>
      <c r="AW452" s="34"/>
      <c r="AX452" s="34"/>
      <c r="AY452" s="34"/>
      <c r="AZ452" s="34"/>
      <c r="BA452" s="34"/>
      <c r="BB452" s="34"/>
      <c r="BC452" s="34"/>
      <c r="BD452" s="34"/>
      <c r="BE452" s="34"/>
      <c r="BF452" s="34"/>
      <c r="BG452" s="34"/>
      <c r="BH452" s="34"/>
      <c r="BI452" s="34"/>
      <c r="BJ452" s="34"/>
      <c r="BK452" s="34"/>
      <c r="BL452" s="34"/>
      <c r="BM452" s="34"/>
      <c r="BN452" s="34"/>
      <c r="BO452" s="34"/>
      <c r="BP452" s="34"/>
      <c r="BQ452" s="34"/>
      <c r="BR452" s="34"/>
      <c r="BS452" s="34"/>
      <c r="BT452" s="34"/>
      <c r="BU452" s="34"/>
      <c r="BV452" s="34"/>
      <c r="BW452" s="34"/>
      <c r="BX452" s="34"/>
      <c r="BY452" s="34"/>
      <c r="BZ452" s="34"/>
      <c r="CA452" s="34"/>
      <c r="CB452" s="34"/>
      <c r="CC452" s="34"/>
      <c r="CD452" s="34"/>
      <c r="CE452" s="34"/>
      <c r="CF452" s="34"/>
      <c r="CG452" s="34"/>
      <c r="CH452" s="34"/>
      <c r="CI452" s="8"/>
    </row>
    <row r="453" spans="1:87" x14ac:dyDescent="0.2">
      <c r="A453" s="8" t="str">
        <f>IF(AND(COUNTIF(W$3:W$13,A$36)&gt;0,A$36&lt;&gt;B292),A$36,IFERROR(IF(MATCH(A$36,Z$3:Z$13,0)=7,A$36," ")," "))</f>
        <v>C22</v>
      </c>
      <c r="B453" s="8">
        <f>IF(A453=" "," ",MAX(B432:B452)+1)</f>
        <v>11</v>
      </c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U453" s="34"/>
      <c r="V453" s="34"/>
      <c r="W453" s="34"/>
      <c r="X453" s="34"/>
      <c r="Y453" s="34"/>
      <c r="Z453" s="34"/>
      <c r="AA453" s="34"/>
      <c r="AB453" s="34"/>
      <c r="AC453" s="34"/>
      <c r="AD453" s="34"/>
      <c r="AE453" s="34"/>
      <c r="AF453" s="34"/>
      <c r="AG453" s="34"/>
      <c r="AH453" s="34"/>
      <c r="AI453" s="34"/>
      <c r="AJ453" s="34"/>
      <c r="AK453" s="34"/>
      <c r="AL453" s="34"/>
      <c r="AM453" s="34"/>
      <c r="AN453" s="34"/>
      <c r="AO453" s="34"/>
      <c r="AP453" s="34"/>
      <c r="AQ453" s="34"/>
      <c r="AR453" s="34"/>
      <c r="AS453" s="34"/>
      <c r="AT453" s="34"/>
      <c r="AU453" s="34"/>
      <c r="AV453" s="34"/>
      <c r="AW453" s="34"/>
      <c r="AX453" s="34"/>
      <c r="AY453" s="34"/>
      <c r="AZ453" s="34"/>
      <c r="BA453" s="34"/>
      <c r="BB453" s="34"/>
      <c r="BC453" s="34"/>
      <c r="BD453" s="34"/>
      <c r="BE453" s="34"/>
      <c r="BF453" s="34"/>
      <c r="BG453" s="34"/>
      <c r="BH453" s="34"/>
      <c r="BI453" s="34"/>
      <c r="BJ453" s="34"/>
      <c r="BK453" s="34"/>
      <c r="BL453" s="34"/>
      <c r="BM453" s="34"/>
      <c r="BN453" s="34"/>
      <c r="BO453" s="34"/>
      <c r="BP453" s="34"/>
      <c r="BQ453" s="34"/>
      <c r="BR453" s="34"/>
      <c r="BS453" s="34"/>
      <c r="BT453" s="34"/>
      <c r="BU453" s="34"/>
      <c r="BV453" s="34"/>
      <c r="BW453" s="34"/>
      <c r="BX453" s="34"/>
      <c r="BY453" s="34"/>
      <c r="BZ453" s="34"/>
      <c r="CA453" s="34"/>
      <c r="CB453" s="34"/>
      <c r="CC453" s="34"/>
      <c r="CD453" s="34"/>
      <c r="CE453" s="34"/>
      <c r="CF453" s="34"/>
      <c r="CG453" s="34"/>
      <c r="CH453" s="34"/>
      <c r="CI453" s="8"/>
    </row>
    <row r="454" spans="1:87" x14ac:dyDescent="0.2">
      <c r="A454" s="11" t="s">
        <v>17</v>
      </c>
      <c r="B454" s="11"/>
      <c r="C454" s="27" t="s">
        <v>18</v>
      </c>
      <c r="D454" s="27" t="s">
        <v>2</v>
      </c>
      <c r="E454" s="27" t="s">
        <v>6</v>
      </c>
      <c r="F454" s="27" t="s">
        <v>15</v>
      </c>
      <c r="G454" s="27" t="s">
        <v>36</v>
      </c>
      <c r="H454" s="27" t="s">
        <v>37</v>
      </c>
      <c r="I454" s="27" t="s">
        <v>38</v>
      </c>
      <c r="J454" s="27" t="s">
        <v>39</v>
      </c>
      <c r="K454" s="27" t="s">
        <v>40</v>
      </c>
      <c r="L454" s="27" t="s">
        <v>41</v>
      </c>
      <c r="M454" s="27" t="s">
        <v>42</v>
      </c>
      <c r="N454" s="27" t="s">
        <v>43</v>
      </c>
      <c r="O454" s="27" t="s">
        <v>9</v>
      </c>
      <c r="P454" s="27" t="s">
        <v>12</v>
      </c>
      <c r="Q454" s="27" t="s">
        <v>19</v>
      </c>
      <c r="R454" s="27" t="s">
        <v>55</v>
      </c>
      <c r="S454" s="27" t="s">
        <v>26</v>
      </c>
      <c r="T454" s="19" t="s">
        <v>25</v>
      </c>
      <c r="U454" s="33" t="s">
        <v>27</v>
      </c>
      <c r="V454" s="33" t="s">
        <v>9</v>
      </c>
      <c r="W454" s="33" t="s">
        <v>23</v>
      </c>
      <c r="X454" s="33" t="s">
        <v>12</v>
      </c>
      <c r="Y454" s="33" t="s">
        <v>26</v>
      </c>
      <c r="Z454" s="33" t="s">
        <v>25</v>
      </c>
      <c r="AA454" s="33" t="s">
        <v>27</v>
      </c>
      <c r="AB454" s="33" t="s">
        <v>9</v>
      </c>
      <c r="AC454" s="33" t="s">
        <v>23</v>
      </c>
      <c r="AD454" s="33" t="s">
        <v>12</v>
      </c>
      <c r="AE454" s="33" t="s">
        <v>26</v>
      </c>
      <c r="AF454" s="33" t="s">
        <v>25</v>
      </c>
      <c r="AG454" s="33" t="s">
        <v>27</v>
      </c>
      <c r="AH454" s="33" t="s">
        <v>9</v>
      </c>
      <c r="AI454" s="33" t="s">
        <v>23</v>
      </c>
      <c r="AJ454" s="33" t="s">
        <v>12</v>
      </c>
      <c r="AK454" s="33" t="s">
        <v>26</v>
      </c>
      <c r="AL454" s="33" t="s">
        <v>25</v>
      </c>
      <c r="AM454" s="33" t="s">
        <v>27</v>
      </c>
      <c r="AN454" s="33" t="s">
        <v>9</v>
      </c>
      <c r="AO454" s="33" t="s">
        <v>23</v>
      </c>
      <c r="AP454" s="33" t="s">
        <v>12</v>
      </c>
      <c r="AQ454" s="33" t="s">
        <v>26</v>
      </c>
      <c r="AR454" s="33" t="s">
        <v>25</v>
      </c>
      <c r="AS454" s="33" t="s">
        <v>27</v>
      </c>
      <c r="AT454" s="33" t="s">
        <v>9</v>
      </c>
      <c r="AU454" s="33" t="s">
        <v>23</v>
      </c>
      <c r="AV454" s="33" t="s">
        <v>12</v>
      </c>
      <c r="AW454" s="33" t="s">
        <v>26</v>
      </c>
      <c r="AX454" s="33" t="s">
        <v>25</v>
      </c>
      <c r="AY454" s="33" t="s">
        <v>27</v>
      </c>
      <c r="AZ454" s="33" t="s">
        <v>9</v>
      </c>
      <c r="BA454" s="33" t="s">
        <v>23</v>
      </c>
      <c r="BB454" s="33" t="s">
        <v>12</v>
      </c>
      <c r="BC454" s="33" t="s">
        <v>26</v>
      </c>
      <c r="BD454" s="33" t="s">
        <v>25</v>
      </c>
      <c r="BE454" s="33" t="s">
        <v>27</v>
      </c>
      <c r="BF454" s="33" t="s">
        <v>9</v>
      </c>
      <c r="BG454" s="33" t="s">
        <v>23</v>
      </c>
      <c r="BH454" s="33" t="s">
        <v>12</v>
      </c>
      <c r="BI454" s="33" t="s">
        <v>26</v>
      </c>
      <c r="BJ454" s="33" t="s">
        <v>25</v>
      </c>
      <c r="BK454" s="33" t="s">
        <v>27</v>
      </c>
      <c r="BL454" s="33" t="s">
        <v>9</v>
      </c>
      <c r="BM454" s="33" t="s">
        <v>23</v>
      </c>
      <c r="BN454" s="33" t="s">
        <v>12</v>
      </c>
      <c r="BO454" s="33" t="s">
        <v>26</v>
      </c>
      <c r="BP454" s="33" t="s">
        <v>25</v>
      </c>
      <c r="BQ454" s="33" t="s">
        <v>27</v>
      </c>
      <c r="BR454" s="33" t="s">
        <v>9</v>
      </c>
      <c r="BS454" s="33" t="s">
        <v>23</v>
      </c>
      <c r="BT454" s="33" t="s">
        <v>12</v>
      </c>
      <c r="BU454" s="33" t="s">
        <v>26</v>
      </c>
      <c r="BV454" s="33" t="s">
        <v>25</v>
      </c>
      <c r="BW454" s="33" t="s">
        <v>27</v>
      </c>
      <c r="BX454" s="33" t="s">
        <v>9</v>
      </c>
      <c r="BY454" s="33" t="s">
        <v>23</v>
      </c>
      <c r="BZ454" s="33" t="s">
        <v>12</v>
      </c>
      <c r="CA454" s="33" t="s">
        <v>26</v>
      </c>
      <c r="CB454" s="33" t="s">
        <v>25</v>
      </c>
      <c r="CC454" s="33" t="s">
        <v>27</v>
      </c>
      <c r="CD454" s="33" t="s">
        <v>9</v>
      </c>
      <c r="CE454" s="33" t="s">
        <v>23</v>
      </c>
      <c r="CF454" s="33" t="s">
        <v>12</v>
      </c>
      <c r="CG454" s="33" t="s">
        <v>26</v>
      </c>
      <c r="CH454" s="33" t="s">
        <v>25</v>
      </c>
      <c r="CI454" s="8"/>
    </row>
    <row r="455" spans="1:87" x14ac:dyDescent="0.2">
      <c r="A455" s="8" t="str">
        <f>IF(AND(COUNTIF(W$3:W$13,A$15)&gt;0,A$15&lt;&gt;B292),A$15,IFERROR(IF(MATCH(A$15,Z$3:Z$13,0)=8,A$15," ")," "))</f>
        <v xml:space="preserve"> </v>
      </c>
      <c r="B455" s="8" t="str">
        <f>IF(A455=" "," ",1)</f>
        <v xml:space="preserve"> </v>
      </c>
      <c r="C455" s="8" t="str">
        <f>IFERROR(INDEX(A455:A476,MATCH(SMALL(B455:B476,1),B455:B476,0),1)," ")</f>
        <v>C3</v>
      </c>
      <c r="D455" s="8">
        <f>IFERROR(VLOOKUP($C455,$A$15:$O$36,2,FALSE)," ")</f>
        <v>2</v>
      </c>
      <c r="E455" s="8">
        <f>IFERROR(VLOOKUP($C455,$A$15:$O$36,3,FALSE)," ")</f>
        <v>5</v>
      </c>
      <c r="F455" s="8">
        <f>IFERROR(VLOOKUP($C455,$A$15:$O$36,4,FALSE)," ")</f>
        <v>6</v>
      </c>
      <c r="G455" s="8">
        <f>IFERROR(VLOOKUP($C455,$A$15:$O$36,5,FALSE)," ")</f>
        <v>0</v>
      </c>
      <c r="H455" s="8">
        <f>IFERROR(VLOOKUP($C455,$A$15:$O$36,6,FALSE)," ")</f>
        <v>0</v>
      </c>
      <c r="I455" s="8">
        <f>IFERROR(VLOOKUP($C455,$A$15:$O$36,7,FALSE)," ")</f>
        <v>0</v>
      </c>
      <c r="J455" s="8">
        <f>IFERROR(VLOOKUP($C455,$A$15:$O$36,8,FALSE)," ")</f>
        <v>0</v>
      </c>
      <c r="K455" s="8">
        <f>IFERROR(VLOOKUP($C455,$A$15:$O$36,9,FALSE)," ")</f>
        <v>0</v>
      </c>
      <c r="L455" s="8">
        <f>IFERROR(VLOOKUP($C455,$A$15:$O$36,10,FALSE)," ")</f>
        <v>0</v>
      </c>
      <c r="M455" s="8">
        <f>IFERROR(VLOOKUP($C455,$A$15:$O$36,11,FALSE)," ")</f>
        <v>0</v>
      </c>
      <c r="N455" s="8">
        <f>IFERROR(VLOOKUP($C455,$A$15:$O$36,12,FALSE)," ")</f>
        <v>0</v>
      </c>
      <c r="O455" s="8">
        <f>IFERROR(VLOOKUP($C455,$A$15:$O$36,15,FALSE)," ")</f>
        <v>2000</v>
      </c>
      <c r="P455" s="8" t="e">
        <f t="array" ref="P455:P465">MMULT(MINVERSE(D455:N465),O455:O465)</f>
        <v>#NUM!</v>
      </c>
      <c r="Q455" s="8" t="e">
        <f t="shared" ref="Q455" si="1754">IF(COUNTIF(P455:P465,"&lt;"&amp;-0.001)=0,IF(ABS(P455)&lt;0.001,0,P455)," ")</f>
        <v>#NUM!</v>
      </c>
      <c r="R455" s="8" t="str">
        <f>IFERROR(VLOOKUP(B292,A$15:L$36,2,FALSE)*Q455+VLOOKUP(B292,A$15:L$36,3,FALSE)*Q456+VLOOKUP(B292,A$15:L$36,4,FALSE)*Q457+VLOOKUP(B292,A$15:L$36,5,FALSE)*Q458+VLOOKUP(B292,A$15:L$36,6,FALSE)*Q459+VLOOKUP(B292,A$15:L$36,7,FALSE)*Q460+VLOOKUP(B292,A$15:L$36,8,FALSE)*Q461+VLOOKUP(B292,A$15:L$36,9,FALSE)*Q462+VLOOKUP(B292,A$15:L$36,10,FALSE)*Q463+VLOOKUP(B292,A$15:L$36,11,FALSE)*Q464+VLOOKUP(B292,A$15:L$36,12,FALSE)*Q465," ")</f>
        <v xml:space="preserve"> </v>
      </c>
      <c r="S455" s="8" t="str">
        <f>IFERROR(IF(R455-VLOOKUP(B292,A$15:O$36,15,FALSE)&lt;0,R455-VLOOKUP(B292,A$15:O$36,15,FALSE)," ")," ")</f>
        <v xml:space="preserve"> </v>
      </c>
      <c r="T455" s="18" t="str">
        <f>IFERROR(IF(R455-VLOOKUP(B292,A$15:O$36,15,FALSE)&gt;0,R455-VLOOKUP(B292,A$15:O$36,15,FALSE)," ")," ")</f>
        <v xml:space="preserve"> </v>
      </c>
      <c r="U455" s="34">
        <f t="shared" ref="U455" si="1755">$M$2</f>
        <v>100.00000000000001</v>
      </c>
      <c r="V455" s="34">
        <v>-1</v>
      </c>
      <c r="W455" s="34">
        <f t="shared" ref="W455" si="1756">-SUMPRODUCT($M$3:$M$12,$N$3:$N$12)</f>
        <v>-105000</v>
      </c>
      <c r="X455" s="34" t="e">
        <f t="shared" ref="X455" si="1757">IF(U455&lt;&gt;U456,MMULT(MINVERSE(U455:V456),W455:W456)," ")</f>
        <v>#NUM!</v>
      </c>
      <c r="Y455" s="34" t="str">
        <f t="shared" ref="Y455" si="1758">IFERROR(IF(X455-VLOOKUP(U$38,$A$2:$N$12,14,FALSE)&lt;0,X455-VLOOKUP(U$38,$A$2:$N$12,14,FALSE)," ")," ")</f>
        <v xml:space="preserve"> </v>
      </c>
      <c r="Z455" s="34" t="str">
        <f t="shared" ref="Z455" si="1759">IFERROR(IF(X455-VLOOKUP(U$38,$A$2:$N$12,14,FALSE)&gt;0,X455-VLOOKUP(U$38,$A$2:$N$12,14,FALSE)," ")," ")</f>
        <v xml:space="preserve"> </v>
      </c>
      <c r="AA455" s="34">
        <f t="shared" ref="AA455" si="1760">$M$3</f>
        <v>0</v>
      </c>
      <c r="AB455" s="34">
        <v>-1</v>
      </c>
      <c r="AC455" s="34">
        <f t="shared" ref="AC455" si="1761">-SUMPRODUCT($M$2:$M$2,$N$2:$N$2)-SUMPRODUCT($M$4:$M$12,$N$4:$N$12)</f>
        <v>-120000</v>
      </c>
      <c r="AD455" s="34" t="e">
        <f t="shared" ref="AD455" si="1762">IF(AA455&lt;&gt;AA456,MMULT(MINVERSE(AA455:AB456),AC455:AC456)," ")</f>
        <v>#NUM!</v>
      </c>
      <c r="AE455" s="34" t="str">
        <f t="shared" ref="AE455" si="1763">IFERROR(IF(AD455-VLOOKUP(AA$38,$A$2:$N$12,14,FALSE)&lt;0,AD455-VLOOKUP(AA$38,$A$2:$N$12,14,FALSE)," ")," ")</f>
        <v xml:space="preserve"> </v>
      </c>
      <c r="AF455" s="34" t="str">
        <f t="shared" ref="AF455" si="1764">IFERROR(IF(AD455-VLOOKUP(AA$38,$A$2:$N$12,14,FALSE)&gt;0,AD455-VLOOKUP(AA$38,$A$2:$N$12,14,FALSE)," ")," ")</f>
        <v xml:space="preserve"> </v>
      </c>
      <c r="AG455" s="34">
        <f t="shared" ref="AG455" si="1765">$M$4</f>
        <v>300</v>
      </c>
      <c r="AH455" s="34">
        <v>-1</v>
      </c>
      <c r="AI455" s="34">
        <f t="shared" ref="AI455" si="1766">-SUMPRODUCT($M$2:$M$3,$N$2:$N$3)-SUMPRODUCT($M$5:$M$12,$N$5:$N$12)</f>
        <v>-15000.000000000002</v>
      </c>
      <c r="AJ455" s="34" t="e">
        <f t="shared" ref="AJ455" si="1767">IF(AG455&lt;&gt;AG456,MMULT(MINVERSE(AG455:AH456),AI455:AI456)," ")</f>
        <v>#NUM!</v>
      </c>
      <c r="AK455" s="34" t="str">
        <f t="shared" ref="AK455" si="1768">IFERROR(IF(AJ455-VLOOKUP(AG$38,$A$2:$N$12,14,FALSE)&lt;0,AJ455-VLOOKUP(AG$38,$A$2:$N$12,14,FALSE)," ")," ")</f>
        <v xml:space="preserve"> </v>
      </c>
      <c r="AL455" s="34" t="str">
        <f t="shared" ref="AL455" si="1769">IFERROR(IF(AJ455-VLOOKUP(AG$38,$A$2:$N$12,14,FALSE)&gt;0,AJ455-VLOOKUP(AG$38,$A$2:$N$12,14,FALSE)," ")," ")</f>
        <v xml:space="preserve"> </v>
      </c>
      <c r="AM455" s="34">
        <f t="shared" ref="AM455" si="1770">$M$5</f>
        <v>0</v>
      </c>
      <c r="AN455" s="34">
        <v>-1</v>
      </c>
      <c r="AO455" s="34">
        <f t="shared" ref="AO455" si="1771">-SUMPRODUCT($M$2:$M$4,$N$2:$N$4)-SUMPRODUCT($M$6:$M$12,$N$6:$N$12)</f>
        <v>-120000</v>
      </c>
      <c r="AP455" s="34" t="e">
        <f t="shared" ref="AP455" si="1772">IF(AM455&lt;&gt;AM456,MMULT(MINVERSE(AM455:AN456),AO455:AO456)," ")</f>
        <v>#NUM!</v>
      </c>
      <c r="AQ455" s="34" t="str">
        <f t="shared" ref="AQ455" si="1773">IFERROR(IF(AP455-VLOOKUP(AM$38,$A$2:$N$12,14,FALSE)&lt;0,AP455-VLOOKUP(AM$38,$A$2:$N$12,14,FALSE)," ")," ")</f>
        <v xml:space="preserve"> </v>
      </c>
      <c r="AR455" s="34" t="str">
        <f t="shared" ref="AR455" si="1774">IFERROR(IF(AP455-VLOOKUP(AM$38,$A$2:$N$12,14,FALSE)&gt;0,AP455-VLOOKUP(AM$38,$A$2:$N$12,14,FALSE)," ")," ")</f>
        <v xml:space="preserve"> </v>
      </c>
      <c r="AS455" s="34">
        <f t="shared" ref="AS455" si="1775">$M$6</f>
        <v>0</v>
      </c>
      <c r="AT455" s="34">
        <v>-1</v>
      </c>
      <c r="AU455" s="34">
        <f t="shared" ref="AU455" si="1776">-SUMPRODUCT($M$2:$M$5,$N$2:$N$5)-SUMPRODUCT($M$7:$M$12,$N$7:$N$12)</f>
        <v>-120000</v>
      </c>
      <c r="AV455" s="34" t="e">
        <f t="shared" ref="AV455" si="1777">IF(AS455&lt;&gt;AS456,MMULT(MINVERSE(AS455:AT456),AU455:AU456)," ")</f>
        <v>#NUM!</v>
      </c>
      <c r="AW455" s="34" t="str">
        <f t="shared" ref="AW455" si="1778">IFERROR(IF(AV455-VLOOKUP(AS$38,$A$2:$N$12,14,FALSE)&lt;0,AV455-VLOOKUP(AS$38,$A$2:$N$12,14,FALSE)," ")," ")</f>
        <v xml:space="preserve"> </v>
      </c>
      <c r="AX455" s="34" t="str">
        <f t="shared" ref="AX455" si="1779">IFERROR(IF(AV455-VLOOKUP(AS$38,$A$2:$N$12,14,FALSE)&gt;0,AV455-VLOOKUP(AS$38,$A$2:$N$12,14,FALSE)," ")," ")</f>
        <v xml:space="preserve"> </v>
      </c>
      <c r="AY455" s="34">
        <f t="shared" ref="AY455" si="1780">$M$7</f>
        <v>0</v>
      </c>
      <c r="AZ455" s="34">
        <v>-1</v>
      </c>
      <c r="BA455" s="34">
        <f t="shared" ref="BA455" si="1781">-SUMPRODUCT($M$2:$M$6,$N$2:$N$6)-SUMPRODUCT($M$8:$M$12,$N$8:$N$12)</f>
        <v>-120000</v>
      </c>
      <c r="BB455" s="34" t="e">
        <f t="shared" ref="BB455" si="1782">IF(AY455&lt;&gt;AY456,MMULT(MINVERSE(AY455:AZ456),BA455:BA456)," ")</f>
        <v>#NUM!</v>
      </c>
      <c r="BC455" s="34" t="str">
        <f t="shared" ref="BC455" si="1783">IFERROR(IF(BB455-VLOOKUP(AY$38,$A$2:$N$12,14,FALSE)&lt;0,BB455-VLOOKUP(AY$38,$A$2:$N$12,14,FALSE)," ")," ")</f>
        <v xml:space="preserve"> </v>
      </c>
      <c r="BD455" s="34" t="str">
        <f t="shared" ref="BD455" si="1784">IFERROR(IF(BB455-VLOOKUP(AY$38,$A$2:$N$12,14,FALSE)&gt;0,BB455-VLOOKUP(AY$38,$A$2:$N$12,14,FALSE)," ")," ")</f>
        <v xml:space="preserve"> </v>
      </c>
      <c r="BE455" s="34">
        <f t="shared" ref="BE455" si="1785">$M$8</f>
        <v>0</v>
      </c>
      <c r="BF455" s="34">
        <v>-1</v>
      </c>
      <c r="BG455" s="34">
        <f t="shared" ref="BG455" si="1786">-SUMPRODUCT($M$2:$M$7,$N$2:$N$7)-SUMPRODUCT($M$9:$M$12,$N$9:$N$12)</f>
        <v>-120000</v>
      </c>
      <c r="BH455" s="34" t="e">
        <f t="shared" ref="BH455" si="1787">IF(BE455&lt;&gt;BE456,MMULT(MINVERSE(BE455:BF456),BG455:BG456)," ")</f>
        <v>#NUM!</v>
      </c>
      <c r="BI455" s="34" t="str">
        <f t="shared" ref="BI455" si="1788">IFERROR(IF(BH455-VLOOKUP(BE$38,$A$2:$N$12,14,FALSE)&lt;0,BH455-VLOOKUP(BE$38,$A$2:$N$12,14,FALSE)," ")," ")</f>
        <v xml:space="preserve"> </v>
      </c>
      <c r="BJ455" s="34" t="str">
        <f t="shared" ref="BJ455" si="1789">IFERROR(IF(BH455-VLOOKUP(BE$38,$A$2:$N$12,14,FALSE)&gt;0,BH455-VLOOKUP(BE$38,$A$2:$N$12,14,FALSE)," ")," ")</f>
        <v xml:space="preserve"> </v>
      </c>
      <c r="BK455" s="34">
        <f t="shared" ref="BK455" si="1790">$M$9</f>
        <v>0</v>
      </c>
      <c r="BL455" s="34">
        <v>-1</v>
      </c>
      <c r="BM455" s="34">
        <f t="shared" ref="BM455" si="1791">-SUMPRODUCT($M$2:$M$8,$N$2:$N$8)-SUMPRODUCT($M$10:$M$12,$N$10:$N$12)</f>
        <v>-120000</v>
      </c>
      <c r="BN455" s="34" t="e">
        <f t="shared" ref="BN455" si="1792">IF(BK455&lt;&gt;BK456,MMULT(MINVERSE(BK455:BL456),BM455:BM456)," ")</f>
        <v>#NUM!</v>
      </c>
      <c r="BO455" s="34" t="str">
        <f t="shared" ref="BO455" si="1793">IFERROR(IF(BN455-VLOOKUP(BK$38,$A$2:$N$12,14,FALSE)&lt;0,BN455-VLOOKUP(BK$38,$A$2:$N$12,14,FALSE)," ")," ")</f>
        <v xml:space="preserve"> </v>
      </c>
      <c r="BP455" s="34" t="str">
        <f t="shared" ref="BP455" si="1794">IFERROR(IF(BN455-VLOOKUP(BK$38,$A$2:$N$12,14,FALSE)&gt;0,BN455-VLOOKUP(BK$38,$A$2:$N$12,14,FALSE)," ")," ")</f>
        <v xml:space="preserve"> </v>
      </c>
      <c r="BQ455" s="34">
        <f t="shared" ref="BQ455" si="1795">$M$10</f>
        <v>0</v>
      </c>
      <c r="BR455" s="34">
        <v>-1</v>
      </c>
      <c r="BS455" s="34">
        <f t="shared" ref="BS455" si="1796">-SUMPRODUCT($M$2:$M$9,$N$2:$N$9)-SUMPRODUCT($M$11:$M$12,$N$11:$N$12)</f>
        <v>-120000</v>
      </c>
      <c r="BT455" s="34" t="e">
        <f t="shared" ref="BT455" si="1797">IF(BQ455&lt;&gt;BQ456,MMULT(MINVERSE(BQ455:BR456),BS455:BS456)," ")</f>
        <v>#NUM!</v>
      </c>
      <c r="BU455" s="34" t="str">
        <f t="shared" ref="BU455" si="1798">IFERROR(IF(BT455-VLOOKUP(BQ$38,$A$2:$N$12,14,FALSE)&lt;0,BT455-VLOOKUP(BQ$38,$A$2:$N$12,14,FALSE)," ")," ")</f>
        <v xml:space="preserve"> </v>
      </c>
      <c r="BV455" s="34" t="str">
        <f t="shared" ref="BV455" si="1799">IFERROR(IF(BT455-VLOOKUP(BQ$38,$A$2:$N$12,14,FALSE)&gt;0,BT455-VLOOKUP(BQ$38,$A$2:$N$12,14,FALSE)," ")," ")</f>
        <v xml:space="preserve"> </v>
      </c>
      <c r="BW455" s="34">
        <f t="shared" ref="BW455" si="1800">$M$11</f>
        <v>0</v>
      </c>
      <c r="BX455" s="34">
        <v>-1</v>
      </c>
      <c r="BY455" s="34">
        <f t="shared" ref="BY455" si="1801">-SUMPRODUCT($M$2:$M$10,$N$2:$N$10)-SUMPRODUCT($M$12,$N$12)</f>
        <v>-120000</v>
      </c>
      <c r="BZ455" s="34" t="e">
        <f t="shared" ref="BZ455" si="1802">IF(BW455&lt;&gt;BW456,MMULT(MINVERSE(BW455:BX456),BY455:BY456)," ")</f>
        <v>#NUM!</v>
      </c>
      <c r="CA455" s="34" t="str">
        <f t="shared" ref="CA455" si="1803">IFERROR(IF(BZ455-VLOOKUP(BW$38,$A$2:$N$12,14,FALSE)&lt;0,BZ455-VLOOKUP(BW$38,$A$2:$N$12,14,FALSE)," ")," ")</f>
        <v xml:space="preserve"> </v>
      </c>
      <c r="CB455" s="34" t="str">
        <f t="shared" ref="CB455" si="1804">IFERROR(IF(BZ455-VLOOKUP(BW$38,$A$2:$N$12,14,FALSE)&gt;0,BZ455-VLOOKUP(BW$38,$A$2:$N$12,14,FALSE)," ")," ")</f>
        <v xml:space="preserve"> </v>
      </c>
      <c r="CC455" s="34">
        <f t="shared" ref="CC455" si="1805">$M$12</f>
        <v>0</v>
      </c>
      <c r="CD455" s="34">
        <v>-1</v>
      </c>
      <c r="CE455" s="34">
        <f t="shared" ref="CE455" si="1806">-SUMPRODUCT($M$2:$M$11,$N$2:$N$11)</f>
        <v>-120000</v>
      </c>
      <c r="CF455" s="34" t="e">
        <f t="shared" ref="CF455" si="1807">IF(CC455&lt;&gt;CC456,MMULT(MINVERSE(CC455:CD456),CE455:CE456)," ")</f>
        <v>#NUM!</v>
      </c>
      <c r="CG455" s="34" t="str">
        <f t="shared" ref="CG455" si="1808">IFERROR(IF(CF455-VLOOKUP(CC$38,$A$2:$N$12,14,FALSE)&lt;0,CF455-VLOOKUP(CC$38,$A$2:$N$12,14,FALSE)," ")," ")</f>
        <v xml:space="preserve"> </v>
      </c>
      <c r="CH455" s="34" t="str">
        <f t="shared" ref="CH455" si="1809">IFERROR(IF(CF455-VLOOKUP(CC$38,$A$2:$N$12,14,FALSE)&gt;0,CF455-VLOOKUP(CC$38,$A$2:$N$12,14,FALSE)," ")," ")</f>
        <v xml:space="preserve"> </v>
      </c>
      <c r="CI455" s="8"/>
    </row>
    <row r="456" spans="1:87" x14ac:dyDescent="0.2">
      <c r="A456" s="8" t="str">
        <f>IF(AND(COUNTIF(W$3:W$13,A$16)&gt;0,A$16&lt;&gt;B292),A$16,IFERROR(IF(MATCH(A$16,Z$3:Z$13,0)=8,A$16," ")," "))</f>
        <v xml:space="preserve"> </v>
      </c>
      <c r="B456" s="8" t="str">
        <f>IF(A456=" "," ",MAX(B455:B455)+1)</f>
        <v xml:space="preserve"> </v>
      </c>
      <c r="C456" s="8" t="str">
        <f>IFERROR(INDEX(A455:A476,MATCH(SMALL(B455:B476,2),B455:B476,0),1)," ")</f>
        <v>C10</v>
      </c>
      <c r="D456" s="8">
        <f t="shared" ref="D456:D465" si="1810">IFERROR(VLOOKUP($C456,$A$15:$O$36,2,FALSE)," ")</f>
        <v>0</v>
      </c>
      <c r="E456" s="8">
        <f t="shared" ref="E456:E465" si="1811">IFERROR(VLOOKUP($C456,$A$15:$O$36,3,FALSE)," ")</f>
        <v>0</v>
      </c>
      <c r="F456" s="8">
        <f t="shared" ref="F456:F465" si="1812">IFERROR(VLOOKUP($C456,$A$15:$O$36,4,FALSE)," ")</f>
        <v>0</v>
      </c>
      <c r="G456" s="8">
        <f t="shared" ref="G456:G465" si="1813">IFERROR(VLOOKUP($C456,$A$15:$O$36,5,FALSE)," ")</f>
        <v>0</v>
      </c>
      <c r="H456" s="8">
        <f t="shared" ref="H456:H465" si="1814">IFERROR(VLOOKUP($C456,$A$15:$O$36,6,FALSE)," ")</f>
        <v>0</v>
      </c>
      <c r="I456" s="8">
        <f t="shared" ref="I456:I465" si="1815">IFERROR(VLOOKUP($C456,$A$15:$O$36,7,FALSE)," ")</f>
        <v>0</v>
      </c>
      <c r="J456" s="8">
        <f t="shared" ref="J456:J465" si="1816">IFERROR(VLOOKUP($C456,$A$15:$O$36,8,FALSE)," ")</f>
        <v>0</v>
      </c>
      <c r="K456" s="8">
        <f t="shared" ref="K456:K465" si="1817">IFERROR(VLOOKUP($C456,$A$15:$O$36,9,FALSE)," ")</f>
        <v>0</v>
      </c>
      <c r="L456" s="8">
        <f t="shared" ref="L456:L465" si="1818">IFERROR(VLOOKUP($C456,$A$15:$O$36,10,FALSE)," ")</f>
        <v>0</v>
      </c>
      <c r="M456" s="8">
        <f t="shared" ref="M456:M465" si="1819">IFERROR(VLOOKUP($C456,$A$15:$O$36,11,FALSE)," ")</f>
        <v>0</v>
      </c>
      <c r="N456" s="8">
        <f t="shared" ref="N456:N465" si="1820">IFERROR(VLOOKUP($C456,$A$15:$O$36,12,FALSE)," ")</f>
        <v>0</v>
      </c>
      <c r="O456" s="8">
        <f t="shared" ref="O456:O465" si="1821">IFERROR(VLOOKUP($C456,$A$15:$O$36,15,FALSE)," ")</f>
        <v>0</v>
      </c>
      <c r="P456" s="8" t="e">
        <v>#NUM!</v>
      </c>
      <c r="Q456" s="8" t="e">
        <f t="shared" ref="Q456" si="1822">IF(COUNTIF(P455:P465,"&lt;"&amp;-0.001)=0,IF(ABS(P456)&lt;0.001,0,P456)," ")</f>
        <v>#NUM!</v>
      </c>
      <c r="R456" s="8"/>
      <c r="S456" s="8"/>
      <c r="U456" s="34" t="e">
        <f t="shared" ref="U456" si="1823">$Q455</f>
        <v>#NUM!</v>
      </c>
      <c r="V456" s="34">
        <v>-1</v>
      </c>
      <c r="W456" s="34" t="e">
        <f t="shared" ref="W456" si="1824">-SUMPRODUCT($Q456:$Q465,$N$3:$N$12)</f>
        <v>#NUM!</v>
      </c>
      <c r="X456" s="34"/>
      <c r="Y456" s="34"/>
      <c r="Z456" s="34"/>
      <c r="AA456" s="34" t="e">
        <f t="shared" ref="AA456" si="1825">$Q456</f>
        <v>#NUM!</v>
      </c>
      <c r="AB456" s="34">
        <v>-1</v>
      </c>
      <c r="AC456" s="34" t="e">
        <f t="shared" ref="AC456" si="1826">-SUMPRODUCT($Q455:$Q455,$N$2:$N$2)-SUMPRODUCT($Q457:$Q465,$N$4:$N$12)</f>
        <v>#NUM!</v>
      </c>
      <c r="AD456" s="34"/>
      <c r="AE456" s="34"/>
      <c r="AF456" s="34"/>
      <c r="AG456" s="34" t="e">
        <f t="shared" ref="AG456" si="1827">$Q457</f>
        <v>#NUM!</v>
      </c>
      <c r="AH456" s="34">
        <v>-1</v>
      </c>
      <c r="AI456" s="34" t="e">
        <f t="shared" ref="AI456" si="1828">-SUMPRODUCT($Q455:$Q456,$N$2:$N$3)-SUMPRODUCT($Q458:$Q465,$N$5:$N$12)</f>
        <v>#NUM!</v>
      </c>
      <c r="AJ456" s="34"/>
      <c r="AK456" s="34"/>
      <c r="AL456" s="34"/>
      <c r="AM456" s="34" t="e">
        <f t="shared" ref="AM456" si="1829">$Q458</f>
        <v>#NUM!</v>
      </c>
      <c r="AN456" s="34">
        <v>-1</v>
      </c>
      <c r="AO456" s="34" t="e">
        <f t="shared" ref="AO456" si="1830">-SUMPRODUCT($Q455:$Q457,$N$2:$N$4)-SUMPRODUCT($Q459:$Q465,$N$6:$N$12)</f>
        <v>#NUM!</v>
      </c>
      <c r="AP456" s="34"/>
      <c r="AQ456" s="34"/>
      <c r="AR456" s="34"/>
      <c r="AS456" s="34" t="e">
        <f t="shared" ref="AS456" si="1831">$Q459</f>
        <v>#NUM!</v>
      </c>
      <c r="AT456" s="34">
        <v>-1</v>
      </c>
      <c r="AU456" s="34" t="e">
        <f t="shared" ref="AU456" si="1832">-SUMPRODUCT($Q455:$Q458,$N$2:$N$5)-SUMPRODUCT($Q460:$Q465,$N$7:$N$12)</f>
        <v>#NUM!</v>
      </c>
      <c r="AV456" s="34"/>
      <c r="AW456" s="34"/>
      <c r="AX456" s="34"/>
      <c r="AY456" s="34" t="e">
        <f t="shared" ref="AY456" si="1833">$Q460</f>
        <v>#NUM!</v>
      </c>
      <c r="AZ456" s="34">
        <v>-1</v>
      </c>
      <c r="BA456" s="34" t="e">
        <f t="shared" ref="BA456" si="1834">-SUMPRODUCT($Q455:$Q459,$N$2:$N$6)-SUMPRODUCT($Q461:$Q465,$N$8:$N$12)</f>
        <v>#NUM!</v>
      </c>
      <c r="BB456" s="34"/>
      <c r="BC456" s="34"/>
      <c r="BD456" s="34"/>
      <c r="BE456" s="34" t="e">
        <f t="shared" ref="BE456" si="1835">$Q461</f>
        <v>#NUM!</v>
      </c>
      <c r="BF456" s="34">
        <v>-1</v>
      </c>
      <c r="BG456" s="34" t="e">
        <f t="shared" ref="BG456" si="1836">-SUMPRODUCT($Q455:$Q460,$N$2:$N$7)-SUMPRODUCT($Q462:$Q465,$N$9:$N$12)</f>
        <v>#NUM!</v>
      </c>
      <c r="BH456" s="34"/>
      <c r="BI456" s="34"/>
      <c r="BJ456" s="34"/>
      <c r="BK456" s="34" t="e">
        <f t="shared" ref="BK456" si="1837">$Q462</f>
        <v>#NUM!</v>
      </c>
      <c r="BL456" s="34">
        <v>-1</v>
      </c>
      <c r="BM456" s="34" t="e">
        <f t="shared" ref="BM456" si="1838">-SUMPRODUCT($Q455:$Q461,$N$2:$N$8)-SUMPRODUCT($Q463:$Q465,$N$10:$N$12)</f>
        <v>#NUM!</v>
      </c>
      <c r="BN456" s="34"/>
      <c r="BO456" s="34"/>
      <c r="BP456" s="34"/>
      <c r="BQ456" s="34" t="e">
        <f t="shared" ref="BQ456" si="1839">$Q463</f>
        <v>#NUM!</v>
      </c>
      <c r="BR456" s="34">
        <v>-1</v>
      </c>
      <c r="BS456" s="34" t="e">
        <f t="shared" ref="BS456" si="1840">-SUMPRODUCT($Q455:$Q462,$N$2:$N$9)-SUMPRODUCT($Q464:$Q465,$N$11:$N$12)</f>
        <v>#NUM!</v>
      </c>
      <c r="BT456" s="34"/>
      <c r="BU456" s="34"/>
      <c r="BV456" s="34"/>
      <c r="BW456" s="34" t="e">
        <f t="shared" ref="BW456" si="1841">$Q464</f>
        <v>#NUM!</v>
      </c>
      <c r="BX456" s="34">
        <v>-1</v>
      </c>
      <c r="BY456" s="34" t="e">
        <f t="shared" ref="BY456" si="1842">-SUMPRODUCT($Q455:$Q463,$N$2:$N$10)-SUMPRODUCT($Q465,$N$12)</f>
        <v>#NUM!</v>
      </c>
      <c r="BZ456" s="34"/>
      <c r="CA456" s="34"/>
      <c r="CB456" s="34"/>
      <c r="CC456" s="34" t="e">
        <f t="shared" ref="CC456" si="1843">$Q465</f>
        <v>#NUM!</v>
      </c>
      <c r="CD456" s="34">
        <v>-1</v>
      </c>
      <c r="CE456" s="34" t="e">
        <f t="shared" ref="CE456" si="1844">-SUMPRODUCT($Q455:$Q464,$N$2:$N$11)</f>
        <v>#NUM!</v>
      </c>
      <c r="CF456" s="34"/>
      <c r="CG456" s="34"/>
      <c r="CH456" s="34"/>
      <c r="CI456" s="8"/>
    </row>
    <row r="457" spans="1:87" x14ac:dyDescent="0.2">
      <c r="A457" s="8" t="str">
        <f>IF(AND(COUNTIF(W$3:W$13,A$17)&gt;0,A$17&lt;&gt;B292),A$17,IFERROR(IF(MATCH(A$17,Z$3:Z$13,0)=8,A$17," ")," "))</f>
        <v>C3</v>
      </c>
      <c r="B457" s="8">
        <f>IF(A457=" "," ",MAX(B455:B456)+1)</f>
        <v>1</v>
      </c>
      <c r="C457" s="8" t="str">
        <f>IFERROR(INDEX(A455:A476,MATCH(SMALL(B455:B476,3),B455:B476,0),1)," ")</f>
        <v>C13</v>
      </c>
      <c r="D457" s="8">
        <f t="shared" si="1810"/>
        <v>0</v>
      </c>
      <c r="E457" s="8">
        <f t="shared" si="1811"/>
        <v>1</v>
      </c>
      <c r="F457" s="8">
        <f t="shared" si="1812"/>
        <v>0</v>
      </c>
      <c r="G457" s="8">
        <f t="shared" si="1813"/>
        <v>0</v>
      </c>
      <c r="H457" s="8">
        <f t="shared" si="1814"/>
        <v>0</v>
      </c>
      <c r="I457" s="8">
        <f t="shared" si="1815"/>
        <v>0</v>
      </c>
      <c r="J457" s="8">
        <f t="shared" si="1816"/>
        <v>0</v>
      </c>
      <c r="K457" s="8">
        <f t="shared" si="1817"/>
        <v>0</v>
      </c>
      <c r="L457" s="8">
        <f t="shared" si="1818"/>
        <v>0</v>
      </c>
      <c r="M457" s="8">
        <f t="shared" si="1819"/>
        <v>0</v>
      </c>
      <c r="N457" s="8">
        <f t="shared" si="1820"/>
        <v>0</v>
      </c>
      <c r="O457" s="8">
        <f t="shared" si="1821"/>
        <v>0</v>
      </c>
      <c r="P457" s="8" t="e">
        <v>#NUM!</v>
      </c>
      <c r="Q457" s="8" t="e">
        <f t="shared" ref="Q457" si="1845">IF(COUNTIF(P455:P465,"&lt;"&amp;-0.001)=0,IF(ABS(P457)&lt;0.001,0,P457)," ")</f>
        <v>#NUM!</v>
      </c>
      <c r="R457" s="8"/>
      <c r="S457" s="8"/>
      <c r="U457" s="34"/>
      <c r="V457" s="34"/>
      <c r="W457" s="34"/>
      <c r="X457" s="34"/>
      <c r="Y457" s="34"/>
      <c r="Z457" s="34"/>
      <c r="AA457" s="34"/>
      <c r="AB457" s="34"/>
      <c r="AC457" s="34"/>
      <c r="AD457" s="34"/>
      <c r="AE457" s="34"/>
      <c r="AF457" s="34"/>
      <c r="AG457" s="34"/>
      <c r="AH457" s="34"/>
      <c r="AI457" s="34"/>
      <c r="AJ457" s="34"/>
      <c r="AK457" s="34"/>
      <c r="AL457" s="34"/>
      <c r="AM457" s="34"/>
      <c r="AN457" s="34"/>
      <c r="AO457" s="34"/>
      <c r="AP457" s="34"/>
      <c r="AQ457" s="34"/>
      <c r="AR457" s="34"/>
      <c r="AS457" s="34"/>
      <c r="AT457" s="34"/>
      <c r="AU457" s="34"/>
      <c r="AV457" s="34"/>
      <c r="AW457" s="34"/>
      <c r="AX457" s="34"/>
      <c r="AY457" s="34"/>
      <c r="AZ457" s="34"/>
      <c r="BA457" s="34"/>
      <c r="BB457" s="34"/>
      <c r="BC457" s="34"/>
      <c r="BD457" s="34"/>
      <c r="BE457" s="34"/>
      <c r="BF457" s="34"/>
      <c r="BG457" s="34"/>
      <c r="BH457" s="34"/>
      <c r="BI457" s="34"/>
      <c r="BJ457" s="34"/>
      <c r="BK457" s="34"/>
      <c r="BL457" s="34"/>
      <c r="BM457" s="34"/>
      <c r="BN457" s="34"/>
      <c r="BO457" s="34"/>
      <c r="BP457" s="34"/>
      <c r="BQ457" s="34"/>
      <c r="BR457" s="34"/>
      <c r="BS457" s="34"/>
      <c r="BT457" s="34"/>
      <c r="BU457" s="34"/>
      <c r="BV457" s="34"/>
      <c r="BW457" s="34"/>
      <c r="BX457" s="34"/>
      <c r="BY457" s="34"/>
      <c r="BZ457" s="34"/>
      <c r="CA457" s="34"/>
      <c r="CB457" s="34"/>
      <c r="CC457" s="34"/>
      <c r="CD457" s="34"/>
      <c r="CE457" s="34"/>
      <c r="CF457" s="34"/>
      <c r="CG457" s="34"/>
      <c r="CH457" s="34"/>
      <c r="CI457" s="8"/>
    </row>
    <row r="458" spans="1:87" x14ac:dyDescent="0.2">
      <c r="A458" s="8" t="str">
        <f>IF(AND(COUNTIF(W$3:W$13,A$18)&gt;0,A$18&lt;&gt;B292),A$18,IFERROR(IF(MATCH(A$18,Z$3:Z$13,0)=8,A$18," ")," "))</f>
        <v xml:space="preserve"> </v>
      </c>
      <c r="B458" s="8" t="str">
        <f>IF(A458=" "," ",MAX(B455:B457)+1)</f>
        <v xml:space="preserve"> </v>
      </c>
      <c r="C458" s="8" t="str">
        <f>IFERROR(INDEX(A455:A476,MATCH(SMALL(B455:B476,4),B455:B476,0),1)," ")</f>
        <v>C15</v>
      </c>
      <c r="D458" s="8">
        <f t="shared" si="1810"/>
        <v>0</v>
      </c>
      <c r="E458" s="8">
        <f t="shared" si="1811"/>
        <v>0</v>
      </c>
      <c r="F458" s="8">
        <f t="shared" si="1812"/>
        <v>0</v>
      </c>
      <c r="G458" s="8">
        <f t="shared" si="1813"/>
        <v>1</v>
      </c>
      <c r="H458" s="8">
        <f t="shared" si="1814"/>
        <v>0</v>
      </c>
      <c r="I458" s="8">
        <f t="shared" si="1815"/>
        <v>0</v>
      </c>
      <c r="J458" s="8">
        <f t="shared" si="1816"/>
        <v>0</v>
      </c>
      <c r="K458" s="8">
        <f t="shared" si="1817"/>
        <v>0</v>
      </c>
      <c r="L458" s="8">
        <f t="shared" si="1818"/>
        <v>0</v>
      </c>
      <c r="M458" s="8">
        <f t="shared" si="1819"/>
        <v>0</v>
      </c>
      <c r="N458" s="8">
        <f t="shared" si="1820"/>
        <v>0</v>
      </c>
      <c r="O458" s="8">
        <f t="shared" si="1821"/>
        <v>0</v>
      </c>
      <c r="P458" s="8" t="e">
        <v>#NUM!</v>
      </c>
      <c r="Q458" s="8" t="e">
        <f t="shared" ref="Q458" si="1846">IF(COUNTIF(P455:P465,"&lt;"&amp;-0.001)=0,IF(ABS(P458)&lt;0.001,0,P458)," ")</f>
        <v>#NUM!</v>
      </c>
      <c r="R458" s="8"/>
      <c r="S458" s="8"/>
      <c r="U458" s="34"/>
      <c r="V458" s="34"/>
      <c r="W458" s="34"/>
      <c r="X458" s="34"/>
      <c r="Y458" s="34"/>
      <c r="Z458" s="34"/>
      <c r="AA458" s="34"/>
      <c r="AB458" s="34"/>
      <c r="AC458" s="34"/>
      <c r="AD458" s="34"/>
      <c r="AE458" s="34"/>
      <c r="AF458" s="34"/>
      <c r="AG458" s="34"/>
      <c r="AH458" s="34"/>
      <c r="AI458" s="34"/>
      <c r="AJ458" s="34"/>
      <c r="AK458" s="34"/>
      <c r="AL458" s="34"/>
      <c r="AM458" s="34"/>
      <c r="AN458" s="34"/>
      <c r="AO458" s="34"/>
      <c r="AP458" s="34"/>
      <c r="AQ458" s="34"/>
      <c r="AR458" s="34"/>
      <c r="AS458" s="34"/>
      <c r="AT458" s="34"/>
      <c r="AU458" s="34"/>
      <c r="AV458" s="34"/>
      <c r="AW458" s="34"/>
      <c r="AX458" s="34"/>
      <c r="AY458" s="34"/>
      <c r="AZ458" s="34"/>
      <c r="BA458" s="34"/>
      <c r="BB458" s="34"/>
      <c r="BC458" s="34"/>
      <c r="BD458" s="34"/>
      <c r="BE458" s="34"/>
      <c r="BF458" s="34"/>
      <c r="BG458" s="34"/>
      <c r="BH458" s="34"/>
      <c r="BI458" s="34"/>
      <c r="BJ458" s="34"/>
      <c r="BK458" s="34"/>
      <c r="BL458" s="34"/>
      <c r="BM458" s="34"/>
      <c r="BN458" s="34"/>
      <c r="BO458" s="34"/>
      <c r="BP458" s="34"/>
      <c r="BQ458" s="34"/>
      <c r="BR458" s="34"/>
      <c r="BS458" s="34"/>
      <c r="BT458" s="34"/>
      <c r="BU458" s="34"/>
      <c r="BV458" s="34"/>
      <c r="BW458" s="34"/>
      <c r="BX458" s="34"/>
      <c r="BY458" s="34"/>
      <c r="BZ458" s="34"/>
      <c r="CA458" s="34"/>
      <c r="CB458" s="34"/>
      <c r="CC458" s="34"/>
      <c r="CD458" s="34"/>
      <c r="CE458" s="34"/>
      <c r="CF458" s="34"/>
      <c r="CG458" s="34"/>
      <c r="CH458" s="34"/>
      <c r="CI458" s="8"/>
    </row>
    <row r="459" spans="1:87" x14ac:dyDescent="0.2">
      <c r="A459" s="8" t="str">
        <f>IF(AND(COUNTIF(W$3:W$13,A$19)&gt;0,A$19&lt;&gt;B292),A$19,IFERROR(IF(MATCH(A$19,Z$3:Z$13,0)=8,A$19," ")," "))</f>
        <v xml:space="preserve"> </v>
      </c>
      <c r="B459" s="8" t="str">
        <f>IF(A459=" "," ",MAX(B455:B458)+1)</f>
        <v xml:space="preserve"> </v>
      </c>
      <c r="C459" s="8" t="str">
        <f>IFERROR(INDEX(A455:A476,MATCH(SMALL(B455:B476,5),B455:B476,0),1)," ")</f>
        <v>C16</v>
      </c>
      <c r="D459" s="8">
        <f t="shared" si="1810"/>
        <v>0</v>
      </c>
      <c r="E459" s="8">
        <f t="shared" si="1811"/>
        <v>0</v>
      </c>
      <c r="F459" s="8">
        <f t="shared" si="1812"/>
        <v>0</v>
      </c>
      <c r="G459" s="8">
        <f t="shared" si="1813"/>
        <v>0</v>
      </c>
      <c r="H459" s="8">
        <f t="shared" si="1814"/>
        <v>1</v>
      </c>
      <c r="I459" s="8">
        <f t="shared" si="1815"/>
        <v>0</v>
      </c>
      <c r="J459" s="8">
        <f t="shared" si="1816"/>
        <v>0</v>
      </c>
      <c r="K459" s="8">
        <f t="shared" si="1817"/>
        <v>0</v>
      </c>
      <c r="L459" s="8">
        <f t="shared" si="1818"/>
        <v>0</v>
      </c>
      <c r="M459" s="8">
        <f t="shared" si="1819"/>
        <v>0</v>
      </c>
      <c r="N459" s="8">
        <f t="shared" si="1820"/>
        <v>0</v>
      </c>
      <c r="O459" s="8">
        <f t="shared" si="1821"/>
        <v>0</v>
      </c>
      <c r="P459" s="8" t="e">
        <v>#NUM!</v>
      </c>
      <c r="Q459" s="8" t="e">
        <f t="shared" ref="Q459" si="1847">IF(COUNTIF(P455:P465,"&lt;"&amp;-0.001)=0,IF(ABS(P459)&lt;0.001,0,P459)," ")</f>
        <v>#NUM!</v>
      </c>
      <c r="R459" s="8"/>
      <c r="S459" s="8"/>
      <c r="U459" s="34"/>
      <c r="V459" s="34"/>
      <c r="W459" s="34"/>
      <c r="X459" s="34"/>
      <c r="Y459" s="34"/>
      <c r="Z459" s="34"/>
      <c r="AA459" s="34"/>
      <c r="AB459" s="34"/>
      <c r="AC459" s="34"/>
      <c r="AD459" s="34"/>
      <c r="AE459" s="34"/>
      <c r="AF459" s="34"/>
      <c r="AG459" s="34"/>
      <c r="AH459" s="34"/>
      <c r="AI459" s="34"/>
      <c r="AJ459" s="34"/>
      <c r="AK459" s="34"/>
      <c r="AL459" s="34"/>
      <c r="AM459" s="34"/>
      <c r="AN459" s="34"/>
      <c r="AO459" s="34"/>
      <c r="AP459" s="34"/>
      <c r="AQ459" s="34"/>
      <c r="AR459" s="34"/>
      <c r="AS459" s="34"/>
      <c r="AT459" s="34"/>
      <c r="AU459" s="34"/>
      <c r="AV459" s="34"/>
      <c r="AW459" s="34"/>
      <c r="AX459" s="34"/>
      <c r="AY459" s="34"/>
      <c r="AZ459" s="34"/>
      <c r="BA459" s="34"/>
      <c r="BB459" s="34"/>
      <c r="BC459" s="34"/>
      <c r="BD459" s="34"/>
      <c r="BE459" s="34"/>
      <c r="BF459" s="34"/>
      <c r="BG459" s="34"/>
      <c r="BH459" s="34"/>
      <c r="BI459" s="34"/>
      <c r="BJ459" s="34"/>
      <c r="BK459" s="34"/>
      <c r="BL459" s="34"/>
      <c r="BM459" s="34"/>
      <c r="BN459" s="34"/>
      <c r="BO459" s="34"/>
      <c r="BP459" s="34"/>
      <c r="BQ459" s="34"/>
      <c r="BR459" s="34"/>
      <c r="BS459" s="34"/>
      <c r="BT459" s="34"/>
      <c r="BU459" s="34"/>
      <c r="BV459" s="34"/>
      <c r="BW459" s="34"/>
      <c r="BX459" s="34"/>
      <c r="BY459" s="34"/>
      <c r="BZ459" s="34"/>
      <c r="CA459" s="34"/>
      <c r="CB459" s="34"/>
      <c r="CC459" s="34"/>
      <c r="CD459" s="34"/>
      <c r="CE459" s="34"/>
      <c r="CF459" s="34"/>
      <c r="CG459" s="34"/>
      <c r="CH459" s="34"/>
      <c r="CI459" s="8"/>
    </row>
    <row r="460" spans="1:87" x14ac:dyDescent="0.2">
      <c r="A460" s="8" t="str">
        <f>IF(AND(COUNTIF(W$3:W$13,A$20)&gt;0,A$20&lt;&gt;B292),A$20,IFERROR(IF(MATCH(A$20,Z$3:Z$13,0)=8,A$20," ")," "))</f>
        <v xml:space="preserve"> </v>
      </c>
      <c r="B460" s="8" t="str">
        <f>IF(A460=" "," ",MAX(B455:B459)+1)</f>
        <v xml:space="preserve"> </v>
      </c>
      <c r="C460" s="8" t="str">
        <f>IFERROR(INDEX(A455:A476,MATCH(SMALL(B455:B476,6),B455:B476,0),1)," ")</f>
        <v>C17</v>
      </c>
      <c r="D460" s="8">
        <f t="shared" si="1810"/>
        <v>0</v>
      </c>
      <c r="E460" s="8">
        <f t="shared" si="1811"/>
        <v>0</v>
      </c>
      <c r="F460" s="8">
        <f t="shared" si="1812"/>
        <v>0</v>
      </c>
      <c r="G460" s="8">
        <f t="shared" si="1813"/>
        <v>0</v>
      </c>
      <c r="H460" s="8">
        <f t="shared" si="1814"/>
        <v>0</v>
      </c>
      <c r="I460" s="8">
        <f t="shared" si="1815"/>
        <v>1</v>
      </c>
      <c r="J460" s="8">
        <f t="shared" si="1816"/>
        <v>0</v>
      </c>
      <c r="K460" s="8">
        <f t="shared" si="1817"/>
        <v>0</v>
      </c>
      <c r="L460" s="8">
        <f t="shared" si="1818"/>
        <v>0</v>
      </c>
      <c r="M460" s="8">
        <f t="shared" si="1819"/>
        <v>0</v>
      </c>
      <c r="N460" s="8">
        <f t="shared" si="1820"/>
        <v>0</v>
      </c>
      <c r="O460" s="8">
        <f t="shared" si="1821"/>
        <v>0</v>
      </c>
      <c r="P460" s="8" t="e">
        <v>#NUM!</v>
      </c>
      <c r="Q460" s="8" t="e">
        <f t="shared" ref="Q460" si="1848">IF(COUNTIF(P455:P465,"&lt;"&amp;-0.001)=0,IF(ABS(P460)&lt;0.001,0,P460)," ")</f>
        <v>#NUM!</v>
      </c>
      <c r="R460" s="8"/>
      <c r="S460" s="8"/>
      <c r="U460" s="34"/>
      <c r="V460" s="34"/>
      <c r="W460" s="34"/>
      <c r="X460" s="34"/>
      <c r="Y460" s="34"/>
      <c r="Z460" s="34"/>
      <c r="AA460" s="34"/>
      <c r="AB460" s="34"/>
      <c r="AC460" s="34"/>
      <c r="AD460" s="34"/>
      <c r="AE460" s="34"/>
      <c r="AF460" s="34"/>
      <c r="AG460" s="34"/>
      <c r="AH460" s="34"/>
      <c r="AI460" s="34"/>
      <c r="AJ460" s="34"/>
      <c r="AK460" s="34"/>
      <c r="AL460" s="34"/>
      <c r="AM460" s="34"/>
      <c r="AN460" s="34"/>
      <c r="AO460" s="34"/>
      <c r="AP460" s="34"/>
      <c r="AQ460" s="34"/>
      <c r="AR460" s="34"/>
      <c r="AS460" s="34"/>
      <c r="AT460" s="34"/>
      <c r="AU460" s="34"/>
      <c r="AV460" s="34"/>
      <c r="AW460" s="34"/>
      <c r="AX460" s="34"/>
      <c r="AY460" s="34"/>
      <c r="AZ460" s="34"/>
      <c r="BA460" s="34"/>
      <c r="BB460" s="34"/>
      <c r="BC460" s="34"/>
      <c r="BD460" s="34"/>
      <c r="BE460" s="34"/>
      <c r="BF460" s="34"/>
      <c r="BG460" s="34"/>
      <c r="BH460" s="34"/>
      <c r="BI460" s="34"/>
      <c r="BJ460" s="34"/>
      <c r="BK460" s="34"/>
      <c r="BL460" s="34"/>
      <c r="BM460" s="34"/>
      <c r="BN460" s="34"/>
      <c r="BO460" s="34"/>
      <c r="BP460" s="34"/>
      <c r="BQ460" s="34"/>
      <c r="BR460" s="34"/>
      <c r="BS460" s="34"/>
      <c r="BT460" s="34"/>
      <c r="BU460" s="34"/>
      <c r="BV460" s="34"/>
      <c r="BW460" s="34"/>
      <c r="BX460" s="34"/>
      <c r="BY460" s="34"/>
      <c r="BZ460" s="34"/>
      <c r="CA460" s="34"/>
      <c r="CB460" s="34"/>
      <c r="CC460" s="34"/>
      <c r="CD460" s="34"/>
      <c r="CE460" s="34"/>
      <c r="CF460" s="34"/>
      <c r="CG460" s="34"/>
      <c r="CH460" s="34"/>
      <c r="CI460" s="8"/>
    </row>
    <row r="461" spans="1:87" x14ac:dyDescent="0.2">
      <c r="A461" s="8" t="str">
        <f>IF(AND(COUNTIF(W$3:W$13,A$21)&gt;0,A$21&lt;&gt;B292),A$21,IFERROR(IF(MATCH(A$21,Z$3:Z$13,0)=8,A$21," ")," "))</f>
        <v xml:space="preserve"> </v>
      </c>
      <c r="B461" s="8" t="str">
        <f>IF(A461=" "," ",MAX(B455:B460)+1)</f>
        <v xml:space="preserve"> </v>
      </c>
      <c r="C461" s="8" t="str">
        <f>IFERROR(INDEX(A455:A476,MATCH(SMALL(B455:B476,7),B455:B476,0),1)," ")</f>
        <v>C18</v>
      </c>
      <c r="D461" s="8">
        <f t="shared" si="1810"/>
        <v>0</v>
      </c>
      <c r="E461" s="8">
        <f t="shared" si="1811"/>
        <v>0</v>
      </c>
      <c r="F461" s="8">
        <f t="shared" si="1812"/>
        <v>0</v>
      </c>
      <c r="G461" s="8">
        <f t="shared" si="1813"/>
        <v>0</v>
      </c>
      <c r="H461" s="8">
        <f t="shared" si="1814"/>
        <v>0</v>
      </c>
      <c r="I461" s="8">
        <f t="shared" si="1815"/>
        <v>0</v>
      </c>
      <c r="J461" s="8">
        <f t="shared" si="1816"/>
        <v>1</v>
      </c>
      <c r="K461" s="8">
        <f t="shared" si="1817"/>
        <v>0</v>
      </c>
      <c r="L461" s="8">
        <f t="shared" si="1818"/>
        <v>0</v>
      </c>
      <c r="M461" s="8">
        <f t="shared" si="1819"/>
        <v>0</v>
      </c>
      <c r="N461" s="8">
        <f t="shared" si="1820"/>
        <v>0</v>
      </c>
      <c r="O461" s="8">
        <f t="shared" si="1821"/>
        <v>0</v>
      </c>
      <c r="P461" s="8" t="e">
        <v>#NUM!</v>
      </c>
      <c r="Q461" s="8" t="e">
        <f t="shared" ref="Q461" si="1849">IF(COUNTIF(P455:P465,"&lt;"&amp;-0.001)=0,IF(ABS(P461)&lt;0.001,0,P461)," ")</f>
        <v>#NUM!</v>
      </c>
      <c r="R461" s="8"/>
      <c r="S461" s="8"/>
      <c r="U461" s="34"/>
      <c r="V461" s="34"/>
      <c r="W461" s="34"/>
      <c r="X461" s="34"/>
      <c r="Y461" s="34"/>
      <c r="Z461" s="34"/>
      <c r="AA461" s="34"/>
      <c r="AB461" s="34"/>
      <c r="AC461" s="34"/>
      <c r="AD461" s="34"/>
      <c r="AE461" s="34"/>
      <c r="AF461" s="34"/>
      <c r="AG461" s="34"/>
      <c r="AH461" s="34"/>
      <c r="AI461" s="34"/>
      <c r="AJ461" s="34"/>
      <c r="AK461" s="34"/>
      <c r="AL461" s="34"/>
      <c r="AM461" s="34"/>
      <c r="AN461" s="34"/>
      <c r="AO461" s="34"/>
      <c r="AP461" s="34"/>
      <c r="AQ461" s="34"/>
      <c r="AR461" s="34"/>
      <c r="AS461" s="34"/>
      <c r="AT461" s="34"/>
      <c r="AU461" s="34"/>
      <c r="AV461" s="34"/>
      <c r="AW461" s="34"/>
      <c r="AX461" s="34"/>
      <c r="AY461" s="34"/>
      <c r="AZ461" s="34"/>
      <c r="BA461" s="34"/>
      <c r="BB461" s="34"/>
      <c r="BC461" s="34"/>
      <c r="BD461" s="34"/>
      <c r="BE461" s="34"/>
      <c r="BF461" s="34"/>
      <c r="BG461" s="34"/>
      <c r="BH461" s="34"/>
      <c r="BI461" s="34"/>
      <c r="BJ461" s="34"/>
      <c r="BK461" s="34"/>
      <c r="BL461" s="34"/>
      <c r="BM461" s="34"/>
      <c r="BN461" s="34"/>
      <c r="BO461" s="34"/>
      <c r="BP461" s="34"/>
      <c r="BQ461" s="34"/>
      <c r="BR461" s="34"/>
      <c r="BS461" s="34"/>
      <c r="BT461" s="34"/>
      <c r="BU461" s="34"/>
      <c r="BV461" s="34"/>
      <c r="BW461" s="34"/>
      <c r="BX461" s="34"/>
      <c r="BY461" s="34"/>
      <c r="BZ461" s="34"/>
      <c r="CA461" s="34"/>
      <c r="CB461" s="34"/>
      <c r="CC461" s="34"/>
      <c r="CD461" s="34"/>
      <c r="CE461" s="34"/>
      <c r="CF461" s="34"/>
      <c r="CG461" s="34"/>
      <c r="CH461" s="34"/>
      <c r="CI461" s="8"/>
    </row>
    <row r="462" spans="1:87" x14ac:dyDescent="0.2">
      <c r="A462" s="8" t="str">
        <f>IF(AND(COUNTIF(W$3:W$13,A$22)&gt;0,A$22&lt;&gt;B292),A$22,IFERROR(IF(MATCH(A$22,Z$3:Z$13,0)=8,A$22," ")," "))</f>
        <v xml:space="preserve"> </v>
      </c>
      <c r="B462" s="8" t="str">
        <f>IF(A462=" "," ",MAX(B455:B461)+1)</f>
        <v xml:space="preserve"> </v>
      </c>
      <c r="C462" s="8" t="str">
        <f>IFERROR(INDEX(A455:A476,MATCH(SMALL(B455:B476,8),B455:B476,0),1)," ")</f>
        <v>C19</v>
      </c>
      <c r="D462" s="8">
        <f t="shared" si="1810"/>
        <v>0</v>
      </c>
      <c r="E462" s="8">
        <f t="shared" si="1811"/>
        <v>0</v>
      </c>
      <c r="F462" s="8">
        <f t="shared" si="1812"/>
        <v>0</v>
      </c>
      <c r="G462" s="8">
        <f t="shared" si="1813"/>
        <v>0</v>
      </c>
      <c r="H462" s="8">
        <f t="shared" si="1814"/>
        <v>0</v>
      </c>
      <c r="I462" s="8">
        <f t="shared" si="1815"/>
        <v>0</v>
      </c>
      <c r="J462" s="8">
        <f t="shared" si="1816"/>
        <v>0</v>
      </c>
      <c r="K462" s="8">
        <f t="shared" si="1817"/>
        <v>1</v>
      </c>
      <c r="L462" s="8">
        <f t="shared" si="1818"/>
        <v>0</v>
      </c>
      <c r="M462" s="8">
        <f t="shared" si="1819"/>
        <v>0</v>
      </c>
      <c r="N462" s="8">
        <f t="shared" si="1820"/>
        <v>0</v>
      </c>
      <c r="O462" s="8">
        <f t="shared" si="1821"/>
        <v>0</v>
      </c>
      <c r="P462" s="8" t="e">
        <v>#NUM!</v>
      </c>
      <c r="Q462" s="8" t="e">
        <f t="shared" ref="Q462" si="1850">IF(COUNTIF(P455:P465,"&lt;"&amp;-0.001)=0,IF(ABS(P462)&lt;0.001,0,P462)," ")</f>
        <v>#NUM!</v>
      </c>
      <c r="R462" s="8"/>
      <c r="S462" s="8"/>
      <c r="U462" s="34"/>
      <c r="V462" s="34"/>
      <c r="W462" s="34"/>
      <c r="X462" s="34"/>
      <c r="Y462" s="34"/>
      <c r="Z462" s="34"/>
      <c r="AA462" s="34"/>
      <c r="AB462" s="34"/>
      <c r="AC462" s="34"/>
      <c r="AD462" s="34"/>
      <c r="AE462" s="34"/>
      <c r="AF462" s="34"/>
      <c r="AG462" s="34"/>
      <c r="AH462" s="34"/>
      <c r="AI462" s="34"/>
      <c r="AJ462" s="34"/>
      <c r="AK462" s="34"/>
      <c r="AL462" s="34"/>
      <c r="AM462" s="34"/>
      <c r="AN462" s="34"/>
      <c r="AO462" s="34"/>
      <c r="AP462" s="34"/>
      <c r="AQ462" s="34"/>
      <c r="AR462" s="34"/>
      <c r="AS462" s="34"/>
      <c r="AT462" s="34"/>
      <c r="AU462" s="34"/>
      <c r="AV462" s="34"/>
      <c r="AW462" s="34"/>
      <c r="AX462" s="34"/>
      <c r="AY462" s="34"/>
      <c r="AZ462" s="34"/>
      <c r="BA462" s="34"/>
      <c r="BB462" s="34"/>
      <c r="BC462" s="34"/>
      <c r="BD462" s="34"/>
      <c r="BE462" s="34"/>
      <c r="BF462" s="34"/>
      <c r="BG462" s="34"/>
      <c r="BH462" s="34"/>
      <c r="BI462" s="34"/>
      <c r="BJ462" s="34"/>
      <c r="BK462" s="34"/>
      <c r="BL462" s="34"/>
      <c r="BM462" s="34"/>
      <c r="BN462" s="34"/>
      <c r="BO462" s="34"/>
      <c r="BP462" s="34"/>
      <c r="BQ462" s="34"/>
      <c r="BR462" s="34"/>
      <c r="BS462" s="34"/>
      <c r="BT462" s="34"/>
      <c r="BU462" s="34"/>
      <c r="BV462" s="34"/>
      <c r="BW462" s="34"/>
      <c r="BX462" s="34"/>
      <c r="BY462" s="34"/>
      <c r="BZ462" s="34"/>
      <c r="CA462" s="34"/>
      <c r="CB462" s="34"/>
      <c r="CC462" s="34"/>
      <c r="CD462" s="34"/>
      <c r="CE462" s="34"/>
      <c r="CF462" s="34"/>
      <c r="CG462" s="34"/>
      <c r="CH462" s="34"/>
      <c r="CI462" s="8"/>
    </row>
    <row r="463" spans="1:87" x14ac:dyDescent="0.2">
      <c r="A463" s="8" t="str">
        <f>IF(AND(COUNTIF(W$3:W$13,A$23)&gt;0,A$23&lt;&gt;B292),A$23,IFERROR(IF(MATCH(A$23,Z$3:Z$13,0)=8,A$23," ")," "))</f>
        <v xml:space="preserve"> </v>
      </c>
      <c r="B463" s="8" t="str">
        <f>IF(A463=" "," ",MAX(B455:B462)+1)</f>
        <v xml:space="preserve"> </v>
      </c>
      <c r="C463" s="8" t="str">
        <f>IFERROR(INDEX(A455:A476,MATCH(SMALL(B455:B476,9),B455:B476,0),1)," ")</f>
        <v>C20</v>
      </c>
      <c r="D463" s="8">
        <f t="shared" si="1810"/>
        <v>0</v>
      </c>
      <c r="E463" s="8">
        <f t="shared" si="1811"/>
        <v>0</v>
      </c>
      <c r="F463" s="8">
        <f t="shared" si="1812"/>
        <v>0</v>
      </c>
      <c r="G463" s="8">
        <f t="shared" si="1813"/>
        <v>0</v>
      </c>
      <c r="H463" s="8">
        <f t="shared" si="1814"/>
        <v>0</v>
      </c>
      <c r="I463" s="8">
        <f t="shared" si="1815"/>
        <v>0</v>
      </c>
      <c r="J463" s="8">
        <f t="shared" si="1816"/>
        <v>0</v>
      </c>
      <c r="K463" s="8">
        <f t="shared" si="1817"/>
        <v>0</v>
      </c>
      <c r="L463" s="8">
        <f t="shared" si="1818"/>
        <v>1</v>
      </c>
      <c r="M463" s="8">
        <f t="shared" si="1819"/>
        <v>0</v>
      </c>
      <c r="N463" s="8">
        <f t="shared" si="1820"/>
        <v>0</v>
      </c>
      <c r="O463" s="8">
        <f t="shared" si="1821"/>
        <v>0</v>
      </c>
      <c r="P463" s="6" t="e">
        <v>#NUM!</v>
      </c>
      <c r="Q463" s="8" t="e">
        <f t="shared" ref="Q463" si="1851">IF(COUNTIF(P455:P465,"&lt;"&amp;-0.001)=0,IF(ABS(P463)&lt;0.001,0,P463)," ")</f>
        <v>#NUM!</v>
      </c>
      <c r="R463" s="8"/>
      <c r="S463" s="8"/>
      <c r="U463" s="34"/>
      <c r="V463" s="34"/>
      <c r="W463" s="34"/>
      <c r="X463" s="34"/>
      <c r="Y463" s="34"/>
      <c r="Z463" s="34"/>
      <c r="AA463" s="34"/>
      <c r="AB463" s="34"/>
      <c r="AC463" s="34"/>
      <c r="AD463" s="34"/>
      <c r="AE463" s="34"/>
      <c r="AF463" s="34"/>
      <c r="AG463" s="34"/>
      <c r="AH463" s="34"/>
      <c r="AI463" s="34"/>
      <c r="AJ463" s="34"/>
      <c r="AK463" s="34"/>
      <c r="AL463" s="34"/>
      <c r="AM463" s="34"/>
      <c r="AN463" s="34"/>
      <c r="AO463" s="34"/>
      <c r="AP463" s="34"/>
      <c r="AQ463" s="34"/>
      <c r="AR463" s="34"/>
      <c r="AS463" s="34"/>
      <c r="AT463" s="34"/>
      <c r="AU463" s="34"/>
      <c r="AV463" s="34"/>
      <c r="AW463" s="34"/>
      <c r="AX463" s="34"/>
      <c r="AY463" s="34"/>
      <c r="AZ463" s="34"/>
      <c r="BA463" s="34"/>
      <c r="BB463" s="34"/>
      <c r="BC463" s="34"/>
      <c r="BD463" s="34"/>
      <c r="BE463" s="34"/>
      <c r="BF463" s="34"/>
      <c r="BG463" s="34"/>
      <c r="BH463" s="34"/>
      <c r="BI463" s="34"/>
      <c r="BJ463" s="34"/>
      <c r="BK463" s="34"/>
      <c r="BL463" s="34"/>
      <c r="BM463" s="34"/>
      <c r="BN463" s="34"/>
      <c r="BO463" s="34"/>
      <c r="BP463" s="34"/>
      <c r="BQ463" s="34"/>
      <c r="BR463" s="34"/>
      <c r="BS463" s="34"/>
      <c r="BT463" s="34"/>
      <c r="BU463" s="34"/>
      <c r="BV463" s="34"/>
      <c r="BW463" s="34"/>
      <c r="BX463" s="34"/>
      <c r="BY463" s="34"/>
      <c r="BZ463" s="34"/>
      <c r="CA463" s="34"/>
      <c r="CB463" s="34"/>
      <c r="CC463" s="34"/>
      <c r="CD463" s="34"/>
      <c r="CE463" s="34"/>
      <c r="CF463" s="34"/>
      <c r="CG463" s="34"/>
      <c r="CH463" s="34"/>
      <c r="CI463" s="8"/>
    </row>
    <row r="464" spans="1:87" x14ac:dyDescent="0.2">
      <c r="A464" s="8" t="str">
        <f>IF(AND(COUNTIF(W$3:W$13,A$24)&gt;0,A$24&lt;&gt;B292),A$24,IFERROR(IF(MATCH(A$24,Z$3:Z$13,0)=8,A$24," ")," "))</f>
        <v>C10</v>
      </c>
      <c r="B464" s="8">
        <f>IF(A464=" "," ",MAX(B455:B463)+1)</f>
        <v>2</v>
      </c>
      <c r="C464" s="8" t="str">
        <f>IFERROR(INDEX(A455:A476,MATCH(SMALL(B455:B476,10),B455:B476,0),1)," ")</f>
        <v>C21</v>
      </c>
      <c r="D464" s="8">
        <f t="shared" si="1810"/>
        <v>0</v>
      </c>
      <c r="E464" s="8">
        <f t="shared" si="1811"/>
        <v>0</v>
      </c>
      <c r="F464" s="8">
        <f t="shared" si="1812"/>
        <v>0</v>
      </c>
      <c r="G464" s="8">
        <f t="shared" si="1813"/>
        <v>0</v>
      </c>
      <c r="H464" s="8">
        <f t="shared" si="1814"/>
        <v>0</v>
      </c>
      <c r="I464" s="8">
        <f t="shared" si="1815"/>
        <v>0</v>
      </c>
      <c r="J464" s="8">
        <f t="shared" si="1816"/>
        <v>0</v>
      </c>
      <c r="K464" s="8">
        <f t="shared" si="1817"/>
        <v>0</v>
      </c>
      <c r="L464" s="8">
        <f t="shared" si="1818"/>
        <v>0</v>
      </c>
      <c r="M464" s="8">
        <f t="shared" si="1819"/>
        <v>1</v>
      </c>
      <c r="N464" s="8">
        <f t="shared" si="1820"/>
        <v>0</v>
      </c>
      <c r="O464" s="8">
        <f t="shared" si="1821"/>
        <v>0</v>
      </c>
      <c r="P464" s="8" t="e">
        <v>#NUM!</v>
      </c>
      <c r="Q464" s="8" t="e">
        <f t="shared" ref="Q464" si="1852">IF(COUNTIF(P455:P465,"&lt;"&amp;-0.001)=0,IF(ABS(P464)&lt;0.001,0,P464)," ")</f>
        <v>#NUM!</v>
      </c>
      <c r="R464" s="8"/>
      <c r="S464" s="8"/>
      <c r="U464" s="34"/>
      <c r="V464" s="34"/>
      <c r="W464" s="34"/>
      <c r="X464" s="34"/>
      <c r="Y464" s="34"/>
      <c r="Z464" s="34"/>
      <c r="AA464" s="34"/>
      <c r="AB464" s="34"/>
      <c r="AC464" s="34"/>
      <c r="AD464" s="34"/>
      <c r="AE464" s="34"/>
      <c r="AF464" s="34"/>
      <c r="AG464" s="34"/>
      <c r="AH464" s="34"/>
      <c r="AI464" s="34"/>
      <c r="AJ464" s="34"/>
      <c r="AK464" s="34"/>
      <c r="AL464" s="34"/>
      <c r="AM464" s="34"/>
      <c r="AN464" s="34"/>
      <c r="AO464" s="34"/>
      <c r="AP464" s="34"/>
      <c r="AQ464" s="34"/>
      <c r="AR464" s="34"/>
      <c r="AS464" s="34"/>
      <c r="AT464" s="34"/>
      <c r="AU464" s="34"/>
      <c r="AV464" s="34"/>
      <c r="AW464" s="34"/>
      <c r="AX464" s="34"/>
      <c r="AY464" s="34"/>
      <c r="AZ464" s="34"/>
      <c r="BA464" s="34"/>
      <c r="BB464" s="34"/>
      <c r="BC464" s="34"/>
      <c r="BD464" s="34"/>
      <c r="BE464" s="34"/>
      <c r="BF464" s="34"/>
      <c r="BG464" s="34"/>
      <c r="BH464" s="34"/>
      <c r="BI464" s="34"/>
      <c r="BJ464" s="34"/>
      <c r="BK464" s="34"/>
      <c r="BL464" s="34"/>
      <c r="BM464" s="34"/>
      <c r="BN464" s="34"/>
      <c r="BO464" s="34"/>
      <c r="BP464" s="34"/>
      <c r="BQ464" s="34"/>
      <c r="BR464" s="34"/>
      <c r="BS464" s="34"/>
      <c r="BT464" s="34"/>
      <c r="BU464" s="34"/>
      <c r="BV464" s="34"/>
      <c r="BW464" s="34"/>
      <c r="BX464" s="34"/>
      <c r="BY464" s="34"/>
      <c r="BZ464" s="34"/>
      <c r="CA464" s="34"/>
      <c r="CB464" s="34"/>
      <c r="CC464" s="34"/>
      <c r="CD464" s="34"/>
      <c r="CE464" s="34"/>
      <c r="CF464" s="34"/>
      <c r="CG464" s="34"/>
      <c r="CH464" s="34"/>
      <c r="CI464" s="8"/>
    </row>
    <row r="465" spans="1:87" x14ac:dyDescent="0.2">
      <c r="A465" s="8" t="str">
        <f>IF(AND(COUNTIF(W$3:W$13,A$25)&gt;0,A$25&lt;&gt;B292),A$25,IFERROR(IF(MATCH(A$25,Z$3:Z$13,0)=8,A$25," ")," "))</f>
        <v xml:space="preserve"> </v>
      </c>
      <c r="B465" s="8" t="str">
        <f>IF(A465=" "," ",MAX(B455:B464)+1)</f>
        <v xml:space="preserve"> </v>
      </c>
      <c r="C465" s="8" t="str">
        <f>IFERROR(INDEX(A455:A476,MATCH(SMALL(B455:B476,11),B455:B476,0),1)," ")</f>
        <v>C22</v>
      </c>
      <c r="D465" s="8">
        <f t="shared" si="1810"/>
        <v>0</v>
      </c>
      <c r="E465" s="8">
        <f t="shared" si="1811"/>
        <v>0</v>
      </c>
      <c r="F465" s="8">
        <f t="shared" si="1812"/>
        <v>0</v>
      </c>
      <c r="G465" s="8">
        <f t="shared" si="1813"/>
        <v>0</v>
      </c>
      <c r="H465" s="8">
        <f t="shared" si="1814"/>
        <v>0</v>
      </c>
      <c r="I465" s="8">
        <f t="shared" si="1815"/>
        <v>0</v>
      </c>
      <c r="J465" s="8">
        <f t="shared" si="1816"/>
        <v>0</v>
      </c>
      <c r="K465" s="8">
        <f t="shared" si="1817"/>
        <v>0</v>
      </c>
      <c r="L465" s="8">
        <f t="shared" si="1818"/>
        <v>0</v>
      </c>
      <c r="M465" s="8">
        <f t="shared" si="1819"/>
        <v>0</v>
      </c>
      <c r="N465" s="8">
        <f t="shared" si="1820"/>
        <v>1</v>
      </c>
      <c r="O465" s="8">
        <f t="shared" si="1821"/>
        <v>0</v>
      </c>
      <c r="P465" s="8" t="e">
        <v>#NUM!</v>
      </c>
      <c r="Q465" s="8" t="e">
        <f t="shared" ref="Q465" si="1853">IF(COUNTIF(P455:P465,"&lt;"&amp;-0.001)=0,IF(ABS(P465)&lt;0.001,0,P465)," ")</f>
        <v>#NUM!</v>
      </c>
      <c r="R465" s="8"/>
      <c r="S465" s="8"/>
      <c r="U465" s="34"/>
      <c r="V465" s="34"/>
      <c r="W465" s="34"/>
      <c r="X465" s="34"/>
      <c r="Y465" s="34"/>
      <c r="Z465" s="34"/>
      <c r="AA465" s="34"/>
      <c r="AB465" s="34"/>
      <c r="AC465" s="34"/>
      <c r="AD465" s="34"/>
      <c r="AE465" s="34"/>
      <c r="AF465" s="34"/>
      <c r="AG465" s="34"/>
      <c r="AH465" s="34"/>
      <c r="AI465" s="34"/>
      <c r="AJ465" s="34"/>
      <c r="AK465" s="34"/>
      <c r="AL465" s="34"/>
      <c r="AM465" s="34"/>
      <c r="AN465" s="34"/>
      <c r="AO465" s="34"/>
      <c r="AP465" s="34"/>
      <c r="AQ465" s="34"/>
      <c r="AR465" s="34"/>
      <c r="AS465" s="34"/>
      <c r="AT465" s="34"/>
      <c r="AU465" s="34"/>
      <c r="AV465" s="34"/>
      <c r="AW465" s="34"/>
      <c r="AX465" s="34"/>
      <c r="AY465" s="34"/>
      <c r="AZ465" s="34"/>
      <c r="BA465" s="34"/>
      <c r="BB465" s="34"/>
      <c r="BC465" s="34"/>
      <c r="BD465" s="34"/>
      <c r="BE465" s="34"/>
      <c r="BF465" s="34"/>
      <c r="BG465" s="34"/>
      <c r="BH465" s="34"/>
      <c r="BI465" s="34"/>
      <c r="BJ465" s="34"/>
      <c r="BK465" s="34"/>
      <c r="BL465" s="34"/>
      <c r="BM465" s="34"/>
      <c r="BN465" s="34"/>
      <c r="BO465" s="34"/>
      <c r="BP465" s="34"/>
      <c r="BQ465" s="34"/>
      <c r="BR465" s="34"/>
      <c r="BS465" s="34"/>
      <c r="BT465" s="34"/>
      <c r="BU465" s="34"/>
      <c r="BV465" s="34"/>
      <c r="BW465" s="34"/>
      <c r="BX465" s="34"/>
      <c r="BY465" s="34"/>
      <c r="BZ465" s="34"/>
      <c r="CA465" s="34"/>
      <c r="CB465" s="34"/>
      <c r="CC465" s="34"/>
      <c r="CD465" s="34"/>
      <c r="CE465" s="34"/>
      <c r="CF465" s="34"/>
      <c r="CG465" s="34"/>
      <c r="CH465" s="34"/>
      <c r="CI465" s="8"/>
    </row>
    <row r="466" spans="1:87" x14ac:dyDescent="0.2">
      <c r="A466" s="8" t="str">
        <f>IF(AND(COUNTIF(W$3:W$13,A$26)&gt;0,A$26&lt;&gt;B292),A$26,IFERROR(IF(MATCH(A$26,Z$3:Z$13,0)=8,A$26," ")," "))</f>
        <v xml:space="preserve"> </v>
      </c>
      <c r="B466" s="8" t="str">
        <f>IF(A466=" "," ",MAX(B455:B465)+1)</f>
        <v xml:space="preserve"> </v>
      </c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U466" s="34"/>
      <c r="V466" s="34"/>
      <c r="W466" s="34"/>
      <c r="X466" s="34"/>
      <c r="Y466" s="34"/>
      <c r="Z466" s="34"/>
      <c r="AA466" s="34"/>
      <c r="AB466" s="34"/>
      <c r="AC466" s="34"/>
      <c r="AD466" s="34"/>
      <c r="AE466" s="34"/>
      <c r="AF466" s="34"/>
      <c r="AG466" s="34"/>
      <c r="AH466" s="34"/>
      <c r="AI466" s="34"/>
      <c r="AJ466" s="34"/>
      <c r="AK466" s="34"/>
      <c r="AL466" s="34"/>
      <c r="AM466" s="34"/>
      <c r="AN466" s="34"/>
      <c r="AO466" s="34"/>
      <c r="AP466" s="34"/>
      <c r="AQ466" s="34"/>
      <c r="AR466" s="34"/>
      <c r="AS466" s="34"/>
      <c r="AT466" s="34"/>
      <c r="AU466" s="34"/>
      <c r="AV466" s="34"/>
      <c r="AW466" s="34"/>
      <c r="AX466" s="34"/>
      <c r="AY466" s="34"/>
      <c r="AZ466" s="34"/>
      <c r="BA466" s="34"/>
      <c r="BB466" s="34"/>
      <c r="BC466" s="34"/>
      <c r="BD466" s="34"/>
      <c r="BE466" s="34"/>
      <c r="BF466" s="34"/>
      <c r="BG466" s="34"/>
      <c r="BH466" s="34"/>
      <c r="BI466" s="34"/>
      <c r="BJ466" s="34"/>
      <c r="BK466" s="34"/>
      <c r="BL466" s="34"/>
      <c r="BM466" s="34"/>
      <c r="BN466" s="34"/>
      <c r="BO466" s="34"/>
      <c r="BP466" s="34"/>
      <c r="BQ466" s="34"/>
      <c r="BR466" s="34"/>
      <c r="BS466" s="34"/>
      <c r="BT466" s="34"/>
      <c r="BU466" s="34"/>
      <c r="BV466" s="34"/>
      <c r="BW466" s="34"/>
      <c r="BX466" s="34"/>
      <c r="BY466" s="34"/>
      <c r="BZ466" s="34"/>
      <c r="CA466" s="34"/>
      <c r="CB466" s="34"/>
      <c r="CC466" s="34"/>
      <c r="CD466" s="34"/>
      <c r="CE466" s="34"/>
      <c r="CF466" s="34"/>
      <c r="CG466" s="34"/>
      <c r="CH466" s="34"/>
      <c r="CI466" s="8"/>
    </row>
    <row r="467" spans="1:87" x14ac:dyDescent="0.2">
      <c r="A467" s="8" t="str">
        <f>IF(AND(COUNTIF(W$3:W$13,A$27)&gt;0,A$27&lt;&gt;B292),A$27,IFERROR(IF(MATCH(A$27,Z$3:Z$13,0)=8,A$27," ")," "))</f>
        <v>C13</v>
      </c>
      <c r="B467" s="8">
        <f>IF(A467=" "," ",MAX(B455:B466)+1)</f>
        <v>3</v>
      </c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U467" s="34"/>
      <c r="V467" s="34"/>
      <c r="W467" s="34"/>
      <c r="X467" s="34"/>
      <c r="Y467" s="34"/>
      <c r="Z467" s="34"/>
      <c r="AA467" s="34"/>
      <c r="AB467" s="34"/>
      <c r="AC467" s="34"/>
      <c r="AD467" s="34"/>
      <c r="AE467" s="34"/>
      <c r="AF467" s="34"/>
      <c r="AG467" s="34"/>
      <c r="AH467" s="34"/>
      <c r="AI467" s="34"/>
      <c r="AJ467" s="34"/>
      <c r="AK467" s="34"/>
      <c r="AL467" s="34"/>
      <c r="AM467" s="34"/>
      <c r="AN467" s="34"/>
      <c r="AO467" s="34"/>
      <c r="AP467" s="34"/>
      <c r="AQ467" s="34"/>
      <c r="AR467" s="34"/>
      <c r="AS467" s="34"/>
      <c r="AT467" s="34"/>
      <c r="AU467" s="34"/>
      <c r="AV467" s="34"/>
      <c r="AW467" s="34"/>
      <c r="AX467" s="34"/>
      <c r="AY467" s="34"/>
      <c r="AZ467" s="34"/>
      <c r="BA467" s="34"/>
      <c r="BB467" s="34"/>
      <c r="BC467" s="34"/>
      <c r="BD467" s="34"/>
      <c r="BE467" s="34"/>
      <c r="BF467" s="34"/>
      <c r="BG467" s="34"/>
      <c r="BH467" s="34"/>
      <c r="BI467" s="34"/>
      <c r="BJ467" s="34"/>
      <c r="BK467" s="34"/>
      <c r="BL467" s="34"/>
      <c r="BM467" s="34"/>
      <c r="BN467" s="34"/>
      <c r="BO467" s="34"/>
      <c r="BP467" s="34"/>
      <c r="BQ467" s="34"/>
      <c r="BR467" s="34"/>
      <c r="BS467" s="34"/>
      <c r="BT467" s="34"/>
      <c r="BU467" s="34"/>
      <c r="BV467" s="34"/>
      <c r="BW467" s="34"/>
      <c r="BX467" s="34"/>
      <c r="BY467" s="34"/>
      <c r="BZ467" s="34"/>
      <c r="CA467" s="34"/>
      <c r="CB467" s="34"/>
      <c r="CC467" s="34"/>
      <c r="CD467" s="34"/>
      <c r="CE467" s="34"/>
      <c r="CF467" s="34"/>
      <c r="CG467" s="34"/>
      <c r="CH467" s="34"/>
      <c r="CI467" s="8"/>
    </row>
    <row r="468" spans="1:87" x14ac:dyDescent="0.2">
      <c r="A468" s="8" t="str">
        <f>IF(AND(COUNTIF(W$3:W$13,A$28)&gt;0,A$28&lt;&gt;B292),A$28,IFERROR(IF(MATCH(A$28,Z$3:Z$13,0)=8,A$28," ")," "))</f>
        <v xml:space="preserve"> </v>
      </c>
      <c r="B468" s="8" t="str">
        <f>IF(A468=" "," ",MAX(B455:B467)+1)</f>
        <v xml:space="preserve"> </v>
      </c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U468" s="34"/>
      <c r="V468" s="34"/>
      <c r="W468" s="34"/>
      <c r="X468" s="34"/>
      <c r="Y468" s="34"/>
      <c r="Z468" s="34"/>
      <c r="AA468" s="34"/>
      <c r="AB468" s="34"/>
      <c r="AC468" s="34"/>
      <c r="AD468" s="34"/>
      <c r="AE468" s="34"/>
      <c r="AF468" s="34"/>
      <c r="AG468" s="34"/>
      <c r="AH468" s="34"/>
      <c r="AI468" s="34"/>
      <c r="AJ468" s="34"/>
      <c r="AK468" s="34"/>
      <c r="AL468" s="34"/>
      <c r="AM468" s="34"/>
      <c r="AN468" s="34"/>
      <c r="AO468" s="34"/>
      <c r="AP468" s="34"/>
      <c r="AQ468" s="34"/>
      <c r="AR468" s="34"/>
      <c r="AS468" s="34"/>
      <c r="AT468" s="34"/>
      <c r="AU468" s="34"/>
      <c r="AV468" s="34"/>
      <c r="AW468" s="34"/>
      <c r="AX468" s="34"/>
      <c r="AY468" s="34"/>
      <c r="AZ468" s="34"/>
      <c r="BA468" s="34"/>
      <c r="BB468" s="34"/>
      <c r="BC468" s="34"/>
      <c r="BD468" s="34"/>
      <c r="BE468" s="34"/>
      <c r="BF468" s="34"/>
      <c r="BG468" s="34"/>
      <c r="BH468" s="34"/>
      <c r="BI468" s="34"/>
      <c r="BJ468" s="34"/>
      <c r="BK468" s="34"/>
      <c r="BL468" s="34"/>
      <c r="BM468" s="34"/>
      <c r="BN468" s="34"/>
      <c r="BO468" s="34"/>
      <c r="BP468" s="34"/>
      <c r="BQ468" s="34"/>
      <c r="BR468" s="34"/>
      <c r="BS468" s="34"/>
      <c r="BT468" s="34"/>
      <c r="BU468" s="34"/>
      <c r="BV468" s="34"/>
      <c r="BW468" s="34"/>
      <c r="BX468" s="34"/>
      <c r="BY468" s="34"/>
      <c r="BZ468" s="34"/>
      <c r="CA468" s="34"/>
      <c r="CB468" s="34"/>
      <c r="CC468" s="34"/>
      <c r="CD468" s="34"/>
      <c r="CE468" s="34"/>
      <c r="CF468" s="34"/>
      <c r="CG468" s="34"/>
      <c r="CH468" s="34"/>
      <c r="CI468" s="8"/>
    </row>
    <row r="469" spans="1:87" x14ac:dyDescent="0.2">
      <c r="A469" s="8" t="str">
        <f>IF(AND(COUNTIF(W$3:W$13,A$29)&gt;0,A$29&lt;&gt;B292),A$29,IFERROR(IF(MATCH(A$29,Z$3:Z$13,0)=8,A$29," ")," "))</f>
        <v>C15</v>
      </c>
      <c r="B469" s="8">
        <f>IF(A469=" "," ",MAX(B455:B468)+1)</f>
        <v>4</v>
      </c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U469" s="34"/>
      <c r="V469" s="34"/>
      <c r="W469" s="34"/>
      <c r="X469" s="34"/>
      <c r="Y469" s="34"/>
      <c r="Z469" s="34"/>
      <c r="AA469" s="34"/>
      <c r="AB469" s="34"/>
      <c r="AC469" s="34"/>
      <c r="AD469" s="34"/>
      <c r="AE469" s="34"/>
      <c r="AF469" s="34"/>
      <c r="AG469" s="34"/>
      <c r="AH469" s="34"/>
      <c r="AI469" s="34"/>
      <c r="AJ469" s="34"/>
      <c r="AK469" s="34"/>
      <c r="AL469" s="34"/>
      <c r="AM469" s="34"/>
      <c r="AN469" s="34"/>
      <c r="AO469" s="34"/>
      <c r="AP469" s="34"/>
      <c r="AQ469" s="34"/>
      <c r="AR469" s="34"/>
      <c r="AS469" s="34"/>
      <c r="AT469" s="34"/>
      <c r="AU469" s="34"/>
      <c r="AV469" s="34"/>
      <c r="AW469" s="34"/>
      <c r="AX469" s="34"/>
      <c r="AY469" s="34"/>
      <c r="AZ469" s="34"/>
      <c r="BA469" s="34"/>
      <c r="BB469" s="34"/>
      <c r="BC469" s="34"/>
      <c r="BD469" s="34"/>
      <c r="BE469" s="34"/>
      <c r="BF469" s="34"/>
      <c r="BG469" s="34"/>
      <c r="BH469" s="34"/>
      <c r="BI469" s="34"/>
      <c r="BJ469" s="34"/>
      <c r="BK469" s="34"/>
      <c r="BL469" s="34"/>
      <c r="BM469" s="34"/>
      <c r="BN469" s="34"/>
      <c r="BO469" s="34"/>
      <c r="BP469" s="34"/>
      <c r="BQ469" s="34"/>
      <c r="BR469" s="34"/>
      <c r="BS469" s="34"/>
      <c r="BT469" s="34"/>
      <c r="BU469" s="34"/>
      <c r="BV469" s="34"/>
      <c r="BW469" s="34"/>
      <c r="BX469" s="34"/>
      <c r="BY469" s="34"/>
      <c r="BZ469" s="34"/>
      <c r="CA469" s="34"/>
      <c r="CB469" s="34"/>
      <c r="CC469" s="34"/>
      <c r="CD469" s="34"/>
      <c r="CE469" s="34"/>
      <c r="CF469" s="34"/>
      <c r="CG469" s="34"/>
      <c r="CH469" s="34"/>
      <c r="CI469" s="8"/>
    </row>
    <row r="470" spans="1:87" x14ac:dyDescent="0.2">
      <c r="A470" s="8" t="str">
        <f>IF(AND(COUNTIF(W$3:W$13,A$30)&gt;0,A$30&lt;&gt;B292),A$30,IFERROR(IF(MATCH(A$30,Z$3:Z$13,0)=8,A$30," ")," "))</f>
        <v>C16</v>
      </c>
      <c r="B470" s="8">
        <f>IF(A470=" "," ",MAX(B455:B469)+1)</f>
        <v>5</v>
      </c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U470" s="34"/>
      <c r="V470" s="34"/>
      <c r="W470" s="34"/>
      <c r="X470" s="34"/>
      <c r="Y470" s="34"/>
      <c r="Z470" s="34"/>
      <c r="AA470" s="34"/>
      <c r="AB470" s="34"/>
      <c r="AC470" s="34"/>
      <c r="AD470" s="34"/>
      <c r="AE470" s="34"/>
      <c r="AF470" s="34"/>
      <c r="AG470" s="34"/>
      <c r="AH470" s="34"/>
      <c r="AI470" s="34"/>
      <c r="AJ470" s="34"/>
      <c r="AK470" s="34"/>
      <c r="AL470" s="34"/>
      <c r="AM470" s="34"/>
      <c r="AN470" s="34"/>
      <c r="AO470" s="34"/>
      <c r="AP470" s="34"/>
      <c r="AQ470" s="34"/>
      <c r="AR470" s="34"/>
      <c r="AS470" s="34"/>
      <c r="AT470" s="34"/>
      <c r="AU470" s="34"/>
      <c r="AV470" s="34"/>
      <c r="AW470" s="34"/>
      <c r="AX470" s="34"/>
      <c r="AY470" s="34"/>
      <c r="AZ470" s="34"/>
      <c r="BA470" s="34"/>
      <c r="BB470" s="34"/>
      <c r="BC470" s="34"/>
      <c r="BD470" s="34"/>
      <c r="BE470" s="34"/>
      <c r="BF470" s="34"/>
      <c r="BG470" s="34"/>
      <c r="BH470" s="34"/>
      <c r="BI470" s="34"/>
      <c r="BJ470" s="34"/>
      <c r="BK470" s="34"/>
      <c r="BL470" s="34"/>
      <c r="BM470" s="34"/>
      <c r="BN470" s="34"/>
      <c r="BO470" s="34"/>
      <c r="BP470" s="34"/>
      <c r="BQ470" s="34"/>
      <c r="BR470" s="34"/>
      <c r="BS470" s="34"/>
      <c r="BT470" s="34"/>
      <c r="BU470" s="34"/>
      <c r="BV470" s="34"/>
      <c r="BW470" s="34"/>
      <c r="BX470" s="34"/>
      <c r="BY470" s="34"/>
      <c r="BZ470" s="34"/>
      <c r="CA470" s="34"/>
      <c r="CB470" s="34"/>
      <c r="CC470" s="34"/>
      <c r="CD470" s="34"/>
      <c r="CE470" s="34"/>
      <c r="CF470" s="34"/>
      <c r="CG470" s="34"/>
      <c r="CH470" s="34"/>
      <c r="CI470" s="8"/>
    </row>
    <row r="471" spans="1:87" x14ac:dyDescent="0.2">
      <c r="A471" s="8" t="str">
        <f>IF(AND(COUNTIF(W$3:W$13,A$31)&gt;0,A$31&lt;&gt;B292),A$31,IFERROR(IF(MATCH(A$31,Z$3:Z$13,0)=8,A$31," ")," "))</f>
        <v>C17</v>
      </c>
      <c r="B471" s="8">
        <f>IF(A471=" "," ",MAX(B455:B470)+1)</f>
        <v>6</v>
      </c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U471" s="34"/>
      <c r="V471" s="34"/>
      <c r="W471" s="34"/>
      <c r="X471" s="34"/>
      <c r="Y471" s="34"/>
      <c r="Z471" s="34"/>
      <c r="AA471" s="34"/>
      <c r="AB471" s="34"/>
      <c r="AC471" s="34"/>
      <c r="AD471" s="34"/>
      <c r="AE471" s="34"/>
      <c r="AF471" s="34"/>
      <c r="AG471" s="34"/>
      <c r="AH471" s="34"/>
      <c r="AI471" s="34"/>
      <c r="AJ471" s="34"/>
      <c r="AK471" s="34"/>
      <c r="AL471" s="34"/>
      <c r="AM471" s="34"/>
      <c r="AN471" s="34"/>
      <c r="AO471" s="34"/>
      <c r="AP471" s="34"/>
      <c r="AQ471" s="34"/>
      <c r="AR471" s="34"/>
      <c r="AS471" s="34"/>
      <c r="AT471" s="34"/>
      <c r="AU471" s="34"/>
      <c r="AV471" s="34"/>
      <c r="AW471" s="34"/>
      <c r="AX471" s="34"/>
      <c r="AY471" s="34"/>
      <c r="AZ471" s="34"/>
      <c r="BA471" s="34"/>
      <c r="BB471" s="34"/>
      <c r="BC471" s="34"/>
      <c r="BD471" s="34"/>
      <c r="BE471" s="34"/>
      <c r="BF471" s="34"/>
      <c r="BG471" s="34"/>
      <c r="BH471" s="34"/>
      <c r="BI471" s="34"/>
      <c r="BJ471" s="34"/>
      <c r="BK471" s="34"/>
      <c r="BL471" s="34"/>
      <c r="BM471" s="34"/>
      <c r="BN471" s="34"/>
      <c r="BO471" s="34"/>
      <c r="BP471" s="34"/>
      <c r="BQ471" s="34"/>
      <c r="BR471" s="34"/>
      <c r="BS471" s="34"/>
      <c r="BT471" s="34"/>
      <c r="BU471" s="34"/>
      <c r="BV471" s="34"/>
      <c r="BW471" s="34"/>
      <c r="BX471" s="34"/>
      <c r="BY471" s="34"/>
      <c r="BZ471" s="34"/>
      <c r="CA471" s="34"/>
      <c r="CB471" s="34"/>
      <c r="CC471" s="34"/>
      <c r="CD471" s="34"/>
      <c r="CE471" s="34"/>
      <c r="CF471" s="34"/>
      <c r="CG471" s="34"/>
      <c r="CH471" s="34"/>
      <c r="CI471" s="8"/>
    </row>
    <row r="472" spans="1:87" x14ac:dyDescent="0.2">
      <c r="A472" s="8" t="str">
        <f>IF(AND(COUNTIF(W$3:W$13,A$32)&gt;0,A$32&lt;&gt;B292),A$32,IFERROR(IF(MATCH(A$32,Z$3:Z$13,0)=8,A$32," ")," "))</f>
        <v>C18</v>
      </c>
      <c r="B472" s="8">
        <f>IF(A472=" "," ",MAX(B455:B471)+1)</f>
        <v>7</v>
      </c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U472" s="34"/>
      <c r="V472" s="34"/>
      <c r="W472" s="34"/>
      <c r="X472" s="34"/>
      <c r="Y472" s="34"/>
      <c r="Z472" s="34"/>
      <c r="AA472" s="34"/>
      <c r="AB472" s="34"/>
      <c r="AC472" s="34"/>
      <c r="AD472" s="34"/>
      <c r="AE472" s="34"/>
      <c r="AF472" s="34"/>
      <c r="AG472" s="34"/>
      <c r="AH472" s="34"/>
      <c r="AI472" s="34"/>
      <c r="AJ472" s="34"/>
      <c r="AK472" s="34"/>
      <c r="AL472" s="34"/>
      <c r="AM472" s="34"/>
      <c r="AN472" s="34"/>
      <c r="AO472" s="34"/>
      <c r="AP472" s="34"/>
      <c r="AQ472" s="34"/>
      <c r="AR472" s="34"/>
      <c r="AS472" s="34"/>
      <c r="AT472" s="34"/>
      <c r="AU472" s="34"/>
      <c r="AV472" s="34"/>
      <c r="AW472" s="34"/>
      <c r="AX472" s="34"/>
      <c r="AY472" s="34"/>
      <c r="AZ472" s="34"/>
      <c r="BA472" s="34"/>
      <c r="BB472" s="34"/>
      <c r="BC472" s="34"/>
      <c r="BD472" s="34"/>
      <c r="BE472" s="34"/>
      <c r="BF472" s="34"/>
      <c r="BG472" s="34"/>
      <c r="BH472" s="34"/>
      <c r="BI472" s="34"/>
      <c r="BJ472" s="34"/>
      <c r="BK472" s="34"/>
      <c r="BL472" s="34"/>
      <c r="BM472" s="34"/>
      <c r="BN472" s="34"/>
      <c r="BO472" s="34"/>
      <c r="BP472" s="34"/>
      <c r="BQ472" s="34"/>
      <c r="BR472" s="34"/>
      <c r="BS472" s="34"/>
      <c r="BT472" s="34"/>
      <c r="BU472" s="34"/>
      <c r="BV472" s="34"/>
      <c r="BW472" s="34"/>
      <c r="BX472" s="34"/>
      <c r="BY472" s="34"/>
      <c r="BZ472" s="34"/>
      <c r="CA472" s="34"/>
      <c r="CB472" s="34"/>
      <c r="CC472" s="34"/>
      <c r="CD472" s="34"/>
      <c r="CE472" s="34"/>
      <c r="CF472" s="34"/>
      <c r="CG472" s="34"/>
      <c r="CH472" s="34"/>
      <c r="CI472" s="8"/>
    </row>
    <row r="473" spans="1:87" x14ac:dyDescent="0.2">
      <c r="A473" s="8" t="str">
        <f>IF(AND(COUNTIF(W$3:W$13,A$33)&gt;0,A$33&lt;&gt;B292),A$33,IFERROR(IF(MATCH(A$33,Z$3:Z$13,0)=8,A$33," ")," "))</f>
        <v>C19</v>
      </c>
      <c r="B473" s="8">
        <f>IF(A473=" "," ",MAX(B455:B472)+1)</f>
        <v>8</v>
      </c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U473" s="34"/>
      <c r="V473" s="34"/>
      <c r="W473" s="34"/>
      <c r="X473" s="34"/>
      <c r="Y473" s="34"/>
      <c r="Z473" s="34"/>
      <c r="AA473" s="34"/>
      <c r="AB473" s="34"/>
      <c r="AC473" s="34"/>
      <c r="AD473" s="34"/>
      <c r="AE473" s="34"/>
      <c r="AF473" s="34"/>
      <c r="AG473" s="34"/>
      <c r="AH473" s="34"/>
      <c r="AI473" s="34"/>
      <c r="AJ473" s="34"/>
      <c r="AK473" s="34"/>
      <c r="AL473" s="34"/>
      <c r="AM473" s="34"/>
      <c r="AN473" s="34"/>
      <c r="AO473" s="34"/>
      <c r="AP473" s="34"/>
      <c r="AQ473" s="34"/>
      <c r="AR473" s="34"/>
      <c r="AS473" s="34"/>
      <c r="AT473" s="34"/>
      <c r="AU473" s="34"/>
      <c r="AV473" s="34"/>
      <c r="AW473" s="34"/>
      <c r="AX473" s="34"/>
      <c r="AY473" s="34"/>
      <c r="AZ473" s="34"/>
      <c r="BA473" s="34"/>
      <c r="BB473" s="34"/>
      <c r="BC473" s="34"/>
      <c r="BD473" s="34"/>
      <c r="BE473" s="34"/>
      <c r="BF473" s="34"/>
      <c r="BG473" s="34"/>
      <c r="BH473" s="34"/>
      <c r="BI473" s="34"/>
      <c r="BJ473" s="34"/>
      <c r="BK473" s="34"/>
      <c r="BL473" s="34"/>
      <c r="BM473" s="34"/>
      <c r="BN473" s="34"/>
      <c r="BO473" s="34"/>
      <c r="BP473" s="34"/>
      <c r="BQ473" s="34"/>
      <c r="BR473" s="34"/>
      <c r="BS473" s="34"/>
      <c r="BT473" s="34"/>
      <c r="BU473" s="34"/>
      <c r="BV473" s="34"/>
      <c r="BW473" s="34"/>
      <c r="BX473" s="34"/>
      <c r="BY473" s="34"/>
      <c r="BZ473" s="34"/>
      <c r="CA473" s="34"/>
      <c r="CB473" s="34"/>
      <c r="CC473" s="34"/>
      <c r="CD473" s="34"/>
      <c r="CE473" s="34"/>
      <c r="CF473" s="34"/>
      <c r="CG473" s="34"/>
      <c r="CH473" s="34"/>
      <c r="CI473" s="8"/>
    </row>
    <row r="474" spans="1:87" x14ac:dyDescent="0.2">
      <c r="A474" s="8" t="str">
        <f>IF(AND(COUNTIF(W$3:W$13,A$34)&gt;0,A$34&lt;&gt;B292),A$34,IFERROR(IF(MATCH(A$34,Z$3:Z$13,0)=8,A$34," ")," "))</f>
        <v>C20</v>
      </c>
      <c r="B474" s="8">
        <f>IF(A474=" "," ",MAX(B455:B473)+1)</f>
        <v>9</v>
      </c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U474" s="34"/>
      <c r="V474" s="34"/>
      <c r="W474" s="34"/>
      <c r="X474" s="34"/>
      <c r="Y474" s="34"/>
      <c r="Z474" s="34"/>
      <c r="AA474" s="34"/>
      <c r="AB474" s="34"/>
      <c r="AC474" s="34"/>
      <c r="AD474" s="34"/>
      <c r="AE474" s="34"/>
      <c r="AF474" s="34"/>
      <c r="AG474" s="34"/>
      <c r="AH474" s="34"/>
      <c r="AI474" s="34"/>
      <c r="AJ474" s="34"/>
      <c r="AK474" s="34"/>
      <c r="AL474" s="34"/>
      <c r="AM474" s="34"/>
      <c r="AN474" s="34"/>
      <c r="AO474" s="34"/>
      <c r="AP474" s="34"/>
      <c r="AQ474" s="34"/>
      <c r="AR474" s="34"/>
      <c r="AS474" s="34"/>
      <c r="AT474" s="34"/>
      <c r="AU474" s="34"/>
      <c r="AV474" s="34"/>
      <c r="AW474" s="34"/>
      <c r="AX474" s="34"/>
      <c r="AY474" s="34"/>
      <c r="AZ474" s="34"/>
      <c r="BA474" s="34"/>
      <c r="BB474" s="34"/>
      <c r="BC474" s="34"/>
      <c r="BD474" s="34"/>
      <c r="BE474" s="34"/>
      <c r="BF474" s="34"/>
      <c r="BG474" s="34"/>
      <c r="BH474" s="34"/>
      <c r="BI474" s="34"/>
      <c r="BJ474" s="34"/>
      <c r="BK474" s="34"/>
      <c r="BL474" s="34"/>
      <c r="BM474" s="34"/>
      <c r="BN474" s="34"/>
      <c r="BO474" s="34"/>
      <c r="BP474" s="34"/>
      <c r="BQ474" s="34"/>
      <c r="BR474" s="34"/>
      <c r="BS474" s="34"/>
      <c r="BT474" s="34"/>
      <c r="BU474" s="34"/>
      <c r="BV474" s="34"/>
      <c r="BW474" s="34"/>
      <c r="BX474" s="34"/>
      <c r="BY474" s="34"/>
      <c r="BZ474" s="34"/>
      <c r="CA474" s="34"/>
      <c r="CB474" s="34"/>
      <c r="CC474" s="34"/>
      <c r="CD474" s="34"/>
      <c r="CE474" s="34"/>
      <c r="CF474" s="34"/>
      <c r="CG474" s="34"/>
      <c r="CH474" s="34"/>
      <c r="CI474" s="8"/>
    </row>
    <row r="475" spans="1:87" x14ac:dyDescent="0.2">
      <c r="A475" s="8" t="str">
        <f>IF(AND(COUNTIF(W$3:W$13,A$35)&gt;0,A$35&lt;&gt;B292),A$35,IFERROR(IF(MATCH(A$35,Z$3:Z$13,0)=8,A$35," ")," "))</f>
        <v>C21</v>
      </c>
      <c r="B475" s="8">
        <f>IF(A475=" "," ",MAX(B455:B474)+1)</f>
        <v>10</v>
      </c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U475" s="34"/>
      <c r="V475" s="34"/>
      <c r="W475" s="34"/>
      <c r="X475" s="34"/>
      <c r="Y475" s="34"/>
      <c r="Z475" s="34"/>
      <c r="AA475" s="34"/>
      <c r="AB475" s="34"/>
      <c r="AC475" s="34"/>
      <c r="AD475" s="34"/>
      <c r="AE475" s="34"/>
      <c r="AF475" s="34"/>
      <c r="AG475" s="34"/>
      <c r="AH475" s="34"/>
      <c r="AI475" s="34"/>
      <c r="AJ475" s="34"/>
      <c r="AK475" s="34"/>
      <c r="AL475" s="34"/>
      <c r="AM475" s="34"/>
      <c r="AN475" s="34"/>
      <c r="AO475" s="34"/>
      <c r="AP475" s="34"/>
      <c r="AQ475" s="34"/>
      <c r="AR475" s="34"/>
      <c r="AS475" s="34"/>
      <c r="AT475" s="34"/>
      <c r="AU475" s="34"/>
      <c r="AV475" s="34"/>
      <c r="AW475" s="34"/>
      <c r="AX475" s="34"/>
      <c r="AY475" s="34"/>
      <c r="AZ475" s="34"/>
      <c r="BA475" s="34"/>
      <c r="BB475" s="34"/>
      <c r="BC475" s="34"/>
      <c r="BD475" s="34"/>
      <c r="BE475" s="34"/>
      <c r="BF475" s="34"/>
      <c r="BG475" s="34"/>
      <c r="BH475" s="34"/>
      <c r="BI475" s="34"/>
      <c r="BJ475" s="34"/>
      <c r="BK475" s="34"/>
      <c r="BL475" s="34"/>
      <c r="BM475" s="34"/>
      <c r="BN475" s="34"/>
      <c r="BO475" s="34"/>
      <c r="BP475" s="34"/>
      <c r="BQ475" s="34"/>
      <c r="BR475" s="34"/>
      <c r="BS475" s="34"/>
      <c r="BT475" s="34"/>
      <c r="BU475" s="34"/>
      <c r="BV475" s="34"/>
      <c r="BW475" s="34"/>
      <c r="BX475" s="34"/>
      <c r="BY475" s="34"/>
      <c r="BZ475" s="34"/>
      <c r="CA475" s="34"/>
      <c r="CB475" s="34"/>
      <c r="CC475" s="34"/>
      <c r="CD475" s="34"/>
      <c r="CE475" s="34"/>
      <c r="CF475" s="34"/>
      <c r="CG475" s="34"/>
      <c r="CH475" s="34"/>
      <c r="CI475" s="8"/>
    </row>
    <row r="476" spans="1:87" x14ac:dyDescent="0.2">
      <c r="A476" s="8" t="str">
        <f>IF(AND(COUNTIF(W$3:W$13,A$36)&gt;0,A$36&lt;&gt;B292),A$36,IFERROR(IF(MATCH(A$36,Z$3:Z$13,0)=8,A$36," ")," "))</f>
        <v>C22</v>
      </c>
      <c r="B476" s="8">
        <f>IF(A476=" "," ",MAX(B455:B475)+1)</f>
        <v>11</v>
      </c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U476" s="34"/>
      <c r="V476" s="34"/>
      <c r="W476" s="34"/>
      <c r="X476" s="34"/>
      <c r="Y476" s="34"/>
      <c r="Z476" s="34"/>
      <c r="AA476" s="34"/>
      <c r="AB476" s="34"/>
      <c r="AC476" s="34"/>
      <c r="AD476" s="34"/>
      <c r="AE476" s="34"/>
      <c r="AF476" s="34"/>
      <c r="AG476" s="34"/>
      <c r="AH476" s="34"/>
      <c r="AI476" s="34"/>
      <c r="AJ476" s="34"/>
      <c r="AK476" s="34"/>
      <c r="AL476" s="34"/>
      <c r="AM476" s="34"/>
      <c r="AN476" s="34"/>
      <c r="AO476" s="34"/>
      <c r="AP476" s="34"/>
      <c r="AQ476" s="34"/>
      <c r="AR476" s="34"/>
      <c r="AS476" s="34"/>
      <c r="AT476" s="34"/>
      <c r="AU476" s="34"/>
      <c r="AV476" s="34"/>
      <c r="AW476" s="34"/>
      <c r="AX476" s="34"/>
      <c r="AY476" s="34"/>
      <c r="AZ476" s="34"/>
      <c r="BA476" s="34"/>
      <c r="BB476" s="34"/>
      <c r="BC476" s="34"/>
      <c r="BD476" s="34"/>
      <c r="BE476" s="34"/>
      <c r="BF476" s="34"/>
      <c r="BG476" s="34"/>
      <c r="BH476" s="34"/>
      <c r="BI476" s="34"/>
      <c r="BJ476" s="34"/>
      <c r="BK476" s="34"/>
      <c r="BL476" s="34"/>
      <c r="BM476" s="34"/>
      <c r="BN476" s="34"/>
      <c r="BO476" s="34"/>
      <c r="BP476" s="34"/>
      <c r="BQ476" s="34"/>
      <c r="BR476" s="34"/>
      <c r="BS476" s="34"/>
      <c r="BT476" s="34"/>
      <c r="BU476" s="34"/>
      <c r="BV476" s="34"/>
      <c r="BW476" s="34"/>
      <c r="BX476" s="34"/>
      <c r="BY476" s="34"/>
      <c r="BZ476" s="34"/>
      <c r="CA476" s="34"/>
      <c r="CB476" s="34"/>
      <c r="CC476" s="34"/>
      <c r="CD476" s="34"/>
      <c r="CE476" s="34"/>
      <c r="CF476" s="34"/>
      <c r="CG476" s="34"/>
      <c r="CH476" s="34"/>
      <c r="CI476" s="8"/>
    </row>
    <row r="477" spans="1:87" x14ac:dyDescent="0.2">
      <c r="A477" s="11" t="s">
        <v>17</v>
      </c>
      <c r="B477" s="11"/>
      <c r="C477" s="27" t="s">
        <v>18</v>
      </c>
      <c r="D477" s="27" t="s">
        <v>2</v>
      </c>
      <c r="E477" s="27" t="s">
        <v>6</v>
      </c>
      <c r="F477" s="27" t="s">
        <v>15</v>
      </c>
      <c r="G477" s="27" t="s">
        <v>36</v>
      </c>
      <c r="H477" s="27" t="s">
        <v>37</v>
      </c>
      <c r="I477" s="27" t="s">
        <v>38</v>
      </c>
      <c r="J477" s="27" t="s">
        <v>39</v>
      </c>
      <c r="K477" s="27" t="s">
        <v>40</v>
      </c>
      <c r="L477" s="27" t="s">
        <v>41</v>
      </c>
      <c r="M477" s="27" t="s">
        <v>42</v>
      </c>
      <c r="N477" s="27" t="s">
        <v>43</v>
      </c>
      <c r="O477" s="27" t="s">
        <v>9</v>
      </c>
      <c r="P477" s="27" t="s">
        <v>12</v>
      </c>
      <c r="Q477" s="27" t="s">
        <v>19</v>
      </c>
      <c r="R477" s="27" t="s">
        <v>55</v>
      </c>
      <c r="S477" s="27" t="s">
        <v>26</v>
      </c>
      <c r="T477" s="19" t="s">
        <v>25</v>
      </c>
      <c r="U477" s="33" t="s">
        <v>27</v>
      </c>
      <c r="V477" s="33" t="s">
        <v>9</v>
      </c>
      <c r="W477" s="33" t="s">
        <v>23</v>
      </c>
      <c r="X477" s="33" t="s">
        <v>12</v>
      </c>
      <c r="Y477" s="33" t="s">
        <v>26</v>
      </c>
      <c r="Z477" s="33" t="s">
        <v>25</v>
      </c>
      <c r="AA477" s="33" t="s">
        <v>27</v>
      </c>
      <c r="AB477" s="33" t="s">
        <v>9</v>
      </c>
      <c r="AC477" s="33" t="s">
        <v>23</v>
      </c>
      <c r="AD477" s="33" t="s">
        <v>12</v>
      </c>
      <c r="AE477" s="33" t="s">
        <v>26</v>
      </c>
      <c r="AF477" s="33" t="s">
        <v>25</v>
      </c>
      <c r="AG477" s="33" t="s">
        <v>27</v>
      </c>
      <c r="AH477" s="33" t="s">
        <v>9</v>
      </c>
      <c r="AI477" s="33" t="s">
        <v>23</v>
      </c>
      <c r="AJ477" s="33" t="s">
        <v>12</v>
      </c>
      <c r="AK477" s="33" t="s">
        <v>26</v>
      </c>
      <c r="AL477" s="33" t="s">
        <v>25</v>
      </c>
      <c r="AM477" s="33" t="s">
        <v>27</v>
      </c>
      <c r="AN477" s="33" t="s">
        <v>9</v>
      </c>
      <c r="AO477" s="33" t="s">
        <v>23</v>
      </c>
      <c r="AP477" s="33" t="s">
        <v>12</v>
      </c>
      <c r="AQ477" s="33" t="s">
        <v>26</v>
      </c>
      <c r="AR477" s="33" t="s">
        <v>25</v>
      </c>
      <c r="AS477" s="33" t="s">
        <v>27</v>
      </c>
      <c r="AT477" s="33" t="s">
        <v>9</v>
      </c>
      <c r="AU477" s="33" t="s">
        <v>23</v>
      </c>
      <c r="AV477" s="33" t="s">
        <v>12</v>
      </c>
      <c r="AW477" s="33" t="s">
        <v>26</v>
      </c>
      <c r="AX477" s="33" t="s">
        <v>25</v>
      </c>
      <c r="AY477" s="33" t="s">
        <v>27</v>
      </c>
      <c r="AZ477" s="33" t="s">
        <v>9</v>
      </c>
      <c r="BA477" s="33" t="s">
        <v>23</v>
      </c>
      <c r="BB477" s="33" t="s">
        <v>12</v>
      </c>
      <c r="BC477" s="33" t="s">
        <v>26</v>
      </c>
      <c r="BD477" s="33" t="s">
        <v>25</v>
      </c>
      <c r="BE477" s="33" t="s">
        <v>27</v>
      </c>
      <c r="BF477" s="33" t="s">
        <v>9</v>
      </c>
      <c r="BG477" s="33" t="s">
        <v>23</v>
      </c>
      <c r="BH477" s="33" t="s">
        <v>12</v>
      </c>
      <c r="BI477" s="33" t="s">
        <v>26</v>
      </c>
      <c r="BJ477" s="33" t="s">
        <v>25</v>
      </c>
      <c r="BK477" s="33" t="s">
        <v>27</v>
      </c>
      <c r="BL477" s="33" t="s">
        <v>9</v>
      </c>
      <c r="BM477" s="33" t="s">
        <v>23</v>
      </c>
      <c r="BN477" s="33" t="s">
        <v>12</v>
      </c>
      <c r="BO477" s="33" t="s">
        <v>26</v>
      </c>
      <c r="BP477" s="33" t="s">
        <v>25</v>
      </c>
      <c r="BQ477" s="33" t="s">
        <v>27</v>
      </c>
      <c r="BR477" s="33" t="s">
        <v>9</v>
      </c>
      <c r="BS477" s="33" t="s">
        <v>23</v>
      </c>
      <c r="BT477" s="33" t="s">
        <v>12</v>
      </c>
      <c r="BU477" s="33" t="s">
        <v>26</v>
      </c>
      <c r="BV477" s="33" t="s">
        <v>25</v>
      </c>
      <c r="BW477" s="33" t="s">
        <v>27</v>
      </c>
      <c r="BX477" s="33" t="s">
        <v>9</v>
      </c>
      <c r="BY477" s="33" t="s">
        <v>23</v>
      </c>
      <c r="BZ477" s="33" t="s">
        <v>12</v>
      </c>
      <c r="CA477" s="33" t="s">
        <v>26</v>
      </c>
      <c r="CB477" s="33" t="s">
        <v>25</v>
      </c>
      <c r="CC477" s="33" t="s">
        <v>27</v>
      </c>
      <c r="CD477" s="33" t="s">
        <v>9</v>
      </c>
      <c r="CE477" s="33" t="s">
        <v>23</v>
      </c>
      <c r="CF477" s="33" t="s">
        <v>12</v>
      </c>
      <c r="CG477" s="33" t="s">
        <v>26</v>
      </c>
      <c r="CH477" s="33" t="s">
        <v>25</v>
      </c>
      <c r="CI477" s="8"/>
    </row>
    <row r="478" spans="1:87" x14ac:dyDescent="0.2">
      <c r="A478" s="8" t="str">
        <f>IF(AND(COUNTIF(W$3:W$13,A$15)&gt;0,A$15&lt;&gt;B292),A$15,IFERROR(IF(MATCH(A$15,Z$3:Z$13,0)=9,A$15," ")," "))</f>
        <v xml:space="preserve"> </v>
      </c>
      <c r="B478" s="8" t="str">
        <f>IF(A478=" "," ",1)</f>
        <v xml:space="preserve"> </v>
      </c>
      <c r="C478" s="8" t="str">
        <f>IFERROR(INDEX(A478:A499,MATCH(SMALL(B478:B499,1),B478:B499,0),1)," ")</f>
        <v>C3</v>
      </c>
      <c r="D478" s="8">
        <f>IFERROR(VLOOKUP($C478,$A$15:$O$36,2,FALSE)," ")</f>
        <v>2</v>
      </c>
      <c r="E478" s="8">
        <f>IFERROR(VLOOKUP($C478,$A$15:$O$36,3,FALSE)," ")</f>
        <v>5</v>
      </c>
      <c r="F478" s="8">
        <f>IFERROR(VLOOKUP($C478,$A$15:$O$36,4,FALSE)," ")</f>
        <v>6</v>
      </c>
      <c r="G478" s="8">
        <f>IFERROR(VLOOKUP($C478,$A$15:$O$36,5,FALSE)," ")</f>
        <v>0</v>
      </c>
      <c r="H478" s="8">
        <f>IFERROR(VLOOKUP($C478,$A$15:$O$36,6,FALSE)," ")</f>
        <v>0</v>
      </c>
      <c r="I478" s="8">
        <f>IFERROR(VLOOKUP($C478,$A$15:$O$36,7,FALSE)," ")</f>
        <v>0</v>
      </c>
      <c r="J478" s="8">
        <f>IFERROR(VLOOKUP($C478,$A$15:$O$36,8,FALSE)," ")</f>
        <v>0</v>
      </c>
      <c r="K478" s="8">
        <f>IFERROR(VLOOKUP($C478,$A$15:$O$36,9,FALSE)," ")</f>
        <v>0</v>
      </c>
      <c r="L478" s="8">
        <f>IFERROR(VLOOKUP($C478,$A$15:$O$36,10,FALSE)," ")</f>
        <v>0</v>
      </c>
      <c r="M478" s="8">
        <f>IFERROR(VLOOKUP($C478,$A$15:$O$36,11,FALSE)," ")</f>
        <v>0</v>
      </c>
      <c r="N478" s="8">
        <f>IFERROR(VLOOKUP($C478,$A$15:$O$36,12,FALSE)," ")</f>
        <v>0</v>
      </c>
      <c r="O478" s="8">
        <f>IFERROR(VLOOKUP($C478,$A$15:$O$36,15,FALSE)," ")</f>
        <v>2000</v>
      </c>
      <c r="P478" s="8" t="e">
        <f t="array" ref="P478:P488">MMULT(MINVERSE(D478:N488),O478:O488)</f>
        <v>#NUM!</v>
      </c>
      <c r="Q478" s="8" t="e">
        <f t="shared" ref="Q478" si="1854">IF(COUNTIF(P478:P488,"&lt;"&amp;-0.001)=0,IF(ABS(P478)&lt;0.001,0,P478)," ")</f>
        <v>#NUM!</v>
      </c>
      <c r="R478" s="8" t="str">
        <f>IFERROR(VLOOKUP(B292,A$15:L$36,2,FALSE)*Q478+VLOOKUP(B292,A$15:L$36,3,FALSE)*Q479+VLOOKUP(B292,A$15:L$36,4,FALSE)*Q480+VLOOKUP(B292,A$15:L$36,5,FALSE)*Q481+VLOOKUP(B292,A$15:L$36,6,FALSE)*Q482+VLOOKUP(B292,A$15:L$36,7,FALSE)*Q483+VLOOKUP(B292,A$15:L$36,8,FALSE)*Q484+VLOOKUP(B292,A$15:L$36,9,FALSE)*Q485+VLOOKUP(B292,A$15:L$36,10,FALSE)*Q486+VLOOKUP(B292,A$15:L$36,11,FALSE)*Q487+VLOOKUP(B292,A$15:L$36,12,FALSE)*Q488," ")</f>
        <v xml:space="preserve"> </v>
      </c>
      <c r="S478" s="8" t="str">
        <f>IFERROR(IF(R478-VLOOKUP(B292,A$15:O$36,15,FALSE)&lt;0,R478-VLOOKUP(B292,A$15:O$36,15,FALSE)," ")," ")</f>
        <v xml:space="preserve"> </v>
      </c>
      <c r="T478" s="18" t="str">
        <f>IFERROR(IF(R478-VLOOKUP(B292,A$15:O$36,15,FALSE)&gt;0,R478-VLOOKUP(B292,A$15:O$36,15,FALSE)," ")," ")</f>
        <v xml:space="preserve"> </v>
      </c>
      <c r="U478" s="34">
        <f t="shared" ref="U478" si="1855">$M$2</f>
        <v>100.00000000000001</v>
      </c>
      <c r="V478" s="34">
        <v>-1</v>
      </c>
      <c r="W478" s="34">
        <f t="shared" ref="W478" si="1856">-SUMPRODUCT($M$3:$M$12,$N$3:$N$12)</f>
        <v>-105000</v>
      </c>
      <c r="X478" s="34" t="e">
        <f t="shared" ref="X478" si="1857">IF(U478&lt;&gt;U479,MMULT(MINVERSE(U478:V479),W478:W479)," ")</f>
        <v>#NUM!</v>
      </c>
      <c r="Y478" s="34" t="str">
        <f t="shared" ref="Y478" si="1858">IFERROR(IF(X478-VLOOKUP(U$38,$A$2:$N$12,14,FALSE)&lt;0,X478-VLOOKUP(U$38,$A$2:$N$12,14,FALSE)," ")," ")</f>
        <v xml:space="preserve"> </v>
      </c>
      <c r="Z478" s="34" t="str">
        <f t="shared" ref="Z478" si="1859">IFERROR(IF(X478-VLOOKUP(U$38,$A$2:$N$12,14,FALSE)&gt;0,X478-VLOOKUP(U$38,$A$2:$N$12,14,FALSE)," ")," ")</f>
        <v xml:space="preserve"> </v>
      </c>
      <c r="AA478" s="34">
        <f t="shared" ref="AA478" si="1860">$M$3</f>
        <v>0</v>
      </c>
      <c r="AB478" s="34">
        <v>-1</v>
      </c>
      <c r="AC478" s="34">
        <f t="shared" ref="AC478" si="1861">-SUMPRODUCT($M$2:$M$2,$N$2:$N$2)-SUMPRODUCT($M$4:$M$12,$N$4:$N$12)</f>
        <v>-120000</v>
      </c>
      <c r="AD478" s="34" t="e">
        <f t="shared" ref="AD478" si="1862">IF(AA478&lt;&gt;AA479,MMULT(MINVERSE(AA478:AB479),AC478:AC479)," ")</f>
        <v>#NUM!</v>
      </c>
      <c r="AE478" s="34" t="str">
        <f t="shared" ref="AE478" si="1863">IFERROR(IF(AD478-VLOOKUP(AA$38,$A$2:$N$12,14,FALSE)&lt;0,AD478-VLOOKUP(AA$38,$A$2:$N$12,14,FALSE)," ")," ")</f>
        <v xml:space="preserve"> </v>
      </c>
      <c r="AF478" s="34" t="str">
        <f t="shared" ref="AF478" si="1864">IFERROR(IF(AD478-VLOOKUP(AA$38,$A$2:$N$12,14,FALSE)&gt;0,AD478-VLOOKUP(AA$38,$A$2:$N$12,14,FALSE)," ")," ")</f>
        <v xml:space="preserve"> </v>
      </c>
      <c r="AG478" s="34">
        <f t="shared" ref="AG478" si="1865">$M$4</f>
        <v>300</v>
      </c>
      <c r="AH478" s="34">
        <v>-1</v>
      </c>
      <c r="AI478" s="34">
        <f t="shared" ref="AI478" si="1866">-SUMPRODUCT($M$2:$M$3,$N$2:$N$3)-SUMPRODUCT($M$5:$M$12,$N$5:$N$12)</f>
        <v>-15000.000000000002</v>
      </c>
      <c r="AJ478" s="34" t="e">
        <f t="shared" ref="AJ478" si="1867">IF(AG478&lt;&gt;AG479,MMULT(MINVERSE(AG478:AH479),AI478:AI479)," ")</f>
        <v>#NUM!</v>
      </c>
      <c r="AK478" s="34" t="str">
        <f t="shared" ref="AK478" si="1868">IFERROR(IF(AJ478-VLOOKUP(AG$38,$A$2:$N$12,14,FALSE)&lt;0,AJ478-VLOOKUP(AG$38,$A$2:$N$12,14,FALSE)," ")," ")</f>
        <v xml:space="preserve"> </v>
      </c>
      <c r="AL478" s="34" t="str">
        <f t="shared" ref="AL478" si="1869">IFERROR(IF(AJ478-VLOOKUP(AG$38,$A$2:$N$12,14,FALSE)&gt;0,AJ478-VLOOKUP(AG$38,$A$2:$N$12,14,FALSE)," ")," ")</f>
        <v xml:space="preserve"> </v>
      </c>
      <c r="AM478" s="34">
        <f t="shared" ref="AM478" si="1870">$M$5</f>
        <v>0</v>
      </c>
      <c r="AN478" s="34">
        <v>-1</v>
      </c>
      <c r="AO478" s="34">
        <f t="shared" ref="AO478" si="1871">-SUMPRODUCT($M$2:$M$4,$N$2:$N$4)-SUMPRODUCT($M$6:$M$12,$N$6:$N$12)</f>
        <v>-120000</v>
      </c>
      <c r="AP478" s="34" t="e">
        <f t="shared" ref="AP478" si="1872">IF(AM478&lt;&gt;AM479,MMULT(MINVERSE(AM478:AN479),AO478:AO479)," ")</f>
        <v>#NUM!</v>
      </c>
      <c r="AQ478" s="34" t="str">
        <f t="shared" ref="AQ478" si="1873">IFERROR(IF(AP478-VLOOKUP(AM$38,$A$2:$N$12,14,FALSE)&lt;0,AP478-VLOOKUP(AM$38,$A$2:$N$12,14,FALSE)," ")," ")</f>
        <v xml:space="preserve"> </v>
      </c>
      <c r="AR478" s="34" t="str">
        <f t="shared" ref="AR478" si="1874">IFERROR(IF(AP478-VLOOKUP(AM$38,$A$2:$N$12,14,FALSE)&gt;0,AP478-VLOOKUP(AM$38,$A$2:$N$12,14,FALSE)," ")," ")</f>
        <v xml:space="preserve"> </v>
      </c>
      <c r="AS478" s="34">
        <f t="shared" ref="AS478" si="1875">$M$6</f>
        <v>0</v>
      </c>
      <c r="AT478" s="34">
        <v>-1</v>
      </c>
      <c r="AU478" s="34">
        <f t="shared" ref="AU478" si="1876">-SUMPRODUCT($M$2:$M$5,$N$2:$N$5)-SUMPRODUCT($M$7:$M$12,$N$7:$N$12)</f>
        <v>-120000</v>
      </c>
      <c r="AV478" s="34" t="e">
        <f t="shared" ref="AV478" si="1877">IF(AS478&lt;&gt;AS479,MMULT(MINVERSE(AS478:AT479),AU478:AU479)," ")</f>
        <v>#NUM!</v>
      </c>
      <c r="AW478" s="34" t="str">
        <f t="shared" ref="AW478" si="1878">IFERROR(IF(AV478-VLOOKUP(AS$38,$A$2:$N$12,14,FALSE)&lt;0,AV478-VLOOKUP(AS$38,$A$2:$N$12,14,FALSE)," ")," ")</f>
        <v xml:space="preserve"> </v>
      </c>
      <c r="AX478" s="34" t="str">
        <f t="shared" ref="AX478" si="1879">IFERROR(IF(AV478-VLOOKUP(AS$38,$A$2:$N$12,14,FALSE)&gt;0,AV478-VLOOKUP(AS$38,$A$2:$N$12,14,FALSE)," ")," ")</f>
        <v xml:space="preserve"> </v>
      </c>
      <c r="AY478" s="34">
        <f t="shared" ref="AY478" si="1880">$M$7</f>
        <v>0</v>
      </c>
      <c r="AZ478" s="34">
        <v>-1</v>
      </c>
      <c r="BA478" s="34">
        <f t="shared" ref="BA478" si="1881">-SUMPRODUCT($M$2:$M$6,$N$2:$N$6)-SUMPRODUCT($M$8:$M$12,$N$8:$N$12)</f>
        <v>-120000</v>
      </c>
      <c r="BB478" s="34" t="e">
        <f t="shared" ref="BB478" si="1882">IF(AY478&lt;&gt;AY479,MMULT(MINVERSE(AY478:AZ479),BA478:BA479)," ")</f>
        <v>#NUM!</v>
      </c>
      <c r="BC478" s="34" t="str">
        <f t="shared" ref="BC478" si="1883">IFERROR(IF(BB478-VLOOKUP(AY$38,$A$2:$N$12,14,FALSE)&lt;0,BB478-VLOOKUP(AY$38,$A$2:$N$12,14,FALSE)," ")," ")</f>
        <v xml:space="preserve"> </v>
      </c>
      <c r="BD478" s="34" t="str">
        <f t="shared" ref="BD478" si="1884">IFERROR(IF(BB478-VLOOKUP(AY$38,$A$2:$N$12,14,FALSE)&gt;0,BB478-VLOOKUP(AY$38,$A$2:$N$12,14,FALSE)," ")," ")</f>
        <v xml:space="preserve"> </v>
      </c>
      <c r="BE478" s="34">
        <f t="shared" ref="BE478" si="1885">$M$8</f>
        <v>0</v>
      </c>
      <c r="BF478" s="34">
        <v>-1</v>
      </c>
      <c r="BG478" s="34">
        <f t="shared" ref="BG478" si="1886">-SUMPRODUCT($M$2:$M$7,$N$2:$N$7)-SUMPRODUCT($M$9:$M$12,$N$9:$N$12)</f>
        <v>-120000</v>
      </c>
      <c r="BH478" s="34" t="e">
        <f t="shared" ref="BH478" si="1887">IF(BE478&lt;&gt;BE479,MMULT(MINVERSE(BE478:BF479),BG478:BG479)," ")</f>
        <v>#NUM!</v>
      </c>
      <c r="BI478" s="34" t="str">
        <f t="shared" ref="BI478" si="1888">IFERROR(IF(BH478-VLOOKUP(BE$38,$A$2:$N$12,14,FALSE)&lt;0,BH478-VLOOKUP(BE$38,$A$2:$N$12,14,FALSE)," ")," ")</f>
        <v xml:space="preserve"> </v>
      </c>
      <c r="BJ478" s="34" t="str">
        <f t="shared" ref="BJ478" si="1889">IFERROR(IF(BH478-VLOOKUP(BE$38,$A$2:$N$12,14,FALSE)&gt;0,BH478-VLOOKUP(BE$38,$A$2:$N$12,14,FALSE)," ")," ")</f>
        <v xml:space="preserve"> </v>
      </c>
      <c r="BK478" s="34">
        <f t="shared" ref="BK478" si="1890">$M$9</f>
        <v>0</v>
      </c>
      <c r="BL478" s="34">
        <v>-1</v>
      </c>
      <c r="BM478" s="34">
        <f t="shared" ref="BM478" si="1891">-SUMPRODUCT($M$2:$M$8,$N$2:$N$8)-SUMPRODUCT($M$10:$M$12,$N$10:$N$12)</f>
        <v>-120000</v>
      </c>
      <c r="BN478" s="34" t="e">
        <f t="shared" ref="BN478" si="1892">IF(BK478&lt;&gt;BK479,MMULT(MINVERSE(BK478:BL479),BM478:BM479)," ")</f>
        <v>#NUM!</v>
      </c>
      <c r="BO478" s="34" t="str">
        <f t="shared" ref="BO478" si="1893">IFERROR(IF(BN478-VLOOKUP(BK$38,$A$2:$N$12,14,FALSE)&lt;0,BN478-VLOOKUP(BK$38,$A$2:$N$12,14,FALSE)," ")," ")</f>
        <v xml:space="preserve"> </v>
      </c>
      <c r="BP478" s="34" t="str">
        <f t="shared" ref="BP478" si="1894">IFERROR(IF(BN478-VLOOKUP(BK$38,$A$2:$N$12,14,FALSE)&gt;0,BN478-VLOOKUP(BK$38,$A$2:$N$12,14,FALSE)," ")," ")</f>
        <v xml:space="preserve"> </v>
      </c>
      <c r="BQ478" s="34">
        <f t="shared" ref="BQ478" si="1895">$M$10</f>
        <v>0</v>
      </c>
      <c r="BR478" s="34">
        <v>-1</v>
      </c>
      <c r="BS478" s="34">
        <f t="shared" ref="BS478" si="1896">-SUMPRODUCT($M$2:$M$9,$N$2:$N$9)-SUMPRODUCT($M$11:$M$12,$N$11:$N$12)</f>
        <v>-120000</v>
      </c>
      <c r="BT478" s="34" t="e">
        <f t="shared" ref="BT478" si="1897">IF(BQ478&lt;&gt;BQ479,MMULT(MINVERSE(BQ478:BR479),BS478:BS479)," ")</f>
        <v>#NUM!</v>
      </c>
      <c r="BU478" s="34" t="str">
        <f t="shared" ref="BU478" si="1898">IFERROR(IF(BT478-VLOOKUP(BQ$38,$A$2:$N$12,14,FALSE)&lt;0,BT478-VLOOKUP(BQ$38,$A$2:$N$12,14,FALSE)," ")," ")</f>
        <v xml:space="preserve"> </v>
      </c>
      <c r="BV478" s="34" t="str">
        <f t="shared" ref="BV478" si="1899">IFERROR(IF(BT478-VLOOKUP(BQ$38,$A$2:$N$12,14,FALSE)&gt;0,BT478-VLOOKUP(BQ$38,$A$2:$N$12,14,FALSE)," ")," ")</f>
        <v xml:space="preserve"> </v>
      </c>
      <c r="BW478" s="34">
        <f t="shared" ref="BW478" si="1900">$M$11</f>
        <v>0</v>
      </c>
      <c r="BX478" s="34">
        <v>-1</v>
      </c>
      <c r="BY478" s="34">
        <f t="shared" ref="BY478" si="1901">-SUMPRODUCT($M$2:$M$10,$N$2:$N$10)-SUMPRODUCT($M$12,$N$12)</f>
        <v>-120000</v>
      </c>
      <c r="BZ478" s="34" t="e">
        <f t="shared" ref="BZ478" si="1902">IF(BW478&lt;&gt;BW479,MMULT(MINVERSE(BW478:BX479),BY478:BY479)," ")</f>
        <v>#NUM!</v>
      </c>
      <c r="CA478" s="34" t="str">
        <f t="shared" ref="CA478" si="1903">IFERROR(IF(BZ478-VLOOKUP(BW$38,$A$2:$N$12,14,FALSE)&lt;0,BZ478-VLOOKUP(BW$38,$A$2:$N$12,14,FALSE)," ")," ")</f>
        <v xml:space="preserve"> </v>
      </c>
      <c r="CB478" s="34" t="str">
        <f t="shared" ref="CB478" si="1904">IFERROR(IF(BZ478-VLOOKUP(BW$38,$A$2:$N$12,14,FALSE)&gt;0,BZ478-VLOOKUP(BW$38,$A$2:$N$12,14,FALSE)," ")," ")</f>
        <v xml:space="preserve"> </v>
      </c>
      <c r="CC478" s="34">
        <f t="shared" ref="CC478" si="1905">$M$12</f>
        <v>0</v>
      </c>
      <c r="CD478" s="34">
        <v>-1</v>
      </c>
      <c r="CE478" s="34">
        <f t="shared" ref="CE478" si="1906">-SUMPRODUCT($M$2:$M$11,$N$2:$N$11)</f>
        <v>-120000</v>
      </c>
      <c r="CF478" s="34" t="e">
        <f t="shared" ref="CF478" si="1907">IF(CC478&lt;&gt;CC479,MMULT(MINVERSE(CC478:CD479),CE478:CE479)," ")</f>
        <v>#NUM!</v>
      </c>
      <c r="CG478" s="34" t="str">
        <f t="shared" ref="CG478" si="1908">IFERROR(IF(CF478-VLOOKUP(CC$38,$A$2:$N$12,14,FALSE)&lt;0,CF478-VLOOKUP(CC$38,$A$2:$N$12,14,FALSE)," ")," ")</f>
        <v xml:space="preserve"> </v>
      </c>
      <c r="CH478" s="34" t="str">
        <f t="shared" ref="CH478" si="1909">IFERROR(IF(CF478-VLOOKUP(CC$38,$A$2:$N$12,14,FALSE)&gt;0,CF478-VLOOKUP(CC$38,$A$2:$N$12,14,FALSE)," ")," ")</f>
        <v xml:space="preserve"> </v>
      </c>
      <c r="CI478" s="8"/>
    </row>
    <row r="479" spans="1:87" x14ac:dyDescent="0.2">
      <c r="A479" s="8" t="str">
        <f>IF(AND(COUNTIF(W$3:W$13,A$16)&gt;0,A$16&lt;&gt;B292),A$16,IFERROR(IF(MATCH(A$16,Z$3:Z$13,0)=9,A$16," ")," "))</f>
        <v xml:space="preserve"> </v>
      </c>
      <c r="B479" s="8" t="str">
        <f>IF(A479=" "," ",MAX(B478:B478)+1)</f>
        <v xml:space="preserve"> </v>
      </c>
      <c r="C479" s="8" t="str">
        <f>IFERROR(INDEX(A478:A499,MATCH(SMALL(B478:B499,2),B478:B499,0),1)," ")</f>
        <v>C11</v>
      </c>
      <c r="D479" s="8">
        <f t="shared" ref="D479:D488" si="1910">IFERROR(VLOOKUP($C479,$A$15:$O$36,2,FALSE)," ")</f>
        <v>0</v>
      </c>
      <c r="E479" s="8">
        <f t="shared" ref="E479:E488" si="1911">IFERROR(VLOOKUP($C479,$A$15:$O$36,3,FALSE)," ")</f>
        <v>0</v>
      </c>
      <c r="F479" s="8">
        <f t="shared" ref="F479:F488" si="1912">IFERROR(VLOOKUP($C479,$A$15:$O$36,4,FALSE)," ")</f>
        <v>0</v>
      </c>
      <c r="G479" s="8">
        <f t="shared" ref="G479:G488" si="1913">IFERROR(VLOOKUP($C479,$A$15:$O$36,5,FALSE)," ")</f>
        <v>0</v>
      </c>
      <c r="H479" s="8">
        <f t="shared" ref="H479:H488" si="1914">IFERROR(VLOOKUP($C479,$A$15:$O$36,6,FALSE)," ")</f>
        <v>0</v>
      </c>
      <c r="I479" s="8">
        <f t="shared" ref="I479:I488" si="1915">IFERROR(VLOOKUP($C479,$A$15:$O$36,7,FALSE)," ")</f>
        <v>0</v>
      </c>
      <c r="J479" s="8">
        <f t="shared" ref="J479:J488" si="1916">IFERROR(VLOOKUP($C479,$A$15:$O$36,8,FALSE)," ")</f>
        <v>0</v>
      </c>
      <c r="K479" s="8">
        <f t="shared" ref="K479:K488" si="1917">IFERROR(VLOOKUP($C479,$A$15:$O$36,9,FALSE)," ")</f>
        <v>0</v>
      </c>
      <c r="L479" s="8">
        <f t="shared" ref="L479:L488" si="1918">IFERROR(VLOOKUP($C479,$A$15:$O$36,10,FALSE)," ")</f>
        <v>0</v>
      </c>
      <c r="M479" s="8">
        <f t="shared" ref="M479:M488" si="1919">IFERROR(VLOOKUP($C479,$A$15:$O$36,11,FALSE)," ")</f>
        <v>0</v>
      </c>
      <c r="N479" s="8">
        <f t="shared" ref="N479:N488" si="1920">IFERROR(VLOOKUP($C479,$A$15:$O$36,12,FALSE)," ")</f>
        <v>0</v>
      </c>
      <c r="O479" s="8">
        <f t="shared" ref="O479:O488" si="1921">IFERROR(VLOOKUP($C479,$A$15:$O$36,15,FALSE)," ")</f>
        <v>0</v>
      </c>
      <c r="P479" s="8" t="e">
        <v>#NUM!</v>
      </c>
      <c r="Q479" s="8" t="e">
        <f t="shared" ref="Q479" si="1922">IF(COUNTIF(P478:P488,"&lt;"&amp;-0.001)=0,IF(ABS(P479)&lt;0.001,0,P479)," ")</f>
        <v>#NUM!</v>
      </c>
      <c r="R479" s="8"/>
      <c r="S479" s="8"/>
      <c r="U479" s="34" t="e">
        <f t="shared" ref="U479" si="1923">$Q478</f>
        <v>#NUM!</v>
      </c>
      <c r="V479" s="34">
        <v>-1</v>
      </c>
      <c r="W479" s="34" t="e">
        <f t="shared" ref="W479" si="1924">-SUMPRODUCT($Q479:$Q488,$N$3:$N$12)</f>
        <v>#NUM!</v>
      </c>
      <c r="X479" s="34"/>
      <c r="Y479" s="34"/>
      <c r="Z479" s="34"/>
      <c r="AA479" s="34" t="e">
        <f t="shared" ref="AA479" si="1925">$Q479</f>
        <v>#NUM!</v>
      </c>
      <c r="AB479" s="34">
        <v>-1</v>
      </c>
      <c r="AC479" s="34" t="e">
        <f t="shared" ref="AC479" si="1926">-SUMPRODUCT($Q478:$Q478,$N$2:$N$2)-SUMPRODUCT($Q480:$Q488,$N$4:$N$12)</f>
        <v>#NUM!</v>
      </c>
      <c r="AD479" s="34"/>
      <c r="AE479" s="34"/>
      <c r="AF479" s="34"/>
      <c r="AG479" s="34" t="e">
        <f t="shared" ref="AG479" si="1927">$Q480</f>
        <v>#NUM!</v>
      </c>
      <c r="AH479" s="34">
        <v>-1</v>
      </c>
      <c r="AI479" s="34" t="e">
        <f t="shared" ref="AI479" si="1928">-SUMPRODUCT($Q478:$Q479,$N$2:$N$3)-SUMPRODUCT($Q481:$Q488,$N$5:$N$12)</f>
        <v>#NUM!</v>
      </c>
      <c r="AJ479" s="34"/>
      <c r="AK479" s="34"/>
      <c r="AL479" s="34"/>
      <c r="AM479" s="34" t="e">
        <f t="shared" ref="AM479" si="1929">$Q481</f>
        <v>#NUM!</v>
      </c>
      <c r="AN479" s="34">
        <v>-1</v>
      </c>
      <c r="AO479" s="34" t="e">
        <f t="shared" ref="AO479" si="1930">-SUMPRODUCT($Q478:$Q480,$N$2:$N$4)-SUMPRODUCT($Q482:$Q488,$N$6:$N$12)</f>
        <v>#NUM!</v>
      </c>
      <c r="AP479" s="34"/>
      <c r="AQ479" s="34"/>
      <c r="AR479" s="34"/>
      <c r="AS479" s="34" t="e">
        <f t="shared" ref="AS479" si="1931">$Q482</f>
        <v>#NUM!</v>
      </c>
      <c r="AT479" s="34">
        <v>-1</v>
      </c>
      <c r="AU479" s="34" t="e">
        <f t="shared" ref="AU479" si="1932">-SUMPRODUCT($Q478:$Q481,$N$2:$N$5)-SUMPRODUCT($Q483:$Q488,$N$7:$N$12)</f>
        <v>#NUM!</v>
      </c>
      <c r="AV479" s="34"/>
      <c r="AW479" s="34"/>
      <c r="AX479" s="34"/>
      <c r="AY479" s="34" t="e">
        <f t="shared" ref="AY479" si="1933">$Q483</f>
        <v>#NUM!</v>
      </c>
      <c r="AZ479" s="34">
        <v>-1</v>
      </c>
      <c r="BA479" s="34" t="e">
        <f t="shared" ref="BA479" si="1934">-SUMPRODUCT($Q478:$Q482,$N$2:$N$6)-SUMPRODUCT($Q484:$Q488,$N$8:$N$12)</f>
        <v>#NUM!</v>
      </c>
      <c r="BB479" s="34"/>
      <c r="BC479" s="34"/>
      <c r="BD479" s="34"/>
      <c r="BE479" s="34" t="e">
        <f t="shared" ref="BE479" si="1935">$Q484</f>
        <v>#NUM!</v>
      </c>
      <c r="BF479" s="34">
        <v>-1</v>
      </c>
      <c r="BG479" s="34" t="e">
        <f t="shared" ref="BG479" si="1936">-SUMPRODUCT($Q478:$Q483,$N$2:$N$7)-SUMPRODUCT($Q485:$Q488,$N$9:$N$12)</f>
        <v>#NUM!</v>
      </c>
      <c r="BH479" s="34"/>
      <c r="BI479" s="34"/>
      <c r="BJ479" s="34"/>
      <c r="BK479" s="34" t="e">
        <f t="shared" ref="BK479" si="1937">$Q485</f>
        <v>#NUM!</v>
      </c>
      <c r="BL479" s="34">
        <v>-1</v>
      </c>
      <c r="BM479" s="34" t="e">
        <f t="shared" ref="BM479" si="1938">-SUMPRODUCT($Q478:$Q484,$N$2:$N$8)-SUMPRODUCT($Q486:$Q488,$N$10:$N$12)</f>
        <v>#NUM!</v>
      </c>
      <c r="BN479" s="34"/>
      <c r="BO479" s="34"/>
      <c r="BP479" s="34"/>
      <c r="BQ479" s="34" t="e">
        <f t="shared" ref="BQ479" si="1939">$Q486</f>
        <v>#NUM!</v>
      </c>
      <c r="BR479" s="34">
        <v>-1</v>
      </c>
      <c r="BS479" s="34" t="e">
        <f t="shared" ref="BS479" si="1940">-SUMPRODUCT($Q478:$Q485,$N$2:$N$9)-SUMPRODUCT($Q487:$Q488,$N$11:$N$12)</f>
        <v>#NUM!</v>
      </c>
      <c r="BT479" s="34"/>
      <c r="BU479" s="34"/>
      <c r="BV479" s="34"/>
      <c r="BW479" s="34" t="e">
        <f t="shared" ref="BW479" si="1941">$Q487</f>
        <v>#NUM!</v>
      </c>
      <c r="BX479" s="34">
        <v>-1</v>
      </c>
      <c r="BY479" s="34" t="e">
        <f t="shared" ref="BY479" si="1942">-SUMPRODUCT($Q478:$Q486,$N$2:$N$10)-SUMPRODUCT($Q488,$N$12)</f>
        <v>#NUM!</v>
      </c>
      <c r="BZ479" s="34"/>
      <c r="CA479" s="34"/>
      <c r="CB479" s="34"/>
      <c r="CC479" s="34" t="e">
        <f t="shared" ref="CC479" si="1943">$Q488</f>
        <v>#NUM!</v>
      </c>
      <c r="CD479" s="34">
        <v>-1</v>
      </c>
      <c r="CE479" s="34" t="e">
        <f t="shared" ref="CE479" si="1944">-SUMPRODUCT($Q478:$Q487,$N$2:$N$11)</f>
        <v>#NUM!</v>
      </c>
      <c r="CF479" s="34"/>
      <c r="CG479" s="34"/>
      <c r="CH479" s="34"/>
      <c r="CI479" s="8"/>
    </row>
    <row r="480" spans="1:87" x14ac:dyDescent="0.2">
      <c r="A480" s="8" t="str">
        <f>IF(AND(COUNTIF(W$3:W$13,A$17)&gt;0,A$17&lt;&gt;B292),A$17,IFERROR(IF(MATCH(A$17,Z$3:Z$13,0)=9,A$17," ")," "))</f>
        <v>C3</v>
      </c>
      <c r="B480" s="8">
        <f>IF(A480=" "," ",MAX(B478:B479)+1)</f>
        <v>1</v>
      </c>
      <c r="C480" s="8" t="str">
        <f>IFERROR(INDEX(A478:A499,MATCH(SMALL(B478:B499,3),B478:B499,0),1)," ")</f>
        <v>C13</v>
      </c>
      <c r="D480" s="8">
        <f t="shared" si="1910"/>
        <v>0</v>
      </c>
      <c r="E480" s="8">
        <f t="shared" si="1911"/>
        <v>1</v>
      </c>
      <c r="F480" s="8">
        <f t="shared" si="1912"/>
        <v>0</v>
      </c>
      <c r="G480" s="8">
        <f t="shared" si="1913"/>
        <v>0</v>
      </c>
      <c r="H480" s="8">
        <f t="shared" si="1914"/>
        <v>0</v>
      </c>
      <c r="I480" s="8">
        <f t="shared" si="1915"/>
        <v>0</v>
      </c>
      <c r="J480" s="8">
        <f t="shared" si="1916"/>
        <v>0</v>
      </c>
      <c r="K480" s="8">
        <f t="shared" si="1917"/>
        <v>0</v>
      </c>
      <c r="L480" s="8">
        <f t="shared" si="1918"/>
        <v>0</v>
      </c>
      <c r="M480" s="8">
        <f t="shared" si="1919"/>
        <v>0</v>
      </c>
      <c r="N480" s="8">
        <f t="shared" si="1920"/>
        <v>0</v>
      </c>
      <c r="O480" s="8">
        <f t="shared" si="1921"/>
        <v>0</v>
      </c>
      <c r="P480" s="8" t="e">
        <v>#NUM!</v>
      </c>
      <c r="Q480" s="8" t="e">
        <f t="shared" ref="Q480" si="1945">IF(COUNTIF(P478:P488,"&lt;"&amp;-0.001)=0,IF(ABS(P480)&lt;0.001,0,P480)," ")</f>
        <v>#NUM!</v>
      </c>
      <c r="R480" s="8"/>
      <c r="S480" s="8"/>
      <c r="U480" s="34"/>
      <c r="V480" s="34"/>
      <c r="W480" s="34"/>
      <c r="X480" s="34"/>
      <c r="Y480" s="34"/>
      <c r="Z480" s="34"/>
      <c r="AA480" s="34"/>
      <c r="AB480" s="34"/>
      <c r="AC480" s="34"/>
      <c r="AD480" s="34"/>
      <c r="AE480" s="34"/>
      <c r="AF480" s="34"/>
      <c r="AG480" s="34"/>
      <c r="AH480" s="34"/>
      <c r="AI480" s="34"/>
      <c r="AJ480" s="34"/>
      <c r="AK480" s="34"/>
      <c r="AL480" s="34"/>
      <c r="AM480" s="34"/>
      <c r="AN480" s="34"/>
      <c r="AO480" s="34"/>
      <c r="AP480" s="34"/>
      <c r="AQ480" s="34"/>
      <c r="AR480" s="34"/>
      <c r="AS480" s="34"/>
      <c r="AT480" s="34"/>
      <c r="AU480" s="34"/>
      <c r="AV480" s="34"/>
      <c r="AW480" s="34"/>
      <c r="AX480" s="34"/>
      <c r="AY480" s="34"/>
      <c r="AZ480" s="34"/>
      <c r="BA480" s="34"/>
      <c r="BB480" s="34"/>
      <c r="BC480" s="34"/>
      <c r="BD480" s="34"/>
      <c r="BE480" s="34"/>
      <c r="BF480" s="34"/>
      <c r="BG480" s="34"/>
      <c r="BH480" s="34"/>
      <c r="BI480" s="34"/>
      <c r="BJ480" s="34"/>
      <c r="BK480" s="34"/>
      <c r="BL480" s="34"/>
      <c r="BM480" s="34"/>
      <c r="BN480" s="34"/>
      <c r="BO480" s="34"/>
      <c r="BP480" s="34"/>
      <c r="BQ480" s="34"/>
      <c r="BR480" s="34"/>
      <c r="BS480" s="34"/>
      <c r="BT480" s="34"/>
      <c r="BU480" s="34"/>
      <c r="BV480" s="34"/>
      <c r="BW480" s="34"/>
      <c r="BX480" s="34"/>
      <c r="BY480" s="34"/>
      <c r="BZ480" s="34"/>
      <c r="CA480" s="34"/>
      <c r="CB480" s="34"/>
      <c r="CC480" s="34"/>
      <c r="CD480" s="34"/>
      <c r="CE480" s="34"/>
      <c r="CF480" s="34"/>
      <c r="CG480" s="34"/>
      <c r="CH480" s="34"/>
      <c r="CI480" s="8"/>
    </row>
    <row r="481" spans="1:87" x14ac:dyDescent="0.2">
      <c r="A481" s="8" t="str">
        <f>IF(AND(COUNTIF(W$3:W$13,A$18)&gt;0,A$18&lt;&gt;B292),A$18,IFERROR(IF(MATCH(A$18,Z$3:Z$13,0)=9,A$18," ")," "))</f>
        <v xml:space="preserve"> </v>
      </c>
      <c r="B481" s="8" t="str">
        <f>IF(A481=" "," ",MAX(B478:B480)+1)</f>
        <v xml:space="preserve"> </v>
      </c>
      <c r="C481" s="8" t="str">
        <f>IFERROR(INDEX(A478:A499,MATCH(SMALL(B478:B499,4),B478:B499,0),1)," ")</f>
        <v>C15</v>
      </c>
      <c r="D481" s="8">
        <f t="shared" si="1910"/>
        <v>0</v>
      </c>
      <c r="E481" s="8">
        <f t="shared" si="1911"/>
        <v>0</v>
      </c>
      <c r="F481" s="8">
        <f t="shared" si="1912"/>
        <v>0</v>
      </c>
      <c r="G481" s="8">
        <f t="shared" si="1913"/>
        <v>1</v>
      </c>
      <c r="H481" s="8">
        <f t="shared" si="1914"/>
        <v>0</v>
      </c>
      <c r="I481" s="8">
        <f t="shared" si="1915"/>
        <v>0</v>
      </c>
      <c r="J481" s="8">
        <f t="shared" si="1916"/>
        <v>0</v>
      </c>
      <c r="K481" s="8">
        <f t="shared" si="1917"/>
        <v>0</v>
      </c>
      <c r="L481" s="8">
        <f t="shared" si="1918"/>
        <v>0</v>
      </c>
      <c r="M481" s="8">
        <f t="shared" si="1919"/>
        <v>0</v>
      </c>
      <c r="N481" s="8">
        <f t="shared" si="1920"/>
        <v>0</v>
      </c>
      <c r="O481" s="8">
        <f t="shared" si="1921"/>
        <v>0</v>
      </c>
      <c r="P481" s="8" t="e">
        <v>#NUM!</v>
      </c>
      <c r="Q481" s="8" t="e">
        <f t="shared" ref="Q481" si="1946">IF(COUNTIF(P478:P488,"&lt;"&amp;-0.001)=0,IF(ABS(P481)&lt;0.001,0,P481)," ")</f>
        <v>#NUM!</v>
      </c>
      <c r="R481" s="8"/>
      <c r="S481" s="8"/>
      <c r="U481" s="34"/>
      <c r="V481" s="34"/>
      <c r="W481" s="34"/>
      <c r="X481" s="34"/>
      <c r="Y481" s="34"/>
      <c r="Z481" s="34"/>
      <c r="AA481" s="34"/>
      <c r="AB481" s="34"/>
      <c r="AC481" s="34"/>
      <c r="AD481" s="34"/>
      <c r="AE481" s="34"/>
      <c r="AF481" s="34"/>
      <c r="AG481" s="34"/>
      <c r="AH481" s="34"/>
      <c r="AI481" s="34"/>
      <c r="AJ481" s="34"/>
      <c r="AK481" s="34"/>
      <c r="AL481" s="34"/>
      <c r="AM481" s="34"/>
      <c r="AN481" s="34"/>
      <c r="AO481" s="34"/>
      <c r="AP481" s="34"/>
      <c r="AQ481" s="34"/>
      <c r="AR481" s="34"/>
      <c r="AS481" s="34"/>
      <c r="AT481" s="34"/>
      <c r="AU481" s="34"/>
      <c r="AV481" s="34"/>
      <c r="AW481" s="34"/>
      <c r="AX481" s="34"/>
      <c r="AY481" s="34"/>
      <c r="AZ481" s="34"/>
      <c r="BA481" s="34"/>
      <c r="BB481" s="34"/>
      <c r="BC481" s="34"/>
      <c r="BD481" s="34"/>
      <c r="BE481" s="34"/>
      <c r="BF481" s="34"/>
      <c r="BG481" s="34"/>
      <c r="BH481" s="34"/>
      <c r="BI481" s="34"/>
      <c r="BJ481" s="34"/>
      <c r="BK481" s="34"/>
      <c r="BL481" s="34"/>
      <c r="BM481" s="34"/>
      <c r="BN481" s="34"/>
      <c r="BO481" s="34"/>
      <c r="BP481" s="34"/>
      <c r="BQ481" s="34"/>
      <c r="BR481" s="34"/>
      <c r="BS481" s="34"/>
      <c r="BT481" s="34"/>
      <c r="BU481" s="34"/>
      <c r="BV481" s="34"/>
      <c r="BW481" s="34"/>
      <c r="BX481" s="34"/>
      <c r="BY481" s="34"/>
      <c r="BZ481" s="34"/>
      <c r="CA481" s="34"/>
      <c r="CB481" s="34"/>
      <c r="CC481" s="34"/>
      <c r="CD481" s="34"/>
      <c r="CE481" s="34"/>
      <c r="CF481" s="34"/>
      <c r="CG481" s="34"/>
      <c r="CH481" s="34"/>
      <c r="CI481" s="8"/>
    </row>
    <row r="482" spans="1:87" x14ac:dyDescent="0.2">
      <c r="A482" s="8" t="str">
        <f>IF(AND(COUNTIF(W$3:W$13,A$19)&gt;0,A$19&lt;&gt;B292),A$19,IFERROR(IF(MATCH(A$19,Z$3:Z$13,0)=9,A$19," ")," "))</f>
        <v xml:space="preserve"> </v>
      </c>
      <c r="B482" s="8" t="str">
        <f>IF(A482=" "," ",MAX(B478:B481)+1)</f>
        <v xml:space="preserve"> </v>
      </c>
      <c r="C482" s="8" t="str">
        <f>IFERROR(INDEX(A478:A499,MATCH(SMALL(B478:B499,5),B478:B499,0),1)," ")</f>
        <v>C16</v>
      </c>
      <c r="D482" s="8">
        <f t="shared" si="1910"/>
        <v>0</v>
      </c>
      <c r="E482" s="8">
        <f t="shared" si="1911"/>
        <v>0</v>
      </c>
      <c r="F482" s="8">
        <f t="shared" si="1912"/>
        <v>0</v>
      </c>
      <c r="G482" s="8">
        <f t="shared" si="1913"/>
        <v>0</v>
      </c>
      <c r="H482" s="8">
        <f t="shared" si="1914"/>
        <v>1</v>
      </c>
      <c r="I482" s="8">
        <f t="shared" si="1915"/>
        <v>0</v>
      </c>
      <c r="J482" s="8">
        <f t="shared" si="1916"/>
        <v>0</v>
      </c>
      <c r="K482" s="8">
        <f t="shared" si="1917"/>
        <v>0</v>
      </c>
      <c r="L482" s="8">
        <f t="shared" si="1918"/>
        <v>0</v>
      </c>
      <c r="M482" s="8">
        <f t="shared" si="1919"/>
        <v>0</v>
      </c>
      <c r="N482" s="8">
        <f t="shared" si="1920"/>
        <v>0</v>
      </c>
      <c r="O482" s="8">
        <f t="shared" si="1921"/>
        <v>0</v>
      </c>
      <c r="P482" s="8" t="e">
        <v>#NUM!</v>
      </c>
      <c r="Q482" s="8" t="e">
        <f t="shared" ref="Q482" si="1947">IF(COUNTIF(P478:P488,"&lt;"&amp;-0.001)=0,IF(ABS(P482)&lt;0.001,0,P482)," ")</f>
        <v>#NUM!</v>
      </c>
      <c r="R482" s="8"/>
      <c r="S482" s="8"/>
      <c r="U482" s="34"/>
      <c r="V482" s="34"/>
      <c r="W482" s="34"/>
      <c r="X482" s="34"/>
      <c r="Y482" s="34"/>
      <c r="Z482" s="34"/>
      <c r="AA482" s="34"/>
      <c r="AB482" s="34"/>
      <c r="AC482" s="34"/>
      <c r="AD482" s="34"/>
      <c r="AE482" s="34"/>
      <c r="AF482" s="34"/>
      <c r="AG482" s="34"/>
      <c r="AH482" s="34"/>
      <c r="AI482" s="34"/>
      <c r="AJ482" s="34"/>
      <c r="AK482" s="34"/>
      <c r="AL482" s="34"/>
      <c r="AM482" s="34"/>
      <c r="AN482" s="34"/>
      <c r="AO482" s="34"/>
      <c r="AP482" s="34"/>
      <c r="AQ482" s="34"/>
      <c r="AR482" s="34"/>
      <c r="AS482" s="34"/>
      <c r="AT482" s="34"/>
      <c r="AU482" s="34"/>
      <c r="AV482" s="34"/>
      <c r="AW482" s="34"/>
      <c r="AX482" s="34"/>
      <c r="AY482" s="34"/>
      <c r="AZ482" s="34"/>
      <c r="BA482" s="34"/>
      <c r="BB482" s="34"/>
      <c r="BC482" s="34"/>
      <c r="BD482" s="34"/>
      <c r="BE482" s="34"/>
      <c r="BF482" s="34"/>
      <c r="BG482" s="34"/>
      <c r="BH482" s="34"/>
      <c r="BI482" s="34"/>
      <c r="BJ482" s="34"/>
      <c r="BK482" s="34"/>
      <c r="BL482" s="34"/>
      <c r="BM482" s="34"/>
      <c r="BN482" s="34"/>
      <c r="BO482" s="34"/>
      <c r="BP482" s="34"/>
      <c r="BQ482" s="34"/>
      <c r="BR482" s="34"/>
      <c r="BS482" s="34"/>
      <c r="BT482" s="34"/>
      <c r="BU482" s="34"/>
      <c r="BV482" s="34"/>
      <c r="BW482" s="34"/>
      <c r="BX482" s="34"/>
      <c r="BY482" s="34"/>
      <c r="BZ482" s="34"/>
      <c r="CA482" s="34"/>
      <c r="CB482" s="34"/>
      <c r="CC482" s="34"/>
      <c r="CD482" s="34"/>
      <c r="CE482" s="34"/>
      <c r="CF482" s="34"/>
      <c r="CG482" s="34"/>
      <c r="CH482" s="34"/>
      <c r="CI482" s="8"/>
    </row>
    <row r="483" spans="1:87" x14ac:dyDescent="0.2">
      <c r="A483" s="8" t="str">
        <f>IF(AND(COUNTIF(W$3:W$13,A$20)&gt;0,A$20&lt;&gt;B292),A$20,IFERROR(IF(MATCH(A$20,Z$3:Z$13,0)=9,A$20," ")," "))</f>
        <v xml:space="preserve"> </v>
      </c>
      <c r="B483" s="8" t="str">
        <f>IF(A483=" "," ",MAX(B478:B482)+1)</f>
        <v xml:space="preserve"> </v>
      </c>
      <c r="C483" s="8" t="str">
        <f>IFERROR(INDEX(A478:A499,MATCH(SMALL(B478:B499,6),B478:B499,0),1)," ")</f>
        <v>C17</v>
      </c>
      <c r="D483" s="8">
        <f t="shared" si="1910"/>
        <v>0</v>
      </c>
      <c r="E483" s="8">
        <f t="shared" si="1911"/>
        <v>0</v>
      </c>
      <c r="F483" s="8">
        <f t="shared" si="1912"/>
        <v>0</v>
      </c>
      <c r="G483" s="8">
        <f t="shared" si="1913"/>
        <v>0</v>
      </c>
      <c r="H483" s="8">
        <f t="shared" si="1914"/>
        <v>0</v>
      </c>
      <c r="I483" s="8">
        <f t="shared" si="1915"/>
        <v>1</v>
      </c>
      <c r="J483" s="8">
        <f t="shared" si="1916"/>
        <v>0</v>
      </c>
      <c r="K483" s="8">
        <f t="shared" si="1917"/>
        <v>0</v>
      </c>
      <c r="L483" s="8">
        <f t="shared" si="1918"/>
        <v>0</v>
      </c>
      <c r="M483" s="8">
        <f t="shared" si="1919"/>
        <v>0</v>
      </c>
      <c r="N483" s="8">
        <f t="shared" si="1920"/>
        <v>0</v>
      </c>
      <c r="O483" s="8">
        <f t="shared" si="1921"/>
        <v>0</v>
      </c>
      <c r="P483" s="8" t="e">
        <v>#NUM!</v>
      </c>
      <c r="Q483" s="8" t="e">
        <f t="shared" ref="Q483" si="1948">IF(COUNTIF(P478:P488,"&lt;"&amp;-0.001)=0,IF(ABS(P483)&lt;0.001,0,P483)," ")</f>
        <v>#NUM!</v>
      </c>
      <c r="R483" s="8"/>
      <c r="S483" s="8"/>
      <c r="U483" s="34"/>
      <c r="V483" s="34"/>
      <c r="W483" s="34"/>
      <c r="X483" s="34"/>
      <c r="Y483" s="34"/>
      <c r="Z483" s="34"/>
      <c r="AA483" s="34"/>
      <c r="AB483" s="34"/>
      <c r="AC483" s="34"/>
      <c r="AD483" s="34"/>
      <c r="AE483" s="34"/>
      <c r="AF483" s="34"/>
      <c r="AG483" s="34"/>
      <c r="AH483" s="34"/>
      <c r="AI483" s="34"/>
      <c r="AJ483" s="34"/>
      <c r="AK483" s="34"/>
      <c r="AL483" s="34"/>
      <c r="AM483" s="34"/>
      <c r="AN483" s="34"/>
      <c r="AO483" s="34"/>
      <c r="AP483" s="34"/>
      <c r="AQ483" s="34"/>
      <c r="AR483" s="34"/>
      <c r="AS483" s="34"/>
      <c r="AT483" s="34"/>
      <c r="AU483" s="34"/>
      <c r="AV483" s="34"/>
      <c r="AW483" s="34"/>
      <c r="AX483" s="34"/>
      <c r="AY483" s="34"/>
      <c r="AZ483" s="34"/>
      <c r="BA483" s="34"/>
      <c r="BB483" s="34"/>
      <c r="BC483" s="34"/>
      <c r="BD483" s="34"/>
      <c r="BE483" s="34"/>
      <c r="BF483" s="34"/>
      <c r="BG483" s="34"/>
      <c r="BH483" s="34"/>
      <c r="BI483" s="34"/>
      <c r="BJ483" s="34"/>
      <c r="BK483" s="34"/>
      <c r="BL483" s="34"/>
      <c r="BM483" s="34"/>
      <c r="BN483" s="34"/>
      <c r="BO483" s="34"/>
      <c r="BP483" s="34"/>
      <c r="BQ483" s="34"/>
      <c r="BR483" s="34"/>
      <c r="BS483" s="34"/>
      <c r="BT483" s="34"/>
      <c r="BU483" s="34"/>
      <c r="BV483" s="34"/>
      <c r="BW483" s="34"/>
      <c r="BX483" s="34"/>
      <c r="BY483" s="34"/>
      <c r="BZ483" s="34"/>
      <c r="CA483" s="34"/>
      <c r="CB483" s="34"/>
      <c r="CC483" s="34"/>
      <c r="CD483" s="34"/>
      <c r="CE483" s="34"/>
      <c r="CF483" s="34"/>
      <c r="CG483" s="34"/>
      <c r="CH483" s="34"/>
      <c r="CI483" s="8"/>
    </row>
    <row r="484" spans="1:87" x14ac:dyDescent="0.2">
      <c r="A484" s="8" t="str">
        <f>IF(AND(COUNTIF(W$3:W$13,A$21)&gt;0,A$21&lt;&gt;B292),A$21,IFERROR(IF(MATCH(A$21,Z$3:Z$13,0)=9,A$21," ")," "))</f>
        <v xml:space="preserve"> </v>
      </c>
      <c r="B484" s="8" t="str">
        <f>IF(A484=" "," ",MAX(B478:B483)+1)</f>
        <v xml:space="preserve"> </v>
      </c>
      <c r="C484" s="8" t="str">
        <f>IFERROR(INDEX(A478:A499,MATCH(SMALL(B478:B499,7),B478:B499,0),1)," ")</f>
        <v>C18</v>
      </c>
      <c r="D484" s="8">
        <f t="shared" si="1910"/>
        <v>0</v>
      </c>
      <c r="E484" s="8">
        <f t="shared" si="1911"/>
        <v>0</v>
      </c>
      <c r="F484" s="8">
        <f t="shared" si="1912"/>
        <v>0</v>
      </c>
      <c r="G484" s="8">
        <f t="shared" si="1913"/>
        <v>0</v>
      </c>
      <c r="H484" s="8">
        <f t="shared" si="1914"/>
        <v>0</v>
      </c>
      <c r="I484" s="8">
        <f t="shared" si="1915"/>
        <v>0</v>
      </c>
      <c r="J484" s="8">
        <f t="shared" si="1916"/>
        <v>1</v>
      </c>
      <c r="K484" s="8">
        <f t="shared" si="1917"/>
        <v>0</v>
      </c>
      <c r="L484" s="8">
        <f t="shared" si="1918"/>
        <v>0</v>
      </c>
      <c r="M484" s="8">
        <f t="shared" si="1919"/>
        <v>0</v>
      </c>
      <c r="N484" s="8">
        <f t="shared" si="1920"/>
        <v>0</v>
      </c>
      <c r="O484" s="8">
        <f t="shared" si="1921"/>
        <v>0</v>
      </c>
      <c r="P484" s="8" t="e">
        <v>#NUM!</v>
      </c>
      <c r="Q484" s="8" t="e">
        <f t="shared" ref="Q484" si="1949">IF(COUNTIF(P478:P488,"&lt;"&amp;-0.001)=0,IF(ABS(P484)&lt;0.001,0,P484)," ")</f>
        <v>#NUM!</v>
      </c>
      <c r="R484" s="8"/>
      <c r="S484" s="8"/>
      <c r="U484" s="34"/>
      <c r="V484" s="34"/>
      <c r="W484" s="34"/>
      <c r="X484" s="34"/>
      <c r="Y484" s="34"/>
      <c r="Z484" s="34"/>
      <c r="AA484" s="34"/>
      <c r="AB484" s="34"/>
      <c r="AC484" s="34"/>
      <c r="AD484" s="34"/>
      <c r="AE484" s="34"/>
      <c r="AF484" s="34"/>
      <c r="AG484" s="34"/>
      <c r="AH484" s="34"/>
      <c r="AI484" s="34"/>
      <c r="AJ484" s="34"/>
      <c r="AK484" s="34"/>
      <c r="AL484" s="34"/>
      <c r="AM484" s="34"/>
      <c r="AN484" s="34"/>
      <c r="AO484" s="34"/>
      <c r="AP484" s="34"/>
      <c r="AQ484" s="34"/>
      <c r="AR484" s="34"/>
      <c r="AS484" s="34"/>
      <c r="AT484" s="34"/>
      <c r="AU484" s="34"/>
      <c r="AV484" s="34"/>
      <c r="AW484" s="34"/>
      <c r="AX484" s="34"/>
      <c r="AY484" s="34"/>
      <c r="AZ484" s="34"/>
      <c r="BA484" s="34"/>
      <c r="BB484" s="34"/>
      <c r="BC484" s="34"/>
      <c r="BD484" s="34"/>
      <c r="BE484" s="34"/>
      <c r="BF484" s="34"/>
      <c r="BG484" s="34"/>
      <c r="BH484" s="34"/>
      <c r="BI484" s="34"/>
      <c r="BJ484" s="34"/>
      <c r="BK484" s="34"/>
      <c r="BL484" s="34"/>
      <c r="BM484" s="34"/>
      <c r="BN484" s="34"/>
      <c r="BO484" s="34"/>
      <c r="BP484" s="34"/>
      <c r="BQ484" s="34"/>
      <c r="BR484" s="34"/>
      <c r="BS484" s="34"/>
      <c r="BT484" s="34"/>
      <c r="BU484" s="34"/>
      <c r="BV484" s="34"/>
      <c r="BW484" s="34"/>
      <c r="BX484" s="34"/>
      <c r="BY484" s="34"/>
      <c r="BZ484" s="34"/>
      <c r="CA484" s="34"/>
      <c r="CB484" s="34"/>
      <c r="CC484" s="34"/>
      <c r="CD484" s="34"/>
      <c r="CE484" s="34"/>
      <c r="CF484" s="34"/>
      <c r="CG484" s="34"/>
      <c r="CH484" s="34"/>
      <c r="CI484" s="8"/>
    </row>
    <row r="485" spans="1:87" x14ac:dyDescent="0.2">
      <c r="A485" s="8" t="str">
        <f>IF(AND(COUNTIF(W$3:W$13,A$22)&gt;0,A$22&lt;&gt;B292),A$22,IFERROR(IF(MATCH(A$22,Z$3:Z$13,0)=9,A$22," ")," "))</f>
        <v xml:space="preserve"> </v>
      </c>
      <c r="B485" s="8" t="str">
        <f>IF(A485=" "," ",MAX(B478:B484)+1)</f>
        <v xml:space="preserve"> </v>
      </c>
      <c r="C485" s="8" t="str">
        <f>IFERROR(INDEX(A478:A499,MATCH(SMALL(B478:B499,8),B478:B499,0),1)," ")</f>
        <v>C19</v>
      </c>
      <c r="D485" s="8">
        <f t="shared" si="1910"/>
        <v>0</v>
      </c>
      <c r="E485" s="8">
        <f t="shared" si="1911"/>
        <v>0</v>
      </c>
      <c r="F485" s="8">
        <f t="shared" si="1912"/>
        <v>0</v>
      </c>
      <c r="G485" s="8">
        <f t="shared" si="1913"/>
        <v>0</v>
      </c>
      <c r="H485" s="8">
        <f t="shared" si="1914"/>
        <v>0</v>
      </c>
      <c r="I485" s="8">
        <f t="shared" si="1915"/>
        <v>0</v>
      </c>
      <c r="J485" s="8">
        <f t="shared" si="1916"/>
        <v>0</v>
      </c>
      <c r="K485" s="8">
        <f t="shared" si="1917"/>
        <v>1</v>
      </c>
      <c r="L485" s="8">
        <f t="shared" si="1918"/>
        <v>0</v>
      </c>
      <c r="M485" s="8">
        <f t="shared" si="1919"/>
        <v>0</v>
      </c>
      <c r="N485" s="8">
        <f t="shared" si="1920"/>
        <v>0</v>
      </c>
      <c r="O485" s="8">
        <f t="shared" si="1921"/>
        <v>0</v>
      </c>
      <c r="P485" s="8" t="e">
        <v>#NUM!</v>
      </c>
      <c r="Q485" s="8" t="e">
        <f t="shared" ref="Q485" si="1950">IF(COUNTIF(P478:P488,"&lt;"&amp;-0.001)=0,IF(ABS(P485)&lt;0.001,0,P485)," ")</f>
        <v>#NUM!</v>
      </c>
      <c r="R485" s="8"/>
      <c r="S485" s="8"/>
      <c r="U485" s="34"/>
      <c r="V485" s="34"/>
      <c r="W485" s="34"/>
      <c r="X485" s="34"/>
      <c r="Y485" s="34"/>
      <c r="Z485" s="34"/>
      <c r="AA485" s="34"/>
      <c r="AB485" s="34"/>
      <c r="AC485" s="34"/>
      <c r="AD485" s="34"/>
      <c r="AE485" s="34"/>
      <c r="AF485" s="34"/>
      <c r="AG485" s="34"/>
      <c r="AH485" s="34"/>
      <c r="AI485" s="34"/>
      <c r="AJ485" s="34"/>
      <c r="AK485" s="34"/>
      <c r="AL485" s="34"/>
      <c r="AM485" s="34"/>
      <c r="AN485" s="34"/>
      <c r="AO485" s="34"/>
      <c r="AP485" s="34"/>
      <c r="AQ485" s="34"/>
      <c r="AR485" s="34"/>
      <c r="AS485" s="34"/>
      <c r="AT485" s="34"/>
      <c r="AU485" s="34"/>
      <c r="AV485" s="34"/>
      <c r="AW485" s="34"/>
      <c r="AX485" s="34"/>
      <c r="AY485" s="34"/>
      <c r="AZ485" s="34"/>
      <c r="BA485" s="34"/>
      <c r="BB485" s="34"/>
      <c r="BC485" s="34"/>
      <c r="BD485" s="34"/>
      <c r="BE485" s="34"/>
      <c r="BF485" s="34"/>
      <c r="BG485" s="34"/>
      <c r="BH485" s="34"/>
      <c r="BI485" s="34"/>
      <c r="BJ485" s="34"/>
      <c r="BK485" s="34"/>
      <c r="BL485" s="34"/>
      <c r="BM485" s="34"/>
      <c r="BN485" s="34"/>
      <c r="BO485" s="34"/>
      <c r="BP485" s="34"/>
      <c r="BQ485" s="34"/>
      <c r="BR485" s="34"/>
      <c r="BS485" s="34"/>
      <c r="BT485" s="34"/>
      <c r="BU485" s="34"/>
      <c r="BV485" s="34"/>
      <c r="BW485" s="34"/>
      <c r="BX485" s="34"/>
      <c r="BY485" s="34"/>
      <c r="BZ485" s="34"/>
      <c r="CA485" s="34"/>
      <c r="CB485" s="34"/>
      <c r="CC485" s="34"/>
      <c r="CD485" s="34"/>
      <c r="CE485" s="34"/>
      <c r="CF485" s="34"/>
      <c r="CG485" s="34"/>
      <c r="CH485" s="34"/>
      <c r="CI485" s="8"/>
    </row>
    <row r="486" spans="1:87" x14ac:dyDescent="0.2">
      <c r="A486" s="8" t="str">
        <f>IF(AND(COUNTIF(W$3:W$13,A$23)&gt;0,A$23&lt;&gt;B292),A$23,IFERROR(IF(MATCH(A$23,Z$3:Z$13,0)=9,A$23," ")," "))</f>
        <v xml:space="preserve"> </v>
      </c>
      <c r="B486" s="8" t="str">
        <f>IF(A486=" "," ",MAX(B478:B485)+1)</f>
        <v xml:space="preserve"> </v>
      </c>
      <c r="C486" s="8" t="str">
        <f>IFERROR(INDEX(A478:A499,MATCH(SMALL(B478:B499,9),B478:B499,0),1)," ")</f>
        <v>C20</v>
      </c>
      <c r="D486" s="8">
        <f t="shared" si="1910"/>
        <v>0</v>
      </c>
      <c r="E486" s="8">
        <f t="shared" si="1911"/>
        <v>0</v>
      </c>
      <c r="F486" s="8">
        <f t="shared" si="1912"/>
        <v>0</v>
      </c>
      <c r="G486" s="8">
        <f t="shared" si="1913"/>
        <v>0</v>
      </c>
      <c r="H486" s="8">
        <f t="shared" si="1914"/>
        <v>0</v>
      </c>
      <c r="I486" s="8">
        <f t="shared" si="1915"/>
        <v>0</v>
      </c>
      <c r="J486" s="8">
        <f t="shared" si="1916"/>
        <v>0</v>
      </c>
      <c r="K486" s="8">
        <f t="shared" si="1917"/>
        <v>0</v>
      </c>
      <c r="L486" s="8">
        <f t="shared" si="1918"/>
        <v>1</v>
      </c>
      <c r="M486" s="8">
        <f t="shared" si="1919"/>
        <v>0</v>
      </c>
      <c r="N486" s="8">
        <f t="shared" si="1920"/>
        <v>0</v>
      </c>
      <c r="O486" s="8">
        <f t="shared" si="1921"/>
        <v>0</v>
      </c>
      <c r="P486" s="6" t="e">
        <v>#NUM!</v>
      </c>
      <c r="Q486" s="8" t="e">
        <f t="shared" ref="Q486" si="1951">IF(COUNTIF(P478:P488,"&lt;"&amp;-0.001)=0,IF(ABS(P486)&lt;0.001,0,P486)," ")</f>
        <v>#NUM!</v>
      </c>
      <c r="R486" s="8"/>
      <c r="S486" s="8"/>
      <c r="U486" s="34"/>
      <c r="V486" s="34"/>
      <c r="W486" s="34"/>
      <c r="X486" s="34"/>
      <c r="Y486" s="34"/>
      <c r="Z486" s="34"/>
      <c r="AA486" s="34"/>
      <c r="AB486" s="34"/>
      <c r="AC486" s="34"/>
      <c r="AD486" s="34"/>
      <c r="AE486" s="34"/>
      <c r="AF486" s="34"/>
      <c r="AG486" s="34"/>
      <c r="AH486" s="34"/>
      <c r="AI486" s="34"/>
      <c r="AJ486" s="34"/>
      <c r="AK486" s="34"/>
      <c r="AL486" s="34"/>
      <c r="AM486" s="34"/>
      <c r="AN486" s="34"/>
      <c r="AO486" s="34"/>
      <c r="AP486" s="34"/>
      <c r="AQ486" s="34"/>
      <c r="AR486" s="34"/>
      <c r="AS486" s="34"/>
      <c r="AT486" s="34"/>
      <c r="AU486" s="34"/>
      <c r="AV486" s="34"/>
      <c r="AW486" s="34"/>
      <c r="AX486" s="34"/>
      <c r="AY486" s="34"/>
      <c r="AZ486" s="34"/>
      <c r="BA486" s="34"/>
      <c r="BB486" s="34"/>
      <c r="BC486" s="34"/>
      <c r="BD486" s="34"/>
      <c r="BE486" s="34"/>
      <c r="BF486" s="34"/>
      <c r="BG486" s="34"/>
      <c r="BH486" s="34"/>
      <c r="BI486" s="34"/>
      <c r="BJ486" s="34"/>
      <c r="BK486" s="34"/>
      <c r="BL486" s="34"/>
      <c r="BM486" s="34"/>
      <c r="BN486" s="34"/>
      <c r="BO486" s="34"/>
      <c r="BP486" s="34"/>
      <c r="BQ486" s="34"/>
      <c r="BR486" s="34"/>
      <c r="BS486" s="34"/>
      <c r="BT486" s="34"/>
      <c r="BU486" s="34"/>
      <c r="BV486" s="34"/>
      <c r="BW486" s="34"/>
      <c r="BX486" s="34"/>
      <c r="BY486" s="34"/>
      <c r="BZ486" s="34"/>
      <c r="CA486" s="34"/>
      <c r="CB486" s="34"/>
      <c r="CC486" s="34"/>
      <c r="CD486" s="34"/>
      <c r="CE486" s="34"/>
      <c r="CF486" s="34"/>
      <c r="CG486" s="34"/>
      <c r="CH486" s="34"/>
      <c r="CI486" s="8"/>
    </row>
    <row r="487" spans="1:87" x14ac:dyDescent="0.2">
      <c r="A487" s="8" t="str">
        <f>IF(AND(COUNTIF(W$3:W$13,A$24)&gt;0,A$24&lt;&gt;B292),A$24,IFERROR(IF(MATCH(A$24,Z$3:Z$13,0)=9,A$24," ")," "))</f>
        <v xml:space="preserve"> </v>
      </c>
      <c r="B487" s="8" t="str">
        <f>IF(A487=" "," ",MAX(B478:B486)+1)</f>
        <v xml:space="preserve"> </v>
      </c>
      <c r="C487" s="8" t="str">
        <f>IFERROR(INDEX(A478:A499,MATCH(SMALL(B478:B499,10),B478:B499,0),1)," ")</f>
        <v>C21</v>
      </c>
      <c r="D487" s="8">
        <f t="shared" si="1910"/>
        <v>0</v>
      </c>
      <c r="E487" s="8">
        <f t="shared" si="1911"/>
        <v>0</v>
      </c>
      <c r="F487" s="8">
        <f t="shared" si="1912"/>
        <v>0</v>
      </c>
      <c r="G487" s="8">
        <f t="shared" si="1913"/>
        <v>0</v>
      </c>
      <c r="H487" s="8">
        <f t="shared" si="1914"/>
        <v>0</v>
      </c>
      <c r="I487" s="8">
        <f t="shared" si="1915"/>
        <v>0</v>
      </c>
      <c r="J487" s="8">
        <f t="shared" si="1916"/>
        <v>0</v>
      </c>
      <c r="K487" s="8">
        <f t="shared" si="1917"/>
        <v>0</v>
      </c>
      <c r="L487" s="8">
        <f t="shared" si="1918"/>
        <v>0</v>
      </c>
      <c r="M487" s="8">
        <f t="shared" si="1919"/>
        <v>1</v>
      </c>
      <c r="N487" s="8">
        <f t="shared" si="1920"/>
        <v>0</v>
      </c>
      <c r="O487" s="8">
        <f t="shared" si="1921"/>
        <v>0</v>
      </c>
      <c r="P487" s="8" t="e">
        <v>#NUM!</v>
      </c>
      <c r="Q487" s="8" t="e">
        <f t="shared" ref="Q487" si="1952">IF(COUNTIF(P478:P488,"&lt;"&amp;-0.001)=0,IF(ABS(P487)&lt;0.001,0,P487)," ")</f>
        <v>#NUM!</v>
      </c>
      <c r="R487" s="8"/>
      <c r="S487" s="8"/>
      <c r="U487" s="34"/>
      <c r="V487" s="34"/>
      <c r="W487" s="34"/>
      <c r="X487" s="34"/>
      <c r="Y487" s="34"/>
      <c r="Z487" s="34"/>
      <c r="AA487" s="34"/>
      <c r="AB487" s="34"/>
      <c r="AC487" s="34"/>
      <c r="AD487" s="34"/>
      <c r="AE487" s="34"/>
      <c r="AF487" s="34"/>
      <c r="AG487" s="34"/>
      <c r="AH487" s="34"/>
      <c r="AI487" s="34"/>
      <c r="AJ487" s="34"/>
      <c r="AK487" s="34"/>
      <c r="AL487" s="34"/>
      <c r="AM487" s="34"/>
      <c r="AN487" s="34"/>
      <c r="AO487" s="34"/>
      <c r="AP487" s="34"/>
      <c r="AQ487" s="34"/>
      <c r="AR487" s="34"/>
      <c r="AS487" s="34"/>
      <c r="AT487" s="34"/>
      <c r="AU487" s="34"/>
      <c r="AV487" s="34"/>
      <c r="AW487" s="34"/>
      <c r="AX487" s="34"/>
      <c r="AY487" s="34"/>
      <c r="AZ487" s="34"/>
      <c r="BA487" s="34"/>
      <c r="BB487" s="34"/>
      <c r="BC487" s="34"/>
      <c r="BD487" s="34"/>
      <c r="BE487" s="34"/>
      <c r="BF487" s="34"/>
      <c r="BG487" s="34"/>
      <c r="BH487" s="34"/>
      <c r="BI487" s="34"/>
      <c r="BJ487" s="34"/>
      <c r="BK487" s="34"/>
      <c r="BL487" s="34"/>
      <c r="BM487" s="34"/>
      <c r="BN487" s="34"/>
      <c r="BO487" s="34"/>
      <c r="BP487" s="34"/>
      <c r="BQ487" s="34"/>
      <c r="BR487" s="34"/>
      <c r="BS487" s="34"/>
      <c r="BT487" s="34"/>
      <c r="BU487" s="34"/>
      <c r="BV487" s="34"/>
      <c r="BW487" s="34"/>
      <c r="BX487" s="34"/>
      <c r="BY487" s="34"/>
      <c r="BZ487" s="34"/>
      <c r="CA487" s="34"/>
      <c r="CB487" s="34"/>
      <c r="CC487" s="34"/>
      <c r="CD487" s="34"/>
      <c r="CE487" s="34"/>
      <c r="CF487" s="34"/>
      <c r="CG487" s="34"/>
      <c r="CH487" s="34"/>
      <c r="CI487" s="8"/>
    </row>
    <row r="488" spans="1:87" x14ac:dyDescent="0.2">
      <c r="A488" s="8" t="str">
        <f>IF(AND(COUNTIF(W$3:W$13,A$25)&gt;0,A$25&lt;&gt;B292),A$25,IFERROR(IF(MATCH(A$25,Z$3:Z$13,0)=9,A$25," ")," "))</f>
        <v>C11</v>
      </c>
      <c r="B488" s="8">
        <f>IF(A488=" "," ",MAX(B478:B487)+1)</f>
        <v>2</v>
      </c>
      <c r="C488" s="8" t="str">
        <f>IFERROR(INDEX(A478:A499,MATCH(SMALL(B478:B499,11),B478:B499,0),1)," ")</f>
        <v>C22</v>
      </c>
      <c r="D488" s="8">
        <f t="shared" si="1910"/>
        <v>0</v>
      </c>
      <c r="E488" s="8">
        <f t="shared" si="1911"/>
        <v>0</v>
      </c>
      <c r="F488" s="8">
        <f t="shared" si="1912"/>
        <v>0</v>
      </c>
      <c r="G488" s="8">
        <f t="shared" si="1913"/>
        <v>0</v>
      </c>
      <c r="H488" s="8">
        <f t="shared" si="1914"/>
        <v>0</v>
      </c>
      <c r="I488" s="8">
        <f t="shared" si="1915"/>
        <v>0</v>
      </c>
      <c r="J488" s="8">
        <f t="shared" si="1916"/>
        <v>0</v>
      </c>
      <c r="K488" s="8">
        <f t="shared" si="1917"/>
        <v>0</v>
      </c>
      <c r="L488" s="8">
        <f t="shared" si="1918"/>
        <v>0</v>
      </c>
      <c r="M488" s="8">
        <f t="shared" si="1919"/>
        <v>0</v>
      </c>
      <c r="N488" s="8">
        <f t="shared" si="1920"/>
        <v>1</v>
      </c>
      <c r="O488" s="8">
        <f t="shared" si="1921"/>
        <v>0</v>
      </c>
      <c r="P488" s="8" t="e">
        <v>#NUM!</v>
      </c>
      <c r="Q488" s="8" t="e">
        <f t="shared" ref="Q488" si="1953">IF(COUNTIF(P478:P488,"&lt;"&amp;-0.001)=0,IF(ABS(P488)&lt;0.001,0,P488)," ")</f>
        <v>#NUM!</v>
      </c>
      <c r="R488" s="8"/>
      <c r="S488" s="8"/>
      <c r="U488" s="34"/>
      <c r="V488" s="34"/>
      <c r="W488" s="34"/>
      <c r="X488" s="34"/>
      <c r="Y488" s="34"/>
      <c r="Z488" s="34"/>
      <c r="AA488" s="34"/>
      <c r="AB488" s="34"/>
      <c r="AC488" s="34"/>
      <c r="AD488" s="34"/>
      <c r="AE488" s="34"/>
      <c r="AF488" s="34"/>
      <c r="AG488" s="34"/>
      <c r="AH488" s="34"/>
      <c r="AI488" s="34"/>
      <c r="AJ488" s="34"/>
      <c r="AK488" s="34"/>
      <c r="AL488" s="34"/>
      <c r="AM488" s="34"/>
      <c r="AN488" s="34"/>
      <c r="AO488" s="34"/>
      <c r="AP488" s="34"/>
      <c r="AQ488" s="34"/>
      <c r="AR488" s="34"/>
      <c r="AS488" s="34"/>
      <c r="AT488" s="34"/>
      <c r="AU488" s="34"/>
      <c r="AV488" s="34"/>
      <c r="AW488" s="34"/>
      <c r="AX488" s="34"/>
      <c r="AY488" s="34"/>
      <c r="AZ488" s="34"/>
      <c r="BA488" s="34"/>
      <c r="BB488" s="34"/>
      <c r="BC488" s="34"/>
      <c r="BD488" s="34"/>
      <c r="BE488" s="34"/>
      <c r="BF488" s="34"/>
      <c r="BG488" s="34"/>
      <c r="BH488" s="34"/>
      <c r="BI488" s="34"/>
      <c r="BJ488" s="34"/>
      <c r="BK488" s="34"/>
      <c r="BL488" s="34"/>
      <c r="BM488" s="34"/>
      <c r="BN488" s="34"/>
      <c r="BO488" s="34"/>
      <c r="BP488" s="34"/>
      <c r="BQ488" s="34"/>
      <c r="BR488" s="34"/>
      <c r="BS488" s="34"/>
      <c r="BT488" s="34"/>
      <c r="BU488" s="34"/>
      <c r="BV488" s="34"/>
      <c r="BW488" s="34"/>
      <c r="BX488" s="34"/>
      <c r="BY488" s="34"/>
      <c r="BZ488" s="34"/>
      <c r="CA488" s="34"/>
      <c r="CB488" s="34"/>
      <c r="CC488" s="34"/>
      <c r="CD488" s="34"/>
      <c r="CE488" s="34"/>
      <c r="CF488" s="34"/>
      <c r="CG488" s="34"/>
      <c r="CH488" s="34"/>
      <c r="CI488" s="8"/>
    </row>
    <row r="489" spans="1:87" x14ac:dyDescent="0.2">
      <c r="A489" s="8" t="str">
        <f>IF(AND(COUNTIF(W$3:W$13,A$26)&gt;0,A$26&lt;&gt;B292),A$26,IFERROR(IF(MATCH(A$26,Z$3:Z$13,0)=9,A$26," ")," "))</f>
        <v xml:space="preserve"> </v>
      </c>
      <c r="B489" s="8" t="str">
        <f>IF(A489=" "," ",MAX(B478:B488)+1)</f>
        <v xml:space="preserve"> </v>
      </c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U489" s="34"/>
      <c r="V489" s="34"/>
      <c r="W489" s="34"/>
      <c r="X489" s="34"/>
      <c r="Y489" s="34"/>
      <c r="Z489" s="34"/>
      <c r="AA489" s="34"/>
      <c r="AB489" s="34"/>
      <c r="AC489" s="34"/>
      <c r="AD489" s="34"/>
      <c r="AE489" s="34"/>
      <c r="AF489" s="34"/>
      <c r="AG489" s="34"/>
      <c r="AH489" s="34"/>
      <c r="AI489" s="34"/>
      <c r="AJ489" s="34"/>
      <c r="AK489" s="34"/>
      <c r="AL489" s="34"/>
      <c r="AM489" s="34"/>
      <c r="AN489" s="34"/>
      <c r="AO489" s="34"/>
      <c r="AP489" s="34"/>
      <c r="AQ489" s="34"/>
      <c r="AR489" s="34"/>
      <c r="AS489" s="34"/>
      <c r="AT489" s="34"/>
      <c r="AU489" s="34"/>
      <c r="AV489" s="34"/>
      <c r="AW489" s="34"/>
      <c r="AX489" s="34"/>
      <c r="AY489" s="34"/>
      <c r="AZ489" s="34"/>
      <c r="BA489" s="34"/>
      <c r="BB489" s="34"/>
      <c r="BC489" s="34"/>
      <c r="BD489" s="34"/>
      <c r="BE489" s="34"/>
      <c r="BF489" s="34"/>
      <c r="BG489" s="34"/>
      <c r="BH489" s="34"/>
      <c r="BI489" s="34"/>
      <c r="BJ489" s="34"/>
      <c r="BK489" s="34"/>
      <c r="BL489" s="34"/>
      <c r="BM489" s="34"/>
      <c r="BN489" s="34"/>
      <c r="BO489" s="34"/>
      <c r="BP489" s="34"/>
      <c r="BQ489" s="34"/>
      <c r="BR489" s="34"/>
      <c r="BS489" s="34"/>
      <c r="BT489" s="34"/>
      <c r="BU489" s="34"/>
      <c r="BV489" s="34"/>
      <c r="BW489" s="34"/>
      <c r="BX489" s="34"/>
      <c r="BY489" s="34"/>
      <c r="BZ489" s="34"/>
      <c r="CA489" s="34"/>
      <c r="CB489" s="34"/>
      <c r="CC489" s="34"/>
      <c r="CD489" s="34"/>
      <c r="CE489" s="34"/>
      <c r="CF489" s="34"/>
      <c r="CG489" s="34"/>
      <c r="CH489" s="34"/>
      <c r="CI489" s="8"/>
    </row>
    <row r="490" spans="1:87" x14ac:dyDescent="0.2">
      <c r="A490" s="8" t="str">
        <f>IF(AND(COUNTIF(W$3:W$13,A$27)&gt;0,A$27&lt;&gt;B292),A$27,IFERROR(IF(MATCH(A$27,Z$3:Z$13,0)=9,A$27," ")," "))</f>
        <v>C13</v>
      </c>
      <c r="B490" s="8">
        <f>IF(A490=" "," ",MAX(B478:B489)+1)</f>
        <v>3</v>
      </c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U490" s="34"/>
      <c r="V490" s="34"/>
      <c r="W490" s="34"/>
      <c r="X490" s="34"/>
      <c r="Y490" s="34"/>
      <c r="Z490" s="34"/>
      <c r="AA490" s="34"/>
      <c r="AB490" s="34"/>
      <c r="AC490" s="34"/>
      <c r="AD490" s="34"/>
      <c r="AE490" s="34"/>
      <c r="AF490" s="34"/>
      <c r="AG490" s="34"/>
      <c r="AH490" s="34"/>
      <c r="AI490" s="34"/>
      <c r="AJ490" s="34"/>
      <c r="AK490" s="34"/>
      <c r="AL490" s="34"/>
      <c r="AM490" s="34"/>
      <c r="AN490" s="34"/>
      <c r="AO490" s="34"/>
      <c r="AP490" s="34"/>
      <c r="AQ490" s="34"/>
      <c r="AR490" s="34"/>
      <c r="AS490" s="34"/>
      <c r="AT490" s="34"/>
      <c r="AU490" s="34"/>
      <c r="AV490" s="34"/>
      <c r="AW490" s="34"/>
      <c r="AX490" s="34"/>
      <c r="AY490" s="34"/>
      <c r="AZ490" s="34"/>
      <c r="BA490" s="34"/>
      <c r="BB490" s="34"/>
      <c r="BC490" s="34"/>
      <c r="BD490" s="34"/>
      <c r="BE490" s="34"/>
      <c r="BF490" s="34"/>
      <c r="BG490" s="34"/>
      <c r="BH490" s="34"/>
      <c r="BI490" s="34"/>
      <c r="BJ490" s="34"/>
      <c r="BK490" s="34"/>
      <c r="BL490" s="34"/>
      <c r="BM490" s="34"/>
      <c r="BN490" s="34"/>
      <c r="BO490" s="34"/>
      <c r="BP490" s="34"/>
      <c r="BQ490" s="34"/>
      <c r="BR490" s="34"/>
      <c r="BS490" s="34"/>
      <c r="BT490" s="34"/>
      <c r="BU490" s="34"/>
      <c r="BV490" s="34"/>
      <c r="BW490" s="34"/>
      <c r="BX490" s="34"/>
      <c r="BY490" s="34"/>
      <c r="BZ490" s="34"/>
      <c r="CA490" s="34"/>
      <c r="CB490" s="34"/>
      <c r="CC490" s="34"/>
      <c r="CD490" s="34"/>
      <c r="CE490" s="34"/>
      <c r="CF490" s="34"/>
      <c r="CG490" s="34"/>
      <c r="CH490" s="34"/>
      <c r="CI490" s="8"/>
    </row>
    <row r="491" spans="1:87" x14ac:dyDescent="0.2">
      <c r="A491" s="8" t="str">
        <f>IF(AND(COUNTIF(W$3:W$13,A$28)&gt;0,A$28&lt;&gt;B292),A$28,IFERROR(IF(MATCH(A$28,Z$3:Z$13,0)=9,A$28," ")," "))</f>
        <v xml:space="preserve"> </v>
      </c>
      <c r="B491" s="8" t="str">
        <f>IF(A491=" "," ",MAX(B478:B490)+1)</f>
        <v xml:space="preserve"> </v>
      </c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U491" s="34"/>
      <c r="V491" s="34"/>
      <c r="W491" s="34"/>
      <c r="X491" s="34"/>
      <c r="Y491" s="34"/>
      <c r="Z491" s="34"/>
      <c r="AA491" s="34"/>
      <c r="AB491" s="34"/>
      <c r="AC491" s="34"/>
      <c r="AD491" s="34"/>
      <c r="AE491" s="34"/>
      <c r="AF491" s="34"/>
      <c r="AG491" s="34"/>
      <c r="AH491" s="34"/>
      <c r="AI491" s="34"/>
      <c r="AJ491" s="34"/>
      <c r="AK491" s="34"/>
      <c r="AL491" s="34"/>
      <c r="AM491" s="34"/>
      <c r="AN491" s="34"/>
      <c r="AO491" s="34"/>
      <c r="AP491" s="34"/>
      <c r="AQ491" s="34"/>
      <c r="AR491" s="34"/>
      <c r="AS491" s="34"/>
      <c r="AT491" s="34"/>
      <c r="AU491" s="34"/>
      <c r="AV491" s="34"/>
      <c r="AW491" s="34"/>
      <c r="AX491" s="34"/>
      <c r="AY491" s="34"/>
      <c r="AZ491" s="34"/>
      <c r="BA491" s="34"/>
      <c r="BB491" s="34"/>
      <c r="BC491" s="34"/>
      <c r="BD491" s="34"/>
      <c r="BE491" s="34"/>
      <c r="BF491" s="34"/>
      <c r="BG491" s="34"/>
      <c r="BH491" s="34"/>
      <c r="BI491" s="34"/>
      <c r="BJ491" s="34"/>
      <c r="BK491" s="34"/>
      <c r="BL491" s="34"/>
      <c r="BM491" s="34"/>
      <c r="BN491" s="34"/>
      <c r="BO491" s="34"/>
      <c r="BP491" s="34"/>
      <c r="BQ491" s="34"/>
      <c r="BR491" s="34"/>
      <c r="BS491" s="34"/>
      <c r="BT491" s="34"/>
      <c r="BU491" s="34"/>
      <c r="BV491" s="34"/>
      <c r="BW491" s="34"/>
      <c r="BX491" s="34"/>
      <c r="BY491" s="34"/>
      <c r="BZ491" s="34"/>
      <c r="CA491" s="34"/>
      <c r="CB491" s="34"/>
      <c r="CC491" s="34"/>
      <c r="CD491" s="34"/>
      <c r="CE491" s="34"/>
      <c r="CF491" s="34"/>
      <c r="CG491" s="34"/>
      <c r="CH491" s="34"/>
      <c r="CI491" s="8"/>
    </row>
    <row r="492" spans="1:87" x14ac:dyDescent="0.2">
      <c r="A492" s="8" t="str">
        <f>IF(AND(COUNTIF(W$3:W$13,A$29)&gt;0,A$29&lt;&gt;B292),A$29,IFERROR(IF(MATCH(A$29,Z$3:Z$13,0)=9,A$29," ")," "))</f>
        <v>C15</v>
      </c>
      <c r="B492" s="8">
        <f>IF(A492=" "," ",MAX(B478:B491)+1)</f>
        <v>4</v>
      </c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U492" s="34"/>
      <c r="V492" s="34"/>
      <c r="W492" s="34"/>
      <c r="X492" s="34"/>
      <c r="Y492" s="34"/>
      <c r="Z492" s="34"/>
      <c r="AA492" s="34"/>
      <c r="AB492" s="34"/>
      <c r="AC492" s="34"/>
      <c r="AD492" s="34"/>
      <c r="AE492" s="34"/>
      <c r="AF492" s="34"/>
      <c r="AG492" s="34"/>
      <c r="AH492" s="34"/>
      <c r="AI492" s="34"/>
      <c r="AJ492" s="34"/>
      <c r="AK492" s="34"/>
      <c r="AL492" s="34"/>
      <c r="AM492" s="34"/>
      <c r="AN492" s="34"/>
      <c r="AO492" s="34"/>
      <c r="AP492" s="34"/>
      <c r="AQ492" s="34"/>
      <c r="AR492" s="34"/>
      <c r="AS492" s="34"/>
      <c r="AT492" s="34"/>
      <c r="AU492" s="34"/>
      <c r="AV492" s="34"/>
      <c r="AW492" s="34"/>
      <c r="AX492" s="34"/>
      <c r="AY492" s="34"/>
      <c r="AZ492" s="34"/>
      <c r="BA492" s="34"/>
      <c r="BB492" s="34"/>
      <c r="BC492" s="34"/>
      <c r="BD492" s="34"/>
      <c r="BE492" s="34"/>
      <c r="BF492" s="34"/>
      <c r="BG492" s="34"/>
      <c r="BH492" s="34"/>
      <c r="BI492" s="34"/>
      <c r="BJ492" s="34"/>
      <c r="BK492" s="34"/>
      <c r="BL492" s="34"/>
      <c r="BM492" s="34"/>
      <c r="BN492" s="34"/>
      <c r="BO492" s="34"/>
      <c r="BP492" s="34"/>
      <c r="BQ492" s="34"/>
      <c r="BR492" s="34"/>
      <c r="BS492" s="34"/>
      <c r="BT492" s="34"/>
      <c r="BU492" s="34"/>
      <c r="BV492" s="34"/>
      <c r="BW492" s="34"/>
      <c r="BX492" s="34"/>
      <c r="BY492" s="34"/>
      <c r="BZ492" s="34"/>
      <c r="CA492" s="34"/>
      <c r="CB492" s="34"/>
      <c r="CC492" s="34"/>
      <c r="CD492" s="34"/>
      <c r="CE492" s="34"/>
      <c r="CF492" s="34"/>
      <c r="CG492" s="34"/>
      <c r="CH492" s="34"/>
      <c r="CI492" s="8"/>
    </row>
    <row r="493" spans="1:87" x14ac:dyDescent="0.2">
      <c r="A493" s="8" t="str">
        <f>IF(AND(COUNTIF(W$3:W$13,A$30)&gt;0,A$30&lt;&gt;B292),A$30,IFERROR(IF(MATCH(A$30,Z$3:Z$13,0)=9,A$30," ")," "))</f>
        <v>C16</v>
      </c>
      <c r="B493" s="8">
        <f>IF(A493=" "," ",MAX(B478:B492)+1)</f>
        <v>5</v>
      </c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U493" s="34"/>
      <c r="V493" s="34"/>
      <c r="W493" s="34"/>
      <c r="X493" s="34"/>
      <c r="Y493" s="34"/>
      <c r="Z493" s="34"/>
      <c r="AA493" s="34"/>
      <c r="AB493" s="34"/>
      <c r="AC493" s="34"/>
      <c r="AD493" s="34"/>
      <c r="AE493" s="34"/>
      <c r="AF493" s="34"/>
      <c r="AG493" s="34"/>
      <c r="AH493" s="34"/>
      <c r="AI493" s="34"/>
      <c r="AJ493" s="34"/>
      <c r="AK493" s="34"/>
      <c r="AL493" s="34"/>
      <c r="AM493" s="34"/>
      <c r="AN493" s="34"/>
      <c r="AO493" s="34"/>
      <c r="AP493" s="34"/>
      <c r="AQ493" s="34"/>
      <c r="AR493" s="34"/>
      <c r="AS493" s="34"/>
      <c r="AT493" s="34"/>
      <c r="AU493" s="34"/>
      <c r="AV493" s="34"/>
      <c r="AW493" s="34"/>
      <c r="AX493" s="34"/>
      <c r="AY493" s="34"/>
      <c r="AZ493" s="34"/>
      <c r="BA493" s="34"/>
      <c r="BB493" s="34"/>
      <c r="BC493" s="34"/>
      <c r="BD493" s="34"/>
      <c r="BE493" s="34"/>
      <c r="BF493" s="34"/>
      <c r="BG493" s="34"/>
      <c r="BH493" s="34"/>
      <c r="BI493" s="34"/>
      <c r="BJ493" s="34"/>
      <c r="BK493" s="34"/>
      <c r="BL493" s="34"/>
      <c r="BM493" s="34"/>
      <c r="BN493" s="34"/>
      <c r="BO493" s="34"/>
      <c r="BP493" s="34"/>
      <c r="BQ493" s="34"/>
      <c r="BR493" s="34"/>
      <c r="BS493" s="34"/>
      <c r="BT493" s="34"/>
      <c r="BU493" s="34"/>
      <c r="BV493" s="34"/>
      <c r="BW493" s="34"/>
      <c r="BX493" s="34"/>
      <c r="BY493" s="34"/>
      <c r="BZ493" s="34"/>
      <c r="CA493" s="34"/>
      <c r="CB493" s="34"/>
      <c r="CC493" s="34"/>
      <c r="CD493" s="34"/>
      <c r="CE493" s="34"/>
      <c r="CF493" s="34"/>
      <c r="CG493" s="34"/>
      <c r="CH493" s="34"/>
      <c r="CI493" s="8"/>
    </row>
    <row r="494" spans="1:87" x14ac:dyDescent="0.2">
      <c r="A494" s="8" t="str">
        <f>IF(AND(COUNTIF(W$3:W$13,A$31)&gt;0,A$31&lt;&gt;B292),A$31,IFERROR(IF(MATCH(A$31,Z$3:Z$13,0)=9,A$31," ")," "))</f>
        <v>C17</v>
      </c>
      <c r="B494" s="8">
        <f>IF(A494=" "," ",MAX(B478:B493)+1)</f>
        <v>6</v>
      </c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U494" s="34"/>
      <c r="V494" s="34"/>
      <c r="W494" s="34"/>
      <c r="X494" s="34"/>
      <c r="Y494" s="34"/>
      <c r="Z494" s="34"/>
      <c r="AA494" s="34"/>
      <c r="AB494" s="34"/>
      <c r="AC494" s="34"/>
      <c r="AD494" s="34"/>
      <c r="AE494" s="34"/>
      <c r="AF494" s="34"/>
      <c r="AG494" s="34"/>
      <c r="AH494" s="34"/>
      <c r="AI494" s="34"/>
      <c r="AJ494" s="34"/>
      <c r="AK494" s="34"/>
      <c r="AL494" s="34"/>
      <c r="AM494" s="34"/>
      <c r="AN494" s="34"/>
      <c r="AO494" s="34"/>
      <c r="AP494" s="34"/>
      <c r="AQ494" s="34"/>
      <c r="AR494" s="34"/>
      <c r="AS494" s="34"/>
      <c r="AT494" s="34"/>
      <c r="AU494" s="34"/>
      <c r="AV494" s="34"/>
      <c r="AW494" s="34"/>
      <c r="AX494" s="34"/>
      <c r="AY494" s="34"/>
      <c r="AZ494" s="34"/>
      <c r="BA494" s="34"/>
      <c r="BB494" s="34"/>
      <c r="BC494" s="34"/>
      <c r="BD494" s="34"/>
      <c r="BE494" s="34"/>
      <c r="BF494" s="34"/>
      <c r="BG494" s="34"/>
      <c r="BH494" s="34"/>
      <c r="BI494" s="34"/>
      <c r="BJ494" s="34"/>
      <c r="BK494" s="34"/>
      <c r="BL494" s="34"/>
      <c r="BM494" s="34"/>
      <c r="BN494" s="34"/>
      <c r="BO494" s="34"/>
      <c r="BP494" s="34"/>
      <c r="BQ494" s="34"/>
      <c r="BR494" s="34"/>
      <c r="BS494" s="34"/>
      <c r="BT494" s="34"/>
      <c r="BU494" s="34"/>
      <c r="BV494" s="34"/>
      <c r="BW494" s="34"/>
      <c r="BX494" s="34"/>
      <c r="BY494" s="34"/>
      <c r="BZ494" s="34"/>
      <c r="CA494" s="34"/>
      <c r="CB494" s="34"/>
      <c r="CC494" s="34"/>
      <c r="CD494" s="34"/>
      <c r="CE494" s="34"/>
      <c r="CF494" s="34"/>
      <c r="CG494" s="34"/>
      <c r="CH494" s="34"/>
      <c r="CI494" s="8"/>
    </row>
    <row r="495" spans="1:87" x14ac:dyDescent="0.2">
      <c r="A495" s="8" t="str">
        <f>IF(AND(COUNTIF(W$3:W$13,A$32)&gt;0,A$32&lt;&gt;B292),A$32,IFERROR(IF(MATCH(A$32,Z$3:Z$13,0)=9,A$32," ")," "))</f>
        <v>C18</v>
      </c>
      <c r="B495" s="8">
        <f>IF(A495=" "," ",MAX(B478:B494)+1)</f>
        <v>7</v>
      </c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U495" s="34"/>
      <c r="V495" s="34"/>
      <c r="W495" s="34"/>
      <c r="X495" s="34"/>
      <c r="Y495" s="34"/>
      <c r="Z495" s="34"/>
      <c r="AA495" s="34"/>
      <c r="AB495" s="34"/>
      <c r="AC495" s="34"/>
      <c r="AD495" s="34"/>
      <c r="AE495" s="34"/>
      <c r="AF495" s="34"/>
      <c r="AG495" s="34"/>
      <c r="AH495" s="34"/>
      <c r="AI495" s="34"/>
      <c r="AJ495" s="34"/>
      <c r="AK495" s="34"/>
      <c r="AL495" s="34"/>
      <c r="AM495" s="34"/>
      <c r="AN495" s="34"/>
      <c r="AO495" s="34"/>
      <c r="AP495" s="34"/>
      <c r="AQ495" s="34"/>
      <c r="AR495" s="34"/>
      <c r="AS495" s="34"/>
      <c r="AT495" s="34"/>
      <c r="AU495" s="34"/>
      <c r="AV495" s="34"/>
      <c r="AW495" s="34"/>
      <c r="AX495" s="34"/>
      <c r="AY495" s="34"/>
      <c r="AZ495" s="34"/>
      <c r="BA495" s="34"/>
      <c r="BB495" s="34"/>
      <c r="BC495" s="34"/>
      <c r="BD495" s="34"/>
      <c r="BE495" s="34"/>
      <c r="BF495" s="34"/>
      <c r="BG495" s="34"/>
      <c r="BH495" s="34"/>
      <c r="BI495" s="34"/>
      <c r="BJ495" s="34"/>
      <c r="BK495" s="34"/>
      <c r="BL495" s="34"/>
      <c r="BM495" s="34"/>
      <c r="BN495" s="34"/>
      <c r="BO495" s="34"/>
      <c r="BP495" s="34"/>
      <c r="BQ495" s="34"/>
      <c r="BR495" s="34"/>
      <c r="BS495" s="34"/>
      <c r="BT495" s="34"/>
      <c r="BU495" s="34"/>
      <c r="BV495" s="34"/>
      <c r="BW495" s="34"/>
      <c r="BX495" s="34"/>
      <c r="BY495" s="34"/>
      <c r="BZ495" s="34"/>
      <c r="CA495" s="34"/>
      <c r="CB495" s="34"/>
      <c r="CC495" s="34"/>
      <c r="CD495" s="34"/>
      <c r="CE495" s="34"/>
      <c r="CF495" s="34"/>
      <c r="CG495" s="34"/>
      <c r="CH495" s="34"/>
      <c r="CI495" s="8"/>
    </row>
    <row r="496" spans="1:87" x14ac:dyDescent="0.2">
      <c r="A496" s="8" t="str">
        <f>IF(AND(COUNTIF(W$3:W$13,A$33)&gt;0,A$33&lt;&gt;B292),A$33,IFERROR(IF(MATCH(A$33,Z$3:Z$13,0)=9,A$33," ")," "))</f>
        <v>C19</v>
      </c>
      <c r="B496" s="8">
        <f>IF(A496=" "," ",MAX(B478:B495)+1)</f>
        <v>8</v>
      </c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U496" s="34"/>
      <c r="V496" s="34"/>
      <c r="W496" s="34"/>
      <c r="X496" s="34"/>
      <c r="Y496" s="34"/>
      <c r="Z496" s="34"/>
      <c r="AA496" s="34"/>
      <c r="AB496" s="34"/>
      <c r="AC496" s="34"/>
      <c r="AD496" s="34"/>
      <c r="AE496" s="34"/>
      <c r="AF496" s="34"/>
      <c r="AG496" s="34"/>
      <c r="AH496" s="34"/>
      <c r="AI496" s="34"/>
      <c r="AJ496" s="34"/>
      <c r="AK496" s="34"/>
      <c r="AL496" s="34"/>
      <c r="AM496" s="34"/>
      <c r="AN496" s="34"/>
      <c r="AO496" s="34"/>
      <c r="AP496" s="34"/>
      <c r="AQ496" s="34"/>
      <c r="AR496" s="34"/>
      <c r="AS496" s="34"/>
      <c r="AT496" s="34"/>
      <c r="AU496" s="34"/>
      <c r="AV496" s="34"/>
      <c r="AW496" s="34"/>
      <c r="AX496" s="34"/>
      <c r="AY496" s="34"/>
      <c r="AZ496" s="34"/>
      <c r="BA496" s="34"/>
      <c r="BB496" s="34"/>
      <c r="BC496" s="34"/>
      <c r="BD496" s="34"/>
      <c r="BE496" s="34"/>
      <c r="BF496" s="34"/>
      <c r="BG496" s="34"/>
      <c r="BH496" s="34"/>
      <c r="BI496" s="34"/>
      <c r="BJ496" s="34"/>
      <c r="BK496" s="34"/>
      <c r="BL496" s="34"/>
      <c r="BM496" s="34"/>
      <c r="BN496" s="34"/>
      <c r="BO496" s="34"/>
      <c r="BP496" s="34"/>
      <c r="BQ496" s="34"/>
      <c r="BR496" s="34"/>
      <c r="BS496" s="34"/>
      <c r="BT496" s="34"/>
      <c r="BU496" s="34"/>
      <c r="BV496" s="34"/>
      <c r="BW496" s="34"/>
      <c r="BX496" s="34"/>
      <c r="BY496" s="34"/>
      <c r="BZ496" s="34"/>
      <c r="CA496" s="34"/>
      <c r="CB496" s="34"/>
      <c r="CC496" s="34"/>
      <c r="CD496" s="34"/>
      <c r="CE496" s="34"/>
      <c r="CF496" s="34"/>
      <c r="CG496" s="34"/>
      <c r="CH496" s="34"/>
      <c r="CI496" s="8"/>
    </row>
    <row r="497" spans="1:87" x14ac:dyDescent="0.2">
      <c r="A497" s="8" t="str">
        <f>IF(AND(COUNTIF(W$3:W$13,A$34)&gt;0,A$34&lt;&gt;B292),A$34,IFERROR(IF(MATCH(A$34,Z$3:Z$13,0)=9,A$34," ")," "))</f>
        <v>C20</v>
      </c>
      <c r="B497" s="8">
        <f>IF(A497=" "," ",MAX(B478:B496)+1)</f>
        <v>9</v>
      </c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U497" s="34"/>
      <c r="V497" s="34"/>
      <c r="W497" s="34"/>
      <c r="X497" s="34"/>
      <c r="Y497" s="34"/>
      <c r="Z497" s="34"/>
      <c r="AA497" s="34"/>
      <c r="AB497" s="34"/>
      <c r="AC497" s="34"/>
      <c r="AD497" s="34"/>
      <c r="AE497" s="34"/>
      <c r="AF497" s="34"/>
      <c r="AG497" s="34"/>
      <c r="AH497" s="34"/>
      <c r="AI497" s="34"/>
      <c r="AJ497" s="34"/>
      <c r="AK497" s="34"/>
      <c r="AL497" s="34"/>
      <c r="AM497" s="34"/>
      <c r="AN497" s="34"/>
      <c r="AO497" s="34"/>
      <c r="AP497" s="34"/>
      <c r="AQ497" s="34"/>
      <c r="AR497" s="34"/>
      <c r="AS497" s="34"/>
      <c r="AT497" s="34"/>
      <c r="AU497" s="34"/>
      <c r="AV497" s="34"/>
      <c r="AW497" s="34"/>
      <c r="AX497" s="34"/>
      <c r="AY497" s="34"/>
      <c r="AZ497" s="34"/>
      <c r="BA497" s="34"/>
      <c r="BB497" s="34"/>
      <c r="BC497" s="34"/>
      <c r="BD497" s="34"/>
      <c r="BE497" s="34"/>
      <c r="BF497" s="34"/>
      <c r="BG497" s="34"/>
      <c r="BH497" s="34"/>
      <c r="BI497" s="34"/>
      <c r="BJ497" s="34"/>
      <c r="BK497" s="34"/>
      <c r="BL497" s="34"/>
      <c r="BM497" s="34"/>
      <c r="BN497" s="34"/>
      <c r="BO497" s="34"/>
      <c r="BP497" s="34"/>
      <c r="BQ497" s="34"/>
      <c r="BR497" s="34"/>
      <c r="BS497" s="34"/>
      <c r="BT497" s="34"/>
      <c r="BU497" s="34"/>
      <c r="BV497" s="34"/>
      <c r="BW497" s="34"/>
      <c r="BX497" s="34"/>
      <c r="BY497" s="34"/>
      <c r="BZ497" s="34"/>
      <c r="CA497" s="34"/>
      <c r="CB497" s="34"/>
      <c r="CC497" s="34"/>
      <c r="CD497" s="34"/>
      <c r="CE497" s="34"/>
      <c r="CF497" s="34"/>
      <c r="CG497" s="34"/>
      <c r="CH497" s="34"/>
      <c r="CI497" s="8"/>
    </row>
    <row r="498" spans="1:87" x14ac:dyDescent="0.2">
      <c r="A498" s="8" t="str">
        <f>IF(AND(COUNTIF(W$3:W$13,A$35)&gt;0,A$35&lt;&gt;B292),A$35,IFERROR(IF(MATCH(A$35,Z$3:Z$13,0)=9,A$35," ")," "))</f>
        <v>C21</v>
      </c>
      <c r="B498" s="8">
        <f>IF(A498=" "," ",MAX(B478:B497)+1)</f>
        <v>10</v>
      </c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U498" s="34"/>
      <c r="V498" s="34"/>
      <c r="W498" s="34"/>
      <c r="X498" s="40"/>
      <c r="Y498" s="34"/>
      <c r="Z498" s="34"/>
      <c r="AA498" s="34"/>
      <c r="AB498" s="34"/>
      <c r="AC498" s="34"/>
      <c r="AD498" s="34"/>
      <c r="AE498" s="34"/>
      <c r="AF498" s="34"/>
      <c r="AG498" s="34"/>
      <c r="AH498" s="34"/>
      <c r="AI498" s="34"/>
      <c r="AJ498" s="34"/>
      <c r="AK498" s="34"/>
      <c r="AL498" s="34"/>
      <c r="AM498" s="34"/>
      <c r="AN498" s="34"/>
      <c r="AO498" s="34"/>
      <c r="AP498" s="34"/>
      <c r="AQ498" s="34"/>
      <c r="AR498" s="34"/>
      <c r="AS498" s="34"/>
      <c r="AT498" s="34"/>
      <c r="AU498" s="34"/>
      <c r="AV498" s="34"/>
      <c r="AW498" s="34"/>
      <c r="AX498" s="34"/>
      <c r="AY498" s="34"/>
      <c r="AZ498" s="34"/>
      <c r="BA498" s="34"/>
      <c r="BB498" s="34"/>
      <c r="BC498" s="34"/>
      <c r="BD498" s="34"/>
      <c r="BE498" s="34"/>
      <c r="BF498" s="34"/>
      <c r="BG498" s="34"/>
      <c r="BH498" s="34"/>
      <c r="BI498" s="34"/>
      <c r="BJ498" s="34"/>
      <c r="BK498" s="34"/>
      <c r="BL498" s="34"/>
      <c r="BM498" s="34"/>
      <c r="BN498" s="34"/>
      <c r="BO498" s="34"/>
      <c r="BP498" s="34"/>
      <c r="BQ498" s="34"/>
      <c r="BR498" s="34"/>
      <c r="BS498" s="34"/>
      <c r="BT498" s="34"/>
      <c r="BU498" s="34"/>
      <c r="BV498" s="34"/>
      <c r="BW498" s="34"/>
      <c r="BX498" s="34"/>
      <c r="BY498" s="34"/>
      <c r="BZ498" s="34"/>
      <c r="CA498" s="34"/>
      <c r="CB498" s="34"/>
      <c r="CC498" s="34"/>
      <c r="CD498" s="34"/>
      <c r="CE498" s="34"/>
      <c r="CF498" s="34"/>
      <c r="CG498" s="34"/>
      <c r="CH498" s="34"/>
      <c r="CI498" s="8"/>
    </row>
    <row r="499" spans="1:87" x14ac:dyDescent="0.2">
      <c r="A499" s="8" t="str">
        <f>IF(AND(COUNTIF(W$3:W$13,A$36)&gt;0,A$36&lt;&gt;B292),A$36,IFERROR(IF(MATCH(A$36,Z$3:Z$13,0)=9,A$36," ")," "))</f>
        <v>C22</v>
      </c>
      <c r="B499" s="8">
        <f>IF(A499=" "," ",MAX(B478:B498)+1)</f>
        <v>11</v>
      </c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U499" s="34"/>
      <c r="V499" s="34"/>
      <c r="W499" s="34"/>
      <c r="X499" s="34"/>
      <c r="Y499" s="34"/>
      <c r="Z499" s="34"/>
      <c r="AA499" s="34"/>
      <c r="AB499" s="34"/>
      <c r="AC499" s="34"/>
      <c r="AD499" s="34"/>
      <c r="AE499" s="34"/>
      <c r="AF499" s="34"/>
      <c r="AG499" s="34"/>
      <c r="AH499" s="34"/>
      <c r="AI499" s="34"/>
      <c r="AJ499" s="34"/>
      <c r="AK499" s="34"/>
      <c r="AL499" s="34"/>
      <c r="AM499" s="34"/>
      <c r="AN499" s="34"/>
      <c r="AO499" s="34"/>
      <c r="AP499" s="34"/>
      <c r="AQ499" s="34"/>
      <c r="AR499" s="34"/>
      <c r="AS499" s="34"/>
      <c r="AT499" s="34"/>
      <c r="AU499" s="34"/>
      <c r="AV499" s="34"/>
      <c r="AW499" s="34"/>
      <c r="AX499" s="34"/>
      <c r="AY499" s="34"/>
      <c r="AZ499" s="34"/>
      <c r="BA499" s="34"/>
      <c r="BB499" s="34"/>
      <c r="BC499" s="34"/>
      <c r="BD499" s="34"/>
      <c r="BE499" s="34"/>
      <c r="BF499" s="34"/>
      <c r="BG499" s="34"/>
      <c r="BH499" s="34"/>
      <c r="BI499" s="34"/>
      <c r="BJ499" s="34"/>
      <c r="BK499" s="34"/>
      <c r="BL499" s="34"/>
      <c r="BM499" s="34"/>
      <c r="BN499" s="34"/>
      <c r="BO499" s="34"/>
      <c r="BP499" s="34"/>
      <c r="BQ499" s="34"/>
      <c r="BR499" s="34"/>
      <c r="BS499" s="34"/>
      <c r="BT499" s="34"/>
      <c r="BU499" s="34"/>
      <c r="BV499" s="34"/>
      <c r="BW499" s="34"/>
      <c r="BX499" s="34"/>
      <c r="BY499" s="34"/>
      <c r="BZ499" s="34"/>
      <c r="CA499" s="34"/>
      <c r="CB499" s="34"/>
      <c r="CC499" s="34"/>
      <c r="CD499" s="34"/>
      <c r="CE499" s="34"/>
      <c r="CF499" s="34"/>
      <c r="CG499" s="34"/>
      <c r="CH499" s="34"/>
      <c r="CI499" s="8"/>
    </row>
    <row r="500" spans="1:87" x14ac:dyDescent="0.2">
      <c r="A500" s="11" t="s">
        <v>17</v>
      </c>
      <c r="B500" s="11"/>
      <c r="C500" s="27" t="s">
        <v>18</v>
      </c>
      <c r="D500" s="27" t="s">
        <v>2</v>
      </c>
      <c r="E500" s="27" t="s">
        <v>6</v>
      </c>
      <c r="F500" s="27" t="s">
        <v>15</v>
      </c>
      <c r="G500" s="27" t="s">
        <v>36</v>
      </c>
      <c r="H500" s="27" t="s">
        <v>37</v>
      </c>
      <c r="I500" s="27" t="s">
        <v>38</v>
      </c>
      <c r="J500" s="27" t="s">
        <v>39</v>
      </c>
      <c r="K500" s="27" t="s">
        <v>40</v>
      </c>
      <c r="L500" s="27" t="s">
        <v>41</v>
      </c>
      <c r="M500" s="27" t="s">
        <v>42</v>
      </c>
      <c r="N500" s="27" t="s">
        <v>43</v>
      </c>
      <c r="O500" s="27" t="s">
        <v>9</v>
      </c>
      <c r="P500" s="27" t="s">
        <v>12</v>
      </c>
      <c r="Q500" s="27" t="s">
        <v>19</v>
      </c>
      <c r="R500" s="27" t="s">
        <v>55</v>
      </c>
      <c r="S500" s="27" t="s">
        <v>26</v>
      </c>
      <c r="T500" s="19" t="s">
        <v>25</v>
      </c>
      <c r="U500" s="33" t="s">
        <v>27</v>
      </c>
      <c r="V500" s="33" t="s">
        <v>9</v>
      </c>
      <c r="W500" s="33" t="s">
        <v>23</v>
      </c>
      <c r="X500" s="33" t="s">
        <v>12</v>
      </c>
      <c r="Y500" s="33" t="s">
        <v>26</v>
      </c>
      <c r="Z500" s="33" t="s">
        <v>25</v>
      </c>
      <c r="AA500" s="33" t="s">
        <v>27</v>
      </c>
      <c r="AB500" s="33" t="s">
        <v>9</v>
      </c>
      <c r="AC500" s="33" t="s">
        <v>23</v>
      </c>
      <c r="AD500" s="33" t="s">
        <v>12</v>
      </c>
      <c r="AE500" s="33" t="s">
        <v>26</v>
      </c>
      <c r="AF500" s="33" t="s">
        <v>25</v>
      </c>
      <c r="AG500" s="33" t="s">
        <v>27</v>
      </c>
      <c r="AH500" s="33" t="s">
        <v>9</v>
      </c>
      <c r="AI500" s="33" t="s">
        <v>23</v>
      </c>
      <c r="AJ500" s="33" t="s">
        <v>12</v>
      </c>
      <c r="AK500" s="33" t="s">
        <v>26</v>
      </c>
      <c r="AL500" s="33" t="s">
        <v>25</v>
      </c>
      <c r="AM500" s="33" t="s">
        <v>27</v>
      </c>
      <c r="AN500" s="33" t="s">
        <v>9</v>
      </c>
      <c r="AO500" s="33" t="s">
        <v>23</v>
      </c>
      <c r="AP500" s="33" t="s">
        <v>12</v>
      </c>
      <c r="AQ500" s="33" t="s">
        <v>26</v>
      </c>
      <c r="AR500" s="33" t="s">
        <v>25</v>
      </c>
      <c r="AS500" s="33" t="s">
        <v>27</v>
      </c>
      <c r="AT500" s="33" t="s">
        <v>9</v>
      </c>
      <c r="AU500" s="33" t="s">
        <v>23</v>
      </c>
      <c r="AV500" s="33" t="s">
        <v>12</v>
      </c>
      <c r="AW500" s="33" t="s">
        <v>26</v>
      </c>
      <c r="AX500" s="33" t="s">
        <v>25</v>
      </c>
      <c r="AY500" s="33" t="s">
        <v>27</v>
      </c>
      <c r="AZ500" s="33" t="s">
        <v>9</v>
      </c>
      <c r="BA500" s="33" t="s">
        <v>23</v>
      </c>
      <c r="BB500" s="33" t="s">
        <v>12</v>
      </c>
      <c r="BC500" s="33" t="s">
        <v>26</v>
      </c>
      <c r="BD500" s="33" t="s">
        <v>25</v>
      </c>
      <c r="BE500" s="33" t="s">
        <v>27</v>
      </c>
      <c r="BF500" s="33" t="s">
        <v>9</v>
      </c>
      <c r="BG500" s="33" t="s">
        <v>23</v>
      </c>
      <c r="BH500" s="33" t="s">
        <v>12</v>
      </c>
      <c r="BI500" s="33" t="s">
        <v>26</v>
      </c>
      <c r="BJ500" s="33" t="s">
        <v>25</v>
      </c>
      <c r="BK500" s="33" t="s">
        <v>27</v>
      </c>
      <c r="BL500" s="33" t="s">
        <v>9</v>
      </c>
      <c r="BM500" s="33" t="s">
        <v>23</v>
      </c>
      <c r="BN500" s="33" t="s">
        <v>12</v>
      </c>
      <c r="BO500" s="33" t="s">
        <v>26</v>
      </c>
      <c r="BP500" s="33" t="s">
        <v>25</v>
      </c>
      <c r="BQ500" s="33" t="s">
        <v>27</v>
      </c>
      <c r="BR500" s="33" t="s">
        <v>9</v>
      </c>
      <c r="BS500" s="33" t="s">
        <v>23</v>
      </c>
      <c r="BT500" s="33" t="s">
        <v>12</v>
      </c>
      <c r="BU500" s="33" t="s">
        <v>26</v>
      </c>
      <c r="BV500" s="33" t="s">
        <v>25</v>
      </c>
      <c r="BW500" s="33" t="s">
        <v>27</v>
      </c>
      <c r="BX500" s="33" t="s">
        <v>9</v>
      </c>
      <c r="BY500" s="33" t="s">
        <v>23</v>
      </c>
      <c r="BZ500" s="33" t="s">
        <v>12</v>
      </c>
      <c r="CA500" s="33" t="s">
        <v>26</v>
      </c>
      <c r="CB500" s="33" t="s">
        <v>25</v>
      </c>
      <c r="CC500" s="33" t="s">
        <v>27</v>
      </c>
      <c r="CD500" s="33" t="s">
        <v>9</v>
      </c>
      <c r="CE500" s="33" t="s">
        <v>23</v>
      </c>
      <c r="CF500" s="33" t="s">
        <v>12</v>
      </c>
      <c r="CG500" s="33" t="s">
        <v>26</v>
      </c>
      <c r="CH500" s="33" t="s">
        <v>25</v>
      </c>
      <c r="CI500" s="8"/>
    </row>
    <row r="501" spans="1:87" x14ac:dyDescent="0.2">
      <c r="A501" s="8" t="str">
        <f>IF(AND(COUNTIF(W$3:W$13,A$15)&gt;0,A$15&lt;&gt;B292),A$15,IFERROR(IF(MATCH(A$15,Z$3:Z$13,0)=10,A$15," ")," "))</f>
        <v xml:space="preserve"> </v>
      </c>
      <c r="B501" s="8" t="str">
        <f>IF(A501=" "," ",1)</f>
        <v xml:space="preserve"> </v>
      </c>
      <c r="C501" s="8" t="str">
        <f>IFERROR(INDEX(A501:A522,MATCH(SMALL(B501:B522,1),B501:B522,0),1)," ")</f>
        <v>C3</v>
      </c>
      <c r="D501" s="8">
        <f>IFERROR(VLOOKUP($C501,$A$15:$O$36,2,FALSE)," ")</f>
        <v>2</v>
      </c>
      <c r="E501" s="8">
        <f>IFERROR(VLOOKUP($C501,$A$15:$O$36,3,FALSE)," ")</f>
        <v>5</v>
      </c>
      <c r="F501" s="8">
        <f>IFERROR(VLOOKUP($C501,$A$15:$O$36,4,FALSE)," ")</f>
        <v>6</v>
      </c>
      <c r="G501" s="8">
        <f>IFERROR(VLOOKUP($C501,$A$15:$O$36,5,FALSE)," ")</f>
        <v>0</v>
      </c>
      <c r="H501" s="8">
        <f>IFERROR(VLOOKUP($C501,$A$15:$O$36,6,FALSE)," ")</f>
        <v>0</v>
      </c>
      <c r="I501" s="8">
        <f>IFERROR(VLOOKUP($C501,$A$15:$O$36,7,FALSE)," ")</f>
        <v>0</v>
      </c>
      <c r="J501" s="8">
        <f>IFERROR(VLOOKUP($C501,$A$15:$O$36,8,FALSE)," ")</f>
        <v>0</v>
      </c>
      <c r="K501" s="8">
        <f>IFERROR(VLOOKUP($C501,$A$15:$O$36,9,FALSE)," ")</f>
        <v>0</v>
      </c>
      <c r="L501" s="8">
        <f>IFERROR(VLOOKUP($C501,$A$15:$O$36,10,FALSE)," ")</f>
        <v>0</v>
      </c>
      <c r="M501" s="8">
        <f>IFERROR(VLOOKUP($C501,$A$15:$O$36,11,FALSE)," ")</f>
        <v>0</v>
      </c>
      <c r="N501" s="8">
        <f>IFERROR(VLOOKUP($C501,$A$15:$O$36,12,FALSE)," ")</f>
        <v>0</v>
      </c>
      <c r="O501" s="8">
        <f>IFERROR(VLOOKUP($C501,$A$15:$O$36,15,FALSE)," ")</f>
        <v>2000</v>
      </c>
      <c r="P501" s="8">
        <f t="array" ref="P501:P511">MMULT(MINVERSE(D501:N511),O501:O511)</f>
        <v>0</v>
      </c>
      <c r="Q501" s="8">
        <f t="shared" ref="Q501" si="1954">IF(COUNTIF(P501:P511,"&lt;"&amp;-0.001)=0,IF(ABS(P501)&lt;0.001,0,P501)," ")</f>
        <v>0</v>
      </c>
      <c r="R501" s="8">
        <f>IFERROR(VLOOKUP(B292,A$15:L$36,2,FALSE)*Q501+VLOOKUP(B292,A$15:L$36,3,FALSE)*Q502+VLOOKUP(B292,A$15:L$36,4,FALSE)*Q503+VLOOKUP(B292,A$15:L$36,5,FALSE)*Q504+VLOOKUP(B292,A$15:L$36,6,FALSE)*Q505+VLOOKUP(B292,A$15:L$36,7,FALSE)*Q506+VLOOKUP(B292,A$15:L$36,8,FALSE)*Q507+VLOOKUP(B292,A$15:L$36,9,FALSE)*Q508+VLOOKUP(B292,A$15:L$36,10,FALSE)*Q509+VLOOKUP(B292,A$15:L$36,11,FALSE)*Q510+VLOOKUP(B292,A$15:L$36,12,FALSE)*Q511," ")</f>
        <v>333.33333333333331</v>
      </c>
      <c r="S501" s="8">
        <f>IFERROR(IF(R501-VLOOKUP(B292,A$15:O$36,15,FALSE)&lt;0,R501-VLOOKUP(B292,A$15:O$36,15,FALSE)," ")," ")</f>
        <v>-66.666666666666686</v>
      </c>
      <c r="T501" s="18" t="str">
        <f>IFERROR(IF(R501-VLOOKUP(B292,A$15:O$36,15,FALSE)&gt;0,R501-VLOOKUP(B292,A$15:O$36,15,FALSE)," ")," ")</f>
        <v xml:space="preserve"> </v>
      </c>
      <c r="U501" s="34">
        <f t="shared" ref="U501" si="1955">$M$2</f>
        <v>100.00000000000001</v>
      </c>
      <c r="V501" s="34">
        <v>-1</v>
      </c>
      <c r="W501" s="34">
        <f t="shared" ref="W501" si="1956">-SUMPRODUCT($M$3:$M$12,$N$3:$N$12)</f>
        <v>-105000</v>
      </c>
      <c r="X501" s="34">
        <f t="shared" ref="X501" si="1957">IF(U501&lt;&gt;U502,MMULT(MINVERSE(U501:V502),W501:W502)," ")</f>
        <v>116.66666666666652</v>
      </c>
      <c r="Y501" s="34">
        <f t="shared" ref="Y501" si="1958">IFERROR(IF(X501-VLOOKUP(U$38,$A$2:$N$12,14,FALSE)&lt;0,X501-VLOOKUP(U$38,$A$2:$N$12,14,FALSE)," ")," ")</f>
        <v>-33.333333333333485</v>
      </c>
      <c r="Z501" s="34" t="str">
        <f t="shared" ref="Z501" si="1959">IFERROR(IF(X501-VLOOKUP(U$38,$A$2:$N$12,14,FALSE)&gt;0,X501-VLOOKUP(U$38,$A$2:$N$12,14,FALSE)," ")," ")</f>
        <v xml:space="preserve"> </v>
      </c>
      <c r="AA501" s="34">
        <f t="shared" ref="AA501" si="1960">$M$3</f>
        <v>0</v>
      </c>
      <c r="AB501" s="34">
        <v>-1</v>
      </c>
      <c r="AC501" s="34">
        <f t="shared" ref="AC501" si="1961">-SUMPRODUCT($M$2:$M$2,$N$2:$N$2)-SUMPRODUCT($M$4:$M$12,$N$4:$N$12)</f>
        <v>-120000</v>
      </c>
      <c r="AD501" s="34" t="str">
        <f t="shared" ref="AD501" si="1962">IF(AA501&lt;&gt;AA502,MMULT(MINVERSE(AA501:AB502),AC501:AC502)," ")</f>
        <v xml:space="preserve"> </v>
      </c>
      <c r="AE501" s="34" t="str">
        <f t="shared" ref="AE501" si="1963">IFERROR(IF(AD501-VLOOKUP(AA$38,$A$2:$N$12,14,FALSE)&lt;0,AD501-VLOOKUP(AA$38,$A$2:$N$12,14,FALSE)," ")," ")</f>
        <v xml:space="preserve"> </v>
      </c>
      <c r="AF501" s="34" t="str">
        <f t="shared" ref="AF501" si="1964">IFERROR(IF(AD501-VLOOKUP(AA$38,$A$2:$N$12,14,FALSE)&gt;0,AD501-VLOOKUP(AA$38,$A$2:$N$12,14,FALSE)," ")," ")</f>
        <v xml:space="preserve"> </v>
      </c>
      <c r="AG501" s="34">
        <f t="shared" ref="AG501" si="1965">$M$4</f>
        <v>300</v>
      </c>
      <c r="AH501" s="34">
        <v>-1</v>
      </c>
      <c r="AI501" s="34">
        <f t="shared" ref="AI501" si="1966">-SUMPRODUCT($M$2:$M$3,$N$2:$N$3)-SUMPRODUCT($M$5:$M$12,$N$5:$N$12)</f>
        <v>-15000.000000000002</v>
      </c>
      <c r="AJ501" s="34">
        <f t="shared" ref="AJ501" si="1967">IF(AG501&lt;&gt;AG502,MMULT(MINVERSE(AG501:AH502),AI501:AI502)," ")</f>
        <v>450.00000000000011</v>
      </c>
      <c r="AK501" s="34" t="str">
        <f t="shared" ref="AK501" si="1968">IFERROR(IF(AJ501-VLOOKUP(AG$38,$A$2:$N$12,14,FALSE)&lt;0,AJ501-VLOOKUP(AG$38,$A$2:$N$12,14,FALSE)," ")," ")</f>
        <v xml:space="preserve"> </v>
      </c>
      <c r="AL501" s="34">
        <f t="shared" ref="AL501" si="1969">IFERROR(IF(AJ501-VLOOKUP(AG$38,$A$2:$N$12,14,FALSE)&gt;0,AJ501-VLOOKUP(AG$38,$A$2:$N$12,14,FALSE)," ")," ")</f>
        <v>100.00000000000011</v>
      </c>
      <c r="AM501" s="34">
        <f t="shared" ref="AM501" si="1970">$M$5</f>
        <v>0</v>
      </c>
      <c r="AN501" s="34">
        <v>-1</v>
      </c>
      <c r="AO501" s="34">
        <f t="shared" ref="AO501" si="1971">-SUMPRODUCT($M$2:$M$4,$N$2:$N$4)-SUMPRODUCT($M$6:$M$12,$N$6:$N$12)</f>
        <v>-120000</v>
      </c>
      <c r="AP501" s="34" t="str">
        <f t="shared" ref="AP501" si="1972">IF(AM501&lt;&gt;AM502,MMULT(MINVERSE(AM501:AN502),AO501:AO502)," ")</f>
        <v xml:space="preserve"> </v>
      </c>
      <c r="AQ501" s="34" t="str">
        <f t="shared" ref="AQ501" si="1973">IFERROR(IF(AP501-VLOOKUP(AM$38,$A$2:$N$12,14,FALSE)&lt;0,AP501-VLOOKUP(AM$38,$A$2:$N$12,14,FALSE)," ")," ")</f>
        <v xml:space="preserve"> </v>
      </c>
      <c r="AR501" s="34" t="str">
        <f t="shared" ref="AR501" si="1974">IFERROR(IF(AP501-VLOOKUP(AM$38,$A$2:$N$12,14,FALSE)&gt;0,AP501-VLOOKUP(AM$38,$A$2:$N$12,14,FALSE)," ")," ")</f>
        <v xml:space="preserve"> </v>
      </c>
      <c r="AS501" s="34">
        <f t="shared" ref="AS501" si="1975">$M$6</f>
        <v>0</v>
      </c>
      <c r="AT501" s="34">
        <v>-1</v>
      </c>
      <c r="AU501" s="34">
        <f t="shared" ref="AU501" si="1976">-SUMPRODUCT($M$2:$M$5,$N$2:$N$5)-SUMPRODUCT($M$7:$M$12,$N$7:$N$12)</f>
        <v>-120000</v>
      </c>
      <c r="AV501" s="34" t="str">
        <f t="shared" ref="AV501" si="1977">IF(AS501&lt;&gt;AS502,MMULT(MINVERSE(AS501:AT502),AU501:AU502)," ")</f>
        <v xml:space="preserve"> </v>
      </c>
      <c r="AW501" s="34" t="str">
        <f t="shared" ref="AW501" si="1978">IFERROR(IF(AV501-VLOOKUP(AS$38,$A$2:$N$12,14,FALSE)&lt;0,AV501-VLOOKUP(AS$38,$A$2:$N$12,14,FALSE)," ")," ")</f>
        <v xml:space="preserve"> </v>
      </c>
      <c r="AX501" s="34" t="str">
        <f t="shared" ref="AX501" si="1979">IFERROR(IF(AV501-VLOOKUP(AS$38,$A$2:$N$12,14,FALSE)&gt;0,AV501-VLOOKUP(AS$38,$A$2:$N$12,14,FALSE)," ")," ")</f>
        <v xml:space="preserve"> </v>
      </c>
      <c r="AY501" s="34">
        <f t="shared" ref="AY501" si="1980">$M$7</f>
        <v>0</v>
      </c>
      <c r="AZ501" s="34">
        <v>-1</v>
      </c>
      <c r="BA501" s="34">
        <f t="shared" ref="BA501" si="1981">-SUMPRODUCT($M$2:$M$6,$N$2:$N$6)-SUMPRODUCT($M$8:$M$12,$N$8:$N$12)</f>
        <v>-120000</v>
      </c>
      <c r="BB501" s="34" t="str">
        <f t="shared" ref="BB501" si="1982">IF(AY501&lt;&gt;AY502,MMULT(MINVERSE(AY501:AZ502),BA501:BA502)," ")</f>
        <v xml:space="preserve"> </v>
      </c>
      <c r="BC501" s="34" t="str">
        <f t="shared" ref="BC501" si="1983">IFERROR(IF(BB501-VLOOKUP(AY$38,$A$2:$N$12,14,FALSE)&lt;0,BB501-VLOOKUP(AY$38,$A$2:$N$12,14,FALSE)," ")," ")</f>
        <v xml:space="preserve"> </v>
      </c>
      <c r="BD501" s="34" t="str">
        <f t="shared" ref="BD501" si="1984">IFERROR(IF(BB501-VLOOKUP(AY$38,$A$2:$N$12,14,FALSE)&gt;0,BB501-VLOOKUP(AY$38,$A$2:$N$12,14,FALSE)," ")," ")</f>
        <v xml:space="preserve"> </v>
      </c>
      <c r="BE501" s="34">
        <f t="shared" ref="BE501" si="1985">$M$8</f>
        <v>0</v>
      </c>
      <c r="BF501" s="34">
        <v>-1</v>
      </c>
      <c r="BG501" s="34">
        <f t="shared" ref="BG501" si="1986">-SUMPRODUCT($M$2:$M$7,$N$2:$N$7)-SUMPRODUCT($M$9:$M$12,$N$9:$N$12)</f>
        <v>-120000</v>
      </c>
      <c r="BH501" s="34" t="str">
        <f t="shared" ref="BH501" si="1987">IF(BE501&lt;&gt;BE502,MMULT(MINVERSE(BE501:BF502),BG501:BG502)," ")</f>
        <v xml:space="preserve"> </v>
      </c>
      <c r="BI501" s="34" t="str">
        <f t="shared" ref="BI501" si="1988">IFERROR(IF(BH501-VLOOKUP(BE$38,$A$2:$N$12,14,FALSE)&lt;0,BH501-VLOOKUP(BE$38,$A$2:$N$12,14,FALSE)," ")," ")</f>
        <v xml:space="preserve"> </v>
      </c>
      <c r="BJ501" s="34" t="str">
        <f t="shared" ref="BJ501" si="1989">IFERROR(IF(BH501-VLOOKUP(BE$38,$A$2:$N$12,14,FALSE)&gt;0,BH501-VLOOKUP(BE$38,$A$2:$N$12,14,FALSE)," ")," ")</f>
        <v xml:space="preserve"> </v>
      </c>
      <c r="BK501" s="34">
        <f t="shared" ref="BK501" si="1990">$M$9</f>
        <v>0</v>
      </c>
      <c r="BL501" s="34">
        <v>-1</v>
      </c>
      <c r="BM501" s="34">
        <f t="shared" ref="BM501" si="1991">-SUMPRODUCT($M$2:$M$8,$N$2:$N$8)-SUMPRODUCT($M$10:$M$12,$N$10:$N$12)</f>
        <v>-120000</v>
      </c>
      <c r="BN501" s="34" t="str">
        <f t="shared" ref="BN501" si="1992">IF(BK501&lt;&gt;BK502,MMULT(MINVERSE(BK501:BL502),BM501:BM502)," ")</f>
        <v xml:space="preserve"> </v>
      </c>
      <c r="BO501" s="34" t="str">
        <f t="shared" ref="BO501" si="1993">IFERROR(IF(BN501-VLOOKUP(BK$38,$A$2:$N$12,14,FALSE)&lt;0,BN501-VLOOKUP(BK$38,$A$2:$N$12,14,FALSE)," ")," ")</f>
        <v xml:space="preserve"> </v>
      </c>
      <c r="BP501" s="34" t="str">
        <f t="shared" ref="BP501" si="1994">IFERROR(IF(BN501-VLOOKUP(BK$38,$A$2:$N$12,14,FALSE)&gt;0,BN501-VLOOKUP(BK$38,$A$2:$N$12,14,FALSE)," ")," ")</f>
        <v xml:space="preserve"> </v>
      </c>
      <c r="BQ501" s="34">
        <f t="shared" ref="BQ501" si="1995">$M$10</f>
        <v>0</v>
      </c>
      <c r="BR501" s="34">
        <v>-1</v>
      </c>
      <c r="BS501" s="34">
        <f t="shared" ref="BS501" si="1996">-SUMPRODUCT($M$2:$M$9,$N$2:$N$9)-SUMPRODUCT($M$11:$M$12,$N$11:$N$12)</f>
        <v>-120000</v>
      </c>
      <c r="BT501" s="34" t="str">
        <f t="shared" ref="BT501" si="1997">IF(BQ501&lt;&gt;BQ502,MMULT(MINVERSE(BQ501:BR502),BS501:BS502)," ")</f>
        <v xml:space="preserve"> </v>
      </c>
      <c r="BU501" s="34" t="str">
        <f t="shared" ref="BU501" si="1998">IFERROR(IF(BT501-VLOOKUP(BQ$38,$A$2:$N$12,14,FALSE)&lt;0,BT501-VLOOKUP(BQ$38,$A$2:$N$12,14,FALSE)," ")," ")</f>
        <v xml:space="preserve"> </v>
      </c>
      <c r="BV501" s="34" t="str">
        <f t="shared" ref="BV501" si="1999">IFERROR(IF(BT501-VLOOKUP(BQ$38,$A$2:$N$12,14,FALSE)&gt;0,BT501-VLOOKUP(BQ$38,$A$2:$N$12,14,FALSE)," ")," ")</f>
        <v xml:space="preserve"> </v>
      </c>
      <c r="BW501" s="34">
        <f t="shared" ref="BW501" si="2000">$M$11</f>
        <v>0</v>
      </c>
      <c r="BX501" s="34">
        <v>-1</v>
      </c>
      <c r="BY501" s="34">
        <f t="shared" ref="BY501" si="2001">-SUMPRODUCT($M$2:$M$10,$N$2:$N$10)-SUMPRODUCT($M$12,$N$12)</f>
        <v>-120000</v>
      </c>
      <c r="BZ501" s="34" t="str">
        <f t="shared" ref="BZ501" si="2002">IF(BW501&lt;&gt;BW502,MMULT(MINVERSE(BW501:BX502),BY501:BY502)," ")</f>
        <v xml:space="preserve"> </v>
      </c>
      <c r="CA501" s="34" t="str">
        <f t="shared" ref="CA501" si="2003">IFERROR(IF(BZ501-VLOOKUP(BW$38,$A$2:$N$12,14,FALSE)&lt;0,BZ501-VLOOKUP(BW$38,$A$2:$N$12,14,FALSE)," ")," ")</f>
        <v xml:space="preserve"> </v>
      </c>
      <c r="CB501" s="34" t="str">
        <f t="shared" ref="CB501" si="2004">IFERROR(IF(BZ501-VLOOKUP(BW$38,$A$2:$N$12,14,FALSE)&gt;0,BZ501-VLOOKUP(BW$38,$A$2:$N$12,14,FALSE)," ")," ")</f>
        <v xml:space="preserve"> </v>
      </c>
      <c r="CC501" s="34">
        <f t="shared" ref="CC501" si="2005">$M$12</f>
        <v>0</v>
      </c>
      <c r="CD501" s="34">
        <v>-1</v>
      </c>
      <c r="CE501" s="34">
        <f t="shared" ref="CE501" si="2006">-SUMPRODUCT($M$2:$M$11,$N$2:$N$11)</f>
        <v>-120000</v>
      </c>
      <c r="CF501" s="34" t="str">
        <f t="shared" ref="CF501" si="2007">IF(CC501&lt;&gt;CC502,MMULT(MINVERSE(CC501:CD502),CE501:CE502)," ")</f>
        <v xml:space="preserve"> </v>
      </c>
      <c r="CG501" s="34" t="str">
        <f t="shared" ref="CG501" si="2008">IFERROR(IF(CF501-VLOOKUP(CC$38,$A$2:$N$12,14,FALSE)&lt;0,CF501-VLOOKUP(CC$38,$A$2:$N$12,14,FALSE)," ")," ")</f>
        <v xml:space="preserve"> </v>
      </c>
      <c r="CH501" s="34" t="str">
        <f t="shared" ref="CH501" si="2009">IFERROR(IF(CF501-VLOOKUP(CC$38,$A$2:$N$12,14,FALSE)&gt;0,CF501-VLOOKUP(CC$38,$A$2:$N$12,14,FALSE)," ")," ")</f>
        <v xml:space="preserve"> </v>
      </c>
      <c r="CI501" s="8"/>
    </row>
    <row r="502" spans="1:87" x14ac:dyDescent="0.2">
      <c r="A502" s="8" t="str">
        <f>IF(AND(COUNTIF(W$3:W$13,A$16)&gt;0,A$16&lt;&gt;B292),A$16,IFERROR(IF(MATCH(A$16,Z$3:Z$13,0)=10,A$16," ")," "))</f>
        <v xml:space="preserve"> </v>
      </c>
      <c r="B502" s="8" t="str">
        <f>IF(A502=" "," ",MAX(B501:B501)+1)</f>
        <v xml:space="preserve"> </v>
      </c>
      <c r="C502" s="8" t="str">
        <f>IFERROR(INDEX(A501:A522,MATCH(SMALL(B501:B522,2),B501:B522,0),1)," ")</f>
        <v>C12</v>
      </c>
      <c r="D502" s="8">
        <f t="shared" ref="D502:D511" si="2010">IFERROR(VLOOKUP($C502,$A$15:$O$36,2,FALSE)," ")</f>
        <v>1</v>
      </c>
      <c r="E502" s="8">
        <f t="shared" ref="E502:E511" si="2011">IFERROR(VLOOKUP($C502,$A$15:$O$36,3,FALSE)," ")</f>
        <v>0</v>
      </c>
      <c r="F502" s="8">
        <f t="shared" ref="F502:F511" si="2012">IFERROR(VLOOKUP($C502,$A$15:$O$36,4,FALSE)," ")</f>
        <v>0</v>
      </c>
      <c r="G502" s="8">
        <f t="shared" ref="G502:G511" si="2013">IFERROR(VLOOKUP($C502,$A$15:$O$36,5,FALSE)," ")</f>
        <v>0</v>
      </c>
      <c r="H502" s="8">
        <f t="shared" ref="H502:H511" si="2014">IFERROR(VLOOKUP($C502,$A$15:$O$36,6,FALSE)," ")</f>
        <v>0</v>
      </c>
      <c r="I502" s="8">
        <f t="shared" ref="I502:I511" si="2015">IFERROR(VLOOKUP($C502,$A$15:$O$36,7,FALSE)," ")</f>
        <v>0</v>
      </c>
      <c r="J502" s="8">
        <f t="shared" ref="J502:J511" si="2016">IFERROR(VLOOKUP($C502,$A$15:$O$36,8,FALSE)," ")</f>
        <v>0</v>
      </c>
      <c r="K502" s="8">
        <f t="shared" ref="K502:K511" si="2017">IFERROR(VLOOKUP($C502,$A$15:$O$36,9,FALSE)," ")</f>
        <v>0</v>
      </c>
      <c r="L502" s="8">
        <f t="shared" ref="L502:L511" si="2018">IFERROR(VLOOKUP($C502,$A$15:$O$36,10,FALSE)," ")</f>
        <v>0</v>
      </c>
      <c r="M502" s="8">
        <f t="shared" ref="M502:M511" si="2019">IFERROR(VLOOKUP($C502,$A$15:$O$36,11,FALSE)," ")</f>
        <v>0</v>
      </c>
      <c r="N502" s="8">
        <f t="shared" ref="N502:N511" si="2020">IFERROR(VLOOKUP($C502,$A$15:$O$36,12,FALSE)," ")</f>
        <v>0</v>
      </c>
      <c r="O502" s="8">
        <f t="shared" ref="O502:O511" si="2021">IFERROR(VLOOKUP($C502,$A$15:$O$36,15,FALSE)," ")</f>
        <v>0</v>
      </c>
      <c r="P502" s="8">
        <v>0</v>
      </c>
      <c r="Q502" s="8">
        <f t="shared" ref="Q502" si="2022">IF(COUNTIF(P501:P511,"&lt;"&amp;-0.001)=0,IF(ABS(P502)&lt;0.001,0,P502)," ")</f>
        <v>0</v>
      </c>
      <c r="R502" s="8"/>
      <c r="S502" s="8"/>
      <c r="U502" s="34">
        <f t="shared" ref="U502" si="2023">$Q501</f>
        <v>0</v>
      </c>
      <c r="V502" s="34">
        <v>-1</v>
      </c>
      <c r="W502" s="34">
        <f t="shared" ref="W502" si="2024">-SUMPRODUCT($Q502:$Q511,$N$3:$N$12)</f>
        <v>-116666.66666666666</v>
      </c>
      <c r="X502" s="34"/>
      <c r="Y502" s="34"/>
      <c r="Z502" s="34"/>
      <c r="AA502" s="34">
        <f t="shared" ref="AA502" si="2025">$Q502</f>
        <v>0</v>
      </c>
      <c r="AB502" s="34">
        <v>-1</v>
      </c>
      <c r="AC502" s="34">
        <f t="shared" ref="AC502" si="2026">-SUMPRODUCT($Q501:$Q501,$N$2:$N$2)-SUMPRODUCT($Q503:$Q511,$N$4:$N$12)</f>
        <v>-116666.66666666666</v>
      </c>
      <c r="AD502" s="34"/>
      <c r="AE502" s="34"/>
      <c r="AF502" s="34"/>
      <c r="AG502" s="34">
        <f t="shared" ref="AG502" si="2027">$Q503</f>
        <v>333.33333333333331</v>
      </c>
      <c r="AH502" s="34">
        <v>-1</v>
      </c>
      <c r="AI502" s="34">
        <f t="shared" ref="AI502" si="2028">-SUMPRODUCT($Q501:$Q502,$N$2:$N$3)-SUMPRODUCT($Q504:$Q511,$N$5:$N$12)</f>
        <v>0</v>
      </c>
      <c r="AJ502" s="34"/>
      <c r="AK502" s="34"/>
      <c r="AL502" s="34"/>
      <c r="AM502" s="34">
        <f t="shared" ref="AM502" si="2029">$Q504</f>
        <v>0</v>
      </c>
      <c r="AN502" s="34">
        <v>-1</v>
      </c>
      <c r="AO502" s="34">
        <f t="shared" ref="AO502" si="2030">-SUMPRODUCT($Q501:$Q503,$N$2:$N$4)-SUMPRODUCT($Q505:$Q511,$N$6:$N$12)</f>
        <v>-116666.66666666666</v>
      </c>
      <c r="AP502" s="34"/>
      <c r="AQ502" s="34"/>
      <c r="AR502" s="34"/>
      <c r="AS502" s="34">
        <f t="shared" ref="AS502" si="2031">$Q505</f>
        <v>0</v>
      </c>
      <c r="AT502" s="34">
        <v>-1</v>
      </c>
      <c r="AU502" s="34">
        <f t="shared" ref="AU502" si="2032">-SUMPRODUCT($Q501:$Q504,$N$2:$N$5)-SUMPRODUCT($Q506:$Q511,$N$7:$N$12)</f>
        <v>-116666.66666666666</v>
      </c>
      <c r="AV502" s="34"/>
      <c r="AW502" s="34"/>
      <c r="AX502" s="34"/>
      <c r="AY502" s="34">
        <f t="shared" ref="AY502" si="2033">$Q506</f>
        <v>0</v>
      </c>
      <c r="AZ502" s="34">
        <v>-1</v>
      </c>
      <c r="BA502" s="34">
        <f t="shared" ref="BA502" si="2034">-SUMPRODUCT($Q501:$Q505,$N$2:$N$6)-SUMPRODUCT($Q507:$Q511,$N$8:$N$12)</f>
        <v>-116666.66666666666</v>
      </c>
      <c r="BB502" s="34"/>
      <c r="BC502" s="34"/>
      <c r="BD502" s="34"/>
      <c r="BE502" s="34">
        <f t="shared" ref="BE502" si="2035">$Q507</f>
        <v>0</v>
      </c>
      <c r="BF502" s="34">
        <v>-1</v>
      </c>
      <c r="BG502" s="34">
        <f t="shared" ref="BG502" si="2036">-SUMPRODUCT($Q501:$Q506,$N$2:$N$7)-SUMPRODUCT($Q508:$Q511,$N$9:$N$12)</f>
        <v>-116666.66666666666</v>
      </c>
      <c r="BH502" s="34"/>
      <c r="BI502" s="34"/>
      <c r="BJ502" s="34"/>
      <c r="BK502" s="34">
        <f t="shared" ref="BK502" si="2037">$Q508</f>
        <v>0</v>
      </c>
      <c r="BL502" s="34">
        <v>-1</v>
      </c>
      <c r="BM502" s="34">
        <f t="shared" ref="BM502" si="2038">-SUMPRODUCT($Q501:$Q507,$N$2:$N$8)-SUMPRODUCT($Q509:$Q511,$N$10:$N$12)</f>
        <v>-116666.66666666666</v>
      </c>
      <c r="BN502" s="34"/>
      <c r="BO502" s="34"/>
      <c r="BP502" s="34"/>
      <c r="BQ502" s="34">
        <f t="shared" ref="BQ502" si="2039">$Q509</f>
        <v>0</v>
      </c>
      <c r="BR502" s="34">
        <v>-1</v>
      </c>
      <c r="BS502" s="34">
        <f t="shared" ref="BS502" si="2040">-SUMPRODUCT($Q501:$Q508,$N$2:$N$9)-SUMPRODUCT($Q510:$Q511,$N$11:$N$12)</f>
        <v>-116666.66666666666</v>
      </c>
      <c r="BT502" s="34"/>
      <c r="BU502" s="34"/>
      <c r="BV502" s="34"/>
      <c r="BW502" s="34">
        <f t="shared" ref="BW502" si="2041">$Q510</f>
        <v>0</v>
      </c>
      <c r="BX502" s="34">
        <v>-1</v>
      </c>
      <c r="BY502" s="34">
        <f t="shared" ref="BY502" si="2042">-SUMPRODUCT($Q501:$Q509,$N$2:$N$10)-SUMPRODUCT($Q511,$N$12)</f>
        <v>-116666.66666666666</v>
      </c>
      <c r="BZ502" s="34"/>
      <c r="CA502" s="34"/>
      <c r="CB502" s="34"/>
      <c r="CC502" s="34">
        <f t="shared" ref="CC502" si="2043">$Q511</f>
        <v>0</v>
      </c>
      <c r="CD502" s="34">
        <v>-1</v>
      </c>
      <c r="CE502" s="34">
        <f t="shared" ref="CE502" si="2044">-SUMPRODUCT($Q501:$Q510,$N$2:$N$11)</f>
        <v>-116666.66666666666</v>
      </c>
      <c r="CF502" s="34"/>
      <c r="CG502" s="34"/>
      <c r="CH502" s="34"/>
      <c r="CI502" s="8"/>
    </row>
    <row r="503" spans="1:87" x14ac:dyDescent="0.2">
      <c r="A503" s="8" t="str">
        <f>IF(AND(COUNTIF(W$3:W$13,A$17)&gt;0,A$17&lt;&gt;B292),A$17,IFERROR(IF(MATCH(A$17,Z$3:Z$13,0)=10,A$17," ")," "))</f>
        <v>C3</v>
      </c>
      <c r="B503" s="8">
        <f>IF(A503=" "," ",MAX(B501:B502)+1)</f>
        <v>1</v>
      </c>
      <c r="C503" s="8" t="str">
        <f>IFERROR(INDEX(A501:A522,MATCH(SMALL(B501:B522,3),B501:B522,0),1)," ")</f>
        <v>C13</v>
      </c>
      <c r="D503" s="8">
        <f t="shared" si="2010"/>
        <v>0</v>
      </c>
      <c r="E503" s="8">
        <f t="shared" si="2011"/>
        <v>1</v>
      </c>
      <c r="F503" s="8">
        <f t="shared" si="2012"/>
        <v>0</v>
      </c>
      <c r="G503" s="8">
        <f t="shared" si="2013"/>
        <v>0</v>
      </c>
      <c r="H503" s="8">
        <f t="shared" si="2014"/>
        <v>0</v>
      </c>
      <c r="I503" s="8">
        <f t="shared" si="2015"/>
        <v>0</v>
      </c>
      <c r="J503" s="8">
        <f t="shared" si="2016"/>
        <v>0</v>
      </c>
      <c r="K503" s="8">
        <f t="shared" si="2017"/>
        <v>0</v>
      </c>
      <c r="L503" s="8">
        <f t="shared" si="2018"/>
        <v>0</v>
      </c>
      <c r="M503" s="8">
        <f t="shared" si="2019"/>
        <v>0</v>
      </c>
      <c r="N503" s="8">
        <f t="shared" si="2020"/>
        <v>0</v>
      </c>
      <c r="O503" s="8">
        <f t="shared" si="2021"/>
        <v>0</v>
      </c>
      <c r="P503" s="8">
        <v>333.33333333333331</v>
      </c>
      <c r="Q503" s="8">
        <f t="shared" ref="Q503" si="2045">IF(COUNTIF(P501:P511,"&lt;"&amp;-0.001)=0,IF(ABS(P503)&lt;0.001,0,P503)," ")</f>
        <v>333.33333333333331</v>
      </c>
      <c r="R503" s="8"/>
      <c r="S503" s="8"/>
      <c r="U503" s="34"/>
      <c r="V503" s="34"/>
      <c r="W503" s="34"/>
      <c r="X503" s="34"/>
      <c r="Y503" s="34"/>
      <c r="Z503" s="34"/>
      <c r="AA503" s="34"/>
      <c r="AB503" s="34"/>
      <c r="AC503" s="34"/>
      <c r="AD503" s="34"/>
      <c r="AE503" s="34"/>
      <c r="AF503" s="34"/>
      <c r="AG503" s="34"/>
      <c r="AH503" s="34"/>
      <c r="AI503" s="34"/>
      <c r="AJ503" s="34"/>
      <c r="AK503" s="34"/>
      <c r="AL503" s="34"/>
      <c r="AM503" s="34"/>
      <c r="AN503" s="34"/>
      <c r="AO503" s="34"/>
      <c r="AP503" s="34"/>
      <c r="AQ503" s="34"/>
      <c r="AR503" s="34"/>
      <c r="AS503" s="34"/>
      <c r="AT503" s="34"/>
      <c r="AU503" s="34"/>
      <c r="AV503" s="34"/>
      <c r="AW503" s="34"/>
      <c r="AX503" s="34"/>
      <c r="AY503" s="34"/>
      <c r="AZ503" s="34"/>
      <c r="BA503" s="34"/>
      <c r="BB503" s="34"/>
      <c r="BC503" s="34"/>
      <c r="BD503" s="34"/>
      <c r="BE503" s="34"/>
      <c r="BF503" s="34"/>
      <c r="BG503" s="34"/>
      <c r="BH503" s="34"/>
      <c r="BI503" s="34"/>
      <c r="BJ503" s="34"/>
      <c r="BK503" s="34"/>
      <c r="BL503" s="34"/>
      <c r="BM503" s="34"/>
      <c r="BN503" s="34"/>
      <c r="BO503" s="34"/>
      <c r="BP503" s="34"/>
      <c r="BQ503" s="34"/>
      <c r="BR503" s="34"/>
      <c r="BS503" s="34"/>
      <c r="BT503" s="34"/>
      <c r="BU503" s="34"/>
      <c r="BV503" s="34"/>
      <c r="BW503" s="34"/>
      <c r="BX503" s="34"/>
      <c r="BY503" s="34"/>
      <c r="BZ503" s="34"/>
      <c r="CA503" s="34"/>
      <c r="CB503" s="34"/>
      <c r="CC503" s="34"/>
      <c r="CD503" s="34"/>
      <c r="CE503" s="34"/>
      <c r="CF503" s="34"/>
      <c r="CG503" s="34"/>
      <c r="CH503" s="34"/>
      <c r="CI503" s="8"/>
    </row>
    <row r="504" spans="1:87" x14ac:dyDescent="0.2">
      <c r="A504" s="8" t="str">
        <f>IF(AND(COUNTIF(W$3:W$13,A$18)&gt;0,A$18&lt;&gt;B292),A$18,IFERROR(IF(MATCH(A$18,Z$3:Z$13,0)=10,A$18," ")," "))</f>
        <v xml:space="preserve"> </v>
      </c>
      <c r="B504" s="8" t="str">
        <f>IF(A504=" "," ",MAX(B501:B503)+1)</f>
        <v xml:space="preserve"> </v>
      </c>
      <c r="C504" s="8" t="str">
        <f>IFERROR(INDEX(A501:A522,MATCH(SMALL(B501:B522,4),B501:B522,0),1)," ")</f>
        <v>C15</v>
      </c>
      <c r="D504" s="8">
        <f t="shared" si="2010"/>
        <v>0</v>
      </c>
      <c r="E504" s="8">
        <f t="shared" si="2011"/>
        <v>0</v>
      </c>
      <c r="F504" s="8">
        <f t="shared" si="2012"/>
        <v>0</v>
      </c>
      <c r="G504" s="8">
        <f t="shared" si="2013"/>
        <v>1</v>
      </c>
      <c r="H504" s="8">
        <f t="shared" si="2014"/>
        <v>0</v>
      </c>
      <c r="I504" s="8">
        <f t="shared" si="2015"/>
        <v>0</v>
      </c>
      <c r="J504" s="8">
        <f t="shared" si="2016"/>
        <v>0</v>
      </c>
      <c r="K504" s="8">
        <f t="shared" si="2017"/>
        <v>0</v>
      </c>
      <c r="L504" s="8">
        <f t="shared" si="2018"/>
        <v>0</v>
      </c>
      <c r="M504" s="8">
        <f t="shared" si="2019"/>
        <v>0</v>
      </c>
      <c r="N504" s="8">
        <f t="shared" si="2020"/>
        <v>0</v>
      </c>
      <c r="O504" s="8">
        <f t="shared" si="2021"/>
        <v>0</v>
      </c>
      <c r="P504" s="8">
        <v>0</v>
      </c>
      <c r="Q504" s="8">
        <f t="shared" ref="Q504" si="2046">IF(COUNTIF(P501:P511,"&lt;"&amp;-0.001)=0,IF(ABS(P504)&lt;0.001,0,P504)," ")</f>
        <v>0</v>
      </c>
      <c r="R504" s="8"/>
      <c r="S504" s="8"/>
      <c r="U504" s="34"/>
      <c r="V504" s="34"/>
      <c r="W504" s="34"/>
      <c r="X504" s="34"/>
      <c r="Y504" s="34"/>
      <c r="Z504" s="34"/>
      <c r="AA504" s="34"/>
      <c r="AB504" s="34"/>
      <c r="AC504" s="34"/>
      <c r="AD504" s="34"/>
      <c r="AE504" s="34"/>
      <c r="AF504" s="34"/>
      <c r="AG504" s="34"/>
      <c r="AH504" s="34"/>
      <c r="AI504" s="34"/>
      <c r="AJ504" s="34"/>
      <c r="AK504" s="34"/>
      <c r="AL504" s="34"/>
      <c r="AM504" s="34"/>
      <c r="AN504" s="34"/>
      <c r="AO504" s="34"/>
      <c r="AP504" s="34"/>
      <c r="AQ504" s="34"/>
      <c r="AR504" s="34"/>
      <c r="AS504" s="34"/>
      <c r="AT504" s="34"/>
      <c r="AU504" s="34"/>
      <c r="AV504" s="34"/>
      <c r="AW504" s="34"/>
      <c r="AX504" s="34"/>
      <c r="AY504" s="34"/>
      <c r="AZ504" s="34"/>
      <c r="BA504" s="34"/>
      <c r="BB504" s="34"/>
      <c r="BC504" s="34"/>
      <c r="BD504" s="34"/>
      <c r="BE504" s="34"/>
      <c r="BF504" s="34"/>
      <c r="BG504" s="34"/>
      <c r="BH504" s="34"/>
      <c r="BI504" s="34"/>
      <c r="BJ504" s="34"/>
      <c r="BK504" s="34"/>
      <c r="BL504" s="34"/>
      <c r="BM504" s="34"/>
      <c r="BN504" s="34"/>
      <c r="BO504" s="34"/>
      <c r="BP504" s="34"/>
      <c r="BQ504" s="34"/>
      <c r="BR504" s="34"/>
      <c r="BS504" s="34"/>
      <c r="BT504" s="34"/>
      <c r="BU504" s="34"/>
      <c r="BV504" s="34"/>
      <c r="BW504" s="34"/>
      <c r="BX504" s="34"/>
      <c r="BY504" s="34"/>
      <c r="BZ504" s="34"/>
      <c r="CA504" s="34"/>
      <c r="CB504" s="34"/>
      <c r="CC504" s="34"/>
      <c r="CD504" s="34"/>
      <c r="CE504" s="34"/>
      <c r="CF504" s="34"/>
      <c r="CG504" s="34"/>
      <c r="CH504" s="34"/>
      <c r="CI504" s="8"/>
    </row>
    <row r="505" spans="1:87" x14ac:dyDescent="0.2">
      <c r="A505" s="8" t="str">
        <f>IF(AND(COUNTIF(W$3:W$13,A$19)&gt;0,A$19&lt;&gt;B292),A$19,IFERROR(IF(MATCH(A$19,Z$3:Z$13,0)=10,A$19," ")," "))</f>
        <v xml:space="preserve"> </v>
      </c>
      <c r="B505" s="8" t="str">
        <f>IF(A505=" "," ",MAX(B501:B504)+1)</f>
        <v xml:space="preserve"> </v>
      </c>
      <c r="C505" s="8" t="str">
        <f>IFERROR(INDEX(A501:A522,MATCH(SMALL(B501:B522,5),B501:B522,0),1)," ")</f>
        <v>C16</v>
      </c>
      <c r="D505" s="8">
        <f t="shared" si="2010"/>
        <v>0</v>
      </c>
      <c r="E505" s="8">
        <f t="shared" si="2011"/>
        <v>0</v>
      </c>
      <c r="F505" s="8">
        <f t="shared" si="2012"/>
        <v>0</v>
      </c>
      <c r="G505" s="8">
        <f t="shared" si="2013"/>
        <v>0</v>
      </c>
      <c r="H505" s="8">
        <f t="shared" si="2014"/>
        <v>1</v>
      </c>
      <c r="I505" s="8">
        <f t="shared" si="2015"/>
        <v>0</v>
      </c>
      <c r="J505" s="8">
        <f t="shared" si="2016"/>
        <v>0</v>
      </c>
      <c r="K505" s="8">
        <f t="shared" si="2017"/>
        <v>0</v>
      </c>
      <c r="L505" s="8">
        <f t="shared" si="2018"/>
        <v>0</v>
      </c>
      <c r="M505" s="8">
        <f t="shared" si="2019"/>
        <v>0</v>
      </c>
      <c r="N505" s="8">
        <f t="shared" si="2020"/>
        <v>0</v>
      </c>
      <c r="O505" s="8">
        <f t="shared" si="2021"/>
        <v>0</v>
      </c>
      <c r="P505" s="8">
        <v>0</v>
      </c>
      <c r="Q505" s="8">
        <f t="shared" ref="Q505" si="2047">IF(COUNTIF(P501:P511,"&lt;"&amp;-0.001)=0,IF(ABS(P505)&lt;0.001,0,P505)," ")</f>
        <v>0</v>
      </c>
      <c r="R505" s="8"/>
      <c r="S505" s="8"/>
      <c r="U505" s="34"/>
      <c r="V505" s="34"/>
      <c r="W505" s="34"/>
      <c r="X505" s="34"/>
      <c r="Y505" s="34"/>
      <c r="Z505" s="34"/>
      <c r="AA505" s="34"/>
      <c r="AB505" s="34"/>
      <c r="AC505" s="34"/>
      <c r="AD505" s="34"/>
      <c r="AE505" s="34"/>
      <c r="AF505" s="34"/>
      <c r="AG505" s="34"/>
      <c r="AH505" s="34"/>
      <c r="AI505" s="34"/>
      <c r="AJ505" s="34"/>
      <c r="AK505" s="34"/>
      <c r="AL505" s="34"/>
      <c r="AM505" s="34"/>
      <c r="AN505" s="34"/>
      <c r="AO505" s="34"/>
      <c r="AP505" s="34"/>
      <c r="AQ505" s="34"/>
      <c r="AR505" s="34"/>
      <c r="AS505" s="34"/>
      <c r="AT505" s="34"/>
      <c r="AU505" s="34"/>
      <c r="AV505" s="34"/>
      <c r="AW505" s="34"/>
      <c r="AX505" s="34"/>
      <c r="AY505" s="34"/>
      <c r="AZ505" s="34"/>
      <c r="BA505" s="34"/>
      <c r="BB505" s="34"/>
      <c r="BC505" s="34"/>
      <c r="BD505" s="34"/>
      <c r="BE505" s="34"/>
      <c r="BF505" s="34"/>
      <c r="BG505" s="34"/>
      <c r="BH505" s="34"/>
      <c r="BI505" s="34"/>
      <c r="BJ505" s="34"/>
      <c r="BK505" s="34"/>
      <c r="BL505" s="34"/>
      <c r="BM505" s="34"/>
      <c r="BN505" s="34"/>
      <c r="BO505" s="34"/>
      <c r="BP505" s="34"/>
      <c r="BQ505" s="34"/>
      <c r="BR505" s="34"/>
      <c r="BS505" s="34"/>
      <c r="BT505" s="34"/>
      <c r="BU505" s="34"/>
      <c r="BV505" s="34"/>
      <c r="BW505" s="34"/>
      <c r="BX505" s="34"/>
      <c r="BY505" s="34"/>
      <c r="BZ505" s="34"/>
      <c r="CA505" s="34"/>
      <c r="CB505" s="34"/>
      <c r="CC505" s="34"/>
      <c r="CD505" s="34"/>
      <c r="CE505" s="34"/>
      <c r="CF505" s="34"/>
      <c r="CG505" s="34"/>
      <c r="CH505" s="34"/>
      <c r="CI505" s="8"/>
    </row>
    <row r="506" spans="1:87" x14ac:dyDescent="0.2">
      <c r="A506" s="8" t="str">
        <f>IF(AND(COUNTIF(W$3:W$13,A$20)&gt;0,A$20&lt;&gt;B292),A$20,IFERROR(IF(MATCH(A$20,Z$3:Z$13,0)=10,A$20," ")," "))</f>
        <v xml:space="preserve"> </v>
      </c>
      <c r="B506" s="8" t="str">
        <f>IF(A506=" "," ",MAX(B501:B505)+1)</f>
        <v xml:space="preserve"> </v>
      </c>
      <c r="C506" s="8" t="str">
        <f>IFERROR(INDEX(A501:A522,MATCH(SMALL(B501:B522,6),B501:B522,0),1)," ")</f>
        <v>C17</v>
      </c>
      <c r="D506" s="8">
        <f t="shared" si="2010"/>
        <v>0</v>
      </c>
      <c r="E506" s="8">
        <f t="shared" si="2011"/>
        <v>0</v>
      </c>
      <c r="F506" s="8">
        <f t="shared" si="2012"/>
        <v>0</v>
      </c>
      <c r="G506" s="8">
        <f t="shared" si="2013"/>
        <v>0</v>
      </c>
      <c r="H506" s="8">
        <f t="shared" si="2014"/>
        <v>0</v>
      </c>
      <c r="I506" s="8">
        <f t="shared" si="2015"/>
        <v>1</v>
      </c>
      <c r="J506" s="8">
        <f t="shared" si="2016"/>
        <v>0</v>
      </c>
      <c r="K506" s="8">
        <f t="shared" si="2017"/>
        <v>0</v>
      </c>
      <c r="L506" s="8">
        <f t="shared" si="2018"/>
        <v>0</v>
      </c>
      <c r="M506" s="8">
        <f t="shared" si="2019"/>
        <v>0</v>
      </c>
      <c r="N506" s="8">
        <f t="shared" si="2020"/>
        <v>0</v>
      </c>
      <c r="O506" s="8">
        <f t="shared" si="2021"/>
        <v>0</v>
      </c>
      <c r="P506" s="8">
        <v>0</v>
      </c>
      <c r="Q506" s="8">
        <f t="shared" ref="Q506" si="2048">IF(COUNTIF(P501:P511,"&lt;"&amp;-0.001)=0,IF(ABS(P506)&lt;0.001,0,P506)," ")</f>
        <v>0</v>
      </c>
      <c r="R506" s="8"/>
      <c r="S506" s="8"/>
      <c r="U506" s="34"/>
      <c r="V506" s="34"/>
      <c r="W506" s="34"/>
      <c r="X506" s="34"/>
      <c r="Y506" s="34"/>
      <c r="Z506" s="34"/>
      <c r="AA506" s="34"/>
      <c r="AB506" s="34"/>
      <c r="AC506" s="34"/>
      <c r="AD506" s="34"/>
      <c r="AE506" s="34"/>
      <c r="AF506" s="34"/>
      <c r="AG506" s="34"/>
      <c r="AH506" s="34"/>
      <c r="AI506" s="34"/>
      <c r="AJ506" s="34"/>
      <c r="AK506" s="34"/>
      <c r="AL506" s="34"/>
      <c r="AM506" s="34"/>
      <c r="AN506" s="34"/>
      <c r="AO506" s="34"/>
      <c r="AP506" s="34"/>
      <c r="AQ506" s="34"/>
      <c r="AR506" s="34"/>
      <c r="AS506" s="34"/>
      <c r="AT506" s="34"/>
      <c r="AU506" s="34"/>
      <c r="AV506" s="34"/>
      <c r="AW506" s="34"/>
      <c r="AX506" s="34"/>
      <c r="AY506" s="34"/>
      <c r="AZ506" s="34"/>
      <c r="BA506" s="34"/>
      <c r="BB506" s="34"/>
      <c r="BC506" s="34"/>
      <c r="BD506" s="34"/>
      <c r="BE506" s="34"/>
      <c r="BF506" s="34"/>
      <c r="BG506" s="34"/>
      <c r="BH506" s="34"/>
      <c r="BI506" s="34"/>
      <c r="BJ506" s="34"/>
      <c r="BK506" s="34"/>
      <c r="BL506" s="34"/>
      <c r="BM506" s="34"/>
      <c r="BN506" s="34"/>
      <c r="BO506" s="34"/>
      <c r="BP506" s="34"/>
      <c r="BQ506" s="34"/>
      <c r="BR506" s="34"/>
      <c r="BS506" s="34"/>
      <c r="BT506" s="34"/>
      <c r="BU506" s="34"/>
      <c r="BV506" s="34"/>
      <c r="BW506" s="34"/>
      <c r="BX506" s="34"/>
      <c r="BY506" s="34"/>
      <c r="BZ506" s="34"/>
      <c r="CA506" s="34"/>
      <c r="CB506" s="34"/>
      <c r="CC506" s="34"/>
      <c r="CD506" s="34"/>
      <c r="CE506" s="34"/>
      <c r="CF506" s="34"/>
      <c r="CG506" s="34"/>
      <c r="CH506" s="34"/>
      <c r="CI506" s="8"/>
    </row>
    <row r="507" spans="1:87" x14ac:dyDescent="0.2">
      <c r="A507" s="8" t="str">
        <f>IF(AND(COUNTIF(W$3:W$13,A$21)&gt;0,A$21&lt;&gt;B292),A$21,IFERROR(IF(MATCH(A$21,Z$3:Z$13,0)=10,A$21," ")," "))</f>
        <v xml:space="preserve"> </v>
      </c>
      <c r="B507" s="8" t="str">
        <f>IF(A507=" "," ",MAX(B501:B506)+1)</f>
        <v xml:space="preserve"> </v>
      </c>
      <c r="C507" s="8" t="str">
        <f>IFERROR(INDEX(A501:A522,MATCH(SMALL(B501:B522,7),B501:B522,0),1)," ")</f>
        <v>C18</v>
      </c>
      <c r="D507" s="8">
        <f t="shared" si="2010"/>
        <v>0</v>
      </c>
      <c r="E507" s="8">
        <f t="shared" si="2011"/>
        <v>0</v>
      </c>
      <c r="F507" s="8">
        <f t="shared" si="2012"/>
        <v>0</v>
      </c>
      <c r="G507" s="8">
        <f t="shared" si="2013"/>
        <v>0</v>
      </c>
      <c r="H507" s="8">
        <f t="shared" si="2014"/>
        <v>0</v>
      </c>
      <c r="I507" s="8">
        <f t="shared" si="2015"/>
        <v>0</v>
      </c>
      <c r="J507" s="8">
        <f t="shared" si="2016"/>
        <v>1</v>
      </c>
      <c r="K507" s="8">
        <f t="shared" si="2017"/>
        <v>0</v>
      </c>
      <c r="L507" s="8">
        <f t="shared" si="2018"/>
        <v>0</v>
      </c>
      <c r="M507" s="8">
        <f t="shared" si="2019"/>
        <v>0</v>
      </c>
      <c r="N507" s="8">
        <f t="shared" si="2020"/>
        <v>0</v>
      </c>
      <c r="O507" s="8">
        <f t="shared" si="2021"/>
        <v>0</v>
      </c>
      <c r="P507" s="8">
        <v>0</v>
      </c>
      <c r="Q507" s="8">
        <f t="shared" ref="Q507" si="2049">IF(COUNTIF(P501:P511,"&lt;"&amp;-0.001)=0,IF(ABS(P507)&lt;0.001,0,P507)," ")</f>
        <v>0</v>
      </c>
      <c r="R507" s="8"/>
      <c r="S507" s="8"/>
      <c r="U507" s="34"/>
      <c r="V507" s="34"/>
      <c r="W507" s="34"/>
      <c r="X507" s="34"/>
      <c r="Y507" s="34"/>
      <c r="Z507" s="34"/>
      <c r="AA507" s="34"/>
      <c r="AB507" s="34"/>
      <c r="AC507" s="34"/>
      <c r="AD507" s="34"/>
      <c r="AE507" s="34"/>
      <c r="AF507" s="34"/>
      <c r="AG507" s="34"/>
      <c r="AH507" s="34"/>
      <c r="AI507" s="34"/>
      <c r="AJ507" s="34"/>
      <c r="AK507" s="34"/>
      <c r="AL507" s="34"/>
      <c r="AM507" s="34"/>
      <c r="AN507" s="34"/>
      <c r="AO507" s="34"/>
      <c r="AP507" s="34"/>
      <c r="AQ507" s="34"/>
      <c r="AR507" s="34"/>
      <c r="AS507" s="34"/>
      <c r="AT507" s="34"/>
      <c r="AU507" s="34"/>
      <c r="AV507" s="34"/>
      <c r="AW507" s="34"/>
      <c r="AX507" s="34"/>
      <c r="AY507" s="34"/>
      <c r="AZ507" s="34"/>
      <c r="BA507" s="34"/>
      <c r="BB507" s="34"/>
      <c r="BC507" s="34"/>
      <c r="BD507" s="34"/>
      <c r="BE507" s="34"/>
      <c r="BF507" s="34"/>
      <c r="BG507" s="34"/>
      <c r="BH507" s="34"/>
      <c r="BI507" s="34"/>
      <c r="BJ507" s="34"/>
      <c r="BK507" s="34"/>
      <c r="BL507" s="34"/>
      <c r="BM507" s="34"/>
      <c r="BN507" s="34"/>
      <c r="BO507" s="34"/>
      <c r="BP507" s="34"/>
      <c r="BQ507" s="34"/>
      <c r="BR507" s="34"/>
      <c r="BS507" s="34"/>
      <c r="BT507" s="34"/>
      <c r="BU507" s="34"/>
      <c r="BV507" s="34"/>
      <c r="BW507" s="34"/>
      <c r="BX507" s="34"/>
      <c r="BY507" s="34"/>
      <c r="BZ507" s="34"/>
      <c r="CA507" s="34"/>
      <c r="CB507" s="34"/>
      <c r="CC507" s="34"/>
      <c r="CD507" s="34"/>
      <c r="CE507" s="34"/>
      <c r="CF507" s="34"/>
      <c r="CG507" s="34"/>
      <c r="CH507" s="34"/>
      <c r="CI507" s="8"/>
    </row>
    <row r="508" spans="1:87" x14ac:dyDescent="0.2">
      <c r="A508" s="8" t="str">
        <f>IF(AND(COUNTIF(W$3:W$13,A$22)&gt;0,A$22&lt;&gt;B292),A$22,IFERROR(IF(MATCH(A$22,Z$3:Z$13,0)=10,A$22," ")," "))</f>
        <v xml:space="preserve"> </v>
      </c>
      <c r="B508" s="8" t="str">
        <f>IF(A508=" "," ",MAX(B501:B507)+1)</f>
        <v xml:space="preserve"> </v>
      </c>
      <c r="C508" s="8" t="str">
        <f>IFERROR(INDEX(A501:A522,MATCH(SMALL(B501:B522,8),B501:B522,0),1)," ")</f>
        <v>C19</v>
      </c>
      <c r="D508" s="8">
        <f t="shared" si="2010"/>
        <v>0</v>
      </c>
      <c r="E508" s="8">
        <f t="shared" si="2011"/>
        <v>0</v>
      </c>
      <c r="F508" s="8">
        <f t="shared" si="2012"/>
        <v>0</v>
      </c>
      <c r="G508" s="8">
        <f t="shared" si="2013"/>
        <v>0</v>
      </c>
      <c r="H508" s="8">
        <f t="shared" si="2014"/>
        <v>0</v>
      </c>
      <c r="I508" s="8">
        <f t="shared" si="2015"/>
        <v>0</v>
      </c>
      <c r="J508" s="8">
        <f t="shared" si="2016"/>
        <v>0</v>
      </c>
      <c r="K508" s="8">
        <f t="shared" si="2017"/>
        <v>1</v>
      </c>
      <c r="L508" s="8">
        <f t="shared" si="2018"/>
        <v>0</v>
      </c>
      <c r="M508" s="8">
        <f t="shared" si="2019"/>
        <v>0</v>
      </c>
      <c r="N508" s="8">
        <f t="shared" si="2020"/>
        <v>0</v>
      </c>
      <c r="O508" s="8">
        <f t="shared" si="2021"/>
        <v>0</v>
      </c>
      <c r="P508" s="8">
        <v>0</v>
      </c>
      <c r="Q508" s="8">
        <f t="shared" ref="Q508" si="2050">IF(COUNTIF(P501:P511,"&lt;"&amp;-0.001)=0,IF(ABS(P508)&lt;0.001,0,P508)," ")</f>
        <v>0</v>
      </c>
      <c r="R508" s="8"/>
      <c r="S508" s="8"/>
      <c r="U508" s="34"/>
      <c r="V508" s="34"/>
      <c r="W508" s="34"/>
      <c r="X508" s="34"/>
      <c r="Y508" s="34"/>
      <c r="Z508" s="34"/>
      <c r="AA508" s="34"/>
      <c r="AB508" s="34"/>
      <c r="AC508" s="34"/>
      <c r="AD508" s="34"/>
      <c r="AE508" s="34"/>
      <c r="AF508" s="34"/>
      <c r="AG508" s="34"/>
      <c r="AH508" s="34"/>
      <c r="AI508" s="34"/>
      <c r="AJ508" s="34"/>
      <c r="AK508" s="34"/>
      <c r="AL508" s="34"/>
      <c r="AM508" s="34"/>
      <c r="AN508" s="34"/>
      <c r="AO508" s="34"/>
      <c r="AP508" s="34"/>
      <c r="AQ508" s="34"/>
      <c r="AR508" s="34"/>
      <c r="AS508" s="34"/>
      <c r="AT508" s="34"/>
      <c r="AU508" s="34"/>
      <c r="AV508" s="34"/>
      <c r="AW508" s="34"/>
      <c r="AX508" s="34"/>
      <c r="AY508" s="34"/>
      <c r="AZ508" s="34"/>
      <c r="BA508" s="34"/>
      <c r="BB508" s="34"/>
      <c r="BC508" s="34"/>
      <c r="BD508" s="34"/>
      <c r="BE508" s="34"/>
      <c r="BF508" s="34"/>
      <c r="BG508" s="34"/>
      <c r="BH508" s="34"/>
      <c r="BI508" s="34"/>
      <c r="BJ508" s="34"/>
      <c r="BK508" s="34"/>
      <c r="BL508" s="34"/>
      <c r="BM508" s="34"/>
      <c r="BN508" s="34"/>
      <c r="BO508" s="34"/>
      <c r="BP508" s="34"/>
      <c r="BQ508" s="34"/>
      <c r="BR508" s="34"/>
      <c r="BS508" s="34"/>
      <c r="BT508" s="34"/>
      <c r="BU508" s="34"/>
      <c r="BV508" s="34"/>
      <c r="BW508" s="34"/>
      <c r="BX508" s="34"/>
      <c r="BY508" s="34"/>
      <c r="BZ508" s="34"/>
      <c r="CA508" s="34"/>
      <c r="CB508" s="34"/>
      <c r="CC508" s="34"/>
      <c r="CD508" s="34"/>
      <c r="CE508" s="34"/>
      <c r="CF508" s="34"/>
      <c r="CG508" s="34"/>
      <c r="CH508" s="34"/>
      <c r="CI508" s="8"/>
    </row>
    <row r="509" spans="1:87" x14ac:dyDescent="0.2">
      <c r="A509" s="8" t="str">
        <f>IF(AND(COUNTIF(W$3:W$13,A$23)&gt;0,A$23&lt;&gt;B292),A$23,IFERROR(IF(MATCH(A$23,Z$3:Z$13,0)=10,A$23," ")," "))</f>
        <v xml:space="preserve"> </v>
      </c>
      <c r="B509" s="8" t="str">
        <f>IF(A509=" "," ",MAX(B501:B508)+1)</f>
        <v xml:space="preserve"> </v>
      </c>
      <c r="C509" s="8" t="str">
        <f>IFERROR(INDEX(A501:A522,MATCH(SMALL(B501:B522,9),B501:B522,0),1)," ")</f>
        <v>C20</v>
      </c>
      <c r="D509" s="8">
        <f t="shared" si="2010"/>
        <v>0</v>
      </c>
      <c r="E509" s="8">
        <f t="shared" si="2011"/>
        <v>0</v>
      </c>
      <c r="F509" s="8">
        <f t="shared" si="2012"/>
        <v>0</v>
      </c>
      <c r="G509" s="8">
        <f t="shared" si="2013"/>
        <v>0</v>
      </c>
      <c r="H509" s="8">
        <f t="shared" si="2014"/>
        <v>0</v>
      </c>
      <c r="I509" s="8">
        <f t="shared" si="2015"/>
        <v>0</v>
      </c>
      <c r="J509" s="8">
        <f t="shared" si="2016"/>
        <v>0</v>
      </c>
      <c r="K509" s="8">
        <f t="shared" si="2017"/>
        <v>0</v>
      </c>
      <c r="L509" s="8">
        <f t="shared" si="2018"/>
        <v>1</v>
      </c>
      <c r="M509" s="8">
        <f t="shared" si="2019"/>
        <v>0</v>
      </c>
      <c r="N509" s="8">
        <f t="shared" si="2020"/>
        <v>0</v>
      </c>
      <c r="O509" s="8">
        <f t="shared" si="2021"/>
        <v>0</v>
      </c>
      <c r="P509" s="6">
        <v>0</v>
      </c>
      <c r="Q509" s="8">
        <f t="shared" ref="Q509" si="2051">IF(COUNTIF(P501:P511,"&lt;"&amp;-0.001)=0,IF(ABS(P509)&lt;0.001,0,P509)," ")</f>
        <v>0</v>
      </c>
      <c r="R509" s="8"/>
      <c r="S509" s="8"/>
      <c r="U509" s="34"/>
      <c r="V509" s="34"/>
      <c r="W509" s="34"/>
      <c r="X509" s="34"/>
      <c r="Y509" s="34"/>
      <c r="Z509" s="34"/>
      <c r="AA509" s="34"/>
      <c r="AB509" s="34"/>
      <c r="AC509" s="34"/>
      <c r="AD509" s="34"/>
      <c r="AE509" s="34"/>
      <c r="AF509" s="34"/>
      <c r="AG509" s="34"/>
      <c r="AH509" s="34"/>
      <c r="AI509" s="34"/>
      <c r="AJ509" s="34"/>
      <c r="AK509" s="34"/>
      <c r="AL509" s="34"/>
      <c r="AM509" s="34"/>
      <c r="AN509" s="34"/>
      <c r="AO509" s="34"/>
      <c r="AP509" s="34"/>
      <c r="AQ509" s="34"/>
      <c r="AR509" s="34"/>
      <c r="AS509" s="34"/>
      <c r="AT509" s="34"/>
      <c r="AU509" s="34"/>
      <c r="AV509" s="34"/>
      <c r="AW509" s="34"/>
      <c r="AX509" s="34"/>
      <c r="AY509" s="34"/>
      <c r="AZ509" s="34"/>
      <c r="BA509" s="34"/>
      <c r="BB509" s="34"/>
      <c r="BC509" s="34"/>
      <c r="BD509" s="34"/>
      <c r="BE509" s="34"/>
      <c r="BF509" s="34"/>
      <c r="BG509" s="34"/>
      <c r="BH509" s="34"/>
      <c r="BI509" s="34"/>
      <c r="BJ509" s="34"/>
      <c r="BK509" s="34"/>
      <c r="BL509" s="34"/>
      <c r="BM509" s="34"/>
      <c r="BN509" s="34"/>
      <c r="BO509" s="34"/>
      <c r="BP509" s="34"/>
      <c r="BQ509" s="34"/>
      <c r="BR509" s="34"/>
      <c r="BS509" s="34"/>
      <c r="BT509" s="34"/>
      <c r="BU509" s="34"/>
      <c r="BV509" s="34"/>
      <c r="BW509" s="34"/>
      <c r="BX509" s="34"/>
      <c r="BY509" s="34"/>
      <c r="BZ509" s="34"/>
      <c r="CA509" s="34"/>
      <c r="CB509" s="34"/>
      <c r="CC509" s="34"/>
      <c r="CD509" s="34"/>
      <c r="CE509" s="34"/>
      <c r="CF509" s="34"/>
      <c r="CG509" s="34"/>
      <c r="CH509" s="34"/>
      <c r="CI509" s="8"/>
    </row>
    <row r="510" spans="1:87" x14ac:dyDescent="0.2">
      <c r="A510" s="8" t="str">
        <f>IF(AND(COUNTIF(W$3:W$13,A$24)&gt;0,A$24&lt;&gt;B292),A$24,IFERROR(IF(MATCH(A$24,Z$3:Z$13,0)=10,A$24," ")," "))</f>
        <v xml:space="preserve"> </v>
      </c>
      <c r="B510" s="8" t="str">
        <f>IF(A510=" "," ",MAX(B501:B509)+1)</f>
        <v xml:space="preserve"> </v>
      </c>
      <c r="C510" s="8" t="str">
        <f>IFERROR(INDEX(A501:A522,MATCH(SMALL(B501:B522,10),B501:B522,0),1)," ")</f>
        <v>C21</v>
      </c>
      <c r="D510" s="8">
        <f t="shared" si="2010"/>
        <v>0</v>
      </c>
      <c r="E510" s="8">
        <f t="shared" si="2011"/>
        <v>0</v>
      </c>
      <c r="F510" s="8">
        <f t="shared" si="2012"/>
        <v>0</v>
      </c>
      <c r="G510" s="8">
        <f t="shared" si="2013"/>
        <v>0</v>
      </c>
      <c r="H510" s="8">
        <f t="shared" si="2014"/>
        <v>0</v>
      </c>
      <c r="I510" s="8">
        <f t="shared" si="2015"/>
        <v>0</v>
      </c>
      <c r="J510" s="8">
        <f t="shared" si="2016"/>
        <v>0</v>
      </c>
      <c r="K510" s="8">
        <f t="shared" si="2017"/>
        <v>0</v>
      </c>
      <c r="L510" s="8">
        <f t="shared" si="2018"/>
        <v>0</v>
      </c>
      <c r="M510" s="8">
        <f t="shared" si="2019"/>
        <v>1</v>
      </c>
      <c r="N510" s="8">
        <f t="shared" si="2020"/>
        <v>0</v>
      </c>
      <c r="O510" s="8">
        <f t="shared" si="2021"/>
        <v>0</v>
      </c>
      <c r="P510" s="8">
        <v>0</v>
      </c>
      <c r="Q510" s="8">
        <f t="shared" ref="Q510" si="2052">IF(COUNTIF(P501:P511,"&lt;"&amp;-0.001)=0,IF(ABS(P510)&lt;0.001,0,P510)," ")</f>
        <v>0</v>
      </c>
      <c r="R510" s="8"/>
      <c r="S510" s="8"/>
      <c r="U510" s="34"/>
      <c r="V510" s="34"/>
      <c r="W510" s="34"/>
      <c r="X510" s="34"/>
      <c r="Y510" s="34"/>
      <c r="Z510" s="34"/>
      <c r="AA510" s="34"/>
      <c r="AB510" s="34"/>
      <c r="AC510" s="34"/>
      <c r="AD510" s="34"/>
      <c r="AE510" s="34"/>
      <c r="AF510" s="34"/>
      <c r="AG510" s="34"/>
      <c r="AH510" s="34"/>
      <c r="AI510" s="34"/>
      <c r="AJ510" s="34"/>
      <c r="AK510" s="34"/>
      <c r="AL510" s="34"/>
      <c r="AM510" s="34"/>
      <c r="AN510" s="34"/>
      <c r="AO510" s="34"/>
      <c r="AP510" s="34"/>
      <c r="AQ510" s="34"/>
      <c r="AR510" s="34"/>
      <c r="AS510" s="34"/>
      <c r="AT510" s="34"/>
      <c r="AU510" s="34"/>
      <c r="AV510" s="34"/>
      <c r="AW510" s="34"/>
      <c r="AX510" s="34"/>
      <c r="AY510" s="34"/>
      <c r="AZ510" s="34"/>
      <c r="BA510" s="34"/>
      <c r="BB510" s="34"/>
      <c r="BC510" s="34"/>
      <c r="BD510" s="34"/>
      <c r="BE510" s="34"/>
      <c r="BF510" s="34"/>
      <c r="BG510" s="34"/>
      <c r="BH510" s="34"/>
      <c r="BI510" s="34"/>
      <c r="BJ510" s="34"/>
      <c r="BK510" s="34"/>
      <c r="BL510" s="34"/>
      <c r="BM510" s="34"/>
      <c r="BN510" s="34"/>
      <c r="BO510" s="34"/>
      <c r="BP510" s="34"/>
      <c r="BQ510" s="34"/>
      <c r="BR510" s="34"/>
      <c r="BS510" s="34"/>
      <c r="BT510" s="34"/>
      <c r="BU510" s="34"/>
      <c r="BV510" s="34"/>
      <c r="BW510" s="34"/>
      <c r="BX510" s="34"/>
      <c r="BY510" s="34"/>
      <c r="BZ510" s="34"/>
      <c r="CA510" s="34"/>
      <c r="CB510" s="34"/>
      <c r="CC510" s="34"/>
      <c r="CD510" s="34"/>
      <c r="CE510" s="34"/>
      <c r="CF510" s="34"/>
      <c r="CG510" s="34"/>
      <c r="CH510" s="34"/>
      <c r="CI510" s="8"/>
    </row>
    <row r="511" spans="1:87" x14ac:dyDescent="0.2">
      <c r="A511" s="8" t="str">
        <f>IF(AND(COUNTIF(W$3:W$13,A$25)&gt;0,A$25&lt;&gt;B292),A$25,IFERROR(IF(MATCH(A$25,Z$3:Z$13,0)=10,A$25," ")," "))</f>
        <v xml:space="preserve"> </v>
      </c>
      <c r="B511" s="8" t="str">
        <f>IF(A511=" "," ",MAX(B501:B510)+1)</f>
        <v xml:space="preserve"> </v>
      </c>
      <c r="C511" s="8" t="str">
        <f>IFERROR(INDEX(A501:A522,MATCH(SMALL(B501:B522,11),B501:B522,0),1)," ")</f>
        <v>C22</v>
      </c>
      <c r="D511" s="8">
        <f t="shared" si="2010"/>
        <v>0</v>
      </c>
      <c r="E511" s="8">
        <f t="shared" si="2011"/>
        <v>0</v>
      </c>
      <c r="F511" s="8">
        <f t="shared" si="2012"/>
        <v>0</v>
      </c>
      <c r="G511" s="8">
        <f t="shared" si="2013"/>
        <v>0</v>
      </c>
      <c r="H511" s="8">
        <f t="shared" si="2014"/>
        <v>0</v>
      </c>
      <c r="I511" s="8">
        <f t="shared" si="2015"/>
        <v>0</v>
      </c>
      <c r="J511" s="8">
        <f t="shared" si="2016"/>
        <v>0</v>
      </c>
      <c r="K511" s="8">
        <f t="shared" si="2017"/>
        <v>0</v>
      </c>
      <c r="L511" s="8">
        <f t="shared" si="2018"/>
        <v>0</v>
      </c>
      <c r="M511" s="8">
        <f t="shared" si="2019"/>
        <v>0</v>
      </c>
      <c r="N511" s="8">
        <f t="shared" si="2020"/>
        <v>1</v>
      </c>
      <c r="O511" s="8">
        <f t="shared" si="2021"/>
        <v>0</v>
      </c>
      <c r="P511" s="8">
        <v>0</v>
      </c>
      <c r="Q511" s="8">
        <f t="shared" ref="Q511" si="2053">IF(COUNTIF(P501:P511,"&lt;"&amp;-0.001)=0,IF(ABS(P511)&lt;0.001,0,P511)," ")</f>
        <v>0</v>
      </c>
      <c r="R511" s="8"/>
      <c r="S511" s="8"/>
      <c r="U511" s="34"/>
      <c r="V511" s="34"/>
      <c r="W511" s="34"/>
      <c r="X511" s="34"/>
      <c r="Y511" s="34"/>
      <c r="Z511" s="34"/>
      <c r="AA511" s="34"/>
      <c r="AB511" s="34"/>
      <c r="AC511" s="34"/>
      <c r="AD511" s="34"/>
      <c r="AE511" s="34"/>
      <c r="AF511" s="34"/>
      <c r="AG511" s="34"/>
      <c r="AH511" s="34"/>
      <c r="AI511" s="34"/>
      <c r="AJ511" s="34"/>
      <c r="AK511" s="34"/>
      <c r="AL511" s="34"/>
      <c r="AM511" s="34"/>
      <c r="AN511" s="34"/>
      <c r="AO511" s="34"/>
      <c r="AP511" s="34"/>
      <c r="AQ511" s="34"/>
      <c r="AR511" s="34"/>
      <c r="AS511" s="34"/>
      <c r="AT511" s="34"/>
      <c r="AU511" s="34"/>
      <c r="AV511" s="34"/>
      <c r="AW511" s="34"/>
      <c r="AX511" s="34"/>
      <c r="AY511" s="34"/>
      <c r="AZ511" s="34"/>
      <c r="BA511" s="34"/>
      <c r="BB511" s="34"/>
      <c r="BC511" s="34"/>
      <c r="BD511" s="34"/>
      <c r="BE511" s="34"/>
      <c r="BF511" s="34"/>
      <c r="BG511" s="34"/>
      <c r="BH511" s="34"/>
      <c r="BI511" s="34"/>
      <c r="BJ511" s="34"/>
      <c r="BK511" s="34"/>
      <c r="BL511" s="34"/>
      <c r="BM511" s="34"/>
      <c r="BN511" s="34"/>
      <c r="BO511" s="34"/>
      <c r="BP511" s="34"/>
      <c r="BQ511" s="34"/>
      <c r="BR511" s="34"/>
      <c r="BS511" s="34"/>
      <c r="BT511" s="34"/>
      <c r="BU511" s="34"/>
      <c r="BV511" s="34"/>
      <c r="BW511" s="34"/>
      <c r="BX511" s="34"/>
      <c r="BY511" s="34"/>
      <c r="BZ511" s="34"/>
      <c r="CA511" s="34"/>
      <c r="CB511" s="34"/>
      <c r="CC511" s="34"/>
      <c r="CD511" s="34"/>
      <c r="CE511" s="34"/>
      <c r="CF511" s="34"/>
      <c r="CG511" s="34"/>
      <c r="CH511" s="34"/>
      <c r="CI511" s="8"/>
    </row>
    <row r="512" spans="1:87" x14ac:dyDescent="0.2">
      <c r="A512" s="8" t="str">
        <f>IF(AND(COUNTIF(W$3:W$13,A$26)&gt;0,A$26&lt;&gt;B292),A$26,IFERROR(IF(MATCH(A$26,Z$3:Z$13,0)=10,A$26," ")," "))</f>
        <v>C12</v>
      </c>
      <c r="B512" s="8">
        <f>IF(A512=" "," ",MAX(B501:B511)+1)</f>
        <v>2</v>
      </c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U512" s="34"/>
      <c r="V512" s="34"/>
      <c r="W512" s="34"/>
      <c r="X512" s="34"/>
      <c r="Y512" s="34"/>
      <c r="Z512" s="34"/>
      <c r="AA512" s="34"/>
      <c r="AB512" s="34"/>
      <c r="AC512" s="34"/>
      <c r="AD512" s="34"/>
      <c r="AE512" s="34"/>
      <c r="AF512" s="34"/>
      <c r="AG512" s="34"/>
      <c r="AH512" s="34"/>
      <c r="AI512" s="34"/>
      <c r="AJ512" s="34"/>
      <c r="AK512" s="34"/>
      <c r="AL512" s="34"/>
      <c r="AM512" s="34"/>
      <c r="AN512" s="34"/>
      <c r="AO512" s="34"/>
      <c r="AP512" s="34"/>
      <c r="AQ512" s="34"/>
      <c r="AR512" s="34"/>
      <c r="AS512" s="34"/>
      <c r="AT512" s="34"/>
      <c r="AU512" s="34"/>
      <c r="AV512" s="34"/>
      <c r="AW512" s="34"/>
      <c r="AX512" s="34"/>
      <c r="AY512" s="34"/>
      <c r="AZ512" s="34"/>
      <c r="BA512" s="34"/>
      <c r="BB512" s="34"/>
      <c r="BC512" s="34"/>
      <c r="BD512" s="34"/>
      <c r="BE512" s="34"/>
      <c r="BF512" s="34"/>
      <c r="BG512" s="34"/>
      <c r="BH512" s="34"/>
      <c r="BI512" s="34"/>
      <c r="BJ512" s="34"/>
      <c r="BK512" s="34"/>
      <c r="BL512" s="34"/>
      <c r="BM512" s="34"/>
      <c r="BN512" s="34"/>
      <c r="BO512" s="34"/>
      <c r="BP512" s="34"/>
      <c r="BQ512" s="34"/>
      <c r="BR512" s="34"/>
      <c r="BS512" s="34"/>
      <c r="BT512" s="34"/>
      <c r="BU512" s="34"/>
      <c r="BV512" s="34"/>
      <c r="BW512" s="34"/>
      <c r="BX512" s="34"/>
      <c r="BY512" s="34"/>
      <c r="BZ512" s="34"/>
      <c r="CA512" s="34"/>
      <c r="CB512" s="34"/>
      <c r="CC512" s="34"/>
      <c r="CD512" s="34"/>
      <c r="CE512" s="34"/>
      <c r="CF512" s="34"/>
      <c r="CG512" s="34"/>
      <c r="CH512" s="34"/>
      <c r="CI512" s="8"/>
    </row>
    <row r="513" spans="1:87" x14ac:dyDescent="0.2">
      <c r="A513" s="8" t="str">
        <f>IF(AND(COUNTIF(W$3:W$13,A$27)&gt;0,A$27&lt;&gt;B292),A$27,IFERROR(IF(MATCH(A$27,Z$3:Z$13,0)=10,A$27," ")," "))</f>
        <v>C13</v>
      </c>
      <c r="B513" s="8">
        <f>IF(A513=" "," ",MAX(B501:B512)+1)</f>
        <v>3</v>
      </c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U513" s="34"/>
      <c r="V513" s="34"/>
      <c r="W513" s="34"/>
      <c r="X513" s="34"/>
      <c r="Y513" s="34"/>
      <c r="Z513" s="34"/>
      <c r="AA513" s="34"/>
      <c r="AB513" s="34"/>
      <c r="AC513" s="34"/>
      <c r="AD513" s="34"/>
      <c r="AE513" s="34"/>
      <c r="AF513" s="34"/>
      <c r="AG513" s="34"/>
      <c r="AH513" s="34"/>
      <c r="AI513" s="34"/>
      <c r="AJ513" s="34"/>
      <c r="AK513" s="34"/>
      <c r="AL513" s="34"/>
      <c r="AM513" s="34"/>
      <c r="AN513" s="34"/>
      <c r="AO513" s="34"/>
      <c r="AP513" s="34"/>
      <c r="AQ513" s="34"/>
      <c r="AR513" s="34"/>
      <c r="AS513" s="34"/>
      <c r="AT513" s="34"/>
      <c r="AU513" s="34"/>
      <c r="AV513" s="34"/>
      <c r="AW513" s="34"/>
      <c r="AX513" s="34"/>
      <c r="AY513" s="34"/>
      <c r="AZ513" s="34"/>
      <c r="BA513" s="34"/>
      <c r="BB513" s="34"/>
      <c r="BC513" s="34"/>
      <c r="BD513" s="34"/>
      <c r="BE513" s="34"/>
      <c r="BF513" s="34"/>
      <c r="BG513" s="34"/>
      <c r="BH513" s="34"/>
      <c r="BI513" s="34"/>
      <c r="BJ513" s="34"/>
      <c r="BK513" s="34"/>
      <c r="BL513" s="34"/>
      <c r="BM513" s="34"/>
      <c r="BN513" s="34"/>
      <c r="BO513" s="34"/>
      <c r="BP513" s="34"/>
      <c r="BQ513" s="34"/>
      <c r="BR513" s="34"/>
      <c r="BS513" s="34"/>
      <c r="BT513" s="34"/>
      <c r="BU513" s="34"/>
      <c r="BV513" s="34"/>
      <c r="BW513" s="34"/>
      <c r="BX513" s="34"/>
      <c r="BY513" s="34"/>
      <c r="BZ513" s="34"/>
      <c r="CA513" s="34"/>
      <c r="CB513" s="34"/>
      <c r="CC513" s="34"/>
      <c r="CD513" s="34"/>
      <c r="CE513" s="34"/>
      <c r="CF513" s="34"/>
      <c r="CG513" s="34"/>
      <c r="CH513" s="34"/>
      <c r="CI513" s="8"/>
    </row>
    <row r="514" spans="1:87" x14ac:dyDescent="0.2">
      <c r="A514" s="8" t="str">
        <f>IF(AND(COUNTIF(W$3:W$13,A$28)&gt;0,A$28&lt;&gt;B292),A$28,IFERROR(IF(MATCH(A$28,Z$3:Z$13,0)=10,A$28," ")," "))</f>
        <v xml:space="preserve"> </v>
      </c>
      <c r="B514" s="8" t="str">
        <f>IF(A514=" "," ",MAX(B501:B513)+1)</f>
        <v xml:space="preserve"> </v>
      </c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U514" s="34"/>
      <c r="V514" s="34"/>
      <c r="W514" s="34"/>
      <c r="X514" s="34"/>
      <c r="Y514" s="34"/>
      <c r="Z514" s="34"/>
      <c r="AA514" s="34"/>
      <c r="AB514" s="34"/>
      <c r="AC514" s="34"/>
      <c r="AD514" s="34"/>
      <c r="AE514" s="34"/>
      <c r="AF514" s="34"/>
      <c r="AG514" s="34"/>
      <c r="AH514" s="34"/>
      <c r="AI514" s="34"/>
      <c r="AJ514" s="34"/>
      <c r="AK514" s="34"/>
      <c r="AL514" s="34"/>
      <c r="AM514" s="34"/>
      <c r="AN514" s="34"/>
      <c r="AO514" s="34"/>
      <c r="AP514" s="34"/>
      <c r="AQ514" s="34"/>
      <c r="AR514" s="34"/>
      <c r="AS514" s="34"/>
      <c r="AT514" s="34"/>
      <c r="AU514" s="34"/>
      <c r="AV514" s="34"/>
      <c r="AW514" s="34"/>
      <c r="AX514" s="34"/>
      <c r="AY514" s="34"/>
      <c r="AZ514" s="34"/>
      <c r="BA514" s="34"/>
      <c r="BB514" s="34"/>
      <c r="BC514" s="34"/>
      <c r="BD514" s="34"/>
      <c r="BE514" s="34"/>
      <c r="BF514" s="34"/>
      <c r="BG514" s="34"/>
      <c r="BH514" s="34"/>
      <c r="BI514" s="34"/>
      <c r="BJ514" s="34"/>
      <c r="BK514" s="34"/>
      <c r="BL514" s="34"/>
      <c r="BM514" s="34"/>
      <c r="BN514" s="34"/>
      <c r="BO514" s="34"/>
      <c r="BP514" s="34"/>
      <c r="BQ514" s="34"/>
      <c r="BR514" s="34"/>
      <c r="BS514" s="34"/>
      <c r="BT514" s="34"/>
      <c r="BU514" s="34"/>
      <c r="BV514" s="34"/>
      <c r="BW514" s="34"/>
      <c r="BX514" s="34"/>
      <c r="BY514" s="34"/>
      <c r="BZ514" s="34"/>
      <c r="CA514" s="34"/>
      <c r="CB514" s="34"/>
      <c r="CC514" s="34"/>
      <c r="CD514" s="34"/>
      <c r="CE514" s="34"/>
      <c r="CF514" s="34"/>
      <c r="CG514" s="34"/>
      <c r="CH514" s="34"/>
      <c r="CI514" s="8"/>
    </row>
    <row r="515" spans="1:87" x14ac:dyDescent="0.2">
      <c r="A515" s="8" t="str">
        <f>IF(AND(COUNTIF(W$3:W$13,A$29)&gt;0,A$29&lt;&gt;B292),A$29,IFERROR(IF(MATCH(A$29,Z$3:Z$13,0)=10,A$29," ")," "))</f>
        <v>C15</v>
      </c>
      <c r="B515" s="8">
        <f>IF(A515=" "," ",MAX(B501:B514)+1)</f>
        <v>4</v>
      </c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U515" s="34"/>
      <c r="V515" s="34"/>
      <c r="W515" s="34"/>
      <c r="X515" s="34"/>
      <c r="Y515" s="34"/>
      <c r="Z515" s="34"/>
      <c r="AA515" s="34"/>
      <c r="AB515" s="34"/>
      <c r="AC515" s="34"/>
      <c r="AD515" s="34"/>
      <c r="AE515" s="34"/>
      <c r="AF515" s="34"/>
      <c r="AG515" s="34"/>
      <c r="AH515" s="34"/>
      <c r="AI515" s="34"/>
      <c r="AJ515" s="34"/>
      <c r="AK515" s="34"/>
      <c r="AL515" s="34"/>
      <c r="AM515" s="34"/>
      <c r="AN515" s="34"/>
      <c r="AO515" s="34"/>
      <c r="AP515" s="34"/>
      <c r="AQ515" s="34"/>
      <c r="AR515" s="34"/>
      <c r="AS515" s="34"/>
      <c r="AT515" s="34"/>
      <c r="AU515" s="34"/>
      <c r="AV515" s="34"/>
      <c r="AW515" s="34"/>
      <c r="AX515" s="34"/>
      <c r="AY515" s="34"/>
      <c r="AZ515" s="34"/>
      <c r="BA515" s="34"/>
      <c r="BB515" s="34"/>
      <c r="BC515" s="34"/>
      <c r="BD515" s="34"/>
      <c r="BE515" s="34"/>
      <c r="BF515" s="34"/>
      <c r="BG515" s="34"/>
      <c r="BH515" s="34"/>
      <c r="BI515" s="34"/>
      <c r="BJ515" s="34"/>
      <c r="BK515" s="34"/>
      <c r="BL515" s="34"/>
      <c r="BM515" s="34"/>
      <c r="BN515" s="34"/>
      <c r="BO515" s="34"/>
      <c r="BP515" s="34"/>
      <c r="BQ515" s="34"/>
      <c r="BR515" s="34"/>
      <c r="BS515" s="34"/>
      <c r="BT515" s="34"/>
      <c r="BU515" s="34"/>
      <c r="BV515" s="34"/>
      <c r="BW515" s="34"/>
      <c r="BX515" s="34"/>
      <c r="BY515" s="34"/>
      <c r="BZ515" s="34"/>
      <c r="CA515" s="34"/>
      <c r="CB515" s="34"/>
      <c r="CC515" s="34"/>
      <c r="CD515" s="34"/>
      <c r="CE515" s="34"/>
      <c r="CF515" s="34"/>
      <c r="CG515" s="34"/>
      <c r="CH515" s="34"/>
      <c r="CI515" s="8"/>
    </row>
    <row r="516" spans="1:87" x14ac:dyDescent="0.2">
      <c r="A516" s="8" t="str">
        <f>IF(AND(COUNTIF(W$3:W$13,A$30)&gt;0,A$30&lt;&gt;B292),A$30,IFERROR(IF(MATCH(A$30,Z$3:Z$13,0)=10,A$30," ")," "))</f>
        <v>C16</v>
      </c>
      <c r="B516" s="8">
        <f>IF(A516=" "," ",MAX(B501:B515)+1)</f>
        <v>5</v>
      </c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U516" s="34"/>
      <c r="V516" s="34"/>
      <c r="W516" s="34"/>
      <c r="X516" s="34"/>
      <c r="Y516" s="34"/>
      <c r="Z516" s="34"/>
      <c r="AA516" s="34"/>
      <c r="AB516" s="34"/>
      <c r="AC516" s="34"/>
      <c r="AD516" s="34"/>
      <c r="AE516" s="34"/>
      <c r="AF516" s="34"/>
      <c r="AG516" s="34"/>
      <c r="AH516" s="34"/>
      <c r="AI516" s="34"/>
      <c r="AJ516" s="34"/>
      <c r="AK516" s="34"/>
      <c r="AL516" s="34"/>
      <c r="AM516" s="34"/>
      <c r="AN516" s="34"/>
      <c r="AO516" s="34"/>
      <c r="AP516" s="34"/>
      <c r="AQ516" s="34"/>
      <c r="AR516" s="34"/>
      <c r="AS516" s="34"/>
      <c r="AT516" s="34"/>
      <c r="AU516" s="34"/>
      <c r="AV516" s="34"/>
      <c r="AW516" s="34"/>
      <c r="AX516" s="34"/>
      <c r="AY516" s="34"/>
      <c r="AZ516" s="34"/>
      <c r="BA516" s="34"/>
      <c r="BB516" s="34"/>
      <c r="BC516" s="34"/>
      <c r="BD516" s="34"/>
      <c r="BE516" s="34"/>
      <c r="BF516" s="34"/>
      <c r="BG516" s="34"/>
      <c r="BH516" s="34"/>
      <c r="BI516" s="34"/>
      <c r="BJ516" s="34"/>
      <c r="BK516" s="34"/>
      <c r="BL516" s="34"/>
      <c r="BM516" s="34"/>
      <c r="BN516" s="34"/>
      <c r="BO516" s="34"/>
      <c r="BP516" s="34"/>
      <c r="BQ516" s="34"/>
      <c r="BR516" s="34"/>
      <c r="BS516" s="34"/>
      <c r="BT516" s="34"/>
      <c r="BU516" s="34"/>
      <c r="BV516" s="34"/>
      <c r="BW516" s="34"/>
      <c r="BX516" s="34"/>
      <c r="BY516" s="34"/>
      <c r="BZ516" s="34"/>
      <c r="CA516" s="34"/>
      <c r="CB516" s="34"/>
      <c r="CC516" s="34"/>
      <c r="CD516" s="34"/>
      <c r="CE516" s="34"/>
      <c r="CF516" s="34"/>
      <c r="CG516" s="34"/>
      <c r="CH516" s="34"/>
      <c r="CI516" s="8"/>
    </row>
    <row r="517" spans="1:87" x14ac:dyDescent="0.2">
      <c r="A517" s="8" t="str">
        <f>IF(AND(COUNTIF(W$3:W$13,A$31)&gt;0,A$31&lt;&gt;B292),A$31,IFERROR(IF(MATCH(A$31,Z$3:Z$13,0)=10,A$31," ")," "))</f>
        <v>C17</v>
      </c>
      <c r="B517" s="8">
        <f>IF(A517=" "," ",MAX(B501:B516)+1)</f>
        <v>6</v>
      </c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U517" s="34"/>
      <c r="V517" s="34"/>
      <c r="W517" s="34"/>
      <c r="X517" s="34"/>
      <c r="Y517" s="34"/>
      <c r="Z517" s="34"/>
      <c r="AA517" s="34"/>
      <c r="AB517" s="34"/>
      <c r="AC517" s="34"/>
      <c r="AD517" s="34"/>
      <c r="AE517" s="34"/>
      <c r="AF517" s="34"/>
      <c r="AG517" s="34"/>
      <c r="AH517" s="34"/>
      <c r="AI517" s="34"/>
      <c r="AJ517" s="34"/>
      <c r="AK517" s="34"/>
      <c r="AL517" s="34"/>
      <c r="AM517" s="34"/>
      <c r="AN517" s="34"/>
      <c r="AO517" s="34"/>
      <c r="AP517" s="34"/>
      <c r="AQ517" s="34"/>
      <c r="AR517" s="34"/>
      <c r="AS517" s="34"/>
      <c r="AT517" s="34"/>
      <c r="AU517" s="34"/>
      <c r="AV517" s="34"/>
      <c r="AW517" s="34"/>
      <c r="AX517" s="34"/>
      <c r="AY517" s="34"/>
      <c r="AZ517" s="34"/>
      <c r="BA517" s="34"/>
      <c r="BB517" s="34"/>
      <c r="BC517" s="34"/>
      <c r="BD517" s="34"/>
      <c r="BE517" s="34"/>
      <c r="BF517" s="34"/>
      <c r="BG517" s="34"/>
      <c r="BH517" s="34"/>
      <c r="BI517" s="34"/>
      <c r="BJ517" s="34"/>
      <c r="BK517" s="34"/>
      <c r="BL517" s="34"/>
      <c r="BM517" s="34"/>
      <c r="BN517" s="34"/>
      <c r="BO517" s="34"/>
      <c r="BP517" s="34"/>
      <c r="BQ517" s="34"/>
      <c r="BR517" s="34"/>
      <c r="BS517" s="34"/>
      <c r="BT517" s="34"/>
      <c r="BU517" s="34"/>
      <c r="BV517" s="34"/>
      <c r="BW517" s="34"/>
      <c r="BX517" s="34"/>
      <c r="BY517" s="34"/>
      <c r="BZ517" s="34"/>
      <c r="CA517" s="34"/>
      <c r="CB517" s="34"/>
      <c r="CC517" s="34"/>
      <c r="CD517" s="34"/>
      <c r="CE517" s="34"/>
      <c r="CF517" s="34"/>
      <c r="CG517" s="34"/>
      <c r="CH517" s="34"/>
      <c r="CI517" s="8"/>
    </row>
    <row r="518" spans="1:87" x14ac:dyDescent="0.2">
      <c r="A518" s="8" t="str">
        <f>IF(AND(COUNTIF(W$3:W$13,A$32)&gt;0,A$32&lt;&gt;B292),A$32,IFERROR(IF(MATCH(A$32,Z$3:Z$13,0)=10,A$32," ")," "))</f>
        <v>C18</v>
      </c>
      <c r="B518" s="8">
        <f>IF(A518=" "," ",MAX(B501:B517)+1)</f>
        <v>7</v>
      </c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U518" s="34"/>
      <c r="V518" s="34"/>
      <c r="W518" s="34"/>
      <c r="X518" s="34"/>
      <c r="Y518" s="34"/>
      <c r="Z518" s="34"/>
      <c r="AA518" s="34"/>
      <c r="AB518" s="34"/>
      <c r="AC518" s="34"/>
      <c r="AD518" s="34"/>
      <c r="AE518" s="34"/>
      <c r="AF518" s="34"/>
      <c r="AG518" s="34"/>
      <c r="AH518" s="34"/>
      <c r="AI518" s="34"/>
      <c r="AJ518" s="34"/>
      <c r="AK518" s="34"/>
      <c r="AL518" s="34"/>
      <c r="AM518" s="34"/>
      <c r="AN518" s="34"/>
      <c r="AO518" s="34"/>
      <c r="AP518" s="34"/>
      <c r="AQ518" s="34"/>
      <c r="AR518" s="34"/>
      <c r="AS518" s="34"/>
      <c r="AT518" s="34"/>
      <c r="AU518" s="34"/>
      <c r="AV518" s="34"/>
      <c r="AW518" s="34"/>
      <c r="AX518" s="34"/>
      <c r="AY518" s="34"/>
      <c r="AZ518" s="34"/>
      <c r="BA518" s="34"/>
      <c r="BB518" s="34"/>
      <c r="BC518" s="34"/>
      <c r="BD518" s="34"/>
      <c r="BE518" s="34"/>
      <c r="BF518" s="34"/>
      <c r="BG518" s="34"/>
      <c r="BH518" s="34"/>
      <c r="BI518" s="34"/>
      <c r="BJ518" s="34"/>
      <c r="BK518" s="34"/>
      <c r="BL518" s="34"/>
      <c r="BM518" s="34"/>
      <c r="BN518" s="34"/>
      <c r="BO518" s="34"/>
      <c r="BP518" s="34"/>
      <c r="BQ518" s="34"/>
      <c r="BR518" s="34"/>
      <c r="BS518" s="34"/>
      <c r="BT518" s="34"/>
      <c r="BU518" s="34"/>
      <c r="BV518" s="34"/>
      <c r="BW518" s="34"/>
      <c r="BX518" s="34"/>
      <c r="BY518" s="34"/>
      <c r="BZ518" s="34"/>
      <c r="CA518" s="34"/>
      <c r="CB518" s="34"/>
      <c r="CC518" s="34"/>
      <c r="CD518" s="34"/>
      <c r="CE518" s="34"/>
      <c r="CF518" s="34"/>
      <c r="CG518" s="34"/>
      <c r="CH518" s="34"/>
      <c r="CI518" s="8"/>
    </row>
    <row r="519" spans="1:87" x14ac:dyDescent="0.2">
      <c r="A519" s="8" t="str">
        <f>IF(AND(COUNTIF(W$3:W$13,A$33)&gt;0,A$33&lt;&gt;B292),A$33,IFERROR(IF(MATCH(A$33,Z$3:Z$13,0)=10,A$33," ")," "))</f>
        <v>C19</v>
      </c>
      <c r="B519" s="8">
        <f>IF(A519=" "," ",MAX(B501:B518)+1)</f>
        <v>8</v>
      </c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U519" s="34"/>
      <c r="V519" s="34"/>
      <c r="W519" s="34"/>
      <c r="X519" s="34"/>
      <c r="Y519" s="34"/>
      <c r="Z519" s="34"/>
      <c r="AA519" s="34"/>
      <c r="AB519" s="34"/>
      <c r="AC519" s="34"/>
      <c r="AD519" s="34"/>
      <c r="AE519" s="34"/>
      <c r="AF519" s="34"/>
      <c r="AG519" s="34"/>
      <c r="AH519" s="34"/>
      <c r="AI519" s="34"/>
      <c r="AJ519" s="34"/>
      <c r="AK519" s="34"/>
      <c r="AL519" s="34"/>
      <c r="AM519" s="34"/>
      <c r="AN519" s="34"/>
      <c r="AO519" s="34"/>
      <c r="AP519" s="34"/>
      <c r="AQ519" s="34"/>
      <c r="AR519" s="34"/>
      <c r="AS519" s="34"/>
      <c r="AT519" s="34"/>
      <c r="AU519" s="34"/>
      <c r="AV519" s="34"/>
      <c r="AW519" s="34"/>
      <c r="AX519" s="34"/>
      <c r="AY519" s="34"/>
      <c r="AZ519" s="34"/>
      <c r="BA519" s="34"/>
      <c r="BB519" s="34"/>
      <c r="BC519" s="34"/>
      <c r="BD519" s="34"/>
      <c r="BE519" s="34"/>
      <c r="BF519" s="34"/>
      <c r="BG519" s="34"/>
      <c r="BH519" s="34"/>
      <c r="BI519" s="34"/>
      <c r="BJ519" s="34"/>
      <c r="BK519" s="34"/>
      <c r="BL519" s="34"/>
      <c r="BM519" s="34"/>
      <c r="BN519" s="34"/>
      <c r="BO519" s="34"/>
      <c r="BP519" s="34"/>
      <c r="BQ519" s="34"/>
      <c r="BR519" s="34"/>
      <c r="BS519" s="34"/>
      <c r="BT519" s="34"/>
      <c r="BU519" s="34"/>
      <c r="BV519" s="34"/>
      <c r="BW519" s="34"/>
      <c r="BX519" s="34"/>
      <c r="BY519" s="34"/>
      <c r="BZ519" s="34"/>
      <c r="CA519" s="34"/>
      <c r="CB519" s="34"/>
      <c r="CC519" s="34"/>
      <c r="CD519" s="34"/>
      <c r="CE519" s="34"/>
      <c r="CF519" s="34"/>
      <c r="CG519" s="34"/>
      <c r="CH519" s="34"/>
      <c r="CI519" s="8"/>
    </row>
    <row r="520" spans="1:87" x14ac:dyDescent="0.2">
      <c r="A520" s="8" t="str">
        <f>IF(AND(COUNTIF(W$3:W$13,A$34)&gt;0,A$34&lt;&gt;B292),A$34,IFERROR(IF(MATCH(A$34,Z$3:Z$13,0)=10,A$34," ")," "))</f>
        <v>C20</v>
      </c>
      <c r="B520" s="8">
        <f>IF(A520=" "," ",MAX(B501:B519)+1)</f>
        <v>9</v>
      </c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U520" s="34"/>
      <c r="V520" s="34"/>
      <c r="W520" s="34"/>
      <c r="X520" s="34"/>
      <c r="Y520" s="34"/>
      <c r="Z520" s="34"/>
      <c r="AA520" s="34"/>
      <c r="AB520" s="34"/>
      <c r="AC520" s="34"/>
      <c r="AD520" s="34"/>
      <c r="AE520" s="34"/>
      <c r="AF520" s="34"/>
      <c r="AG520" s="34"/>
      <c r="AH520" s="34"/>
      <c r="AI520" s="34"/>
      <c r="AJ520" s="34"/>
      <c r="AK520" s="34"/>
      <c r="AL520" s="34"/>
      <c r="AM520" s="34"/>
      <c r="AN520" s="34"/>
      <c r="AO520" s="34"/>
      <c r="AP520" s="34"/>
      <c r="AQ520" s="34"/>
      <c r="AR520" s="34"/>
      <c r="AS520" s="34"/>
      <c r="AT520" s="34"/>
      <c r="AU520" s="34"/>
      <c r="AV520" s="34"/>
      <c r="AW520" s="34"/>
      <c r="AX520" s="34"/>
      <c r="AY520" s="34"/>
      <c r="AZ520" s="34"/>
      <c r="BA520" s="34"/>
      <c r="BB520" s="34"/>
      <c r="BC520" s="34"/>
      <c r="BD520" s="34"/>
      <c r="BE520" s="34"/>
      <c r="BF520" s="34"/>
      <c r="BG520" s="34"/>
      <c r="BH520" s="34"/>
      <c r="BI520" s="34"/>
      <c r="BJ520" s="34"/>
      <c r="BK520" s="34"/>
      <c r="BL520" s="34"/>
      <c r="BM520" s="34"/>
      <c r="BN520" s="34"/>
      <c r="BO520" s="34"/>
      <c r="BP520" s="34"/>
      <c r="BQ520" s="34"/>
      <c r="BR520" s="34"/>
      <c r="BS520" s="34"/>
      <c r="BT520" s="34"/>
      <c r="BU520" s="34"/>
      <c r="BV520" s="34"/>
      <c r="BW520" s="34"/>
      <c r="BX520" s="34"/>
      <c r="BY520" s="34"/>
      <c r="BZ520" s="34"/>
      <c r="CA520" s="34"/>
      <c r="CB520" s="34"/>
      <c r="CC520" s="34"/>
      <c r="CD520" s="34"/>
      <c r="CE520" s="34"/>
      <c r="CF520" s="34"/>
      <c r="CG520" s="34"/>
      <c r="CH520" s="34"/>
      <c r="CI520" s="8"/>
    </row>
    <row r="521" spans="1:87" x14ac:dyDescent="0.2">
      <c r="A521" s="8" t="str">
        <f>IF(AND(COUNTIF(W$3:W$13,A$35)&gt;0,A$35&lt;&gt;B292),A$35,IFERROR(IF(MATCH(A$35,Z$3:Z$13,0)=10,A$35," ")," "))</f>
        <v>C21</v>
      </c>
      <c r="B521" s="8">
        <f>IF(A521=" "," ",MAX(B501:B520)+1)</f>
        <v>10</v>
      </c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U521" s="34"/>
      <c r="V521" s="34"/>
      <c r="W521" s="34"/>
      <c r="X521" s="34"/>
      <c r="Y521" s="34"/>
      <c r="Z521" s="34"/>
      <c r="AA521" s="34"/>
      <c r="AB521" s="34"/>
      <c r="AC521" s="34"/>
      <c r="AD521" s="34"/>
      <c r="AE521" s="34"/>
      <c r="AF521" s="34"/>
      <c r="AG521" s="34"/>
      <c r="AH521" s="34"/>
      <c r="AI521" s="34"/>
      <c r="AJ521" s="34"/>
      <c r="AK521" s="34"/>
      <c r="AL521" s="34"/>
      <c r="AM521" s="34"/>
      <c r="AN521" s="34"/>
      <c r="AO521" s="34"/>
      <c r="AP521" s="34"/>
      <c r="AQ521" s="34"/>
      <c r="AR521" s="34"/>
      <c r="AS521" s="34"/>
      <c r="AT521" s="34"/>
      <c r="AU521" s="34"/>
      <c r="AV521" s="34"/>
      <c r="AW521" s="34"/>
      <c r="AX521" s="34"/>
      <c r="AY521" s="34"/>
      <c r="AZ521" s="34"/>
      <c r="BA521" s="34"/>
      <c r="BB521" s="34"/>
      <c r="BC521" s="34"/>
      <c r="BD521" s="34"/>
      <c r="BE521" s="34"/>
      <c r="BF521" s="34"/>
      <c r="BG521" s="34"/>
      <c r="BH521" s="34"/>
      <c r="BI521" s="34"/>
      <c r="BJ521" s="34"/>
      <c r="BK521" s="34"/>
      <c r="BL521" s="34"/>
      <c r="BM521" s="34"/>
      <c r="BN521" s="34"/>
      <c r="BO521" s="34"/>
      <c r="BP521" s="34"/>
      <c r="BQ521" s="34"/>
      <c r="BR521" s="34"/>
      <c r="BS521" s="34"/>
      <c r="BT521" s="34"/>
      <c r="BU521" s="34"/>
      <c r="BV521" s="34"/>
      <c r="BW521" s="34"/>
      <c r="BX521" s="34"/>
      <c r="BY521" s="34"/>
      <c r="BZ521" s="34"/>
      <c r="CA521" s="34"/>
      <c r="CB521" s="34"/>
      <c r="CC521" s="34"/>
      <c r="CD521" s="34"/>
      <c r="CE521" s="34"/>
      <c r="CF521" s="34"/>
      <c r="CG521" s="34"/>
      <c r="CH521" s="34"/>
      <c r="CI521" s="8"/>
    </row>
    <row r="522" spans="1:87" x14ac:dyDescent="0.2">
      <c r="A522" s="8" t="str">
        <f>IF(AND(COUNTIF(W$3:W$13,A$36)&gt;0,A$36&lt;&gt;B292),A$36,IFERROR(IF(MATCH(A$36,Z$3:Z$13,0)=10,A$36," ")," "))</f>
        <v>C22</v>
      </c>
      <c r="B522" s="8">
        <f>IF(A522=" "," ",MAX(B501:B521)+1)</f>
        <v>11</v>
      </c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U522" s="34"/>
      <c r="V522" s="34"/>
      <c r="W522" s="34"/>
      <c r="X522" s="34"/>
      <c r="Y522" s="34"/>
      <c r="Z522" s="34"/>
      <c r="AA522" s="34"/>
      <c r="AB522" s="34"/>
      <c r="AC522" s="34"/>
      <c r="AD522" s="34"/>
      <c r="AE522" s="34"/>
      <c r="AF522" s="34"/>
      <c r="AG522" s="34"/>
      <c r="AH522" s="34"/>
      <c r="AI522" s="34"/>
      <c r="AJ522" s="34"/>
      <c r="AK522" s="34"/>
      <c r="AL522" s="34"/>
      <c r="AM522" s="34"/>
      <c r="AN522" s="34"/>
      <c r="AO522" s="34"/>
      <c r="AP522" s="34"/>
      <c r="AQ522" s="34"/>
      <c r="AR522" s="34"/>
      <c r="AS522" s="34"/>
      <c r="AT522" s="34"/>
      <c r="AU522" s="34"/>
      <c r="AV522" s="34"/>
      <c r="AW522" s="34"/>
      <c r="AX522" s="34"/>
      <c r="AY522" s="34"/>
      <c r="AZ522" s="34"/>
      <c r="BA522" s="34"/>
      <c r="BB522" s="34"/>
      <c r="BC522" s="34"/>
      <c r="BD522" s="34"/>
      <c r="BE522" s="34"/>
      <c r="BF522" s="34"/>
      <c r="BG522" s="34"/>
      <c r="BH522" s="34"/>
      <c r="BI522" s="34"/>
      <c r="BJ522" s="34"/>
      <c r="BK522" s="34"/>
      <c r="BL522" s="34"/>
      <c r="BM522" s="34"/>
      <c r="BN522" s="34"/>
      <c r="BO522" s="34"/>
      <c r="BP522" s="34"/>
      <c r="BQ522" s="34"/>
      <c r="BR522" s="34"/>
      <c r="BS522" s="34"/>
      <c r="BT522" s="34"/>
      <c r="BU522" s="34"/>
      <c r="BV522" s="34"/>
      <c r="BW522" s="34"/>
      <c r="BX522" s="34"/>
      <c r="BY522" s="34"/>
      <c r="BZ522" s="34"/>
      <c r="CA522" s="34"/>
      <c r="CB522" s="34"/>
      <c r="CC522" s="34"/>
      <c r="CD522" s="34"/>
      <c r="CE522" s="34"/>
      <c r="CF522" s="34"/>
      <c r="CG522" s="34"/>
      <c r="CH522" s="34"/>
      <c r="CI522" s="8"/>
    </row>
    <row r="523" spans="1:87" x14ac:dyDescent="0.2">
      <c r="A523" s="11" t="s">
        <v>17</v>
      </c>
      <c r="B523" s="11"/>
      <c r="C523" s="27" t="s">
        <v>18</v>
      </c>
      <c r="D523" s="27" t="s">
        <v>2</v>
      </c>
      <c r="E523" s="27" t="s">
        <v>6</v>
      </c>
      <c r="F523" s="27" t="s">
        <v>15</v>
      </c>
      <c r="G523" s="27" t="s">
        <v>36</v>
      </c>
      <c r="H523" s="27" t="s">
        <v>37</v>
      </c>
      <c r="I523" s="27" t="s">
        <v>38</v>
      </c>
      <c r="J523" s="27" t="s">
        <v>39</v>
      </c>
      <c r="K523" s="27" t="s">
        <v>40</v>
      </c>
      <c r="L523" s="27" t="s">
        <v>41</v>
      </c>
      <c r="M523" s="27" t="s">
        <v>42</v>
      </c>
      <c r="N523" s="27" t="s">
        <v>43</v>
      </c>
      <c r="O523" s="27" t="s">
        <v>9</v>
      </c>
      <c r="P523" s="27" t="s">
        <v>12</v>
      </c>
      <c r="Q523" s="27" t="s">
        <v>19</v>
      </c>
      <c r="R523" s="27" t="s">
        <v>55</v>
      </c>
      <c r="S523" s="27" t="s">
        <v>26</v>
      </c>
      <c r="T523" s="19" t="s">
        <v>25</v>
      </c>
      <c r="U523" s="33" t="s">
        <v>27</v>
      </c>
      <c r="V523" s="33" t="s">
        <v>9</v>
      </c>
      <c r="W523" s="33" t="s">
        <v>23</v>
      </c>
      <c r="X523" s="33" t="s">
        <v>12</v>
      </c>
      <c r="Y523" s="33" t="s">
        <v>26</v>
      </c>
      <c r="Z523" s="33" t="s">
        <v>25</v>
      </c>
      <c r="AA523" s="33" t="s">
        <v>27</v>
      </c>
      <c r="AB523" s="33" t="s">
        <v>9</v>
      </c>
      <c r="AC523" s="33" t="s">
        <v>23</v>
      </c>
      <c r="AD523" s="33" t="s">
        <v>12</v>
      </c>
      <c r="AE523" s="33" t="s">
        <v>26</v>
      </c>
      <c r="AF523" s="33" t="s">
        <v>25</v>
      </c>
      <c r="AG523" s="33" t="s">
        <v>27</v>
      </c>
      <c r="AH523" s="33" t="s">
        <v>9</v>
      </c>
      <c r="AI523" s="33" t="s">
        <v>23</v>
      </c>
      <c r="AJ523" s="33" t="s">
        <v>12</v>
      </c>
      <c r="AK523" s="33" t="s">
        <v>26</v>
      </c>
      <c r="AL523" s="33" t="s">
        <v>25</v>
      </c>
      <c r="AM523" s="33" t="s">
        <v>27</v>
      </c>
      <c r="AN523" s="33" t="s">
        <v>9</v>
      </c>
      <c r="AO523" s="33" t="s">
        <v>23</v>
      </c>
      <c r="AP523" s="33" t="s">
        <v>12</v>
      </c>
      <c r="AQ523" s="33" t="s">
        <v>26</v>
      </c>
      <c r="AR523" s="33" t="s">
        <v>25</v>
      </c>
      <c r="AS523" s="33" t="s">
        <v>27</v>
      </c>
      <c r="AT523" s="33" t="s">
        <v>9</v>
      </c>
      <c r="AU523" s="33" t="s">
        <v>23</v>
      </c>
      <c r="AV523" s="33" t="s">
        <v>12</v>
      </c>
      <c r="AW523" s="33" t="s">
        <v>26</v>
      </c>
      <c r="AX523" s="33" t="s">
        <v>25</v>
      </c>
      <c r="AY523" s="33" t="s">
        <v>27</v>
      </c>
      <c r="AZ523" s="33" t="s">
        <v>9</v>
      </c>
      <c r="BA523" s="33" t="s">
        <v>23</v>
      </c>
      <c r="BB523" s="33" t="s">
        <v>12</v>
      </c>
      <c r="BC523" s="33" t="s">
        <v>26</v>
      </c>
      <c r="BD523" s="33" t="s">
        <v>25</v>
      </c>
      <c r="BE523" s="33" t="s">
        <v>27</v>
      </c>
      <c r="BF523" s="33" t="s">
        <v>9</v>
      </c>
      <c r="BG523" s="33" t="s">
        <v>23</v>
      </c>
      <c r="BH523" s="33" t="s">
        <v>12</v>
      </c>
      <c r="BI523" s="33" t="s">
        <v>26</v>
      </c>
      <c r="BJ523" s="33" t="s">
        <v>25</v>
      </c>
      <c r="BK523" s="33" t="s">
        <v>27</v>
      </c>
      <c r="BL523" s="33" t="s">
        <v>9</v>
      </c>
      <c r="BM523" s="33" t="s">
        <v>23</v>
      </c>
      <c r="BN523" s="33" t="s">
        <v>12</v>
      </c>
      <c r="BO523" s="33" t="s">
        <v>26</v>
      </c>
      <c r="BP523" s="33" t="s">
        <v>25</v>
      </c>
      <c r="BQ523" s="33" t="s">
        <v>27</v>
      </c>
      <c r="BR523" s="33" t="s">
        <v>9</v>
      </c>
      <c r="BS523" s="33" t="s">
        <v>23</v>
      </c>
      <c r="BT523" s="33" t="s">
        <v>12</v>
      </c>
      <c r="BU523" s="33" t="s">
        <v>26</v>
      </c>
      <c r="BV523" s="33" t="s">
        <v>25</v>
      </c>
      <c r="BW523" s="33" t="s">
        <v>27</v>
      </c>
      <c r="BX523" s="33" t="s">
        <v>9</v>
      </c>
      <c r="BY523" s="33" t="s">
        <v>23</v>
      </c>
      <c r="BZ523" s="33" t="s">
        <v>12</v>
      </c>
      <c r="CA523" s="33" t="s">
        <v>26</v>
      </c>
      <c r="CB523" s="33" t="s">
        <v>25</v>
      </c>
      <c r="CC523" s="33" t="s">
        <v>27</v>
      </c>
      <c r="CD523" s="33" t="s">
        <v>9</v>
      </c>
      <c r="CE523" s="33" t="s">
        <v>23</v>
      </c>
      <c r="CF523" s="33" t="s">
        <v>12</v>
      </c>
      <c r="CG523" s="33" t="s">
        <v>26</v>
      </c>
      <c r="CH523" s="33" t="s">
        <v>25</v>
      </c>
      <c r="CI523" s="8"/>
    </row>
    <row r="524" spans="1:87" x14ac:dyDescent="0.2">
      <c r="A524" s="8" t="str">
        <f>IF(AND(COUNTIF(W$3:W$13,A$15)&gt;0,A$15&lt;&gt;B292),A$15,IFERROR(IF(MATCH(A$15,Z$3:Z$13,0)=11,A$15," ")," "))</f>
        <v xml:space="preserve"> </v>
      </c>
      <c r="B524" s="8" t="str">
        <f>IF(A524=" "," ",1)</f>
        <v xml:space="preserve"> </v>
      </c>
      <c r="C524" s="8" t="str">
        <f>IFERROR(INDEX(A524:A545,MATCH(SMALL(B524:B545,1),B524:B545,0),1)," ")</f>
        <v>C3</v>
      </c>
      <c r="D524" s="8">
        <f>IFERROR(VLOOKUP($C524,$A$15:$O$36,2,FALSE)," ")</f>
        <v>2</v>
      </c>
      <c r="E524" s="8">
        <f>IFERROR(VLOOKUP($C524,$A$15:$O$36,3,FALSE)," ")</f>
        <v>5</v>
      </c>
      <c r="F524" s="8">
        <f>IFERROR(VLOOKUP($C524,$A$15:$O$36,4,FALSE)," ")</f>
        <v>6</v>
      </c>
      <c r="G524" s="8">
        <f>IFERROR(VLOOKUP($C524,$A$15:$O$36,5,FALSE)," ")</f>
        <v>0</v>
      </c>
      <c r="H524" s="8">
        <f>IFERROR(VLOOKUP($C524,$A$15:$O$36,6,FALSE)," ")</f>
        <v>0</v>
      </c>
      <c r="I524" s="8">
        <f>IFERROR(VLOOKUP($C524,$A$15:$O$36,7,FALSE)," ")</f>
        <v>0</v>
      </c>
      <c r="J524" s="8">
        <f>IFERROR(VLOOKUP($C524,$A$15:$O$36,8,FALSE)," ")</f>
        <v>0</v>
      </c>
      <c r="K524" s="8">
        <f>IFERROR(VLOOKUP($C524,$A$15:$O$36,9,FALSE)," ")</f>
        <v>0</v>
      </c>
      <c r="L524" s="8">
        <f>IFERROR(VLOOKUP($C524,$A$15:$O$36,10,FALSE)," ")</f>
        <v>0</v>
      </c>
      <c r="M524" s="8">
        <f>IFERROR(VLOOKUP($C524,$A$15:$O$36,11,FALSE)," ")</f>
        <v>0</v>
      </c>
      <c r="N524" s="8">
        <f>IFERROR(VLOOKUP($C524,$A$15:$O$36,12,FALSE)," ")</f>
        <v>0</v>
      </c>
      <c r="O524" s="8">
        <f>IFERROR(VLOOKUP($C524,$A$15:$O$36,15,FALSE)," ")</f>
        <v>2000</v>
      </c>
      <c r="P524" s="8">
        <f t="array" ref="P524:P534">MMULT(MINVERSE(D524:N534),O524:O534)</f>
        <v>1000</v>
      </c>
      <c r="Q524" s="8">
        <f t="shared" ref="Q524" si="2054">IF(COUNTIF(P524:P534,"&lt;"&amp;-0.001)=0,IF(ABS(P524)&lt;0.001,0,P524)," ")</f>
        <v>1000</v>
      </c>
      <c r="R524" s="8">
        <f>IFERROR(VLOOKUP(B292,A$15:L$36,2,FALSE)*Q524+VLOOKUP(B292,A$15:L$36,3,FALSE)*Q525+VLOOKUP(B292,A$15:L$36,4,FALSE)*Q526+VLOOKUP(B292,A$15:L$36,5,FALSE)*Q527+VLOOKUP(B292,A$15:L$36,6,FALSE)*Q528+VLOOKUP(B292,A$15:L$36,7,FALSE)*Q529+VLOOKUP(B292,A$15:L$36,8,FALSE)*Q530+VLOOKUP(B292,A$15:L$36,9,FALSE)*Q531+VLOOKUP(B292,A$15:L$36,10,FALSE)*Q532+VLOOKUP(B292,A$15:L$36,11,FALSE)*Q533+VLOOKUP(B292,A$15:L$36,12,FALSE)*Q534," ")</f>
        <v>1000</v>
      </c>
      <c r="S524" s="8" t="str">
        <f>IFERROR(IF(R524-VLOOKUP(B292,A$15:O$36,15,FALSE)&lt;0,R524-VLOOKUP(B292,A$15:O$36,15,FALSE)," ")," ")</f>
        <v xml:space="preserve"> </v>
      </c>
      <c r="T524" s="18">
        <f>IFERROR(IF(R524-VLOOKUP(B292,A$15:O$36,15,FALSE)&gt;0,R524-VLOOKUP(B292,A$15:O$36,15,FALSE)," ")," ")</f>
        <v>600</v>
      </c>
      <c r="U524" s="34">
        <f t="shared" ref="U524" si="2055">$M$2</f>
        <v>100.00000000000001</v>
      </c>
      <c r="V524" s="34">
        <v>-1</v>
      </c>
      <c r="W524" s="34">
        <f t="shared" ref="W524" si="2056">-SUMPRODUCT($M$3:$M$12,$N$3:$N$12)</f>
        <v>-105000</v>
      </c>
      <c r="X524" s="34">
        <f t="shared" ref="X524" si="2057">IF(U524&lt;&gt;U525,MMULT(MINVERSE(U524:V525),W524:W525)," ")</f>
        <v>116.66666666666667</v>
      </c>
      <c r="Y524" s="34">
        <f t="shared" ref="Y524" si="2058">IFERROR(IF(X524-VLOOKUP(U$38,$A$2:$N$12,14,FALSE)&lt;0,X524-VLOOKUP(U$38,$A$2:$N$12,14,FALSE)," ")," ")</f>
        <v>-33.333333333333329</v>
      </c>
      <c r="Z524" s="34" t="str">
        <f t="shared" ref="Z524" si="2059">IFERROR(IF(X524-VLOOKUP(U$38,$A$2:$N$12,14,FALSE)&gt;0,X524-VLOOKUP(U$38,$A$2:$N$12,14,FALSE)," ")," ")</f>
        <v xml:space="preserve"> </v>
      </c>
      <c r="AA524" s="34">
        <f t="shared" ref="AA524" si="2060">$M$3</f>
        <v>0</v>
      </c>
      <c r="AB524" s="34">
        <v>-1</v>
      </c>
      <c r="AC524" s="34">
        <f t="shared" ref="AC524" si="2061">-SUMPRODUCT($M$2:$M$2,$N$2:$N$2)-SUMPRODUCT($M$4:$M$12,$N$4:$N$12)</f>
        <v>-120000</v>
      </c>
      <c r="AD524" s="34" t="str">
        <f t="shared" ref="AD524" si="2062">IF(AA524&lt;&gt;AA525,MMULT(MINVERSE(AA524:AB525),AC524:AC525)," ")</f>
        <v xml:space="preserve"> </v>
      </c>
      <c r="AE524" s="34" t="str">
        <f t="shared" ref="AE524" si="2063">IFERROR(IF(AD524-VLOOKUP(AA$38,$A$2:$N$12,14,FALSE)&lt;0,AD524-VLOOKUP(AA$38,$A$2:$N$12,14,FALSE)," ")," ")</f>
        <v xml:space="preserve"> </v>
      </c>
      <c r="AF524" s="34" t="str">
        <f t="shared" ref="AF524" si="2064">IFERROR(IF(AD524-VLOOKUP(AA$38,$A$2:$N$12,14,FALSE)&gt;0,AD524-VLOOKUP(AA$38,$A$2:$N$12,14,FALSE)," ")," ")</f>
        <v xml:space="preserve"> </v>
      </c>
      <c r="AG524" s="34">
        <f t="shared" ref="AG524" si="2065">$M$4</f>
        <v>300</v>
      </c>
      <c r="AH524" s="34">
        <v>-1</v>
      </c>
      <c r="AI524" s="34">
        <f t="shared" ref="AI524" si="2066">-SUMPRODUCT($M$2:$M$3,$N$2:$N$3)-SUMPRODUCT($M$5:$M$12,$N$5:$N$12)</f>
        <v>-15000.000000000002</v>
      </c>
      <c r="AJ524" s="34">
        <f t="shared" ref="AJ524" si="2067">IF(AG524&lt;&gt;AG525,MMULT(MINVERSE(AG524:AH525),AI524:AI525)," ")</f>
        <v>450.00000000000006</v>
      </c>
      <c r="AK524" s="34" t="str">
        <f t="shared" ref="AK524" si="2068">IFERROR(IF(AJ524-VLOOKUP(AG$38,$A$2:$N$12,14,FALSE)&lt;0,AJ524-VLOOKUP(AG$38,$A$2:$N$12,14,FALSE)," ")," ")</f>
        <v xml:space="preserve"> </v>
      </c>
      <c r="AL524" s="34">
        <f t="shared" ref="AL524" si="2069">IFERROR(IF(AJ524-VLOOKUP(AG$38,$A$2:$N$12,14,FALSE)&gt;0,AJ524-VLOOKUP(AG$38,$A$2:$N$12,14,FALSE)," ")," ")</f>
        <v>100.00000000000006</v>
      </c>
      <c r="AM524" s="34">
        <f t="shared" ref="AM524" si="2070">$M$5</f>
        <v>0</v>
      </c>
      <c r="AN524" s="34">
        <v>-1</v>
      </c>
      <c r="AO524" s="34">
        <f t="shared" ref="AO524" si="2071">-SUMPRODUCT($M$2:$M$4,$N$2:$N$4)-SUMPRODUCT($M$6:$M$12,$N$6:$N$12)</f>
        <v>-120000</v>
      </c>
      <c r="AP524" s="34" t="str">
        <f t="shared" ref="AP524" si="2072">IF(AM524&lt;&gt;AM525,MMULT(MINVERSE(AM524:AN525),AO524:AO525)," ")</f>
        <v xml:space="preserve"> </v>
      </c>
      <c r="AQ524" s="34" t="str">
        <f t="shared" ref="AQ524" si="2073">IFERROR(IF(AP524-VLOOKUP(AM$38,$A$2:$N$12,14,FALSE)&lt;0,AP524-VLOOKUP(AM$38,$A$2:$N$12,14,FALSE)," ")," ")</f>
        <v xml:space="preserve"> </v>
      </c>
      <c r="AR524" s="34" t="str">
        <f t="shared" ref="AR524" si="2074">IFERROR(IF(AP524-VLOOKUP(AM$38,$A$2:$N$12,14,FALSE)&gt;0,AP524-VLOOKUP(AM$38,$A$2:$N$12,14,FALSE)," ")," ")</f>
        <v xml:space="preserve"> </v>
      </c>
      <c r="AS524" s="34">
        <f t="shared" ref="AS524" si="2075">$M$6</f>
        <v>0</v>
      </c>
      <c r="AT524" s="34">
        <v>-1</v>
      </c>
      <c r="AU524" s="34">
        <f t="shared" ref="AU524" si="2076">-SUMPRODUCT($M$2:$M$5,$N$2:$N$5)-SUMPRODUCT($M$7:$M$12,$N$7:$N$12)</f>
        <v>-120000</v>
      </c>
      <c r="AV524" s="34" t="str">
        <f t="shared" ref="AV524" si="2077">IF(AS524&lt;&gt;AS525,MMULT(MINVERSE(AS524:AT525),AU524:AU525)," ")</f>
        <v xml:space="preserve"> </v>
      </c>
      <c r="AW524" s="34" t="str">
        <f t="shared" ref="AW524" si="2078">IFERROR(IF(AV524-VLOOKUP(AS$38,$A$2:$N$12,14,FALSE)&lt;0,AV524-VLOOKUP(AS$38,$A$2:$N$12,14,FALSE)," ")," ")</f>
        <v xml:space="preserve"> </v>
      </c>
      <c r="AX524" s="34" t="str">
        <f t="shared" ref="AX524" si="2079">IFERROR(IF(AV524-VLOOKUP(AS$38,$A$2:$N$12,14,FALSE)&gt;0,AV524-VLOOKUP(AS$38,$A$2:$N$12,14,FALSE)," ")," ")</f>
        <v xml:space="preserve"> </v>
      </c>
      <c r="AY524" s="34">
        <f t="shared" ref="AY524" si="2080">$M$7</f>
        <v>0</v>
      </c>
      <c r="AZ524" s="34">
        <v>-1</v>
      </c>
      <c r="BA524" s="34">
        <f t="shared" ref="BA524" si="2081">-SUMPRODUCT($M$2:$M$6,$N$2:$N$6)-SUMPRODUCT($M$8:$M$12,$N$8:$N$12)</f>
        <v>-120000</v>
      </c>
      <c r="BB524" s="34" t="str">
        <f t="shared" ref="BB524" si="2082">IF(AY524&lt;&gt;AY525,MMULT(MINVERSE(AY524:AZ525),BA524:BA525)," ")</f>
        <v xml:space="preserve"> </v>
      </c>
      <c r="BC524" s="34" t="str">
        <f t="shared" ref="BC524" si="2083">IFERROR(IF(BB524-VLOOKUP(AY$38,$A$2:$N$12,14,FALSE)&lt;0,BB524-VLOOKUP(AY$38,$A$2:$N$12,14,FALSE)," ")," ")</f>
        <v xml:space="preserve"> </v>
      </c>
      <c r="BD524" s="34" t="str">
        <f t="shared" ref="BD524" si="2084">IFERROR(IF(BB524-VLOOKUP(AY$38,$A$2:$N$12,14,FALSE)&gt;0,BB524-VLOOKUP(AY$38,$A$2:$N$12,14,FALSE)," ")," ")</f>
        <v xml:space="preserve"> </v>
      </c>
      <c r="BE524" s="34">
        <f t="shared" ref="BE524" si="2085">$M$8</f>
        <v>0</v>
      </c>
      <c r="BF524" s="34">
        <v>-1</v>
      </c>
      <c r="BG524" s="34">
        <f t="shared" ref="BG524" si="2086">-SUMPRODUCT($M$2:$M$7,$N$2:$N$7)-SUMPRODUCT($M$9:$M$12,$N$9:$N$12)</f>
        <v>-120000</v>
      </c>
      <c r="BH524" s="34" t="str">
        <f t="shared" ref="BH524" si="2087">IF(BE524&lt;&gt;BE525,MMULT(MINVERSE(BE524:BF525),BG524:BG525)," ")</f>
        <v xml:space="preserve"> </v>
      </c>
      <c r="BI524" s="34" t="str">
        <f t="shared" ref="BI524" si="2088">IFERROR(IF(BH524-VLOOKUP(BE$38,$A$2:$N$12,14,FALSE)&lt;0,BH524-VLOOKUP(BE$38,$A$2:$N$12,14,FALSE)," ")," ")</f>
        <v xml:space="preserve"> </v>
      </c>
      <c r="BJ524" s="34" t="str">
        <f t="shared" ref="BJ524" si="2089">IFERROR(IF(BH524-VLOOKUP(BE$38,$A$2:$N$12,14,FALSE)&gt;0,BH524-VLOOKUP(BE$38,$A$2:$N$12,14,FALSE)," ")," ")</f>
        <v xml:space="preserve"> </v>
      </c>
      <c r="BK524" s="34">
        <f t="shared" ref="BK524" si="2090">$M$9</f>
        <v>0</v>
      </c>
      <c r="BL524" s="34">
        <v>-1</v>
      </c>
      <c r="BM524" s="34">
        <f t="shared" ref="BM524" si="2091">-SUMPRODUCT($M$2:$M$8,$N$2:$N$8)-SUMPRODUCT($M$10:$M$12,$N$10:$N$12)</f>
        <v>-120000</v>
      </c>
      <c r="BN524" s="34" t="str">
        <f t="shared" ref="BN524" si="2092">IF(BK524&lt;&gt;BK525,MMULT(MINVERSE(BK524:BL525),BM524:BM525)," ")</f>
        <v xml:space="preserve"> </v>
      </c>
      <c r="BO524" s="34" t="str">
        <f t="shared" ref="BO524" si="2093">IFERROR(IF(BN524-VLOOKUP(BK$38,$A$2:$N$12,14,FALSE)&lt;0,BN524-VLOOKUP(BK$38,$A$2:$N$12,14,FALSE)," ")," ")</f>
        <v xml:space="preserve"> </v>
      </c>
      <c r="BP524" s="34" t="str">
        <f t="shared" ref="BP524" si="2094">IFERROR(IF(BN524-VLOOKUP(BK$38,$A$2:$N$12,14,FALSE)&gt;0,BN524-VLOOKUP(BK$38,$A$2:$N$12,14,FALSE)," ")," ")</f>
        <v xml:space="preserve"> </v>
      </c>
      <c r="BQ524" s="34">
        <f t="shared" ref="BQ524" si="2095">$M$10</f>
        <v>0</v>
      </c>
      <c r="BR524" s="34">
        <v>-1</v>
      </c>
      <c r="BS524" s="34">
        <f t="shared" ref="BS524" si="2096">-SUMPRODUCT($M$2:$M$9,$N$2:$N$9)-SUMPRODUCT($M$11:$M$12,$N$11:$N$12)</f>
        <v>-120000</v>
      </c>
      <c r="BT524" s="34" t="str">
        <f t="shared" ref="BT524" si="2097">IF(BQ524&lt;&gt;BQ525,MMULT(MINVERSE(BQ524:BR525),BS524:BS525)," ")</f>
        <v xml:space="preserve"> </v>
      </c>
      <c r="BU524" s="34" t="str">
        <f t="shared" ref="BU524" si="2098">IFERROR(IF(BT524-VLOOKUP(BQ$38,$A$2:$N$12,14,FALSE)&lt;0,BT524-VLOOKUP(BQ$38,$A$2:$N$12,14,FALSE)," ")," ")</f>
        <v xml:space="preserve"> </v>
      </c>
      <c r="BV524" s="34" t="str">
        <f t="shared" ref="BV524" si="2099">IFERROR(IF(BT524-VLOOKUP(BQ$38,$A$2:$N$12,14,FALSE)&gt;0,BT524-VLOOKUP(BQ$38,$A$2:$N$12,14,FALSE)," ")," ")</f>
        <v xml:space="preserve"> </v>
      </c>
      <c r="BW524" s="34">
        <f t="shared" ref="BW524" si="2100">$M$11</f>
        <v>0</v>
      </c>
      <c r="BX524" s="34">
        <v>-1</v>
      </c>
      <c r="BY524" s="34">
        <f t="shared" ref="BY524" si="2101">-SUMPRODUCT($M$2:$M$10,$N$2:$N$10)-SUMPRODUCT($M$12,$N$12)</f>
        <v>-120000</v>
      </c>
      <c r="BZ524" s="34" t="str">
        <f t="shared" ref="BZ524" si="2102">IF(BW524&lt;&gt;BW525,MMULT(MINVERSE(BW524:BX525),BY524:BY525)," ")</f>
        <v xml:space="preserve"> </v>
      </c>
      <c r="CA524" s="34" t="str">
        <f t="shared" ref="CA524" si="2103">IFERROR(IF(BZ524-VLOOKUP(BW$38,$A$2:$N$12,14,FALSE)&lt;0,BZ524-VLOOKUP(BW$38,$A$2:$N$12,14,FALSE)," ")," ")</f>
        <v xml:space="preserve"> </v>
      </c>
      <c r="CB524" s="34" t="str">
        <f t="shared" ref="CB524" si="2104">IFERROR(IF(BZ524-VLOOKUP(BW$38,$A$2:$N$12,14,FALSE)&gt;0,BZ524-VLOOKUP(BW$38,$A$2:$N$12,14,FALSE)," ")," ")</f>
        <v xml:space="preserve"> </v>
      </c>
      <c r="CC524" s="34">
        <f t="shared" ref="CC524" si="2105">$M$12</f>
        <v>0</v>
      </c>
      <c r="CD524" s="34">
        <v>-1</v>
      </c>
      <c r="CE524" s="34">
        <f t="shared" ref="CE524" si="2106">-SUMPRODUCT($M$2:$M$11,$N$2:$N$11)</f>
        <v>-120000</v>
      </c>
      <c r="CF524" s="34" t="str">
        <f t="shared" ref="CF524" si="2107">IF(CC524&lt;&gt;CC525,MMULT(MINVERSE(CC524:CD525),CE524:CE525)," ")</f>
        <v xml:space="preserve"> </v>
      </c>
      <c r="CG524" s="34" t="str">
        <f t="shared" ref="CG524" si="2108">IFERROR(IF(CF524-VLOOKUP(CC$38,$A$2:$N$12,14,FALSE)&lt;0,CF524-VLOOKUP(CC$38,$A$2:$N$12,14,FALSE)," ")," ")</f>
        <v xml:space="preserve"> </v>
      </c>
      <c r="CH524" s="34" t="str">
        <f t="shared" ref="CH524" si="2109">IFERROR(IF(CF524-VLOOKUP(CC$38,$A$2:$N$12,14,FALSE)&gt;0,CF524-VLOOKUP(CC$38,$A$2:$N$12,14,FALSE)," ")," ")</f>
        <v xml:space="preserve"> </v>
      </c>
      <c r="CI524" s="8"/>
    </row>
    <row r="525" spans="1:87" x14ac:dyDescent="0.2">
      <c r="A525" s="8" t="str">
        <f>IF(AND(COUNTIF(W$3:W$13,A$16)&gt;0,A$16&lt;&gt;B292),A$16,IFERROR(IF(MATCH(A$16,Z$3:Z$13,0)=11,A$16," ")," "))</f>
        <v xml:space="preserve"> </v>
      </c>
      <c r="B525" s="8" t="str">
        <f>IF(A525=" "," ",MAX(B524:B524)+1)</f>
        <v xml:space="preserve"> </v>
      </c>
      <c r="C525" s="8" t="str">
        <f>IFERROR(INDEX(A524:A545,MATCH(SMALL(B524:B545,2),B524:B545,0),1)," ")</f>
        <v>C13</v>
      </c>
      <c r="D525" s="8">
        <f t="shared" ref="D525:D534" si="2110">IFERROR(VLOOKUP($C525,$A$15:$O$36,2,FALSE)," ")</f>
        <v>0</v>
      </c>
      <c r="E525" s="8">
        <f t="shared" ref="E525:E534" si="2111">IFERROR(VLOOKUP($C525,$A$15:$O$36,3,FALSE)," ")</f>
        <v>1</v>
      </c>
      <c r="F525" s="8">
        <f t="shared" ref="F525:F534" si="2112">IFERROR(VLOOKUP($C525,$A$15:$O$36,4,FALSE)," ")</f>
        <v>0</v>
      </c>
      <c r="G525" s="8">
        <f t="shared" ref="G525:G534" si="2113">IFERROR(VLOOKUP($C525,$A$15:$O$36,5,FALSE)," ")</f>
        <v>0</v>
      </c>
      <c r="H525" s="8">
        <f t="shared" ref="H525:H534" si="2114">IFERROR(VLOOKUP($C525,$A$15:$O$36,6,FALSE)," ")</f>
        <v>0</v>
      </c>
      <c r="I525" s="8">
        <f t="shared" ref="I525:I534" si="2115">IFERROR(VLOOKUP($C525,$A$15:$O$36,7,FALSE)," ")</f>
        <v>0</v>
      </c>
      <c r="J525" s="8">
        <f t="shared" ref="J525:J534" si="2116">IFERROR(VLOOKUP($C525,$A$15:$O$36,8,FALSE)," ")</f>
        <v>0</v>
      </c>
      <c r="K525" s="8">
        <f t="shared" ref="K525:K534" si="2117">IFERROR(VLOOKUP($C525,$A$15:$O$36,9,FALSE)," ")</f>
        <v>0</v>
      </c>
      <c r="L525" s="8">
        <f t="shared" ref="L525:L534" si="2118">IFERROR(VLOOKUP($C525,$A$15:$O$36,10,FALSE)," ")</f>
        <v>0</v>
      </c>
      <c r="M525" s="8">
        <f t="shared" ref="M525:M534" si="2119">IFERROR(VLOOKUP($C525,$A$15:$O$36,11,FALSE)," ")</f>
        <v>0</v>
      </c>
      <c r="N525" s="8">
        <f t="shared" ref="N525:N534" si="2120">IFERROR(VLOOKUP($C525,$A$15:$O$36,12,FALSE)," ")</f>
        <v>0</v>
      </c>
      <c r="O525" s="8">
        <f t="shared" ref="O525:O534" si="2121">IFERROR(VLOOKUP($C525,$A$15:$O$36,15,FALSE)," ")</f>
        <v>0</v>
      </c>
      <c r="P525" s="8">
        <v>0</v>
      </c>
      <c r="Q525" s="8">
        <f t="shared" ref="Q525" si="2122">IF(COUNTIF(P524:P534,"&lt;"&amp;-0.001)=0,IF(ABS(P525)&lt;0.001,0,P525)," ")</f>
        <v>0</v>
      </c>
      <c r="R525" s="8"/>
      <c r="S525" s="8"/>
      <c r="U525" s="34">
        <f t="shared" ref="U525" si="2123">$Q524</f>
        <v>1000</v>
      </c>
      <c r="V525" s="34">
        <v>-1</v>
      </c>
      <c r="W525" s="34">
        <f t="shared" ref="W525" si="2124">-SUMPRODUCT($Q525:$Q534,$N$3:$N$12)</f>
        <v>0</v>
      </c>
      <c r="X525" s="34"/>
      <c r="Y525" s="34"/>
      <c r="Z525" s="34"/>
      <c r="AA525" s="34">
        <f t="shared" ref="AA525" si="2125">$Q525</f>
        <v>0</v>
      </c>
      <c r="AB525" s="34">
        <v>-1</v>
      </c>
      <c r="AC525" s="34">
        <f t="shared" ref="AC525" si="2126">-SUMPRODUCT($Q524:$Q524,$N$2:$N$2)-SUMPRODUCT($Q526:$Q534,$N$4:$N$12)</f>
        <v>-150000</v>
      </c>
      <c r="AD525" s="34"/>
      <c r="AE525" s="34"/>
      <c r="AF525" s="34"/>
      <c r="AG525" s="34">
        <f t="shared" ref="AG525" si="2127">$Q526</f>
        <v>0</v>
      </c>
      <c r="AH525" s="34">
        <v>-1</v>
      </c>
      <c r="AI525" s="34">
        <f t="shared" ref="AI525" si="2128">-SUMPRODUCT($Q524:$Q525,$N$2:$N$3)-SUMPRODUCT($Q527:$Q534,$N$5:$N$12)</f>
        <v>-150000</v>
      </c>
      <c r="AJ525" s="34"/>
      <c r="AK525" s="34"/>
      <c r="AL525" s="34"/>
      <c r="AM525" s="34">
        <f t="shared" ref="AM525" si="2129">$Q527</f>
        <v>0</v>
      </c>
      <c r="AN525" s="34">
        <v>-1</v>
      </c>
      <c r="AO525" s="34">
        <f t="shared" ref="AO525" si="2130">-SUMPRODUCT($Q524:$Q526,$N$2:$N$4)-SUMPRODUCT($Q528:$Q534,$N$6:$N$12)</f>
        <v>-150000</v>
      </c>
      <c r="AP525" s="34"/>
      <c r="AQ525" s="34"/>
      <c r="AR525" s="34"/>
      <c r="AS525" s="34">
        <f t="shared" ref="AS525" si="2131">$Q528</f>
        <v>0</v>
      </c>
      <c r="AT525" s="34">
        <v>-1</v>
      </c>
      <c r="AU525" s="34">
        <f t="shared" ref="AU525" si="2132">-SUMPRODUCT($Q524:$Q527,$N$2:$N$5)-SUMPRODUCT($Q529:$Q534,$N$7:$N$12)</f>
        <v>-150000</v>
      </c>
      <c r="AV525" s="34"/>
      <c r="AW525" s="34"/>
      <c r="AX525" s="34"/>
      <c r="AY525" s="34">
        <f t="shared" ref="AY525" si="2133">$Q529</f>
        <v>0</v>
      </c>
      <c r="AZ525" s="34">
        <v>-1</v>
      </c>
      <c r="BA525" s="34">
        <f t="shared" ref="BA525" si="2134">-SUMPRODUCT($Q524:$Q528,$N$2:$N$6)-SUMPRODUCT($Q530:$Q534,$N$8:$N$12)</f>
        <v>-150000</v>
      </c>
      <c r="BB525" s="34"/>
      <c r="BC525" s="34"/>
      <c r="BD525" s="34"/>
      <c r="BE525" s="34">
        <f t="shared" ref="BE525" si="2135">$Q530</f>
        <v>0</v>
      </c>
      <c r="BF525" s="34">
        <v>-1</v>
      </c>
      <c r="BG525" s="34">
        <f t="shared" ref="BG525" si="2136">-SUMPRODUCT($Q524:$Q529,$N$2:$N$7)-SUMPRODUCT($Q531:$Q534,$N$9:$N$12)</f>
        <v>-150000</v>
      </c>
      <c r="BH525" s="34"/>
      <c r="BI525" s="34"/>
      <c r="BJ525" s="34"/>
      <c r="BK525" s="34">
        <f t="shared" ref="BK525" si="2137">$Q531</f>
        <v>0</v>
      </c>
      <c r="BL525" s="34">
        <v>-1</v>
      </c>
      <c r="BM525" s="34">
        <f t="shared" ref="BM525" si="2138">-SUMPRODUCT($Q524:$Q530,$N$2:$N$8)-SUMPRODUCT($Q532:$Q534,$N$10:$N$12)</f>
        <v>-150000</v>
      </c>
      <c r="BN525" s="34"/>
      <c r="BO525" s="34"/>
      <c r="BP525" s="34"/>
      <c r="BQ525" s="34">
        <f t="shared" ref="BQ525" si="2139">$Q532</f>
        <v>0</v>
      </c>
      <c r="BR525" s="34">
        <v>-1</v>
      </c>
      <c r="BS525" s="34">
        <f t="shared" ref="BS525" si="2140">-SUMPRODUCT($Q524:$Q531,$N$2:$N$9)-SUMPRODUCT($Q533:$Q534,$N$11:$N$12)</f>
        <v>-150000</v>
      </c>
      <c r="BT525" s="34"/>
      <c r="BU525" s="34"/>
      <c r="BV525" s="34"/>
      <c r="BW525" s="34">
        <f t="shared" ref="BW525" si="2141">$Q533</f>
        <v>0</v>
      </c>
      <c r="BX525" s="34">
        <v>-1</v>
      </c>
      <c r="BY525" s="34">
        <f t="shared" ref="BY525" si="2142">-SUMPRODUCT($Q524:$Q532,$N$2:$N$10)-SUMPRODUCT($Q534,$N$12)</f>
        <v>-150000</v>
      </c>
      <c r="BZ525" s="34"/>
      <c r="CA525" s="34"/>
      <c r="CB525" s="34"/>
      <c r="CC525" s="34">
        <f t="shared" ref="CC525" si="2143">$Q534</f>
        <v>0</v>
      </c>
      <c r="CD525" s="34">
        <v>-1</v>
      </c>
      <c r="CE525" s="34">
        <f t="shared" ref="CE525" si="2144">-SUMPRODUCT($Q524:$Q533,$N$2:$N$11)</f>
        <v>-150000</v>
      </c>
      <c r="CF525" s="34"/>
      <c r="CG525" s="34"/>
      <c r="CH525" s="34"/>
      <c r="CI525" s="8"/>
    </row>
    <row r="526" spans="1:87" x14ac:dyDescent="0.2">
      <c r="A526" s="8" t="str">
        <f>IF(AND(COUNTIF(W$3:W$13,A$17)&gt;0,A$17&lt;&gt;B292),A$17,IFERROR(IF(MATCH(A$17,Z$3:Z$13,0)=11,A$17," ")," "))</f>
        <v>C3</v>
      </c>
      <c r="B526" s="8">
        <f>IF(A526=" "," ",MAX(B524:B525)+1)</f>
        <v>1</v>
      </c>
      <c r="C526" s="8" t="str">
        <f>IFERROR(INDEX(A524:A545,MATCH(SMALL(B524:B545,3),B524:B545,0),1)," ")</f>
        <v>C14</v>
      </c>
      <c r="D526" s="8">
        <f t="shared" si="2110"/>
        <v>0</v>
      </c>
      <c r="E526" s="8">
        <f t="shared" si="2111"/>
        <v>0</v>
      </c>
      <c r="F526" s="8">
        <f t="shared" si="2112"/>
        <v>1</v>
      </c>
      <c r="G526" s="8">
        <f t="shared" si="2113"/>
        <v>0</v>
      </c>
      <c r="H526" s="8">
        <f t="shared" si="2114"/>
        <v>0</v>
      </c>
      <c r="I526" s="8">
        <f t="shared" si="2115"/>
        <v>0</v>
      </c>
      <c r="J526" s="8">
        <f t="shared" si="2116"/>
        <v>0</v>
      </c>
      <c r="K526" s="8">
        <f t="shared" si="2117"/>
        <v>0</v>
      </c>
      <c r="L526" s="8">
        <f t="shared" si="2118"/>
        <v>0</v>
      </c>
      <c r="M526" s="8">
        <f t="shared" si="2119"/>
        <v>0</v>
      </c>
      <c r="N526" s="8">
        <f t="shared" si="2120"/>
        <v>0</v>
      </c>
      <c r="O526" s="8">
        <f t="shared" si="2121"/>
        <v>0</v>
      </c>
      <c r="P526" s="8">
        <v>0</v>
      </c>
      <c r="Q526" s="8">
        <f t="shared" ref="Q526" si="2145">IF(COUNTIF(P524:P534,"&lt;"&amp;-0.001)=0,IF(ABS(P526)&lt;0.001,0,P526)," ")</f>
        <v>0</v>
      </c>
      <c r="R526" s="8"/>
      <c r="S526" s="8"/>
      <c r="U526" s="34"/>
      <c r="V526" s="34"/>
      <c r="W526" s="34"/>
      <c r="X526" s="34"/>
      <c r="Y526" s="34"/>
      <c r="Z526" s="34"/>
      <c r="AA526" s="34"/>
      <c r="AB526" s="34"/>
      <c r="AC526" s="34"/>
      <c r="AD526" s="34"/>
      <c r="AE526" s="34"/>
      <c r="AF526" s="34"/>
      <c r="AG526" s="34"/>
      <c r="AH526" s="34"/>
      <c r="AI526" s="34"/>
      <c r="AJ526" s="34"/>
      <c r="AK526" s="34"/>
      <c r="AL526" s="34"/>
      <c r="AM526" s="34"/>
      <c r="AN526" s="34"/>
      <c r="AO526" s="34"/>
      <c r="AP526" s="34"/>
      <c r="AQ526" s="34"/>
      <c r="AR526" s="34"/>
      <c r="AS526" s="34"/>
      <c r="AT526" s="34"/>
      <c r="AU526" s="34"/>
      <c r="AV526" s="34"/>
      <c r="AW526" s="34"/>
      <c r="AX526" s="34"/>
      <c r="AY526" s="34"/>
      <c r="AZ526" s="34"/>
      <c r="BA526" s="34"/>
      <c r="BB526" s="34"/>
      <c r="BC526" s="34"/>
      <c r="BD526" s="34"/>
      <c r="BE526" s="34"/>
      <c r="BF526" s="34"/>
      <c r="BG526" s="34"/>
      <c r="BH526" s="34"/>
      <c r="BI526" s="34"/>
      <c r="BJ526" s="34"/>
      <c r="BK526" s="34"/>
      <c r="BL526" s="34"/>
      <c r="BM526" s="34"/>
      <c r="BN526" s="34"/>
      <c r="BO526" s="34"/>
      <c r="BP526" s="34"/>
      <c r="BQ526" s="34"/>
      <c r="BR526" s="34"/>
      <c r="BS526" s="34"/>
      <c r="BT526" s="34"/>
      <c r="BU526" s="34"/>
      <c r="BV526" s="34"/>
      <c r="BW526" s="34"/>
      <c r="BX526" s="34"/>
      <c r="BY526" s="34"/>
      <c r="BZ526" s="34"/>
      <c r="CA526" s="34"/>
      <c r="CB526" s="34"/>
      <c r="CC526" s="34"/>
      <c r="CD526" s="34"/>
      <c r="CE526" s="34"/>
      <c r="CF526" s="34"/>
      <c r="CG526" s="34"/>
      <c r="CH526" s="34"/>
      <c r="CI526" s="8"/>
    </row>
    <row r="527" spans="1:87" x14ac:dyDescent="0.2">
      <c r="A527" s="8" t="str">
        <f>IF(AND(COUNTIF(W$3:W$13,A$18)&gt;0,A$18&lt;&gt;B292),A$18,IFERROR(IF(MATCH(A$18,Z$3:Z$13,0)=11,A$18," ")," "))</f>
        <v xml:space="preserve"> </v>
      </c>
      <c r="B527" s="8" t="str">
        <f>IF(A527=" "," ",MAX(B524:B526)+1)</f>
        <v xml:space="preserve"> </v>
      </c>
      <c r="C527" s="8" t="str">
        <f>IFERROR(INDEX(A524:A545,MATCH(SMALL(B524:B545,4),B524:B545,0),1)," ")</f>
        <v>C15</v>
      </c>
      <c r="D527" s="8">
        <f t="shared" si="2110"/>
        <v>0</v>
      </c>
      <c r="E527" s="8">
        <f t="shared" si="2111"/>
        <v>0</v>
      </c>
      <c r="F527" s="8">
        <f t="shared" si="2112"/>
        <v>0</v>
      </c>
      <c r="G527" s="8">
        <f t="shared" si="2113"/>
        <v>1</v>
      </c>
      <c r="H527" s="8">
        <f t="shared" si="2114"/>
        <v>0</v>
      </c>
      <c r="I527" s="8">
        <f t="shared" si="2115"/>
        <v>0</v>
      </c>
      <c r="J527" s="8">
        <f t="shared" si="2116"/>
        <v>0</v>
      </c>
      <c r="K527" s="8">
        <f t="shared" si="2117"/>
        <v>0</v>
      </c>
      <c r="L527" s="8">
        <f t="shared" si="2118"/>
        <v>0</v>
      </c>
      <c r="M527" s="8">
        <f t="shared" si="2119"/>
        <v>0</v>
      </c>
      <c r="N527" s="8">
        <f t="shared" si="2120"/>
        <v>0</v>
      </c>
      <c r="O527" s="8">
        <f t="shared" si="2121"/>
        <v>0</v>
      </c>
      <c r="P527" s="8">
        <v>0</v>
      </c>
      <c r="Q527" s="8">
        <f t="shared" ref="Q527" si="2146">IF(COUNTIF(P524:P534,"&lt;"&amp;-0.001)=0,IF(ABS(P527)&lt;0.001,0,P527)," ")</f>
        <v>0</v>
      </c>
      <c r="R527" s="8"/>
      <c r="S527" s="8"/>
      <c r="U527" s="34"/>
      <c r="V527" s="34"/>
      <c r="W527" s="34"/>
      <c r="X527" s="34"/>
      <c r="Y527" s="34"/>
      <c r="Z527" s="34"/>
      <c r="AA527" s="34"/>
      <c r="AB527" s="34"/>
      <c r="AC527" s="34"/>
      <c r="AD527" s="34"/>
      <c r="AE527" s="34"/>
      <c r="AF527" s="34"/>
      <c r="AG527" s="34"/>
      <c r="AH527" s="34"/>
      <c r="AI527" s="34"/>
      <c r="AJ527" s="34"/>
      <c r="AK527" s="34"/>
      <c r="AL527" s="34"/>
      <c r="AM527" s="34"/>
      <c r="AN527" s="34"/>
      <c r="AO527" s="34"/>
      <c r="AP527" s="34"/>
      <c r="AQ527" s="34"/>
      <c r="AR527" s="34"/>
      <c r="AS527" s="34"/>
      <c r="AT527" s="34"/>
      <c r="AU527" s="34"/>
      <c r="AV527" s="34"/>
      <c r="AW527" s="34"/>
      <c r="AX527" s="34"/>
      <c r="AY527" s="34"/>
      <c r="AZ527" s="34"/>
      <c r="BA527" s="34"/>
      <c r="BB527" s="34"/>
      <c r="BC527" s="34"/>
      <c r="BD527" s="34"/>
      <c r="BE527" s="34"/>
      <c r="BF527" s="34"/>
      <c r="BG527" s="34"/>
      <c r="BH527" s="34"/>
      <c r="BI527" s="34"/>
      <c r="BJ527" s="34"/>
      <c r="BK527" s="34"/>
      <c r="BL527" s="34"/>
      <c r="BM527" s="34"/>
      <c r="BN527" s="34"/>
      <c r="BO527" s="34"/>
      <c r="BP527" s="34"/>
      <c r="BQ527" s="34"/>
      <c r="BR527" s="34"/>
      <c r="BS527" s="34"/>
      <c r="BT527" s="34"/>
      <c r="BU527" s="34"/>
      <c r="BV527" s="34"/>
      <c r="BW527" s="34"/>
      <c r="BX527" s="34"/>
      <c r="BY527" s="34"/>
      <c r="BZ527" s="34"/>
      <c r="CA527" s="34"/>
      <c r="CB527" s="34"/>
      <c r="CC527" s="34"/>
      <c r="CD527" s="34"/>
      <c r="CE527" s="34"/>
      <c r="CF527" s="34"/>
      <c r="CG527" s="34"/>
      <c r="CH527" s="34"/>
      <c r="CI527" s="8"/>
    </row>
    <row r="528" spans="1:87" x14ac:dyDescent="0.2">
      <c r="A528" s="8" t="str">
        <f>IF(AND(COUNTIF(W$3:W$13,A$19)&gt;0,A$19&lt;&gt;B292),A$19,IFERROR(IF(MATCH(A$19,Z$3:Z$13,0)=11,A$19," ")," "))</f>
        <v xml:space="preserve"> </v>
      </c>
      <c r="B528" s="8" t="str">
        <f>IF(A528=" "," ",MAX(B524:B527)+1)</f>
        <v xml:space="preserve"> </v>
      </c>
      <c r="C528" s="8" t="str">
        <f>IFERROR(INDEX(A524:A545,MATCH(SMALL(B524:B545,5),B524:B545,0),1)," ")</f>
        <v>C16</v>
      </c>
      <c r="D528" s="8">
        <f t="shared" si="2110"/>
        <v>0</v>
      </c>
      <c r="E528" s="8">
        <f t="shared" si="2111"/>
        <v>0</v>
      </c>
      <c r="F528" s="8">
        <f t="shared" si="2112"/>
        <v>0</v>
      </c>
      <c r="G528" s="8">
        <f t="shared" si="2113"/>
        <v>0</v>
      </c>
      <c r="H528" s="8">
        <f t="shared" si="2114"/>
        <v>1</v>
      </c>
      <c r="I528" s="8">
        <f t="shared" si="2115"/>
        <v>0</v>
      </c>
      <c r="J528" s="8">
        <f t="shared" si="2116"/>
        <v>0</v>
      </c>
      <c r="K528" s="8">
        <f t="shared" si="2117"/>
        <v>0</v>
      </c>
      <c r="L528" s="8">
        <f t="shared" si="2118"/>
        <v>0</v>
      </c>
      <c r="M528" s="8">
        <f t="shared" si="2119"/>
        <v>0</v>
      </c>
      <c r="N528" s="8">
        <f t="shared" si="2120"/>
        <v>0</v>
      </c>
      <c r="O528" s="8">
        <f t="shared" si="2121"/>
        <v>0</v>
      </c>
      <c r="P528" s="8">
        <v>0</v>
      </c>
      <c r="Q528" s="8">
        <f t="shared" ref="Q528" si="2147">IF(COUNTIF(P524:P534,"&lt;"&amp;-0.001)=0,IF(ABS(P528)&lt;0.001,0,P528)," ")</f>
        <v>0</v>
      </c>
      <c r="R528" s="8"/>
      <c r="S528" s="8"/>
      <c r="U528" s="34"/>
      <c r="V528" s="34"/>
      <c r="W528" s="34"/>
      <c r="X528" s="34"/>
      <c r="Y528" s="34"/>
      <c r="Z528" s="34"/>
      <c r="AA528" s="34"/>
      <c r="AB528" s="34"/>
      <c r="AC528" s="34"/>
      <c r="AD528" s="34"/>
      <c r="AE528" s="34"/>
      <c r="AF528" s="34"/>
      <c r="AG528" s="34"/>
      <c r="AH528" s="34"/>
      <c r="AI528" s="34"/>
      <c r="AJ528" s="34"/>
      <c r="AK528" s="34"/>
      <c r="AL528" s="34"/>
      <c r="AM528" s="34"/>
      <c r="AN528" s="34"/>
      <c r="AO528" s="34"/>
      <c r="AP528" s="34"/>
      <c r="AQ528" s="34"/>
      <c r="AR528" s="34"/>
      <c r="AS528" s="34"/>
      <c r="AT528" s="34"/>
      <c r="AU528" s="34"/>
      <c r="AV528" s="34"/>
      <c r="AW528" s="34"/>
      <c r="AX528" s="34"/>
      <c r="AY528" s="34"/>
      <c r="AZ528" s="34"/>
      <c r="BA528" s="34"/>
      <c r="BB528" s="34"/>
      <c r="BC528" s="34"/>
      <c r="BD528" s="34"/>
      <c r="BE528" s="34"/>
      <c r="BF528" s="34"/>
      <c r="BG528" s="34"/>
      <c r="BH528" s="34"/>
      <c r="BI528" s="34"/>
      <c r="BJ528" s="34"/>
      <c r="BK528" s="34"/>
      <c r="BL528" s="34"/>
      <c r="BM528" s="34"/>
      <c r="BN528" s="34"/>
      <c r="BO528" s="34"/>
      <c r="BP528" s="34"/>
      <c r="BQ528" s="34"/>
      <c r="BR528" s="34"/>
      <c r="BS528" s="34"/>
      <c r="BT528" s="34"/>
      <c r="BU528" s="34"/>
      <c r="BV528" s="34"/>
      <c r="BW528" s="34"/>
      <c r="BX528" s="34"/>
      <c r="BY528" s="34"/>
      <c r="BZ528" s="34"/>
      <c r="CA528" s="34"/>
      <c r="CB528" s="34"/>
      <c r="CC528" s="34"/>
      <c r="CD528" s="34"/>
      <c r="CE528" s="34"/>
      <c r="CF528" s="34"/>
      <c r="CG528" s="34"/>
      <c r="CH528" s="34"/>
      <c r="CI528" s="8"/>
    </row>
    <row r="529" spans="1:87" x14ac:dyDescent="0.2">
      <c r="A529" s="8" t="str">
        <f>IF(AND(COUNTIF(W$3:W$13,A$20)&gt;0,A$20&lt;&gt;B292),A$20,IFERROR(IF(MATCH(A$20,Z$3:Z$13,0)=11,A$20," ")," "))</f>
        <v xml:space="preserve"> </v>
      </c>
      <c r="B529" s="8" t="str">
        <f>IF(A529=" "," ",MAX(B524:B528)+1)</f>
        <v xml:space="preserve"> </v>
      </c>
      <c r="C529" s="8" t="str">
        <f>IFERROR(INDEX(A524:A545,MATCH(SMALL(B524:B545,6),B524:B545,0),1)," ")</f>
        <v>C17</v>
      </c>
      <c r="D529" s="8">
        <f t="shared" si="2110"/>
        <v>0</v>
      </c>
      <c r="E529" s="8">
        <f t="shared" si="2111"/>
        <v>0</v>
      </c>
      <c r="F529" s="8">
        <f t="shared" si="2112"/>
        <v>0</v>
      </c>
      <c r="G529" s="8">
        <f t="shared" si="2113"/>
        <v>0</v>
      </c>
      <c r="H529" s="8">
        <f t="shared" si="2114"/>
        <v>0</v>
      </c>
      <c r="I529" s="8">
        <f t="shared" si="2115"/>
        <v>1</v>
      </c>
      <c r="J529" s="8">
        <f t="shared" si="2116"/>
        <v>0</v>
      </c>
      <c r="K529" s="8">
        <f t="shared" si="2117"/>
        <v>0</v>
      </c>
      <c r="L529" s="8">
        <f t="shared" si="2118"/>
        <v>0</v>
      </c>
      <c r="M529" s="8">
        <f t="shared" si="2119"/>
        <v>0</v>
      </c>
      <c r="N529" s="8">
        <f t="shared" si="2120"/>
        <v>0</v>
      </c>
      <c r="O529" s="8">
        <f t="shared" si="2121"/>
        <v>0</v>
      </c>
      <c r="P529" s="8">
        <v>0</v>
      </c>
      <c r="Q529" s="8">
        <f t="shared" ref="Q529" si="2148">IF(COUNTIF(P524:P534,"&lt;"&amp;-0.001)=0,IF(ABS(P529)&lt;0.001,0,P529)," ")</f>
        <v>0</v>
      </c>
      <c r="R529" s="8"/>
      <c r="S529" s="8"/>
      <c r="U529" s="34"/>
      <c r="V529" s="34"/>
      <c r="W529" s="34"/>
      <c r="X529" s="34"/>
      <c r="Y529" s="34"/>
      <c r="Z529" s="34"/>
      <c r="AA529" s="34"/>
      <c r="AB529" s="34"/>
      <c r="AC529" s="34"/>
      <c r="AD529" s="34"/>
      <c r="AE529" s="34"/>
      <c r="AF529" s="34"/>
      <c r="AG529" s="34"/>
      <c r="AH529" s="34"/>
      <c r="AI529" s="34"/>
      <c r="AJ529" s="34"/>
      <c r="AK529" s="34"/>
      <c r="AL529" s="34"/>
      <c r="AM529" s="34"/>
      <c r="AN529" s="34"/>
      <c r="AO529" s="34"/>
      <c r="AP529" s="34"/>
      <c r="AQ529" s="34"/>
      <c r="AR529" s="34"/>
      <c r="AS529" s="34"/>
      <c r="AT529" s="34"/>
      <c r="AU529" s="34"/>
      <c r="AV529" s="34"/>
      <c r="AW529" s="34"/>
      <c r="AX529" s="34"/>
      <c r="AY529" s="34"/>
      <c r="AZ529" s="34"/>
      <c r="BA529" s="34"/>
      <c r="BB529" s="34"/>
      <c r="BC529" s="34"/>
      <c r="BD529" s="34"/>
      <c r="BE529" s="34"/>
      <c r="BF529" s="34"/>
      <c r="BG529" s="34"/>
      <c r="BH529" s="34"/>
      <c r="BI529" s="34"/>
      <c r="BJ529" s="34"/>
      <c r="BK529" s="34"/>
      <c r="BL529" s="34"/>
      <c r="BM529" s="34"/>
      <c r="BN529" s="34"/>
      <c r="BO529" s="34"/>
      <c r="BP529" s="34"/>
      <c r="BQ529" s="34"/>
      <c r="BR529" s="34"/>
      <c r="BS529" s="34"/>
      <c r="BT529" s="34"/>
      <c r="BU529" s="34"/>
      <c r="BV529" s="34"/>
      <c r="BW529" s="34"/>
      <c r="BX529" s="34"/>
      <c r="BY529" s="34"/>
      <c r="BZ529" s="34"/>
      <c r="CA529" s="34"/>
      <c r="CB529" s="34"/>
      <c r="CC529" s="34"/>
      <c r="CD529" s="34"/>
      <c r="CE529" s="34"/>
      <c r="CF529" s="34"/>
      <c r="CG529" s="34"/>
      <c r="CH529" s="34"/>
      <c r="CI529" s="8"/>
    </row>
    <row r="530" spans="1:87" x14ac:dyDescent="0.2">
      <c r="A530" s="8" t="str">
        <f>IF(AND(COUNTIF(W$3:W$13,A$21)&gt;0,A$21&lt;&gt;B292),A$21,IFERROR(IF(MATCH(A$21,Z$3:Z$13,0)=11,A$21," ")," "))</f>
        <v xml:space="preserve"> </v>
      </c>
      <c r="B530" s="8" t="str">
        <f>IF(A530=" "," ",MAX(B524:B529)+1)</f>
        <v xml:space="preserve"> </v>
      </c>
      <c r="C530" s="8" t="str">
        <f>IFERROR(INDEX(A524:A545,MATCH(SMALL(B524:B545,7),B524:B545,0),1)," ")</f>
        <v>C18</v>
      </c>
      <c r="D530" s="8">
        <f t="shared" si="2110"/>
        <v>0</v>
      </c>
      <c r="E530" s="8">
        <f t="shared" si="2111"/>
        <v>0</v>
      </c>
      <c r="F530" s="8">
        <f t="shared" si="2112"/>
        <v>0</v>
      </c>
      <c r="G530" s="8">
        <f t="shared" si="2113"/>
        <v>0</v>
      </c>
      <c r="H530" s="8">
        <f t="shared" si="2114"/>
        <v>0</v>
      </c>
      <c r="I530" s="8">
        <f t="shared" si="2115"/>
        <v>0</v>
      </c>
      <c r="J530" s="8">
        <f t="shared" si="2116"/>
        <v>1</v>
      </c>
      <c r="K530" s="8">
        <f t="shared" si="2117"/>
        <v>0</v>
      </c>
      <c r="L530" s="8">
        <f t="shared" si="2118"/>
        <v>0</v>
      </c>
      <c r="M530" s="8">
        <f t="shared" si="2119"/>
        <v>0</v>
      </c>
      <c r="N530" s="8">
        <f t="shared" si="2120"/>
        <v>0</v>
      </c>
      <c r="O530" s="8">
        <f t="shared" si="2121"/>
        <v>0</v>
      </c>
      <c r="P530" s="8">
        <v>0</v>
      </c>
      <c r="Q530" s="8">
        <f t="shared" ref="Q530" si="2149">IF(COUNTIF(P524:P534,"&lt;"&amp;-0.001)=0,IF(ABS(P530)&lt;0.001,0,P530)," ")</f>
        <v>0</v>
      </c>
      <c r="R530" s="8"/>
      <c r="S530" s="8"/>
      <c r="U530" s="34"/>
      <c r="V530" s="34"/>
      <c r="W530" s="34"/>
      <c r="X530" s="34"/>
      <c r="Y530" s="34"/>
      <c r="Z530" s="34"/>
      <c r="AA530" s="34"/>
      <c r="AB530" s="34"/>
      <c r="AC530" s="34"/>
      <c r="AD530" s="34"/>
      <c r="AE530" s="34"/>
      <c r="AF530" s="34"/>
      <c r="AG530" s="34"/>
      <c r="AH530" s="34"/>
      <c r="AI530" s="34"/>
      <c r="AJ530" s="34"/>
      <c r="AK530" s="34"/>
      <c r="AL530" s="34"/>
      <c r="AM530" s="34"/>
      <c r="AN530" s="34"/>
      <c r="AO530" s="34"/>
      <c r="AP530" s="34"/>
      <c r="AQ530" s="34"/>
      <c r="AR530" s="34"/>
      <c r="AS530" s="34"/>
      <c r="AT530" s="34"/>
      <c r="AU530" s="34"/>
      <c r="AV530" s="34"/>
      <c r="AW530" s="34"/>
      <c r="AX530" s="34"/>
      <c r="AY530" s="34"/>
      <c r="AZ530" s="34"/>
      <c r="BA530" s="34"/>
      <c r="BB530" s="34"/>
      <c r="BC530" s="34"/>
      <c r="BD530" s="34"/>
      <c r="BE530" s="34"/>
      <c r="BF530" s="34"/>
      <c r="BG530" s="34"/>
      <c r="BH530" s="34"/>
      <c r="BI530" s="34"/>
      <c r="BJ530" s="34"/>
      <c r="BK530" s="34"/>
      <c r="BL530" s="34"/>
      <c r="BM530" s="34"/>
      <c r="BN530" s="34"/>
      <c r="BO530" s="34"/>
      <c r="BP530" s="34"/>
      <c r="BQ530" s="34"/>
      <c r="BR530" s="34"/>
      <c r="BS530" s="34"/>
      <c r="BT530" s="34"/>
      <c r="BU530" s="34"/>
      <c r="BV530" s="34"/>
      <c r="BW530" s="34"/>
      <c r="BX530" s="34"/>
      <c r="BY530" s="34"/>
      <c r="BZ530" s="34"/>
      <c r="CA530" s="34"/>
      <c r="CB530" s="34"/>
      <c r="CC530" s="34"/>
      <c r="CD530" s="34"/>
      <c r="CE530" s="34"/>
      <c r="CF530" s="34"/>
      <c r="CG530" s="34"/>
      <c r="CH530" s="34"/>
      <c r="CI530" s="8"/>
    </row>
    <row r="531" spans="1:87" x14ac:dyDescent="0.2">
      <c r="A531" s="8" t="str">
        <f>IF(AND(COUNTIF(W$3:W$13,A$22)&gt;0,A$22&lt;&gt;B292),A$22,IFERROR(IF(MATCH(A$22,Z$3:Z$13,0)=11,A$22," ")," "))</f>
        <v xml:space="preserve"> </v>
      </c>
      <c r="B531" s="8" t="str">
        <f>IF(A531=" "," ",MAX(B524:B530)+1)</f>
        <v xml:space="preserve"> </v>
      </c>
      <c r="C531" s="8" t="str">
        <f>IFERROR(INDEX(A524:A545,MATCH(SMALL(B524:B545,8),B524:B545,0),1)," ")</f>
        <v>C19</v>
      </c>
      <c r="D531" s="8">
        <f t="shared" si="2110"/>
        <v>0</v>
      </c>
      <c r="E531" s="8">
        <f t="shared" si="2111"/>
        <v>0</v>
      </c>
      <c r="F531" s="8">
        <f t="shared" si="2112"/>
        <v>0</v>
      </c>
      <c r="G531" s="8">
        <f t="shared" si="2113"/>
        <v>0</v>
      </c>
      <c r="H531" s="8">
        <f t="shared" si="2114"/>
        <v>0</v>
      </c>
      <c r="I531" s="8">
        <f t="shared" si="2115"/>
        <v>0</v>
      </c>
      <c r="J531" s="8">
        <f t="shared" si="2116"/>
        <v>0</v>
      </c>
      <c r="K531" s="8">
        <f t="shared" si="2117"/>
        <v>1</v>
      </c>
      <c r="L531" s="8">
        <f t="shared" si="2118"/>
        <v>0</v>
      </c>
      <c r="M531" s="8">
        <f t="shared" si="2119"/>
        <v>0</v>
      </c>
      <c r="N531" s="8">
        <f t="shared" si="2120"/>
        <v>0</v>
      </c>
      <c r="O531" s="8">
        <f t="shared" si="2121"/>
        <v>0</v>
      </c>
      <c r="P531" s="8">
        <v>0</v>
      </c>
      <c r="Q531" s="8">
        <f t="shared" ref="Q531" si="2150">IF(COUNTIF(P524:P534,"&lt;"&amp;-0.001)=0,IF(ABS(P531)&lt;0.001,0,P531)," ")</f>
        <v>0</v>
      </c>
      <c r="R531" s="8"/>
      <c r="S531" s="8"/>
      <c r="U531" s="34"/>
      <c r="V531" s="34"/>
      <c r="W531" s="34"/>
      <c r="X531" s="34"/>
      <c r="Y531" s="34"/>
      <c r="Z531" s="34"/>
      <c r="AA531" s="34"/>
      <c r="AB531" s="34"/>
      <c r="AC531" s="34"/>
      <c r="AD531" s="34"/>
      <c r="AE531" s="34"/>
      <c r="AF531" s="34"/>
      <c r="AG531" s="34"/>
      <c r="AH531" s="34"/>
      <c r="AI531" s="34"/>
      <c r="AJ531" s="34"/>
      <c r="AK531" s="34"/>
      <c r="AL531" s="34"/>
      <c r="AM531" s="34"/>
      <c r="AN531" s="34"/>
      <c r="AO531" s="34"/>
      <c r="AP531" s="34"/>
      <c r="AQ531" s="34"/>
      <c r="AR531" s="34"/>
      <c r="AS531" s="34"/>
      <c r="AT531" s="34"/>
      <c r="AU531" s="34"/>
      <c r="AV531" s="34"/>
      <c r="AW531" s="34"/>
      <c r="AX531" s="34"/>
      <c r="AY531" s="34"/>
      <c r="AZ531" s="34"/>
      <c r="BA531" s="34"/>
      <c r="BB531" s="34"/>
      <c r="BC531" s="34"/>
      <c r="BD531" s="34"/>
      <c r="BE531" s="34"/>
      <c r="BF531" s="34"/>
      <c r="BG531" s="34"/>
      <c r="BH531" s="34"/>
      <c r="BI531" s="34"/>
      <c r="BJ531" s="34"/>
      <c r="BK531" s="34"/>
      <c r="BL531" s="34"/>
      <c r="BM531" s="34"/>
      <c r="BN531" s="34"/>
      <c r="BO531" s="34"/>
      <c r="BP531" s="34"/>
      <c r="BQ531" s="34"/>
      <c r="BR531" s="34"/>
      <c r="BS531" s="34"/>
      <c r="BT531" s="34"/>
      <c r="BU531" s="34"/>
      <c r="BV531" s="34"/>
      <c r="BW531" s="34"/>
      <c r="BX531" s="34"/>
      <c r="BY531" s="34"/>
      <c r="BZ531" s="34"/>
      <c r="CA531" s="34"/>
      <c r="CB531" s="34"/>
      <c r="CC531" s="34"/>
      <c r="CD531" s="34"/>
      <c r="CE531" s="34"/>
      <c r="CF531" s="34"/>
      <c r="CG531" s="34"/>
      <c r="CH531" s="34"/>
      <c r="CI531" s="8"/>
    </row>
    <row r="532" spans="1:87" x14ac:dyDescent="0.2">
      <c r="A532" s="8" t="str">
        <f>IF(AND(COUNTIF(W$3:W$13,A$23)&gt;0,A$23&lt;&gt;B292),A$23,IFERROR(IF(MATCH(A$23,Z$3:Z$13,0)=11,A$23," ")," "))</f>
        <v xml:space="preserve"> </v>
      </c>
      <c r="B532" s="8" t="str">
        <f>IF(A532=" "," ",MAX(B524:B531)+1)</f>
        <v xml:space="preserve"> </v>
      </c>
      <c r="C532" s="8" t="str">
        <f>IFERROR(INDEX(A524:A545,MATCH(SMALL(B524:B545,9),B524:B545,0),1)," ")</f>
        <v>C20</v>
      </c>
      <c r="D532" s="8">
        <f t="shared" si="2110"/>
        <v>0</v>
      </c>
      <c r="E532" s="8">
        <f t="shared" si="2111"/>
        <v>0</v>
      </c>
      <c r="F532" s="8">
        <f t="shared" si="2112"/>
        <v>0</v>
      </c>
      <c r="G532" s="8">
        <f t="shared" si="2113"/>
        <v>0</v>
      </c>
      <c r="H532" s="8">
        <f t="shared" si="2114"/>
        <v>0</v>
      </c>
      <c r="I532" s="8">
        <f t="shared" si="2115"/>
        <v>0</v>
      </c>
      <c r="J532" s="8">
        <f t="shared" si="2116"/>
        <v>0</v>
      </c>
      <c r="K532" s="8">
        <f t="shared" si="2117"/>
        <v>0</v>
      </c>
      <c r="L532" s="8">
        <f t="shared" si="2118"/>
        <v>1</v>
      </c>
      <c r="M532" s="8">
        <f t="shared" si="2119"/>
        <v>0</v>
      </c>
      <c r="N532" s="8">
        <f t="shared" si="2120"/>
        <v>0</v>
      </c>
      <c r="O532" s="8">
        <f t="shared" si="2121"/>
        <v>0</v>
      </c>
      <c r="P532" s="6">
        <v>0</v>
      </c>
      <c r="Q532" s="8">
        <f t="shared" ref="Q532" si="2151">IF(COUNTIF(P524:P534,"&lt;"&amp;-0.001)=0,IF(ABS(P532)&lt;0.001,0,P532)," ")</f>
        <v>0</v>
      </c>
      <c r="R532" s="8"/>
      <c r="S532" s="8"/>
      <c r="U532" s="34"/>
      <c r="V532" s="34"/>
      <c r="W532" s="34"/>
      <c r="X532" s="34"/>
      <c r="Y532" s="34"/>
      <c r="Z532" s="34"/>
      <c r="AA532" s="34"/>
      <c r="AB532" s="34"/>
      <c r="AC532" s="34"/>
      <c r="AD532" s="34"/>
      <c r="AE532" s="34"/>
      <c r="AF532" s="34"/>
      <c r="AG532" s="34"/>
      <c r="AH532" s="34"/>
      <c r="AI532" s="34"/>
      <c r="AJ532" s="34"/>
      <c r="AK532" s="34"/>
      <c r="AL532" s="34"/>
      <c r="AM532" s="34"/>
      <c r="AN532" s="34"/>
      <c r="AO532" s="34"/>
      <c r="AP532" s="34"/>
      <c r="AQ532" s="34"/>
      <c r="AR532" s="34"/>
      <c r="AS532" s="34"/>
      <c r="AT532" s="34"/>
      <c r="AU532" s="34"/>
      <c r="AV532" s="34"/>
      <c r="AW532" s="34"/>
      <c r="AX532" s="34"/>
      <c r="AY532" s="34"/>
      <c r="AZ532" s="34"/>
      <c r="BA532" s="34"/>
      <c r="BB532" s="34"/>
      <c r="BC532" s="34"/>
      <c r="BD532" s="34"/>
      <c r="BE532" s="34"/>
      <c r="BF532" s="34"/>
      <c r="BG532" s="34"/>
      <c r="BH532" s="34"/>
      <c r="BI532" s="34"/>
      <c r="BJ532" s="34"/>
      <c r="BK532" s="34"/>
      <c r="BL532" s="34"/>
      <c r="BM532" s="34"/>
      <c r="BN532" s="34"/>
      <c r="BO532" s="34"/>
      <c r="BP532" s="34"/>
      <c r="BQ532" s="34"/>
      <c r="BR532" s="34"/>
      <c r="BS532" s="34"/>
      <c r="BT532" s="34"/>
      <c r="BU532" s="34"/>
      <c r="BV532" s="34"/>
      <c r="BW532" s="34"/>
      <c r="BX532" s="34"/>
      <c r="BY532" s="34"/>
      <c r="BZ532" s="34"/>
      <c r="CA532" s="34"/>
      <c r="CB532" s="34"/>
      <c r="CC532" s="34"/>
      <c r="CD532" s="34"/>
      <c r="CE532" s="34"/>
      <c r="CF532" s="34"/>
      <c r="CG532" s="34"/>
      <c r="CH532" s="34"/>
      <c r="CI532" s="8"/>
    </row>
    <row r="533" spans="1:87" x14ac:dyDescent="0.2">
      <c r="A533" s="8" t="str">
        <f>IF(AND(COUNTIF(W$3:W$13,A$24)&gt;0,A$24&lt;&gt;B292),A$24,IFERROR(IF(MATCH(A$24,Z$3:Z$13,0)=11,A$24," ")," "))</f>
        <v xml:space="preserve"> </v>
      </c>
      <c r="B533" s="8" t="str">
        <f>IF(A533=" "," ",MAX(B524:B532)+1)</f>
        <v xml:space="preserve"> </v>
      </c>
      <c r="C533" s="8" t="str">
        <f>IFERROR(INDEX(A524:A545,MATCH(SMALL(B524:B545,10),B524:B545,0),1)," ")</f>
        <v>C21</v>
      </c>
      <c r="D533" s="8">
        <f t="shared" si="2110"/>
        <v>0</v>
      </c>
      <c r="E533" s="8">
        <f t="shared" si="2111"/>
        <v>0</v>
      </c>
      <c r="F533" s="8">
        <f t="shared" si="2112"/>
        <v>0</v>
      </c>
      <c r="G533" s="8">
        <f t="shared" si="2113"/>
        <v>0</v>
      </c>
      <c r="H533" s="8">
        <f t="shared" si="2114"/>
        <v>0</v>
      </c>
      <c r="I533" s="8">
        <f t="shared" si="2115"/>
        <v>0</v>
      </c>
      <c r="J533" s="8">
        <f t="shared" si="2116"/>
        <v>0</v>
      </c>
      <c r="K533" s="8">
        <f t="shared" si="2117"/>
        <v>0</v>
      </c>
      <c r="L533" s="8">
        <f t="shared" si="2118"/>
        <v>0</v>
      </c>
      <c r="M533" s="8">
        <f t="shared" si="2119"/>
        <v>1</v>
      </c>
      <c r="N533" s="8">
        <f t="shared" si="2120"/>
        <v>0</v>
      </c>
      <c r="O533" s="8">
        <f t="shared" si="2121"/>
        <v>0</v>
      </c>
      <c r="P533" s="8">
        <v>0</v>
      </c>
      <c r="Q533" s="8">
        <f t="shared" ref="Q533" si="2152">IF(COUNTIF(P524:P534,"&lt;"&amp;-0.001)=0,IF(ABS(P533)&lt;0.001,0,P533)," ")</f>
        <v>0</v>
      </c>
      <c r="R533" s="8"/>
      <c r="S533" s="8"/>
      <c r="U533" s="34"/>
      <c r="V533" s="34"/>
      <c r="W533" s="34"/>
      <c r="X533" s="34"/>
      <c r="Y533" s="34"/>
      <c r="Z533" s="34"/>
      <c r="AA533" s="34"/>
      <c r="AB533" s="34"/>
      <c r="AC533" s="34"/>
      <c r="AD533" s="34"/>
      <c r="AE533" s="34"/>
      <c r="AF533" s="34"/>
      <c r="AG533" s="34"/>
      <c r="AH533" s="34"/>
      <c r="AI533" s="34"/>
      <c r="AJ533" s="34"/>
      <c r="AK533" s="34"/>
      <c r="AL533" s="34"/>
      <c r="AM533" s="34"/>
      <c r="AN533" s="34"/>
      <c r="AO533" s="34"/>
      <c r="AP533" s="34"/>
      <c r="AQ533" s="34"/>
      <c r="AR533" s="34"/>
      <c r="AS533" s="34"/>
      <c r="AT533" s="34"/>
      <c r="AU533" s="34"/>
      <c r="AV533" s="34"/>
      <c r="AW533" s="34"/>
      <c r="AX533" s="34"/>
      <c r="AY533" s="34"/>
      <c r="AZ533" s="34"/>
      <c r="BA533" s="34"/>
      <c r="BB533" s="34"/>
      <c r="BC533" s="34"/>
      <c r="BD533" s="34"/>
      <c r="BE533" s="34"/>
      <c r="BF533" s="34"/>
      <c r="BG533" s="34"/>
      <c r="BH533" s="34"/>
      <c r="BI533" s="34"/>
      <c r="BJ533" s="34"/>
      <c r="BK533" s="34"/>
      <c r="BL533" s="34"/>
      <c r="BM533" s="34"/>
      <c r="BN533" s="34"/>
      <c r="BO533" s="34"/>
      <c r="BP533" s="34"/>
      <c r="BQ533" s="34"/>
      <c r="BR533" s="34"/>
      <c r="BS533" s="34"/>
      <c r="BT533" s="34"/>
      <c r="BU533" s="34"/>
      <c r="BV533" s="34"/>
      <c r="BW533" s="34"/>
      <c r="BX533" s="34"/>
      <c r="BY533" s="34"/>
      <c r="BZ533" s="34"/>
      <c r="CA533" s="34"/>
      <c r="CB533" s="34"/>
      <c r="CC533" s="34"/>
      <c r="CD533" s="34"/>
      <c r="CE533" s="34"/>
      <c r="CF533" s="34"/>
      <c r="CG533" s="34"/>
      <c r="CH533" s="34"/>
      <c r="CI533" s="8"/>
    </row>
    <row r="534" spans="1:87" x14ac:dyDescent="0.2">
      <c r="A534" s="8" t="str">
        <f>IF(AND(COUNTIF(W$3:W$13,A$25)&gt;0,A$25&lt;&gt;B292),A$25,IFERROR(IF(MATCH(A$25,Z$3:Z$13,0)=11,A$25," ")," "))</f>
        <v xml:space="preserve"> </v>
      </c>
      <c r="B534" s="8" t="str">
        <f>IF(A534=" "," ",MAX(B524:B533)+1)</f>
        <v xml:space="preserve"> </v>
      </c>
      <c r="C534" s="8" t="str">
        <f>IFERROR(INDEX(A524:A545,MATCH(SMALL(B524:B545,11),B524:B545,0),1)," ")</f>
        <v>C22</v>
      </c>
      <c r="D534" s="8">
        <f t="shared" si="2110"/>
        <v>0</v>
      </c>
      <c r="E534" s="8">
        <f t="shared" si="2111"/>
        <v>0</v>
      </c>
      <c r="F534" s="8">
        <f t="shared" si="2112"/>
        <v>0</v>
      </c>
      <c r="G534" s="8">
        <f t="shared" si="2113"/>
        <v>0</v>
      </c>
      <c r="H534" s="8">
        <f t="shared" si="2114"/>
        <v>0</v>
      </c>
      <c r="I534" s="8">
        <f t="shared" si="2115"/>
        <v>0</v>
      </c>
      <c r="J534" s="8">
        <f t="shared" si="2116"/>
        <v>0</v>
      </c>
      <c r="K534" s="8">
        <f t="shared" si="2117"/>
        <v>0</v>
      </c>
      <c r="L534" s="8">
        <f t="shared" si="2118"/>
        <v>0</v>
      </c>
      <c r="M534" s="8">
        <f t="shared" si="2119"/>
        <v>0</v>
      </c>
      <c r="N534" s="8">
        <f t="shared" si="2120"/>
        <v>1</v>
      </c>
      <c r="O534" s="8">
        <f t="shared" si="2121"/>
        <v>0</v>
      </c>
      <c r="P534" s="8">
        <v>0</v>
      </c>
      <c r="Q534" s="8">
        <f t="shared" ref="Q534" si="2153">IF(COUNTIF(P524:P534,"&lt;"&amp;-0.001)=0,IF(ABS(P534)&lt;0.001,0,P534)," ")</f>
        <v>0</v>
      </c>
      <c r="R534" s="8"/>
      <c r="S534" s="8"/>
      <c r="U534" s="34"/>
      <c r="V534" s="34"/>
      <c r="W534" s="34"/>
      <c r="X534" s="34"/>
      <c r="Y534" s="34"/>
      <c r="Z534" s="34"/>
      <c r="AA534" s="34"/>
      <c r="AB534" s="34"/>
      <c r="AC534" s="34"/>
      <c r="AD534" s="34"/>
      <c r="AE534" s="34"/>
      <c r="AF534" s="34"/>
      <c r="AG534" s="34"/>
      <c r="AH534" s="34"/>
      <c r="AI534" s="34"/>
      <c r="AJ534" s="34"/>
      <c r="AK534" s="34"/>
      <c r="AL534" s="34"/>
      <c r="AM534" s="34"/>
      <c r="AN534" s="34"/>
      <c r="AO534" s="34"/>
      <c r="AP534" s="34"/>
      <c r="AQ534" s="34"/>
      <c r="AR534" s="34"/>
      <c r="AS534" s="34"/>
      <c r="AT534" s="34"/>
      <c r="AU534" s="34"/>
      <c r="AV534" s="34"/>
      <c r="AW534" s="34"/>
      <c r="AX534" s="34"/>
      <c r="AY534" s="34"/>
      <c r="AZ534" s="34"/>
      <c r="BA534" s="34"/>
      <c r="BB534" s="34"/>
      <c r="BC534" s="34"/>
      <c r="BD534" s="34"/>
      <c r="BE534" s="34"/>
      <c r="BF534" s="34"/>
      <c r="BG534" s="34"/>
      <c r="BH534" s="34"/>
      <c r="BI534" s="34"/>
      <c r="BJ534" s="34"/>
      <c r="BK534" s="34"/>
      <c r="BL534" s="34"/>
      <c r="BM534" s="34"/>
      <c r="BN534" s="34"/>
      <c r="BO534" s="34"/>
      <c r="BP534" s="34"/>
      <c r="BQ534" s="34"/>
      <c r="BR534" s="34"/>
      <c r="BS534" s="34"/>
      <c r="BT534" s="34"/>
      <c r="BU534" s="34"/>
      <c r="BV534" s="34"/>
      <c r="BW534" s="34"/>
      <c r="BX534" s="34"/>
      <c r="BY534" s="34"/>
      <c r="BZ534" s="34"/>
      <c r="CA534" s="34"/>
      <c r="CB534" s="34"/>
      <c r="CC534" s="34"/>
      <c r="CD534" s="34"/>
      <c r="CE534" s="34"/>
      <c r="CF534" s="34"/>
      <c r="CG534" s="34"/>
      <c r="CH534" s="34"/>
      <c r="CI534" s="8"/>
    </row>
    <row r="535" spans="1:87" x14ac:dyDescent="0.2">
      <c r="A535" s="8" t="str">
        <f>IF(AND(COUNTIF(W$3:W$13,A$26)&gt;0,A$26&lt;&gt;B292),A$26,IFERROR(IF(MATCH(A$26,Z$3:Z$13,0)=11,A$26," ")," "))</f>
        <v xml:space="preserve"> </v>
      </c>
      <c r="B535" s="8" t="str">
        <f>IF(A535=" "," ",MAX(B524:B534)+1)</f>
        <v xml:space="preserve"> </v>
      </c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U535" s="34"/>
      <c r="V535" s="34"/>
      <c r="W535" s="34"/>
      <c r="X535" s="34"/>
      <c r="Y535" s="34"/>
      <c r="Z535" s="34"/>
      <c r="AA535" s="34"/>
      <c r="AB535" s="34"/>
      <c r="AC535" s="34"/>
      <c r="AD535" s="34"/>
      <c r="AE535" s="34"/>
      <c r="AF535" s="34"/>
      <c r="AG535" s="34"/>
      <c r="AH535" s="34"/>
      <c r="AI535" s="34"/>
      <c r="AJ535" s="34"/>
      <c r="AK535" s="34"/>
      <c r="AL535" s="34"/>
      <c r="AM535" s="34"/>
      <c r="AN535" s="34"/>
      <c r="AO535" s="34"/>
      <c r="AP535" s="34"/>
      <c r="AQ535" s="34"/>
      <c r="AR535" s="34"/>
      <c r="AS535" s="34"/>
      <c r="AT535" s="34"/>
      <c r="AU535" s="34"/>
      <c r="AV535" s="34"/>
      <c r="AW535" s="34"/>
      <c r="AX535" s="34"/>
      <c r="AY535" s="34"/>
      <c r="AZ535" s="34"/>
      <c r="BA535" s="34"/>
      <c r="BB535" s="34"/>
      <c r="BC535" s="34"/>
      <c r="BD535" s="34"/>
      <c r="BE535" s="34"/>
      <c r="BF535" s="34"/>
      <c r="BG535" s="34"/>
      <c r="BH535" s="34"/>
      <c r="BI535" s="34"/>
      <c r="BJ535" s="34"/>
      <c r="BK535" s="34"/>
      <c r="BL535" s="34"/>
      <c r="BM535" s="34"/>
      <c r="BN535" s="34"/>
      <c r="BO535" s="34"/>
      <c r="BP535" s="34"/>
      <c r="BQ535" s="34"/>
      <c r="BR535" s="34"/>
      <c r="BS535" s="34"/>
      <c r="BT535" s="34"/>
      <c r="BU535" s="34"/>
      <c r="BV535" s="34"/>
      <c r="BW535" s="34"/>
      <c r="BX535" s="34"/>
      <c r="BY535" s="34"/>
      <c r="BZ535" s="34"/>
      <c r="CA535" s="34"/>
      <c r="CB535" s="34"/>
      <c r="CC535" s="34"/>
      <c r="CD535" s="34"/>
      <c r="CE535" s="34"/>
      <c r="CF535" s="34"/>
      <c r="CG535" s="34"/>
      <c r="CH535" s="34"/>
      <c r="CI535" s="8"/>
    </row>
    <row r="536" spans="1:87" x14ac:dyDescent="0.2">
      <c r="A536" s="8" t="str">
        <f>IF(AND(COUNTIF(W$3:W$13,A$27)&gt;0,A$27&lt;&gt;B292),A$27,IFERROR(IF(MATCH(A$27,Z$3:Z$13,0)=11,A$27," ")," "))</f>
        <v>C13</v>
      </c>
      <c r="B536" s="8">
        <f>IF(A536=" "," ",MAX(B524:B535)+1)</f>
        <v>2</v>
      </c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U536" s="34"/>
      <c r="V536" s="34"/>
      <c r="W536" s="34"/>
      <c r="X536" s="34"/>
      <c r="Y536" s="34"/>
      <c r="Z536" s="34"/>
      <c r="AA536" s="34"/>
      <c r="AB536" s="34"/>
      <c r="AC536" s="34"/>
      <c r="AD536" s="34"/>
      <c r="AE536" s="34"/>
      <c r="AF536" s="34"/>
      <c r="AG536" s="34"/>
      <c r="AH536" s="34"/>
      <c r="AI536" s="34"/>
      <c r="AJ536" s="34"/>
      <c r="AK536" s="34"/>
      <c r="AL536" s="34"/>
      <c r="AM536" s="34"/>
      <c r="AN536" s="34"/>
      <c r="AO536" s="34"/>
      <c r="AP536" s="34"/>
      <c r="AQ536" s="34"/>
      <c r="AR536" s="34"/>
      <c r="AS536" s="34"/>
      <c r="AT536" s="34"/>
      <c r="AU536" s="34"/>
      <c r="AV536" s="34"/>
      <c r="AW536" s="34"/>
      <c r="AX536" s="34"/>
      <c r="AY536" s="34"/>
      <c r="AZ536" s="34"/>
      <c r="BA536" s="34"/>
      <c r="BB536" s="34"/>
      <c r="BC536" s="34"/>
      <c r="BD536" s="34"/>
      <c r="BE536" s="34"/>
      <c r="BF536" s="34"/>
      <c r="BG536" s="34"/>
      <c r="BH536" s="34"/>
      <c r="BI536" s="34"/>
      <c r="BJ536" s="34"/>
      <c r="BK536" s="34"/>
      <c r="BL536" s="34"/>
      <c r="BM536" s="34"/>
      <c r="BN536" s="34"/>
      <c r="BO536" s="34"/>
      <c r="BP536" s="34"/>
      <c r="BQ536" s="34"/>
      <c r="BR536" s="34"/>
      <c r="BS536" s="34"/>
      <c r="BT536" s="34"/>
      <c r="BU536" s="34"/>
      <c r="BV536" s="34"/>
      <c r="BW536" s="34"/>
      <c r="BX536" s="34"/>
      <c r="BY536" s="34"/>
      <c r="BZ536" s="34"/>
      <c r="CA536" s="34"/>
      <c r="CB536" s="34"/>
      <c r="CC536" s="34"/>
      <c r="CD536" s="34"/>
      <c r="CE536" s="34"/>
      <c r="CF536" s="34"/>
      <c r="CG536" s="34"/>
      <c r="CH536" s="34"/>
      <c r="CI536" s="8"/>
    </row>
    <row r="537" spans="1:87" x14ac:dyDescent="0.2">
      <c r="A537" s="8" t="str">
        <f>IF(AND(COUNTIF(W$3:W$13,A$28)&gt;0,A$28&lt;&gt;B292),A$28,IFERROR(IF(MATCH(A$28,Z$3:Z$13,0)=11,A$28," ")," "))</f>
        <v>C14</v>
      </c>
      <c r="B537" s="8">
        <f>IF(A537=" "," ",MAX(B524:B536)+1)</f>
        <v>3</v>
      </c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U537" s="34"/>
      <c r="V537" s="34"/>
      <c r="W537" s="34"/>
      <c r="X537" s="34"/>
      <c r="Y537" s="34"/>
      <c r="Z537" s="34"/>
      <c r="AA537" s="34"/>
      <c r="AB537" s="34"/>
      <c r="AC537" s="34"/>
      <c r="AD537" s="34"/>
      <c r="AE537" s="34"/>
      <c r="AF537" s="34"/>
      <c r="AG537" s="34"/>
      <c r="AH537" s="34"/>
      <c r="AI537" s="34"/>
      <c r="AJ537" s="34"/>
      <c r="AK537" s="34"/>
      <c r="AL537" s="34"/>
      <c r="AM537" s="34"/>
      <c r="AN537" s="34"/>
      <c r="AO537" s="34"/>
      <c r="AP537" s="34"/>
      <c r="AQ537" s="34"/>
      <c r="AR537" s="34"/>
      <c r="AS537" s="34"/>
      <c r="AT537" s="34"/>
      <c r="AU537" s="34"/>
      <c r="AV537" s="34"/>
      <c r="AW537" s="34"/>
      <c r="AX537" s="34"/>
      <c r="AY537" s="34"/>
      <c r="AZ537" s="34"/>
      <c r="BA537" s="34"/>
      <c r="BB537" s="34"/>
      <c r="BC537" s="34"/>
      <c r="BD537" s="34"/>
      <c r="BE537" s="34"/>
      <c r="BF537" s="34"/>
      <c r="BG537" s="34"/>
      <c r="BH537" s="34"/>
      <c r="BI537" s="34"/>
      <c r="BJ537" s="34"/>
      <c r="BK537" s="34"/>
      <c r="BL537" s="34"/>
      <c r="BM537" s="34"/>
      <c r="BN537" s="34"/>
      <c r="BO537" s="34"/>
      <c r="BP537" s="34"/>
      <c r="BQ537" s="34"/>
      <c r="BR537" s="34"/>
      <c r="BS537" s="34"/>
      <c r="BT537" s="34"/>
      <c r="BU537" s="34"/>
      <c r="BV537" s="34"/>
      <c r="BW537" s="34"/>
      <c r="BX537" s="34"/>
      <c r="BY537" s="34"/>
      <c r="BZ537" s="34"/>
      <c r="CA537" s="34"/>
      <c r="CB537" s="34"/>
      <c r="CC537" s="34"/>
      <c r="CD537" s="34"/>
      <c r="CE537" s="34"/>
      <c r="CF537" s="34"/>
      <c r="CG537" s="34"/>
      <c r="CH537" s="34"/>
      <c r="CI537" s="8"/>
    </row>
    <row r="538" spans="1:87" x14ac:dyDescent="0.2">
      <c r="A538" s="8" t="str">
        <f>IF(AND(COUNTIF(W$3:W$13,A$29)&gt;0,A$29&lt;&gt;B292),A$29,IFERROR(IF(MATCH(A$29,Z$3:Z$13,0)=11,A$29," ")," "))</f>
        <v>C15</v>
      </c>
      <c r="B538" s="8">
        <f>IF(A538=" "," ",MAX(B524:B537)+1)</f>
        <v>4</v>
      </c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U538" s="34"/>
      <c r="V538" s="34"/>
      <c r="W538" s="34"/>
      <c r="X538" s="34"/>
      <c r="Y538" s="34"/>
      <c r="Z538" s="34"/>
      <c r="AA538" s="34"/>
      <c r="AB538" s="34"/>
      <c r="AC538" s="34"/>
      <c r="AD538" s="34"/>
      <c r="AE538" s="34"/>
      <c r="AF538" s="34"/>
      <c r="AG538" s="34"/>
      <c r="AH538" s="34"/>
      <c r="AI538" s="34"/>
      <c r="AJ538" s="34"/>
      <c r="AK538" s="34"/>
      <c r="AL538" s="34"/>
      <c r="AM538" s="34"/>
      <c r="AN538" s="34"/>
      <c r="AO538" s="34"/>
      <c r="AP538" s="34"/>
      <c r="AQ538" s="34"/>
      <c r="AR538" s="34"/>
      <c r="AS538" s="34"/>
      <c r="AT538" s="34"/>
      <c r="AU538" s="34"/>
      <c r="AV538" s="34"/>
      <c r="AW538" s="34"/>
      <c r="AX538" s="34"/>
      <c r="AY538" s="34"/>
      <c r="AZ538" s="34"/>
      <c r="BA538" s="34"/>
      <c r="BB538" s="34"/>
      <c r="BC538" s="34"/>
      <c r="BD538" s="34"/>
      <c r="BE538" s="34"/>
      <c r="BF538" s="34"/>
      <c r="BG538" s="34"/>
      <c r="BH538" s="34"/>
      <c r="BI538" s="34"/>
      <c r="BJ538" s="34"/>
      <c r="BK538" s="34"/>
      <c r="BL538" s="34"/>
      <c r="BM538" s="34"/>
      <c r="BN538" s="34"/>
      <c r="BO538" s="34"/>
      <c r="BP538" s="34"/>
      <c r="BQ538" s="34"/>
      <c r="BR538" s="34"/>
      <c r="BS538" s="34"/>
      <c r="BT538" s="34"/>
      <c r="BU538" s="34"/>
      <c r="BV538" s="34"/>
      <c r="BW538" s="34"/>
      <c r="BX538" s="34"/>
      <c r="BY538" s="34"/>
      <c r="BZ538" s="34"/>
      <c r="CA538" s="34"/>
      <c r="CB538" s="34"/>
      <c r="CC538" s="34"/>
      <c r="CD538" s="34"/>
      <c r="CE538" s="34"/>
      <c r="CF538" s="34"/>
      <c r="CG538" s="34"/>
      <c r="CH538" s="34"/>
      <c r="CI538" s="8"/>
    </row>
    <row r="539" spans="1:87" x14ac:dyDescent="0.2">
      <c r="A539" s="8" t="str">
        <f>IF(AND(COUNTIF(W$3:W$13,A$30)&gt;0,A$30&lt;&gt;B292),A$30,IFERROR(IF(MATCH(A$30,Z$3:Z$13,0)=11,A$30," ")," "))</f>
        <v>C16</v>
      </c>
      <c r="B539" s="8">
        <f>IF(A539=" "," ",MAX(B524:B538)+1)</f>
        <v>5</v>
      </c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U539" s="34"/>
      <c r="V539" s="34"/>
      <c r="W539" s="34"/>
      <c r="X539" s="34"/>
      <c r="Y539" s="34"/>
      <c r="Z539" s="34"/>
      <c r="AA539" s="34"/>
      <c r="AB539" s="34"/>
      <c r="AC539" s="34"/>
      <c r="AD539" s="34"/>
      <c r="AE539" s="34"/>
      <c r="AF539" s="34"/>
      <c r="AG539" s="34"/>
      <c r="AH539" s="34"/>
      <c r="AI539" s="34"/>
      <c r="AJ539" s="34"/>
      <c r="AK539" s="34"/>
      <c r="AL539" s="34"/>
      <c r="AM539" s="34"/>
      <c r="AN539" s="34"/>
      <c r="AO539" s="34"/>
      <c r="AP539" s="34"/>
      <c r="AQ539" s="34"/>
      <c r="AR539" s="34"/>
      <c r="AS539" s="34"/>
      <c r="AT539" s="34"/>
      <c r="AU539" s="34"/>
      <c r="AV539" s="34"/>
      <c r="AW539" s="34"/>
      <c r="AX539" s="34"/>
      <c r="AY539" s="34"/>
      <c r="AZ539" s="34"/>
      <c r="BA539" s="34"/>
      <c r="BB539" s="34"/>
      <c r="BC539" s="34"/>
      <c r="BD539" s="34"/>
      <c r="BE539" s="34"/>
      <c r="BF539" s="34"/>
      <c r="BG539" s="34"/>
      <c r="BH539" s="34"/>
      <c r="BI539" s="34"/>
      <c r="BJ539" s="34"/>
      <c r="BK539" s="34"/>
      <c r="BL539" s="34"/>
      <c r="BM539" s="34"/>
      <c r="BN539" s="34"/>
      <c r="BO539" s="34"/>
      <c r="BP539" s="34"/>
      <c r="BQ539" s="34"/>
      <c r="BR539" s="34"/>
      <c r="BS539" s="34"/>
      <c r="BT539" s="34"/>
      <c r="BU539" s="34"/>
      <c r="BV539" s="34"/>
      <c r="BW539" s="34"/>
      <c r="BX539" s="34"/>
      <c r="BY539" s="34"/>
      <c r="BZ539" s="34"/>
      <c r="CA539" s="34"/>
      <c r="CB539" s="34"/>
      <c r="CC539" s="34"/>
      <c r="CD539" s="34"/>
      <c r="CE539" s="34"/>
      <c r="CF539" s="34"/>
      <c r="CG539" s="34"/>
      <c r="CH539" s="34"/>
      <c r="CI539" s="8"/>
    </row>
    <row r="540" spans="1:87" x14ac:dyDescent="0.2">
      <c r="A540" s="8" t="str">
        <f>IF(AND(COUNTIF(W$3:W$13,A$31)&gt;0,A$31&lt;&gt;B292),A$31,IFERROR(IF(MATCH(A$31,Z$3:Z$13,0)=11,A$31," ")," "))</f>
        <v>C17</v>
      </c>
      <c r="B540" s="8">
        <f>IF(A540=" "," ",MAX(B524:B539)+1)</f>
        <v>6</v>
      </c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U540" s="34"/>
      <c r="V540" s="34"/>
      <c r="W540" s="34"/>
      <c r="X540" s="34"/>
      <c r="Y540" s="34"/>
      <c r="Z540" s="34"/>
      <c r="AA540" s="34"/>
      <c r="AB540" s="34"/>
      <c r="AC540" s="34"/>
      <c r="AD540" s="34"/>
      <c r="AE540" s="34"/>
      <c r="AF540" s="34"/>
      <c r="AG540" s="34"/>
      <c r="AH540" s="34"/>
      <c r="AI540" s="34"/>
      <c r="AJ540" s="34"/>
      <c r="AK540" s="34"/>
      <c r="AL540" s="34"/>
      <c r="AM540" s="34"/>
      <c r="AN540" s="34"/>
      <c r="AO540" s="34"/>
      <c r="AP540" s="34"/>
      <c r="AQ540" s="34"/>
      <c r="AR540" s="34"/>
      <c r="AS540" s="34"/>
      <c r="AT540" s="34"/>
      <c r="AU540" s="34"/>
      <c r="AV540" s="34"/>
      <c r="AW540" s="34"/>
      <c r="AX540" s="34"/>
      <c r="AY540" s="34"/>
      <c r="AZ540" s="34"/>
      <c r="BA540" s="34"/>
      <c r="BB540" s="34"/>
      <c r="BC540" s="34"/>
      <c r="BD540" s="34"/>
      <c r="BE540" s="34"/>
      <c r="BF540" s="34"/>
      <c r="BG540" s="34"/>
      <c r="BH540" s="34"/>
      <c r="BI540" s="34"/>
      <c r="BJ540" s="34"/>
      <c r="BK540" s="34"/>
      <c r="BL540" s="34"/>
      <c r="BM540" s="34"/>
      <c r="BN540" s="34"/>
      <c r="BO540" s="34"/>
      <c r="BP540" s="34"/>
      <c r="BQ540" s="34"/>
      <c r="BR540" s="34"/>
      <c r="BS540" s="34"/>
      <c r="BT540" s="34"/>
      <c r="BU540" s="34"/>
      <c r="BV540" s="34"/>
      <c r="BW540" s="34"/>
      <c r="BX540" s="34"/>
      <c r="BY540" s="34"/>
      <c r="BZ540" s="34"/>
      <c r="CA540" s="34"/>
      <c r="CB540" s="34"/>
      <c r="CC540" s="34"/>
      <c r="CD540" s="34"/>
      <c r="CE540" s="34"/>
      <c r="CF540" s="34"/>
      <c r="CG540" s="34"/>
      <c r="CH540" s="34"/>
      <c r="CI540" s="8"/>
    </row>
    <row r="541" spans="1:87" x14ac:dyDescent="0.2">
      <c r="A541" s="8" t="str">
        <f>IF(AND(COUNTIF(W$3:W$13,A$32)&gt;0,A$32&lt;&gt;B292),A$32,IFERROR(IF(MATCH(A$32,Z$3:Z$13,0)=11,A$32," ")," "))</f>
        <v>C18</v>
      </c>
      <c r="B541" s="8">
        <f>IF(A541=" "," ",MAX(B524:B540)+1)</f>
        <v>7</v>
      </c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U541" s="34"/>
      <c r="V541" s="34"/>
      <c r="W541" s="34"/>
      <c r="X541" s="34"/>
      <c r="Y541" s="34"/>
      <c r="Z541" s="34"/>
      <c r="AA541" s="34"/>
      <c r="AB541" s="34"/>
      <c r="AC541" s="34"/>
      <c r="AD541" s="34"/>
      <c r="AE541" s="34"/>
      <c r="AF541" s="34"/>
      <c r="AG541" s="34"/>
      <c r="AH541" s="34"/>
      <c r="AI541" s="34"/>
      <c r="AJ541" s="34"/>
      <c r="AK541" s="34"/>
      <c r="AL541" s="34"/>
      <c r="AM541" s="34"/>
      <c r="AN541" s="34"/>
      <c r="AO541" s="34"/>
      <c r="AP541" s="34"/>
      <c r="AQ541" s="34"/>
      <c r="AR541" s="34"/>
      <c r="AS541" s="34"/>
      <c r="AT541" s="34"/>
      <c r="AU541" s="34"/>
      <c r="AV541" s="34"/>
      <c r="AW541" s="34"/>
      <c r="AX541" s="34"/>
      <c r="AY541" s="34"/>
      <c r="AZ541" s="34"/>
      <c r="BA541" s="34"/>
      <c r="BB541" s="34"/>
      <c r="BC541" s="34"/>
      <c r="BD541" s="34"/>
      <c r="BE541" s="34"/>
      <c r="BF541" s="34"/>
      <c r="BG541" s="34"/>
      <c r="BH541" s="34"/>
      <c r="BI541" s="34"/>
      <c r="BJ541" s="34"/>
      <c r="BK541" s="34"/>
      <c r="BL541" s="34"/>
      <c r="BM541" s="34"/>
      <c r="BN541" s="34"/>
      <c r="BO541" s="34"/>
      <c r="BP541" s="34"/>
      <c r="BQ541" s="34"/>
      <c r="BR541" s="34"/>
      <c r="BS541" s="34"/>
      <c r="BT541" s="34"/>
      <c r="BU541" s="34"/>
      <c r="BV541" s="34"/>
      <c r="BW541" s="34"/>
      <c r="BX541" s="34"/>
      <c r="BY541" s="34"/>
      <c r="BZ541" s="34"/>
      <c r="CA541" s="34"/>
      <c r="CB541" s="34"/>
      <c r="CC541" s="34"/>
      <c r="CD541" s="34"/>
      <c r="CE541" s="34"/>
      <c r="CF541" s="34"/>
      <c r="CG541" s="34"/>
      <c r="CH541" s="34"/>
      <c r="CI541" s="8"/>
    </row>
    <row r="542" spans="1:87" x14ac:dyDescent="0.2">
      <c r="A542" s="8" t="str">
        <f>IF(AND(COUNTIF(W$3:W$13,A$33)&gt;0,A$33&lt;&gt;B292),A$33,IFERROR(IF(MATCH(A$33,Z$3:Z$13,0)=11,A$33," ")," "))</f>
        <v>C19</v>
      </c>
      <c r="B542" s="8">
        <f>IF(A542=" "," ",MAX(B524:B541)+1)</f>
        <v>8</v>
      </c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U542" s="34"/>
      <c r="V542" s="34"/>
      <c r="W542" s="34"/>
      <c r="X542" s="34"/>
      <c r="Y542" s="34"/>
      <c r="Z542" s="34"/>
      <c r="AA542" s="34"/>
      <c r="AB542" s="34"/>
      <c r="AC542" s="34"/>
      <c r="AD542" s="34"/>
      <c r="AE542" s="34"/>
      <c r="AF542" s="34"/>
      <c r="AG542" s="34"/>
      <c r="AH542" s="34"/>
      <c r="AI542" s="34"/>
      <c r="AJ542" s="34"/>
      <c r="AK542" s="34"/>
      <c r="AL542" s="34"/>
      <c r="AM542" s="34"/>
      <c r="AN542" s="34"/>
      <c r="AO542" s="34"/>
      <c r="AP542" s="34"/>
      <c r="AQ542" s="34"/>
      <c r="AR542" s="34"/>
      <c r="AS542" s="34"/>
      <c r="AT542" s="34"/>
      <c r="AU542" s="34"/>
      <c r="AV542" s="34"/>
      <c r="AW542" s="34"/>
      <c r="AX542" s="34"/>
      <c r="AY542" s="34"/>
      <c r="AZ542" s="34"/>
      <c r="BA542" s="34"/>
      <c r="BB542" s="34"/>
      <c r="BC542" s="34"/>
      <c r="BD542" s="34"/>
      <c r="BE542" s="34"/>
      <c r="BF542" s="34"/>
      <c r="BG542" s="34"/>
      <c r="BH542" s="34"/>
      <c r="BI542" s="34"/>
      <c r="BJ542" s="34"/>
      <c r="BK542" s="34"/>
      <c r="BL542" s="34"/>
      <c r="BM542" s="34"/>
      <c r="BN542" s="34"/>
      <c r="BO542" s="34"/>
      <c r="BP542" s="34"/>
      <c r="BQ542" s="34"/>
      <c r="BR542" s="34"/>
      <c r="BS542" s="34"/>
      <c r="BT542" s="34"/>
      <c r="BU542" s="34"/>
      <c r="BV542" s="34"/>
      <c r="BW542" s="34"/>
      <c r="BX542" s="34"/>
      <c r="BY542" s="34"/>
      <c r="BZ542" s="34"/>
      <c r="CA542" s="34"/>
      <c r="CB542" s="34"/>
      <c r="CC542" s="34"/>
      <c r="CD542" s="34"/>
      <c r="CE542" s="34"/>
      <c r="CF542" s="34"/>
      <c r="CG542" s="34"/>
      <c r="CH542" s="34"/>
      <c r="CI542" s="8"/>
    </row>
    <row r="543" spans="1:87" x14ac:dyDescent="0.2">
      <c r="A543" s="8" t="str">
        <f>IF(AND(COUNTIF(W$3:W$13,A$34)&gt;0,A$34&lt;&gt;B292),A$34,IFERROR(IF(MATCH(A$34,Z$3:Z$13,0)=11,A$34," ")," "))</f>
        <v>C20</v>
      </c>
      <c r="B543" s="8">
        <f>IF(A543=" "," ",MAX(B524:B542)+1)</f>
        <v>9</v>
      </c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U543" s="34"/>
      <c r="V543" s="34"/>
      <c r="W543" s="34"/>
      <c r="X543" s="34"/>
      <c r="Y543" s="34"/>
      <c r="Z543" s="34"/>
      <c r="AA543" s="34"/>
      <c r="AB543" s="34"/>
      <c r="AC543" s="34"/>
      <c r="AD543" s="34"/>
      <c r="AE543" s="34"/>
      <c r="AF543" s="34"/>
      <c r="AG543" s="34"/>
      <c r="AH543" s="34"/>
      <c r="AI543" s="34"/>
      <c r="AJ543" s="34"/>
      <c r="AK543" s="34"/>
      <c r="AL543" s="34"/>
      <c r="AM543" s="34"/>
      <c r="AN543" s="34"/>
      <c r="AO543" s="34"/>
      <c r="AP543" s="34"/>
      <c r="AQ543" s="34"/>
      <c r="AR543" s="34"/>
      <c r="AS543" s="34"/>
      <c r="AT543" s="34"/>
      <c r="AU543" s="34"/>
      <c r="AV543" s="34"/>
      <c r="AW543" s="34"/>
      <c r="AX543" s="34"/>
      <c r="AY543" s="34"/>
      <c r="AZ543" s="34"/>
      <c r="BA543" s="34"/>
      <c r="BB543" s="34"/>
      <c r="BC543" s="34"/>
      <c r="BD543" s="34"/>
      <c r="BE543" s="34"/>
      <c r="BF543" s="34"/>
      <c r="BG543" s="34"/>
      <c r="BH543" s="34"/>
      <c r="BI543" s="34"/>
      <c r="BJ543" s="34"/>
      <c r="BK543" s="34"/>
      <c r="BL543" s="34"/>
      <c r="BM543" s="34"/>
      <c r="BN543" s="34"/>
      <c r="BO543" s="34"/>
      <c r="BP543" s="34"/>
      <c r="BQ543" s="34"/>
      <c r="BR543" s="34"/>
      <c r="BS543" s="34"/>
      <c r="BT543" s="34"/>
      <c r="BU543" s="34"/>
      <c r="BV543" s="34"/>
      <c r="BW543" s="34"/>
      <c r="BX543" s="34"/>
      <c r="BY543" s="34"/>
      <c r="BZ543" s="34"/>
      <c r="CA543" s="34"/>
      <c r="CB543" s="34"/>
      <c r="CC543" s="34"/>
      <c r="CD543" s="34"/>
      <c r="CE543" s="34"/>
      <c r="CF543" s="34"/>
      <c r="CG543" s="34"/>
      <c r="CH543" s="34"/>
      <c r="CI543" s="8"/>
    </row>
    <row r="544" spans="1:87" x14ac:dyDescent="0.2">
      <c r="A544" s="8" t="str">
        <f>IF(AND(COUNTIF(W$3:W$13,A$35)&gt;0,A$35&lt;&gt;B292),A$35,IFERROR(IF(MATCH(A$35,Z$3:Z$13,0)=11,A$35," ")," "))</f>
        <v>C21</v>
      </c>
      <c r="B544" s="8">
        <f>IF(A544=" "," ",MAX(B524:B543)+1)</f>
        <v>10</v>
      </c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U544" s="34"/>
      <c r="V544" s="34"/>
      <c r="W544" s="34"/>
      <c r="X544" s="34"/>
      <c r="Y544" s="34"/>
      <c r="Z544" s="34"/>
      <c r="AA544" s="34"/>
      <c r="AB544" s="34"/>
      <c r="AC544" s="34"/>
      <c r="AD544" s="34"/>
      <c r="AE544" s="34"/>
      <c r="AF544" s="34"/>
      <c r="AG544" s="34"/>
      <c r="AH544" s="34"/>
      <c r="AI544" s="34"/>
      <c r="AJ544" s="34"/>
      <c r="AK544" s="34"/>
      <c r="AL544" s="34"/>
      <c r="AM544" s="34"/>
      <c r="AN544" s="34"/>
      <c r="AO544" s="34"/>
      <c r="AP544" s="34"/>
      <c r="AQ544" s="34"/>
      <c r="AR544" s="34"/>
      <c r="AS544" s="34"/>
      <c r="AT544" s="34"/>
      <c r="AU544" s="34"/>
      <c r="AV544" s="34"/>
      <c r="AW544" s="34"/>
      <c r="AX544" s="34"/>
      <c r="AY544" s="34"/>
      <c r="AZ544" s="34"/>
      <c r="BA544" s="34"/>
      <c r="BB544" s="34"/>
      <c r="BC544" s="34"/>
      <c r="BD544" s="34"/>
      <c r="BE544" s="34"/>
      <c r="BF544" s="34"/>
      <c r="BG544" s="34"/>
      <c r="BH544" s="34"/>
      <c r="BI544" s="34"/>
      <c r="BJ544" s="34"/>
      <c r="BK544" s="34"/>
      <c r="BL544" s="34"/>
      <c r="BM544" s="34"/>
      <c r="BN544" s="34"/>
      <c r="BO544" s="34"/>
      <c r="BP544" s="34"/>
      <c r="BQ544" s="34"/>
      <c r="BR544" s="34"/>
      <c r="BS544" s="34"/>
      <c r="BT544" s="34"/>
      <c r="BU544" s="34"/>
      <c r="BV544" s="34"/>
      <c r="BW544" s="34"/>
      <c r="BX544" s="34"/>
      <c r="BY544" s="34"/>
      <c r="BZ544" s="34"/>
      <c r="CA544" s="34"/>
      <c r="CB544" s="34"/>
      <c r="CC544" s="34"/>
      <c r="CD544" s="34"/>
      <c r="CE544" s="34"/>
      <c r="CF544" s="34"/>
      <c r="CG544" s="34"/>
      <c r="CH544" s="34"/>
      <c r="CI544" s="8"/>
    </row>
    <row r="545" spans="1:87" x14ac:dyDescent="0.2">
      <c r="A545" s="8" t="str">
        <f>IF(AND(COUNTIF(W$3:W$13,A$36)&gt;0,A$36&lt;&gt;B292),A$36,IFERROR(IF(MATCH(A$36,Z$3:Z$13,0)=11,A$36," ")," "))</f>
        <v>C22</v>
      </c>
      <c r="B545" s="8">
        <f>IF(A545=" "," ",MAX(B524:B544)+1)</f>
        <v>11</v>
      </c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U545" s="34"/>
      <c r="V545" s="34"/>
      <c r="W545" s="34"/>
      <c r="X545" s="34"/>
      <c r="Y545" s="34"/>
      <c r="Z545" s="34"/>
      <c r="AA545" s="34"/>
      <c r="AB545" s="34"/>
      <c r="AC545" s="34"/>
      <c r="AD545" s="34"/>
      <c r="AE545" s="34"/>
      <c r="AF545" s="34"/>
      <c r="AG545" s="34"/>
      <c r="AH545" s="34"/>
      <c r="AI545" s="34"/>
      <c r="AJ545" s="34"/>
      <c r="AK545" s="34"/>
      <c r="AL545" s="34"/>
      <c r="AM545" s="34"/>
      <c r="AN545" s="34"/>
      <c r="AO545" s="34"/>
      <c r="AP545" s="34"/>
      <c r="AQ545" s="34"/>
      <c r="AR545" s="34"/>
      <c r="AS545" s="34"/>
      <c r="AT545" s="34"/>
      <c r="AU545" s="34"/>
      <c r="AV545" s="34"/>
      <c r="AW545" s="34"/>
      <c r="AX545" s="34"/>
      <c r="AY545" s="34"/>
      <c r="AZ545" s="34"/>
      <c r="BA545" s="34"/>
      <c r="BB545" s="34"/>
      <c r="BC545" s="34"/>
      <c r="BD545" s="34"/>
      <c r="BE545" s="34"/>
      <c r="BF545" s="34"/>
      <c r="BG545" s="34"/>
      <c r="BH545" s="34"/>
      <c r="BI545" s="34"/>
      <c r="BJ545" s="34"/>
      <c r="BK545" s="34"/>
      <c r="BL545" s="34"/>
      <c r="BM545" s="34"/>
      <c r="BN545" s="34"/>
      <c r="BO545" s="34"/>
      <c r="BP545" s="34"/>
      <c r="BQ545" s="34"/>
      <c r="BR545" s="34"/>
      <c r="BS545" s="34"/>
      <c r="BT545" s="34"/>
      <c r="BU545" s="34"/>
      <c r="BV545" s="34"/>
      <c r="BW545" s="34"/>
      <c r="BX545" s="34"/>
      <c r="BY545" s="34"/>
      <c r="BZ545" s="34"/>
      <c r="CA545" s="34"/>
      <c r="CB545" s="34"/>
      <c r="CC545" s="34"/>
      <c r="CD545" s="34"/>
      <c r="CE545" s="34"/>
      <c r="CF545" s="34"/>
      <c r="CG545" s="34"/>
      <c r="CH545" s="34"/>
      <c r="CI545" s="8"/>
    </row>
    <row r="546" spans="1:87" s="16" customFormat="1" x14ac:dyDescent="0.2">
      <c r="A546" s="28"/>
      <c r="B546" s="49" t="str">
        <f>W5</f>
        <v>C13</v>
      </c>
      <c r="C546" s="49"/>
      <c r="D546" s="49"/>
      <c r="E546" s="49"/>
      <c r="F546" s="49"/>
      <c r="G546" s="49"/>
      <c r="H546" s="49"/>
      <c r="I546" s="49"/>
      <c r="J546" s="49"/>
      <c r="K546" s="49"/>
      <c r="L546" s="49"/>
      <c r="M546" s="49"/>
      <c r="N546" s="49"/>
      <c r="O546" s="49"/>
      <c r="P546" s="49"/>
      <c r="Q546" s="49"/>
      <c r="R546" s="28" t="e">
        <f>(N$2*INDEX(Q547:R799,MATCH(T546,R547:R799,0),1)+N$3*INDEX(Q547:R799,MATCH(T546,R547:R799,0)+1,1)+N$4*INDEX(Q547:R799,MATCH(T546,R547:R799,0)+2,1)+N$5*INDEX(Q547:R799,MATCH(T546,R547:R799,0)+3,1)+N$6*INDEX(Q547:R799,MATCH(T546,R547:R799,0)+4,1)+N$7*INDEX(Q547:R799,MATCH(T546,R547:R799,0)+5,1)+N$8*INDEX(Q547:R799,MATCH(T546,R547:R799,0)+6,1)+N$9*INDEX(Q547:R799,MATCH(T546,R547:R799,0)+7,1)+N$10*INDEX(Q547:R799,MATCH(T546,R547:R799,0)+8,1)+N$11*INDEX(Q547:R799,MATCH(T546,R547:R799,0)+9,1)+N$12*INDEX(Q547:R799,MATCH(T546,R547:R799,0)+10,1)-N$2*INDEX(Q547:R799,MATCH(S546,R547:R799,0),1)-N$3*INDEX(Q547:R799,MATCH(S546,R547:R799,0)+1,1)-N$4*INDEX(Q547:R799,MATCH(S546,R547:R799,0)+2,1)-N$5*INDEX(Q547:R799,MATCH(S546,R547:R799,0)+3,1)-N$6*INDEX(Q547:R799,MATCH(S546,R547:R799,0)+4,1)-N$7*INDEX(Q547:R799,MATCH(S546,R547:R799,0)+5,1)-N$8*INDEX(Q547:R799,MATCH(S546,R547:R799,0)+6,1)-N$9*INDEX(Q547:R799,MATCH(S546,R547:R799,0)+7,1)-N$10*INDEX(Q547:R799,MATCH(S546,R547:R799,0)+8,1)-N$11*INDEX(Q547:R799,MATCH(S546,R547:R799,0)+9,1)-N$12*INDEX(Q547:R799,MATCH(S546,R547:R799,0)+10,1))/(T546-S546)</f>
        <v>#N/A</v>
      </c>
      <c r="S546" s="28" t="e">
        <f>INDEX(R548:T799,MATCH(MAX(S548:S799),S548:S799,0),1)</f>
        <v>#N/A</v>
      </c>
      <c r="T546" s="20">
        <f>INDEX(R548:T799,MATCH(MIN(T548:T799),T548:T799,0),1)</f>
        <v>150</v>
      </c>
      <c r="U546" s="50" t="str">
        <f t="shared" ref="U546" si="2154">A$2</f>
        <v>X1</v>
      </c>
      <c r="V546" s="49"/>
      <c r="W546" s="49"/>
      <c r="X546" s="49"/>
      <c r="Y546" s="35" t="str">
        <f t="shared" ref="Y546" si="2155">IF(INDEX($A$15:$N$36,MATCH($B546,$A$15:$A$36,0),14)&lt;&gt;"=",IFERROR(INDEX(X547:Z799,MATCH(MAX(Y547:Y799),Y547:Y799,0),1)," ")," ")</f>
        <v xml:space="preserve"> </v>
      </c>
      <c r="Z546" s="35">
        <f t="shared" ref="Z546" si="2156">IF(INDEX($A$15:$N$36,MATCH($B546,$A$15:$A$36,0),14)&lt;&gt;"=",IFERROR(INDEX(X547:Z799,MATCH(MIN(Z547:Z799),Z547:Z799,0),1)," ")," ")</f>
        <v>189.99999999999994</v>
      </c>
      <c r="AA546" s="49" t="str">
        <f t="shared" ref="AA546" si="2157">A$3</f>
        <v>X2</v>
      </c>
      <c r="AB546" s="49"/>
      <c r="AC546" s="49"/>
      <c r="AD546" s="49"/>
      <c r="AE546" s="35" t="str">
        <f t="shared" ref="AE546" si="2158">IF(INDEX($A$15:$N$36,MATCH($B546,$A$15:$A$36,0),14)&lt;&gt;"=",IFERROR(INDEX(AD547:AF799,MATCH(MAX(AE547:AE799),AE547:AE799,0),1)," ")," ")</f>
        <v xml:space="preserve"> </v>
      </c>
      <c r="AF546" s="35">
        <f t="shared" ref="AF546" si="2159">IF(INDEX($A$15:$N$36,MATCH($B546,$A$15:$A$36,0),14)&lt;&gt;"=",IFERROR(INDEX(AD547:AF799,MATCH(MIN(AF547:AF799),AF547:AF799,0),1)," ")," ")</f>
        <v>249.99999999999994</v>
      </c>
      <c r="AG546" s="49" t="str">
        <f t="shared" ref="AG546" si="2160">A$4</f>
        <v>X3</v>
      </c>
      <c r="AH546" s="49"/>
      <c r="AI546" s="49"/>
      <c r="AJ546" s="49"/>
      <c r="AK546" s="35">
        <f t="shared" ref="AK546" si="2161">IF(INDEX($A$15:$N$36,MATCH($B546,$A$15:$A$36,0),14)&lt;&gt;"=",IFERROR(INDEX(AJ547:AL799,MATCH(MAX(AK547:AK799),AK547:AK799,0),1)," ")," ")</f>
        <v>310</v>
      </c>
      <c r="AL546" s="35" t="str">
        <f t="shared" ref="AL546" si="2162">IF(INDEX($A$15:$N$36,MATCH($B546,$A$15:$A$36,0),14)&lt;&gt;"=",IFERROR(INDEX(AJ547:AL799,MATCH(MIN(AL547:AL799),AL547:AL799,0),1)," ")," ")</f>
        <v xml:space="preserve"> </v>
      </c>
      <c r="AM546" s="49" t="str">
        <f t="shared" ref="AM546" si="2163">A$5</f>
        <v>X4</v>
      </c>
      <c r="AN546" s="49"/>
      <c r="AO546" s="49"/>
      <c r="AP546" s="49"/>
      <c r="AQ546" s="35" t="str">
        <f t="shared" ref="AQ546" si="2164">IF(INDEX($A$15:$N$36,MATCH($B546,$A$15:$A$36,0),14)&lt;&gt;"=",IFERROR(INDEX(AP547:AR799,MATCH(MAX(AQ547:AQ799),AQ547:AQ799,0),1)," ")," ")</f>
        <v xml:space="preserve"> </v>
      </c>
      <c r="AR546" s="35" t="str">
        <f t="shared" ref="AR546" si="2165">IF(INDEX($A$15:$N$36,MATCH($B546,$A$15:$A$36,0),14)&lt;&gt;"=",IFERROR(INDEX(AP547:AR799,MATCH(MIN(AR547:AR799),AR547:AR799,0),1)," ")," ")</f>
        <v xml:space="preserve"> </v>
      </c>
      <c r="AS546" s="49" t="str">
        <f t="shared" ref="AS546" si="2166">A$6</f>
        <v>X5</v>
      </c>
      <c r="AT546" s="49"/>
      <c r="AU546" s="49"/>
      <c r="AV546" s="49"/>
      <c r="AW546" s="35" t="str">
        <f t="shared" ref="AW546" si="2167">IF(INDEX($A$15:$N$36,MATCH($B546,$A$15:$A$36,0),14)&lt;&gt;"=",IFERROR(INDEX(AV547:AX799,MATCH(MAX(AW547:AW799),AW547:AW799,0),1)," ")," ")</f>
        <v xml:space="preserve"> </v>
      </c>
      <c r="AX546" s="35" t="str">
        <f t="shared" ref="AX546" si="2168">IF(INDEX($A$15:$N$36,MATCH($B546,$A$15:$A$36,0),14)&lt;&gt;"=",IFERROR(INDEX(AV547:AX799,MATCH(MIN(AX547:AX799),AX547:AX799,0),1)," ")," ")</f>
        <v xml:space="preserve"> </v>
      </c>
      <c r="AY546" s="49" t="str">
        <f t="shared" ref="AY546" si="2169">A$7</f>
        <v>X6</v>
      </c>
      <c r="AZ546" s="49"/>
      <c r="BA546" s="49"/>
      <c r="BB546" s="49"/>
      <c r="BC546" s="35" t="str">
        <f t="shared" ref="BC546" si="2170">IF(INDEX($A$15:$N$36,MATCH($B546,$A$15:$A$36,0),14)&lt;&gt;"=",IFERROR(INDEX(BB547:BD799,MATCH(MAX(BC547:BC799),BC547:BC799,0),1)," ")," ")</f>
        <v xml:space="preserve"> </v>
      </c>
      <c r="BD546" s="35" t="str">
        <f t="shared" ref="BD546" si="2171">IF(INDEX($A$15:$N$36,MATCH($B546,$A$15:$A$36,0),14)&lt;&gt;"=",IFERROR(INDEX(BB547:BD799,MATCH(MIN(BD547:BD799),BD547:BD799,0),1)," ")," ")</f>
        <v xml:space="preserve"> </v>
      </c>
      <c r="BE546" s="49" t="str">
        <f t="shared" ref="BE546" si="2172">A$8</f>
        <v>X7</v>
      </c>
      <c r="BF546" s="49"/>
      <c r="BG546" s="49"/>
      <c r="BH546" s="49"/>
      <c r="BI546" s="35" t="str">
        <f t="shared" ref="BI546" si="2173">IF(INDEX($A$15:$N$36,MATCH($B546,$A$15:$A$36,0),14)&lt;&gt;"=",IFERROR(INDEX(BH547:BJ799,MATCH(MAX(BI547:BI799),BI547:BI799,0),1)," ")," ")</f>
        <v xml:space="preserve"> </v>
      </c>
      <c r="BJ546" s="35" t="str">
        <f t="shared" ref="BJ546" si="2174">IF(INDEX($A$15:$N$36,MATCH($B546,$A$15:$A$36,0),14)&lt;&gt;"=",IFERROR(INDEX(BH547:BJ799,MATCH(MIN(BJ547:BJ799),BJ547:BJ799,0),1)," ")," ")</f>
        <v xml:space="preserve"> </v>
      </c>
      <c r="BK546" s="49" t="str">
        <f t="shared" ref="BK546" si="2175">A$9</f>
        <v>X8</v>
      </c>
      <c r="BL546" s="49"/>
      <c r="BM546" s="49"/>
      <c r="BN546" s="49"/>
      <c r="BO546" s="35" t="str">
        <f t="shared" ref="BO546" si="2176">IF(INDEX($A$15:$N$36,MATCH($B546,$A$15:$A$36,0),14)&lt;&gt;"=",IFERROR(INDEX(BN547:BP799,MATCH(MAX(BO547:BO799),BO547:BO799,0),1)," ")," ")</f>
        <v xml:space="preserve"> </v>
      </c>
      <c r="BP546" s="35" t="str">
        <f t="shared" ref="BP546" si="2177">IF(INDEX($A$15:$N$36,MATCH($B546,$A$15:$A$36,0),14)&lt;&gt;"=",IFERROR(INDEX(BN547:BP799,MATCH(MIN(BP547:BP799),BP547:BP799,0),1)," ")," ")</f>
        <v xml:space="preserve"> </v>
      </c>
      <c r="BQ546" s="49" t="str">
        <f t="shared" ref="BQ546" si="2178">A$10</f>
        <v>X9</v>
      </c>
      <c r="BR546" s="49"/>
      <c r="BS546" s="49"/>
      <c r="BT546" s="49"/>
      <c r="BU546" s="35" t="str">
        <f t="shared" ref="BU546" si="2179">IF(INDEX($A$15:$N$36,MATCH($B546,$A$15:$A$36,0),14)&lt;&gt;"=",IFERROR(INDEX(BT547:BV799,MATCH(MAX(BU547:BU799),BU547:BU799,0),1)," ")," ")</f>
        <v xml:space="preserve"> </v>
      </c>
      <c r="BV546" s="35" t="str">
        <f t="shared" ref="BV546" si="2180">IF(INDEX($A$15:$N$36,MATCH($B546,$A$15:$A$36,0),14)&lt;&gt;"=",IFERROR(INDEX(BT547:BV799,MATCH(MIN(BV547:BV799),BV547:BV799,0),1)," ")," ")</f>
        <v xml:space="preserve"> </v>
      </c>
      <c r="BW546" s="49" t="str">
        <f t="shared" ref="BW546" si="2181">A$11</f>
        <v>X10</v>
      </c>
      <c r="BX546" s="49"/>
      <c r="BY546" s="49"/>
      <c r="BZ546" s="49"/>
      <c r="CA546" s="35" t="str">
        <f t="shared" ref="CA546" si="2182">IF(INDEX($A$15:$N$36,MATCH($B546,$A$15:$A$36,0),14)&lt;&gt;"=",IFERROR(INDEX(BZ547:CB799,MATCH(MAX(CA547:CA799),CA547:CA799,0),1)," ")," ")</f>
        <v xml:space="preserve"> </v>
      </c>
      <c r="CB546" s="35" t="str">
        <f t="shared" ref="CB546" si="2183">IF(INDEX($A$15:$N$36,MATCH($B546,$A$15:$A$36,0),14)&lt;&gt;"=",IFERROR(INDEX(BZ547:CB799,MATCH(MIN(CB547:CB799),CB547:CB799,0),1)," ")," ")</f>
        <v xml:space="preserve"> </v>
      </c>
      <c r="CC546" s="49" t="str">
        <f t="shared" ref="CC546" si="2184">A$12</f>
        <v>X11</v>
      </c>
      <c r="CD546" s="49"/>
      <c r="CE546" s="49"/>
      <c r="CF546" s="49"/>
      <c r="CG546" s="35" t="str">
        <f t="shared" ref="CG546" si="2185">IF(INDEX($A$15:$N$36,MATCH($B546,$A$15:$A$36,0),14)&lt;&gt;"=",IFERROR(INDEX(CF547:CH799,MATCH(MAX(CG547:CG799),CG547:CG799,0),1)," ")," ")</f>
        <v xml:space="preserve"> </v>
      </c>
      <c r="CH546" s="35" t="str">
        <f t="shared" ref="CH546" si="2186">IF(INDEX($A$15:$N$36,MATCH($B546,$A$15:$A$36,0),14)&lt;&gt;"=",IFERROR(INDEX(CF547:CH799,MATCH(MIN(CH547:CH799),CH547:CH799,0),1)," ")," ")</f>
        <v xml:space="preserve"> </v>
      </c>
    </row>
    <row r="547" spans="1:87" x14ac:dyDescent="0.2">
      <c r="A547" s="11" t="s">
        <v>17</v>
      </c>
      <c r="B547" s="11"/>
      <c r="C547" s="27" t="s">
        <v>18</v>
      </c>
      <c r="D547" s="27" t="s">
        <v>2</v>
      </c>
      <c r="E547" s="27" t="s">
        <v>6</v>
      </c>
      <c r="F547" s="27" t="s">
        <v>15</v>
      </c>
      <c r="G547" s="27" t="s">
        <v>36</v>
      </c>
      <c r="H547" s="27" t="s">
        <v>37</v>
      </c>
      <c r="I547" s="27" t="s">
        <v>38</v>
      </c>
      <c r="J547" s="27" t="s">
        <v>39</v>
      </c>
      <c r="K547" s="27" t="s">
        <v>40</v>
      </c>
      <c r="L547" s="27" t="s">
        <v>41</v>
      </c>
      <c r="M547" s="27" t="s">
        <v>42</v>
      </c>
      <c r="N547" s="27" t="s">
        <v>43</v>
      </c>
      <c r="O547" s="27" t="s">
        <v>9</v>
      </c>
      <c r="P547" s="27" t="s">
        <v>12</v>
      </c>
      <c r="Q547" s="27" t="s">
        <v>19</v>
      </c>
      <c r="R547" s="27" t="s">
        <v>55</v>
      </c>
      <c r="S547" s="27" t="s">
        <v>26</v>
      </c>
      <c r="T547" s="19" t="s">
        <v>25</v>
      </c>
      <c r="U547" s="33" t="s">
        <v>27</v>
      </c>
      <c r="V547" s="33" t="s">
        <v>9</v>
      </c>
      <c r="W547" s="33" t="s">
        <v>23</v>
      </c>
      <c r="X547" s="33" t="s">
        <v>12</v>
      </c>
      <c r="Y547" s="33" t="s">
        <v>26</v>
      </c>
      <c r="Z547" s="33" t="s">
        <v>25</v>
      </c>
      <c r="AA547" s="33" t="s">
        <v>27</v>
      </c>
      <c r="AB547" s="33" t="s">
        <v>9</v>
      </c>
      <c r="AC547" s="33" t="s">
        <v>23</v>
      </c>
      <c r="AD547" s="33" t="s">
        <v>12</v>
      </c>
      <c r="AE547" s="33" t="s">
        <v>26</v>
      </c>
      <c r="AF547" s="33" t="s">
        <v>25</v>
      </c>
      <c r="AG547" s="33" t="s">
        <v>27</v>
      </c>
      <c r="AH547" s="33" t="s">
        <v>9</v>
      </c>
      <c r="AI547" s="33" t="s">
        <v>23</v>
      </c>
      <c r="AJ547" s="33" t="s">
        <v>12</v>
      </c>
      <c r="AK547" s="33" t="s">
        <v>26</v>
      </c>
      <c r="AL547" s="33" t="s">
        <v>25</v>
      </c>
      <c r="AM547" s="33" t="s">
        <v>27</v>
      </c>
      <c r="AN547" s="33" t="s">
        <v>9</v>
      </c>
      <c r="AO547" s="33" t="s">
        <v>23</v>
      </c>
      <c r="AP547" s="33" t="s">
        <v>12</v>
      </c>
      <c r="AQ547" s="33" t="s">
        <v>26</v>
      </c>
      <c r="AR547" s="33" t="s">
        <v>25</v>
      </c>
      <c r="AS547" s="33" t="s">
        <v>27</v>
      </c>
      <c r="AT547" s="33" t="s">
        <v>9</v>
      </c>
      <c r="AU547" s="33" t="s">
        <v>23</v>
      </c>
      <c r="AV547" s="33" t="s">
        <v>12</v>
      </c>
      <c r="AW547" s="33" t="s">
        <v>26</v>
      </c>
      <c r="AX547" s="33" t="s">
        <v>25</v>
      </c>
      <c r="AY547" s="33" t="s">
        <v>27</v>
      </c>
      <c r="AZ547" s="33" t="s">
        <v>9</v>
      </c>
      <c r="BA547" s="33" t="s">
        <v>23</v>
      </c>
      <c r="BB547" s="33" t="s">
        <v>12</v>
      </c>
      <c r="BC547" s="33" t="s">
        <v>26</v>
      </c>
      <c r="BD547" s="33" t="s">
        <v>25</v>
      </c>
      <c r="BE547" s="33" t="s">
        <v>27</v>
      </c>
      <c r="BF547" s="33" t="s">
        <v>9</v>
      </c>
      <c r="BG547" s="33" t="s">
        <v>23</v>
      </c>
      <c r="BH547" s="33" t="s">
        <v>12</v>
      </c>
      <c r="BI547" s="33" t="s">
        <v>26</v>
      </c>
      <c r="BJ547" s="33" t="s">
        <v>25</v>
      </c>
      <c r="BK547" s="33" t="s">
        <v>27</v>
      </c>
      <c r="BL547" s="33" t="s">
        <v>9</v>
      </c>
      <c r="BM547" s="33" t="s">
        <v>23</v>
      </c>
      <c r="BN547" s="33" t="s">
        <v>12</v>
      </c>
      <c r="BO547" s="33" t="s">
        <v>26</v>
      </c>
      <c r="BP547" s="33" t="s">
        <v>25</v>
      </c>
      <c r="BQ547" s="33" t="s">
        <v>27</v>
      </c>
      <c r="BR547" s="33" t="s">
        <v>9</v>
      </c>
      <c r="BS547" s="33" t="s">
        <v>23</v>
      </c>
      <c r="BT547" s="33" t="s">
        <v>12</v>
      </c>
      <c r="BU547" s="33" t="s">
        <v>26</v>
      </c>
      <c r="BV547" s="33" t="s">
        <v>25</v>
      </c>
      <c r="BW547" s="33" t="s">
        <v>27</v>
      </c>
      <c r="BX547" s="33" t="s">
        <v>9</v>
      </c>
      <c r="BY547" s="33" t="s">
        <v>23</v>
      </c>
      <c r="BZ547" s="33" t="s">
        <v>12</v>
      </c>
      <c r="CA547" s="33" t="s">
        <v>26</v>
      </c>
      <c r="CB547" s="33" t="s">
        <v>25</v>
      </c>
      <c r="CC547" s="33" t="s">
        <v>27</v>
      </c>
      <c r="CD547" s="33" t="s">
        <v>9</v>
      </c>
      <c r="CE547" s="33" t="s">
        <v>23</v>
      </c>
      <c r="CF547" s="33" t="s">
        <v>12</v>
      </c>
      <c r="CG547" s="33" t="s">
        <v>26</v>
      </c>
      <c r="CH547" s="33" t="s">
        <v>25</v>
      </c>
      <c r="CI547" s="8"/>
    </row>
    <row r="548" spans="1:87" x14ac:dyDescent="0.2">
      <c r="A548" s="8" t="str">
        <f>IF(AND(COUNTIF(W$3:W$13,A$15)&gt;0,A$15&lt;&gt;B546),A$15,IFERROR(IF(MATCH(A$15,Z$3:Z$13,0)=1,A$15," ")," "))</f>
        <v>C1</v>
      </c>
      <c r="B548" s="8">
        <f>IF(A548=" "," ",1)</f>
        <v>1</v>
      </c>
      <c r="C548" s="8" t="str">
        <f>IFERROR(INDEX(A548:A569,MATCH(SMALL(B548:B569,1),B548:B569,0),1)," ")</f>
        <v>C1</v>
      </c>
      <c r="D548" s="8">
        <f>IFERROR(VLOOKUP($C548,$A$15:$O$36,2,FALSE)," ")</f>
        <v>1</v>
      </c>
      <c r="E548" s="8">
        <f>IFERROR(VLOOKUP($C548,$A$15:$O$36,3,FALSE)," ")</f>
        <v>1</v>
      </c>
      <c r="F548" s="8">
        <f>IFERROR(VLOOKUP($C548,$A$15:$O$36,4,FALSE)," ")</f>
        <v>1</v>
      </c>
      <c r="G548" s="8">
        <f>IFERROR(VLOOKUP($C548,$A$15:$O$36,5,FALSE)," ")</f>
        <v>0</v>
      </c>
      <c r="H548" s="8">
        <f>IFERROR(VLOOKUP($C548,$A$15:$O$36,6,FALSE)," ")</f>
        <v>0</v>
      </c>
      <c r="I548" s="8">
        <f>IFERROR(VLOOKUP($C548,$A$15:$O$36,7,FALSE)," ")</f>
        <v>0</v>
      </c>
      <c r="J548" s="8">
        <f>IFERROR(VLOOKUP($C548,$A$15:$O$36,8,FALSE)," ")</f>
        <v>0</v>
      </c>
      <c r="K548" s="8">
        <f>IFERROR(VLOOKUP($C548,$A$15:$O$36,9,FALSE)," ")</f>
        <v>0</v>
      </c>
      <c r="L548" s="8">
        <f>IFERROR(VLOOKUP($C548,$A$15:$O$36,10,FALSE)," ")</f>
        <v>0</v>
      </c>
      <c r="M548" s="8">
        <f>IFERROR(VLOOKUP($C548,$A$15:$O$36,11,FALSE)," ")</f>
        <v>0</v>
      </c>
      <c r="N548" s="8">
        <f>IFERROR(VLOOKUP($C548,$A$15:$O$36,12,FALSE)," ")</f>
        <v>0</v>
      </c>
      <c r="O548" s="8">
        <f>IFERROR(VLOOKUP($C548,$A$15:$O$36,15,FALSE)," ")</f>
        <v>550</v>
      </c>
      <c r="P548" s="8">
        <f t="array" ref="P548:P558">MMULT(MINVERSE(D548:N558),O548:O558)</f>
        <v>287.50000000000017</v>
      </c>
      <c r="Q548" s="8">
        <f t="shared" ref="Q548" si="2187">IF(COUNTIF(P548:P558,"&lt;"&amp;-0.001)=0,IF(ABS(P548)&lt;0.001,0,P548)," ")</f>
        <v>287.50000000000017</v>
      </c>
      <c r="R548" s="8">
        <f>IFERROR(VLOOKUP(B546,A$15:L$36,2,FALSE)*Q548+VLOOKUP(B546,A$15:L$36,3,FALSE)*Q549+VLOOKUP(B546,A$15:L$36,4,FALSE)*Q550+VLOOKUP(B546,A$15:L$36,5,FALSE)*Q551+VLOOKUP(B546,A$15:L$36,6,FALSE)*Q552+VLOOKUP(B546,A$15:L$36,7,FALSE)*Q553+VLOOKUP(B546,A$15:L$36,8,FALSE)*Q554+VLOOKUP(B546,A$15:L$36,9,FALSE)*Q555+VLOOKUP(B546,A$15:L$36,10,FALSE)*Q556+VLOOKUP(B546,A$15:L$36,11,FALSE)*Q557+VLOOKUP(B546,A$15:L$36,12,FALSE)*Q558," ")</f>
        <v>150</v>
      </c>
      <c r="S548" s="8" t="str">
        <f>IFERROR(IF(R548-VLOOKUP(B546,A$15:O$36,15,FALSE)&lt;0,R548-VLOOKUP(B546,A$15:O$36,15,FALSE)," ")," ")</f>
        <v xml:space="preserve"> </v>
      </c>
      <c r="T548" s="18">
        <f>IFERROR(IF(R548-VLOOKUP(B546,A$15:O$36,15,FALSE)&gt;0,R548-VLOOKUP(B546,A$15:O$36,15,FALSE)," ")," ")</f>
        <v>150</v>
      </c>
      <c r="U548" s="34">
        <f t="shared" ref="U548" si="2188">$M$2</f>
        <v>100.00000000000001</v>
      </c>
      <c r="V548" s="34">
        <v>-1</v>
      </c>
      <c r="W548" s="34">
        <f t="shared" ref="W548" si="2189">-SUMPRODUCT($M$3:$M$12,$N$3:$N$12)</f>
        <v>-105000</v>
      </c>
      <c r="X548" s="34">
        <f t="shared" ref="X548" si="2190">IF(U548&lt;&gt;U549,MMULT(MINVERSE(U548:V549),W548:W549)," ")</f>
        <v>189.99999999999994</v>
      </c>
      <c r="Y548" s="34" t="str">
        <f t="shared" ref="Y548" si="2191">IFERROR(IF(X548-VLOOKUP(U$38,$A$2:$N$12,14,FALSE)&lt;0,X548-VLOOKUP(U$38,$A$2:$N$12,14,FALSE)," ")," ")</f>
        <v xml:space="preserve"> </v>
      </c>
      <c r="Z548" s="34">
        <f t="shared" ref="Z548" si="2192">IFERROR(IF(X548-VLOOKUP(U$38,$A$2:$N$12,14,FALSE)&gt;0,X548-VLOOKUP(U$38,$A$2:$N$12,14,FALSE)," ")," ")</f>
        <v>39.999999999999943</v>
      </c>
      <c r="AA548" s="34">
        <f t="shared" ref="AA548" si="2193">$M$3</f>
        <v>0</v>
      </c>
      <c r="AB548" s="34">
        <v>-1</v>
      </c>
      <c r="AC548" s="34">
        <f t="shared" ref="AC548" si="2194">-SUMPRODUCT($M$2:$M$2,$N$2:$N$2)-SUMPRODUCT($M$4:$M$12,$N$4:$N$12)</f>
        <v>-120000</v>
      </c>
      <c r="AD548" s="34">
        <f t="shared" ref="AD548" si="2195">IF(AA548&lt;&gt;AA549,MMULT(MINVERSE(AA548:AB549),AC548:AC549)," ")</f>
        <v>250</v>
      </c>
      <c r="AE548" s="34" t="str">
        <f t="shared" ref="AE548" si="2196">IFERROR(IF(AD548-VLOOKUP(AA$38,$A$2:$N$12,14,FALSE)&lt;0,AD548-VLOOKUP(AA$38,$A$2:$N$12,14,FALSE)," ")," ")</f>
        <v xml:space="preserve"> </v>
      </c>
      <c r="AF548" s="34">
        <f t="shared" ref="AF548" si="2197">IFERROR(IF(AD548-VLOOKUP(AA$38,$A$2:$N$12,14,FALSE)&gt;0,AD548-VLOOKUP(AA$38,$A$2:$N$12,14,FALSE)," ")," ")</f>
        <v>50</v>
      </c>
      <c r="AG548" s="34">
        <f t="shared" ref="AG548" si="2198">$M$4</f>
        <v>300</v>
      </c>
      <c r="AH548" s="34">
        <v>-1</v>
      </c>
      <c r="AI548" s="34">
        <f t="shared" ref="AI548" si="2199">-SUMPRODUCT($M$2:$M$3,$N$2:$N$3)-SUMPRODUCT($M$5:$M$12,$N$5:$N$12)</f>
        <v>-15000.000000000002</v>
      </c>
      <c r="AJ548" s="34">
        <f t="shared" ref="AJ548" si="2200">IF(AG548&lt;&gt;AG549,MMULT(MINVERSE(AG548:AH549),AI548:AI549)," ")</f>
        <v>310</v>
      </c>
      <c r="AK548" s="34">
        <f t="shared" ref="AK548" si="2201">IFERROR(IF(AJ548-VLOOKUP(AG$38,$A$2:$N$12,14,FALSE)&lt;0,AJ548-VLOOKUP(AG$38,$A$2:$N$12,14,FALSE)," ")," ")</f>
        <v>-40</v>
      </c>
      <c r="AL548" s="34" t="str">
        <f t="shared" ref="AL548" si="2202">IFERROR(IF(AJ548-VLOOKUP(AG$38,$A$2:$N$12,14,FALSE)&gt;0,AJ548-VLOOKUP(AG$38,$A$2:$N$12,14,FALSE)," ")," ")</f>
        <v xml:space="preserve"> </v>
      </c>
      <c r="AM548" s="34">
        <f t="shared" ref="AM548" si="2203">$M$5</f>
        <v>0</v>
      </c>
      <c r="AN548" s="34">
        <v>-1</v>
      </c>
      <c r="AO548" s="34">
        <f t="shared" ref="AO548" si="2204">-SUMPRODUCT($M$2:$M$4,$N$2:$N$4)-SUMPRODUCT($M$6:$M$12,$N$6:$N$12)</f>
        <v>-120000</v>
      </c>
      <c r="AP548" s="34" t="str">
        <f t="shared" ref="AP548" si="2205">IF(AM548&lt;&gt;AM549,MMULT(MINVERSE(AM548:AN549),AO548:AO549)," ")</f>
        <v xml:space="preserve"> </v>
      </c>
      <c r="AQ548" s="34" t="str">
        <f t="shared" ref="AQ548" si="2206">IFERROR(IF(AP548-VLOOKUP(AM$38,$A$2:$N$12,14,FALSE)&lt;0,AP548-VLOOKUP(AM$38,$A$2:$N$12,14,FALSE)," ")," ")</f>
        <v xml:space="preserve"> </v>
      </c>
      <c r="AR548" s="34" t="str">
        <f t="shared" ref="AR548" si="2207">IFERROR(IF(AP548-VLOOKUP(AM$38,$A$2:$N$12,14,FALSE)&gt;0,AP548-VLOOKUP(AM$38,$A$2:$N$12,14,FALSE)," ")," ")</f>
        <v xml:space="preserve"> </v>
      </c>
      <c r="AS548" s="34">
        <f t="shared" ref="AS548" si="2208">$M$6</f>
        <v>0</v>
      </c>
      <c r="AT548" s="34">
        <v>-1</v>
      </c>
      <c r="AU548" s="34">
        <f t="shared" ref="AU548" si="2209">-SUMPRODUCT($M$2:$M$5,$N$2:$N$5)-SUMPRODUCT($M$7:$M$12,$N$7:$N$12)</f>
        <v>-120000</v>
      </c>
      <c r="AV548" s="34" t="str">
        <f t="shared" ref="AV548" si="2210">IF(AS548&lt;&gt;AS549,MMULT(MINVERSE(AS548:AT549),AU548:AU549)," ")</f>
        <v xml:space="preserve"> </v>
      </c>
      <c r="AW548" s="34" t="str">
        <f t="shared" ref="AW548" si="2211">IFERROR(IF(AV548-VLOOKUP(AS$38,$A$2:$N$12,14,FALSE)&lt;0,AV548-VLOOKUP(AS$38,$A$2:$N$12,14,FALSE)," ")," ")</f>
        <v xml:space="preserve"> </v>
      </c>
      <c r="AX548" s="34" t="str">
        <f t="shared" ref="AX548" si="2212">IFERROR(IF(AV548-VLOOKUP(AS$38,$A$2:$N$12,14,FALSE)&gt;0,AV548-VLOOKUP(AS$38,$A$2:$N$12,14,FALSE)," ")," ")</f>
        <v xml:space="preserve"> </v>
      </c>
      <c r="AY548" s="34">
        <f t="shared" ref="AY548" si="2213">$M$7</f>
        <v>0</v>
      </c>
      <c r="AZ548" s="34">
        <v>-1</v>
      </c>
      <c r="BA548" s="34">
        <f t="shared" ref="BA548" si="2214">-SUMPRODUCT($M$2:$M$6,$N$2:$N$6)-SUMPRODUCT($M$8:$M$12,$N$8:$N$12)</f>
        <v>-120000</v>
      </c>
      <c r="BB548" s="34" t="str">
        <f t="shared" ref="BB548" si="2215">IF(AY548&lt;&gt;AY549,MMULT(MINVERSE(AY548:AZ549),BA548:BA549)," ")</f>
        <v xml:space="preserve"> </v>
      </c>
      <c r="BC548" s="34" t="str">
        <f t="shared" ref="BC548" si="2216">IFERROR(IF(BB548-VLOOKUP(AY$38,$A$2:$N$12,14,FALSE)&lt;0,BB548-VLOOKUP(AY$38,$A$2:$N$12,14,FALSE)," ")," ")</f>
        <v xml:space="preserve"> </v>
      </c>
      <c r="BD548" s="34" t="str">
        <f t="shared" ref="BD548" si="2217">IFERROR(IF(BB548-VLOOKUP(AY$38,$A$2:$N$12,14,FALSE)&gt;0,BB548-VLOOKUP(AY$38,$A$2:$N$12,14,FALSE)," ")," ")</f>
        <v xml:space="preserve"> </v>
      </c>
      <c r="BE548" s="34">
        <f t="shared" ref="BE548" si="2218">$M$8</f>
        <v>0</v>
      </c>
      <c r="BF548" s="34">
        <v>-1</v>
      </c>
      <c r="BG548" s="34">
        <f t="shared" ref="BG548" si="2219">-SUMPRODUCT($M$2:$M$7,$N$2:$N$7)-SUMPRODUCT($M$9:$M$12,$N$9:$N$12)</f>
        <v>-120000</v>
      </c>
      <c r="BH548" s="34" t="str">
        <f t="shared" ref="BH548" si="2220">IF(BE548&lt;&gt;BE549,MMULT(MINVERSE(BE548:BF549),BG548:BG549)," ")</f>
        <v xml:space="preserve"> </v>
      </c>
      <c r="BI548" s="34" t="str">
        <f t="shared" ref="BI548" si="2221">IFERROR(IF(BH548-VLOOKUP(BE$38,$A$2:$N$12,14,FALSE)&lt;0,BH548-VLOOKUP(BE$38,$A$2:$N$12,14,FALSE)," ")," ")</f>
        <v xml:space="preserve"> </v>
      </c>
      <c r="BJ548" s="34" t="str">
        <f t="shared" ref="BJ548" si="2222">IFERROR(IF(BH548-VLOOKUP(BE$38,$A$2:$N$12,14,FALSE)&gt;0,BH548-VLOOKUP(BE$38,$A$2:$N$12,14,FALSE)," ")," ")</f>
        <v xml:space="preserve"> </v>
      </c>
      <c r="BK548" s="34">
        <f t="shared" ref="BK548" si="2223">$M$9</f>
        <v>0</v>
      </c>
      <c r="BL548" s="34">
        <v>-1</v>
      </c>
      <c r="BM548" s="34">
        <f t="shared" ref="BM548" si="2224">-SUMPRODUCT($M$2:$M$8,$N$2:$N$8)-SUMPRODUCT($M$10:$M$12,$N$10:$N$12)</f>
        <v>-120000</v>
      </c>
      <c r="BN548" s="34" t="str">
        <f t="shared" ref="BN548" si="2225">IF(BK548&lt;&gt;BK549,MMULT(MINVERSE(BK548:BL549),BM548:BM549)," ")</f>
        <v xml:space="preserve"> </v>
      </c>
      <c r="BO548" s="34" t="str">
        <f t="shared" ref="BO548" si="2226">IFERROR(IF(BN548-VLOOKUP(BK$38,$A$2:$N$12,14,FALSE)&lt;0,BN548-VLOOKUP(BK$38,$A$2:$N$12,14,FALSE)," ")," ")</f>
        <v xml:space="preserve"> </v>
      </c>
      <c r="BP548" s="34" t="str">
        <f t="shared" ref="BP548" si="2227">IFERROR(IF(BN548-VLOOKUP(BK$38,$A$2:$N$12,14,FALSE)&gt;0,BN548-VLOOKUP(BK$38,$A$2:$N$12,14,FALSE)," ")," ")</f>
        <v xml:space="preserve"> </v>
      </c>
      <c r="BQ548" s="34">
        <f t="shared" ref="BQ548" si="2228">$M$10</f>
        <v>0</v>
      </c>
      <c r="BR548" s="34">
        <v>-1</v>
      </c>
      <c r="BS548" s="34">
        <f t="shared" ref="BS548" si="2229">-SUMPRODUCT($M$2:$M$9,$N$2:$N$9)-SUMPRODUCT($M$11:$M$12,$N$11:$N$12)</f>
        <v>-120000</v>
      </c>
      <c r="BT548" s="34" t="str">
        <f t="shared" ref="BT548" si="2230">IF(BQ548&lt;&gt;BQ549,MMULT(MINVERSE(BQ548:BR549),BS548:BS549)," ")</f>
        <v xml:space="preserve"> </v>
      </c>
      <c r="BU548" s="34" t="str">
        <f t="shared" ref="BU548" si="2231">IFERROR(IF(BT548-VLOOKUP(BQ$38,$A$2:$N$12,14,FALSE)&lt;0,BT548-VLOOKUP(BQ$38,$A$2:$N$12,14,FALSE)," ")," ")</f>
        <v xml:space="preserve"> </v>
      </c>
      <c r="BV548" s="34" t="str">
        <f t="shared" ref="BV548" si="2232">IFERROR(IF(BT548-VLOOKUP(BQ$38,$A$2:$N$12,14,FALSE)&gt;0,BT548-VLOOKUP(BQ$38,$A$2:$N$12,14,FALSE)," ")," ")</f>
        <v xml:space="preserve"> </v>
      </c>
      <c r="BW548" s="34">
        <f t="shared" ref="BW548" si="2233">$M$11</f>
        <v>0</v>
      </c>
      <c r="BX548" s="34">
        <v>-1</v>
      </c>
      <c r="BY548" s="34">
        <f t="shared" ref="BY548" si="2234">-SUMPRODUCT($M$2:$M$10,$N$2:$N$10)-SUMPRODUCT($M$12,$N$12)</f>
        <v>-120000</v>
      </c>
      <c r="BZ548" s="34" t="str">
        <f t="shared" ref="BZ548" si="2235">IF(BW548&lt;&gt;BW549,MMULT(MINVERSE(BW548:BX549),BY548:BY549)," ")</f>
        <v xml:space="preserve"> </v>
      </c>
      <c r="CA548" s="34" t="str">
        <f t="shared" ref="CA548" si="2236">IFERROR(IF(BZ548-VLOOKUP(BW$38,$A$2:$N$12,14,FALSE)&lt;0,BZ548-VLOOKUP(BW$38,$A$2:$N$12,14,FALSE)," ")," ")</f>
        <v xml:space="preserve"> </v>
      </c>
      <c r="CB548" s="34" t="str">
        <f t="shared" ref="CB548" si="2237">IFERROR(IF(BZ548-VLOOKUP(BW$38,$A$2:$N$12,14,FALSE)&gt;0,BZ548-VLOOKUP(BW$38,$A$2:$N$12,14,FALSE)," ")," ")</f>
        <v xml:space="preserve"> </v>
      </c>
      <c r="CC548" s="34">
        <f t="shared" ref="CC548" si="2238">$M$12</f>
        <v>0</v>
      </c>
      <c r="CD548" s="34">
        <v>-1</v>
      </c>
      <c r="CE548" s="34">
        <f t="shared" ref="CE548" si="2239">-SUMPRODUCT($M$2:$M$11,$N$2:$N$11)</f>
        <v>-120000</v>
      </c>
      <c r="CF548" s="34" t="str">
        <f t="shared" ref="CF548" si="2240">IF(CC548&lt;&gt;CC549,MMULT(MINVERSE(CC548:CD549),CE548:CE549)," ")</f>
        <v xml:space="preserve"> </v>
      </c>
      <c r="CG548" s="34" t="str">
        <f t="shared" ref="CG548" si="2241">IFERROR(IF(CF548-VLOOKUP(CC$38,$A$2:$N$12,14,FALSE)&lt;0,CF548-VLOOKUP(CC$38,$A$2:$N$12,14,FALSE)," ")," ")</f>
        <v xml:space="preserve"> </v>
      </c>
      <c r="CH548" s="34" t="str">
        <f t="shared" ref="CH548" si="2242">IFERROR(IF(CF548-VLOOKUP(CC$38,$A$2:$N$12,14,FALSE)&gt;0,CF548-VLOOKUP(CC$38,$A$2:$N$12,14,FALSE)," ")," ")</f>
        <v xml:space="preserve"> </v>
      </c>
      <c r="CI548" s="8"/>
    </row>
    <row r="549" spans="1:87" x14ac:dyDescent="0.2">
      <c r="A549" s="8" t="str">
        <f>IF(AND(COUNTIF(W$3:W$13,A$16)&gt;0,A$16&lt;&gt;B546),A$16,IFERROR(IF(MATCH(A$16,Z$3:Z$13,0)=1,A$16," ")," "))</f>
        <v xml:space="preserve"> </v>
      </c>
      <c r="B549" s="8" t="str">
        <f>IF(A549=" "," ",MAX(B548:B548)+1)</f>
        <v xml:space="preserve"> </v>
      </c>
      <c r="C549" s="8" t="str">
        <f>IFERROR(INDEX(A548:A569,MATCH(SMALL(B548:B569,2),B548:B569,0),1)," ")</f>
        <v>C3</v>
      </c>
      <c r="D549" s="8">
        <f t="shared" ref="D549:D558" si="2243">IFERROR(VLOOKUP($C549,$A$15:$O$36,2,FALSE)," ")</f>
        <v>2</v>
      </c>
      <c r="E549" s="8">
        <f t="shared" ref="E549:E558" si="2244">IFERROR(VLOOKUP($C549,$A$15:$O$36,3,FALSE)," ")</f>
        <v>5</v>
      </c>
      <c r="F549" s="8">
        <f t="shared" ref="F549:F558" si="2245">IFERROR(VLOOKUP($C549,$A$15:$O$36,4,FALSE)," ")</f>
        <v>6</v>
      </c>
      <c r="G549" s="8">
        <f t="shared" ref="G549:G558" si="2246">IFERROR(VLOOKUP($C549,$A$15:$O$36,5,FALSE)," ")</f>
        <v>0</v>
      </c>
      <c r="H549" s="8">
        <f t="shared" ref="H549:H558" si="2247">IFERROR(VLOOKUP($C549,$A$15:$O$36,6,FALSE)," ")</f>
        <v>0</v>
      </c>
      <c r="I549" s="8">
        <f t="shared" ref="I549:I558" si="2248">IFERROR(VLOOKUP($C549,$A$15:$O$36,7,FALSE)," ")</f>
        <v>0</v>
      </c>
      <c r="J549" s="8">
        <f t="shared" ref="J549:J558" si="2249">IFERROR(VLOOKUP($C549,$A$15:$O$36,8,FALSE)," ")</f>
        <v>0</v>
      </c>
      <c r="K549" s="8">
        <f t="shared" ref="K549:K558" si="2250">IFERROR(VLOOKUP($C549,$A$15:$O$36,9,FALSE)," ")</f>
        <v>0</v>
      </c>
      <c r="L549" s="8">
        <f t="shared" ref="L549:L558" si="2251">IFERROR(VLOOKUP($C549,$A$15:$O$36,10,FALSE)," ")</f>
        <v>0</v>
      </c>
      <c r="M549" s="8">
        <f t="shared" ref="M549:M558" si="2252">IFERROR(VLOOKUP($C549,$A$15:$O$36,11,FALSE)," ")</f>
        <v>0</v>
      </c>
      <c r="N549" s="8">
        <f t="shared" ref="N549:N558" si="2253">IFERROR(VLOOKUP($C549,$A$15:$O$36,12,FALSE)," ")</f>
        <v>0</v>
      </c>
      <c r="O549" s="8">
        <f t="shared" ref="O549:O558" si="2254">IFERROR(VLOOKUP($C549,$A$15:$O$36,15,FALSE)," ")</f>
        <v>2000</v>
      </c>
      <c r="P549" s="8">
        <v>150</v>
      </c>
      <c r="Q549" s="8">
        <f t="shared" ref="Q549" si="2255">IF(COUNTIF(P548:P558,"&lt;"&amp;-0.001)=0,IF(ABS(P549)&lt;0.001,0,P549)," ")</f>
        <v>150</v>
      </c>
      <c r="R549" s="8"/>
      <c r="S549" s="8"/>
      <c r="U549" s="34">
        <f t="shared" ref="U549" si="2256">$Q548</f>
        <v>287.50000000000017</v>
      </c>
      <c r="V549" s="34">
        <v>-1</v>
      </c>
      <c r="W549" s="34">
        <f t="shared" ref="W549" si="2257">-SUMPRODUCT($Q549:$Q558,$N$3:$N$12)</f>
        <v>-69374.999999999971</v>
      </c>
      <c r="X549" s="34"/>
      <c r="Y549" s="34"/>
      <c r="Z549" s="34"/>
      <c r="AA549" s="34">
        <f t="shared" ref="AA549" si="2258">$Q549</f>
        <v>150</v>
      </c>
      <c r="AB549" s="34">
        <v>-1</v>
      </c>
      <c r="AC549" s="34">
        <f t="shared" ref="AC549" si="2259">-SUMPRODUCT($Q548:$Q548,$N$2:$N$2)-SUMPRODUCT($Q550:$Q558,$N$4:$N$12)</f>
        <v>-82500</v>
      </c>
      <c r="AD549" s="34"/>
      <c r="AE549" s="34"/>
      <c r="AF549" s="34"/>
      <c r="AG549" s="34">
        <f t="shared" ref="AG549" si="2260">$Q550</f>
        <v>112.49999999999994</v>
      </c>
      <c r="AH549" s="34">
        <v>-1</v>
      </c>
      <c r="AI549" s="34">
        <f t="shared" ref="AI549" si="2261">-SUMPRODUCT($Q548:$Q549,$N$2:$N$3)-SUMPRODUCT($Q551:$Q558,$N$5:$N$12)</f>
        <v>-73125.000000000029</v>
      </c>
      <c r="AJ549" s="34"/>
      <c r="AK549" s="34"/>
      <c r="AL549" s="34"/>
      <c r="AM549" s="34">
        <f t="shared" ref="AM549" si="2262">$Q551</f>
        <v>0</v>
      </c>
      <c r="AN549" s="34">
        <v>-1</v>
      </c>
      <c r="AO549" s="34">
        <f t="shared" ref="AO549" si="2263">-SUMPRODUCT($Q548:$Q550,$N$2:$N$4)-SUMPRODUCT($Q552:$Q558,$N$6:$N$12)</f>
        <v>-112500</v>
      </c>
      <c r="AP549" s="34"/>
      <c r="AQ549" s="34"/>
      <c r="AR549" s="34"/>
      <c r="AS549" s="34">
        <f t="shared" ref="AS549" si="2264">$Q552</f>
        <v>0</v>
      </c>
      <c r="AT549" s="34">
        <v>-1</v>
      </c>
      <c r="AU549" s="34">
        <f t="shared" ref="AU549" si="2265">-SUMPRODUCT($Q548:$Q551,$N$2:$N$5)-SUMPRODUCT($Q553:$Q558,$N$7:$N$12)</f>
        <v>-112500</v>
      </c>
      <c r="AV549" s="34"/>
      <c r="AW549" s="34"/>
      <c r="AX549" s="34"/>
      <c r="AY549" s="34">
        <f t="shared" ref="AY549" si="2266">$Q553</f>
        <v>0</v>
      </c>
      <c r="AZ549" s="34">
        <v>-1</v>
      </c>
      <c r="BA549" s="34">
        <f t="shared" ref="BA549" si="2267">-SUMPRODUCT($Q548:$Q552,$N$2:$N$6)-SUMPRODUCT($Q554:$Q558,$N$8:$N$12)</f>
        <v>-112500</v>
      </c>
      <c r="BB549" s="34"/>
      <c r="BC549" s="34"/>
      <c r="BD549" s="34"/>
      <c r="BE549" s="34">
        <f t="shared" ref="BE549" si="2268">$Q554</f>
        <v>0</v>
      </c>
      <c r="BF549" s="34">
        <v>-1</v>
      </c>
      <c r="BG549" s="34">
        <f t="shared" ref="BG549" si="2269">-SUMPRODUCT($Q548:$Q553,$N$2:$N$7)-SUMPRODUCT($Q555:$Q558,$N$9:$N$12)</f>
        <v>-112500</v>
      </c>
      <c r="BH549" s="34"/>
      <c r="BI549" s="34"/>
      <c r="BJ549" s="34"/>
      <c r="BK549" s="34">
        <f t="shared" ref="BK549" si="2270">$Q555</f>
        <v>0</v>
      </c>
      <c r="BL549" s="34">
        <v>-1</v>
      </c>
      <c r="BM549" s="34">
        <f t="shared" ref="BM549" si="2271">-SUMPRODUCT($Q548:$Q554,$N$2:$N$8)-SUMPRODUCT($Q556:$Q558,$N$10:$N$12)</f>
        <v>-112500</v>
      </c>
      <c r="BN549" s="34"/>
      <c r="BO549" s="34"/>
      <c r="BP549" s="34"/>
      <c r="BQ549" s="34">
        <f t="shared" ref="BQ549" si="2272">$Q556</f>
        <v>0</v>
      </c>
      <c r="BR549" s="34">
        <v>-1</v>
      </c>
      <c r="BS549" s="34">
        <f t="shared" ref="BS549" si="2273">-SUMPRODUCT($Q548:$Q555,$N$2:$N$9)-SUMPRODUCT($Q557:$Q558,$N$11:$N$12)</f>
        <v>-112500</v>
      </c>
      <c r="BT549" s="34"/>
      <c r="BU549" s="34"/>
      <c r="BV549" s="34"/>
      <c r="BW549" s="34">
        <f t="shared" ref="BW549" si="2274">$Q557</f>
        <v>0</v>
      </c>
      <c r="BX549" s="34">
        <v>-1</v>
      </c>
      <c r="BY549" s="34">
        <f t="shared" ref="BY549" si="2275">-SUMPRODUCT($Q548:$Q556,$N$2:$N$10)-SUMPRODUCT($Q558,$N$12)</f>
        <v>-112500</v>
      </c>
      <c r="BZ549" s="34"/>
      <c r="CA549" s="34"/>
      <c r="CB549" s="34"/>
      <c r="CC549" s="34">
        <f t="shared" ref="CC549" si="2276">$Q558</f>
        <v>0</v>
      </c>
      <c r="CD549" s="34">
        <v>-1</v>
      </c>
      <c r="CE549" s="34">
        <f t="shared" ref="CE549" si="2277">-SUMPRODUCT($Q548:$Q557,$N$2:$N$11)</f>
        <v>-112500</v>
      </c>
      <c r="CF549" s="34"/>
      <c r="CG549" s="34"/>
      <c r="CH549" s="34"/>
      <c r="CI549" s="8"/>
    </row>
    <row r="550" spans="1:87" x14ac:dyDescent="0.2">
      <c r="A550" s="8" t="str">
        <f>IF(AND(COUNTIF(W$3:W$13,A$17)&gt;0,A$17&lt;&gt;B546),A$17,IFERROR(IF(MATCH(A$17,Z$3:Z$13,0)=1,A$17," ")," "))</f>
        <v>C3</v>
      </c>
      <c r="B550" s="8">
        <f>IF(A550=" "," ",MAX(B548:B549)+1)</f>
        <v>2</v>
      </c>
      <c r="C550" s="8" t="str">
        <f>IFERROR(INDEX(A548:A569,MATCH(SMALL(B548:B569,3),B548:B569,0),1)," ")</f>
        <v>C4</v>
      </c>
      <c r="D550" s="8">
        <f t="shared" si="2243"/>
        <v>1</v>
      </c>
      <c r="E550" s="8">
        <f t="shared" si="2244"/>
        <v>0</v>
      </c>
      <c r="F550" s="8">
        <f t="shared" si="2245"/>
        <v>1</v>
      </c>
      <c r="G550" s="8">
        <f t="shared" si="2246"/>
        <v>0</v>
      </c>
      <c r="H550" s="8">
        <f t="shared" si="2247"/>
        <v>0</v>
      </c>
      <c r="I550" s="8">
        <f t="shared" si="2248"/>
        <v>0</v>
      </c>
      <c r="J550" s="8">
        <f t="shared" si="2249"/>
        <v>0</v>
      </c>
      <c r="K550" s="8">
        <f t="shared" si="2250"/>
        <v>0</v>
      </c>
      <c r="L550" s="8">
        <f t="shared" si="2251"/>
        <v>0</v>
      </c>
      <c r="M550" s="8">
        <f t="shared" si="2252"/>
        <v>0</v>
      </c>
      <c r="N550" s="8">
        <f t="shared" si="2253"/>
        <v>0</v>
      </c>
      <c r="O550" s="8">
        <f t="shared" si="2254"/>
        <v>400</v>
      </c>
      <c r="P550" s="8">
        <v>112.49999999999994</v>
      </c>
      <c r="Q550" s="8">
        <f t="shared" ref="Q550" si="2278">IF(COUNTIF(P548:P558,"&lt;"&amp;-0.001)=0,IF(ABS(P550)&lt;0.001,0,P550)," ")</f>
        <v>112.49999999999994</v>
      </c>
      <c r="R550" s="8"/>
      <c r="S550" s="8"/>
      <c r="U550" s="34"/>
      <c r="V550" s="34"/>
      <c r="W550" s="34"/>
      <c r="X550" s="34"/>
      <c r="Y550" s="34"/>
      <c r="Z550" s="34"/>
      <c r="AA550" s="34"/>
      <c r="AB550" s="34"/>
      <c r="AC550" s="34"/>
      <c r="AD550" s="34"/>
      <c r="AE550" s="34"/>
      <c r="AF550" s="34"/>
      <c r="AG550" s="34"/>
      <c r="AH550" s="34"/>
      <c r="AI550" s="34"/>
      <c r="AJ550" s="34"/>
      <c r="AK550" s="34"/>
      <c r="AL550" s="34"/>
      <c r="AM550" s="34"/>
      <c r="AN550" s="34"/>
      <c r="AO550" s="34"/>
      <c r="AP550" s="34"/>
      <c r="AQ550" s="34"/>
      <c r="AR550" s="34"/>
      <c r="AS550" s="34"/>
      <c r="AT550" s="34"/>
      <c r="AU550" s="34"/>
      <c r="AV550" s="34"/>
      <c r="AW550" s="34"/>
      <c r="AX550" s="34"/>
      <c r="AY550" s="34"/>
      <c r="AZ550" s="34"/>
      <c r="BA550" s="34"/>
      <c r="BB550" s="34"/>
      <c r="BC550" s="34"/>
      <c r="BD550" s="34"/>
      <c r="BE550" s="34"/>
      <c r="BF550" s="34"/>
      <c r="BG550" s="34"/>
      <c r="BH550" s="34"/>
      <c r="BI550" s="34"/>
      <c r="BJ550" s="34"/>
      <c r="BK550" s="34"/>
      <c r="BL550" s="34"/>
      <c r="BM550" s="34"/>
      <c r="BN550" s="34"/>
      <c r="BO550" s="34"/>
      <c r="BP550" s="34"/>
      <c r="BQ550" s="34"/>
      <c r="BR550" s="34"/>
      <c r="BS550" s="34"/>
      <c r="BT550" s="34"/>
      <c r="BU550" s="34"/>
      <c r="BV550" s="34"/>
      <c r="BW550" s="34"/>
      <c r="BX550" s="34"/>
      <c r="BY550" s="34"/>
      <c r="BZ550" s="34"/>
      <c r="CA550" s="34"/>
      <c r="CB550" s="34"/>
      <c r="CC550" s="34"/>
      <c r="CD550" s="34"/>
      <c r="CE550" s="34"/>
      <c r="CF550" s="34"/>
      <c r="CG550" s="34"/>
      <c r="CH550" s="34"/>
      <c r="CI550" s="8"/>
    </row>
    <row r="551" spans="1:87" x14ac:dyDescent="0.2">
      <c r="A551" s="8" t="str">
        <f>IF(AND(COUNTIF(W$3:W$13,A$18)&gt;0,A$18&lt;&gt;B546),A$18,IFERROR(IF(MATCH(A$18,Z$3:Z$13,0)=1,A$18," ")," "))</f>
        <v>C4</v>
      </c>
      <c r="B551" s="8">
        <f>IF(A551=" "," ",MAX(B548:B550)+1)</f>
        <v>3</v>
      </c>
      <c r="C551" s="8" t="str">
        <f>IFERROR(INDEX(A548:A569,MATCH(SMALL(B548:B569,4),B548:B569,0),1)," ")</f>
        <v>C15</v>
      </c>
      <c r="D551" s="8">
        <f t="shared" si="2243"/>
        <v>0</v>
      </c>
      <c r="E551" s="8">
        <f t="shared" si="2244"/>
        <v>0</v>
      </c>
      <c r="F551" s="8">
        <f t="shared" si="2245"/>
        <v>0</v>
      </c>
      <c r="G551" s="8">
        <f t="shared" si="2246"/>
        <v>1</v>
      </c>
      <c r="H551" s="8">
        <f t="shared" si="2247"/>
        <v>0</v>
      </c>
      <c r="I551" s="8">
        <f t="shared" si="2248"/>
        <v>0</v>
      </c>
      <c r="J551" s="8">
        <f t="shared" si="2249"/>
        <v>0</v>
      </c>
      <c r="K551" s="8">
        <f t="shared" si="2250"/>
        <v>0</v>
      </c>
      <c r="L551" s="8">
        <f t="shared" si="2251"/>
        <v>0</v>
      </c>
      <c r="M551" s="8">
        <f t="shared" si="2252"/>
        <v>0</v>
      </c>
      <c r="N551" s="8">
        <f t="shared" si="2253"/>
        <v>0</v>
      </c>
      <c r="O551" s="8">
        <f t="shared" si="2254"/>
        <v>0</v>
      </c>
      <c r="P551" s="8">
        <v>0</v>
      </c>
      <c r="Q551" s="8">
        <f t="shared" ref="Q551" si="2279">IF(COUNTIF(P548:P558,"&lt;"&amp;-0.001)=0,IF(ABS(P551)&lt;0.001,0,P551)," ")</f>
        <v>0</v>
      </c>
      <c r="R551" s="8"/>
      <c r="S551" s="8"/>
      <c r="U551" s="34"/>
      <c r="V551" s="34"/>
      <c r="W551" s="34"/>
      <c r="X551" s="34"/>
      <c r="Y551" s="34"/>
      <c r="Z551" s="34"/>
      <c r="AA551" s="34"/>
      <c r="AB551" s="34"/>
      <c r="AC551" s="34"/>
      <c r="AD551" s="34"/>
      <c r="AE551" s="34"/>
      <c r="AF551" s="34"/>
      <c r="AG551" s="34"/>
      <c r="AH551" s="34"/>
      <c r="AI551" s="34"/>
      <c r="AJ551" s="34"/>
      <c r="AK551" s="34"/>
      <c r="AL551" s="34"/>
      <c r="AM551" s="34"/>
      <c r="AN551" s="34"/>
      <c r="AO551" s="34"/>
      <c r="AP551" s="34"/>
      <c r="AQ551" s="34"/>
      <c r="AR551" s="34"/>
      <c r="AS551" s="34"/>
      <c r="AT551" s="34"/>
      <c r="AU551" s="34"/>
      <c r="AV551" s="34"/>
      <c r="AW551" s="34"/>
      <c r="AX551" s="34"/>
      <c r="AY551" s="34"/>
      <c r="AZ551" s="34"/>
      <c r="BA551" s="34"/>
      <c r="BB551" s="34"/>
      <c r="BC551" s="34"/>
      <c r="BD551" s="34"/>
      <c r="BE551" s="34"/>
      <c r="BF551" s="34"/>
      <c r="BG551" s="34"/>
      <c r="BH551" s="34"/>
      <c r="BI551" s="34"/>
      <c r="BJ551" s="34"/>
      <c r="BK551" s="34"/>
      <c r="BL551" s="34"/>
      <c r="BM551" s="34"/>
      <c r="BN551" s="34"/>
      <c r="BO551" s="34"/>
      <c r="BP551" s="34"/>
      <c r="BQ551" s="34"/>
      <c r="BR551" s="34"/>
      <c r="BS551" s="34"/>
      <c r="BT551" s="34"/>
      <c r="BU551" s="34"/>
      <c r="BV551" s="34"/>
      <c r="BW551" s="34"/>
      <c r="BX551" s="34"/>
      <c r="BY551" s="34"/>
      <c r="BZ551" s="34"/>
      <c r="CA551" s="34"/>
      <c r="CB551" s="34"/>
      <c r="CC551" s="34"/>
      <c r="CD551" s="34"/>
      <c r="CE551" s="34"/>
      <c r="CF551" s="34"/>
      <c r="CG551" s="34"/>
      <c r="CH551" s="34"/>
      <c r="CI551" s="8"/>
    </row>
    <row r="552" spans="1:87" x14ac:dyDescent="0.2">
      <c r="A552" s="8" t="str">
        <f>IF(AND(COUNTIF(W$3:W$13,A$19)&gt;0,A$19&lt;&gt;B546),A$19,IFERROR(IF(MATCH(A$19,Z$3:Z$13,0)=1,A$19," ")," "))</f>
        <v xml:space="preserve"> </v>
      </c>
      <c r="B552" s="8" t="str">
        <f>IF(A552=" "," ",MAX(B548:B551)+1)</f>
        <v xml:space="preserve"> </v>
      </c>
      <c r="C552" s="8" t="str">
        <f>IFERROR(INDEX(A548:A569,MATCH(SMALL(B548:B569,5),B548:B569,0),1)," ")</f>
        <v>C16</v>
      </c>
      <c r="D552" s="8">
        <f t="shared" si="2243"/>
        <v>0</v>
      </c>
      <c r="E552" s="8">
        <f t="shared" si="2244"/>
        <v>0</v>
      </c>
      <c r="F552" s="8">
        <f t="shared" si="2245"/>
        <v>0</v>
      </c>
      <c r="G552" s="8">
        <f t="shared" si="2246"/>
        <v>0</v>
      </c>
      <c r="H552" s="8">
        <f t="shared" si="2247"/>
        <v>1</v>
      </c>
      <c r="I552" s="8">
        <f t="shared" si="2248"/>
        <v>0</v>
      </c>
      <c r="J552" s="8">
        <f t="shared" si="2249"/>
        <v>0</v>
      </c>
      <c r="K552" s="8">
        <f t="shared" si="2250"/>
        <v>0</v>
      </c>
      <c r="L552" s="8">
        <f t="shared" si="2251"/>
        <v>0</v>
      </c>
      <c r="M552" s="8">
        <f t="shared" si="2252"/>
        <v>0</v>
      </c>
      <c r="N552" s="8">
        <f t="shared" si="2253"/>
        <v>0</v>
      </c>
      <c r="O552" s="8">
        <f t="shared" si="2254"/>
        <v>0</v>
      </c>
      <c r="P552" s="8">
        <v>0</v>
      </c>
      <c r="Q552" s="8">
        <f t="shared" ref="Q552" si="2280">IF(COUNTIF(P548:P558,"&lt;"&amp;-0.001)=0,IF(ABS(P552)&lt;0.001,0,P552)," ")</f>
        <v>0</v>
      </c>
      <c r="R552" s="8"/>
      <c r="S552" s="8"/>
      <c r="U552" s="34"/>
      <c r="V552" s="34"/>
      <c r="W552" s="34"/>
      <c r="X552" s="34"/>
      <c r="Y552" s="34"/>
      <c r="Z552" s="34"/>
      <c r="AA552" s="34"/>
      <c r="AB552" s="34"/>
      <c r="AC552" s="34"/>
      <c r="AD552" s="34"/>
      <c r="AE552" s="34"/>
      <c r="AF552" s="34"/>
      <c r="AG552" s="34"/>
      <c r="AH552" s="34"/>
      <c r="AI552" s="34"/>
      <c r="AJ552" s="34"/>
      <c r="AK552" s="34"/>
      <c r="AL552" s="34"/>
      <c r="AM552" s="34"/>
      <c r="AN552" s="34"/>
      <c r="AO552" s="34"/>
      <c r="AP552" s="34"/>
      <c r="AQ552" s="34"/>
      <c r="AR552" s="34"/>
      <c r="AS552" s="34"/>
      <c r="AT552" s="34"/>
      <c r="AU552" s="34"/>
      <c r="AV552" s="34"/>
      <c r="AW552" s="34"/>
      <c r="AX552" s="34"/>
      <c r="AY552" s="34"/>
      <c r="AZ552" s="34"/>
      <c r="BA552" s="34"/>
      <c r="BB552" s="34"/>
      <c r="BC552" s="34"/>
      <c r="BD552" s="34"/>
      <c r="BE552" s="34"/>
      <c r="BF552" s="34"/>
      <c r="BG552" s="34"/>
      <c r="BH552" s="34"/>
      <c r="BI552" s="34"/>
      <c r="BJ552" s="34"/>
      <c r="BK552" s="34"/>
      <c r="BL552" s="34"/>
      <c r="BM552" s="34"/>
      <c r="BN552" s="34"/>
      <c r="BO552" s="34"/>
      <c r="BP552" s="34"/>
      <c r="BQ552" s="34"/>
      <c r="BR552" s="34"/>
      <c r="BS552" s="34"/>
      <c r="BT552" s="34"/>
      <c r="BU552" s="34"/>
      <c r="BV552" s="34"/>
      <c r="BW552" s="34"/>
      <c r="BX552" s="34"/>
      <c r="BY552" s="34"/>
      <c r="BZ552" s="34"/>
      <c r="CA552" s="34"/>
      <c r="CB552" s="34"/>
      <c r="CC552" s="34"/>
      <c r="CD552" s="34"/>
      <c r="CE552" s="34"/>
      <c r="CF552" s="34"/>
      <c r="CG552" s="34"/>
      <c r="CH552" s="34"/>
      <c r="CI552" s="8"/>
    </row>
    <row r="553" spans="1:87" x14ac:dyDescent="0.2">
      <c r="A553" s="8" t="str">
        <f>IF(AND(COUNTIF(W$3:W$13,A$20)&gt;0,A$20&lt;&gt;B546),A$20,IFERROR(IF(MATCH(A$20,Z$3:Z$13,0)=1,A$20," ")," "))</f>
        <v xml:space="preserve"> </v>
      </c>
      <c r="B553" s="8" t="str">
        <f>IF(A553=" "," ",MAX(B548:B552)+1)</f>
        <v xml:space="preserve"> </v>
      </c>
      <c r="C553" s="8" t="str">
        <f>IFERROR(INDEX(A548:A569,MATCH(SMALL(B548:B569,6),B548:B569,0),1)," ")</f>
        <v>C17</v>
      </c>
      <c r="D553" s="8">
        <f t="shared" si="2243"/>
        <v>0</v>
      </c>
      <c r="E553" s="8">
        <f t="shared" si="2244"/>
        <v>0</v>
      </c>
      <c r="F553" s="8">
        <f t="shared" si="2245"/>
        <v>0</v>
      </c>
      <c r="G553" s="8">
        <f t="shared" si="2246"/>
        <v>0</v>
      </c>
      <c r="H553" s="8">
        <f t="shared" si="2247"/>
        <v>0</v>
      </c>
      <c r="I553" s="8">
        <f t="shared" si="2248"/>
        <v>1</v>
      </c>
      <c r="J553" s="8">
        <f t="shared" si="2249"/>
        <v>0</v>
      </c>
      <c r="K553" s="8">
        <f t="shared" si="2250"/>
        <v>0</v>
      </c>
      <c r="L553" s="8">
        <f t="shared" si="2251"/>
        <v>0</v>
      </c>
      <c r="M553" s="8">
        <f t="shared" si="2252"/>
        <v>0</v>
      </c>
      <c r="N553" s="8">
        <f t="shared" si="2253"/>
        <v>0</v>
      </c>
      <c r="O553" s="8">
        <f t="shared" si="2254"/>
        <v>0</v>
      </c>
      <c r="P553" s="8">
        <v>0</v>
      </c>
      <c r="Q553" s="8">
        <f t="shared" ref="Q553" si="2281">IF(COUNTIF(P548:P558,"&lt;"&amp;-0.001)=0,IF(ABS(P553)&lt;0.001,0,P553)," ")</f>
        <v>0</v>
      </c>
      <c r="R553" s="8"/>
      <c r="S553" s="8"/>
      <c r="U553" s="34"/>
      <c r="V553" s="34"/>
      <c r="W553" s="34"/>
      <c r="X553" s="34"/>
      <c r="Y553" s="34"/>
      <c r="Z553" s="34"/>
      <c r="AA553" s="34"/>
      <c r="AB553" s="34"/>
      <c r="AC553" s="34"/>
      <c r="AD553" s="34"/>
      <c r="AE553" s="34"/>
      <c r="AF553" s="34"/>
      <c r="AG553" s="34"/>
      <c r="AH553" s="34"/>
      <c r="AI553" s="34"/>
      <c r="AJ553" s="34"/>
      <c r="AK553" s="34"/>
      <c r="AL553" s="34"/>
      <c r="AM553" s="34"/>
      <c r="AN553" s="34"/>
      <c r="AO553" s="34"/>
      <c r="AP553" s="34"/>
      <c r="AQ553" s="34"/>
      <c r="AR553" s="34"/>
      <c r="AS553" s="34"/>
      <c r="AT553" s="34"/>
      <c r="AU553" s="34"/>
      <c r="AV553" s="34"/>
      <c r="AW553" s="34"/>
      <c r="AX553" s="34"/>
      <c r="AY553" s="34"/>
      <c r="AZ553" s="34"/>
      <c r="BA553" s="34"/>
      <c r="BB553" s="34"/>
      <c r="BC553" s="34"/>
      <c r="BD553" s="34"/>
      <c r="BE553" s="34"/>
      <c r="BF553" s="34"/>
      <c r="BG553" s="34"/>
      <c r="BH553" s="34"/>
      <c r="BI553" s="34"/>
      <c r="BJ553" s="34"/>
      <c r="BK553" s="34"/>
      <c r="BL553" s="34"/>
      <c r="BM553" s="34"/>
      <c r="BN553" s="34"/>
      <c r="BO553" s="34"/>
      <c r="BP553" s="34"/>
      <c r="BQ553" s="34"/>
      <c r="BR553" s="34"/>
      <c r="BS553" s="34"/>
      <c r="BT553" s="34"/>
      <c r="BU553" s="34"/>
      <c r="BV553" s="34"/>
      <c r="BW553" s="34"/>
      <c r="BX553" s="34"/>
      <c r="BY553" s="34"/>
      <c r="BZ553" s="34"/>
      <c r="CA553" s="34"/>
      <c r="CB553" s="34"/>
      <c r="CC553" s="34"/>
      <c r="CD553" s="34"/>
      <c r="CE553" s="34"/>
      <c r="CF553" s="34"/>
      <c r="CG553" s="34"/>
      <c r="CH553" s="34"/>
      <c r="CI553" s="8"/>
    </row>
    <row r="554" spans="1:87" x14ac:dyDescent="0.2">
      <c r="A554" s="8" t="str">
        <f>IF(AND(COUNTIF(W$3:W$13,A$21)&gt;0,A$21&lt;&gt;B546),A$21,IFERROR(IF(MATCH(A$21,Z$3:Z$13,0)=1,A$21," ")," "))</f>
        <v xml:space="preserve"> </v>
      </c>
      <c r="B554" s="8" t="str">
        <f>IF(A554=" "," ",MAX(B548:B553)+1)</f>
        <v xml:space="preserve"> </v>
      </c>
      <c r="C554" s="8" t="str">
        <f>IFERROR(INDEX(A548:A569,MATCH(SMALL(B548:B569,7),B548:B569,0),1)," ")</f>
        <v>C18</v>
      </c>
      <c r="D554" s="8">
        <f t="shared" si="2243"/>
        <v>0</v>
      </c>
      <c r="E554" s="8">
        <f t="shared" si="2244"/>
        <v>0</v>
      </c>
      <c r="F554" s="8">
        <f t="shared" si="2245"/>
        <v>0</v>
      </c>
      <c r="G554" s="8">
        <f t="shared" si="2246"/>
        <v>0</v>
      </c>
      <c r="H554" s="8">
        <f t="shared" si="2247"/>
        <v>0</v>
      </c>
      <c r="I554" s="8">
        <f t="shared" si="2248"/>
        <v>0</v>
      </c>
      <c r="J554" s="8">
        <f t="shared" si="2249"/>
        <v>1</v>
      </c>
      <c r="K554" s="8">
        <f t="shared" si="2250"/>
        <v>0</v>
      </c>
      <c r="L554" s="8">
        <f t="shared" si="2251"/>
        <v>0</v>
      </c>
      <c r="M554" s="8">
        <f t="shared" si="2252"/>
        <v>0</v>
      </c>
      <c r="N554" s="8">
        <f t="shared" si="2253"/>
        <v>0</v>
      </c>
      <c r="O554" s="8">
        <f t="shared" si="2254"/>
        <v>0</v>
      </c>
      <c r="P554" s="8">
        <v>0</v>
      </c>
      <c r="Q554" s="8">
        <f t="shared" ref="Q554" si="2282">IF(COUNTIF(P548:P558,"&lt;"&amp;-0.001)=0,IF(ABS(P554)&lt;0.001,0,P554)," ")</f>
        <v>0</v>
      </c>
      <c r="R554" s="8"/>
      <c r="S554" s="8"/>
      <c r="U554" s="34"/>
      <c r="V554" s="34"/>
      <c r="W554" s="34"/>
      <c r="X554" s="34"/>
      <c r="Y554" s="34"/>
      <c r="Z554" s="34"/>
      <c r="AA554" s="34"/>
      <c r="AB554" s="34"/>
      <c r="AC554" s="34"/>
      <c r="AD554" s="34"/>
      <c r="AE554" s="34"/>
      <c r="AF554" s="34"/>
      <c r="AG554" s="34"/>
      <c r="AH554" s="34"/>
      <c r="AI554" s="34"/>
      <c r="AJ554" s="34"/>
      <c r="AK554" s="34"/>
      <c r="AL554" s="34"/>
      <c r="AM554" s="34"/>
      <c r="AN554" s="34"/>
      <c r="AO554" s="34"/>
      <c r="AP554" s="34"/>
      <c r="AQ554" s="34"/>
      <c r="AR554" s="34"/>
      <c r="AS554" s="34"/>
      <c r="AT554" s="34"/>
      <c r="AU554" s="34"/>
      <c r="AV554" s="34"/>
      <c r="AW554" s="34"/>
      <c r="AX554" s="34"/>
      <c r="AY554" s="34"/>
      <c r="AZ554" s="34"/>
      <c r="BA554" s="34"/>
      <c r="BB554" s="34"/>
      <c r="BC554" s="34"/>
      <c r="BD554" s="34"/>
      <c r="BE554" s="34"/>
      <c r="BF554" s="34"/>
      <c r="BG554" s="34"/>
      <c r="BH554" s="34"/>
      <c r="BI554" s="34"/>
      <c r="BJ554" s="34"/>
      <c r="BK554" s="34"/>
      <c r="BL554" s="34"/>
      <c r="BM554" s="34"/>
      <c r="BN554" s="34"/>
      <c r="BO554" s="34"/>
      <c r="BP554" s="34"/>
      <c r="BQ554" s="34"/>
      <c r="BR554" s="34"/>
      <c r="BS554" s="34"/>
      <c r="BT554" s="34"/>
      <c r="BU554" s="34"/>
      <c r="BV554" s="34"/>
      <c r="BW554" s="34"/>
      <c r="BX554" s="34"/>
      <c r="BY554" s="34"/>
      <c r="BZ554" s="34"/>
      <c r="CA554" s="34"/>
      <c r="CB554" s="34"/>
      <c r="CC554" s="34"/>
      <c r="CD554" s="34"/>
      <c r="CE554" s="34"/>
      <c r="CF554" s="34"/>
      <c r="CG554" s="34"/>
      <c r="CH554" s="34"/>
      <c r="CI554" s="8"/>
    </row>
    <row r="555" spans="1:87" x14ac:dyDescent="0.2">
      <c r="A555" s="8" t="str">
        <f>IF(AND(COUNTIF(W$3:W$13,A$22)&gt;0,A$22&lt;&gt;B546),A$22,IFERROR(IF(MATCH(A$22,Z$3:Z$13,0)=1,A$22," ")," "))</f>
        <v xml:space="preserve"> </v>
      </c>
      <c r="B555" s="8" t="str">
        <f>IF(A555=" "," ",MAX(B548:B554)+1)</f>
        <v xml:space="preserve"> </v>
      </c>
      <c r="C555" s="8" t="str">
        <f>IFERROR(INDEX(A548:A569,MATCH(SMALL(B548:B569,8),B548:B569,0),1)," ")</f>
        <v>C19</v>
      </c>
      <c r="D555" s="8">
        <f t="shared" si="2243"/>
        <v>0</v>
      </c>
      <c r="E555" s="8">
        <f t="shared" si="2244"/>
        <v>0</v>
      </c>
      <c r="F555" s="8">
        <f t="shared" si="2245"/>
        <v>0</v>
      </c>
      <c r="G555" s="8">
        <f t="shared" si="2246"/>
        <v>0</v>
      </c>
      <c r="H555" s="8">
        <f t="shared" si="2247"/>
        <v>0</v>
      </c>
      <c r="I555" s="8">
        <f t="shared" si="2248"/>
        <v>0</v>
      </c>
      <c r="J555" s="8">
        <f t="shared" si="2249"/>
        <v>0</v>
      </c>
      <c r="K555" s="8">
        <f t="shared" si="2250"/>
        <v>1</v>
      </c>
      <c r="L555" s="8">
        <f t="shared" si="2251"/>
        <v>0</v>
      </c>
      <c r="M555" s="8">
        <f t="shared" si="2252"/>
        <v>0</v>
      </c>
      <c r="N555" s="8">
        <f t="shared" si="2253"/>
        <v>0</v>
      </c>
      <c r="O555" s="8">
        <f t="shared" si="2254"/>
        <v>0</v>
      </c>
      <c r="P555" s="8">
        <v>0</v>
      </c>
      <c r="Q555" s="8">
        <f t="shared" ref="Q555" si="2283">IF(COUNTIF(P548:P558,"&lt;"&amp;-0.001)=0,IF(ABS(P555)&lt;0.001,0,P555)," ")</f>
        <v>0</v>
      </c>
      <c r="R555" s="8"/>
      <c r="S555" s="8"/>
      <c r="X555" s="34"/>
      <c r="Y555" s="42"/>
      <c r="Z555" s="34"/>
      <c r="AA555" s="34"/>
      <c r="AB555" s="34"/>
      <c r="AC555" s="34"/>
      <c r="AD555" s="34"/>
      <c r="AE555" s="34"/>
      <c r="AF555" s="34"/>
      <c r="AG555" s="34"/>
      <c r="AH555" s="34"/>
      <c r="AI555" s="34"/>
      <c r="AJ555" s="34"/>
      <c r="AK555" s="34"/>
      <c r="AL555" s="34"/>
      <c r="AM555" s="34"/>
      <c r="AN555" s="34"/>
      <c r="AO555" s="34"/>
      <c r="AP555" s="34"/>
      <c r="AQ555" s="34"/>
      <c r="AR555" s="34"/>
      <c r="AS555" s="34"/>
      <c r="AT555" s="34"/>
      <c r="AU555" s="34"/>
      <c r="AV555" s="34"/>
      <c r="AW555" s="34"/>
      <c r="AX555" s="34"/>
      <c r="AY555" s="34"/>
      <c r="AZ555" s="34"/>
      <c r="BA555" s="34"/>
      <c r="BB555" s="34"/>
      <c r="BC555" s="34"/>
      <c r="BD555" s="34"/>
      <c r="BE555" s="34"/>
      <c r="BF555" s="34"/>
      <c r="BG555" s="34"/>
      <c r="BH555" s="34"/>
      <c r="BI555" s="34"/>
      <c r="BJ555" s="34"/>
      <c r="BK555" s="34"/>
      <c r="BL555" s="34"/>
      <c r="BM555" s="34"/>
      <c r="BN555" s="34"/>
      <c r="BO555" s="34"/>
      <c r="BP555" s="34"/>
      <c r="BQ555" s="34"/>
      <c r="BR555" s="34"/>
      <c r="BS555" s="34"/>
      <c r="BT555" s="34"/>
      <c r="BU555" s="34"/>
      <c r="BV555" s="34"/>
      <c r="BW555" s="34"/>
      <c r="BX555" s="34"/>
      <c r="BY555" s="34"/>
      <c r="BZ555" s="34"/>
      <c r="CA555" s="34"/>
      <c r="CB555" s="34"/>
      <c r="CC555" s="34"/>
      <c r="CD555" s="34"/>
      <c r="CE555" s="34"/>
      <c r="CF555" s="34"/>
      <c r="CG555" s="34"/>
      <c r="CH555" s="34"/>
      <c r="CI555" s="8"/>
    </row>
    <row r="556" spans="1:87" x14ac:dyDescent="0.2">
      <c r="A556" s="8" t="str">
        <f>IF(AND(COUNTIF(W$3:W$13,A$23)&gt;0,A$23&lt;&gt;B546),A$23,IFERROR(IF(MATCH(A$23,Z$3:Z$13,0)=1,A$23," ")," "))</f>
        <v xml:space="preserve"> </v>
      </c>
      <c r="B556" s="8" t="str">
        <f>IF(A556=" "," ",MAX(B548:B555)+1)</f>
        <v xml:space="preserve"> </v>
      </c>
      <c r="C556" s="8" t="str">
        <f>IFERROR(INDEX(A548:A569,MATCH(SMALL(B548:B569,9),B548:B569,0),1)," ")</f>
        <v>C20</v>
      </c>
      <c r="D556" s="8">
        <f t="shared" si="2243"/>
        <v>0</v>
      </c>
      <c r="E556" s="8">
        <f t="shared" si="2244"/>
        <v>0</v>
      </c>
      <c r="F556" s="8">
        <f t="shared" si="2245"/>
        <v>0</v>
      </c>
      <c r="G556" s="8">
        <f t="shared" si="2246"/>
        <v>0</v>
      </c>
      <c r="H556" s="8">
        <f t="shared" si="2247"/>
        <v>0</v>
      </c>
      <c r="I556" s="8">
        <f t="shared" si="2248"/>
        <v>0</v>
      </c>
      <c r="J556" s="8">
        <f t="shared" si="2249"/>
        <v>0</v>
      </c>
      <c r="K556" s="8">
        <f t="shared" si="2250"/>
        <v>0</v>
      </c>
      <c r="L556" s="8">
        <f t="shared" si="2251"/>
        <v>1</v>
      </c>
      <c r="M556" s="8">
        <f t="shared" si="2252"/>
        <v>0</v>
      </c>
      <c r="N556" s="8">
        <f t="shared" si="2253"/>
        <v>0</v>
      </c>
      <c r="O556" s="8">
        <f t="shared" si="2254"/>
        <v>0</v>
      </c>
      <c r="P556" s="6">
        <v>0</v>
      </c>
      <c r="Q556" s="8">
        <f t="shared" ref="Q556" si="2284">IF(COUNTIF(P548:P558,"&lt;"&amp;-0.001)=0,IF(ABS(P556)&lt;0.001,0,P556)," ")</f>
        <v>0</v>
      </c>
      <c r="R556" s="8"/>
      <c r="S556" s="8"/>
      <c r="U556" s="34"/>
      <c r="V556" s="34"/>
      <c r="W556" s="34"/>
      <c r="X556" s="34"/>
      <c r="Y556" s="42"/>
      <c r="Z556" s="34"/>
      <c r="AA556" s="34"/>
      <c r="AB556" s="34"/>
      <c r="AC556" s="34"/>
      <c r="AD556" s="34"/>
      <c r="AE556" s="34"/>
      <c r="AF556" s="34"/>
      <c r="AG556" s="34"/>
      <c r="AH556" s="34"/>
      <c r="AI556" s="34"/>
      <c r="AJ556" s="34"/>
      <c r="AK556" s="34"/>
      <c r="AL556" s="34"/>
      <c r="AM556" s="34"/>
      <c r="AN556" s="34"/>
      <c r="AO556" s="34"/>
      <c r="AP556" s="34"/>
      <c r="AQ556" s="34"/>
      <c r="AR556" s="34"/>
      <c r="AS556" s="34"/>
      <c r="AT556" s="34"/>
      <c r="AU556" s="34"/>
      <c r="AV556" s="34"/>
      <c r="AW556" s="34"/>
      <c r="AX556" s="34"/>
      <c r="AY556" s="34"/>
      <c r="AZ556" s="34"/>
      <c r="BA556" s="34"/>
      <c r="BB556" s="34"/>
      <c r="BC556" s="34"/>
      <c r="BD556" s="34"/>
      <c r="BE556" s="34"/>
      <c r="BF556" s="34"/>
      <c r="BG556" s="34"/>
      <c r="BH556" s="34"/>
      <c r="BI556" s="34"/>
      <c r="BJ556" s="34"/>
      <c r="BK556" s="34"/>
      <c r="BL556" s="34"/>
      <c r="BM556" s="34"/>
      <c r="BN556" s="34"/>
      <c r="BO556" s="34"/>
      <c r="BP556" s="34"/>
      <c r="BQ556" s="34"/>
      <c r="BR556" s="34"/>
      <c r="BS556" s="34"/>
      <c r="BT556" s="34"/>
      <c r="BU556" s="34"/>
      <c r="BV556" s="34"/>
      <c r="BW556" s="34"/>
      <c r="BX556" s="34"/>
      <c r="BY556" s="34"/>
      <c r="BZ556" s="34"/>
      <c r="CA556" s="34"/>
      <c r="CB556" s="34"/>
      <c r="CC556" s="34"/>
      <c r="CD556" s="34"/>
      <c r="CE556" s="34"/>
      <c r="CF556" s="34"/>
      <c r="CG556" s="34"/>
      <c r="CH556" s="34"/>
      <c r="CI556" s="8"/>
    </row>
    <row r="557" spans="1:87" x14ac:dyDescent="0.2">
      <c r="A557" s="8" t="str">
        <f>IF(AND(COUNTIF(W$3:W$13,A$24)&gt;0,A$24&lt;&gt;B546),A$24,IFERROR(IF(MATCH(A$24,Z$3:Z$13,0)=1,A$24," ")," "))</f>
        <v xml:space="preserve"> </v>
      </c>
      <c r="B557" s="8" t="str">
        <f>IF(A557=" "," ",MAX(B548:B556)+1)</f>
        <v xml:space="preserve"> </v>
      </c>
      <c r="C557" s="8" t="str">
        <f>IFERROR(INDEX(A548:A569,MATCH(SMALL(B548:B569,10),B548:B569,0),1)," ")</f>
        <v>C21</v>
      </c>
      <c r="D557" s="8">
        <f t="shared" si="2243"/>
        <v>0</v>
      </c>
      <c r="E557" s="8">
        <f t="shared" si="2244"/>
        <v>0</v>
      </c>
      <c r="F557" s="8">
        <f t="shared" si="2245"/>
        <v>0</v>
      </c>
      <c r="G557" s="8">
        <f t="shared" si="2246"/>
        <v>0</v>
      </c>
      <c r="H557" s="8">
        <f t="shared" si="2247"/>
        <v>0</v>
      </c>
      <c r="I557" s="8">
        <f t="shared" si="2248"/>
        <v>0</v>
      </c>
      <c r="J557" s="8">
        <f t="shared" si="2249"/>
        <v>0</v>
      </c>
      <c r="K557" s="8">
        <f t="shared" si="2250"/>
        <v>0</v>
      </c>
      <c r="L557" s="8">
        <f t="shared" si="2251"/>
        <v>0</v>
      </c>
      <c r="M557" s="8">
        <f t="shared" si="2252"/>
        <v>1</v>
      </c>
      <c r="N557" s="8">
        <f t="shared" si="2253"/>
        <v>0</v>
      </c>
      <c r="O557" s="8">
        <f t="shared" si="2254"/>
        <v>0</v>
      </c>
      <c r="P557" s="8">
        <v>0</v>
      </c>
      <c r="Q557" s="8">
        <f t="shared" ref="Q557" si="2285">IF(COUNTIF(P548:P558,"&lt;"&amp;-0.001)=0,IF(ABS(P557)&lt;0.001,0,P557)," ")</f>
        <v>0</v>
      </c>
      <c r="R557" s="8"/>
      <c r="S557" s="8"/>
      <c r="U557" s="34"/>
      <c r="V557" s="34"/>
      <c r="W557" s="34"/>
      <c r="X557" s="34"/>
      <c r="Y557" s="42"/>
      <c r="Z557" s="34"/>
      <c r="AB557" s="34"/>
      <c r="AC557" s="34"/>
      <c r="AD557" s="34"/>
      <c r="AE557" s="34"/>
      <c r="AF557" s="34"/>
      <c r="AG557" s="34"/>
      <c r="AH557" s="34"/>
      <c r="AI557" s="34"/>
      <c r="AJ557" s="34"/>
      <c r="AK557" s="34"/>
      <c r="AL557" s="34"/>
      <c r="AM557" s="34"/>
      <c r="AN557" s="34"/>
      <c r="AO557" s="34"/>
      <c r="AP557" s="34"/>
      <c r="AQ557" s="34"/>
      <c r="AR557" s="34"/>
      <c r="AS557" s="34"/>
      <c r="AT557" s="34"/>
      <c r="AU557" s="34"/>
      <c r="AV557" s="34"/>
      <c r="AW557" s="34"/>
      <c r="AX557" s="34"/>
      <c r="AY557" s="34"/>
      <c r="AZ557" s="34"/>
      <c r="BA557" s="34"/>
      <c r="BB557" s="34"/>
      <c r="BC557" s="34"/>
      <c r="BD557" s="34"/>
      <c r="BE557" s="34"/>
      <c r="BF557" s="34"/>
      <c r="BG557" s="34"/>
      <c r="BH557" s="34"/>
      <c r="BI557" s="34"/>
      <c r="BJ557" s="34"/>
      <c r="BK557" s="34"/>
      <c r="BL557" s="34"/>
      <c r="BM557" s="34"/>
      <c r="BN557" s="34"/>
      <c r="BO557" s="34"/>
      <c r="BP557" s="34"/>
      <c r="BQ557" s="34"/>
      <c r="BR557" s="34"/>
      <c r="BS557" s="34"/>
      <c r="BT557" s="34"/>
      <c r="BU557" s="34"/>
      <c r="BV557" s="34"/>
      <c r="BW557" s="34"/>
      <c r="BX557" s="34"/>
      <c r="BY557" s="34"/>
      <c r="BZ557" s="34"/>
      <c r="CA557" s="34"/>
      <c r="CB557" s="34"/>
      <c r="CC557" s="34"/>
      <c r="CD557" s="34"/>
      <c r="CE557" s="34"/>
      <c r="CF557" s="34"/>
      <c r="CG557" s="34"/>
      <c r="CH557" s="34"/>
      <c r="CI557" s="8"/>
    </row>
    <row r="558" spans="1:87" x14ac:dyDescent="0.2">
      <c r="A558" s="8" t="str">
        <f>IF(AND(COUNTIF(W$3:W$13,A$25)&gt;0,A$25&lt;&gt;B546),A$25,IFERROR(IF(MATCH(A$25,Z$3:Z$13,0)=1,A$25," ")," "))</f>
        <v xml:space="preserve"> </v>
      </c>
      <c r="B558" s="8" t="str">
        <f>IF(A558=" "," ",MAX(B548:B557)+1)</f>
        <v xml:space="preserve"> </v>
      </c>
      <c r="C558" s="8" t="str">
        <f>IFERROR(INDEX(A548:A569,MATCH(SMALL(B548:B569,11),B548:B569,0),1)," ")</f>
        <v>C22</v>
      </c>
      <c r="D558" s="8">
        <f t="shared" si="2243"/>
        <v>0</v>
      </c>
      <c r="E558" s="8">
        <f t="shared" si="2244"/>
        <v>0</v>
      </c>
      <c r="F558" s="8">
        <f t="shared" si="2245"/>
        <v>0</v>
      </c>
      <c r="G558" s="8">
        <f t="shared" si="2246"/>
        <v>0</v>
      </c>
      <c r="H558" s="8">
        <f t="shared" si="2247"/>
        <v>0</v>
      </c>
      <c r="I558" s="8">
        <f t="shared" si="2248"/>
        <v>0</v>
      </c>
      <c r="J558" s="8">
        <f t="shared" si="2249"/>
        <v>0</v>
      </c>
      <c r="K558" s="8">
        <f t="shared" si="2250"/>
        <v>0</v>
      </c>
      <c r="L558" s="8">
        <f t="shared" si="2251"/>
        <v>0</v>
      </c>
      <c r="M558" s="8">
        <f t="shared" si="2252"/>
        <v>0</v>
      </c>
      <c r="N558" s="8">
        <f t="shared" si="2253"/>
        <v>1</v>
      </c>
      <c r="O558" s="8">
        <f t="shared" si="2254"/>
        <v>0</v>
      </c>
      <c r="P558" s="8">
        <v>0</v>
      </c>
      <c r="Q558" s="8">
        <f t="shared" ref="Q558" si="2286">IF(COUNTIF(P548:P558,"&lt;"&amp;-0.001)=0,IF(ABS(P558)&lt;0.001,0,P558)," ")</f>
        <v>0</v>
      </c>
      <c r="R558" s="8"/>
      <c r="S558" s="8"/>
      <c r="V558" s="34"/>
      <c r="W558" s="34"/>
      <c r="X558" s="34"/>
      <c r="Y558" s="42"/>
      <c r="Z558" s="34"/>
      <c r="AA558" s="34"/>
      <c r="AB558" s="34"/>
      <c r="AC558" s="34"/>
      <c r="AD558" s="34"/>
      <c r="AE558" s="34"/>
      <c r="AF558" s="34"/>
      <c r="AG558" s="34"/>
      <c r="AH558" s="34"/>
      <c r="AI558" s="34"/>
      <c r="AJ558" s="34"/>
      <c r="AK558" s="34"/>
      <c r="AL558" s="34"/>
      <c r="AM558" s="34"/>
      <c r="AN558" s="34"/>
      <c r="AO558" s="34"/>
      <c r="AP558" s="34"/>
      <c r="AQ558" s="34"/>
      <c r="AR558" s="34"/>
      <c r="AS558" s="34"/>
      <c r="AT558" s="34"/>
      <c r="AU558" s="34"/>
      <c r="AV558" s="34"/>
      <c r="AW558" s="34"/>
      <c r="AX558" s="34"/>
      <c r="AY558" s="34"/>
      <c r="AZ558" s="34"/>
      <c r="BA558" s="34"/>
      <c r="BB558" s="34"/>
      <c r="BC558" s="34"/>
      <c r="BD558" s="34"/>
      <c r="BE558" s="34"/>
      <c r="BF558" s="34"/>
      <c r="BG558" s="34"/>
      <c r="BH558" s="34"/>
      <c r="BI558" s="34"/>
      <c r="BJ558" s="34"/>
      <c r="BK558" s="34"/>
      <c r="BL558" s="34"/>
      <c r="BM558" s="34"/>
      <c r="BN558" s="34"/>
      <c r="BO558" s="34"/>
      <c r="BP558" s="34"/>
      <c r="BQ558" s="34"/>
      <c r="BR558" s="34"/>
      <c r="BS558" s="34"/>
      <c r="BT558" s="34"/>
      <c r="BU558" s="34"/>
      <c r="BV558" s="34"/>
      <c r="BW558" s="34"/>
      <c r="BX558" s="34"/>
      <c r="BY558" s="34"/>
      <c r="BZ558" s="34"/>
      <c r="CA558" s="34"/>
      <c r="CB558" s="34"/>
      <c r="CC558" s="34"/>
      <c r="CD558" s="34"/>
      <c r="CE558" s="34"/>
      <c r="CF558" s="34"/>
      <c r="CG558" s="34"/>
      <c r="CH558" s="34"/>
      <c r="CI558" s="8"/>
    </row>
    <row r="559" spans="1:87" x14ac:dyDescent="0.2">
      <c r="A559" s="8" t="str">
        <f>IF(AND(COUNTIF(W$3:W$13,A$26)&gt;0,A$26&lt;&gt;B546),A$26,IFERROR(IF(MATCH(A$26,Z$3:Z$13,0)=1,A$26," ")," "))</f>
        <v xml:space="preserve"> </v>
      </c>
      <c r="B559" s="8" t="str">
        <f>IF(A559=" "," ",MAX(B548:B558)+1)</f>
        <v xml:space="preserve"> </v>
      </c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V559" s="34"/>
      <c r="W559" s="34"/>
      <c r="X559" s="34"/>
      <c r="Y559" s="34"/>
      <c r="Z559" s="34"/>
      <c r="AA559" s="34"/>
      <c r="AB559" s="34"/>
      <c r="AC559" s="34"/>
      <c r="AD559" s="34"/>
      <c r="AE559" s="34"/>
      <c r="AF559" s="34"/>
      <c r="AG559" s="34"/>
      <c r="AH559" s="34"/>
      <c r="AI559" s="34"/>
      <c r="AJ559" s="34"/>
      <c r="AK559" s="34"/>
      <c r="AL559" s="34"/>
      <c r="AM559" s="34"/>
      <c r="AN559" s="34"/>
      <c r="AO559" s="34"/>
      <c r="AP559" s="34"/>
      <c r="AQ559" s="34"/>
      <c r="AR559" s="34"/>
      <c r="AS559" s="34"/>
      <c r="AT559" s="34"/>
      <c r="AU559" s="34"/>
      <c r="AV559" s="34"/>
      <c r="AW559" s="34"/>
      <c r="AX559" s="34"/>
      <c r="AY559" s="34"/>
      <c r="AZ559" s="34"/>
      <c r="BA559" s="34"/>
      <c r="BB559" s="34"/>
      <c r="BC559" s="34"/>
      <c r="BD559" s="34"/>
      <c r="BE559" s="34"/>
      <c r="BF559" s="34"/>
      <c r="BG559" s="34"/>
      <c r="BH559" s="34"/>
      <c r="BI559" s="34"/>
      <c r="BJ559" s="34"/>
      <c r="BK559" s="34"/>
      <c r="BL559" s="34"/>
      <c r="BM559" s="34"/>
      <c r="BN559" s="34"/>
      <c r="BO559" s="34"/>
      <c r="BP559" s="34"/>
      <c r="BQ559" s="34"/>
      <c r="BR559" s="34"/>
      <c r="BS559" s="34"/>
      <c r="BT559" s="34"/>
      <c r="BU559" s="34"/>
      <c r="BV559" s="34"/>
      <c r="BW559" s="34"/>
      <c r="BX559" s="34"/>
      <c r="BY559" s="34"/>
      <c r="BZ559" s="34"/>
      <c r="CA559" s="34"/>
      <c r="CB559" s="34"/>
      <c r="CC559" s="34"/>
      <c r="CD559" s="34"/>
      <c r="CE559" s="34"/>
      <c r="CF559" s="34"/>
      <c r="CG559" s="34"/>
      <c r="CH559" s="34"/>
      <c r="CI559" s="8"/>
    </row>
    <row r="560" spans="1:87" x14ac:dyDescent="0.2">
      <c r="A560" s="8" t="str">
        <f>IF(AND(COUNTIF(W$3:W$13,A$27)&gt;0,A$27&lt;&gt;B546),A$27,IFERROR(IF(MATCH(A$27,Z$3:Z$13,0)=1,A$27," ")," "))</f>
        <v xml:space="preserve"> </v>
      </c>
      <c r="B560" s="8" t="str">
        <f>IF(A560=" "," ",MAX(B548:B559)+1)</f>
        <v xml:space="preserve"> </v>
      </c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6"/>
      <c r="Q560" s="34"/>
      <c r="R560" s="8"/>
      <c r="S560" s="8"/>
      <c r="V560" s="34"/>
      <c r="W560" s="34"/>
      <c r="X560" s="34"/>
      <c r="Y560" s="34"/>
      <c r="Z560" s="34"/>
      <c r="AA560" s="42"/>
      <c r="AB560" s="34"/>
      <c r="AC560" s="34"/>
      <c r="AD560" s="34"/>
      <c r="AE560" s="34"/>
      <c r="AF560" s="34"/>
      <c r="AG560" s="34"/>
      <c r="AH560" s="34"/>
      <c r="AI560" s="34"/>
      <c r="AJ560" s="34"/>
      <c r="AK560" s="34"/>
      <c r="AL560" s="34"/>
      <c r="AM560" s="34"/>
      <c r="AN560" s="34"/>
      <c r="AO560" s="34"/>
      <c r="AP560" s="34"/>
      <c r="AQ560" s="34"/>
      <c r="AR560" s="34"/>
      <c r="AS560" s="34"/>
      <c r="AT560" s="34"/>
      <c r="AU560" s="34"/>
      <c r="AV560" s="34"/>
      <c r="AW560" s="34"/>
      <c r="AX560" s="34"/>
      <c r="AY560" s="34"/>
      <c r="AZ560" s="34"/>
      <c r="BA560" s="34"/>
      <c r="BB560" s="34"/>
      <c r="BC560" s="34"/>
      <c r="BD560" s="34"/>
      <c r="BE560" s="34"/>
      <c r="BF560" s="34"/>
      <c r="BG560" s="34"/>
      <c r="BH560" s="34"/>
      <c r="BI560" s="34"/>
      <c r="BJ560" s="34"/>
      <c r="BK560" s="34"/>
      <c r="BL560" s="34"/>
      <c r="BM560" s="34"/>
      <c r="BN560" s="34"/>
      <c r="BO560" s="34"/>
      <c r="BP560" s="34"/>
      <c r="BQ560" s="34"/>
      <c r="BR560" s="34"/>
      <c r="BS560" s="34"/>
      <c r="BT560" s="34"/>
      <c r="BU560" s="34"/>
      <c r="BV560" s="34"/>
      <c r="BW560" s="34"/>
      <c r="BX560" s="34"/>
      <c r="BY560" s="34"/>
      <c r="BZ560" s="34"/>
      <c r="CA560" s="34"/>
      <c r="CB560" s="34"/>
      <c r="CC560" s="34"/>
      <c r="CD560" s="34"/>
      <c r="CE560" s="34"/>
      <c r="CF560" s="34"/>
      <c r="CG560" s="34"/>
      <c r="CH560" s="34"/>
      <c r="CI560" s="8"/>
    </row>
    <row r="561" spans="1:87" x14ac:dyDescent="0.2">
      <c r="A561" s="8" t="str">
        <f>IF(AND(COUNTIF(W$3:W$13,A$28)&gt;0,A$28&lt;&gt;B546),A$28,IFERROR(IF(MATCH(A$28,Z$3:Z$13,0)=1,A$28," ")," "))</f>
        <v xml:space="preserve"> </v>
      </c>
      <c r="B561" s="8" t="str">
        <f>IF(A561=" "," ",MAX(B548:B560)+1)</f>
        <v xml:space="preserve"> </v>
      </c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34"/>
      <c r="R561" s="8"/>
      <c r="S561" s="8"/>
      <c r="U561" s="34"/>
      <c r="V561" s="34"/>
      <c r="W561" s="34"/>
      <c r="X561" s="34"/>
      <c r="Y561" s="34"/>
      <c r="Z561" s="34"/>
      <c r="AA561" s="34"/>
      <c r="AB561" s="34"/>
      <c r="AC561" s="34"/>
      <c r="AD561" s="34"/>
      <c r="AE561" s="34"/>
      <c r="AF561" s="34"/>
      <c r="AG561" s="34"/>
      <c r="AH561" s="34"/>
      <c r="AI561" s="34"/>
      <c r="AJ561" s="34"/>
      <c r="AK561" s="34"/>
      <c r="AL561" s="34"/>
      <c r="AM561" s="34"/>
      <c r="AN561" s="34"/>
      <c r="AO561" s="34"/>
      <c r="AP561" s="34"/>
      <c r="AQ561" s="34"/>
      <c r="AR561" s="34"/>
      <c r="AS561" s="34"/>
      <c r="AT561" s="34"/>
      <c r="AU561" s="34"/>
      <c r="AV561" s="34"/>
      <c r="AW561" s="34"/>
      <c r="AX561" s="34"/>
      <c r="AY561" s="34"/>
      <c r="AZ561" s="34"/>
      <c r="BA561" s="34"/>
      <c r="BB561" s="34"/>
      <c r="BC561" s="34"/>
      <c r="BD561" s="34"/>
      <c r="BE561" s="34"/>
      <c r="BF561" s="34"/>
      <c r="BG561" s="34"/>
      <c r="BH561" s="34"/>
      <c r="BI561" s="34"/>
      <c r="BJ561" s="34"/>
      <c r="BK561" s="34"/>
      <c r="BL561" s="34"/>
      <c r="BM561" s="34"/>
      <c r="BN561" s="34"/>
      <c r="BO561" s="34"/>
      <c r="BP561" s="34"/>
      <c r="BQ561" s="34"/>
      <c r="BR561" s="34"/>
      <c r="BS561" s="34"/>
      <c r="BT561" s="34"/>
      <c r="BU561" s="34"/>
      <c r="BV561" s="34"/>
      <c r="BW561" s="34"/>
      <c r="BX561" s="34"/>
      <c r="BY561" s="34"/>
      <c r="BZ561" s="34"/>
      <c r="CA561" s="34"/>
      <c r="CB561" s="34"/>
      <c r="CC561" s="34"/>
      <c r="CD561" s="34"/>
      <c r="CE561" s="34"/>
      <c r="CF561" s="34"/>
      <c r="CG561" s="34"/>
      <c r="CH561" s="34"/>
      <c r="CI561" s="8"/>
    </row>
    <row r="562" spans="1:87" x14ac:dyDescent="0.2">
      <c r="A562" s="8" t="str">
        <f>IF(AND(COUNTIF(W$3:W$13,A$29)&gt;0,A$29&lt;&gt;B546),A$29,IFERROR(IF(MATCH(A$29,Z$3:Z$13,0)=1,A$29," ")," "))</f>
        <v>C15</v>
      </c>
      <c r="B562" s="8">
        <f>IF(A562=" "," ",MAX(B548:B561)+1)</f>
        <v>4</v>
      </c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34"/>
      <c r="R562" s="8"/>
      <c r="S562" s="8"/>
      <c r="U562" s="34"/>
      <c r="V562" s="34"/>
      <c r="W562" s="34"/>
      <c r="X562" s="34"/>
      <c r="Y562" s="34"/>
      <c r="Z562" s="34"/>
      <c r="AA562" s="34"/>
      <c r="AB562" s="34"/>
      <c r="AC562" s="34"/>
      <c r="AD562" s="34"/>
      <c r="AE562" s="34"/>
      <c r="AF562" s="34"/>
      <c r="AG562" s="34"/>
      <c r="AH562" s="34"/>
      <c r="AI562" s="34"/>
      <c r="AJ562" s="34"/>
      <c r="AK562" s="34"/>
      <c r="AL562" s="34"/>
      <c r="AM562" s="34"/>
      <c r="AN562" s="34"/>
      <c r="AO562" s="34"/>
      <c r="AP562" s="34"/>
      <c r="AQ562" s="34"/>
      <c r="AR562" s="34"/>
      <c r="AS562" s="34"/>
      <c r="AT562" s="34"/>
      <c r="AU562" s="34"/>
      <c r="AV562" s="34"/>
      <c r="AW562" s="34"/>
      <c r="AX562" s="34"/>
      <c r="AY562" s="34"/>
      <c r="AZ562" s="34"/>
      <c r="BA562" s="34"/>
      <c r="BB562" s="34"/>
      <c r="BC562" s="34"/>
      <c r="BD562" s="34"/>
      <c r="BE562" s="34"/>
      <c r="BF562" s="34"/>
      <c r="BG562" s="34"/>
      <c r="BH562" s="34"/>
      <c r="BI562" s="34"/>
      <c r="BJ562" s="34"/>
      <c r="BK562" s="34"/>
      <c r="BL562" s="34"/>
      <c r="BM562" s="34"/>
      <c r="BN562" s="34"/>
      <c r="BO562" s="34"/>
      <c r="BP562" s="34"/>
      <c r="BQ562" s="34"/>
      <c r="BR562" s="34"/>
      <c r="BS562" s="34"/>
      <c r="BT562" s="34"/>
      <c r="BU562" s="34"/>
      <c r="BV562" s="34"/>
      <c r="BW562" s="34"/>
      <c r="BX562" s="34"/>
      <c r="BY562" s="34"/>
      <c r="BZ562" s="34"/>
      <c r="CA562" s="34"/>
      <c r="CB562" s="34"/>
      <c r="CC562" s="34"/>
      <c r="CD562" s="34"/>
      <c r="CE562" s="34"/>
      <c r="CF562" s="34"/>
      <c r="CG562" s="34"/>
      <c r="CH562" s="34"/>
      <c r="CI562" s="8"/>
    </row>
    <row r="563" spans="1:87" x14ac:dyDescent="0.2">
      <c r="A563" s="8" t="str">
        <f>IF(AND(COUNTIF(W$3:W$13,A$30)&gt;0,A$30&lt;&gt;B546),A$30,IFERROR(IF(MATCH(A$30,Z$3:Z$13,0)=1,A$30," ")," "))</f>
        <v>C16</v>
      </c>
      <c r="B563" s="8">
        <f>IF(A563=" "," ",MAX(B548:B562)+1)</f>
        <v>5</v>
      </c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U563" s="34"/>
      <c r="V563" s="34"/>
      <c r="W563" s="34"/>
      <c r="X563" s="34"/>
      <c r="Y563" s="34"/>
      <c r="Z563" s="34"/>
      <c r="AA563" s="34"/>
      <c r="AB563" s="34"/>
      <c r="AC563" s="34"/>
      <c r="AD563" s="34"/>
      <c r="AE563" s="34"/>
      <c r="AF563" s="34"/>
      <c r="AG563" s="34"/>
      <c r="AH563" s="34"/>
      <c r="AI563" s="34"/>
      <c r="AJ563" s="34"/>
      <c r="AK563" s="34"/>
      <c r="AL563" s="34"/>
      <c r="AM563" s="34"/>
      <c r="AN563" s="34"/>
      <c r="AO563" s="34"/>
      <c r="AP563" s="34"/>
      <c r="AQ563" s="34"/>
      <c r="AR563" s="34"/>
      <c r="AS563" s="34"/>
      <c r="AT563" s="34"/>
      <c r="AU563" s="34"/>
      <c r="AV563" s="34"/>
      <c r="AW563" s="34"/>
      <c r="AX563" s="34"/>
      <c r="AY563" s="34"/>
      <c r="AZ563" s="34"/>
      <c r="BA563" s="34"/>
      <c r="BB563" s="34"/>
      <c r="BC563" s="34"/>
      <c r="BD563" s="34"/>
      <c r="BE563" s="34"/>
      <c r="BF563" s="34"/>
      <c r="BG563" s="34"/>
      <c r="BH563" s="34"/>
      <c r="BI563" s="34"/>
      <c r="BJ563" s="34"/>
      <c r="BK563" s="34"/>
      <c r="BL563" s="34"/>
      <c r="BM563" s="34"/>
      <c r="BN563" s="34"/>
      <c r="BO563" s="34"/>
      <c r="BP563" s="34"/>
      <c r="BQ563" s="34"/>
      <c r="BR563" s="34"/>
      <c r="BS563" s="34"/>
      <c r="BT563" s="34"/>
      <c r="BU563" s="34"/>
      <c r="BV563" s="34"/>
      <c r="BW563" s="34"/>
      <c r="BX563" s="34"/>
      <c r="BY563" s="34"/>
      <c r="BZ563" s="34"/>
      <c r="CA563" s="34"/>
      <c r="CB563" s="34"/>
      <c r="CC563" s="34"/>
      <c r="CD563" s="34"/>
      <c r="CE563" s="34"/>
      <c r="CF563" s="34"/>
      <c r="CG563" s="34"/>
      <c r="CH563" s="34"/>
      <c r="CI563" s="8"/>
    </row>
    <row r="564" spans="1:87" x14ac:dyDescent="0.2">
      <c r="A564" s="8" t="str">
        <f>IF(AND(COUNTIF(W$3:W$13,A$31)&gt;0,A$31&lt;&gt;B546),A$31,IFERROR(IF(MATCH(A$31,Z$3:Z$13,0)=1,A$31," ")," "))</f>
        <v>C17</v>
      </c>
      <c r="B564" s="8">
        <f>IF(A564=" "," ",MAX(B548:B563)+1)</f>
        <v>6</v>
      </c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U564" s="34"/>
      <c r="V564" s="34"/>
      <c r="W564" s="34"/>
      <c r="X564" s="34"/>
      <c r="Y564" s="34"/>
      <c r="Z564" s="34"/>
      <c r="AA564" s="34"/>
      <c r="AB564" s="34"/>
      <c r="AC564" s="34"/>
      <c r="AD564" s="34"/>
      <c r="AE564" s="34"/>
      <c r="AF564" s="34"/>
      <c r="AG564" s="34"/>
      <c r="AH564" s="34"/>
      <c r="AI564" s="34"/>
      <c r="AJ564" s="34"/>
      <c r="AK564" s="34"/>
      <c r="AL564" s="34"/>
      <c r="AM564" s="34"/>
      <c r="AN564" s="34"/>
      <c r="AO564" s="34"/>
      <c r="AP564" s="34"/>
      <c r="AQ564" s="34"/>
      <c r="AR564" s="34"/>
      <c r="AS564" s="34"/>
      <c r="AT564" s="34"/>
      <c r="AU564" s="34"/>
      <c r="AV564" s="34"/>
      <c r="AW564" s="34"/>
      <c r="AX564" s="34"/>
      <c r="AY564" s="34"/>
      <c r="AZ564" s="34"/>
      <c r="BA564" s="34"/>
      <c r="BB564" s="34"/>
      <c r="BC564" s="34"/>
      <c r="BD564" s="34"/>
      <c r="BE564" s="34"/>
      <c r="BF564" s="34"/>
      <c r="BG564" s="34"/>
      <c r="BH564" s="34"/>
      <c r="BI564" s="34"/>
      <c r="BJ564" s="34"/>
      <c r="BK564" s="34"/>
      <c r="BL564" s="34"/>
      <c r="BM564" s="34"/>
      <c r="BN564" s="34"/>
      <c r="BO564" s="34"/>
      <c r="BP564" s="34"/>
      <c r="BQ564" s="34"/>
      <c r="BR564" s="34"/>
      <c r="BS564" s="34"/>
      <c r="BT564" s="34"/>
      <c r="BU564" s="34"/>
      <c r="BV564" s="34"/>
      <c r="BW564" s="34"/>
      <c r="BX564" s="34"/>
      <c r="BY564" s="34"/>
      <c r="BZ564" s="34"/>
      <c r="CA564" s="34"/>
      <c r="CB564" s="34"/>
      <c r="CC564" s="34"/>
      <c r="CD564" s="34"/>
      <c r="CE564" s="34"/>
      <c r="CF564" s="34"/>
      <c r="CG564" s="34"/>
      <c r="CH564" s="34"/>
      <c r="CI564" s="8"/>
    </row>
    <row r="565" spans="1:87" x14ac:dyDescent="0.2">
      <c r="A565" s="8" t="str">
        <f>IF(AND(COUNTIF(W$3:W$13,A$32)&gt;0,A$32&lt;&gt;B546),A$32,IFERROR(IF(MATCH(A$32,Z$3:Z$13,0)=1,A$32," ")," "))</f>
        <v>C18</v>
      </c>
      <c r="B565" s="8">
        <f>IF(A565=" "," ",MAX(B548:B564)+1)</f>
        <v>7</v>
      </c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U565" s="34"/>
      <c r="V565" s="34"/>
      <c r="W565" s="34"/>
      <c r="X565" s="34"/>
      <c r="Y565" s="34"/>
      <c r="Z565" s="34"/>
      <c r="AA565" s="34"/>
      <c r="AB565" s="34"/>
      <c r="AC565" s="34"/>
      <c r="AD565" s="34"/>
      <c r="AE565" s="34"/>
      <c r="AF565" s="34"/>
      <c r="AG565" s="34"/>
      <c r="AH565" s="34"/>
      <c r="AI565" s="34"/>
      <c r="AJ565" s="34"/>
      <c r="AK565" s="34"/>
      <c r="AL565" s="34"/>
      <c r="AM565" s="34"/>
      <c r="AN565" s="34"/>
      <c r="AO565" s="34"/>
      <c r="AP565" s="34"/>
      <c r="AQ565" s="34"/>
      <c r="AR565" s="34"/>
      <c r="AS565" s="34"/>
      <c r="AT565" s="34"/>
      <c r="AU565" s="34"/>
      <c r="AV565" s="34"/>
      <c r="AW565" s="34"/>
      <c r="AX565" s="34"/>
      <c r="AY565" s="34"/>
      <c r="AZ565" s="34"/>
      <c r="BA565" s="34"/>
      <c r="BB565" s="34"/>
      <c r="BC565" s="34"/>
      <c r="BD565" s="34"/>
      <c r="BE565" s="34"/>
      <c r="BF565" s="34"/>
      <c r="BG565" s="34"/>
      <c r="BH565" s="34"/>
      <c r="BI565" s="34"/>
      <c r="BJ565" s="34"/>
      <c r="BK565" s="34"/>
      <c r="BL565" s="34"/>
      <c r="BM565" s="34"/>
      <c r="BN565" s="34"/>
      <c r="BO565" s="34"/>
      <c r="BP565" s="34"/>
      <c r="BQ565" s="34"/>
      <c r="BR565" s="34"/>
      <c r="BS565" s="34"/>
      <c r="BT565" s="34"/>
      <c r="BU565" s="34"/>
      <c r="BV565" s="34"/>
      <c r="BW565" s="34"/>
      <c r="BX565" s="34"/>
      <c r="BY565" s="34"/>
      <c r="BZ565" s="34"/>
      <c r="CA565" s="34"/>
      <c r="CB565" s="34"/>
      <c r="CC565" s="34"/>
      <c r="CD565" s="34"/>
      <c r="CE565" s="34"/>
      <c r="CF565" s="34"/>
      <c r="CG565" s="34"/>
      <c r="CH565" s="34"/>
      <c r="CI565" s="8"/>
    </row>
    <row r="566" spans="1:87" x14ac:dyDescent="0.2">
      <c r="A566" s="8" t="str">
        <f>IF(AND(COUNTIF(W$3:W$13,A$33)&gt;0,A$33&lt;&gt;B546),A$33,IFERROR(IF(MATCH(A$33,Z$3:Z$13,0)=1,A$33," ")," "))</f>
        <v>C19</v>
      </c>
      <c r="B566" s="8">
        <f>IF(A566=" "," ",MAX(B548:B565)+1)</f>
        <v>8</v>
      </c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U566" s="34"/>
      <c r="V566" s="34"/>
      <c r="W566" s="34"/>
      <c r="X566" s="34"/>
      <c r="Y566" s="34"/>
      <c r="Z566" s="34"/>
      <c r="AA566" s="34"/>
      <c r="AB566" s="34"/>
      <c r="AC566" s="34"/>
      <c r="AD566" s="34"/>
      <c r="AE566" s="34"/>
      <c r="AF566" s="34"/>
      <c r="AG566" s="34"/>
      <c r="AH566" s="34"/>
      <c r="AI566" s="34"/>
      <c r="AJ566" s="34"/>
      <c r="AK566" s="34"/>
      <c r="AL566" s="34"/>
      <c r="AM566" s="34"/>
      <c r="AN566" s="34"/>
      <c r="AO566" s="34"/>
      <c r="AP566" s="34"/>
      <c r="AQ566" s="34"/>
      <c r="AR566" s="34"/>
      <c r="AS566" s="34"/>
      <c r="AT566" s="34"/>
      <c r="AU566" s="34"/>
      <c r="AV566" s="34"/>
      <c r="AW566" s="34"/>
      <c r="AX566" s="34"/>
      <c r="AY566" s="34"/>
      <c r="AZ566" s="34"/>
      <c r="BA566" s="34"/>
      <c r="BB566" s="34"/>
      <c r="BC566" s="34"/>
      <c r="BD566" s="34"/>
      <c r="BE566" s="34"/>
      <c r="BF566" s="34"/>
      <c r="BG566" s="34"/>
      <c r="BH566" s="34"/>
      <c r="BI566" s="34"/>
      <c r="BJ566" s="34"/>
      <c r="BK566" s="34"/>
      <c r="BL566" s="34"/>
      <c r="BM566" s="34"/>
      <c r="BN566" s="34"/>
      <c r="BO566" s="34"/>
      <c r="BP566" s="34"/>
      <c r="BQ566" s="34"/>
      <c r="BR566" s="34"/>
      <c r="BS566" s="34"/>
      <c r="BT566" s="34"/>
      <c r="BU566" s="34"/>
      <c r="BV566" s="34"/>
      <c r="BW566" s="34"/>
      <c r="BX566" s="34"/>
      <c r="BY566" s="34"/>
      <c r="BZ566" s="34"/>
      <c r="CA566" s="34"/>
      <c r="CB566" s="34"/>
      <c r="CC566" s="34"/>
      <c r="CD566" s="34"/>
      <c r="CE566" s="34"/>
      <c r="CF566" s="34"/>
      <c r="CG566" s="34"/>
      <c r="CH566" s="34"/>
      <c r="CI566" s="8"/>
    </row>
    <row r="567" spans="1:87" x14ac:dyDescent="0.2">
      <c r="A567" s="8" t="str">
        <f>IF(AND(COUNTIF(W$3:W$13,A$34)&gt;0,A$34&lt;&gt;B546),A$34,IFERROR(IF(MATCH(A$34,Z$3:Z$13,0)=1,A$34," ")," "))</f>
        <v>C20</v>
      </c>
      <c r="B567" s="8">
        <f>IF(A567=" "," ",MAX(B548:B566)+1)</f>
        <v>9</v>
      </c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U567" s="34"/>
      <c r="V567" s="34"/>
      <c r="W567" s="34"/>
      <c r="X567" s="34"/>
      <c r="Y567" s="34"/>
      <c r="Z567" s="34"/>
      <c r="AA567" s="34"/>
      <c r="AB567" s="34"/>
      <c r="AC567" s="34"/>
      <c r="AD567" s="34"/>
      <c r="AE567" s="34"/>
      <c r="AF567" s="34"/>
      <c r="AG567" s="34"/>
      <c r="AH567" s="34"/>
      <c r="AI567" s="34"/>
      <c r="AJ567" s="34"/>
      <c r="AK567" s="34"/>
      <c r="AL567" s="34"/>
      <c r="AM567" s="34"/>
      <c r="AN567" s="34"/>
      <c r="AO567" s="34"/>
      <c r="AP567" s="34"/>
      <c r="AQ567" s="34"/>
      <c r="AR567" s="34"/>
      <c r="AS567" s="34"/>
      <c r="AT567" s="34"/>
      <c r="AU567" s="34"/>
      <c r="AV567" s="34"/>
      <c r="AW567" s="34"/>
      <c r="AX567" s="34"/>
      <c r="AY567" s="34"/>
      <c r="AZ567" s="34"/>
      <c r="BA567" s="34"/>
      <c r="BB567" s="34"/>
      <c r="BC567" s="34"/>
      <c r="BD567" s="34"/>
      <c r="BE567" s="34"/>
      <c r="BF567" s="34"/>
      <c r="BG567" s="34"/>
      <c r="BH567" s="34"/>
      <c r="BI567" s="34"/>
      <c r="BJ567" s="34"/>
      <c r="BK567" s="34"/>
      <c r="BL567" s="34"/>
      <c r="BM567" s="34"/>
      <c r="BN567" s="34"/>
      <c r="BO567" s="34"/>
      <c r="BP567" s="34"/>
      <c r="BQ567" s="34"/>
      <c r="BR567" s="34"/>
      <c r="BS567" s="34"/>
      <c r="BT567" s="34"/>
      <c r="BU567" s="34"/>
      <c r="BV567" s="34"/>
      <c r="BW567" s="34"/>
      <c r="BX567" s="34"/>
      <c r="BY567" s="34"/>
      <c r="BZ567" s="34"/>
      <c r="CA567" s="34"/>
      <c r="CB567" s="34"/>
      <c r="CC567" s="34"/>
      <c r="CD567" s="34"/>
      <c r="CE567" s="34"/>
      <c r="CF567" s="34"/>
      <c r="CG567" s="34"/>
      <c r="CH567" s="34"/>
      <c r="CI567" s="8"/>
    </row>
    <row r="568" spans="1:87" x14ac:dyDescent="0.2">
      <c r="A568" s="8" t="str">
        <f>IF(AND(COUNTIF(W$3:W$13,A$35)&gt;0,A$35&lt;&gt;B546),A$35,IFERROR(IF(MATCH(A$35,Z$3:Z$13,0)=1,A$35," ")," "))</f>
        <v>C21</v>
      </c>
      <c r="B568" s="8">
        <f>IF(A568=" "," ",MAX(B548:B567)+1)</f>
        <v>10</v>
      </c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U568" s="34"/>
      <c r="V568" s="34"/>
      <c r="W568" s="34"/>
      <c r="X568" s="34"/>
      <c r="Y568" s="34"/>
      <c r="Z568" s="34"/>
      <c r="AA568" s="34"/>
      <c r="AB568" s="34"/>
      <c r="AC568" s="34"/>
      <c r="AD568" s="34"/>
      <c r="AE568" s="34"/>
      <c r="AF568" s="34"/>
      <c r="AG568" s="34"/>
      <c r="AH568" s="34"/>
      <c r="AI568" s="34"/>
      <c r="AJ568" s="34"/>
      <c r="AK568" s="34"/>
      <c r="AL568" s="34"/>
      <c r="AM568" s="34"/>
      <c r="AN568" s="34"/>
      <c r="AO568" s="34"/>
      <c r="AP568" s="34"/>
      <c r="AQ568" s="34"/>
      <c r="AR568" s="34"/>
      <c r="AS568" s="34"/>
      <c r="AT568" s="34"/>
      <c r="AU568" s="34"/>
      <c r="AV568" s="34"/>
      <c r="AW568" s="34"/>
      <c r="AX568" s="34"/>
      <c r="AY568" s="34"/>
      <c r="AZ568" s="34"/>
      <c r="BA568" s="34"/>
      <c r="BB568" s="34"/>
      <c r="BC568" s="34"/>
      <c r="BD568" s="34"/>
      <c r="BE568" s="34"/>
      <c r="BF568" s="34"/>
      <c r="BG568" s="34"/>
      <c r="BH568" s="34"/>
      <c r="BI568" s="34"/>
      <c r="BJ568" s="34"/>
      <c r="BK568" s="34"/>
      <c r="BL568" s="34"/>
      <c r="BM568" s="34"/>
      <c r="BN568" s="34"/>
      <c r="BO568" s="34"/>
      <c r="BP568" s="34"/>
      <c r="BQ568" s="34"/>
      <c r="BR568" s="34"/>
      <c r="BS568" s="34"/>
      <c r="BT568" s="34"/>
      <c r="BU568" s="34"/>
      <c r="BV568" s="34"/>
      <c r="BW568" s="34"/>
      <c r="BX568" s="34"/>
      <c r="BY568" s="34"/>
      <c r="BZ568" s="34"/>
      <c r="CA568" s="34"/>
      <c r="CB568" s="34"/>
      <c r="CC568" s="34"/>
      <c r="CD568" s="34"/>
      <c r="CE568" s="34"/>
      <c r="CF568" s="34"/>
      <c r="CG568" s="34"/>
      <c r="CH568" s="34"/>
      <c r="CI568" s="8"/>
    </row>
    <row r="569" spans="1:87" x14ac:dyDescent="0.2">
      <c r="A569" s="8" t="str">
        <f>IF(AND(COUNTIF(W$3:W$13,A$36)&gt;0,A$36&lt;&gt;B546),A$36,IFERROR(IF(MATCH(A$36,Z$3:Z$13,0)=1,A$36," ")," "))</f>
        <v>C22</v>
      </c>
      <c r="B569" s="8">
        <f>IF(A569=" "," ",MAX(B548:B568)+1)</f>
        <v>11</v>
      </c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U569" s="34"/>
      <c r="V569" s="34"/>
      <c r="W569" s="34"/>
      <c r="X569" s="34"/>
      <c r="Y569" s="34"/>
      <c r="Z569" s="34"/>
      <c r="AA569" s="34"/>
      <c r="AB569" s="34"/>
      <c r="AC569" s="34"/>
      <c r="AD569" s="34"/>
      <c r="AE569" s="34"/>
      <c r="AF569" s="34"/>
      <c r="AG569" s="34"/>
      <c r="AH569" s="34"/>
      <c r="AI569" s="34"/>
      <c r="AJ569" s="34"/>
      <c r="AK569" s="34"/>
      <c r="AL569" s="34"/>
      <c r="AM569" s="34"/>
      <c r="AN569" s="34"/>
      <c r="AO569" s="34"/>
      <c r="AP569" s="34"/>
      <c r="AQ569" s="34"/>
      <c r="AR569" s="34"/>
      <c r="AS569" s="34"/>
      <c r="AT569" s="34"/>
      <c r="AU569" s="34"/>
      <c r="AV569" s="34"/>
      <c r="AW569" s="34"/>
      <c r="AX569" s="34"/>
      <c r="AY569" s="34"/>
      <c r="AZ569" s="34"/>
      <c r="BA569" s="34"/>
      <c r="BB569" s="34"/>
      <c r="BC569" s="34"/>
      <c r="BD569" s="34"/>
      <c r="BE569" s="34"/>
      <c r="BF569" s="34"/>
      <c r="BG569" s="34"/>
      <c r="BH569" s="34"/>
      <c r="BI569" s="34"/>
      <c r="BJ569" s="34"/>
      <c r="BK569" s="34"/>
      <c r="BL569" s="34"/>
      <c r="BM569" s="34"/>
      <c r="BN569" s="34"/>
      <c r="BO569" s="34"/>
      <c r="BP569" s="34"/>
      <c r="BQ569" s="34"/>
      <c r="BR569" s="34"/>
      <c r="BS569" s="34"/>
      <c r="BT569" s="34"/>
      <c r="BU569" s="34"/>
      <c r="BV569" s="34"/>
      <c r="BW569" s="34"/>
      <c r="BX569" s="34"/>
      <c r="BY569" s="34"/>
      <c r="BZ569" s="34"/>
      <c r="CA569" s="34"/>
      <c r="CB569" s="34"/>
      <c r="CC569" s="34"/>
      <c r="CD569" s="34"/>
      <c r="CE569" s="34"/>
      <c r="CF569" s="34"/>
      <c r="CG569" s="34"/>
      <c r="CH569" s="34"/>
      <c r="CI569" s="8"/>
    </row>
    <row r="570" spans="1:87" x14ac:dyDescent="0.2">
      <c r="A570" s="11" t="s">
        <v>17</v>
      </c>
      <c r="B570" s="11"/>
      <c r="C570" s="27" t="s">
        <v>18</v>
      </c>
      <c r="D570" s="27" t="s">
        <v>2</v>
      </c>
      <c r="E570" s="27" t="s">
        <v>6</v>
      </c>
      <c r="F570" s="27" t="s">
        <v>15</v>
      </c>
      <c r="G570" s="27" t="s">
        <v>36</v>
      </c>
      <c r="H570" s="27" t="s">
        <v>37</v>
      </c>
      <c r="I570" s="27" t="s">
        <v>38</v>
      </c>
      <c r="J570" s="27" t="s">
        <v>39</v>
      </c>
      <c r="K570" s="27" t="s">
        <v>40</v>
      </c>
      <c r="L570" s="27" t="s">
        <v>41</v>
      </c>
      <c r="M570" s="27" t="s">
        <v>42</v>
      </c>
      <c r="N570" s="27" t="s">
        <v>43</v>
      </c>
      <c r="O570" s="27" t="s">
        <v>9</v>
      </c>
      <c r="P570" s="27" t="s">
        <v>12</v>
      </c>
      <c r="Q570" s="27" t="s">
        <v>19</v>
      </c>
      <c r="R570" s="27" t="s">
        <v>55</v>
      </c>
      <c r="S570" s="27" t="s">
        <v>26</v>
      </c>
      <c r="T570" s="19" t="s">
        <v>25</v>
      </c>
      <c r="U570" s="33" t="s">
        <v>27</v>
      </c>
      <c r="V570" s="33" t="s">
        <v>9</v>
      </c>
      <c r="W570" s="33" t="s">
        <v>23</v>
      </c>
      <c r="X570" s="33" t="s">
        <v>12</v>
      </c>
      <c r="Y570" s="33" t="s">
        <v>26</v>
      </c>
      <c r="Z570" s="33" t="s">
        <v>25</v>
      </c>
      <c r="AA570" s="33" t="s">
        <v>27</v>
      </c>
      <c r="AB570" s="33" t="s">
        <v>9</v>
      </c>
      <c r="AC570" s="33" t="s">
        <v>23</v>
      </c>
      <c r="AD570" s="33" t="s">
        <v>12</v>
      </c>
      <c r="AE570" s="33" t="s">
        <v>26</v>
      </c>
      <c r="AF570" s="33" t="s">
        <v>25</v>
      </c>
      <c r="AG570" s="33" t="s">
        <v>27</v>
      </c>
      <c r="AH570" s="33" t="s">
        <v>9</v>
      </c>
      <c r="AI570" s="33" t="s">
        <v>23</v>
      </c>
      <c r="AJ570" s="33" t="s">
        <v>12</v>
      </c>
      <c r="AK570" s="33" t="s">
        <v>26</v>
      </c>
      <c r="AL570" s="33" t="s">
        <v>25</v>
      </c>
      <c r="AM570" s="33" t="s">
        <v>27</v>
      </c>
      <c r="AN570" s="33" t="s">
        <v>9</v>
      </c>
      <c r="AO570" s="33" t="s">
        <v>23</v>
      </c>
      <c r="AP570" s="33" t="s">
        <v>12</v>
      </c>
      <c r="AQ570" s="33" t="s">
        <v>26</v>
      </c>
      <c r="AR570" s="33" t="s">
        <v>25</v>
      </c>
      <c r="AS570" s="33" t="s">
        <v>27</v>
      </c>
      <c r="AT570" s="33" t="s">
        <v>9</v>
      </c>
      <c r="AU570" s="33" t="s">
        <v>23</v>
      </c>
      <c r="AV570" s="33" t="s">
        <v>12</v>
      </c>
      <c r="AW570" s="33" t="s">
        <v>26</v>
      </c>
      <c r="AX570" s="33" t="s">
        <v>25</v>
      </c>
      <c r="AY570" s="33" t="s">
        <v>27</v>
      </c>
      <c r="AZ570" s="33" t="s">
        <v>9</v>
      </c>
      <c r="BA570" s="33" t="s">
        <v>23</v>
      </c>
      <c r="BB570" s="33" t="s">
        <v>12</v>
      </c>
      <c r="BC570" s="33" t="s">
        <v>26</v>
      </c>
      <c r="BD570" s="33" t="s">
        <v>25</v>
      </c>
      <c r="BE570" s="33" t="s">
        <v>27</v>
      </c>
      <c r="BF570" s="33" t="s">
        <v>9</v>
      </c>
      <c r="BG570" s="33" t="s">
        <v>23</v>
      </c>
      <c r="BH570" s="33" t="s">
        <v>12</v>
      </c>
      <c r="BI570" s="33" t="s">
        <v>26</v>
      </c>
      <c r="BJ570" s="33" t="s">
        <v>25</v>
      </c>
      <c r="BK570" s="33" t="s">
        <v>27</v>
      </c>
      <c r="BL570" s="33" t="s">
        <v>9</v>
      </c>
      <c r="BM570" s="33" t="s">
        <v>23</v>
      </c>
      <c r="BN570" s="33" t="s">
        <v>12</v>
      </c>
      <c r="BO570" s="33" t="s">
        <v>26</v>
      </c>
      <c r="BP570" s="33" t="s">
        <v>25</v>
      </c>
      <c r="BQ570" s="33" t="s">
        <v>27</v>
      </c>
      <c r="BR570" s="33" t="s">
        <v>9</v>
      </c>
      <c r="BS570" s="33" t="s">
        <v>23</v>
      </c>
      <c r="BT570" s="33" t="s">
        <v>12</v>
      </c>
      <c r="BU570" s="33" t="s">
        <v>26</v>
      </c>
      <c r="BV570" s="33" t="s">
        <v>25</v>
      </c>
      <c r="BW570" s="33" t="s">
        <v>27</v>
      </c>
      <c r="BX570" s="33" t="s">
        <v>9</v>
      </c>
      <c r="BY570" s="33" t="s">
        <v>23</v>
      </c>
      <c r="BZ570" s="33" t="s">
        <v>12</v>
      </c>
      <c r="CA570" s="33" t="s">
        <v>26</v>
      </c>
      <c r="CB570" s="33" t="s">
        <v>25</v>
      </c>
      <c r="CC570" s="33" t="s">
        <v>27</v>
      </c>
      <c r="CD570" s="33" t="s">
        <v>9</v>
      </c>
      <c r="CE570" s="33" t="s">
        <v>23</v>
      </c>
      <c r="CF570" s="33" t="s">
        <v>12</v>
      </c>
      <c r="CG570" s="33" t="s">
        <v>26</v>
      </c>
      <c r="CH570" s="33" t="s">
        <v>25</v>
      </c>
      <c r="CI570" s="8"/>
    </row>
    <row r="571" spans="1:87" x14ac:dyDescent="0.2">
      <c r="A571" s="8" t="str">
        <f>IF(AND(COUNTIF(W$3:W$13,A$15)&gt;0,A$15&lt;&gt;B546),A$15,IFERROR(IF(MATCH(A$15,Z$3:Z$13,0)=2,A$15," ")," "))</f>
        <v xml:space="preserve"> </v>
      </c>
      <c r="B571" s="8" t="str">
        <f>IF(A571=" "," ",1)</f>
        <v xml:space="preserve"> </v>
      </c>
      <c r="C571" s="8" t="str">
        <f>IFERROR(INDEX(A571:A592,MATCH(SMALL(B571:B592,1),B571:B592,0),1)," ")</f>
        <v>C2</v>
      </c>
      <c r="D571" s="8">
        <f>IFERROR(VLOOKUP($C571,$A$15:$O$36,2,FALSE)," ")</f>
        <v>1</v>
      </c>
      <c r="E571" s="8">
        <f>IFERROR(VLOOKUP($C571,$A$15:$O$36,3,FALSE)," ")</f>
        <v>3</v>
      </c>
      <c r="F571" s="8">
        <f>IFERROR(VLOOKUP($C571,$A$15:$O$36,4,FALSE)," ")</f>
        <v>2</v>
      </c>
      <c r="G571" s="8">
        <f>IFERROR(VLOOKUP($C571,$A$15:$O$36,5,FALSE)," ")</f>
        <v>0</v>
      </c>
      <c r="H571" s="8">
        <f>IFERROR(VLOOKUP($C571,$A$15:$O$36,6,FALSE)," ")</f>
        <v>0</v>
      </c>
      <c r="I571" s="8">
        <f>IFERROR(VLOOKUP($C571,$A$15:$O$36,7,FALSE)," ")</f>
        <v>0</v>
      </c>
      <c r="J571" s="8">
        <f>IFERROR(VLOOKUP($C571,$A$15:$O$36,8,FALSE)," ")</f>
        <v>0</v>
      </c>
      <c r="K571" s="8">
        <f>IFERROR(VLOOKUP($C571,$A$15:$O$36,9,FALSE)," ")</f>
        <v>0</v>
      </c>
      <c r="L571" s="8">
        <f>IFERROR(VLOOKUP($C571,$A$15:$O$36,10,FALSE)," ")</f>
        <v>0</v>
      </c>
      <c r="M571" s="8">
        <f>IFERROR(VLOOKUP($C571,$A$15:$O$36,11,FALSE)," ")</f>
        <v>0</v>
      </c>
      <c r="N571" s="8">
        <f>IFERROR(VLOOKUP($C571,$A$15:$O$36,12,FALSE)," ")</f>
        <v>0</v>
      </c>
      <c r="O571" s="8">
        <f>IFERROR(VLOOKUP($C571,$A$15:$O$36,15,FALSE)," ")</f>
        <v>1000</v>
      </c>
      <c r="P571" s="8">
        <f t="array" ref="P571:P581">MMULT(MINVERSE(D571:N581),O571:O581)</f>
        <v>314.28571428571433</v>
      </c>
      <c r="Q571" s="8">
        <f t="shared" ref="Q571" si="2287">IF(COUNTIF(P571:P581,"&lt;"&amp;-0.001)=0,IF(ABS(P571)&lt;0.001,0,P571)," ")</f>
        <v>314.28571428571433</v>
      </c>
      <c r="R571" s="8">
        <f>IFERROR(VLOOKUP(B546,A$15:L$36,2,FALSE)*Q571+VLOOKUP(B546,A$15:L$36,3,FALSE)*Q572+VLOOKUP(B546,A$15:L$36,4,FALSE)*Q573+VLOOKUP(B546,A$15:L$36,5,FALSE)*Q574+VLOOKUP(B546,A$15:L$36,6,FALSE)*Q575+VLOOKUP(B546,A$15:L$36,7,FALSE)*Q576+VLOOKUP(B546,A$15:L$36,8,FALSE)*Q577+VLOOKUP(B546,A$15:L$36,9,FALSE)*Q578+VLOOKUP(B546,A$15:L$36,10,FALSE)*Q579+VLOOKUP(B546,A$15:L$36,11,FALSE)*Q580+VLOOKUP(B546,A$15:L$36,12,FALSE)*Q581," ")</f>
        <v>171.42857142857139</v>
      </c>
      <c r="S571" s="8" t="str">
        <f>IFERROR(IF(R571-VLOOKUP(B546,A$15:O$36,15,FALSE)&lt;0,R571-VLOOKUP(B546,A$15:O$36,15,FALSE)," ")," ")</f>
        <v xml:space="preserve"> </v>
      </c>
      <c r="T571" s="18">
        <f>IFERROR(IF(R571-VLOOKUP(B546,A$15:O$36,15,FALSE)&gt;0,R571-VLOOKUP(B546,A$15:O$36,15,FALSE)," ")," ")</f>
        <v>171.42857142857139</v>
      </c>
      <c r="U571" s="34">
        <f t="shared" ref="U571" si="2288">$M$2</f>
        <v>100.00000000000001</v>
      </c>
      <c r="V571" s="34">
        <v>-1</v>
      </c>
      <c r="W571" s="34">
        <f t="shared" ref="W571" si="2289">-SUMPRODUCT($M$3:$M$12,$N$3:$N$12)</f>
        <v>-105000</v>
      </c>
      <c r="X571" s="34">
        <f t="shared" ref="X571" si="2290">IF(U571&lt;&gt;U572,MMULT(MINVERSE(U571:V572),W571:W572)," ")</f>
        <v>190</v>
      </c>
      <c r="Y571" s="34" t="str">
        <f t="shared" ref="Y571" si="2291">IFERROR(IF(X571-VLOOKUP(U$38,$A$2:$N$12,14,FALSE)&lt;0,X571-VLOOKUP(U$38,$A$2:$N$12,14,FALSE)," ")," ")</f>
        <v xml:space="preserve"> </v>
      </c>
      <c r="Z571" s="34">
        <f t="shared" ref="Z571" si="2292">IFERROR(IF(X571-VLOOKUP(U$38,$A$2:$N$12,14,FALSE)&gt;0,X571-VLOOKUP(U$38,$A$2:$N$12,14,FALSE)," ")," ")</f>
        <v>40</v>
      </c>
      <c r="AA571" s="34">
        <f t="shared" ref="AA571" si="2293">$M$3</f>
        <v>0</v>
      </c>
      <c r="AB571" s="34">
        <v>-1</v>
      </c>
      <c r="AC571" s="34">
        <f t="shared" ref="AC571" si="2294">-SUMPRODUCT($M$2:$M$2,$N$2:$N$2)-SUMPRODUCT($M$4:$M$12,$N$4:$N$12)</f>
        <v>-120000</v>
      </c>
      <c r="AD571" s="34">
        <f t="shared" ref="AD571" si="2295">IF(AA571&lt;&gt;AA572,MMULT(MINVERSE(AA571:AB572),AC571:AC572)," ")</f>
        <v>249.99999999999994</v>
      </c>
      <c r="AE571" s="34" t="str">
        <f t="shared" ref="AE571" si="2296">IFERROR(IF(AD571-VLOOKUP(AA$38,$A$2:$N$12,14,FALSE)&lt;0,AD571-VLOOKUP(AA$38,$A$2:$N$12,14,FALSE)," ")," ")</f>
        <v xml:space="preserve"> </v>
      </c>
      <c r="AF571" s="34">
        <f t="shared" ref="AF571" si="2297">IFERROR(IF(AD571-VLOOKUP(AA$38,$A$2:$N$12,14,FALSE)&gt;0,AD571-VLOOKUP(AA$38,$A$2:$N$12,14,FALSE)," ")," ")</f>
        <v>49.999999999999943</v>
      </c>
      <c r="AG571" s="34">
        <f t="shared" ref="AG571" si="2298">$M$4</f>
        <v>300</v>
      </c>
      <c r="AH571" s="34">
        <v>-1</v>
      </c>
      <c r="AI571" s="34">
        <f t="shared" ref="AI571" si="2299">-SUMPRODUCT($M$2:$M$3,$N$2:$N$3)-SUMPRODUCT($M$5:$M$12,$N$5:$N$12)</f>
        <v>-15000.000000000002</v>
      </c>
      <c r="AJ571" s="34">
        <f t="shared" ref="AJ571" si="2300">IF(AG571&lt;&gt;AG572,MMULT(MINVERSE(AG571:AH572),AI571:AI572)," ")</f>
        <v>310</v>
      </c>
      <c r="AK571" s="34">
        <f t="shared" ref="AK571" si="2301">IFERROR(IF(AJ571-VLOOKUP(AG$38,$A$2:$N$12,14,FALSE)&lt;0,AJ571-VLOOKUP(AG$38,$A$2:$N$12,14,FALSE)," ")," ")</f>
        <v>-40</v>
      </c>
      <c r="AL571" s="34" t="str">
        <f t="shared" ref="AL571" si="2302">IFERROR(IF(AJ571-VLOOKUP(AG$38,$A$2:$N$12,14,FALSE)&gt;0,AJ571-VLOOKUP(AG$38,$A$2:$N$12,14,FALSE)," ")," ")</f>
        <v xml:space="preserve"> </v>
      </c>
      <c r="AM571" s="34">
        <f t="shared" ref="AM571" si="2303">$M$5</f>
        <v>0</v>
      </c>
      <c r="AN571" s="34">
        <v>-1</v>
      </c>
      <c r="AO571" s="34">
        <f t="shared" ref="AO571" si="2304">-SUMPRODUCT($M$2:$M$4,$N$2:$N$4)-SUMPRODUCT($M$6:$M$12,$N$6:$N$12)</f>
        <v>-120000</v>
      </c>
      <c r="AP571" s="34" t="str">
        <f t="shared" ref="AP571" si="2305">IF(AM571&lt;&gt;AM572,MMULT(MINVERSE(AM571:AN572),AO571:AO572)," ")</f>
        <v xml:space="preserve"> </v>
      </c>
      <c r="AQ571" s="34" t="str">
        <f t="shared" ref="AQ571" si="2306">IFERROR(IF(AP571-VLOOKUP(AM$38,$A$2:$N$12,14,FALSE)&lt;0,AP571-VLOOKUP(AM$38,$A$2:$N$12,14,FALSE)," ")," ")</f>
        <v xml:space="preserve"> </v>
      </c>
      <c r="AR571" s="34" t="str">
        <f t="shared" ref="AR571" si="2307">IFERROR(IF(AP571-VLOOKUP(AM$38,$A$2:$N$12,14,FALSE)&gt;0,AP571-VLOOKUP(AM$38,$A$2:$N$12,14,FALSE)," ")," ")</f>
        <v xml:space="preserve"> </v>
      </c>
      <c r="AS571" s="34">
        <f t="shared" ref="AS571" si="2308">$M$6</f>
        <v>0</v>
      </c>
      <c r="AT571" s="34">
        <v>-1</v>
      </c>
      <c r="AU571" s="34">
        <f t="shared" ref="AU571" si="2309">-SUMPRODUCT($M$2:$M$5,$N$2:$N$5)-SUMPRODUCT($M$7:$M$12,$N$7:$N$12)</f>
        <v>-120000</v>
      </c>
      <c r="AV571" s="34" t="str">
        <f t="shared" ref="AV571" si="2310">IF(AS571&lt;&gt;AS572,MMULT(MINVERSE(AS571:AT572),AU571:AU572)," ")</f>
        <v xml:space="preserve"> </v>
      </c>
      <c r="AW571" s="34" t="str">
        <f t="shared" ref="AW571" si="2311">IFERROR(IF(AV571-VLOOKUP(AS$38,$A$2:$N$12,14,FALSE)&lt;0,AV571-VLOOKUP(AS$38,$A$2:$N$12,14,FALSE)," ")," ")</f>
        <v xml:space="preserve"> </v>
      </c>
      <c r="AX571" s="34" t="str">
        <f t="shared" ref="AX571" si="2312">IFERROR(IF(AV571-VLOOKUP(AS$38,$A$2:$N$12,14,FALSE)&gt;0,AV571-VLOOKUP(AS$38,$A$2:$N$12,14,FALSE)," ")," ")</f>
        <v xml:space="preserve"> </v>
      </c>
      <c r="AY571" s="34">
        <f t="shared" ref="AY571" si="2313">$M$7</f>
        <v>0</v>
      </c>
      <c r="AZ571" s="34">
        <v>-1</v>
      </c>
      <c r="BA571" s="34">
        <f t="shared" ref="BA571" si="2314">-SUMPRODUCT($M$2:$M$6,$N$2:$N$6)-SUMPRODUCT($M$8:$M$12,$N$8:$N$12)</f>
        <v>-120000</v>
      </c>
      <c r="BB571" s="34" t="str">
        <f t="shared" ref="BB571" si="2315">IF(AY571&lt;&gt;AY572,MMULT(MINVERSE(AY571:AZ572),BA571:BA572)," ")</f>
        <v xml:space="preserve"> </v>
      </c>
      <c r="BC571" s="34" t="str">
        <f t="shared" ref="BC571" si="2316">IFERROR(IF(BB571-VLOOKUP(AY$38,$A$2:$N$12,14,FALSE)&lt;0,BB571-VLOOKUP(AY$38,$A$2:$N$12,14,FALSE)," ")," ")</f>
        <v xml:space="preserve"> </v>
      </c>
      <c r="BD571" s="34" t="str">
        <f t="shared" ref="BD571" si="2317">IFERROR(IF(BB571-VLOOKUP(AY$38,$A$2:$N$12,14,FALSE)&gt;0,BB571-VLOOKUP(AY$38,$A$2:$N$12,14,FALSE)," ")," ")</f>
        <v xml:space="preserve"> </v>
      </c>
      <c r="BE571" s="34">
        <f t="shared" ref="BE571" si="2318">$M$8</f>
        <v>0</v>
      </c>
      <c r="BF571" s="34">
        <v>-1</v>
      </c>
      <c r="BG571" s="34">
        <f t="shared" ref="BG571" si="2319">-SUMPRODUCT($M$2:$M$7,$N$2:$N$7)-SUMPRODUCT($M$9:$M$12,$N$9:$N$12)</f>
        <v>-120000</v>
      </c>
      <c r="BH571" s="34" t="str">
        <f t="shared" ref="BH571" si="2320">IF(BE571&lt;&gt;BE572,MMULT(MINVERSE(BE571:BF572),BG571:BG572)," ")</f>
        <v xml:space="preserve"> </v>
      </c>
      <c r="BI571" s="34" t="str">
        <f t="shared" ref="BI571" si="2321">IFERROR(IF(BH571-VLOOKUP(BE$38,$A$2:$N$12,14,FALSE)&lt;0,BH571-VLOOKUP(BE$38,$A$2:$N$12,14,FALSE)," ")," ")</f>
        <v xml:space="preserve"> </v>
      </c>
      <c r="BJ571" s="34" t="str">
        <f t="shared" ref="BJ571" si="2322">IFERROR(IF(BH571-VLOOKUP(BE$38,$A$2:$N$12,14,FALSE)&gt;0,BH571-VLOOKUP(BE$38,$A$2:$N$12,14,FALSE)," ")," ")</f>
        <v xml:space="preserve"> </v>
      </c>
      <c r="BK571" s="34">
        <f t="shared" ref="BK571" si="2323">$M$9</f>
        <v>0</v>
      </c>
      <c r="BL571" s="34">
        <v>-1</v>
      </c>
      <c r="BM571" s="34">
        <f t="shared" ref="BM571" si="2324">-SUMPRODUCT($M$2:$M$8,$N$2:$N$8)-SUMPRODUCT($M$10:$M$12,$N$10:$N$12)</f>
        <v>-120000</v>
      </c>
      <c r="BN571" s="34" t="str">
        <f t="shared" ref="BN571" si="2325">IF(BK571&lt;&gt;BK572,MMULT(MINVERSE(BK571:BL572),BM571:BM572)," ")</f>
        <v xml:space="preserve"> </v>
      </c>
      <c r="BO571" s="34" t="str">
        <f t="shared" ref="BO571" si="2326">IFERROR(IF(BN571-VLOOKUP(BK$38,$A$2:$N$12,14,FALSE)&lt;0,BN571-VLOOKUP(BK$38,$A$2:$N$12,14,FALSE)," ")," ")</f>
        <v xml:space="preserve"> </v>
      </c>
      <c r="BP571" s="34" t="str">
        <f t="shared" ref="BP571" si="2327">IFERROR(IF(BN571-VLOOKUP(BK$38,$A$2:$N$12,14,FALSE)&gt;0,BN571-VLOOKUP(BK$38,$A$2:$N$12,14,FALSE)," ")," ")</f>
        <v xml:space="preserve"> </v>
      </c>
      <c r="BQ571" s="34">
        <f t="shared" ref="BQ571" si="2328">$M$10</f>
        <v>0</v>
      </c>
      <c r="BR571" s="34">
        <v>-1</v>
      </c>
      <c r="BS571" s="34">
        <f t="shared" ref="BS571" si="2329">-SUMPRODUCT($M$2:$M$9,$N$2:$N$9)-SUMPRODUCT($M$11:$M$12,$N$11:$N$12)</f>
        <v>-120000</v>
      </c>
      <c r="BT571" s="34" t="str">
        <f t="shared" ref="BT571" si="2330">IF(BQ571&lt;&gt;BQ572,MMULT(MINVERSE(BQ571:BR572),BS571:BS572)," ")</f>
        <v xml:space="preserve"> </v>
      </c>
      <c r="BU571" s="34" t="str">
        <f t="shared" ref="BU571" si="2331">IFERROR(IF(BT571-VLOOKUP(BQ$38,$A$2:$N$12,14,FALSE)&lt;0,BT571-VLOOKUP(BQ$38,$A$2:$N$12,14,FALSE)," ")," ")</f>
        <v xml:space="preserve"> </v>
      </c>
      <c r="BV571" s="34" t="str">
        <f t="shared" ref="BV571" si="2332">IFERROR(IF(BT571-VLOOKUP(BQ$38,$A$2:$N$12,14,FALSE)&gt;0,BT571-VLOOKUP(BQ$38,$A$2:$N$12,14,FALSE)," ")," ")</f>
        <v xml:space="preserve"> </v>
      </c>
      <c r="BW571" s="34">
        <f t="shared" ref="BW571" si="2333">$M$11</f>
        <v>0</v>
      </c>
      <c r="BX571" s="34">
        <v>-1</v>
      </c>
      <c r="BY571" s="34">
        <f t="shared" ref="BY571" si="2334">-SUMPRODUCT($M$2:$M$10,$N$2:$N$10)-SUMPRODUCT($M$12,$N$12)</f>
        <v>-120000</v>
      </c>
      <c r="BZ571" s="34" t="str">
        <f t="shared" ref="BZ571" si="2335">IF(BW571&lt;&gt;BW572,MMULT(MINVERSE(BW571:BX572),BY571:BY572)," ")</f>
        <v xml:space="preserve"> </v>
      </c>
      <c r="CA571" s="34" t="str">
        <f t="shared" ref="CA571" si="2336">IFERROR(IF(BZ571-VLOOKUP(BW$38,$A$2:$N$12,14,FALSE)&lt;0,BZ571-VLOOKUP(BW$38,$A$2:$N$12,14,FALSE)," ")," ")</f>
        <v xml:space="preserve"> </v>
      </c>
      <c r="CB571" s="34" t="str">
        <f t="shared" ref="CB571" si="2337">IFERROR(IF(BZ571-VLOOKUP(BW$38,$A$2:$N$12,14,FALSE)&gt;0,BZ571-VLOOKUP(BW$38,$A$2:$N$12,14,FALSE)," ")," ")</f>
        <v xml:space="preserve"> </v>
      </c>
      <c r="CC571" s="34">
        <f t="shared" ref="CC571" si="2338">$M$12</f>
        <v>0</v>
      </c>
      <c r="CD571" s="34">
        <v>-1</v>
      </c>
      <c r="CE571" s="34">
        <f t="shared" ref="CE571" si="2339">-SUMPRODUCT($M$2:$M$11,$N$2:$N$11)</f>
        <v>-120000</v>
      </c>
      <c r="CF571" s="34" t="str">
        <f t="shared" ref="CF571" si="2340">IF(CC571&lt;&gt;CC572,MMULT(MINVERSE(CC571:CD572),CE571:CE572)," ")</f>
        <v xml:space="preserve"> </v>
      </c>
      <c r="CG571" s="34" t="str">
        <f t="shared" ref="CG571" si="2341">IFERROR(IF(CF571-VLOOKUP(CC$38,$A$2:$N$12,14,FALSE)&lt;0,CF571-VLOOKUP(CC$38,$A$2:$N$12,14,FALSE)," ")," ")</f>
        <v xml:space="preserve"> </v>
      </c>
      <c r="CH571" s="34" t="str">
        <f t="shared" ref="CH571" si="2342">IFERROR(IF(CF571-VLOOKUP(CC$38,$A$2:$N$12,14,FALSE)&gt;0,CF571-VLOOKUP(CC$38,$A$2:$N$12,14,FALSE)," ")," ")</f>
        <v xml:space="preserve"> </v>
      </c>
      <c r="CI571" s="8"/>
    </row>
    <row r="572" spans="1:87" x14ac:dyDescent="0.2">
      <c r="A572" s="8" t="str">
        <f>IF(AND(COUNTIF(W$3:W$13,A$16)&gt;0,A$16&lt;&gt;B546),A$16,IFERROR(IF(MATCH(A$16,Z$3:Z$13,0)=2,A$16," ")," "))</f>
        <v>C2</v>
      </c>
      <c r="B572" s="8">
        <f>IF(A572=" "," ",MAX(B571:B571)+1)</f>
        <v>1</v>
      </c>
      <c r="C572" s="8" t="str">
        <f>IFERROR(INDEX(A571:A592,MATCH(SMALL(B571:B592,2),B571:B592,0),1)," ")</f>
        <v>C3</v>
      </c>
      <c r="D572" s="8">
        <f t="shared" ref="D572:D581" si="2343">IFERROR(VLOOKUP($C572,$A$15:$O$36,2,FALSE)," ")</f>
        <v>2</v>
      </c>
      <c r="E572" s="8">
        <f t="shared" ref="E572:E581" si="2344">IFERROR(VLOOKUP($C572,$A$15:$O$36,3,FALSE)," ")</f>
        <v>5</v>
      </c>
      <c r="F572" s="8">
        <f t="shared" ref="F572:F581" si="2345">IFERROR(VLOOKUP($C572,$A$15:$O$36,4,FALSE)," ")</f>
        <v>6</v>
      </c>
      <c r="G572" s="8">
        <f t="shared" ref="G572:G581" si="2346">IFERROR(VLOOKUP($C572,$A$15:$O$36,5,FALSE)," ")</f>
        <v>0</v>
      </c>
      <c r="H572" s="8">
        <f t="shared" ref="H572:H581" si="2347">IFERROR(VLOOKUP($C572,$A$15:$O$36,6,FALSE)," ")</f>
        <v>0</v>
      </c>
      <c r="I572" s="8">
        <f t="shared" ref="I572:I581" si="2348">IFERROR(VLOOKUP($C572,$A$15:$O$36,7,FALSE)," ")</f>
        <v>0</v>
      </c>
      <c r="J572" s="8">
        <f t="shared" ref="J572:J581" si="2349">IFERROR(VLOOKUP($C572,$A$15:$O$36,8,FALSE)," ")</f>
        <v>0</v>
      </c>
      <c r="K572" s="8">
        <f t="shared" ref="K572:K581" si="2350">IFERROR(VLOOKUP($C572,$A$15:$O$36,9,FALSE)," ")</f>
        <v>0</v>
      </c>
      <c r="L572" s="8">
        <f t="shared" ref="L572:L581" si="2351">IFERROR(VLOOKUP($C572,$A$15:$O$36,10,FALSE)," ")</f>
        <v>0</v>
      </c>
      <c r="M572" s="8">
        <f t="shared" ref="M572:M581" si="2352">IFERROR(VLOOKUP($C572,$A$15:$O$36,11,FALSE)," ")</f>
        <v>0</v>
      </c>
      <c r="N572" s="8">
        <f t="shared" ref="N572:N581" si="2353">IFERROR(VLOOKUP($C572,$A$15:$O$36,12,FALSE)," ")</f>
        <v>0</v>
      </c>
      <c r="O572" s="8">
        <f t="shared" ref="O572:O581" si="2354">IFERROR(VLOOKUP($C572,$A$15:$O$36,15,FALSE)," ")</f>
        <v>2000</v>
      </c>
      <c r="P572" s="8">
        <v>171.42857142857139</v>
      </c>
      <c r="Q572" s="8">
        <f t="shared" ref="Q572" si="2355">IF(COUNTIF(P571:P581,"&lt;"&amp;-0.001)=0,IF(ABS(P572)&lt;0.001,0,P572)," ")</f>
        <v>171.42857142857139</v>
      </c>
      <c r="R572" s="8"/>
      <c r="S572" s="8"/>
      <c r="U572" s="34">
        <f t="shared" ref="U572" si="2356">$Q571</f>
        <v>314.28571428571433</v>
      </c>
      <c r="V572" s="34">
        <v>-1</v>
      </c>
      <c r="W572" s="34">
        <f t="shared" ref="W572" si="2357">-SUMPRODUCT($Q572:$Q581,$N$3:$N$12)</f>
        <v>-64285.714285714283</v>
      </c>
      <c r="X572" s="34"/>
      <c r="Y572" s="34"/>
      <c r="Z572" s="34"/>
      <c r="AA572" s="34">
        <f t="shared" ref="AA572" si="2358">$Q572</f>
        <v>171.42857142857139</v>
      </c>
      <c r="AB572" s="34">
        <v>-1</v>
      </c>
      <c r="AC572" s="34">
        <f t="shared" ref="AC572" si="2359">-SUMPRODUCT($Q571:$Q571,$N$2:$N$2)-SUMPRODUCT($Q573:$Q581,$N$4:$N$12)</f>
        <v>-77142.857142857159</v>
      </c>
      <c r="AD572" s="34"/>
      <c r="AE572" s="34"/>
      <c r="AF572" s="34"/>
      <c r="AG572" s="34">
        <f t="shared" ref="AG572" si="2360">$Q573</f>
        <v>85.714285714285737</v>
      </c>
      <c r="AH572" s="34">
        <v>-1</v>
      </c>
      <c r="AI572" s="34">
        <f t="shared" ref="AI572" si="2361">-SUMPRODUCT($Q571:$Q572,$N$2:$N$3)-SUMPRODUCT($Q574:$Q581,$N$5:$N$12)</f>
        <v>-81428.57142857142</v>
      </c>
      <c r="AJ572" s="34"/>
      <c r="AK572" s="34"/>
      <c r="AL572" s="34"/>
      <c r="AM572" s="34">
        <f t="shared" ref="AM572" si="2362">$Q574</f>
        <v>0</v>
      </c>
      <c r="AN572" s="34">
        <v>-1</v>
      </c>
      <c r="AO572" s="34">
        <f t="shared" ref="AO572" si="2363">-SUMPRODUCT($Q571:$Q573,$N$2:$N$4)-SUMPRODUCT($Q575:$Q581,$N$6:$N$12)</f>
        <v>-111428.57142857142</v>
      </c>
      <c r="AP572" s="34"/>
      <c r="AQ572" s="34"/>
      <c r="AR572" s="34"/>
      <c r="AS572" s="34">
        <f t="shared" ref="AS572" si="2364">$Q575</f>
        <v>0</v>
      </c>
      <c r="AT572" s="34">
        <v>-1</v>
      </c>
      <c r="AU572" s="34">
        <f t="shared" ref="AU572" si="2365">-SUMPRODUCT($Q571:$Q574,$N$2:$N$5)-SUMPRODUCT($Q576:$Q581,$N$7:$N$12)</f>
        <v>-111428.57142857142</v>
      </c>
      <c r="AV572" s="34"/>
      <c r="AW572" s="34"/>
      <c r="AX572" s="34"/>
      <c r="AY572" s="34">
        <f t="shared" ref="AY572" si="2366">$Q576</f>
        <v>0</v>
      </c>
      <c r="AZ572" s="34">
        <v>-1</v>
      </c>
      <c r="BA572" s="34">
        <f t="shared" ref="BA572" si="2367">-SUMPRODUCT($Q571:$Q575,$N$2:$N$6)-SUMPRODUCT($Q577:$Q581,$N$8:$N$12)</f>
        <v>-111428.57142857142</v>
      </c>
      <c r="BB572" s="34"/>
      <c r="BC572" s="34"/>
      <c r="BD572" s="34"/>
      <c r="BE572" s="34">
        <f t="shared" ref="BE572" si="2368">$Q577</f>
        <v>0</v>
      </c>
      <c r="BF572" s="34">
        <v>-1</v>
      </c>
      <c r="BG572" s="34">
        <f t="shared" ref="BG572" si="2369">-SUMPRODUCT($Q571:$Q576,$N$2:$N$7)-SUMPRODUCT($Q578:$Q581,$N$9:$N$12)</f>
        <v>-111428.57142857142</v>
      </c>
      <c r="BH572" s="34"/>
      <c r="BI572" s="34"/>
      <c r="BJ572" s="34"/>
      <c r="BK572" s="34">
        <f t="shared" ref="BK572" si="2370">$Q578</f>
        <v>0</v>
      </c>
      <c r="BL572" s="34">
        <v>-1</v>
      </c>
      <c r="BM572" s="34">
        <f t="shared" ref="BM572" si="2371">-SUMPRODUCT($Q571:$Q577,$N$2:$N$8)-SUMPRODUCT($Q579:$Q581,$N$10:$N$12)</f>
        <v>-111428.57142857142</v>
      </c>
      <c r="BN572" s="34"/>
      <c r="BO572" s="34"/>
      <c r="BP572" s="34"/>
      <c r="BQ572" s="34">
        <f t="shared" ref="BQ572" si="2372">$Q579</f>
        <v>0</v>
      </c>
      <c r="BR572" s="34">
        <v>-1</v>
      </c>
      <c r="BS572" s="34">
        <f t="shared" ref="BS572" si="2373">-SUMPRODUCT($Q571:$Q578,$N$2:$N$9)-SUMPRODUCT($Q580:$Q581,$N$11:$N$12)</f>
        <v>-111428.57142857142</v>
      </c>
      <c r="BT572" s="34"/>
      <c r="BU572" s="34"/>
      <c r="BV572" s="34"/>
      <c r="BW572" s="34">
        <f t="shared" ref="BW572" si="2374">$Q580</f>
        <v>0</v>
      </c>
      <c r="BX572" s="34">
        <v>-1</v>
      </c>
      <c r="BY572" s="34">
        <f t="shared" ref="BY572" si="2375">-SUMPRODUCT($Q571:$Q579,$N$2:$N$10)-SUMPRODUCT($Q581,$N$12)</f>
        <v>-111428.57142857142</v>
      </c>
      <c r="BZ572" s="34"/>
      <c r="CA572" s="34"/>
      <c r="CB572" s="34"/>
      <c r="CC572" s="34">
        <f t="shared" ref="CC572" si="2376">$Q581</f>
        <v>0</v>
      </c>
      <c r="CD572" s="34">
        <v>-1</v>
      </c>
      <c r="CE572" s="34">
        <f t="shared" ref="CE572" si="2377">-SUMPRODUCT($Q571:$Q580,$N$2:$N$11)</f>
        <v>-111428.57142857142</v>
      </c>
      <c r="CF572" s="34"/>
      <c r="CG572" s="34"/>
      <c r="CH572" s="34"/>
      <c r="CI572" s="8"/>
    </row>
    <row r="573" spans="1:87" x14ac:dyDescent="0.2">
      <c r="A573" s="8" t="str">
        <f>IF(AND(COUNTIF(W$3:W$13,A$17)&gt;0,A$17&lt;&gt;B546),A$17,IFERROR(IF(MATCH(A$17,Z$3:Z$13,0)=2,A$17," ")," "))</f>
        <v>C3</v>
      </c>
      <c r="B573" s="8">
        <f>IF(A573=" "," ",MAX(B571:B572)+1)</f>
        <v>2</v>
      </c>
      <c r="C573" s="8" t="str">
        <f>IFERROR(INDEX(A571:A592,MATCH(SMALL(B571:B592,3),B571:B592,0),1)," ")</f>
        <v>C4</v>
      </c>
      <c r="D573" s="8">
        <f t="shared" si="2343"/>
        <v>1</v>
      </c>
      <c r="E573" s="8">
        <f t="shared" si="2344"/>
        <v>0</v>
      </c>
      <c r="F573" s="8">
        <f t="shared" si="2345"/>
        <v>1</v>
      </c>
      <c r="G573" s="8">
        <f t="shared" si="2346"/>
        <v>0</v>
      </c>
      <c r="H573" s="8">
        <f t="shared" si="2347"/>
        <v>0</v>
      </c>
      <c r="I573" s="8">
        <f t="shared" si="2348"/>
        <v>0</v>
      </c>
      <c r="J573" s="8">
        <f t="shared" si="2349"/>
        <v>0</v>
      </c>
      <c r="K573" s="8">
        <f t="shared" si="2350"/>
        <v>0</v>
      </c>
      <c r="L573" s="8">
        <f t="shared" si="2351"/>
        <v>0</v>
      </c>
      <c r="M573" s="8">
        <f t="shared" si="2352"/>
        <v>0</v>
      </c>
      <c r="N573" s="8">
        <f t="shared" si="2353"/>
        <v>0</v>
      </c>
      <c r="O573" s="8">
        <f t="shared" si="2354"/>
        <v>400</v>
      </c>
      <c r="P573" s="8">
        <v>85.714285714285737</v>
      </c>
      <c r="Q573" s="8">
        <f t="shared" ref="Q573" si="2378">IF(COUNTIF(P571:P581,"&lt;"&amp;-0.001)=0,IF(ABS(P573)&lt;0.001,0,P573)," ")</f>
        <v>85.714285714285737</v>
      </c>
      <c r="R573" s="8"/>
      <c r="S573" s="8"/>
      <c r="U573" s="34"/>
      <c r="V573" s="34"/>
      <c r="W573" s="34"/>
      <c r="X573" s="34"/>
      <c r="Y573" s="34"/>
      <c r="Z573" s="34"/>
      <c r="AA573" s="34"/>
      <c r="AB573" s="34"/>
      <c r="AC573" s="34"/>
      <c r="AD573" s="34"/>
      <c r="AE573" s="34"/>
      <c r="AF573" s="34"/>
      <c r="AG573" s="34"/>
      <c r="AH573" s="34"/>
      <c r="AI573" s="34"/>
      <c r="AJ573" s="34"/>
      <c r="AK573" s="34"/>
      <c r="AL573" s="34"/>
      <c r="AM573" s="34"/>
      <c r="AN573" s="34"/>
      <c r="AO573" s="34"/>
      <c r="AP573" s="34"/>
      <c r="AQ573" s="34"/>
      <c r="AR573" s="34"/>
      <c r="AS573" s="34"/>
      <c r="AT573" s="34"/>
      <c r="AU573" s="34"/>
      <c r="AV573" s="34"/>
      <c r="AW573" s="34"/>
      <c r="AX573" s="34"/>
      <c r="AY573" s="34"/>
      <c r="AZ573" s="34"/>
      <c r="BA573" s="34"/>
      <c r="BB573" s="34"/>
      <c r="BC573" s="34"/>
      <c r="BD573" s="34"/>
      <c r="BE573" s="34"/>
      <c r="BF573" s="34"/>
      <c r="BG573" s="34"/>
      <c r="BH573" s="34"/>
      <c r="BI573" s="34"/>
      <c r="BJ573" s="34"/>
      <c r="BK573" s="34"/>
      <c r="BL573" s="34"/>
      <c r="BM573" s="34"/>
      <c r="BN573" s="34"/>
      <c r="BO573" s="34"/>
      <c r="BP573" s="34"/>
      <c r="BQ573" s="34"/>
      <c r="BR573" s="34"/>
      <c r="BS573" s="34"/>
      <c r="BT573" s="34"/>
      <c r="BU573" s="34"/>
      <c r="BV573" s="34"/>
      <c r="BW573" s="34"/>
      <c r="BX573" s="34"/>
      <c r="BY573" s="34"/>
      <c r="BZ573" s="34"/>
      <c r="CA573" s="34"/>
      <c r="CB573" s="34"/>
      <c r="CC573" s="34"/>
      <c r="CD573" s="34"/>
      <c r="CE573" s="34"/>
      <c r="CF573" s="34"/>
      <c r="CG573" s="34"/>
      <c r="CH573" s="34"/>
      <c r="CI573" s="8"/>
    </row>
    <row r="574" spans="1:87" x14ac:dyDescent="0.2">
      <c r="A574" s="8" t="str">
        <f>IF(AND(COUNTIF(W$3:W$13,A$18)&gt;0,A$18&lt;&gt;B546),A$18,IFERROR(IF(MATCH(A$18,Z$3:Z$13,0)=2,A$18," ")," "))</f>
        <v>C4</v>
      </c>
      <c r="B574" s="8">
        <f>IF(A574=" "," ",MAX(B571:B573)+1)</f>
        <v>3</v>
      </c>
      <c r="C574" s="8" t="str">
        <f>IFERROR(INDEX(A571:A592,MATCH(SMALL(B571:B592,4),B571:B592,0),1)," ")</f>
        <v>C15</v>
      </c>
      <c r="D574" s="8">
        <f t="shared" si="2343"/>
        <v>0</v>
      </c>
      <c r="E574" s="8">
        <f t="shared" si="2344"/>
        <v>0</v>
      </c>
      <c r="F574" s="8">
        <f t="shared" si="2345"/>
        <v>0</v>
      </c>
      <c r="G574" s="8">
        <f t="shared" si="2346"/>
        <v>1</v>
      </c>
      <c r="H574" s="8">
        <f t="shared" si="2347"/>
        <v>0</v>
      </c>
      <c r="I574" s="8">
        <f t="shared" si="2348"/>
        <v>0</v>
      </c>
      <c r="J574" s="8">
        <f t="shared" si="2349"/>
        <v>0</v>
      </c>
      <c r="K574" s="8">
        <f t="shared" si="2350"/>
        <v>0</v>
      </c>
      <c r="L574" s="8">
        <f t="shared" si="2351"/>
        <v>0</v>
      </c>
      <c r="M574" s="8">
        <f t="shared" si="2352"/>
        <v>0</v>
      </c>
      <c r="N574" s="8">
        <f t="shared" si="2353"/>
        <v>0</v>
      </c>
      <c r="O574" s="8">
        <f t="shared" si="2354"/>
        <v>0</v>
      </c>
      <c r="P574" s="8">
        <v>0</v>
      </c>
      <c r="Q574" s="8">
        <f t="shared" ref="Q574" si="2379">IF(COUNTIF(P571:P581,"&lt;"&amp;-0.001)=0,IF(ABS(P574)&lt;0.001,0,P574)," ")</f>
        <v>0</v>
      </c>
      <c r="R574" s="8"/>
      <c r="S574" s="8"/>
      <c r="U574" s="34"/>
      <c r="V574" s="34"/>
      <c r="W574" s="34"/>
      <c r="X574" s="34"/>
      <c r="Y574" s="34"/>
      <c r="Z574" s="34"/>
      <c r="AA574" s="34"/>
      <c r="AB574" s="34"/>
      <c r="AC574" s="34"/>
      <c r="AD574" s="34"/>
      <c r="AE574" s="34"/>
      <c r="AF574" s="34"/>
      <c r="AG574" s="34"/>
      <c r="AH574" s="34"/>
      <c r="AI574" s="34"/>
      <c r="AJ574" s="34"/>
      <c r="AK574" s="34"/>
      <c r="AL574" s="34"/>
      <c r="AM574" s="34"/>
      <c r="AN574" s="34"/>
      <c r="AO574" s="34"/>
      <c r="AP574" s="34"/>
      <c r="AQ574" s="34"/>
      <c r="AR574" s="34"/>
      <c r="AS574" s="34"/>
      <c r="AT574" s="34"/>
      <c r="AU574" s="34"/>
      <c r="AV574" s="34"/>
      <c r="AW574" s="34"/>
      <c r="AX574" s="34"/>
      <c r="AY574" s="34"/>
      <c r="AZ574" s="34"/>
      <c r="BA574" s="34"/>
      <c r="BB574" s="34"/>
      <c r="BC574" s="34"/>
      <c r="BD574" s="34"/>
      <c r="BE574" s="34"/>
      <c r="BF574" s="34"/>
      <c r="BG574" s="34"/>
      <c r="BH574" s="34"/>
      <c r="BI574" s="34"/>
      <c r="BJ574" s="34"/>
      <c r="BK574" s="34"/>
      <c r="BL574" s="34"/>
      <c r="BM574" s="34"/>
      <c r="BN574" s="34"/>
      <c r="BO574" s="34"/>
      <c r="BP574" s="34"/>
      <c r="BQ574" s="34"/>
      <c r="BR574" s="34"/>
      <c r="BS574" s="34"/>
      <c r="BT574" s="34"/>
      <c r="BU574" s="34"/>
      <c r="BV574" s="34"/>
      <c r="BW574" s="34"/>
      <c r="BX574" s="34"/>
      <c r="BY574" s="34"/>
      <c r="BZ574" s="34"/>
      <c r="CA574" s="34"/>
      <c r="CB574" s="34"/>
      <c r="CC574" s="34"/>
      <c r="CD574" s="34"/>
      <c r="CE574" s="34"/>
      <c r="CF574" s="34"/>
      <c r="CG574" s="34"/>
      <c r="CH574" s="34"/>
      <c r="CI574" s="8"/>
    </row>
    <row r="575" spans="1:87" x14ac:dyDescent="0.2">
      <c r="A575" s="8" t="str">
        <f>IF(AND(COUNTIF(W$3:W$13,A$19)&gt;0,A$19&lt;&gt;B546),A$19,IFERROR(IF(MATCH(A$19,Z$3:Z$13,0)=2,A$19," ")," "))</f>
        <v xml:space="preserve"> </v>
      </c>
      <c r="B575" s="8" t="str">
        <f>IF(A575=" "," ",MAX(B571:B574)+1)</f>
        <v xml:space="preserve"> </v>
      </c>
      <c r="C575" s="8" t="str">
        <f>IFERROR(INDEX(A571:A592,MATCH(SMALL(B571:B592,5),B571:B592,0),1)," ")</f>
        <v>C16</v>
      </c>
      <c r="D575" s="8">
        <f t="shared" si="2343"/>
        <v>0</v>
      </c>
      <c r="E575" s="8">
        <f t="shared" si="2344"/>
        <v>0</v>
      </c>
      <c r="F575" s="8">
        <f t="shared" si="2345"/>
        <v>0</v>
      </c>
      <c r="G575" s="8">
        <f t="shared" si="2346"/>
        <v>0</v>
      </c>
      <c r="H575" s="8">
        <f t="shared" si="2347"/>
        <v>1</v>
      </c>
      <c r="I575" s="8">
        <f t="shared" si="2348"/>
        <v>0</v>
      </c>
      <c r="J575" s="8">
        <f t="shared" si="2349"/>
        <v>0</v>
      </c>
      <c r="K575" s="8">
        <f t="shared" si="2350"/>
        <v>0</v>
      </c>
      <c r="L575" s="8">
        <f t="shared" si="2351"/>
        <v>0</v>
      </c>
      <c r="M575" s="8">
        <f t="shared" si="2352"/>
        <v>0</v>
      </c>
      <c r="N575" s="8">
        <f t="shared" si="2353"/>
        <v>0</v>
      </c>
      <c r="O575" s="8">
        <f t="shared" si="2354"/>
        <v>0</v>
      </c>
      <c r="P575" s="8">
        <v>0</v>
      </c>
      <c r="Q575" s="8">
        <f t="shared" ref="Q575" si="2380">IF(COUNTIF(P571:P581,"&lt;"&amp;-0.001)=0,IF(ABS(P575)&lt;0.001,0,P575)," ")</f>
        <v>0</v>
      </c>
      <c r="R575" s="8"/>
      <c r="S575" s="8"/>
      <c r="U575" s="34"/>
      <c r="V575" s="34"/>
      <c r="W575" s="34"/>
      <c r="X575" s="34"/>
      <c r="Y575" s="34"/>
      <c r="Z575" s="34"/>
      <c r="AA575" s="34"/>
      <c r="AB575" s="34"/>
      <c r="AC575" s="34"/>
      <c r="AD575" s="34"/>
      <c r="AE575" s="34"/>
      <c r="AF575" s="34"/>
      <c r="AG575" s="34"/>
      <c r="AH575" s="34"/>
      <c r="AI575" s="34"/>
      <c r="AJ575" s="34"/>
      <c r="AK575" s="34"/>
      <c r="AL575" s="34"/>
      <c r="AM575" s="34"/>
      <c r="AN575" s="34"/>
      <c r="AO575" s="34"/>
      <c r="AP575" s="34"/>
      <c r="AQ575" s="34"/>
      <c r="AR575" s="34"/>
      <c r="AS575" s="34"/>
      <c r="AT575" s="34"/>
      <c r="AU575" s="34"/>
      <c r="AV575" s="34"/>
      <c r="AW575" s="34"/>
      <c r="AX575" s="34"/>
      <c r="AY575" s="34"/>
      <c r="AZ575" s="34"/>
      <c r="BA575" s="34"/>
      <c r="BB575" s="34"/>
      <c r="BC575" s="34"/>
      <c r="BD575" s="34"/>
      <c r="BE575" s="34"/>
      <c r="BF575" s="34"/>
      <c r="BG575" s="34"/>
      <c r="BH575" s="34"/>
      <c r="BI575" s="34"/>
      <c r="BJ575" s="34"/>
      <c r="BK575" s="34"/>
      <c r="BL575" s="34"/>
      <c r="BM575" s="34"/>
      <c r="BN575" s="34"/>
      <c r="BO575" s="34"/>
      <c r="BP575" s="34"/>
      <c r="BQ575" s="34"/>
      <c r="BR575" s="34"/>
      <c r="BS575" s="34"/>
      <c r="BT575" s="34"/>
      <c r="BU575" s="34"/>
      <c r="BV575" s="34"/>
      <c r="BW575" s="34"/>
      <c r="BX575" s="34"/>
      <c r="BY575" s="34"/>
      <c r="BZ575" s="34"/>
      <c r="CA575" s="34"/>
      <c r="CB575" s="34"/>
      <c r="CC575" s="34"/>
      <c r="CD575" s="34"/>
      <c r="CE575" s="34"/>
      <c r="CF575" s="34"/>
      <c r="CG575" s="34"/>
      <c r="CH575" s="34"/>
      <c r="CI575" s="8"/>
    </row>
    <row r="576" spans="1:87" x14ac:dyDescent="0.2">
      <c r="A576" s="8" t="str">
        <f>IF(AND(COUNTIF(W$3:W$13,A$20)&gt;0,A$20&lt;&gt;B546),A$20,IFERROR(IF(MATCH(A$20,Z$3:Z$13,0)=2,A$20," ")," "))</f>
        <v xml:space="preserve"> </v>
      </c>
      <c r="B576" s="8" t="str">
        <f>IF(A576=" "," ",MAX(B571:B575)+1)</f>
        <v xml:space="preserve"> </v>
      </c>
      <c r="C576" s="8" t="str">
        <f>IFERROR(INDEX(A571:A592,MATCH(SMALL(B571:B592,6),B571:B592,0),1)," ")</f>
        <v>C17</v>
      </c>
      <c r="D576" s="8">
        <f t="shared" si="2343"/>
        <v>0</v>
      </c>
      <c r="E576" s="8">
        <f t="shared" si="2344"/>
        <v>0</v>
      </c>
      <c r="F576" s="8">
        <f t="shared" si="2345"/>
        <v>0</v>
      </c>
      <c r="G576" s="8">
        <f t="shared" si="2346"/>
        <v>0</v>
      </c>
      <c r="H576" s="8">
        <f t="shared" si="2347"/>
        <v>0</v>
      </c>
      <c r="I576" s="8">
        <f t="shared" si="2348"/>
        <v>1</v>
      </c>
      <c r="J576" s="8">
        <f t="shared" si="2349"/>
        <v>0</v>
      </c>
      <c r="K576" s="8">
        <f t="shared" si="2350"/>
        <v>0</v>
      </c>
      <c r="L576" s="8">
        <f t="shared" si="2351"/>
        <v>0</v>
      </c>
      <c r="M576" s="8">
        <f t="shared" si="2352"/>
        <v>0</v>
      </c>
      <c r="N576" s="8">
        <f t="shared" si="2353"/>
        <v>0</v>
      </c>
      <c r="O576" s="8">
        <f t="shared" si="2354"/>
        <v>0</v>
      </c>
      <c r="P576" s="8">
        <v>0</v>
      </c>
      <c r="Q576" s="8">
        <f t="shared" ref="Q576" si="2381">IF(COUNTIF(P571:P581,"&lt;"&amp;-0.001)=0,IF(ABS(P576)&lt;0.001,0,P576)," ")</f>
        <v>0</v>
      </c>
      <c r="R576" s="8"/>
      <c r="S576" s="8"/>
      <c r="U576" s="34"/>
      <c r="V576" s="34"/>
      <c r="W576" s="34"/>
      <c r="X576" s="34"/>
      <c r="Y576" s="34"/>
      <c r="Z576" s="34"/>
      <c r="AA576" s="34"/>
      <c r="AB576" s="34"/>
      <c r="AC576" s="34"/>
      <c r="AD576" s="34"/>
      <c r="AE576" s="34"/>
      <c r="AF576" s="34"/>
      <c r="AG576" s="34"/>
      <c r="AH576" s="34"/>
      <c r="AI576" s="34"/>
      <c r="AJ576" s="34"/>
      <c r="AK576" s="34"/>
      <c r="AL576" s="34"/>
      <c r="AM576" s="34"/>
      <c r="AN576" s="34"/>
      <c r="AO576" s="34"/>
      <c r="AP576" s="34"/>
      <c r="AQ576" s="34"/>
      <c r="AR576" s="34"/>
      <c r="AS576" s="34"/>
      <c r="AT576" s="34"/>
      <c r="AU576" s="34"/>
      <c r="AV576" s="34"/>
      <c r="AW576" s="34"/>
      <c r="AX576" s="34"/>
      <c r="AY576" s="34"/>
      <c r="AZ576" s="34"/>
      <c r="BA576" s="34"/>
      <c r="BB576" s="34"/>
      <c r="BC576" s="34"/>
      <c r="BD576" s="34"/>
      <c r="BE576" s="34"/>
      <c r="BF576" s="34"/>
      <c r="BG576" s="34"/>
      <c r="BH576" s="34"/>
      <c r="BI576" s="34"/>
      <c r="BJ576" s="34"/>
      <c r="BK576" s="34"/>
      <c r="BL576" s="34"/>
      <c r="BM576" s="34"/>
      <c r="BN576" s="34"/>
      <c r="BO576" s="34"/>
      <c r="BP576" s="34"/>
      <c r="BQ576" s="34"/>
      <c r="BR576" s="34"/>
      <c r="BS576" s="34"/>
      <c r="BT576" s="34"/>
      <c r="BU576" s="34"/>
      <c r="BV576" s="34"/>
      <c r="BW576" s="34"/>
      <c r="BX576" s="34"/>
      <c r="BY576" s="34"/>
      <c r="BZ576" s="34"/>
      <c r="CA576" s="34"/>
      <c r="CB576" s="34"/>
      <c r="CC576" s="34"/>
      <c r="CD576" s="34"/>
      <c r="CE576" s="34"/>
      <c r="CF576" s="34"/>
      <c r="CG576" s="34"/>
      <c r="CH576" s="34"/>
      <c r="CI576" s="8"/>
    </row>
    <row r="577" spans="1:87" x14ac:dyDescent="0.2">
      <c r="A577" s="8" t="str">
        <f>IF(AND(COUNTIF(W$3:W$13,A$21)&gt;0,A$21&lt;&gt;B546),A$21,IFERROR(IF(MATCH(A$21,Z$3:Z$13,0)=2,A$21," ")," "))</f>
        <v xml:space="preserve"> </v>
      </c>
      <c r="B577" s="8" t="str">
        <f>IF(A577=" "," ",MAX(B571:B576)+1)</f>
        <v xml:space="preserve"> </v>
      </c>
      <c r="C577" s="8" t="str">
        <f>IFERROR(INDEX(A571:A592,MATCH(SMALL(B571:B592,7),B571:B592,0),1)," ")</f>
        <v>C18</v>
      </c>
      <c r="D577" s="8">
        <f t="shared" si="2343"/>
        <v>0</v>
      </c>
      <c r="E577" s="8">
        <f t="shared" si="2344"/>
        <v>0</v>
      </c>
      <c r="F577" s="8">
        <f t="shared" si="2345"/>
        <v>0</v>
      </c>
      <c r="G577" s="8">
        <f t="shared" si="2346"/>
        <v>0</v>
      </c>
      <c r="H577" s="8">
        <f t="shared" si="2347"/>
        <v>0</v>
      </c>
      <c r="I577" s="8">
        <f t="shared" si="2348"/>
        <v>0</v>
      </c>
      <c r="J577" s="8">
        <f t="shared" si="2349"/>
        <v>1</v>
      </c>
      <c r="K577" s="8">
        <f t="shared" si="2350"/>
        <v>0</v>
      </c>
      <c r="L577" s="8">
        <f t="shared" si="2351"/>
        <v>0</v>
      </c>
      <c r="M577" s="8">
        <f t="shared" si="2352"/>
        <v>0</v>
      </c>
      <c r="N577" s="8">
        <f t="shared" si="2353"/>
        <v>0</v>
      </c>
      <c r="O577" s="8">
        <f t="shared" si="2354"/>
        <v>0</v>
      </c>
      <c r="P577" s="8">
        <v>0</v>
      </c>
      <c r="Q577" s="8">
        <f t="shared" ref="Q577" si="2382">IF(COUNTIF(P571:P581,"&lt;"&amp;-0.001)=0,IF(ABS(P577)&lt;0.001,0,P577)," ")</f>
        <v>0</v>
      </c>
      <c r="R577" s="8"/>
      <c r="S577" s="8"/>
      <c r="U577" s="34"/>
      <c r="V577" s="34"/>
      <c r="W577" s="34"/>
      <c r="X577" s="34"/>
      <c r="Y577" s="34"/>
      <c r="Z577" s="34"/>
      <c r="AA577" s="34"/>
      <c r="AB577" s="34"/>
      <c r="AC577" s="34"/>
      <c r="AD577" s="34"/>
      <c r="AE577" s="34"/>
      <c r="AF577" s="34"/>
      <c r="AG577" s="34"/>
      <c r="AH577" s="34"/>
      <c r="AI577" s="34"/>
      <c r="AJ577" s="34"/>
      <c r="AK577" s="34"/>
      <c r="AL577" s="34"/>
      <c r="AM577" s="34"/>
      <c r="AN577" s="34"/>
      <c r="AO577" s="34"/>
      <c r="AP577" s="34"/>
      <c r="AQ577" s="34"/>
      <c r="AR577" s="34"/>
      <c r="AS577" s="34"/>
      <c r="AT577" s="34"/>
      <c r="AU577" s="34"/>
      <c r="AV577" s="34"/>
      <c r="AW577" s="34"/>
      <c r="AX577" s="34"/>
      <c r="AY577" s="34"/>
      <c r="AZ577" s="34"/>
      <c r="BA577" s="34"/>
      <c r="BB577" s="34"/>
      <c r="BC577" s="34"/>
      <c r="BD577" s="34"/>
      <c r="BE577" s="34"/>
      <c r="BF577" s="34"/>
      <c r="BG577" s="34"/>
      <c r="BH577" s="34"/>
      <c r="BI577" s="34"/>
      <c r="BJ577" s="34"/>
      <c r="BK577" s="34"/>
      <c r="BL577" s="34"/>
      <c r="BM577" s="34"/>
      <c r="BN577" s="34"/>
      <c r="BO577" s="34"/>
      <c r="BP577" s="34"/>
      <c r="BQ577" s="34"/>
      <c r="BR577" s="34"/>
      <c r="BS577" s="34"/>
      <c r="BT577" s="34"/>
      <c r="BU577" s="34"/>
      <c r="BV577" s="34"/>
      <c r="BW577" s="34"/>
      <c r="BX577" s="34"/>
      <c r="BY577" s="34"/>
      <c r="BZ577" s="34"/>
      <c r="CA577" s="34"/>
      <c r="CB577" s="34"/>
      <c r="CC577" s="34"/>
      <c r="CD577" s="34"/>
      <c r="CE577" s="34"/>
      <c r="CF577" s="34"/>
      <c r="CG577" s="34"/>
      <c r="CH577" s="34"/>
      <c r="CI577" s="8"/>
    </row>
    <row r="578" spans="1:87" x14ac:dyDescent="0.2">
      <c r="A578" s="8" t="str">
        <f>IF(AND(COUNTIF(W$3:W$13,A$22)&gt;0,A$22&lt;&gt;B546),A$22,IFERROR(IF(MATCH(A$22,Z$3:Z$13,0)=2,A$22," ")," "))</f>
        <v xml:space="preserve"> </v>
      </c>
      <c r="B578" s="8" t="str">
        <f>IF(A578=" "," ",MAX(B571:B577)+1)</f>
        <v xml:space="preserve"> </v>
      </c>
      <c r="C578" s="8" t="str">
        <f>IFERROR(INDEX(A571:A592,MATCH(SMALL(B571:B592,8),B571:B592,0),1)," ")</f>
        <v>C19</v>
      </c>
      <c r="D578" s="8">
        <f t="shared" si="2343"/>
        <v>0</v>
      </c>
      <c r="E578" s="8">
        <f t="shared" si="2344"/>
        <v>0</v>
      </c>
      <c r="F578" s="8">
        <f t="shared" si="2345"/>
        <v>0</v>
      </c>
      <c r="G578" s="8">
        <f t="shared" si="2346"/>
        <v>0</v>
      </c>
      <c r="H578" s="8">
        <f t="shared" si="2347"/>
        <v>0</v>
      </c>
      <c r="I578" s="8">
        <f t="shared" si="2348"/>
        <v>0</v>
      </c>
      <c r="J578" s="8">
        <f t="shared" si="2349"/>
        <v>0</v>
      </c>
      <c r="K578" s="8">
        <f t="shared" si="2350"/>
        <v>1</v>
      </c>
      <c r="L578" s="8">
        <f t="shared" si="2351"/>
        <v>0</v>
      </c>
      <c r="M578" s="8">
        <f t="shared" si="2352"/>
        <v>0</v>
      </c>
      <c r="N578" s="8">
        <f t="shared" si="2353"/>
        <v>0</v>
      </c>
      <c r="O578" s="8">
        <f t="shared" si="2354"/>
        <v>0</v>
      </c>
      <c r="P578" s="8">
        <v>0</v>
      </c>
      <c r="Q578" s="8">
        <f t="shared" ref="Q578" si="2383">IF(COUNTIF(P571:P581,"&lt;"&amp;-0.001)=0,IF(ABS(P578)&lt;0.001,0,P578)," ")</f>
        <v>0</v>
      </c>
      <c r="R578" s="8"/>
      <c r="S578" s="8"/>
      <c r="U578" s="34"/>
      <c r="V578" s="34"/>
      <c r="W578" s="34"/>
      <c r="X578" s="34"/>
      <c r="Y578" s="34"/>
      <c r="Z578" s="34"/>
      <c r="AA578" s="34"/>
      <c r="AB578" s="34"/>
      <c r="AC578" s="34"/>
      <c r="AD578" s="34"/>
      <c r="AE578" s="34"/>
      <c r="AF578" s="34"/>
      <c r="AG578" s="34"/>
      <c r="AH578" s="34"/>
      <c r="AI578" s="34"/>
      <c r="AJ578" s="34"/>
      <c r="AK578" s="34"/>
      <c r="AL578" s="34"/>
      <c r="AM578" s="34"/>
      <c r="AN578" s="34"/>
      <c r="AO578" s="34"/>
      <c r="AP578" s="34"/>
      <c r="AQ578" s="34"/>
      <c r="AR578" s="34"/>
      <c r="AS578" s="34"/>
      <c r="AT578" s="34"/>
      <c r="AU578" s="34"/>
      <c r="AV578" s="34"/>
      <c r="AW578" s="34"/>
      <c r="AX578" s="34"/>
      <c r="AY578" s="34"/>
      <c r="AZ578" s="34"/>
      <c r="BA578" s="34"/>
      <c r="BB578" s="34"/>
      <c r="BC578" s="34"/>
      <c r="BD578" s="34"/>
      <c r="BE578" s="34"/>
      <c r="BF578" s="34"/>
      <c r="BG578" s="34"/>
      <c r="BH578" s="34"/>
      <c r="BI578" s="34"/>
      <c r="BJ578" s="34"/>
      <c r="BK578" s="34"/>
      <c r="BL578" s="34"/>
      <c r="BM578" s="34"/>
      <c r="BN578" s="34"/>
      <c r="BO578" s="34"/>
      <c r="BP578" s="34"/>
      <c r="BQ578" s="34"/>
      <c r="BR578" s="34"/>
      <c r="BS578" s="34"/>
      <c r="BT578" s="34"/>
      <c r="BU578" s="34"/>
      <c r="BV578" s="34"/>
      <c r="BW578" s="34"/>
      <c r="BX578" s="34"/>
      <c r="BY578" s="34"/>
      <c r="BZ578" s="34"/>
      <c r="CA578" s="34"/>
      <c r="CB578" s="34"/>
      <c r="CC578" s="34"/>
      <c r="CD578" s="34"/>
      <c r="CE578" s="34"/>
      <c r="CF578" s="34"/>
      <c r="CG578" s="34"/>
      <c r="CH578" s="34"/>
      <c r="CI578" s="8"/>
    </row>
    <row r="579" spans="1:87" x14ac:dyDescent="0.2">
      <c r="A579" s="8" t="str">
        <f>IF(AND(COUNTIF(W$3:W$13,A$23)&gt;0,A$23&lt;&gt;B546),A$23,IFERROR(IF(MATCH(A$23,Z$3:Z$13,0)=2,A$23," ")," "))</f>
        <v xml:space="preserve"> </v>
      </c>
      <c r="B579" s="8" t="str">
        <f>IF(A579=" "," ",MAX(B571:B578)+1)</f>
        <v xml:space="preserve"> </v>
      </c>
      <c r="C579" s="8" t="str">
        <f>IFERROR(INDEX(A571:A592,MATCH(SMALL(B571:B592,9),B571:B592,0),1)," ")</f>
        <v>C20</v>
      </c>
      <c r="D579" s="8">
        <f t="shared" si="2343"/>
        <v>0</v>
      </c>
      <c r="E579" s="8">
        <f t="shared" si="2344"/>
        <v>0</v>
      </c>
      <c r="F579" s="8">
        <f t="shared" si="2345"/>
        <v>0</v>
      </c>
      <c r="G579" s="8">
        <f t="shared" si="2346"/>
        <v>0</v>
      </c>
      <c r="H579" s="8">
        <f t="shared" si="2347"/>
        <v>0</v>
      </c>
      <c r="I579" s="8">
        <f t="shared" si="2348"/>
        <v>0</v>
      </c>
      <c r="J579" s="8">
        <f t="shared" si="2349"/>
        <v>0</v>
      </c>
      <c r="K579" s="8">
        <f t="shared" si="2350"/>
        <v>0</v>
      </c>
      <c r="L579" s="8">
        <f t="shared" si="2351"/>
        <v>1</v>
      </c>
      <c r="M579" s="8">
        <f t="shared" si="2352"/>
        <v>0</v>
      </c>
      <c r="N579" s="8">
        <f t="shared" si="2353"/>
        <v>0</v>
      </c>
      <c r="O579" s="8">
        <f t="shared" si="2354"/>
        <v>0</v>
      </c>
      <c r="P579" s="6">
        <v>0</v>
      </c>
      <c r="Q579" s="8">
        <f t="shared" ref="Q579" si="2384">IF(COUNTIF(P571:P581,"&lt;"&amp;-0.001)=0,IF(ABS(P579)&lt;0.001,0,P579)," ")</f>
        <v>0</v>
      </c>
      <c r="R579" s="12"/>
      <c r="S579" s="12"/>
      <c r="T579" s="21"/>
      <c r="U579" s="34"/>
      <c r="V579" s="34"/>
      <c r="W579" s="34"/>
      <c r="X579" s="34"/>
      <c r="Y579" s="34"/>
      <c r="Z579" s="34"/>
      <c r="AA579" s="34"/>
      <c r="AB579" s="34"/>
      <c r="AC579" s="34"/>
      <c r="AD579" s="34"/>
      <c r="AE579" s="34"/>
      <c r="AF579" s="34"/>
      <c r="AG579" s="34"/>
      <c r="AH579" s="34"/>
      <c r="AI579" s="34"/>
      <c r="AJ579" s="34"/>
      <c r="AK579" s="34"/>
      <c r="AL579" s="34"/>
      <c r="AM579" s="34"/>
      <c r="AN579" s="34"/>
      <c r="AO579" s="34"/>
      <c r="AP579" s="34"/>
      <c r="AQ579" s="34"/>
      <c r="AR579" s="34"/>
      <c r="AS579" s="34"/>
      <c r="AT579" s="34"/>
      <c r="AU579" s="34"/>
      <c r="AV579" s="34"/>
      <c r="AW579" s="34"/>
      <c r="AX579" s="34"/>
      <c r="AY579" s="34"/>
      <c r="AZ579" s="34"/>
      <c r="BA579" s="34"/>
      <c r="BB579" s="34"/>
      <c r="BC579" s="34"/>
      <c r="BD579" s="34"/>
      <c r="BE579" s="34"/>
      <c r="BF579" s="34"/>
      <c r="BG579" s="34"/>
      <c r="BH579" s="34"/>
      <c r="BI579" s="34"/>
      <c r="BJ579" s="34"/>
      <c r="BK579" s="34"/>
      <c r="BL579" s="34"/>
      <c r="BM579" s="34"/>
      <c r="BN579" s="34"/>
      <c r="BO579" s="34"/>
      <c r="BP579" s="34"/>
      <c r="BQ579" s="34"/>
      <c r="BR579" s="34"/>
      <c r="BS579" s="34"/>
      <c r="BT579" s="34"/>
      <c r="BU579" s="34"/>
      <c r="BV579" s="34"/>
      <c r="BW579" s="34"/>
      <c r="BX579" s="34"/>
      <c r="BY579" s="34"/>
      <c r="BZ579" s="34"/>
      <c r="CA579" s="34"/>
      <c r="CB579" s="34"/>
      <c r="CC579" s="34"/>
      <c r="CD579" s="34"/>
      <c r="CE579" s="34"/>
      <c r="CF579" s="34"/>
      <c r="CG579" s="34"/>
      <c r="CH579" s="34"/>
      <c r="CI579" s="8"/>
    </row>
    <row r="580" spans="1:87" x14ac:dyDescent="0.2">
      <c r="A580" s="8" t="str">
        <f>IF(AND(COUNTIF(W$3:W$13,A$24)&gt;0,A$24&lt;&gt;B546),A$24,IFERROR(IF(MATCH(A$24,Z$3:Z$13,0)=2,A$24," ")," "))</f>
        <v xml:space="preserve"> </v>
      </c>
      <c r="B580" s="8" t="str">
        <f>IF(A580=" "," ",MAX(B571:B579)+1)</f>
        <v xml:space="preserve"> </v>
      </c>
      <c r="C580" s="8" t="str">
        <f>IFERROR(INDEX(A571:A592,MATCH(SMALL(B571:B592,10),B571:B592,0),1)," ")</f>
        <v>C21</v>
      </c>
      <c r="D580" s="8">
        <f t="shared" si="2343"/>
        <v>0</v>
      </c>
      <c r="E580" s="8">
        <f t="shared" si="2344"/>
        <v>0</v>
      </c>
      <c r="F580" s="8">
        <f t="shared" si="2345"/>
        <v>0</v>
      </c>
      <c r="G580" s="8">
        <f t="shared" si="2346"/>
        <v>0</v>
      </c>
      <c r="H580" s="8">
        <f t="shared" si="2347"/>
        <v>0</v>
      </c>
      <c r="I580" s="8">
        <f t="shared" si="2348"/>
        <v>0</v>
      </c>
      <c r="J580" s="8">
        <f t="shared" si="2349"/>
        <v>0</v>
      </c>
      <c r="K580" s="8">
        <f t="shared" si="2350"/>
        <v>0</v>
      </c>
      <c r="L580" s="8">
        <f t="shared" si="2351"/>
        <v>0</v>
      </c>
      <c r="M580" s="8">
        <f t="shared" si="2352"/>
        <v>1</v>
      </c>
      <c r="N580" s="8">
        <f t="shared" si="2353"/>
        <v>0</v>
      </c>
      <c r="O580" s="8">
        <f t="shared" si="2354"/>
        <v>0</v>
      </c>
      <c r="P580" s="8">
        <v>0</v>
      </c>
      <c r="Q580" s="8">
        <f t="shared" ref="Q580" si="2385">IF(COUNTIF(P571:P581,"&lt;"&amp;-0.001)=0,IF(ABS(P580)&lt;0.001,0,P580)," ")</f>
        <v>0</v>
      </c>
      <c r="R580" s="8"/>
      <c r="S580" s="8"/>
      <c r="U580" s="34"/>
      <c r="V580" s="34"/>
      <c r="W580" s="34"/>
      <c r="X580" s="34"/>
      <c r="Y580" s="34"/>
      <c r="Z580" s="34"/>
      <c r="AA580" s="34"/>
      <c r="AB580" s="34"/>
      <c r="AC580" s="34"/>
      <c r="AD580" s="34"/>
      <c r="AE580" s="34"/>
      <c r="AF580" s="34"/>
      <c r="AG580" s="34"/>
      <c r="AH580" s="34"/>
      <c r="AI580" s="34"/>
      <c r="AJ580" s="34"/>
      <c r="AK580" s="34"/>
      <c r="AL580" s="34"/>
      <c r="AM580" s="34"/>
      <c r="AN580" s="34"/>
      <c r="AO580" s="34"/>
      <c r="AP580" s="34"/>
      <c r="AQ580" s="34"/>
      <c r="AR580" s="34"/>
      <c r="AS580" s="34"/>
      <c r="AT580" s="34"/>
      <c r="AU580" s="34"/>
      <c r="AV580" s="34"/>
      <c r="AW580" s="34"/>
      <c r="AX580" s="34"/>
      <c r="AY580" s="34"/>
      <c r="AZ580" s="34"/>
      <c r="BA580" s="34"/>
      <c r="BB580" s="34"/>
      <c r="BC580" s="34"/>
      <c r="BD580" s="34"/>
      <c r="BE580" s="34"/>
      <c r="BF580" s="34"/>
      <c r="BG580" s="34"/>
      <c r="BH580" s="34"/>
      <c r="BI580" s="34"/>
      <c r="BJ580" s="34"/>
      <c r="BK580" s="34"/>
      <c r="BL580" s="34"/>
      <c r="BM580" s="34"/>
      <c r="BN580" s="34"/>
      <c r="BO580" s="34"/>
      <c r="BP580" s="34"/>
      <c r="BQ580" s="34"/>
      <c r="BR580" s="34"/>
      <c r="BS580" s="34"/>
      <c r="BT580" s="34"/>
      <c r="BU580" s="34"/>
      <c r="BV580" s="34"/>
      <c r="BW580" s="34"/>
      <c r="BX580" s="34"/>
      <c r="BY580" s="34"/>
      <c r="BZ580" s="34"/>
      <c r="CA580" s="34"/>
      <c r="CB580" s="34"/>
      <c r="CC580" s="34"/>
      <c r="CD580" s="34"/>
      <c r="CE580" s="34"/>
      <c r="CF580" s="34"/>
      <c r="CG580" s="34"/>
      <c r="CH580" s="34"/>
      <c r="CI580" s="8"/>
    </row>
    <row r="581" spans="1:87" x14ac:dyDescent="0.2">
      <c r="A581" s="8" t="str">
        <f>IF(AND(COUNTIF(W$3:W$13,A$25)&gt;0,A$25&lt;&gt;B546),A$25,IFERROR(IF(MATCH(A$25,Z$3:Z$13,0)=2,A$25," ")," "))</f>
        <v xml:space="preserve"> </v>
      </c>
      <c r="B581" s="8" t="str">
        <f>IF(A581=" "," ",MAX(B571:B580)+1)</f>
        <v xml:space="preserve"> </v>
      </c>
      <c r="C581" s="8" t="str">
        <f>IFERROR(INDEX(A571:A592,MATCH(SMALL(B571:B592,11),B571:B592,0),1)," ")</f>
        <v>C22</v>
      </c>
      <c r="D581" s="8">
        <f t="shared" si="2343"/>
        <v>0</v>
      </c>
      <c r="E581" s="8">
        <f t="shared" si="2344"/>
        <v>0</v>
      </c>
      <c r="F581" s="8">
        <f t="shared" si="2345"/>
        <v>0</v>
      </c>
      <c r="G581" s="8">
        <f t="shared" si="2346"/>
        <v>0</v>
      </c>
      <c r="H581" s="8">
        <f t="shared" si="2347"/>
        <v>0</v>
      </c>
      <c r="I581" s="8">
        <f t="shared" si="2348"/>
        <v>0</v>
      </c>
      <c r="J581" s="8">
        <f t="shared" si="2349"/>
        <v>0</v>
      </c>
      <c r="K581" s="8">
        <f t="shared" si="2350"/>
        <v>0</v>
      </c>
      <c r="L581" s="8">
        <f t="shared" si="2351"/>
        <v>0</v>
      </c>
      <c r="M581" s="8">
        <f t="shared" si="2352"/>
        <v>0</v>
      </c>
      <c r="N581" s="8">
        <f t="shared" si="2353"/>
        <v>1</v>
      </c>
      <c r="O581" s="8">
        <f t="shared" si="2354"/>
        <v>0</v>
      </c>
      <c r="P581" s="8">
        <v>0</v>
      </c>
      <c r="Q581" s="8">
        <f t="shared" ref="Q581" si="2386">IF(COUNTIF(P571:P581,"&lt;"&amp;-0.001)=0,IF(ABS(P581)&lt;0.001,0,P581)," ")</f>
        <v>0</v>
      </c>
      <c r="R581" s="8"/>
      <c r="S581" s="8"/>
      <c r="U581" s="34"/>
      <c r="V581" s="34"/>
      <c r="W581" s="34"/>
      <c r="X581" s="34"/>
      <c r="Y581" s="34"/>
      <c r="Z581" s="34"/>
      <c r="AA581" s="34"/>
      <c r="AB581" s="34"/>
      <c r="AC581" s="34"/>
      <c r="AD581" s="34"/>
      <c r="AE581" s="34"/>
      <c r="AF581" s="34"/>
      <c r="AG581" s="34"/>
      <c r="AH581" s="34"/>
      <c r="AI581" s="34"/>
      <c r="AJ581" s="34"/>
      <c r="AK581" s="34"/>
      <c r="AL581" s="34"/>
      <c r="AM581" s="34"/>
      <c r="AN581" s="34"/>
      <c r="AO581" s="34"/>
      <c r="AP581" s="34"/>
      <c r="AQ581" s="34"/>
      <c r="AR581" s="34"/>
      <c r="AS581" s="34"/>
      <c r="AT581" s="34"/>
      <c r="AU581" s="34"/>
      <c r="AV581" s="34"/>
      <c r="AW581" s="34"/>
      <c r="AX581" s="34"/>
      <c r="AY581" s="34"/>
      <c r="AZ581" s="34"/>
      <c r="BA581" s="34"/>
      <c r="BB581" s="34"/>
      <c r="BC581" s="34"/>
      <c r="BD581" s="34"/>
      <c r="BE581" s="34"/>
      <c r="BF581" s="34"/>
      <c r="BG581" s="34"/>
      <c r="BH581" s="34"/>
      <c r="BI581" s="34"/>
      <c r="BJ581" s="34"/>
      <c r="BK581" s="34"/>
      <c r="BL581" s="34"/>
      <c r="BM581" s="34"/>
      <c r="BN581" s="34"/>
      <c r="BO581" s="34"/>
      <c r="BP581" s="34"/>
      <c r="BQ581" s="34"/>
      <c r="BR581" s="34"/>
      <c r="BS581" s="34"/>
      <c r="BT581" s="34"/>
      <c r="BU581" s="34"/>
      <c r="BV581" s="34"/>
      <c r="BW581" s="34"/>
      <c r="BX581" s="34"/>
      <c r="BY581" s="34"/>
      <c r="BZ581" s="34"/>
      <c r="CA581" s="34"/>
      <c r="CB581" s="34"/>
      <c r="CC581" s="34"/>
      <c r="CD581" s="34"/>
      <c r="CE581" s="34"/>
      <c r="CF581" s="34"/>
      <c r="CG581" s="34"/>
      <c r="CH581" s="34"/>
      <c r="CI581" s="8"/>
    </row>
    <row r="582" spans="1:87" x14ac:dyDescent="0.2">
      <c r="A582" s="8" t="str">
        <f>IF(AND(COUNTIF(W$3:W$13,A$26)&gt;0,A$26&lt;&gt;B546),A$26,IFERROR(IF(MATCH(A$26,Z$3:Z$13,0)=2,A$26," ")," "))</f>
        <v xml:space="preserve"> </v>
      </c>
      <c r="B582" s="8" t="str">
        <f>IF(A582=" "," ",MAX(B571:B581)+1)</f>
        <v xml:space="preserve"> </v>
      </c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U582" s="34"/>
      <c r="V582" s="34"/>
      <c r="W582" s="34"/>
      <c r="X582" s="34"/>
      <c r="Y582" s="34"/>
      <c r="Z582" s="34"/>
      <c r="AA582" s="34"/>
      <c r="AB582" s="34"/>
      <c r="AC582" s="34"/>
      <c r="AD582" s="34"/>
      <c r="AE582" s="34"/>
      <c r="AF582" s="34"/>
      <c r="AG582" s="34"/>
      <c r="AH582" s="34"/>
      <c r="AI582" s="34"/>
      <c r="AJ582" s="34"/>
      <c r="AK582" s="34"/>
      <c r="AL582" s="34"/>
      <c r="AM582" s="34"/>
      <c r="AN582" s="34"/>
      <c r="AO582" s="34"/>
      <c r="AP582" s="34"/>
      <c r="AQ582" s="34"/>
      <c r="AR582" s="34"/>
      <c r="AS582" s="34"/>
      <c r="AT582" s="34"/>
      <c r="AU582" s="34"/>
      <c r="AV582" s="34"/>
      <c r="AW582" s="34"/>
      <c r="AX582" s="34"/>
      <c r="AY582" s="34"/>
      <c r="AZ582" s="34"/>
      <c r="BA582" s="34"/>
      <c r="BB582" s="34"/>
      <c r="BC582" s="34"/>
      <c r="BD582" s="34"/>
      <c r="BE582" s="34"/>
      <c r="BF582" s="34"/>
      <c r="BG582" s="34"/>
      <c r="BH582" s="34"/>
      <c r="BI582" s="34"/>
      <c r="BJ582" s="34"/>
      <c r="BK582" s="34"/>
      <c r="BL582" s="34"/>
      <c r="BM582" s="34"/>
      <c r="BN582" s="34"/>
      <c r="BO582" s="34"/>
      <c r="BP582" s="34"/>
      <c r="BQ582" s="34"/>
      <c r="BR582" s="34"/>
      <c r="BS582" s="34"/>
      <c r="BT582" s="34"/>
      <c r="BU582" s="34"/>
      <c r="BV582" s="34"/>
      <c r="BW582" s="34"/>
      <c r="BX582" s="34"/>
      <c r="BY582" s="34"/>
      <c r="BZ582" s="34"/>
      <c r="CA582" s="34"/>
      <c r="CB582" s="34"/>
      <c r="CC582" s="34"/>
      <c r="CD582" s="34"/>
      <c r="CE582" s="34"/>
      <c r="CF582" s="34"/>
      <c r="CG582" s="34"/>
      <c r="CH582" s="34"/>
      <c r="CI582" s="8"/>
    </row>
    <row r="583" spans="1:87" x14ac:dyDescent="0.2">
      <c r="A583" s="8" t="str">
        <f>IF(AND(COUNTIF(W$3:W$13,A$27)&gt;0,A$27&lt;&gt;B546),A$27,IFERROR(IF(MATCH(A$27,Z$3:Z$13,0)=2,A$27," ")," "))</f>
        <v xml:space="preserve"> </v>
      </c>
      <c r="B583" s="8" t="str">
        <f>IF(A583=" "," ",MAX(B571:B582)+1)</f>
        <v xml:space="preserve"> </v>
      </c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U583" s="34"/>
      <c r="V583" s="34"/>
      <c r="W583" s="34"/>
      <c r="X583" s="34"/>
      <c r="Y583" s="34"/>
      <c r="Z583" s="34"/>
      <c r="AA583" s="34"/>
      <c r="AB583" s="34"/>
      <c r="AC583" s="34"/>
      <c r="AD583" s="34"/>
      <c r="AE583" s="34"/>
      <c r="AF583" s="34"/>
      <c r="AG583" s="34"/>
      <c r="AH583" s="34"/>
      <c r="AI583" s="34"/>
      <c r="AJ583" s="34"/>
      <c r="AK583" s="34"/>
      <c r="AL583" s="34"/>
      <c r="AM583" s="34"/>
      <c r="AN583" s="34"/>
      <c r="AO583" s="34"/>
      <c r="AP583" s="34"/>
      <c r="AQ583" s="34"/>
      <c r="AR583" s="34"/>
      <c r="AS583" s="34"/>
      <c r="AT583" s="34"/>
      <c r="AU583" s="34"/>
      <c r="AV583" s="34"/>
      <c r="AW583" s="34"/>
      <c r="AX583" s="34"/>
      <c r="AY583" s="34"/>
      <c r="AZ583" s="34"/>
      <c r="BA583" s="34"/>
      <c r="BB583" s="34"/>
      <c r="BC583" s="34"/>
      <c r="BD583" s="34"/>
      <c r="BE583" s="34"/>
      <c r="BF583" s="34"/>
      <c r="BG583" s="34"/>
      <c r="BH583" s="34"/>
      <c r="BI583" s="34"/>
      <c r="BJ583" s="34"/>
      <c r="BK583" s="34"/>
      <c r="BL583" s="34"/>
      <c r="BM583" s="34"/>
      <c r="BN583" s="34"/>
      <c r="BO583" s="34"/>
      <c r="BP583" s="34"/>
      <c r="BQ583" s="34"/>
      <c r="BR583" s="34"/>
      <c r="BS583" s="34"/>
      <c r="BT583" s="34"/>
      <c r="BU583" s="34"/>
      <c r="BV583" s="34"/>
      <c r="BW583" s="34"/>
      <c r="BX583" s="34"/>
      <c r="BY583" s="34"/>
      <c r="BZ583" s="34"/>
      <c r="CA583" s="34"/>
      <c r="CB583" s="34"/>
      <c r="CC583" s="34"/>
      <c r="CD583" s="34"/>
      <c r="CE583" s="34"/>
      <c r="CF583" s="34"/>
      <c r="CG583" s="34"/>
      <c r="CH583" s="34"/>
      <c r="CI583" s="8"/>
    </row>
    <row r="584" spans="1:87" x14ac:dyDescent="0.2">
      <c r="A584" s="8" t="str">
        <f>IF(AND(COUNTIF(W$3:W$13,A$28)&gt;0,A$28&lt;&gt;B546),A$28,IFERROR(IF(MATCH(A$28,Z$3:Z$13,0)=2,A$28," ")," "))</f>
        <v xml:space="preserve"> </v>
      </c>
      <c r="B584" s="8" t="str">
        <f>IF(A584=" "," ",MAX(B571:B583)+1)</f>
        <v xml:space="preserve"> </v>
      </c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U584" s="34"/>
      <c r="V584" s="34"/>
      <c r="W584" s="34"/>
      <c r="X584" s="34"/>
      <c r="Y584" s="34"/>
      <c r="Z584" s="34"/>
      <c r="AA584" s="34"/>
      <c r="AB584" s="34"/>
      <c r="AC584" s="34"/>
      <c r="AD584" s="34"/>
      <c r="AE584" s="34"/>
      <c r="AF584" s="34"/>
      <c r="AG584" s="34"/>
      <c r="AH584" s="34"/>
      <c r="AI584" s="34"/>
      <c r="AJ584" s="34"/>
      <c r="AK584" s="34"/>
      <c r="AL584" s="34"/>
      <c r="AM584" s="34"/>
      <c r="AN584" s="34"/>
      <c r="AO584" s="34"/>
      <c r="AP584" s="34"/>
      <c r="AQ584" s="34"/>
      <c r="AR584" s="34"/>
      <c r="AS584" s="34"/>
      <c r="AT584" s="34"/>
      <c r="AU584" s="34"/>
      <c r="AV584" s="34"/>
      <c r="AW584" s="34"/>
      <c r="AX584" s="34"/>
      <c r="AY584" s="34"/>
      <c r="AZ584" s="34"/>
      <c r="BA584" s="34"/>
      <c r="BB584" s="34"/>
      <c r="BC584" s="34"/>
      <c r="BD584" s="34"/>
      <c r="BE584" s="34"/>
      <c r="BF584" s="34"/>
      <c r="BG584" s="34"/>
      <c r="BH584" s="34"/>
      <c r="BI584" s="34"/>
      <c r="BJ584" s="34"/>
      <c r="BK584" s="34"/>
      <c r="BL584" s="34"/>
      <c r="BM584" s="34"/>
      <c r="BN584" s="34"/>
      <c r="BO584" s="34"/>
      <c r="BP584" s="34"/>
      <c r="BQ584" s="34"/>
      <c r="BR584" s="34"/>
      <c r="BS584" s="34"/>
      <c r="BT584" s="34"/>
      <c r="BU584" s="34"/>
      <c r="BV584" s="34"/>
      <c r="BW584" s="34"/>
      <c r="BX584" s="34"/>
      <c r="BY584" s="34"/>
      <c r="BZ584" s="34"/>
      <c r="CA584" s="34"/>
      <c r="CB584" s="34"/>
      <c r="CC584" s="34"/>
      <c r="CD584" s="34"/>
      <c r="CE584" s="34"/>
      <c r="CF584" s="34"/>
      <c r="CG584" s="34"/>
      <c r="CH584" s="34"/>
      <c r="CI584" s="8"/>
    </row>
    <row r="585" spans="1:87" x14ac:dyDescent="0.2">
      <c r="A585" s="8" t="str">
        <f>IF(AND(COUNTIF(W$3:W$13,A$29)&gt;0,A$29&lt;&gt;B546),A$29,IFERROR(IF(MATCH(A$29,Z$3:Z$13,0)=2,A$29," ")," "))</f>
        <v>C15</v>
      </c>
      <c r="B585" s="8">
        <f>IF(A585=" "," ",MAX(B571:B584)+1)</f>
        <v>4</v>
      </c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U585" s="34"/>
      <c r="V585" s="34"/>
      <c r="W585" s="34"/>
      <c r="X585" s="34"/>
      <c r="Y585" s="34"/>
      <c r="Z585" s="34"/>
      <c r="AA585" s="34"/>
      <c r="AB585" s="34"/>
      <c r="AC585" s="34"/>
      <c r="AD585" s="34"/>
      <c r="AE585" s="34"/>
      <c r="AF585" s="34"/>
      <c r="AG585" s="34"/>
      <c r="AH585" s="34"/>
      <c r="AI585" s="34"/>
      <c r="AJ585" s="34"/>
      <c r="AK585" s="34"/>
      <c r="AL585" s="34"/>
      <c r="AM585" s="34"/>
      <c r="AN585" s="34"/>
      <c r="AO585" s="34"/>
      <c r="AP585" s="34"/>
      <c r="AQ585" s="34"/>
      <c r="AR585" s="34"/>
      <c r="AS585" s="34"/>
      <c r="AT585" s="34"/>
      <c r="AU585" s="34"/>
      <c r="AV585" s="34"/>
      <c r="AW585" s="34"/>
      <c r="AX585" s="34"/>
      <c r="AY585" s="34"/>
      <c r="AZ585" s="34"/>
      <c r="BA585" s="34"/>
      <c r="BB585" s="34"/>
      <c r="BC585" s="34"/>
      <c r="BD585" s="34"/>
      <c r="BE585" s="34"/>
      <c r="BF585" s="34"/>
      <c r="BG585" s="34"/>
      <c r="BH585" s="34"/>
      <c r="BI585" s="34"/>
      <c r="BJ585" s="34"/>
      <c r="BK585" s="34"/>
      <c r="BL585" s="34"/>
      <c r="BM585" s="34"/>
      <c r="BN585" s="34"/>
      <c r="BO585" s="34"/>
      <c r="BP585" s="34"/>
      <c r="BQ585" s="34"/>
      <c r="BR585" s="34"/>
      <c r="BS585" s="34"/>
      <c r="BT585" s="34"/>
      <c r="BU585" s="34"/>
      <c r="BV585" s="34"/>
      <c r="BW585" s="34"/>
      <c r="BX585" s="34"/>
      <c r="BY585" s="34"/>
      <c r="BZ585" s="34"/>
      <c r="CA585" s="34"/>
      <c r="CB585" s="34"/>
      <c r="CC585" s="34"/>
      <c r="CD585" s="34"/>
      <c r="CE585" s="34"/>
      <c r="CF585" s="34"/>
      <c r="CG585" s="34"/>
      <c r="CH585" s="34"/>
      <c r="CI585" s="8"/>
    </row>
    <row r="586" spans="1:87" x14ac:dyDescent="0.2">
      <c r="A586" s="8" t="str">
        <f>IF(AND(COUNTIF(W$3:W$13,A$30)&gt;0,A$30&lt;&gt;B546),A$30,IFERROR(IF(MATCH(A$30,Z$3:Z$13,0)=2,A$30," ")," "))</f>
        <v>C16</v>
      </c>
      <c r="B586" s="8">
        <f>IF(A586=" "," ",MAX(B571:B585)+1)</f>
        <v>5</v>
      </c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U586" s="34"/>
      <c r="V586" s="34"/>
      <c r="W586" s="34"/>
      <c r="X586" s="34"/>
      <c r="Y586" s="34"/>
      <c r="Z586" s="34"/>
      <c r="AA586" s="34"/>
      <c r="AB586" s="34"/>
      <c r="AC586" s="34"/>
      <c r="AD586" s="34"/>
      <c r="AE586" s="34"/>
      <c r="AF586" s="34"/>
      <c r="AG586" s="34"/>
      <c r="AH586" s="34"/>
      <c r="AI586" s="34"/>
      <c r="AJ586" s="34"/>
      <c r="AK586" s="34"/>
      <c r="AL586" s="34"/>
      <c r="AM586" s="34"/>
      <c r="AN586" s="34"/>
      <c r="AO586" s="34"/>
      <c r="AP586" s="34"/>
      <c r="AQ586" s="34"/>
      <c r="AR586" s="34"/>
      <c r="AS586" s="34"/>
      <c r="AT586" s="34"/>
      <c r="AU586" s="34"/>
      <c r="AV586" s="34"/>
      <c r="AW586" s="34"/>
      <c r="AX586" s="34"/>
      <c r="AY586" s="34"/>
      <c r="AZ586" s="34"/>
      <c r="BA586" s="34"/>
      <c r="BB586" s="34"/>
      <c r="BC586" s="34"/>
      <c r="BD586" s="34"/>
      <c r="BE586" s="34"/>
      <c r="BF586" s="34"/>
      <c r="BG586" s="34"/>
      <c r="BH586" s="34"/>
      <c r="BI586" s="34"/>
      <c r="BJ586" s="34"/>
      <c r="BK586" s="34"/>
      <c r="BL586" s="34"/>
      <c r="BM586" s="34"/>
      <c r="BN586" s="34"/>
      <c r="BO586" s="34"/>
      <c r="BP586" s="34"/>
      <c r="BQ586" s="34"/>
      <c r="BR586" s="34"/>
      <c r="BS586" s="34"/>
      <c r="BT586" s="34"/>
      <c r="BU586" s="34"/>
      <c r="BV586" s="34"/>
      <c r="BW586" s="34"/>
      <c r="BX586" s="34"/>
      <c r="BY586" s="34"/>
      <c r="BZ586" s="34"/>
      <c r="CA586" s="34"/>
      <c r="CB586" s="34"/>
      <c r="CC586" s="34"/>
      <c r="CD586" s="34"/>
      <c r="CE586" s="34"/>
      <c r="CF586" s="34"/>
      <c r="CG586" s="34"/>
      <c r="CH586" s="34"/>
      <c r="CI586" s="8"/>
    </row>
    <row r="587" spans="1:87" x14ac:dyDescent="0.2">
      <c r="A587" s="8" t="str">
        <f>IF(AND(COUNTIF(W$3:W$13,A$31)&gt;0,A$31&lt;&gt;B546),A$31,IFERROR(IF(MATCH(A$31,Z$3:Z$13,0)=2,A$31," ")," "))</f>
        <v>C17</v>
      </c>
      <c r="B587" s="8">
        <f>IF(A587=" "," ",MAX(B571:B586)+1)</f>
        <v>6</v>
      </c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U587" s="34"/>
      <c r="V587" s="34"/>
      <c r="W587" s="34"/>
      <c r="X587" s="34"/>
      <c r="Y587" s="34"/>
      <c r="Z587" s="34"/>
      <c r="AA587" s="34"/>
      <c r="AB587" s="34"/>
      <c r="AC587" s="34"/>
      <c r="AD587" s="34"/>
      <c r="AE587" s="34"/>
      <c r="AF587" s="34"/>
      <c r="AG587" s="34"/>
      <c r="AH587" s="34"/>
      <c r="AI587" s="34"/>
      <c r="AJ587" s="34"/>
      <c r="AK587" s="34"/>
      <c r="AL587" s="34"/>
      <c r="AM587" s="34"/>
      <c r="AN587" s="34"/>
      <c r="AO587" s="34"/>
      <c r="AP587" s="34"/>
      <c r="AQ587" s="34"/>
      <c r="AR587" s="34"/>
      <c r="AS587" s="34"/>
      <c r="AT587" s="34"/>
      <c r="AU587" s="34"/>
      <c r="AV587" s="34"/>
      <c r="AW587" s="34"/>
      <c r="AX587" s="34"/>
      <c r="AY587" s="34"/>
      <c r="AZ587" s="34"/>
      <c r="BA587" s="34"/>
      <c r="BB587" s="34"/>
      <c r="BC587" s="34"/>
      <c r="BD587" s="34"/>
      <c r="BE587" s="34"/>
      <c r="BF587" s="34"/>
      <c r="BG587" s="34"/>
      <c r="BH587" s="34"/>
      <c r="BI587" s="34"/>
      <c r="BJ587" s="34"/>
      <c r="BK587" s="34"/>
      <c r="BL587" s="34"/>
      <c r="BM587" s="34"/>
      <c r="BN587" s="34"/>
      <c r="BO587" s="34"/>
      <c r="BP587" s="34"/>
      <c r="BQ587" s="34"/>
      <c r="BR587" s="34"/>
      <c r="BS587" s="34"/>
      <c r="BT587" s="34"/>
      <c r="BU587" s="34"/>
      <c r="BV587" s="34"/>
      <c r="BW587" s="34"/>
      <c r="BX587" s="34"/>
      <c r="BY587" s="34"/>
      <c r="BZ587" s="34"/>
      <c r="CA587" s="34"/>
      <c r="CB587" s="34"/>
      <c r="CC587" s="34"/>
      <c r="CD587" s="34"/>
      <c r="CE587" s="34"/>
      <c r="CF587" s="34"/>
      <c r="CG587" s="34"/>
      <c r="CH587" s="34"/>
      <c r="CI587" s="8"/>
    </row>
    <row r="588" spans="1:87" x14ac:dyDescent="0.2">
      <c r="A588" s="8" t="str">
        <f>IF(AND(COUNTIF(W$3:W$13,A$32)&gt;0,A$32&lt;&gt;B546),A$32,IFERROR(IF(MATCH(A$32,Z$3:Z$13,0)=2,A$32," ")," "))</f>
        <v>C18</v>
      </c>
      <c r="B588" s="8">
        <f>IF(A588=" "," ",MAX(B571:B587)+1)</f>
        <v>7</v>
      </c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U588" s="34"/>
      <c r="V588" s="34"/>
      <c r="W588" s="34"/>
      <c r="X588" s="34"/>
      <c r="Y588" s="34"/>
      <c r="Z588" s="34"/>
      <c r="AA588" s="34"/>
      <c r="AB588" s="34"/>
      <c r="AC588" s="34"/>
      <c r="AD588" s="34"/>
      <c r="AE588" s="34"/>
      <c r="AF588" s="34"/>
      <c r="AG588" s="34"/>
      <c r="AH588" s="34"/>
      <c r="AI588" s="34"/>
      <c r="AJ588" s="34"/>
      <c r="AK588" s="34"/>
      <c r="AL588" s="34"/>
      <c r="AM588" s="34"/>
      <c r="AN588" s="34"/>
      <c r="AO588" s="34"/>
      <c r="AP588" s="34"/>
      <c r="AQ588" s="34"/>
      <c r="AR588" s="34"/>
      <c r="AS588" s="34"/>
      <c r="AT588" s="34"/>
      <c r="AU588" s="34"/>
      <c r="AV588" s="34"/>
      <c r="AW588" s="34"/>
      <c r="AX588" s="34"/>
      <c r="AY588" s="34"/>
      <c r="AZ588" s="34"/>
      <c r="BA588" s="34"/>
      <c r="BB588" s="34"/>
      <c r="BC588" s="34"/>
      <c r="BD588" s="34"/>
      <c r="BE588" s="34"/>
      <c r="BF588" s="34"/>
      <c r="BG588" s="34"/>
      <c r="BH588" s="34"/>
      <c r="BI588" s="34"/>
      <c r="BJ588" s="34"/>
      <c r="BK588" s="34"/>
      <c r="BL588" s="34"/>
      <c r="BM588" s="34"/>
      <c r="BN588" s="34"/>
      <c r="BO588" s="34"/>
      <c r="BP588" s="34"/>
      <c r="BQ588" s="34"/>
      <c r="BR588" s="34"/>
      <c r="BS588" s="34"/>
      <c r="BT588" s="34"/>
      <c r="BU588" s="34"/>
      <c r="BV588" s="34"/>
      <c r="BW588" s="34"/>
      <c r="BX588" s="34"/>
      <c r="BY588" s="34"/>
      <c r="BZ588" s="34"/>
      <c r="CA588" s="34"/>
      <c r="CB588" s="34"/>
      <c r="CC588" s="34"/>
      <c r="CD588" s="34"/>
      <c r="CE588" s="34"/>
      <c r="CF588" s="34"/>
      <c r="CG588" s="34"/>
      <c r="CH588" s="34"/>
      <c r="CI588" s="8"/>
    </row>
    <row r="589" spans="1:87" x14ac:dyDescent="0.2">
      <c r="A589" s="8" t="str">
        <f>IF(AND(COUNTIF(W$3:W$13,A$33)&gt;0,A$33&lt;&gt;B546),A$33,IFERROR(IF(MATCH(A$33,Z$3:Z$13,0)=2,A$33," ")," "))</f>
        <v>C19</v>
      </c>
      <c r="B589" s="8">
        <f>IF(A589=" "," ",MAX(B571:B588)+1)</f>
        <v>8</v>
      </c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U589" s="34"/>
      <c r="V589" s="34"/>
      <c r="W589" s="34"/>
      <c r="X589" s="34"/>
      <c r="Y589" s="34"/>
      <c r="Z589" s="34"/>
      <c r="AA589" s="34"/>
      <c r="AB589" s="34"/>
      <c r="AC589" s="34"/>
      <c r="AD589" s="34"/>
      <c r="AE589" s="34"/>
      <c r="AF589" s="34"/>
      <c r="AG589" s="34"/>
      <c r="AH589" s="34"/>
      <c r="AI589" s="34"/>
      <c r="AJ589" s="34"/>
      <c r="AK589" s="34"/>
      <c r="AL589" s="34"/>
      <c r="AM589" s="34"/>
      <c r="AN589" s="34"/>
      <c r="AO589" s="34"/>
      <c r="AP589" s="34"/>
      <c r="AQ589" s="34"/>
      <c r="AR589" s="34"/>
      <c r="AS589" s="34"/>
      <c r="AT589" s="34"/>
      <c r="AU589" s="34"/>
      <c r="AV589" s="34"/>
      <c r="AW589" s="34"/>
      <c r="AX589" s="34"/>
      <c r="AY589" s="34"/>
      <c r="AZ589" s="34"/>
      <c r="BA589" s="34"/>
      <c r="BB589" s="34"/>
      <c r="BC589" s="34"/>
      <c r="BD589" s="34"/>
      <c r="BE589" s="34"/>
      <c r="BF589" s="34"/>
      <c r="BG589" s="34"/>
      <c r="BH589" s="34"/>
      <c r="BI589" s="34"/>
      <c r="BJ589" s="34"/>
      <c r="BK589" s="34"/>
      <c r="BL589" s="34"/>
      <c r="BM589" s="34"/>
      <c r="BN589" s="34"/>
      <c r="BO589" s="34"/>
      <c r="BP589" s="34"/>
      <c r="BQ589" s="34"/>
      <c r="BR589" s="34"/>
      <c r="BS589" s="34"/>
      <c r="BT589" s="34"/>
      <c r="BU589" s="34"/>
      <c r="BV589" s="34"/>
      <c r="BW589" s="34"/>
      <c r="BX589" s="34"/>
      <c r="BY589" s="34"/>
      <c r="BZ589" s="34"/>
      <c r="CA589" s="34"/>
      <c r="CB589" s="34"/>
      <c r="CC589" s="34"/>
      <c r="CD589" s="34"/>
      <c r="CE589" s="34"/>
      <c r="CF589" s="34"/>
      <c r="CG589" s="34"/>
      <c r="CH589" s="34"/>
      <c r="CI589" s="8"/>
    </row>
    <row r="590" spans="1:87" x14ac:dyDescent="0.2">
      <c r="A590" s="8" t="str">
        <f>IF(AND(COUNTIF(W$3:W$13,A$34)&gt;0,A$34&lt;&gt;B546),A$34,IFERROR(IF(MATCH(A$34,Z$3:Z$13,0)=2,A$34," ")," "))</f>
        <v>C20</v>
      </c>
      <c r="B590" s="8">
        <f>IF(A590=" "," ",MAX(B571:B589)+1)</f>
        <v>9</v>
      </c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U590" s="34"/>
      <c r="V590" s="34"/>
      <c r="W590" s="34"/>
      <c r="X590" s="34"/>
      <c r="Y590" s="34"/>
      <c r="Z590" s="34"/>
      <c r="AA590" s="34"/>
      <c r="AB590" s="34"/>
      <c r="AC590" s="34"/>
      <c r="AD590" s="34"/>
      <c r="AE590" s="34"/>
      <c r="AF590" s="34"/>
      <c r="AG590" s="34"/>
      <c r="AH590" s="34"/>
      <c r="AI590" s="34"/>
      <c r="AJ590" s="34"/>
      <c r="AK590" s="34"/>
      <c r="AL590" s="34"/>
      <c r="AM590" s="34"/>
      <c r="AN590" s="34"/>
      <c r="AO590" s="34"/>
      <c r="AP590" s="34"/>
      <c r="AQ590" s="34"/>
      <c r="AR590" s="34"/>
      <c r="AS590" s="34"/>
      <c r="AT590" s="34"/>
      <c r="AU590" s="34"/>
      <c r="AV590" s="34"/>
      <c r="AW590" s="34"/>
      <c r="AX590" s="34"/>
      <c r="AY590" s="34"/>
      <c r="AZ590" s="34"/>
      <c r="BA590" s="34"/>
      <c r="BB590" s="34"/>
      <c r="BC590" s="34"/>
      <c r="BD590" s="34"/>
      <c r="BE590" s="34"/>
      <c r="BF590" s="34"/>
      <c r="BG590" s="34"/>
      <c r="BH590" s="34"/>
      <c r="BI590" s="34"/>
      <c r="BJ590" s="34"/>
      <c r="BK590" s="34"/>
      <c r="BL590" s="34"/>
      <c r="BM590" s="34"/>
      <c r="BN590" s="34"/>
      <c r="BO590" s="34"/>
      <c r="BP590" s="34"/>
      <c r="BQ590" s="34"/>
      <c r="BR590" s="34"/>
      <c r="BS590" s="34"/>
      <c r="BT590" s="34"/>
      <c r="BU590" s="34"/>
      <c r="BV590" s="34"/>
      <c r="BW590" s="34"/>
      <c r="BX590" s="34"/>
      <c r="BY590" s="34"/>
      <c r="BZ590" s="34"/>
      <c r="CA590" s="34"/>
      <c r="CB590" s="34"/>
      <c r="CC590" s="34"/>
      <c r="CD590" s="34"/>
      <c r="CE590" s="34"/>
      <c r="CF590" s="34"/>
      <c r="CG590" s="34"/>
      <c r="CH590" s="34"/>
      <c r="CI590" s="8"/>
    </row>
    <row r="591" spans="1:87" x14ac:dyDescent="0.2">
      <c r="A591" s="8" t="str">
        <f>IF(AND(COUNTIF(W$3:W$13,A$35)&gt;0,A$35&lt;&gt;B546),A$35,IFERROR(IF(MATCH(A$35,Z$3:Z$13,0)=2,A$35," ")," "))</f>
        <v>C21</v>
      </c>
      <c r="B591" s="8">
        <f>IF(A591=" "," ",MAX(B571:B590)+1)</f>
        <v>10</v>
      </c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U591" s="34"/>
      <c r="V591" s="34"/>
      <c r="W591" s="34"/>
      <c r="X591" s="34"/>
      <c r="Y591" s="34"/>
      <c r="Z591" s="34"/>
      <c r="AA591" s="34"/>
      <c r="AB591" s="34"/>
      <c r="AC591" s="34"/>
      <c r="AD591" s="34"/>
      <c r="AE591" s="34"/>
      <c r="AF591" s="34"/>
      <c r="AG591" s="34"/>
      <c r="AH591" s="34"/>
      <c r="AI591" s="34"/>
      <c r="AJ591" s="34"/>
      <c r="AK591" s="34"/>
      <c r="AL591" s="34"/>
      <c r="AM591" s="34"/>
      <c r="AN591" s="34"/>
      <c r="AO591" s="34"/>
      <c r="AP591" s="34"/>
      <c r="AQ591" s="34"/>
      <c r="AR591" s="34"/>
      <c r="AS591" s="34"/>
      <c r="AT591" s="34"/>
      <c r="AU591" s="34"/>
      <c r="AV591" s="34"/>
      <c r="AW591" s="34"/>
      <c r="AX591" s="34"/>
      <c r="AY591" s="34"/>
      <c r="AZ591" s="34"/>
      <c r="BA591" s="34"/>
      <c r="BB591" s="34"/>
      <c r="BC591" s="34"/>
      <c r="BD591" s="34"/>
      <c r="BE591" s="34"/>
      <c r="BF591" s="34"/>
      <c r="BG591" s="34"/>
      <c r="BH591" s="34"/>
      <c r="BI591" s="34"/>
      <c r="BJ591" s="34"/>
      <c r="BK591" s="34"/>
      <c r="BL591" s="34"/>
      <c r="BM591" s="34"/>
      <c r="BN591" s="34"/>
      <c r="BO591" s="34"/>
      <c r="BP591" s="34"/>
      <c r="BQ591" s="34"/>
      <c r="BR591" s="34"/>
      <c r="BS591" s="34"/>
      <c r="BT591" s="34"/>
      <c r="BU591" s="34"/>
      <c r="BV591" s="34"/>
      <c r="BW591" s="34"/>
      <c r="BX591" s="34"/>
      <c r="BY591" s="34"/>
      <c r="BZ591" s="34"/>
      <c r="CA591" s="34"/>
      <c r="CB591" s="34"/>
      <c r="CC591" s="34"/>
      <c r="CD591" s="34"/>
      <c r="CE591" s="34"/>
      <c r="CF591" s="34"/>
      <c r="CG591" s="34"/>
      <c r="CH591" s="34"/>
      <c r="CI591" s="8"/>
    </row>
    <row r="592" spans="1:87" x14ac:dyDescent="0.2">
      <c r="A592" s="8" t="str">
        <f>IF(AND(COUNTIF(W$3:W$13,A$36)&gt;0,A$36&lt;&gt;B546),A$36,IFERROR(IF(MATCH(A$36,Z$3:Z$13,0)=2,A$36," ")," "))</f>
        <v>C22</v>
      </c>
      <c r="B592" s="8">
        <f>IF(A592=" "," ",MAX(B571:B591)+1)</f>
        <v>11</v>
      </c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U592" s="34"/>
      <c r="V592" s="34"/>
      <c r="W592" s="34"/>
      <c r="X592" s="34"/>
      <c r="Y592" s="34"/>
      <c r="Z592" s="34"/>
      <c r="AA592" s="34"/>
      <c r="AB592" s="34"/>
      <c r="AC592" s="34"/>
      <c r="AD592" s="34"/>
      <c r="AE592" s="34"/>
      <c r="AF592" s="34"/>
      <c r="AG592" s="34"/>
      <c r="AH592" s="34"/>
      <c r="AI592" s="34"/>
      <c r="AJ592" s="34"/>
      <c r="AK592" s="34"/>
      <c r="AL592" s="34"/>
      <c r="AM592" s="34"/>
      <c r="AN592" s="34"/>
      <c r="AO592" s="34"/>
      <c r="AP592" s="34"/>
      <c r="AQ592" s="34"/>
      <c r="AR592" s="34"/>
      <c r="AS592" s="34"/>
      <c r="AT592" s="34"/>
      <c r="AU592" s="34"/>
      <c r="AV592" s="34"/>
      <c r="AW592" s="34"/>
      <c r="AX592" s="34"/>
      <c r="AY592" s="34"/>
      <c r="AZ592" s="34"/>
      <c r="BA592" s="34"/>
      <c r="BB592" s="34"/>
      <c r="BC592" s="34"/>
      <c r="BD592" s="34"/>
      <c r="BE592" s="34"/>
      <c r="BF592" s="34"/>
      <c r="BG592" s="34"/>
      <c r="BH592" s="34"/>
      <c r="BI592" s="34"/>
      <c r="BJ592" s="34"/>
      <c r="BK592" s="34"/>
      <c r="BL592" s="34"/>
      <c r="BM592" s="34"/>
      <c r="BN592" s="34"/>
      <c r="BO592" s="34"/>
      <c r="BP592" s="34"/>
      <c r="BQ592" s="34"/>
      <c r="BR592" s="34"/>
      <c r="BS592" s="34"/>
      <c r="BT592" s="34"/>
      <c r="BU592" s="34"/>
      <c r="BV592" s="34"/>
      <c r="BW592" s="34"/>
      <c r="BX592" s="34"/>
      <c r="BY592" s="34"/>
      <c r="BZ592" s="34"/>
      <c r="CA592" s="34"/>
      <c r="CB592" s="34"/>
      <c r="CC592" s="34"/>
      <c r="CD592" s="34"/>
      <c r="CE592" s="34"/>
      <c r="CF592" s="34"/>
      <c r="CG592" s="34"/>
      <c r="CH592" s="34"/>
      <c r="CI592" s="8"/>
    </row>
    <row r="593" spans="1:87" x14ac:dyDescent="0.2">
      <c r="A593" s="11" t="s">
        <v>17</v>
      </c>
      <c r="B593" s="11"/>
      <c r="C593" s="27" t="s">
        <v>18</v>
      </c>
      <c r="D593" s="27" t="s">
        <v>2</v>
      </c>
      <c r="E593" s="27" t="s">
        <v>6</v>
      </c>
      <c r="F593" s="27" t="s">
        <v>15</v>
      </c>
      <c r="G593" s="27" t="s">
        <v>36</v>
      </c>
      <c r="H593" s="27" t="s">
        <v>37</v>
      </c>
      <c r="I593" s="27" t="s">
        <v>38</v>
      </c>
      <c r="J593" s="27" t="s">
        <v>39</v>
      </c>
      <c r="K593" s="27" t="s">
        <v>40</v>
      </c>
      <c r="L593" s="27" t="s">
        <v>41</v>
      </c>
      <c r="M593" s="27" t="s">
        <v>42</v>
      </c>
      <c r="N593" s="27" t="s">
        <v>43</v>
      </c>
      <c r="O593" s="27" t="s">
        <v>9</v>
      </c>
      <c r="P593" s="27" t="s">
        <v>12</v>
      </c>
      <c r="Q593" s="27" t="s">
        <v>19</v>
      </c>
      <c r="R593" s="27" t="s">
        <v>55</v>
      </c>
      <c r="S593" s="27" t="s">
        <v>26</v>
      </c>
      <c r="T593" s="19" t="s">
        <v>25</v>
      </c>
      <c r="U593" s="33" t="s">
        <v>27</v>
      </c>
      <c r="V593" s="33" t="s">
        <v>9</v>
      </c>
      <c r="W593" s="33" t="s">
        <v>23</v>
      </c>
      <c r="X593" s="33" t="s">
        <v>12</v>
      </c>
      <c r="Y593" s="33" t="s">
        <v>26</v>
      </c>
      <c r="Z593" s="33" t="s">
        <v>25</v>
      </c>
      <c r="AA593" s="33" t="s">
        <v>27</v>
      </c>
      <c r="AB593" s="33" t="s">
        <v>9</v>
      </c>
      <c r="AC593" s="33" t="s">
        <v>23</v>
      </c>
      <c r="AD593" s="33" t="s">
        <v>12</v>
      </c>
      <c r="AE593" s="33" t="s">
        <v>26</v>
      </c>
      <c r="AF593" s="33" t="s">
        <v>25</v>
      </c>
      <c r="AG593" s="33" t="s">
        <v>27</v>
      </c>
      <c r="AH593" s="33" t="s">
        <v>9</v>
      </c>
      <c r="AI593" s="33" t="s">
        <v>23</v>
      </c>
      <c r="AJ593" s="33" t="s">
        <v>12</v>
      </c>
      <c r="AK593" s="33" t="s">
        <v>26</v>
      </c>
      <c r="AL593" s="33" t="s">
        <v>25</v>
      </c>
      <c r="AM593" s="33" t="s">
        <v>27</v>
      </c>
      <c r="AN593" s="33" t="s">
        <v>9</v>
      </c>
      <c r="AO593" s="33" t="s">
        <v>23</v>
      </c>
      <c r="AP593" s="33" t="s">
        <v>12</v>
      </c>
      <c r="AQ593" s="33" t="s">
        <v>26</v>
      </c>
      <c r="AR593" s="33" t="s">
        <v>25</v>
      </c>
      <c r="AS593" s="33" t="s">
        <v>27</v>
      </c>
      <c r="AT593" s="33" t="s">
        <v>9</v>
      </c>
      <c r="AU593" s="33" t="s">
        <v>23</v>
      </c>
      <c r="AV593" s="33" t="s">
        <v>12</v>
      </c>
      <c r="AW593" s="33" t="s">
        <v>26</v>
      </c>
      <c r="AX593" s="33" t="s">
        <v>25</v>
      </c>
      <c r="AY593" s="33" t="s">
        <v>27</v>
      </c>
      <c r="AZ593" s="33" t="s">
        <v>9</v>
      </c>
      <c r="BA593" s="33" t="s">
        <v>23</v>
      </c>
      <c r="BB593" s="33" t="s">
        <v>12</v>
      </c>
      <c r="BC593" s="33" t="s">
        <v>26</v>
      </c>
      <c r="BD593" s="33" t="s">
        <v>25</v>
      </c>
      <c r="BE593" s="33" t="s">
        <v>27</v>
      </c>
      <c r="BF593" s="33" t="s">
        <v>9</v>
      </c>
      <c r="BG593" s="33" t="s">
        <v>23</v>
      </c>
      <c r="BH593" s="33" t="s">
        <v>12</v>
      </c>
      <c r="BI593" s="33" t="s">
        <v>26</v>
      </c>
      <c r="BJ593" s="33" t="s">
        <v>25</v>
      </c>
      <c r="BK593" s="33" t="s">
        <v>27</v>
      </c>
      <c r="BL593" s="33" t="s">
        <v>9</v>
      </c>
      <c r="BM593" s="33" t="s">
        <v>23</v>
      </c>
      <c r="BN593" s="33" t="s">
        <v>12</v>
      </c>
      <c r="BO593" s="33" t="s">
        <v>26</v>
      </c>
      <c r="BP593" s="33" t="s">
        <v>25</v>
      </c>
      <c r="BQ593" s="33" t="s">
        <v>27</v>
      </c>
      <c r="BR593" s="33" t="s">
        <v>9</v>
      </c>
      <c r="BS593" s="33" t="s">
        <v>23</v>
      </c>
      <c r="BT593" s="33" t="s">
        <v>12</v>
      </c>
      <c r="BU593" s="33" t="s">
        <v>26</v>
      </c>
      <c r="BV593" s="33" t="s">
        <v>25</v>
      </c>
      <c r="BW593" s="33" t="s">
        <v>27</v>
      </c>
      <c r="BX593" s="33" t="s">
        <v>9</v>
      </c>
      <c r="BY593" s="33" t="s">
        <v>23</v>
      </c>
      <c r="BZ593" s="33" t="s">
        <v>12</v>
      </c>
      <c r="CA593" s="33" t="s">
        <v>26</v>
      </c>
      <c r="CB593" s="33" t="s">
        <v>25</v>
      </c>
      <c r="CC593" s="33" t="s">
        <v>27</v>
      </c>
      <c r="CD593" s="33" t="s">
        <v>9</v>
      </c>
      <c r="CE593" s="33" t="s">
        <v>23</v>
      </c>
      <c r="CF593" s="33" t="s">
        <v>12</v>
      </c>
      <c r="CG593" s="33" t="s">
        <v>26</v>
      </c>
      <c r="CH593" s="33" t="s">
        <v>25</v>
      </c>
      <c r="CI593" s="8"/>
    </row>
    <row r="594" spans="1:87" x14ac:dyDescent="0.2">
      <c r="A594" s="8" t="str">
        <f>IF(AND(COUNTIF(W$3:W$13,A$15)&gt;0,A$15&lt;&gt;B546),A$15,IFERROR(IF(MATCH(A$15,Z$3:Z$13,0)=3,A$15," ")," "))</f>
        <v xml:space="preserve"> </v>
      </c>
      <c r="B594" s="8" t="str">
        <f>IF(A594=" "," ",1)</f>
        <v xml:space="preserve"> </v>
      </c>
      <c r="C594" s="8" t="str">
        <f>IFERROR(INDEX(A594:A615,MATCH(SMALL(B594:B615,1),B594:B615,0),1)," ")</f>
        <v>C3</v>
      </c>
      <c r="D594" s="8">
        <f>IFERROR(VLOOKUP($C594,$A$15:$O$36,2,FALSE)," ")</f>
        <v>2</v>
      </c>
      <c r="E594" s="8">
        <f>IFERROR(VLOOKUP($C594,$A$15:$O$36,3,FALSE)," ")</f>
        <v>5</v>
      </c>
      <c r="F594" s="8">
        <f>IFERROR(VLOOKUP($C594,$A$15:$O$36,4,FALSE)," ")</f>
        <v>6</v>
      </c>
      <c r="G594" s="8">
        <f>IFERROR(VLOOKUP($C594,$A$15:$O$36,5,FALSE)," ")</f>
        <v>0</v>
      </c>
      <c r="H594" s="8">
        <f>IFERROR(VLOOKUP($C594,$A$15:$O$36,6,FALSE)," ")</f>
        <v>0</v>
      </c>
      <c r="I594" s="8">
        <f>IFERROR(VLOOKUP($C594,$A$15:$O$36,7,FALSE)," ")</f>
        <v>0</v>
      </c>
      <c r="J594" s="8">
        <f>IFERROR(VLOOKUP($C594,$A$15:$O$36,8,FALSE)," ")</f>
        <v>0</v>
      </c>
      <c r="K594" s="8">
        <f>IFERROR(VLOOKUP($C594,$A$15:$O$36,9,FALSE)," ")</f>
        <v>0</v>
      </c>
      <c r="L594" s="8">
        <f>IFERROR(VLOOKUP($C594,$A$15:$O$36,10,FALSE)," ")</f>
        <v>0</v>
      </c>
      <c r="M594" s="8">
        <f>IFERROR(VLOOKUP($C594,$A$15:$O$36,11,FALSE)," ")</f>
        <v>0</v>
      </c>
      <c r="N594" s="8">
        <f>IFERROR(VLOOKUP($C594,$A$15:$O$36,12,FALSE)," ")</f>
        <v>0</v>
      </c>
      <c r="O594" s="8">
        <f>IFERROR(VLOOKUP($C594,$A$15:$O$36,15,FALSE)," ")</f>
        <v>2000</v>
      </c>
      <c r="P594" s="8" t="e">
        <f t="array" ref="P594:P604">MMULT(MINVERSE(D594:N604),O594:O604)</f>
        <v>#NUM!</v>
      </c>
      <c r="Q594" s="8" t="e">
        <f t="shared" ref="Q594" si="2387">IF(COUNTIF(P594:P604,"&lt;"&amp;-0.001)=0,IF(ABS(P594)&lt;0.001,0,P594)," ")</f>
        <v>#NUM!</v>
      </c>
      <c r="R594" s="8" t="str">
        <f>IFERROR(VLOOKUP(B546,A$15:L$36,2,FALSE)*Q594+VLOOKUP(B546,A$15:L$36,3,FALSE)*Q595+VLOOKUP(B546,A$15:L$36,4,FALSE)*Q596+VLOOKUP(B546,A$15:L$36,5,FALSE)*Q597+VLOOKUP(B546,A$15:L$36,6,FALSE)*Q598+VLOOKUP(B546,A$15:L$36,7,FALSE)*Q599+VLOOKUP(B546,A$15:L$36,8,FALSE)*Q600+VLOOKUP(B546,A$15:L$36,9,FALSE)*Q601+VLOOKUP(B546,A$15:L$36,10,FALSE)*Q602+VLOOKUP(B546,A$15:L$36,11,FALSE)*Q603+VLOOKUP(B546,A$15:L$36,12,FALSE)*Q604," ")</f>
        <v xml:space="preserve"> </v>
      </c>
      <c r="S594" s="8" t="str">
        <f>IFERROR(IF(R594-VLOOKUP(B546,A$15:O$36,15,FALSE)&lt;0,R594-VLOOKUP(B546,A$15:O$36,15,FALSE)," ")," ")</f>
        <v xml:space="preserve"> </v>
      </c>
      <c r="T594" s="18" t="str">
        <f>IFERROR(IF(R594-VLOOKUP(B546,A$15:O$36,15,FALSE)&gt;0,R594-VLOOKUP(B546,A$15:O$36,15,FALSE)," ")," ")</f>
        <v xml:space="preserve"> </v>
      </c>
      <c r="U594" s="34">
        <f t="shared" ref="U594" si="2388">$M$2</f>
        <v>100.00000000000001</v>
      </c>
      <c r="V594" s="34">
        <v>-1</v>
      </c>
      <c r="W594" s="34">
        <f t="shared" ref="W594" si="2389">-SUMPRODUCT($M$3:$M$12,$N$3:$N$12)</f>
        <v>-105000</v>
      </c>
      <c r="X594" s="34" t="e">
        <f t="shared" ref="X594" si="2390">IF(U594&lt;&gt;U595,MMULT(MINVERSE(U594:V595),W594:W595)," ")</f>
        <v>#NUM!</v>
      </c>
      <c r="Y594" s="34" t="str">
        <f t="shared" ref="Y594" si="2391">IFERROR(IF(X594-VLOOKUP(U$38,$A$2:$N$12,14,FALSE)&lt;0,X594-VLOOKUP(U$38,$A$2:$N$12,14,FALSE)," ")," ")</f>
        <v xml:space="preserve"> </v>
      </c>
      <c r="Z594" s="34" t="str">
        <f t="shared" ref="Z594" si="2392">IFERROR(IF(X594-VLOOKUP(U$38,$A$2:$N$12,14,FALSE)&gt;0,X594-VLOOKUP(U$38,$A$2:$N$12,14,FALSE)," ")," ")</f>
        <v xml:space="preserve"> </v>
      </c>
      <c r="AA594" s="34">
        <f t="shared" ref="AA594" si="2393">$M$3</f>
        <v>0</v>
      </c>
      <c r="AB594" s="34">
        <v>-1</v>
      </c>
      <c r="AC594" s="34">
        <f t="shared" ref="AC594" si="2394">-SUMPRODUCT($M$2:$M$2,$N$2:$N$2)-SUMPRODUCT($M$4:$M$12,$N$4:$N$12)</f>
        <v>-120000</v>
      </c>
      <c r="AD594" s="34" t="e">
        <f t="shared" ref="AD594" si="2395">IF(AA594&lt;&gt;AA595,MMULT(MINVERSE(AA594:AB595),AC594:AC595)," ")</f>
        <v>#NUM!</v>
      </c>
      <c r="AE594" s="34" t="str">
        <f t="shared" ref="AE594" si="2396">IFERROR(IF(AD594-VLOOKUP(AA$38,$A$2:$N$12,14,FALSE)&lt;0,AD594-VLOOKUP(AA$38,$A$2:$N$12,14,FALSE)," ")," ")</f>
        <v xml:space="preserve"> </v>
      </c>
      <c r="AF594" s="34" t="str">
        <f t="shared" ref="AF594" si="2397">IFERROR(IF(AD594-VLOOKUP(AA$38,$A$2:$N$12,14,FALSE)&gt;0,AD594-VLOOKUP(AA$38,$A$2:$N$12,14,FALSE)," ")," ")</f>
        <v xml:space="preserve"> </v>
      </c>
      <c r="AG594" s="34">
        <f t="shared" ref="AG594" si="2398">$M$4</f>
        <v>300</v>
      </c>
      <c r="AH594" s="34">
        <v>-1</v>
      </c>
      <c r="AI594" s="34">
        <f t="shared" ref="AI594" si="2399">-SUMPRODUCT($M$2:$M$3,$N$2:$N$3)-SUMPRODUCT($M$5:$M$12,$N$5:$N$12)</f>
        <v>-15000.000000000002</v>
      </c>
      <c r="AJ594" s="34" t="e">
        <f t="shared" ref="AJ594" si="2400">IF(AG594&lt;&gt;AG595,MMULT(MINVERSE(AG594:AH595),AI594:AI595)," ")</f>
        <v>#NUM!</v>
      </c>
      <c r="AK594" s="34" t="str">
        <f t="shared" ref="AK594" si="2401">IFERROR(IF(AJ594-VLOOKUP(AG$38,$A$2:$N$12,14,FALSE)&lt;0,AJ594-VLOOKUP(AG$38,$A$2:$N$12,14,FALSE)," ")," ")</f>
        <v xml:space="preserve"> </v>
      </c>
      <c r="AL594" s="34" t="str">
        <f t="shared" ref="AL594" si="2402">IFERROR(IF(AJ594-VLOOKUP(AG$38,$A$2:$N$12,14,FALSE)&gt;0,AJ594-VLOOKUP(AG$38,$A$2:$N$12,14,FALSE)," ")," ")</f>
        <v xml:space="preserve"> </v>
      </c>
      <c r="AM594" s="34">
        <f t="shared" ref="AM594" si="2403">$M$5</f>
        <v>0</v>
      </c>
      <c r="AN594" s="34">
        <v>-1</v>
      </c>
      <c r="AO594" s="34">
        <f t="shared" ref="AO594" si="2404">-SUMPRODUCT($M$2:$M$4,$N$2:$N$4)-SUMPRODUCT($M$6:$M$12,$N$6:$N$12)</f>
        <v>-120000</v>
      </c>
      <c r="AP594" s="34" t="e">
        <f t="shared" ref="AP594" si="2405">IF(AM594&lt;&gt;AM595,MMULT(MINVERSE(AM594:AN595),AO594:AO595)," ")</f>
        <v>#NUM!</v>
      </c>
      <c r="AQ594" s="34" t="str">
        <f t="shared" ref="AQ594" si="2406">IFERROR(IF(AP594-VLOOKUP(AM$38,$A$2:$N$12,14,FALSE)&lt;0,AP594-VLOOKUP(AM$38,$A$2:$N$12,14,FALSE)," ")," ")</f>
        <v xml:space="preserve"> </v>
      </c>
      <c r="AR594" s="34" t="str">
        <f t="shared" ref="AR594" si="2407">IFERROR(IF(AP594-VLOOKUP(AM$38,$A$2:$N$12,14,FALSE)&gt;0,AP594-VLOOKUP(AM$38,$A$2:$N$12,14,FALSE)," ")," ")</f>
        <v xml:space="preserve"> </v>
      </c>
      <c r="AS594" s="34">
        <f t="shared" ref="AS594" si="2408">$M$6</f>
        <v>0</v>
      </c>
      <c r="AT594" s="34">
        <v>-1</v>
      </c>
      <c r="AU594" s="34">
        <f t="shared" ref="AU594" si="2409">-SUMPRODUCT($M$2:$M$5,$N$2:$N$5)-SUMPRODUCT($M$7:$M$12,$N$7:$N$12)</f>
        <v>-120000</v>
      </c>
      <c r="AV594" s="34" t="e">
        <f t="shared" ref="AV594" si="2410">IF(AS594&lt;&gt;AS595,MMULT(MINVERSE(AS594:AT595),AU594:AU595)," ")</f>
        <v>#NUM!</v>
      </c>
      <c r="AW594" s="34" t="str">
        <f t="shared" ref="AW594" si="2411">IFERROR(IF(AV594-VLOOKUP(AS$38,$A$2:$N$12,14,FALSE)&lt;0,AV594-VLOOKUP(AS$38,$A$2:$N$12,14,FALSE)," ")," ")</f>
        <v xml:space="preserve"> </v>
      </c>
      <c r="AX594" s="34" t="str">
        <f t="shared" ref="AX594" si="2412">IFERROR(IF(AV594-VLOOKUP(AS$38,$A$2:$N$12,14,FALSE)&gt;0,AV594-VLOOKUP(AS$38,$A$2:$N$12,14,FALSE)," ")," ")</f>
        <v xml:space="preserve"> </v>
      </c>
      <c r="AY594" s="34">
        <f t="shared" ref="AY594" si="2413">$M$7</f>
        <v>0</v>
      </c>
      <c r="AZ594" s="34">
        <v>-1</v>
      </c>
      <c r="BA594" s="34">
        <f t="shared" ref="BA594" si="2414">-SUMPRODUCT($M$2:$M$6,$N$2:$N$6)-SUMPRODUCT($M$8:$M$12,$N$8:$N$12)</f>
        <v>-120000</v>
      </c>
      <c r="BB594" s="34" t="e">
        <f t="shared" ref="BB594" si="2415">IF(AY594&lt;&gt;AY595,MMULT(MINVERSE(AY594:AZ595),BA594:BA595)," ")</f>
        <v>#NUM!</v>
      </c>
      <c r="BC594" s="34" t="str">
        <f t="shared" ref="BC594" si="2416">IFERROR(IF(BB594-VLOOKUP(AY$38,$A$2:$N$12,14,FALSE)&lt;0,BB594-VLOOKUP(AY$38,$A$2:$N$12,14,FALSE)," ")," ")</f>
        <v xml:space="preserve"> </v>
      </c>
      <c r="BD594" s="34" t="str">
        <f t="shared" ref="BD594" si="2417">IFERROR(IF(BB594-VLOOKUP(AY$38,$A$2:$N$12,14,FALSE)&gt;0,BB594-VLOOKUP(AY$38,$A$2:$N$12,14,FALSE)," ")," ")</f>
        <v xml:space="preserve"> </v>
      </c>
      <c r="BE594" s="34">
        <f t="shared" ref="BE594" si="2418">$M$8</f>
        <v>0</v>
      </c>
      <c r="BF594" s="34">
        <v>-1</v>
      </c>
      <c r="BG594" s="34">
        <f t="shared" ref="BG594" si="2419">-SUMPRODUCT($M$2:$M$7,$N$2:$N$7)-SUMPRODUCT($M$9:$M$12,$N$9:$N$12)</f>
        <v>-120000</v>
      </c>
      <c r="BH594" s="34" t="e">
        <f t="shared" ref="BH594" si="2420">IF(BE594&lt;&gt;BE595,MMULT(MINVERSE(BE594:BF595),BG594:BG595)," ")</f>
        <v>#NUM!</v>
      </c>
      <c r="BI594" s="34" t="str">
        <f t="shared" ref="BI594" si="2421">IFERROR(IF(BH594-VLOOKUP(BE$38,$A$2:$N$12,14,FALSE)&lt;0,BH594-VLOOKUP(BE$38,$A$2:$N$12,14,FALSE)," ")," ")</f>
        <v xml:space="preserve"> </v>
      </c>
      <c r="BJ594" s="34" t="str">
        <f t="shared" ref="BJ594" si="2422">IFERROR(IF(BH594-VLOOKUP(BE$38,$A$2:$N$12,14,FALSE)&gt;0,BH594-VLOOKUP(BE$38,$A$2:$N$12,14,FALSE)," ")," ")</f>
        <v xml:space="preserve"> </v>
      </c>
      <c r="BK594" s="34">
        <f t="shared" ref="BK594" si="2423">$M$9</f>
        <v>0</v>
      </c>
      <c r="BL594" s="34">
        <v>-1</v>
      </c>
      <c r="BM594" s="34">
        <f t="shared" ref="BM594" si="2424">-SUMPRODUCT($M$2:$M$8,$N$2:$N$8)-SUMPRODUCT($M$10:$M$12,$N$10:$N$12)</f>
        <v>-120000</v>
      </c>
      <c r="BN594" s="34" t="e">
        <f t="shared" ref="BN594" si="2425">IF(BK594&lt;&gt;BK595,MMULT(MINVERSE(BK594:BL595),BM594:BM595)," ")</f>
        <v>#NUM!</v>
      </c>
      <c r="BO594" s="34" t="str">
        <f t="shared" ref="BO594" si="2426">IFERROR(IF(BN594-VLOOKUP(BK$38,$A$2:$N$12,14,FALSE)&lt;0,BN594-VLOOKUP(BK$38,$A$2:$N$12,14,FALSE)," ")," ")</f>
        <v xml:space="preserve"> </v>
      </c>
      <c r="BP594" s="34" t="str">
        <f t="shared" ref="BP594" si="2427">IFERROR(IF(BN594-VLOOKUP(BK$38,$A$2:$N$12,14,FALSE)&gt;0,BN594-VLOOKUP(BK$38,$A$2:$N$12,14,FALSE)," ")," ")</f>
        <v xml:space="preserve"> </v>
      </c>
      <c r="BQ594" s="34">
        <f t="shared" ref="BQ594" si="2428">$M$10</f>
        <v>0</v>
      </c>
      <c r="BR594" s="34">
        <v>-1</v>
      </c>
      <c r="BS594" s="34">
        <f t="shared" ref="BS594" si="2429">-SUMPRODUCT($M$2:$M$9,$N$2:$N$9)-SUMPRODUCT($M$11:$M$12,$N$11:$N$12)</f>
        <v>-120000</v>
      </c>
      <c r="BT594" s="34" t="e">
        <f t="shared" ref="BT594" si="2430">IF(BQ594&lt;&gt;BQ595,MMULT(MINVERSE(BQ594:BR595),BS594:BS595)," ")</f>
        <v>#NUM!</v>
      </c>
      <c r="BU594" s="34" t="str">
        <f t="shared" ref="BU594" si="2431">IFERROR(IF(BT594-VLOOKUP(BQ$38,$A$2:$N$12,14,FALSE)&lt;0,BT594-VLOOKUP(BQ$38,$A$2:$N$12,14,FALSE)," ")," ")</f>
        <v xml:space="preserve"> </v>
      </c>
      <c r="BV594" s="34" t="str">
        <f t="shared" ref="BV594" si="2432">IFERROR(IF(BT594-VLOOKUP(BQ$38,$A$2:$N$12,14,FALSE)&gt;0,BT594-VLOOKUP(BQ$38,$A$2:$N$12,14,FALSE)," ")," ")</f>
        <v xml:space="preserve"> </v>
      </c>
      <c r="BW594" s="34">
        <f t="shared" ref="BW594" si="2433">$M$11</f>
        <v>0</v>
      </c>
      <c r="BX594" s="34">
        <v>-1</v>
      </c>
      <c r="BY594" s="34">
        <f t="shared" ref="BY594" si="2434">-SUMPRODUCT($M$2:$M$10,$N$2:$N$10)-SUMPRODUCT($M$12,$N$12)</f>
        <v>-120000</v>
      </c>
      <c r="BZ594" s="34" t="e">
        <f t="shared" ref="BZ594" si="2435">IF(BW594&lt;&gt;BW595,MMULT(MINVERSE(BW594:BX595),BY594:BY595)," ")</f>
        <v>#NUM!</v>
      </c>
      <c r="CA594" s="34" t="str">
        <f t="shared" ref="CA594" si="2436">IFERROR(IF(BZ594-VLOOKUP(BW$38,$A$2:$N$12,14,FALSE)&lt;0,BZ594-VLOOKUP(BW$38,$A$2:$N$12,14,FALSE)," ")," ")</f>
        <v xml:space="preserve"> </v>
      </c>
      <c r="CB594" s="34" t="str">
        <f t="shared" ref="CB594" si="2437">IFERROR(IF(BZ594-VLOOKUP(BW$38,$A$2:$N$12,14,FALSE)&gt;0,BZ594-VLOOKUP(BW$38,$A$2:$N$12,14,FALSE)," ")," ")</f>
        <v xml:space="preserve"> </v>
      </c>
      <c r="CC594" s="34">
        <f t="shared" ref="CC594" si="2438">$M$12</f>
        <v>0</v>
      </c>
      <c r="CD594" s="34">
        <v>-1</v>
      </c>
      <c r="CE594" s="34">
        <f t="shared" ref="CE594" si="2439">-SUMPRODUCT($M$2:$M$11,$N$2:$N$11)</f>
        <v>-120000</v>
      </c>
      <c r="CF594" s="34" t="e">
        <f t="shared" ref="CF594" si="2440">IF(CC594&lt;&gt;CC595,MMULT(MINVERSE(CC594:CD595),CE594:CE595)," ")</f>
        <v>#NUM!</v>
      </c>
      <c r="CG594" s="34" t="str">
        <f t="shared" ref="CG594" si="2441">IFERROR(IF(CF594-VLOOKUP(CC$38,$A$2:$N$12,14,FALSE)&lt;0,CF594-VLOOKUP(CC$38,$A$2:$N$12,14,FALSE)," ")," ")</f>
        <v xml:space="preserve"> </v>
      </c>
      <c r="CH594" s="34" t="str">
        <f t="shared" ref="CH594" si="2442">IFERROR(IF(CF594-VLOOKUP(CC$38,$A$2:$N$12,14,FALSE)&gt;0,CF594-VLOOKUP(CC$38,$A$2:$N$12,14,FALSE)," ")," ")</f>
        <v xml:space="preserve"> </v>
      </c>
      <c r="CI594" s="8"/>
    </row>
    <row r="595" spans="1:87" x14ac:dyDescent="0.2">
      <c r="A595" s="8" t="str">
        <f>IF(AND(COUNTIF(W$3:W$13,A$16)&gt;0,A$16&lt;&gt;B546),A$16,IFERROR(IF(MATCH(A$16,Z$3:Z$13,0)=3,A$16," ")," "))</f>
        <v xml:space="preserve"> </v>
      </c>
      <c r="B595" s="8" t="str">
        <f>IF(A595=" "," ",MAX(B594:B594)+1)</f>
        <v xml:space="preserve"> </v>
      </c>
      <c r="C595" s="8" t="str">
        <f>IFERROR(INDEX(A594:A615,MATCH(SMALL(B594:B615,2),B594:B615,0),1)," ")</f>
        <v>C4</v>
      </c>
      <c r="D595" s="8">
        <f t="shared" ref="D595:D604" si="2443">IFERROR(VLOOKUP($C595,$A$15:$O$36,2,FALSE)," ")</f>
        <v>1</v>
      </c>
      <c r="E595" s="8">
        <f t="shared" ref="E595:E604" si="2444">IFERROR(VLOOKUP($C595,$A$15:$O$36,3,FALSE)," ")</f>
        <v>0</v>
      </c>
      <c r="F595" s="8">
        <f t="shared" ref="F595:F604" si="2445">IFERROR(VLOOKUP($C595,$A$15:$O$36,4,FALSE)," ")</f>
        <v>1</v>
      </c>
      <c r="G595" s="8">
        <f t="shared" ref="G595:G604" si="2446">IFERROR(VLOOKUP($C595,$A$15:$O$36,5,FALSE)," ")</f>
        <v>0</v>
      </c>
      <c r="H595" s="8">
        <f t="shared" ref="H595:H604" si="2447">IFERROR(VLOOKUP($C595,$A$15:$O$36,6,FALSE)," ")</f>
        <v>0</v>
      </c>
      <c r="I595" s="8">
        <f t="shared" ref="I595:I604" si="2448">IFERROR(VLOOKUP($C595,$A$15:$O$36,7,FALSE)," ")</f>
        <v>0</v>
      </c>
      <c r="J595" s="8">
        <f t="shared" ref="J595:J604" si="2449">IFERROR(VLOOKUP($C595,$A$15:$O$36,8,FALSE)," ")</f>
        <v>0</v>
      </c>
      <c r="K595" s="8">
        <f t="shared" ref="K595:K604" si="2450">IFERROR(VLOOKUP($C595,$A$15:$O$36,9,FALSE)," ")</f>
        <v>0</v>
      </c>
      <c r="L595" s="8">
        <f t="shared" ref="L595:L604" si="2451">IFERROR(VLOOKUP($C595,$A$15:$O$36,10,FALSE)," ")</f>
        <v>0</v>
      </c>
      <c r="M595" s="8">
        <f t="shared" ref="M595:M604" si="2452">IFERROR(VLOOKUP($C595,$A$15:$O$36,11,FALSE)," ")</f>
        <v>0</v>
      </c>
      <c r="N595" s="8">
        <f t="shared" ref="N595:N604" si="2453">IFERROR(VLOOKUP($C595,$A$15:$O$36,12,FALSE)," ")</f>
        <v>0</v>
      </c>
      <c r="O595" s="8">
        <f t="shared" ref="O595:O604" si="2454">IFERROR(VLOOKUP($C595,$A$15:$O$36,15,FALSE)," ")</f>
        <v>400</v>
      </c>
      <c r="P595" s="8" t="e">
        <v>#NUM!</v>
      </c>
      <c r="Q595" s="8" t="e">
        <f t="shared" ref="Q595" si="2455">IF(COUNTIF(P594:P604,"&lt;"&amp;-0.001)=0,IF(ABS(P595)&lt;0.001,0,P595)," ")</f>
        <v>#NUM!</v>
      </c>
      <c r="R595" s="8"/>
      <c r="S595" s="8"/>
      <c r="U595" s="34" t="e">
        <f t="shared" ref="U595" si="2456">$Q594</f>
        <v>#NUM!</v>
      </c>
      <c r="V595" s="34">
        <v>-1</v>
      </c>
      <c r="W595" s="34" t="e">
        <f t="shared" ref="W595" si="2457">-SUMPRODUCT($Q595:$Q604,$N$3:$N$12)</f>
        <v>#NUM!</v>
      </c>
      <c r="X595" s="34"/>
      <c r="Y595" s="34"/>
      <c r="Z595" s="34"/>
      <c r="AA595" s="34" t="e">
        <f t="shared" ref="AA595" si="2458">$Q595</f>
        <v>#NUM!</v>
      </c>
      <c r="AB595" s="34">
        <v>-1</v>
      </c>
      <c r="AC595" s="34" t="e">
        <f t="shared" ref="AC595" si="2459">-SUMPRODUCT($Q594:$Q594,$N$2:$N$2)-SUMPRODUCT($Q596:$Q604,$N$4:$N$12)</f>
        <v>#NUM!</v>
      </c>
      <c r="AD595" s="34"/>
      <c r="AE595" s="34"/>
      <c r="AF595" s="34"/>
      <c r="AG595" s="34" t="e">
        <f t="shared" ref="AG595" si="2460">$Q596</f>
        <v>#NUM!</v>
      </c>
      <c r="AH595" s="34">
        <v>-1</v>
      </c>
      <c r="AI595" s="34" t="e">
        <f t="shared" ref="AI595" si="2461">-SUMPRODUCT($Q594:$Q595,$N$2:$N$3)-SUMPRODUCT($Q597:$Q604,$N$5:$N$12)</f>
        <v>#NUM!</v>
      </c>
      <c r="AJ595" s="34"/>
      <c r="AK595" s="34"/>
      <c r="AL595" s="34"/>
      <c r="AM595" s="34" t="e">
        <f t="shared" ref="AM595" si="2462">$Q597</f>
        <v>#NUM!</v>
      </c>
      <c r="AN595" s="34">
        <v>-1</v>
      </c>
      <c r="AO595" s="34" t="e">
        <f t="shared" ref="AO595" si="2463">-SUMPRODUCT($Q594:$Q596,$N$2:$N$4)-SUMPRODUCT($Q598:$Q604,$N$6:$N$12)</f>
        <v>#NUM!</v>
      </c>
      <c r="AP595" s="34"/>
      <c r="AQ595" s="34"/>
      <c r="AR595" s="34"/>
      <c r="AS595" s="34" t="e">
        <f t="shared" ref="AS595" si="2464">$Q598</f>
        <v>#NUM!</v>
      </c>
      <c r="AT595" s="34">
        <v>-1</v>
      </c>
      <c r="AU595" s="34" t="e">
        <f t="shared" ref="AU595" si="2465">-SUMPRODUCT($Q594:$Q597,$N$2:$N$5)-SUMPRODUCT($Q599:$Q604,$N$7:$N$12)</f>
        <v>#NUM!</v>
      </c>
      <c r="AV595" s="34"/>
      <c r="AW595" s="34"/>
      <c r="AX595" s="34"/>
      <c r="AY595" s="34" t="e">
        <f t="shared" ref="AY595" si="2466">$Q599</f>
        <v>#NUM!</v>
      </c>
      <c r="AZ595" s="34">
        <v>-1</v>
      </c>
      <c r="BA595" s="34" t="e">
        <f t="shared" ref="BA595" si="2467">-SUMPRODUCT($Q594:$Q598,$N$2:$N$6)-SUMPRODUCT($Q600:$Q604,$N$8:$N$12)</f>
        <v>#NUM!</v>
      </c>
      <c r="BB595" s="34"/>
      <c r="BC595" s="34"/>
      <c r="BD595" s="34"/>
      <c r="BE595" s="34" t="e">
        <f t="shared" ref="BE595" si="2468">$Q600</f>
        <v>#NUM!</v>
      </c>
      <c r="BF595" s="34">
        <v>-1</v>
      </c>
      <c r="BG595" s="34" t="e">
        <f t="shared" ref="BG595" si="2469">-SUMPRODUCT($Q594:$Q599,$N$2:$N$7)-SUMPRODUCT($Q601:$Q604,$N$9:$N$12)</f>
        <v>#NUM!</v>
      </c>
      <c r="BH595" s="34"/>
      <c r="BI595" s="34"/>
      <c r="BJ595" s="34"/>
      <c r="BK595" s="34" t="e">
        <f t="shared" ref="BK595" si="2470">$Q601</f>
        <v>#NUM!</v>
      </c>
      <c r="BL595" s="34">
        <v>-1</v>
      </c>
      <c r="BM595" s="34" t="e">
        <f t="shared" ref="BM595" si="2471">-SUMPRODUCT($Q594:$Q600,$N$2:$N$8)-SUMPRODUCT($Q602:$Q604,$N$10:$N$12)</f>
        <v>#NUM!</v>
      </c>
      <c r="BN595" s="34"/>
      <c r="BO595" s="34"/>
      <c r="BP595" s="34"/>
      <c r="BQ595" s="34" t="e">
        <f t="shared" ref="BQ595" si="2472">$Q602</f>
        <v>#NUM!</v>
      </c>
      <c r="BR595" s="34">
        <v>-1</v>
      </c>
      <c r="BS595" s="34" t="e">
        <f t="shared" ref="BS595" si="2473">-SUMPRODUCT($Q594:$Q601,$N$2:$N$9)-SUMPRODUCT($Q603:$Q604,$N$11:$N$12)</f>
        <v>#NUM!</v>
      </c>
      <c r="BT595" s="34"/>
      <c r="BU595" s="34"/>
      <c r="BV595" s="34"/>
      <c r="BW595" s="34" t="e">
        <f t="shared" ref="BW595" si="2474">$Q603</f>
        <v>#NUM!</v>
      </c>
      <c r="BX595" s="34">
        <v>-1</v>
      </c>
      <c r="BY595" s="34" t="e">
        <f t="shared" ref="BY595" si="2475">-SUMPRODUCT($Q594:$Q602,$N$2:$N$10)-SUMPRODUCT($Q604,$N$12)</f>
        <v>#NUM!</v>
      </c>
      <c r="BZ595" s="34"/>
      <c r="CA595" s="34"/>
      <c r="CB595" s="34"/>
      <c r="CC595" s="34" t="e">
        <f t="shared" ref="CC595" si="2476">$Q604</f>
        <v>#NUM!</v>
      </c>
      <c r="CD595" s="34">
        <v>-1</v>
      </c>
      <c r="CE595" s="34" t="e">
        <f t="shared" ref="CE595" si="2477">-SUMPRODUCT($Q594:$Q603,$N$2:$N$11)</f>
        <v>#NUM!</v>
      </c>
      <c r="CF595" s="34"/>
      <c r="CG595" s="34"/>
      <c r="CH595" s="34"/>
      <c r="CI595" s="8"/>
    </row>
    <row r="596" spans="1:87" x14ac:dyDescent="0.2">
      <c r="A596" s="8" t="str">
        <f>IF(AND(COUNTIF(W$3:W$13,A$17)&gt;0,A$17&lt;&gt;B546),A$17,IFERROR(IF(MATCH(A$17,Z$3:Z$13,0)=3,A$17," ")," "))</f>
        <v>C3</v>
      </c>
      <c r="B596" s="8">
        <f>IF(A596=" "," ",MAX(B594:B595)+1)</f>
        <v>1</v>
      </c>
      <c r="C596" s="8" t="str">
        <f>IFERROR(INDEX(A594:A615,MATCH(SMALL(B594:B615,3),B594:B615,0),1)," ")</f>
        <v>C5</v>
      </c>
      <c r="D596" s="8">
        <f t="shared" si="2443"/>
        <v>0</v>
      </c>
      <c r="E596" s="8">
        <f t="shared" si="2444"/>
        <v>0</v>
      </c>
      <c r="F596" s="8">
        <f t="shared" si="2445"/>
        <v>0</v>
      </c>
      <c r="G596" s="8">
        <f t="shared" si="2446"/>
        <v>0</v>
      </c>
      <c r="H596" s="8">
        <f t="shared" si="2447"/>
        <v>0</v>
      </c>
      <c r="I596" s="8">
        <f t="shared" si="2448"/>
        <v>0</v>
      </c>
      <c r="J596" s="8">
        <f t="shared" si="2449"/>
        <v>0</v>
      </c>
      <c r="K596" s="8">
        <f t="shared" si="2450"/>
        <v>0</v>
      </c>
      <c r="L596" s="8">
        <f t="shared" si="2451"/>
        <v>0</v>
      </c>
      <c r="M596" s="8">
        <f t="shared" si="2452"/>
        <v>0</v>
      </c>
      <c r="N596" s="8">
        <f t="shared" si="2453"/>
        <v>0</v>
      </c>
      <c r="O596" s="8">
        <f t="shared" si="2454"/>
        <v>0</v>
      </c>
      <c r="P596" s="8" t="e">
        <v>#NUM!</v>
      </c>
      <c r="Q596" s="8" t="e">
        <f t="shared" ref="Q596" si="2478">IF(COUNTIF(P594:P604,"&lt;"&amp;-0.001)=0,IF(ABS(P596)&lt;0.001,0,P596)," ")</f>
        <v>#NUM!</v>
      </c>
      <c r="R596" s="8"/>
      <c r="S596" s="8"/>
      <c r="U596" s="34"/>
      <c r="V596" s="34"/>
      <c r="W596" s="34"/>
      <c r="X596" s="34"/>
      <c r="Y596" s="34"/>
      <c r="Z596" s="34"/>
      <c r="AA596" s="34"/>
      <c r="AB596" s="34"/>
      <c r="AC596" s="34"/>
      <c r="AD596" s="34"/>
      <c r="AE596" s="34"/>
      <c r="AF596" s="34"/>
      <c r="AG596" s="34"/>
      <c r="AH596" s="34"/>
      <c r="AI596" s="34"/>
      <c r="AJ596" s="34"/>
      <c r="AK596" s="34"/>
      <c r="AL596" s="34"/>
      <c r="AM596" s="34"/>
      <c r="AN596" s="34"/>
      <c r="AO596" s="34"/>
      <c r="AP596" s="34"/>
      <c r="AQ596" s="34"/>
      <c r="AR596" s="34"/>
      <c r="AS596" s="34"/>
      <c r="AT596" s="34"/>
      <c r="AU596" s="34"/>
      <c r="AV596" s="34"/>
      <c r="AW596" s="34"/>
      <c r="AX596" s="34"/>
      <c r="AY596" s="34"/>
      <c r="AZ596" s="34"/>
      <c r="BA596" s="34"/>
      <c r="BB596" s="34"/>
      <c r="BC596" s="34"/>
      <c r="BD596" s="34"/>
      <c r="BE596" s="34"/>
      <c r="BF596" s="34"/>
      <c r="BG596" s="34"/>
      <c r="BH596" s="34"/>
      <c r="BI596" s="34"/>
      <c r="BJ596" s="34"/>
      <c r="BK596" s="34"/>
      <c r="BL596" s="34"/>
      <c r="BM596" s="34"/>
      <c r="BN596" s="34"/>
      <c r="BO596" s="34"/>
      <c r="BP596" s="34"/>
      <c r="BQ596" s="34"/>
      <c r="BR596" s="34"/>
      <c r="BS596" s="34"/>
      <c r="BT596" s="34"/>
      <c r="BU596" s="34"/>
      <c r="BV596" s="34"/>
      <c r="BW596" s="34"/>
      <c r="BX596" s="34"/>
      <c r="BY596" s="34"/>
      <c r="BZ596" s="34"/>
      <c r="CA596" s="34"/>
      <c r="CB596" s="34"/>
      <c r="CC596" s="34"/>
      <c r="CD596" s="34"/>
      <c r="CE596" s="34"/>
      <c r="CF596" s="34"/>
      <c r="CG596" s="34"/>
      <c r="CH596" s="34"/>
      <c r="CI596" s="8"/>
    </row>
    <row r="597" spans="1:87" x14ac:dyDescent="0.2">
      <c r="A597" s="8" t="str">
        <f>IF(AND(COUNTIF(W$3:W$13,A$18)&gt;0,A$18&lt;&gt;B546),A$18,IFERROR(IF(MATCH(A$18,Z$3:Z$13,0)=3,A$18," ")," "))</f>
        <v>C4</v>
      </c>
      <c r="B597" s="8">
        <f>IF(A597=" "," ",MAX(B594:B596)+1)</f>
        <v>2</v>
      </c>
      <c r="C597" s="8" t="str">
        <f>IFERROR(INDEX(A594:A615,MATCH(SMALL(B594:B615,4),B594:B615,0),1)," ")</f>
        <v>C15</v>
      </c>
      <c r="D597" s="8">
        <f t="shared" si="2443"/>
        <v>0</v>
      </c>
      <c r="E597" s="8">
        <f t="shared" si="2444"/>
        <v>0</v>
      </c>
      <c r="F597" s="8">
        <f t="shared" si="2445"/>
        <v>0</v>
      </c>
      <c r="G597" s="8">
        <f t="shared" si="2446"/>
        <v>1</v>
      </c>
      <c r="H597" s="8">
        <f t="shared" si="2447"/>
        <v>0</v>
      </c>
      <c r="I597" s="8">
        <f t="shared" si="2448"/>
        <v>0</v>
      </c>
      <c r="J597" s="8">
        <f t="shared" si="2449"/>
        <v>0</v>
      </c>
      <c r="K597" s="8">
        <f t="shared" si="2450"/>
        <v>0</v>
      </c>
      <c r="L597" s="8">
        <f t="shared" si="2451"/>
        <v>0</v>
      </c>
      <c r="M597" s="8">
        <f t="shared" si="2452"/>
        <v>0</v>
      </c>
      <c r="N597" s="8">
        <f t="shared" si="2453"/>
        <v>0</v>
      </c>
      <c r="O597" s="8">
        <f t="shared" si="2454"/>
        <v>0</v>
      </c>
      <c r="P597" s="8" t="e">
        <v>#NUM!</v>
      </c>
      <c r="Q597" s="8" t="e">
        <f t="shared" ref="Q597" si="2479">IF(COUNTIF(P594:P604,"&lt;"&amp;-0.001)=0,IF(ABS(P597)&lt;0.001,0,P597)," ")</f>
        <v>#NUM!</v>
      </c>
      <c r="R597" s="8"/>
      <c r="S597" s="8"/>
      <c r="U597" s="34"/>
      <c r="V597" s="34"/>
      <c r="W597" s="34"/>
      <c r="X597" s="34"/>
      <c r="Y597" s="34"/>
      <c r="Z597" s="34"/>
      <c r="AA597" s="34"/>
      <c r="AB597" s="34"/>
      <c r="AC597" s="34"/>
      <c r="AD597" s="34"/>
      <c r="AE597" s="34"/>
      <c r="AF597" s="34"/>
      <c r="AG597" s="34"/>
      <c r="AH597" s="34"/>
      <c r="AI597" s="34"/>
      <c r="AJ597" s="34"/>
      <c r="AK597" s="34"/>
      <c r="AL597" s="34"/>
      <c r="AM597" s="34"/>
      <c r="AN597" s="34"/>
      <c r="AO597" s="34"/>
      <c r="AP597" s="34"/>
      <c r="AQ597" s="34"/>
      <c r="AR597" s="34"/>
      <c r="AS597" s="34"/>
      <c r="AT597" s="34"/>
      <c r="AU597" s="34"/>
      <c r="AV597" s="34"/>
      <c r="AW597" s="34"/>
      <c r="AX597" s="34"/>
      <c r="AY597" s="34"/>
      <c r="AZ597" s="34"/>
      <c r="BA597" s="34"/>
      <c r="BB597" s="34"/>
      <c r="BC597" s="34"/>
      <c r="BD597" s="34"/>
      <c r="BE597" s="34"/>
      <c r="BF597" s="34"/>
      <c r="BG597" s="34"/>
      <c r="BH597" s="34"/>
      <c r="BI597" s="34"/>
      <c r="BJ597" s="34"/>
      <c r="BK597" s="34"/>
      <c r="BL597" s="34"/>
      <c r="BM597" s="34"/>
      <c r="BN597" s="34"/>
      <c r="BO597" s="34"/>
      <c r="BP597" s="34"/>
      <c r="BQ597" s="34"/>
      <c r="BR597" s="34"/>
      <c r="BS597" s="34"/>
      <c r="BT597" s="34"/>
      <c r="BU597" s="34"/>
      <c r="BV597" s="34"/>
      <c r="BW597" s="34"/>
      <c r="BX597" s="34"/>
      <c r="BY597" s="34"/>
      <c r="BZ597" s="34"/>
      <c r="CA597" s="34"/>
      <c r="CB597" s="34"/>
      <c r="CC597" s="34"/>
      <c r="CD597" s="34"/>
      <c r="CE597" s="34"/>
      <c r="CF597" s="34"/>
      <c r="CG597" s="34"/>
      <c r="CH597" s="34"/>
      <c r="CI597" s="8"/>
    </row>
    <row r="598" spans="1:87" x14ac:dyDescent="0.2">
      <c r="A598" s="8" t="str">
        <f>IF(AND(COUNTIF(W$3:W$13,A$19)&gt;0,A$19&lt;&gt;B546),A$19,IFERROR(IF(MATCH(A$19,Z$3:Z$13,0)=3,A$19," ")," "))</f>
        <v>C5</v>
      </c>
      <c r="B598" s="8">
        <f>IF(A598=" "," ",MAX(B594:B597)+1)</f>
        <v>3</v>
      </c>
      <c r="C598" s="8" t="str">
        <f>IFERROR(INDEX(A594:A615,MATCH(SMALL(B594:B615,5),B594:B615,0),1)," ")</f>
        <v>C16</v>
      </c>
      <c r="D598" s="8">
        <f t="shared" si="2443"/>
        <v>0</v>
      </c>
      <c r="E598" s="8">
        <f t="shared" si="2444"/>
        <v>0</v>
      </c>
      <c r="F598" s="8">
        <f t="shared" si="2445"/>
        <v>0</v>
      </c>
      <c r="G598" s="8">
        <f t="shared" si="2446"/>
        <v>0</v>
      </c>
      <c r="H598" s="8">
        <f t="shared" si="2447"/>
        <v>1</v>
      </c>
      <c r="I598" s="8">
        <f t="shared" si="2448"/>
        <v>0</v>
      </c>
      <c r="J598" s="8">
        <f t="shared" si="2449"/>
        <v>0</v>
      </c>
      <c r="K598" s="8">
        <f t="shared" si="2450"/>
        <v>0</v>
      </c>
      <c r="L598" s="8">
        <f t="shared" si="2451"/>
        <v>0</v>
      </c>
      <c r="M598" s="8">
        <f t="shared" si="2452"/>
        <v>0</v>
      </c>
      <c r="N598" s="8">
        <f t="shared" si="2453"/>
        <v>0</v>
      </c>
      <c r="O598" s="8">
        <f t="shared" si="2454"/>
        <v>0</v>
      </c>
      <c r="P598" s="8" t="e">
        <v>#NUM!</v>
      </c>
      <c r="Q598" s="8" t="e">
        <f t="shared" ref="Q598" si="2480">IF(COUNTIF(P594:P604,"&lt;"&amp;-0.001)=0,IF(ABS(P598)&lt;0.001,0,P598)," ")</f>
        <v>#NUM!</v>
      </c>
      <c r="R598" s="8"/>
      <c r="S598" s="8"/>
      <c r="U598" s="34"/>
      <c r="V598" s="34"/>
      <c r="W598" s="34"/>
      <c r="X598" s="34"/>
      <c r="Y598" s="34"/>
      <c r="Z598" s="34"/>
      <c r="AA598" s="34"/>
      <c r="AB598" s="34"/>
      <c r="AC598" s="34"/>
      <c r="AD598" s="34"/>
      <c r="AE598" s="34"/>
      <c r="AF598" s="34"/>
      <c r="AG598" s="34"/>
      <c r="AH598" s="34"/>
      <c r="AI598" s="34"/>
      <c r="AJ598" s="34"/>
      <c r="AK598" s="34"/>
      <c r="AL598" s="34"/>
      <c r="AM598" s="34"/>
      <c r="AN598" s="34"/>
      <c r="AO598" s="34"/>
      <c r="AP598" s="34"/>
      <c r="AQ598" s="34"/>
      <c r="AR598" s="34"/>
      <c r="AS598" s="34"/>
      <c r="AT598" s="34"/>
      <c r="AU598" s="34"/>
      <c r="AV598" s="34"/>
      <c r="AW598" s="34"/>
      <c r="AX598" s="34"/>
      <c r="AY598" s="34"/>
      <c r="AZ598" s="34"/>
      <c r="BA598" s="34"/>
      <c r="BB598" s="34"/>
      <c r="BC598" s="34"/>
      <c r="BD598" s="34"/>
      <c r="BE598" s="34"/>
      <c r="BF598" s="34"/>
      <c r="BG598" s="34"/>
      <c r="BH598" s="34"/>
      <c r="BI598" s="34"/>
      <c r="BJ598" s="34"/>
      <c r="BK598" s="34"/>
      <c r="BL598" s="34"/>
      <c r="BM598" s="34"/>
      <c r="BN598" s="34"/>
      <c r="BO598" s="34"/>
      <c r="BP598" s="34"/>
      <c r="BQ598" s="34"/>
      <c r="BR598" s="34"/>
      <c r="BS598" s="34"/>
      <c r="BT598" s="34"/>
      <c r="BU598" s="34"/>
      <c r="BV598" s="34"/>
      <c r="BW598" s="34"/>
      <c r="BX598" s="34"/>
      <c r="BY598" s="34"/>
      <c r="BZ598" s="34"/>
      <c r="CA598" s="34"/>
      <c r="CB598" s="34"/>
      <c r="CC598" s="34"/>
      <c r="CD598" s="34"/>
      <c r="CE598" s="34"/>
      <c r="CF598" s="34"/>
      <c r="CG598" s="34"/>
      <c r="CH598" s="34"/>
      <c r="CI598" s="8"/>
    </row>
    <row r="599" spans="1:87" x14ac:dyDescent="0.2">
      <c r="A599" s="8" t="str">
        <f>IF(AND(COUNTIF(W$3:W$13,A$20)&gt;0,A$20&lt;&gt;B546),A$20,IFERROR(IF(MATCH(A$20,Z$3:Z$13,0)=3,A$20," ")," "))</f>
        <v xml:space="preserve"> </v>
      </c>
      <c r="B599" s="8" t="str">
        <f>IF(A599=" "," ",MAX(B594:B598)+1)</f>
        <v xml:space="preserve"> </v>
      </c>
      <c r="C599" s="8" t="str">
        <f>IFERROR(INDEX(A594:A615,MATCH(SMALL(B594:B615,6),B594:B615,0),1)," ")</f>
        <v>C17</v>
      </c>
      <c r="D599" s="8">
        <f t="shared" si="2443"/>
        <v>0</v>
      </c>
      <c r="E599" s="8">
        <f t="shared" si="2444"/>
        <v>0</v>
      </c>
      <c r="F599" s="8">
        <f t="shared" si="2445"/>
        <v>0</v>
      </c>
      <c r="G599" s="8">
        <f t="shared" si="2446"/>
        <v>0</v>
      </c>
      <c r="H599" s="8">
        <f t="shared" si="2447"/>
        <v>0</v>
      </c>
      <c r="I599" s="8">
        <f t="shared" si="2448"/>
        <v>1</v>
      </c>
      <c r="J599" s="8">
        <f t="shared" si="2449"/>
        <v>0</v>
      </c>
      <c r="K599" s="8">
        <f t="shared" si="2450"/>
        <v>0</v>
      </c>
      <c r="L599" s="8">
        <f t="shared" si="2451"/>
        <v>0</v>
      </c>
      <c r="M599" s="8">
        <f t="shared" si="2452"/>
        <v>0</v>
      </c>
      <c r="N599" s="8">
        <f t="shared" si="2453"/>
        <v>0</v>
      </c>
      <c r="O599" s="8">
        <f t="shared" si="2454"/>
        <v>0</v>
      </c>
      <c r="P599" s="8" t="e">
        <v>#NUM!</v>
      </c>
      <c r="Q599" s="8" t="e">
        <f t="shared" ref="Q599" si="2481">IF(COUNTIF(P594:P604,"&lt;"&amp;-0.001)=0,IF(ABS(P599)&lt;0.001,0,P599)," ")</f>
        <v>#NUM!</v>
      </c>
      <c r="R599" s="8"/>
      <c r="S599" s="8"/>
      <c r="U599" s="34"/>
      <c r="V599" s="34"/>
      <c r="W599" s="34"/>
      <c r="X599" s="34"/>
      <c r="Y599" s="34"/>
      <c r="Z599" s="34"/>
      <c r="AA599" s="34"/>
      <c r="AB599" s="34"/>
      <c r="AC599" s="34"/>
      <c r="AD599" s="34"/>
      <c r="AE599" s="34"/>
      <c r="AF599" s="34"/>
      <c r="AG599" s="34"/>
      <c r="AH599" s="34"/>
      <c r="AI599" s="34"/>
      <c r="AJ599" s="34"/>
      <c r="AK599" s="34"/>
      <c r="AL599" s="34"/>
      <c r="AM599" s="34"/>
      <c r="AN599" s="34"/>
      <c r="AO599" s="34"/>
      <c r="AP599" s="34"/>
      <c r="AQ599" s="34"/>
      <c r="AR599" s="34"/>
      <c r="AS599" s="34"/>
      <c r="AT599" s="34"/>
      <c r="AU599" s="34"/>
      <c r="AV599" s="34"/>
      <c r="AW599" s="34"/>
      <c r="AX599" s="34"/>
      <c r="AY599" s="34"/>
      <c r="AZ599" s="34"/>
      <c r="BA599" s="34"/>
      <c r="BB599" s="34"/>
      <c r="BC599" s="34"/>
      <c r="BD599" s="34"/>
      <c r="BE599" s="34"/>
      <c r="BF599" s="34"/>
      <c r="BG599" s="34"/>
      <c r="BH599" s="34"/>
      <c r="BI599" s="34"/>
      <c r="BJ599" s="34"/>
      <c r="BK599" s="34"/>
      <c r="BL599" s="34"/>
      <c r="BM599" s="34"/>
      <c r="BN599" s="34"/>
      <c r="BO599" s="34"/>
      <c r="BP599" s="34"/>
      <c r="BQ599" s="34"/>
      <c r="BR599" s="34"/>
      <c r="BS599" s="34"/>
      <c r="BT599" s="34"/>
      <c r="BU599" s="34"/>
      <c r="BV599" s="34"/>
      <c r="BW599" s="34"/>
      <c r="BX599" s="34"/>
      <c r="BY599" s="34"/>
      <c r="BZ599" s="34"/>
      <c r="CA599" s="34"/>
      <c r="CB599" s="34"/>
      <c r="CC599" s="34"/>
      <c r="CD599" s="34"/>
      <c r="CE599" s="34"/>
      <c r="CF599" s="34"/>
      <c r="CG599" s="34"/>
      <c r="CH599" s="34"/>
      <c r="CI599" s="8"/>
    </row>
    <row r="600" spans="1:87" x14ac:dyDescent="0.2">
      <c r="A600" s="8" t="str">
        <f>IF(AND(COUNTIF(W$3:W$13,A$21)&gt;0,A$21&lt;&gt;B546),A$21,IFERROR(IF(MATCH(A$21,Z$3:Z$13,0)=3,A$21," ")," "))</f>
        <v xml:space="preserve"> </v>
      </c>
      <c r="B600" s="8" t="str">
        <f>IF(A600=" "," ",MAX(B594:B599)+1)</f>
        <v xml:space="preserve"> </v>
      </c>
      <c r="C600" s="8" t="str">
        <f>IFERROR(INDEX(A594:A615,MATCH(SMALL(B594:B615,7),B594:B615,0),1)," ")</f>
        <v>C18</v>
      </c>
      <c r="D600" s="8">
        <f t="shared" si="2443"/>
        <v>0</v>
      </c>
      <c r="E600" s="8">
        <f t="shared" si="2444"/>
        <v>0</v>
      </c>
      <c r="F600" s="8">
        <f t="shared" si="2445"/>
        <v>0</v>
      </c>
      <c r="G600" s="8">
        <f t="shared" si="2446"/>
        <v>0</v>
      </c>
      <c r="H600" s="8">
        <f t="shared" si="2447"/>
        <v>0</v>
      </c>
      <c r="I600" s="8">
        <f t="shared" si="2448"/>
        <v>0</v>
      </c>
      <c r="J600" s="8">
        <f t="shared" si="2449"/>
        <v>1</v>
      </c>
      <c r="K600" s="8">
        <f t="shared" si="2450"/>
        <v>0</v>
      </c>
      <c r="L600" s="8">
        <f t="shared" si="2451"/>
        <v>0</v>
      </c>
      <c r="M600" s="8">
        <f t="shared" si="2452"/>
        <v>0</v>
      </c>
      <c r="N600" s="8">
        <f t="shared" si="2453"/>
        <v>0</v>
      </c>
      <c r="O600" s="8">
        <f t="shared" si="2454"/>
        <v>0</v>
      </c>
      <c r="P600" s="8" t="e">
        <v>#NUM!</v>
      </c>
      <c r="Q600" s="8" t="e">
        <f t="shared" ref="Q600" si="2482">IF(COUNTIF(P594:P604,"&lt;"&amp;-0.001)=0,IF(ABS(P600)&lt;0.001,0,P600)," ")</f>
        <v>#NUM!</v>
      </c>
      <c r="R600" s="8"/>
      <c r="S600" s="8"/>
      <c r="U600" s="34"/>
      <c r="V600" s="34"/>
      <c r="W600" s="34"/>
      <c r="X600" s="34"/>
      <c r="Y600" s="34"/>
      <c r="Z600" s="34"/>
      <c r="AA600" s="34"/>
      <c r="AB600" s="34"/>
      <c r="AC600" s="34"/>
      <c r="AD600" s="34"/>
      <c r="AE600" s="34"/>
      <c r="AF600" s="34"/>
      <c r="AG600" s="34"/>
      <c r="AH600" s="34"/>
      <c r="AI600" s="34"/>
      <c r="AJ600" s="34"/>
      <c r="AK600" s="34"/>
      <c r="AL600" s="34"/>
      <c r="AM600" s="34"/>
      <c r="AN600" s="34"/>
      <c r="AO600" s="34"/>
      <c r="AP600" s="34"/>
      <c r="AQ600" s="34"/>
      <c r="AR600" s="34"/>
      <c r="AS600" s="34"/>
      <c r="AT600" s="34"/>
      <c r="AU600" s="34"/>
      <c r="AV600" s="34"/>
      <c r="AW600" s="34"/>
      <c r="AX600" s="34"/>
      <c r="AY600" s="34"/>
      <c r="AZ600" s="34"/>
      <c r="BA600" s="34"/>
      <c r="BB600" s="34"/>
      <c r="BC600" s="34"/>
      <c r="BD600" s="34"/>
      <c r="BE600" s="34"/>
      <c r="BF600" s="34"/>
      <c r="BG600" s="34"/>
      <c r="BH600" s="34"/>
      <c r="BI600" s="34"/>
      <c r="BJ600" s="34"/>
      <c r="BK600" s="34"/>
      <c r="BL600" s="34"/>
      <c r="BM600" s="34"/>
      <c r="BN600" s="34"/>
      <c r="BO600" s="34"/>
      <c r="BP600" s="34"/>
      <c r="BQ600" s="34"/>
      <c r="BR600" s="34"/>
      <c r="BS600" s="34"/>
      <c r="BT600" s="34"/>
      <c r="BU600" s="34"/>
      <c r="BV600" s="34"/>
      <c r="BW600" s="34"/>
      <c r="BX600" s="34"/>
      <c r="BY600" s="34"/>
      <c r="BZ600" s="34"/>
      <c r="CA600" s="34"/>
      <c r="CB600" s="34"/>
      <c r="CC600" s="34"/>
      <c r="CD600" s="34"/>
      <c r="CE600" s="34"/>
      <c r="CF600" s="34"/>
      <c r="CG600" s="34"/>
      <c r="CH600" s="34"/>
      <c r="CI600" s="8"/>
    </row>
    <row r="601" spans="1:87" x14ac:dyDescent="0.2">
      <c r="A601" s="8" t="str">
        <f>IF(AND(COUNTIF(W$3:W$13,A$22)&gt;0,A$22&lt;&gt;B546),A$22,IFERROR(IF(MATCH(A$22,Z$3:Z$13,0)=3,A$22," ")," "))</f>
        <v xml:space="preserve"> </v>
      </c>
      <c r="B601" s="8" t="str">
        <f>IF(A601=" "," ",MAX(B594:B600)+1)</f>
        <v xml:space="preserve"> </v>
      </c>
      <c r="C601" s="8" t="str">
        <f>IFERROR(INDEX(A594:A615,MATCH(SMALL(B594:B615,8),B594:B615,0),1)," ")</f>
        <v>C19</v>
      </c>
      <c r="D601" s="8">
        <f t="shared" si="2443"/>
        <v>0</v>
      </c>
      <c r="E601" s="8">
        <f t="shared" si="2444"/>
        <v>0</v>
      </c>
      <c r="F601" s="8">
        <f t="shared" si="2445"/>
        <v>0</v>
      </c>
      <c r="G601" s="8">
        <f t="shared" si="2446"/>
        <v>0</v>
      </c>
      <c r="H601" s="8">
        <f t="shared" si="2447"/>
        <v>0</v>
      </c>
      <c r="I601" s="8">
        <f t="shared" si="2448"/>
        <v>0</v>
      </c>
      <c r="J601" s="8">
        <f t="shared" si="2449"/>
        <v>0</v>
      </c>
      <c r="K601" s="8">
        <f t="shared" si="2450"/>
        <v>1</v>
      </c>
      <c r="L601" s="8">
        <f t="shared" si="2451"/>
        <v>0</v>
      </c>
      <c r="M601" s="8">
        <f t="shared" si="2452"/>
        <v>0</v>
      </c>
      <c r="N601" s="8">
        <f t="shared" si="2453"/>
        <v>0</v>
      </c>
      <c r="O601" s="8">
        <f t="shared" si="2454"/>
        <v>0</v>
      </c>
      <c r="P601" s="8" t="e">
        <v>#NUM!</v>
      </c>
      <c r="Q601" s="8" t="e">
        <f t="shared" ref="Q601" si="2483">IF(COUNTIF(P594:P604,"&lt;"&amp;-0.001)=0,IF(ABS(P601)&lt;0.001,0,P601)," ")</f>
        <v>#NUM!</v>
      </c>
      <c r="R601" s="8"/>
      <c r="S601" s="8"/>
      <c r="U601" s="34"/>
      <c r="V601" s="34"/>
      <c r="W601" s="34"/>
      <c r="X601" s="34"/>
      <c r="Y601" s="34"/>
      <c r="Z601" s="34"/>
      <c r="AA601" s="34"/>
      <c r="AB601" s="34"/>
      <c r="AC601" s="34"/>
      <c r="AD601" s="34"/>
      <c r="AE601" s="34"/>
      <c r="AF601" s="34"/>
      <c r="AG601" s="34"/>
      <c r="AH601" s="34"/>
      <c r="AI601" s="34"/>
      <c r="AJ601" s="34"/>
      <c r="AK601" s="34"/>
      <c r="AL601" s="34"/>
      <c r="AM601" s="34"/>
      <c r="AN601" s="34"/>
      <c r="AO601" s="34"/>
      <c r="AP601" s="34"/>
      <c r="AQ601" s="34"/>
      <c r="AR601" s="34"/>
      <c r="AS601" s="34"/>
      <c r="AT601" s="34"/>
      <c r="AU601" s="34"/>
      <c r="AV601" s="34"/>
      <c r="AW601" s="34"/>
      <c r="AX601" s="34"/>
      <c r="AY601" s="34"/>
      <c r="AZ601" s="34"/>
      <c r="BA601" s="34"/>
      <c r="BB601" s="34"/>
      <c r="BC601" s="34"/>
      <c r="BD601" s="34"/>
      <c r="BE601" s="34"/>
      <c r="BF601" s="34"/>
      <c r="BG601" s="34"/>
      <c r="BH601" s="34"/>
      <c r="BI601" s="34"/>
      <c r="BJ601" s="34"/>
      <c r="BK601" s="34"/>
      <c r="BL601" s="34"/>
      <c r="BM601" s="34"/>
      <c r="BN601" s="34"/>
      <c r="BO601" s="34"/>
      <c r="BP601" s="34"/>
      <c r="BQ601" s="34"/>
      <c r="BR601" s="34"/>
      <c r="BS601" s="34"/>
      <c r="BT601" s="34"/>
      <c r="BU601" s="34"/>
      <c r="BV601" s="34"/>
      <c r="BW601" s="34"/>
      <c r="BX601" s="34"/>
      <c r="BY601" s="34"/>
      <c r="BZ601" s="34"/>
      <c r="CA601" s="34"/>
      <c r="CB601" s="34"/>
      <c r="CC601" s="34"/>
      <c r="CD601" s="34"/>
      <c r="CE601" s="34"/>
      <c r="CF601" s="34"/>
      <c r="CG601" s="34"/>
      <c r="CH601" s="34"/>
      <c r="CI601" s="8"/>
    </row>
    <row r="602" spans="1:87" x14ac:dyDescent="0.2">
      <c r="A602" s="8" t="str">
        <f>IF(AND(COUNTIF(W$3:W$13,A$23)&gt;0,A$23&lt;&gt;B546),A$23,IFERROR(IF(MATCH(A$23,Z$3:Z$13,0)=3,A$23," ")," "))</f>
        <v xml:space="preserve"> </v>
      </c>
      <c r="B602" s="8" t="str">
        <f>IF(A602=" "," ",MAX(B594:B601)+1)</f>
        <v xml:space="preserve"> </v>
      </c>
      <c r="C602" s="8" t="str">
        <f>IFERROR(INDEX(A594:A615,MATCH(SMALL(B594:B615,9),B594:B615,0),1)," ")</f>
        <v>C20</v>
      </c>
      <c r="D602" s="8">
        <f t="shared" si="2443"/>
        <v>0</v>
      </c>
      <c r="E602" s="8">
        <f t="shared" si="2444"/>
        <v>0</v>
      </c>
      <c r="F602" s="8">
        <f t="shared" si="2445"/>
        <v>0</v>
      </c>
      <c r="G602" s="8">
        <f t="shared" si="2446"/>
        <v>0</v>
      </c>
      <c r="H602" s="8">
        <f t="shared" si="2447"/>
        <v>0</v>
      </c>
      <c r="I602" s="8">
        <f t="shared" si="2448"/>
        <v>0</v>
      </c>
      <c r="J602" s="8">
        <f t="shared" si="2449"/>
        <v>0</v>
      </c>
      <c r="K602" s="8">
        <f t="shared" si="2450"/>
        <v>0</v>
      </c>
      <c r="L602" s="8">
        <f t="shared" si="2451"/>
        <v>1</v>
      </c>
      <c r="M602" s="8">
        <f t="shared" si="2452"/>
        <v>0</v>
      </c>
      <c r="N602" s="8">
        <f t="shared" si="2453"/>
        <v>0</v>
      </c>
      <c r="O602" s="8">
        <f t="shared" si="2454"/>
        <v>0</v>
      </c>
      <c r="P602" s="6" t="e">
        <v>#NUM!</v>
      </c>
      <c r="Q602" s="8" t="e">
        <f t="shared" ref="Q602" si="2484">IF(COUNTIF(P594:P604,"&lt;"&amp;-0.001)=0,IF(ABS(P602)&lt;0.001,0,P602)," ")</f>
        <v>#NUM!</v>
      </c>
      <c r="R602" s="8"/>
      <c r="S602" s="8"/>
      <c r="U602" s="34"/>
      <c r="V602" s="34"/>
      <c r="W602" s="34"/>
      <c r="X602" s="34"/>
      <c r="Y602" s="34"/>
      <c r="Z602" s="34"/>
      <c r="AA602" s="34"/>
      <c r="AB602" s="34"/>
      <c r="AC602" s="34"/>
      <c r="AD602" s="34"/>
      <c r="AE602" s="34"/>
      <c r="AF602" s="34"/>
      <c r="AG602" s="34"/>
      <c r="AH602" s="34"/>
      <c r="AI602" s="34"/>
      <c r="AJ602" s="34"/>
      <c r="AK602" s="34"/>
      <c r="AL602" s="34"/>
      <c r="AM602" s="34"/>
      <c r="AN602" s="34"/>
      <c r="AO602" s="34"/>
      <c r="AP602" s="34"/>
      <c r="AQ602" s="34"/>
      <c r="AR602" s="34"/>
      <c r="AS602" s="34"/>
      <c r="AT602" s="34"/>
      <c r="AU602" s="34"/>
      <c r="AV602" s="34"/>
      <c r="AW602" s="34"/>
      <c r="AX602" s="34"/>
      <c r="AY602" s="34"/>
      <c r="AZ602" s="34"/>
      <c r="BA602" s="34"/>
      <c r="BB602" s="34"/>
      <c r="BC602" s="34"/>
      <c r="BD602" s="34"/>
      <c r="BE602" s="34"/>
      <c r="BF602" s="34"/>
      <c r="BG602" s="34"/>
      <c r="BH602" s="34"/>
      <c r="BI602" s="34"/>
      <c r="BJ602" s="34"/>
      <c r="BK602" s="34"/>
      <c r="BL602" s="34"/>
      <c r="BM602" s="34"/>
      <c r="BN602" s="34"/>
      <c r="BO602" s="34"/>
      <c r="BP602" s="34"/>
      <c r="BQ602" s="34"/>
      <c r="BR602" s="34"/>
      <c r="BS602" s="34"/>
      <c r="BT602" s="34"/>
      <c r="BU602" s="34"/>
      <c r="BV602" s="34"/>
      <c r="BW602" s="34"/>
      <c r="BX602" s="34"/>
      <c r="BY602" s="34"/>
      <c r="BZ602" s="34"/>
      <c r="CA602" s="34"/>
      <c r="CB602" s="34"/>
      <c r="CC602" s="34"/>
      <c r="CD602" s="34"/>
      <c r="CE602" s="34"/>
      <c r="CF602" s="34"/>
      <c r="CG602" s="34"/>
      <c r="CH602" s="34"/>
      <c r="CI602" s="8"/>
    </row>
    <row r="603" spans="1:87" x14ac:dyDescent="0.2">
      <c r="A603" s="8" t="str">
        <f>IF(AND(COUNTIF(W$3:W$13,A$24)&gt;0,A$24&lt;&gt;B546),A$24,IFERROR(IF(MATCH(A$24,Z$3:Z$13,0)=3,A$24," ")," "))</f>
        <v xml:space="preserve"> </v>
      </c>
      <c r="B603" s="8" t="str">
        <f>IF(A603=" "," ",MAX(B594:B602)+1)</f>
        <v xml:space="preserve"> </v>
      </c>
      <c r="C603" s="8" t="str">
        <f>IFERROR(INDEX(A594:A615,MATCH(SMALL(B594:B615,10),B594:B615,0),1)," ")</f>
        <v>C21</v>
      </c>
      <c r="D603" s="8">
        <f t="shared" si="2443"/>
        <v>0</v>
      </c>
      <c r="E603" s="8">
        <f t="shared" si="2444"/>
        <v>0</v>
      </c>
      <c r="F603" s="8">
        <f t="shared" si="2445"/>
        <v>0</v>
      </c>
      <c r="G603" s="8">
        <f t="shared" si="2446"/>
        <v>0</v>
      </c>
      <c r="H603" s="8">
        <f t="shared" si="2447"/>
        <v>0</v>
      </c>
      <c r="I603" s="8">
        <f t="shared" si="2448"/>
        <v>0</v>
      </c>
      <c r="J603" s="8">
        <f t="shared" si="2449"/>
        <v>0</v>
      </c>
      <c r="K603" s="8">
        <f t="shared" si="2450"/>
        <v>0</v>
      </c>
      <c r="L603" s="8">
        <f t="shared" si="2451"/>
        <v>0</v>
      </c>
      <c r="M603" s="8">
        <f t="shared" si="2452"/>
        <v>1</v>
      </c>
      <c r="N603" s="8">
        <f t="shared" si="2453"/>
        <v>0</v>
      </c>
      <c r="O603" s="8">
        <f t="shared" si="2454"/>
        <v>0</v>
      </c>
      <c r="P603" s="8" t="e">
        <v>#NUM!</v>
      </c>
      <c r="Q603" s="8" t="e">
        <f t="shared" ref="Q603" si="2485">IF(COUNTIF(P594:P604,"&lt;"&amp;-0.001)=0,IF(ABS(P603)&lt;0.001,0,P603)," ")</f>
        <v>#NUM!</v>
      </c>
      <c r="R603" s="8"/>
      <c r="S603" s="8"/>
      <c r="U603" s="34"/>
      <c r="V603" s="34"/>
      <c r="W603" s="34"/>
      <c r="X603" s="34"/>
      <c r="Y603" s="34"/>
      <c r="Z603" s="34"/>
      <c r="AA603" s="34"/>
      <c r="AB603" s="34"/>
      <c r="AC603" s="34"/>
      <c r="AD603" s="34"/>
      <c r="AE603" s="34"/>
      <c r="AF603" s="34"/>
      <c r="AG603" s="34"/>
      <c r="AH603" s="34"/>
      <c r="AI603" s="34"/>
      <c r="AJ603" s="34"/>
      <c r="AK603" s="34"/>
      <c r="AL603" s="34"/>
      <c r="AM603" s="34"/>
      <c r="AN603" s="34"/>
      <c r="AO603" s="34"/>
      <c r="AP603" s="34"/>
      <c r="AQ603" s="34"/>
      <c r="AR603" s="34"/>
      <c r="AS603" s="34"/>
      <c r="AT603" s="34"/>
      <c r="AU603" s="34"/>
      <c r="AV603" s="34"/>
      <c r="AW603" s="34"/>
      <c r="AX603" s="34"/>
      <c r="AY603" s="34"/>
      <c r="AZ603" s="34"/>
      <c r="BA603" s="34"/>
      <c r="BB603" s="34"/>
      <c r="BC603" s="34"/>
      <c r="BD603" s="34"/>
      <c r="BE603" s="34"/>
      <c r="BF603" s="34"/>
      <c r="BG603" s="34"/>
      <c r="BH603" s="34"/>
      <c r="BI603" s="34"/>
      <c r="BJ603" s="34"/>
      <c r="BK603" s="34"/>
      <c r="BL603" s="34"/>
      <c r="BM603" s="34"/>
      <c r="BN603" s="34"/>
      <c r="BO603" s="34"/>
      <c r="BP603" s="34"/>
      <c r="BQ603" s="34"/>
      <c r="BR603" s="34"/>
      <c r="BS603" s="34"/>
      <c r="BT603" s="34"/>
      <c r="BU603" s="34"/>
      <c r="BV603" s="34"/>
      <c r="BW603" s="34"/>
      <c r="BX603" s="34"/>
      <c r="BY603" s="34"/>
      <c r="BZ603" s="34"/>
      <c r="CA603" s="34"/>
      <c r="CB603" s="34"/>
      <c r="CC603" s="34"/>
      <c r="CD603" s="34"/>
      <c r="CE603" s="34"/>
      <c r="CF603" s="34"/>
      <c r="CG603" s="34"/>
      <c r="CH603" s="34"/>
      <c r="CI603" s="8"/>
    </row>
    <row r="604" spans="1:87" x14ac:dyDescent="0.2">
      <c r="A604" s="8" t="str">
        <f>IF(AND(COUNTIF(W$3:W$13,A$25)&gt;0,A$25&lt;&gt;B546),A$25,IFERROR(IF(MATCH(A$25,Z$3:Z$13,0)=3,A$25," ")," "))</f>
        <v xml:space="preserve"> </v>
      </c>
      <c r="B604" s="8" t="str">
        <f>IF(A604=" "," ",MAX(B594:B603)+1)</f>
        <v xml:space="preserve"> </v>
      </c>
      <c r="C604" s="8" t="str">
        <f>IFERROR(INDEX(A594:A615,MATCH(SMALL(B594:B615,11),B594:B615,0),1)," ")</f>
        <v>C22</v>
      </c>
      <c r="D604" s="8">
        <f t="shared" si="2443"/>
        <v>0</v>
      </c>
      <c r="E604" s="8">
        <f t="shared" si="2444"/>
        <v>0</v>
      </c>
      <c r="F604" s="8">
        <f t="shared" si="2445"/>
        <v>0</v>
      </c>
      <c r="G604" s="8">
        <f t="shared" si="2446"/>
        <v>0</v>
      </c>
      <c r="H604" s="8">
        <f t="shared" si="2447"/>
        <v>0</v>
      </c>
      <c r="I604" s="8">
        <f t="shared" si="2448"/>
        <v>0</v>
      </c>
      <c r="J604" s="8">
        <f t="shared" si="2449"/>
        <v>0</v>
      </c>
      <c r="K604" s="8">
        <f t="shared" si="2450"/>
        <v>0</v>
      </c>
      <c r="L604" s="8">
        <f t="shared" si="2451"/>
        <v>0</v>
      </c>
      <c r="M604" s="8">
        <f t="shared" si="2452"/>
        <v>0</v>
      </c>
      <c r="N604" s="8">
        <f t="shared" si="2453"/>
        <v>1</v>
      </c>
      <c r="O604" s="8">
        <f t="shared" si="2454"/>
        <v>0</v>
      </c>
      <c r="P604" s="8" t="e">
        <v>#NUM!</v>
      </c>
      <c r="Q604" s="8" t="e">
        <f t="shared" ref="Q604" si="2486">IF(COUNTIF(P594:P604,"&lt;"&amp;-0.001)=0,IF(ABS(P604)&lt;0.001,0,P604)," ")</f>
        <v>#NUM!</v>
      </c>
      <c r="R604" s="8"/>
      <c r="S604" s="8"/>
      <c r="U604" s="34"/>
      <c r="V604" s="34"/>
      <c r="W604" s="34"/>
      <c r="X604" s="34"/>
      <c r="Y604" s="34"/>
      <c r="Z604" s="34"/>
      <c r="AA604" s="34"/>
      <c r="AB604" s="34"/>
      <c r="AC604" s="34"/>
      <c r="AD604" s="34"/>
      <c r="AE604" s="34"/>
      <c r="AF604" s="34"/>
      <c r="AG604" s="34"/>
      <c r="AH604" s="34"/>
      <c r="AI604" s="34"/>
      <c r="AJ604" s="34"/>
      <c r="AK604" s="34"/>
      <c r="AL604" s="34"/>
      <c r="AM604" s="34"/>
      <c r="AN604" s="34"/>
      <c r="AO604" s="34"/>
      <c r="AP604" s="34"/>
      <c r="AQ604" s="34"/>
      <c r="AR604" s="34"/>
      <c r="AS604" s="34"/>
      <c r="AT604" s="34"/>
      <c r="AU604" s="34"/>
      <c r="AV604" s="34"/>
      <c r="AW604" s="34"/>
      <c r="AX604" s="34"/>
      <c r="AY604" s="34"/>
      <c r="AZ604" s="34"/>
      <c r="BA604" s="34"/>
      <c r="BB604" s="34"/>
      <c r="BC604" s="34"/>
      <c r="BD604" s="34"/>
      <c r="BE604" s="34"/>
      <c r="BF604" s="34"/>
      <c r="BG604" s="34"/>
      <c r="BH604" s="34"/>
      <c r="BI604" s="34"/>
      <c r="BJ604" s="34"/>
      <c r="BK604" s="34"/>
      <c r="BL604" s="34"/>
      <c r="BM604" s="34"/>
      <c r="BN604" s="34"/>
      <c r="BO604" s="34"/>
      <c r="BP604" s="34"/>
      <c r="BQ604" s="34"/>
      <c r="BR604" s="34"/>
      <c r="BS604" s="34"/>
      <c r="BT604" s="34"/>
      <c r="BU604" s="34"/>
      <c r="BV604" s="34"/>
      <c r="BW604" s="34"/>
      <c r="BX604" s="34"/>
      <c r="BY604" s="34"/>
      <c r="BZ604" s="34"/>
      <c r="CA604" s="34"/>
      <c r="CB604" s="34"/>
      <c r="CC604" s="34"/>
      <c r="CD604" s="34"/>
      <c r="CE604" s="34"/>
      <c r="CF604" s="34"/>
      <c r="CG604" s="34"/>
      <c r="CH604" s="34"/>
      <c r="CI604" s="8"/>
    </row>
    <row r="605" spans="1:87" x14ac:dyDescent="0.2">
      <c r="A605" s="8" t="str">
        <f>IF(AND(COUNTIF(W$3:W$13,A$26)&gt;0,A$26&lt;&gt;B546),A$26,IFERROR(IF(MATCH(A$26,Z$3:Z$13,0)=3,A$26," ")," "))</f>
        <v xml:space="preserve"> </v>
      </c>
      <c r="B605" s="8" t="str">
        <f>IF(A605=" "," ",MAX(B594:B604)+1)</f>
        <v xml:space="preserve"> </v>
      </c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U605" s="34"/>
      <c r="V605" s="34"/>
      <c r="W605" s="34"/>
      <c r="X605" s="34"/>
      <c r="Y605" s="34"/>
      <c r="Z605" s="34"/>
      <c r="AA605" s="34"/>
      <c r="AB605" s="34"/>
      <c r="AC605" s="34"/>
      <c r="AD605" s="34"/>
      <c r="AE605" s="34"/>
      <c r="AF605" s="34"/>
      <c r="AG605" s="34"/>
      <c r="AH605" s="34"/>
      <c r="AI605" s="34"/>
      <c r="AJ605" s="34"/>
      <c r="AK605" s="34"/>
      <c r="AL605" s="34"/>
      <c r="AM605" s="34"/>
      <c r="AN605" s="34"/>
      <c r="AO605" s="34"/>
      <c r="AP605" s="34"/>
      <c r="AQ605" s="34"/>
      <c r="AR605" s="34"/>
      <c r="AS605" s="34"/>
      <c r="AT605" s="34"/>
      <c r="AU605" s="34"/>
      <c r="AV605" s="34"/>
      <c r="AW605" s="34"/>
      <c r="AX605" s="34"/>
      <c r="AY605" s="34"/>
      <c r="AZ605" s="34"/>
      <c r="BA605" s="34"/>
      <c r="BB605" s="34"/>
      <c r="BC605" s="34"/>
      <c r="BD605" s="34"/>
      <c r="BE605" s="34"/>
      <c r="BF605" s="34"/>
      <c r="BG605" s="34"/>
      <c r="BH605" s="34"/>
      <c r="BI605" s="34"/>
      <c r="BJ605" s="34"/>
      <c r="BK605" s="34"/>
      <c r="BL605" s="34"/>
      <c r="BM605" s="34"/>
      <c r="BN605" s="34"/>
      <c r="BO605" s="34"/>
      <c r="BP605" s="34"/>
      <c r="BQ605" s="34"/>
      <c r="BR605" s="34"/>
      <c r="BS605" s="34"/>
      <c r="BT605" s="34"/>
      <c r="BU605" s="34"/>
      <c r="BV605" s="34"/>
      <c r="BW605" s="34"/>
      <c r="BX605" s="34"/>
      <c r="BY605" s="34"/>
      <c r="BZ605" s="34"/>
      <c r="CA605" s="34"/>
      <c r="CB605" s="34"/>
      <c r="CC605" s="34"/>
      <c r="CD605" s="34"/>
      <c r="CE605" s="34"/>
      <c r="CF605" s="34"/>
      <c r="CG605" s="34"/>
      <c r="CH605" s="34"/>
      <c r="CI605" s="8"/>
    </row>
    <row r="606" spans="1:87" x14ac:dyDescent="0.2">
      <c r="A606" s="8" t="str">
        <f>IF(AND(COUNTIF(W$3:W$13,A$27)&gt;0,A$27&lt;&gt;B546),A$27,IFERROR(IF(MATCH(A$27,Z$3:Z$13,0)=3,A$27," ")," "))</f>
        <v xml:space="preserve"> </v>
      </c>
      <c r="B606" s="8" t="str">
        <f>IF(A606=" "," ",MAX(B594:B605)+1)</f>
        <v xml:space="preserve"> </v>
      </c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U606" s="34"/>
      <c r="V606" s="34"/>
      <c r="W606" s="34"/>
      <c r="X606" s="34"/>
      <c r="Y606" s="34"/>
      <c r="Z606" s="34"/>
      <c r="AA606" s="34"/>
      <c r="AB606" s="34"/>
      <c r="AC606" s="34"/>
      <c r="AD606" s="34"/>
      <c r="AE606" s="34"/>
      <c r="AF606" s="34"/>
      <c r="AG606" s="34"/>
      <c r="AH606" s="34"/>
      <c r="AI606" s="34"/>
      <c r="AJ606" s="34"/>
      <c r="AK606" s="34"/>
      <c r="AL606" s="34"/>
      <c r="AM606" s="34"/>
      <c r="AN606" s="34"/>
      <c r="AO606" s="34"/>
      <c r="AP606" s="34"/>
      <c r="AQ606" s="34"/>
      <c r="AR606" s="34"/>
      <c r="AS606" s="34"/>
      <c r="AT606" s="34"/>
      <c r="AU606" s="34"/>
      <c r="AV606" s="34"/>
      <c r="AW606" s="34"/>
      <c r="AX606" s="34"/>
      <c r="AY606" s="34"/>
      <c r="AZ606" s="34"/>
      <c r="BA606" s="34"/>
      <c r="BB606" s="34"/>
      <c r="BC606" s="34"/>
      <c r="BD606" s="34"/>
      <c r="BE606" s="34"/>
      <c r="BF606" s="34"/>
      <c r="BG606" s="34"/>
      <c r="BH606" s="34"/>
      <c r="BI606" s="34"/>
      <c r="BJ606" s="34"/>
      <c r="BK606" s="34"/>
      <c r="BL606" s="34"/>
      <c r="BM606" s="34"/>
      <c r="BN606" s="34"/>
      <c r="BO606" s="34"/>
      <c r="BP606" s="34"/>
      <c r="BQ606" s="34"/>
      <c r="BR606" s="34"/>
      <c r="BS606" s="34"/>
      <c r="BT606" s="34"/>
      <c r="BU606" s="34"/>
      <c r="BV606" s="34"/>
      <c r="BW606" s="34"/>
      <c r="BX606" s="34"/>
      <c r="BY606" s="34"/>
      <c r="BZ606" s="34"/>
      <c r="CA606" s="34"/>
      <c r="CB606" s="34"/>
      <c r="CC606" s="34"/>
      <c r="CD606" s="34"/>
      <c r="CE606" s="34"/>
      <c r="CF606" s="34"/>
      <c r="CG606" s="34"/>
      <c r="CH606" s="34"/>
      <c r="CI606" s="8"/>
    </row>
    <row r="607" spans="1:87" x14ac:dyDescent="0.2">
      <c r="A607" s="8" t="str">
        <f>IF(AND(COUNTIF(W$3:W$13,A$28)&gt;0,A$28&lt;&gt;B546),A$28,IFERROR(IF(MATCH(A$28,Z$3:Z$13,0)=3,A$28," ")," "))</f>
        <v xml:space="preserve"> </v>
      </c>
      <c r="B607" s="8" t="str">
        <f>IF(A607=" "," ",MAX(B594:B606)+1)</f>
        <v xml:space="preserve"> </v>
      </c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U607" s="34"/>
      <c r="V607" s="34"/>
      <c r="W607" s="34"/>
      <c r="X607" s="34"/>
      <c r="Y607" s="34"/>
      <c r="Z607" s="34"/>
      <c r="AA607" s="34"/>
      <c r="AB607" s="34"/>
      <c r="AC607" s="34"/>
      <c r="AD607" s="34"/>
      <c r="AE607" s="34"/>
      <c r="AF607" s="34"/>
      <c r="AG607" s="34"/>
      <c r="AH607" s="34"/>
      <c r="AI607" s="34"/>
      <c r="AJ607" s="34"/>
      <c r="AK607" s="34"/>
      <c r="AL607" s="34"/>
      <c r="AM607" s="34"/>
      <c r="AN607" s="34"/>
      <c r="AO607" s="34"/>
      <c r="AP607" s="34"/>
      <c r="AQ607" s="34"/>
      <c r="AR607" s="34"/>
      <c r="AS607" s="34"/>
      <c r="AT607" s="34"/>
      <c r="AU607" s="34"/>
      <c r="AV607" s="34"/>
      <c r="AW607" s="34"/>
      <c r="AX607" s="34"/>
      <c r="AY607" s="34"/>
      <c r="AZ607" s="34"/>
      <c r="BA607" s="34"/>
      <c r="BB607" s="34"/>
      <c r="BC607" s="34"/>
      <c r="BD607" s="34"/>
      <c r="BE607" s="34"/>
      <c r="BF607" s="34"/>
      <c r="BG607" s="34"/>
      <c r="BH607" s="34"/>
      <c r="BI607" s="34"/>
      <c r="BJ607" s="34"/>
      <c r="BK607" s="34"/>
      <c r="BL607" s="34"/>
      <c r="BM607" s="34"/>
      <c r="BN607" s="34"/>
      <c r="BO607" s="34"/>
      <c r="BP607" s="34"/>
      <c r="BQ607" s="34"/>
      <c r="BR607" s="34"/>
      <c r="BS607" s="34"/>
      <c r="BT607" s="34"/>
      <c r="BU607" s="34"/>
      <c r="BV607" s="34"/>
      <c r="BW607" s="34"/>
      <c r="BX607" s="34"/>
      <c r="BY607" s="34"/>
      <c r="BZ607" s="34"/>
      <c r="CA607" s="34"/>
      <c r="CB607" s="34"/>
      <c r="CC607" s="34"/>
      <c r="CD607" s="34"/>
      <c r="CE607" s="34"/>
      <c r="CF607" s="34"/>
      <c r="CG607" s="34"/>
      <c r="CH607" s="34"/>
      <c r="CI607" s="8"/>
    </row>
    <row r="608" spans="1:87" x14ac:dyDescent="0.2">
      <c r="A608" s="8" t="str">
        <f>IF(AND(COUNTIF(W$3:W$13,A$29)&gt;0,A$29&lt;&gt;B546),A$29,IFERROR(IF(MATCH(A$29,Z$3:Z$13,0)=3,A$29," ")," "))</f>
        <v>C15</v>
      </c>
      <c r="B608" s="8">
        <f>IF(A608=" "," ",MAX(B594:B607)+1)</f>
        <v>4</v>
      </c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U608" s="34"/>
      <c r="V608" s="34"/>
      <c r="W608" s="34"/>
      <c r="X608" s="34"/>
      <c r="Y608" s="34"/>
      <c r="Z608" s="34"/>
      <c r="AA608" s="34"/>
      <c r="AB608" s="34"/>
      <c r="AC608" s="34"/>
      <c r="AD608" s="34"/>
      <c r="AE608" s="34"/>
      <c r="AF608" s="34"/>
      <c r="AG608" s="34"/>
      <c r="AH608" s="34"/>
      <c r="AI608" s="34"/>
      <c r="AJ608" s="34"/>
      <c r="AK608" s="34"/>
      <c r="AL608" s="34"/>
      <c r="AM608" s="34"/>
      <c r="AN608" s="34"/>
      <c r="AO608" s="34"/>
      <c r="AP608" s="34"/>
      <c r="AQ608" s="34"/>
      <c r="AR608" s="34"/>
      <c r="AS608" s="34"/>
      <c r="AT608" s="34"/>
      <c r="AU608" s="34"/>
      <c r="AV608" s="34"/>
      <c r="AW608" s="34"/>
      <c r="AX608" s="34"/>
      <c r="AY608" s="34"/>
      <c r="AZ608" s="34"/>
      <c r="BA608" s="34"/>
      <c r="BB608" s="34"/>
      <c r="BC608" s="34"/>
      <c r="BD608" s="34"/>
      <c r="BE608" s="34"/>
      <c r="BF608" s="34"/>
      <c r="BG608" s="34"/>
      <c r="BH608" s="34"/>
      <c r="BI608" s="34"/>
      <c r="BJ608" s="34"/>
      <c r="BK608" s="34"/>
      <c r="BL608" s="34"/>
      <c r="BM608" s="34"/>
      <c r="BN608" s="34"/>
      <c r="BO608" s="34"/>
      <c r="BP608" s="34"/>
      <c r="BQ608" s="34"/>
      <c r="BR608" s="34"/>
      <c r="BS608" s="34"/>
      <c r="BT608" s="34"/>
      <c r="BU608" s="34"/>
      <c r="BV608" s="34"/>
      <c r="BW608" s="34"/>
      <c r="BX608" s="34"/>
      <c r="BY608" s="34"/>
      <c r="BZ608" s="34"/>
      <c r="CA608" s="34"/>
      <c r="CB608" s="34"/>
      <c r="CC608" s="34"/>
      <c r="CD608" s="34"/>
      <c r="CE608" s="34"/>
      <c r="CF608" s="34"/>
      <c r="CG608" s="34"/>
      <c r="CH608" s="34"/>
      <c r="CI608" s="8"/>
    </row>
    <row r="609" spans="1:87" x14ac:dyDescent="0.2">
      <c r="A609" s="8" t="str">
        <f>IF(AND(COUNTIF(W$3:W$13,A$30)&gt;0,A$30&lt;&gt;B546),A$30,IFERROR(IF(MATCH(A$30,Z$3:Z$13,0)=3,A$30," ")," "))</f>
        <v>C16</v>
      </c>
      <c r="B609" s="8">
        <f>IF(A609=" "," ",MAX(B594:B608)+1)</f>
        <v>5</v>
      </c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U609" s="34"/>
      <c r="V609" s="34"/>
      <c r="W609" s="34"/>
      <c r="X609" s="34"/>
      <c r="Y609" s="34"/>
      <c r="Z609" s="34"/>
      <c r="AA609" s="34"/>
      <c r="AB609" s="34"/>
      <c r="AC609" s="34"/>
      <c r="AD609" s="34"/>
      <c r="AE609" s="34"/>
      <c r="AF609" s="34"/>
      <c r="AG609" s="34"/>
      <c r="AH609" s="34"/>
      <c r="AI609" s="34"/>
      <c r="AJ609" s="34"/>
      <c r="AK609" s="34"/>
      <c r="AL609" s="34"/>
      <c r="AM609" s="34"/>
      <c r="AN609" s="34"/>
      <c r="AO609" s="34"/>
      <c r="AP609" s="34"/>
      <c r="AQ609" s="34"/>
      <c r="AR609" s="34"/>
      <c r="AS609" s="34"/>
      <c r="AT609" s="34"/>
      <c r="AU609" s="34"/>
      <c r="AV609" s="34"/>
      <c r="AW609" s="34"/>
      <c r="AX609" s="34"/>
      <c r="AY609" s="34"/>
      <c r="AZ609" s="34"/>
      <c r="BA609" s="34"/>
      <c r="BB609" s="34"/>
      <c r="BC609" s="34"/>
      <c r="BD609" s="34"/>
      <c r="BE609" s="34"/>
      <c r="BF609" s="34"/>
      <c r="BG609" s="34"/>
      <c r="BH609" s="34"/>
      <c r="BI609" s="34"/>
      <c r="BJ609" s="34"/>
      <c r="BK609" s="34"/>
      <c r="BL609" s="34"/>
      <c r="BM609" s="34"/>
      <c r="BN609" s="34"/>
      <c r="BO609" s="34"/>
      <c r="BP609" s="34"/>
      <c r="BQ609" s="34"/>
      <c r="BR609" s="34"/>
      <c r="BS609" s="34"/>
      <c r="BT609" s="34"/>
      <c r="BU609" s="34"/>
      <c r="BV609" s="34"/>
      <c r="BW609" s="34"/>
      <c r="BX609" s="34"/>
      <c r="BY609" s="34"/>
      <c r="BZ609" s="34"/>
      <c r="CA609" s="34"/>
      <c r="CB609" s="34"/>
      <c r="CC609" s="34"/>
      <c r="CD609" s="34"/>
      <c r="CE609" s="34"/>
      <c r="CF609" s="34"/>
      <c r="CG609" s="34"/>
      <c r="CH609" s="34"/>
      <c r="CI609" s="8"/>
    </row>
    <row r="610" spans="1:87" x14ac:dyDescent="0.2">
      <c r="A610" s="8" t="str">
        <f>IF(AND(COUNTIF(W$3:W$13,A$31)&gt;0,A$31&lt;&gt;B546),A$31,IFERROR(IF(MATCH(A$31,Z$3:Z$13,0)=3,A$31," ")," "))</f>
        <v>C17</v>
      </c>
      <c r="B610" s="8">
        <f>IF(A610=" "," ",MAX(B594:B609)+1)</f>
        <v>6</v>
      </c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U610" s="34"/>
      <c r="V610" s="34"/>
      <c r="W610" s="34"/>
      <c r="X610" s="34"/>
      <c r="Y610" s="34"/>
      <c r="Z610" s="34"/>
      <c r="AA610" s="34"/>
      <c r="AB610" s="34"/>
      <c r="AC610" s="34"/>
      <c r="AD610" s="34"/>
      <c r="AE610" s="34"/>
      <c r="AF610" s="34"/>
      <c r="AG610" s="34"/>
      <c r="AH610" s="34"/>
      <c r="AI610" s="34"/>
      <c r="AJ610" s="34"/>
      <c r="AK610" s="34"/>
      <c r="AL610" s="34"/>
      <c r="AM610" s="34"/>
      <c r="AN610" s="34"/>
      <c r="AO610" s="34"/>
      <c r="AP610" s="34"/>
      <c r="AQ610" s="34"/>
      <c r="AR610" s="34"/>
      <c r="AS610" s="34"/>
      <c r="AT610" s="34"/>
      <c r="AU610" s="34"/>
      <c r="AV610" s="34"/>
      <c r="AW610" s="34"/>
      <c r="AX610" s="34"/>
      <c r="AY610" s="34"/>
      <c r="AZ610" s="34"/>
      <c r="BA610" s="34"/>
      <c r="BB610" s="34"/>
      <c r="BC610" s="34"/>
      <c r="BD610" s="34"/>
      <c r="BE610" s="34"/>
      <c r="BF610" s="34"/>
      <c r="BG610" s="34"/>
      <c r="BH610" s="34"/>
      <c r="BI610" s="34"/>
      <c r="BJ610" s="34"/>
      <c r="BK610" s="34"/>
      <c r="BL610" s="34"/>
      <c r="BM610" s="34"/>
      <c r="BN610" s="34"/>
      <c r="BO610" s="34"/>
      <c r="BP610" s="34"/>
      <c r="BQ610" s="34"/>
      <c r="BR610" s="34"/>
      <c r="BS610" s="34"/>
      <c r="BT610" s="34"/>
      <c r="BU610" s="34"/>
      <c r="BV610" s="34"/>
      <c r="BW610" s="34"/>
      <c r="BX610" s="34"/>
      <c r="BY610" s="34"/>
      <c r="BZ610" s="34"/>
      <c r="CA610" s="34"/>
      <c r="CB610" s="34"/>
      <c r="CC610" s="34"/>
      <c r="CD610" s="34"/>
      <c r="CE610" s="34"/>
      <c r="CF610" s="34"/>
      <c r="CG610" s="34"/>
      <c r="CH610" s="34"/>
      <c r="CI610" s="8"/>
    </row>
    <row r="611" spans="1:87" x14ac:dyDescent="0.2">
      <c r="A611" s="8" t="str">
        <f>IF(AND(COUNTIF(W$3:W$13,A$32)&gt;0,A$32&lt;&gt;B546),A$32,IFERROR(IF(MATCH(A$32,Z$3:Z$13,0)=3,A$32," ")," "))</f>
        <v>C18</v>
      </c>
      <c r="B611" s="8">
        <f>IF(A611=" "," ",MAX(B594:B610)+1)</f>
        <v>7</v>
      </c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U611" s="34"/>
      <c r="V611" s="34"/>
      <c r="W611" s="34"/>
      <c r="X611" s="34"/>
      <c r="Y611" s="34"/>
      <c r="Z611" s="34"/>
      <c r="AA611" s="34"/>
      <c r="AB611" s="34"/>
      <c r="AC611" s="34"/>
      <c r="AD611" s="34"/>
      <c r="AE611" s="34"/>
      <c r="AF611" s="34"/>
      <c r="AG611" s="34"/>
      <c r="AH611" s="34"/>
      <c r="AI611" s="34"/>
      <c r="AJ611" s="34"/>
      <c r="AK611" s="34"/>
      <c r="AL611" s="34"/>
      <c r="AM611" s="34"/>
      <c r="AN611" s="34"/>
      <c r="AO611" s="34"/>
      <c r="AP611" s="34"/>
      <c r="AQ611" s="34"/>
      <c r="AR611" s="34"/>
      <c r="AS611" s="34"/>
      <c r="AT611" s="34"/>
      <c r="AU611" s="34"/>
      <c r="AV611" s="34"/>
      <c r="AW611" s="34"/>
      <c r="AX611" s="34"/>
      <c r="AY611" s="34"/>
      <c r="AZ611" s="34"/>
      <c r="BA611" s="34"/>
      <c r="BB611" s="34"/>
      <c r="BC611" s="34"/>
      <c r="BD611" s="34"/>
      <c r="BE611" s="34"/>
      <c r="BF611" s="34"/>
      <c r="BG611" s="34"/>
      <c r="BH611" s="34"/>
      <c r="BI611" s="34"/>
      <c r="BJ611" s="34"/>
      <c r="BK611" s="34"/>
      <c r="BL611" s="34"/>
      <c r="BM611" s="34"/>
      <c r="BN611" s="34"/>
      <c r="BO611" s="34"/>
      <c r="BP611" s="34"/>
      <c r="BQ611" s="34"/>
      <c r="BR611" s="34"/>
      <c r="BS611" s="34"/>
      <c r="BT611" s="34"/>
      <c r="BU611" s="34"/>
      <c r="BV611" s="34"/>
      <c r="BW611" s="34"/>
      <c r="BX611" s="34"/>
      <c r="BY611" s="34"/>
      <c r="BZ611" s="34"/>
      <c r="CA611" s="34"/>
      <c r="CB611" s="34"/>
      <c r="CC611" s="34"/>
      <c r="CD611" s="34"/>
      <c r="CE611" s="34"/>
      <c r="CF611" s="34"/>
      <c r="CG611" s="34"/>
      <c r="CH611" s="34"/>
      <c r="CI611" s="8"/>
    </row>
    <row r="612" spans="1:87" x14ac:dyDescent="0.2">
      <c r="A612" s="8" t="str">
        <f>IF(AND(COUNTIF(W$3:W$13,A$33)&gt;0,A$33&lt;&gt;B546),A$33,IFERROR(IF(MATCH(A$33,Z$3:Z$13,0)=3,A$33," ")," "))</f>
        <v>C19</v>
      </c>
      <c r="B612" s="8">
        <f>IF(A612=" "," ",MAX(B594:B611)+1)</f>
        <v>8</v>
      </c>
      <c r="C612" s="14"/>
      <c r="D612" s="14"/>
      <c r="E612" s="14"/>
      <c r="F612" s="14"/>
      <c r="G612" s="14"/>
      <c r="H612" s="14"/>
      <c r="I612" s="14"/>
      <c r="J612" s="12"/>
      <c r="K612" s="12"/>
      <c r="L612" s="12"/>
      <c r="M612" s="12"/>
      <c r="N612" s="12"/>
      <c r="O612" s="12"/>
      <c r="P612" s="12"/>
      <c r="Q612" s="8"/>
      <c r="R612" s="12"/>
      <c r="S612" s="12"/>
      <c r="T612" s="21"/>
      <c r="U612" s="34"/>
      <c r="V612" s="34"/>
      <c r="W612" s="34"/>
      <c r="X612" s="34"/>
      <c r="Y612" s="34"/>
      <c r="Z612" s="34"/>
      <c r="AA612" s="34"/>
      <c r="AB612" s="34"/>
      <c r="AC612" s="34"/>
      <c r="AD612" s="34"/>
      <c r="AE612" s="34"/>
      <c r="AF612" s="34"/>
      <c r="AG612" s="34"/>
      <c r="AH612" s="34"/>
      <c r="AI612" s="34"/>
      <c r="AJ612" s="34"/>
      <c r="AK612" s="34"/>
      <c r="AL612" s="34"/>
      <c r="AM612" s="34"/>
      <c r="AN612" s="34"/>
      <c r="AO612" s="34"/>
      <c r="AP612" s="34"/>
      <c r="AQ612" s="34"/>
      <c r="AR612" s="34"/>
      <c r="AS612" s="34"/>
      <c r="AT612" s="34"/>
      <c r="AU612" s="34"/>
      <c r="AV612" s="34"/>
      <c r="AW612" s="34"/>
      <c r="AX612" s="34"/>
      <c r="AY612" s="34"/>
      <c r="AZ612" s="34"/>
      <c r="BA612" s="34"/>
      <c r="BB612" s="34"/>
      <c r="BC612" s="34"/>
      <c r="BD612" s="34"/>
      <c r="BE612" s="34"/>
      <c r="BF612" s="34"/>
      <c r="BG612" s="34"/>
      <c r="BH612" s="34"/>
      <c r="BI612" s="34"/>
      <c r="BJ612" s="34"/>
      <c r="BK612" s="34"/>
      <c r="BL612" s="34"/>
      <c r="BM612" s="34"/>
      <c r="BN612" s="34"/>
      <c r="BO612" s="34"/>
      <c r="BP612" s="34"/>
      <c r="BQ612" s="34"/>
      <c r="BR612" s="34"/>
      <c r="BS612" s="34"/>
      <c r="BT612" s="34"/>
      <c r="BU612" s="34"/>
      <c r="BV612" s="34"/>
      <c r="BW612" s="34"/>
      <c r="BX612" s="34"/>
      <c r="BY612" s="34"/>
      <c r="BZ612" s="34"/>
      <c r="CA612" s="34"/>
      <c r="CB612" s="34"/>
      <c r="CC612" s="34"/>
      <c r="CD612" s="34"/>
      <c r="CE612" s="34"/>
      <c r="CF612" s="34"/>
      <c r="CG612" s="34"/>
      <c r="CH612" s="34"/>
      <c r="CI612" s="8"/>
    </row>
    <row r="613" spans="1:87" x14ac:dyDescent="0.2">
      <c r="A613" s="8" t="str">
        <f>IF(AND(COUNTIF(W$3:W$13,A$34)&gt;0,A$34&lt;&gt;B546),A$34,IFERROR(IF(MATCH(A$34,Z$3:Z$13,0)=3,A$34," ")," "))</f>
        <v>C20</v>
      </c>
      <c r="B613" s="8">
        <f>IF(A613=" "," ",MAX(B594:B612)+1)</f>
        <v>9</v>
      </c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U613" s="34"/>
      <c r="V613" s="34"/>
      <c r="W613" s="34"/>
      <c r="X613" s="34"/>
      <c r="Y613" s="34"/>
      <c r="Z613" s="34"/>
      <c r="AA613" s="34"/>
      <c r="AB613" s="34"/>
      <c r="AC613" s="34"/>
      <c r="AD613" s="34"/>
      <c r="AE613" s="34"/>
      <c r="AF613" s="34"/>
      <c r="AG613" s="34"/>
      <c r="AH613" s="34"/>
      <c r="AI613" s="34"/>
      <c r="AJ613" s="34"/>
      <c r="AK613" s="34"/>
      <c r="AL613" s="34"/>
      <c r="AM613" s="34"/>
      <c r="AN613" s="34"/>
      <c r="AO613" s="34"/>
      <c r="AP613" s="34"/>
      <c r="AQ613" s="34"/>
      <c r="AR613" s="34"/>
      <c r="AS613" s="34"/>
      <c r="AT613" s="34"/>
      <c r="AU613" s="34"/>
      <c r="AV613" s="34"/>
      <c r="AW613" s="34"/>
      <c r="AX613" s="34"/>
      <c r="AY613" s="34"/>
      <c r="AZ613" s="34"/>
      <c r="BA613" s="34"/>
      <c r="BB613" s="34"/>
      <c r="BC613" s="34"/>
      <c r="BD613" s="34"/>
      <c r="BE613" s="34"/>
      <c r="BF613" s="34"/>
      <c r="BG613" s="34"/>
      <c r="BH613" s="34"/>
      <c r="BI613" s="34"/>
      <c r="BJ613" s="34"/>
      <c r="BK613" s="34"/>
      <c r="BL613" s="34"/>
      <c r="BM613" s="34"/>
      <c r="BN613" s="34"/>
      <c r="BO613" s="34"/>
      <c r="BP613" s="34"/>
      <c r="BQ613" s="34"/>
      <c r="BR613" s="34"/>
      <c r="BS613" s="34"/>
      <c r="BT613" s="34"/>
      <c r="BU613" s="34"/>
      <c r="BV613" s="34"/>
      <c r="BW613" s="34"/>
      <c r="BX613" s="34"/>
      <c r="BY613" s="34"/>
      <c r="BZ613" s="34"/>
      <c r="CA613" s="34"/>
      <c r="CB613" s="34"/>
      <c r="CC613" s="34"/>
      <c r="CD613" s="34"/>
      <c r="CE613" s="34"/>
      <c r="CF613" s="34"/>
      <c r="CG613" s="34"/>
      <c r="CH613" s="34"/>
      <c r="CI613" s="8"/>
    </row>
    <row r="614" spans="1:87" x14ac:dyDescent="0.2">
      <c r="A614" s="8" t="str">
        <f>IF(AND(COUNTIF(W$3:W$13,A$35)&gt;0,A$35&lt;&gt;B546),A$35,IFERROR(IF(MATCH(A$35,Z$3:Z$13,0)=3,A$35," ")," "))</f>
        <v>C21</v>
      </c>
      <c r="B614" s="8">
        <f>IF(A614=" "," ",MAX(B594:B613)+1)</f>
        <v>10</v>
      </c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U614" s="34"/>
      <c r="V614" s="34"/>
      <c r="W614" s="34"/>
      <c r="X614" s="34"/>
      <c r="Y614" s="34"/>
      <c r="Z614" s="34"/>
      <c r="AA614" s="34"/>
      <c r="AB614" s="34"/>
      <c r="AC614" s="34"/>
      <c r="AD614" s="34"/>
      <c r="AE614" s="34"/>
      <c r="AF614" s="34"/>
      <c r="AG614" s="34"/>
      <c r="AH614" s="34"/>
      <c r="AI614" s="34"/>
      <c r="AJ614" s="34"/>
      <c r="AK614" s="34"/>
      <c r="AL614" s="34"/>
      <c r="AM614" s="34"/>
      <c r="AN614" s="34"/>
      <c r="AO614" s="34"/>
      <c r="AP614" s="34"/>
      <c r="AQ614" s="34"/>
      <c r="AR614" s="34"/>
      <c r="AS614" s="34"/>
      <c r="AT614" s="34"/>
      <c r="AU614" s="34"/>
      <c r="AV614" s="34"/>
      <c r="AW614" s="34"/>
      <c r="AX614" s="34"/>
      <c r="AY614" s="34"/>
      <c r="AZ614" s="34"/>
      <c r="BA614" s="34"/>
      <c r="BB614" s="34"/>
      <c r="BC614" s="34"/>
      <c r="BD614" s="34"/>
      <c r="BE614" s="34"/>
      <c r="BF614" s="34"/>
      <c r="BG614" s="34"/>
      <c r="BH614" s="34"/>
      <c r="BI614" s="34"/>
      <c r="BJ614" s="34"/>
      <c r="BK614" s="34"/>
      <c r="BL614" s="34"/>
      <c r="BM614" s="34"/>
      <c r="BN614" s="34"/>
      <c r="BO614" s="34"/>
      <c r="BP614" s="34"/>
      <c r="BQ614" s="34"/>
      <c r="BR614" s="34"/>
      <c r="BS614" s="34"/>
      <c r="BT614" s="34"/>
      <c r="BU614" s="34"/>
      <c r="BV614" s="34"/>
      <c r="BW614" s="34"/>
      <c r="BX614" s="34"/>
      <c r="BY614" s="34"/>
      <c r="BZ614" s="34"/>
      <c r="CA614" s="34"/>
      <c r="CB614" s="34"/>
      <c r="CC614" s="34"/>
      <c r="CD614" s="34"/>
      <c r="CE614" s="34"/>
      <c r="CF614" s="34"/>
      <c r="CG614" s="34"/>
      <c r="CH614" s="34"/>
      <c r="CI614" s="8"/>
    </row>
    <row r="615" spans="1:87" x14ac:dyDescent="0.2">
      <c r="A615" s="8" t="str">
        <f>IF(AND(COUNTIF(W$3:W$13,A$36)&gt;0,A$36&lt;&gt;B546),A$36,IFERROR(IF(MATCH(A$36,Z$3:Z$13,0)=3,A$36," ")," "))</f>
        <v>C22</v>
      </c>
      <c r="B615" s="8">
        <f>IF(A615=" "," ",MAX(B594:B614)+1)</f>
        <v>11</v>
      </c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U615" s="34"/>
      <c r="V615" s="34"/>
      <c r="W615" s="34"/>
      <c r="X615" s="34"/>
      <c r="Y615" s="34"/>
      <c r="Z615" s="34"/>
      <c r="AA615" s="34"/>
      <c r="AB615" s="34"/>
      <c r="AC615" s="34"/>
      <c r="AD615" s="34"/>
      <c r="AE615" s="34"/>
      <c r="AF615" s="34"/>
      <c r="AG615" s="34"/>
      <c r="AH615" s="34"/>
      <c r="AI615" s="34"/>
      <c r="AJ615" s="34"/>
      <c r="AK615" s="34"/>
      <c r="AL615" s="34"/>
      <c r="AM615" s="34"/>
      <c r="AN615" s="34"/>
      <c r="AO615" s="34"/>
      <c r="AP615" s="34"/>
      <c r="AQ615" s="34"/>
      <c r="AR615" s="34"/>
      <c r="AS615" s="34"/>
      <c r="AT615" s="34"/>
      <c r="AU615" s="34"/>
      <c r="AV615" s="34"/>
      <c r="AW615" s="34"/>
      <c r="AX615" s="34"/>
      <c r="AY615" s="34"/>
      <c r="AZ615" s="34"/>
      <c r="BA615" s="34"/>
      <c r="BB615" s="34"/>
      <c r="BC615" s="34"/>
      <c r="BD615" s="34"/>
      <c r="BE615" s="34"/>
      <c r="BF615" s="34"/>
      <c r="BG615" s="34"/>
      <c r="BH615" s="34"/>
      <c r="BI615" s="34"/>
      <c r="BJ615" s="34"/>
      <c r="BK615" s="34"/>
      <c r="BL615" s="34"/>
      <c r="BM615" s="34"/>
      <c r="BN615" s="34"/>
      <c r="BO615" s="34"/>
      <c r="BP615" s="34"/>
      <c r="BQ615" s="34"/>
      <c r="BR615" s="34"/>
      <c r="BS615" s="34"/>
      <c r="BT615" s="34"/>
      <c r="BU615" s="34"/>
      <c r="BV615" s="34"/>
      <c r="BW615" s="34"/>
      <c r="BX615" s="34"/>
      <c r="BY615" s="34"/>
      <c r="BZ615" s="34"/>
      <c r="CA615" s="34"/>
      <c r="CB615" s="34"/>
      <c r="CC615" s="34"/>
      <c r="CD615" s="34"/>
      <c r="CE615" s="34"/>
      <c r="CF615" s="34"/>
      <c r="CG615" s="34"/>
      <c r="CH615" s="34"/>
      <c r="CI615" s="8"/>
    </row>
    <row r="616" spans="1:87" x14ac:dyDescent="0.2">
      <c r="A616" s="11" t="s">
        <v>17</v>
      </c>
      <c r="B616" s="11"/>
      <c r="C616" s="27" t="s">
        <v>18</v>
      </c>
      <c r="D616" s="27" t="s">
        <v>2</v>
      </c>
      <c r="E616" s="27" t="s">
        <v>6</v>
      </c>
      <c r="F616" s="27" t="s">
        <v>15</v>
      </c>
      <c r="G616" s="27" t="s">
        <v>36</v>
      </c>
      <c r="H616" s="27" t="s">
        <v>37</v>
      </c>
      <c r="I616" s="27" t="s">
        <v>38</v>
      </c>
      <c r="J616" s="27" t="s">
        <v>39</v>
      </c>
      <c r="K616" s="27" t="s">
        <v>40</v>
      </c>
      <c r="L616" s="27" t="s">
        <v>41</v>
      </c>
      <c r="M616" s="27" t="s">
        <v>42</v>
      </c>
      <c r="N616" s="27" t="s">
        <v>43</v>
      </c>
      <c r="O616" s="27" t="s">
        <v>9</v>
      </c>
      <c r="P616" s="27" t="s">
        <v>12</v>
      </c>
      <c r="Q616" s="27" t="s">
        <v>19</v>
      </c>
      <c r="R616" s="27" t="s">
        <v>55</v>
      </c>
      <c r="S616" s="27" t="s">
        <v>26</v>
      </c>
      <c r="T616" s="19" t="s">
        <v>25</v>
      </c>
      <c r="U616" s="33" t="s">
        <v>27</v>
      </c>
      <c r="V616" s="33" t="s">
        <v>9</v>
      </c>
      <c r="W616" s="33" t="s">
        <v>23</v>
      </c>
      <c r="X616" s="33" t="s">
        <v>12</v>
      </c>
      <c r="Y616" s="33" t="s">
        <v>26</v>
      </c>
      <c r="Z616" s="33" t="s">
        <v>25</v>
      </c>
      <c r="AA616" s="33" t="s">
        <v>27</v>
      </c>
      <c r="AB616" s="33" t="s">
        <v>9</v>
      </c>
      <c r="AC616" s="33" t="s">
        <v>23</v>
      </c>
      <c r="AD616" s="33" t="s">
        <v>12</v>
      </c>
      <c r="AE616" s="33" t="s">
        <v>26</v>
      </c>
      <c r="AF616" s="33" t="s">
        <v>25</v>
      </c>
      <c r="AG616" s="33" t="s">
        <v>27</v>
      </c>
      <c r="AH616" s="33" t="s">
        <v>9</v>
      </c>
      <c r="AI616" s="33" t="s">
        <v>23</v>
      </c>
      <c r="AJ616" s="33" t="s">
        <v>12</v>
      </c>
      <c r="AK616" s="33" t="s">
        <v>26</v>
      </c>
      <c r="AL616" s="33" t="s">
        <v>25</v>
      </c>
      <c r="AM616" s="33" t="s">
        <v>27</v>
      </c>
      <c r="AN616" s="33" t="s">
        <v>9</v>
      </c>
      <c r="AO616" s="33" t="s">
        <v>23</v>
      </c>
      <c r="AP616" s="33" t="s">
        <v>12</v>
      </c>
      <c r="AQ616" s="33" t="s">
        <v>26</v>
      </c>
      <c r="AR616" s="33" t="s">
        <v>25</v>
      </c>
      <c r="AS616" s="33" t="s">
        <v>27</v>
      </c>
      <c r="AT616" s="33" t="s">
        <v>9</v>
      </c>
      <c r="AU616" s="33" t="s">
        <v>23</v>
      </c>
      <c r="AV616" s="33" t="s">
        <v>12</v>
      </c>
      <c r="AW616" s="33" t="s">
        <v>26</v>
      </c>
      <c r="AX616" s="33" t="s">
        <v>25</v>
      </c>
      <c r="AY616" s="33" t="s">
        <v>27</v>
      </c>
      <c r="AZ616" s="33" t="s">
        <v>9</v>
      </c>
      <c r="BA616" s="33" t="s">
        <v>23</v>
      </c>
      <c r="BB616" s="33" t="s">
        <v>12</v>
      </c>
      <c r="BC616" s="33" t="s">
        <v>26</v>
      </c>
      <c r="BD616" s="33" t="s">
        <v>25</v>
      </c>
      <c r="BE616" s="33" t="s">
        <v>27</v>
      </c>
      <c r="BF616" s="33" t="s">
        <v>9</v>
      </c>
      <c r="BG616" s="33" t="s">
        <v>23</v>
      </c>
      <c r="BH616" s="33" t="s">
        <v>12</v>
      </c>
      <c r="BI616" s="33" t="s">
        <v>26</v>
      </c>
      <c r="BJ616" s="33" t="s">
        <v>25</v>
      </c>
      <c r="BK616" s="33" t="s">
        <v>27</v>
      </c>
      <c r="BL616" s="33" t="s">
        <v>9</v>
      </c>
      <c r="BM616" s="33" t="s">
        <v>23</v>
      </c>
      <c r="BN616" s="33" t="s">
        <v>12</v>
      </c>
      <c r="BO616" s="33" t="s">
        <v>26</v>
      </c>
      <c r="BP616" s="33" t="s">
        <v>25</v>
      </c>
      <c r="BQ616" s="33" t="s">
        <v>27</v>
      </c>
      <c r="BR616" s="33" t="s">
        <v>9</v>
      </c>
      <c r="BS616" s="33" t="s">
        <v>23</v>
      </c>
      <c r="BT616" s="33" t="s">
        <v>12</v>
      </c>
      <c r="BU616" s="33" t="s">
        <v>26</v>
      </c>
      <c r="BV616" s="33" t="s">
        <v>25</v>
      </c>
      <c r="BW616" s="33" t="s">
        <v>27</v>
      </c>
      <c r="BX616" s="33" t="s">
        <v>9</v>
      </c>
      <c r="BY616" s="33" t="s">
        <v>23</v>
      </c>
      <c r="BZ616" s="33" t="s">
        <v>12</v>
      </c>
      <c r="CA616" s="33" t="s">
        <v>26</v>
      </c>
      <c r="CB616" s="33" t="s">
        <v>25</v>
      </c>
      <c r="CC616" s="33" t="s">
        <v>27</v>
      </c>
      <c r="CD616" s="33" t="s">
        <v>9</v>
      </c>
      <c r="CE616" s="33" t="s">
        <v>23</v>
      </c>
      <c r="CF616" s="33" t="s">
        <v>12</v>
      </c>
      <c r="CG616" s="33" t="s">
        <v>26</v>
      </c>
      <c r="CH616" s="33" t="s">
        <v>25</v>
      </c>
      <c r="CI616" s="8"/>
    </row>
    <row r="617" spans="1:87" x14ac:dyDescent="0.2">
      <c r="A617" s="8" t="str">
        <f>IF(AND(COUNTIF(W$3:W$13,A$15)&gt;0,A$15&lt;&gt;B546),A$15,IFERROR(IF(MATCH(A$15,Z$3:Z$13,0)=4,A$15," ")," "))</f>
        <v xml:space="preserve"> </v>
      </c>
      <c r="B617" s="8" t="str">
        <f>IF(A617=" "," ",1)</f>
        <v xml:space="preserve"> </v>
      </c>
      <c r="C617" s="8" t="str">
        <f>IFERROR(INDEX(A617:A638,MATCH(SMALL(B617:B638,1),B617:B638,0),1)," ")</f>
        <v>C3</v>
      </c>
      <c r="D617" s="8">
        <f>IFERROR(VLOOKUP($C617,$A$15:$O$36,2,FALSE)," ")</f>
        <v>2</v>
      </c>
      <c r="E617" s="8">
        <f>IFERROR(VLOOKUP($C617,$A$15:$O$36,3,FALSE)," ")</f>
        <v>5</v>
      </c>
      <c r="F617" s="8">
        <f>IFERROR(VLOOKUP($C617,$A$15:$O$36,4,FALSE)," ")</f>
        <v>6</v>
      </c>
      <c r="G617" s="8">
        <f>IFERROR(VLOOKUP($C617,$A$15:$O$36,5,FALSE)," ")</f>
        <v>0</v>
      </c>
      <c r="H617" s="8">
        <f>IFERROR(VLOOKUP($C617,$A$15:$O$36,6,FALSE)," ")</f>
        <v>0</v>
      </c>
      <c r="I617" s="8">
        <f>IFERROR(VLOOKUP($C617,$A$15:$O$36,7,FALSE)," ")</f>
        <v>0</v>
      </c>
      <c r="J617" s="8">
        <f>IFERROR(VLOOKUP($C617,$A$15:$O$36,8,FALSE)," ")</f>
        <v>0</v>
      </c>
      <c r="K617" s="8">
        <f>IFERROR(VLOOKUP($C617,$A$15:$O$36,9,FALSE)," ")</f>
        <v>0</v>
      </c>
      <c r="L617" s="8">
        <f>IFERROR(VLOOKUP($C617,$A$15:$O$36,10,FALSE)," ")</f>
        <v>0</v>
      </c>
      <c r="M617" s="8">
        <f>IFERROR(VLOOKUP($C617,$A$15:$O$36,11,FALSE)," ")</f>
        <v>0</v>
      </c>
      <c r="N617" s="8">
        <f>IFERROR(VLOOKUP($C617,$A$15:$O$36,12,FALSE)," ")</f>
        <v>0</v>
      </c>
      <c r="O617" s="8">
        <f>IFERROR(VLOOKUP($C617,$A$15:$O$36,15,FALSE)," ")</f>
        <v>2000</v>
      </c>
      <c r="P617" s="8" t="e">
        <f t="array" ref="P617:P627">MMULT(MINVERSE(D617:N627),O617:O627)</f>
        <v>#NUM!</v>
      </c>
      <c r="Q617" s="8" t="e">
        <f t="shared" ref="Q617" si="2487">IF(COUNTIF(P617:P627,"&lt;"&amp;-0.001)=0,IF(ABS(P617)&lt;0.001,0,P617)," ")</f>
        <v>#NUM!</v>
      </c>
      <c r="R617" s="8" t="str">
        <f>IFERROR(VLOOKUP(B546,A$15:L$36,2,FALSE)*Q617+VLOOKUP(B546,A$15:L$36,3,FALSE)*Q618+VLOOKUP(B546,A$15:L$36,4,FALSE)*Q619+VLOOKUP(B546,A$15:L$36,5,FALSE)*Q620+VLOOKUP(B546,A$15:L$36,6,FALSE)*Q621+VLOOKUP(B546,A$15:L$36,7,FALSE)*Q622+VLOOKUP(B546,A$15:L$36,8,FALSE)*Q623+VLOOKUP(B546,A$15:L$36,9,FALSE)*Q624+VLOOKUP(B546,A$15:L$36,10,FALSE)*Q625+VLOOKUP(B546,A$15:L$36,11,FALSE)*Q626+VLOOKUP(B546,A$15:L$36,12,FALSE)*Q627," ")</f>
        <v xml:space="preserve"> </v>
      </c>
      <c r="S617" s="8" t="str">
        <f>IFERROR(IF(R617-VLOOKUP(B546,A$15:O$36,15,FALSE)&lt;0,R617-VLOOKUP(B546,A$15:O$36,15,FALSE)," ")," ")</f>
        <v xml:space="preserve"> </v>
      </c>
      <c r="T617" s="18" t="str">
        <f>IFERROR(IF(R617-VLOOKUP(B546,A$15:O$36,15,FALSE)&gt;0,R617-VLOOKUP(B546,A$15:O$36,15,FALSE)," ")," ")</f>
        <v xml:space="preserve"> </v>
      </c>
      <c r="U617" s="34">
        <f t="shared" ref="U617" si="2488">$M$2</f>
        <v>100.00000000000001</v>
      </c>
      <c r="V617" s="34">
        <v>-1</v>
      </c>
      <c r="W617" s="34">
        <f t="shared" ref="W617" si="2489">-SUMPRODUCT($M$3:$M$12,$N$3:$N$12)</f>
        <v>-105000</v>
      </c>
      <c r="X617" s="34" t="e">
        <f t="shared" ref="X617" si="2490">IF(U617&lt;&gt;U618,MMULT(MINVERSE(U617:V618),W617:W618)," ")</f>
        <v>#NUM!</v>
      </c>
      <c r="Y617" s="34" t="str">
        <f t="shared" ref="Y617" si="2491">IFERROR(IF(X617-VLOOKUP(U$38,$A$2:$N$12,14,FALSE)&lt;0,X617-VLOOKUP(U$38,$A$2:$N$12,14,FALSE)," ")," ")</f>
        <v xml:space="preserve"> </v>
      </c>
      <c r="Z617" s="34" t="str">
        <f t="shared" ref="Z617" si="2492">IFERROR(IF(X617-VLOOKUP(U$38,$A$2:$N$12,14,FALSE)&gt;0,X617-VLOOKUP(U$38,$A$2:$N$12,14,FALSE)," ")," ")</f>
        <v xml:space="preserve"> </v>
      </c>
      <c r="AA617" s="34">
        <f t="shared" ref="AA617" si="2493">$M$3</f>
        <v>0</v>
      </c>
      <c r="AB617" s="34">
        <v>-1</v>
      </c>
      <c r="AC617" s="34">
        <f t="shared" ref="AC617" si="2494">-SUMPRODUCT($M$2:$M$2,$N$2:$N$2)-SUMPRODUCT($M$4:$M$12,$N$4:$N$12)</f>
        <v>-120000</v>
      </c>
      <c r="AD617" s="34" t="e">
        <f t="shared" ref="AD617" si="2495">IF(AA617&lt;&gt;AA618,MMULT(MINVERSE(AA617:AB618),AC617:AC618)," ")</f>
        <v>#NUM!</v>
      </c>
      <c r="AE617" s="34" t="str">
        <f t="shared" ref="AE617" si="2496">IFERROR(IF(AD617-VLOOKUP(AA$38,$A$2:$N$12,14,FALSE)&lt;0,AD617-VLOOKUP(AA$38,$A$2:$N$12,14,FALSE)," ")," ")</f>
        <v xml:space="preserve"> </v>
      </c>
      <c r="AF617" s="34" t="str">
        <f t="shared" ref="AF617" si="2497">IFERROR(IF(AD617-VLOOKUP(AA$38,$A$2:$N$12,14,FALSE)&gt;0,AD617-VLOOKUP(AA$38,$A$2:$N$12,14,FALSE)," ")," ")</f>
        <v xml:space="preserve"> </v>
      </c>
      <c r="AG617" s="34">
        <f t="shared" ref="AG617" si="2498">$M$4</f>
        <v>300</v>
      </c>
      <c r="AH617" s="34">
        <v>-1</v>
      </c>
      <c r="AI617" s="34">
        <f t="shared" ref="AI617" si="2499">-SUMPRODUCT($M$2:$M$3,$N$2:$N$3)-SUMPRODUCT($M$5:$M$12,$N$5:$N$12)</f>
        <v>-15000.000000000002</v>
      </c>
      <c r="AJ617" s="34" t="e">
        <f t="shared" ref="AJ617" si="2500">IF(AG617&lt;&gt;AG618,MMULT(MINVERSE(AG617:AH618),AI617:AI618)," ")</f>
        <v>#NUM!</v>
      </c>
      <c r="AK617" s="34" t="str">
        <f t="shared" ref="AK617" si="2501">IFERROR(IF(AJ617-VLOOKUP(AG$38,$A$2:$N$12,14,FALSE)&lt;0,AJ617-VLOOKUP(AG$38,$A$2:$N$12,14,FALSE)," ")," ")</f>
        <v xml:space="preserve"> </v>
      </c>
      <c r="AL617" s="34" t="str">
        <f t="shared" ref="AL617" si="2502">IFERROR(IF(AJ617-VLOOKUP(AG$38,$A$2:$N$12,14,FALSE)&gt;0,AJ617-VLOOKUP(AG$38,$A$2:$N$12,14,FALSE)," ")," ")</f>
        <v xml:space="preserve"> </v>
      </c>
      <c r="AM617" s="34">
        <f t="shared" ref="AM617" si="2503">$M$5</f>
        <v>0</v>
      </c>
      <c r="AN617" s="34">
        <v>-1</v>
      </c>
      <c r="AO617" s="34">
        <f t="shared" ref="AO617" si="2504">-SUMPRODUCT($M$2:$M$4,$N$2:$N$4)-SUMPRODUCT($M$6:$M$12,$N$6:$N$12)</f>
        <v>-120000</v>
      </c>
      <c r="AP617" s="34" t="e">
        <f t="shared" ref="AP617" si="2505">IF(AM617&lt;&gt;AM618,MMULT(MINVERSE(AM617:AN618),AO617:AO618)," ")</f>
        <v>#NUM!</v>
      </c>
      <c r="AQ617" s="34" t="str">
        <f t="shared" ref="AQ617" si="2506">IFERROR(IF(AP617-VLOOKUP(AM$38,$A$2:$N$12,14,FALSE)&lt;0,AP617-VLOOKUP(AM$38,$A$2:$N$12,14,FALSE)," ")," ")</f>
        <v xml:space="preserve"> </v>
      </c>
      <c r="AR617" s="34" t="str">
        <f t="shared" ref="AR617" si="2507">IFERROR(IF(AP617-VLOOKUP(AM$38,$A$2:$N$12,14,FALSE)&gt;0,AP617-VLOOKUP(AM$38,$A$2:$N$12,14,FALSE)," ")," ")</f>
        <v xml:space="preserve"> </v>
      </c>
      <c r="AS617" s="34">
        <f t="shared" ref="AS617" si="2508">$M$6</f>
        <v>0</v>
      </c>
      <c r="AT617" s="34">
        <v>-1</v>
      </c>
      <c r="AU617" s="34">
        <f t="shared" ref="AU617" si="2509">-SUMPRODUCT($M$2:$M$5,$N$2:$N$5)-SUMPRODUCT($M$7:$M$12,$N$7:$N$12)</f>
        <v>-120000</v>
      </c>
      <c r="AV617" s="34" t="e">
        <f t="shared" ref="AV617" si="2510">IF(AS617&lt;&gt;AS618,MMULT(MINVERSE(AS617:AT618),AU617:AU618)," ")</f>
        <v>#NUM!</v>
      </c>
      <c r="AW617" s="34" t="str">
        <f t="shared" ref="AW617" si="2511">IFERROR(IF(AV617-VLOOKUP(AS$38,$A$2:$N$12,14,FALSE)&lt;0,AV617-VLOOKUP(AS$38,$A$2:$N$12,14,FALSE)," ")," ")</f>
        <v xml:space="preserve"> </v>
      </c>
      <c r="AX617" s="34" t="str">
        <f t="shared" ref="AX617" si="2512">IFERROR(IF(AV617-VLOOKUP(AS$38,$A$2:$N$12,14,FALSE)&gt;0,AV617-VLOOKUP(AS$38,$A$2:$N$12,14,FALSE)," ")," ")</f>
        <v xml:space="preserve"> </v>
      </c>
      <c r="AY617" s="34">
        <f t="shared" ref="AY617" si="2513">$M$7</f>
        <v>0</v>
      </c>
      <c r="AZ617" s="34">
        <v>-1</v>
      </c>
      <c r="BA617" s="34">
        <f t="shared" ref="BA617" si="2514">-SUMPRODUCT($M$2:$M$6,$N$2:$N$6)-SUMPRODUCT($M$8:$M$12,$N$8:$N$12)</f>
        <v>-120000</v>
      </c>
      <c r="BB617" s="34" t="e">
        <f t="shared" ref="BB617" si="2515">IF(AY617&lt;&gt;AY618,MMULT(MINVERSE(AY617:AZ618),BA617:BA618)," ")</f>
        <v>#NUM!</v>
      </c>
      <c r="BC617" s="34" t="str">
        <f t="shared" ref="BC617" si="2516">IFERROR(IF(BB617-VLOOKUP(AY$38,$A$2:$N$12,14,FALSE)&lt;0,BB617-VLOOKUP(AY$38,$A$2:$N$12,14,FALSE)," ")," ")</f>
        <v xml:space="preserve"> </v>
      </c>
      <c r="BD617" s="34" t="str">
        <f t="shared" ref="BD617" si="2517">IFERROR(IF(BB617-VLOOKUP(AY$38,$A$2:$N$12,14,FALSE)&gt;0,BB617-VLOOKUP(AY$38,$A$2:$N$12,14,FALSE)," ")," ")</f>
        <v xml:space="preserve"> </v>
      </c>
      <c r="BE617" s="34">
        <f t="shared" ref="BE617" si="2518">$M$8</f>
        <v>0</v>
      </c>
      <c r="BF617" s="34">
        <v>-1</v>
      </c>
      <c r="BG617" s="34">
        <f t="shared" ref="BG617" si="2519">-SUMPRODUCT($M$2:$M$7,$N$2:$N$7)-SUMPRODUCT($M$9:$M$12,$N$9:$N$12)</f>
        <v>-120000</v>
      </c>
      <c r="BH617" s="34" t="e">
        <f t="shared" ref="BH617" si="2520">IF(BE617&lt;&gt;BE618,MMULT(MINVERSE(BE617:BF618),BG617:BG618)," ")</f>
        <v>#NUM!</v>
      </c>
      <c r="BI617" s="34" t="str">
        <f t="shared" ref="BI617" si="2521">IFERROR(IF(BH617-VLOOKUP(BE$38,$A$2:$N$12,14,FALSE)&lt;0,BH617-VLOOKUP(BE$38,$A$2:$N$12,14,FALSE)," ")," ")</f>
        <v xml:space="preserve"> </v>
      </c>
      <c r="BJ617" s="34" t="str">
        <f t="shared" ref="BJ617" si="2522">IFERROR(IF(BH617-VLOOKUP(BE$38,$A$2:$N$12,14,FALSE)&gt;0,BH617-VLOOKUP(BE$38,$A$2:$N$12,14,FALSE)," ")," ")</f>
        <v xml:space="preserve"> </v>
      </c>
      <c r="BK617" s="34">
        <f t="shared" ref="BK617" si="2523">$M$9</f>
        <v>0</v>
      </c>
      <c r="BL617" s="34">
        <v>-1</v>
      </c>
      <c r="BM617" s="34">
        <f t="shared" ref="BM617" si="2524">-SUMPRODUCT($M$2:$M$8,$N$2:$N$8)-SUMPRODUCT($M$10:$M$12,$N$10:$N$12)</f>
        <v>-120000</v>
      </c>
      <c r="BN617" s="34" t="e">
        <f t="shared" ref="BN617" si="2525">IF(BK617&lt;&gt;BK618,MMULT(MINVERSE(BK617:BL618),BM617:BM618)," ")</f>
        <v>#NUM!</v>
      </c>
      <c r="BO617" s="34" t="str">
        <f t="shared" ref="BO617" si="2526">IFERROR(IF(BN617-VLOOKUP(BK$38,$A$2:$N$12,14,FALSE)&lt;0,BN617-VLOOKUP(BK$38,$A$2:$N$12,14,FALSE)," ")," ")</f>
        <v xml:space="preserve"> </v>
      </c>
      <c r="BP617" s="34" t="str">
        <f t="shared" ref="BP617" si="2527">IFERROR(IF(BN617-VLOOKUP(BK$38,$A$2:$N$12,14,FALSE)&gt;0,BN617-VLOOKUP(BK$38,$A$2:$N$12,14,FALSE)," ")," ")</f>
        <v xml:space="preserve"> </v>
      </c>
      <c r="BQ617" s="34">
        <f t="shared" ref="BQ617" si="2528">$M$10</f>
        <v>0</v>
      </c>
      <c r="BR617" s="34">
        <v>-1</v>
      </c>
      <c r="BS617" s="34">
        <f t="shared" ref="BS617" si="2529">-SUMPRODUCT($M$2:$M$9,$N$2:$N$9)-SUMPRODUCT($M$11:$M$12,$N$11:$N$12)</f>
        <v>-120000</v>
      </c>
      <c r="BT617" s="34" t="e">
        <f t="shared" ref="BT617" si="2530">IF(BQ617&lt;&gt;BQ618,MMULT(MINVERSE(BQ617:BR618),BS617:BS618)," ")</f>
        <v>#NUM!</v>
      </c>
      <c r="BU617" s="34" t="str">
        <f t="shared" ref="BU617" si="2531">IFERROR(IF(BT617-VLOOKUP(BQ$38,$A$2:$N$12,14,FALSE)&lt;0,BT617-VLOOKUP(BQ$38,$A$2:$N$12,14,FALSE)," ")," ")</f>
        <v xml:space="preserve"> </v>
      </c>
      <c r="BV617" s="34" t="str">
        <f t="shared" ref="BV617" si="2532">IFERROR(IF(BT617-VLOOKUP(BQ$38,$A$2:$N$12,14,FALSE)&gt;0,BT617-VLOOKUP(BQ$38,$A$2:$N$12,14,FALSE)," ")," ")</f>
        <v xml:space="preserve"> </v>
      </c>
      <c r="BW617" s="34">
        <f t="shared" ref="BW617" si="2533">$M$11</f>
        <v>0</v>
      </c>
      <c r="BX617" s="34">
        <v>-1</v>
      </c>
      <c r="BY617" s="34">
        <f t="shared" ref="BY617" si="2534">-SUMPRODUCT($M$2:$M$10,$N$2:$N$10)-SUMPRODUCT($M$12,$N$12)</f>
        <v>-120000</v>
      </c>
      <c r="BZ617" s="34" t="e">
        <f t="shared" ref="BZ617" si="2535">IF(BW617&lt;&gt;BW618,MMULT(MINVERSE(BW617:BX618),BY617:BY618)," ")</f>
        <v>#NUM!</v>
      </c>
      <c r="CA617" s="34" t="str">
        <f t="shared" ref="CA617" si="2536">IFERROR(IF(BZ617-VLOOKUP(BW$38,$A$2:$N$12,14,FALSE)&lt;0,BZ617-VLOOKUP(BW$38,$A$2:$N$12,14,FALSE)," ")," ")</f>
        <v xml:space="preserve"> </v>
      </c>
      <c r="CB617" s="34" t="str">
        <f t="shared" ref="CB617" si="2537">IFERROR(IF(BZ617-VLOOKUP(BW$38,$A$2:$N$12,14,FALSE)&gt;0,BZ617-VLOOKUP(BW$38,$A$2:$N$12,14,FALSE)," ")," ")</f>
        <v xml:space="preserve"> </v>
      </c>
      <c r="CC617" s="34">
        <f t="shared" ref="CC617" si="2538">$M$12</f>
        <v>0</v>
      </c>
      <c r="CD617" s="34">
        <v>-1</v>
      </c>
      <c r="CE617" s="34">
        <f t="shared" ref="CE617" si="2539">-SUMPRODUCT($M$2:$M$11,$N$2:$N$11)</f>
        <v>-120000</v>
      </c>
      <c r="CF617" s="34" t="e">
        <f t="shared" ref="CF617" si="2540">IF(CC617&lt;&gt;CC618,MMULT(MINVERSE(CC617:CD618),CE617:CE618)," ")</f>
        <v>#NUM!</v>
      </c>
      <c r="CG617" s="34" t="str">
        <f t="shared" ref="CG617" si="2541">IFERROR(IF(CF617-VLOOKUP(CC$38,$A$2:$N$12,14,FALSE)&lt;0,CF617-VLOOKUP(CC$38,$A$2:$N$12,14,FALSE)," ")," ")</f>
        <v xml:space="preserve"> </v>
      </c>
      <c r="CH617" s="34" t="str">
        <f t="shared" ref="CH617" si="2542">IFERROR(IF(CF617-VLOOKUP(CC$38,$A$2:$N$12,14,FALSE)&gt;0,CF617-VLOOKUP(CC$38,$A$2:$N$12,14,FALSE)," ")," ")</f>
        <v xml:space="preserve"> </v>
      </c>
      <c r="CI617" s="8"/>
    </row>
    <row r="618" spans="1:87" x14ac:dyDescent="0.2">
      <c r="A618" s="8" t="str">
        <f>IF(AND(COUNTIF(W$3:W$13,A$16)&gt;0,A$16&lt;&gt;B546),A$16,IFERROR(IF(MATCH(A$16,Z$3:Z$13,0)=4,A$16," ")," "))</f>
        <v xml:space="preserve"> </v>
      </c>
      <c r="B618" s="8" t="str">
        <f>IF(A618=" "," ",MAX(B617:B617)+1)</f>
        <v xml:space="preserve"> </v>
      </c>
      <c r="C618" s="8" t="str">
        <f>IFERROR(INDEX(A617:A638,MATCH(SMALL(B617:B638,2),B617:B638,0),1)," ")</f>
        <v>C4</v>
      </c>
      <c r="D618" s="8">
        <f t="shared" ref="D618:D627" si="2543">IFERROR(VLOOKUP($C618,$A$15:$O$36,2,FALSE)," ")</f>
        <v>1</v>
      </c>
      <c r="E618" s="8">
        <f t="shared" ref="E618:E627" si="2544">IFERROR(VLOOKUP($C618,$A$15:$O$36,3,FALSE)," ")</f>
        <v>0</v>
      </c>
      <c r="F618" s="8">
        <f t="shared" ref="F618:F627" si="2545">IFERROR(VLOOKUP($C618,$A$15:$O$36,4,FALSE)," ")</f>
        <v>1</v>
      </c>
      <c r="G618" s="8">
        <f t="shared" ref="G618:G627" si="2546">IFERROR(VLOOKUP($C618,$A$15:$O$36,5,FALSE)," ")</f>
        <v>0</v>
      </c>
      <c r="H618" s="8">
        <f t="shared" ref="H618:H627" si="2547">IFERROR(VLOOKUP($C618,$A$15:$O$36,6,FALSE)," ")</f>
        <v>0</v>
      </c>
      <c r="I618" s="8">
        <f t="shared" ref="I618:I627" si="2548">IFERROR(VLOOKUP($C618,$A$15:$O$36,7,FALSE)," ")</f>
        <v>0</v>
      </c>
      <c r="J618" s="8">
        <f t="shared" ref="J618:J627" si="2549">IFERROR(VLOOKUP($C618,$A$15:$O$36,8,FALSE)," ")</f>
        <v>0</v>
      </c>
      <c r="K618" s="8">
        <f t="shared" ref="K618:K627" si="2550">IFERROR(VLOOKUP($C618,$A$15:$O$36,9,FALSE)," ")</f>
        <v>0</v>
      </c>
      <c r="L618" s="8">
        <f t="shared" ref="L618:L627" si="2551">IFERROR(VLOOKUP($C618,$A$15:$O$36,10,FALSE)," ")</f>
        <v>0</v>
      </c>
      <c r="M618" s="8">
        <f t="shared" ref="M618:M627" si="2552">IFERROR(VLOOKUP($C618,$A$15:$O$36,11,FALSE)," ")</f>
        <v>0</v>
      </c>
      <c r="N618" s="8">
        <f t="shared" ref="N618:N627" si="2553">IFERROR(VLOOKUP($C618,$A$15:$O$36,12,FALSE)," ")</f>
        <v>0</v>
      </c>
      <c r="O618" s="8">
        <f t="shared" ref="O618:O627" si="2554">IFERROR(VLOOKUP($C618,$A$15:$O$36,15,FALSE)," ")</f>
        <v>400</v>
      </c>
      <c r="P618" s="8" t="e">
        <v>#NUM!</v>
      </c>
      <c r="Q618" s="8" t="e">
        <f t="shared" ref="Q618" si="2555">IF(COUNTIF(P617:P627,"&lt;"&amp;-0.001)=0,IF(ABS(P618)&lt;0.001,0,P618)," ")</f>
        <v>#NUM!</v>
      </c>
      <c r="R618" s="8"/>
      <c r="S618" s="8"/>
      <c r="U618" s="34" t="e">
        <f t="shared" ref="U618" si="2556">$Q617</f>
        <v>#NUM!</v>
      </c>
      <c r="V618" s="34">
        <v>-1</v>
      </c>
      <c r="W618" s="34" t="e">
        <f t="shared" ref="W618" si="2557">-SUMPRODUCT($Q618:$Q627,$N$3:$N$12)</f>
        <v>#NUM!</v>
      </c>
      <c r="X618" s="34"/>
      <c r="Y618" s="34"/>
      <c r="Z618" s="34"/>
      <c r="AA618" s="34" t="e">
        <f t="shared" ref="AA618" si="2558">$Q618</f>
        <v>#NUM!</v>
      </c>
      <c r="AB618" s="34">
        <v>-1</v>
      </c>
      <c r="AC618" s="34" t="e">
        <f t="shared" ref="AC618" si="2559">-SUMPRODUCT($Q617:$Q617,$N$2:$N$2)-SUMPRODUCT($Q619:$Q627,$N$4:$N$12)</f>
        <v>#NUM!</v>
      </c>
      <c r="AD618" s="34"/>
      <c r="AE618" s="34"/>
      <c r="AF618" s="34"/>
      <c r="AG618" s="34" t="e">
        <f t="shared" ref="AG618" si="2560">$Q619</f>
        <v>#NUM!</v>
      </c>
      <c r="AH618" s="34">
        <v>-1</v>
      </c>
      <c r="AI618" s="34" t="e">
        <f t="shared" ref="AI618" si="2561">-SUMPRODUCT($Q617:$Q618,$N$2:$N$3)-SUMPRODUCT($Q620:$Q627,$N$5:$N$12)</f>
        <v>#NUM!</v>
      </c>
      <c r="AJ618" s="34"/>
      <c r="AK618" s="34"/>
      <c r="AL618" s="34"/>
      <c r="AM618" s="34" t="e">
        <f t="shared" ref="AM618" si="2562">$Q620</f>
        <v>#NUM!</v>
      </c>
      <c r="AN618" s="34">
        <v>-1</v>
      </c>
      <c r="AO618" s="34" t="e">
        <f t="shared" ref="AO618" si="2563">-SUMPRODUCT($Q617:$Q619,$N$2:$N$4)-SUMPRODUCT($Q621:$Q627,$N$6:$N$12)</f>
        <v>#NUM!</v>
      </c>
      <c r="AP618" s="34"/>
      <c r="AQ618" s="34"/>
      <c r="AR618" s="34"/>
      <c r="AS618" s="34" t="e">
        <f t="shared" ref="AS618" si="2564">$Q621</f>
        <v>#NUM!</v>
      </c>
      <c r="AT618" s="34">
        <v>-1</v>
      </c>
      <c r="AU618" s="34" t="e">
        <f t="shared" ref="AU618" si="2565">-SUMPRODUCT($Q617:$Q620,$N$2:$N$5)-SUMPRODUCT($Q622:$Q627,$N$7:$N$12)</f>
        <v>#NUM!</v>
      </c>
      <c r="AV618" s="34"/>
      <c r="AW618" s="34"/>
      <c r="AX618" s="34"/>
      <c r="AY618" s="34" t="e">
        <f t="shared" ref="AY618" si="2566">$Q622</f>
        <v>#NUM!</v>
      </c>
      <c r="AZ618" s="34">
        <v>-1</v>
      </c>
      <c r="BA618" s="34" t="e">
        <f t="shared" ref="BA618" si="2567">-SUMPRODUCT($Q617:$Q621,$N$2:$N$6)-SUMPRODUCT($Q623:$Q627,$N$8:$N$12)</f>
        <v>#NUM!</v>
      </c>
      <c r="BB618" s="34"/>
      <c r="BC618" s="34"/>
      <c r="BD618" s="34"/>
      <c r="BE618" s="34" t="e">
        <f t="shared" ref="BE618" si="2568">$Q623</f>
        <v>#NUM!</v>
      </c>
      <c r="BF618" s="34">
        <v>-1</v>
      </c>
      <c r="BG618" s="34" t="e">
        <f t="shared" ref="BG618" si="2569">-SUMPRODUCT($Q617:$Q622,$N$2:$N$7)-SUMPRODUCT($Q624:$Q627,$N$9:$N$12)</f>
        <v>#NUM!</v>
      </c>
      <c r="BH618" s="34"/>
      <c r="BI618" s="34"/>
      <c r="BJ618" s="34"/>
      <c r="BK618" s="34" t="e">
        <f t="shared" ref="BK618" si="2570">$Q624</f>
        <v>#NUM!</v>
      </c>
      <c r="BL618" s="34">
        <v>-1</v>
      </c>
      <c r="BM618" s="34" t="e">
        <f t="shared" ref="BM618" si="2571">-SUMPRODUCT($Q617:$Q623,$N$2:$N$8)-SUMPRODUCT($Q625:$Q627,$N$10:$N$12)</f>
        <v>#NUM!</v>
      </c>
      <c r="BN618" s="34"/>
      <c r="BO618" s="34"/>
      <c r="BP618" s="34"/>
      <c r="BQ618" s="34" t="e">
        <f t="shared" ref="BQ618" si="2572">$Q625</f>
        <v>#NUM!</v>
      </c>
      <c r="BR618" s="34">
        <v>-1</v>
      </c>
      <c r="BS618" s="34" t="e">
        <f t="shared" ref="BS618" si="2573">-SUMPRODUCT($Q617:$Q624,$N$2:$N$9)-SUMPRODUCT($Q626:$Q627,$N$11:$N$12)</f>
        <v>#NUM!</v>
      </c>
      <c r="BT618" s="34"/>
      <c r="BU618" s="34"/>
      <c r="BV618" s="34"/>
      <c r="BW618" s="34" t="e">
        <f t="shared" ref="BW618" si="2574">$Q626</f>
        <v>#NUM!</v>
      </c>
      <c r="BX618" s="34">
        <v>-1</v>
      </c>
      <c r="BY618" s="34" t="e">
        <f t="shared" ref="BY618" si="2575">-SUMPRODUCT($Q617:$Q625,$N$2:$N$10)-SUMPRODUCT($Q627,$N$12)</f>
        <v>#NUM!</v>
      </c>
      <c r="BZ618" s="34"/>
      <c r="CA618" s="34"/>
      <c r="CB618" s="34"/>
      <c r="CC618" s="34" t="e">
        <f t="shared" ref="CC618" si="2576">$Q627</f>
        <v>#NUM!</v>
      </c>
      <c r="CD618" s="34">
        <v>-1</v>
      </c>
      <c r="CE618" s="34" t="e">
        <f t="shared" ref="CE618" si="2577">-SUMPRODUCT($Q617:$Q626,$N$2:$N$11)</f>
        <v>#NUM!</v>
      </c>
      <c r="CF618" s="34"/>
      <c r="CG618" s="34"/>
      <c r="CH618" s="34"/>
      <c r="CI618" s="8"/>
    </row>
    <row r="619" spans="1:87" x14ac:dyDescent="0.2">
      <c r="A619" s="8" t="str">
        <f>IF(AND(COUNTIF(W$3:W$13,A$17)&gt;0,A$17&lt;&gt;B546),A$17,IFERROR(IF(MATCH(A$17,Z$3:Z$13,0)=4,A$17," ")," "))</f>
        <v>C3</v>
      </c>
      <c r="B619" s="8">
        <f>IF(A619=" "," ",MAX(B617:B618)+1)</f>
        <v>1</v>
      </c>
      <c r="C619" s="8" t="str">
        <f>IFERROR(INDEX(A617:A638,MATCH(SMALL(B617:B638,3),B617:B638,0),1)," ")</f>
        <v>C6</v>
      </c>
      <c r="D619" s="8">
        <f t="shared" si="2543"/>
        <v>0</v>
      </c>
      <c r="E619" s="8">
        <f t="shared" si="2544"/>
        <v>0</v>
      </c>
      <c r="F619" s="8">
        <f t="shared" si="2545"/>
        <v>0</v>
      </c>
      <c r="G619" s="8">
        <f t="shared" si="2546"/>
        <v>0</v>
      </c>
      <c r="H619" s="8">
        <f t="shared" si="2547"/>
        <v>0</v>
      </c>
      <c r="I619" s="8">
        <f t="shared" si="2548"/>
        <v>0</v>
      </c>
      <c r="J619" s="8">
        <f t="shared" si="2549"/>
        <v>0</v>
      </c>
      <c r="K619" s="8">
        <f t="shared" si="2550"/>
        <v>0</v>
      </c>
      <c r="L619" s="8">
        <f t="shared" si="2551"/>
        <v>0</v>
      </c>
      <c r="M619" s="8">
        <f t="shared" si="2552"/>
        <v>0</v>
      </c>
      <c r="N619" s="8">
        <f t="shared" si="2553"/>
        <v>0</v>
      </c>
      <c r="O619" s="8">
        <f t="shared" si="2554"/>
        <v>0</v>
      </c>
      <c r="P619" s="8" t="e">
        <v>#NUM!</v>
      </c>
      <c r="Q619" s="8" t="e">
        <f t="shared" ref="Q619" si="2578">IF(COUNTIF(P617:P627,"&lt;"&amp;-0.001)=0,IF(ABS(P619)&lt;0.001,0,P619)," ")</f>
        <v>#NUM!</v>
      </c>
      <c r="R619" s="8"/>
      <c r="S619" s="8"/>
      <c r="U619" s="34"/>
      <c r="V619" s="34"/>
      <c r="W619" s="34"/>
      <c r="X619" s="34"/>
      <c r="Y619" s="34"/>
      <c r="Z619" s="34"/>
      <c r="AA619" s="34"/>
      <c r="AB619" s="34"/>
      <c r="AC619" s="34"/>
      <c r="AD619" s="34"/>
      <c r="AE619" s="34"/>
      <c r="AF619" s="34"/>
      <c r="AG619" s="34"/>
      <c r="AH619" s="34"/>
      <c r="AI619" s="34"/>
      <c r="AJ619" s="34"/>
      <c r="AK619" s="34"/>
      <c r="AL619" s="34"/>
      <c r="AM619" s="34"/>
      <c r="AN619" s="34"/>
      <c r="AO619" s="34"/>
      <c r="AP619" s="34"/>
      <c r="AQ619" s="34"/>
      <c r="AR619" s="34"/>
      <c r="AS619" s="34"/>
      <c r="AT619" s="34"/>
      <c r="AU619" s="34"/>
      <c r="AV619" s="34"/>
      <c r="AW619" s="34"/>
      <c r="AX619" s="34"/>
      <c r="AY619" s="34"/>
      <c r="AZ619" s="34"/>
      <c r="BA619" s="34"/>
      <c r="BB619" s="34"/>
      <c r="BC619" s="34"/>
      <c r="BD619" s="34"/>
      <c r="BE619" s="34"/>
      <c r="BF619" s="34"/>
      <c r="BG619" s="34"/>
      <c r="BH619" s="34"/>
      <c r="BI619" s="34"/>
      <c r="BJ619" s="34"/>
      <c r="BK619" s="34"/>
      <c r="BL619" s="34"/>
      <c r="BM619" s="34"/>
      <c r="BN619" s="34"/>
      <c r="BO619" s="34"/>
      <c r="BP619" s="34"/>
      <c r="BQ619" s="34"/>
      <c r="BR619" s="34"/>
      <c r="BS619" s="34"/>
      <c r="BT619" s="34"/>
      <c r="BU619" s="34"/>
      <c r="BV619" s="34"/>
      <c r="BW619" s="34"/>
      <c r="BX619" s="34"/>
      <c r="BY619" s="34"/>
      <c r="BZ619" s="34"/>
      <c r="CA619" s="34"/>
      <c r="CB619" s="34"/>
      <c r="CC619" s="34"/>
      <c r="CD619" s="34"/>
      <c r="CE619" s="34"/>
      <c r="CF619" s="34"/>
      <c r="CG619" s="34"/>
      <c r="CH619" s="34"/>
      <c r="CI619" s="8"/>
    </row>
    <row r="620" spans="1:87" x14ac:dyDescent="0.2">
      <c r="A620" s="8" t="str">
        <f>IF(AND(COUNTIF(W$3:W$13,A$18)&gt;0,A$18&lt;&gt;B546),A$18,IFERROR(IF(MATCH(A$18,Z$3:Z$13,0)=4,A$18," ")," "))</f>
        <v>C4</v>
      </c>
      <c r="B620" s="8">
        <f>IF(A620=" "," ",MAX(B617:B619)+1)</f>
        <v>2</v>
      </c>
      <c r="C620" s="8" t="str">
        <f>IFERROR(INDEX(A617:A638,MATCH(SMALL(B617:B638,4),B617:B638,0),1)," ")</f>
        <v>C15</v>
      </c>
      <c r="D620" s="8">
        <f t="shared" si="2543"/>
        <v>0</v>
      </c>
      <c r="E620" s="8">
        <f t="shared" si="2544"/>
        <v>0</v>
      </c>
      <c r="F620" s="8">
        <f t="shared" si="2545"/>
        <v>0</v>
      </c>
      <c r="G620" s="8">
        <f t="shared" si="2546"/>
        <v>1</v>
      </c>
      <c r="H620" s="8">
        <f t="shared" si="2547"/>
        <v>0</v>
      </c>
      <c r="I620" s="8">
        <f t="shared" si="2548"/>
        <v>0</v>
      </c>
      <c r="J620" s="8">
        <f t="shared" si="2549"/>
        <v>0</v>
      </c>
      <c r="K620" s="8">
        <f t="shared" si="2550"/>
        <v>0</v>
      </c>
      <c r="L620" s="8">
        <f t="shared" si="2551"/>
        <v>0</v>
      </c>
      <c r="M620" s="8">
        <f t="shared" si="2552"/>
        <v>0</v>
      </c>
      <c r="N620" s="8">
        <f t="shared" si="2553"/>
        <v>0</v>
      </c>
      <c r="O620" s="8">
        <f t="shared" si="2554"/>
        <v>0</v>
      </c>
      <c r="P620" s="8" t="e">
        <v>#NUM!</v>
      </c>
      <c r="Q620" s="8" t="e">
        <f t="shared" ref="Q620" si="2579">IF(COUNTIF(P617:P627,"&lt;"&amp;-0.001)=0,IF(ABS(P620)&lt;0.001,0,P620)," ")</f>
        <v>#NUM!</v>
      </c>
      <c r="R620" s="8"/>
      <c r="S620" s="8"/>
      <c r="U620" s="34"/>
      <c r="V620" s="34"/>
      <c r="W620" s="34"/>
      <c r="X620" s="34"/>
      <c r="Y620" s="34"/>
      <c r="Z620" s="34"/>
      <c r="AA620" s="34"/>
      <c r="AB620" s="34"/>
      <c r="AC620" s="34"/>
      <c r="AD620" s="34"/>
      <c r="AE620" s="34"/>
      <c r="AF620" s="34"/>
      <c r="AG620" s="34"/>
      <c r="AH620" s="34"/>
      <c r="AI620" s="34"/>
      <c r="AJ620" s="34"/>
      <c r="AK620" s="34"/>
      <c r="AL620" s="34"/>
      <c r="AM620" s="34"/>
      <c r="AN620" s="34"/>
      <c r="AO620" s="34"/>
      <c r="AP620" s="34"/>
      <c r="AQ620" s="34"/>
      <c r="AR620" s="34"/>
      <c r="AS620" s="34"/>
      <c r="AT620" s="34"/>
      <c r="AU620" s="34"/>
      <c r="AV620" s="34"/>
      <c r="AW620" s="34"/>
      <c r="AX620" s="34"/>
      <c r="AY620" s="34"/>
      <c r="AZ620" s="34"/>
      <c r="BA620" s="34"/>
      <c r="BB620" s="34"/>
      <c r="BC620" s="34"/>
      <c r="BD620" s="34"/>
      <c r="BE620" s="34"/>
      <c r="BF620" s="34"/>
      <c r="BG620" s="34"/>
      <c r="BH620" s="34"/>
      <c r="BI620" s="34"/>
      <c r="BJ620" s="34"/>
      <c r="BK620" s="34"/>
      <c r="BL620" s="34"/>
      <c r="BM620" s="34"/>
      <c r="BN620" s="34"/>
      <c r="BO620" s="34"/>
      <c r="BP620" s="34"/>
      <c r="BQ620" s="34"/>
      <c r="BR620" s="34"/>
      <c r="BS620" s="34"/>
      <c r="BT620" s="34"/>
      <c r="BU620" s="34"/>
      <c r="BV620" s="34"/>
      <c r="BW620" s="34"/>
      <c r="BX620" s="34"/>
      <c r="BY620" s="34"/>
      <c r="BZ620" s="34"/>
      <c r="CA620" s="34"/>
      <c r="CB620" s="34"/>
      <c r="CC620" s="34"/>
      <c r="CD620" s="34"/>
      <c r="CE620" s="34"/>
      <c r="CF620" s="34"/>
      <c r="CG620" s="34"/>
      <c r="CH620" s="34"/>
      <c r="CI620" s="8"/>
    </row>
    <row r="621" spans="1:87" x14ac:dyDescent="0.2">
      <c r="A621" s="8" t="str">
        <f>IF(AND(COUNTIF(W$3:W$13,A$19)&gt;0,A$19&lt;&gt;B546),A$19,IFERROR(IF(MATCH(A$19,Z$3:Z$13,0)=4,A$19," ")," "))</f>
        <v xml:space="preserve"> </v>
      </c>
      <c r="B621" s="8" t="str">
        <f>IF(A621=" "," ",MAX(B617:B620)+1)</f>
        <v xml:space="preserve"> </v>
      </c>
      <c r="C621" s="8" t="str">
        <f>IFERROR(INDEX(A617:A638,MATCH(SMALL(B617:B638,5),B617:B638,0),1)," ")</f>
        <v>C16</v>
      </c>
      <c r="D621" s="8">
        <f t="shared" si="2543"/>
        <v>0</v>
      </c>
      <c r="E621" s="8">
        <f t="shared" si="2544"/>
        <v>0</v>
      </c>
      <c r="F621" s="8">
        <f t="shared" si="2545"/>
        <v>0</v>
      </c>
      <c r="G621" s="8">
        <f t="shared" si="2546"/>
        <v>0</v>
      </c>
      <c r="H621" s="8">
        <f t="shared" si="2547"/>
        <v>1</v>
      </c>
      <c r="I621" s="8">
        <f t="shared" si="2548"/>
        <v>0</v>
      </c>
      <c r="J621" s="8">
        <f t="shared" si="2549"/>
        <v>0</v>
      </c>
      <c r="K621" s="8">
        <f t="shared" si="2550"/>
        <v>0</v>
      </c>
      <c r="L621" s="8">
        <f t="shared" si="2551"/>
        <v>0</v>
      </c>
      <c r="M621" s="8">
        <f t="shared" si="2552"/>
        <v>0</v>
      </c>
      <c r="N621" s="8">
        <f t="shared" si="2553"/>
        <v>0</v>
      </c>
      <c r="O621" s="8">
        <f t="shared" si="2554"/>
        <v>0</v>
      </c>
      <c r="P621" s="8" t="e">
        <v>#NUM!</v>
      </c>
      <c r="Q621" s="8" t="e">
        <f t="shared" ref="Q621" si="2580">IF(COUNTIF(P617:P627,"&lt;"&amp;-0.001)=0,IF(ABS(P621)&lt;0.001,0,P621)," ")</f>
        <v>#NUM!</v>
      </c>
      <c r="R621" s="8"/>
      <c r="S621" s="8"/>
      <c r="U621" s="34"/>
      <c r="V621" s="34"/>
      <c r="W621" s="34"/>
      <c r="X621" s="34"/>
      <c r="Y621" s="34"/>
      <c r="Z621" s="34"/>
      <c r="AA621" s="34"/>
      <c r="AB621" s="34"/>
      <c r="AC621" s="34"/>
      <c r="AD621" s="34"/>
      <c r="AE621" s="34"/>
      <c r="AF621" s="34"/>
      <c r="AG621" s="34"/>
      <c r="AH621" s="34"/>
      <c r="AI621" s="34"/>
      <c r="AJ621" s="34"/>
      <c r="AK621" s="34"/>
      <c r="AL621" s="34"/>
      <c r="AM621" s="34"/>
      <c r="AN621" s="34"/>
      <c r="AO621" s="34"/>
      <c r="AP621" s="34"/>
      <c r="AQ621" s="34"/>
      <c r="AR621" s="34"/>
      <c r="AS621" s="34"/>
      <c r="AT621" s="34"/>
      <c r="AU621" s="34"/>
      <c r="AV621" s="34"/>
      <c r="AW621" s="34"/>
      <c r="AX621" s="34"/>
      <c r="AY621" s="34"/>
      <c r="AZ621" s="34"/>
      <c r="BA621" s="34"/>
      <c r="BB621" s="34"/>
      <c r="BC621" s="34"/>
      <c r="BD621" s="34"/>
      <c r="BE621" s="34"/>
      <c r="BF621" s="34"/>
      <c r="BG621" s="34"/>
      <c r="BH621" s="34"/>
      <c r="BI621" s="34"/>
      <c r="BJ621" s="34"/>
      <c r="BK621" s="34"/>
      <c r="BL621" s="34"/>
      <c r="BM621" s="34"/>
      <c r="BN621" s="34"/>
      <c r="BO621" s="34"/>
      <c r="BP621" s="34"/>
      <c r="BQ621" s="34"/>
      <c r="BR621" s="34"/>
      <c r="BS621" s="34"/>
      <c r="BT621" s="34"/>
      <c r="BU621" s="34"/>
      <c r="BV621" s="34"/>
      <c r="BW621" s="34"/>
      <c r="BX621" s="34"/>
      <c r="BY621" s="34"/>
      <c r="BZ621" s="34"/>
      <c r="CA621" s="34"/>
      <c r="CB621" s="34"/>
      <c r="CC621" s="34"/>
      <c r="CD621" s="34"/>
      <c r="CE621" s="34"/>
      <c r="CF621" s="34"/>
      <c r="CG621" s="34"/>
      <c r="CH621" s="34"/>
      <c r="CI621" s="8"/>
    </row>
    <row r="622" spans="1:87" x14ac:dyDescent="0.2">
      <c r="A622" s="8" t="str">
        <f>IF(AND(COUNTIF(W$3:W$13,A$20)&gt;0,A$20&lt;&gt;B546),A$20,IFERROR(IF(MATCH(A$20,Z$3:Z$13,0)=4,A$20," ")," "))</f>
        <v>C6</v>
      </c>
      <c r="B622" s="8">
        <f>IF(A622=" "," ",MAX(B617:B621)+1)</f>
        <v>3</v>
      </c>
      <c r="C622" s="8" t="str">
        <f>IFERROR(INDEX(A617:A638,MATCH(SMALL(B617:B638,6),B617:B638,0),1)," ")</f>
        <v>C17</v>
      </c>
      <c r="D622" s="8">
        <f t="shared" si="2543"/>
        <v>0</v>
      </c>
      <c r="E622" s="8">
        <f t="shared" si="2544"/>
        <v>0</v>
      </c>
      <c r="F622" s="8">
        <f t="shared" si="2545"/>
        <v>0</v>
      </c>
      <c r="G622" s="8">
        <f t="shared" si="2546"/>
        <v>0</v>
      </c>
      <c r="H622" s="8">
        <f t="shared" si="2547"/>
        <v>0</v>
      </c>
      <c r="I622" s="8">
        <f t="shared" si="2548"/>
        <v>1</v>
      </c>
      <c r="J622" s="8">
        <f t="shared" si="2549"/>
        <v>0</v>
      </c>
      <c r="K622" s="8">
        <f t="shared" si="2550"/>
        <v>0</v>
      </c>
      <c r="L622" s="8">
        <f t="shared" si="2551"/>
        <v>0</v>
      </c>
      <c r="M622" s="8">
        <f t="shared" si="2552"/>
        <v>0</v>
      </c>
      <c r="N622" s="8">
        <f t="shared" si="2553"/>
        <v>0</v>
      </c>
      <c r="O622" s="8">
        <f t="shared" si="2554"/>
        <v>0</v>
      </c>
      <c r="P622" s="8" t="e">
        <v>#NUM!</v>
      </c>
      <c r="Q622" s="8" t="e">
        <f t="shared" ref="Q622" si="2581">IF(COUNTIF(P617:P627,"&lt;"&amp;-0.001)=0,IF(ABS(P622)&lt;0.001,0,P622)," ")</f>
        <v>#NUM!</v>
      </c>
      <c r="R622" s="8"/>
      <c r="S622" s="8"/>
      <c r="U622" s="34"/>
      <c r="V622" s="34"/>
      <c r="W622" s="34"/>
      <c r="X622" s="34"/>
      <c r="Y622" s="34"/>
      <c r="Z622" s="34"/>
      <c r="AA622" s="34"/>
      <c r="AB622" s="34"/>
      <c r="AC622" s="34"/>
      <c r="AD622" s="34"/>
      <c r="AE622" s="34"/>
      <c r="AF622" s="34"/>
      <c r="AG622" s="34"/>
      <c r="AH622" s="34"/>
      <c r="AI622" s="34"/>
      <c r="AJ622" s="34"/>
      <c r="AK622" s="34"/>
      <c r="AL622" s="34"/>
      <c r="AM622" s="34"/>
      <c r="AN622" s="34"/>
      <c r="AO622" s="34"/>
      <c r="AP622" s="34"/>
      <c r="AQ622" s="34"/>
      <c r="AR622" s="34"/>
      <c r="AS622" s="34"/>
      <c r="AT622" s="34"/>
      <c r="AU622" s="34"/>
      <c r="AV622" s="34"/>
      <c r="AW622" s="34"/>
      <c r="AX622" s="34"/>
      <c r="AY622" s="34"/>
      <c r="AZ622" s="34"/>
      <c r="BA622" s="34"/>
      <c r="BB622" s="34"/>
      <c r="BC622" s="34"/>
      <c r="BD622" s="34"/>
      <c r="BE622" s="34"/>
      <c r="BF622" s="34"/>
      <c r="BG622" s="34"/>
      <c r="BH622" s="34"/>
      <c r="BI622" s="34"/>
      <c r="BJ622" s="34"/>
      <c r="BK622" s="34"/>
      <c r="BL622" s="34"/>
      <c r="BM622" s="34"/>
      <c r="BN622" s="34"/>
      <c r="BO622" s="34"/>
      <c r="BP622" s="34"/>
      <c r="BQ622" s="34"/>
      <c r="BR622" s="34"/>
      <c r="BS622" s="34"/>
      <c r="BT622" s="34"/>
      <c r="BU622" s="34"/>
      <c r="BV622" s="34"/>
      <c r="BW622" s="34"/>
      <c r="BX622" s="34"/>
      <c r="BY622" s="34"/>
      <c r="BZ622" s="34"/>
      <c r="CA622" s="34"/>
      <c r="CB622" s="34"/>
      <c r="CC622" s="34"/>
      <c r="CD622" s="34"/>
      <c r="CE622" s="34"/>
      <c r="CF622" s="34"/>
      <c r="CG622" s="34"/>
      <c r="CH622" s="34"/>
      <c r="CI622" s="8"/>
    </row>
    <row r="623" spans="1:87" x14ac:dyDescent="0.2">
      <c r="A623" s="8" t="str">
        <f>IF(AND(COUNTIF(W$3:W$13,A$21)&gt;0,A$21&lt;&gt;B546),A$21,IFERROR(IF(MATCH(A$21,Z$3:Z$13,0)=4,A$21," ")," "))</f>
        <v xml:space="preserve"> </v>
      </c>
      <c r="B623" s="8" t="str">
        <f>IF(A623=" "," ",MAX(B617:B622)+1)</f>
        <v xml:space="preserve"> </v>
      </c>
      <c r="C623" s="8" t="str">
        <f>IFERROR(INDEX(A617:A638,MATCH(SMALL(B617:B638,7),B617:B638,0),1)," ")</f>
        <v>C18</v>
      </c>
      <c r="D623" s="8">
        <f t="shared" si="2543"/>
        <v>0</v>
      </c>
      <c r="E623" s="8">
        <f t="shared" si="2544"/>
        <v>0</v>
      </c>
      <c r="F623" s="8">
        <f t="shared" si="2545"/>
        <v>0</v>
      </c>
      <c r="G623" s="8">
        <f t="shared" si="2546"/>
        <v>0</v>
      </c>
      <c r="H623" s="8">
        <f t="shared" si="2547"/>
        <v>0</v>
      </c>
      <c r="I623" s="8">
        <f t="shared" si="2548"/>
        <v>0</v>
      </c>
      <c r="J623" s="8">
        <f t="shared" si="2549"/>
        <v>1</v>
      </c>
      <c r="K623" s="8">
        <f t="shared" si="2550"/>
        <v>0</v>
      </c>
      <c r="L623" s="8">
        <f t="shared" si="2551"/>
        <v>0</v>
      </c>
      <c r="M623" s="8">
        <f t="shared" si="2552"/>
        <v>0</v>
      </c>
      <c r="N623" s="8">
        <f t="shared" si="2553"/>
        <v>0</v>
      </c>
      <c r="O623" s="8">
        <f t="shared" si="2554"/>
        <v>0</v>
      </c>
      <c r="P623" s="8" t="e">
        <v>#NUM!</v>
      </c>
      <c r="Q623" s="8" t="e">
        <f t="shared" ref="Q623" si="2582">IF(COUNTIF(P617:P627,"&lt;"&amp;-0.001)=0,IF(ABS(P623)&lt;0.001,0,P623)," ")</f>
        <v>#NUM!</v>
      </c>
      <c r="R623" s="8"/>
      <c r="S623" s="8"/>
      <c r="U623" s="34"/>
      <c r="V623" s="34"/>
      <c r="W623" s="34"/>
      <c r="X623" s="34"/>
      <c r="Y623" s="34"/>
      <c r="Z623" s="34"/>
      <c r="AA623" s="34"/>
      <c r="AB623" s="34"/>
      <c r="AC623" s="34"/>
      <c r="AD623" s="34"/>
      <c r="AE623" s="34"/>
      <c r="AF623" s="34"/>
      <c r="AG623" s="34"/>
      <c r="AH623" s="34"/>
      <c r="AI623" s="34"/>
      <c r="AJ623" s="34"/>
      <c r="AK623" s="34"/>
      <c r="AL623" s="34"/>
      <c r="AM623" s="34"/>
      <c r="AN623" s="34"/>
      <c r="AO623" s="34"/>
      <c r="AP623" s="34"/>
      <c r="AQ623" s="34"/>
      <c r="AR623" s="34"/>
      <c r="AS623" s="34"/>
      <c r="AT623" s="34"/>
      <c r="AU623" s="34"/>
      <c r="AV623" s="34"/>
      <c r="AW623" s="34"/>
      <c r="AX623" s="34"/>
      <c r="AY623" s="34"/>
      <c r="AZ623" s="34"/>
      <c r="BA623" s="34"/>
      <c r="BB623" s="34"/>
      <c r="BC623" s="34"/>
      <c r="BD623" s="34"/>
      <c r="BE623" s="34"/>
      <c r="BF623" s="34"/>
      <c r="BG623" s="34"/>
      <c r="BH623" s="34"/>
      <c r="BI623" s="34"/>
      <c r="BJ623" s="34"/>
      <c r="BK623" s="34"/>
      <c r="BL623" s="34"/>
      <c r="BM623" s="34"/>
      <c r="BN623" s="34"/>
      <c r="BO623" s="34"/>
      <c r="BP623" s="34"/>
      <c r="BQ623" s="34"/>
      <c r="BR623" s="34"/>
      <c r="BS623" s="34"/>
      <c r="BT623" s="34"/>
      <c r="BU623" s="34"/>
      <c r="BV623" s="34"/>
      <c r="BW623" s="34"/>
      <c r="BX623" s="34"/>
      <c r="BY623" s="34"/>
      <c r="BZ623" s="34"/>
      <c r="CA623" s="34"/>
      <c r="CB623" s="34"/>
      <c r="CC623" s="34"/>
      <c r="CD623" s="34"/>
      <c r="CE623" s="34"/>
      <c r="CF623" s="34"/>
      <c r="CG623" s="34"/>
      <c r="CH623" s="34"/>
      <c r="CI623" s="8"/>
    </row>
    <row r="624" spans="1:87" x14ac:dyDescent="0.2">
      <c r="A624" s="8" t="str">
        <f>IF(AND(COUNTIF(W$3:W$13,A$22)&gt;0,A$22&lt;&gt;B546),A$22,IFERROR(IF(MATCH(A$22,Z$3:Z$13,0)=4,A$22," ")," "))</f>
        <v xml:space="preserve"> </v>
      </c>
      <c r="B624" s="8" t="str">
        <f>IF(A624=" "," ",MAX(B617:B623)+1)</f>
        <v xml:space="preserve"> </v>
      </c>
      <c r="C624" s="8" t="str">
        <f>IFERROR(INDEX(A617:A638,MATCH(SMALL(B617:B638,8),B617:B638,0),1)," ")</f>
        <v>C19</v>
      </c>
      <c r="D624" s="8">
        <f t="shared" si="2543"/>
        <v>0</v>
      </c>
      <c r="E624" s="8">
        <f t="shared" si="2544"/>
        <v>0</v>
      </c>
      <c r="F624" s="8">
        <f t="shared" si="2545"/>
        <v>0</v>
      </c>
      <c r="G624" s="8">
        <f t="shared" si="2546"/>
        <v>0</v>
      </c>
      <c r="H624" s="8">
        <f t="shared" si="2547"/>
        <v>0</v>
      </c>
      <c r="I624" s="8">
        <f t="shared" si="2548"/>
        <v>0</v>
      </c>
      <c r="J624" s="8">
        <f t="shared" si="2549"/>
        <v>0</v>
      </c>
      <c r="K624" s="8">
        <f t="shared" si="2550"/>
        <v>1</v>
      </c>
      <c r="L624" s="8">
        <f t="shared" si="2551"/>
        <v>0</v>
      </c>
      <c r="M624" s="8">
        <f t="shared" si="2552"/>
        <v>0</v>
      </c>
      <c r="N624" s="8">
        <f t="shared" si="2553"/>
        <v>0</v>
      </c>
      <c r="O624" s="8">
        <f t="shared" si="2554"/>
        <v>0</v>
      </c>
      <c r="P624" s="8" t="e">
        <v>#NUM!</v>
      </c>
      <c r="Q624" s="8" t="e">
        <f t="shared" ref="Q624" si="2583">IF(COUNTIF(P617:P627,"&lt;"&amp;-0.001)=0,IF(ABS(P624)&lt;0.001,0,P624)," ")</f>
        <v>#NUM!</v>
      </c>
      <c r="R624" s="8"/>
      <c r="S624" s="8"/>
      <c r="U624" s="34"/>
      <c r="V624" s="34"/>
      <c r="W624" s="34"/>
      <c r="X624" s="34"/>
      <c r="Y624" s="34"/>
      <c r="Z624" s="34"/>
      <c r="AA624" s="34"/>
      <c r="AB624" s="34"/>
      <c r="AC624" s="34"/>
      <c r="AD624" s="34"/>
      <c r="AE624" s="34"/>
      <c r="AF624" s="34"/>
      <c r="AG624" s="34"/>
      <c r="AH624" s="34"/>
      <c r="AI624" s="34"/>
      <c r="AJ624" s="34"/>
      <c r="AK624" s="34"/>
      <c r="AL624" s="34"/>
      <c r="AM624" s="34"/>
      <c r="AN624" s="34"/>
      <c r="AO624" s="34"/>
      <c r="AP624" s="34"/>
      <c r="AQ624" s="34"/>
      <c r="AR624" s="34"/>
      <c r="AS624" s="34"/>
      <c r="AT624" s="34"/>
      <c r="AU624" s="34"/>
      <c r="AV624" s="34"/>
      <c r="AW624" s="34"/>
      <c r="AX624" s="34"/>
      <c r="AY624" s="34"/>
      <c r="AZ624" s="34"/>
      <c r="BA624" s="34"/>
      <c r="BB624" s="34"/>
      <c r="BC624" s="34"/>
      <c r="BD624" s="34"/>
      <c r="BE624" s="34"/>
      <c r="BF624" s="34"/>
      <c r="BG624" s="34"/>
      <c r="BH624" s="34"/>
      <c r="BI624" s="34"/>
      <c r="BJ624" s="34"/>
      <c r="BK624" s="34"/>
      <c r="BL624" s="34"/>
      <c r="BM624" s="34"/>
      <c r="BN624" s="34"/>
      <c r="BO624" s="34"/>
      <c r="BP624" s="34"/>
      <c r="BQ624" s="34"/>
      <c r="BR624" s="34"/>
      <c r="BS624" s="34"/>
      <c r="BT624" s="34"/>
      <c r="BU624" s="34"/>
      <c r="BV624" s="34"/>
      <c r="BW624" s="34"/>
      <c r="BX624" s="34"/>
      <c r="BY624" s="34"/>
      <c r="BZ624" s="34"/>
      <c r="CA624" s="34"/>
      <c r="CB624" s="34"/>
      <c r="CC624" s="34"/>
      <c r="CD624" s="34"/>
      <c r="CE624" s="34"/>
      <c r="CF624" s="34"/>
      <c r="CG624" s="34"/>
      <c r="CH624" s="34"/>
      <c r="CI624" s="8"/>
    </row>
    <row r="625" spans="1:87" x14ac:dyDescent="0.2">
      <c r="A625" s="8" t="str">
        <f>IF(AND(COUNTIF(W$3:W$13,A$23)&gt;0,A$23&lt;&gt;B546),A$23,IFERROR(IF(MATCH(A$23,Z$3:Z$13,0)=4,A$23," ")," "))</f>
        <v xml:space="preserve"> </v>
      </c>
      <c r="B625" s="8" t="str">
        <f>IF(A625=" "," ",MAX(B617:B624)+1)</f>
        <v xml:space="preserve"> </v>
      </c>
      <c r="C625" s="8" t="str">
        <f>IFERROR(INDEX(A617:A638,MATCH(SMALL(B617:B638,9),B617:B638,0),1)," ")</f>
        <v>C20</v>
      </c>
      <c r="D625" s="8">
        <f t="shared" si="2543"/>
        <v>0</v>
      </c>
      <c r="E625" s="8">
        <f t="shared" si="2544"/>
        <v>0</v>
      </c>
      <c r="F625" s="8">
        <f t="shared" si="2545"/>
        <v>0</v>
      </c>
      <c r="G625" s="8">
        <f t="shared" si="2546"/>
        <v>0</v>
      </c>
      <c r="H625" s="8">
        <f t="shared" si="2547"/>
        <v>0</v>
      </c>
      <c r="I625" s="8">
        <f t="shared" si="2548"/>
        <v>0</v>
      </c>
      <c r="J625" s="8">
        <f t="shared" si="2549"/>
        <v>0</v>
      </c>
      <c r="K625" s="8">
        <f t="shared" si="2550"/>
        <v>0</v>
      </c>
      <c r="L625" s="8">
        <f t="shared" si="2551"/>
        <v>1</v>
      </c>
      <c r="M625" s="8">
        <f t="shared" si="2552"/>
        <v>0</v>
      </c>
      <c r="N625" s="8">
        <f t="shared" si="2553"/>
        <v>0</v>
      </c>
      <c r="O625" s="8">
        <f t="shared" si="2554"/>
        <v>0</v>
      </c>
      <c r="P625" s="6" t="e">
        <v>#NUM!</v>
      </c>
      <c r="Q625" s="8" t="e">
        <f t="shared" ref="Q625" si="2584">IF(COUNTIF(P617:P627,"&lt;"&amp;-0.001)=0,IF(ABS(P625)&lt;0.001,0,P625)," ")</f>
        <v>#NUM!</v>
      </c>
      <c r="R625" s="8"/>
      <c r="S625" s="8"/>
      <c r="U625" s="34"/>
      <c r="V625" s="34"/>
      <c r="W625" s="34"/>
      <c r="X625" s="34"/>
      <c r="Y625" s="34"/>
      <c r="Z625" s="34"/>
      <c r="AA625" s="34"/>
      <c r="AB625" s="34"/>
      <c r="AC625" s="34"/>
      <c r="AD625" s="34"/>
      <c r="AE625" s="34"/>
      <c r="AF625" s="34"/>
      <c r="AG625" s="34"/>
      <c r="AH625" s="34"/>
      <c r="AI625" s="34"/>
      <c r="AJ625" s="34"/>
      <c r="AK625" s="34"/>
      <c r="AL625" s="34"/>
      <c r="AM625" s="34"/>
      <c r="AN625" s="34"/>
      <c r="AO625" s="34"/>
      <c r="AP625" s="34"/>
      <c r="AQ625" s="34"/>
      <c r="AR625" s="34"/>
      <c r="AS625" s="34"/>
      <c r="AT625" s="34"/>
      <c r="AU625" s="34"/>
      <c r="AV625" s="34"/>
      <c r="AW625" s="34"/>
      <c r="AX625" s="34"/>
      <c r="AY625" s="34"/>
      <c r="AZ625" s="34"/>
      <c r="BA625" s="34"/>
      <c r="BB625" s="34"/>
      <c r="BC625" s="34"/>
      <c r="BD625" s="34"/>
      <c r="BE625" s="34"/>
      <c r="BF625" s="34"/>
      <c r="BG625" s="34"/>
      <c r="BH625" s="34"/>
      <c r="BI625" s="34"/>
      <c r="BJ625" s="34"/>
      <c r="BK625" s="34"/>
      <c r="BL625" s="34"/>
      <c r="BM625" s="34"/>
      <c r="BN625" s="34"/>
      <c r="BO625" s="34"/>
      <c r="BP625" s="34"/>
      <c r="BQ625" s="34"/>
      <c r="BR625" s="34"/>
      <c r="BS625" s="34"/>
      <c r="BT625" s="34"/>
      <c r="BU625" s="34"/>
      <c r="BV625" s="34"/>
      <c r="BW625" s="34"/>
      <c r="BX625" s="34"/>
      <c r="BY625" s="34"/>
      <c r="BZ625" s="34"/>
      <c r="CA625" s="34"/>
      <c r="CB625" s="34"/>
      <c r="CC625" s="34"/>
      <c r="CD625" s="34"/>
      <c r="CE625" s="34"/>
      <c r="CF625" s="34"/>
      <c r="CG625" s="34"/>
      <c r="CH625" s="34"/>
      <c r="CI625" s="8"/>
    </row>
    <row r="626" spans="1:87" x14ac:dyDescent="0.2">
      <c r="A626" s="8" t="str">
        <f>IF(AND(COUNTIF(W$3:W$13,A$24)&gt;0,A$24&lt;&gt;B546),A$24,IFERROR(IF(MATCH(A$24,Z$3:Z$13,0)=4,A$24," ")," "))</f>
        <v xml:space="preserve"> </v>
      </c>
      <c r="B626" s="8" t="str">
        <f>IF(A626=" "," ",MAX(B617:B625)+1)</f>
        <v xml:space="preserve"> </v>
      </c>
      <c r="C626" s="8" t="str">
        <f>IFERROR(INDEX(A617:A638,MATCH(SMALL(B617:B638,10),B617:B638,0),1)," ")</f>
        <v>C21</v>
      </c>
      <c r="D626" s="8">
        <f t="shared" si="2543"/>
        <v>0</v>
      </c>
      <c r="E626" s="8">
        <f t="shared" si="2544"/>
        <v>0</v>
      </c>
      <c r="F626" s="8">
        <f t="shared" si="2545"/>
        <v>0</v>
      </c>
      <c r="G626" s="8">
        <f t="shared" si="2546"/>
        <v>0</v>
      </c>
      <c r="H626" s="8">
        <f t="shared" si="2547"/>
        <v>0</v>
      </c>
      <c r="I626" s="8">
        <f t="shared" si="2548"/>
        <v>0</v>
      </c>
      <c r="J626" s="8">
        <f t="shared" si="2549"/>
        <v>0</v>
      </c>
      <c r="K626" s="8">
        <f t="shared" si="2550"/>
        <v>0</v>
      </c>
      <c r="L626" s="8">
        <f t="shared" si="2551"/>
        <v>0</v>
      </c>
      <c r="M626" s="8">
        <f t="shared" si="2552"/>
        <v>1</v>
      </c>
      <c r="N626" s="8">
        <f t="shared" si="2553"/>
        <v>0</v>
      </c>
      <c r="O626" s="8">
        <f t="shared" si="2554"/>
        <v>0</v>
      </c>
      <c r="P626" s="8" t="e">
        <v>#NUM!</v>
      </c>
      <c r="Q626" s="8" t="e">
        <f t="shared" ref="Q626" si="2585">IF(COUNTIF(P617:P627,"&lt;"&amp;-0.001)=0,IF(ABS(P626)&lt;0.001,0,P626)," ")</f>
        <v>#NUM!</v>
      </c>
      <c r="R626" s="8"/>
      <c r="S626" s="8"/>
      <c r="U626" s="34"/>
      <c r="V626" s="34"/>
      <c r="W626" s="34"/>
      <c r="X626" s="34"/>
      <c r="Y626" s="34"/>
      <c r="Z626" s="34"/>
      <c r="AA626" s="34"/>
      <c r="AB626" s="34"/>
      <c r="AC626" s="34"/>
      <c r="AD626" s="34"/>
      <c r="AE626" s="34"/>
      <c r="AF626" s="34"/>
      <c r="AG626" s="34"/>
      <c r="AH626" s="34"/>
      <c r="AI626" s="34"/>
      <c r="AJ626" s="34"/>
      <c r="AK626" s="34"/>
      <c r="AL626" s="34"/>
      <c r="AM626" s="34"/>
      <c r="AN626" s="34"/>
      <c r="AO626" s="34"/>
      <c r="AP626" s="34"/>
      <c r="AQ626" s="34"/>
      <c r="AR626" s="34"/>
      <c r="AS626" s="34"/>
      <c r="AT626" s="34"/>
      <c r="AU626" s="34"/>
      <c r="AV626" s="34"/>
      <c r="AW626" s="34"/>
      <c r="AX626" s="34"/>
      <c r="AY626" s="34"/>
      <c r="AZ626" s="34"/>
      <c r="BA626" s="34"/>
      <c r="BB626" s="34"/>
      <c r="BC626" s="34"/>
      <c r="BD626" s="34"/>
      <c r="BE626" s="34"/>
      <c r="BF626" s="34"/>
      <c r="BG626" s="34"/>
      <c r="BH626" s="34"/>
      <c r="BI626" s="34"/>
      <c r="BJ626" s="34"/>
      <c r="BK626" s="34"/>
      <c r="BL626" s="34"/>
      <c r="BM626" s="34"/>
      <c r="BN626" s="34"/>
      <c r="BO626" s="34"/>
      <c r="BP626" s="34"/>
      <c r="BQ626" s="34"/>
      <c r="BR626" s="34"/>
      <c r="BS626" s="34"/>
      <c r="BT626" s="34"/>
      <c r="BU626" s="34"/>
      <c r="BV626" s="34"/>
      <c r="BW626" s="34"/>
      <c r="BX626" s="34"/>
      <c r="BY626" s="34"/>
      <c r="BZ626" s="34"/>
      <c r="CA626" s="34"/>
      <c r="CB626" s="34"/>
      <c r="CC626" s="34"/>
      <c r="CD626" s="34"/>
      <c r="CE626" s="34"/>
      <c r="CF626" s="34"/>
      <c r="CG626" s="34"/>
      <c r="CH626" s="34"/>
      <c r="CI626" s="8"/>
    </row>
    <row r="627" spans="1:87" x14ac:dyDescent="0.2">
      <c r="A627" s="8" t="str">
        <f>IF(AND(COUNTIF(W$3:W$13,A$25)&gt;0,A$25&lt;&gt;B546),A$25,IFERROR(IF(MATCH(A$25,Z$3:Z$13,0)=4,A$25," ")," "))</f>
        <v xml:space="preserve"> </v>
      </c>
      <c r="B627" s="8" t="str">
        <f>IF(A627=" "," ",MAX(B617:B626)+1)</f>
        <v xml:space="preserve"> </v>
      </c>
      <c r="C627" s="8" t="str">
        <f>IFERROR(INDEX(A617:A638,MATCH(SMALL(B617:B638,11),B617:B638,0),1)," ")</f>
        <v>C22</v>
      </c>
      <c r="D627" s="8">
        <f t="shared" si="2543"/>
        <v>0</v>
      </c>
      <c r="E627" s="8">
        <f t="shared" si="2544"/>
        <v>0</v>
      </c>
      <c r="F627" s="8">
        <f t="shared" si="2545"/>
        <v>0</v>
      </c>
      <c r="G627" s="8">
        <f t="shared" si="2546"/>
        <v>0</v>
      </c>
      <c r="H627" s="8">
        <f t="shared" si="2547"/>
        <v>0</v>
      </c>
      <c r="I627" s="8">
        <f t="shared" si="2548"/>
        <v>0</v>
      </c>
      <c r="J627" s="8">
        <f t="shared" si="2549"/>
        <v>0</v>
      </c>
      <c r="K627" s="8">
        <f t="shared" si="2550"/>
        <v>0</v>
      </c>
      <c r="L627" s="8">
        <f t="shared" si="2551"/>
        <v>0</v>
      </c>
      <c r="M627" s="8">
        <f t="shared" si="2552"/>
        <v>0</v>
      </c>
      <c r="N627" s="8">
        <f t="shared" si="2553"/>
        <v>1</v>
      </c>
      <c r="O627" s="8">
        <f t="shared" si="2554"/>
        <v>0</v>
      </c>
      <c r="P627" s="8" t="e">
        <v>#NUM!</v>
      </c>
      <c r="Q627" s="8" t="e">
        <f t="shared" ref="Q627" si="2586">IF(COUNTIF(P617:P627,"&lt;"&amp;-0.001)=0,IF(ABS(P627)&lt;0.001,0,P627)," ")</f>
        <v>#NUM!</v>
      </c>
      <c r="R627" s="8"/>
      <c r="S627" s="8"/>
      <c r="U627" s="34"/>
      <c r="V627" s="34"/>
      <c r="W627" s="34"/>
      <c r="X627" s="34"/>
      <c r="Y627" s="34"/>
      <c r="Z627" s="34"/>
      <c r="AA627" s="34"/>
      <c r="AB627" s="34"/>
      <c r="AC627" s="34"/>
      <c r="AD627" s="34"/>
      <c r="AE627" s="34"/>
      <c r="AF627" s="34"/>
      <c r="AG627" s="34"/>
      <c r="AH627" s="34"/>
      <c r="AI627" s="34"/>
      <c r="AJ627" s="34"/>
      <c r="AK627" s="34"/>
      <c r="AL627" s="34"/>
      <c r="AM627" s="34"/>
      <c r="AN627" s="34"/>
      <c r="AO627" s="34"/>
      <c r="AP627" s="34"/>
      <c r="AQ627" s="34"/>
      <c r="AR627" s="34"/>
      <c r="AS627" s="34"/>
      <c r="AT627" s="34"/>
      <c r="AU627" s="34"/>
      <c r="AV627" s="34"/>
      <c r="AW627" s="34"/>
      <c r="AX627" s="34"/>
      <c r="AY627" s="34"/>
      <c r="AZ627" s="34"/>
      <c r="BA627" s="34"/>
      <c r="BB627" s="34"/>
      <c r="BC627" s="34"/>
      <c r="BD627" s="34"/>
      <c r="BE627" s="34"/>
      <c r="BF627" s="34"/>
      <c r="BG627" s="34"/>
      <c r="BH627" s="34"/>
      <c r="BI627" s="34"/>
      <c r="BJ627" s="34"/>
      <c r="BK627" s="34"/>
      <c r="BL627" s="34"/>
      <c r="BM627" s="34"/>
      <c r="BN627" s="34"/>
      <c r="BO627" s="34"/>
      <c r="BP627" s="34"/>
      <c r="BQ627" s="34"/>
      <c r="BR627" s="34"/>
      <c r="BS627" s="34"/>
      <c r="BT627" s="34"/>
      <c r="BU627" s="34"/>
      <c r="BV627" s="34"/>
      <c r="BW627" s="34"/>
      <c r="BX627" s="34"/>
      <c r="BY627" s="34"/>
      <c r="BZ627" s="34"/>
      <c r="CA627" s="34"/>
      <c r="CB627" s="34"/>
      <c r="CC627" s="34"/>
      <c r="CD627" s="34"/>
      <c r="CE627" s="34"/>
      <c r="CF627" s="34"/>
      <c r="CG627" s="34"/>
      <c r="CH627" s="34"/>
      <c r="CI627" s="8"/>
    </row>
    <row r="628" spans="1:87" x14ac:dyDescent="0.2">
      <c r="A628" s="8" t="str">
        <f>IF(AND(COUNTIF(W$3:W$13,A$26)&gt;0,A$26&lt;&gt;B546),A$26,IFERROR(IF(MATCH(A$26,Z$3:Z$13,0)=4,A$26," ")," "))</f>
        <v xml:space="preserve"> </v>
      </c>
      <c r="B628" s="8" t="str">
        <f>IF(A628=" "," ",MAX(B617:B627)+1)</f>
        <v xml:space="preserve"> </v>
      </c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U628" s="34"/>
      <c r="V628" s="34"/>
      <c r="W628" s="34"/>
      <c r="X628" s="34"/>
      <c r="Y628" s="34"/>
      <c r="Z628" s="34"/>
      <c r="AA628" s="34"/>
      <c r="AB628" s="34"/>
      <c r="AC628" s="34"/>
      <c r="AD628" s="34"/>
      <c r="AE628" s="34"/>
      <c r="AF628" s="34"/>
      <c r="AG628" s="34"/>
      <c r="AH628" s="34"/>
      <c r="AI628" s="34"/>
      <c r="AJ628" s="34"/>
      <c r="AK628" s="34"/>
      <c r="AL628" s="34"/>
      <c r="AM628" s="34"/>
      <c r="AN628" s="34"/>
      <c r="AO628" s="34"/>
      <c r="AP628" s="34"/>
      <c r="AQ628" s="34"/>
      <c r="AR628" s="34"/>
      <c r="AS628" s="34"/>
      <c r="AT628" s="34"/>
      <c r="AU628" s="34"/>
      <c r="AV628" s="34"/>
      <c r="AW628" s="34"/>
      <c r="AX628" s="34"/>
      <c r="AY628" s="34"/>
      <c r="AZ628" s="34"/>
      <c r="BA628" s="34"/>
      <c r="BB628" s="34"/>
      <c r="BC628" s="34"/>
      <c r="BD628" s="34"/>
      <c r="BE628" s="34"/>
      <c r="BF628" s="34"/>
      <c r="BG628" s="34"/>
      <c r="BH628" s="34"/>
      <c r="BI628" s="34"/>
      <c r="BJ628" s="34"/>
      <c r="BK628" s="34"/>
      <c r="BL628" s="34"/>
      <c r="BM628" s="34"/>
      <c r="BN628" s="34"/>
      <c r="BO628" s="34"/>
      <c r="BP628" s="34"/>
      <c r="BQ628" s="34"/>
      <c r="BR628" s="34"/>
      <c r="BS628" s="34"/>
      <c r="BT628" s="34"/>
      <c r="BU628" s="34"/>
      <c r="BV628" s="34"/>
      <c r="BW628" s="34"/>
      <c r="BX628" s="34"/>
      <c r="BY628" s="34"/>
      <c r="BZ628" s="34"/>
      <c r="CA628" s="34"/>
      <c r="CB628" s="34"/>
      <c r="CC628" s="34"/>
      <c r="CD628" s="34"/>
      <c r="CE628" s="34"/>
      <c r="CF628" s="34"/>
      <c r="CG628" s="34"/>
      <c r="CH628" s="34"/>
      <c r="CI628" s="8"/>
    </row>
    <row r="629" spans="1:87" x14ac:dyDescent="0.2">
      <c r="A629" s="8" t="str">
        <f>IF(AND(COUNTIF(W$3:W$13,A$27)&gt;0,A$27&lt;&gt;B546),A$27,IFERROR(IF(MATCH(A$27,Z$3:Z$13,0)=4,A$27," ")," "))</f>
        <v xml:space="preserve"> </v>
      </c>
      <c r="B629" s="8" t="str">
        <f>IF(A629=" "," ",MAX(B617:B628)+1)</f>
        <v xml:space="preserve"> </v>
      </c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U629" s="34"/>
      <c r="V629" s="34"/>
      <c r="W629" s="34"/>
      <c r="X629" s="34"/>
      <c r="Y629" s="34"/>
      <c r="Z629" s="34"/>
      <c r="AA629" s="34"/>
      <c r="AB629" s="34"/>
      <c r="AC629" s="34"/>
      <c r="AD629" s="34"/>
      <c r="AE629" s="34"/>
      <c r="AF629" s="34"/>
      <c r="AG629" s="34"/>
      <c r="AH629" s="34"/>
      <c r="AI629" s="34"/>
      <c r="AJ629" s="34"/>
      <c r="AK629" s="34"/>
      <c r="AL629" s="34"/>
      <c r="AM629" s="34"/>
      <c r="AN629" s="34"/>
      <c r="AO629" s="34"/>
      <c r="AP629" s="34"/>
      <c r="AQ629" s="34"/>
      <c r="AR629" s="34"/>
      <c r="AS629" s="34"/>
      <c r="AT629" s="34"/>
      <c r="AU629" s="34"/>
      <c r="AV629" s="34"/>
      <c r="AW629" s="34"/>
      <c r="AX629" s="34"/>
      <c r="AY629" s="34"/>
      <c r="AZ629" s="34"/>
      <c r="BA629" s="34"/>
      <c r="BB629" s="34"/>
      <c r="BC629" s="34"/>
      <c r="BD629" s="34"/>
      <c r="BE629" s="34"/>
      <c r="BF629" s="34"/>
      <c r="BG629" s="34"/>
      <c r="BH629" s="34"/>
      <c r="BI629" s="34"/>
      <c r="BJ629" s="34"/>
      <c r="BK629" s="34"/>
      <c r="BL629" s="34"/>
      <c r="BM629" s="34"/>
      <c r="BN629" s="34"/>
      <c r="BO629" s="34"/>
      <c r="BP629" s="34"/>
      <c r="BQ629" s="34"/>
      <c r="BR629" s="34"/>
      <c r="BS629" s="34"/>
      <c r="BT629" s="34"/>
      <c r="BU629" s="34"/>
      <c r="BV629" s="34"/>
      <c r="BW629" s="34"/>
      <c r="BX629" s="34"/>
      <c r="BY629" s="34"/>
      <c r="BZ629" s="34"/>
      <c r="CA629" s="34"/>
      <c r="CB629" s="34"/>
      <c r="CC629" s="34"/>
      <c r="CD629" s="34"/>
      <c r="CE629" s="34"/>
      <c r="CF629" s="34"/>
      <c r="CG629" s="34"/>
      <c r="CH629" s="34"/>
      <c r="CI629" s="8"/>
    </row>
    <row r="630" spans="1:87" x14ac:dyDescent="0.2">
      <c r="A630" s="8" t="str">
        <f>IF(AND(COUNTIF(W$3:W$13,A$28)&gt;0,A$28&lt;&gt;B546),A$28,IFERROR(IF(MATCH(A$28,Z$3:Z$13,0)=4,A$28," ")," "))</f>
        <v xml:space="preserve"> </v>
      </c>
      <c r="B630" s="8" t="str">
        <f>IF(A630=" "," ",MAX(B617:B629)+1)</f>
        <v xml:space="preserve"> </v>
      </c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U630" s="34"/>
      <c r="V630" s="34"/>
      <c r="W630" s="34"/>
      <c r="X630" s="34"/>
      <c r="Y630" s="34"/>
      <c r="Z630" s="34"/>
      <c r="AA630" s="34"/>
      <c r="AB630" s="34"/>
      <c r="AC630" s="34"/>
      <c r="AD630" s="34"/>
      <c r="AE630" s="34"/>
      <c r="AF630" s="34"/>
      <c r="AG630" s="34"/>
      <c r="AH630" s="34"/>
      <c r="AI630" s="34"/>
      <c r="AJ630" s="34"/>
      <c r="AK630" s="34"/>
      <c r="AL630" s="34"/>
      <c r="AM630" s="34"/>
      <c r="AN630" s="34"/>
      <c r="AO630" s="34"/>
      <c r="AP630" s="34"/>
      <c r="AQ630" s="34"/>
      <c r="AR630" s="34"/>
      <c r="AS630" s="34"/>
      <c r="AT630" s="34"/>
      <c r="AU630" s="34"/>
      <c r="AV630" s="34"/>
      <c r="AW630" s="34"/>
      <c r="AX630" s="34"/>
      <c r="AY630" s="34"/>
      <c r="AZ630" s="34"/>
      <c r="BA630" s="34"/>
      <c r="BB630" s="34"/>
      <c r="BC630" s="34"/>
      <c r="BD630" s="34"/>
      <c r="BE630" s="34"/>
      <c r="BF630" s="34"/>
      <c r="BG630" s="34"/>
      <c r="BH630" s="34"/>
      <c r="BI630" s="34"/>
      <c r="BJ630" s="34"/>
      <c r="BK630" s="34"/>
      <c r="BL630" s="34"/>
      <c r="BM630" s="34"/>
      <c r="BN630" s="34"/>
      <c r="BO630" s="34"/>
      <c r="BP630" s="34"/>
      <c r="BQ630" s="34"/>
      <c r="BR630" s="34"/>
      <c r="BS630" s="34"/>
      <c r="BT630" s="34"/>
      <c r="BU630" s="34"/>
      <c r="BV630" s="34"/>
      <c r="BW630" s="34"/>
      <c r="BX630" s="34"/>
      <c r="BY630" s="34"/>
      <c r="BZ630" s="34"/>
      <c r="CA630" s="34"/>
      <c r="CB630" s="34"/>
      <c r="CC630" s="34"/>
      <c r="CD630" s="34"/>
      <c r="CE630" s="34"/>
      <c r="CF630" s="34"/>
      <c r="CG630" s="34"/>
      <c r="CH630" s="34"/>
      <c r="CI630" s="8"/>
    </row>
    <row r="631" spans="1:87" x14ac:dyDescent="0.2">
      <c r="A631" s="8" t="str">
        <f>IF(AND(COUNTIF(W$3:W$13,A$29)&gt;0,A$29&lt;&gt;B546),A$29,IFERROR(IF(MATCH(A$29,Z$3:Z$13,0)=4,A$29," ")," "))</f>
        <v>C15</v>
      </c>
      <c r="B631" s="8">
        <f>IF(A631=" "," ",MAX(B617:B630)+1)</f>
        <v>4</v>
      </c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U631" s="34"/>
      <c r="V631" s="34"/>
      <c r="W631" s="34"/>
      <c r="X631" s="34"/>
      <c r="Y631" s="34"/>
      <c r="Z631" s="34"/>
      <c r="AA631" s="34"/>
      <c r="AB631" s="34"/>
      <c r="AC631" s="34"/>
      <c r="AD631" s="34"/>
      <c r="AE631" s="34"/>
      <c r="AF631" s="34"/>
      <c r="AG631" s="34"/>
      <c r="AH631" s="34"/>
      <c r="AI631" s="34"/>
      <c r="AJ631" s="34"/>
      <c r="AK631" s="34"/>
      <c r="AL631" s="34"/>
      <c r="AM631" s="34"/>
      <c r="AN631" s="34"/>
      <c r="AO631" s="34"/>
      <c r="AP631" s="34"/>
      <c r="AQ631" s="34"/>
      <c r="AR631" s="34"/>
      <c r="AS631" s="34"/>
      <c r="AT631" s="34"/>
      <c r="AU631" s="34"/>
      <c r="AV631" s="34"/>
      <c r="AW631" s="34"/>
      <c r="AX631" s="34"/>
      <c r="AY631" s="34"/>
      <c r="AZ631" s="34"/>
      <c r="BA631" s="34"/>
      <c r="BB631" s="34"/>
      <c r="BC631" s="34"/>
      <c r="BD631" s="34"/>
      <c r="BE631" s="34"/>
      <c r="BF631" s="34"/>
      <c r="BG631" s="34"/>
      <c r="BH631" s="34"/>
      <c r="BI631" s="34"/>
      <c r="BJ631" s="34"/>
      <c r="BK631" s="34"/>
      <c r="BL631" s="34"/>
      <c r="BM631" s="34"/>
      <c r="BN631" s="34"/>
      <c r="BO631" s="34"/>
      <c r="BP631" s="34"/>
      <c r="BQ631" s="34"/>
      <c r="BR631" s="34"/>
      <c r="BS631" s="34"/>
      <c r="BT631" s="34"/>
      <c r="BU631" s="34"/>
      <c r="BV631" s="34"/>
      <c r="BW631" s="34"/>
      <c r="BX631" s="34"/>
      <c r="BY631" s="34"/>
      <c r="BZ631" s="34"/>
      <c r="CA631" s="34"/>
      <c r="CB631" s="34"/>
      <c r="CC631" s="34"/>
      <c r="CD631" s="34"/>
      <c r="CE631" s="34"/>
      <c r="CF631" s="34"/>
      <c r="CG631" s="34"/>
      <c r="CH631" s="34"/>
      <c r="CI631" s="8"/>
    </row>
    <row r="632" spans="1:87" x14ac:dyDescent="0.2">
      <c r="A632" s="8" t="str">
        <f>IF(AND(COUNTIF(W$3:W$13,A$30)&gt;0,A$30&lt;&gt;B546),A$30,IFERROR(IF(MATCH(A$30,Z$3:Z$13,0)=4,A$30," ")," "))</f>
        <v>C16</v>
      </c>
      <c r="B632" s="8">
        <f>IF(A632=" "," ",MAX(B617:B631)+1)</f>
        <v>5</v>
      </c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U632" s="34"/>
      <c r="V632" s="34"/>
      <c r="W632" s="34"/>
      <c r="X632" s="34"/>
      <c r="Y632" s="34"/>
      <c r="Z632" s="34"/>
      <c r="AA632" s="34"/>
      <c r="AB632" s="34"/>
      <c r="AC632" s="34"/>
      <c r="AD632" s="34"/>
      <c r="AE632" s="34"/>
      <c r="AF632" s="34"/>
      <c r="AG632" s="34"/>
      <c r="AH632" s="34"/>
      <c r="AI632" s="34"/>
      <c r="AJ632" s="34"/>
      <c r="AK632" s="34"/>
      <c r="AL632" s="34"/>
      <c r="AM632" s="34"/>
      <c r="AN632" s="34"/>
      <c r="AO632" s="34"/>
      <c r="AP632" s="34"/>
      <c r="AQ632" s="34"/>
      <c r="AR632" s="34"/>
      <c r="AS632" s="34"/>
      <c r="AT632" s="34"/>
      <c r="AU632" s="34"/>
      <c r="AV632" s="34"/>
      <c r="AW632" s="34"/>
      <c r="AX632" s="34"/>
      <c r="AY632" s="34"/>
      <c r="AZ632" s="34"/>
      <c r="BA632" s="34"/>
      <c r="BB632" s="34"/>
      <c r="BC632" s="34"/>
      <c r="BD632" s="34"/>
      <c r="BE632" s="34"/>
      <c r="BF632" s="34"/>
      <c r="BG632" s="34"/>
      <c r="BH632" s="34"/>
      <c r="BI632" s="34"/>
      <c r="BJ632" s="34"/>
      <c r="BK632" s="34"/>
      <c r="BL632" s="34"/>
      <c r="BM632" s="34"/>
      <c r="BN632" s="34"/>
      <c r="BO632" s="34"/>
      <c r="BP632" s="34"/>
      <c r="BQ632" s="34"/>
      <c r="BR632" s="34"/>
      <c r="BS632" s="34"/>
      <c r="BT632" s="34"/>
      <c r="BU632" s="34"/>
      <c r="BV632" s="34"/>
      <c r="BW632" s="34"/>
      <c r="BX632" s="34"/>
      <c r="BY632" s="34"/>
      <c r="BZ632" s="34"/>
      <c r="CA632" s="34"/>
      <c r="CB632" s="34"/>
      <c r="CC632" s="34"/>
      <c r="CD632" s="34"/>
      <c r="CE632" s="34"/>
      <c r="CF632" s="34"/>
      <c r="CG632" s="34"/>
      <c r="CH632" s="34"/>
      <c r="CI632" s="8"/>
    </row>
    <row r="633" spans="1:87" x14ac:dyDescent="0.2">
      <c r="A633" s="8" t="str">
        <f>IF(AND(COUNTIF(W$3:W$13,A$31)&gt;0,A$31&lt;&gt;B546),A$31,IFERROR(IF(MATCH(A$31,Z$3:Z$13,0)=4,A$31," ")," "))</f>
        <v>C17</v>
      </c>
      <c r="B633" s="8">
        <f>IF(A633=" "," ",MAX(B617:B632)+1)</f>
        <v>6</v>
      </c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U633" s="34"/>
      <c r="V633" s="34"/>
      <c r="W633" s="34"/>
      <c r="X633" s="34"/>
      <c r="Y633" s="34"/>
      <c r="Z633" s="34"/>
      <c r="AA633" s="34"/>
      <c r="AB633" s="34"/>
      <c r="AC633" s="34"/>
      <c r="AD633" s="34"/>
      <c r="AE633" s="34"/>
      <c r="AF633" s="34"/>
      <c r="AG633" s="34"/>
      <c r="AH633" s="34"/>
      <c r="AI633" s="34"/>
      <c r="AJ633" s="34"/>
      <c r="AK633" s="34"/>
      <c r="AL633" s="34"/>
      <c r="AM633" s="34"/>
      <c r="AN633" s="34"/>
      <c r="AO633" s="34"/>
      <c r="AP633" s="34"/>
      <c r="AQ633" s="34"/>
      <c r="AR633" s="34"/>
      <c r="AS633" s="34"/>
      <c r="AT633" s="34"/>
      <c r="AU633" s="34"/>
      <c r="AV633" s="34"/>
      <c r="AW633" s="34"/>
      <c r="AX633" s="34"/>
      <c r="AY633" s="34"/>
      <c r="AZ633" s="34"/>
      <c r="BA633" s="34"/>
      <c r="BB633" s="34"/>
      <c r="BC633" s="34"/>
      <c r="BD633" s="34"/>
      <c r="BE633" s="34"/>
      <c r="BF633" s="34"/>
      <c r="BG633" s="34"/>
      <c r="BH633" s="34"/>
      <c r="BI633" s="34"/>
      <c r="BJ633" s="34"/>
      <c r="BK633" s="34"/>
      <c r="BL633" s="34"/>
      <c r="BM633" s="34"/>
      <c r="BN633" s="34"/>
      <c r="BO633" s="34"/>
      <c r="BP633" s="34"/>
      <c r="BQ633" s="34"/>
      <c r="BR633" s="34"/>
      <c r="BS633" s="34"/>
      <c r="BT633" s="34"/>
      <c r="BU633" s="34"/>
      <c r="BV633" s="34"/>
      <c r="BW633" s="34"/>
      <c r="BX633" s="34"/>
      <c r="BY633" s="34"/>
      <c r="BZ633" s="34"/>
      <c r="CA633" s="34"/>
      <c r="CB633" s="34"/>
      <c r="CC633" s="34"/>
      <c r="CD633" s="34"/>
      <c r="CE633" s="34"/>
      <c r="CF633" s="34"/>
      <c r="CG633" s="34"/>
      <c r="CH633" s="34"/>
      <c r="CI633" s="8"/>
    </row>
    <row r="634" spans="1:87" x14ac:dyDescent="0.2">
      <c r="A634" s="8" t="str">
        <f>IF(AND(COUNTIF(W$3:W$13,A$32)&gt;0,A$32&lt;&gt;B546),A$32,IFERROR(IF(MATCH(A$32,Z$3:Z$13,0)=4,A$32," ")," "))</f>
        <v>C18</v>
      </c>
      <c r="B634" s="8">
        <f>IF(A634=" "," ",MAX(B617:B633)+1)</f>
        <v>7</v>
      </c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U634" s="34"/>
      <c r="V634" s="34"/>
      <c r="W634" s="34"/>
      <c r="X634" s="34"/>
      <c r="Y634" s="34"/>
      <c r="Z634" s="34"/>
      <c r="AA634" s="34"/>
      <c r="AB634" s="34"/>
      <c r="AC634" s="34"/>
      <c r="AD634" s="34"/>
      <c r="AE634" s="34"/>
      <c r="AF634" s="34"/>
      <c r="AG634" s="34"/>
      <c r="AH634" s="34"/>
      <c r="AI634" s="34"/>
      <c r="AJ634" s="34"/>
      <c r="AK634" s="34"/>
      <c r="AL634" s="34"/>
      <c r="AM634" s="34"/>
      <c r="AN634" s="34"/>
      <c r="AO634" s="34"/>
      <c r="AP634" s="34"/>
      <c r="AQ634" s="34"/>
      <c r="AR634" s="34"/>
      <c r="AS634" s="34"/>
      <c r="AT634" s="34"/>
      <c r="AU634" s="34"/>
      <c r="AV634" s="34"/>
      <c r="AW634" s="34"/>
      <c r="AX634" s="34"/>
      <c r="AY634" s="34"/>
      <c r="AZ634" s="34"/>
      <c r="BA634" s="34"/>
      <c r="BB634" s="34"/>
      <c r="BC634" s="34"/>
      <c r="BD634" s="34"/>
      <c r="BE634" s="34"/>
      <c r="BF634" s="34"/>
      <c r="BG634" s="34"/>
      <c r="BH634" s="34"/>
      <c r="BI634" s="34"/>
      <c r="BJ634" s="34"/>
      <c r="BK634" s="34"/>
      <c r="BL634" s="34"/>
      <c r="BM634" s="34"/>
      <c r="BN634" s="34"/>
      <c r="BO634" s="34"/>
      <c r="BP634" s="34"/>
      <c r="BQ634" s="34"/>
      <c r="BR634" s="34"/>
      <c r="BS634" s="34"/>
      <c r="BT634" s="34"/>
      <c r="BU634" s="34"/>
      <c r="BV634" s="34"/>
      <c r="BW634" s="34"/>
      <c r="BX634" s="34"/>
      <c r="BY634" s="34"/>
      <c r="BZ634" s="34"/>
      <c r="CA634" s="34"/>
      <c r="CB634" s="34"/>
      <c r="CC634" s="34"/>
      <c r="CD634" s="34"/>
      <c r="CE634" s="34"/>
      <c r="CF634" s="34"/>
      <c r="CG634" s="34"/>
      <c r="CH634" s="34"/>
      <c r="CI634" s="8"/>
    </row>
    <row r="635" spans="1:87" x14ac:dyDescent="0.2">
      <c r="A635" s="8" t="str">
        <f>IF(AND(COUNTIF(W$3:W$13,A$33)&gt;0,A$33&lt;&gt;B546),A$33,IFERROR(IF(MATCH(A$33,Z$3:Z$13,0)=4,A$33," ")," "))</f>
        <v>C19</v>
      </c>
      <c r="B635" s="8">
        <f>IF(A635=" "," ",MAX(B617:B634)+1)</f>
        <v>8</v>
      </c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U635" s="34"/>
      <c r="V635" s="34"/>
      <c r="W635" s="34"/>
      <c r="X635" s="34"/>
      <c r="Y635" s="34"/>
      <c r="Z635" s="34"/>
      <c r="AA635" s="34"/>
      <c r="AB635" s="34"/>
      <c r="AC635" s="34"/>
      <c r="AD635" s="34"/>
      <c r="AE635" s="34"/>
      <c r="AF635" s="34"/>
      <c r="AG635" s="34"/>
      <c r="AH635" s="34"/>
      <c r="AI635" s="34"/>
      <c r="AJ635" s="34"/>
      <c r="AK635" s="34"/>
      <c r="AL635" s="34"/>
      <c r="AM635" s="34"/>
      <c r="AN635" s="34"/>
      <c r="AO635" s="34"/>
      <c r="AP635" s="34"/>
      <c r="AQ635" s="34"/>
      <c r="AR635" s="34"/>
      <c r="AS635" s="34"/>
      <c r="AT635" s="34"/>
      <c r="AU635" s="34"/>
      <c r="AV635" s="34"/>
      <c r="AW635" s="34"/>
      <c r="AX635" s="34"/>
      <c r="AY635" s="34"/>
      <c r="AZ635" s="34"/>
      <c r="BA635" s="34"/>
      <c r="BB635" s="34"/>
      <c r="BC635" s="34"/>
      <c r="BD635" s="34"/>
      <c r="BE635" s="34"/>
      <c r="BF635" s="34"/>
      <c r="BG635" s="34"/>
      <c r="BH635" s="34"/>
      <c r="BI635" s="34"/>
      <c r="BJ635" s="34"/>
      <c r="BK635" s="34"/>
      <c r="BL635" s="34"/>
      <c r="BM635" s="34"/>
      <c r="BN635" s="34"/>
      <c r="BO635" s="34"/>
      <c r="BP635" s="34"/>
      <c r="BQ635" s="34"/>
      <c r="BR635" s="34"/>
      <c r="BS635" s="34"/>
      <c r="BT635" s="34"/>
      <c r="BU635" s="34"/>
      <c r="BV635" s="34"/>
      <c r="BW635" s="34"/>
      <c r="BX635" s="34"/>
      <c r="BY635" s="34"/>
      <c r="BZ635" s="34"/>
      <c r="CA635" s="34"/>
      <c r="CB635" s="34"/>
      <c r="CC635" s="34"/>
      <c r="CD635" s="34"/>
      <c r="CE635" s="34"/>
      <c r="CF635" s="34"/>
      <c r="CG635" s="34"/>
      <c r="CH635" s="34"/>
      <c r="CI635" s="8"/>
    </row>
    <row r="636" spans="1:87" x14ac:dyDescent="0.2">
      <c r="A636" s="8" t="str">
        <f>IF(AND(COUNTIF(W$3:W$13,A$34)&gt;0,A$34&lt;&gt;B546),A$34,IFERROR(IF(MATCH(A$34,Z$3:Z$13,0)=4,A$34," ")," "))</f>
        <v>C20</v>
      </c>
      <c r="B636" s="8">
        <f>IF(A636=" "," ",MAX(B617:B635)+1)</f>
        <v>9</v>
      </c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U636" s="34"/>
      <c r="V636" s="34"/>
      <c r="W636" s="34"/>
      <c r="X636" s="34"/>
      <c r="Y636" s="34"/>
      <c r="Z636" s="34"/>
      <c r="AA636" s="34"/>
      <c r="AB636" s="34"/>
      <c r="AC636" s="34"/>
      <c r="AD636" s="34"/>
      <c r="AE636" s="34"/>
      <c r="AF636" s="34"/>
      <c r="AG636" s="34"/>
      <c r="AH636" s="34"/>
      <c r="AI636" s="34"/>
      <c r="AJ636" s="34"/>
      <c r="AK636" s="34"/>
      <c r="AL636" s="34"/>
      <c r="AM636" s="34"/>
      <c r="AN636" s="34"/>
      <c r="AO636" s="34"/>
      <c r="AP636" s="34"/>
      <c r="AQ636" s="34"/>
      <c r="AR636" s="34"/>
      <c r="AS636" s="34"/>
      <c r="AT636" s="34"/>
      <c r="AU636" s="34"/>
      <c r="AV636" s="34"/>
      <c r="AW636" s="34"/>
      <c r="AX636" s="34"/>
      <c r="AY636" s="34"/>
      <c r="AZ636" s="34"/>
      <c r="BA636" s="34"/>
      <c r="BB636" s="34"/>
      <c r="BC636" s="34"/>
      <c r="BD636" s="34"/>
      <c r="BE636" s="34"/>
      <c r="BF636" s="34"/>
      <c r="BG636" s="34"/>
      <c r="BH636" s="34"/>
      <c r="BI636" s="34"/>
      <c r="BJ636" s="34"/>
      <c r="BK636" s="34"/>
      <c r="BL636" s="34"/>
      <c r="BM636" s="34"/>
      <c r="BN636" s="34"/>
      <c r="BO636" s="34"/>
      <c r="BP636" s="34"/>
      <c r="BQ636" s="34"/>
      <c r="BR636" s="34"/>
      <c r="BS636" s="34"/>
      <c r="BT636" s="34"/>
      <c r="BU636" s="34"/>
      <c r="BV636" s="34"/>
      <c r="BW636" s="34"/>
      <c r="BX636" s="34"/>
      <c r="BY636" s="34"/>
      <c r="BZ636" s="34"/>
      <c r="CA636" s="34"/>
      <c r="CB636" s="34"/>
      <c r="CC636" s="34"/>
      <c r="CD636" s="34"/>
      <c r="CE636" s="34"/>
      <c r="CF636" s="34"/>
      <c r="CG636" s="34"/>
      <c r="CH636" s="34"/>
      <c r="CI636" s="8"/>
    </row>
    <row r="637" spans="1:87" x14ac:dyDescent="0.2">
      <c r="A637" s="8" t="str">
        <f>IF(AND(COUNTIF(W$3:W$13,A$35)&gt;0,A$35&lt;&gt;B546),A$35,IFERROR(IF(MATCH(A$35,Z$3:Z$13,0)=4,A$35," ")," "))</f>
        <v>C21</v>
      </c>
      <c r="B637" s="8">
        <f>IF(A637=" "," ",MAX(B617:B636)+1)</f>
        <v>10</v>
      </c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U637" s="34"/>
      <c r="V637" s="34"/>
      <c r="W637" s="34"/>
      <c r="X637" s="34"/>
      <c r="Y637" s="34"/>
      <c r="Z637" s="34"/>
      <c r="AA637" s="34"/>
      <c r="AB637" s="34"/>
      <c r="AC637" s="34"/>
      <c r="AD637" s="34"/>
      <c r="AE637" s="34"/>
      <c r="AF637" s="34"/>
      <c r="AG637" s="34"/>
      <c r="AH637" s="34"/>
      <c r="AI637" s="34"/>
      <c r="AJ637" s="34"/>
      <c r="AK637" s="34"/>
      <c r="AL637" s="34"/>
      <c r="AM637" s="34"/>
      <c r="AN637" s="34"/>
      <c r="AO637" s="34"/>
      <c r="AP637" s="34"/>
      <c r="AQ637" s="34"/>
      <c r="AR637" s="34"/>
      <c r="AS637" s="34"/>
      <c r="AT637" s="34"/>
      <c r="AU637" s="34"/>
      <c r="AV637" s="34"/>
      <c r="AW637" s="34"/>
      <c r="AX637" s="34"/>
      <c r="AY637" s="34"/>
      <c r="AZ637" s="34"/>
      <c r="BA637" s="34"/>
      <c r="BB637" s="34"/>
      <c r="BC637" s="34"/>
      <c r="BD637" s="34"/>
      <c r="BE637" s="34"/>
      <c r="BF637" s="34"/>
      <c r="BG637" s="34"/>
      <c r="BH637" s="34"/>
      <c r="BI637" s="34"/>
      <c r="BJ637" s="34"/>
      <c r="BK637" s="34"/>
      <c r="BL637" s="34"/>
      <c r="BM637" s="34"/>
      <c r="BN637" s="34"/>
      <c r="BO637" s="34"/>
      <c r="BP637" s="34"/>
      <c r="BQ637" s="34"/>
      <c r="BR637" s="34"/>
      <c r="BS637" s="34"/>
      <c r="BT637" s="34"/>
      <c r="BU637" s="34"/>
      <c r="BV637" s="34"/>
      <c r="BW637" s="34"/>
      <c r="BX637" s="34"/>
      <c r="BY637" s="34"/>
      <c r="BZ637" s="34"/>
      <c r="CA637" s="34"/>
      <c r="CB637" s="34"/>
      <c r="CC637" s="34"/>
      <c r="CD637" s="34"/>
      <c r="CE637" s="34"/>
      <c r="CF637" s="34"/>
      <c r="CG637" s="34"/>
      <c r="CH637" s="34"/>
      <c r="CI637" s="8"/>
    </row>
    <row r="638" spans="1:87" x14ac:dyDescent="0.2">
      <c r="A638" s="8" t="str">
        <f>IF(AND(COUNTIF(W$3:W$13,A$36)&gt;0,A$36&lt;&gt;B546),A$36,IFERROR(IF(MATCH(A$36,Z$3:Z$13,0)=4,A$36," ")," "))</f>
        <v>C22</v>
      </c>
      <c r="B638" s="8">
        <f>IF(A638=" "," ",MAX(B617:B637)+1)</f>
        <v>11</v>
      </c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U638" s="34"/>
      <c r="V638" s="34"/>
      <c r="W638" s="34"/>
      <c r="X638" s="34"/>
      <c r="Y638" s="34"/>
      <c r="Z638" s="34"/>
      <c r="AA638" s="34"/>
      <c r="AB638" s="34"/>
      <c r="AC638" s="34"/>
      <c r="AD638" s="34"/>
      <c r="AE638" s="34"/>
      <c r="AF638" s="34"/>
      <c r="AG638" s="34"/>
      <c r="AH638" s="34"/>
      <c r="AI638" s="34"/>
      <c r="AJ638" s="34"/>
      <c r="AK638" s="34"/>
      <c r="AL638" s="34"/>
      <c r="AM638" s="34"/>
      <c r="AN638" s="34"/>
      <c r="AO638" s="34"/>
      <c r="AP638" s="34"/>
      <c r="AQ638" s="34"/>
      <c r="AR638" s="34"/>
      <c r="AS638" s="34"/>
      <c r="AT638" s="34"/>
      <c r="AU638" s="34"/>
      <c r="AV638" s="34"/>
      <c r="AW638" s="34"/>
      <c r="AX638" s="34"/>
      <c r="AY638" s="34"/>
      <c r="AZ638" s="34"/>
      <c r="BA638" s="34"/>
      <c r="BB638" s="34"/>
      <c r="BC638" s="34"/>
      <c r="BD638" s="34"/>
      <c r="BE638" s="34"/>
      <c r="BF638" s="34"/>
      <c r="BG638" s="34"/>
      <c r="BH638" s="34"/>
      <c r="BI638" s="34"/>
      <c r="BJ638" s="34"/>
      <c r="BK638" s="34"/>
      <c r="BL638" s="34"/>
      <c r="BM638" s="34"/>
      <c r="BN638" s="34"/>
      <c r="BO638" s="34"/>
      <c r="BP638" s="34"/>
      <c r="BQ638" s="34"/>
      <c r="BR638" s="34"/>
      <c r="BS638" s="34"/>
      <c r="BT638" s="34"/>
      <c r="BU638" s="34"/>
      <c r="BV638" s="34"/>
      <c r="BW638" s="34"/>
      <c r="BX638" s="34"/>
      <c r="BY638" s="34"/>
      <c r="BZ638" s="34"/>
      <c r="CA638" s="34"/>
      <c r="CB638" s="34"/>
      <c r="CC638" s="34"/>
      <c r="CD638" s="34"/>
      <c r="CE638" s="34"/>
      <c r="CF638" s="34"/>
      <c r="CG638" s="34"/>
      <c r="CH638" s="34"/>
      <c r="CI638" s="8"/>
    </row>
    <row r="639" spans="1:87" x14ac:dyDescent="0.2">
      <c r="A639" s="11" t="s">
        <v>17</v>
      </c>
      <c r="B639" s="11"/>
      <c r="C639" s="27" t="s">
        <v>18</v>
      </c>
      <c r="D639" s="27" t="s">
        <v>2</v>
      </c>
      <c r="E639" s="27" t="s">
        <v>6</v>
      </c>
      <c r="F639" s="27" t="s">
        <v>15</v>
      </c>
      <c r="G639" s="27" t="s">
        <v>36</v>
      </c>
      <c r="H639" s="27" t="s">
        <v>37</v>
      </c>
      <c r="I639" s="27" t="s">
        <v>38</v>
      </c>
      <c r="J639" s="27" t="s">
        <v>39</v>
      </c>
      <c r="K639" s="27" t="s">
        <v>40</v>
      </c>
      <c r="L639" s="27" t="s">
        <v>41</v>
      </c>
      <c r="M639" s="27" t="s">
        <v>42</v>
      </c>
      <c r="N639" s="27" t="s">
        <v>43</v>
      </c>
      <c r="O639" s="27" t="s">
        <v>9</v>
      </c>
      <c r="P639" s="27" t="s">
        <v>12</v>
      </c>
      <c r="Q639" s="27" t="s">
        <v>19</v>
      </c>
      <c r="R639" s="27" t="s">
        <v>55</v>
      </c>
      <c r="S639" s="27" t="s">
        <v>26</v>
      </c>
      <c r="T639" s="19" t="s">
        <v>25</v>
      </c>
      <c r="U639" s="33" t="s">
        <v>27</v>
      </c>
      <c r="V639" s="33" t="s">
        <v>9</v>
      </c>
      <c r="W639" s="33" t="s">
        <v>23</v>
      </c>
      <c r="X639" s="33" t="s">
        <v>12</v>
      </c>
      <c r="Y639" s="33" t="s">
        <v>26</v>
      </c>
      <c r="Z639" s="33" t="s">
        <v>25</v>
      </c>
      <c r="AA639" s="33" t="s">
        <v>27</v>
      </c>
      <c r="AB639" s="33" t="s">
        <v>9</v>
      </c>
      <c r="AC639" s="33" t="s">
        <v>23</v>
      </c>
      <c r="AD639" s="33" t="s">
        <v>12</v>
      </c>
      <c r="AE639" s="33" t="s">
        <v>26</v>
      </c>
      <c r="AF639" s="33" t="s">
        <v>25</v>
      </c>
      <c r="AG639" s="33" t="s">
        <v>27</v>
      </c>
      <c r="AH639" s="33" t="s">
        <v>9</v>
      </c>
      <c r="AI639" s="33" t="s">
        <v>23</v>
      </c>
      <c r="AJ639" s="33" t="s">
        <v>12</v>
      </c>
      <c r="AK639" s="33" t="s">
        <v>26</v>
      </c>
      <c r="AL639" s="33" t="s">
        <v>25</v>
      </c>
      <c r="AM639" s="33" t="s">
        <v>27</v>
      </c>
      <c r="AN639" s="33" t="s">
        <v>9</v>
      </c>
      <c r="AO639" s="33" t="s">
        <v>23</v>
      </c>
      <c r="AP639" s="33" t="s">
        <v>12</v>
      </c>
      <c r="AQ639" s="33" t="s">
        <v>26</v>
      </c>
      <c r="AR639" s="33" t="s">
        <v>25</v>
      </c>
      <c r="AS639" s="33" t="s">
        <v>27</v>
      </c>
      <c r="AT639" s="33" t="s">
        <v>9</v>
      </c>
      <c r="AU639" s="33" t="s">
        <v>23</v>
      </c>
      <c r="AV639" s="33" t="s">
        <v>12</v>
      </c>
      <c r="AW639" s="33" t="s">
        <v>26</v>
      </c>
      <c r="AX639" s="33" t="s">
        <v>25</v>
      </c>
      <c r="AY639" s="33" t="s">
        <v>27</v>
      </c>
      <c r="AZ639" s="33" t="s">
        <v>9</v>
      </c>
      <c r="BA639" s="33" t="s">
        <v>23</v>
      </c>
      <c r="BB639" s="33" t="s">
        <v>12</v>
      </c>
      <c r="BC639" s="33" t="s">
        <v>26</v>
      </c>
      <c r="BD639" s="33" t="s">
        <v>25</v>
      </c>
      <c r="BE639" s="33" t="s">
        <v>27</v>
      </c>
      <c r="BF639" s="33" t="s">
        <v>9</v>
      </c>
      <c r="BG639" s="33" t="s">
        <v>23</v>
      </c>
      <c r="BH639" s="33" t="s">
        <v>12</v>
      </c>
      <c r="BI639" s="33" t="s">
        <v>26</v>
      </c>
      <c r="BJ639" s="33" t="s">
        <v>25</v>
      </c>
      <c r="BK639" s="33" t="s">
        <v>27</v>
      </c>
      <c r="BL639" s="33" t="s">
        <v>9</v>
      </c>
      <c r="BM639" s="33" t="s">
        <v>23</v>
      </c>
      <c r="BN639" s="33" t="s">
        <v>12</v>
      </c>
      <c r="BO639" s="33" t="s">
        <v>26</v>
      </c>
      <c r="BP639" s="33" t="s">
        <v>25</v>
      </c>
      <c r="BQ639" s="33" t="s">
        <v>27</v>
      </c>
      <c r="BR639" s="33" t="s">
        <v>9</v>
      </c>
      <c r="BS639" s="33" t="s">
        <v>23</v>
      </c>
      <c r="BT639" s="33" t="s">
        <v>12</v>
      </c>
      <c r="BU639" s="33" t="s">
        <v>26</v>
      </c>
      <c r="BV639" s="33" t="s">
        <v>25</v>
      </c>
      <c r="BW639" s="33" t="s">
        <v>27</v>
      </c>
      <c r="BX639" s="33" t="s">
        <v>9</v>
      </c>
      <c r="BY639" s="33" t="s">
        <v>23</v>
      </c>
      <c r="BZ639" s="33" t="s">
        <v>12</v>
      </c>
      <c r="CA639" s="33" t="s">
        <v>26</v>
      </c>
      <c r="CB639" s="33" t="s">
        <v>25</v>
      </c>
      <c r="CC639" s="33" t="s">
        <v>27</v>
      </c>
      <c r="CD639" s="33" t="s">
        <v>9</v>
      </c>
      <c r="CE639" s="33" t="s">
        <v>23</v>
      </c>
      <c r="CF639" s="33" t="s">
        <v>12</v>
      </c>
      <c r="CG639" s="33" t="s">
        <v>26</v>
      </c>
      <c r="CH639" s="33" t="s">
        <v>25</v>
      </c>
      <c r="CI639" s="8"/>
    </row>
    <row r="640" spans="1:87" x14ac:dyDescent="0.2">
      <c r="A640" s="8" t="str">
        <f>IF(AND(COUNTIF(W$3:W$13,A$15)&gt;0,A$15&lt;&gt;B546),A$15,IFERROR(IF(MATCH(A$15,Z$3:Z$13,0)=5,A$15," ")," "))</f>
        <v xml:space="preserve"> </v>
      </c>
      <c r="B640" s="8" t="str">
        <f>IF(A640=" "," ",1)</f>
        <v xml:space="preserve"> </v>
      </c>
      <c r="C640" s="8" t="str">
        <f>IFERROR(INDEX(A640:A661,MATCH(SMALL(B640:B661,1),B640:B661,0),1)," ")</f>
        <v>C3</v>
      </c>
      <c r="D640" s="8">
        <f>IFERROR(VLOOKUP($C640,$A$15:$O$36,2,FALSE)," ")</f>
        <v>2</v>
      </c>
      <c r="E640" s="8">
        <f>IFERROR(VLOOKUP($C640,$A$15:$O$36,3,FALSE)," ")</f>
        <v>5</v>
      </c>
      <c r="F640" s="8">
        <f>IFERROR(VLOOKUP($C640,$A$15:$O$36,4,FALSE)," ")</f>
        <v>6</v>
      </c>
      <c r="G640" s="8">
        <f>IFERROR(VLOOKUP($C640,$A$15:$O$36,5,FALSE)," ")</f>
        <v>0</v>
      </c>
      <c r="H640" s="8">
        <f>IFERROR(VLOOKUP($C640,$A$15:$O$36,6,FALSE)," ")</f>
        <v>0</v>
      </c>
      <c r="I640" s="8">
        <f>IFERROR(VLOOKUP($C640,$A$15:$O$36,7,FALSE)," ")</f>
        <v>0</v>
      </c>
      <c r="J640" s="8">
        <f>IFERROR(VLOOKUP($C640,$A$15:$O$36,8,FALSE)," ")</f>
        <v>0</v>
      </c>
      <c r="K640" s="8">
        <f>IFERROR(VLOOKUP($C640,$A$15:$O$36,9,FALSE)," ")</f>
        <v>0</v>
      </c>
      <c r="L640" s="8">
        <f>IFERROR(VLOOKUP($C640,$A$15:$O$36,10,FALSE)," ")</f>
        <v>0</v>
      </c>
      <c r="M640" s="8">
        <f>IFERROR(VLOOKUP($C640,$A$15:$O$36,11,FALSE)," ")</f>
        <v>0</v>
      </c>
      <c r="N640" s="8">
        <f>IFERROR(VLOOKUP($C640,$A$15:$O$36,12,FALSE)," ")</f>
        <v>0</v>
      </c>
      <c r="O640" s="8">
        <f>IFERROR(VLOOKUP($C640,$A$15:$O$36,15,FALSE)," ")</f>
        <v>2000</v>
      </c>
      <c r="P640" s="8" t="e">
        <f t="array" ref="P640:P650">MMULT(MINVERSE(D640:N650),O640:O650)</f>
        <v>#NUM!</v>
      </c>
      <c r="Q640" s="8" t="e">
        <f t="shared" ref="Q640" si="2587">IF(COUNTIF(P640:P650,"&lt;"&amp;-0.001)=0,IF(ABS(P640)&lt;0.001,0,P640)," ")</f>
        <v>#NUM!</v>
      </c>
      <c r="R640" s="8" t="str">
        <f>IFERROR(VLOOKUP(B546,A$15:L$36,2,FALSE)*Q640+VLOOKUP(B546,A$15:L$36,3,FALSE)*Q641+VLOOKUP(B546,A$15:L$36,4,FALSE)*Q642+VLOOKUP(B546,A$15:L$36,5,FALSE)*Q643+VLOOKUP(B546,A$15:L$36,6,FALSE)*Q644+VLOOKUP(B546,A$15:L$36,7,FALSE)*Q645+VLOOKUP(B546,A$15:L$36,8,FALSE)*Q646+VLOOKUP(B546,A$15:L$36,9,FALSE)*Q647+VLOOKUP(B546,A$15:L$36,10,FALSE)*Q648+VLOOKUP(B546,A$15:L$36,11,FALSE)*Q649+VLOOKUP(B546,A$15:L$36,12,FALSE)*Q650," ")</f>
        <v xml:space="preserve"> </v>
      </c>
      <c r="S640" s="8" t="str">
        <f>IFERROR(IF(R640-VLOOKUP(B546,A$15:O$36,15,FALSE)&lt;0,R640-VLOOKUP(B546,A$15:O$36,15,FALSE)," ")," ")</f>
        <v xml:space="preserve"> </v>
      </c>
      <c r="T640" s="18" t="str">
        <f>IFERROR(IF(R640-VLOOKUP(B546,A$15:O$36,15,FALSE)&gt;0,R640-VLOOKUP(B546,A$15:O$36,15,FALSE)," ")," ")</f>
        <v xml:space="preserve"> </v>
      </c>
      <c r="U640" s="34">
        <f t="shared" ref="U640" si="2588">$M$2</f>
        <v>100.00000000000001</v>
      </c>
      <c r="V640" s="34">
        <v>-1</v>
      </c>
      <c r="W640" s="34">
        <f t="shared" ref="W640" si="2589">-SUMPRODUCT($M$3:$M$12,$N$3:$N$12)</f>
        <v>-105000</v>
      </c>
      <c r="X640" s="34" t="e">
        <f t="shared" ref="X640" si="2590">IF(U640&lt;&gt;U641,MMULT(MINVERSE(U640:V641),W640:W641)," ")</f>
        <v>#NUM!</v>
      </c>
      <c r="Y640" s="34" t="str">
        <f t="shared" ref="Y640" si="2591">IFERROR(IF(X640-VLOOKUP(U$38,$A$2:$N$12,14,FALSE)&lt;0,X640-VLOOKUP(U$38,$A$2:$N$12,14,FALSE)," ")," ")</f>
        <v xml:space="preserve"> </v>
      </c>
      <c r="Z640" s="34" t="str">
        <f t="shared" ref="Z640" si="2592">IFERROR(IF(X640-VLOOKUP(U$38,$A$2:$N$12,14,FALSE)&gt;0,X640-VLOOKUP(U$38,$A$2:$N$12,14,FALSE)," ")," ")</f>
        <v xml:space="preserve"> </v>
      </c>
      <c r="AA640" s="34">
        <f t="shared" ref="AA640" si="2593">$M$3</f>
        <v>0</v>
      </c>
      <c r="AB640" s="34">
        <v>-1</v>
      </c>
      <c r="AC640" s="34">
        <f t="shared" ref="AC640" si="2594">-SUMPRODUCT($M$2:$M$2,$N$2:$N$2)-SUMPRODUCT($M$4:$M$12,$N$4:$N$12)</f>
        <v>-120000</v>
      </c>
      <c r="AD640" s="34" t="e">
        <f t="shared" ref="AD640" si="2595">IF(AA640&lt;&gt;AA641,MMULT(MINVERSE(AA640:AB641),AC640:AC641)," ")</f>
        <v>#NUM!</v>
      </c>
      <c r="AE640" s="34" t="str">
        <f t="shared" ref="AE640" si="2596">IFERROR(IF(AD640-VLOOKUP(AA$38,$A$2:$N$12,14,FALSE)&lt;0,AD640-VLOOKUP(AA$38,$A$2:$N$12,14,FALSE)," ")," ")</f>
        <v xml:space="preserve"> </v>
      </c>
      <c r="AF640" s="34" t="str">
        <f t="shared" ref="AF640" si="2597">IFERROR(IF(AD640-VLOOKUP(AA$38,$A$2:$N$12,14,FALSE)&gt;0,AD640-VLOOKUP(AA$38,$A$2:$N$12,14,FALSE)," ")," ")</f>
        <v xml:space="preserve"> </v>
      </c>
      <c r="AG640" s="34">
        <f t="shared" ref="AG640" si="2598">$M$4</f>
        <v>300</v>
      </c>
      <c r="AH640" s="34">
        <v>-1</v>
      </c>
      <c r="AI640" s="34">
        <f t="shared" ref="AI640" si="2599">-SUMPRODUCT($M$2:$M$3,$N$2:$N$3)-SUMPRODUCT($M$5:$M$12,$N$5:$N$12)</f>
        <v>-15000.000000000002</v>
      </c>
      <c r="AJ640" s="34" t="e">
        <f t="shared" ref="AJ640" si="2600">IF(AG640&lt;&gt;AG641,MMULT(MINVERSE(AG640:AH641),AI640:AI641)," ")</f>
        <v>#NUM!</v>
      </c>
      <c r="AK640" s="34" t="str">
        <f t="shared" ref="AK640" si="2601">IFERROR(IF(AJ640-VLOOKUP(AG$38,$A$2:$N$12,14,FALSE)&lt;0,AJ640-VLOOKUP(AG$38,$A$2:$N$12,14,FALSE)," ")," ")</f>
        <v xml:space="preserve"> </v>
      </c>
      <c r="AL640" s="34" t="str">
        <f t="shared" ref="AL640" si="2602">IFERROR(IF(AJ640-VLOOKUP(AG$38,$A$2:$N$12,14,FALSE)&gt;0,AJ640-VLOOKUP(AG$38,$A$2:$N$12,14,FALSE)," ")," ")</f>
        <v xml:space="preserve"> </v>
      </c>
      <c r="AM640" s="34">
        <f t="shared" ref="AM640" si="2603">$M$5</f>
        <v>0</v>
      </c>
      <c r="AN640" s="34">
        <v>-1</v>
      </c>
      <c r="AO640" s="34">
        <f t="shared" ref="AO640" si="2604">-SUMPRODUCT($M$2:$M$4,$N$2:$N$4)-SUMPRODUCT($M$6:$M$12,$N$6:$N$12)</f>
        <v>-120000</v>
      </c>
      <c r="AP640" s="34" t="e">
        <f t="shared" ref="AP640" si="2605">IF(AM640&lt;&gt;AM641,MMULT(MINVERSE(AM640:AN641),AO640:AO641)," ")</f>
        <v>#NUM!</v>
      </c>
      <c r="AQ640" s="34" t="str">
        <f t="shared" ref="AQ640" si="2606">IFERROR(IF(AP640-VLOOKUP(AM$38,$A$2:$N$12,14,FALSE)&lt;0,AP640-VLOOKUP(AM$38,$A$2:$N$12,14,FALSE)," ")," ")</f>
        <v xml:space="preserve"> </v>
      </c>
      <c r="AR640" s="34" t="str">
        <f t="shared" ref="AR640" si="2607">IFERROR(IF(AP640-VLOOKUP(AM$38,$A$2:$N$12,14,FALSE)&gt;0,AP640-VLOOKUP(AM$38,$A$2:$N$12,14,FALSE)," ")," ")</f>
        <v xml:space="preserve"> </v>
      </c>
      <c r="AS640" s="34">
        <f t="shared" ref="AS640" si="2608">$M$6</f>
        <v>0</v>
      </c>
      <c r="AT640" s="34">
        <v>-1</v>
      </c>
      <c r="AU640" s="34">
        <f t="shared" ref="AU640" si="2609">-SUMPRODUCT($M$2:$M$5,$N$2:$N$5)-SUMPRODUCT($M$7:$M$12,$N$7:$N$12)</f>
        <v>-120000</v>
      </c>
      <c r="AV640" s="34" t="e">
        <f t="shared" ref="AV640" si="2610">IF(AS640&lt;&gt;AS641,MMULT(MINVERSE(AS640:AT641),AU640:AU641)," ")</f>
        <v>#NUM!</v>
      </c>
      <c r="AW640" s="34" t="str">
        <f t="shared" ref="AW640" si="2611">IFERROR(IF(AV640-VLOOKUP(AS$38,$A$2:$N$12,14,FALSE)&lt;0,AV640-VLOOKUP(AS$38,$A$2:$N$12,14,FALSE)," ")," ")</f>
        <v xml:space="preserve"> </v>
      </c>
      <c r="AX640" s="34" t="str">
        <f t="shared" ref="AX640" si="2612">IFERROR(IF(AV640-VLOOKUP(AS$38,$A$2:$N$12,14,FALSE)&gt;0,AV640-VLOOKUP(AS$38,$A$2:$N$12,14,FALSE)," ")," ")</f>
        <v xml:space="preserve"> </v>
      </c>
      <c r="AY640" s="34">
        <f t="shared" ref="AY640" si="2613">$M$7</f>
        <v>0</v>
      </c>
      <c r="AZ640" s="34">
        <v>-1</v>
      </c>
      <c r="BA640" s="34">
        <f t="shared" ref="BA640" si="2614">-SUMPRODUCT($M$2:$M$6,$N$2:$N$6)-SUMPRODUCT($M$8:$M$12,$N$8:$N$12)</f>
        <v>-120000</v>
      </c>
      <c r="BB640" s="34" t="e">
        <f t="shared" ref="BB640" si="2615">IF(AY640&lt;&gt;AY641,MMULT(MINVERSE(AY640:AZ641),BA640:BA641)," ")</f>
        <v>#NUM!</v>
      </c>
      <c r="BC640" s="34" t="str">
        <f t="shared" ref="BC640" si="2616">IFERROR(IF(BB640-VLOOKUP(AY$38,$A$2:$N$12,14,FALSE)&lt;0,BB640-VLOOKUP(AY$38,$A$2:$N$12,14,FALSE)," ")," ")</f>
        <v xml:space="preserve"> </v>
      </c>
      <c r="BD640" s="34" t="str">
        <f t="shared" ref="BD640" si="2617">IFERROR(IF(BB640-VLOOKUP(AY$38,$A$2:$N$12,14,FALSE)&gt;0,BB640-VLOOKUP(AY$38,$A$2:$N$12,14,FALSE)," ")," ")</f>
        <v xml:space="preserve"> </v>
      </c>
      <c r="BE640" s="34">
        <f t="shared" ref="BE640" si="2618">$M$8</f>
        <v>0</v>
      </c>
      <c r="BF640" s="34">
        <v>-1</v>
      </c>
      <c r="BG640" s="34">
        <f t="shared" ref="BG640" si="2619">-SUMPRODUCT($M$2:$M$7,$N$2:$N$7)-SUMPRODUCT($M$9:$M$12,$N$9:$N$12)</f>
        <v>-120000</v>
      </c>
      <c r="BH640" s="34" t="e">
        <f t="shared" ref="BH640" si="2620">IF(BE640&lt;&gt;BE641,MMULT(MINVERSE(BE640:BF641),BG640:BG641)," ")</f>
        <v>#NUM!</v>
      </c>
      <c r="BI640" s="34" t="str">
        <f t="shared" ref="BI640" si="2621">IFERROR(IF(BH640-VLOOKUP(BE$38,$A$2:$N$12,14,FALSE)&lt;0,BH640-VLOOKUP(BE$38,$A$2:$N$12,14,FALSE)," ")," ")</f>
        <v xml:space="preserve"> </v>
      </c>
      <c r="BJ640" s="34" t="str">
        <f t="shared" ref="BJ640" si="2622">IFERROR(IF(BH640-VLOOKUP(BE$38,$A$2:$N$12,14,FALSE)&gt;0,BH640-VLOOKUP(BE$38,$A$2:$N$12,14,FALSE)," ")," ")</f>
        <v xml:space="preserve"> </v>
      </c>
      <c r="BK640" s="34">
        <f t="shared" ref="BK640" si="2623">$M$9</f>
        <v>0</v>
      </c>
      <c r="BL640" s="34">
        <v>-1</v>
      </c>
      <c r="BM640" s="34">
        <f t="shared" ref="BM640" si="2624">-SUMPRODUCT($M$2:$M$8,$N$2:$N$8)-SUMPRODUCT($M$10:$M$12,$N$10:$N$12)</f>
        <v>-120000</v>
      </c>
      <c r="BN640" s="34" t="e">
        <f t="shared" ref="BN640" si="2625">IF(BK640&lt;&gt;BK641,MMULT(MINVERSE(BK640:BL641),BM640:BM641)," ")</f>
        <v>#NUM!</v>
      </c>
      <c r="BO640" s="34" t="str">
        <f t="shared" ref="BO640" si="2626">IFERROR(IF(BN640-VLOOKUP(BK$38,$A$2:$N$12,14,FALSE)&lt;0,BN640-VLOOKUP(BK$38,$A$2:$N$12,14,FALSE)," ")," ")</f>
        <v xml:space="preserve"> </v>
      </c>
      <c r="BP640" s="34" t="str">
        <f t="shared" ref="BP640" si="2627">IFERROR(IF(BN640-VLOOKUP(BK$38,$A$2:$N$12,14,FALSE)&gt;0,BN640-VLOOKUP(BK$38,$A$2:$N$12,14,FALSE)," ")," ")</f>
        <v xml:space="preserve"> </v>
      </c>
      <c r="BQ640" s="34">
        <f t="shared" ref="BQ640" si="2628">$M$10</f>
        <v>0</v>
      </c>
      <c r="BR640" s="34">
        <v>-1</v>
      </c>
      <c r="BS640" s="34">
        <f t="shared" ref="BS640" si="2629">-SUMPRODUCT($M$2:$M$9,$N$2:$N$9)-SUMPRODUCT($M$11:$M$12,$N$11:$N$12)</f>
        <v>-120000</v>
      </c>
      <c r="BT640" s="34" t="e">
        <f t="shared" ref="BT640" si="2630">IF(BQ640&lt;&gt;BQ641,MMULT(MINVERSE(BQ640:BR641),BS640:BS641)," ")</f>
        <v>#NUM!</v>
      </c>
      <c r="BU640" s="34" t="str">
        <f t="shared" ref="BU640" si="2631">IFERROR(IF(BT640-VLOOKUP(BQ$38,$A$2:$N$12,14,FALSE)&lt;0,BT640-VLOOKUP(BQ$38,$A$2:$N$12,14,FALSE)," ")," ")</f>
        <v xml:space="preserve"> </v>
      </c>
      <c r="BV640" s="34" t="str">
        <f t="shared" ref="BV640" si="2632">IFERROR(IF(BT640-VLOOKUP(BQ$38,$A$2:$N$12,14,FALSE)&gt;0,BT640-VLOOKUP(BQ$38,$A$2:$N$12,14,FALSE)," ")," ")</f>
        <v xml:space="preserve"> </v>
      </c>
      <c r="BW640" s="34">
        <f t="shared" ref="BW640" si="2633">$M$11</f>
        <v>0</v>
      </c>
      <c r="BX640" s="34">
        <v>-1</v>
      </c>
      <c r="BY640" s="34">
        <f t="shared" ref="BY640" si="2634">-SUMPRODUCT($M$2:$M$10,$N$2:$N$10)-SUMPRODUCT($M$12,$N$12)</f>
        <v>-120000</v>
      </c>
      <c r="BZ640" s="34" t="e">
        <f t="shared" ref="BZ640" si="2635">IF(BW640&lt;&gt;BW641,MMULT(MINVERSE(BW640:BX641),BY640:BY641)," ")</f>
        <v>#NUM!</v>
      </c>
      <c r="CA640" s="34" t="str">
        <f t="shared" ref="CA640" si="2636">IFERROR(IF(BZ640-VLOOKUP(BW$38,$A$2:$N$12,14,FALSE)&lt;0,BZ640-VLOOKUP(BW$38,$A$2:$N$12,14,FALSE)," ")," ")</f>
        <v xml:space="preserve"> </v>
      </c>
      <c r="CB640" s="34" t="str">
        <f t="shared" ref="CB640" si="2637">IFERROR(IF(BZ640-VLOOKUP(BW$38,$A$2:$N$12,14,FALSE)&gt;0,BZ640-VLOOKUP(BW$38,$A$2:$N$12,14,FALSE)," ")," ")</f>
        <v xml:space="preserve"> </v>
      </c>
      <c r="CC640" s="34">
        <f t="shared" ref="CC640" si="2638">$M$12</f>
        <v>0</v>
      </c>
      <c r="CD640" s="34">
        <v>-1</v>
      </c>
      <c r="CE640" s="34">
        <f t="shared" ref="CE640" si="2639">-SUMPRODUCT($M$2:$M$11,$N$2:$N$11)</f>
        <v>-120000</v>
      </c>
      <c r="CF640" s="34" t="e">
        <f t="shared" ref="CF640" si="2640">IF(CC640&lt;&gt;CC641,MMULT(MINVERSE(CC640:CD641),CE640:CE641)," ")</f>
        <v>#NUM!</v>
      </c>
      <c r="CG640" s="34" t="str">
        <f t="shared" ref="CG640" si="2641">IFERROR(IF(CF640-VLOOKUP(CC$38,$A$2:$N$12,14,FALSE)&lt;0,CF640-VLOOKUP(CC$38,$A$2:$N$12,14,FALSE)," ")," ")</f>
        <v xml:space="preserve"> </v>
      </c>
      <c r="CH640" s="34" t="str">
        <f t="shared" ref="CH640" si="2642">IFERROR(IF(CF640-VLOOKUP(CC$38,$A$2:$N$12,14,FALSE)&gt;0,CF640-VLOOKUP(CC$38,$A$2:$N$12,14,FALSE)," ")," ")</f>
        <v xml:space="preserve"> </v>
      </c>
      <c r="CI640" s="8"/>
    </row>
    <row r="641" spans="1:87" x14ac:dyDescent="0.2">
      <c r="A641" s="8" t="str">
        <f>IF(AND(COUNTIF(W$3:W$13,A$16)&gt;0,A$16&lt;&gt;B546),A$16,IFERROR(IF(MATCH(A$16,Z$3:Z$13,0)=5,A$16," ")," "))</f>
        <v xml:space="preserve"> </v>
      </c>
      <c r="B641" s="8" t="str">
        <f>IF(A641=" "," ",MAX(B640:B640)+1)</f>
        <v xml:space="preserve"> </v>
      </c>
      <c r="C641" s="8" t="str">
        <f>IFERROR(INDEX(A640:A661,MATCH(SMALL(B640:B661,2),B640:B661,0),1)," ")</f>
        <v>C4</v>
      </c>
      <c r="D641" s="8">
        <f t="shared" ref="D641:D650" si="2643">IFERROR(VLOOKUP($C641,$A$15:$O$36,2,FALSE)," ")</f>
        <v>1</v>
      </c>
      <c r="E641" s="8">
        <f t="shared" ref="E641:E650" si="2644">IFERROR(VLOOKUP($C641,$A$15:$O$36,3,FALSE)," ")</f>
        <v>0</v>
      </c>
      <c r="F641" s="8">
        <f t="shared" ref="F641:F650" si="2645">IFERROR(VLOOKUP($C641,$A$15:$O$36,4,FALSE)," ")</f>
        <v>1</v>
      </c>
      <c r="G641" s="8">
        <f t="shared" ref="G641:G650" si="2646">IFERROR(VLOOKUP($C641,$A$15:$O$36,5,FALSE)," ")</f>
        <v>0</v>
      </c>
      <c r="H641" s="8">
        <f t="shared" ref="H641:H650" si="2647">IFERROR(VLOOKUP($C641,$A$15:$O$36,6,FALSE)," ")</f>
        <v>0</v>
      </c>
      <c r="I641" s="8">
        <f t="shared" ref="I641:I650" si="2648">IFERROR(VLOOKUP($C641,$A$15:$O$36,7,FALSE)," ")</f>
        <v>0</v>
      </c>
      <c r="J641" s="8">
        <f t="shared" ref="J641:J650" si="2649">IFERROR(VLOOKUP($C641,$A$15:$O$36,8,FALSE)," ")</f>
        <v>0</v>
      </c>
      <c r="K641" s="8">
        <f t="shared" ref="K641:K650" si="2650">IFERROR(VLOOKUP($C641,$A$15:$O$36,9,FALSE)," ")</f>
        <v>0</v>
      </c>
      <c r="L641" s="8">
        <f t="shared" ref="L641:L650" si="2651">IFERROR(VLOOKUP($C641,$A$15:$O$36,10,FALSE)," ")</f>
        <v>0</v>
      </c>
      <c r="M641" s="8">
        <f t="shared" ref="M641:M650" si="2652">IFERROR(VLOOKUP($C641,$A$15:$O$36,11,FALSE)," ")</f>
        <v>0</v>
      </c>
      <c r="N641" s="8">
        <f t="shared" ref="N641:N650" si="2653">IFERROR(VLOOKUP($C641,$A$15:$O$36,12,FALSE)," ")</f>
        <v>0</v>
      </c>
      <c r="O641" s="8">
        <f t="shared" ref="O641:O650" si="2654">IFERROR(VLOOKUP($C641,$A$15:$O$36,15,FALSE)," ")</f>
        <v>400</v>
      </c>
      <c r="P641" s="8" t="e">
        <v>#NUM!</v>
      </c>
      <c r="Q641" s="8" t="e">
        <f t="shared" ref="Q641" si="2655">IF(COUNTIF(P640:P650,"&lt;"&amp;-0.001)=0,IF(ABS(P641)&lt;0.001,0,P641)," ")</f>
        <v>#NUM!</v>
      </c>
      <c r="R641" s="8"/>
      <c r="S641" s="8"/>
      <c r="U641" s="34" t="e">
        <f t="shared" ref="U641" si="2656">$Q640</f>
        <v>#NUM!</v>
      </c>
      <c r="V641" s="34">
        <v>-1</v>
      </c>
      <c r="W641" s="34" t="e">
        <f t="shared" ref="W641" si="2657">-SUMPRODUCT($Q641:$Q650,$N$3:$N$12)</f>
        <v>#NUM!</v>
      </c>
      <c r="X641" s="34"/>
      <c r="Y641" s="34"/>
      <c r="Z641" s="34"/>
      <c r="AA641" s="34" t="e">
        <f t="shared" ref="AA641" si="2658">$Q641</f>
        <v>#NUM!</v>
      </c>
      <c r="AB641" s="34">
        <v>-1</v>
      </c>
      <c r="AC641" s="34" t="e">
        <f t="shared" ref="AC641" si="2659">-SUMPRODUCT($Q640:$Q640,$N$2:$N$2)-SUMPRODUCT($Q642:$Q650,$N$4:$N$12)</f>
        <v>#NUM!</v>
      </c>
      <c r="AD641" s="34"/>
      <c r="AE641" s="34"/>
      <c r="AF641" s="34"/>
      <c r="AG641" s="34" t="e">
        <f t="shared" ref="AG641" si="2660">$Q642</f>
        <v>#NUM!</v>
      </c>
      <c r="AH641" s="34">
        <v>-1</v>
      </c>
      <c r="AI641" s="34" t="e">
        <f t="shared" ref="AI641" si="2661">-SUMPRODUCT($Q640:$Q641,$N$2:$N$3)-SUMPRODUCT($Q643:$Q650,$N$5:$N$12)</f>
        <v>#NUM!</v>
      </c>
      <c r="AJ641" s="34"/>
      <c r="AK641" s="34"/>
      <c r="AL641" s="34"/>
      <c r="AM641" s="34" t="e">
        <f t="shared" ref="AM641" si="2662">$Q643</f>
        <v>#NUM!</v>
      </c>
      <c r="AN641" s="34">
        <v>-1</v>
      </c>
      <c r="AO641" s="34" t="e">
        <f t="shared" ref="AO641" si="2663">-SUMPRODUCT($Q640:$Q642,$N$2:$N$4)-SUMPRODUCT($Q644:$Q650,$N$6:$N$12)</f>
        <v>#NUM!</v>
      </c>
      <c r="AP641" s="34"/>
      <c r="AQ641" s="34"/>
      <c r="AR641" s="34"/>
      <c r="AS641" s="34" t="e">
        <f t="shared" ref="AS641" si="2664">$Q644</f>
        <v>#NUM!</v>
      </c>
      <c r="AT641" s="34">
        <v>-1</v>
      </c>
      <c r="AU641" s="34" t="e">
        <f t="shared" ref="AU641" si="2665">-SUMPRODUCT($Q640:$Q643,$N$2:$N$5)-SUMPRODUCT($Q645:$Q650,$N$7:$N$12)</f>
        <v>#NUM!</v>
      </c>
      <c r="AV641" s="34"/>
      <c r="AW641" s="34"/>
      <c r="AX641" s="34"/>
      <c r="AY641" s="34" t="e">
        <f t="shared" ref="AY641" si="2666">$Q645</f>
        <v>#NUM!</v>
      </c>
      <c r="AZ641" s="34">
        <v>-1</v>
      </c>
      <c r="BA641" s="34" t="e">
        <f t="shared" ref="BA641" si="2667">-SUMPRODUCT($Q640:$Q644,$N$2:$N$6)-SUMPRODUCT($Q646:$Q650,$N$8:$N$12)</f>
        <v>#NUM!</v>
      </c>
      <c r="BB641" s="34"/>
      <c r="BC641" s="34"/>
      <c r="BD641" s="34"/>
      <c r="BE641" s="34" t="e">
        <f t="shared" ref="BE641" si="2668">$Q646</f>
        <v>#NUM!</v>
      </c>
      <c r="BF641" s="34">
        <v>-1</v>
      </c>
      <c r="BG641" s="34" t="e">
        <f t="shared" ref="BG641" si="2669">-SUMPRODUCT($Q640:$Q645,$N$2:$N$7)-SUMPRODUCT($Q647:$Q650,$N$9:$N$12)</f>
        <v>#NUM!</v>
      </c>
      <c r="BH641" s="34"/>
      <c r="BI641" s="34"/>
      <c r="BJ641" s="34"/>
      <c r="BK641" s="34" t="e">
        <f t="shared" ref="BK641" si="2670">$Q647</f>
        <v>#NUM!</v>
      </c>
      <c r="BL641" s="34">
        <v>-1</v>
      </c>
      <c r="BM641" s="34" t="e">
        <f t="shared" ref="BM641" si="2671">-SUMPRODUCT($Q640:$Q646,$N$2:$N$8)-SUMPRODUCT($Q648:$Q650,$N$10:$N$12)</f>
        <v>#NUM!</v>
      </c>
      <c r="BN641" s="34"/>
      <c r="BO641" s="34"/>
      <c r="BP641" s="34"/>
      <c r="BQ641" s="34" t="e">
        <f t="shared" ref="BQ641" si="2672">$Q648</f>
        <v>#NUM!</v>
      </c>
      <c r="BR641" s="34">
        <v>-1</v>
      </c>
      <c r="BS641" s="34" t="e">
        <f t="shared" ref="BS641" si="2673">-SUMPRODUCT($Q640:$Q647,$N$2:$N$9)-SUMPRODUCT($Q649:$Q650,$N$11:$N$12)</f>
        <v>#NUM!</v>
      </c>
      <c r="BT641" s="34"/>
      <c r="BU641" s="34"/>
      <c r="BV641" s="34"/>
      <c r="BW641" s="34" t="e">
        <f t="shared" ref="BW641" si="2674">$Q649</f>
        <v>#NUM!</v>
      </c>
      <c r="BX641" s="34">
        <v>-1</v>
      </c>
      <c r="BY641" s="34" t="e">
        <f t="shared" ref="BY641" si="2675">-SUMPRODUCT($Q640:$Q648,$N$2:$N$10)-SUMPRODUCT($Q650,$N$12)</f>
        <v>#NUM!</v>
      </c>
      <c r="BZ641" s="34"/>
      <c r="CA641" s="34"/>
      <c r="CB641" s="34"/>
      <c r="CC641" s="34" t="e">
        <f t="shared" ref="CC641" si="2676">$Q650</f>
        <v>#NUM!</v>
      </c>
      <c r="CD641" s="34">
        <v>-1</v>
      </c>
      <c r="CE641" s="34" t="e">
        <f t="shared" ref="CE641" si="2677">-SUMPRODUCT($Q640:$Q649,$N$2:$N$11)</f>
        <v>#NUM!</v>
      </c>
      <c r="CF641" s="34"/>
      <c r="CG641" s="34"/>
      <c r="CH641" s="34"/>
      <c r="CI641" s="8"/>
    </row>
    <row r="642" spans="1:87" x14ac:dyDescent="0.2">
      <c r="A642" s="8" t="str">
        <f>IF(AND(COUNTIF(W$3:W$13,A$17)&gt;0,A$17&lt;&gt;B546),A$17,IFERROR(IF(MATCH(A$17,Z$3:Z$13,0)=5,A$17," ")," "))</f>
        <v>C3</v>
      </c>
      <c r="B642" s="8">
        <f>IF(A642=" "," ",MAX(B640:B641)+1)</f>
        <v>1</v>
      </c>
      <c r="C642" s="8" t="str">
        <f>IFERROR(INDEX(A640:A661,MATCH(SMALL(B640:B661,3),B640:B661,0),1)," ")</f>
        <v>C7</v>
      </c>
      <c r="D642" s="8">
        <f t="shared" si="2643"/>
        <v>0</v>
      </c>
      <c r="E642" s="8">
        <f t="shared" si="2644"/>
        <v>0</v>
      </c>
      <c r="F642" s="8">
        <f t="shared" si="2645"/>
        <v>0</v>
      </c>
      <c r="G642" s="8">
        <f t="shared" si="2646"/>
        <v>0</v>
      </c>
      <c r="H642" s="8">
        <f t="shared" si="2647"/>
        <v>0</v>
      </c>
      <c r="I642" s="8">
        <f t="shared" si="2648"/>
        <v>0</v>
      </c>
      <c r="J642" s="8">
        <f t="shared" si="2649"/>
        <v>0</v>
      </c>
      <c r="K642" s="8">
        <f t="shared" si="2650"/>
        <v>0</v>
      </c>
      <c r="L642" s="8">
        <f t="shared" si="2651"/>
        <v>0</v>
      </c>
      <c r="M642" s="8">
        <f t="shared" si="2652"/>
        <v>0</v>
      </c>
      <c r="N642" s="8">
        <f t="shared" si="2653"/>
        <v>0</v>
      </c>
      <c r="O642" s="8">
        <f t="shared" si="2654"/>
        <v>0</v>
      </c>
      <c r="P642" s="8" t="e">
        <v>#NUM!</v>
      </c>
      <c r="Q642" s="8" t="e">
        <f t="shared" ref="Q642" si="2678">IF(COUNTIF(P640:P650,"&lt;"&amp;-0.001)=0,IF(ABS(P642)&lt;0.001,0,P642)," ")</f>
        <v>#NUM!</v>
      </c>
      <c r="R642" s="8"/>
      <c r="S642" s="8"/>
      <c r="U642" s="34"/>
      <c r="V642" s="34"/>
      <c r="W642" s="34"/>
      <c r="X642" s="34"/>
      <c r="Y642" s="34"/>
      <c r="Z642" s="34"/>
      <c r="AA642" s="34"/>
      <c r="AB642" s="34"/>
      <c r="AC642" s="34"/>
      <c r="AD642" s="34"/>
      <c r="AE642" s="34"/>
      <c r="AF642" s="34"/>
      <c r="AG642" s="34"/>
      <c r="AH642" s="34"/>
      <c r="AI642" s="34"/>
      <c r="AJ642" s="34"/>
      <c r="AK642" s="34"/>
      <c r="AL642" s="34"/>
      <c r="AM642" s="34"/>
      <c r="AN642" s="34"/>
      <c r="AO642" s="34"/>
      <c r="AP642" s="34"/>
      <c r="AQ642" s="34"/>
      <c r="AR642" s="34"/>
      <c r="AS642" s="34"/>
      <c r="AT642" s="34"/>
      <c r="AU642" s="34"/>
      <c r="AV642" s="34"/>
      <c r="AW642" s="34"/>
      <c r="AX642" s="34"/>
      <c r="AY642" s="34"/>
      <c r="AZ642" s="34"/>
      <c r="BA642" s="34"/>
      <c r="BB642" s="34"/>
      <c r="BC642" s="34"/>
      <c r="BD642" s="34"/>
      <c r="BE642" s="34"/>
      <c r="BF642" s="34"/>
      <c r="BG642" s="34"/>
      <c r="BH642" s="34"/>
      <c r="BI642" s="34"/>
      <c r="BJ642" s="34"/>
      <c r="BK642" s="34"/>
      <c r="BL642" s="34"/>
      <c r="BM642" s="34"/>
      <c r="BN642" s="34"/>
      <c r="BO642" s="34"/>
      <c r="BP642" s="34"/>
      <c r="BQ642" s="34"/>
      <c r="BR642" s="34"/>
      <c r="BS642" s="34"/>
      <c r="BT642" s="34"/>
      <c r="BU642" s="34"/>
      <c r="BV642" s="34"/>
      <c r="BW642" s="34"/>
      <c r="BX642" s="34"/>
      <c r="BY642" s="34"/>
      <c r="BZ642" s="34"/>
      <c r="CA642" s="34"/>
      <c r="CB642" s="34"/>
      <c r="CC642" s="34"/>
      <c r="CD642" s="34"/>
      <c r="CE642" s="34"/>
      <c r="CF642" s="34"/>
      <c r="CG642" s="34"/>
      <c r="CH642" s="34"/>
      <c r="CI642" s="8"/>
    </row>
    <row r="643" spans="1:87" x14ac:dyDescent="0.2">
      <c r="A643" s="8" t="str">
        <f>IF(AND(COUNTIF(W$3:W$13,A$18)&gt;0,A$18&lt;&gt;B546),A$18,IFERROR(IF(MATCH(A$18,Z$3:Z$13,0)=5,A$18," ")," "))</f>
        <v>C4</v>
      </c>
      <c r="B643" s="8">
        <f>IF(A643=" "," ",MAX(B640:B642)+1)</f>
        <v>2</v>
      </c>
      <c r="C643" s="8" t="str">
        <f>IFERROR(INDEX(A640:A661,MATCH(SMALL(B640:B661,4),B640:B661,0),1)," ")</f>
        <v>C15</v>
      </c>
      <c r="D643" s="8">
        <f t="shared" si="2643"/>
        <v>0</v>
      </c>
      <c r="E643" s="8">
        <f t="shared" si="2644"/>
        <v>0</v>
      </c>
      <c r="F643" s="8">
        <f t="shared" si="2645"/>
        <v>0</v>
      </c>
      <c r="G643" s="8">
        <f t="shared" si="2646"/>
        <v>1</v>
      </c>
      <c r="H643" s="8">
        <f t="shared" si="2647"/>
        <v>0</v>
      </c>
      <c r="I643" s="8">
        <f t="shared" si="2648"/>
        <v>0</v>
      </c>
      <c r="J643" s="8">
        <f t="shared" si="2649"/>
        <v>0</v>
      </c>
      <c r="K643" s="8">
        <f t="shared" si="2650"/>
        <v>0</v>
      </c>
      <c r="L643" s="8">
        <f t="shared" si="2651"/>
        <v>0</v>
      </c>
      <c r="M643" s="8">
        <f t="shared" si="2652"/>
        <v>0</v>
      </c>
      <c r="N643" s="8">
        <f t="shared" si="2653"/>
        <v>0</v>
      </c>
      <c r="O643" s="8">
        <f t="shared" si="2654"/>
        <v>0</v>
      </c>
      <c r="P643" s="8" t="e">
        <v>#NUM!</v>
      </c>
      <c r="Q643" s="8" t="e">
        <f t="shared" ref="Q643" si="2679">IF(COUNTIF(P640:P650,"&lt;"&amp;-0.001)=0,IF(ABS(P643)&lt;0.001,0,P643)," ")</f>
        <v>#NUM!</v>
      </c>
      <c r="R643" s="8"/>
      <c r="S643" s="8"/>
      <c r="U643" s="34"/>
      <c r="V643" s="34"/>
      <c r="W643" s="34"/>
      <c r="X643" s="34"/>
      <c r="Y643" s="34"/>
      <c r="Z643" s="34"/>
      <c r="AA643" s="34"/>
      <c r="AB643" s="34"/>
      <c r="AC643" s="34"/>
      <c r="AD643" s="34"/>
      <c r="AE643" s="34"/>
      <c r="AF643" s="34"/>
      <c r="AG643" s="34"/>
      <c r="AH643" s="34"/>
      <c r="AI643" s="34"/>
      <c r="AJ643" s="34"/>
      <c r="AK643" s="34"/>
      <c r="AL643" s="34"/>
      <c r="AM643" s="34"/>
      <c r="AN643" s="34"/>
      <c r="AO643" s="34"/>
      <c r="AP643" s="34"/>
      <c r="AQ643" s="34"/>
      <c r="AR643" s="34"/>
      <c r="AS643" s="34"/>
      <c r="AT643" s="34"/>
      <c r="AU643" s="34"/>
      <c r="AV643" s="34"/>
      <c r="AW643" s="34"/>
      <c r="AX643" s="34"/>
      <c r="AY643" s="34"/>
      <c r="AZ643" s="34"/>
      <c r="BA643" s="34"/>
      <c r="BB643" s="34"/>
      <c r="BC643" s="34"/>
      <c r="BD643" s="34"/>
      <c r="BE643" s="34"/>
      <c r="BF643" s="34"/>
      <c r="BG643" s="34"/>
      <c r="BH643" s="34"/>
      <c r="BI643" s="34"/>
      <c r="BJ643" s="34"/>
      <c r="BK643" s="34"/>
      <c r="BL643" s="34"/>
      <c r="BM643" s="34"/>
      <c r="BN643" s="34"/>
      <c r="BO643" s="34"/>
      <c r="BP643" s="34"/>
      <c r="BQ643" s="34"/>
      <c r="BR643" s="34"/>
      <c r="BS643" s="34"/>
      <c r="BT643" s="34"/>
      <c r="BU643" s="34"/>
      <c r="BV643" s="34"/>
      <c r="BW643" s="34"/>
      <c r="BX643" s="34"/>
      <c r="BY643" s="34"/>
      <c r="BZ643" s="34"/>
      <c r="CA643" s="34"/>
      <c r="CB643" s="34"/>
      <c r="CC643" s="34"/>
      <c r="CD643" s="34"/>
      <c r="CE643" s="34"/>
      <c r="CF643" s="34"/>
      <c r="CG643" s="34"/>
      <c r="CH643" s="34"/>
      <c r="CI643" s="8"/>
    </row>
    <row r="644" spans="1:87" x14ac:dyDescent="0.2">
      <c r="A644" s="8" t="str">
        <f>IF(AND(COUNTIF(W$3:W$13,A$19)&gt;0,A$19&lt;&gt;B546),A$19,IFERROR(IF(MATCH(A$19,Z$3:Z$13,0)=5,A$19," ")," "))</f>
        <v xml:space="preserve"> </v>
      </c>
      <c r="B644" s="8" t="str">
        <f>IF(A644=" "," ",MAX(B640:B643)+1)</f>
        <v xml:space="preserve"> </v>
      </c>
      <c r="C644" s="8" t="str">
        <f>IFERROR(INDEX(A640:A661,MATCH(SMALL(B640:B661,5),B640:B661,0),1)," ")</f>
        <v>C16</v>
      </c>
      <c r="D644" s="8">
        <f t="shared" si="2643"/>
        <v>0</v>
      </c>
      <c r="E644" s="8">
        <f t="shared" si="2644"/>
        <v>0</v>
      </c>
      <c r="F644" s="8">
        <f t="shared" si="2645"/>
        <v>0</v>
      </c>
      <c r="G644" s="8">
        <f t="shared" si="2646"/>
        <v>0</v>
      </c>
      <c r="H644" s="8">
        <f t="shared" si="2647"/>
        <v>1</v>
      </c>
      <c r="I644" s="8">
        <f t="shared" si="2648"/>
        <v>0</v>
      </c>
      <c r="J644" s="8">
        <f t="shared" si="2649"/>
        <v>0</v>
      </c>
      <c r="K644" s="8">
        <f t="shared" si="2650"/>
        <v>0</v>
      </c>
      <c r="L644" s="8">
        <f t="shared" si="2651"/>
        <v>0</v>
      </c>
      <c r="M644" s="8">
        <f t="shared" si="2652"/>
        <v>0</v>
      </c>
      <c r="N644" s="8">
        <f t="shared" si="2653"/>
        <v>0</v>
      </c>
      <c r="O644" s="8">
        <f t="shared" si="2654"/>
        <v>0</v>
      </c>
      <c r="P644" s="8" t="e">
        <v>#NUM!</v>
      </c>
      <c r="Q644" s="8" t="e">
        <f t="shared" ref="Q644" si="2680">IF(COUNTIF(P640:P650,"&lt;"&amp;-0.001)=0,IF(ABS(P644)&lt;0.001,0,P644)," ")</f>
        <v>#NUM!</v>
      </c>
      <c r="R644" s="8"/>
      <c r="S644" s="8"/>
      <c r="U644" s="34"/>
      <c r="V644" s="34"/>
      <c r="W644" s="34"/>
      <c r="X644" s="34"/>
      <c r="Y644" s="34"/>
      <c r="Z644" s="34"/>
      <c r="AA644" s="34"/>
      <c r="AB644" s="34"/>
      <c r="AC644" s="34"/>
      <c r="AD644" s="34"/>
      <c r="AE644" s="34"/>
      <c r="AF644" s="34"/>
      <c r="AG644" s="34"/>
      <c r="AH644" s="34"/>
      <c r="AI644" s="34"/>
      <c r="AJ644" s="34"/>
      <c r="AK644" s="34"/>
      <c r="AL644" s="34"/>
      <c r="AM644" s="34"/>
      <c r="AN644" s="34"/>
      <c r="AO644" s="34"/>
      <c r="AP644" s="34"/>
      <c r="AQ644" s="34"/>
      <c r="AR644" s="34"/>
      <c r="AS644" s="34"/>
      <c r="AT644" s="34"/>
      <c r="AU644" s="34"/>
      <c r="AV644" s="34"/>
      <c r="AW644" s="34"/>
      <c r="AX644" s="34"/>
      <c r="AY644" s="34"/>
      <c r="AZ644" s="34"/>
      <c r="BA644" s="34"/>
      <c r="BB644" s="34"/>
      <c r="BC644" s="34"/>
      <c r="BD644" s="34"/>
      <c r="BE644" s="34"/>
      <c r="BF644" s="34"/>
      <c r="BG644" s="34"/>
      <c r="BH644" s="34"/>
      <c r="BI644" s="34"/>
      <c r="BJ644" s="34"/>
      <c r="BK644" s="34"/>
      <c r="BL644" s="34"/>
      <c r="BM644" s="34"/>
      <c r="BN644" s="34"/>
      <c r="BO644" s="34"/>
      <c r="BP644" s="34"/>
      <c r="BQ644" s="34"/>
      <c r="BR644" s="34"/>
      <c r="BS644" s="34"/>
      <c r="BT644" s="34"/>
      <c r="BU644" s="34"/>
      <c r="BV644" s="34"/>
      <c r="BW644" s="34"/>
      <c r="BX644" s="34"/>
      <c r="BY644" s="34"/>
      <c r="BZ644" s="34"/>
      <c r="CA644" s="34"/>
      <c r="CB644" s="34"/>
      <c r="CC644" s="34"/>
      <c r="CD644" s="34"/>
      <c r="CE644" s="34"/>
      <c r="CF644" s="34"/>
      <c r="CG644" s="34"/>
      <c r="CH644" s="34"/>
      <c r="CI644" s="8"/>
    </row>
    <row r="645" spans="1:87" x14ac:dyDescent="0.2">
      <c r="A645" s="8" t="str">
        <f>IF(AND(COUNTIF(W$3:W$13,A$20)&gt;0,A$20&lt;&gt;B546),A$20,IFERROR(IF(MATCH(A$20,Z$3:Z$13,0)=5,A$20," ")," "))</f>
        <v xml:space="preserve"> </v>
      </c>
      <c r="B645" s="8" t="str">
        <f>IF(A645=" "," ",MAX(B640:B644)+1)</f>
        <v xml:space="preserve"> </v>
      </c>
      <c r="C645" s="8" t="str">
        <f>IFERROR(INDEX(A640:A661,MATCH(SMALL(B640:B661,6),B640:B661,0),1)," ")</f>
        <v>C17</v>
      </c>
      <c r="D645" s="8">
        <f t="shared" si="2643"/>
        <v>0</v>
      </c>
      <c r="E645" s="8">
        <f t="shared" si="2644"/>
        <v>0</v>
      </c>
      <c r="F645" s="8">
        <f t="shared" si="2645"/>
        <v>0</v>
      </c>
      <c r="G645" s="8">
        <f t="shared" si="2646"/>
        <v>0</v>
      </c>
      <c r="H645" s="8">
        <f t="shared" si="2647"/>
        <v>0</v>
      </c>
      <c r="I645" s="8">
        <f t="shared" si="2648"/>
        <v>1</v>
      </c>
      <c r="J645" s="8">
        <f t="shared" si="2649"/>
        <v>0</v>
      </c>
      <c r="K645" s="8">
        <f t="shared" si="2650"/>
        <v>0</v>
      </c>
      <c r="L645" s="8">
        <f t="shared" si="2651"/>
        <v>0</v>
      </c>
      <c r="M645" s="8">
        <f t="shared" si="2652"/>
        <v>0</v>
      </c>
      <c r="N645" s="8">
        <f t="shared" si="2653"/>
        <v>0</v>
      </c>
      <c r="O645" s="8">
        <f t="shared" si="2654"/>
        <v>0</v>
      </c>
      <c r="P645" s="8" t="e">
        <v>#NUM!</v>
      </c>
      <c r="Q645" s="8" t="e">
        <f t="shared" ref="Q645" si="2681">IF(COUNTIF(P640:P650,"&lt;"&amp;-0.001)=0,IF(ABS(P645)&lt;0.001,0,P645)," ")</f>
        <v>#NUM!</v>
      </c>
      <c r="R645" s="8"/>
      <c r="S645" s="8"/>
      <c r="U645" s="34"/>
      <c r="V645" s="34"/>
      <c r="W645" s="34"/>
      <c r="X645" s="34"/>
      <c r="Y645" s="34"/>
      <c r="Z645" s="34"/>
      <c r="AA645" s="34"/>
      <c r="AB645" s="34"/>
      <c r="AC645" s="34"/>
      <c r="AD645" s="34"/>
      <c r="AE645" s="34"/>
      <c r="AF645" s="34"/>
      <c r="AG645" s="34"/>
      <c r="AH645" s="34"/>
      <c r="AI645" s="34"/>
      <c r="AJ645" s="34"/>
      <c r="AK645" s="34"/>
      <c r="AL645" s="34"/>
      <c r="AM645" s="34"/>
      <c r="AN645" s="34"/>
      <c r="AO645" s="34"/>
      <c r="AP645" s="34"/>
      <c r="AQ645" s="34"/>
      <c r="AR645" s="34"/>
      <c r="AS645" s="34"/>
      <c r="AT645" s="34"/>
      <c r="AU645" s="34"/>
      <c r="AV645" s="34"/>
      <c r="AW645" s="34"/>
      <c r="AX645" s="34"/>
      <c r="AY645" s="34"/>
      <c r="AZ645" s="34"/>
      <c r="BA645" s="34"/>
      <c r="BB645" s="34"/>
      <c r="BC645" s="34"/>
      <c r="BD645" s="34"/>
      <c r="BE645" s="34"/>
      <c r="BF645" s="34"/>
      <c r="BG645" s="34"/>
      <c r="BH645" s="34"/>
      <c r="BI645" s="34"/>
      <c r="BJ645" s="34"/>
      <c r="BK645" s="34"/>
      <c r="BL645" s="34"/>
      <c r="BM645" s="34"/>
      <c r="BN645" s="34"/>
      <c r="BO645" s="34"/>
      <c r="BP645" s="34"/>
      <c r="BQ645" s="34"/>
      <c r="BR645" s="34"/>
      <c r="BS645" s="34"/>
      <c r="BT645" s="34"/>
      <c r="BU645" s="34"/>
      <c r="BV645" s="34"/>
      <c r="BW645" s="34"/>
      <c r="BX645" s="34"/>
      <c r="BY645" s="34"/>
      <c r="BZ645" s="34"/>
      <c r="CA645" s="34"/>
      <c r="CB645" s="34"/>
      <c r="CC645" s="34"/>
      <c r="CD645" s="34"/>
      <c r="CE645" s="34"/>
      <c r="CF645" s="34"/>
      <c r="CG645" s="34"/>
      <c r="CH645" s="34"/>
      <c r="CI645" s="8"/>
    </row>
    <row r="646" spans="1:87" x14ac:dyDescent="0.2">
      <c r="A646" s="8" t="str">
        <f>IF(AND(COUNTIF(W$3:W$13,A$21)&gt;0,A$21&lt;&gt;B546),A$21,IFERROR(IF(MATCH(A$21,Z$3:Z$13,0)=5,A$21," ")," "))</f>
        <v>C7</v>
      </c>
      <c r="B646" s="8">
        <f>IF(A646=" "," ",MAX(B640:B645)+1)</f>
        <v>3</v>
      </c>
      <c r="C646" s="8" t="str">
        <f>IFERROR(INDEX(A640:A661,MATCH(SMALL(B640:B661,7),B640:B661,0),1)," ")</f>
        <v>C18</v>
      </c>
      <c r="D646" s="8">
        <f t="shared" si="2643"/>
        <v>0</v>
      </c>
      <c r="E646" s="8">
        <f t="shared" si="2644"/>
        <v>0</v>
      </c>
      <c r="F646" s="8">
        <f t="shared" si="2645"/>
        <v>0</v>
      </c>
      <c r="G646" s="8">
        <f t="shared" si="2646"/>
        <v>0</v>
      </c>
      <c r="H646" s="8">
        <f t="shared" si="2647"/>
        <v>0</v>
      </c>
      <c r="I646" s="8">
        <f t="shared" si="2648"/>
        <v>0</v>
      </c>
      <c r="J646" s="8">
        <f t="shared" si="2649"/>
        <v>1</v>
      </c>
      <c r="K646" s="8">
        <f t="shared" si="2650"/>
        <v>0</v>
      </c>
      <c r="L646" s="8">
        <f t="shared" si="2651"/>
        <v>0</v>
      </c>
      <c r="M646" s="8">
        <f t="shared" si="2652"/>
        <v>0</v>
      </c>
      <c r="N646" s="8">
        <f t="shared" si="2653"/>
        <v>0</v>
      </c>
      <c r="O646" s="8">
        <f t="shared" si="2654"/>
        <v>0</v>
      </c>
      <c r="P646" s="8" t="e">
        <v>#NUM!</v>
      </c>
      <c r="Q646" s="8" t="e">
        <f t="shared" ref="Q646" si="2682">IF(COUNTIF(P640:P650,"&lt;"&amp;-0.001)=0,IF(ABS(P646)&lt;0.001,0,P646)," ")</f>
        <v>#NUM!</v>
      </c>
      <c r="R646" s="8"/>
      <c r="S646" s="8"/>
      <c r="U646" s="34"/>
      <c r="V646" s="34"/>
      <c r="W646" s="34"/>
      <c r="X646" s="34"/>
      <c r="Y646" s="34"/>
      <c r="Z646" s="34"/>
      <c r="AA646" s="34"/>
      <c r="AB646" s="34"/>
      <c r="AC646" s="34"/>
      <c r="AD646" s="34"/>
      <c r="AE646" s="34"/>
      <c r="AF646" s="34"/>
      <c r="AG646" s="34"/>
      <c r="AH646" s="34"/>
      <c r="AI646" s="34"/>
      <c r="AJ646" s="34"/>
      <c r="AK646" s="34"/>
      <c r="AL646" s="34"/>
      <c r="AM646" s="34"/>
      <c r="AN646" s="34"/>
      <c r="AO646" s="34"/>
      <c r="AP646" s="34"/>
      <c r="AQ646" s="34"/>
      <c r="AR646" s="34"/>
      <c r="AS646" s="34"/>
      <c r="AT646" s="34"/>
      <c r="AU646" s="34"/>
      <c r="AV646" s="34"/>
      <c r="AW646" s="34"/>
      <c r="AX646" s="34"/>
      <c r="AY646" s="34"/>
      <c r="AZ646" s="34"/>
      <c r="BA646" s="34"/>
      <c r="BB646" s="34"/>
      <c r="BC646" s="34"/>
      <c r="BD646" s="34"/>
      <c r="BE646" s="34"/>
      <c r="BF646" s="34"/>
      <c r="BG646" s="34"/>
      <c r="BH646" s="34"/>
      <c r="BI646" s="34"/>
      <c r="BJ646" s="34"/>
      <c r="BK646" s="34"/>
      <c r="BL646" s="34"/>
      <c r="BM646" s="34"/>
      <c r="BN646" s="34"/>
      <c r="BO646" s="34"/>
      <c r="BP646" s="34"/>
      <c r="BQ646" s="34"/>
      <c r="BR646" s="34"/>
      <c r="BS646" s="34"/>
      <c r="BT646" s="34"/>
      <c r="BU646" s="34"/>
      <c r="BV646" s="34"/>
      <c r="BW646" s="34"/>
      <c r="BX646" s="34"/>
      <c r="BY646" s="34"/>
      <c r="BZ646" s="34"/>
      <c r="CA646" s="34"/>
      <c r="CB646" s="34"/>
      <c r="CC646" s="34"/>
      <c r="CD646" s="34"/>
      <c r="CE646" s="34"/>
      <c r="CF646" s="34"/>
      <c r="CG646" s="34"/>
      <c r="CH646" s="34"/>
      <c r="CI646" s="8"/>
    </row>
    <row r="647" spans="1:87" x14ac:dyDescent="0.2">
      <c r="A647" s="8" t="str">
        <f>IF(AND(COUNTIF(W$3:W$13,A$22)&gt;0,A$22&lt;&gt;B546),A$22,IFERROR(IF(MATCH(A$22,Z$3:Z$13,0)=5,A$22," ")," "))</f>
        <v xml:space="preserve"> </v>
      </c>
      <c r="B647" s="8" t="str">
        <f>IF(A647=" "," ",MAX(B640:B646)+1)</f>
        <v xml:space="preserve"> </v>
      </c>
      <c r="C647" s="8" t="str">
        <f>IFERROR(INDEX(A640:A661,MATCH(SMALL(B640:B661,8),B640:B661,0),1)," ")</f>
        <v>C19</v>
      </c>
      <c r="D647" s="8">
        <f t="shared" si="2643"/>
        <v>0</v>
      </c>
      <c r="E647" s="8">
        <f t="shared" si="2644"/>
        <v>0</v>
      </c>
      <c r="F647" s="8">
        <f t="shared" si="2645"/>
        <v>0</v>
      </c>
      <c r="G647" s="8">
        <f t="shared" si="2646"/>
        <v>0</v>
      </c>
      <c r="H647" s="8">
        <f t="shared" si="2647"/>
        <v>0</v>
      </c>
      <c r="I647" s="8">
        <f t="shared" si="2648"/>
        <v>0</v>
      </c>
      <c r="J647" s="8">
        <f t="shared" si="2649"/>
        <v>0</v>
      </c>
      <c r="K647" s="8">
        <f t="shared" si="2650"/>
        <v>1</v>
      </c>
      <c r="L647" s="8">
        <f t="shared" si="2651"/>
        <v>0</v>
      </c>
      <c r="M647" s="8">
        <f t="shared" si="2652"/>
        <v>0</v>
      </c>
      <c r="N647" s="8">
        <f t="shared" si="2653"/>
        <v>0</v>
      </c>
      <c r="O647" s="8">
        <f t="shared" si="2654"/>
        <v>0</v>
      </c>
      <c r="P647" s="8" t="e">
        <v>#NUM!</v>
      </c>
      <c r="Q647" s="8" t="e">
        <f t="shared" ref="Q647" si="2683">IF(COUNTIF(P640:P650,"&lt;"&amp;-0.001)=0,IF(ABS(P647)&lt;0.001,0,P647)," ")</f>
        <v>#NUM!</v>
      </c>
      <c r="R647" s="8"/>
      <c r="S647" s="8"/>
      <c r="U647" s="34"/>
      <c r="V647" s="34"/>
      <c r="W647" s="34"/>
      <c r="X647" s="34"/>
      <c r="Y647" s="34"/>
      <c r="Z647" s="34"/>
      <c r="AA647" s="34"/>
      <c r="AB647" s="34"/>
      <c r="AC647" s="34"/>
      <c r="AD647" s="34"/>
      <c r="AE647" s="34"/>
      <c r="AF647" s="34"/>
      <c r="AG647" s="34"/>
      <c r="AH647" s="34"/>
      <c r="AI647" s="34"/>
      <c r="AJ647" s="34"/>
      <c r="AK647" s="34"/>
      <c r="AL647" s="34"/>
      <c r="AM647" s="34"/>
      <c r="AN647" s="34"/>
      <c r="AO647" s="34"/>
      <c r="AP647" s="34"/>
      <c r="AQ647" s="34"/>
      <c r="AR647" s="34"/>
      <c r="AS647" s="34"/>
      <c r="AT647" s="34"/>
      <c r="AU647" s="34"/>
      <c r="AV647" s="34"/>
      <c r="AW647" s="34"/>
      <c r="AX647" s="34"/>
      <c r="AY647" s="34"/>
      <c r="AZ647" s="34"/>
      <c r="BA647" s="34"/>
      <c r="BB647" s="34"/>
      <c r="BC647" s="34"/>
      <c r="BD647" s="34"/>
      <c r="BE647" s="34"/>
      <c r="BF647" s="34"/>
      <c r="BG647" s="34"/>
      <c r="BH647" s="34"/>
      <c r="BI647" s="34"/>
      <c r="BJ647" s="34"/>
      <c r="BK647" s="34"/>
      <c r="BL647" s="34"/>
      <c r="BM647" s="34"/>
      <c r="BN647" s="34"/>
      <c r="BO647" s="34"/>
      <c r="BP647" s="34"/>
      <c r="BQ647" s="34"/>
      <c r="BR647" s="34"/>
      <c r="BS647" s="34"/>
      <c r="BT647" s="34"/>
      <c r="BU647" s="34"/>
      <c r="BV647" s="34"/>
      <c r="BW647" s="34"/>
      <c r="BX647" s="34"/>
      <c r="BY647" s="34"/>
      <c r="BZ647" s="34"/>
      <c r="CA647" s="34"/>
      <c r="CB647" s="34"/>
      <c r="CC647" s="34"/>
      <c r="CD647" s="34"/>
      <c r="CE647" s="34"/>
      <c r="CF647" s="34"/>
      <c r="CG647" s="34"/>
      <c r="CH647" s="34"/>
      <c r="CI647" s="8"/>
    </row>
    <row r="648" spans="1:87" x14ac:dyDescent="0.2">
      <c r="A648" s="8" t="str">
        <f>IF(AND(COUNTIF(W$3:W$13,A$23)&gt;0,A$23&lt;&gt;B546),A$23,IFERROR(IF(MATCH(A$23,Z$3:Z$13,0)=5,A$23," ")," "))</f>
        <v xml:space="preserve"> </v>
      </c>
      <c r="B648" s="8" t="str">
        <f>IF(A648=" "," ",MAX(B640:B647)+1)</f>
        <v xml:space="preserve"> </v>
      </c>
      <c r="C648" s="8" t="str">
        <f>IFERROR(INDEX(A640:A661,MATCH(SMALL(B640:B661,9),B640:B661,0),1)," ")</f>
        <v>C20</v>
      </c>
      <c r="D648" s="8">
        <f t="shared" si="2643"/>
        <v>0</v>
      </c>
      <c r="E648" s="8">
        <f t="shared" si="2644"/>
        <v>0</v>
      </c>
      <c r="F648" s="8">
        <f t="shared" si="2645"/>
        <v>0</v>
      </c>
      <c r="G648" s="8">
        <f t="shared" si="2646"/>
        <v>0</v>
      </c>
      <c r="H648" s="8">
        <f t="shared" si="2647"/>
        <v>0</v>
      </c>
      <c r="I648" s="8">
        <f t="shared" si="2648"/>
        <v>0</v>
      </c>
      <c r="J648" s="8">
        <f t="shared" si="2649"/>
        <v>0</v>
      </c>
      <c r="K648" s="8">
        <f t="shared" si="2650"/>
        <v>0</v>
      </c>
      <c r="L648" s="8">
        <f t="shared" si="2651"/>
        <v>1</v>
      </c>
      <c r="M648" s="8">
        <f t="shared" si="2652"/>
        <v>0</v>
      </c>
      <c r="N648" s="8">
        <f t="shared" si="2653"/>
        <v>0</v>
      </c>
      <c r="O648" s="8">
        <f t="shared" si="2654"/>
        <v>0</v>
      </c>
      <c r="P648" s="6" t="e">
        <v>#NUM!</v>
      </c>
      <c r="Q648" s="8" t="e">
        <f t="shared" ref="Q648" si="2684">IF(COUNTIF(P640:P650,"&lt;"&amp;-0.001)=0,IF(ABS(P648)&lt;0.001,0,P648)," ")</f>
        <v>#NUM!</v>
      </c>
      <c r="R648" s="8"/>
      <c r="S648" s="8"/>
      <c r="U648" s="34"/>
      <c r="V648" s="34"/>
      <c r="W648" s="34"/>
      <c r="X648" s="34"/>
      <c r="Y648" s="34"/>
      <c r="Z648" s="34"/>
      <c r="AA648" s="34"/>
      <c r="AB648" s="34"/>
      <c r="AC648" s="34"/>
      <c r="AD648" s="34"/>
      <c r="AE648" s="34"/>
      <c r="AF648" s="34"/>
      <c r="AG648" s="34"/>
      <c r="AH648" s="34"/>
      <c r="AI648" s="34"/>
      <c r="AJ648" s="34"/>
      <c r="AK648" s="34"/>
      <c r="AL648" s="34"/>
      <c r="AM648" s="34"/>
      <c r="AN648" s="34"/>
      <c r="AO648" s="34"/>
      <c r="AP648" s="34"/>
      <c r="AQ648" s="34"/>
      <c r="AR648" s="34"/>
      <c r="AS648" s="34"/>
      <c r="AT648" s="34"/>
      <c r="AU648" s="34"/>
      <c r="AV648" s="34"/>
      <c r="AW648" s="34"/>
      <c r="AX648" s="34"/>
      <c r="AY648" s="34"/>
      <c r="AZ648" s="34"/>
      <c r="BA648" s="34"/>
      <c r="BB648" s="34"/>
      <c r="BC648" s="34"/>
      <c r="BD648" s="34"/>
      <c r="BE648" s="34"/>
      <c r="BF648" s="34"/>
      <c r="BG648" s="34"/>
      <c r="BH648" s="34"/>
      <c r="BI648" s="34"/>
      <c r="BJ648" s="34"/>
      <c r="BK648" s="34"/>
      <c r="BL648" s="34"/>
      <c r="BM648" s="34"/>
      <c r="BN648" s="34"/>
      <c r="BO648" s="34"/>
      <c r="BP648" s="34"/>
      <c r="BQ648" s="34"/>
      <c r="BR648" s="34"/>
      <c r="BS648" s="34"/>
      <c r="BT648" s="34"/>
      <c r="BU648" s="34"/>
      <c r="BV648" s="34"/>
      <c r="BW648" s="34"/>
      <c r="BX648" s="34"/>
      <c r="BY648" s="34"/>
      <c r="BZ648" s="34"/>
      <c r="CA648" s="34"/>
      <c r="CB648" s="34"/>
      <c r="CC648" s="34"/>
      <c r="CD648" s="34"/>
      <c r="CE648" s="34"/>
      <c r="CF648" s="34"/>
      <c r="CG648" s="34"/>
      <c r="CH648" s="34"/>
      <c r="CI648" s="8"/>
    </row>
    <row r="649" spans="1:87" x14ac:dyDescent="0.2">
      <c r="A649" s="8" t="str">
        <f>IF(AND(COUNTIF(W$3:W$13,A$24)&gt;0,A$24&lt;&gt;B546),A$24,IFERROR(IF(MATCH(A$24,Z$3:Z$13,0)=5,A$24," ")," "))</f>
        <v xml:space="preserve"> </v>
      </c>
      <c r="B649" s="8" t="str">
        <f>IF(A649=" "," ",MAX(B640:B648)+1)</f>
        <v xml:space="preserve"> </v>
      </c>
      <c r="C649" s="8" t="str">
        <f>IFERROR(INDEX(A640:A661,MATCH(SMALL(B640:B661,10),B640:B661,0),1)," ")</f>
        <v>C21</v>
      </c>
      <c r="D649" s="8">
        <f t="shared" si="2643"/>
        <v>0</v>
      </c>
      <c r="E649" s="8">
        <f t="shared" si="2644"/>
        <v>0</v>
      </c>
      <c r="F649" s="8">
        <f t="shared" si="2645"/>
        <v>0</v>
      </c>
      <c r="G649" s="8">
        <f t="shared" si="2646"/>
        <v>0</v>
      </c>
      <c r="H649" s="8">
        <f t="shared" si="2647"/>
        <v>0</v>
      </c>
      <c r="I649" s="8">
        <f t="shared" si="2648"/>
        <v>0</v>
      </c>
      <c r="J649" s="8">
        <f t="shared" si="2649"/>
        <v>0</v>
      </c>
      <c r="K649" s="8">
        <f t="shared" si="2650"/>
        <v>0</v>
      </c>
      <c r="L649" s="8">
        <f t="shared" si="2651"/>
        <v>0</v>
      </c>
      <c r="M649" s="8">
        <f t="shared" si="2652"/>
        <v>1</v>
      </c>
      <c r="N649" s="8">
        <f t="shared" si="2653"/>
        <v>0</v>
      </c>
      <c r="O649" s="8">
        <f t="shared" si="2654"/>
        <v>0</v>
      </c>
      <c r="P649" s="8" t="e">
        <v>#NUM!</v>
      </c>
      <c r="Q649" s="8" t="e">
        <f t="shared" ref="Q649" si="2685">IF(COUNTIF(P640:P650,"&lt;"&amp;-0.001)=0,IF(ABS(P649)&lt;0.001,0,P649)," ")</f>
        <v>#NUM!</v>
      </c>
      <c r="R649" s="8"/>
      <c r="S649" s="8"/>
      <c r="U649" s="34"/>
      <c r="V649" s="34"/>
      <c r="W649" s="34"/>
      <c r="X649" s="34"/>
      <c r="Y649" s="34"/>
      <c r="Z649" s="34"/>
      <c r="AA649" s="34"/>
      <c r="AB649" s="34"/>
      <c r="AC649" s="34"/>
      <c r="AD649" s="34"/>
      <c r="AE649" s="34"/>
      <c r="AF649" s="34"/>
      <c r="AG649" s="34"/>
      <c r="AH649" s="34"/>
      <c r="AI649" s="34"/>
      <c r="AJ649" s="34"/>
      <c r="AK649" s="34"/>
      <c r="AL649" s="34"/>
      <c r="AM649" s="34"/>
      <c r="AN649" s="34"/>
      <c r="AO649" s="34"/>
      <c r="AP649" s="34"/>
      <c r="AQ649" s="34"/>
      <c r="AR649" s="34"/>
      <c r="AS649" s="34"/>
      <c r="AT649" s="34"/>
      <c r="AU649" s="34"/>
      <c r="AV649" s="34"/>
      <c r="AW649" s="34"/>
      <c r="AX649" s="34"/>
      <c r="AY649" s="34"/>
      <c r="AZ649" s="34"/>
      <c r="BA649" s="34"/>
      <c r="BB649" s="34"/>
      <c r="BC649" s="34"/>
      <c r="BD649" s="34"/>
      <c r="BE649" s="34"/>
      <c r="BF649" s="34"/>
      <c r="BG649" s="34"/>
      <c r="BH649" s="34"/>
      <c r="BI649" s="34"/>
      <c r="BJ649" s="34"/>
      <c r="BK649" s="34"/>
      <c r="BL649" s="34"/>
      <c r="BM649" s="34"/>
      <c r="BN649" s="34"/>
      <c r="BO649" s="34"/>
      <c r="BP649" s="34"/>
      <c r="BQ649" s="34"/>
      <c r="BR649" s="34"/>
      <c r="BS649" s="34"/>
      <c r="BT649" s="34"/>
      <c r="BU649" s="34"/>
      <c r="BV649" s="34"/>
      <c r="BW649" s="34"/>
      <c r="BX649" s="34"/>
      <c r="BY649" s="34"/>
      <c r="BZ649" s="34"/>
      <c r="CA649" s="34"/>
      <c r="CB649" s="34"/>
      <c r="CC649" s="34"/>
      <c r="CD649" s="34"/>
      <c r="CE649" s="34"/>
      <c r="CF649" s="34"/>
      <c r="CG649" s="34"/>
      <c r="CH649" s="34"/>
      <c r="CI649" s="8"/>
    </row>
    <row r="650" spans="1:87" x14ac:dyDescent="0.2">
      <c r="A650" s="8" t="str">
        <f>IF(AND(COUNTIF(W$3:W$13,A$25)&gt;0,A$25&lt;&gt;B546),A$25,IFERROR(IF(MATCH(A$25,Z$3:Z$13,0)=5,A$25," ")," "))</f>
        <v xml:space="preserve"> </v>
      </c>
      <c r="B650" s="8" t="str">
        <f>IF(A650=" "," ",MAX(B640:B649)+1)</f>
        <v xml:space="preserve"> </v>
      </c>
      <c r="C650" s="8" t="str">
        <f>IFERROR(INDEX(A640:A661,MATCH(SMALL(B640:B661,11),B640:B661,0),1)," ")</f>
        <v>C22</v>
      </c>
      <c r="D650" s="8">
        <f t="shared" si="2643"/>
        <v>0</v>
      </c>
      <c r="E650" s="8">
        <f t="shared" si="2644"/>
        <v>0</v>
      </c>
      <c r="F650" s="8">
        <f t="shared" si="2645"/>
        <v>0</v>
      </c>
      <c r="G650" s="8">
        <f t="shared" si="2646"/>
        <v>0</v>
      </c>
      <c r="H650" s="8">
        <f t="shared" si="2647"/>
        <v>0</v>
      </c>
      <c r="I650" s="8">
        <f t="shared" si="2648"/>
        <v>0</v>
      </c>
      <c r="J650" s="8">
        <f t="shared" si="2649"/>
        <v>0</v>
      </c>
      <c r="K650" s="8">
        <f t="shared" si="2650"/>
        <v>0</v>
      </c>
      <c r="L650" s="8">
        <f t="shared" si="2651"/>
        <v>0</v>
      </c>
      <c r="M650" s="8">
        <f t="shared" si="2652"/>
        <v>0</v>
      </c>
      <c r="N650" s="8">
        <f t="shared" si="2653"/>
        <v>1</v>
      </c>
      <c r="O650" s="8">
        <f t="shared" si="2654"/>
        <v>0</v>
      </c>
      <c r="P650" s="8" t="e">
        <v>#NUM!</v>
      </c>
      <c r="Q650" s="8" t="e">
        <f t="shared" ref="Q650" si="2686">IF(COUNTIF(P640:P650,"&lt;"&amp;-0.001)=0,IF(ABS(P650)&lt;0.001,0,P650)," ")</f>
        <v>#NUM!</v>
      </c>
      <c r="R650" s="8"/>
      <c r="S650" s="8"/>
      <c r="U650" s="34"/>
      <c r="V650" s="34"/>
      <c r="W650" s="34"/>
      <c r="X650" s="34"/>
      <c r="Y650" s="34"/>
      <c r="Z650" s="34"/>
      <c r="AA650" s="34"/>
      <c r="AB650" s="34"/>
      <c r="AC650" s="34"/>
      <c r="AD650" s="34"/>
      <c r="AE650" s="34"/>
      <c r="AF650" s="34"/>
      <c r="AG650" s="34"/>
      <c r="AH650" s="34"/>
      <c r="AI650" s="34"/>
      <c r="AJ650" s="34"/>
      <c r="AK650" s="34"/>
      <c r="AL650" s="34"/>
      <c r="AM650" s="34"/>
      <c r="AN650" s="34"/>
      <c r="AO650" s="34"/>
      <c r="AP650" s="34"/>
      <c r="AQ650" s="34"/>
      <c r="AR650" s="34"/>
      <c r="AS650" s="34"/>
      <c r="AT650" s="34"/>
      <c r="AU650" s="34"/>
      <c r="AV650" s="34"/>
      <c r="AW650" s="34"/>
      <c r="AX650" s="34"/>
      <c r="AY650" s="34"/>
      <c r="AZ650" s="34"/>
      <c r="BA650" s="34"/>
      <c r="BB650" s="34"/>
      <c r="BC650" s="34"/>
      <c r="BD650" s="34"/>
      <c r="BE650" s="34"/>
      <c r="BF650" s="34"/>
      <c r="BG650" s="34"/>
      <c r="BH650" s="34"/>
      <c r="BI650" s="34"/>
      <c r="BJ650" s="34"/>
      <c r="BK650" s="34"/>
      <c r="BL650" s="34"/>
      <c r="BM650" s="34"/>
      <c r="BN650" s="34"/>
      <c r="BO650" s="34"/>
      <c r="BP650" s="34"/>
      <c r="BQ650" s="34"/>
      <c r="BR650" s="34"/>
      <c r="BS650" s="34"/>
      <c r="BT650" s="34"/>
      <c r="BU650" s="34"/>
      <c r="BV650" s="34"/>
      <c r="BW650" s="34"/>
      <c r="BX650" s="34"/>
      <c r="BY650" s="34"/>
      <c r="BZ650" s="34"/>
      <c r="CA650" s="34"/>
      <c r="CB650" s="34"/>
      <c r="CC650" s="34"/>
      <c r="CD650" s="34"/>
      <c r="CE650" s="34"/>
      <c r="CF650" s="34"/>
      <c r="CG650" s="34"/>
      <c r="CH650" s="34"/>
      <c r="CI650" s="8"/>
    </row>
    <row r="651" spans="1:87" x14ac:dyDescent="0.2">
      <c r="A651" s="8" t="str">
        <f>IF(AND(COUNTIF(W$3:W$13,A$26)&gt;0,A$26&lt;&gt;B546),A$26,IFERROR(IF(MATCH(A$26,Z$3:Z$13,0)=5,A$26," ")," "))</f>
        <v xml:space="preserve"> </v>
      </c>
      <c r="B651" s="8" t="str">
        <f>IF(A651=" "," ",MAX(B640:B650)+1)</f>
        <v xml:space="preserve"> </v>
      </c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U651" s="34"/>
      <c r="V651" s="34"/>
      <c r="W651" s="34"/>
      <c r="X651" s="34"/>
      <c r="Y651" s="34"/>
      <c r="Z651" s="34"/>
      <c r="AA651" s="34"/>
      <c r="AB651" s="34"/>
      <c r="AC651" s="34"/>
      <c r="AD651" s="34"/>
      <c r="AE651" s="34"/>
      <c r="AF651" s="34"/>
      <c r="AG651" s="34"/>
      <c r="AH651" s="34"/>
      <c r="AI651" s="34"/>
      <c r="AJ651" s="34"/>
      <c r="AK651" s="34"/>
      <c r="AL651" s="34"/>
      <c r="AM651" s="34"/>
      <c r="AN651" s="34"/>
      <c r="AO651" s="34"/>
      <c r="AP651" s="34"/>
      <c r="AQ651" s="34"/>
      <c r="AR651" s="34"/>
      <c r="AS651" s="34"/>
      <c r="AT651" s="34"/>
      <c r="AU651" s="34"/>
      <c r="AV651" s="34"/>
      <c r="AW651" s="34"/>
      <c r="AX651" s="34"/>
      <c r="AY651" s="34"/>
      <c r="AZ651" s="34"/>
      <c r="BA651" s="34"/>
      <c r="BB651" s="34"/>
      <c r="BC651" s="34"/>
      <c r="BD651" s="34"/>
      <c r="BE651" s="34"/>
      <c r="BF651" s="34"/>
      <c r="BG651" s="34"/>
      <c r="BH651" s="34"/>
      <c r="BI651" s="34"/>
      <c r="BJ651" s="34"/>
      <c r="BK651" s="34"/>
      <c r="BL651" s="34"/>
      <c r="BM651" s="34"/>
      <c r="BN651" s="34"/>
      <c r="BO651" s="34"/>
      <c r="BP651" s="34"/>
      <c r="BQ651" s="34"/>
      <c r="BR651" s="34"/>
      <c r="BS651" s="34"/>
      <c r="BT651" s="34"/>
      <c r="BU651" s="34"/>
      <c r="BV651" s="34"/>
      <c r="BW651" s="34"/>
      <c r="BX651" s="34"/>
      <c r="BY651" s="34"/>
      <c r="BZ651" s="34"/>
      <c r="CA651" s="34"/>
      <c r="CB651" s="34"/>
      <c r="CC651" s="34"/>
      <c r="CD651" s="34"/>
      <c r="CE651" s="34"/>
      <c r="CF651" s="34"/>
      <c r="CG651" s="34"/>
      <c r="CH651" s="34"/>
      <c r="CI651" s="8"/>
    </row>
    <row r="652" spans="1:87" x14ac:dyDescent="0.2">
      <c r="A652" s="8" t="str">
        <f>IF(AND(COUNTIF(W$3:W$13,A$27)&gt;0,A$27&lt;&gt;B546),A$27,IFERROR(IF(MATCH(A$27,Z$3:Z$13,0)=5,A$27," ")," "))</f>
        <v xml:space="preserve"> </v>
      </c>
      <c r="B652" s="8" t="str">
        <f>IF(A652=" "," ",MAX(B640:B651)+1)</f>
        <v xml:space="preserve"> </v>
      </c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U652" s="34"/>
      <c r="V652" s="34"/>
      <c r="W652" s="34"/>
      <c r="X652" s="34"/>
      <c r="Y652" s="34"/>
      <c r="Z652" s="34"/>
      <c r="AA652" s="34"/>
      <c r="AB652" s="34"/>
      <c r="AC652" s="34"/>
      <c r="AD652" s="34"/>
      <c r="AE652" s="34"/>
      <c r="AF652" s="34"/>
      <c r="AG652" s="34"/>
      <c r="AH652" s="34"/>
      <c r="AI652" s="34"/>
      <c r="AJ652" s="34"/>
      <c r="AK652" s="34"/>
      <c r="AL652" s="34"/>
      <c r="AM652" s="34"/>
      <c r="AN652" s="34"/>
      <c r="AO652" s="34"/>
      <c r="AP652" s="34"/>
      <c r="AQ652" s="34"/>
      <c r="AR652" s="34"/>
      <c r="AS652" s="34"/>
      <c r="AT652" s="34"/>
      <c r="AU652" s="34"/>
      <c r="AV652" s="34"/>
      <c r="AW652" s="34"/>
      <c r="AX652" s="34"/>
      <c r="AY652" s="34"/>
      <c r="AZ652" s="34"/>
      <c r="BA652" s="34"/>
      <c r="BB652" s="34"/>
      <c r="BC652" s="34"/>
      <c r="BD652" s="34"/>
      <c r="BE652" s="34"/>
      <c r="BF652" s="34"/>
      <c r="BG652" s="34"/>
      <c r="BH652" s="34"/>
      <c r="BI652" s="34"/>
      <c r="BJ652" s="34"/>
      <c r="BK652" s="34"/>
      <c r="BL652" s="34"/>
      <c r="BM652" s="34"/>
      <c r="BN652" s="34"/>
      <c r="BO652" s="34"/>
      <c r="BP652" s="34"/>
      <c r="BQ652" s="34"/>
      <c r="BR652" s="34"/>
      <c r="BS652" s="34"/>
      <c r="BT652" s="34"/>
      <c r="BU652" s="34"/>
      <c r="BV652" s="34"/>
      <c r="BW652" s="34"/>
      <c r="BX652" s="34"/>
      <c r="BY652" s="34"/>
      <c r="BZ652" s="34"/>
      <c r="CA652" s="34"/>
      <c r="CB652" s="34"/>
      <c r="CC652" s="34"/>
      <c r="CD652" s="34"/>
      <c r="CE652" s="34"/>
      <c r="CF652" s="34"/>
      <c r="CG652" s="34"/>
      <c r="CH652" s="34"/>
      <c r="CI652" s="8"/>
    </row>
    <row r="653" spans="1:87" x14ac:dyDescent="0.2">
      <c r="A653" s="8" t="str">
        <f>IF(AND(COUNTIF(W$3:W$13,A$28)&gt;0,A$28&lt;&gt;B546),A$28,IFERROR(IF(MATCH(A$28,Z$3:Z$13,0)=5,A$28," ")," "))</f>
        <v xml:space="preserve"> </v>
      </c>
      <c r="B653" s="8" t="str">
        <f>IF(A653=" "," ",MAX(B640:B652)+1)</f>
        <v xml:space="preserve"> </v>
      </c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U653" s="34"/>
      <c r="V653" s="34"/>
      <c r="W653" s="34"/>
      <c r="X653" s="34"/>
      <c r="Y653" s="34"/>
      <c r="Z653" s="34"/>
      <c r="AA653" s="34"/>
      <c r="AB653" s="34"/>
      <c r="AC653" s="34"/>
      <c r="AD653" s="34"/>
      <c r="AE653" s="34"/>
      <c r="AF653" s="34"/>
      <c r="AG653" s="34"/>
      <c r="AH653" s="34"/>
      <c r="AI653" s="34"/>
      <c r="AJ653" s="34"/>
      <c r="AK653" s="34"/>
      <c r="AL653" s="34"/>
      <c r="AM653" s="34"/>
      <c r="AN653" s="34"/>
      <c r="AO653" s="34"/>
      <c r="AP653" s="34"/>
      <c r="AQ653" s="34"/>
      <c r="AR653" s="34"/>
      <c r="AS653" s="34"/>
      <c r="AT653" s="34"/>
      <c r="AU653" s="34"/>
      <c r="AV653" s="34"/>
      <c r="AW653" s="34"/>
      <c r="AX653" s="34"/>
      <c r="AY653" s="34"/>
      <c r="AZ653" s="34"/>
      <c r="BA653" s="34"/>
      <c r="BB653" s="34"/>
      <c r="BC653" s="34"/>
      <c r="BD653" s="34"/>
      <c r="BE653" s="34"/>
      <c r="BF653" s="34"/>
      <c r="BG653" s="34"/>
      <c r="BH653" s="34"/>
      <c r="BI653" s="34"/>
      <c r="BJ653" s="34"/>
      <c r="BK653" s="34"/>
      <c r="BL653" s="34"/>
      <c r="BM653" s="34"/>
      <c r="BN653" s="34"/>
      <c r="BO653" s="34"/>
      <c r="BP653" s="34"/>
      <c r="BQ653" s="34"/>
      <c r="BR653" s="34"/>
      <c r="BS653" s="34"/>
      <c r="BT653" s="34"/>
      <c r="BU653" s="34"/>
      <c r="BV653" s="34"/>
      <c r="BW653" s="34"/>
      <c r="BX653" s="34"/>
      <c r="BY653" s="34"/>
      <c r="BZ653" s="34"/>
      <c r="CA653" s="34"/>
      <c r="CB653" s="34"/>
      <c r="CC653" s="34"/>
      <c r="CD653" s="34"/>
      <c r="CE653" s="34"/>
      <c r="CF653" s="34"/>
      <c r="CG653" s="34"/>
      <c r="CH653" s="34"/>
      <c r="CI653" s="8"/>
    </row>
    <row r="654" spans="1:87" x14ac:dyDescent="0.2">
      <c r="A654" s="8" t="str">
        <f>IF(AND(COUNTIF(W$3:W$13,A$29)&gt;0,A$29&lt;&gt;B546),A$29,IFERROR(IF(MATCH(A$29,Z$3:Z$13,0)=5,A$29," ")," "))</f>
        <v>C15</v>
      </c>
      <c r="B654" s="8">
        <f>IF(A654=" "," ",MAX(B640:B653)+1)</f>
        <v>4</v>
      </c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U654" s="34"/>
      <c r="V654" s="34"/>
      <c r="W654" s="34"/>
      <c r="X654" s="34"/>
      <c r="Y654" s="34"/>
      <c r="Z654" s="34"/>
      <c r="AA654" s="34"/>
      <c r="AB654" s="34"/>
      <c r="AC654" s="34"/>
      <c r="AD654" s="34"/>
      <c r="AE654" s="34"/>
      <c r="AF654" s="34"/>
      <c r="AG654" s="34"/>
      <c r="AH654" s="34"/>
      <c r="AI654" s="34"/>
      <c r="AJ654" s="34"/>
      <c r="AK654" s="34"/>
      <c r="AL654" s="34"/>
      <c r="AM654" s="34"/>
      <c r="AN654" s="34"/>
      <c r="AO654" s="34"/>
      <c r="AP654" s="34"/>
      <c r="AQ654" s="34"/>
      <c r="AR654" s="34"/>
      <c r="AS654" s="34"/>
      <c r="AT654" s="34"/>
      <c r="AU654" s="34"/>
      <c r="AV654" s="34"/>
      <c r="AW654" s="34"/>
      <c r="AX654" s="34"/>
      <c r="AY654" s="34"/>
      <c r="AZ654" s="34"/>
      <c r="BA654" s="34"/>
      <c r="BB654" s="34"/>
      <c r="BC654" s="34"/>
      <c r="BD654" s="34"/>
      <c r="BE654" s="34"/>
      <c r="BF654" s="34"/>
      <c r="BG654" s="34"/>
      <c r="BH654" s="34"/>
      <c r="BI654" s="34"/>
      <c r="BJ654" s="34"/>
      <c r="BK654" s="34"/>
      <c r="BL654" s="34"/>
      <c r="BM654" s="34"/>
      <c r="BN654" s="34"/>
      <c r="BO654" s="34"/>
      <c r="BP654" s="34"/>
      <c r="BQ654" s="34"/>
      <c r="BR654" s="34"/>
      <c r="BS654" s="34"/>
      <c r="BT654" s="34"/>
      <c r="BU654" s="34"/>
      <c r="BV654" s="34"/>
      <c r="BW654" s="34"/>
      <c r="BX654" s="34"/>
      <c r="BY654" s="34"/>
      <c r="BZ654" s="34"/>
      <c r="CA654" s="34"/>
      <c r="CB654" s="34"/>
      <c r="CC654" s="34"/>
      <c r="CD654" s="34"/>
      <c r="CE654" s="34"/>
      <c r="CF654" s="34"/>
      <c r="CG654" s="34"/>
      <c r="CH654" s="34"/>
      <c r="CI654" s="8"/>
    </row>
    <row r="655" spans="1:87" x14ac:dyDescent="0.2">
      <c r="A655" s="8" t="str">
        <f>IF(AND(COUNTIF(W$3:W$13,A$30)&gt;0,A$30&lt;&gt;B546),A$30,IFERROR(IF(MATCH(A$30,Z$3:Z$13,0)=5,A$30," ")," "))</f>
        <v>C16</v>
      </c>
      <c r="B655" s="8">
        <f>IF(A655=" "," ",MAX(B640:B654)+1)</f>
        <v>5</v>
      </c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U655" s="34"/>
      <c r="V655" s="34"/>
      <c r="W655" s="34"/>
      <c r="X655" s="34"/>
      <c r="Y655" s="34"/>
      <c r="Z655" s="34"/>
      <c r="AA655" s="34"/>
      <c r="AB655" s="34"/>
      <c r="AC655" s="34"/>
      <c r="AD655" s="34"/>
      <c r="AE655" s="34"/>
      <c r="AF655" s="34"/>
      <c r="AG655" s="34"/>
      <c r="AH655" s="34"/>
      <c r="AI655" s="34"/>
      <c r="AJ655" s="34"/>
      <c r="AK655" s="34"/>
      <c r="AL655" s="34"/>
      <c r="AM655" s="34"/>
      <c r="AN655" s="34"/>
      <c r="AO655" s="34"/>
      <c r="AP655" s="34"/>
      <c r="AQ655" s="34"/>
      <c r="AR655" s="34"/>
      <c r="AS655" s="34"/>
      <c r="AT655" s="34"/>
      <c r="AU655" s="34"/>
      <c r="AV655" s="34"/>
      <c r="AW655" s="34"/>
      <c r="AX655" s="34"/>
      <c r="AY655" s="34"/>
      <c r="AZ655" s="34"/>
      <c r="BA655" s="34"/>
      <c r="BB655" s="34"/>
      <c r="BC655" s="34"/>
      <c r="BD655" s="34"/>
      <c r="BE655" s="34"/>
      <c r="BF655" s="34"/>
      <c r="BG655" s="34"/>
      <c r="BH655" s="34"/>
      <c r="BI655" s="34"/>
      <c r="BJ655" s="34"/>
      <c r="BK655" s="34"/>
      <c r="BL655" s="34"/>
      <c r="BM655" s="34"/>
      <c r="BN655" s="34"/>
      <c r="BO655" s="34"/>
      <c r="BP655" s="34"/>
      <c r="BQ655" s="34"/>
      <c r="BR655" s="34"/>
      <c r="BS655" s="34"/>
      <c r="BT655" s="34"/>
      <c r="BU655" s="34"/>
      <c r="BV655" s="34"/>
      <c r="BW655" s="34"/>
      <c r="BX655" s="34"/>
      <c r="BY655" s="34"/>
      <c r="BZ655" s="34"/>
      <c r="CA655" s="34"/>
      <c r="CB655" s="34"/>
      <c r="CC655" s="34"/>
      <c r="CD655" s="34"/>
      <c r="CE655" s="34"/>
      <c r="CF655" s="34"/>
      <c r="CG655" s="34"/>
      <c r="CH655" s="34"/>
      <c r="CI655" s="8"/>
    </row>
    <row r="656" spans="1:87" x14ac:dyDescent="0.2">
      <c r="A656" s="8" t="str">
        <f>IF(AND(COUNTIF(W$3:W$13,A$31)&gt;0,A$31&lt;&gt;B546),A$31,IFERROR(IF(MATCH(A$31,Z$3:Z$13,0)=5,A$31," ")," "))</f>
        <v>C17</v>
      </c>
      <c r="B656" s="8">
        <f>IF(A656=" "," ",MAX(B640:B655)+1)</f>
        <v>6</v>
      </c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U656" s="34"/>
      <c r="V656" s="34"/>
      <c r="W656" s="34"/>
      <c r="X656" s="34"/>
      <c r="Y656" s="34"/>
      <c r="Z656" s="34"/>
      <c r="AA656" s="34"/>
      <c r="AB656" s="34"/>
      <c r="AC656" s="34"/>
      <c r="AD656" s="34"/>
      <c r="AE656" s="34"/>
      <c r="AF656" s="34"/>
      <c r="AG656" s="34"/>
      <c r="AH656" s="34"/>
      <c r="AI656" s="34"/>
      <c r="AJ656" s="34"/>
      <c r="AK656" s="34"/>
      <c r="AL656" s="34"/>
      <c r="AM656" s="34"/>
      <c r="AN656" s="34"/>
      <c r="AO656" s="34"/>
      <c r="AP656" s="34"/>
      <c r="AQ656" s="34"/>
      <c r="AR656" s="34"/>
      <c r="AS656" s="34"/>
      <c r="AT656" s="34"/>
      <c r="AU656" s="34"/>
      <c r="AV656" s="34"/>
      <c r="AW656" s="34"/>
      <c r="AX656" s="34"/>
      <c r="AY656" s="34"/>
      <c r="AZ656" s="34"/>
      <c r="BA656" s="34"/>
      <c r="BB656" s="34"/>
      <c r="BC656" s="34"/>
      <c r="BD656" s="34"/>
      <c r="BE656" s="34"/>
      <c r="BF656" s="34"/>
      <c r="BG656" s="34"/>
      <c r="BH656" s="34"/>
      <c r="BI656" s="34"/>
      <c r="BJ656" s="34"/>
      <c r="BK656" s="34"/>
      <c r="BL656" s="34"/>
      <c r="BM656" s="34"/>
      <c r="BN656" s="34"/>
      <c r="BO656" s="34"/>
      <c r="BP656" s="34"/>
      <c r="BQ656" s="34"/>
      <c r="BR656" s="34"/>
      <c r="BS656" s="34"/>
      <c r="BT656" s="34"/>
      <c r="BU656" s="34"/>
      <c r="BV656" s="34"/>
      <c r="BW656" s="34"/>
      <c r="BX656" s="34"/>
      <c r="BY656" s="34"/>
      <c r="BZ656" s="34"/>
      <c r="CA656" s="34"/>
      <c r="CB656" s="34"/>
      <c r="CC656" s="34"/>
      <c r="CD656" s="34"/>
      <c r="CE656" s="34"/>
      <c r="CF656" s="34"/>
      <c r="CG656" s="34"/>
      <c r="CH656" s="34"/>
      <c r="CI656" s="8"/>
    </row>
    <row r="657" spans="1:87" x14ac:dyDescent="0.2">
      <c r="A657" s="8" t="str">
        <f>IF(AND(COUNTIF(W$3:W$13,A$32)&gt;0,A$32&lt;&gt;B546),A$32,IFERROR(IF(MATCH(A$32,Z$3:Z$13,0)=5,A$32," ")," "))</f>
        <v>C18</v>
      </c>
      <c r="B657" s="8">
        <f>IF(A657=" "," ",MAX(B640:B656)+1)</f>
        <v>7</v>
      </c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U657" s="34"/>
      <c r="V657" s="34"/>
      <c r="W657" s="34"/>
      <c r="X657" s="34"/>
      <c r="Y657" s="34"/>
      <c r="Z657" s="34"/>
      <c r="AA657" s="34"/>
      <c r="AB657" s="34"/>
      <c r="AC657" s="34"/>
      <c r="AD657" s="34"/>
      <c r="AE657" s="34"/>
      <c r="AF657" s="34"/>
      <c r="AG657" s="34"/>
      <c r="AH657" s="34"/>
      <c r="AI657" s="34"/>
      <c r="AJ657" s="34"/>
      <c r="AK657" s="34"/>
      <c r="AL657" s="34"/>
      <c r="AM657" s="34"/>
      <c r="AN657" s="34"/>
      <c r="AO657" s="34"/>
      <c r="AP657" s="34"/>
      <c r="AQ657" s="34"/>
      <c r="AR657" s="34"/>
      <c r="AS657" s="34"/>
      <c r="AT657" s="34"/>
      <c r="AU657" s="34"/>
      <c r="AV657" s="34"/>
      <c r="AW657" s="34"/>
      <c r="AX657" s="34"/>
      <c r="AY657" s="34"/>
      <c r="AZ657" s="34"/>
      <c r="BA657" s="34"/>
      <c r="BB657" s="34"/>
      <c r="BC657" s="34"/>
      <c r="BD657" s="34"/>
      <c r="BE657" s="34"/>
      <c r="BF657" s="34"/>
      <c r="BG657" s="34"/>
      <c r="BH657" s="34"/>
      <c r="BI657" s="34"/>
      <c r="BJ657" s="34"/>
      <c r="BK657" s="34"/>
      <c r="BL657" s="34"/>
      <c r="BM657" s="34"/>
      <c r="BN657" s="34"/>
      <c r="BO657" s="34"/>
      <c r="BP657" s="34"/>
      <c r="BQ657" s="34"/>
      <c r="BR657" s="34"/>
      <c r="BS657" s="34"/>
      <c r="BT657" s="34"/>
      <c r="BU657" s="34"/>
      <c r="BV657" s="34"/>
      <c r="BW657" s="34"/>
      <c r="BX657" s="34"/>
      <c r="BY657" s="34"/>
      <c r="BZ657" s="34"/>
      <c r="CA657" s="34"/>
      <c r="CB657" s="34"/>
      <c r="CC657" s="34"/>
      <c r="CD657" s="34"/>
      <c r="CE657" s="34"/>
      <c r="CF657" s="34"/>
      <c r="CG657" s="34"/>
      <c r="CH657" s="34"/>
      <c r="CI657" s="8"/>
    </row>
    <row r="658" spans="1:87" x14ac:dyDescent="0.2">
      <c r="A658" s="8" t="str">
        <f>IF(AND(COUNTIF(W$3:W$13,A$33)&gt;0,A$33&lt;&gt;B546),A$33,IFERROR(IF(MATCH(A$33,Z$3:Z$13,0)=5,A$33," ")," "))</f>
        <v>C19</v>
      </c>
      <c r="B658" s="8">
        <f>IF(A658=" "," ",MAX(B640:B657)+1)</f>
        <v>8</v>
      </c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U658" s="34"/>
      <c r="V658" s="34"/>
      <c r="W658" s="34"/>
      <c r="X658" s="34"/>
      <c r="Y658" s="34"/>
      <c r="Z658" s="34"/>
      <c r="AA658" s="34"/>
      <c r="AB658" s="34"/>
      <c r="AC658" s="34"/>
      <c r="AD658" s="34"/>
      <c r="AE658" s="34"/>
      <c r="AF658" s="34"/>
      <c r="AG658" s="34"/>
      <c r="AH658" s="34"/>
      <c r="AI658" s="34"/>
      <c r="AJ658" s="34"/>
      <c r="AK658" s="34"/>
      <c r="AL658" s="34"/>
      <c r="AM658" s="34"/>
      <c r="AN658" s="34"/>
      <c r="AO658" s="34"/>
      <c r="AP658" s="34"/>
      <c r="AQ658" s="34"/>
      <c r="AR658" s="34"/>
      <c r="AS658" s="34"/>
      <c r="AT658" s="34"/>
      <c r="AU658" s="34"/>
      <c r="AV658" s="34"/>
      <c r="AW658" s="34"/>
      <c r="AX658" s="34"/>
      <c r="AY658" s="34"/>
      <c r="AZ658" s="34"/>
      <c r="BA658" s="34"/>
      <c r="BB658" s="34"/>
      <c r="BC658" s="34"/>
      <c r="BD658" s="34"/>
      <c r="BE658" s="34"/>
      <c r="BF658" s="34"/>
      <c r="BG658" s="34"/>
      <c r="BH658" s="34"/>
      <c r="BI658" s="34"/>
      <c r="BJ658" s="34"/>
      <c r="BK658" s="34"/>
      <c r="BL658" s="34"/>
      <c r="BM658" s="34"/>
      <c r="BN658" s="34"/>
      <c r="BO658" s="34"/>
      <c r="BP658" s="34"/>
      <c r="BQ658" s="34"/>
      <c r="BR658" s="34"/>
      <c r="BS658" s="34"/>
      <c r="BT658" s="34"/>
      <c r="BU658" s="34"/>
      <c r="BV658" s="34"/>
      <c r="BW658" s="34"/>
      <c r="BX658" s="34"/>
      <c r="BY658" s="34"/>
      <c r="BZ658" s="34"/>
      <c r="CA658" s="34"/>
      <c r="CB658" s="34"/>
      <c r="CC658" s="34"/>
      <c r="CD658" s="34"/>
      <c r="CE658" s="34"/>
      <c r="CF658" s="34"/>
      <c r="CG658" s="34"/>
      <c r="CH658" s="34"/>
      <c r="CI658" s="8"/>
    </row>
    <row r="659" spans="1:87" x14ac:dyDescent="0.2">
      <c r="A659" s="8" t="str">
        <f>IF(AND(COUNTIF(W$3:W$13,A$34)&gt;0,A$34&lt;&gt;B546),A$34,IFERROR(IF(MATCH(A$34,Z$3:Z$13,0)=5,A$34," ")," "))</f>
        <v>C20</v>
      </c>
      <c r="B659" s="8">
        <f>IF(A659=" "," ",MAX(B640:B658)+1)</f>
        <v>9</v>
      </c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U659" s="34"/>
      <c r="V659" s="34"/>
      <c r="W659" s="34"/>
      <c r="X659" s="34"/>
      <c r="Y659" s="34"/>
      <c r="Z659" s="34"/>
      <c r="AA659" s="34"/>
      <c r="AB659" s="34"/>
      <c r="AC659" s="34"/>
      <c r="AD659" s="34"/>
      <c r="AE659" s="34"/>
      <c r="AF659" s="34"/>
      <c r="AG659" s="34"/>
      <c r="AH659" s="34"/>
      <c r="AI659" s="34"/>
      <c r="AJ659" s="34"/>
      <c r="AK659" s="34"/>
      <c r="AL659" s="34"/>
      <c r="AM659" s="34"/>
      <c r="AN659" s="34"/>
      <c r="AO659" s="34"/>
      <c r="AP659" s="34"/>
      <c r="AQ659" s="34"/>
      <c r="AR659" s="34"/>
      <c r="AS659" s="34"/>
      <c r="AT659" s="34"/>
      <c r="AU659" s="34"/>
      <c r="AV659" s="34"/>
      <c r="AW659" s="34"/>
      <c r="AX659" s="34"/>
      <c r="AY659" s="34"/>
      <c r="AZ659" s="34"/>
      <c r="BA659" s="34"/>
      <c r="BB659" s="34"/>
      <c r="BC659" s="34"/>
      <c r="BD659" s="34"/>
      <c r="BE659" s="34"/>
      <c r="BF659" s="34"/>
      <c r="BG659" s="34"/>
      <c r="BH659" s="34"/>
      <c r="BI659" s="34"/>
      <c r="BJ659" s="34"/>
      <c r="BK659" s="34"/>
      <c r="BL659" s="34"/>
      <c r="BM659" s="34"/>
      <c r="BN659" s="34"/>
      <c r="BO659" s="34"/>
      <c r="BP659" s="34"/>
      <c r="BQ659" s="34"/>
      <c r="BR659" s="34"/>
      <c r="BS659" s="34"/>
      <c r="BT659" s="34"/>
      <c r="BU659" s="34"/>
      <c r="BV659" s="34"/>
      <c r="BW659" s="34"/>
      <c r="BX659" s="34"/>
      <c r="BY659" s="34"/>
      <c r="BZ659" s="34"/>
      <c r="CA659" s="34"/>
      <c r="CB659" s="34"/>
      <c r="CC659" s="34"/>
      <c r="CD659" s="34"/>
      <c r="CE659" s="34"/>
      <c r="CF659" s="34"/>
      <c r="CG659" s="34"/>
      <c r="CH659" s="34"/>
      <c r="CI659" s="8"/>
    </row>
    <row r="660" spans="1:87" x14ac:dyDescent="0.2">
      <c r="A660" s="8" t="str">
        <f>IF(AND(COUNTIF(W$3:W$13,A$35)&gt;0,A$35&lt;&gt;B546),A$35,IFERROR(IF(MATCH(A$35,Z$3:Z$13,0)=5,A$35," ")," "))</f>
        <v>C21</v>
      </c>
      <c r="B660" s="8">
        <f>IF(A660=" "," ",MAX(B640:B659)+1)</f>
        <v>10</v>
      </c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U660" s="34"/>
      <c r="V660" s="34"/>
      <c r="W660" s="34"/>
      <c r="X660" s="34"/>
      <c r="Y660" s="34"/>
      <c r="Z660" s="34"/>
      <c r="AA660" s="34"/>
      <c r="AB660" s="34"/>
      <c r="AC660" s="34"/>
      <c r="AD660" s="34"/>
      <c r="AE660" s="34"/>
      <c r="AF660" s="34"/>
      <c r="AG660" s="34"/>
      <c r="AH660" s="34"/>
      <c r="AI660" s="34"/>
      <c r="AJ660" s="34"/>
      <c r="AK660" s="34"/>
      <c r="AL660" s="34"/>
      <c r="AM660" s="34"/>
      <c r="AN660" s="34"/>
      <c r="AO660" s="34"/>
      <c r="AP660" s="34"/>
      <c r="AQ660" s="34"/>
      <c r="AR660" s="34"/>
      <c r="AS660" s="34"/>
      <c r="AT660" s="34"/>
      <c r="AU660" s="34"/>
      <c r="AV660" s="34"/>
      <c r="AW660" s="34"/>
      <c r="AX660" s="34"/>
      <c r="AY660" s="34"/>
      <c r="AZ660" s="34"/>
      <c r="BA660" s="34"/>
      <c r="BB660" s="34"/>
      <c r="BC660" s="34"/>
      <c r="BD660" s="34"/>
      <c r="BE660" s="34"/>
      <c r="BF660" s="34"/>
      <c r="BG660" s="34"/>
      <c r="BH660" s="34"/>
      <c r="BI660" s="34"/>
      <c r="BJ660" s="34"/>
      <c r="BK660" s="34"/>
      <c r="BL660" s="34"/>
      <c r="BM660" s="34"/>
      <c r="BN660" s="34"/>
      <c r="BO660" s="34"/>
      <c r="BP660" s="34"/>
      <c r="BQ660" s="34"/>
      <c r="BR660" s="34"/>
      <c r="BS660" s="34"/>
      <c r="BT660" s="34"/>
      <c r="BU660" s="34"/>
      <c r="BV660" s="34"/>
      <c r="BW660" s="34"/>
      <c r="BX660" s="34"/>
      <c r="BY660" s="34"/>
      <c r="BZ660" s="34"/>
      <c r="CA660" s="34"/>
      <c r="CB660" s="34"/>
      <c r="CC660" s="34"/>
      <c r="CD660" s="34"/>
      <c r="CE660" s="34"/>
      <c r="CF660" s="34"/>
      <c r="CG660" s="34"/>
      <c r="CH660" s="34"/>
      <c r="CI660" s="8"/>
    </row>
    <row r="661" spans="1:87" x14ac:dyDescent="0.2">
      <c r="A661" s="8" t="str">
        <f>IF(AND(COUNTIF(W$3:W$13,A$36)&gt;0,A$36&lt;&gt;B546),A$36,IFERROR(IF(MATCH(A$36,Z$3:Z$13,0)=5,A$36," ")," "))</f>
        <v>C22</v>
      </c>
      <c r="B661" s="8">
        <f>IF(A661=" "," ",MAX(B640:B660)+1)</f>
        <v>11</v>
      </c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U661" s="34"/>
      <c r="V661" s="34"/>
      <c r="W661" s="34"/>
      <c r="X661" s="34"/>
      <c r="Y661" s="34"/>
      <c r="Z661" s="34"/>
      <c r="AA661" s="34"/>
      <c r="AB661" s="34"/>
      <c r="AC661" s="34"/>
      <c r="AD661" s="34"/>
      <c r="AE661" s="34"/>
      <c r="AF661" s="34"/>
      <c r="AG661" s="34"/>
      <c r="AH661" s="34"/>
      <c r="AI661" s="34"/>
      <c r="AJ661" s="34"/>
      <c r="AK661" s="34"/>
      <c r="AL661" s="34"/>
      <c r="AM661" s="34"/>
      <c r="AN661" s="34"/>
      <c r="AO661" s="34"/>
      <c r="AP661" s="34"/>
      <c r="AQ661" s="34"/>
      <c r="AR661" s="34"/>
      <c r="AS661" s="34"/>
      <c r="AT661" s="34"/>
      <c r="AU661" s="34"/>
      <c r="AV661" s="34"/>
      <c r="AW661" s="34"/>
      <c r="AX661" s="34"/>
      <c r="AY661" s="34"/>
      <c r="AZ661" s="34"/>
      <c r="BA661" s="34"/>
      <c r="BB661" s="34"/>
      <c r="BC661" s="34"/>
      <c r="BD661" s="34"/>
      <c r="BE661" s="34"/>
      <c r="BF661" s="34"/>
      <c r="BG661" s="34"/>
      <c r="BH661" s="34"/>
      <c r="BI661" s="34"/>
      <c r="BJ661" s="34"/>
      <c r="BK661" s="34"/>
      <c r="BL661" s="34"/>
      <c r="BM661" s="34"/>
      <c r="BN661" s="34"/>
      <c r="BO661" s="34"/>
      <c r="BP661" s="34"/>
      <c r="BQ661" s="34"/>
      <c r="BR661" s="34"/>
      <c r="BS661" s="34"/>
      <c r="BT661" s="34"/>
      <c r="BU661" s="34"/>
      <c r="BV661" s="34"/>
      <c r="BW661" s="34"/>
      <c r="BX661" s="34"/>
      <c r="BY661" s="34"/>
      <c r="BZ661" s="34"/>
      <c r="CA661" s="34"/>
      <c r="CB661" s="34"/>
      <c r="CC661" s="34"/>
      <c r="CD661" s="34"/>
      <c r="CE661" s="34"/>
      <c r="CF661" s="34"/>
      <c r="CG661" s="34"/>
      <c r="CH661" s="34"/>
      <c r="CI661" s="8"/>
    </row>
    <row r="662" spans="1:87" x14ac:dyDescent="0.2">
      <c r="A662" s="11" t="s">
        <v>17</v>
      </c>
      <c r="B662" s="11"/>
      <c r="C662" s="27" t="s">
        <v>18</v>
      </c>
      <c r="D662" s="27" t="s">
        <v>2</v>
      </c>
      <c r="E662" s="27" t="s">
        <v>6</v>
      </c>
      <c r="F662" s="27" t="s">
        <v>15</v>
      </c>
      <c r="G662" s="27" t="s">
        <v>36</v>
      </c>
      <c r="H662" s="27" t="s">
        <v>37</v>
      </c>
      <c r="I662" s="27" t="s">
        <v>38</v>
      </c>
      <c r="J662" s="27" t="s">
        <v>39</v>
      </c>
      <c r="K662" s="27" t="s">
        <v>40</v>
      </c>
      <c r="L662" s="27" t="s">
        <v>41</v>
      </c>
      <c r="M662" s="27" t="s">
        <v>42</v>
      </c>
      <c r="N662" s="27" t="s">
        <v>43</v>
      </c>
      <c r="O662" s="27" t="s">
        <v>9</v>
      </c>
      <c r="P662" s="27" t="s">
        <v>12</v>
      </c>
      <c r="Q662" s="27" t="s">
        <v>19</v>
      </c>
      <c r="R662" s="27" t="s">
        <v>55</v>
      </c>
      <c r="S662" s="27" t="s">
        <v>26</v>
      </c>
      <c r="T662" s="19" t="s">
        <v>25</v>
      </c>
      <c r="U662" s="33" t="s">
        <v>27</v>
      </c>
      <c r="V662" s="33" t="s">
        <v>9</v>
      </c>
      <c r="W662" s="33" t="s">
        <v>23</v>
      </c>
      <c r="X662" s="33" t="s">
        <v>12</v>
      </c>
      <c r="Y662" s="33" t="s">
        <v>26</v>
      </c>
      <c r="Z662" s="33" t="s">
        <v>25</v>
      </c>
      <c r="AA662" s="33" t="s">
        <v>27</v>
      </c>
      <c r="AB662" s="33" t="s">
        <v>9</v>
      </c>
      <c r="AC662" s="33" t="s">
        <v>23</v>
      </c>
      <c r="AD662" s="33" t="s">
        <v>12</v>
      </c>
      <c r="AE662" s="33" t="s">
        <v>26</v>
      </c>
      <c r="AF662" s="33" t="s">
        <v>25</v>
      </c>
      <c r="AG662" s="33" t="s">
        <v>27</v>
      </c>
      <c r="AH662" s="33" t="s">
        <v>9</v>
      </c>
      <c r="AI662" s="33" t="s">
        <v>23</v>
      </c>
      <c r="AJ662" s="33" t="s">
        <v>12</v>
      </c>
      <c r="AK662" s="33" t="s">
        <v>26</v>
      </c>
      <c r="AL662" s="33" t="s">
        <v>25</v>
      </c>
      <c r="AM662" s="33" t="s">
        <v>27</v>
      </c>
      <c r="AN662" s="33" t="s">
        <v>9</v>
      </c>
      <c r="AO662" s="33" t="s">
        <v>23</v>
      </c>
      <c r="AP662" s="33" t="s">
        <v>12</v>
      </c>
      <c r="AQ662" s="33" t="s">
        <v>26</v>
      </c>
      <c r="AR662" s="33" t="s">
        <v>25</v>
      </c>
      <c r="AS662" s="33" t="s">
        <v>27</v>
      </c>
      <c r="AT662" s="33" t="s">
        <v>9</v>
      </c>
      <c r="AU662" s="33" t="s">
        <v>23</v>
      </c>
      <c r="AV662" s="33" t="s">
        <v>12</v>
      </c>
      <c r="AW662" s="33" t="s">
        <v>26</v>
      </c>
      <c r="AX662" s="33" t="s">
        <v>25</v>
      </c>
      <c r="AY662" s="33" t="s">
        <v>27</v>
      </c>
      <c r="AZ662" s="33" t="s">
        <v>9</v>
      </c>
      <c r="BA662" s="33" t="s">
        <v>23</v>
      </c>
      <c r="BB662" s="33" t="s">
        <v>12</v>
      </c>
      <c r="BC662" s="33" t="s">
        <v>26</v>
      </c>
      <c r="BD662" s="33" t="s">
        <v>25</v>
      </c>
      <c r="BE662" s="33" t="s">
        <v>27</v>
      </c>
      <c r="BF662" s="33" t="s">
        <v>9</v>
      </c>
      <c r="BG662" s="33" t="s">
        <v>23</v>
      </c>
      <c r="BH662" s="33" t="s">
        <v>12</v>
      </c>
      <c r="BI662" s="33" t="s">
        <v>26</v>
      </c>
      <c r="BJ662" s="33" t="s">
        <v>25</v>
      </c>
      <c r="BK662" s="33" t="s">
        <v>27</v>
      </c>
      <c r="BL662" s="33" t="s">
        <v>9</v>
      </c>
      <c r="BM662" s="33" t="s">
        <v>23</v>
      </c>
      <c r="BN662" s="33" t="s">
        <v>12</v>
      </c>
      <c r="BO662" s="33" t="s">
        <v>26</v>
      </c>
      <c r="BP662" s="33" t="s">
        <v>25</v>
      </c>
      <c r="BQ662" s="33" t="s">
        <v>27</v>
      </c>
      <c r="BR662" s="33" t="s">
        <v>9</v>
      </c>
      <c r="BS662" s="33" t="s">
        <v>23</v>
      </c>
      <c r="BT662" s="33" t="s">
        <v>12</v>
      </c>
      <c r="BU662" s="33" t="s">
        <v>26</v>
      </c>
      <c r="BV662" s="33" t="s">
        <v>25</v>
      </c>
      <c r="BW662" s="33" t="s">
        <v>27</v>
      </c>
      <c r="BX662" s="33" t="s">
        <v>9</v>
      </c>
      <c r="BY662" s="33" t="s">
        <v>23</v>
      </c>
      <c r="BZ662" s="33" t="s">
        <v>12</v>
      </c>
      <c r="CA662" s="33" t="s">
        <v>26</v>
      </c>
      <c r="CB662" s="33" t="s">
        <v>25</v>
      </c>
      <c r="CC662" s="33" t="s">
        <v>27</v>
      </c>
      <c r="CD662" s="33" t="s">
        <v>9</v>
      </c>
      <c r="CE662" s="33" t="s">
        <v>23</v>
      </c>
      <c r="CF662" s="33" t="s">
        <v>12</v>
      </c>
      <c r="CG662" s="33" t="s">
        <v>26</v>
      </c>
      <c r="CH662" s="33" t="s">
        <v>25</v>
      </c>
      <c r="CI662" s="8"/>
    </row>
    <row r="663" spans="1:87" x14ac:dyDescent="0.2">
      <c r="A663" s="8" t="str">
        <f>IF(AND(COUNTIF(W$3:W$13,A$15)&gt;0,A$15&lt;&gt;B546),A$15,IFERROR(IF(MATCH(A$15,Z$3:Z$13,0)=6,A$15," ")," "))</f>
        <v xml:space="preserve"> </v>
      </c>
      <c r="B663" s="8" t="str">
        <f>IF(A663=" "," ",1)</f>
        <v xml:space="preserve"> </v>
      </c>
      <c r="C663" s="8" t="str">
        <f>IFERROR(INDEX(A663:A684,MATCH(SMALL(B663:B684,1),B663:B684,0),1)," ")</f>
        <v>C3</v>
      </c>
      <c r="D663" s="8">
        <f>IFERROR(VLOOKUP($C663,$A$15:$O$36,2,FALSE)," ")</f>
        <v>2</v>
      </c>
      <c r="E663" s="8">
        <f>IFERROR(VLOOKUP($C663,$A$15:$O$36,3,FALSE)," ")</f>
        <v>5</v>
      </c>
      <c r="F663" s="8">
        <f>IFERROR(VLOOKUP($C663,$A$15:$O$36,4,FALSE)," ")</f>
        <v>6</v>
      </c>
      <c r="G663" s="8">
        <f>IFERROR(VLOOKUP($C663,$A$15:$O$36,5,FALSE)," ")</f>
        <v>0</v>
      </c>
      <c r="H663" s="8">
        <f>IFERROR(VLOOKUP($C663,$A$15:$O$36,6,FALSE)," ")</f>
        <v>0</v>
      </c>
      <c r="I663" s="8">
        <f>IFERROR(VLOOKUP($C663,$A$15:$O$36,7,FALSE)," ")</f>
        <v>0</v>
      </c>
      <c r="J663" s="8">
        <f>IFERROR(VLOOKUP($C663,$A$15:$O$36,8,FALSE)," ")</f>
        <v>0</v>
      </c>
      <c r="K663" s="8">
        <f>IFERROR(VLOOKUP($C663,$A$15:$O$36,9,FALSE)," ")</f>
        <v>0</v>
      </c>
      <c r="L663" s="8">
        <f>IFERROR(VLOOKUP($C663,$A$15:$O$36,10,FALSE)," ")</f>
        <v>0</v>
      </c>
      <c r="M663" s="8">
        <f>IFERROR(VLOOKUP($C663,$A$15:$O$36,11,FALSE)," ")</f>
        <v>0</v>
      </c>
      <c r="N663" s="8">
        <f>IFERROR(VLOOKUP($C663,$A$15:$O$36,12,FALSE)," ")</f>
        <v>0</v>
      </c>
      <c r="O663" s="8">
        <f>IFERROR(VLOOKUP($C663,$A$15:$O$36,15,FALSE)," ")</f>
        <v>2000</v>
      </c>
      <c r="P663" s="8" t="e">
        <f t="array" ref="P663:P673">MMULT(MINVERSE(D663:N673),O663:O673)</f>
        <v>#NUM!</v>
      </c>
      <c r="Q663" s="8" t="e">
        <f t="shared" ref="Q663" si="2687">IF(COUNTIF(P663:P673,"&lt;"&amp;-0.001)=0,IF(ABS(P663)&lt;0.001,0,P663)," ")</f>
        <v>#NUM!</v>
      </c>
      <c r="R663" s="8" t="str">
        <f>IFERROR(VLOOKUP(B546,A$15:L$36,2,FALSE)*Q663+VLOOKUP(B546,A$15:L$36,3,FALSE)*Q664+VLOOKUP(B546,A$15:L$36,4,FALSE)*Q665+VLOOKUP(B546,A$15:L$36,5,FALSE)*Q666+VLOOKUP(B546,A$15:L$36,6,FALSE)*Q667+VLOOKUP(B546,A$15:L$36,7,FALSE)*Q668+VLOOKUP(B546,A$15:L$36,8,FALSE)*Q669+VLOOKUP(B546,A$15:L$36,9,FALSE)*Q670+VLOOKUP(B546,A$15:L$36,10,FALSE)*Q671+VLOOKUP(B546,A$15:L$36,11,FALSE)*Q672+VLOOKUP(B546,A$15:L$36,12,FALSE)*Q673," ")</f>
        <v xml:space="preserve"> </v>
      </c>
      <c r="S663" s="8" t="str">
        <f>IFERROR(IF(R663-VLOOKUP(B546,A$15:O$36,15,FALSE)&lt;0,R663-VLOOKUP(B546,A$15:O$36,15,FALSE)," ")," ")</f>
        <v xml:space="preserve"> </v>
      </c>
      <c r="T663" s="18" t="str">
        <f>IFERROR(IF(R663-VLOOKUP(B546,A$15:O$36,15,FALSE)&gt;0,R663-VLOOKUP(B546,A$15:O$36,15,FALSE)," ")," ")</f>
        <v xml:space="preserve"> </v>
      </c>
      <c r="U663" s="34">
        <f t="shared" ref="U663" si="2688">$M$2</f>
        <v>100.00000000000001</v>
      </c>
      <c r="V663" s="34">
        <v>-1</v>
      </c>
      <c r="W663" s="34">
        <f t="shared" ref="W663" si="2689">-SUMPRODUCT($M$3:$M$12,$N$3:$N$12)</f>
        <v>-105000</v>
      </c>
      <c r="X663" s="34" t="e">
        <f t="shared" ref="X663" si="2690">IF(U663&lt;&gt;U664,MMULT(MINVERSE(U663:V664),W663:W664)," ")</f>
        <v>#NUM!</v>
      </c>
      <c r="Y663" s="34" t="str">
        <f t="shared" ref="Y663" si="2691">IFERROR(IF(X663-VLOOKUP(U$38,$A$2:$N$12,14,FALSE)&lt;0,X663-VLOOKUP(U$38,$A$2:$N$12,14,FALSE)," ")," ")</f>
        <v xml:space="preserve"> </v>
      </c>
      <c r="Z663" s="34" t="str">
        <f t="shared" ref="Z663" si="2692">IFERROR(IF(X663-VLOOKUP(U$38,$A$2:$N$12,14,FALSE)&gt;0,X663-VLOOKUP(U$38,$A$2:$N$12,14,FALSE)," ")," ")</f>
        <v xml:space="preserve"> </v>
      </c>
      <c r="AA663" s="34">
        <f t="shared" ref="AA663" si="2693">$M$3</f>
        <v>0</v>
      </c>
      <c r="AB663" s="34">
        <v>-1</v>
      </c>
      <c r="AC663" s="34">
        <f t="shared" ref="AC663" si="2694">-SUMPRODUCT($M$2:$M$2,$N$2:$N$2)-SUMPRODUCT($M$4:$M$12,$N$4:$N$12)</f>
        <v>-120000</v>
      </c>
      <c r="AD663" s="34" t="e">
        <f t="shared" ref="AD663" si="2695">IF(AA663&lt;&gt;AA664,MMULT(MINVERSE(AA663:AB664),AC663:AC664)," ")</f>
        <v>#NUM!</v>
      </c>
      <c r="AE663" s="34" t="str">
        <f t="shared" ref="AE663" si="2696">IFERROR(IF(AD663-VLOOKUP(AA$38,$A$2:$N$12,14,FALSE)&lt;0,AD663-VLOOKUP(AA$38,$A$2:$N$12,14,FALSE)," ")," ")</f>
        <v xml:space="preserve"> </v>
      </c>
      <c r="AF663" s="34" t="str">
        <f t="shared" ref="AF663" si="2697">IFERROR(IF(AD663-VLOOKUP(AA$38,$A$2:$N$12,14,FALSE)&gt;0,AD663-VLOOKUP(AA$38,$A$2:$N$12,14,FALSE)," ")," ")</f>
        <v xml:space="preserve"> </v>
      </c>
      <c r="AG663" s="34">
        <f t="shared" ref="AG663" si="2698">$M$4</f>
        <v>300</v>
      </c>
      <c r="AH663" s="34">
        <v>-1</v>
      </c>
      <c r="AI663" s="34">
        <f t="shared" ref="AI663" si="2699">-SUMPRODUCT($M$2:$M$3,$N$2:$N$3)-SUMPRODUCT($M$5:$M$12,$N$5:$N$12)</f>
        <v>-15000.000000000002</v>
      </c>
      <c r="AJ663" s="34" t="e">
        <f t="shared" ref="AJ663" si="2700">IF(AG663&lt;&gt;AG664,MMULT(MINVERSE(AG663:AH664),AI663:AI664)," ")</f>
        <v>#NUM!</v>
      </c>
      <c r="AK663" s="34" t="str">
        <f t="shared" ref="AK663" si="2701">IFERROR(IF(AJ663-VLOOKUP(AG$38,$A$2:$N$12,14,FALSE)&lt;0,AJ663-VLOOKUP(AG$38,$A$2:$N$12,14,FALSE)," ")," ")</f>
        <v xml:space="preserve"> </v>
      </c>
      <c r="AL663" s="34" t="str">
        <f t="shared" ref="AL663" si="2702">IFERROR(IF(AJ663-VLOOKUP(AG$38,$A$2:$N$12,14,FALSE)&gt;0,AJ663-VLOOKUP(AG$38,$A$2:$N$12,14,FALSE)," ")," ")</f>
        <v xml:space="preserve"> </v>
      </c>
      <c r="AM663" s="34">
        <f t="shared" ref="AM663" si="2703">$M$5</f>
        <v>0</v>
      </c>
      <c r="AN663" s="34">
        <v>-1</v>
      </c>
      <c r="AO663" s="34">
        <f t="shared" ref="AO663" si="2704">-SUMPRODUCT($M$2:$M$4,$N$2:$N$4)-SUMPRODUCT($M$6:$M$12,$N$6:$N$12)</f>
        <v>-120000</v>
      </c>
      <c r="AP663" s="34" t="e">
        <f t="shared" ref="AP663" si="2705">IF(AM663&lt;&gt;AM664,MMULT(MINVERSE(AM663:AN664),AO663:AO664)," ")</f>
        <v>#NUM!</v>
      </c>
      <c r="AQ663" s="34" t="str">
        <f t="shared" ref="AQ663" si="2706">IFERROR(IF(AP663-VLOOKUP(AM$38,$A$2:$N$12,14,FALSE)&lt;0,AP663-VLOOKUP(AM$38,$A$2:$N$12,14,FALSE)," ")," ")</f>
        <v xml:space="preserve"> </v>
      </c>
      <c r="AR663" s="34" t="str">
        <f t="shared" ref="AR663" si="2707">IFERROR(IF(AP663-VLOOKUP(AM$38,$A$2:$N$12,14,FALSE)&gt;0,AP663-VLOOKUP(AM$38,$A$2:$N$12,14,FALSE)," ")," ")</f>
        <v xml:space="preserve"> </v>
      </c>
      <c r="AS663" s="34">
        <f t="shared" ref="AS663" si="2708">$M$6</f>
        <v>0</v>
      </c>
      <c r="AT663" s="34">
        <v>-1</v>
      </c>
      <c r="AU663" s="34">
        <f t="shared" ref="AU663" si="2709">-SUMPRODUCT($M$2:$M$5,$N$2:$N$5)-SUMPRODUCT($M$7:$M$12,$N$7:$N$12)</f>
        <v>-120000</v>
      </c>
      <c r="AV663" s="34" t="e">
        <f t="shared" ref="AV663" si="2710">IF(AS663&lt;&gt;AS664,MMULT(MINVERSE(AS663:AT664),AU663:AU664)," ")</f>
        <v>#NUM!</v>
      </c>
      <c r="AW663" s="34" t="str">
        <f t="shared" ref="AW663" si="2711">IFERROR(IF(AV663-VLOOKUP(AS$38,$A$2:$N$12,14,FALSE)&lt;0,AV663-VLOOKUP(AS$38,$A$2:$N$12,14,FALSE)," ")," ")</f>
        <v xml:space="preserve"> </v>
      </c>
      <c r="AX663" s="34" t="str">
        <f t="shared" ref="AX663" si="2712">IFERROR(IF(AV663-VLOOKUP(AS$38,$A$2:$N$12,14,FALSE)&gt;0,AV663-VLOOKUP(AS$38,$A$2:$N$12,14,FALSE)," ")," ")</f>
        <v xml:space="preserve"> </v>
      </c>
      <c r="AY663" s="34">
        <f t="shared" ref="AY663" si="2713">$M$7</f>
        <v>0</v>
      </c>
      <c r="AZ663" s="34">
        <v>-1</v>
      </c>
      <c r="BA663" s="34">
        <f t="shared" ref="BA663" si="2714">-SUMPRODUCT($M$2:$M$6,$N$2:$N$6)-SUMPRODUCT($M$8:$M$12,$N$8:$N$12)</f>
        <v>-120000</v>
      </c>
      <c r="BB663" s="34" t="e">
        <f t="shared" ref="BB663" si="2715">IF(AY663&lt;&gt;AY664,MMULT(MINVERSE(AY663:AZ664),BA663:BA664)," ")</f>
        <v>#NUM!</v>
      </c>
      <c r="BC663" s="34" t="str">
        <f t="shared" ref="BC663" si="2716">IFERROR(IF(BB663-VLOOKUP(AY$38,$A$2:$N$12,14,FALSE)&lt;0,BB663-VLOOKUP(AY$38,$A$2:$N$12,14,FALSE)," ")," ")</f>
        <v xml:space="preserve"> </v>
      </c>
      <c r="BD663" s="34" t="str">
        <f t="shared" ref="BD663" si="2717">IFERROR(IF(BB663-VLOOKUP(AY$38,$A$2:$N$12,14,FALSE)&gt;0,BB663-VLOOKUP(AY$38,$A$2:$N$12,14,FALSE)," ")," ")</f>
        <v xml:space="preserve"> </v>
      </c>
      <c r="BE663" s="34">
        <f t="shared" ref="BE663" si="2718">$M$8</f>
        <v>0</v>
      </c>
      <c r="BF663" s="34">
        <v>-1</v>
      </c>
      <c r="BG663" s="34">
        <f t="shared" ref="BG663" si="2719">-SUMPRODUCT($M$2:$M$7,$N$2:$N$7)-SUMPRODUCT($M$9:$M$12,$N$9:$N$12)</f>
        <v>-120000</v>
      </c>
      <c r="BH663" s="34" t="e">
        <f t="shared" ref="BH663" si="2720">IF(BE663&lt;&gt;BE664,MMULT(MINVERSE(BE663:BF664),BG663:BG664)," ")</f>
        <v>#NUM!</v>
      </c>
      <c r="BI663" s="34" t="str">
        <f t="shared" ref="BI663" si="2721">IFERROR(IF(BH663-VLOOKUP(BE$38,$A$2:$N$12,14,FALSE)&lt;0,BH663-VLOOKUP(BE$38,$A$2:$N$12,14,FALSE)," ")," ")</f>
        <v xml:space="preserve"> </v>
      </c>
      <c r="BJ663" s="34" t="str">
        <f t="shared" ref="BJ663" si="2722">IFERROR(IF(BH663-VLOOKUP(BE$38,$A$2:$N$12,14,FALSE)&gt;0,BH663-VLOOKUP(BE$38,$A$2:$N$12,14,FALSE)," ")," ")</f>
        <v xml:space="preserve"> </v>
      </c>
      <c r="BK663" s="34">
        <f t="shared" ref="BK663" si="2723">$M$9</f>
        <v>0</v>
      </c>
      <c r="BL663" s="34">
        <v>-1</v>
      </c>
      <c r="BM663" s="34">
        <f t="shared" ref="BM663" si="2724">-SUMPRODUCT($M$2:$M$8,$N$2:$N$8)-SUMPRODUCT($M$10:$M$12,$N$10:$N$12)</f>
        <v>-120000</v>
      </c>
      <c r="BN663" s="34" t="e">
        <f t="shared" ref="BN663" si="2725">IF(BK663&lt;&gt;BK664,MMULT(MINVERSE(BK663:BL664),BM663:BM664)," ")</f>
        <v>#NUM!</v>
      </c>
      <c r="BO663" s="34" t="str">
        <f t="shared" ref="BO663" si="2726">IFERROR(IF(BN663-VLOOKUP(BK$38,$A$2:$N$12,14,FALSE)&lt;0,BN663-VLOOKUP(BK$38,$A$2:$N$12,14,FALSE)," ")," ")</f>
        <v xml:space="preserve"> </v>
      </c>
      <c r="BP663" s="34" t="str">
        <f t="shared" ref="BP663" si="2727">IFERROR(IF(BN663-VLOOKUP(BK$38,$A$2:$N$12,14,FALSE)&gt;0,BN663-VLOOKUP(BK$38,$A$2:$N$12,14,FALSE)," ")," ")</f>
        <v xml:space="preserve"> </v>
      </c>
      <c r="BQ663" s="34">
        <f t="shared" ref="BQ663" si="2728">$M$10</f>
        <v>0</v>
      </c>
      <c r="BR663" s="34">
        <v>-1</v>
      </c>
      <c r="BS663" s="34">
        <f t="shared" ref="BS663" si="2729">-SUMPRODUCT($M$2:$M$9,$N$2:$N$9)-SUMPRODUCT($M$11:$M$12,$N$11:$N$12)</f>
        <v>-120000</v>
      </c>
      <c r="BT663" s="34" t="e">
        <f t="shared" ref="BT663" si="2730">IF(BQ663&lt;&gt;BQ664,MMULT(MINVERSE(BQ663:BR664),BS663:BS664)," ")</f>
        <v>#NUM!</v>
      </c>
      <c r="BU663" s="34" t="str">
        <f t="shared" ref="BU663" si="2731">IFERROR(IF(BT663-VLOOKUP(BQ$38,$A$2:$N$12,14,FALSE)&lt;0,BT663-VLOOKUP(BQ$38,$A$2:$N$12,14,FALSE)," ")," ")</f>
        <v xml:space="preserve"> </v>
      </c>
      <c r="BV663" s="34" t="str">
        <f t="shared" ref="BV663" si="2732">IFERROR(IF(BT663-VLOOKUP(BQ$38,$A$2:$N$12,14,FALSE)&gt;0,BT663-VLOOKUP(BQ$38,$A$2:$N$12,14,FALSE)," ")," ")</f>
        <v xml:space="preserve"> </v>
      </c>
      <c r="BW663" s="34">
        <f t="shared" ref="BW663" si="2733">$M$11</f>
        <v>0</v>
      </c>
      <c r="BX663" s="34">
        <v>-1</v>
      </c>
      <c r="BY663" s="34">
        <f t="shared" ref="BY663" si="2734">-SUMPRODUCT($M$2:$M$10,$N$2:$N$10)-SUMPRODUCT($M$12,$N$12)</f>
        <v>-120000</v>
      </c>
      <c r="BZ663" s="34" t="e">
        <f t="shared" ref="BZ663" si="2735">IF(BW663&lt;&gt;BW664,MMULT(MINVERSE(BW663:BX664),BY663:BY664)," ")</f>
        <v>#NUM!</v>
      </c>
      <c r="CA663" s="34" t="str">
        <f t="shared" ref="CA663" si="2736">IFERROR(IF(BZ663-VLOOKUP(BW$38,$A$2:$N$12,14,FALSE)&lt;0,BZ663-VLOOKUP(BW$38,$A$2:$N$12,14,FALSE)," ")," ")</f>
        <v xml:space="preserve"> </v>
      </c>
      <c r="CB663" s="34" t="str">
        <f t="shared" ref="CB663" si="2737">IFERROR(IF(BZ663-VLOOKUP(BW$38,$A$2:$N$12,14,FALSE)&gt;0,BZ663-VLOOKUP(BW$38,$A$2:$N$12,14,FALSE)," ")," ")</f>
        <v xml:space="preserve"> </v>
      </c>
      <c r="CC663" s="34">
        <f t="shared" ref="CC663" si="2738">$M$12</f>
        <v>0</v>
      </c>
      <c r="CD663" s="34">
        <v>-1</v>
      </c>
      <c r="CE663" s="34">
        <f t="shared" ref="CE663" si="2739">-SUMPRODUCT($M$2:$M$11,$N$2:$N$11)</f>
        <v>-120000</v>
      </c>
      <c r="CF663" s="34" t="e">
        <f t="shared" ref="CF663" si="2740">IF(CC663&lt;&gt;CC664,MMULT(MINVERSE(CC663:CD664),CE663:CE664)," ")</f>
        <v>#NUM!</v>
      </c>
      <c r="CG663" s="34" t="str">
        <f t="shared" ref="CG663" si="2741">IFERROR(IF(CF663-VLOOKUP(CC$38,$A$2:$N$12,14,FALSE)&lt;0,CF663-VLOOKUP(CC$38,$A$2:$N$12,14,FALSE)," ")," ")</f>
        <v xml:space="preserve"> </v>
      </c>
      <c r="CH663" s="34" t="str">
        <f t="shared" ref="CH663" si="2742">IFERROR(IF(CF663-VLOOKUP(CC$38,$A$2:$N$12,14,FALSE)&gt;0,CF663-VLOOKUP(CC$38,$A$2:$N$12,14,FALSE)," ")," ")</f>
        <v xml:space="preserve"> </v>
      </c>
      <c r="CI663" s="8"/>
    </row>
    <row r="664" spans="1:87" x14ac:dyDescent="0.2">
      <c r="A664" s="8" t="str">
        <f>IF(AND(COUNTIF(W$3:W$13,A$16)&gt;0,A$16&lt;&gt;B546),A$16,IFERROR(IF(MATCH(A$16,Z$3:Z$13,0)=6,A$16," ")," "))</f>
        <v xml:space="preserve"> </v>
      </c>
      <c r="B664" s="8" t="str">
        <f>IF(A664=" "," ",MAX(B663:B663)+1)</f>
        <v xml:space="preserve"> </v>
      </c>
      <c r="C664" s="8" t="str">
        <f>IFERROR(INDEX(A663:A684,MATCH(SMALL(B663:B684,2),B663:B684,0),1)," ")</f>
        <v>C4</v>
      </c>
      <c r="D664" s="8">
        <f t="shared" ref="D664:D673" si="2743">IFERROR(VLOOKUP($C664,$A$15:$O$36,2,FALSE)," ")</f>
        <v>1</v>
      </c>
      <c r="E664" s="8">
        <f t="shared" ref="E664:E673" si="2744">IFERROR(VLOOKUP($C664,$A$15:$O$36,3,FALSE)," ")</f>
        <v>0</v>
      </c>
      <c r="F664" s="8">
        <f t="shared" ref="F664:F673" si="2745">IFERROR(VLOOKUP($C664,$A$15:$O$36,4,FALSE)," ")</f>
        <v>1</v>
      </c>
      <c r="G664" s="8">
        <f t="shared" ref="G664:G673" si="2746">IFERROR(VLOOKUP($C664,$A$15:$O$36,5,FALSE)," ")</f>
        <v>0</v>
      </c>
      <c r="H664" s="8">
        <f t="shared" ref="H664:H673" si="2747">IFERROR(VLOOKUP($C664,$A$15:$O$36,6,FALSE)," ")</f>
        <v>0</v>
      </c>
      <c r="I664" s="8">
        <f t="shared" ref="I664:I673" si="2748">IFERROR(VLOOKUP($C664,$A$15:$O$36,7,FALSE)," ")</f>
        <v>0</v>
      </c>
      <c r="J664" s="8">
        <f t="shared" ref="J664:J673" si="2749">IFERROR(VLOOKUP($C664,$A$15:$O$36,8,FALSE)," ")</f>
        <v>0</v>
      </c>
      <c r="K664" s="8">
        <f t="shared" ref="K664:K673" si="2750">IFERROR(VLOOKUP($C664,$A$15:$O$36,9,FALSE)," ")</f>
        <v>0</v>
      </c>
      <c r="L664" s="8">
        <f t="shared" ref="L664:L673" si="2751">IFERROR(VLOOKUP($C664,$A$15:$O$36,10,FALSE)," ")</f>
        <v>0</v>
      </c>
      <c r="M664" s="8">
        <f t="shared" ref="M664:M673" si="2752">IFERROR(VLOOKUP($C664,$A$15:$O$36,11,FALSE)," ")</f>
        <v>0</v>
      </c>
      <c r="N664" s="8">
        <f t="shared" ref="N664:N673" si="2753">IFERROR(VLOOKUP($C664,$A$15:$O$36,12,FALSE)," ")</f>
        <v>0</v>
      </c>
      <c r="O664" s="8">
        <f t="shared" ref="O664:O673" si="2754">IFERROR(VLOOKUP($C664,$A$15:$O$36,15,FALSE)," ")</f>
        <v>400</v>
      </c>
      <c r="P664" s="8" t="e">
        <v>#NUM!</v>
      </c>
      <c r="Q664" s="8" t="e">
        <f t="shared" ref="Q664" si="2755">IF(COUNTIF(P663:P673,"&lt;"&amp;-0.001)=0,IF(ABS(P664)&lt;0.001,0,P664)," ")</f>
        <v>#NUM!</v>
      </c>
      <c r="R664" s="8"/>
      <c r="S664" s="8"/>
      <c r="U664" s="34" t="e">
        <f t="shared" ref="U664" si="2756">$Q663</f>
        <v>#NUM!</v>
      </c>
      <c r="V664" s="34">
        <v>-1</v>
      </c>
      <c r="W664" s="34" t="e">
        <f t="shared" ref="W664" si="2757">-SUMPRODUCT($Q664:$Q673,$N$3:$N$12)</f>
        <v>#NUM!</v>
      </c>
      <c r="X664" s="34"/>
      <c r="Y664" s="34"/>
      <c r="Z664" s="34"/>
      <c r="AA664" s="34" t="e">
        <f t="shared" ref="AA664" si="2758">$Q664</f>
        <v>#NUM!</v>
      </c>
      <c r="AB664" s="34">
        <v>-1</v>
      </c>
      <c r="AC664" s="34" t="e">
        <f t="shared" ref="AC664" si="2759">-SUMPRODUCT($Q663:$Q663,$N$2:$N$2)-SUMPRODUCT($Q665:$Q673,$N$4:$N$12)</f>
        <v>#NUM!</v>
      </c>
      <c r="AD664" s="34"/>
      <c r="AE664" s="34"/>
      <c r="AF664" s="34"/>
      <c r="AG664" s="34" t="e">
        <f t="shared" ref="AG664" si="2760">$Q665</f>
        <v>#NUM!</v>
      </c>
      <c r="AH664" s="34">
        <v>-1</v>
      </c>
      <c r="AI664" s="34" t="e">
        <f t="shared" ref="AI664" si="2761">-SUMPRODUCT($Q663:$Q664,$N$2:$N$3)-SUMPRODUCT($Q666:$Q673,$N$5:$N$12)</f>
        <v>#NUM!</v>
      </c>
      <c r="AJ664" s="34"/>
      <c r="AK664" s="34"/>
      <c r="AL664" s="34"/>
      <c r="AM664" s="34" t="e">
        <f t="shared" ref="AM664" si="2762">$Q666</f>
        <v>#NUM!</v>
      </c>
      <c r="AN664" s="34">
        <v>-1</v>
      </c>
      <c r="AO664" s="34" t="e">
        <f t="shared" ref="AO664" si="2763">-SUMPRODUCT($Q663:$Q665,$N$2:$N$4)-SUMPRODUCT($Q667:$Q673,$N$6:$N$12)</f>
        <v>#NUM!</v>
      </c>
      <c r="AP664" s="34"/>
      <c r="AQ664" s="34"/>
      <c r="AR664" s="34"/>
      <c r="AS664" s="34" t="e">
        <f t="shared" ref="AS664" si="2764">$Q667</f>
        <v>#NUM!</v>
      </c>
      <c r="AT664" s="34">
        <v>-1</v>
      </c>
      <c r="AU664" s="34" t="e">
        <f t="shared" ref="AU664" si="2765">-SUMPRODUCT($Q663:$Q666,$N$2:$N$5)-SUMPRODUCT($Q668:$Q673,$N$7:$N$12)</f>
        <v>#NUM!</v>
      </c>
      <c r="AV664" s="34"/>
      <c r="AW664" s="34"/>
      <c r="AX664" s="34"/>
      <c r="AY664" s="34" t="e">
        <f t="shared" ref="AY664" si="2766">$Q668</f>
        <v>#NUM!</v>
      </c>
      <c r="AZ664" s="34">
        <v>-1</v>
      </c>
      <c r="BA664" s="34" t="e">
        <f t="shared" ref="BA664" si="2767">-SUMPRODUCT($Q663:$Q667,$N$2:$N$6)-SUMPRODUCT($Q669:$Q673,$N$8:$N$12)</f>
        <v>#NUM!</v>
      </c>
      <c r="BB664" s="34"/>
      <c r="BC664" s="34"/>
      <c r="BD664" s="34"/>
      <c r="BE664" s="34" t="e">
        <f t="shared" ref="BE664" si="2768">$Q669</f>
        <v>#NUM!</v>
      </c>
      <c r="BF664" s="34">
        <v>-1</v>
      </c>
      <c r="BG664" s="34" t="e">
        <f t="shared" ref="BG664" si="2769">-SUMPRODUCT($Q663:$Q668,$N$2:$N$7)-SUMPRODUCT($Q670:$Q673,$N$9:$N$12)</f>
        <v>#NUM!</v>
      </c>
      <c r="BH664" s="34"/>
      <c r="BI664" s="34"/>
      <c r="BJ664" s="34"/>
      <c r="BK664" s="34" t="e">
        <f t="shared" ref="BK664" si="2770">$Q670</f>
        <v>#NUM!</v>
      </c>
      <c r="BL664" s="34">
        <v>-1</v>
      </c>
      <c r="BM664" s="34" t="e">
        <f t="shared" ref="BM664" si="2771">-SUMPRODUCT($Q663:$Q669,$N$2:$N$8)-SUMPRODUCT($Q671:$Q673,$N$10:$N$12)</f>
        <v>#NUM!</v>
      </c>
      <c r="BN664" s="34"/>
      <c r="BO664" s="34"/>
      <c r="BP664" s="34"/>
      <c r="BQ664" s="34" t="e">
        <f t="shared" ref="BQ664" si="2772">$Q671</f>
        <v>#NUM!</v>
      </c>
      <c r="BR664" s="34">
        <v>-1</v>
      </c>
      <c r="BS664" s="34" t="e">
        <f t="shared" ref="BS664" si="2773">-SUMPRODUCT($Q663:$Q670,$N$2:$N$9)-SUMPRODUCT($Q672:$Q673,$N$11:$N$12)</f>
        <v>#NUM!</v>
      </c>
      <c r="BT664" s="34"/>
      <c r="BU664" s="34"/>
      <c r="BV664" s="34"/>
      <c r="BW664" s="34" t="e">
        <f t="shared" ref="BW664" si="2774">$Q672</f>
        <v>#NUM!</v>
      </c>
      <c r="BX664" s="34">
        <v>-1</v>
      </c>
      <c r="BY664" s="34" t="e">
        <f t="shared" ref="BY664" si="2775">-SUMPRODUCT($Q663:$Q671,$N$2:$N$10)-SUMPRODUCT($Q673,$N$12)</f>
        <v>#NUM!</v>
      </c>
      <c r="BZ664" s="34"/>
      <c r="CA664" s="34"/>
      <c r="CB664" s="34"/>
      <c r="CC664" s="34" t="e">
        <f t="shared" ref="CC664" si="2776">$Q673</f>
        <v>#NUM!</v>
      </c>
      <c r="CD664" s="34">
        <v>-1</v>
      </c>
      <c r="CE664" s="34" t="e">
        <f t="shared" ref="CE664" si="2777">-SUMPRODUCT($Q663:$Q672,$N$2:$N$11)</f>
        <v>#NUM!</v>
      </c>
      <c r="CF664" s="34"/>
      <c r="CG664" s="34"/>
      <c r="CH664" s="34"/>
      <c r="CI664" s="8"/>
    </row>
    <row r="665" spans="1:87" x14ac:dyDescent="0.2">
      <c r="A665" s="8" t="str">
        <f>IF(AND(COUNTIF(W$3:W$13,A$17)&gt;0,A$17&lt;&gt;B546),A$17,IFERROR(IF(MATCH(A$17,Z$3:Z$13,0)=6,A$17," ")," "))</f>
        <v>C3</v>
      </c>
      <c r="B665" s="8">
        <f>IF(A665=" "," ",MAX(B663:B664)+1)</f>
        <v>1</v>
      </c>
      <c r="C665" s="8" t="str">
        <f>IFERROR(INDEX(A663:A684,MATCH(SMALL(B663:B684,3),B663:B684,0),1)," ")</f>
        <v>C8</v>
      </c>
      <c r="D665" s="8">
        <f t="shared" si="2743"/>
        <v>0</v>
      </c>
      <c r="E665" s="8">
        <f t="shared" si="2744"/>
        <v>0</v>
      </c>
      <c r="F665" s="8">
        <f t="shared" si="2745"/>
        <v>0</v>
      </c>
      <c r="G665" s="8">
        <f t="shared" si="2746"/>
        <v>0</v>
      </c>
      <c r="H665" s="8">
        <f t="shared" si="2747"/>
        <v>0</v>
      </c>
      <c r="I665" s="8">
        <f t="shared" si="2748"/>
        <v>0</v>
      </c>
      <c r="J665" s="8">
        <f t="shared" si="2749"/>
        <v>0</v>
      </c>
      <c r="K665" s="8">
        <f t="shared" si="2750"/>
        <v>0</v>
      </c>
      <c r="L665" s="8">
        <f t="shared" si="2751"/>
        <v>0</v>
      </c>
      <c r="M665" s="8">
        <f t="shared" si="2752"/>
        <v>0</v>
      </c>
      <c r="N665" s="8">
        <f t="shared" si="2753"/>
        <v>0</v>
      </c>
      <c r="O665" s="8">
        <f t="shared" si="2754"/>
        <v>0</v>
      </c>
      <c r="P665" s="8" t="e">
        <v>#NUM!</v>
      </c>
      <c r="Q665" s="8" t="e">
        <f t="shared" ref="Q665" si="2778">IF(COUNTIF(P663:P673,"&lt;"&amp;-0.001)=0,IF(ABS(P665)&lt;0.001,0,P665)," ")</f>
        <v>#NUM!</v>
      </c>
      <c r="R665" s="8"/>
      <c r="S665" s="8"/>
      <c r="U665" s="34"/>
      <c r="V665" s="34"/>
      <c r="W665" s="34"/>
      <c r="X665" s="34"/>
      <c r="Y665" s="34"/>
      <c r="Z665" s="34"/>
      <c r="AA665" s="34"/>
      <c r="AB665" s="34"/>
      <c r="AC665" s="34"/>
      <c r="AD665" s="34"/>
      <c r="AE665" s="34"/>
      <c r="AF665" s="34"/>
      <c r="AG665" s="34"/>
      <c r="AH665" s="34"/>
      <c r="AI665" s="34"/>
      <c r="AJ665" s="34"/>
      <c r="AK665" s="34"/>
      <c r="AL665" s="34"/>
      <c r="AM665" s="34"/>
      <c r="AN665" s="34"/>
      <c r="AO665" s="34"/>
      <c r="AP665" s="34"/>
      <c r="AQ665" s="34"/>
      <c r="AR665" s="34"/>
      <c r="AS665" s="34"/>
      <c r="AT665" s="34"/>
      <c r="AU665" s="34"/>
      <c r="AV665" s="34"/>
      <c r="AW665" s="34"/>
      <c r="AX665" s="34"/>
      <c r="AY665" s="34"/>
      <c r="AZ665" s="34"/>
      <c r="BA665" s="34"/>
      <c r="BB665" s="34"/>
      <c r="BC665" s="34"/>
      <c r="BD665" s="34"/>
      <c r="BE665" s="34"/>
      <c r="BF665" s="34"/>
      <c r="BG665" s="34"/>
      <c r="BH665" s="34"/>
      <c r="BI665" s="34"/>
      <c r="BJ665" s="34"/>
      <c r="BK665" s="34"/>
      <c r="BL665" s="34"/>
      <c r="BM665" s="34"/>
      <c r="BN665" s="34"/>
      <c r="BO665" s="34"/>
      <c r="BP665" s="34"/>
      <c r="BQ665" s="34"/>
      <c r="BR665" s="34"/>
      <c r="BS665" s="34"/>
      <c r="BT665" s="34"/>
      <c r="BU665" s="34"/>
      <c r="BV665" s="34"/>
      <c r="BW665" s="34"/>
      <c r="BX665" s="34"/>
      <c r="BY665" s="34"/>
      <c r="BZ665" s="34"/>
      <c r="CA665" s="34"/>
      <c r="CB665" s="34"/>
      <c r="CC665" s="34"/>
      <c r="CD665" s="34"/>
      <c r="CE665" s="34"/>
      <c r="CF665" s="34"/>
      <c r="CG665" s="34"/>
      <c r="CH665" s="34"/>
      <c r="CI665" s="8"/>
    </row>
    <row r="666" spans="1:87" x14ac:dyDescent="0.2">
      <c r="A666" s="8" t="str">
        <f>IF(AND(COUNTIF(W$3:W$13,A$18)&gt;0,A$18&lt;&gt;B546),A$18,IFERROR(IF(MATCH(A$18,Z$3:Z$13,0)=6,A$18," ")," "))</f>
        <v>C4</v>
      </c>
      <c r="B666" s="8">
        <f>IF(A666=" "," ",MAX(B663:B665)+1)</f>
        <v>2</v>
      </c>
      <c r="C666" s="8" t="str">
        <f>IFERROR(INDEX(A663:A684,MATCH(SMALL(B663:B684,4),B663:B684,0),1)," ")</f>
        <v>C15</v>
      </c>
      <c r="D666" s="8">
        <f t="shared" si="2743"/>
        <v>0</v>
      </c>
      <c r="E666" s="8">
        <f t="shared" si="2744"/>
        <v>0</v>
      </c>
      <c r="F666" s="8">
        <f t="shared" si="2745"/>
        <v>0</v>
      </c>
      <c r="G666" s="8">
        <f t="shared" si="2746"/>
        <v>1</v>
      </c>
      <c r="H666" s="8">
        <f t="shared" si="2747"/>
        <v>0</v>
      </c>
      <c r="I666" s="8">
        <f t="shared" si="2748"/>
        <v>0</v>
      </c>
      <c r="J666" s="8">
        <f t="shared" si="2749"/>
        <v>0</v>
      </c>
      <c r="K666" s="8">
        <f t="shared" si="2750"/>
        <v>0</v>
      </c>
      <c r="L666" s="8">
        <f t="shared" si="2751"/>
        <v>0</v>
      </c>
      <c r="M666" s="8">
        <f t="shared" si="2752"/>
        <v>0</v>
      </c>
      <c r="N666" s="8">
        <f t="shared" si="2753"/>
        <v>0</v>
      </c>
      <c r="O666" s="8">
        <f t="shared" si="2754"/>
        <v>0</v>
      </c>
      <c r="P666" s="8" t="e">
        <v>#NUM!</v>
      </c>
      <c r="Q666" s="8" t="e">
        <f t="shared" ref="Q666" si="2779">IF(COUNTIF(P663:P673,"&lt;"&amp;-0.001)=0,IF(ABS(P666)&lt;0.001,0,P666)," ")</f>
        <v>#NUM!</v>
      </c>
      <c r="R666" s="8"/>
      <c r="S666" s="8"/>
      <c r="U666" s="34"/>
      <c r="V666" s="34"/>
      <c r="W666" s="34"/>
      <c r="X666" s="34"/>
      <c r="Y666" s="34"/>
      <c r="Z666" s="34"/>
      <c r="AA666" s="34"/>
      <c r="AB666" s="34"/>
      <c r="AC666" s="34"/>
      <c r="AD666" s="34"/>
      <c r="AE666" s="34"/>
      <c r="AF666" s="34"/>
      <c r="AG666" s="34"/>
      <c r="AH666" s="34"/>
      <c r="AI666" s="34"/>
      <c r="AJ666" s="34"/>
      <c r="AK666" s="34"/>
      <c r="AL666" s="34"/>
      <c r="AM666" s="34"/>
      <c r="AN666" s="34"/>
      <c r="AO666" s="34"/>
      <c r="AP666" s="34"/>
      <c r="AQ666" s="34"/>
      <c r="AR666" s="34"/>
      <c r="AS666" s="34"/>
      <c r="AT666" s="34"/>
      <c r="AU666" s="34"/>
      <c r="AV666" s="34"/>
      <c r="AW666" s="34"/>
      <c r="AX666" s="34"/>
      <c r="AY666" s="34"/>
      <c r="AZ666" s="34"/>
      <c r="BA666" s="34"/>
      <c r="BB666" s="34"/>
      <c r="BC666" s="34"/>
      <c r="BD666" s="34"/>
      <c r="BE666" s="34"/>
      <c r="BF666" s="34"/>
      <c r="BG666" s="34"/>
      <c r="BH666" s="34"/>
      <c r="BI666" s="34"/>
      <c r="BJ666" s="34"/>
      <c r="BK666" s="34"/>
      <c r="BL666" s="34"/>
      <c r="BM666" s="34"/>
      <c r="BN666" s="34"/>
      <c r="BO666" s="34"/>
      <c r="BP666" s="34"/>
      <c r="BQ666" s="34"/>
      <c r="BR666" s="34"/>
      <c r="BS666" s="34"/>
      <c r="BT666" s="34"/>
      <c r="BU666" s="34"/>
      <c r="BV666" s="34"/>
      <c r="BW666" s="34"/>
      <c r="BX666" s="34"/>
      <c r="BY666" s="34"/>
      <c r="BZ666" s="34"/>
      <c r="CA666" s="34"/>
      <c r="CB666" s="34"/>
      <c r="CC666" s="34"/>
      <c r="CD666" s="34"/>
      <c r="CE666" s="34"/>
      <c r="CF666" s="34"/>
      <c r="CG666" s="34"/>
      <c r="CH666" s="34"/>
      <c r="CI666" s="8"/>
    </row>
    <row r="667" spans="1:87" x14ac:dyDescent="0.2">
      <c r="A667" s="8" t="str">
        <f>IF(AND(COUNTIF(W$3:W$13,A$19)&gt;0,A$19&lt;&gt;B546),A$19,IFERROR(IF(MATCH(A$19,Z$3:Z$13,0)=6,A$19," ")," "))</f>
        <v xml:space="preserve"> </v>
      </c>
      <c r="B667" s="8" t="str">
        <f>IF(A667=" "," ",MAX(B663:B666)+1)</f>
        <v xml:space="preserve"> </v>
      </c>
      <c r="C667" s="8" t="str">
        <f>IFERROR(INDEX(A663:A684,MATCH(SMALL(B663:B684,5),B663:B684,0),1)," ")</f>
        <v>C16</v>
      </c>
      <c r="D667" s="8">
        <f t="shared" si="2743"/>
        <v>0</v>
      </c>
      <c r="E667" s="8">
        <f t="shared" si="2744"/>
        <v>0</v>
      </c>
      <c r="F667" s="8">
        <f t="shared" si="2745"/>
        <v>0</v>
      </c>
      <c r="G667" s="8">
        <f t="shared" si="2746"/>
        <v>0</v>
      </c>
      <c r="H667" s="8">
        <f t="shared" si="2747"/>
        <v>1</v>
      </c>
      <c r="I667" s="8">
        <f t="shared" si="2748"/>
        <v>0</v>
      </c>
      <c r="J667" s="8">
        <f t="shared" si="2749"/>
        <v>0</v>
      </c>
      <c r="K667" s="8">
        <f t="shared" si="2750"/>
        <v>0</v>
      </c>
      <c r="L667" s="8">
        <f t="shared" si="2751"/>
        <v>0</v>
      </c>
      <c r="M667" s="8">
        <f t="shared" si="2752"/>
        <v>0</v>
      </c>
      <c r="N667" s="8">
        <f t="shared" si="2753"/>
        <v>0</v>
      </c>
      <c r="O667" s="8">
        <f t="shared" si="2754"/>
        <v>0</v>
      </c>
      <c r="P667" s="8" t="e">
        <v>#NUM!</v>
      </c>
      <c r="Q667" s="8" t="e">
        <f t="shared" ref="Q667" si="2780">IF(COUNTIF(P663:P673,"&lt;"&amp;-0.001)=0,IF(ABS(P667)&lt;0.001,0,P667)," ")</f>
        <v>#NUM!</v>
      </c>
      <c r="R667" s="8"/>
      <c r="S667" s="8"/>
      <c r="U667" s="34"/>
      <c r="V667" s="34"/>
      <c r="W667" s="34"/>
      <c r="X667" s="34"/>
      <c r="Y667" s="34"/>
      <c r="Z667" s="34"/>
      <c r="AA667" s="34"/>
      <c r="AB667" s="34"/>
      <c r="AC667" s="34"/>
      <c r="AD667" s="34"/>
      <c r="AE667" s="34"/>
      <c r="AF667" s="34"/>
      <c r="AG667" s="34"/>
      <c r="AH667" s="34"/>
      <c r="AI667" s="34"/>
      <c r="AJ667" s="34"/>
      <c r="AK667" s="34"/>
      <c r="AL667" s="34"/>
      <c r="AM667" s="34"/>
      <c r="AN667" s="34"/>
      <c r="AO667" s="34"/>
      <c r="AP667" s="34"/>
      <c r="AQ667" s="34"/>
      <c r="AR667" s="34"/>
      <c r="AS667" s="34"/>
      <c r="AT667" s="34"/>
      <c r="AU667" s="34"/>
      <c r="AV667" s="34"/>
      <c r="AW667" s="34"/>
      <c r="AX667" s="34"/>
      <c r="AY667" s="34"/>
      <c r="AZ667" s="34"/>
      <c r="BA667" s="34"/>
      <c r="BB667" s="34"/>
      <c r="BC667" s="34"/>
      <c r="BD667" s="34"/>
      <c r="BE667" s="34"/>
      <c r="BF667" s="34"/>
      <c r="BG667" s="34"/>
      <c r="BH667" s="34"/>
      <c r="BI667" s="34"/>
      <c r="BJ667" s="34"/>
      <c r="BK667" s="34"/>
      <c r="BL667" s="34"/>
      <c r="BM667" s="34"/>
      <c r="BN667" s="34"/>
      <c r="BO667" s="34"/>
      <c r="BP667" s="34"/>
      <c r="BQ667" s="34"/>
      <c r="BR667" s="34"/>
      <c r="BS667" s="34"/>
      <c r="BT667" s="34"/>
      <c r="BU667" s="34"/>
      <c r="BV667" s="34"/>
      <c r="BW667" s="34"/>
      <c r="BX667" s="34"/>
      <c r="BY667" s="34"/>
      <c r="BZ667" s="34"/>
      <c r="CA667" s="34"/>
      <c r="CB667" s="34"/>
      <c r="CC667" s="34"/>
      <c r="CD667" s="34"/>
      <c r="CE667" s="34"/>
      <c r="CF667" s="34"/>
      <c r="CG667" s="34"/>
      <c r="CH667" s="34"/>
      <c r="CI667" s="8"/>
    </row>
    <row r="668" spans="1:87" x14ac:dyDescent="0.2">
      <c r="A668" s="8" t="str">
        <f>IF(AND(COUNTIF(W$3:W$13,A$20)&gt;0,A$20&lt;&gt;B546),A$20,IFERROR(IF(MATCH(A$20,Z$3:Z$13,0)=6,A$20," ")," "))</f>
        <v xml:space="preserve"> </v>
      </c>
      <c r="B668" s="8" t="str">
        <f>IF(A668=" "," ",MAX(B663:B667)+1)</f>
        <v xml:space="preserve"> </v>
      </c>
      <c r="C668" s="8" t="str">
        <f>IFERROR(INDEX(A663:A684,MATCH(SMALL(B663:B684,6),B663:B684,0),1)," ")</f>
        <v>C17</v>
      </c>
      <c r="D668" s="8">
        <f t="shared" si="2743"/>
        <v>0</v>
      </c>
      <c r="E668" s="8">
        <f t="shared" si="2744"/>
        <v>0</v>
      </c>
      <c r="F668" s="8">
        <f t="shared" si="2745"/>
        <v>0</v>
      </c>
      <c r="G668" s="8">
        <f t="shared" si="2746"/>
        <v>0</v>
      </c>
      <c r="H668" s="8">
        <f t="shared" si="2747"/>
        <v>0</v>
      </c>
      <c r="I668" s="8">
        <f t="shared" si="2748"/>
        <v>1</v>
      </c>
      <c r="J668" s="8">
        <f t="shared" si="2749"/>
        <v>0</v>
      </c>
      <c r="K668" s="8">
        <f t="shared" si="2750"/>
        <v>0</v>
      </c>
      <c r="L668" s="8">
        <f t="shared" si="2751"/>
        <v>0</v>
      </c>
      <c r="M668" s="8">
        <f t="shared" si="2752"/>
        <v>0</v>
      </c>
      <c r="N668" s="8">
        <f t="shared" si="2753"/>
        <v>0</v>
      </c>
      <c r="O668" s="8">
        <f t="shared" si="2754"/>
        <v>0</v>
      </c>
      <c r="P668" s="8" t="e">
        <v>#NUM!</v>
      </c>
      <c r="Q668" s="8" t="e">
        <f t="shared" ref="Q668" si="2781">IF(COUNTIF(P663:P673,"&lt;"&amp;-0.001)=0,IF(ABS(P668)&lt;0.001,0,P668)," ")</f>
        <v>#NUM!</v>
      </c>
      <c r="R668" s="8"/>
      <c r="S668" s="8"/>
      <c r="U668" s="34"/>
      <c r="V668" s="34"/>
      <c r="W668" s="34"/>
      <c r="X668" s="34"/>
      <c r="Y668" s="34"/>
      <c r="Z668" s="34"/>
      <c r="AA668" s="34"/>
      <c r="AB668" s="34"/>
      <c r="AC668" s="34"/>
      <c r="AD668" s="34"/>
      <c r="AE668" s="34"/>
      <c r="AF668" s="34"/>
      <c r="AG668" s="34"/>
      <c r="AH668" s="34"/>
      <c r="AI668" s="34"/>
      <c r="AJ668" s="34"/>
      <c r="AK668" s="34"/>
      <c r="AL668" s="34"/>
      <c r="AM668" s="34"/>
      <c r="AN668" s="34"/>
      <c r="AO668" s="34"/>
      <c r="AP668" s="34"/>
      <c r="AQ668" s="34"/>
      <c r="AR668" s="34"/>
      <c r="AS668" s="34"/>
      <c r="AT668" s="34"/>
      <c r="AU668" s="34"/>
      <c r="AV668" s="34"/>
      <c r="AW668" s="34"/>
      <c r="AX668" s="34"/>
      <c r="AY668" s="34"/>
      <c r="AZ668" s="34"/>
      <c r="BA668" s="34"/>
      <c r="BB668" s="34"/>
      <c r="BC668" s="34"/>
      <c r="BD668" s="34"/>
      <c r="BE668" s="34"/>
      <c r="BF668" s="34"/>
      <c r="BG668" s="34"/>
      <c r="BH668" s="34"/>
      <c r="BI668" s="34"/>
      <c r="BJ668" s="34"/>
      <c r="BK668" s="34"/>
      <c r="BL668" s="34"/>
      <c r="BM668" s="34"/>
      <c r="BN668" s="34"/>
      <c r="BO668" s="34"/>
      <c r="BP668" s="34"/>
      <c r="BQ668" s="34"/>
      <c r="BR668" s="34"/>
      <c r="BS668" s="34"/>
      <c r="BT668" s="34"/>
      <c r="BU668" s="34"/>
      <c r="BV668" s="34"/>
      <c r="BW668" s="34"/>
      <c r="BX668" s="34"/>
      <c r="BY668" s="34"/>
      <c r="BZ668" s="34"/>
      <c r="CA668" s="34"/>
      <c r="CB668" s="34"/>
      <c r="CC668" s="34"/>
      <c r="CD668" s="34"/>
      <c r="CE668" s="34"/>
      <c r="CF668" s="34"/>
      <c r="CG668" s="34"/>
      <c r="CH668" s="34"/>
      <c r="CI668" s="8"/>
    </row>
    <row r="669" spans="1:87" x14ac:dyDescent="0.2">
      <c r="A669" s="8" t="str">
        <f>IF(AND(COUNTIF(W$3:W$13,A$21)&gt;0,A$21&lt;&gt;B546),A$21,IFERROR(IF(MATCH(A$21,Z$3:Z$13,0)=6,A$21," ")," "))</f>
        <v xml:space="preserve"> </v>
      </c>
      <c r="B669" s="8" t="str">
        <f>IF(A669=" "," ",MAX(B663:B668)+1)</f>
        <v xml:space="preserve"> </v>
      </c>
      <c r="C669" s="8" t="str">
        <f>IFERROR(INDEX(A663:A684,MATCH(SMALL(B663:B684,7),B663:B684,0),1)," ")</f>
        <v>C18</v>
      </c>
      <c r="D669" s="8">
        <f t="shared" si="2743"/>
        <v>0</v>
      </c>
      <c r="E669" s="8">
        <f t="shared" si="2744"/>
        <v>0</v>
      </c>
      <c r="F669" s="8">
        <f t="shared" si="2745"/>
        <v>0</v>
      </c>
      <c r="G669" s="8">
        <f t="shared" si="2746"/>
        <v>0</v>
      </c>
      <c r="H669" s="8">
        <f t="shared" si="2747"/>
        <v>0</v>
      </c>
      <c r="I669" s="8">
        <f t="shared" si="2748"/>
        <v>0</v>
      </c>
      <c r="J669" s="8">
        <f t="shared" si="2749"/>
        <v>1</v>
      </c>
      <c r="K669" s="8">
        <f t="shared" si="2750"/>
        <v>0</v>
      </c>
      <c r="L669" s="8">
        <f t="shared" si="2751"/>
        <v>0</v>
      </c>
      <c r="M669" s="8">
        <f t="shared" si="2752"/>
        <v>0</v>
      </c>
      <c r="N669" s="8">
        <f t="shared" si="2753"/>
        <v>0</v>
      </c>
      <c r="O669" s="8">
        <f t="shared" si="2754"/>
        <v>0</v>
      </c>
      <c r="P669" s="8" t="e">
        <v>#NUM!</v>
      </c>
      <c r="Q669" s="8" t="e">
        <f t="shared" ref="Q669" si="2782">IF(COUNTIF(P663:P673,"&lt;"&amp;-0.001)=0,IF(ABS(P669)&lt;0.001,0,P669)," ")</f>
        <v>#NUM!</v>
      </c>
      <c r="R669" s="8"/>
      <c r="S669" s="8"/>
      <c r="U669" s="34"/>
      <c r="V669" s="34"/>
      <c r="W669" s="34"/>
      <c r="X669" s="34"/>
      <c r="Y669" s="34"/>
      <c r="Z669" s="34"/>
      <c r="AA669" s="34"/>
      <c r="AB669" s="34"/>
      <c r="AC669" s="34"/>
      <c r="AD669" s="34"/>
      <c r="AE669" s="34"/>
      <c r="AF669" s="34"/>
      <c r="AG669" s="34"/>
      <c r="AH669" s="34"/>
      <c r="AI669" s="34"/>
      <c r="AJ669" s="34"/>
      <c r="AK669" s="34"/>
      <c r="AL669" s="34"/>
      <c r="AM669" s="34"/>
      <c r="AN669" s="34"/>
      <c r="AO669" s="34"/>
      <c r="AP669" s="34"/>
      <c r="AQ669" s="34"/>
      <c r="AR669" s="34"/>
      <c r="AS669" s="34"/>
      <c r="AT669" s="34"/>
      <c r="AU669" s="34"/>
      <c r="AV669" s="34"/>
      <c r="AW669" s="34"/>
      <c r="AX669" s="34"/>
      <c r="AY669" s="34"/>
      <c r="AZ669" s="34"/>
      <c r="BA669" s="34"/>
      <c r="BB669" s="34"/>
      <c r="BC669" s="34"/>
      <c r="BD669" s="34"/>
      <c r="BE669" s="34"/>
      <c r="BF669" s="34"/>
      <c r="BG669" s="34"/>
      <c r="BH669" s="34"/>
      <c r="BI669" s="34"/>
      <c r="BJ669" s="34"/>
      <c r="BK669" s="34"/>
      <c r="BL669" s="34"/>
      <c r="BM669" s="34"/>
      <c r="BN669" s="34"/>
      <c r="BO669" s="34"/>
      <c r="BP669" s="34"/>
      <c r="BQ669" s="34"/>
      <c r="BR669" s="34"/>
      <c r="BS669" s="34"/>
      <c r="BT669" s="34"/>
      <c r="BU669" s="34"/>
      <c r="BV669" s="34"/>
      <c r="BW669" s="34"/>
      <c r="BX669" s="34"/>
      <c r="BY669" s="34"/>
      <c r="BZ669" s="34"/>
      <c r="CA669" s="34"/>
      <c r="CB669" s="34"/>
      <c r="CC669" s="34"/>
      <c r="CD669" s="34"/>
      <c r="CE669" s="34"/>
      <c r="CF669" s="34"/>
      <c r="CG669" s="34"/>
      <c r="CH669" s="34"/>
      <c r="CI669" s="8"/>
    </row>
    <row r="670" spans="1:87" x14ac:dyDescent="0.2">
      <c r="A670" s="8" t="str">
        <f>IF(AND(COUNTIF(W$3:W$13,A$22)&gt;0,A$22&lt;&gt;B546),A$22,IFERROR(IF(MATCH(A$22,Z$3:Z$13,0)=6,A$22," ")," "))</f>
        <v>C8</v>
      </c>
      <c r="B670" s="8">
        <f>IF(A670=" "," ",MAX(B663:B669)+1)</f>
        <v>3</v>
      </c>
      <c r="C670" s="8" t="str">
        <f>IFERROR(INDEX(A663:A684,MATCH(SMALL(B663:B684,8),B663:B684,0),1)," ")</f>
        <v>C19</v>
      </c>
      <c r="D670" s="8">
        <f t="shared" si="2743"/>
        <v>0</v>
      </c>
      <c r="E670" s="8">
        <f t="shared" si="2744"/>
        <v>0</v>
      </c>
      <c r="F670" s="8">
        <f t="shared" si="2745"/>
        <v>0</v>
      </c>
      <c r="G670" s="8">
        <f t="shared" si="2746"/>
        <v>0</v>
      </c>
      <c r="H670" s="8">
        <f t="shared" si="2747"/>
        <v>0</v>
      </c>
      <c r="I670" s="8">
        <f t="shared" si="2748"/>
        <v>0</v>
      </c>
      <c r="J670" s="8">
        <f t="shared" si="2749"/>
        <v>0</v>
      </c>
      <c r="K670" s="8">
        <f t="shared" si="2750"/>
        <v>1</v>
      </c>
      <c r="L670" s="8">
        <f t="shared" si="2751"/>
        <v>0</v>
      </c>
      <c r="M670" s="8">
        <f t="shared" si="2752"/>
        <v>0</v>
      </c>
      <c r="N670" s="8">
        <f t="shared" si="2753"/>
        <v>0</v>
      </c>
      <c r="O670" s="8">
        <f t="shared" si="2754"/>
        <v>0</v>
      </c>
      <c r="P670" s="8" t="e">
        <v>#NUM!</v>
      </c>
      <c r="Q670" s="8" t="e">
        <f t="shared" ref="Q670" si="2783">IF(COUNTIF(P663:P673,"&lt;"&amp;-0.001)=0,IF(ABS(P670)&lt;0.001,0,P670)," ")</f>
        <v>#NUM!</v>
      </c>
      <c r="R670" s="8"/>
      <c r="S670" s="8"/>
      <c r="U670" s="34"/>
      <c r="V670" s="34"/>
      <c r="W670" s="34"/>
      <c r="X670" s="34"/>
      <c r="Y670" s="34"/>
      <c r="Z670" s="34"/>
      <c r="AA670" s="34"/>
      <c r="AB670" s="34"/>
      <c r="AC670" s="34"/>
      <c r="AD670" s="34"/>
      <c r="AE670" s="34"/>
      <c r="AF670" s="34"/>
      <c r="AG670" s="34"/>
      <c r="AH670" s="34"/>
      <c r="AI670" s="34"/>
      <c r="AJ670" s="34"/>
      <c r="AK670" s="34"/>
      <c r="AL670" s="34"/>
      <c r="AM670" s="34"/>
      <c r="AN670" s="34"/>
      <c r="AO670" s="34"/>
      <c r="AP670" s="34"/>
      <c r="AQ670" s="34"/>
      <c r="AR670" s="34"/>
      <c r="AS670" s="34"/>
      <c r="AT670" s="34"/>
      <c r="AU670" s="34"/>
      <c r="AV670" s="34"/>
      <c r="AW670" s="34"/>
      <c r="AX670" s="34"/>
      <c r="AY670" s="34"/>
      <c r="AZ670" s="34"/>
      <c r="BA670" s="34"/>
      <c r="BB670" s="34"/>
      <c r="BC670" s="34"/>
      <c r="BD670" s="34"/>
      <c r="BE670" s="34"/>
      <c r="BF670" s="34"/>
      <c r="BG670" s="34"/>
      <c r="BH670" s="34"/>
      <c r="BI670" s="34"/>
      <c r="BJ670" s="34"/>
      <c r="BK670" s="34"/>
      <c r="BL670" s="34"/>
      <c r="BM670" s="34"/>
      <c r="BN670" s="34"/>
      <c r="BO670" s="34"/>
      <c r="BP670" s="34"/>
      <c r="BQ670" s="34"/>
      <c r="BR670" s="34"/>
      <c r="BS670" s="34"/>
      <c r="BT670" s="34"/>
      <c r="BU670" s="34"/>
      <c r="BV670" s="34"/>
      <c r="BW670" s="34"/>
      <c r="BX670" s="34"/>
      <c r="BY670" s="34"/>
      <c r="BZ670" s="34"/>
      <c r="CA670" s="34"/>
      <c r="CB670" s="34"/>
      <c r="CC670" s="34"/>
      <c r="CD670" s="34"/>
      <c r="CE670" s="34"/>
      <c r="CF670" s="34"/>
      <c r="CG670" s="34"/>
      <c r="CH670" s="34"/>
      <c r="CI670" s="8"/>
    </row>
    <row r="671" spans="1:87" x14ac:dyDescent="0.2">
      <c r="A671" s="8" t="str">
        <f>IF(AND(COUNTIF(W$3:W$13,A$23)&gt;0,A$23&lt;&gt;B546),A$23,IFERROR(IF(MATCH(A$23,Z$3:Z$13,0)=6,A$23," ")," "))</f>
        <v xml:space="preserve"> </v>
      </c>
      <c r="B671" s="8" t="str">
        <f>IF(A671=" "," ",MAX(B663:B670)+1)</f>
        <v xml:space="preserve"> </v>
      </c>
      <c r="C671" s="8" t="str">
        <f>IFERROR(INDEX(A663:A684,MATCH(SMALL(B663:B684,9),B663:B684,0),1)," ")</f>
        <v>C20</v>
      </c>
      <c r="D671" s="8">
        <f t="shared" si="2743"/>
        <v>0</v>
      </c>
      <c r="E671" s="8">
        <f t="shared" si="2744"/>
        <v>0</v>
      </c>
      <c r="F671" s="8">
        <f t="shared" si="2745"/>
        <v>0</v>
      </c>
      <c r="G671" s="8">
        <f t="shared" si="2746"/>
        <v>0</v>
      </c>
      <c r="H671" s="8">
        <f t="shared" si="2747"/>
        <v>0</v>
      </c>
      <c r="I671" s="8">
        <f t="shared" si="2748"/>
        <v>0</v>
      </c>
      <c r="J671" s="8">
        <f t="shared" si="2749"/>
        <v>0</v>
      </c>
      <c r="K671" s="8">
        <f t="shared" si="2750"/>
        <v>0</v>
      </c>
      <c r="L671" s="8">
        <f t="shared" si="2751"/>
        <v>1</v>
      </c>
      <c r="M671" s="8">
        <f t="shared" si="2752"/>
        <v>0</v>
      </c>
      <c r="N671" s="8">
        <f t="shared" si="2753"/>
        <v>0</v>
      </c>
      <c r="O671" s="8">
        <f t="shared" si="2754"/>
        <v>0</v>
      </c>
      <c r="P671" s="6" t="e">
        <v>#NUM!</v>
      </c>
      <c r="Q671" s="8" t="e">
        <f t="shared" ref="Q671" si="2784">IF(COUNTIF(P663:P673,"&lt;"&amp;-0.001)=0,IF(ABS(P671)&lt;0.001,0,P671)," ")</f>
        <v>#NUM!</v>
      </c>
      <c r="R671" s="8"/>
      <c r="S671" s="8"/>
      <c r="U671" s="34"/>
      <c r="V671" s="34"/>
      <c r="W671" s="34"/>
      <c r="X671" s="34"/>
      <c r="Y671" s="34"/>
      <c r="Z671" s="34"/>
      <c r="AA671" s="34"/>
      <c r="AB671" s="34"/>
      <c r="AC671" s="34"/>
      <c r="AD671" s="34"/>
      <c r="AE671" s="34"/>
      <c r="AF671" s="34"/>
      <c r="AG671" s="34"/>
      <c r="AH671" s="34"/>
      <c r="AI671" s="34"/>
      <c r="AJ671" s="34"/>
      <c r="AK671" s="34"/>
      <c r="AL671" s="34"/>
      <c r="AM671" s="34"/>
      <c r="AN671" s="34"/>
      <c r="AO671" s="34"/>
      <c r="AP671" s="34"/>
      <c r="AQ671" s="34"/>
      <c r="AR671" s="34"/>
      <c r="AS671" s="34"/>
      <c r="AT671" s="34"/>
      <c r="AU671" s="34"/>
      <c r="AV671" s="34"/>
      <c r="AW671" s="34"/>
      <c r="AX671" s="34"/>
      <c r="AY671" s="34"/>
      <c r="AZ671" s="34"/>
      <c r="BA671" s="34"/>
      <c r="BB671" s="34"/>
      <c r="BC671" s="34"/>
      <c r="BD671" s="34"/>
      <c r="BE671" s="34"/>
      <c r="BF671" s="34"/>
      <c r="BG671" s="34"/>
      <c r="BH671" s="34"/>
      <c r="BI671" s="34"/>
      <c r="BJ671" s="34"/>
      <c r="BK671" s="34"/>
      <c r="BL671" s="34"/>
      <c r="BM671" s="34"/>
      <c r="BN671" s="34"/>
      <c r="BO671" s="34"/>
      <c r="BP671" s="34"/>
      <c r="BQ671" s="34"/>
      <c r="BR671" s="34"/>
      <c r="BS671" s="34"/>
      <c r="BT671" s="34"/>
      <c r="BU671" s="34"/>
      <c r="BV671" s="34"/>
      <c r="BW671" s="34"/>
      <c r="BX671" s="34"/>
      <c r="BY671" s="34"/>
      <c r="BZ671" s="34"/>
      <c r="CA671" s="34"/>
      <c r="CB671" s="34"/>
      <c r="CC671" s="34"/>
      <c r="CD671" s="34"/>
      <c r="CE671" s="34"/>
      <c r="CF671" s="34"/>
      <c r="CG671" s="34"/>
      <c r="CH671" s="34"/>
      <c r="CI671" s="8"/>
    </row>
    <row r="672" spans="1:87" x14ac:dyDescent="0.2">
      <c r="A672" s="8" t="str">
        <f>IF(AND(COUNTIF(W$3:W$13,A$24)&gt;0,A$24&lt;&gt;B546),A$24,IFERROR(IF(MATCH(A$24,Z$3:Z$13,0)=6,A$24," ")," "))</f>
        <v xml:space="preserve"> </v>
      </c>
      <c r="B672" s="8" t="str">
        <f>IF(A672=" "," ",MAX(B663:B671)+1)</f>
        <v xml:space="preserve"> </v>
      </c>
      <c r="C672" s="8" t="str">
        <f>IFERROR(INDEX(A663:A684,MATCH(SMALL(B663:B684,10),B663:B684,0),1)," ")</f>
        <v>C21</v>
      </c>
      <c r="D672" s="8">
        <f t="shared" si="2743"/>
        <v>0</v>
      </c>
      <c r="E672" s="8">
        <f t="shared" si="2744"/>
        <v>0</v>
      </c>
      <c r="F672" s="8">
        <f t="shared" si="2745"/>
        <v>0</v>
      </c>
      <c r="G672" s="8">
        <f t="shared" si="2746"/>
        <v>0</v>
      </c>
      <c r="H672" s="8">
        <f t="shared" si="2747"/>
        <v>0</v>
      </c>
      <c r="I672" s="8">
        <f t="shared" si="2748"/>
        <v>0</v>
      </c>
      <c r="J672" s="8">
        <f t="shared" si="2749"/>
        <v>0</v>
      </c>
      <c r="K672" s="8">
        <f t="shared" si="2750"/>
        <v>0</v>
      </c>
      <c r="L672" s="8">
        <f t="shared" si="2751"/>
        <v>0</v>
      </c>
      <c r="M672" s="8">
        <f t="shared" si="2752"/>
        <v>1</v>
      </c>
      <c r="N672" s="8">
        <f t="shared" si="2753"/>
        <v>0</v>
      </c>
      <c r="O672" s="8">
        <f t="shared" si="2754"/>
        <v>0</v>
      </c>
      <c r="P672" s="8" t="e">
        <v>#NUM!</v>
      </c>
      <c r="Q672" s="8" t="e">
        <f t="shared" ref="Q672" si="2785">IF(COUNTIF(P663:P673,"&lt;"&amp;-0.001)=0,IF(ABS(P672)&lt;0.001,0,P672)," ")</f>
        <v>#NUM!</v>
      </c>
      <c r="R672" s="8"/>
      <c r="S672" s="8"/>
      <c r="U672" s="34"/>
      <c r="V672" s="34"/>
      <c r="W672" s="34"/>
      <c r="X672" s="34"/>
      <c r="Y672" s="34"/>
      <c r="Z672" s="34"/>
      <c r="AA672" s="34"/>
      <c r="AB672" s="34"/>
      <c r="AC672" s="34"/>
      <c r="AD672" s="34"/>
      <c r="AE672" s="34"/>
      <c r="AF672" s="34"/>
      <c r="AG672" s="34"/>
      <c r="AH672" s="34"/>
      <c r="AI672" s="34"/>
      <c r="AJ672" s="34"/>
      <c r="AK672" s="34"/>
      <c r="AL672" s="34"/>
      <c r="AM672" s="34"/>
      <c r="AN672" s="34"/>
      <c r="AO672" s="34"/>
      <c r="AP672" s="34"/>
      <c r="AQ672" s="34"/>
      <c r="AR672" s="34"/>
      <c r="AS672" s="34"/>
      <c r="AT672" s="34"/>
      <c r="AU672" s="34"/>
      <c r="AV672" s="34"/>
      <c r="AW672" s="34"/>
      <c r="AX672" s="34"/>
      <c r="AY672" s="34"/>
      <c r="AZ672" s="34"/>
      <c r="BA672" s="34"/>
      <c r="BB672" s="34"/>
      <c r="BC672" s="34"/>
      <c r="BD672" s="34"/>
      <c r="BE672" s="34"/>
      <c r="BF672" s="34"/>
      <c r="BG672" s="34"/>
      <c r="BH672" s="34"/>
      <c r="BI672" s="34"/>
      <c r="BJ672" s="34"/>
      <c r="BK672" s="34"/>
      <c r="BL672" s="34"/>
      <c r="BM672" s="34"/>
      <c r="BN672" s="34"/>
      <c r="BO672" s="34"/>
      <c r="BP672" s="34"/>
      <c r="BQ672" s="34"/>
      <c r="BR672" s="34"/>
      <c r="BS672" s="34"/>
      <c r="BT672" s="34"/>
      <c r="BU672" s="34"/>
      <c r="BV672" s="34"/>
      <c r="BW672" s="34"/>
      <c r="BX672" s="34"/>
      <c r="BY672" s="34"/>
      <c r="BZ672" s="34"/>
      <c r="CA672" s="34"/>
      <c r="CB672" s="34"/>
      <c r="CC672" s="34"/>
      <c r="CD672" s="34"/>
      <c r="CE672" s="34"/>
      <c r="CF672" s="34"/>
      <c r="CG672" s="34"/>
      <c r="CH672" s="34"/>
      <c r="CI672" s="8"/>
    </row>
    <row r="673" spans="1:87" x14ac:dyDescent="0.2">
      <c r="A673" s="8" t="str">
        <f>IF(AND(COUNTIF(W$3:W$13,A$25)&gt;0,A$25&lt;&gt;B546),A$25,IFERROR(IF(MATCH(A$25,Z$3:Z$13,0)=6,A$25," ")," "))</f>
        <v xml:space="preserve"> </v>
      </c>
      <c r="B673" s="8" t="str">
        <f>IF(A673=" "," ",MAX(B663:B672)+1)</f>
        <v xml:space="preserve"> </v>
      </c>
      <c r="C673" s="8" t="str">
        <f>IFERROR(INDEX(A663:A684,MATCH(SMALL(B663:B684,11),B663:B684,0),1)," ")</f>
        <v>C22</v>
      </c>
      <c r="D673" s="8">
        <f t="shared" si="2743"/>
        <v>0</v>
      </c>
      <c r="E673" s="8">
        <f t="shared" si="2744"/>
        <v>0</v>
      </c>
      <c r="F673" s="8">
        <f t="shared" si="2745"/>
        <v>0</v>
      </c>
      <c r="G673" s="8">
        <f t="shared" si="2746"/>
        <v>0</v>
      </c>
      <c r="H673" s="8">
        <f t="shared" si="2747"/>
        <v>0</v>
      </c>
      <c r="I673" s="8">
        <f t="shared" si="2748"/>
        <v>0</v>
      </c>
      <c r="J673" s="8">
        <f t="shared" si="2749"/>
        <v>0</v>
      </c>
      <c r="K673" s="8">
        <f t="shared" si="2750"/>
        <v>0</v>
      </c>
      <c r="L673" s="8">
        <f t="shared" si="2751"/>
        <v>0</v>
      </c>
      <c r="M673" s="8">
        <f t="shared" si="2752"/>
        <v>0</v>
      </c>
      <c r="N673" s="8">
        <f t="shared" si="2753"/>
        <v>1</v>
      </c>
      <c r="O673" s="8">
        <f t="shared" si="2754"/>
        <v>0</v>
      </c>
      <c r="P673" s="8" t="e">
        <v>#NUM!</v>
      </c>
      <c r="Q673" s="8" t="e">
        <f t="shared" ref="Q673" si="2786">IF(COUNTIF(P663:P673,"&lt;"&amp;-0.001)=0,IF(ABS(P673)&lt;0.001,0,P673)," ")</f>
        <v>#NUM!</v>
      </c>
      <c r="R673" s="8"/>
      <c r="S673" s="8"/>
      <c r="U673" s="34"/>
      <c r="V673" s="34"/>
      <c r="W673" s="34"/>
      <c r="X673" s="34"/>
      <c r="Y673" s="34"/>
      <c r="Z673" s="34"/>
      <c r="AA673" s="34"/>
      <c r="AB673" s="34"/>
      <c r="AC673" s="34"/>
      <c r="AD673" s="34"/>
      <c r="AE673" s="34"/>
      <c r="AF673" s="34"/>
      <c r="AG673" s="34"/>
      <c r="AH673" s="34"/>
      <c r="AI673" s="34"/>
      <c r="AJ673" s="34"/>
      <c r="AK673" s="34"/>
      <c r="AL673" s="34"/>
      <c r="AM673" s="34"/>
      <c r="AN673" s="34"/>
      <c r="AO673" s="34"/>
      <c r="AP673" s="34"/>
      <c r="AQ673" s="34"/>
      <c r="AR673" s="34"/>
      <c r="AS673" s="34"/>
      <c r="AT673" s="34"/>
      <c r="AU673" s="34"/>
      <c r="AV673" s="34"/>
      <c r="AW673" s="34"/>
      <c r="AX673" s="34"/>
      <c r="AY673" s="34"/>
      <c r="AZ673" s="34"/>
      <c r="BA673" s="34"/>
      <c r="BB673" s="34"/>
      <c r="BC673" s="34"/>
      <c r="BD673" s="34"/>
      <c r="BE673" s="34"/>
      <c r="BF673" s="34"/>
      <c r="BG673" s="34"/>
      <c r="BH673" s="34"/>
      <c r="BI673" s="34"/>
      <c r="BJ673" s="34"/>
      <c r="BK673" s="34"/>
      <c r="BL673" s="34"/>
      <c r="BM673" s="34"/>
      <c r="BN673" s="34"/>
      <c r="BO673" s="34"/>
      <c r="BP673" s="34"/>
      <c r="BQ673" s="34"/>
      <c r="BR673" s="34"/>
      <c r="BS673" s="34"/>
      <c r="BT673" s="34"/>
      <c r="BU673" s="34"/>
      <c r="BV673" s="34"/>
      <c r="BW673" s="34"/>
      <c r="BX673" s="34"/>
      <c r="BY673" s="34"/>
      <c r="BZ673" s="34"/>
      <c r="CA673" s="34"/>
      <c r="CB673" s="34"/>
      <c r="CC673" s="34"/>
      <c r="CD673" s="34"/>
      <c r="CE673" s="34"/>
      <c r="CF673" s="34"/>
      <c r="CG673" s="34"/>
      <c r="CH673" s="34"/>
      <c r="CI673" s="8"/>
    </row>
    <row r="674" spans="1:87" x14ac:dyDescent="0.2">
      <c r="A674" s="8" t="str">
        <f>IF(AND(COUNTIF(W$3:W$13,A$26)&gt;0,A$26&lt;&gt;B546),A$26,IFERROR(IF(MATCH(A$26,Z$3:Z$13,0)=6,A$26," ")," "))</f>
        <v xml:space="preserve"> </v>
      </c>
      <c r="B674" s="8" t="str">
        <f>IF(A674=" "," ",MAX(B663:B673)+1)</f>
        <v xml:space="preserve"> </v>
      </c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U674" s="34"/>
      <c r="V674" s="34"/>
      <c r="W674" s="34"/>
      <c r="X674" s="34"/>
      <c r="Y674" s="34"/>
      <c r="Z674" s="34"/>
      <c r="AA674" s="34"/>
      <c r="AB674" s="34"/>
      <c r="AC674" s="34"/>
      <c r="AD674" s="34"/>
      <c r="AE674" s="34"/>
      <c r="AF674" s="34"/>
      <c r="AG674" s="34"/>
      <c r="AH674" s="34"/>
      <c r="AI674" s="34"/>
      <c r="AJ674" s="34"/>
      <c r="AK674" s="34"/>
      <c r="AL674" s="34"/>
      <c r="AM674" s="34"/>
      <c r="AN674" s="34"/>
      <c r="AO674" s="34"/>
      <c r="AP674" s="34"/>
      <c r="AQ674" s="34"/>
      <c r="AR674" s="34"/>
      <c r="AS674" s="34"/>
      <c r="AT674" s="34"/>
      <c r="AU674" s="34"/>
      <c r="AV674" s="34"/>
      <c r="AW674" s="34"/>
      <c r="AX674" s="34"/>
      <c r="AY674" s="34"/>
      <c r="AZ674" s="34"/>
      <c r="BA674" s="34"/>
      <c r="BB674" s="34"/>
      <c r="BC674" s="34"/>
      <c r="BD674" s="34"/>
      <c r="BE674" s="34"/>
      <c r="BF674" s="34"/>
      <c r="BG674" s="34"/>
      <c r="BH674" s="34"/>
      <c r="BI674" s="34"/>
      <c r="BJ674" s="34"/>
      <c r="BK674" s="34"/>
      <c r="BL674" s="34"/>
      <c r="BM674" s="34"/>
      <c r="BN674" s="34"/>
      <c r="BO674" s="34"/>
      <c r="BP674" s="34"/>
      <c r="BQ674" s="34"/>
      <c r="BR674" s="34"/>
      <c r="BS674" s="34"/>
      <c r="BT674" s="34"/>
      <c r="BU674" s="34"/>
      <c r="BV674" s="34"/>
      <c r="BW674" s="34"/>
      <c r="BX674" s="34"/>
      <c r="BY674" s="34"/>
      <c r="BZ674" s="34"/>
      <c r="CA674" s="34"/>
      <c r="CB674" s="34"/>
      <c r="CC674" s="34"/>
      <c r="CD674" s="34"/>
      <c r="CE674" s="34"/>
      <c r="CF674" s="34"/>
      <c r="CG674" s="34"/>
      <c r="CH674" s="34"/>
      <c r="CI674" s="8"/>
    </row>
    <row r="675" spans="1:87" x14ac:dyDescent="0.2">
      <c r="A675" s="8" t="str">
        <f>IF(AND(COUNTIF(W$3:W$13,A$27)&gt;0,A$27&lt;&gt;B546),A$27,IFERROR(IF(MATCH(A$27,Z$3:Z$13,0)=6,A$27," ")," "))</f>
        <v xml:space="preserve"> </v>
      </c>
      <c r="B675" s="8" t="str">
        <f>IF(A675=" "," ",MAX(B663:B674)+1)</f>
        <v xml:space="preserve"> </v>
      </c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U675" s="34"/>
      <c r="V675" s="34"/>
      <c r="W675" s="34"/>
      <c r="X675" s="34"/>
      <c r="Y675" s="34"/>
      <c r="Z675" s="34"/>
      <c r="AA675" s="34"/>
      <c r="AB675" s="34"/>
      <c r="AC675" s="34"/>
      <c r="AD675" s="34"/>
      <c r="AE675" s="34"/>
      <c r="AF675" s="34"/>
      <c r="AG675" s="34"/>
      <c r="AH675" s="34"/>
      <c r="AI675" s="34"/>
      <c r="AJ675" s="34"/>
      <c r="AK675" s="34"/>
      <c r="AL675" s="34"/>
      <c r="AM675" s="34"/>
      <c r="AN675" s="34"/>
      <c r="AO675" s="34"/>
      <c r="AP675" s="34"/>
      <c r="AQ675" s="34"/>
      <c r="AR675" s="34"/>
      <c r="AS675" s="34"/>
      <c r="AT675" s="34"/>
      <c r="AU675" s="34"/>
      <c r="AV675" s="34"/>
      <c r="AW675" s="34"/>
      <c r="AX675" s="34"/>
      <c r="AY675" s="34"/>
      <c r="AZ675" s="34"/>
      <c r="BA675" s="34"/>
      <c r="BB675" s="34"/>
      <c r="BC675" s="34"/>
      <c r="BD675" s="34"/>
      <c r="BE675" s="34"/>
      <c r="BF675" s="34"/>
      <c r="BG675" s="34"/>
      <c r="BH675" s="34"/>
      <c r="BI675" s="34"/>
      <c r="BJ675" s="34"/>
      <c r="BK675" s="34"/>
      <c r="BL675" s="34"/>
      <c r="BM675" s="34"/>
      <c r="BN675" s="34"/>
      <c r="BO675" s="34"/>
      <c r="BP675" s="34"/>
      <c r="BQ675" s="34"/>
      <c r="BR675" s="34"/>
      <c r="BS675" s="34"/>
      <c r="BT675" s="34"/>
      <c r="BU675" s="34"/>
      <c r="BV675" s="34"/>
      <c r="BW675" s="34"/>
      <c r="BX675" s="34"/>
      <c r="BY675" s="34"/>
      <c r="BZ675" s="34"/>
      <c r="CA675" s="34"/>
      <c r="CB675" s="34"/>
      <c r="CC675" s="34"/>
      <c r="CD675" s="34"/>
      <c r="CE675" s="34"/>
      <c r="CF675" s="34"/>
      <c r="CG675" s="34"/>
      <c r="CH675" s="34"/>
      <c r="CI675" s="8"/>
    </row>
    <row r="676" spans="1:87" x14ac:dyDescent="0.2">
      <c r="A676" s="8" t="str">
        <f>IF(AND(COUNTIF(W$3:W$13,A$28)&gt;0,A$28&lt;&gt;B546),A$28,IFERROR(IF(MATCH(A$28,Z$3:Z$13,0)=6,A$28," ")," "))</f>
        <v xml:space="preserve"> </v>
      </c>
      <c r="B676" s="8" t="str">
        <f>IF(A676=" "," ",MAX(B663:B675)+1)</f>
        <v xml:space="preserve"> </v>
      </c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U676" s="34"/>
      <c r="V676" s="34"/>
      <c r="W676" s="34"/>
      <c r="X676" s="34"/>
      <c r="Y676" s="34"/>
      <c r="Z676" s="34"/>
      <c r="AA676" s="34"/>
      <c r="AB676" s="34"/>
      <c r="AC676" s="34"/>
      <c r="AD676" s="34"/>
      <c r="AE676" s="34"/>
      <c r="AF676" s="34"/>
      <c r="AG676" s="34"/>
      <c r="AH676" s="34"/>
      <c r="AI676" s="34"/>
      <c r="AJ676" s="34"/>
      <c r="AK676" s="34"/>
      <c r="AL676" s="34"/>
      <c r="AM676" s="34"/>
      <c r="AN676" s="34"/>
      <c r="AO676" s="34"/>
      <c r="AP676" s="34"/>
      <c r="AQ676" s="34"/>
      <c r="AR676" s="34"/>
      <c r="AS676" s="34"/>
      <c r="AT676" s="34"/>
      <c r="AU676" s="34"/>
      <c r="AV676" s="34"/>
      <c r="AW676" s="34"/>
      <c r="AX676" s="34"/>
      <c r="AY676" s="34"/>
      <c r="AZ676" s="34"/>
      <c r="BA676" s="34"/>
      <c r="BB676" s="34"/>
      <c r="BC676" s="34"/>
      <c r="BD676" s="34"/>
      <c r="BE676" s="34"/>
      <c r="BF676" s="34"/>
      <c r="BG676" s="34"/>
      <c r="BH676" s="34"/>
      <c r="BI676" s="34"/>
      <c r="BJ676" s="34"/>
      <c r="BK676" s="34"/>
      <c r="BL676" s="34"/>
      <c r="BM676" s="34"/>
      <c r="BN676" s="34"/>
      <c r="BO676" s="34"/>
      <c r="BP676" s="34"/>
      <c r="BQ676" s="34"/>
      <c r="BR676" s="34"/>
      <c r="BS676" s="34"/>
      <c r="BT676" s="34"/>
      <c r="BU676" s="34"/>
      <c r="BV676" s="34"/>
      <c r="BW676" s="34"/>
      <c r="BX676" s="34"/>
      <c r="BY676" s="34"/>
      <c r="BZ676" s="34"/>
      <c r="CA676" s="34"/>
      <c r="CB676" s="34"/>
      <c r="CC676" s="34"/>
      <c r="CD676" s="34"/>
      <c r="CE676" s="34"/>
      <c r="CF676" s="34"/>
      <c r="CG676" s="34"/>
      <c r="CH676" s="34"/>
      <c r="CI676" s="8"/>
    </row>
    <row r="677" spans="1:87" x14ac:dyDescent="0.2">
      <c r="A677" s="8" t="str">
        <f>IF(AND(COUNTIF(W$3:W$13,A$29)&gt;0,A$29&lt;&gt;B546),A$29,IFERROR(IF(MATCH(A$29,Z$3:Z$13,0)=6,A$29," ")," "))</f>
        <v>C15</v>
      </c>
      <c r="B677" s="8">
        <f>IF(A677=" "," ",MAX(B663:B676)+1)</f>
        <v>4</v>
      </c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U677" s="34"/>
      <c r="V677" s="34"/>
      <c r="W677" s="34"/>
      <c r="X677" s="34"/>
      <c r="Y677" s="34"/>
      <c r="Z677" s="34"/>
      <c r="AA677" s="34"/>
      <c r="AB677" s="34"/>
      <c r="AC677" s="34"/>
      <c r="AD677" s="34"/>
      <c r="AE677" s="34"/>
      <c r="AF677" s="34"/>
      <c r="AG677" s="34"/>
      <c r="AH677" s="34"/>
      <c r="AI677" s="34"/>
      <c r="AJ677" s="34"/>
      <c r="AK677" s="34"/>
      <c r="AL677" s="34"/>
      <c r="AM677" s="34"/>
      <c r="AN677" s="34"/>
      <c r="AO677" s="34"/>
      <c r="AP677" s="34"/>
      <c r="AQ677" s="34"/>
      <c r="AR677" s="34"/>
      <c r="AS677" s="34"/>
      <c r="AT677" s="34"/>
      <c r="AU677" s="34"/>
      <c r="AV677" s="34"/>
      <c r="AW677" s="34"/>
      <c r="AX677" s="34"/>
      <c r="AY677" s="34"/>
      <c r="AZ677" s="34"/>
      <c r="BA677" s="34"/>
      <c r="BB677" s="34"/>
      <c r="BC677" s="34"/>
      <c r="BD677" s="34"/>
      <c r="BE677" s="34"/>
      <c r="BF677" s="34"/>
      <c r="BG677" s="34"/>
      <c r="BH677" s="34"/>
      <c r="BI677" s="34"/>
      <c r="BJ677" s="34"/>
      <c r="BK677" s="34"/>
      <c r="BL677" s="34"/>
      <c r="BM677" s="34"/>
      <c r="BN677" s="34"/>
      <c r="BO677" s="34"/>
      <c r="BP677" s="34"/>
      <c r="BQ677" s="34"/>
      <c r="BR677" s="34"/>
      <c r="BS677" s="34"/>
      <c r="BT677" s="34"/>
      <c r="BU677" s="34"/>
      <c r="BV677" s="34"/>
      <c r="BW677" s="34"/>
      <c r="BX677" s="34"/>
      <c r="BY677" s="34"/>
      <c r="BZ677" s="34"/>
      <c r="CA677" s="34"/>
      <c r="CB677" s="34"/>
      <c r="CC677" s="34"/>
      <c r="CD677" s="34"/>
      <c r="CE677" s="34"/>
      <c r="CF677" s="34"/>
      <c r="CG677" s="34"/>
      <c r="CH677" s="34"/>
      <c r="CI677" s="8"/>
    </row>
    <row r="678" spans="1:87" x14ac:dyDescent="0.2">
      <c r="A678" s="8" t="str">
        <f>IF(AND(COUNTIF(W$3:W$13,A$30)&gt;0,A$30&lt;&gt;B546),A$30,IFERROR(IF(MATCH(A$30,Z$3:Z$13,0)=6,A$30," ")," "))</f>
        <v>C16</v>
      </c>
      <c r="B678" s="8">
        <f>IF(A678=" "," ",MAX(B663:B677)+1)</f>
        <v>5</v>
      </c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U678" s="34"/>
      <c r="V678" s="34"/>
      <c r="W678" s="34"/>
      <c r="X678" s="34"/>
      <c r="Y678" s="34"/>
      <c r="Z678" s="34"/>
      <c r="AA678" s="34"/>
      <c r="AB678" s="34"/>
      <c r="AC678" s="34"/>
      <c r="AD678" s="34"/>
      <c r="AE678" s="34"/>
      <c r="AF678" s="34"/>
      <c r="AG678" s="34"/>
      <c r="AH678" s="34"/>
      <c r="AI678" s="34"/>
      <c r="AJ678" s="34"/>
      <c r="AK678" s="34"/>
      <c r="AL678" s="34"/>
      <c r="AM678" s="34"/>
      <c r="AN678" s="34"/>
      <c r="AO678" s="34"/>
      <c r="AP678" s="34"/>
      <c r="AQ678" s="34"/>
      <c r="AR678" s="34"/>
      <c r="AS678" s="34"/>
      <c r="AT678" s="34"/>
      <c r="AU678" s="34"/>
      <c r="AV678" s="34"/>
      <c r="AW678" s="34"/>
      <c r="AX678" s="34"/>
      <c r="AY678" s="34"/>
      <c r="AZ678" s="34"/>
      <c r="BA678" s="34"/>
      <c r="BB678" s="34"/>
      <c r="BC678" s="34"/>
      <c r="BD678" s="34"/>
      <c r="BE678" s="34"/>
      <c r="BF678" s="34"/>
      <c r="BG678" s="34"/>
      <c r="BH678" s="34"/>
      <c r="BI678" s="34"/>
      <c r="BJ678" s="34"/>
      <c r="BK678" s="34"/>
      <c r="BL678" s="34"/>
      <c r="BM678" s="34"/>
      <c r="BN678" s="34"/>
      <c r="BO678" s="34"/>
      <c r="BP678" s="34"/>
      <c r="BQ678" s="34"/>
      <c r="BR678" s="34"/>
      <c r="BS678" s="34"/>
      <c r="BT678" s="34"/>
      <c r="BU678" s="34"/>
      <c r="BV678" s="34"/>
      <c r="BW678" s="34"/>
      <c r="BX678" s="34"/>
      <c r="BY678" s="34"/>
      <c r="BZ678" s="34"/>
      <c r="CA678" s="34"/>
      <c r="CB678" s="34"/>
      <c r="CC678" s="34"/>
      <c r="CD678" s="34"/>
      <c r="CE678" s="34"/>
      <c r="CF678" s="34"/>
      <c r="CG678" s="34"/>
      <c r="CH678" s="34"/>
      <c r="CI678" s="8"/>
    </row>
    <row r="679" spans="1:87" x14ac:dyDescent="0.2">
      <c r="A679" s="8" t="str">
        <f>IF(AND(COUNTIF(W$3:W$13,A$31)&gt;0,A$31&lt;&gt;B546),A$31,IFERROR(IF(MATCH(A$31,Z$3:Z$13,0)=6,A$31," ")," "))</f>
        <v>C17</v>
      </c>
      <c r="B679" s="8">
        <f>IF(A679=" "," ",MAX(B663:B678)+1)</f>
        <v>6</v>
      </c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U679" s="34"/>
      <c r="V679" s="34"/>
      <c r="W679" s="34"/>
      <c r="X679" s="34"/>
      <c r="Y679" s="34"/>
      <c r="Z679" s="34"/>
      <c r="AA679" s="34"/>
      <c r="AB679" s="34"/>
      <c r="AC679" s="34"/>
      <c r="AD679" s="34"/>
      <c r="AE679" s="34"/>
      <c r="AF679" s="34"/>
      <c r="AG679" s="34"/>
      <c r="AH679" s="34"/>
      <c r="AI679" s="34"/>
      <c r="AJ679" s="34"/>
      <c r="AK679" s="34"/>
      <c r="AL679" s="34"/>
      <c r="AM679" s="34"/>
      <c r="AN679" s="34"/>
      <c r="AO679" s="34"/>
      <c r="AP679" s="34"/>
      <c r="AQ679" s="34"/>
      <c r="AR679" s="34"/>
      <c r="AS679" s="34"/>
      <c r="AT679" s="34"/>
      <c r="AU679" s="34"/>
      <c r="AV679" s="34"/>
      <c r="AW679" s="34"/>
      <c r="AX679" s="34"/>
      <c r="AY679" s="34"/>
      <c r="AZ679" s="34"/>
      <c r="BA679" s="34"/>
      <c r="BB679" s="34"/>
      <c r="BC679" s="34"/>
      <c r="BD679" s="34"/>
      <c r="BE679" s="34"/>
      <c r="BF679" s="34"/>
      <c r="BG679" s="34"/>
      <c r="BH679" s="34"/>
      <c r="BI679" s="34"/>
      <c r="BJ679" s="34"/>
      <c r="BK679" s="34"/>
      <c r="BL679" s="34"/>
      <c r="BM679" s="34"/>
      <c r="BN679" s="34"/>
      <c r="BO679" s="34"/>
      <c r="BP679" s="34"/>
      <c r="BQ679" s="34"/>
      <c r="BR679" s="34"/>
      <c r="BS679" s="34"/>
      <c r="BT679" s="34"/>
      <c r="BU679" s="34"/>
      <c r="BV679" s="34"/>
      <c r="BW679" s="34"/>
      <c r="BX679" s="34"/>
      <c r="BY679" s="34"/>
      <c r="BZ679" s="34"/>
      <c r="CA679" s="34"/>
      <c r="CB679" s="34"/>
      <c r="CC679" s="34"/>
      <c r="CD679" s="34"/>
      <c r="CE679" s="34"/>
      <c r="CF679" s="34"/>
      <c r="CG679" s="34"/>
      <c r="CH679" s="34"/>
      <c r="CI679" s="8"/>
    </row>
    <row r="680" spans="1:87" x14ac:dyDescent="0.2">
      <c r="A680" s="8" t="str">
        <f>IF(AND(COUNTIF(W$3:W$13,A$32)&gt;0,A$32&lt;&gt;B546),A$32,IFERROR(IF(MATCH(A$32,Z$3:Z$13,0)=6,A$32," ")," "))</f>
        <v>C18</v>
      </c>
      <c r="B680" s="8">
        <f>IF(A680=" "," ",MAX(B663:B679)+1)</f>
        <v>7</v>
      </c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U680" s="34"/>
      <c r="V680" s="34"/>
      <c r="W680" s="34"/>
      <c r="X680" s="34"/>
      <c r="Y680" s="34"/>
      <c r="Z680" s="34"/>
      <c r="AA680" s="34"/>
      <c r="AB680" s="34"/>
      <c r="AC680" s="34"/>
      <c r="AD680" s="34"/>
      <c r="AE680" s="34"/>
      <c r="AF680" s="34"/>
      <c r="AG680" s="34"/>
      <c r="AH680" s="34"/>
      <c r="AI680" s="34"/>
      <c r="AJ680" s="34"/>
      <c r="AK680" s="34"/>
      <c r="AL680" s="34"/>
      <c r="AM680" s="34"/>
      <c r="AN680" s="34"/>
      <c r="AO680" s="34"/>
      <c r="AP680" s="34"/>
      <c r="AQ680" s="34"/>
      <c r="AR680" s="34"/>
      <c r="AS680" s="34"/>
      <c r="AT680" s="34"/>
      <c r="AU680" s="34"/>
      <c r="AV680" s="34"/>
      <c r="AW680" s="34"/>
      <c r="AX680" s="34"/>
      <c r="AY680" s="34"/>
      <c r="AZ680" s="34"/>
      <c r="BA680" s="34"/>
      <c r="BB680" s="34"/>
      <c r="BC680" s="34"/>
      <c r="BD680" s="34"/>
      <c r="BE680" s="34"/>
      <c r="BF680" s="34"/>
      <c r="BG680" s="34"/>
      <c r="BH680" s="34"/>
      <c r="BI680" s="34"/>
      <c r="BJ680" s="34"/>
      <c r="BK680" s="34"/>
      <c r="BL680" s="34"/>
      <c r="BM680" s="34"/>
      <c r="BN680" s="34"/>
      <c r="BO680" s="34"/>
      <c r="BP680" s="34"/>
      <c r="BQ680" s="34"/>
      <c r="BR680" s="34"/>
      <c r="BS680" s="34"/>
      <c r="BT680" s="34"/>
      <c r="BU680" s="34"/>
      <c r="BV680" s="34"/>
      <c r="BW680" s="34"/>
      <c r="BX680" s="34"/>
      <c r="BY680" s="34"/>
      <c r="BZ680" s="34"/>
      <c r="CA680" s="34"/>
      <c r="CB680" s="34"/>
      <c r="CC680" s="34"/>
      <c r="CD680" s="34"/>
      <c r="CE680" s="34"/>
      <c r="CF680" s="34"/>
      <c r="CG680" s="34"/>
      <c r="CH680" s="34"/>
      <c r="CI680" s="8"/>
    </row>
    <row r="681" spans="1:87" x14ac:dyDescent="0.2">
      <c r="A681" s="8" t="str">
        <f>IF(AND(COUNTIF(W$3:W$13,A$33)&gt;0,A$33&lt;&gt;B546),A$33,IFERROR(IF(MATCH(A$33,Z$3:Z$13,0)=6,A$33," ")," "))</f>
        <v>C19</v>
      </c>
      <c r="B681" s="8">
        <f>IF(A681=" "," ",MAX(B663:B680)+1)</f>
        <v>8</v>
      </c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U681" s="34"/>
      <c r="V681" s="34"/>
      <c r="W681" s="34"/>
      <c r="X681" s="34"/>
      <c r="Y681" s="34"/>
      <c r="Z681" s="34"/>
      <c r="AA681" s="34"/>
      <c r="AB681" s="34"/>
      <c r="AC681" s="34"/>
      <c r="AD681" s="34"/>
      <c r="AE681" s="34"/>
      <c r="AF681" s="34"/>
      <c r="AG681" s="34"/>
      <c r="AH681" s="34"/>
      <c r="AI681" s="34"/>
      <c r="AJ681" s="34"/>
      <c r="AK681" s="34"/>
      <c r="AL681" s="34"/>
      <c r="AM681" s="34"/>
      <c r="AN681" s="34"/>
      <c r="AO681" s="34"/>
      <c r="AP681" s="34"/>
      <c r="AQ681" s="34"/>
      <c r="AR681" s="34"/>
      <c r="AS681" s="34"/>
      <c r="AT681" s="34"/>
      <c r="AU681" s="34"/>
      <c r="AV681" s="34"/>
      <c r="AW681" s="34"/>
      <c r="AX681" s="34"/>
      <c r="AY681" s="34"/>
      <c r="AZ681" s="34"/>
      <c r="BA681" s="34"/>
      <c r="BB681" s="34"/>
      <c r="BC681" s="34"/>
      <c r="BD681" s="34"/>
      <c r="BE681" s="34"/>
      <c r="BF681" s="34"/>
      <c r="BG681" s="34"/>
      <c r="BH681" s="34"/>
      <c r="BI681" s="34"/>
      <c r="BJ681" s="34"/>
      <c r="BK681" s="34"/>
      <c r="BL681" s="34"/>
      <c r="BM681" s="34"/>
      <c r="BN681" s="34"/>
      <c r="BO681" s="34"/>
      <c r="BP681" s="34"/>
      <c r="BQ681" s="34"/>
      <c r="BR681" s="34"/>
      <c r="BS681" s="34"/>
      <c r="BT681" s="34"/>
      <c r="BU681" s="34"/>
      <c r="BV681" s="34"/>
      <c r="BW681" s="34"/>
      <c r="BX681" s="34"/>
      <c r="BY681" s="34"/>
      <c r="BZ681" s="34"/>
      <c r="CA681" s="34"/>
      <c r="CB681" s="34"/>
      <c r="CC681" s="34"/>
      <c r="CD681" s="34"/>
      <c r="CE681" s="34"/>
      <c r="CF681" s="34"/>
      <c r="CG681" s="34"/>
      <c r="CH681" s="34"/>
      <c r="CI681" s="8"/>
    </row>
    <row r="682" spans="1:87" x14ac:dyDescent="0.2">
      <c r="A682" s="8" t="str">
        <f>IF(AND(COUNTIF(W$3:W$13,A$34)&gt;0,A$34&lt;&gt;B546),A$34,IFERROR(IF(MATCH(A$34,Z$3:Z$13,0)=6,A$34," ")," "))</f>
        <v>C20</v>
      </c>
      <c r="B682" s="8">
        <f>IF(A682=" "," ",MAX(B663:B681)+1)</f>
        <v>9</v>
      </c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U682" s="34"/>
      <c r="V682" s="34"/>
      <c r="W682" s="34"/>
      <c r="X682" s="34"/>
      <c r="Y682" s="34"/>
      <c r="Z682" s="34"/>
      <c r="AA682" s="34"/>
      <c r="AB682" s="34"/>
      <c r="AC682" s="34"/>
      <c r="AD682" s="34"/>
      <c r="AE682" s="34"/>
      <c r="AF682" s="34"/>
      <c r="AG682" s="34"/>
      <c r="AH682" s="34"/>
      <c r="AI682" s="34"/>
      <c r="AJ682" s="34"/>
      <c r="AK682" s="34"/>
      <c r="AL682" s="34"/>
      <c r="AM682" s="34"/>
      <c r="AN682" s="34"/>
      <c r="AO682" s="34"/>
      <c r="AP682" s="34"/>
      <c r="AQ682" s="34"/>
      <c r="AR682" s="34"/>
      <c r="AS682" s="34"/>
      <c r="AT682" s="34"/>
      <c r="AU682" s="34"/>
      <c r="AV682" s="34"/>
      <c r="AW682" s="34"/>
      <c r="AX682" s="34"/>
      <c r="AY682" s="34"/>
      <c r="AZ682" s="34"/>
      <c r="BA682" s="34"/>
      <c r="BB682" s="34"/>
      <c r="BC682" s="34"/>
      <c r="BD682" s="34"/>
      <c r="BE682" s="34"/>
      <c r="BF682" s="34"/>
      <c r="BG682" s="34"/>
      <c r="BH682" s="34"/>
      <c r="BI682" s="34"/>
      <c r="BJ682" s="34"/>
      <c r="BK682" s="34"/>
      <c r="BL682" s="34"/>
      <c r="BM682" s="34"/>
      <c r="BN682" s="34"/>
      <c r="BO682" s="34"/>
      <c r="BP682" s="34"/>
      <c r="BQ682" s="34"/>
      <c r="BR682" s="34"/>
      <c r="BS682" s="34"/>
      <c r="BT682" s="34"/>
      <c r="BU682" s="34"/>
      <c r="BV682" s="34"/>
      <c r="BW682" s="34"/>
      <c r="BX682" s="34"/>
      <c r="BY682" s="34"/>
      <c r="BZ682" s="34"/>
      <c r="CA682" s="34"/>
      <c r="CB682" s="34"/>
      <c r="CC682" s="34"/>
      <c r="CD682" s="34"/>
      <c r="CE682" s="34"/>
      <c r="CF682" s="34"/>
      <c r="CG682" s="34"/>
      <c r="CH682" s="34"/>
      <c r="CI682" s="8"/>
    </row>
    <row r="683" spans="1:87" x14ac:dyDescent="0.2">
      <c r="A683" s="8" t="str">
        <f>IF(AND(COUNTIF(W$3:W$13,A$35)&gt;0,A$35&lt;&gt;B546),A$35,IFERROR(IF(MATCH(A$35,Z$3:Z$13,0)=6,A$35," ")," "))</f>
        <v>C21</v>
      </c>
      <c r="B683" s="8">
        <f>IF(A683=" "," ",MAX(B663:B682)+1)</f>
        <v>10</v>
      </c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U683" s="34"/>
      <c r="V683" s="34"/>
      <c r="W683" s="34"/>
      <c r="X683" s="34"/>
      <c r="Y683" s="34"/>
      <c r="Z683" s="34"/>
      <c r="AA683" s="34"/>
      <c r="AB683" s="34"/>
      <c r="AC683" s="34"/>
      <c r="AD683" s="34"/>
      <c r="AE683" s="34"/>
      <c r="AF683" s="34"/>
      <c r="AG683" s="34"/>
      <c r="AH683" s="34"/>
      <c r="AI683" s="34"/>
      <c r="AJ683" s="34"/>
      <c r="AK683" s="34"/>
      <c r="AL683" s="34"/>
      <c r="AM683" s="34"/>
      <c r="AN683" s="34"/>
      <c r="AO683" s="34"/>
      <c r="AP683" s="34"/>
      <c r="AQ683" s="34"/>
      <c r="AR683" s="34"/>
      <c r="AS683" s="34"/>
      <c r="AT683" s="34"/>
      <c r="AU683" s="34"/>
      <c r="AV683" s="34"/>
      <c r="AW683" s="34"/>
      <c r="AX683" s="34"/>
      <c r="AY683" s="34"/>
      <c r="AZ683" s="34"/>
      <c r="BA683" s="34"/>
      <c r="BB683" s="34"/>
      <c r="BC683" s="34"/>
      <c r="BD683" s="34"/>
      <c r="BE683" s="34"/>
      <c r="BF683" s="34"/>
      <c r="BG683" s="34"/>
      <c r="BH683" s="34"/>
      <c r="BI683" s="34"/>
      <c r="BJ683" s="34"/>
      <c r="BK683" s="34"/>
      <c r="BL683" s="34"/>
      <c r="BM683" s="34"/>
      <c r="BN683" s="34"/>
      <c r="BO683" s="34"/>
      <c r="BP683" s="34"/>
      <c r="BQ683" s="34"/>
      <c r="BR683" s="34"/>
      <c r="BS683" s="34"/>
      <c r="BT683" s="34"/>
      <c r="BU683" s="34"/>
      <c r="BV683" s="34"/>
      <c r="BW683" s="34"/>
      <c r="BX683" s="34"/>
      <c r="BY683" s="34"/>
      <c r="BZ683" s="34"/>
      <c r="CA683" s="34"/>
      <c r="CB683" s="34"/>
      <c r="CC683" s="34"/>
      <c r="CD683" s="34"/>
      <c r="CE683" s="34"/>
      <c r="CF683" s="34"/>
      <c r="CG683" s="34"/>
      <c r="CH683" s="34"/>
      <c r="CI683" s="8"/>
    </row>
    <row r="684" spans="1:87" x14ac:dyDescent="0.2">
      <c r="A684" s="8" t="str">
        <f>IF(AND(COUNTIF(W$3:W$13,A$36)&gt;0,A$36&lt;&gt;B546),A$36,IFERROR(IF(MATCH(A$36,Z$3:Z$13,0)=6,A$36," ")," "))</f>
        <v>C22</v>
      </c>
      <c r="B684" s="8">
        <f>IF(A684=" "," ",MAX(B663:B683)+1)</f>
        <v>11</v>
      </c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U684" s="34"/>
      <c r="V684" s="34"/>
      <c r="W684" s="34"/>
      <c r="X684" s="34"/>
      <c r="Y684" s="34"/>
      <c r="Z684" s="34"/>
      <c r="AA684" s="34"/>
      <c r="AB684" s="34"/>
      <c r="AC684" s="34"/>
      <c r="AD684" s="34"/>
      <c r="AE684" s="34"/>
      <c r="AF684" s="34"/>
      <c r="AG684" s="34"/>
      <c r="AH684" s="34"/>
      <c r="AI684" s="34"/>
      <c r="AJ684" s="34"/>
      <c r="AK684" s="34"/>
      <c r="AL684" s="34"/>
      <c r="AM684" s="34"/>
      <c r="AN684" s="34"/>
      <c r="AO684" s="34"/>
      <c r="AP684" s="34"/>
      <c r="AQ684" s="34"/>
      <c r="AR684" s="34"/>
      <c r="AS684" s="34"/>
      <c r="AT684" s="34"/>
      <c r="AU684" s="34"/>
      <c r="AV684" s="34"/>
      <c r="AW684" s="34"/>
      <c r="AX684" s="34"/>
      <c r="AY684" s="34"/>
      <c r="AZ684" s="34"/>
      <c r="BA684" s="34"/>
      <c r="BB684" s="34"/>
      <c r="BC684" s="34"/>
      <c r="BD684" s="34"/>
      <c r="BE684" s="34"/>
      <c r="BF684" s="34"/>
      <c r="BG684" s="34"/>
      <c r="BH684" s="34"/>
      <c r="BI684" s="34"/>
      <c r="BJ684" s="34"/>
      <c r="BK684" s="34"/>
      <c r="BL684" s="34"/>
      <c r="BM684" s="34"/>
      <c r="BN684" s="34"/>
      <c r="BO684" s="34"/>
      <c r="BP684" s="34"/>
      <c r="BQ684" s="34"/>
      <c r="BR684" s="34"/>
      <c r="BS684" s="34"/>
      <c r="BT684" s="34"/>
      <c r="BU684" s="34"/>
      <c r="BV684" s="34"/>
      <c r="BW684" s="34"/>
      <c r="BX684" s="34"/>
      <c r="BY684" s="34"/>
      <c r="BZ684" s="34"/>
      <c r="CA684" s="34"/>
      <c r="CB684" s="34"/>
      <c r="CC684" s="34"/>
      <c r="CD684" s="34"/>
      <c r="CE684" s="34"/>
      <c r="CF684" s="34"/>
      <c r="CG684" s="34"/>
      <c r="CH684" s="34"/>
      <c r="CI684" s="8"/>
    </row>
    <row r="685" spans="1:87" x14ac:dyDescent="0.2">
      <c r="A685" s="11" t="s">
        <v>17</v>
      </c>
      <c r="B685" s="11"/>
      <c r="C685" s="27" t="s">
        <v>18</v>
      </c>
      <c r="D685" s="27" t="s">
        <v>2</v>
      </c>
      <c r="E685" s="27" t="s">
        <v>6</v>
      </c>
      <c r="F685" s="27" t="s">
        <v>15</v>
      </c>
      <c r="G685" s="27" t="s">
        <v>36</v>
      </c>
      <c r="H685" s="27" t="s">
        <v>37</v>
      </c>
      <c r="I685" s="27" t="s">
        <v>38</v>
      </c>
      <c r="J685" s="27" t="s">
        <v>39</v>
      </c>
      <c r="K685" s="27" t="s">
        <v>40</v>
      </c>
      <c r="L685" s="27" t="s">
        <v>41</v>
      </c>
      <c r="M685" s="27" t="s">
        <v>42</v>
      </c>
      <c r="N685" s="27" t="s">
        <v>43</v>
      </c>
      <c r="O685" s="27" t="s">
        <v>9</v>
      </c>
      <c r="P685" s="27" t="s">
        <v>12</v>
      </c>
      <c r="Q685" s="27" t="s">
        <v>19</v>
      </c>
      <c r="R685" s="27" t="s">
        <v>55</v>
      </c>
      <c r="S685" s="27" t="s">
        <v>26</v>
      </c>
      <c r="T685" s="19" t="s">
        <v>25</v>
      </c>
      <c r="U685" s="33" t="s">
        <v>27</v>
      </c>
      <c r="V685" s="33" t="s">
        <v>9</v>
      </c>
      <c r="W685" s="33" t="s">
        <v>23</v>
      </c>
      <c r="X685" s="33" t="s">
        <v>12</v>
      </c>
      <c r="Y685" s="33" t="s">
        <v>26</v>
      </c>
      <c r="Z685" s="33" t="s">
        <v>25</v>
      </c>
      <c r="AA685" s="33" t="s">
        <v>27</v>
      </c>
      <c r="AB685" s="33" t="s">
        <v>9</v>
      </c>
      <c r="AC685" s="33" t="s">
        <v>23</v>
      </c>
      <c r="AD685" s="33" t="s">
        <v>12</v>
      </c>
      <c r="AE685" s="33" t="s">
        <v>26</v>
      </c>
      <c r="AF685" s="33" t="s">
        <v>25</v>
      </c>
      <c r="AG685" s="33" t="s">
        <v>27</v>
      </c>
      <c r="AH685" s="33" t="s">
        <v>9</v>
      </c>
      <c r="AI685" s="33" t="s">
        <v>23</v>
      </c>
      <c r="AJ685" s="33" t="s">
        <v>12</v>
      </c>
      <c r="AK685" s="33" t="s">
        <v>26</v>
      </c>
      <c r="AL685" s="33" t="s">
        <v>25</v>
      </c>
      <c r="AM685" s="33" t="s">
        <v>27</v>
      </c>
      <c r="AN685" s="33" t="s">
        <v>9</v>
      </c>
      <c r="AO685" s="33" t="s">
        <v>23</v>
      </c>
      <c r="AP685" s="33" t="s">
        <v>12</v>
      </c>
      <c r="AQ685" s="33" t="s">
        <v>26</v>
      </c>
      <c r="AR685" s="33" t="s">
        <v>25</v>
      </c>
      <c r="AS685" s="33" t="s">
        <v>27</v>
      </c>
      <c r="AT685" s="33" t="s">
        <v>9</v>
      </c>
      <c r="AU685" s="33" t="s">
        <v>23</v>
      </c>
      <c r="AV685" s="33" t="s">
        <v>12</v>
      </c>
      <c r="AW685" s="33" t="s">
        <v>26</v>
      </c>
      <c r="AX685" s="33" t="s">
        <v>25</v>
      </c>
      <c r="AY685" s="33" t="s">
        <v>27</v>
      </c>
      <c r="AZ685" s="33" t="s">
        <v>9</v>
      </c>
      <c r="BA685" s="33" t="s">
        <v>23</v>
      </c>
      <c r="BB685" s="33" t="s">
        <v>12</v>
      </c>
      <c r="BC685" s="33" t="s">
        <v>26</v>
      </c>
      <c r="BD685" s="33" t="s">
        <v>25</v>
      </c>
      <c r="BE685" s="33" t="s">
        <v>27</v>
      </c>
      <c r="BF685" s="33" t="s">
        <v>9</v>
      </c>
      <c r="BG685" s="33" t="s">
        <v>23</v>
      </c>
      <c r="BH685" s="33" t="s">
        <v>12</v>
      </c>
      <c r="BI685" s="33" t="s">
        <v>26</v>
      </c>
      <c r="BJ685" s="33" t="s">
        <v>25</v>
      </c>
      <c r="BK685" s="33" t="s">
        <v>27</v>
      </c>
      <c r="BL685" s="33" t="s">
        <v>9</v>
      </c>
      <c r="BM685" s="33" t="s">
        <v>23</v>
      </c>
      <c r="BN685" s="33" t="s">
        <v>12</v>
      </c>
      <c r="BO685" s="33" t="s">
        <v>26</v>
      </c>
      <c r="BP685" s="33" t="s">
        <v>25</v>
      </c>
      <c r="BQ685" s="33" t="s">
        <v>27</v>
      </c>
      <c r="BR685" s="33" t="s">
        <v>9</v>
      </c>
      <c r="BS685" s="33" t="s">
        <v>23</v>
      </c>
      <c r="BT685" s="33" t="s">
        <v>12</v>
      </c>
      <c r="BU685" s="33" t="s">
        <v>26</v>
      </c>
      <c r="BV685" s="33" t="s">
        <v>25</v>
      </c>
      <c r="BW685" s="33" t="s">
        <v>27</v>
      </c>
      <c r="BX685" s="33" t="s">
        <v>9</v>
      </c>
      <c r="BY685" s="33" t="s">
        <v>23</v>
      </c>
      <c r="BZ685" s="33" t="s">
        <v>12</v>
      </c>
      <c r="CA685" s="33" t="s">
        <v>26</v>
      </c>
      <c r="CB685" s="33" t="s">
        <v>25</v>
      </c>
      <c r="CC685" s="33" t="s">
        <v>27</v>
      </c>
      <c r="CD685" s="33" t="s">
        <v>9</v>
      </c>
      <c r="CE685" s="33" t="s">
        <v>23</v>
      </c>
      <c r="CF685" s="33" t="s">
        <v>12</v>
      </c>
      <c r="CG685" s="33" t="s">
        <v>26</v>
      </c>
      <c r="CH685" s="33" t="s">
        <v>25</v>
      </c>
      <c r="CI685" s="8"/>
    </row>
    <row r="686" spans="1:87" x14ac:dyDescent="0.2">
      <c r="A686" s="8" t="str">
        <f>IF(AND(COUNTIF(W$3:W$13,A$15)&gt;0,A$15&lt;&gt;B546),A$15,IFERROR(IF(MATCH(A$15,Z$3:Z$13,0)=7,A$15," ")," "))</f>
        <v xml:space="preserve"> </v>
      </c>
      <c r="B686" s="8" t="str">
        <f>IF(A686=" "," ",1)</f>
        <v xml:space="preserve"> </v>
      </c>
      <c r="C686" s="8" t="str">
        <f>IFERROR(INDEX(A686:A707,MATCH(SMALL(B686:B707,1),B686:B707,0),1)," ")</f>
        <v>C3</v>
      </c>
      <c r="D686" s="8">
        <f>IFERROR(VLOOKUP($C686,$A$15:$O$36,2,FALSE)," ")</f>
        <v>2</v>
      </c>
      <c r="E686" s="8">
        <f>IFERROR(VLOOKUP($C686,$A$15:$O$36,3,FALSE)," ")</f>
        <v>5</v>
      </c>
      <c r="F686" s="8">
        <f>IFERROR(VLOOKUP($C686,$A$15:$O$36,4,FALSE)," ")</f>
        <v>6</v>
      </c>
      <c r="G686" s="8">
        <f>IFERROR(VLOOKUP($C686,$A$15:$O$36,5,FALSE)," ")</f>
        <v>0</v>
      </c>
      <c r="H686" s="8">
        <f>IFERROR(VLOOKUP($C686,$A$15:$O$36,6,FALSE)," ")</f>
        <v>0</v>
      </c>
      <c r="I686" s="8">
        <f>IFERROR(VLOOKUP($C686,$A$15:$O$36,7,FALSE)," ")</f>
        <v>0</v>
      </c>
      <c r="J686" s="8">
        <f>IFERROR(VLOOKUP($C686,$A$15:$O$36,8,FALSE)," ")</f>
        <v>0</v>
      </c>
      <c r="K686" s="8">
        <f>IFERROR(VLOOKUP($C686,$A$15:$O$36,9,FALSE)," ")</f>
        <v>0</v>
      </c>
      <c r="L686" s="8">
        <f>IFERROR(VLOOKUP($C686,$A$15:$O$36,10,FALSE)," ")</f>
        <v>0</v>
      </c>
      <c r="M686" s="8">
        <f>IFERROR(VLOOKUP($C686,$A$15:$O$36,11,FALSE)," ")</f>
        <v>0</v>
      </c>
      <c r="N686" s="8">
        <f>IFERROR(VLOOKUP($C686,$A$15:$O$36,12,FALSE)," ")</f>
        <v>0</v>
      </c>
      <c r="O686" s="8">
        <f>IFERROR(VLOOKUP($C686,$A$15:$O$36,15,FALSE)," ")</f>
        <v>2000</v>
      </c>
      <c r="P686" s="8" t="e">
        <f t="array" ref="P686:P696">MMULT(MINVERSE(D686:N696),O686:O696)</f>
        <v>#NUM!</v>
      </c>
      <c r="Q686" s="8" t="e">
        <f t="shared" ref="Q686" si="2787">IF(COUNTIF(P686:P696,"&lt;"&amp;-0.001)=0,IF(ABS(P686)&lt;0.001,0,P686)," ")</f>
        <v>#NUM!</v>
      </c>
      <c r="R686" s="8" t="str">
        <f>IFERROR(VLOOKUP(B546,A$15:L$36,2,FALSE)*Q686+VLOOKUP(B546,A$15:L$36,3,FALSE)*Q687+VLOOKUP(B546,A$15:L$36,4,FALSE)*Q688+VLOOKUP(B546,A$15:L$36,5,FALSE)*Q689+VLOOKUP(B546,A$15:L$36,6,FALSE)*Q690+VLOOKUP(B546,A$15:L$36,7,FALSE)*Q691+VLOOKUP(B546,A$15:L$36,8,FALSE)*Q692+VLOOKUP(B546,A$15:L$36,9,FALSE)*Q693+VLOOKUP(B546,A$15:L$36,10,FALSE)*Q694+VLOOKUP(B546,A$15:L$36,11,FALSE)*Q695+VLOOKUP(B546,A$15:L$36,12,FALSE)*Q696," ")</f>
        <v xml:space="preserve"> </v>
      </c>
      <c r="S686" s="8" t="str">
        <f>IFERROR(IF(R686-VLOOKUP(B546,A$15:O$36,15,FALSE)&lt;0,R686-VLOOKUP(B546,A$15:O$36,15,FALSE)," ")," ")</f>
        <v xml:space="preserve"> </v>
      </c>
      <c r="T686" s="18" t="str">
        <f>IFERROR(IF(R686-VLOOKUP(B546,A$15:O$36,15,FALSE)&gt;0,R686-VLOOKUP(B546,A$15:O$36,15,FALSE)," ")," ")</f>
        <v xml:space="preserve"> </v>
      </c>
      <c r="U686" s="34">
        <f t="shared" ref="U686" si="2788">$M$2</f>
        <v>100.00000000000001</v>
      </c>
      <c r="V686" s="34">
        <v>-1</v>
      </c>
      <c r="W686" s="34">
        <f t="shared" ref="W686" si="2789">-SUMPRODUCT($M$3:$M$12,$N$3:$N$12)</f>
        <v>-105000</v>
      </c>
      <c r="X686" s="34" t="e">
        <f t="shared" ref="X686" si="2790">IF(U686&lt;&gt;U687,MMULT(MINVERSE(U686:V687),W686:W687)," ")</f>
        <v>#NUM!</v>
      </c>
      <c r="Y686" s="34" t="str">
        <f t="shared" ref="Y686" si="2791">IFERROR(IF(X686-VLOOKUP(U$38,$A$2:$N$12,14,FALSE)&lt;0,X686-VLOOKUP(U$38,$A$2:$N$12,14,FALSE)," ")," ")</f>
        <v xml:space="preserve"> </v>
      </c>
      <c r="Z686" s="34" t="str">
        <f t="shared" ref="Z686" si="2792">IFERROR(IF(X686-VLOOKUP(U$38,$A$2:$N$12,14,FALSE)&gt;0,X686-VLOOKUP(U$38,$A$2:$N$12,14,FALSE)," ")," ")</f>
        <v xml:space="preserve"> </v>
      </c>
      <c r="AA686" s="34">
        <f t="shared" ref="AA686" si="2793">$M$3</f>
        <v>0</v>
      </c>
      <c r="AB686" s="34">
        <v>-1</v>
      </c>
      <c r="AC686" s="34">
        <f t="shared" ref="AC686" si="2794">-SUMPRODUCT($M$2:$M$2,$N$2:$N$2)-SUMPRODUCT($M$4:$M$12,$N$4:$N$12)</f>
        <v>-120000</v>
      </c>
      <c r="AD686" s="34" t="e">
        <f t="shared" ref="AD686" si="2795">IF(AA686&lt;&gt;AA687,MMULT(MINVERSE(AA686:AB687),AC686:AC687)," ")</f>
        <v>#NUM!</v>
      </c>
      <c r="AE686" s="34" t="str">
        <f t="shared" ref="AE686" si="2796">IFERROR(IF(AD686-VLOOKUP(AA$38,$A$2:$N$12,14,FALSE)&lt;0,AD686-VLOOKUP(AA$38,$A$2:$N$12,14,FALSE)," ")," ")</f>
        <v xml:space="preserve"> </v>
      </c>
      <c r="AF686" s="34" t="str">
        <f t="shared" ref="AF686" si="2797">IFERROR(IF(AD686-VLOOKUP(AA$38,$A$2:$N$12,14,FALSE)&gt;0,AD686-VLOOKUP(AA$38,$A$2:$N$12,14,FALSE)," ")," ")</f>
        <v xml:space="preserve"> </v>
      </c>
      <c r="AG686" s="34">
        <f t="shared" ref="AG686" si="2798">$M$4</f>
        <v>300</v>
      </c>
      <c r="AH686" s="34">
        <v>-1</v>
      </c>
      <c r="AI686" s="34">
        <f t="shared" ref="AI686" si="2799">-SUMPRODUCT($M$2:$M$3,$N$2:$N$3)-SUMPRODUCT($M$5:$M$12,$N$5:$N$12)</f>
        <v>-15000.000000000002</v>
      </c>
      <c r="AJ686" s="34" t="e">
        <f t="shared" ref="AJ686" si="2800">IF(AG686&lt;&gt;AG687,MMULT(MINVERSE(AG686:AH687),AI686:AI687)," ")</f>
        <v>#NUM!</v>
      </c>
      <c r="AK686" s="34" t="str">
        <f t="shared" ref="AK686" si="2801">IFERROR(IF(AJ686-VLOOKUP(AG$38,$A$2:$N$12,14,FALSE)&lt;0,AJ686-VLOOKUP(AG$38,$A$2:$N$12,14,FALSE)," ")," ")</f>
        <v xml:space="preserve"> </v>
      </c>
      <c r="AL686" s="34" t="str">
        <f t="shared" ref="AL686" si="2802">IFERROR(IF(AJ686-VLOOKUP(AG$38,$A$2:$N$12,14,FALSE)&gt;0,AJ686-VLOOKUP(AG$38,$A$2:$N$12,14,FALSE)," ")," ")</f>
        <v xml:space="preserve"> </v>
      </c>
      <c r="AM686" s="34">
        <f t="shared" ref="AM686" si="2803">$M$5</f>
        <v>0</v>
      </c>
      <c r="AN686" s="34">
        <v>-1</v>
      </c>
      <c r="AO686" s="34">
        <f t="shared" ref="AO686" si="2804">-SUMPRODUCT($M$2:$M$4,$N$2:$N$4)-SUMPRODUCT($M$6:$M$12,$N$6:$N$12)</f>
        <v>-120000</v>
      </c>
      <c r="AP686" s="34" t="e">
        <f t="shared" ref="AP686" si="2805">IF(AM686&lt;&gt;AM687,MMULT(MINVERSE(AM686:AN687),AO686:AO687)," ")</f>
        <v>#NUM!</v>
      </c>
      <c r="AQ686" s="34" t="str">
        <f t="shared" ref="AQ686" si="2806">IFERROR(IF(AP686-VLOOKUP(AM$38,$A$2:$N$12,14,FALSE)&lt;0,AP686-VLOOKUP(AM$38,$A$2:$N$12,14,FALSE)," ")," ")</f>
        <v xml:space="preserve"> </v>
      </c>
      <c r="AR686" s="34" t="str">
        <f t="shared" ref="AR686" si="2807">IFERROR(IF(AP686-VLOOKUP(AM$38,$A$2:$N$12,14,FALSE)&gt;0,AP686-VLOOKUP(AM$38,$A$2:$N$12,14,FALSE)," ")," ")</f>
        <v xml:space="preserve"> </v>
      </c>
      <c r="AS686" s="34">
        <f t="shared" ref="AS686" si="2808">$M$6</f>
        <v>0</v>
      </c>
      <c r="AT686" s="34">
        <v>-1</v>
      </c>
      <c r="AU686" s="34">
        <f t="shared" ref="AU686" si="2809">-SUMPRODUCT($M$2:$M$5,$N$2:$N$5)-SUMPRODUCT($M$7:$M$12,$N$7:$N$12)</f>
        <v>-120000</v>
      </c>
      <c r="AV686" s="34" t="e">
        <f t="shared" ref="AV686" si="2810">IF(AS686&lt;&gt;AS687,MMULT(MINVERSE(AS686:AT687),AU686:AU687)," ")</f>
        <v>#NUM!</v>
      </c>
      <c r="AW686" s="34" t="str">
        <f t="shared" ref="AW686" si="2811">IFERROR(IF(AV686-VLOOKUP(AS$38,$A$2:$N$12,14,FALSE)&lt;0,AV686-VLOOKUP(AS$38,$A$2:$N$12,14,FALSE)," ")," ")</f>
        <v xml:space="preserve"> </v>
      </c>
      <c r="AX686" s="34" t="str">
        <f t="shared" ref="AX686" si="2812">IFERROR(IF(AV686-VLOOKUP(AS$38,$A$2:$N$12,14,FALSE)&gt;0,AV686-VLOOKUP(AS$38,$A$2:$N$12,14,FALSE)," ")," ")</f>
        <v xml:space="preserve"> </v>
      </c>
      <c r="AY686" s="34">
        <f t="shared" ref="AY686" si="2813">$M$7</f>
        <v>0</v>
      </c>
      <c r="AZ686" s="34">
        <v>-1</v>
      </c>
      <c r="BA686" s="34">
        <f t="shared" ref="BA686" si="2814">-SUMPRODUCT($M$2:$M$6,$N$2:$N$6)-SUMPRODUCT($M$8:$M$12,$N$8:$N$12)</f>
        <v>-120000</v>
      </c>
      <c r="BB686" s="34" t="e">
        <f t="shared" ref="BB686" si="2815">IF(AY686&lt;&gt;AY687,MMULT(MINVERSE(AY686:AZ687),BA686:BA687)," ")</f>
        <v>#NUM!</v>
      </c>
      <c r="BC686" s="34" t="str">
        <f t="shared" ref="BC686" si="2816">IFERROR(IF(BB686-VLOOKUP(AY$38,$A$2:$N$12,14,FALSE)&lt;0,BB686-VLOOKUP(AY$38,$A$2:$N$12,14,FALSE)," ")," ")</f>
        <v xml:space="preserve"> </v>
      </c>
      <c r="BD686" s="34" t="str">
        <f t="shared" ref="BD686" si="2817">IFERROR(IF(BB686-VLOOKUP(AY$38,$A$2:$N$12,14,FALSE)&gt;0,BB686-VLOOKUP(AY$38,$A$2:$N$12,14,FALSE)," ")," ")</f>
        <v xml:space="preserve"> </v>
      </c>
      <c r="BE686" s="34">
        <f t="shared" ref="BE686" si="2818">$M$8</f>
        <v>0</v>
      </c>
      <c r="BF686" s="34">
        <v>-1</v>
      </c>
      <c r="BG686" s="34">
        <f t="shared" ref="BG686" si="2819">-SUMPRODUCT($M$2:$M$7,$N$2:$N$7)-SUMPRODUCT($M$9:$M$12,$N$9:$N$12)</f>
        <v>-120000</v>
      </c>
      <c r="BH686" s="34" t="e">
        <f t="shared" ref="BH686" si="2820">IF(BE686&lt;&gt;BE687,MMULT(MINVERSE(BE686:BF687),BG686:BG687)," ")</f>
        <v>#NUM!</v>
      </c>
      <c r="BI686" s="34" t="str">
        <f t="shared" ref="BI686" si="2821">IFERROR(IF(BH686-VLOOKUP(BE$38,$A$2:$N$12,14,FALSE)&lt;0,BH686-VLOOKUP(BE$38,$A$2:$N$12,14,FALSE)," ")," ")</f>
        <v xml:space="preserve"> </v>
      </c>
      <c r="BJ686" s="34" t="str">
        <f t="shared" ref="BJ686" si="2822">IFERROR(IF(BH686-VLOOKUP(BE$38,$A$2:$N$12,14,FALSE)&gt;0,BH686-VLOOKUP(BE$38,$A$2:$N$12,14,FALSE)," ")," ")</f>
        <v xml:space="preserve"> </v>
      </c>
      <c r="BK686" s="34">
        <f t="shared" ref="BK686" si="2823">$M$9</f>
        <v>0</v>
      </c>
      <c r="BL686" s="34">
        <v>-1</v>
      </c>
      <c r="BM686" s="34">
        <f t="shared" ref="BM686" si="2824">-SUMPRODUCT($M$2:$M$8,$N$2:$N$8)-SUMPRODUCT($M$10:$M$12,$N$10:$N$12)</f>
        <v>-120000</v>
      </c>
      <c r="BN686" s="34" t="e">
        <f t="shared" ref="BN686" si="2825">IF(BK686&lt;&gt;BK687,MMULT(MINVERSE(BK686:BL687),BM686:BM687)," ")</f>
        <v>#NUM!</v>
      </c>
      <c r="BO686" s="34" t="str">
        <f t="shared" ref="BO686" si="2826">IFERROR(IF(BN686-VLOOKUP(BK$38,$A$2:$N$12,14,FALSE)&lt;0,BN686-VLOOKUP(BK$38,$A$2:$N$12,14,FALSE)," ")," ")</f>
        <v xml:space="preserve"> </v>
      </c>
      <c r="BP686" s="34" t="str">
        <f t="shared" ref="BP686" si="2827">IFERROR(IF(BN686-VLOOKUP(BK$38,$A$2:$N$12,14,FALSE)&gt;0,BN686-VLOOKUP(BK$38,$A$2:$N$12,14,FALSE)," ")," ")</f>
        <v xml:space="preserve"> </v>
      </c>
      <c r="BQ686" s="34">
        <f t="shared" ref="BQ686" si="2828">$M$10</f>
        <v>0</v>
      </c>
      <c r="BR686" s="34">
        <v>-1</v>
      </c>
      <c r="BS686" s="34">
        <f t="shared" ref="BS686" si="2829">-SUMPRODUCT($M$2:$M$9,$N$2:$N$9)-SUMPRODUCT($M$11:$M$12,$N$11:$N$12)</f>
        <v>-120000</v>
      </c>
      <c r="BT686" s="34" t="e">
        <f t="shared" ref="BT686" si="2830">IF(BQ686&lt;&gt;BQ687,MMULT(MINVERSE(BQ686:BR687),BS686:BS687)," ")</f>
        <v>#NUM!</v>
      </c>
      <c r="BU686" s="34" t="str">
        <f t="shared" ref="BU686" si="2831">IFERROR(IF(BT686-VLOOKUP(BQ$38,$A$2:$N$12,14,FALSE)&lt;0,BT686-VLOOKUP(BQ$38,$A$2:$N$12,14,FALSE)," ")," ")</f>
        <v xml:space="preserve"> </v>
      </c>
      <c r="BV686" s="34" t="str">
        <f t="shared" ref="BV686" si="2832">IFERROR(IF(BT686-VLOOKUP(BQ$38,$A$2:$N$12,14,FALSE)&gt;0,BT686-VLOOKUP(BQ$38,$A$2:$N$12,14,FALSE)," ")," ")</f>
        <v xml:space="preserve"> </v>
      </c>
      <c r="BW686" s="34">
        <f t="shared" ref="BW686" si="2833">$M$11</f>
        <v>0</v>
      </c>
      <c r="BX686" s="34">
        <v>-1</v>
      </c>
      <c r="BY686" s="34">
        <f t="shared" ref="BY686" si="2834">-SUMPRODUCT($M$2:$M$10,$N$2:$N$10)-SUMPRODUCT($M$12,$N$12)</f>
        <v>-120000</v>
      </c>
      <c r="BZ686" s="34" t="e">
        <f t="shared" ref="BZ686" si="2835">IF(BW686&lt;&gt;BW687,MMULT(MINVERSE(BW686:BX687),BY686:BY687)," ")</f>
        <v>#NUM!</v>
      </c>
      <c r="CA686" s="34" t="str">
        <f t="shared" ref="CA686" si="2836">IFERROR(IF(BZ686-VLOOKUP(BW$38,$A$2:$N$12,14,FALSE)&lt;0,BZ686-VLOOKUP(BW$38,$A$2:$N$12,14,FALSE)," ")," ")</f>
        <v xml:space="preserve"> </v>
      </c>
      <c r="CB686" s="34" t="str">
        <f t="shared" ref="CB686" si="2837">IFERROR(IF(BZ686-VLOOKUP(BW$38,$A$2:$N$12,14,FALSE)&gt;0,BZ686-VLOOKUP(BW$38,$A$2:$N$12,14,FALSE)," ")," ")</f>
        <v xml:space="preserve"> </v>
      </c>
      <c r="CC686" s="34">
        <f t="shared" ref="CC686" si="2838">$M$12</f>
        <v>0</v>
      </c>
      <c r="CD686" s="34">
        <v>-1</v>
      </c>
      <c r="CE686" s="34">
        <f t="shared" ref="CE686" si="2839">-SUMPRODUCT($M$2:$M$11,$N$2:$N$11)</f>
        <v>-120000</v>
      </c>
      <c r="CF686" s="34" t="e">
        <f t="shared" ref="CF686" si="2840">IF(CC686&lt;&gt;CC687,MMULT(MINVERSE(CC686:CD687),CE686:CE687)," ")</f>
        <v>#NUM!</v>
      </c>
      <c r="CG686" s="34" t="str">
        <f t="shared" ref="CG686" si="2841">IFERROR(IF(CF686-VLOOKUP(CC$38,$A$2:$N$12,14,FALSE)&lt;0,CF686-VLOOKUP(CC$38,$A$2:$N$12,14,FALSE)," ")," ")</f>
        <v xml:space="preserve"> </v>
      </c>
      <c r="CH686" s="34" t="str">
        <f t="shared" ref="CH686" si="2842">IFERROR(IF(CF686-VLOOKUP(CC$38,$A$2:$N$12,14,FALSE)&gt;0,CF686-VLOOKUP(CC$38,$A$2:$N$12,14,FALSE)," ")," ")</f>
        <v xml:space="preserve"> </v>
      </c>
      <c r="CI686" s="8"/>
    </row>
    <row r="687" spans="1:87" x14ac:dyDescent="0.2">
      <c r="A687" s="8" t="str">
        <f>IF(AND(COUNTIF(W$3:W$13,A$16)&gt;0,A$16&lt;&gt;B1146),A$16,IFERROR(IF(MATCH(A$16,Z$3:Z$13,0)=7,A$16," ")," "))</f>
        <v xml:space="preserve"> </v>
      </c>
      <c r="B687" s="8" t="str">
        <f>IF(A687=" "," ",MAX(B686:B686)+1)</f>
        <v xml:space="preserve"> </v>
      </c>
      <c r="C687" s="8" t="str">
        <f>IFERROR(INDEX(A686:A707,MATCH(SMALL(B686:B707,2),B686:B707,0),1)," ")</f>
        <v>C4</v>
      </c>
      <c r="D687" s="8">
        <f t="shared" ref="D687:D696" si="2843">IFERROR(VLOOKUP($C687,$A$15:$O$36,2,FALSE)," ")</f>
        <v>1</v>
      </c>
      <c r="E687" s="8">
        <f t="shared" ref="E687:E696" si="2844">IFERROR(VLOOKUP($C687,$A$15:$O$36,3,FALSE)," ")</f>
        <v>0</v>
      </c>
      <c r="F687" s="8">
        <f t="shared" ref="F687:F696" si="2845">IFERROR(VLOOKUP($C687,$A$15:$O$36,4,FALSE)," ")</f>
        <v>1</v>
      </c>
      <c r="G687" s="8">
        <f t="shared" ref="G687:G696" si="2846">IFERROR(VLOOKUP($C687,$A$15:$O$36,5,FALSE)," ")</f>
        <v>0</v>
      </c>
      <c r="H687" s="8">
        <f t="shared" ref="H687:H696" si="2847">IFERROR(VLOOKUP($C687,$A$15:$O$36,6,FALSE)," ")</f>
        <v>0</v>
      </c>
      <c r="I687" s="8">
        <f t="shared" ref="I687:I696" si="2848">IFERROR(VLOOKUP($C687,$A$15:$O$36,7,FALSE)," ")</f>
        <v>0</v>
      </c>
      <c r="J687" s="8">
        <f t="shared" ref="J687:J696" si="2849">IFERROR(VLOOKUP($C687,$A$15:$O$36,8,FALSE)," ")</f>
        <v>0</v>
      </c>
      <c r="K687" s="8">
        <f t="shared" ref="K687:K696" si="2850">IFERROR(VLOOKUP($C687,$A$15:$O$36,9,FALSE)," ")</f>
        <v>0</v>
      </c>
      <c r="L687" s="8">
        <f t="shared" ref="L687:L696" si="2851">IFERROR(VLOOKUP($C687,$A$15:$O$36,10,FALSE)," ")</f>
        <v>0</v>
      </c>
      <c r="M687" s="8">
        <f t="shared" ref="M687:M696" si="2852">IFERROR(VLOOKUP($C687,$A$15:$O$36,11,FALSE)," ")</f>
        <v>0</v>
      </c>
      <c r="N687" s="8">
        <f t="shared" ref="N687:N696" si="2853">IFERROR(VLOOKUP($C687,$A$15:$O$36,12,FALSE)," ")</f>
        <v>0</v>
      </c>
      <c r="O687" s="8">
        <f t="shared" ref="O687:O696" si="2854">IFERROR(VLOOKUP($C687,$A$15:$O$36,15,FALSE)," ")</f>
        <v>400</v>
      </c>
      <c r="P687" s="8" t="e">
        <v>#NUM!</v>
      </c>
      <c r="Q687" s="8" t="e">
        <f t="shared" ref="Q687" si="2855">IF(COUNTIF(P686:P696,"&lt;"&amp;-0.001)=0,IF(ABS(P687)&lt;0.001,0,P687)," ")</f>
        <v>#NUM!</v>
      </c>
      <c r="R687" s="8"/>
      <c r="S687" s="8"/>
      <c r="U687" s="34" t="e">
        <f t="shared" ref="U687" si="2856">$Q686</f>
        <v>#NUM!</v>
      </c>
      <c r="V687" s="34">
        <v>-1</v>
      </c>
      <c r="W687" s="34" t="e">
        <f t="shared" ref="W687" si="2857">-SUMPRODUCT($Q687:$Q696,$N$3:$N$12)</f>
        <v>#NUM!</v>
      </c>
      <c r="X687" s="34"/>
      <c r="Y687" s="34"/>
      <c r="Z687" s="34"/>
      <c r="AA687" s="34" t="e">
        <f t="shared" ref="AA687" si="2858">$Q687</f>
        <v>#NUM!</v>
      </c>
      <c r="AB687" s="34">
        <v>-1</v>
      </c>
      <c r="AC687" s="34" t="e">
        <f t="shared" ref="AC687" si="2859">-SUMPRODUCT($Q686:$Q686,$N$2:$N$2)-SUMPRODUCT($Q688:$Q696,$N$4:$N$12)</f>
        <v>#NUM!</v>
      </c>
      <c r="AD687" s="34"/>
      <c r="AE687" s="34"/>
      <c r="AF687" s="34"/>
      <c r="AG687" s="34" t="e">
        <f t="shared" ref="AG687" si="2860">$Q688</f>
        <v>#NUM!</v>
      </c>
      <c r="AH687" s="34">
        <v>-1</v>
      </c>
      <c r="AI687" s="34" t="e">
        <f t="shared" ref="AI687" si="2861">-SUMPRODUCT($Q686:$Q687,$N$2:$N$3)-SUMPRODUCT($Q689:$Q696,$N$5:$N$12)</f>
        <v>#NUM!</v>
      </c>
      <c r="AJ687" s="34"/>
      <c r="AK687" s="34"/>
      <c r="AL687" s="34"/>
      <c r="AM687" s="34" t="e">
        <f t="shared" ref="AM687" si="2862">$Q689</f>
        <v>#NUM!</v>
      </c>
      <c r="AN687" s="34">
        <v>-1</v>
      </c>
      <c r="AO687" s="34" t="e">
        <f t="shared" ref="AO687" si="2863">-SUMPRODUCT($Q686:$Q688,$N$2:$N$4)-SUMPRODUCT($Q690:$Q696,$N$6:$N$12)</f>
        <v>#NUM!</v>
      </c>
      <c r="AP687" s="34"/>
      <c r="AQ687" s="34"/>
      <c r="AR687" s="34"/>
      <c r="AS687" s="34" t="e">
        <f t="shared" ref="AS687" si="2864">$Q690</f>
        <v>#NUM!</v>
      </c>
      <c r="AT687" s="34">
        <v>-1</v>
      </c>
      <c r="AU687" s="34" t="e">
        <f t="shared" ref="AU687" si="2865">-SUMPRODUCT($Q686:$Q689,$N$2:$N$5)-SUMPRODUCT($Q691:$Q696,$N$7:$N$12)</f>
        <v>#NUM!</v>
      </c>
      <c r="AV687" s="34"/>
      <c r="AW687" s="34"/>
      <c r="AX687" s="34"/>
      <c r="AY687" s="34" t="e">
        <f t="shared" ref="AY687" si="2866">$Q691</f>
        <v>#NUM!</v>
      </c>
      <c r="AZ687" s="34">
        <v>-1</v>
      </c>
      <c r="BA687" s="34" t="e">
        <f t="shared" ref="BA687" si="2867">-SUMPRODUCT($Q686:$Q690,$N$2:$N$6)-SUMPRODUCT($Q692:$Q696,$N$8:$N$12)</f>
        <v>#NUM!</v>
      </c>
      <c r="BB687" s="34"/>
      <c r="BC687" s="34"/>
      <c r="BD687" s="34"/>
      <c r="BE687" s="34" t="e">
        <f t="shared" ref="BE687" si="2868">$Q692</f>
        <v>#NUM!</v>
      </c>
      <c r="BF687" s="34">
        <v>-1</v>
      </c>
      <c r="BG687" s="34" t="e">
        <f t="shared" ref="BG687" si="2869">-SUMPRODUCT($Q686:$Q691,$N$2:$N$7)-SUMPRODUCT($Q693:$Q696,$N$9:$N$12)</f>
        <v>#NUM!</v>
      </c>
      <c r="BH687" s="34"/>
      <c r="BI687" s="34"/>
      <c r="BJ687" s="34"/>
      <c r="BK687" s="34" t="e">
        <f t="shared" ref="BK687" si="2870">$Q693</f>
        <v>#NUM!</v>
      </c>
      <c r="BL687" s="34">
        <v>-1</v>
      </c>
      <c r="BM687" s="34" t="e">
        <f t="shared" ref="BM687" si="2871">-SUMPRODUCT($Q686:$Q692,$N$2:$N$8)-SUMPRODUCT($Q694:$Q696,$N$10:$N$12)</f>
        <v>#NUM!</v>
      </c>
      <c r="BN687" s="34"/>
      <c r="BO687" s="34"/>
      <c r="BP687" s="34"/>
      <c r="BQ687" s="34" t="e">
        <f t="shared" ref="BQ687" si="2872">$Q694</f>
        <v>#NUM!</v>
      </c>
      <c r="BR687" s="34">
        <v>-1</v>
      </c>
      <c r="BS687" s="34" t="e">
        <f t="shared" ref="BS687" si="2873">-SUMPRODUCT($Q686:$Q693,$N$2:$N$9)-SUMPRODUCT($Q695:$Q696,$N$11:$N$12)</f>
        <v>#NUM!</v>
      </c>
      <c r="BT687" s="34"/>
      <c r="BU687" s="34"/>
      <c r="BV687" s="34"/>
      <c r="BW687" s="34" t="e">
        <f t="shared" ref="BW687" si="2874">$Q695</f>
        <v>#NUM!</v>
      </c>
      <c r="BX687" s="34">
        <v>-1</v>
      </c>
      <c r="BY687" s="34" t="e">
        <f t="shared" ref="BY687" si="2875">-SUMPRODUCT($Q686:$Q694,$N$2:$N$10)-SUMPRODUCT($Q696,$N$12)</f>
        <v>#NUM!</v>
      </c>
      <c r="BZ687" s="34"/>
      <c r="CA687" s="34"/>
      <c r="CB687" s="34"/>
      <c r="CC687" s="34" t="e">
        <f t="shared" ref="CC687" si="2876">$Q696</f>
        <v>#NUM!</v>
      </c>
      <c r="CD687" s="34">
        <v>-1</v>
      </c>
      <c r="CE687" s="34" t="e">
        <f t="shared" ref="CE687" si="2877">-SUMPRODUCT($Q686:$Q695,$N$2:$N$11)</f>
        <v>#NUM!</v>
      </c>
      <c r="CF687" s="34"/>
      <c r="CG687" s="34"/>
      <c r="CH687" s="34"/>
      <c r="CI687" s="8"/>
    </row>
    <row r="688" spans="1:87" x14ac:dyDescent="0.2">
      <c r="A688" s="8" t="str">
        <f>IF(AND(COUNTIF(W$3:W$13,A$17)&gt;0,A$17&lt;&gt;B546),A$17,IFERROR(IF(MATCH(A$17,Z$3:Z$13,0)=7,A$17," ")," "))</f>
        <v>C3</v>
      </c>
      <c r="B688" s="8">
        <f>IF(A688=" "," ",MAX(B686:B687)+1)</f>
        <v>1</v>
      </c>
      <c r="C688" s="8" t="str">
        <f>IFERROR(INDEX(A686:A707,MATCH(SMALL(B686:B707,3),B686:B707,0),1)," ")</f>
        <v>C9</v>
      </c>
      <c r="D688" s="8">
        <f t="shared" si="2843"/>
        <v>0</v>
      </c>
      <c r="E688" s="8">
        <f t="shared" si="2844"/>
        <v>0</v>
      </c>
      <c r="F688" s="8">
        <f t="shared" si="2845"/>
        <v>0</v>
      </c>
      <c r="G688" s="8">
        <f t="shared" si="2846"/>
        <v>0</v>
      </c>
      <c r="H688" s="8">
        <f t="shared" si="2847"/>
        <v>0</v>
      </c>
      <c r="I688" s="8">
        <f t="shared" si="2848"/>
        <v>0</v>
      </c>
      <c r="J688" s="8">
        <f t="shared" si="2849"/>
        <v>0</v>
      </c>
      <c r="K688" s="8">
        <f t="shared" si="2850"/>
        <v>0</v>
      </c>
      <c r="L688" s="8">
        <f t="shared" si="2851"/>
        <v>0</v>
      </c>
      <c r="M688" s="8">
        <f t="shared" si="2852"/>
        <v>0</v>
      </c>
      <c r="N688" s="8">
        <f t="shared" si="2853"/>
        <v>0</v>
      </c>
      <c r="O688" s="8">
        <f t="shared" si="2854"/>
        <v>0</v>
      </c>
      <c r="P688" s="8" t="e">
        <v>#NUM!</v>
      </c>
      <c r="Q688" s="8" t="e">
        <f t="shared" ref="Q688" si="2878">IF(COUNTIF(P686:P696,"&lt;"&amp;-0.001)=0,IF(ABS(P688)&lt;0.001,0,P688)," ")</f>
        <v>#NUM!</v>
      </c>
      <c r="R688" s="8"/>
      <c r="S688" s="8"/>
      <c r="U688" s="34"/>
      <c r="V688" s="34"/>
      <c r="W688" s="34"/>
      <c r="X688" s="34"/>
      <c r="Y688" s="34"/>
      <c r="Z688" s="34"/>
      <c r="AA688" s="34"/>
      <c r="AB688" s="34"/>
      <c r="AC688" s="34"/>
      <c r="AD688" s="34"/>
      <c r="AE688" s="34"/>
      <c r="AF688" s="34"/>
      <c r="AG688" s="34"/>
      <c r="AH688" s="34"/>
      <c r="AI688" s="34"/>
      <c r="AJ688" s="34"/>
      <c r="AK688" s="34"/>
      <c r="AL688" s="34"/>
      <c r="AM688" s="34"/>
      <c r="AN688" s="34"/>
      <c r="AO688" s="34"/>
      <c r="AP688" s="34"/>
      <c r="AQ688" s="34"/>
      <c r="AR688" s="34"/>
      <c r="AS688" s="34"/>
      <c r="AT688" s="34"/>
      <c r="AU688" s="34"/>
      <c r="AV688" s="34"/>
      <c r="AW688" s="34"/>
      <c r="AX688" s="34"/>
      <c r="AY688" s="34"/>
      <c r="AZ688" s="34"/>
      <c r="BA688" s="34"/>
      <c r="BB688" s="34"/>
      <c r="BC688" s="34"/>
      <c r="BD688" s="34"/>
      <c r="BE688" s="34"/>
      <c r="BF688" s="34"/>
      <c r="BG688" s="34"/>
      <c r="BH688" s="34"/>
      <c r="BI688" s="34"/>
      <c r="BJ688" s="34"/>
      <c r="BK688" s="34"/>
      <c r="BL688" s="34"/>
      <c r="BM688" s="34"/>
      <c r="BN688" s="34"/>
      <c r="BO688" s="34"/>
      <c r="BP688" s="34"/>
      <c r="BQ688" s="34"/>
      <c r="BR688" s="34"/>
      <c r="BS688" s="34"/>
      <c r="BT688" s="34"/>
      <c r="BU688" s="34"/>
      <c r="BV688" s="34"/>
      <c r="BW688" s="34"/>
      <c r="BX688" s="34"/>
      <c r="BY688" s="34"/>
      <c r="BZ688" s="34"/>
      <c r="CA688" s="34"/>
      <c r="CB688" s="34"/>
      <c r="CC688" s="34"/>
      <c r="CD688" s="34"/>
      <c r="CE688" s="34"/>
      <c r="CF688" s="34"/>
      <c r="CG688" s="34"/>
      <c r="CH688" s="34"/>
      <c r="CI688" s="8"/>
    </row>
    <row r="689" spans="1:87" x14ac:dyDescent="0.2">
      <c r="A689" s="8" t="str">
        <f>IF(AND(COUNTIF(W$3:W$13,A$18)&gt;0,A$18&lt;&gt;B546),A$18,IFERROR(IF(MATCH(A$18,Z$3:Z$13,0)=7,A$18," ")," "))</f>
        <v>C4</v>
      </c>
      <c r="B689" s="8">
        <f>IF(A689=" "," ",MAX(B686:B688)+1)</f>
        <v>2</v>
      </c>
      <c r="C689" s="8" t="str">
        <f>IFERROR(INDEX(A686:A707,MATCH(SMALL(B686:B707,4),B686:B707,0),1)," ")</f>
        <v>C15</v>
      </c>
      <c r="D689" s="8">
        <f t="shared" si="2843"/>
        <v>0</v>
      </c>
      <c r="E689" s="8">
        <f t="shared" si="2844"/>
        <v>0</v>
      </c>
      <c r="F689" s="8">
        <f t="shared" si="2845"/>
        <v>0</v>
      </c>
      <c r="G689" s="8">
        <f t="shared" si="2846"/>
        <v>1</v>
      </c>
      <c r="H689" s="8">
        <f t="shared" si="2847"/>
        <v>0</v>
      </c>
      <c r="I689" s="8">
        <f t="shared" si="2848"/>
        <v>0</v>
      </c>
      <c r="J689" s="8">
        <f t="shared" si="2849"/>
        <v>0</v>
      </c>
      <c r="K689" s="8">
        <f t="shared" si="2850"/>
        <v>0</v>
      </c>
      <c r="L689" s="8">
        <f t="shared" si="2851"/>
        <v>0</v>
      </c>
      <c r="M689" s="8">
        <f t="shared" si="2852"/>
        <v>0</v>
      </c>
      <c r="N689" s="8">
        <f t="shared" si="2853"/>
        <v>0</v>
      </c>
      <c r="O689" s="8">
        <f t="shared" si="2854"/>
        <v>0</v>
      </c>
      <c r="P689" s="8" t="e">
        <v>#NUM!</v>
      </c>
      <c r="Q689" s="8" t="e">
        <f t="shared" ref="Q689" si="2879">IF(COUNTIF(P686:P696,"&lt;"&amp;-0.001)=0,IF(ABS(P689)&lt;0.001,0,P689)," ")</f>
        <v>#NUM!</v>
      </c>
      <c r="R689" s="8"/>
      <c r="S689" s="8"/>
      <c r="U689" s="34"/>
      <c r="V689" s="34"/>
      <c r="W689" s="34"/>
      <c r="X689" s="34"/>
      <c r="Y689" s="34"/>
      <c r="Z689" s="34"/>
      <c r="AA689" s="34"/>
      <c r="AB689" s="34"/>
      <c r="AC689" s="34"/>
      <c r="AD689" s="34"/>
      <c r="AE689" s="34"/>
      <c r="AF689" s="34"/>
      <c r="AG689" s="34"/>
      <c r="AH689" s="34"/>
      <c r="AI689" s="34"/>
      <c r="AJ689" s="34"/>
      <c r="AK689" s="34"/>
      <c r="AL689" s="34"/>
      <c r="AM689" s="34"/>
      <c r="AN689" s="34"/>
      <c r="AO689" s="34"/>
      <c r="AP689" s="34"/>
      <c r="AQ689" s="34"/>
      <c r="AR689" s="34"/>
      <c r="AS689" s="34"/>
      <c r="AT689" s="34"/>
      <c r="AU689" s="34"/>
      <c r="AV689" s="34"/>
      <c r="AW689" s="34"/>
      <c r="AX689" s="34"/>
      <c r="AY689" s="34"/>
      <c r="AZ689" s="34"/>
      <c r="BA689" s="34"/>
      <c r="BB689" s="34"/>
      <c r="BC689" s="34"/>
      <c r="BD689" s="34"/>
      <c r="BE689" s="34"/>
      <c r="BF689" s="34"/>
      <c r="BG689" s="34"/>
      <c r="BH689" s="34"/>
      <c r="BI689" s="34"/>
      <c r="BJ689" s="34"/>
      <c r="BK689" s="34"/>
      <c r="BL689" s="34"/>
      <c r="BM689" s="34"/>
      <c r="BN689" s="34"/>
      <c r="BO689" s="34"/>
      <c r="BP689" s="34"/>
      <c r="BQ689" s="34"/>
      <c r="BR689" s="34"/>
      <c r="BS689" s="34"/>
      <c r="BT689" s="34"/>
      <c r="BU689" s="34"/>
      <c r="BV689" s="34"/>
      <c r="BW689" s="34"/>
      <c r="BX689" s="34"/>
      <c r="BY689" s="34"/>
      <c r="BZ689" s="34"/>
      <c r="CA689" s="34"/>
      <c r="CB689" s="34"/>
      <c r="CC689" s="34"/>
      <c r="CD689" s="34"/>
      <c r="CE689" s="34"/>
      <c r="CF689" s="34"/>
      <c r="CG689" s="34"/>
      <c r="CH689" s="34"/>
      <c r="CI689" s="8"/>
    </row>
    <row r="690" spans="1:87" x14ac:dyDescent="0.2">
      <c r="A690" s="8" t="str">
        <f>IF(AND(COUNTIF(W$3:W$13,A$19)&gt;0,A$19&lt;&gt;B546),A$19,IFERROR(IF(MATCH(A$19,Z$3:Z$13,0)=7,A$19," ")," "))</f>
        <v xml:space="preserve"> </v>
      </c>
      <c r="B690" s="8" t="str">
        <f>IF(A690=" "," ",MAX(B686:B689)+1)</f>
        <v xml:space="preserve"> </v>
      </c>
      <c r="C690" s="8" t="str">
        <f>IFERROR(INDEX(A686:A707,MATCH(SMALL(B686:B707,5),B686:B707,0),1)," ")</f>
        <v>C16</v>
      </c>
      <c r="D690" s="8">
        <f t="shared" si="2843"/>
        <v>0</v>
      </c>
      <c r="E690" s="8">
        <f t="shared" si="2844"/>
        <v>0</v>
      </c>
      <c r="F690" s="8">
        <f t="shared" si="2845"/>
        <v>0</v>
      </c>
      <c r="G690" s="8">
        <f t="shared" si="2846"/>
        <v>0</v>
      </c>
      <c r="H690" s="8">
        <f t="shared" si="2847"/>
        <v>1</v>
      </c>
      <c r="I690" s="8">
        <f t="shared" si="2848"/>
        <v>0</v>
      </c>
      <c r="J690" s="8">
        <f t="shared" si="2849"/>
        <v>0</v>
      </c>
      <c r="K690" s="8">
        <f t="shared" si="2850"/>
        <v>0</v>
      </c>
      <c r="L690" s="8">
        <f t="shared" si="2851"/>
        <v>0</v>
      </c>
      <c r="M690" s="8">
        <f t="shared" si="2852"/>
        <v>0</v>
      </c>
      <c r="N690" s="8">
        <f t="shared" si="2853"/>
        <v>0</v>
      </c>
      <c r="O690" s="8">
        <f t="shared" si="2854"/>
        <v>0</v>
      </c>
      <c r="P690" s="8" t="e">
        <v>#NUM!</v>
      </c>
      <c r="Q690" s="8" t="e">
        <f t="shared" ref="Q690" si="2880">IF(COUNTIF(P686:P696,"&lt;"&amp;-0.001)=0,IF(ABS(P690)&lt;0.001,0,P690)," ")</f>
        <v>#NUM!</v>
      </c>
      <c r="R690" s="8"/>
      <c r="S690" s="8"/>
      <c r="U690" s="34"/>
      <c r="V690" s="34"/>
      <c r="W690" s="34"/>
      <c r="X690" s="34"/>
      <c r="Y690" s="34"/>
      <c r="Z690" s="34"/>
      <c r="AA690" s="34"/>
      <c r="AB690" s="34"/>
      <c r="AC690" s="34"/>
      <c r="AD690" s="34"/>
      <c r="AE690" s="34"/>
      <c r="AF690" s="34"/>
      <c r="AG690" s="34"/>
      <c r="AH690" s="34"/>
      <c r="AI690" s="34"/>
      <c r="AJ690" s="34"/>
      <c r="AK690" s="34"/>
      <c r="AL690" s="34"/>
      <c r="AM690" s="34"/>
      <c r="AN690" s="34"/>
      <c r="AO690" s="34"/>
      <c r="AP690" s="34"/>
      <c r="AQ690" s="34"/>
      <c r="AR690" s="34"/>
      <c r="AS690" s="34"/>
      <c r="AT690" s="34"/>
      <c r="AU690" s="34"/>
      <c r="AV690" s="34"/>
      <c r="AW690" s="34"/>
      <c r="AX690" s="34"/>
      <c r="AY690" s="34"/>
      <c r="AZ690" s="34"/>
      <c r="BA690" s="34"/>
      <c r="BB690" s="34"/>
      <c r="BC690" s="34"/>
      <c r="BD690" s="34"/>
      <c r="BE690" s="34"/>
      <c r="BF690" s="34"/>
      <c r="BG690" s="34"/>
      <c r="BH690" s="34"/>
      <c r="BI690" s="34"/>
      <c r="BJ690" s="34"/>
      <c r="BK690" s="34"/>
      <c r="BL690" s="34"/>
      <c r="BM690" s="34"/>
      <c r="BN690" s="34"/>
      <c r="BO690" s="34"/>
      <c r="BP690" s="34"/>
      <c r="BQ690" s="34"/>
      <c r="BR690" s="34"/>
      <c r="BS690" s="34"/>
      <c r="BT690" s="34"/>
      <c r="BU690" s="34"/>
      <c r="BV690" s="34"/>
      <c r="BW690" s="34"/>
      <c r="BX690" s="34"/>
      <c r="BY690" s="34"/>
      <c r="BZ690" s="34"/>
      <c r="CA690" s="34"/>
      <c r="CB690" s="34"/>
      <c r="CC690" s="34"/>
      <c r="CD690" s="34"/>
      <c r="CE690" s="34"/>
      <c r="CF690" s="34"/>
      <c r="CG690" s="34"/>
      <c r="CH690" s="34"/>
      <c r="CI690" s="8"/>
    </row>
    <row r="691" spans="1:87" x14ac:dyDescent="0.2">
      <c r="A691" s="8" t="str">
        <f>IF(AND(COUNTIF(W$3:W$13,A$20)&gt;0,A$20&lt;&gt;B546),A$20,IFERROR(IF(MATCH(A$20,Z$3:Z$13,0)=7,A$20," ")," "))</f>
        <v xml:space="preserve"> </v>
      </c>
      <c r="B691" s="8" t="str">
        <f>IF(A691=" "," ",MAX(B686:B690)+1)</f>
        <v xml:space="preserve"> </v>
      </c>
      <c r="C691" s="8" t="str">
        <f>IFERROR(INDEX(A686:A707,MATCH(SMALL(B686:B707,6),B686:B707,0),1)," ")</f>
        <v>C17</v>
      </c>
      <c r="D691" s="8">
        <f t="shared" si="2843"/>
        <v>0</v>
      </c>
      <c r="E691" s="8">
        <f t="shared" si="2844"/>
        <v>0</v>
      </c>
      <c r="F691" s="8">
        <f t="shared" si="2845"/>
        <v>0</v>
      </c>
      <c r="G691" s="8">
        <f t="shared" si="2846"/>
        <v>0</v>
      </c>
      <c r="H691" s="8">
        <f t="shared" si="2847"/>
        <v>0</v>
      </c>
      <c r="I691" s="8">
        <f t="shared" si="2848"/>
        <v>1</v>
      </c>
      <c r="J691" s="8">
        <f t="shared" si="2849"/>
        <v>0</v>
      </c>
      <c r="K691" s="8">
        <f t="shared" si="2850"/>
        <v>0</v>
      </c>
      <c r="L691" s="8">
        <f t="shared" si="2851"/>
        <v>0</v>
      </c>
      <c r="M691" s="8">
        <f t="shared" si="2852"/>
        <v>0</v>
      </c>
      <c r="N691" s="8">
        <f t="shared" si="2853"/>
        <v>0</v>
      </c>
      <c r="O691" s="8">
        <f t="shared" si="2854"/>
        <v>0</v>
      </c>
      <c r="P691" s="8" t="e">
        <v>#NUM!</v>
      </c>
      <c r="Q691" s="8" t="e">
        <f t="shared" ref="Q691" si="2881">IF(COUNTIF(P686:P696,"&lt;"&amp;-0.001)=0,IF(ABS(P691)&lt;0.001,0,P691)," ")</f>
        <v>#NUM!</v>
      </c>
      <c r="R691" s="8"/>
      <c r="S691" s="8"/>
      <c r="U691" s="34"/>
      <c r="V691" s="34"/>
      <c r="W691" s="34"/>
      <c r="X691" s="34"/>
      <c r="Y691" s="34"/>
      <c r="Z691" s="34"/>
      <c r="AA691" s="34"/>
      <c r="AB691" s="34"/>
      <c r="AC691" s="34"/>
      <c r="AD691" s="34"/>
      <c r="AE691" s="34"/>
      <c r="AF691" s="34"/>
      <c r="AG691" s="34"/>
      <c r="AH691" s="34"/>
      <c r="AI691" s="34"/>
      <c r="AJ691" s="34"/>
      <c r="AK691" s="34"/>
      <c r="AL691" s="34"/>
      <c r="AM691" s="34"/>
      <c r="AN691" s="34"/>
      <c r="AO691" s="34"/>
      <c r="AP691" s="34"/>
      <c r="AQ691" s="34"/>
      <c r="AR691" s="34"/>
      <c r="AS691" s="34"/>
      <c r="AT691" s="34"/>
      <c r="AU691" s="34"/>
      <c r="AV691" s="34"/>
      <c r="AW691" s="34"/>
      <c r="AX691" s="34"/>
      <c r="AY691" s="34"/>
      <c r="AZ691" s="34"/>
      <c r="BA691" s="34"/>
      <c r="BB691" s="34"/>
      <c r="BC691" s="34"/>
      <c r="BD691" s="34"/>
      <c r="BE691" s="34"/>
      <c r="BF691" s="34"/>
      <c r="BG691" s="34"/>
      <c r="BH691" s="34"/>
      <c r="BI691" s="34"/>
      <c r="BJ691" s="34"/>
      <c r="BK691" s="34"/>
      <c r="BL691" s="34"/>
      <c r="BM691" s="34"/>
      <c r="BN691" s="34"/>
      <c r="BO691" s="34"/>
      <c r="BP691" s="34"/>
      <c r="BQ691" s="34"/>
      <c r="BR691" s="34"/>
      <c r="BS691" s="34"/>
      <c r="BT691" s="34"/>
      <c r="BU691" s="34"/>
      <c r="BV691" s="34"/>
      <c r="BW691" s="34"/>
      <c r="BX691" s="34"/>
      <c r="BY691" s="34"/>
      <c r="BZ691" s="34"/>
      <c r="CA691" s="34"/>
      <c r="CB691" s="34"/>
      <c r="CC691" s="34"/>
      <c r="CD691" s="34"/>
      <c r="CE691" s="34"/>
      <c r="CF691" s="34"/>
      <c r="CG691" s="34"/>
      <c r="CH691" s="34"/>
      <c r="CI691" s="8"/>
    </row>
    <row r="692" spans="1:87" x14ac:dyDescent="0.2">
      <c r="A692" s="8" t="str">
        <f>IF(AND(COUNTIF(W$3:W$13,A$21)&gt;0,A$21&lt;&gt;B546),A$21,IFERROR(IF(MATCH(A$21,Z$3:Z$13,0)=7,A$21," ")," "))</f>
        <v xml:space="preserve"> </v>
      </c>
      <c r="B692" s="8" t="str">
        <f>IF(A692=" "," ",MAX(B686:B691)+1)</f>
        <v xml:space="preserve"> </v>
      </c>
      <c r="C692" s="8" t="str">
        <f>IFERROR(INDEX(A686:A707,MATCH(SMALL(B686:B707,7),B686:B707,0),1)," ")</f>
        <v>C18</v>
      </c>
      <c r="D692" s="8">
        <f t="shared" si="2843"/>
        <v>0</v>
      </c>
      <c r="E692" s="8">
        <f t="shared" si="2844"/>
        <v>0</v>
      </c>
      <c r="F692" s="8">
        <f t="shared" si="2845"/>
        <v>0</v>
      </c>
      <c r="G692" s="8">
        <f t="shared" si="2846"/>
        <v>0</v>
      </c>
      <c r="H692" s="8">
        <f t="shared" si="2847"/>
        <v>0</v>
      </c>
      <c r="I692" s="8">
        <f t="shared" si="2848"/>
        <v>0</v>
      </c>
      <c r="J692" s="8">
        <f t="shared" si="2849"/>
        <v>1</v>
      </c>
      <c r="K692" s="8">
        <f t="shared" si="2850"/>
        <v>0</v>
      </c>
      <c r="L692" s="8">
        <f t="shared" si="2851"/>
        <v>0</v>
      </c>
      <c r="M692" s="8">
        <f t="shared" si="2852"/>
        <v>0</v>
      </c>
      <c r="N692" s="8">
        <f t="shared" si="2853"/>
        <v>0</v>
      </c>
      <c r="O692" s="8">
        <f t="shared" si="2854"/>
        <v>0</v>
      </c>
      <c r="P692" s="8" t="e">
        <v>#NUM!</v>
      </c>
      <c r="Q692" s="8" t="e">
        <f t="shared" ref="Q692" si="2882">IF(COUNTIF(P686:P696,"&lt;"&amp;-0.001)=0,IF(ABS(P692)&lt;0.001,0,P692)," ")</f>
        <v>#NUM!</v>
      </c>
      <c r="R692" s="8"/>
      <c r="S692" s="8"/>
      <c r="U692" s="34"/>
      <c r="V692" s="34"/>
      <c r="W692" s="34"/>
      <c r="X692" s="34"/>
      <c r="Y692" s="34"/>
      <c r="Z692" s="34"/>
      <c r="AA692" s="34"/>
      <c r="AB692" s="34"/>
      <c r="AC692" s="34"/>
      <c r="AD692" s="34"/>
      <c r="AE692" s="34"/>
      <c r="AF692" s="34"/>
      <c r="AG692" s="34"/>
      <c r="AH692" s="34"/>
      <c r="AI692" s="34"/>
      <c r="AJ692" s="34"/>
      <c r="AK692" s="34"/>
      <c r="AL692" s="34"/>
      <c r="AM692" s="34"/>
      <c r="AN692" s="34"/>
      <c r="AO692" s="34"/>
      <c r="AP692" s="34"/>
      <c r="AQ692" s="34"/>
      <c r="AR692" s="34"/>
      <c r="AS692" s="34"/>
      <c r="AT692" s="34"/>
      <c r="AU692" s="34"/>
      <c r="AV692" s="34"/>
      <c r="AW692" s="34"/>
      <c r="AX692" s="34"/>
      <c r="AY692" s="34"/>
      <c r="AZ692" s="34"/>
      <c r="BA692" s="34"/>
      <c r="BB692" s="34"/>
      <c r="BC692" s="34"/>
      <c r="BD692" s="34"/>
      <c r="BE692" s="34"/>
      <c r="BF692" s="34"/>
      <c r="BG692" s="34"/>
      <c r="BH692" s="34"/>
      <c r="BI692" s="34"/>
      <c r="BJ692" s="34"/>
      <c r="BK692" s="34"/>
      <c r="BL692" s="34"/>
      <c r="BM692" s="34"/>
      <c r="BN692" s="34"/>
      <c r="BO692" s="34"/>
      <c r="BP692" s="34"/>
      <c r="BQ692" s="34"/>
      <c r="BR692" s="34"/>
      <c r="BS692" s="34"/>
      <c r="BT692" s="34"/>
      <c r="BU692" s="34"/>
      <c r="BV692" s="34"/>
      <c r="BW692" s="34"/>
      <c r="BX692" s="34"/>
      <c r="BY692" s="34"/>
      <c r="BZ692" s="34"/>
      <c r="CA692" s="34"/>
      <c r="CB692" s="34"/>
      <c r="CC692" s="34"/>
      <c r="CD692" s="34"/>
      <c r="CE692" s="34"/>
      <c r="CF692" s="34"/>
      <c r="CG692" s="34"/>
      <c r="CH692" s="34"/>
      <c r="CI692" s="8"/>
    </row>
    <row r="693" spans="1:87" x14ac:dyDescent="0.2">
      <c r="A693" s="8" t="str">
        <f>IF(AND(COUNTIF(W$3:W$13,A$22)&gt;0,A$22&lt;&gt;B546),A$22,IFERROR(IF(MATCH(A$22,Z$3:Z$13,0)=7,A$22," ")," "))</f>
        <v xml:space="preserve"> </v>
      </c>
      <c r="B693" s="8" t="str">
        <f>IF(A693=" "," ",MAX(B686:B692)+1)</f>
        <v xml:space="preserve"> </v>
      </c>
      <c r="C693" s="8" t="str">
        <f>IFERROR(INDEX(A686:A707,MATCH(SMALL(B686:B707,8),B686:B707,0),1)," ")</f>
        <v>C19</v>
      </c>
      <c r="D693" s="8">
        <f t="shared" si="2843"/>
        <v>0</v>
      </c>
      <c r="E693" s="8">
        <f t="shared" si="2844"/>
        <v>0</v>
      </c>
      <c r="F693" s="8">
        <f t="shared" si="2845"/>
        <v>0</v>
      </c>
      <c r="G693" s="8">
        <f t="shared" si="2846"/>
        <v>0</v>
      </c>
      <c r="H693" s="8">
        <f t="shared" si="2847"/>
        <v>0</v>
      </c>
      <c r="I693" s="8">
        <f t="shared" si="2848"/>
        <v>0</v>
      </c>
      <c r="J693" s="8">
        <f t="shared" si="2849"/>
        <v>0</v>
      </c>
      <c r="K693" s="8">
        <f t="shared" si="2850"/>
        <v>1</v>
      </c>
      <c r="L693" s="8">
        <f t="shared" si="2851"/>
        <v>0</v>
      </c>
      <c r="M693" s="8">
        <f t="shared" si="2852"/>
        <v>0</v>
      </c>
      <c r="N693" s="8">
        <f t="shared" si="2853"/>
        <v>0</v>
      </c>
      <c r="O693" s="8">
        <f t="shared" si="2854"/>
        <v>0</v>
      </c>
      <c r="P693" s="8" t="e">
        <v>#NUM!</v>
      </c>
      <c r="Q693" s="8" t="e">
        <f t="shared" ref="Q693" si="2883">IF(COUNTIF(P686:P696,"&lt;"&amp;-0.001)=0,IF(ABS(P693)&lt;0.001,0,P693)," ")</f>
        <v>#NUM!</v>
      </c>
      <c r="R693" s="8"/>
      <c r="S693" s="8"/>
      <c r="U693" s="34"/>
      <c r="V693" s="34"/>
      <c r="W693" s="34"/>
      <c r="X693" s="34"/>
      <c r="Y693" s="34"/>
      <c r="Z693" s="34"/>
      <c r="AA693" s="34"/>
      <c r="AB693" s="34"/>
      <c r="AC693" s="34"/>
      <c r="AD693" s="34"/>
      <c r="AE693" s="34"/>
      <c r="AF693" s="34"/>
      <c r="AG693" s="34"/>
      <c r="AH693" s="34"/>
      <c r="AI693" s="34"/>
      <c r="AJ693" s="34"/>
      <c r="AK693" s="34"/>
      <c r="AL693" s="34"/>
      <c r="AM693" s="34"/>
      <c r="AN693" s="34"/>
      <c r="AO693" s="34"/>
      <c r="AP693" s="34"/>
      <c r="AQ693" s="34"/>
      <c r="AR693" s="34"/>
      <c r="AS693" s="34"/>
      <c r="AT693" s="34"/>
      <c r="AU693" s="34"/>
      <c r="AV693" s="34"/>
      <c r="AW693" s="34"/>
      <c r="AX693" s="34"/>
      <c r="AY693" s="34"/>
      <c r="AZ693" s="34"/>
      <c r="BA693" s="34"/>
      <c r="BB693" s="34"/>
      <c r="BC693" s="34"/>
      <c r="BD693" s="34"/>
      <c r="BE693" s="34"/>
      <c r="BF693" s="34"/>
      <c r="BG693" s="34"/>
      <c r="BH693" s="34"/>
      <c r="BI693" s="34"/>
      <c r="BJ693" s="34"/>
      <c r="BK693" s="34"/>
      <c r="BL693" s="34"/>
      <c r="BM693" s="34"/>
      <c r="BN693" s="34"/>
      <c r="BO693" s="34"/>
      <c r="BP693" s="34"/>
      <c r="BQ693" s="34"/>
      <c r="BR693" s="34"/>
      <c r="BS693" s="34"/>
      <c r="BT693" s="34"/>
      <c r="BU693" s="34"/>
      <c r="BV693" s="34"/>
      <c r="BW693" s="34"/>
      <c r="BX693" s="34"/>
      <c r="BY693" s="34"/>
      <c r="BZ693" s="34"/>
      <c r="CA693" s="34"/>
      <c r="CB693" s="34"/>
      <c r="CC693" s="34"/>
      <c r="CD693" s="34"/>
      <c r="CE693" s="34"/>
      <c r="CF693" s="34"/>
      <c r="CG693" s="34"/>
      <c r="CH693" s="34"/>
      <c r="CI693" s="8"/>
    </row>
    <row r="694" spans="1:87" x14ac:dyDescent="0.2">
      <c r="A694" s="8" t="str">
        <f>IF(AND(COUNTIF(W$3:W$13,A$23)&gt;0,A$23&lt;&gt;B546),A$23,IFERROR(IF(MATCH(A$23,Z$3:Z$13,0)=7,A$23," ")," "))</f>
        <v>C9</v>
      </c>
      <c r="B694" s="8">
        <f>IF(A694=" "," ",MAX(B686:B693)+1)</f>
        <v>3</v>
      </c>
      <c r="C694" s="8" t="str">
        <f>IFERROR(INDEX(A686:A707,MATCH(SMALL(B686:B707,9),B686:B707,0),1)," ")</f>
        <v>C20</v>
      </c>
      <c r="D694" s="8">
        <f t="shared" si="2843"/>
        <v>0</v>
      </c>
      <c r="E694" s="8">
        <f t="shared" si="2844"/>
        <v>0</v>
      </c>
      <c r="F694" s="8">
        <f t="shared" si="2845"/>
        <v>0</v>
      </c>
      <c r="G694" s="8">
        <f t="shared" si="2846"/>
        <v>0</v>
      </c>
      <c r="H694" s="8">
        <f t="shared" si="2847"/>
        <v>0</v>
      </c>
      <c r="I694" s="8">
        <f t="shared" si="2848"/>
        <v>0</v>
      </c>
      <c r="J694" s="8">
        <f t="shared" si="2849"/>
        <v>0</v>
      </c>
      <c r="K694" s="8">
        <f t="shared" si="2850"/>
        <v>0</v>
      </c>
      <c r="L694" s="8">
        <f t="shared" si="2851"/>
        <v>1</v>
      </c>
      <c r="M694" s="8">
        <f t="shared" si="2852"/>
        <v>0</v>
      </c>
      <c r="N694" s="8">
        <f t="shared" si="2853"/>
        <v>0</v>
      </c>
      <c r="O694" s="8">
        <f t="shared" si="2854"/>
        <v>0</v>
      </c>
      <c r="P694" s="6" t="e">
        <v>#NUM!</v>
      </c>
      <c r="Q694" s="8" t="e">
        <f t="shared" ref="Q694" si="2884">IF(COUNTIF(P686:P696,"&lt;"&amp;-0.001)=0,IF(ABS(P694)&lt;0.001,0,P694)," ")</f>
        <v>#NUM!</v>
      </c>
      <c r="R694" s="8"/>
      <c r="S694" s="8"/>
      <c r="U694" s="34"/>
      <c r="V694" s="34"/>
      <c r="W694" s="34"/>
      <c r="X694" s="34"/>
      <c r="Y694" s="34"/>
      <c r="Z694" s="34"/>
      <c r="AA694" s="34"/>
      <c r="AB694" s="34"/>
      <c r="AC694" s="34"/>
      <c r="AD694" s="34"/>
      <c r="AE694" s="34"/>
      <c r="AF694" s="34"/>
      <c r="AG694" s="34"/>
      <c r="AH694" s="34"/>
      <c r="AI694" s="34"/>
      <c r="AJ694" s="34"/>
      <c r="AK694" s="34"/>
      <c r="AL694" s="34"/>
      <c r="AM694" s="34"/>
      <c r="AN694" s="34"/>
      <c r="AO694" s="34"/>
      <c r="AP694" s="34"/>
      <c r="AQ694" s="34"/>
      <c r="AR694" s="34"/>
      <c r="AS694" s="34"/>
      <c r="AT694" s="34"/>
      <c r="AU694" s="34"/>
      <c r="AV694" s="34"/>
      <c r="AW694" s="34"/>
      <c r="AX694" s="34"/>
      <c r="AY694" s="34"/>
      <c r="AZ694" s="34"/>
      <c r="BA694" s="34"/>
      <c r="BB694" s="34"/>
      <c r="BC694" s="34"/>
      <c r="BD694" s="34"/>
      <c r="BE694" s="34"/>
      <c r="BF694" s="34"/>
      <c r="BG694" s="34"/>
      <c r="BH694" s="34"/>
      <c r="BI694" s="34"/>
      <c r="BJ694" s="34"/>
      <c r="BK694" s="34"/>
      <c r="BL694" s="34"/>
      <c r="BM694" s="34"/>
      <c r="BN694" s="34"/>
      <c r="BO694" s="34"/>
      <c r="BP694" s="34"/>
      <c r="BQ694" s="34"/>
      <c r="BR694" s="34"/>
      <c r="BS694" s="34"/>
      <c r="BT694" s="34"/>
      <c r="BU694" s="34"/>
      <c r="BV694" s="34"/>
      <c r="BW694" s="34"/>
      <c r="BX694" s="34"/>
      <c r="BY694" s="34"/>
      <c r="BZ694" s="34"/>
      <c r="CA694" s="34"/>
      <c r="CB694" s="34"/>
      <c r="CC694" s="34"/>
      <c r="CD694" s="34"/>
      <c r="CE694" s="34"/>
      <c r="CF694" s="34"/>
      <c r="CG694" s="34"/>
      <c r="CH694" s="34"/>
      <c r="CI694" s="8"/>
    </row>
    <row r="695" spans="1:87" x14ac:dyDescent="0.2">
      <c r="A695" s="8" t="str">
        <f>IF(AND(COUNTIF(W$3:W$13,A$24)&gt;0,A$24&lt;&gt;B546),A$24,IFERROR(IF(MATCH(A$24,Z$3:Z$13,0)=7,A$24," ")," "))</f>
        <v xml:space="preserve"> </v>
      </c>
      <c r="B695" s="8" t="str">
        <f>IF(A695=" "," ",MAX(B686:B694)+1)</f>
        <v xml:space="preserve"> </v>
      </c>
      <c r="C695" s="8" t="str">
        <f>IFERROR(INDEX(A686:A707,MATCH(SMALL(B686:B707,10),B686:B707,0),1)," ")</f>
        <v>C21</v>
      </c>
      <c r="D695" s="8">
        <f t="shared" si="2843"/>
        <v>0</v>
      </c>
      <c r="E695" s="8">
        <f t="shared" si="2844"/>
        <v>0</v>
      </c>
      <c r="F695" s="8">
        <f t="shared" si="2845"/>
        <v>0</v>
      </c>
      <c r="G695" s="8">
        <f t="shared" si="2846"/>
        <v>0</v>
      </c>
      <c r="H695" s="8">
        <f t="shared" si="2847"/>
        <v>0</v>
      </c>
      <c r="I695" s="8">
        <f t="shared" si="2848"/>
        <v>0</v>
      </c>
      <c r="J695" s="8">
        <f t="shared" si="2849"/>
        <v>0</v>
      </c>
      <c r="K695" s="8">
        <f t="shared" si="2850"/>
        <v>0</v>
      </c>
      <c r="L695" s="8">
        <f t="shared" si="2851"/>
        <v>0</v>
      </c>
      <c r="M695" s="8">
        <f t="shared" si="2852"/>
        <v>1</v>
      </c>
      <c r="N695" s="8">
        <f t="shared" si="2853"/>
        <v>0</v>
      </c>
      <c r="O695" s="8">
        <f t="shared" si="2854"/>
        <v>0</v>
      </c>
      <c r="P695" s="8" t="e">
        <v>#NUM!</v>
      </c>
      <c r="Q695" s="8" t="e">
        <f t="shared" ref="Q695" si="2885">IF(COUNTIF(P686:P696,"&lt;"&amp;-0.001)=0,IF(ABS(P695)&lt;0.001,0,P695)," ")</f>
        <v>#NUM!</v>
      </c>
      <c r="R695" s="8"/>
      <c r="S695" s="8"/>
      <c r="U695" s="34"/>
      <c r="V695" s="34"/>
      <c r="W695" s="34"/>
      <c r="X695" s="34"/>
      <c r="Y695" s="34"/>
      <c r="Z695" s="34"/>
      <c r="AA695" s="34"/>
      <c r="AB695" s="34"/>
      <c r="AC695" s="34"/>
      <c r="AD695" s="34"/>
      <c r="AE695" s="34"/>
      <c r="AF695" s="34"/>
      <c r="AG695" s="34"/>
      <c r="AH695" s="34"/>
      <c r="AI695" s="34"/>
      <c r="AJ695" s="34"/>
      <c r="AK695" s="34"/>
      <c r="AL695" s="34"/>
      <c r="AM695" s="34"/>
      <c r="AN695" s="34"/>
      <c r="AO695" s="34"/>
      <c r="AP695" s="34"/>
      <c r="AQ695" s="34"/>
      <c r="AR695" s="34"/>
      <c r="AS695" s="34"/>
      <c r="AT695" s="34"/>
      <c r="AU695" s="34"/>
      <c r="AV695" s="34"/>
      <c r="AW695" s="34"/>
      <c r="AX695" s="34"/>
      <c r="AY695" s="34"/>
      <c r="AZ695" s="34"/>
      <c r="BA695" s="34"/>
      <c r="BB695" s="34"/>
      <c r="BC695" s="34"/>
      <c r="BD695" s="34"/>
      <c r="BE695" s="34"/>
      <c r="BF695" s="34"/>
      <c r="BG695" s="34"/>
      <c r="BH695" s="34"/>
      <c r="BI695" s="34"/>
      <c r="BJ695" s="34"/>
      <c r="BK695" s="34"/>
      <c r="BL695" s="34"/>
      <c r="BM695" s="34"/>
      <c r="BN695" s="34"/>
      <c r="BO695" s="34"/>
      <c r="BP695" s="34"/>
      <c r="BQ695" s="34"/>
      <c r="BR695" s="34"/>
      <c r="BS695" s="34"/>
      <c r="BT695" s="34"/>
      <c r="BU695" s="34"/>
      <c r="BV695" s="34"/>
      <c r="BW695" s="34"/>
      <c r="BX695" s="34"/>
      <c r="BY695" s="34"/>
      <c r="BZ695" s="34"/>
      <c r="CA695" s="34"/>
      <c r="CB695" s="34"/>
      <c r="CC695" s="34"/>
      <c r="CD695" s="34"/>
      <c r="CE695" s="34"/>
      <c r="CF695" s="34"/>
      <c r="CG695" s="34"/>
      <c r="CH695" s="34"/>
      <c r="CI695" s="8"/>
    </row>
    <row r="696" spans="1:87" x14ac:dyDescent="0.2">
      <c r="A696" s="8" t="str">
        <f>IF(AND(COUNTIF(W$3:W$13,A$25)&gt;0,A$25&lt;&gt;B546),A$25,IFERROR(IF(MATCH(A$25,Z$3:Z$13,0)=7,A$25," ")," "))</f>
        <v xml:space="preserve"> </v>
      </c>
      <c r="B696" s="8" t="str">
        <f>IF(A696=" "," ",MAX(B686:B695)+1)</f>
        <v xml:space="preserve"> </v>
      </c>
      <c r="C696" s="8" t="str">
        <f>IFERROR(INDEX(A686:A707,MATCH(SMALL(B686:B707,11),B686:B707,0),1)," ")</f>
        <v>C22</v>
      </c>
      <c r="D696" s="8">
        <f t="shared" si="2843"/>
        <v>0</v>
      </c>
      <c r="E696" s="8">
        <f t="shared" si="2844"/>
        <v>0</v>
      </c>
      <c r="F696" s="8">
        <f t="shared" si="2845"/>
        <v>0</v>
      </c>
      <c r="G696" s="8">
        <f t="shared" si="2846"/>
        <v>0</v>
      </c>
      <c r="H696" s="8">
        <f t="shared" si="2847"/>
        <v>0</v>
      </c>
      <c r="I696" s="8">
        <f t="shared" si="2848"/>
        <v>0</v>
      </c>
      <c r="J696" s="8">
        <f t="shared" si="2849"/>
        <v>0</v>
      </c>
      <c r="K696" s="8">
        <f t="shared" si="2850"/>
        <v>0</v>
      </c>
      <c r="L696" s="8">
        <f t="shared" si="2851"/>
        <v>0</v>
      </c>
      <c r="M696" s="8">
        <f t="shared" si="2852"/>
        <v>0</v>
      </c>
      <c r="N696" s="8">
        <f t="shared" si="2853"/>
        <v>1</v>
      </c>
      <c r="O696" s="8">
        <f t="shared" si="2854"/>
        <v>0</v>
      </c>
      <c r="P696" s="8" t="e">
        <v>#NUM!</v>
      </c>
      <c r="Q696" s="8" t="e">
        <f t="shared" ref="Q696" si="2886">IF(COUNTIF(P686:P696,"&lt;"&amp;-0.001)=0,IF(ABS(P696)&lt;0.001,0,P696)," ")</f>
        <v>#NUM!</v>
      </c>
      <c r="R696" s="8"/>
      <c r="S696" s="8"/>
      <c r="U696" s="34"/>
      <c r="V696" s="34"/>
      <c r="W696" s="34"/>
      <c r="X696" s="34"/>
      <c r="Y696" s="34"/>
      <c r="Z696" s="34"/>
      <c r="AA696" s="34"/>
      <c r="AB696" s="34"/>
      <c r="AC696" s="34"/>
      <c r="AD696" s="34"/>
      <c r="AE696" s="34"/>
      <c r="AF696" s="34"/>
      <c r="AG696" s="34"/>
      <c r="AH696" s="34"/>
      <c r="AI696" s="34"/>
      <c r="AJ696" s="34"/>
      <c r="AK696" s="34"/>
      <c r="AL696" s="34"/>
      <c r="AM696" s="34"/>
      <c r="AN696" s="34"/>
      <c r="AO696" s="34"/>
      <c r="AP696" s="34"/>
      <c r="AQ696" s="34"/>
      <c r="AR696" s="34"/>
      <c r="AS696" s="34"/>
      <c r="AT696" s="34"/>
      <c r="AU696" s="34"/>
      <c r="AV696" s="34"/>
      <c r="AW696" s="34"/>
      <c r="AX696" s="34"/>
      <c r="AY696" s="34"/>
      <c r="AZ696" s="34"/>
      <c r="BA696" s="34"/>
      <c r="BB696" s="34"/>
      <c r="BC696" s="34"/>
      <c r="BD696" s="34"/>
      <c r="BE696" s="34"/>
      <c r="BF696" s="34"/>
      <c r="BG696" s="34"/>
      <c r="BH696" s="34"/>
      <c r="BI696" s="34"/>
      <c r="BJ696" s="34"/>
      <c r="BK696" s="34"/>
      <c r="BL696" s="34"/>
      <c r="BM696" s="34"/>
      <c r="BN696" s="34"/>
      <c r="BO696" s="34"/>
      <c r="BP696" s="34"/>
      <c r="BQ696" s="34"/>
      <c r="BR696" s="34"/>
      <c r="BS696" s="34"/>
      <c r="BT696" s="34"/>
      <c r="BU696" s="34"/>
      <c r="BV696" s="34"/>
      <c r="BW696" s="34"/>
      <c r="BX696" s="34"/>
      <c r="BY696" s="34"/>
      <c r="BZ696" s="34"/>
      <c r="CA696" s="34"/>
      <c r="CB696" s="34"/>
      <c r="CC696" s="34"/>
      <c r="CD696" s="34"/>
      <c r="CE696" s="34"/>
      <c r="CF696" s="34"/>
      <c r="CG696" s="34"/>
      <c r="CH696" s="34"/>
      <c r="CI696" s="8"/>
    </row>
    <row r="697" spans="1:87" x14ac:dyDescent="0.2">
      <c r="A697" s="8" t="str">
        <f>IF(AND(COUNTIF(W$3:W$13,A$26)&gt;0,A$26&lt;&gt;B546),A$26,IFERROR(IF(MATCH(A$26,Z$3:Z$13,0)=7,A$26," ")," "))</f>
        <v xml:space="preserve"> </v>
      </c>
      <c r="B697" s="8" t="str">
        <f>IF(A697=" "," ",MAX(B686:B696)+1)</f>
        <v xml:space="preserve"> </v>
      </c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U697" s="34"/>
      <c r="V697" s="34"/>
      <c r="W697" s="34"/>
      <c r="X697" s="34"/>
      <c r="Y697" s="34"/>
      <c r="Z697" s="34"/>
      <c r="AA697" s="34"/>
      <c r="AB697" s="34"/>
      <c r="AC697" s="34"/>
      <c r="AD697" s="34"/>
      <c r="AE697" s="34"/>
      <c r="AF697" s="34"/>
      <c r="AG697" s="34"/>
      <c r="AH697" s="34"/>
      <c r="AI697" s="34"/>
      <c r="AJ697" s="34"/>
      <c r="AK697" s="34"/>
      <c r="AL697" s="34"/>
      <c r="AM697" s="34"/>
      <c r="AN697" s="34"/>
      <c r="AO697" s="34"/>
      <c r="AP697" s="34"/>
      <c r="AQ697" s="34"/>
      <c r="AR697" s="34"/>
      <c r="AS697" s="34"/>
      <c r="AT697" s="34"/>
      <c r="AU697" s="34"/>
      <c r="AV697" s="34"/>
      <c r="AW697" s="34"/>
      <c r="AX697" s="34"/>
      <c r="AY697" s="34"/>
      <c r="AZ697" s="34"/>
      <c r="BA697" s="34"/>
      <c r="BB697" s="34"/>
      <c r="BC697" s="34"/>
      <c r="BD697" s="34"/>
      <c r="BE697" s="34"/>
      <c r="BF697" s="34"/>
      <c r="BG697" s="34"/>
      <c r="BH697" s="34"/>
      <c r="BI697" s="34"/>
      <c r="BJ697" s="34"/>
      <c r="BK697" s="34"/>
      <c r="BL697" s="34"/>
      <c r="BM697" s="34"/>
      <c r="BN697" s="34"/>
      <c r="BO697" s="34"/>
      <c r="BP697" s="34"/>
      <c r="BQ697" s="34"/>
      <c r="BR697" s="34"/>
      <c r="BS697" s="34"/>
      <c r="BT697" s="34"/>
      <c r="BU697" s="34"/>
      <c r="BV697" s="34"/>
      <c r="BW697" s="34"/>
      <c r="BX697" s="34"/>
      <c r="BY697" s="34"/>
      <c r="BZ697" s="34"/>
      <c r="CA697" s="34"/>
      <c r="CB697" s="34"/>
      <c r="CC697" s="34"/>
      <c r="CD697" s="34"/>
      <c r="CE697" s="34"/>
      <c r="CF697" s="34"/>
      <c r="CG697" s="34"/>
      <c r="CH697" s="34"/>
      <c r="CI697" s="8"/>
    </row>
    <row r="698" spans="1:87" x14ac:dyDescent="0.2">
      <c r="A698" s="8" t="str">
        <f>IF(AND(COUNTIF(W$3:W$13,A$27)&gt;0,A$27&lt;&gt;B546),A$27,IFERROR(IF(MATCH(A$27,Z$3:Z$13,0)=7,A$27," ")," "))</f>
        <v xml:space="preserve"> </v>
      </c>
      <c r="B698" s="8" t="str">
        <f>IF(A698=" "," ",MAX(B686:B697)+1)</f>
        <v xml:space="preserve"> </v>
      </c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U698" s="34"/>
      <c r="V698" s="34"/>
      <c r="W698" s="34"/>
      <c r="X698" s="34"/>
      <c r="Y698" s="34"/>
      <c r="Z698" s="34"/>
      <c r="AA698" s="34"/>
      <c r="AB698" s="34"/>
      <c r="AC698" s="34"/>
      <c r="AD698" s="34"/>
      <c r="AE698" s="34"/>
      <c r="AF698" s="34"/>
      <c r="AG698" s="34"/>
      <c r="AH698" s="34"/>
      <c r="AI698" s="34"/>
      <c r="AJ698" s="34"/>
      <c r="AK698" s="34"/>
      <c r="AL698" s="34"/>
      <c r="AM698" s="34"/>
      <c r="AN698" s="34"/>
      <c r="AO698" s="34"/>
      <c r="AP698" s="34"/>
      <c r="AQ698" s="34"/>
      <c r="AR698" s="34"/>
      <c r="AS698" s="34"/>
      <c r="AT698" s="34"/>
      <c r="AU698" s="34"/>
      <c r="AV698" s="34"/>
      <c r="AW698" s="34"/>
      <c r="AX698" s="34"/>
      <c r="AY698" s="34"/>
      <c r="AZ698" s="34"/>
      <c r="BA698" s="34"/>
      <c r="BB698" s="34"/>
      <c r="BC698" s="34"/>
      <c r="BD698" s="34"/>
      <c r="BE698" s="34"/>
      <c r="BF698" s="34"/>
      <c r="BG698" s="34"/>
      <c r="BH698" s="34"/>
      <c r="BI698" s="34"/>
      <c r="BJ698" s="34"/>
      <c r="BK698" s="34"/>
      <c r="BL698" s="34"/>
      <c r="BM698" s="34"/>
      <c r="BN698" s="34"/>
      <c r="BO698" s="34"/>
      <c r="BP698" s="34"/>
      <c r="BQ698" s="34"/>
      <c r="BR698" s="34"/>
      <c r="BS698" s="34"/>
      <c r="BT698" s="34"/>
      <c r="BU698" s="34"/>
      <c r="BV698" s="34"/>
      <c r="BW698" s="34"/>
      <c r="BX698" s="34"/>
      <c r="BY698" s="34"/>
      <c r="BZ698" s="34"/>
      <c r="CA698" s="34"/>
      <c r="CB698" s="34"/>
      <c r="CC698" s="34"/>
      <c r="CD698" s="34"/>
      <c r="CE698" s="34"/>
      <c r="CF698" s="34"/>
      <c r="CG698" s="34"/>
      <c r="CH698" s="34"/>
      <c r="CI698" s="8"/>
    </row>
    <row r="699" spans="1:87" x14ac:dyDescent="0.2">
      <c r="A699" s="8" t="str">
        <f>IF(AND(COUNTIF(W$3:W$13,A$28)&gt;0,A$28&lt;&gt;B546),A$28,IFERROR(IF(MATCH(A$28,Z$3:Z$13,0)=7,A$28," ")," "))</f>
        <v xml:space="preserve"> </v>
      </c>
      <c r="B699" s="8" t="str">
        <f>IF(A699=" "," ",MAX(B686:B698)+1)</f>
        <v xml:space="preserve"> </v>
      </c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U699" s="34"/>
      <c r="V699" s="34"/>
      <c r="W699" s="34"/>
      <c r="X699" s="34"/>
      <c r="Y699" s="34"/>
      <c r="Z699" s="34"/>
      <c r="AA699" s="34"/>
      <c r="AB699" s="34"/>
      <c r="AC699" s="34"/>
      <c r="AD699" s="34"/>
      <c r="AE699" s="34"/>
      <c r="AF699" s="34"/>
      <c r="AG699" s="34"/>
      <c r="AH699" s="34"/>
      <c r="AI699" s="34"/>
      <c r="AJ699" s="34"/>
      <c r="AK699" s="34"/>
      <c r="AL699" s="34"/>
      <c r="AM699" s="34"/>
      <c r="AN699" s="34"/>
      <c r="AO699" s="34"/>
      <c r="AP699" s="34"/>
      <c r="AQ699" s="34"/>
      <c r="AR699" s="34"/>
      <c r="AS699" s="34"/>
      <c r="AT699" s="34"/>
      <c r="AU699" s="34"/>
      <c r="AV699" s="34"/>
      <c r="AW699" s="34"/>
      <c r="AX699" s="34"/>
      <c r="AY699" s="34"/>
      <c r="AZ699" s="34"/>
      <c r="BA699" s="34"/>
      <c r="BB699" s="34"/>
      <c r="BC699" s="34"/>
      <c r="BD699" s="34"/>
      <c r="BE699" s="34"/>
      <c r="BF699" s="34"/>
      <c r="BG699" s="34"/>
      <c r="BH699" s="34"/>
      <c r="BI699" s="34"/>
      <c r="BJ699" s="34"/>
      <c r="BK699" s="34"/>
      <c r="BL699" s="34"/>
      <c r="BM699" s="34"/>
      <c r="BN699" s="34"/>
      <c r="BO699" s="34"/>
      <c r="BP699" s="34"/>
      <c r="BQ699" s="34"/>
      <c r="BR699" s="34"/>
      <c r="BS699" s="34"/>
      <c r="BT699" s="34"/>
      <c r="BU699" s="34"/>
      <c r="BV699" s="34"/>
      <c r="BW699" s="34"/>
      <c r="BX699" s="34"/>
      <c r="BY699" s="34"/>
      <c r="BZ699" s="34"/>
      <c r="CA699" s="34"/>
      <c r="CB699" s="34"/>
      <c r="CC699" s="34"/>
      <c r="CD699" s="34"/>
      <c r="CE699" s="34"/>
      <c r="CF699" s="34"/>
      <c r="CG699" s="34"/>
      <c r="CH699" s="34"/>
      <c r="CI699" s="8"/>
    </row>
    <row r="700" spans="1:87" x14ac:dyDescent="0.2">
      <c r="A700" s="8" t="str">
        <f>IF(AND(COUNTIF(W$3:W$13,A$29)&gt;0,A$29&lt;&gt;B546),A$29,IFERROR(IF(MATCH(A$29,Z$3:Z$13,0)=7,A$29," ")," "))</f>
        <v>C15</v>
      </c>
      <c r="B700" s="8">
        <f>IF(A700=" "," ",MAX(B686:B699)+1)</f>
        <v>4</v>
      </c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U700" s="34"/>
      <c r="V700" s="34"/>
      <c r="W700" s="34"/>
      <c r="X700" s="34"/>
      <c r="Y700" s="34"/>
      <c r="Z700" s="34"/>
      <c r="AA700" s="34"/>
      <c r="AB700" s="34"/>
      <c r="AC700" s="34"/>
      <c r="AD700" s="34"/>
      <c r="AE700" s="34"/>
      <c r="AF700" s="34"/>
      <c r="AG700" s="34"/>
      <c r="AH700" s="34"/>
      <c r="AI700" s="34"/>
      <c r="AJ700" s="34"/>
      <c r="AK700" s="34"/>
      <c r="AL700" s="34"/>
      <c r="AM700" s="34"/>
      <c r="AN700" s="34"/>
      <c r="AO700" s="34"/>
      <c r="AP700" s="34"/>
      <c r="AQ700" s="34"/>
      <c r="AR700" s="34"/>
      <c r="AS700" s="34"/>
      <c r="AT700" s="34"/>
      <c r="AU700" s="34"/>
      <c r="AV700" s="34"/>
      <c r="AW700" s="34"/>
      <c r="AX700" s="34"/>
      <c r="AY700" s="34"/>
      <c r="AZ700" s="34"/>
      <c r="BA700" s="34"/>
      <c r="BB700" s="34"/>
      <c r="BC700" s="34"/>
      <c r="BD700" s="34"/>
      <c r="BE700" s="34"/>
      <c r="BF700" s="34"/>
      <c r="BG700" s="34"/>
      <c r="BH700" s="34"/>
      <c r="BI700" s="34"/>
      <c r="BJ700" s="34"/>
      <c r="BK700" s="34"/>
      <c r="BL700" s="34"/>
      <c r="BM700" s="34"/>
      <c r="BN700" s="34"/>
      <c r="BO700" s="34"/>
      <c r="BP700" s="34"/>
      <c r="BQ700" s="34"/>
      <c r="BR700" s="34"/>
      <c r="BS700" s="34"/>
      <c r="BT700" s="34"/>
      <c r="BU700" s="34"/>
      <c r="BV700" s="34"/>
      <c r="BW700" s="34"/>
      <c r="BX700" s="34"/>
      <c r="BY700" s="34"/>
      <c r="BZ700" s="34"/>
      <c r="CA700" s="34"/>
      <c r="CB700" s="34"/>
      <c r="CC700" s="34"/>
      <c r="CD700" s="34"/>
      <c r="CE700" s="34"/>
      <c r="CF700" s="34"/>
      <c r="CG700" s="34"/>
      <c r="CH700" s="34"/>
      <c r="CI700" s="8"/>
    </row>
    <row r="701" spans="1:87" x14ac:dyDescent="0.2">
      <c r="A701" s="8" t="str">
        <f>IF(AND(COUNTIF(W$3:W$13,A$30)&gt;0,A$30&lt;&gt;B546),A$30,IFERROR(IF(MATCH(A$30,Z$3:Z$13,0)=7,A$30," ")," "))</f>
        <v>C16</v>
      </c>
      <c r="B701" s="8">
        <f>IF(A701=" "," ",MAX(B686:B700)+1)</f>
        <v>5</v>
      </c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U701" s="34"/>
      <c r="V701" s="34"/>
      <c r="W701" s="34"/>
      <c r="X701" s="34"/>
      <c r="Y701" s="34"/>
      <c r="Z701" s="34"/>
      <c r="AA701" s="34"/>
      <c r="AB701" s="34"/>
      <c r="AC701" s="34"/>
      <c r="AD701" s="34"/>
      <c r="AE701" s="34"/>
      <c r="AF701" s="34"/>
      <c r="AG701" s="34"/>
      <c r="AH701" s="34"/>
      <c r="AI701" s="34"/>
      <c r="AJ701" s="34"/>
      <c r="AK701" s="34"/>
      <c r="AL701" s="34"/>
      <c r="AM701" s="34"/>
      <c r="AN701" s="34"/>
      <c r="AO701" s="34"/>
      <c r="AP701" s="34"/>
      <c r="AQ701" s="34"/>
      <c r="AR701" s="34"/>
      <c r="AS701" s="34"/>
      <c r="AT701" s="34"/>
      <c r="AU701" s="34"/>
      <c r="AV701" s="34"/>
      <c r="AW701" s="34"/>
      <c r="AX701" s="34"/>
      <c r="AY701" s="34"/>
      <c r="AZ701" s="34"/>
      <c r="BA701" s="34"/>
      <c r="BB701" s="34"/>
      <c r="BC701" s="34"/>
      <c r="BD701" s="34"/>
      <c r="BE701" s="34"/>
      <c r="BF701" s="34"/>
      <c r="BG701" s="34"/>
      <c r="BH701" s="34"/>
      <c r="BI701" s="34"/>
      <c r="BJ701" s="34"/>
      <c r="BK701" s="34"/>
      <c r="BL701" s="34"/>
      <c r="BM701" s="34"/>
      <c r="BN701" s="34"/>
      <c r="BO701" s="34"/>
      <c r="BP701" s="34"/>
      <c r="BQ701" s="34"/>
      <c r="BR701" s="34"/>
      <c r="BS701" s="34"/>
      <c r="BT701" s="34"/>
      <c r="BU701" s="34"/>
      <c r="BV701" s="34"/>
      <c r="BW701" s="34"/>
      <c r="BX701" s="34"/>
      <c r="BY701" s="34"/>
      <c r="BZ701" s="34"/>
      <c r="CA701" s="34"/>
      <c r="CB701" s="34"/>
      <c r="CC701" s="34"/>
      <c r="CD701" s="34"/>
      <c r="CE701" s="34"/>
      <c r="CF701" s="34"/>
      <c r="CG701" s="34"/>
      <c r="CH701" s="34"/>
      <c r="CI701" s="8"/>
    </row>
    <row r="702" spans="1:87" x14ac:dyDescent="0.2">
      <c r="A702" s="8" t="str">
        <f>IF(AND(COUNTIF(W$3:W$13,A$31)&gt;0,A$31&lt;&gt;B546),A$31,IFERROR(IF(MATCH(A$31,Z$3:Z$13,0)=7,A$31," ")," "))</f>
        <v>C17</v>
      </c>
      <c r="B702" s="8">
        <f>IF(A702=" "," ",MAX(B686:B701)+1)</f>
        <v>6</v>
      </c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U702" s="34"/>
      <c r="V702" s="34"/>
      <c r="W702" s="34"/>
      <c r="X702" s="34"/>
      <c r="Y702" s="34"/>
      <c r="Z702" s="34"/>
      <c r="AA702" s="34"/>
      <c r="AB702" s="34"/>
      <c r="AC702" s="34"/>
      <c r="AD702" s="34"/>
      <c r="AE702" s="34"/>
      <c r="AF702" s="34"/>
      <c r="AG702" s="34"/>
      <c r="AH702" s="34"/>
      <c r="AI702" s="34"/>
      <c r="AJ702" s="34"/>
      <c r="AK702" s="34"/>
      <c r="AL702" s="34"/>
      <c r="AM702" s="34"/>
      <c r="AN702" s="34"/>
      <c r="AO702" s="34"/>
      <c r="AP702" s="34"/>
      <c r="AQ702" s="34"/>
      <c r="AR702" s="34"/>
      <c r="AS702" s="34"/>
      <c r="AT702" s="34"/>
      <c r="AU702" s="34"/>
      <c r="AV702" s="34"/>
      <c r="AW702" s="34"/>
      <c r="AX702" s="34"/>
      <c r="AY702" s="34"/>
      <c r="AZ702" s="34"/>
      <c r="BA702" s="34"/>
      <c r="BB702" s="34"/>
      <c r="BC702" s="34"/>
      <c r="BD702" s="34"/>
      <c r="BE702" s="34"/>
      <c r="BF702" s="34"/>
      <c r="BG702" s="34"/>
      <c r="BH702" s="34"/>
      <c r="BI702" s="34"/>
      <c r="BJ702" s="34"/>
      <c r="BK702" s="34"/>
      <c r="BL702" s="34"/>
      <c r="BM702" s="34"/>
      <c r="BN702" s="34"/>
      <c r="BO702" s="34"/>
      <c r="BP702" s="34"/>
      <c r="BQ702" s="34"/>
      <c r="BR702" s="34"/>
      <c r="BS702" s="34"/>
      <c r="BT702" s="34"/>
      <c r="BU702" s="34"/>
      <c r="BV702" s="34"/>
      <c r="BW702" s="34"/>
      <c r="BX702" s="34"/>
      <c r="BY702" s="34"/>
      <c r="BZ702" s="34"/>
      <c r="CA702" s="34"/>
      <c r="CB702" s="34"/>
      <c r="CC702" s="34"/>
      <c r="CD702" s="34"/>
      <c r="CE702" s="34"/>
      <c r="CF702" s="34"/>
      <c r="CG702" s="34"/>
      <c r="CH702" s="34"/>
      <c r="CI702" s="8"/>
    </row>
    <row r="703" spans="1:87" x14ac:dyDescent="0.2">
      <c r="A703" s="8" t="str">
        <f>IF(AND(COUNTIF(W$3:W$13,A$32)&gt;0,A$32&lt;&gt;B546),A$32,IFERROR(IF(MATCH(A$32,Z$3:Z$13,0)=7,A$32," ")," "))</f>
        <v>C18</v>
      </c>
      <c r="B703" s="8">
        <f>IF(A703=" "," ",MAX(B686:B702)+1)</f>
        <v>7</v>
      </c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U703" s="34"/>
      <c r="V703" s="34"/>
      <c r="W703" s="34"/>
      <c r="X703" s="34"/>
      <c r="Y703" s="34"/>
      <c r="Z703" s="34"/>
      <c r="AA703" s="34"/>
      <c r="AB703" s="34"/>
      <c r="AC703" s="34"/>
      <c r="AD703" s="34"/>
      <c r="AE703" s="34"/>
      <c r="AF703" s="34"/>
      <c r="AG703" s="34"/>
      <c r="AH703" s="34"/>
      <c r="AI703" s="34"/>
      <c r="AJ703" s="34"/>
      <c r="AK703" s="34"/>
      <c r="AL703" s="34"/>
      <c r="AM703" s="34"/>
      <c r="AN703" s="34"/>
      <c r="AO703" s="34"/>
      <c r="AP703" s="34"/>
      <c r="AQ703" s="34"/>
      <c r="AR703" s="34"/>
      <c r="AS703" s="34"/>
      <c r="AT703" s="34"/>
      <c r="AU703" s="34"/>
      <c r="AV703" s="34"/>
      <c r="AW703" s="34"/>
      <c r="AX703" s="34"/>
      <c r="AY703" s="34"/>
      <c r="AZ703" s="34"/>
      <c r="BA703" s="34"/>
      <c r="BB703" s="34"/>
      <c r="BC703" s="34"/>
      <c r="BD703" s="34"/>
      <c r="BE703" s="34"/>
      <c r="BF703" s="34"/>
      <c r="BG703" s="34"/>
      <c r="BH703" s="34"/>
      <c r="BI703" s="34"/>
      <c r="BJ703" s="34"/>
      <c r="BK703" s="34"/>
      <c r="BL703" s="34"/>
      <c r="BM703" s="34"/>
      <c r="BN703" s="34"/>
      <c r="BO703" s="34"/>
      <c r="BP703" s="34"/>
      <c r="BQ703" s="34"/>
      <c r="BR703" s="34"/>
      <c r="BS703" s="34"/>
      <c r="BT703" s="34"/>
      <c r="BU703" s="34"/>
      <c r="BV703" s="34"/>
      <c r="BW703" s="34"/>
      <c r="BX703" s="34"/>
      <c r="BY703" s="34"/>
      <c r="BZ703" s="34"/>
      <c r="CA703" s="34"/>
      <c r="CB703" s="34"/>
      <c r="CC703" s="34"/>
      <c r="CD703" s="34"/>
      <c r="CE703" s="34"/>
      <c r="CF703" s="34"/>
      <c r="CG703" s="34"/>
      <c r="CH703" s="34"/>
      <c r="CI703" s="8"/>
    </row>
    <row r="704" spans="1:87" x14ac:dyDescent="0.2">
      <c r="A704" s="8" t="str">
        <f>IF(AND(COUNTIF(W$3:W$13,A$33)&gt;0,A$33&lt;&gt;B546),A$33,IFERROR(IF(MATCH(A$33,Z$3:Z$13,0)=7,A$33," ")," "))</f>
        <v>C19</v>
      </c>
      <c r="B704" s="8">
        <f>IF(A704=" "," ",MAX(B686:B703)+1)</f>
        <v>8</v>
      </c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U704" s="34"/>
      <c r="V704" s="34"/>
      <c r="W704" s="34"/>
      <c r="X704" s="34"/>
      <c r="Y704" s="34"/>
      <c r="Z704" s="34"/>
      <c r="AA704" s="34"/>
      <c r="AB704" s="34"/>
      <c r="AC704" s="34"/>
      <c r="AD704" s="34"/>
      <c r="AE704" s="34"/>
      <c r="AF704" s="34"/>
      <c r="AG704" s="34"/>
      <c r="AH704" s="34"/>
      <c r="AI704" s="34"/>
      <c r="AJ704" s="34"/>
      <c r="AK704" s="34"/>
      <c r="AL704" s="34"/>
      <c r="AM704" s="34"/>
      <c r="AN704" s="34"/>
      <c r="AO704" s="34"/>
      <c r="AP704" s="34"/>
      <c r="AQ704" s="34"/>
      <c r="AR704" s="34"/>
      <c r="AS704" s="34"/>
      <c r="AT704" s="34"/>
      <c r="AU704" s="34"/>
      <c r="AV704" s="34"/>
      <c r="AW704" s="34"/>
      <c r="AX704" s="34"/>
      <c r="AY704" s="34"/>
      <c r="AZ704" s="34"/>
      <c r="BA704" s="34"/>
      <c r="BB704" s="34"/>
      <c r="BC704" s="34"/>
      <c r="BD704" s="34"/>
      <c r="BE704" s="34"/>
      <c r="BF704" s="34"/>
      <c r="BG704" s="34"/>
      <c r="BH704" s="34"/>
      <c r="BI704" s="34"/>
      <c r="BJ704" s="34"/>
      <c r="BK704" s="34"/>
      <c r="BL704" s="34"/>
      <c r="BM704" s="34"/>
      <c r="BN704" s="34"/>
      <c r="BO704" s="34"/>
      <c r="BP704" s="34"/>
      <c r="BQ704" s="34"/>
      <c r="BR704" s="34"/>
      <c r="BS704" s="34"/>
      <c r="BT704" s="34"/>
      <c r="BU704" s="34"/>
      <c r="BV704" s="34"/>
      <c r="BW704" s="34"/>
      <c r="BX704" s="34"/>
      <c r="BY704" s="34"/>
      <c r="BZ704" s="34"/>
      <c r="CA704" s="34"/>
      <c r="CB704" s="34"/>
      <c r="CC704" s="34"/>
      <c r="CD704" s="34"/>
      <c r="CE704" s="34"/>
      <c r="CF704" s="34"/>
      <c r="CG704" s="34"/>
      <c r="CH704" s="34"/>
      <c r="CI704" s="8"/>
    </row>
    <row r="705" spans="1:87" x14ac:dyDescent="0.2">
      <c r="A705" s="8" t="str">
        <f>IF(AND(COUNTIF(W$3:W$13,A$34)&gt;0,A$34&lt;&gt;B546),A$34,IFERROR(IF(MATCH(A$34,Z$3:Z$13,0)=7,A$34," ")," "))</f>
        <v>C20</v>
      </c>
      <c r="B705" s="8">
        <f>IF(A705=" "," ",MAX(B686:B704)+1)</f>
        <v>9</v>
      </c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U705" s="34"/>
      <c r="V705" s="34"/>
      <c r="W705" s="34"/>
      <c r="X705" s="34"/>
      <c r="Y705" s="34"/>
      <c r="Z705" s="34"/>
      <c r="AA705" s="34"/>
      <c r="AB705" s="34"/>
      <c r="AC705" s="34"/>
      <c r="AD705" s="34"/>
      <c r="AE705" s="34"/>
      <c r="AF705" s="34"/>
      <c r="AG705" s="34"/>
      <c r="AH705" s="34"/>
      <c r="AI705" s="34"/>
      <c r="AJ705" s="34"/>
      <c r="AK705" s="34"/>
      <c r="AL705" s="34"/>
      <c r="AM705" s="34"/>
      <c r="AN705" s="34"/>
      <c r="AO705" s="34"/>
      <c r="AP705" s="34"/>
      <c r="AQ705" s="34"/>
      <c r="AR705" s="34"/>
      <c r="AS705" s="34"/>
      <c r="AT705" s="34"/>
      <c r="AU705" s="34"/>
      <c r="AV705" s="34"/>
      <c r="AW705" s="34"/>
      <c r="AX705" s="34"/>
      <c r="AY705" s="34"/>
      <c r="AZ705" s="34"/>
      <c r="BA705" s="34"/>
      <c r="BB705" s="34"/>
      <c r="BC705" s="34"/>
      <c r="BD705" s="34"/>
      <c r="BE705" s="34"/>
      <c r="BF705" s="34"/>
      <c r="BG705" s="34"/>
      <c r="BH705" s="34"/>
      <c r="BI705" s="34"/>
      <c r="BJ705" s="34"/>
      <c r="BK705" s="34"/>
      <c r="BL705" s="34"/>
      <c r="BM705" s="34"/>
      <c r="BN705" s="34"/>
      <c r="BO705" s="34"/>
      <c r="BP705" s="34"/>
      <c r="BQ705" s="34"/>
      <c r="BR705" s="34"/>
      <c r="BS705" s="34"/>
      <c r="BT705" s="34"/>
      <c r="BU705" s="34"/>
      <c r="BV705" s="34"/>
      <c r="BW705" s="34"/>
      <c r="BX705" s="34"/>
      <c r="BY705" s="34"/>
      <c r="BZ705" s="34"/>
      <c r="CA705" s="34"/>
      <c r="CB705" s="34"/>
      <c r="CC705" s="34"/>
      <c r="CD705" s="34"/>
      <c r="CE705" s="34"/>
      <c r="CF705" s="34"/>
      <c r="CG705" s="34"/>
      <c r="CH705" s="34"/>
      <c r="CI705" s="8"/>
    </row>
    <row r="706" spans="1:87" x14ac:dyDescent="0.2">
      <c r="A706" s="8" t="str">
        <f>IF(AND(COUNTIF(W$3:W$13,A$35)&gt;0,A$35&lt;&gt;B546),A$35,IFERROR(IF(MATCH(A$35,Z$3:Z$13,0)=7,A$35," ")," "))</f>
        <v>C21</v>
      </c>
      <c r="B706" s="8">
        <f>IF(A706=" "," ",MAX(B686:B705)+1)</f>
        <v>10</v>
      </c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U706" s="34"/>
      <c r="V706" s="34"/>
      <c r="W706" s="34"/>
      <c r="X706" s="34"/>
      <c r="Y706" s="34"/>
      <c r="Z706" s="34"/>
      <c r="AA706" s="34"/>
      <c r="AB706" s="34"/>
      <c r="AC706" s="34"/>
      <c r="AD706" s="34"/>
      <c r="AE706" s="34"/>
      <c r="AF706" s="34"/>
      <c r="AG706" s="34"/>
      <c r="AH706" s="34"/>
      <c r="AI706" s="34"/>
      <c r="AJ706" s="34"/>
      <c r="AK706" s="34"/>
      <c r="AL706" s="34"/>
      <c r="AM706" s="34"/>
      <c r="AN706" s="34"/>
      <c r="AO706" s="34"/>
      <c r="AP706" s="34"/>
      <c r="AQ706" s="34"/>
      <c r="AR706" s="34"/>
      <c r="AS706" s="34"/>
      <c r="AT706" s="34"/>
      <c r="AU706" s="34"/>
      <c r="AV706" s="34"/>
      <c r="AW706" s="34"/>
      <c r="AX706" s="34"/>
      <c r="AY706" s="34"/>
      <c r="AZ706" s="34"/>
      <c r="BA706" s="34"/>
      <c r="BB706" s="34"/>
      <c r="BC706" s="34"/>
      <c r="BD706" s="34"/>
      <c r="BE706" s="34"/>
      <c r="BF706" s="34"/>
      <c r="BG706" s="34"/>
      <c r="BH706" s="34"/>
      <c r="BI706" s="34"/>
      <c r="BJ706" s="34"/>
      <c r="BK706" s="34"/>
      <c r="BL706" s="34"/>
      <c r="BM706" s="34"/>
      <c r="BN706" s="34"/>
      <c r="BO706" s="34"/>
      <c r="BP706" s="34"/>
      <c r="BQ706" s="34"/>
      <c r="BR706" s="34"/>
      <c r="BS706" s="34"/>
      <c r="BT706" s="34"/>
      <c r="BU706" s="34"/>
      <c r="BV706" s="34"/>
      <c r="BW706" s="34"/>
      <c r="BX706" s="34"/>
      <c r="BY706" s="34"/>
      <c r="BZ706" s="34"/>
      <c r="CA706" s="34"/>
      <c r="CB706" s="34"/>
      <c r="CC706" s="34"/>
      <c r="CD706" s="34"/>
      <c r="CE706" s="34"/>
      <c r="CF706" s="34"/>
      <c r="CG706" s="34"/>
      <c r="CH706" s="34"/>
      <c r="CI706" s="8"/>
    </row>
    <row r="707" spans="1:87" x14ac:dyDescent="0.2">
      <c r="A707" s="8" t="str">
        <f>IF(AND(COUNTIF(W$3:W$13,A$36)&gt;0,A$36&lt;&gt;B546),A$36,IFERROR(IF(MATCH(A$36,Z$3:Z$13,0)=7,A$36," ")," "))</f>
        <v>C22</v>
      </c>
      <c r="B707" s="8">
        <f>IF(A707=" "," ",MAX(B686:B706)+1)</f>
        <v>11</v>
      </c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U707" s="34"/>
      <c r="V707" s="34"/>
      <c r="W707" s="34"/>
      <c r="X707" s="34"/>
      <c r="Y707" s="34"/>
      <c r="Z707" s="34"/>
      <c r="AA707" s="34"/>
      <c r="AB707" s="34"/>
      <c r="AC707" s="34"/>
      <c r="AD707" s="34"/>
      <c r="AE707" s="34"/>
      <c r="AF707" s="34"/>
      <c r="AG707" s="34"/>
      <c r="AH707" s="34"/>
      <c r="AI707" s="34"/>
      <c r="AJ707" s="34"/>
      <c r="AK707" s="34"/>
      <c r="AL707" s="34"/>
      <c r="AM707" s="34"/>
      <c r="AN707" s="34"/>
      <c r="AO707" s="34"/>
      <c r="AP707" s="34"/>
      <c r="AQ707" s="34"/>
      <c r="AR707" s="34"/>
      <c r="AS707" s="34"/>
      <c r="AT707" s="34"/>
      <c r="AU707" s="34"/>
      <c r="AV707" s="34"/>
      <c r="AW707" s="34"/>
      <c r="AX707" s="34"/>
      <c r="AY707" s="34"/>
      <c r="AZ707" s="34"/>
      <c r="BA707" s="34"/>
      <c r="BB707" s="34"/>
      <c r="BC707" s="34"/>
      <c r="BD707" s="34"/>
      <c r="BE707" s="34"/>
      <c r="BF707" s="34"/>
      <c r="BG707" s="34"/>
      <c r="BH707" s="34"/>
      <c r="BI707" s="34"/>
      <c r="BJ707" s="34"/>
      <c r="BK707" s="34"/>
      <c r="BL707" s="34"/>
      <c r="BM707" s="34"/>
      <c r="BN707" s="34"/>
      <c r="BO707" s="34"/>
      <c r="BP707" s="34"/>
      <c r="BQ707" s="34"/>
      <c r="BR707" s="34"/>
      <c r="BS707" s="34"/>
      <c r="BT707" s="34"/>
      <c r="BU707" s="34"/>
      <c r="BV707" s="34"/>
      <c r="BW707" s="34"/>
      <c r="BX707" s="34"/>
      <c r="BY707" s="34"/>
      <c r="BZ707" s="34"/>
      <c r="CA707" s="34"/>
      <c r="CB707" s="34"/>
      <c r="CC707" s="34"/>
      <c r="CD707" s="34"/>
      <c r="CE707" s="34"/>
      <c r="CF707" s="34"/>
      <c r="CG707" s="34"/>
      <c r="CH707" s="34"/>
      <c r="CI707" s="8"/>
    </row>
    <row r="708" spans="1:87" x14ac:dyDescent="0.2">
      <c r="A708" s="11" t="s">
        <v>17</v>
      </c>
      <c r="B708" s="11"/>
      <c r="C708" s="27" t="s">
        <v>18</v>
      </c>
      <c r="D708" s="27" t="s">
        <v>2</v>
      </c>
      <c r="E708" s="27" t="s">
        <v>6</v>
      </c>
      <c r="F708" s="27" t="s">
        <v>15</v>
      </c>
      <c r="G708" s="27" t="s">
        <v>36</v>
      </c>
      <c r="H708" s="27" t="s">
        <v>37</v>
      </c>
      <c r="I708" s="27" t="s">
        <v>38</v>
      </c>
      <c r="J708" s="27" t="s">
        <v>39</v>
      </c>
      <c r="K708" s="27" t="s">
        <v>40</v>
      </c>
      <c r="L708" s="27" t="s">
        <v>41</v>
      </c>
      <c r="M708" s="27" t="s">
        <v>42</v>
      </c>
      <c r="N708" s="27" t="s">
        <v>43</v>
      </c>
      <c r="O708" s="27" t="s">
        <v>9</v>
      </c>
      <c r="P708" s="27" t="s">
        <v>12</v>
      </c>
      <c r="Q708" s="27" t="s">
        <v>19</v>
      </c>
      <c r="R708" s="27" t="s">
        <v>55</v>
      </c>
      <c r="S708" s="27" t="s">
        <v>26</v>
      </c>
      <c r="T708" s="19" t="s">
        <v>25</v>
      </c>
      <c r="U708" s="33" t="s">
        <v>27</v>
      </c>
      <c r="V708" s="33" t="s">
        <v>9</v>
      </c>
      <c r="W708" s="33" t="s">
        <v>23</v>
      </c>
      <c r="X708" s="33" t="s">
        <v>12</v>
      </c>
      <c r="Y708" s="33" t="s">
        <v>26</v>
      </c>
      <c r="Z708" s="33" t="s">
        <v>25</v>
      </c>
      <c r="AA708" s="33" t="s">
        <v>27</v>
      </c>
      <c r="AB708" s="33" t="s">
        <v>9</v>
      </c>
      <c r="AC708" s="33" t="s">
        <v>23</v>
      </c>
      <c r="AD708" s="33" t="s">
        <v>12</v>
      </c>
      <c r="AE708" s="33" t="s">
        <v>26</v>
      </c>
      <c r="AF708" s="33" t="s">
        <v>25</v>
      </c>
      <c r="AG708" s="33" t="s">
        <v>27</v>
      </c>
      <c r="AH708" s="33" t="s">
        <v>9</v>
      </c>
      <c r="AI708" s="33" t="s">
        <v>23</v>
      </c>
      <c r="AJ708" s="33" t="s">
        <v>12</v>
      </c>
      <c r="AK708" s="33" t="s">
        <v>26</v>
      </c>
      <c r="AL708" s="33" t="s">
        <v>25</v>
      </c>
      <c r="AM708" s="33" t="s">
        <v>27</v>
      </c>
      <c r="AN708" s="33" t="s">
        <v>9</v>
      </c>
      <c r="AO708" s="33" t="s">
        <v>23</v>
      </c>
      <c r="AP708" s="33" t="s">
        <v>12</v>
      </c>
      <c r="AQ708" s="33" t="s">
        <v>26</v>
      </c>
      <c r="AR708" s="33" t="s">
        <v>25</v>
      </c>
      <c r="AS708" s="33" t="s">
        <v>27</v>
      </c>
      <c r="AT708" s="33" t="s">
        <v>9</v>
      </c>
      <c r="AU708" s="33" t="s">
        <v>23</v>
      </c>
      <c r="AV708" s="33" t="s">
        <v>12</v>
      </c>
      <c r="AW708" s="33" t="s">
        <v>26</v>
      </c>
      <c r="AX708" s="33" t="s">
        <v>25</v>
      </c>
      <c r="AY708" s="33" t="s">
        <v>27</v>
      </c>
      <c r="AZ708" s="33" t="s">
        <v>9</v>
      </c>
      <c r="BA708" s="33" t="s">
        <v>23</v>
      </c>
      <c r="BB708" s="33" t="s">
        <v>12</v>
      </c>
      <c r="BC708" s="33" t="s">
        <v>26</v>
      </c>
      <c r="BD708" s="33" t="s">
        <v>25</v>
      </c>
      <c r="BE708" s="33" t="s">
        <v>27</v>
      </c>
      <c r="BF708" s="33" t="s">
        <v>9</v>
      </c>
      <c r="BG708" s="33" t="s">
        <v>23</v>
      </c>
      <c r="BH708" s="33" t="s">
        <v>12</v>
      </c>
      <c r="BI708" s="33" t="s">
        <v>26</v>
      </c>
      <c r="BJ708" s="33" t="s">
        <v>25</v>
      </c>
      <c r="BK708" s="33" t="s">
        <v>27</v>
      </c>
      <c r="BL708" s="33" t="s">
        <v>9</v>
      </c>
      <c r="BM708" s="33" t="s">
        <v>23</v>
      </c>
      <c r="BN708" s="33" t="s">
        <v>12</v>
      </c>
      <c r="BO708" s="33" t="s">
        <v>26</v>
      </c>
      <c r="BP708" s="33" t="s">
        <v>25</v>
      </c>
      <c r="BQ708" s="33" t="s">
        <v>27</v>
      </c>
      <c r="BR708" s="33" t="s">
        <v>9</v>
      </c>
      <c r="BS708" s="33" t="s">
        <v>23</v>
      </c>
      <c r="BT708" s="33" t="s">
        <v>12</v>
      </c>
      <c r="BU708" s="33" t="s">
        <v>26</v>
      </c>
      <c r="BV708" s="33" t="s">
        <v>25</v>
      </c>
      <c r="BW708" s="33" t="s">
        <v>27</v>
      </c>
      <c r="BX708" s="33" t="s">
        <v>9</v>
      </c>
      <c r="BY708" s="33" t="s">
        <v>23</v>
      </c>
      <c r="BZ708" s="33" t="s">
        <v>12</v>
      </c>
      <c r="CA708" s="33" t="s">
        <v>26</v>
      </c>
      <c r="CB708" s="33" t="s">
        <v>25</v>
      </c>
      <c r="CC708" s="33" t="s">
        <v>27</v>
      </c>
      <c r="CD708" s="33" t="s">
        <v>9</v>
      </c>
      <c r="CE708" s="33" t="s">
        <v>23</v>
      </c>
      <c r="CF708" s="33" t="s">
        <v>12</v>
      </c>
      <c r="CG708" s="33" t="s">
        <v>26</v>
      </c>
      <c r="CH708" s="33" t="s">
        <v>25</v>
      </c>
      <c r="CI708" s="8"/>
    </row>
    <row r="709" spans="1:87" x14ac:dyDescent="0.2">
      <c r="A709" s="8" t="str">
        <f>IF(AND(COUNTIF(W$3:W$13,A$15)&gt;0,A$15&lt;&gt;B546),A$15,IFERROR(IF(MATCH(A$15,Z$3:Z$13,0)=8,A$15," ")," "))</f>
        <v xml:space="preserve"> </v>
      </c>
      <c r="B709" s="8" t="str">
        <f>IF(A709=" "," ",1)</f>
        <v xml:space="preserve"> </v>
      </c>
      <c r="C709" s="8" t="str">
        <f>IFERROR(INDEX(A709:A730,MATCH(SMALL(B709:B730,1),B709:B730,0),1)," ")</f>
        <v>C3</v>
      </c>
      <c r="D709" s="8">
        <f>IFERROR(VLOOKUP($C709,$A$15:$O$36,2,FALSE)," ")</f>
        <v>2</v>
      </c>
      <c r="E709" s="8">
        <f>IFERROR(VLOOKUP($C709,$A$15:$O$36,3,FALSE)," ")</f>
        <v>5</v>
      </c>
      <c r="F709" s="8">
        <f>IFERROR(VLOOKUP($C709,$A$15:$O$36,4,FALSE)," ")</f>
        <v>6</v>
      </c>
      <c r="G709" s="8">
        <f>IFERROR(VLOOKUP($C709,$A$15:$O$36,5,FALSE)," ")</f>
        <v>0</v>
      </c>
      <c r="H709" s="8">
        <f>IFERROR(VLOOKUP($C709,$A$15:$O$36,6,FALSE)," ")</f>
        <v>0</v>
      </c>
      <c r="I709" s="8">
        <f>IFERROR(VLOOKUP($C709,$A$15:$O$36,7,FALSE)," ")</f>
        <v>0</v>
      </c>
      <c r="J709" s="8">
        <f>IFERROR(VLOOKUP($C709,$A$15:$O$36,8,FALSE)," ")</f>
        <v>0</v>
      </c>
      <c r="K709" s="8">
        <f>IFERROR(VLOOKUP($C709,$A$15:$O$36,9,FALSE)," ")</f>
        <v>0</v>
      </c>
      <c r="L709" s="8">
        <f>IFERROR(VLOOKUP($C709,$A$15:$O$36,10,FALSE)," ")</f>
        <v>0</v>
      </c>
      <c r="M709" s="8">
        <f>IFERROR(VLOOKUP($C709,$A$15:$O$36,11,FALSE)," ")</f>
        <v>0</v>
      </c>
      <c r="N709" s="8">
        <f>IFERROR(VLOOKUP($C709,$A$15:$O$36,12,FALSE)," ")</f>
        <v>0</v>
      </c>
      <c r="O709" s="8">
        <f>IFERROR(VLOOKUP($C709,$A$15:$O$36,15,FALSE)," ")</f>
        <v>2000</v>
      </c>
      <c r="P709" s="8" t="e">
        <f t="array" ref="P709:P719">MMULT(MINVERSE(D709:N719),O709:O719)</f>
        <v>#NUM!</v>
      </c>
      <c r="Q709" s="8" t="e">
        <f t="shared" ref="Q709" si="2887">IF(COUNTIF(P709:P719,"&lt;"&amp;-0.001)=0,IF(ABS(P709)&lt;0.001,0,P709)," ")</f>
        <v>#NUM!</v>
      </c>
      <c r="R709" s="8" t="str">
        <f>IFERROR(VLOOKUP(B546,A$15:L$36,2,FALSE)*Q709+VLOOKUP(B546,A$15:L$36,3,FALSE)*Q710+VLOOKUP(B546,A$15:L$36,4,FALSE)*Q711+VLOOKUP(B546,A$15:L$36,5,FALSE)*Q712+VLOOKUP(B546,A$15:L$36,6,FALSE)*Q713+VLOOKUP(B546,A$15:L$36,7,FALSE)*Q714+VLOOKUP(B546,A$15:L$36,8,FALSE)*Q715+VLOOKUP(B546,A$15:L$36,9,FALSE)*Q716+VLOOKUP(B546,A$15:L$36,10,FALSE)*Q717+VLOOKUP(B546,A$15:L$36,11,FALSE)*Q718+VLOOKUP(B546,A$15:L$36,12,FALSE)*Q719," ")</f>
        <v xml:space="preserve"> </v>
      </c>
      <c r="S709" s="8" t="str">
        <f>IFERROR(IF(R709-VLOOKUP(B546,A$15:O$36,15,FALSE)&lt;0,R709-VLOOKUP(B546,A$15:O$36,15,FALSE)," ")," ")</f>
        <v xml:space="preserve"> </v>
      </c>
      <c r="T709" s="18" t="str">
        <f>IFERROR(IF(R709-VLOOKUP(B546,A$15:O$36,15,FALSE)&gt;0,R709-VLOOKUP(B546,A$15:O$36,15,FALSE)," ")," ")</f>
        <v xml:space="preserve"> </v>
      </c>
      <c r="U709" s="34">
        <f t="shared" ref="U709" si="2888">$M$2</f>
        <v>100.00000000000001</v>
      </c>
      <c r="V709" s="34">
        <v>-1</v>
      </c>
      <c r="W709" s="34">
        <f t="shared" ref="W709" si="2889">-SUMPRODUCT($M$3:$M$12,$N$3:$N$12)</f>
        <v>-105000</v>
      </c>
      <c r="X709" s="34" t="e">
        <f t="shared" ref="X709" si="2890">IF(U709&lt;&gt;U710,MMULT(MINVERSE(U709:V710),W709:W710)," ")</f>
        <v>#NUM!</v>
      </c>
      <c r="Y709" s="34" t="str">
        <f t="shared" ref="Y709" si="2891">IFERROR(IF(X709-VLOOKUP(U$38,$A$2:$N$12,14,FALSE)&lt;0,X709-VLOOKUP(U$38,$A$2:$N$12,14,FALSE)," ")," ")</f>
        <v xml:space="preserve"> </v>
      </c>
      <c r="Z709" s="34" t="str">
        <f t="shared" ref="Z709" si="2892">IFERROR(IF(X709-VLOOKUP(U$38,$A$2:$N$12,14,FALSE)&gt;0,X709-VLOOKUP(U$38,$A$2:$N$12,14,FALSE)," ")," ")</f>
        <v xml:space="preserve"> </v>
      </c>
      <c r="AA709" s="34">
        <f t="shared" ref="AA709" si="2893">$M$3</f>
        <v>0</v>
      </c>
      <c r="AB709" s="34">
        <v>-1</v>
      </c>
      <c r="AC709" s="34">
        <f t="shared" ref="AC709" si="2894">-SUMPRODUCT($M$2:$M$2,$N$2:$N$2)-SUMPRODUCT($M$4:$M$12,$N$4:$N$12)</f>
        <v>-120000</v>
      </c>
      <c r="AD709" s="34" t="e">
        <f t="shared" ref="AD709" si="2895">IF(AA709&lt;&gt;AA710,MMULT(MINVERSE(AA709:AB710),AC709:AC710)," ")</f>
        <v>#NUM!</v>
      </c>
      <c r="AE709" s="34" t="str">
        <f t="shared" ref="AE709" si="2896">IFERROR(IF(AD709-VLOOKUP(AA$38,$A$2:$N$12,14,FALSE)&lt;0,AD709-VLOOKUP(AA$38,$A$2:$N$12,14,FALSE)," ")," ")</f>
        <v xml:space="preserve"> </v>
      </c>
      <c r="AF709" s="34" t="str">
        <f t="shared" ref="AF709" si="2897">IFERROR(IF(AD709-VLOOKUP(AA$38,$A$2:$N$12,14,FALSE)&gt;0,AD709-VLOOKUP(AA$38,$A$2:$N$12,14,FALSE)," ")," ")</f>
        <v xml:space="preserve"> </v>
      </c>
      <c r="AG709" s="34">
        <f t="shared" ref="AG709" si="2898">$M$4</f>
        <v>300</v>
      </c>
      <c r="AH709" s="34">
        <v>-1</v>
      </c>
      <c r="AI709" s="34">
        <f t="shared" ref="AI709" si="2899">-SUMPRODUCT($M$2:$M$3,$N$2:$N$3)-SUMPRODUCT($M$5:$M$12,$N$5:$N$12)</f>
        <v>-15000.000000000002</v>
      </c>
      <c r="AJ709" s="34" t="e">
        <f t="shared" ref="AJ709" si="2900">IF(AG709&lt;&gt;AG710,MMULT(MINVERSE(AG709:AH710),AI709:AI710)," ")</f>
        <v>#NUM!</v>
      </c>
      <c r="AK709" s="34" t="str">
        <f t="shared" ref="AK709" si="2901">IFERROR(IF(AJ709-VLOOKUP(AG$38,$A$2:$N$12,14,FALSE)&lt;0,AJ709-VLOOKUP(AG$38,$A$2:$N$12,14,FALSE)," ")," ")</f>
        <v xml:space="preserve"> </v>
      </c>
      <c r="AL709" s="34" t="str">
        <f t="shared" ref="AL709" si="2902">IFERROR(IF(AJ709-VLOOKUP(AG$38,$A$2:$N$12,14,FALSE)&gt;0,AJ709-VLOOKUP(AG$38,$A$2:$N$12,14,FALSE)," ")," ")</f>
        <v xml:space="preserve"> </v>
      </c>
      <c r="AM709" s="34">
        <f t="shared" ref="AM709" si="2903">$M$5</f>
        <v>0</v>
      </c>
      <c r="AN709" s="34">
        <v>-1</v>
      </c>
      <c r="AO709" s="34">
        <f t="shared" ref="AO709" si="2904">-SUMPRODUCT($M$2:$M$4,$N$2:$N$4)-SUMPRODUCT($M$6:$M$12,$N$6:$N$12)</f>
        <v>-120000</v>
      </c>
      <c r="AP709" s="34" t="e">
        <f t="shared" ref="AP709" si="2905">IF(AM709&lt;&gt;AM710,MMULT(MINVERSE(AM709:AN710),AO709:AO710)," ")</f>
        <v>#NUM!</v>
      </c>
      <c r="AQ709" s="34" t="str">
        <f t="shared" ref="AQ709" si="2906">IFERROR(IF(AP709-VLOOKUP(AM$38,$A$2:$N$12,14,FALSE)&lt;0,AP709-VLOOKUP(AM$38,$A$2:$N$12,14,FALSE)," ")," ")</f>
        <v xml:space="preserve"> </v>
      </c>
      <c r="AR709" s="34" t="str">
        <f t="shared" ref="AR709" si="2907">IFERROR(IF(AP709-VLOOKUP(AM$38,$A$2:$N$12,14,FALSE)&gt;0,AP709-VLOOKUP(AM$38,$A$2:$N$12,14,FALSE)," ")," ")</f>
        <v xml:space="preserve"> </v>
      </c>
      <c r="AS709" s="34">
        <f t="shared" ref="AS709" si="2908">$M$6</f>
        <v>0</v>
      </c>
      <c r="AT709" s="34">
        <v>-1</v>
      </c>
      <c r="AU709" s="34">
        <f t="shared" ref="AU709" si="2909">-SUMPRODUCT($M$2:$M$5,$N$2:$N$5)-SUMPRODUCT($M$7:$M$12,$N$7:$N$12)</f>
        <v>-120000</v>
      </c>
      <c r="AV709" s="34" t="e">
        <f t="shared" ref="AV709" si="2910">IF(AS709&lt;&gt;AS710,MMULT(MINVERSE(AS709:AT710),AU709:AU710)," ")</f>
        <v>#NUM!</v>
      </c>
      <c r="AW709" s="34" t="str">
        <f t="shared" ref="AW709" si="2911">IFERROR(IF(AV709-VLOOKUP(AS$38,$A$2:$N$12,14,FALSE)&lt;0,AV709-VLOOKUP(AS$38,$A$2:$N$12,14,FALSE)," ")," ")</f>
        <v xml:space="preserve"> </v>
      </c>
      <c r="AX709" s="34" t="str">
        <f t="shared" ref="AX709" si="2912">IFERROR(IF(AV709-VLOOKUP(AS$38,$A$2:$N$12,14,FALSE)&gt;0,AV709-VLOOKUP(AS$38,$A$2:$N$12,14,FALSE)," ")," ")</f>
        <v xml:space="preserve"> </v>
      </c>
      <c r="AY709" s="34">
        <f t="shared" ref="AY709" si="2913">$M$7</f>
        <v>0</v>
      </c>
      <c r="AZ709" s="34">
        <v>-1</v>
      </c>
      <c r="BA709" s="34">
        <f t="shared" ref="BA709" si="2914">-SUMPRODUCT($M$2:$M$6,$N$2:$N$6)-SUMPRODUCT($M$8:$M$12,$N$8:$N$12)</f>
        <v>-120000</v>
      </c>
      <c r="BB709" s="34" t="e">
        <f t="shared" ref="BB709" si="2915">IF(AY709&lt;&gt;AY710,MMULT(MINVERSE(AY709:AZ710),BA709:BA710)," ")</f>
        <v>#NUM!</v>
      </c>
      <c r="BC709" s="34" t="str">
        <f t="shared" ref="BC709" si="2916">IFERROR(IF(BB709-VLOOKUP(AY$38,$A$2:$N$12,14,FALSE)&lt;0,BB709-VLOOKUP(AY$38,$A$2:$N$12,14,FALSE)," ")," ")</f>
        <v xml:space="preserve"> </v>
      </c>
      <c r="BD709" s="34" t="str">
        <f t="shared" ref="BD709" si="2917">IFERROR(IF(BB709-VLOOKUP(AY$38,$A$2:$N$12,14,FALSE)&gt;0,BB709-VLOOKUP(AY$38,$A$2:$N$12,14,FALSE)," ")," ")</f>
        <v xml:space="preserve"> </v>
      </c>
      <c r="BE709" s="34">
        <f t="shared" ref="BE709" si="2918">$M$8</f>
        <v>0</v>
      </c>
      <c r="BF709" s="34">
        <v>-1</v>
      </c>
      <c r="BG709" s="34">
        <f t="shared" ref="BG709" si="2919">-SUMPRODUCT($M$2:$M$7,$N$2:$N$7)-SUMPRODUCT($M$9:$M$12,$N$9:$N$12)</f>
        <v>-120000</v>
      </c>
      <c r="BH709" s="34" t="e">
        <f t="shared" ref="BH709" si="2920">IF(BE709&lt;&gt;BE710,MMULT(MINVERSE(BE709:BF710),BG709:BG710)," ")</f>
        <v>#NUM!</v>
      </c>
      <c r="BI709" s="34" t="str">
        <f t="shared" ref="BI709" si="2921">IFERROR(IF(BH709-VLOOKUP(BE$38,$A$2:$N$12,14,FALSE)&lt;0,BH709-VLOOKUP(BE$38,$A$2:$N$12,14,FALSE)," ")," ")</f>
        <v xml:space="preserve"> </v>
      </c>
      <c r="BJ709" s="34" t="str">
        <f t="shared" ref="BJ709" si="2922">IFERROR(IF(BH709-VLOOKUP(BE$38,$A$2:$N$12,14,FALSE)&gt;0,BH709-VLOOKUP(BE$38,$A$2:$N$12,14,FALSE)," ")," ")</f>
        <v xml:space="preserve"> </v>
      </c>
      <c r="BK709" s="34">
        <f t="shared" ref="BK709" si="2923">$M$9</f>
        <v>0</v>
      </c>
      <c r="BL709" s="34">
        <v>-1</v>
      </c>
      <c r="BM709" s="34">
        <f t="shared" ref="BM709" si="2924">-SUMPRODUCT($M$2:$M$8,$N$2:$N$8)-SUMPRODUCT($M$10:$M$12,$N$10:$N$12)</f>
        <v>-120000</v>
      </c>
      <c r="BN709" s="34" t="e">
        <f t="shared" ref="BN709" si="2925">IF(BK709&lt;&gt;BK710,MMULT(MINVERSE(BK709:BL710),BM709:BM710)," ")</f>
        <v>#NUM!</v>
      </c>
      <c r="BO709" s="34" t="str">
        <f t="shared" ref="BO709" si="2926">IFERROR(IF(BN709-VLOOKUP(BK$38,$A$2:$N$12,14,FALSE)&lt;0,BN709-VLOOKUP(BK$38,$A$2:$N$12,14,FALSE)," ")," ")</f>
        <v xml:space="preserve"> </v>
      </c>
      <c r="BP709" s="34" t="str">
        <f t="shared" ref="BP709" si="2927">IFERROR(IF(BN709-VLOOKUP(BK$38,$A$2:$N$12,14,FALSE)&gt;0,BN709-VLOOKUP(BK$38,$A$2:$N$12,14,FALSE)," ")," ")</f>
        <v xml:space="preserve"> </v>
      </c>
      <c r="BQ709" s="34">
        <f t="shared" ref="BQ709" si="2928">$M$10</f>
        <v>0</v>
      </c>
      <c r="BR709" s="34">
        <v>-1</v>
      </c>
      <c r="BS709" s="34">
        <f t="shared" ref="BS709" si="2929">-SUMPRODUCT($M$2:$M$9,$N$2:$N$9)-SUMPRODUCT($M$11:$M$12,$N$11:$N$12)</f>
        <v>-120000</v>
      </c>
      <c r="BT709" s="34" t="e">
        <f t="shared" ref="BT709" si="2930">IF(BQ709&lt;&gt;BQ710,MMULT(MINVERSE(BQ709:BR710),BS709:BS710)," ")</f>
        <v>#NUM!</v>
      </c>
      <c r="BU709" s="34" t="str">
        <f t="shared" ref="BU709" si="2931">IFERROR(IF(BT709-VLOOKUP(BQ$38,$A$2:$N$12,14,FALSE)&lt;0,BT709-VLOOKUP(BQ$38,$A$2:$N$12,14,FALSE)," ")," ")</f>
        <v xml:space="preserve"> </v>
      </c>
      <c r="BV709" s="34" t="str">
        <f t="shared" ref="BV709" si="2932">IFERROR(IF(BT709-VLOOKUP(BQ$38,$A$2:$N$12,14,FALSE)&gt;0,BT709-VLOOKUP(BQ$38,$A$2:$N$12,14,FALSE)," ")," ")</f>
        <v xml:space="preserve"> </v>
      </c>
      <c r="BW709" s="34">
        <f t="shared" ref="BW709" si="2933">$M$11</f>
        <v>0</v>
      </c>
      <c r="BX709" s="34">
        <v>-1</v>
      </c>
      <c r="BY709" s="34">
        <f t="shared" ref="BY709" si="2934">-SUMPRODUCT($M$2:$M$10,$N$2:$N$10)-SUMPRODUCT($M$12,$N$12)</f>
        <v>-120000</v>
      </c>
      <c r="BZ709" s="34" t="e">
        <f t="shared" ref="BZ709" si="2935">IF(BW709&lt;&gt;BW710,MMULT(MINVERSE(BW709:BX710),BY709:BY710)," ")</f>
        <v>#NUM!</v>
      </c>
      <c r="CA709" s="34" t="str">
        <f t="shared" ref="CA709" si="2936">IFERROR(IF(BZ709-VLOOKUP(BW$38,$A$2:$N$12,14,FALSE)&lt;0,BZ709-VLOOKUP(BW$38,$A$2:$N$12,14,FALSE)," ")," ")</f>
        <v xml:space="preserve"> </v>
      </c>
      <c r="CB709" s="34" t="str">
        <f t="shared" ref="CB709" si="2937">IFERROR(IF(BZ709-VLOOKUP(BW$38,$A$2:$N$12,14,FALSE)&gt;0,BZ709-VLOOKUP(BW$38,$A$2:$N$12,14,FALSE)," ")," ")</f>
        <v xml:space="preserve"> </v>
      </c>
      <c r="CC709" s="34">
        <f t="shared" ref="CC709" si="2938">$M$12</f>
        <v>0</v>
      </c>
      <c r="CD709" s="34">
        <v>-1</v>
      </c>
      <c r="CE709" s="34">
        <f t="shared" ref="CE709" si="2939">-SUMPRODUCT($M$2:$M$11,$N$2:$N$11)</f>
        <v>-120000</v>
      </c>
      <c r="CF709" s="34" t="e">
        <f t="shared" ref="CF709" si="2940">IF(CC709&lt;&gt;CC710,MMULT(MINVERSE(CC709:CD710),CE709:CE710)," ")</f>
        <v>#NUM!</v>
      </c>
      <c r="CG709" s="34" t="str">
        <f t="shared" ref="CG709" si="2941">IFERROR(IF(CF709-VLOOKUP(CC$38,$A$2:$N$12,14,FALSE)&lt;0,CF709-VLOOKUP(CC$38,$A$2:$N$12,14,FALSE)," ")," ")</f>
        <v xml:space="preserve"> </v>
      </c>
      <c r="CH709" s="34" t="str">
        <f t="shared" ref="CH709" si="2942">IFERROR(IF(CF709-VLOOKUP(CC$38,$A$2:$N$12,14,FALSE)&gt;0,CF709-VLOOKUP(CC$38,$A$2:$N$12,14,FALSE)," ")," ")</f>
        <v xml:space="preserve"> </v>
      </c>
      <c r="CI709" s="8"/>
    </row>
    <row r="710" spans="1:87" x14ac:dyDescent="0.2">
      <c r="A710" s="8" t="str">
        <f>IF(AND(COUNTIF(W$3:W$13,A$16)&gt;0,A$16&lt;&gt;B546),A$16,IFERROR(IF(MATCH(A$16,Z$3:Z$13,0)=8,A$16," ")," "))</f>
        <v xml:space="preserve"> </v>
      </c>
      <c r="B710" s="8" t="str">
        <f>IF(A710=" "," ",MAX(B709:B709)+1)</f>
        <v xml:space="preserve"> </v>
      </c>
      <c r="C710" s="8" t="str">
        <f>IFERROR(INDEX(A709:A730,MATCH(SMALL(B709:B730,2),B709:B730,0),1)," ")</f>
        <v>C4</v>
      </c>
      <c r="D710" s="8">
        <f t="shared" ref="D710:D719" si="2943">IFERROR(VLOOKUP($C710,$A$15:$O$36,2,FALSE)," ")</f>
        <v>1</v>
      </c>
      <c r="E710" s="8">
        <f t="shared" ref="E710:E719" si="2944">IFERROR(VLOOKUP($C710,$A$15:$O$36,3,FALSE)," ")</f>
        <v>0</v>
      </c>
      <c r="F710" s="8">
        <f t="shared" ref="F710:F719" si="2945">IFERROR(VLOOKUP($C710,$A$15:$O$36,4,FALSE)," ")</f>
        <v>1</v>
      </c>
      <c r="G710" s="8">
        <f t="shared" ref="G710:G719" si="2946">IFERROR(VLOOKUP($C710,$A$15:$O$36,5,FALSE)," ")</f>
        <v>0</v>
      </c>
      <c r="H710" s="8">
        <f t="shared" ref="H710:H719" si="2947">IFERROR(VLOOKUP($C710,$A$15:$O$36,6,FALSE)," ")</f>
        <v>0</v>
      </c>
      <c r="I710" s="8">
        <f t="shared" ref="I710:I719" si="2948">IFERROR(VLOOKUP($C710,$A$15:$O$36,7,FALSE)," ")</f>
        <v>0</v>
      </c>
      <c r="J710" s="8">
        <f t="shared" ref="J710:J719" si="2949">IFERROR(VLOOKUP($C710,$A$15:$O$36,8,FALSE)," ")</f>
        <v>0</v>
      </c>
      <c r="K710" s="8">
        <f t="shared" ref="K710:K719" si="2950">IFERROR(VLOOKUP($C710,$A$15:$O$36,9,FALSE)," ")</f>
        <v>0</v>
      </c>
      <c r="L710" s="8">
        <f t="shared" ref="L710:L719" si="2951">IFERROR(VLOOKUP($C710,$A$15:$O$36,10,FALSE)," ")</f>
        <v>0</v>
      </c>
      <c r="M710" s="8">
        <f t="shared" ref="M710:M719" si="2952">IFERROR(VLOOKUP($C710,$A$15:$O$36,11,FALSE)," ")</f>
        <v>0</v>
      </c>
      <c r="N710" s="8">
        <f t="shared" ref="N710:N719" si="2953">IFERROR(VLOOKUP($C710,$A$15:$O$36,12,FALSE)," ")</f>
        <v>0</v>
      </c>
      <c r="O710" s="8">
        <f t="shared" ref="O710:O719" si="2954">IFERROR(VLOOKUP($C710,$A$15:$O$36,15,FALSE)," ")</f>
        <v>400</v>
      </c>
      <c r="P710" s="8" t="e">
        <v>#NUM!</v>
      </c>
      <c r="Q710" s="8" t="e">
        <f t="shared" ref="Q710" si="2955">IF(COUNTIF(P709:P719,"&lt;"&amp;-0.001)=0,IF(ABS(P710)&lt;0.001,0,P710)," ")</f>
        <v>#NUM!</v>
      </c>
      <c r="R710" s="8"/>
      <c r="S710" s="8"/>
      <c r="U710" s="34" t="e">
        <f t="shared" ref="U710" si="2956">$Q709</f>
        <v>#NUM!</v>
      </c>
      <c r="V710" s="34">
        <v>-1</v>
      </c>
      <c r="W710" s="34" t="e">
        <f t="shared" ref="W710" si="2957">-SUMPRODUCT($Q710:$Q719,$N$3:$N$12)</f>
        <v>#NUM!</v>
      </c>
      <c r="X710" s="34"/>
      <c r="Y710" s="34"/>
      <c r="Z710" s="34"/>
      <c r="AA710" s="34" t="e">
        <f t="shared" ref="AA710" si="2958">$Q710</f>
        <v>#NUM!</v>
      </c>
      <c r="AB710" s="34">
        <v>-1</v>
      </c>
      <c r="AC710" s="34" t="e">
        <f t="shared" ref="AC710" si="2959">-SUMPRODUCT($Q709:$Q709,$N$2:$N$2)-SUMPRODUCT($Q711:$Q719,$N$4:$N$12)</f>
        <v>#NUM!</v>
      </c>
      <c r="AD710" s="34"/>
      <c r="AE710" s="34"/>
      <c r="AF710" s="34"/>
      <c r="AG710" s="34" t="e">
        <f t="shared" ref="AG710" si="2960">$Q711</f>
        <v>#NUM!</v>
      </c>
      <c r="AH710" s="34">
        <v>-1</v>
      </c>
      <c r="AI710" s="34" t="e">
        <f t="shared" ref="AI710" si="2961">-SUMPRODUCT($Q709:$Q710,$N$2:$N$3)-SUMPRODUCT($Q712:$Q719,$N$5:$N$12)</f>
        <v>#NUM!</v>
      </c>
      <c r="AJ710" s="34"/>
      <c r="AK710" s="34"/>
      <c r="AL710" s="34"/>
      <c r="AM710" s="34" t="e">
        <f t="shared" ref="AM710" si="2962">$Q712</f>
        <v>#NUM!</v>
      </c>
      <c r="AN710" s="34">
        <v>-1</v>
      </c>
      <c r="AO710" s="34" t="e">
        <f t="shared" ref="AO710" si="2963">-SUMPRODUCT($Q709:$Q711,$N$2:$N$4)-SUMPRODUCT($Q713:$Q719,$N$6:$N$12)</f>
        <v>#NUM!</v>
      </c>
      <c r="AP710" s="34"/>
      <c r="AQ710" s="34"/>
      <c r="AR710" s="34"/>
      <c r="AS710" s="34" t="e">
        <f t="shared" ref="AS710" si="2964">$Q713</f>
        <v>#NUM!</v>
      </c>
      <c r="AT710" s="34">
        <v>-1</v>
      </c>
      <c r="AU710" s="34" t="e">
        <f t="shared" ref="AU710" si="2965">-SUMPRODUCT($Q709:$Q712,$N$2:$N$5)-SUMPRODUCT($Q714:$Q719,$N$7:$N$12)</f>
        <v>#NUM!</v>
      </c>
      <c r="AV710" s="34"/>
      <c r="AW710" s="34"/>
      <c r="AX710" s="34"/>
      <c r="AY710" s="34" t="e">
        <f t="shared" ref="AY710" si="2966">$Q714</f>
        <v>#NUM!</v>
      </c>
      <c r="AZ710" s="34">
        <v>-1</v>
      </c>
      <c r="BA710" s="34" t="e">
        <f t="shared" ref="BA710" si="2967">-SUMPRODUCT($Q709:$Q713,$N$2:$N$6)-SUMPRODUCT($Q715:$Q719,$N$8:$N$12)</f>
        <v>#NUM!</v>
      </c>
      <c r="BB710" s="34"/>
      <c r="BC710" s="34"/>
      <c r="BD710" s="34"/>
      <c r="BE710" s="34" t="e">
        <f t="shared" ref="BE710" si="2968">$Q715</f>
        <v>#NUM!</v>
      </c>
      <c r="BF710" s="34">
        <v>-1</v>
      </c>
      <c r="BG710" s="34" t="e">
        <f t="shared" ref="BG710" si="2969">-SUMPRODUCT($Q709:$Q714,$N$2:$N$7)-SUMPRODUCT($Q716:$Q719,$N$9:$N$12)</f>
        <v>#NUM!</v>
      </c>
      <c r="BH710" s="34"/>
      <c r="BI710" s="34"/>
      <c r="BJ710" s="34"/>
      <c r="BK710" s="34" t="e">
        <f t="shared" ref="BK710" si="2970">$Q716</f>
        <v>#NUM!</v>
      </c>
      <c r="BL710" s="34">
        <v>-1</v>
      </c>
      <c r="BM710" s="34" t="e">
        <f t="shared" ref="BM710" si="2971">-SUMPRODUCT($Q709:$Q715,$N$2:$N$8)-SUMPRODUCT($Q717:$Q719,$N$10:$N$12)</f>
        <v>#NUM!</v>
      </c>
      <c r="BN710" s="34"/>
      <c r="BO710" s="34"/>
      <c r="BP710" s="34"/>
      <c r="BQ710" s="34" t="e">
        <f t="shared" ref="BQ710" si="2972">$Q717</f>
        <v>#NUM!</v>
      </c>
      <c r="BR710" s="34">
        <v>-1</v>
      </c>
      <c r="BS710" s="34" t="e">
        <f t="shared" ref="BS710" si="2973">-SUMPRODUCT($Q709:$Q716,$N$2:$N$9)-SUMPRODUCT($Q718:$Q719,$N$11:$N$12)</f>
        <v>#NUM!</v>
      </c>
      <c r="BT710" s="34"/>
      <c r="BU710" s="34"/>
      <c r="BV710" s="34"/>
      <c r="BW710" s="34" t="e">
        <f t="shared" ref="BW710" si="2974">$Q718</f>
        <v>#NUM!</v>
      </c>
      <c r="BX710" s="34">
        <v>-1</v>
      </c>
      <c r="BY710" s="34" t="e">
        <f t="shared" ref="BY710" si="2975">-SUMPRODUCT($Q709:$Q717,$N$2:$N$10)-SUMPRODUCT($Q719,$N$12)</f>
        <v>#NUM!</v>
      </c>
      <c r="BZ710" s="34"/>
      <c r="CA710" s="34"/>
      <c r="CB710" s="34"/>
      <c r="CC710" s="34" t="e">
        <f t="shared" ref="CC710" si="2976">$Q719</f>
        <v>#NUM!</v>
      </c>
      <c r="CD710" s="34">
        <v>-1</v>
      </c>
      <c r="CE710" s="34" t="e">
        <f t="shared" ref="CE710" si="2977">-SUMPRODUCT($Q709:$Q718,$N$2:$N$11)</f>
        <v>#NUM!</v>
      </c>
      <c r="CF710" s="34"/>
      <c r="CG710" s="34"/>
      <c r="CH710" s="34"/>
      <c r="CI710" s="8"/>
    </row>
    <row r="711" spans="1:87" x14ac:dyDescent="0.2">
      <c r="A711" s="8" t="str">
        <f>IF(AND(COUNTIF(W$3:W$13,A$17)&gt;0,A$17&lt;&gt;B546),A$17,IFERROR(IF(MATCH(A$17,Z$3:Z$13,0)=8,A$17," ")," "))</f>
        <v>C3</v>
      </c>
      <c r="B711" s="8">
        <f>IF(A711=" "," ",MAX(B709:B710)+1)</f>
        <v>1</v>
      </c>
      <c r="C711" s="8" t="str">
        <f>IFERROR(INDEX(A709:A730,MATCH(SMALL(B709:B730,3),B709:B730,0),1)," ")</f>
        <v>C10</v>
      </c>
      <c r="D711" s="8">
        <f t="shared" si="2943"/>
        <v>0</v>
      </c>
      <c r="E711" s="8">
        <f t="shared" si="2944"/>
        <v>0</v>
      </c>
      <c r="F711" s="8">
        <f t="shared" si="2945"/>
        <v>0</v>
      </c>
      <c r="G711" s="8">
        <f t="shared" si="2946"/>
        <v>0</v>
      </c>
      <c r="H711" s="8">
        <f t="shared" si="2947"/>
        <v>0</v>
      </c>
      <c r="I711" s="8">
        <f t="shared" si="2948"/>
        <v>0</v>
      </c>
      <c r="J711" s="8">
        <f t="shared" si="2949"/>
        <v>0</v>
      </c>
      <c r="K711" s="8">
        <f t="shared" si="2950"/>
        <v>0</v>
      </c>
      <c r="L711" s="8">
        <f t="shared" si="2951"/>
        <v>0</v>
      </c>
      <c r="M711" s="8">
        <f t="shared" si="2952"/>
        <v>0</v>
      </c>
      <c r="N711" s="8">
        <f t="shared" si="2953"/>
        <v>0</v>
      </c>
      <c r="O711" s="8">
        <f t="shared" si="2954"/>
        <v>0</v>
      </c>
      <c r="P711" s="8" t="e">
        <v>#NUM!</v>
      </c>
      <c r="Q711" s="8" t="e">
        <f t="shared" ref="Q711" si="2978">IF(COUNTIF(P709:P719,"&lt;"&amp;-0.001)=0,IF(ABS(P711)&lt;0.001,0,P711)," ")</f>
        <v>#NUM!</v>
      </c>
      <c r="R711" s="8"/>
      <c r="S711" s="8"/>
      <c r="U711" s="34"/>
      <c r="V711" s="34"/>
      <c r="W711" s="34"/>
      <c r="X711" s="34"/>
      <c r="Y711" s="34"/>
      <c r="Z711" s="34"/>
      <c r="AA711" s="34"/>
      <c r="AB711" s="34"/>
      <c r="AC711" s="34"/>
      <c r="AD711" s="34"/>
      <c r="AE711" s="34"/>
      <c r="AF711" s="34"/>
      <c r="AG711" s="34"/>
      <c r="AH711" s="34"/>
      <c r="AI711" s="34"/>
      <c r="AJ711" s="34"/>
      <c r="AK711" s="34"/>
      <c r="AL711" s="34"/>
      <c r="AM711" s="34"/>
      <c r="AN711" s="34"/>
      <c r="AO711" s="34"/>
      <c r="AP711" s="34"/>
      <c r="AQ711" s="34"/>
      <c r="AR711" s="34"/>
      <c r="AS711" s="34"/>
      <c r="AT711" s="34"/>
      <c r="AU711" s="34"/>
      <c r="AV711" s="34"/>
      <c r="AW711" s="34"/>
      <c r="AX711" s="34"/>
      <c r="AY711" s="34"/>
      <c r="AZ711" s="34"/>
      <c r="BA711" s="34"/>
      <c r="BB711" s="34"/>
      <c r="BC711" s="34"/>
      <c r="BD711" s="34"/>
      <c r="BE711" s="34"/>
      <c r="BF711" s="34"/>
      <c r="BG711" s="34"/>
      <c r="BH711" s="34"/>
      <c r="BI711" s="34"/>
      <c r="BJ711" s="34"/>
      <c r="BK711" s="34"/>
      <c r="BL711" s="34"/>
      <c r="BM711" s="34"/>
      <c r="BN711" s="34"/>
      <c r="BO711" s="34"/>
      <c r="BP711" s="34"/>
      <c r="BQ711" s="34"/>
      <c r="BR711" s="34"/>
      <c r="BS711" s="34"/>
      <c r="BT711" s="34"/>
      <c r="BU711" s="34"/>
      <c r="BV711" s="34"/>
      <c r="BW711" s="34"/>
      <c r="BX711" s="34"/>
      <c r="BY711" s="34"/>
      <c r="BZ711" s="34"/>
      <c r="CA711" s="34"/>
      <c r="CB711" s="34"/>
      <c r="CC711" s="34"/>
      <c r="CD711" s="34"/>
      <c r="CE711" s="34"/>
      <c r="CF711" s="34"/>
      <c r="CG711" s="34"/>
      <c r="CH711" s="34"/>
      <c r="CI711" s="8"/>
    </row>
    <row r="712" spans="1:87" x14ac:dyDescent="0.2">
      <c r="A712" s="8" t="str">
        <f>IF(AND(COUNTIF(W$3:W$13,A$18)&gt;0,A$18&lt;&gt;B546),A$18,IFERROR(IF(MATCH(A$18,Z$3:Z$13,0)=8,A$18," ")," "))</f>
        <v>C4</v>
      </c>
      <c r="B712" s="8">
        <f>IF(A712=" "," ",MAX(B709:B711)+1)</f>
        <v>2</v>
      </c>
      <c r="C712" s="8" t="str">
        <f>IFERROR(INDEX(A709:A730,MATCH(SMALL(B709:B730,4),B709:B730,0),1)," ")</f>
        <v>C15</v>
      </c>
      <c r="D712" s="8">
        <f t="shared" si="2943"/>
        <v>0</v>
      </c>
      <c r="E712" s="8">
        <f t="shared" si="2944"/>
        <v>0</v>
      </c>
      <c r="F712" s="8">
        <f t="shared" si="2945"/>
        <v>0</v>
      </c>
      <c r="G712" s="8">
        <f t="shared" si="2946"/>
        <v>1</v>
      </c>
      <c r="H712" s="8">
        <f t="shared" si="2947"/>
        <v>0</v>
      </c>
      <c r="I712" s="8">
        <f t="shared" si="2948"/>
        <v>0</v>
      </c>
      <c r="J712" s="8">
        <f t="shared" si="2949"/>
        <v>0</v>
      </c>
      <c r="K712" s="8">
        <f t="shared" si="2950"/>
        <v>0</v>
      </c>
      <c r="L712" s="8">
        <f t="shared" si="2951"/>
        <v>0</v>
      </c>
      <c r="M712" s="8">
        <f t="shared" si="2952"/>
        <v>0</v>
      </c>
      <c r="N712" s="8">
        <f t="shared" si="2953"/>
        <v>0</v>
      </c>
      <c r="O712" s="8">
        <f t="shared" si="2954"/>
        <v>0</v>
      </c>
      <c r="P712" s="8" t="e">
        <v>#NUM!</v>
      </c>
      <c r="Q712" s="8" t="e">
        <f t="shared" ref="Q712" si="2979">IF(COUNTIF(P709:P719,"&lt;"&amp;-0.001)=0,IF(ABS(P712)&lt;0.001,0,P712)," ")</f>
        <v>#NUM!</v>
      </c>
      <c r="R712" s="8"/>
      <c r="S712" s="8"/>
      <c r="U712" s="34"/>
      <c r="V712" s="34"/>
      <c r="W712" s="34"/>
      <c r="X712" s="34"/>
      <c r="Y712" s="34"/>
      <c r="Z712" s="34"/>
      <c r="AA712" s="34"/>
      <c r="AB712" s="34"/>
      <c r="AC712" s="34"/>
      <c r="AD712" s="34"/>
      <c r="AE712" s="34"/>
      <c r="AF712" s="34"/>
      <c r="AG712" s="34"/>
      <c r="AH712" s="34"/>
      <c r="AI712" s="34"/>
      <c r="AJ712" s="34"/>
      <c r="AK712" s="34"/>
      <c r="AL712" s="34"/>
      <c r="AM712" s="34"/>
      <c r="AN712" s="34"/>
      <c r="AO712" s="34"/>
      <c r="AP712" s="34"/>
      <c r="AQ712" s="34"/>
      <c r="AR712" s="34"/>
      <c r="AS712" s="34"/>
      <c r="AT712" s="34"/>
      <c r="AU712" s="34"/>
      <c r="AV712" s="34"/>
      <c r="AW712" s="34"/>
      <c r="AX712" s="34"/>
      <c r="AY712" s="34"/>
      <c r="AZ712" s="34"/>
      <c r="BA712" s="34"/>
      <c r="BB712" s="34"/>
      <c r="BC712" s="34"/>
      <c r="BD712" s="34"/>
      <c r="BE712" s="34"/>
      <c r="BF712" s="34"/>
      <c r="BG712" s="34"/>
      <c r="BH712" s="34"/>
      <c r="BI712" s="34"/>
      <c r="BJ712" s="34"/>
      <c r="BK712" s="34"/>
      <c r="BL712" s="34"/>
      <c r="BM712" s="34"/>
      <c r="BN712" s="34"/>
      <c r="BO712" s="34"/>
      <c r="BP712" s="34"/>
      <c r="BQ712" s="34"/>
      <c r="BR712" s="34"/>
      <c r="BS712" s="34"/>
      <c r="BT712" s="34"/>
      <c r="BU712" s="34"/>
      <c r="BV712" s="34"/>
      <c r="BW712" s="34"/>
      <c r="BX712" s="34"/>
      <c r="BY712" s="34"/>
      <c r="BZ712" s="34"/>
      <c r="CA712" s="34"/>
      <c r="CB712" s="34"/>
      <c r="CC712" s="34"/>
      <c r="CD712" s="34"/>
      <c r="CE712" s="34"/>
      <c r="CF712" s="34"/>
      <c r="CG712" s="34"/>
      <c r="CH712" s="34"/>
      <c r="CI712" s="8"/>
    </row>
    <row r="713" spans="1:87" x14ac:dyDescent="0.2">
      <c r="A713" s="8" t="str">
        <f>IF(AND(COUNTIF(W$3:W$13,A$19)&gt;0,A$19&lt;&gt;B546),A$19,IFERROR(IF(MATCH(A$19,Z$3:Z$13,0)=8,A$19," ")," "))</f>
        <v xml:space="preserve"> </v>
      </c>
      <c r="B713" s="8" t="str">
        <f>IF(A713=" "," ",MAX(B709:B712)+1)</f>
        <v xml:space="preserve"> </v>
      </c>
      <c r="C713" s="8" t="str">
        <f>IFERROR(INDEX(A709:A730,MATCH(SMALL(B709:B730,5),B709:B730,0),1)," ")</f>
        <v>C16</v>
      </c>
      <c r="D713" s="8">
        <f t="shared" si="2943"/>
        <v>0</v>
      </c>
      <c r="E713" s="8">
        <f t="shared" si="2944"/>
        <v>0</v>
      </c>
      <c r="F713" s="8">
        <f t="shared" si="2945"/>
        <v>0</v>
      </c>
      <c r="G713" s="8">
        <f t="shared" si="2946"/>
        <v>0</v>
      </c>
      <c r="H713" s="8">
        <f t="shared" si="2947"/>
        <v>1</v>
      </c>
      <c r="I713" s="8">
        <f t="shared" si="2948"/>
        <v>0</v>
      </c>
      <c r="J713" s="8">
        <f t="shared" si="2949"/>
        <v>0</v>
      </c>
      <c r="K713" s="8">
        <f t="shared" si="2950"/>
        <v>0</v>
      </c>
      <c r="L713" s="8">
        <f t="shared" si="2951"/>
        <v>0</v>
      </c>
      <c r="M713" s="8">
        <f t="shared" si="2952"/>
        <v>0</v>
      </c>
      <c r="N713" s="8">
        <f t="shared" si="2953"/>
        <v>0</v>
      </c>
      <c r="O713" s="8">
        <f t="shared" si="2954"/>
        <v>0</v>
      </c>
      <c r="P713" s="8" t="e">
        <v>#NUM!</v>
      </c>
      <c r="Q713" s="8" t="e">
        <f t="shared" ref="Q713" si="2980">IF(COUNTIF(P709:P719,"&lt;"&amp;-0.001)=0,IF(ABS(P713)&lt;0.001,0,P713)," ")</f>
        <v>#NUM!</v>
      </c>
      <c r="R713" s="8"/>
      <c r="S713" s="8"/>
      <c r="U713" s="34"/>
      <c r="V713" s="34"/>
      <c r="W713" s="34"/>
      <c r="X713" s="34"/>
      <c r="Y713" s="34"/>
      <c r="Z713" s="34"/>
      <c r="AA713" s="34"/>
      <c r="AB713" s="34"/>
      <c r="AC713" s="34"/>
      <c r="AD713" s="34"/>
      <c r="AE713" s="34"/>
      <c r="AF713" s="34"/>
      <c r="AG713" s="34"/>
      <c r="AH713" s="34"/>
      <c r="AI713" s="34"/>
      <c r="AJ713" s="34"/>
      <c r="AK713" s="34"/>
      <c r="AL713" s="34"/>
      <c r="AM713" s="34"/>
      <c r="AN713" s="34"/>
      <c r="AO713" s="34"/>
      <c r="AP713" s="34"/>
      <c r="AQ713" s="34"/>
      <c r="AR713" s="34"/>
      <c r="AS713" s="34"/>
      <c r="AT713" s="34"/>
      <c r="AU713" s="34"/>
      <c r="AV713" s="34"/>
      <c r="AW713" s="34"/>
      <c r="AX713" s="34"/>
      <c r="AY713" s="34"/>
      <c r="AZ713" s="34"/>
      <c r="BA713" s="34"/>
      <c r="BB713" s="34"/>
      <c r="BC713" s="34"/>
      <c r="BD713" s="34"/>
      <c r="BE713" s="34"/>
      <c r="BF713" s="34"/>
      <c r="BG713" s="34"/>
      <c r="BH713" s="34"/>
      <c r="BI713" s="34"/>
      <c r="BJ713" s="34"/>
      <c r="BK713" s="34"/>
      <c r="BL713" s="34"/>
      <c r="BM713" s="34"/>
      <c r="BN713" s="34"/>
      <c r="BO713" s="34"/>
      <c r="BP713" s="34"/>
      <c r="BQ713" s="34"/>
      <c r="BR713" s="34"/>
      <c r="BS713" s="34"/>
      <c r="BT713" s="34"/>
      <c r="BU713" s="34"/>
      <c r="BV713" s="34"/>
      <c r="BW713" s="34"/>
      <c r="BX713" s="34"/>
      <c r="BY713" s="34"/>
      <c r="BZ713" s="34"/>
      <c r="CA713" s="34"/>
      <c r="CB713" s="34"/>
      <c r="CC713" s="34"/>
      <c r="CD713" s="34"/>
      <c r="CE713" s="34"/>
      <c r="CF713" s="34"/>
      <c r="CG713" s="34"/>
      <c r="CH713" s="34"/>
      <c r="CI713" s="8"/>
    </row>
    <row r="714" spans="1:87" x14ac:dyDescent="0.2">
      <c r="A714" s="8" t="str">
        <f>IF(AND(COUNTIF(W$3:W$13,A$20)&gt;0,A$20&lt;&gt;B546),A$20,IFERROR(IF(MATCH(A$20,Z$3:Z$13,0)=8,A$20," ")," "))</f>
        <v xml:space="preserve"> </v>
      </c>
      <c r="B714" s="8" t="str">
        <f>IF(A714=" "," ",MAX(B709:B713)+1)</f>
        <v xml:space="preserve"> </v>
      </c>
      <c r="C714" s="8" t="str">
        <f>IFERROR(INDEX(A709:A730,MATCH(SMALL(B709:B730,6),B709:B730,0),1)," ")</f>
        <v>C17</v>
      </c>
      <c r="D714" s="8">
        <f t="shared" si="2943"/>
        <v>0</v>
      </c>
      <c r="E714" s="8">
        <f t="shared" si="2944"/>
        <v>0</v>
      </c>
      <c r="F714" s="8">
        <f t="shared" si="2945"/>
        <v>0</v>
      </c>
      <c r="G714" s="8">
        <f t="shared" si="2946"/>
        <v>0</v>
      </c>
      <c r="H714" s="8">
        <f t="shared" si="2947"/>
        <v>0</v>
      </c>
      <c r="I714" s="8">
        <f t="shared" si="2948"/>
        <v>1</v>
      </c>
      <c r="J714" s="8">
        <f t="shared" si="2949"/>
        <v>0</v>
      </c>
      <c r="K714" s="8">
        <f t="shared" si="2950"/>
        <v>0</v>
      </c>
      <c r="L714" s="8">
        <f t="shared" si="2951"/>
        <v>0</v>
      </c>
      <c r="M714" s="8">
        <f t="shared" si="2952"/>
        <v>0</v>
      </c>
      <c r="N714" s="8">
        <f t="shared" si="2953"/>
        <v>0</v>
      </c>
      <c r="O714" s="8">
        <f t="shared" si="2954"/>
        <v>0</v>
      </c>
      <c r="P714" s="8" t="e">
        <v>#NUM!</v>
      </c>
      <c r="Q714" s="8" t="e">
        <f t="shared" ref="Q714" si="2981">IF(COUNTIF(P709:P719,"&lt;"&amp;-0.001)=0,IF(ABS(P714)&lt;0.001,0,P714)," ")</f>
        <v>#NUM!</v>
      </c>
      <c r="R714" s="8"/>
      <c r="S714" s="8"/>
      <c r="U714" s="34"/>
      <c r="V714" s="34"/>
      <c r="W714" s="34"/>
      <c r="X714" s="34"/>
      <c r="Y714" s="34"/>
      <c r="Z714" s="34"/>
      <c r="AA714" s="34"/>
      <c r="AB714" s="34"/>
      <c r="AC714" s="34"/>
      <c r="AD714" s="34"/>
      <c r="AE714" s="34"/>
      <c r="AF714" s="34"/>
      <c r="AG714" s="34"/>
      <c r="AH714" s="34"/>
      <c r="AI714" s="34"/>
      <c r="AJ714" s="34"/>
      <c r="AK714" s="34"/>
      <c r="AL714" s="34"/>
      <c r="AM714" s="34"/>
      <c r="AN714" s="34"/>
      <c r="AO714" s="34"/>
      <c r="AP714" s="34"/>
      <c r="AQ714" s="34"/>
      <c r="AR714" s="34"/>
      <c r="AS714" s="34"/>
      <c r="AT714" s="34"/>
      <c r="AU714" s="34"/>
      <c r="AV714" s="34"/>
      <c r="AW714" s="34"/>
      <c r="AX714" s="34"/>
      <c r="AY714" s="34"/>
      <c r="AZ714" s="34"/>
      <c r="BA714" s="34"/>
      <c r="BB714" s="34"/>
      <c r="BC714" s="34"/>
      <c r="BD714" s="34"/>
      <c r="BE714" s="34"/>
      <c r="BF714" s="34"/>
      <c r="BG714" s="34"/>
      <c r="BH714" s="34"/>
      <c r="BI714" s="34"/>
      <c r="BJ714" s="34"/>
      <c r="BK714" s="34"/>
      <c r="BL714" s="34"/>
      <c r="BM714" s="34"/>
      <c r="BN714" s="34"/>
      <c r="BO714" s="34"/>
      <c r="BP714" s="34"/>
      <c r="BQ714" s="34"/>
      <c r="BR714" s="34"/>
      <c r="BS714" s="34"/>
      <c r="BT714" s="34"/>
      <c r="BU714" s="34"/>
      <c r="BV714" s="34"/>
      <c r="BW714" s="34"/>
      <c r="BX714" s="34"/>
      <c r="BY714" s="34"/>
      <c r="BZ714" s="34"/>
      <c r="CA714" s="34"/>
      <c r="CB714" s="34"/>
      <c r="CC714" s="34"/>
      <c r="CD714" s="34"/>
      <c r="CE714" s="34"/>
      <c r="CF714" s="34"/>
      <c r="CG714" s="34"/>
      <c r="CH714" s="34"/>
      <c r="CI714" s="8"/>
    </row>
    <row r="715" spans="1:87" x14ac:dyDescent="0.2">
      <c r="A715" s="8" t="str">
        <f>IF(AND(COUNTIF(W$3:W$13,A$21)&gt;0,A$21&lt;&gt;B546),A$21,IFERROR(IF(MATCH(A$21,Z$3:Z$13,0)=8,A$21," ")," "))</f>
        <v xml:space="preserve"> </v>
      </c>
      <c r="B715" s="8" t="str">
        <f>IF(A715=" "," ",MAX(B709:B714)+1)</f>
        <v xml:space="preserve"> </v>
      </c>
      <c r="C715" s="8" t="str">
        <f>IFERROR(INDEX(A709:A730,MATCH(SMALL(B709:B730,7),B709:B730,0),1)," ")</f>
        <v>C18</v>
      </c>
      <c r="D715" s="8">
        <f t="shared" si="2943"/>
        <v>0</v>
      </c>
      <c r="E715" s="8">
        <f t="shared" si="2944"/>
        <v>0</v>
      </c>
      <c r="F715" s="8">
        <f t="shared" si="2945"/>
        <v>0</v>
      </c>
      <c r="G715" s="8">
        <f t="shared" si="2946"/>
        <v>0</v>
      </c>
      <c r="H715" s="8">
        <f t="shared" si="2947"/>
        <v>0</v>
      </c>
      <c r="I715" s="8">
        <f t="shared" si="2948"/>
        <v>0</v>
      </c>
      <c r="J715" s="8">
        <f t="shared" si="2949"/>
        <v>1</v>
      </c>
      <c r="K715" s="8">
        <f t="shared" si="2950"/>
        <v>0</v>
      </c>
      <c r="L715" s="8">
        <f t="shared" si="2951"/>
        <v>0</v>
      </c>
      <c r="M715" s="8">
        <f t="shared" si="2952"/>
        <v>0</v>
      </c>
      <c r="N715" s="8">
        <f t="shared" si="2953"/>
        <v>0</v>
      </c>
      <c r="O715" s="8">
        <f t="shared" si="2954"/>
        <v>0</v>
      </c>
      <c r="P715" s="8" t="e">
        <v>#NUM!</v>
      </c>
      <c r="Q715" s="8" t="e">
        <f t="shared" ref="Q715" si="2982">IF(COUNTIF(P709:P719,"&lt;"&amp;-0.001)=0,IF(ABS(P715)&lt;0.001,0,P715)," ")</f>
        <v>#NUM!</v>
      </c>
      <c r="R715" s="8"/>
      <c r="S715" s="8"/>
      <c r="U715" s="34"/>
      <c r="V715" s="34"/>
      <c r="W715" s="34"/>
      <c r="X715" s="34"/>
      <c r="Y715" s="34"/>
      <c r="Z715" s="34"/>
      <c r="AA715" s="34"/>
      <c r="AB715" s="34"/>
      <c r="AC715" s="34"/>
      <c r="AD715" s="34"/>
      <c r="AE715" s="34"/>
      <c r="AF715" s="34"/>
      <c r="AG715" s="34"/>
      <c r="AH715" s="34"/>
      <c r="AI715" s="34"/>
      <c r="AJ715" s="34"/>
      <c r="AK715" s="34"/>
      <c r="AL715" s="34"/>
      <c r="AM715" s="34"/>
      <c r="AN715" s="34"/>
      <c r="AO715" s="34"/>
      <c r="AP715" s="34"/>
      <c r="AQ715" s="34"/>
      <c r="AR715" s="34"/>
      <c r="AS715" s="34"/>
      <c r="AT715" s="34"/>
      <c r="AU715" s="34"/>
      <c r="AV715" s="34"/>
      <c r="AW715" s="34"/>
      <c r="AX715" s="34"/>
      <c r="AY715" s="34"/>
      <c r="AZ715" s="34"/>
      <c r="BA715" s="34"/>
      <c r="BB715" s="34"/>
      <c r="BC715" s="34"/>
      <c r="BD715" s="34"/>
      <c r="BE715" s="34"/>
      <c r="BF715" s="34"/>
      <c r="BG715" s="34"/>
      <c r="BH715" s="34"/>
      <c r="BI715" s="34"/>
      <c r="BJ715" s="34"/>
      <c r="BK715" s="34"/>
      <c r="BL715" s="34"/>
      <c r="BM715" s="34"/>
      <c r="BN715" s="34"/>
      <c r="BO715" s="34"/>
      <c r="BP715" s="34"/>
      <c r="BQ715" s="34"/>
      <c r="BR715" s="34"/>
      <c r="BS715" s="34"/>
      <c r="BT715" s="34"/>
      <c r="BU715" s="34"/>
      <c r="BV715" s="34"/>
      <c r="BW715" s="34"/>
      <c r="BX715" s="34"/>
      <c r="BY715" s="34"/>
      <c r="BZ715" s="34"/>
      <c r="CA715" s="34"/>
      <c r="CB715" s="34"/>
      <c r="CC715" s="34"/>
      <c r="CD715" s="34"/>
      <c r="CE715" s="34"/>
      <c r="CF715" s="34"/>
      <c r="CG715" s="34"/>
      <c r="CH715" s="34"/>
      <c r="CI715" s="8"/>
    </row>
    <row r="716" spans="1:87" x14ac:dyDescent="0.2">
      <c r="A716" s="8" t="str">
        <f>IF(AND(COUNTIF(W$3:W$13,A$22)&gt;0,A$22&lt;&gt;B546),A$22,IFERROR(IF(MATCH(A$22,Z$3:Z$13,0)=8,A$22," ")," "))</f>
        <v xml:space="preserve"> </v>
      </c>
      <c r="B716" s="8" t="str">
        <f>IF(A716=" "," ",MAX(B709:B715)+1)</f>
        <v xml:space="preserve"> </v>
      </c>
      <c r="C716" s="8" t="str">
        <f>IFERROR(INDEX(A709:A730,MATCH(SMALL(B709:B730,8),B709:B730,0),1)," ")</f>
        <v>C19</v>
      </c>
      <c r="D716" s="8">
        <f t="shared" si="2943"/>
        <v>0</v>
      </c>
      <c r="E716" s="8">
        <f t="shared" si="2944"/>
        <v>0</v>
      </c>
      <c r="F716" s="8">
        <f t="shared" si="2945"/>
        <v>0</v>
      </c>
      <c r="G716" s="8">
        <f t="shared" si="2946"/>
        <v>0</v>
      </c>
      <c r="H716" s="8">
        <f t="shared" si="2947"/>
        <v>0</v>
      </c>
      <c r="I716" s="8">
        <f t="shared" si="2948"/>
        <v>0</v>
      </c>
      <c r="J716" s="8">
        <f t="shared" si="2949"/>
        <v>0</v>
      </c>
      <c r="K716" s="8">
        <f t="shared" si="2950"/>
        <v>1</v>
      </c>
      <c r="L716" s="8">
        <f t="shared" si="2951"/>
        <v>0</v>
      </c>
      <c r="M716" s="8">
        <f t="shared" si="2952"/>
        <v>0</v>
      </c>
      <c r="N716" s="8">
        <f t="shared" si="2953"/>
        <v>0</v>
      </c>
      <c r="O716" s="8">
        <f t="shared" si="2954"/>
        <v>0</v>
      </c>
      <c r="P716" s="8" t="e">
        <v>#NUM!</v>
      </c>
      <c r="Q716" s="8" t="e">
        <f t="shared" ref="Q716" si="2983">IF(COUNTIF(P709:P719,"&lt;"&amp;-0.001)=0,IF(ABS(P716)&lt;0.001,0,P716)," ")</f>
        <v>#NUM!</v>
      </c>
      <c r="R716" s="8"/>
      <c r="S716" s="8"/>
      <c r="U716" s="34"/>
      <c r="V716" s="34"/>
      <c r="W716" s="34"/>
      <c r="X716" s="34"/>
      <c r="Y716" s="34"/>
      <c r="Z716" s="34"/>
      <c r="AA716" s="34"/>
      <c r="AB716" s="34"/>
      <c r="AC716" s="34"/>
      <c r="AD716" s="34"/>
      <c r="AE716" s="34"/>
      <c r="AF716" s="34"/>
      <c r="AG716" s="34"/>
      <c r="AH716" s="34"/>
      <c r="AI716" s="34"/>
      <c r="AJ716" s="34"/>
      <c r="AK716" s="34"/>
      <c r="AL716" s="34"/>
      <c r="AM716" s="34"/>
      <c r="AN716" s="34"/>
      <c r="AO716" s="34"/>
      <c r="AP716" s="34"/>
      <c r="AQ716" s="34"/>
      <c r="AR716" s="34"/>
      <c r="AS716" s="34"/>
      <c r="AT716" s="34"/>
      <c r="AU716" s="34"/>
      <c r="AV716" s="34"/>
      <c r="AW716" s="34"/>
      <c r="AX716" s="34"/>
      <c r="AY716" s="34"/>
      <c r="AZ716" s="34"/>
      <c r="BA716" s="34"/>
      <c r="BB716" s="34"/>
      <c r="BC716" s="34"/>
      <c r="BD716" s="34"/>
      <c r="BE716" s="34"/>
      <c r="BF716" s="34"/>
      <c r="BG716" s="34"/>
      <c r="BH716" s="34"/>
      <c r="BI716" s="34"/>
      <c r="BJ716" s="34"/>
      <c r="BK716" s="34"/>
      <c r="BL716" s="34"/>
      <c r="BM716" s="34"/>
      <c r="BN716" s="34"/>
      <c r="BO716" s="34"/>
      <c r="BP716" s="34"/>
      <c r="BQ716" s="34"/>
      <c r="BR716" s="34"/>
      <c r="BS716" s="34"/>
      <c r="BT716" s="34"/>
      <c r="BU716" s="34"/>
      <c r="BV716" s="34"/>
      <c r="BW716" s="34"/>
      <c r="BX716" s="34"/>
      <c r="BY716" s="34"/>
      <c r="BZ716" s="34"/>
      <c r="CA716" s="34"/>
      <c r="CB716" s="34"/>
      <c r="CC716" s="34"/>
      <c r="CD716" s="34"/>
      <c r="CE716" s="34"/>
      <c r="CF716" s="34"/>
      <c r="CG716" s="34"/>
      <c r="CH716" s="34"/>
      <c r="CI716" s="8"/>
    </row>
    <row r="717" spans="1:87" x14ac:dyDescent="0.2">
      <c r="A717" s="8" t="str">
        <f>IF(AND(COUNTIF(W$3:W$13,A$23)&gt;0,A$23&lt;&gt;B546),A$23,IFERROR(IF(MATCH(A$23,Z$3:Z$13,0)=8,A$23," ")," "))</f>
        <v xml:space="preserve"> </v>
      </c>
      <c r="B717" s="8" t="str">
        <f>IF(A717=" "," ",MAX(B709:B716)+1)</f>
        <v xml:space="preserve"> </v>
      </c>
      <c r="C717" s="8" t="str">
        <f>IFERROR(INDEX(A709:A730,MATCH(SMALL(B709:B730,9),B709:B730,0),1)," ")</f>
        <v>C20</v>
      </c>
      <c r="D717" s="8">
        <f t="shared" si="2943"/>
        <v>0</v>
      </c>
      <c r="E717" s="8">
        <f t="shared" si="2944"/>
        <v>0</v>
      </c>
      <c r="F717" s="8">
        <f t="shared" si="2945"/>
        <v>0</v>
      </c>
      <c r="G717" s="8">
        <f t="shared" si="2946"/>
        <v>0</v>
      </c>
      <c r="H717" s="8">
        <f t="shared" si="2947"/>
        <v>0</v>
      </c>
      <c r="I717" s="8">
        <f t="shared" si="2948"/>
        <v>0</v>
      </c>
      <c r="J717" s="8">
        <f t="shared" si="2949"/>
        <v>0</v>
      </c>
      <c r="K717" s="8">
        <f t="shared" si="2950"/>
        <v>0</v>
      </c>
      <c r="L717" s="8">
        <f t="shared" si="2951"/>
        <v>1</v>
      </c>
      <c r="M717" s="8">
        <f t="shared" si="2952"/>
        <v>0</v>
      </c>
      <c r="N717" s="8">
        <f t="shared" si="2953"/>
        <v>0</v>
      </c>
      <c r="O717" s="8">
        <f t="shared" si="2954"/>
        <v>0</v>
      </c>
      <c r="P717" s="6" t="e">
        <v>#NUM!</v>
      </c>
      <c r="Q717" s="8" t="e">
        <f t="shared" ref="Q717" si="2984">IF(COUNTIF(P709:P719,"&lt;"&amp;-0.001)=0,IF(ABS(P717)&lt;0.001,0,P717)," ")</f>
        <v>#NUM!</v>
      </c>
      <c r="R717" s="8"/>
      <c r="S717" s="8"/>
      <c r="U717" s="34"/>
      <c r="V717" s="34"/>
      <c r="W717" s="34"/>
      <c r="X717" s="34"/>
      <c r="Y717" s="34"/>
      <c r="Z717" s="34"/>
      <c r="AA717" s="34"/>
      <c r="AB717" s="34"/>
      <c r="AC717" s="34"/>
      <c r="AD717" s="34"/>
      <c r="AE717" s="34"/>
      <c r="AF717" s="34"/>
      <c r="AG717" s="34"/>
      <c r="AH717" s="34"/>
      <c r="AI717" s="34"/>
      <c r="AJ717" s="34"/>
      <c r="AK717" s="34"/>
      <c r="AL717" s="34"/>
      <c r="AM717" s="34"/>
      <c r="AN717" s="34"/>
      <c r="AO717" s="34"/>
      <c r="AP717" s="34"/>
      <c r="AQ717" s="34"/>
      <c r="AR717" s="34"/>
      <c r="AS717" s="34"/>
      <c r="AT717" s="34"/>
      <c r="AU717" s="34"/>
      <c r="AV717" s="34"/>
      <c r="AW717" s="34"/>
      <c r="AX717" s="34"/>
      <c r="AY717" s="34"/>
      <c r="AZ717" s="34"/>
      <c r="BA717" s="34"/>
      <c r="BB717" s="34"/>
      <c r="BC717" s="34"/>
      <c r="BD717" s="34"/>
      <c r="BE717" s="34"/>
      <c r="BF717" s="34"/>
      <c r="BG717" s="34"/>
      <c r="BH717" s="34"/>
      <c r="BI717" s="34"/>
      <c r="BJ717" s="34"/>
      <c r="BK717" s="34"/>
      <c r="BL717" s="34"/>
      <c r="BM717" s="34"/>
      <c r="BN717" s="34"/>
      <c r="BO717" s="34"/>
      <c r="BP717" s="34"/>
      <c r="BQ717" s="34"/>
      <c r="BR717" s="34"/>
      <c r="BS717" s="34"/>
      <c r="BT717" s="34"/>
      <c r="BU717" s="34"/>
      <c r="BV717" s="34"/>
      <c r="BW717" s="34"/>
      <c r="BX717" s="34"/>
      <c r="BY717" s="34"/>
      <c r="BZ717" s="34"/>
      <c r="CA717" s="34"/>
      <c r="CB717" s="34"/>
      <c r="CC717" s="34"/>
      <c r="CD717" s="34"/>
      <c r="CE717" s="34"/>
      <c r="CF717" s="34"/>
      <c r="CG717" s="34"/>
      <c r="CH717" s="34"/>
      <c r="CI717" s="8"/>
    </row>
    <row r="718" spans="1:87" x14ac:dyDescent="0.2">
      <c r="A718" s="8" t="str">
        <f>IF(AND(COUNTIF(W$3:W$13,A$24)&gt;0,A$24&lt;&gt;B546),A$24,IFERROR(IF(MATCH(A$24,Z$3:Z$13,0)=8,A$24," ")," "))</f>
        <v>C10</v>
      </c>
      <c r="B718" s="8">
        <f>IF(A718=" "," ",MAX(B709:B717)+1)</f>
        <v>3</v>
      </c>
      <c r="C718" s="8" t="str">
        <f>IFERROR(INDEX(A709:A730,MATCH(SMALL(B709:B730,10),B709:B730,0),1)," ")</f>
        <v>C21</v>
      </c>
      <c r="D718" s="8">
        <f t="shared" si="2943"/>
        <v>0</v>
      </c>
      <c r="E718" s="8">
        <f t="shared" si="2944"/>
        <v>0</v>
      </c>
      <c r="F718" s="8">
        <f t="shared" si="2945"/>
        <v>0</v>
      </c>
      <c r="G718" s="8">
        <f t="shared" si="2946"/>
        <v>0</v>
      </c>
      <c r="H718" s="8">
        <f t="shared" si="2947"/>
        <v>0</v>
      </c>
      <c r="I718" s="8">
        <f t="shared" si="2948"/>
        <v>0</v>
      </c>
      <c r="J718" s="8">
        <f t="shared" si="2949"/>
        <v>0</v>
      </c>
      <c r="K718" s="8">
        <f t="shared" si="2950"/>
        <v>0</v>
      </c>
      <c r="L718" s="8">
        <f t="shared" si="2951"/>
        <v>0</v>
      </c>
      <c r="M718" s="8">
        <f t="shared" si="2952"/>
        <v>1</v>
      </c>
      <c r="N718" s="8">
        <f t="shared" si="2953"/>
        <v>0</v>
      </c>
      <c r="O718" s="8">
        <f t="shared" si="2954"/>
        <v>0</v>
      </c>
      <c r="P718" s="8" t="e">
        <v>#NUM!</v>
      </c>
      <c r="Q718" s="8" t="e">
        <f t="shared" ref="Q718" si="2985">IF(COUNTIF(P709:P719,"&lt;"&amp;-0.001)=0,IF(ABS(P718)&lt;0.001,0,P718)," ")</f>
        <v>#NUM!</v>
      </c>
      <c r="R718" s="8"/>
      <c r="S718" s="8"/>
      <c r="U718" s="34"/>
      <c r="V718" s="34"/>
      <c r="W718" s="34"/>
      <c r="X718" s="34"/>
      <c r="Y718" s="34"/>
      <c r="Z718" s="34"/>
      <c r="AA718" s="34"/>
      <c r="AB718" s="34"/>
      <c r="AC718" s="34"/>
      <c r="AD718" s="34"/>
      <c r="AE718" s="34"/>
      <c r="AF718" s="34"/>
      <c r="AG718" s="34"/>
      <c r="AH718" s="34"/>
      <c r="AI718" s="34"/>
      <c r="AJ718" s="34"/>
      <c r="AK718" s="34"/>
      <c r="AL718" s="34"/>
      <c r="AM718" s="34"/>
      <c r="AN718" s="34"/>
      <c r="AO718" s="34"/>
      <c r="AP718" s="34"/>
      <c r="AQ718" s="34"/>
      <c r="AR718" s="34"/>
      <c r="AS718" s="34"/>
      <c r="AT718" s="34"/>
      <c r="AU718" s="34"/>
      <c r="AV718" s="34"/>
      <c r="AW718" s="34"/>
      <c r="AX718" s="34"/>
      <c r="AY718" s="34"/>
      <c r="AZ718" s="34"/>
      <c r="BA718" s="34"/>
      <c r="BB718" s="34"/>
      <c r="BC718" s="34"/>
      <c r="BD718" s="34"/>
      <c r="BE718" s="34"/>
      <c r="BF718" s="34"/>
      <c r="BG718" s="34"/>
      <c r="BH718" s="34"/>
      <c r="BI718" s="34"/>
      <c r="BJ718" s="34"/>
      <c r="BK718" s="34"/>
      <c r="BL718" s="34"/>
      <c r="BM718" s="34"/>
      <c r="BN718" s="34"/>
      <c r="BO718" s="34"/>
      <c r="BP718" s="34"/>
      <c r="BQ718" s="34"/>
      <c r="BR718" s="34"/>
      <c r="BS718" s="34"/>
      <c r="BT718" s="34"/>
      <c r="BU718" s="34"/>
      <c r="BV718" s="34"/>
      <c r="BW718" s="34"/>
      <c r="BX718" s="34"/>
      <c r="BY718" s="34"/>
      <c r="BZ718" s="34"/>
      <c r="CA718" s="34"/>
      <c r="CB718" s="34"/>
      <c r="CC718" s="34"/>
      <c r="CD718" s="34"/>
      <c r="CE718" s="34"/>
      <c r="CF718" s="34"/>
      <c r="CG718" s="34"/>
      <c r="CH718" s="34"/>
      <c r="CI718" s="8"/>
    </row>
    <row r="719" spans="1:87" x14ac:dyDescent="0.2">
      <c r="A719" s="8" t="str">
        <f>IF(AND(COUNTIF(W$3:W$13,A$25)&gt;0,A$25&lt;&gt;B546),A$25,IFERROR(IF(MATCH(A$25,Z$3:Z$13,0)=8,A$25," ")," "))</f>
        <v xml:space="preserve"> </v>
      </c>
      <c r="B719" s="8" t="str">
        <f>IF(A719=" "," ",MAX(B709:B718)+1)</f>
        <v xml:space="preserve"> </v>
      </c>
      <c r="C719" s="8" t="str">
        <f>IFERROR(INDEX(A709:A730,MATCH(SMALL(B709:B730,11),B709:B730,0),1)," ")</f>
        <v>C22</v>
      </c>
      <c r="D719" s="8">
        <f t="shared" si="2943"/>
        <v>0</v>
      </c>
      <c r="E719" s="8">
        <f t="shared" si="2944"/>
        <v>0</v>
      </c>
      <c r="F719" s="8">
        <f t="shared" si="2945"/>
        <v>0</v>
      </c>
      <c r="G719" s="8">
        <f t="shared" si="2946"/>
        <v>0</v>
      </c>
      <c r="H719" s="8">
        <f t="shared" si="2947"/>
        <v>0</v>
      </c>
      <c r="I719" s="8">
        <f t="shared" si="2948"/>
        <v>0</v>
      </c>
      <c r="J719" s="8">
        <f t="shared" si="2949"/>
        <v>0</v>
      </c>
      <c r="K719" s="8">
        <f t="shared" si="2950"/>
        <v>0</v>
      </c>
      <c r="L719" s="8">
        <f t="shared" si="2951"/>
        <v>0</v>
      </c>
      <c r="M719" s="8">
        <f t="shared" si="2952"/>
        <v>0</v>
      </c>
      <c r="N719" s="8">
        <f t="shared" si="2953"/>
        <v>1</v>
      </c>
      <c r="O719" s="8">
        <f t="shared" si="2954"/>
        <v>0</v>
      </c>
      <c r="P719" s="8" t="e">
        <v>#NUM!</v>
      </c>
      <c r="Q719" s="8" t="e">
        <f t="shared" ref="Q719" si="2986">IF(COUNTIF(P709:P719,"&lt;"&amp;-0.001)=0,IF(ABS(P719)&lt;0.001,0,P719)," ")</f>
        <v>#NUM!</v>
      </c>
      <c r="R719" s="8"/>
      <c r="S719" s="8"/>
      <c r="U719" s="34"/>
      <c r="V719" s="34"/>
      <c r="W719" s="34"/>
      <c r="X719" s="34"/>
      <c r="Y719" s="34"/>
      <c r="Z719" s="34"/>
      <c r="AA719" s="34"/>
      <c r="AB719" s="34"/>
      <c r="AC719" s="34"/>
      <c r="AD719" s="34"/>
      <c r="AE719" s="34"/>
      <c r="AF719" s="34"/>
      <c r="AG719" s="34"/>
      <c r="AH719" s="34"/>
      <c r="AI719" s="34"/>
      <c r="AJ719" s="34"/>
      <c r="AK719" s="34"/>
      <c r="AL719" s="34"/>
      <c r="AM719" s="34"/>
      <c r="AN719" s="34"/>
      <c r="AO719" s="34"/>
      <c r="AP719" s="34"/>
      <c r="AQ719" s="34"/>
      <c r="AR719" s="34"/>
      <c r="AS719" s="34"/>
      <c r="AT719" s="34"/>
      <c r="AU719" s="34"/>
      <c r="AV719" s="34"/>
      <c r="AW719" s="34"/>
      <c r="AX719" s="34"/>
      <c r="AY719" s="34"/>
      <c r="AZ719" s="34"/>
      <c r="BA719" s="34"/>
      <c r="BB719" s="34"/>
      <c r="BC719" s="34"/>
      <c r="BD719" s="34"/>
      <c r="BE719" s="34"/>
      <c r="BF719" s="34"/>
      <c r="BG719" s="34"/>
      <c r="BH719" s="34"/>
      <c r="BI719" s="34"/>
      <c r="BJ719" s="34"/>
      <c r="BK719" s="34"/>
      <c r="BL719" s="34"/>
      <c r="BM719" s="34"/>
      <c r="BN719" s="34"/>
      <c r="BO719" s="34"/>
      <c r="BP719" s="34"/>
      <c r="BQ719" s="34"/>
      <c r="BR719" s="34"/>
      <c r="BS719" s="34"/>
      <c r="BT719" s="34"/>
      <c r="BU719" s="34"/>
      <c r="BV719" s="34"/>
      <c r="BW719" s="34"/>
      <c r="BX719" s="34"/>
      <c r="BY719" s="34"/>
      <c r="BZ719" s="34"/>
      <c r="CA719" s="34"/>
      <c r="CB719" s="34"/>
      <c r="CC719" s="34"/>
      <c r="CD719" s="34"/>
      <c r="CE719" s="34"/>
      <c r="CF719" s="34"/>
      <c r="CG719" s="34"/>
      <c r="CH719" s="34"/>
      <c r="CI719" s="8"/>
    </row>
    <row r="720" spans="1:87" x14ac:dyDescent="0.2">
      <c r="A720" s="8" t="str">
        <f>IF(AND(COUNTIF(W$3:W$13,A$26)&gt;0,A$26&lt;&gt;B546),A$26,IFERROR(IF(MATCH(A$26,Z$3:Z$13,0)=8,A$26," ")," "))</f>
        <v xml:space="preserve"> </v>
      </c>
      <c r="B720" s="8" t="str">
        <f>IF(A720=" "," ",MAX(B709:B719)+1)</f>
        <v xml:space="preserve"> </v>
      </c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U720" s="34"/>
      <c r="V720" s="34"/>
      <c r="W720" s="34"/>
      <c r="X720" s="34"/>
      <c r="Y720" s="34"/>
      <c r="Z720" s="34"/>
      <c r="AA720" s="34"/>
      <c r="AB720" s="34"/>
      <c r="AC720" s="34"/>
      <c r="AD720" s="34"/>
      <c r="AE720" s="34"/>
      <c r="AF720" s="34"/>
      <c r="AG720" s="34"/>
      <c r="AH720" s="34"/>
      <c r="AI720" s="34"/>
      <c r="AJ720" s="34"/>
      <c r="AK720" s="34"/>
      <c r="AL720" s="34"/>
      <c r="AM720" s="34"/>
      <c r="AN720" s="34"/>
      <c r="AO720" s="34"/>
      <c r="AP720" s="34"/>
      <c r="AQ720" s="34"/>
      <c r="AR720" s="34"/>
      <c r="AS720" s="34"/>
      <c r="AT720" s="34"/>
      <c r="AU720" s="34"/>
      <c r="AV720" s="34"/>
      <c r="AW720" s="34"/>
      <c r="AX720" s="34"/>
      <c r="AY720" s="34"/>
      <c r="AZ720" s="34"/>
      <c r="BA720" s="34"/>
      <c r="BB720" s="34"/>
      <c r="BC720" s="34"/>
      <c r="BD720" s="34"/>
      <c r="BE720" s="34"/>
      <c r="BF720" s="34"/>
      <c r="BG720" s="34"/>
      <c r="BH720" s="34"/>
      <c r="BI720" s="34"/>
      <c r="BJ720" s="34"/>
      <c r="BK720" s="34"/>
      <c r="BL720" s="34"/>
      <c r="BM720" s="34"/>
      <c r="BN720" s="34"/>
      <c r="BO720" s="34"/>
      <c r="BP720" s="34"/>
      <c r="BQ720" s="34"/>
      <c r="BR720" s="34"/>
      <c r="BS720" s="34"/>
      <c r="BT720" s="34"/>
      <c r="BU720" s="34"/>
      <c r="BV720" s="34"/>
      <c r="BW720" s="34"/>
      <c r="BX720" s="34"/>
      <c r="BY720" s="34"/>
      <c r="BZ720" s="34"/>
      <c r="CA720" s="34"/>
      <c r="CB720" s="34"/>
      <c r="CC720" s="34"/>
      <c r="CD720" s="34"/>
      <c r="CE720" s="34"/>
      <c r="CF720" s="34"/>
      <c r="CG720" s="34"/>
      <c r="CH720" s="34"/>
      <c r="CI720" s="8"/>
    </row>
    <row r="721" spans="1:87" x14ac:dyDescent="0.2">
      <c r="A721" s="8" t="str">
        <f>IF(AND(COUNTIF(W$3:W$13,A$27)&gt;0,A$27&lt;&gt;B546),A$27,IFERROR(IF(MATCH(A$27,Z$3:Z$13,0)=8,A$27," ")," "))</f>
        <v xml:space="preserve"> </v>
      </c>
      <c r="B721" s="8" t="str">
        <f>IF(A721=" "," ",MAX(B709:B720)+1)</f>
        <v xml:space="preserve"> </v>
      </c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U721" s="34"/>
      <c r="V721" s="34"/>
      <c r="W721" s="34"/>
      <c r="X721" s="34"/>
      <c r="Y721" s="34"/>
      <c r="Z721" s="34"/>
      <c r="AA721" s="34"/>
      <c r="AB721" s="34"/>
      <c r="AC721" s="34"/>
      <c r="AD721" s="34"/>
      <c r="AE721" s="34"/>
      <c r="AF721" s="34"/>
      <c r="AG721" s="34"/>
      <c r="AH721" s="34"/>
      <c r="AI721" s="34"/>
      <c r="AJ721" s="34"/>
      <c r="AK721" s="34"/>
      <c r="AL721" s="34"/>
      <c r="AM721" s="34"/>
      <c r="AN721" s="34"/>
      <c r="AO721" s="34"/>
      <c r="AP721" s="34"/>
      <c r="AQ721" s="34"/>
      <c r="AR721" s="34"/>
      <c r="AS721" s="34"/>
      <c r="AT721" s="34"/>
      <c r="AU721" s="34"/>
      <c r="AV721" s="34"/>
      <c r="AW721" s="34"/>
      <c r="AX721" s="34"/>
      <c r="AY721" s="34"/>
      <c r="AZ721" s="34"/>
      <c r="BA721" s="34"/>
      <c r="BB721" s="34"/>
      <c r="BC721" s="34"/>
      <c r="BD721" s="34"/>
      <c r="BE721" s="34"/>
      <c r="BF721" s="34"/>
      <c r="BG721" s="34"/>
      <c r="BH721" s="34"/>
      <c r="BI721" s="34"/>
      <c r="BJ721" s="34"/>
      <c r="BK721" s="34"/>
      <c r="BL721" s="34"/>
      <c r="BM721" s="34"/>
      <c r="BN721" s="34"/>
      <c r="BO721" s="34"/>
      <c r="BP721" s="34"/>
      <c r="BQ721" s="34"/>
      <c r="BR721" s="34"/>
      <c r="BS721" s="34"/>
      <c r="BT721" s="34"/>
      <c r="BU721" s="34"/>
      <c r="BV721" s="34"/>
      <c r="BW721" s="34"/>
      <c r="BX721" s="34"/>
      <c r="BY721" s="34"/>
      <c r="BZ721" s="34"/>
      <c r="CA721" s="34"/>
      <c r="CB721" s="34"/>
      <c r="CC721" s="34"/>
      <c r="CD721" s="34"/>
      <c r="CE721" s="34"/>
      <c r="CF721" s="34"/>
      <c r="CG721" s="34"/>
      <c r="CH721" s="34"/>
      <c r="CI721" s="8"/>
    </row>
    <row r="722" spans="1:87" x14ac:dyDescent="0.2">
      <c r="A722" s="8" t="str">
        <f>IF(AND(COUNTIF(W$3:W$13,A$28)&gt;0,A$28&lt;&gt;B546),A$28,IFERROR(IF(MATCH(A$28,Z$3:Z$13,0)=8,A$28," ")," "))</f>
        <v xml:space="preserve"> </v>
      </c>
      <c r="B722" s="8" t="str">
        <f>IF(A722=" "," ",MAX(B709:B721)+1)</f>
        <v xml:space="preserve"> </v>
      </c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U722" s="34"/>
      <c r="V722" s="34"/>
      <c r="W722" s="34"/>
      <c r="X722" s="34"/>
      <c r="Y722" s="34"/>
      <c r="Z722" s="34"/>
      <c r="AA722" s="34"/>
      <c r="AB722" s="34"/>
      <c r="AC722" s="34"/>
      <c r="AD722" s="34"/>
      <c r="AE722" s="34"/>
      <c r="AF722" s="34"/>
      <c r="AG722" s="34"/>
      <c r="AH722" s="34"/>
      <c r="AI722" s="34"/>
      <c r="AJ722" s="34"/>
      <c r="AK722" s="34"/>
      <c r="AL722" s="34"/>
      <c r="AM722" s="34"/>
      <c r="AN722" s="34"/>
      <c r="AO722" s="34"/>
      <c r="AP722" s="34"/>
      <c r="AQ722" s="34"/>
      <c r="AR722" s="34"/>
      <c r="AS722" s="34"/>
      <c r="AT722" s="34"/>
      <c r="AU722" s="34"/>
      <c r="AV722" s="34"/>
      <c r="AW722" s="34"/>
      <c r="AX722" s="34"/>
      <c r="AY722" s="34"/>
      <c r="AZ722" s="34"/>
      <c r="BA722" s="34"/>
      <c r="BB722" s="34"/>
      <c r="BC722" s="34"/>
      <c r="BD722" s="34"/>
      <c r="BE722" s="34"/>
      <c r="BF722" s="34"/>
      <c r="BG722" s="34"/>
      <c r="BH722" s="34"/>
      <c r="BI722" s="34"/>
      <c r="BJ722" s="34"/>
      <c r="BK722" s="34"/>
      <c r="BL722" s="34"/>
      <c r="BM722" s="34"/>
      <c r="BN722" s="34"/>
      <c r="BO722" s="34"/>
      <c r="BP722" s="34"/>
      <c r="BQ722" s="34"/>
      <c r="BR722" s="34"/>
      <c r="BS722" s="34"/>
      <c r="BT722" s="34"/>
      <c r="BU722" s="34"/>
      <c r="BV722" s="34"/>
      <c r="BW722" s="34"/>
      <c r="BX722" s="34"/>
      <c r="BY722" s="34"/>
      <c r="BZ722" s="34"/>
      <c r="CA722" s="34"/>
      <c r="CB722" s="34"/>
      <c r="CC722" s="34"/>
      <c r="CD722" s="34"/>
      <c r="CE722" s="34"/>
      <c r="CF722" s="34"/>
      <c r="CG722" s="34"/>
      <c r="CH722" s="34"/>
      <c r="CI722" s="8"/>
    </row>
    <row r="723" spans="1:87" x14ac:dyDescent="0.2">
      <c r="A723" s="8" t="str">
        <f>IF(AND(COUNTIF(W$3:W$13,A$29)&gt;0,A$29&lt;&gt;B546),A$29,IFERROR(IF(MATCH(A$29,Z$3:Z$13,0)=8,A$29," ")," "))</f>
        <v>C15</v>
      </c>
      <c r="B723" s="8">
        <f>IF(A723=" "," ",MAX(B709:B722)+1)</f>
        <v>4</v>
      </c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U723" s="34"/>
      <c r="V723" s="34"/>
      <c r="W723" s="34"/>
      <c r="X723" s="34"/>
      <c r="Y723" s="34"/>
      <c r="Z723" s="34"/>
      <c r="AA723" s="34"/>
      <c r="AB723" s="34"/>
      <c r="AC723" s="34"/>
      <c r="AD723" s="34"/>
      <c r="AE723" s="34"/>
      <c r="AF723" s="34"/>
      <c r="AG723" s="34"/>
      <c r="AH723" s="34"/>
      <c r="AI723" s="34"/>
      <c r="AJ723" s="34"/>
      <c r="AK723" s="34"/>
      <c r="AL723" s="34"/>
      <c r="AM723" s="34"/>
      <c r="AN723" s="34"/>
      <c r="AO723" s="34"/>
      <c r="AP723" s="34"/>
      <c r="AQ723" s="34"/>
      <c r="AR723" s="34"/>
      <c r="AS723" s="34"/>
      <c r="AT723" s="34"/>
      <c r="AU723" s="34"/>
      <c r="AV723" s="34"/>
      <c r="AW723" s="34"/>
      <c r="AX723" s="34"/>
      <c r="AY723" s="34"/>
      <c r="AZ723" s="34"/>
      <c r="BA723" s="34"/>
      <c r="BB723" s="34"/>
      <c r="BC723" s="34"/>
      <c r="BD723" s="34"/>
      <c r="BE723" s="34"/>
      <c r="BF723" s="34"/>
      <c r="BG723" s="34"/>
      <c r="BH723" s="34"/>
      <c r="BI723" s="34"/>
      <c r="BJ723" s="34"/>
      <c r="BK723" s="34"/>
      <c r="BL723" s="34"/>
      <c r="BM723" s="34"/>
      <c r="BN723" s="34"/>
      <c r="BO723" s="34"/>
      <c r="BP723" s="34"/>
      <c r="BQ723" s="34"/>
      <c r="BR723" s="34"/>
      <c r="BS723" s="34"/>
      <c r="BT723" s="34"/>
      <c r="BU723" s="34"/>
      <c r="BV723" s="34"/>
      <c r="BW723" s="34"/>
      <c r="BX723" s="34"/>
      <c r="BY723" s="34"/>
      <c r="BZ723" s="34"/>
      <c r="CA723" s="34"/>
      <c r="CB723" s="34"/>
      <c r="CC723" s="34"/>
      <c r="CD723" s="34"/>
      <c r="CE723" s="34"/>
      <c r="CF723" s="34"/>
      <c r="CG723" s="34"/>
      <c r="CH723" s="34"/>
      <c r="CI723" s="8"/>
    </row>
    <row r="724" spans="1:87" x14ac:dyDescent="0.2">
      <c r="A724" s="8" t="str">
        <f>IF(AND(COUNTIF(W$3:W$13,A$30)&gt;0,A$30&lt;&gt;B546),A$30,IFERROR(IF(MATCH(A$30,Z$3:Z$13,0)=8,A$30," ")," "))</f>
        <v>C16</v>
      </c>
      <c r="B724" s="8">
        <f>IF(A724=" "," ",MAX(B709:B723)+1)</f>
        <v>5</v>
      </c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U724" s="34"/>
      <c r="V724" s="34"/>
      <c r="W724" s="34"/>
      <c r="X724" s="34"/>
      <c r="Y724" s="34"/>
      <c r="Z724" s="34"/>
      <c r="AA724" s="34"/>
      <c r="AB724" s="34"/>
      <c r="AC724" s="34"/>
      <c r="AD724" s="34"/>
      <c r="AE724" s="34"/>
      <c r="AF724" s="34"/>
      <c r="AG724" s="34"/>
      <c r="AH724" s="34"/>
      <c r="AI724" s="34"/>
      <c r="AJ724" s="34"/>
      <c r="AK724" s="34"/>
      <c r="AL724" s="34"/>
      <c r="AM724" s="34"/>
      <c r="AN724" s="34"/>
      <c r="AO724" s="34"/>
      <c r="AP724" s="34"/>
      <c r="AQ724" s="34"/>
      <c r="AR724" s="34"/>
      <c r="AS724" s="34"/>
      <c r="AT724" s="34"/>
      <c r="AU724" s="34"/>
      <c r="AV724" s="34"/>
      <c r="AW724" s="34"/>
      <c r="AX724" s="34"/>
      <c r="AY724" s="34"/>
      <c r="AZ724" s="34"/>
      <c r="BA724" s="34"/>
      <c r="BB724" s="34"/>
      <c r="BC724" s="34"/>
      <c r="BD724" s="34"/>
      <c r="BE724" s="34"/>
      <c r="BF724" s="34"/>
      <c r="BG724" s="34"/>
      <c r="BH724" s="34"/>
      <c r="BI724" s="34"/>
      <c r="BJ724" s="34"/>
      <c r="BK724" s="34"/>
      <c r="BL724" s="34"/>
      <c r="BM724" s="34"/>
      <c r="BN724" s="34"/>
      <c r="BO724" s="34"/>
      <c r="BP724" s="34"/>
      <c r="BQ724" s="34"/>
      <c r="BR724" s="34"/>
      <c r="BS724" s="34"/>
      <c r="BT724" s="34"/>
      <c r="BU724" s="34"/>
      <c r="BV724" s="34"/>
      <c r="BW724" s="34"/>
      <c r="BX724" s="34"/>
      <c r="BY724" s="34"/>
      <c r="BZ724" s="34"/>
      <c r="CA724" s="34"/>
      <c r="CB724" s="34"/>
      <c r="CC724" s="34"/>
      <c r="CD724" s="34"/>
      <c r="CE724" s="34"/>
      <c r="CF724" s="34"/>
      <c r="CG724" s="34"/>
      <c r="CH724" s="34"/>
      <c r="CI724" s="8"/>
    </row>
    <row r="725" spans="1:87" x14ac:dyDescent="0.2">
      <c r="A725" s="8" t="str">
        <f>IF(AND(COUNTIF(W$3:W$13,A$31)&gt;0,A$31&lt;&gt;B546),A$31,IFERROR(IF(MATCH(A$31,Z$3:Z$13,0)=8,A$31," ")," "))</f>
        <v>C17</v>
      </c>
      <c r="B725" s="8">
        <f>IF(A725=" "," ",MAX(B709:B724)+1)</f>
        <v>6</v>
      </c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U725" s="34"/>
      <c r="V725" s="34"/>
      <c r="W725" s="34"/>
      <c r="X725" s="34"/>
      <c r="Y725" s="34"/>
      <c r="Z725" s="34"/>
      <c r="AA725" s="34"/>
      <c r="AB725" s="34"/>
      <c r="AC725" s="34"/>
      <c r="AD725" s="34"/>
      <c r="AE725" s="34"/>
      <c r="AF725" s="34"/>
      <c r="AG725" s="34"/>
      <c r="AH725" s="34"/>
      <c r="AI725" s="34"/>
      <c r="AJ725" s="34"/>
      <c r="AK725" s="34"/>
      <c r="AL725" s="34"/>
      <c r="AM725" s="34"/>
      <c r="AN725" s="34"/>
      <c r="AO725" s="34"/>
      <c r="AP725" s="34"/>
      <c r="AQ725" s="34"/>
      <c r="AR725" s="34"/>
      <c r="AS725" s="34"/>
      <c r="AT725" s="34"/>
      <c r="AU725" s="34"/>
      <c r="AV725" s="34"/>
      <c r="AW725" s="34"/>
      <c r="AX725" s="34"/>
      <c r="AY725" s="34"/>
      <c r="AZ725" s="34"/>
      <c r="BA725" s="34"/>
      <c r="BB725" s="34"/>
      <c r="BC725" s="34"/>
      <c r="BD725" s="34"/>
      <c r="BE725" s="34"/>
      <c r="BF725" s="34"/>
      <c r="BG725" s="34"/>
      <c r="BH725" s="34"/>
      <c r="BI725" s="34"/>
      <c r="BJ725" s="34"/>
      <c r="BK725" s="34"/>
      <c r="BL725" s="34"/>
      <c r="BM725" s="34"/>
      <c r="BN725" s="34"/>
      <c r="BO725" s="34"/>
      <c r="BP725" s="34"/>
      <c r="BQ725" s="34"/>
      <c r="BR725" s="34"/>
      <c r="BS725" s="34"/>
      <c r="BT725" s="34"/>
      <c r="BU725" s="34"/>
      <c r="BV725" s="34"/>
      <c r="BW725" s="34"/>
      <c r="BX725" s="34"/>
      <c r="BY725" s="34"/>
      <c r="BZ725" s="34"/>
      <c r="CA725" s="34"/>
      <c r="CB725" s="34"/>
      <c r="CC725" s="34"/>
      <c r="CD725" s="34"/>
      <c r="CE725" s="34"/>
      <c r="CF725" s="34"/>
      <c r="CG725" s="34"/>
      <c r="CH725" s="34"/>
      <c r="CI725" s="8"/>
    </row>
    <row r="726" spans="1:87" x14ac:dyDescent="0.2">
      <c r="A726" s="8" t="str">
        <f>IF(AND(COUNTIF(W$3:W$13,A$32)&gt;0,A$32&lt;&gt;B546),A$32,IFERROR(IF(MATCH(A$32,Z$3:Z$13,0)=8,A$32," ")," "))</f>
        <v>C18</v>
      </c>
      <c r="B726" s="8">
        <f>IF(A726=" "," ",MAX(B709:B725)+1)</f>
        <v>7</v>
      </c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U726" s="34"/>
      <c r="V726" s="34"/>
      <c r="W726" s="34"/>
      <c r="X726" s="34"/>
      <c r="Y726" s="34"/>
      <c r="Z726" s="34"/>
      <c r="AA726" s="34"/>
      <c r="AB726" s="34"/>
      <c r="AC726" s="34"/>
      <c r="AD726" s="34"/>
      <c r="AE726" s="34"/>
      <c r="AF726" s="34"/>
      <c r="AG726" s="34"/>
      <c r="AH726" s="34"/>
      <c r="AI726" s="34"/>
      <c r="AJ726" s="34"/>
      <c r="AK726" s="34"/>
      <c r="AL726" s="34"/>
      <c r="AM726" s="34"/>
      <c r="AN726" s="34"/>
      <c r="AO726" s="34"/>
      <c r="AP726" s="34"/>
      <c r="AQ726" s="34"/>
      <c r="AR726" s="34"/>
      <c r="AS726" s="34"/>
      <c r="AT726" s="34"/>
      <c r="AU726" s="34"/>
      <c r="AV726" s="34"/>
      <c r="AW726" s="34"/>
      <c r="AX726" s="34"/>
      <c r="AY726" s="34"/>
      <c r="AZ726" s="34"/>
      <c r="BA726" s="34"/>
      <c r="BB726" s="34"/>
      <c r="BC726" s="34"/>
      <c r="BD726" s="34"/>
      <c r="BE726" s="34"/>
      <c r="BF726" s="34"/>
      <c r="BG726" s="34"/>
      <c r="BH726" s="34"/>
      <c r="BI726" s="34"/>
      <c r="BJ726" s="34"/>
      <c r="BK726" s="34"/>
      <c r="BL726" s="34"/>
      <c r="BM726" s="34"/>
      <c r="BN726" s="34"/>
      <c r="BO726" s="34"/>
      <c r="BP726" s="34"/>
      <c r="BQ726" s="34"/>
      <c r="BR726" s="34"/>
      <c r="BS726" s="34"/>
      <c r="BT726" s="34"/>
      <c r="BU726" s="34"/>
      <c r="BV726" s="34"/>
      <c r="BW726" s="34"/>
      <c r="BX726" s="34"/>
      <c r="BY726" s="34"/>
      <c r="BZ726" s="34"/>
      <c r="CA726" s="34"/>
      <c r="CB726" s="34"/>
      <c r="CC726" s="34"/>
      <c r="CD726" s="34"/>
      <c r="CE726" s="34"/>
      <c r="CF726" s="34"/>
      <c r="CG726" s="34"/>
      <c r="CH726" s="34"/>
      <c r="CI726" s="8"/>
    </row>
    <row r="727" spans="1:87" x14ac:dyDescent="0.2">
      <c r="A727" s="8" t="str">
        <f>IF(AND(COUNTIF(W$3:W$13,A$33)&gt;0,A$33&lt;&gt;B546),A$33,IFERROR(IF(MATCH(A$33,Z$3:Z$13,0)=8,A$33," ")," "))</f>
        <v>C19</v>
      </c>
      <c r="B727" s="8">
        <f>IF(A727=" "," ",MAX(B709:B726)+1)</f>
        <v>8</v>
      </c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U727" s="34"/>
      <c r="V727" s="34"/>
      <c r="W727" s="34"/>
      <c r="X727" s="34"/>
      <c r="Y727" s="34"/>
      <c r="Z727" s="34"/>
      <c r="AA727" s="34"/>
      <c r="AB727" s="34"/>
      <c r="AC727" s="34"/>
      <c r="AD727" s="34"/>
      <c r="AE727" s="34"/>
      <c r="AF727" s="34"/>
      <c r="AG727" s="34"/>
      <c r="AH727" s="34"/>
      <c r="AI727" s="34"/>
      <c r="AJ727" s="34"/>
      <c r="AK727" s="34"/>
      <c r="AL727" s="34"/>
      <c r="AM727" s="34"/>
      <c r="AN727" s="34"/>
      <c r="AO727" s="34"/>
      <c r="AP727" s="34"/>
      <c r="AQ727" s="34"/>
      <c r="AR727" s="34"/>
      <c r="AS727" s="34"/>
      <c r="AT727" s="34"/>
      <c r="AU727" s="34"/>
      <c r="AV727" s="34"/>
      <c r="AW727" s="34"/>
      <c r="AX727" s="34"/>
      <c r="AY727" s="34"/>
      <c r="AZ727" s="34"/>
      <c r="BA727" s="34"/>
      <c r="BB727" s="34"/>
      <c r="BC727" s="34"/>
      <c r="BD727" s="34"/>
      <c r="BE727" s="34"/>
      <c r="BF727" s="34"/>
      <c r="BG727" s="34"/>
      <c r="BH727" s="34"/>
      <c r="BI727" s="34"/>
      <c r="BJ727" s="34"/>
      <c r="BK727" s="34"/>
      <c r="BL727" s="34"/>
      <c r="BM727" s="34"/>
      <c r="BN727" s="34"/>
      <c r="BO727" s="34"/>
      <c r="BP727" s="34"/>
      <c r="BQ727" s="34"/>
      <c r="BR727" s="34"/>
      <c r="BS727" s="34"/>
      <c r="BT727" s="34"/>
      <c r="BU727" s="34"/>
      <c r="BV727" s="34"/>
      <c r="BW727" s="34"/>
      <c r="BX727" s="34"/>
      <c r="BY727" s="34"/>
      <c r="BZ727" s="34"/>
      <c r="CA727" s="34"/>
      <c r="CB727" s="34"/>
      <c r="CC727" s="34"/>
      <c r="CD727" s="34"/>
      <c r="CE727" s="34"/>
      <c r="CF727" s="34"/>
      <c r="CG727" s="34"/>
      <c r="CH727" s="34"/>
      <c r="CI727" s="8"/>
    </row>
    <row r="728" spans="1:87" x14ac:dyDescent="0.2">
      <c r="A728" s="8" t="str">
        <f>IF(AND(COUNTIF(W$3:W$13,A$34)&gt;0,A$34&lt;&gt;B546),A$34,IFERROR(IF(MATCH(A$34,Z$3:Z$13,0)=8,A$34," ")," "))</f>
        <v>C20</v>
      </c>
      <c r="B728" s="8">
        <f>IF(A728=" "," ",MAX(B709:B727)+1)</f>
        <v>9</v>
      </c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U728" s="34"/>
      <c r="V728" s="34"/>
      <c r="W728" s="34"/>
      <c r="X728" s="34"/>
      <c r="Y728" s="34"/>
      <c r="Z728" s="34"/>
      <c r="AA728" s="34"/>
      <c r="AB728" s="34"/>
      <c r="AC728" s="34"/>
      <c r="AD728" s="34"/>
      <c r="AE728" s="34"/>
      <c r="AF728" s="34"/>
      <c r="AG728" s="34"/>
      <c r="AH728" s="34"/>
      <c r="AI728" s="34"/>
      <c r="AJ728" s="34"/>
      <c r="AK728" s="34"/>
      <c r="AL728" s="34"/>
      <c r="AM728" s="34"/>
      <c r="AN728" s="34"/>
      <c r="AO728" s="34"/>
      <c r="AP728" s="34"/>
      <c r="AQ728" s="34"/>
      <c r="AR728" s="34"/>
      <c r="AS728" s="34"/>
      <c r="AT728" s="34"/>
      <c r="AU728" s="34"/>
      <c r="AV728" s="34"/>
      <c r="AW728" s="34"/>
      <c r="AX728" s="34"/>
      <c r="AY728" s="34"/>
      <c r="AZ728" s="34"/>
      <c r="BA728" s="34"/>
      <c r="BB728" s="34"/>
      <c r="BC728" s="34"/>
      <c r="BD728" s="34"/>
      <c r="BE728" s="34"/>
      <c r="BF728" s="34"/>
      <c r="BG728" s="34"/>
      <c r="BH728" s="34"/>
      <c r="BI728" s="34"/>
      <c r="BJ728" s="34"/>
      <c r="BK728" s="34"/>
      <c r="BL728" s="34"/>
      <c r="BM728" s="34"/>
      <c r="BN728" s="34"/>
      <c r="BO728" s="34"/>
      <c r="BP728" s="34"/>
      <c r="BQ728" s="34"/>
      <c r="BR728" s="34"/>
      <c r="BS728" s="34"/>
      <c r="BT728" s="34"/>
      <c r="BU728" s="34"/>
      <c r="BV728" s="34"/>
      <c r="BW728" s="34"/>
      <c r="BX728" s="34"/>
      <c r="BY728" s="34"/>
      <c r="BZ728" s="34"/>
      <c r="CA728" s="34"/>
      <c r="CB728" s="34"/>
      <c r="CC728" s="34"/>
      <c r="CD728" s="34"/>
      <c r="CE728" s="34"/>
      <c r="CF728" s="34"/>
      <c r="CG728" s="34"/>
      <c r="CH728" s="34"/>
      <c r="CI728" s="8"/>
    </row>
    <row r="729" spans="1:87" x14ac:dyDescent="0.2">
      <c r="A729" s="8" t="str">
        <f>IF(AND(COUNTIF(W$3:W$13,A$35)&gt;0,A$35&lt;&gt;B546),A$35,IFERROR(IF(MATCH(A$35,Z$3:Z$13,0)=8,A$35," ")," "))</f>
        <v>C21</v>
      </c>
      <c r="B729" s="8">
        <f>IF(A729=" "," ",MAX(B709:B728)+1)</f>
        <v>10</v>
      </c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U729" s="34"/>
      <c r="V729" s="34"/>
      <c r="W729" s="34"/>
      <c r="X729" s="34"/>
      <c r="Y729" s="34"/>
      <c r="Z729" s="34"/>
      <c r="AA729" s="34"/>
      <c r="AB729" s="34"/>
      <c r="AC729" s="34"/>
      <c r="AD729" s="34"/>
      <c r="AE729" s="34"/>
      <c r="AF729" s="34"/>
      <c r="AG729" s="34"/>
      <c r="AH729" s="34"/>
      <c r="AI729" s="34"/>
      <c r="AJ729" s="34"/>
      <c r="AK729" s="34"/>
      <c r="AL729" s="34"/>
      <c r="AM729" s="34"/>
      <c r="AN729" s="34"/>
      <c r="AO729" s="34"/>
      <c r="AP729" s="34"/>
      <c r="AQ729" s="34"/>
      <c r="AR729" s="34"/>
      <c r="AS729" s="34"/>
      <c r="AT729" s="34"/>
      <c r="AU729" s="34"/>
      <c r="AV729" s="34"/>
      <c r="AW729" s="34"/>
      <c r="AX729" s="34"/>
      <c r="AY729" s="34"/>
      <c r="AZ729" s="34"/>
      <c r="BA729" s="34"/>
      <c r="BB729" s="34"/>
      <c r="BC729" s="34"/>
      <c r="BD729" s="34"/>
      <c r="BE729" s="34"/>
      <c r="BF729" s="34"/>
      <c r="BG729" s="34"/>
      <c r="BH729" s="34"/>
      <c r="BI729" s="34"/>
      <c r="BJ729" s="34"/>
      <c r="BK729" s="34"/>
      <c r="BL729" s="34"/>
      <c r="BM729" s="34"/>
      <c r="BN729" s="34"/>
      <c r="BO729" s="34"/>
      <c r="BP729" s="34"/>
      <c r="BQ729" s="34"/>
      <c r="BR729" s="34"/>
      <c r="BS729" s="34"/>
      <c r="BT729" s="34"/>
      <c r="BU729" s="34"/>
      <c r="BV729" s="34"/>
      <c r="BW729" s="34"/>
      <c r="BX729" s="34"/>
      <c r="BY729" s="34"/>
      <c r="BZ729" s="34"/>
      <c r="CA729" s="34"/>
      <c r="CB729" s="34"/>
      <c r="CC729" s="34"/>
      <c r="CD729" s="34"/>
      <c r="CE729" s="34"/>
      <c r="CF729" s="34"/>
      <c r="CG729" s="34"/>
      <c r="CH729" s="34"/>
      <c r="CI729" s="8"/>
    </row>
    <row r="730" spans="1:87" x14ac:dyDescent="0.2">
      <c r="A730" s="8" t="str">
        <f>IF(AND(COUNTIF(W$3:W$13,A$36)&gt;0,A$36&lt;&gt;B546),A$36,IFERROR(IF(MATCH(A$36,Z$3:Z$13,0)=8,A$36," ")," "))</f>
        <v>C22</v>
      </c>
      <c r="B730" s="8">
        <f>IF(A730=" "," ",MAX(B709:B729)+1)</f>
        <v>11</v>
      </c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U730" s="34"/>
      <c r="V730" s="34"/>
      <c r="W730" s="34"/>
      <c r="X730" s="34"/>
      <c r="Y730" s="34"/>
      <c r="Z730" s="34"/>
      <c r="AA730" s="34"/>
      <c r="AB730" s="34"/>
      <c r="AC730" s="34"/>
      <c r="AD730" s="34"/>
      <c r="AE730" s="34"/>
      <c r="AF730" s="34"/>
      <c r="AG730" s="34"/>
      <c r="AH730" s="34"/>
      <c r="AI730" s="34"/>
      <c r="AJ730" s="34"/>
      <c r="AK730" s="34"/>
      <c r="AL730" s="34"/>
      <c r="AM730" s="34"/>
      <c r="AN730" s="34"/>
      <c r="AO730" s="34"/>
      <c r="AP730" s="34"/>
      <c r="AQ730" s="34"/>
      <c r="AR730" s="34"/>
      <c r="AS730" s="34"/>
      <c r="AT730" s="34"/>
      <c r="AU730" s="34"/>
      <c r="AV730" s="34"/>
      <c r="AW730" s="34"/>
      <c r="AX730" s="34"/>
      <c r="AY730" s="34"/>
      <c r="AZ730" s="34"/>
      <c r="BA730" s="34"/>
      <c r="BB730" s="34"/>
      <c r="BC730" s="34"/>
      <c r="BD730" s="34"/>
      <c r="BE730" s="34"/>
      <c r="BF730" s="34"/>
      <c r="BG730" s="34"/>
      <c r="BH730" s="34"/>
      <c r="BI730" s="34"/>
      <c r="BJ730" s="34"/>
      <c r="BK730" s="34"/>
      <c r="BL730" s="34"/>
      <c r="BM730" s="34"/>
      <c r="BN730" s="34"/>
      <c r="BO730" s="34"/>
      <c r="BP730" s="34"/>
      <c r="BQ730" s="34"/>
      <c r="BR730" s="34"/>
      <c r="BS730" s="34"/>
      <c r="BT730" s="34"/>
      <c r="BU730" s="34"/>
      <c r="BV730" s="34"/>
      <c r="BW730" s="34"/>
      <c r="BX730" s="34"/>
      <c r="BY730" s="34"/>
      <c r="BZ730" s="34"/>
      <c r="CA730" s="34"/>
      <c r="CB730" s="34"/>
      <c r="CC730" s="34"/>
      <c r="CD730" s="34"/>
      <c r="CE730" s="34"/>
      <c r="CF730" s="34"/>
      <c r="CG730" s="34"/>
      <c r="CH730" s="34"/>
      <c r="CI730" s="8"/>
    </row>
    <row r="731" spans="1:87" x14ac:dyDescent="0.2">
      <c r="A731" s="11" t="s">
        <v>17</v>
      </c>
      <c r="B731" s="11"/>
      <c r="C731" s="27" t="s">
        <v>18</v>
      </c>
      <c r="D731" s="27" t="s">
        <v>2</v>
      </c>
      <c r="E731" s="27" t="s">
        <v>6</v>
      </c>
      <c r="F731" s="27" t="s">
        <v>15</v>
      </c>
      <c r="G731" s="27" t="s">
        <v>36</v>
      </c>
      <c r="H731" s="27" t="s">
        <v>37</v>
      </c>
      <c r="I731" s="27" t="s">
        <v>38</v>
      </c>
      <c r="J731" s="27" t="s">
        <v>39</v>
      </c>
      <c r="K731" s="27" t="s">
        <v>40</v>
      </c>
      <c r="L731" s="27" t="s">
        <v>41</v>
      </c>
      <c r="M731" s="27" t="s">
        <v>42</v>
      </c>
      <c r="N731" s="27" t="s">
        <v>43</v>
      </c>
      <c r="O731" s="27" t="s">
        <v>9</v>
      </c>
      <c r="P731" s="27" t="s">
        <v>12</v>
      </c>
      <c r="Q731" s="27" t="s">
        <v>19</v>
      </c>
      <c r="R731" s="27" t="s">
        <v>55</v>
      </c>
      <c r="S731" s="27" t="s">
        <v>26</v>
      </c>
      <c r="T731" s="19" t="s">
        <v>25</v>
      </c>
      <c r="U731" s="33" t="s">
        <v>27</v>
      </c>
      <c r="V731" s="33" t="s">
        <v>9</v>
      </c>
      <c r="W731" s="33" t="s">
        <v>23</v>
      </c>
      <c r="X731" s="33" t="s">
        <v>12</v>
      </c>
      <c r="Y731" s="33" t="s">
        <v>26</v>
      </c>
      <c r="Z731" s="33" t="s">
        <v>25</v>
      </c>
      <c r="AA731" s="33" t="s">
        <v>27</v>
      </c>
      <c r="AB731" s="33" t="s">
        <v>9</v>
      </c>
      <c r="AC731" s="33" t="s">
        <v>23</v>
      </c>
      <c r="AD731" s="33" t="s">
        <v>12</v>
      </c>
      <c r="AE731" s="33" t="s">
        <v>26</v>
      </c>
      <c r="AF731" s="33" t="s">
        <v>25</v>
      </c>
      <c r="AG731" s="33" t="s">
        <v>27</v>
      </c>
      <c r="AH731" s="33" t="s">
        <v>9</v>
      </c>
      <c r="AI731" s="33" t="s">
        <v>23</v>
      </c>
      <c r="AJ731" s="33" t="s">
        <v>12</v>
      </c>
      <c r="AK731" s="33" t="s">
        <v>26</v>
      </c>
      <c r="AL731" s="33" t="s">
        <v>25</v>
      </c>
      <c r="AM731" s="33" t="s">
        <v>27</v>
      </c>
      <c r="AN731" s="33" t="s">
        <v>9</v>
      </c>
      <c r="AO731" s="33" t="s">
        <v>23</v>
      </c>
      <c r="AP731" s="33" t="s">
        <v>12</v>
      </c>
      <c r="AQ731" s="33" t="s">
        <v>26</v>
      </c>
      <c r="AR731" s="33" t="s">
        <v>25</v>
      </c>
      <c r="AS731" s="33" t="s">
        <v>27</v>
      </c>
      <c r="AT731" s="33" t="s">
        <v>9</v>
      </c>
      <c r="AU731" s="33" t="s">
        <v>23</v>
      </c>
      <c r="AV731" s="33" t="s">
        <v>12</v>
      </c>
      <c r="AW731" s="33" t="s">
        <v>26</v>
      </c>
      <c r="AX731" s="33" t="s">
        <v>25</v>
      </c>
      <c r="AY731" s="33" t="s">
        <v>27</v>
      </c>
      <c r="AZ731" s="33" t="s">
        <v>9</v>
      </c>
      <c r="BA731" s="33" t="s">
        <v>23</v>
      </c>
      <c r="BB731" s="33" t="s">
        <v>12</v>
      </c>
      <c r="BC731" s="33" t="s">
        <v>26</v>
      </c>
      <c r="BD731" s="33" t="s">
        <v>25</v>
      </c>
      <c r="BE731" s="33" t="s">
        <v>27</v>
      </c>
      <c r="BF731" s="33" t="s">
        <v>9</v>
      </c>
      <c r="BG731" s="33" t="s">
        <v>23</v>
      </c>
      <c r="BH731" s="33" t="s">
        <v>12</v>
      </c>
      <c r="BI731" s="33" t="s">
        <v>26</v>
      </c>
      <c r="BJ731" s="33" t="s">
        <v>25</v>
      </c>
      <c r="BK731" s="33" t="s">
        <v>27</v>
      </c>
      <c r="BL731" s="33" t="s">
        <v>9</v>
      </c>
      <c r="BM731" s="33" t="s">
        <v>23</v>
      </c>
      <c r="BN731" s="33" t="s">
        <v>12</v>
      </c>
      <c r="BO731" s="33" t="s">
        <v>26</v>
      </c>
      <c r="BP731" s="33" t="s">
        <v>25</v>
      </c>
      <c r="BQ731" s="33" t="s">
        <v>27</v>
      </c>
      <c r="BR731" s="33" t="s">
        <v>9</v>
      </c>
      <c r="BS731" s="33" t="s">
        <v>23</v>
      </c>
      <c r="BT731" s="33" t="s">
        <v>12</v>
      </c>
      <c r="BU731" s="33" t="s">
        <v>26</v>
      </c>
      <c r="BV731" s="33" t="s">
        <v>25</v>
      </c>
      <c r="BW731" s="33" t="s">
        <v>27</v>
      </c>
      <c r="BX731" s="33" t="s">
        <v>9</v>
      </c>
      <c r="BY731" s="33" t="s">
        <v>23</v>
      </c>
      <c r="BZ731" s="33" t="s">
        <v>12</v>
      </c>
      <c r="CA731" s="33" t="s">
        <v>26</v>
      </c>
      <c r="CB731" s="33" t="s">
        <v>25</v>
      </c>
      <c r="CC731" s="33" t="s">
        <v>27</v>
      </c>
      <c r="CD731" s="33" t="s">
        <v>9</v>
      </c>
      <c r="CE731" s="33" t="s">
        <v>23</v>
      </c>
      <c r="CF731" s="33" t="s">
        <v>12</v>
      </c>
      <c r="CG731" s="33" t="s">
        <v>26</v>
      </c>
      <c r="CH731" s="33" t="s">
        <v>25</v>
      </c>
      <c r="CI731" s="8"/>
    </row>
    <row r="732" spans="1:87" x14ac:dyDescent="0.2">
      <c r="A732" s="8" t="str">
        <f>IF(AND(COUNTIF(W$3:W$13,A$15)&gt;0,A$15&lt;&gt;B546),A$15,IFERROR(IF(MATCH(A$15,Z$3:Z$13,0)=9,A$15," ")," "))</f>
        <v xml:space="preserve"> </v>
      </c>
      <c r="B732" s="8" t="str">
        <f>IF(A732=" "," ",1)</f>
        <v xml:space="preserve"> </v>
      </c>
      <c r="C732" s="8" t="str">
        <f>IFERROR(INDEX(A732:A753,MATCH(SMALL(B732:B753,1),B732:B753,0),1)," ")</f>
        <v>C3</v>
      </c>
      <c r="D732" s="8">
        <f>IFERROR(VLOOKUP($C732,$A$15:$O$36,2,FALSE)," ")</f>
        <v>2</v>
      </c>
      <c r="E732" s="8">
        <f>IFERROR(VLOOKUP($C732,$A$15:$O$36,3,FALSE)," ")</f>
        <v>5</v>
      </c>
      <c r="F732" s="8">
        <f>IFERROR(VLOOKUP($C732,$A$15:$O$36,4,FALSE)," ")</f>
        <v>6</v>
      </c>
      <c r="G732" s="8">
        <f>IFERROR(VLOOKUP($C732,$A$15:$O$36,5,FALSE)," ")</f>
        <v>0</v>
      </c>
      <c r="H732" s="8">
        <f>IFERROR(VLOOKUP($C732,$A$15:$O$36,6,FALSE)," ")</f>
        <v>0</v>
      </c>
      <c r="I732" s="8">
        <f>IFERROR(VLOOKUP($C732,$A$15:$O$36,7,FALSE)," ")</f>
        <v>0</v>
      </c>
      <c r="J732" s="8">
        <f>IFERROR(VLOOKUP($C732,$A$15:$O$36,8,FALSE)," ")</f>
        <v>0</v>
      </c>
      <c r="K732" s="8">
        <f>IFERROR(VLOOKUP($C732,$A$15:$O$36,9,FALSE)," ")</f>
        <v>0</v>
      </c>
      <c r="L732" s="8">
        <f>IFERROR(VLOOKUP($C732,$A$15:$O$36,10,FALSE)," ")</f>
        <v>0</v>
      </c>
      <c r="M732" s="8">
        <f>IFERROR(VLOOKUP($C732,$A$15:$O$36,11,FALSE)," ")</f>
        <v>0</v>
      </c>
      <c r="N732" s="8">
        <f>IFERROR(VLOOKUP($C732,$A$15:$O$36,12,FALSE)," ")</f>
        <v>0</v>
      </c>
      <c r="O732" s="8">
        <f>IFERROR(VLOOKUP($C732,$A$15:$O$36,15,FALSE)," ")</f>
        <v>2000</v>
      </c>
      <c r="P732" s="8" t="e">
        <f t="array" ref="P732:P742">MMULT(MINVERSE(D732:N742),O732:O742)</f>
        <v>#NUM!</v>
      </c>
      <c r="Q732" s="8" t="e">
        <f t="shared" ref="Q732" si="2987">IF(COUNTIF(P732:P742,"&lt;"&amp;-0.001)=0,IF(ABS(P732)&lt;0.001,0,P732)," ")</f>
        <v>#NUM!</v>
      </c>
      <c r="R732" s="8" t="str">
        <f>IFERROR(VLOOKUP(B546,A$15:L$36,2,FALSE)*Q732+VLOOKUP(B546,A$15:L$36,3,FALSE)*Q733+VLOOKUP(B546,A$15:L$36,4,FALSE)*Q734+VLOOKUP(B546,A$15:L$36,5,FALSE)*Q735+VLOOKUP(B546,A$15:L$36,6,FALSE)*Q736+VLOOKUP(B546,A$15:L$36,7,FALSE)*Q737+VLOOKUP(B546,A$15:L$36,8,FALSE)*Q738+VLOOKUP(B546,A$15:L$36,9,FALSE)*Q739+VLOOKUP(B546,A$15:L$36,10,FALSE)*Q740+VLOOKUP(B546,A$15:L$36,11,FALSE)*Q741+VLOOKUP(B546,A$15:L$36,12,FALSE)*Q742," ")</f>
        <v xml:space="preserve"> </v>
      </c>
      <c r="S732" s="8" t="str">
        <f>IFERROR(IF(R732-VLOOKUP(B546,A$15:O$36,15,FALSE)&lt;0,R732-VLOOKUP(B546,A$15:O$36,15,FALSE)," ")," ")</f>
        <v xml:space="preserve"> </v>
      </c>
      <c r="T732" s="18" t="str">
        <f>IFERROR(IF(R732-VLOOKUP(B546,A$15:O$36,15,FALSE)&gt;0,R732-VLOOKUP(B546,A$15:O$36,15,FALSE)," ")," ")</f>
        <v xml:space="preserve"> </v>
      </c>
      <c r="U732" s="34">
        <f t="shared" ref="U732" si="2988">$M$2</f>
        <v>100.00000000000001</v>
      </c>
      <c r="V732" s="34">
        <v>-1</v>
      </c>
      <c r="W732" s="34">
        <f t="shared" ref="W732" si="2989">-SUMPRODUCT($M$3:$M$12,$N$3:$N$12)</f>
        <v>-105000</v>
      </c>
      <c r="X732" s="34" t="e">
        <f t="shared" ref="X732" si="2990">IF(U732&lt;&gt;U733,MMULT(MINVERSE(U732:V733),W732:W733)," ")</f>
        <v>#NUM!</v>
      </c>
      <c r="Y732" s="34" t="str">
        <f t="shared" ref="Y732" si="2991">IFERROR(IF(X732-VLOOKUP(U$38,$A$2:$N$12,14,FALSE)&lt;0,X732-VLOOKUP(U$38,$A$2:$N$12,14,FALSE)," ")," ")</f>
        <v xml:space="preserve"> </v>
      </c>
      <c r="Z732" s="34" t="str">
        <f t="shared" ref="Z732" si="2992">IFERROR(IF(X732-VLOOKUP(U$38,$A$2:$N$12,14,FALSE)&gt;0,X732-VLOOKUP(U$38,$A$2:$N$12,14,FALSE)," ")," ")</f>
        <v xml:space="preserve"> </v>
      </c>
      <c r="AA732" s="34">
        <f t="shared" ref="AA732" si="2993">$M$3</f>
        <v>0</v>
      </c>
      <c r="AB732" s="34">
        <v>-1</v>
      </c>
      <c r="AC732" s="34">
        <f t="shared" ref="AC732" si="2994">-SUMPRODUCT($M$2:$M$2,$N$2:$N$2)-SUMPRODUCT($M$4:$M$12,$N$4:$N$12)</f>
        <v>-120000</v>
      </c>
      <c r="AD732" s="34" t="e">
        <f t="shared" ref="AD732" si="2995">IF(AA732&lt;&gt;AA733,MMULT(MINVERSE(AA732:AB733),AC732:AC733)," ")</f>
        <v>#NUM!</v>
      </c>
      <c r="AE732" s="34" t="str">
        <f t="shared" ref="AE732" si="2996">IFERROR(IF(AD732-VLOOKUP(AA$38,$A$2:$N$12,14,FALSE)&lt;0,AD732-VLOOKUP(AA$38,$A$2:$N$12,14,FALSE)," ")," ")</f>
        <v xml:space="preserve"> </v>
      </c>
      <c r="AF732" s="34" t="str">
        <f t="shared" ref="AF732" si="2997">IFERROR(IF(AD732-VLOOKUP(AA$38,$A$2:$N$12,14,FALSE)&gt;0,AD732-VLOOKUP(AA$38,$A$2:$N$12,14,FALSE)," ")," ")</f>
        <v xml:space="preserve"> </v>
      </c>
      <c r="AG732" s="34">
        <f t="shared" ref="AG732" si="2998">$M$4</f>
        <v>300</v>
      </c>
      <c r="AH732" s="34">
        <v>-1</v>
      </c>
      <c r="AI732" s="34">
        <f t="shared" ref="AI732" si="2999">-SUMPRODUCT($M$2:$M$3,$N$2:$N$3)-SUMPRODUCT($M$5:$M$12,$N$5:$N$12)</f>
        <v>-15000.000000000002</v>
      </c>
      <c r="AJ732" s="34" t="e">
        <f t="shared" ref="AJ732" si="3000">IF(AG732&lt;&gt;AG733,MMULT(MINVERSE(AG732:AH733),AI732:AI733)," ")</f>
        <v>#NUM!</v>
      </c>
      <c r="AK732" s="34" t="str">
        <f t="shared" ref="AK732" si="3001">IFERROR(IF(AJ732-VLOOKUP(AG$38,$A$2:$N$12,14,FALSE)&lt;0,AJ732-VLOOKUP(AG$38,$A$2:$N$12,14,FALSE)," ")," ")</f>
        <v xml:space="preserve"> </v>
      </c>
      <c r="AL732" s="34" t="str">
        <f t="shared" ref="AL732" si="3002">IFERROR(IF(AJ732-VLOOKUP(AG$38,$A$2:$N$12,14,FALSE)&gt;0,AJ732-VLOOKUP(AG$38,$A$2:$N$12,14,FALSE)," ")," ")</f>
        <v xml:space="preserve"> </v>
      </c>
      <c r="AM732" s="34">
        <f t="shared" ref="AM732" si="3003">$M$5</f>
        <v>0</v>
      </c>
      <c r="AN732" s="34">
        <v>-1</v>
      </c>
      <c r="AO732" s="34">
        <f t="shared" ref="AO732" si="3004">-SUMPRODUCT($M$2:$M$4,$N$2:$N$4)-SUMPRODUCT($M$6:$M$12,$N$6:$N$12)</f>
        <v>-120000</v>
      </c>
      <c r="AP732" s="34" t="e">
        <f t="shared" ref="AP732" si="3005">IF(AM732&lt;&gt;AM733,MMULT(MINVERSE(AM732:AN733),AO732:AO733)," ")</f>
        <v>#NUM!</v>
      </c>
      <c r="AQ732" s="34" t="str">
        <f t="shared" ref="AQ732" si="3006">IFERROR(IF(AP732-VLOOKUP(AM$38,$A$2:$N$12,14,FALSE)&lt;0,AP732-VLOOKUP(AM$38,$A$2:$N$12,14,FALSE)," ")," ")</f>
        <v xml:space="preserve"> </v>
      </c>
      <c r="AR732" s="34" t="str">
        <f t="shared" ref="AR732" si="3007">IFERROR(IF(AP732-VLOOKUP(AM$38,$A$2:$N$12,14,FALSE)&gt;0,AP732-VLOOKUP(AM$38,$A$2:$N$12,14,FALSE)," ")," ")</f>
        <v xml:space="preserve"> </v>
      </c>
      <c r="AS732" s="34">
        <f t="shared" ref="AS732" si="3008">$M$6</f>
        <v>0</v>
      </c>
      <c r="AT732" s="34">
        <v>-1</v>
      </c>
      <c r="AU732" s="34">
        <f t="shared" ref="AU732" si="3009">-SUMPRODUCT($M$2:$M$5,$N$2:$N$5)-SUMPRODUCT($M$7:$M$12,$N$7:$N$12)</f>
        <v>-120000</v>
      </c>
      <c r="AV732" s="34" t="e">
        <f t="shared" ref="AV732" si="3010">IF(AS732&lt;&gt;AS733,MMULT(MINVERSE(AS732:AT733),AU732:AU733)," ")</f>
        <v>#NUM!</v>
      </c>
      <c r="AW732" s="34" t="str">
        <f t="shared" ref="AW732" si="3011">IFERROR(IF(AV732-VLOOKUP(AS$38,$A$2:$N$12,14,FALSE)&lt;0,AV732-VLOOKUP(AS$38,$A$2:$N$12,14,FALSE)," ")," ")</f>
        <v xml:space="preserve"> </v>
      </c>
      <c r="AX732" s="34" t="str">
        <f t="shared" ref="AX732" si="3012">IFERROR(IF(AV732-VLOOKUP(AS$38,$A$2:$N$12,14,FALSE)&gt;0,AV732-VLOOKUP(AS$38,$A$2:$N$12,14,FALSE)," ")," ")</f>
        <v xml:space="preserve"> </v>
      </c>
      <c r="AY732" s="34">
        <f t="shared" ref="AY732" si="3013">$M$7</f>
        <v>0</v>
      </c>
      <c r="AZ732" s="34">
        <v>-1</v>
      </c>
      <c r="BA732" s="34">
        <f t="shared" ref="BA732" si="3014">-SUMPRODUCT($M$2:$M$6,$N$2:$N$6)-SUMPRODUCT($M$8:$M$12,$N$8:$N$12)</f>
        <v>-120000</v>
      </c>
      <c r="BB732" s="34" t="e">
        <f t="shared" ref="BB732" si="3015">IF(AY732&lt;&gt;AY733,MMULT(MINVERSE(AY732:AZ733),BA732:BA733)," ")</f>
        <v>#NUM!</v>
      </c>
      <c r="BC732" s="34" t="str">
        <f t="shared" ref="BC732" si="3016">IFERROR(IF(BB732-VLOOKUP(AY$38,$A$2:$N$12,14,FALSE)&lt;0,BB732-VLOOKUP(AY$38,$A$2:$N$12,14,FALSE)," ")," ")</f>
        <v xml:space="preserve"> </v>
      </c>
      <c r="BD732" s="34" t="str">
        <f t="shared" ref="BD732" si="3017">IFERROR(IF(BB732-VLOOKUP(AY$38,$A$2:$N$12,14,FALSE)&gt;0,BB732-VLOOKUP(AY$38,$A$2:$N$12,14,FALSE)," ")," ")</f>
        <v xml:space="preserve"> </v>
      </c>
      <c r="BE732" s="34">
        <f t="shared" ref="BE732" si="3018">$M$8</f>
        <v>0</v>
      </c>
      <c r="BF732" s="34">
        <v>-1</v>
      </c>
      <c r="BG732" s="34">
        <f t="shared" ref="BG732" si="3019">-SUMPRODUCT($M$2:$M$7,$N$2:$N$7)-SUMPRODUCT($M$9:$M$12,$N$9:$N$12)</f>
        <v>-120000</v>
      </c>
      <c r="BH732" s="34" t="e">
        <f t="shared" ref="BH732" si="3020">IF(BE732&lt;&gt;BE733,MMULT(MINVERSE(BE732:BF733),BG732:BG733)," ")</f>
        <v>#NUM!</v>
      </c>
      <c r="BI732" s="34" t="str">
        <f t="shared" ref="BI732" si="3021">IFERROR(IF(BH732-VLOOKUP(BE$38,$A$2:$N$12,14,FALSE)&lt;0,BH732-VLOOKUP(BE$38,$A$2:$N$12,14,FALSE)," ")," ")</f>
        <v xml:space="preserve"> </v>
      </c>
      <c r="BJ732" s="34" t="str">
        <f t="shared" ref="BJ732" si="3022">IFERROR(IF(BH732-VLOOKUP(BE$38,$A$2:$N$12,14,FALSE)&gt;0,BH732-VLOOKUP(BE$38,$A$2:$N$12,14,FALSE)," ")," ")</f>
        <v xml:space="preserve"> </v>
      </c>
      <c r="BK732" s="34">
        <f t="shared" ref="BK732" si="3023">$M$9</f>
        <v>0</v>
      </c>
      <c r="BL732" s="34">
        <v>-1</v>
      </c>
      <c r="BM732" s="34">
        <f t="shared" ref="BM732" si="3024">-SUMPRODUCT($M$2:$M$8,$N$2:$N$8)-SUMPRODUCT($M$10:$M$12,$N$10:$N$12)</f>
        <v>-120000</v>
      </c>
      <c r="BN732" s="34" t="e">
        <f t="shared" ref="BN732" si="3025">IF(BK732&lt;&gt;BK733,MMULT(MINVERSE(BK732:BL733),BM732:BM733)," ")</f>
        <v>#NUM!</v>
      </c>
      <c r="BO732" s="34" t="str">
        <f t="shared" ref="BO732" si="3026">IFERROR(IF(BN732-VLOOKUP(BK$38,$A$2:$N$12,14,FALSE)&lt;0,BN732-VLOOKUP(BK$38,$A$2:$N$12,14,FALSE)," ")," ")</f>
        <v xml:space="preserve"> </v>
      </c>
      <c r="BP732" s="34" t="str">
        <f t="shared" ref="BP732" si="3027">IFERROR(IF(BN732-VLOOKUP(BK$38,$A$2:$N$12,14,FALSE)&gt;0,BN732-VLOOKUP(BK$38,$A$2:$N$12,14,FALSE)," ")," ")</f>
        <v xml:space="preserve"> </v>
      </c>
      <c r="BQ732" s="34">
        <f t="shared" ref="BQ732" si="3028">$M$10</f>
        <v>0</v>
      </c>
      <c r="BR732" s="34">
        <v>-1</v>
      </c>
      <c r="BS732" s="34">
        <f t="shared" ref="BS732" si="3029">-SUMPRODUCT($M$2:$M$9,$N$2:$N$9)-SUMPRODUCT($M$11:$M$12,$N$11:$N$12)</f>
        <v>-120000</v>
      </c>
      <c r="BT732" s="34" t="e">
        <f t="shared" ref="BT732" si="3030">IF(BQ732&lt;&gt;BQ733,MMULT(MINVERSE(BQ732:BR733),BS732:BS733)," ")</f>
        <v>#NUM!</v>
      </c>
      <c r="BU732" s="34" t="str">
        <f t="shared" ref="BU732" si="3031">IFERROR(IF(BT732-VLOOKUP(BQ$38,$A$2:$N$12,14,FALSE)&lt;0,BT732-VLOOKUP(BQ$38,$A$2:$N$12,14,FALSE)," ")," ")</f>
        <v xml:space="preserve"> </v>
      </c>
      <c r="BV732" s="34" t="str">
        <f t="shared" ref="BV732" si="3032">IFERROR(IF(BT732-VLOOKUP(BQ$38,$A$2:$N$12,14,FALSE)&gt;0,BT732-VLOOKUP(BQ$38,$A$2:$N$12,14,FALSE)," ")," ")</f>
        <v xml:space="preserve"> </v>
      </c>
      <c r="BW732" s="34">
        <f t="shared" ref="BW732" si="3033">$M$11</f>
        <v>0</v>
      </c>
      <c r="BX732" s="34">
        <v>-1</v>
      </c>
      <c r="BY732" s="34">
        <f t="shared" ref="BY732" si="3034">-SUMPRODUCT($M$2:$M$10,$N$2:$N$10)-SUMPRODUCT($M$12,$N$12)</f>
        <v>-120000</v>
      </c>
      <c r="BZ732" s="34" t="e">
        <f t="shared" ref="BZ732" si="3035">IF(BW732&lt;&gt;BW733,MMULT(MINVERSE(BW732:BX733),BY732:BY733)," ")</f>
        <v>#NUM!</v>
      </c>
      <c r="CA732" s="34" t="str">
        <f t="shared" ref="CA732" si="3036">IFERROR(IF(BZ732-VLOOKUP(BW$38,$A$2:$N$12,14,FALSE)&lt;0,BZ732-VLOOKUP(BW$38,$A$2:$N$12,14,FALSE)," ")," ")</f>
        <v xml:space="preserve"> </v>
      </c>
      <c r="CB732" s="34" t="str">
        <f t="shared" ref="CB732" si="3037">IFERROR(IF(BZ732-VLOOKUP(BW$38,$A$2:$N$12,14,FALSE)&gt;0,BZ732-VLOOKUP(BW$38,$A$2:$N$12,14,FALSE)," ")," ")</f>
        <v xml:space="preserve"> </v>
      </c>
      <c r="CC732" s="34">
        <f t="shared" ref="CC732" si="3038">$M$12</f>
        <v>0</v>
      </c>
      <c r="CD732" s="34">
        <v>-1</v>
      </c>
      <c r="CE732" s="34">
        <f t="shared" ref="CE732" si="3039">-SUMPRODUCT($M$2:$M$11,$N$2:$N$11)</f>
        <v>-120000</v>
      </c>
      <c r="CF732" s="34" t="e">
        <f t="shared" ref="CF732" si="3040">IF(CC732&lt;&gt;CC733,MMULT(MINVERSE(CC732:CD733),CE732:CE733)," ")</f>
        <v>#NUM!</v>
      </c>
      <c r="CG732" s="34" t="str">
        <f t="shared" ref="CG732" si="3041">IFERROR(IF(CF732-VLOOKUP(CC$38,$A$2:$N$12,14,FALSE)&lt;0,CF732-VLOOKUP(CC$38,$A$2:$N$12,14,FALSE)," ")," ")</f>
        <v xml:space="preserve"> </v>
      </c>
      <c r="CH732" s="34" t="str">
        <f t="shared" ref="CH732" si="3042">IFERROR(IF(CF732-VLOOKUP(CC$38,$A$2:$N$12,14,FALSE)&gt;0,CF732-VLOOKUP(CC$38,$A$2:$N$12,14,FALSE)," ")," ")</f>
        <v xml:space="preserve"> </v>
      </c>
      <c r="CI732" s="8"/>
    </row>
    <row r="733" spans="1:87" x14ac:dyDescent="0.2">
      <c r="A733" s="8" t="str">
        <f>IF(AND(COUNTIF(W$3:W$13,A$16)&gt;0,A$16&lt;&gt;B546),A$16,IFERROR(IF(MATCH(A$16,Z$3:Z$13,0)=9,A$16," ")," "))</f>
        <v xml:space="preserve"> </v>
      </c>
      <c r="B733" s="8" t="str">
        <f>IF(A733=" "," ",MAX(B732:B732)+1)</f>
        <v xml:space="preserve"> </v>
      </c>
      <c r="C733" s="8" t="str">
        <f>IFERROR(INDEX(A732:A753,MATCH(SMALL(B732:B753,2),B732:B753,0),1)," ")</f>
        <v>C4</v>
      </c>
      <c r="D733" s="8">
        <f t="shared" ref="D733:D742" si="3043">IFERROR(VLOOKUP($C733,$A$15:$O$36,2,FALSE)," ")</f>
        <v>1</v>
      </c>
      <c r="E733" s="8">
        <f t="shared" ref="E733:E742" si="3044">IFERROR(VLOOKUP($C733,$A$15:$O$36,3,FALSE)," ")</f>
        <v>0</v>
      </c>
      <c r="F733" s="8">
        <f t="shared" ref="F733:F742" si="3045">IFERROR(VLOOKUP($C733,$A$15:$O$36,4,FALSE)," ")</f>
        <v>1</v>
      </c>
      <c r="G733" s="8">
        <f t="shared" ref="G733:G742" si="3046">IFERROR(VLOOKUP($C733,$A$15:$O$36,5,FALSE)," ")</f>
        <v>0</v>
      </c>
      <c r="H733" s="8">
        <f t="shared" ref="H733:H742" si="3047">IFERROR(VLOOKUP($C733,$A$15:$O$36,6,FALSE)," ")</f>
        <v>0</v>
      </c>
      <c r="I733" s="8">
        <f t="shared" ref="I733:I742" si="3048">IFERROR(VLOOKUP($C733,$A$15:$O$36,7,FALSE)," ")</f>
        <v>0</v>
      </c>
      <c r="J733" s="8">
        <f t="shared" ref="J733:J742" si="3049">IFERROR(VLOOKUP($C733,$A$15:$O$36,8,FALSE)," ")</f>
        <v>0</v>
      </c>
      <c r="K733" s="8">
        <f t="shared" ref="K733:K742" si="3050">IFERROR(VLOOKUP($C733,$A$15:$O$36,9,FALSE)," ")</f>
        <v>0</v>
      </c>
      <c r="L733" s="8">
        <f t="shared" ref="L733:L742" si="3051">IFERROR(VLOOKUP($C733,$A$15:$O$36,10,FALSE)," ")</f>
        <v>0</v>
      </c>
      <c r="M733" s="8">
        <f t="shared" ref="M733:M742" si="3052">IFERROR(VLOOKUP($C733,$A$15:$O$36,11,FALSE)," ")</f>
        <v>0</v>
      </c>
      <c r="N733" s="8">
        <f t="shared" ref="N733:N742" si="3053">IFERROR(VLOOKUP($C733,$A$15:$O$36,12,FALSE)," ")</f>
        <v>0</v>
      </c>
      <c r="O733" s="8">
        <f t="shared" ref="O733:O742" si="3054">IFERROR(VLOOKUP($C733,$A$15:$O$36,15,FALSE)," ")</f>
        <v>400</v>
      </c>
      <c r="P733" s="8" t="e">
        <v>#NUM!</v>
      </c>
      <c r="Q733" s="8" t="e">
        <f t="shared" ref="Q733" si="3055">IF(COUNTIF(P732:P742,"&lt;"&amp;-0.001)=0,IF(ABS(P733)&lt;0.001,0,P733)," ")</f>
        <v>#NUM!</v>
      </c>
      <c r="R733" s="8"/>
      <c r="S733" s="8"/>
      <c r="U733" s="34" t="e">
        <f t="shared" ref="U733" si="3056">$Q732</f>
        <v>#NUM!</v>
      </c>
      <c r="V733" s="34">
        <v>-1</v>
      </c>
      <c r="W733" s="34" t="e">
        <f t="shared" ref="W733" si="3057">-SUMPRODUCT($Q733:$Q742,$N$3:$N$12)</f>
        <v>#NUM!</v>
      </c>
      <c r="X733" s="34"/>
      <c r="Y733" s="34"/>
      <c r="Z733" s="34"/>
      <c r="AA733" s="34" t="e">
        <f t="shared" ref="AA733" si="3058">$Q733</f>
        <v>#NUM!</v>
      </c>
      <c r="AB733" s="34">
        <v>-1</v>
      </c>
      <c r="AC733" s="34" t="e">
        <f t="shared" ref="AC733" si="3059">-SUMPRODUCT($Q732:$Q732,$N$2:$N$2)-SUMPRODUCT($Q734:$Q742,$N$4:$N$12)</f>
        <v>#NUM!</v>
      </c>
      <c r="AD733" s="34"/>
      <c r="AE733" s="34"/>
      <c r="AF733" s="34"/>
      <c r="AG733" s="34" t="e">
        <f t="shared" ref="AG733" si="3060">$Q734</f>
        <v>#NUM!</v>
      </c>
      <c r="AH733" s="34">
        <v>-1</v>
      </c>
      <c r="AI733" s="34" t="e">
        <f t="shared" ref="AI733" si="3061">-SUMPRODUCT($Q732:$Q733,$N$2:$N$3)-SUMPRODUCT($Q735:$Q742,$N$5:$N$12)</f>
        <v>#NUM!</v>
      </c>
      <c r="AJ733" s="34"/>
      <c r="AK733" s="34"/>
      <c r="AL733" s="34"/>
      <c r="AM733" s="34" t="e">
        <f t="shared" ref="AM733" si="3062">$Q735</f>
        <v>#NUM!</v>
      </c>
      <c r="AN733" s="34">
        <v>-1</v>
      </c>
      <c r="AO733" s="34" t="e">
        <f t="shared" ref="AO733" si="3063">-SUMPRODUCT($Q732:$Q734,$N$2:$N$4)-SUMPRODUCT($Q736:$Q742,$N$6:$N$12)</f>
        <v>#NUM!</v>
      </c>
      <c r="AP733" s="34"/>
      <c r="AQ733" s="34"/>
      <c r="AR733" s="34"/>
      <c r="AS733" s="34" t="e">
        <f t="shared" ref="AS733" si="3064">$Q736</f>
        <v>#NUM!</v>
      </c>
      <c r="AT733" s="34">
        <v>-1</v>
      </c>
      <c r="AU733" s="34" t="e">
        <f t="shared" ref="AU733" si="3065">-SUMPRODUCT($Q732:$Q735,$N$2:$N$5)-SUMPRODUCT($Q737:$Q742,$N$7:$N$12)</f>
        <v>#NUM!</v>
      </c>
      <c r="AV733" s="34"/>
      <c r="AW733" s="34"/>
      <c r="AX733" s="34"/>
      <c r="AY733" s="34" t="e">
        <f t="shared" ref="AY733" si="3066">$Q737</f>
        <v>#NUM!</v>
      </c>
      <c r="AZ733" s="34">
        <v>-1</v>
      </c>
      <c r="BA733" s="34" t="e">
        <f t="shared" ref="BA733" si="3067">-SUMPRODUCT($Q732:$Q736,$N$2:$N$6)-SUMPRODUCT($Q738:$Q742,$N$8:$N$12)</f>
        <v>#NUM!</v>
      </c>
      <c r="BB733" s="34"/>
      <c r="BC733" s="34"/>
      <c r="BD733" s="34"/>
      <c r="BE733" s="34" t="e">
        <f t="shared" ref="BE733" si="3068">$Q738</f>
        <v>#NUM!</v>
      </c>
      <c r="BF733" s="34">
        <v>-1</v>
      </c>
      <c r="BG733" s="34" t="e">
        <f t="shared" ref="BG733" si="3069">-SUMPRODUCT($Q732:$Q737,$N$2:$N$7)-SUMPRODUCT($Q739:$Q742,$N$9:$N$12)</f>
        <v>#NUM!</v>
      </c>
      <c r="BH733" s="34"/>
      <c r="BI733" s="34"/>
      <c r="BJ733" s="34"/>
      <c r="BK733" s="34" t="e">
        <f t="shared" ref="BK733" si="3070">$Q739</f>
        <v>#NUM!</v>
      </c>
      <c r="BL733" s="34">
        <v>-1</v>
      </c>
      <c r="BM733" s="34" t="e">
        <f t="shared" ref="BM733" si="3071">-SUMPRODUCT($Q732:$Q738,$N$2:$N$8)-SUMPRODUCT($Q740:$Q742,$N$10:$N$12)</f>
        <v>#NUM!</v>
      </c>
      <c r="BN733" s="34"/>
      <c r="BO733" s="34"/>
      <c r="BP733" s="34"/>
      <c r="BQ733" s="34" t="e">
        <f t="shared" ref="BQ733" si="3072">$Q740</f>
        <v>#NUM!</v>
      </c>
      <c r="BR733" s="34">
        <v>-1</v>
      </c>
      <c r="BS733" s="34" t="e">
        <f t="shared" ref="BS733" si="3073">-SUMPRODUCT($Q732:$Q739,$N$2:$N$9)-SUMPRODUCT($Q741:$Q742,$N$11:$N$12)</f>
        <v>#NUM!</v>
      </c>
      <c r="BT733" s="34"/>
      <c r="BU733" s="34"/>
      <c r="BV733" s="34"/>
      <c r="BW733" s="34" t="e">
        <f t="shared" ref="BW733" si="3074">$Q741</f>
        <v>#NUM!</v>
      </c>
      <c r="BX733" s="34">
        <v>-1</v>
      </c>
      <c r="BY733" s="34" t="e">
        <f t="shared" ref="BY733" si="3075">-SUMPRODUCT($Q732:$Q740,$N$2:$N$10)-SUMPRODUCT($Q742,$N$12)</f>
        <v>#NUM!</v>
      </c>
      <c r="BZ733" s="34"/>
      <c r="CA733" s="34"/>
      <c r="CB733" s="34"/>
      <c r="CC733" s="34" t="e">
        <f t="shared" ref="CC733" si="3076">$Q742</f>
        <v>#NUM!</v>
      </c>
      <c r="CD733" s="34">
        <v>-1</v>
      </c>
      <c r="CE733" s="34" t="e">
        <f t="shared" ref="CE733" si="3077">-SUMPRODUCT($Q732:$Q741,$N$2:$N$11)</f>
        <v>#NUM!</v>
      </c>
      <c r="CF733" s="34"/>
      <c r="CG733" s="34"/>
      <c r="CH733" s="34"/>
      <c r="CI733" s="8"/>
    </row>
    <row r="734" spans="1:87" x14ac:dyDescent="0.2">
      <c r="A734" s="8" t="str">
        <f>IF(AND(COUNTIF(W$3:W$13,A$17)&gt;0,A$17&lt;&gt;B546),A$17,IFERROR(IF(MATCH(A$17,Z$3:Z$13,0)=9,A$17," ")," "))</f>
        <v>C3</v>
      </c>
      <c r="B734" s="8">
        <f>IF(A734=" "," ",MAX(B732:B733)+1)</f>
        <v>1</v>
      </c>
      <c r="C734" s="8" t="str">
        <f>IFERROR(INDEX(A732:A753,MATCH(SMALL(B732:B753,3),B732:B753,0),1)," ")</f>
        <v>C11</v>
      </c>
      <c r="D734" s="8">
        <f t="shared" si="3043"/>
        <v>0</v>
      </c>
      <c r="E734" s="8">
        <f t="shared" si="3044"/>
        <v>0</v>
      </c>
      <c r="F734" s="8">
        <f t="shared" si="3045"/>
        <v>0</v>
      </c>
      <c r="G734" s="8">
        <f t="shared" si="3046"/>
        <v>0</v>
      </c>
      <c r="H734" s="8">
        <f t="shared" si="3047"/>
        <v>0</v>
      </c>
      <c r="I734" s="8">
        <f t="shared" si="3048"/>
        <v>0</v>
      </c>
      <c r="J734" s="8">
        <f t="shared" si="3049"/>
        <v>0</v>
      </c>
      <c r="K734" s="8">
        <f t="shared" si="3050"/>
        <v>0</v>
      </c>
      <c r="L734" s="8">
        <f t="shared" si="3051"/>
        <v>0</v>
      </c>
      <c r="M734" s="8">
        <f t="shared" si="3052"/>
        <v>0</v>
      </c>
      <c r="N734" s="8">
        <f t="shared" si="3053"/>
        <v>0</v>
      </c>
      <c r="O734" s="8">
        <f t="shared" si="3054"/>
        <v>0</v>
      </c>
      <c r="P734" s="8" t="e">
        <v>#NUM!</v>
      </c>
      <c r="Q734" s="8" t="e">
        <f t="shared" ref="Q734" si="3078">IF(COUNTIF(P732:P742,"&lt;"&amp;-0.001)=0,IF(ABS(P734)&lt;0.001,0,P734)," ")</f>
        <v>#NUM!</v>
      </c>
      <c r="R734" s="8"/>
      <c r="S734" s="8"/>
      <c r="U734" s="34"/>
      <c r="V734" s="34"/>
      <c r="W734" s="34"/>
      <c r="X734" s="34"/>
      <c r="Y734" s="34"/>
      <c r="Z734" s="34"/>
      <c r="AA734" s="34"/>
      <c r="AB734" s="34"/>
      <c r="AC734" s="34"/>
      <c r="AD734" s="34"/>
      <c r="AE734" s="34"/>
      <c r="AF734" s="34"/>
      <c r="AG734" s="34"/>
      <c r="AH734" s="34"/>
      <c r="AI734" s="34"/>
      <c r="AJ734" s="34"/>
      <c r="AK734" s="34"/>
      <c r="AL734" s="34"/>
      <c r="AM734" s="34"/>
      <c r="AN734" s="34"/>
      <c r="AO734" s="34"/>
      <c r="AP734" s="34"/>
      <c r="AQ734" s="34"/>
      <c r="AR734" s="34"/>
      <c r="AS734" s="34"/>
      <c r="AT734" s="34"/>
      <c r="AU734" s="34"/>
      <c r="AV734" s="34"/>
      <c r="AW734" s="34"/>
      <c r="AX734" s="34"/>
      <c r="AY734" s="34"/>
      <c r="AZ734" s="34"/>
      <c r="BA734" s="34"/>
      <c r="BB734" s="34"/>
      <c r="BC734" s="34"/>
      <c r="BD734" s="34"/>
      <c r="BE734" s="34"/>
      <c r="BF734" s="34"/>
      <c r="BG734" s="34"/>
      <c r="BH734" s="34"/>
      <c r="BI734" s="34"/>
      <c r="BJ734" s="34"/>
      <c r="BK734" s="34"/>
      <c r="BL734" s="34"/>
      <c r="BM734" s="34"/>
      <c r="BN734" s="34"/>
      <c r="BO734" s="34"/>
      <c r="BP734" s="34"/>
      <c r="BQ734" s="34"/>
      <c r="BR734" s="34"/>
      <c r="BS734" s="34"/>
      <c r="BT734" s="34"/>
      <c r="BU734" s="34"/>
      <c r="BV734" s="34"/>
      <c r="BW734" s="34"/>
      <c r="BX734" s="34"/>
      <c r="BY734" s="34"/>
      <c r="BZ734" s="34"/>
      <c r="CA734" s="34"/>
      <c r="CB734" s="34"/>
      <c r="CC734" s="34"/>
      <c r="CD734" s="34"/>
      <c r="CE734" s="34"/>
      <c r="CF734" s="34"/>
      <c r="CG734" s="34"/>
      <c r="CH734" s="34"/>
      <c r="CI734" s="8"/>
    </row>
    <row r="735" spans="1:87" x14ac:dyDescent="0.2">
      <c r="A735" s="8" t="str">
        <f>IF(AND(COUNTIF(W$3:W$13,A$18)&gt;0,A$18&lt;&gt;B546),A$18,IFERROR(IF(MATCH(A$18,Z$3:Z$13,0)=9,A$18," ")," "))</f>
        <v>C4</v>
      </c>
      <c r="B735" s="8">
        <f>IF(A735=" "," ",MAX(B732:B734)+1)</f>
        <v>2</v>
      </c>
      <c r="C735" s="8" t="str">
        <f>IFERROR(INDEX(A732:A753,MATCH(SMALL(B732:B753,4),B732:B753,0),1)," ")</f>
        <v>C15</v>
      </c>
      <c r="D735" s="8">
        <f t="shared" si="3043"/>
        <v>0</v>
      </c>
      <c r="E735" s="8">
        <f t="shared" si="3044"/>
        <v>0</v>
      </c>
      <c r="F735" s="8">
        <f t="shared" si="3045"/>
        <v>0</v>
      </c>
      <c r="G735" s="8">
        <f t="shared" si="3046"/>
        <v>1</v>
      </c>
      <c r="H735" s="8">
        <f t="shared" si="3047"/>
        <v>0</v>
      </c>
      <c r="I735" s="8">
        <f t="shared" si="3048"/>
        <v>0</v>
      </c>
      <c r="J735" s="8">
        <f t="shared" si="3049"/>
        <v>0</v>
      </c>
      <c r="K735" s="8">
        <f t="shared" si="3050"/>
        <v>0</v>
      </c>
      <c r="L735" s="8">
        <f t="shared" si="3051"/>
        <v>0</v>
      </c>
      <c r="M735" s="8">
        <f t="shared" si="3052"/>
        <v>0</v>
      </c>
      <c r="N735" s="8">
        <f t="shared" si="3053"/>
        <v>0</v>
      </c>
      <c r="O735" s="8">
        <f t="shared" si="3054"/>
        <v>0</v>
      </c>
      <c r="P735" s="8" t="e">
        <v>#NUM!</v>
      </c>
      <c r="Q735" s="8" t="e">
        <f t="shared" ref="Q735" si="3079">IF(COUNTIF(P732:P742,"&lt;"&amp;-0.001)=0,IF(ABS(P735)&lt;0.001,0,P735)," ")</f>
        <v>#NUM!</v>
      </c>
      <c r="R735" s="8"/>
      <c r="S735" s="8"/>
      <c r="U735" s="34"/>
      <c r="V735" s="34"/>
      <c r="W735" s="34"/>
      <c r="X735" s="34"/>
      <c r="Y735" s="34"/>
      <c r="Z735" s="34"/>
      <c r="AA735" s="34"/>
      <c r="AB735" s="34"/>
      <c r="AC735" s="34"/>
      <c r="AD735" s="34"/>
      <c r="AE735" s="34"/>
      <c r="AF735" s="34"/>
      <c r="AG735" s="34"/>
      <c r="AH735" s="34"/>
      <c r="AI735" s="34"/>
      <c r="AJ735" s="34"/>
      <c r="AK735" s="34"/>
      <c r="AL735" s="34"/>
      <c r="AM735" s="34"/>
      <c r="AN735" s="34"/>
      <c r="AO735" s="34"/>
      <c r="AP735" s="34"/>
      <c r="AQ735" s="34"/>
      <c r="AR735" s="34"/>
      <c r="AS735" s="34"/>
      <c r="AT735" s="34"/>
      <c r="AU735" s="34"/>
      <c r="AV735" s="34"/>
      <c r="AW735" s="34"/>
      <c r="AX735" s="34"/>
      <c r="AY735" s="34"/>
      <c r="AZ735" s="34"/>
      <c r="BA735" s="34"/>
      <c r="BB735" s="34"/>
      <c r="BC735" s="34"/>
      <c r="BD735" s="34"/>
      <c r="BE735" s="34"/>
      <c r="BF735" s="34"/>
      <c r="BG735" s="34"/>
      <c r="BH735" s="34"/>
      <c r="BI735" s="34"/>
      <c r="BJ735" s="34"/>
      <c r="BK735" s="34"/>
      <c r="BL735" s="34"/>
      <c r="BM735" s="34"/>
      <c r="BN735" s="34"/>
      <c r="BO735" s="34"/>
      <c r="BP735" s="34"/>
      <c r="BQ735" s="34"/>
      <c r="BR735" s="34"/>
      <c r="BS735" s="34"/>
      <c r="BT735" s="34"/>
      <c r="BU735" s="34"/>
      <c r="BV735" s="34"/>
      <c r="BW735" s="34"/>
      <c r="BX735" s="34"/>
      <c r="BY735" s="34"/>
      <c r="BZ735" s="34"/>
      <c r="CA735" s="34"/>
      <c r="CB735" s="34"/>
      <c r="CC735" s="34"/>
      <c r="CD735" s="34"/>
      <c r="CE735" s="34"/>
      <c r="CF735" s="34"/>
      <c r="CG735" s="34"/>
      <c r="CH735" s="34"/>
      <c r="CI735" s="8"/>
    </row>
    <row r="736" spans="1:87" x14ac:dyDescent="0.2">
      <c r="A736" s="8" t="str">
        <f>IF(AND(COUNTIF(W$3:W$13,A$19)&gt;0,A$19&lt;&gt;B546),A$19,IFERROR(IF(MATCH(A$19,Z$3:Z$13,0)=9,A$19," ")," "))</f>
        <v xml:space="preserve"> </v>
      </c>
      <c r="B736" s="8" t="str">
        <f>IF(A736=" "," ",MAX(B732:B735)+1)</f>
        <v xml:space="preserve"> </v>
      </c>
      <c r="C736" s="8" t="str">
        <f>IFERROR(INDEX(A732:A753,MATCH(SMALL(B732:B753,5),B732:B753,0),1)," ")</f>
        <v>C16</v>
      </c>
      <c r="D736" s="8">
        <f t="shared" si="3043"/>
        <v>0</v>
      </c>
      <c r="E736" s="8">
        <f t="shared" si="3044"/>
        <v>0</v>
      </c>
      <c r="F736" s="8">
        <f t="shared" si="3045"/>
        <v>0</v>
      </c>
      <c r="G736" s="8">
        <f t="shared" si="3046"/>
        <v>0</v>
      </c>
      <c r="H736" s="8">
        <f t="shared" si="3047"/>
        <v>1</v>
      </c>
      <c r="I736" s="8">
        <f t="shared" si="3048"/>
        <v>0</v>
      </c>
      <c r="J736" s="8">
        <f t="shared" si="3049"/>
        <v>0</v>
      </c>
      <c r="K736" s="8">
        <f t="shared" si="3050"/>
        <v>0</v>
      </c>
      <c r="L736" s="8">
        <f t="shared" si="3051"/>
        <v>0</v>
      </c>
      <c r="M736" s="8">
        <f t="shared" si="3052"/>
        <v>0</v>
      </c>
      <c r="N736" s="8">
        <f t="shared" si="3053"/>
        <v>0</v>
      </c>
      <c r="O736" s="8">
        <f t="shared" si="3054"/>
        <v>0</v>
      </c>
      <c r="P736" s="8" t="e">
        <v>#NUM!</v>
      </c>
      <c r="Q736" s="8" t="e">
        <f t="shared" ref="Q736" si="3080">IF(COUNTIF(P732:P742,"&lt;"&amp;-0.001)=0,IF(ABS(P736)&lt;0.001,0,P736)," ")</f>
        <v>#NUM!</v>
      </c>
      <c r="R736" s="8"/>
      <c r="S736" s="8"/>
      <c r="U736" s="34"/>
      <c r="V736" s="34"/>
      <c r="W736" s="34"/>
      <c r="X736" s="34"/>
      <c r="Y736" s="34"/>
      <c r="Z736" s="34"/>
      <c r="AA736" s="34"/>
      <c r="AB736" s="34"/>
      <c r="AC736" s="34"/>
      <c r="AD736" s="34"/>
      <c r="AE736" s="34"/>
      <c r="AF736" s="34"/>
      <c r="AG736" s="34"/>
      <c r="AH736" s="34"/>
      <c r="AI736" s="34"/>
      <c r="AJ736" s="34"/>
      <c r="AK736" s="34"/>
      <c r="AL736" s="34"/>
      <c r="AM736" s="34"/>
      <c r="AN736" s="34"/>
      <c r="AO736" s="34"/>
      <c r="AP736" s="34"/>
      <c r="AQ736" s="34"/>
      <c r="AR736" s="34"/>
      <c r="AS736" s="34"/>
      <c r="AT736" s="34"/>
      <c r="AU736" s="34"/>
      <c r="AV736" s="34"/>
      <c r="AW736" s="34"/>
      <c r="AX736" s="34"/>
      <c r="AY736" s="34"/>
      <c r="AZ736" s="34"/>
      <c r="BA736" s="34"/>
      <c r="BB736" s="34"/>
      <c r="BC736" s="34"/>
      <c r="BD736" s="34"/>
      <c r="BE736" s="34"/>
      <c r="BF736" s="34"/>
      <c r="BG736" s="34"/>
      <c r="BH736" s="34"/>
      <c r="BI736" s="34"/>
      <c r="BJ736" s="34"/>
      <c r="BK736" s="34"/>
      <c r="BL736" s="34"/>
      <c r="BM736" s="34"/>
      <c r="BN736" s="34"/>
      <c r="BO736" s="34"/>
      <c r="BP736" s="34"/>
      <c r="BQ736" s="34"/>
      <c r="BR736" s="34"/>
      <c r="BS736" s="34"/>
      <c r="BT736" s="34"/>
      <c r="BU736" s="34"/>
      <c r="BV736" s="34"/>
      <c r="BW736" s="34"/>
      <c r="BX736" s="34"/>
      <c r="BY736" s="34"/>
      <c r="BZ736" s="34"/>
      <c r="CA736" s="34"/>
      <c r="CB736" s="34"/>
      <c r="CC736" s="34"/>
      <c r="CD736" s="34"/>
      <c r="CE736" s="34"/>
      <c r="CF736" s="34"/>
      <c r="CG736" s="34"/>
      <c r="CH736" s="34"/>
      <c r="CI736" s="8"/>
    </row>
    <row r="737" spans="1:87" x14ac:dyDescent="0.2">
      <c r="A737" s="8" t="str">
        <f>IF(AND(COUNTIF(W$3:W$13,A$20)&gt;0,A$20&lt;&gt;B546),A$20,IFERROR(IF(MATCH(A$20,Z$3:Z$13,0)=9,A$20," ")," "))</f>
        <v xml:space="preserve"> </v>
      </c>
      <c r="B737" s="8" t="str">
        <f>IF(A737=" "," ",MAX(B732:B736)+1)</f>
        <v xml:space="preserve"> </v>
      </c>
      <c r="C737" s="8" t="str">
        <f>IFERROR(INDEX(A732:A753,MATCH(SMALL(B732:B753,6),B732:B753,0),1)," ")</f>
        <v>C17</v>
      </c>
      <c r="D737" s="8">
        <f t="shared" si="3043"/>
        <v>0</v>
      </c>
      <c r="E737" s="8">
        <f t="shared" si="3044"/>
        <v>0</v>
      </c>
      <c r="F737" s="8">
        <f t="shared" si="3045"/>
        <v>0</v>
      </c>
      <c r="G737" s="8">
        <f t="shared" si="3046"/>
        <v>0</v>
      </c>
      <c r="H737" s="8">
        <f t="shared" si="3047"/>
        <v>0</v>
      </c>
      <c r="I737" s="8">
        <f t="shared" si="3048"/>
        <v>1</v>
      </c>
      <c r="J737" s="8">
        <f t="shared" si="3049"/>
        <v>0</v>
      </c>
      <c r="K737" s="8">
        <f t="shared" si="3050"/>
        <v>0</v>
      </c>
      <c r="L737" s="8">
        <f t="shared" si="3051"/>
        <v>0</v>
      </c>
      <c r="M737" s="8">
        <f t="shared" si="3052"/>
        <v>0</v>
      </c>
      <c r="N737" s="8">
        <f t="shared" si="3053"/>
        <v>0</v>
      </c>
      <c r="O737" s="8">
        <f t="shared" si="3054"/>
        <v>0</v>
      </c>
      <c r="P737" s="8" t="e">
        <v>#NUM!</v>
      </c>
      <c r="Q737" s="8" t="e">
        <f t="shared" ref="Q737" si="3081">IF(COUNTIF(P732:P742,"&lt;"&amp;-0.001)=0,IF(ABS(P737)&lt;0.001,0,P737)," ")</f>
        <v>#NUM!</v>
      </c>
      <c r="R737" s="8"/>
      <c r="S737" s="8"/>
      <c r="U737" s="34"/>
      <c r="V737" s="34"/>
      <c r="W737" s="34"/>
      <c r="X737" s="34"/>
      <c r="Y737" s="34"/>
      <c r="Z737" s="34"/>
      <c r="AA737" s="34"/>
      <c r="AB737" s="34"/>
      <c r="AC737" s="34"/>
      <c r="AD737" s="34"/>
      <c r="AE737" s="34"/>
      <c r="AF737" s="34"/>
      <c r="AG737" s="34"/>
      <c r="AH737" s="34"/>
      <c r="AI737" s="34"/>
      <c r="AJ737" s="34"/>
      <c r="AK737" s="34"/>
      <c r="AL737" s="34"/>
      <c r="AM737" s="34"/>
      <c r="AN737" s="34"/>
      <c r="AO737" s="34"/>
      <c r="AP737" s="34"/>
      <c r="AQ737" s="34"/>
      <c r="AR737" s="34"/>
      <c r="AS737" s="34"/>
      <c r="AT737" s="34"/>
      <c r="AU737" s="34"/>
      <c r="AV737" s="34"/>
      <c r="AW737" s="34"/>
      <c r="AX737" s="34"/>
      <c r="AY737" s="34"/>
      <c r="AZ737" s="34"/>
      <c r="BA737" s="34"/>
      <c r="BB737" s="34"/>
      <c r="BC737" s="34"/>
      <c r="BD737" s="34"/>
      <c r="BE737" s="34"/>
      <c r="BF737" s="34"/>
      <c r="BG737" s="34"/>
      <c r="BH737" s="34"/>
      <c r="BI737" s="34"/>
      <c r="BJ737" s="34"/>
      <c r="BK737" s="34"/>
      <c r="BL737" s="34"/>
      <c r="BM737" s="34"/>
      <c r="BN737" s="34"/>
      <c r="BO737" s="34"/>
      <c r="BP737" s="34"/>
      <c r="BQ737" s="34"/>
      <c r="BR737" s="34"/>
      <c r="BS737" s="34"/>
      <c r="BT737" s="34"/>
      <c r="BU737" s="34"/>
      <c r="BV737" s="34"/>
      <c r="BW737" s="34"/>
      <c r="BX737" s="34"/>
      <c r="BY737" s="34"/>
      <c r="BZ737" s="34"/>
      <c r="CA737" s="34"/>
      <c r="CB737" s="34"/>
      <c r="CC737" s="34"/>
      <c r="CD737" s="34"/>
      <c r="CE737" s="34"/>
      <c r="CF737" s="34"/>
      <c r="CG737" s="34"/>
      <c r="CH737" s="34"/>
      <c r="CI737" s="8"/>
    </row>
    <row r="738" spans="1:87" x14ac:dyDescent="0.2">
      <c r="A738" s="8" t="str">
        <f>IF(AND(COUNTIF(W$3:W$13,A$21)&gt;0,A$21&lt;&gt;B546),A$21,IFERROR(IF(MATCH(A$21,Z$3:Z$13,0)=9,A$21," ")," "))</f>
        <v xml:space="preserve"> </v>
      </c>
      <c r="B738" s="8" t="str">
        <f>IF(A738=" "," ",MAX(B732:B737)+1)</f>
        <v xml:space="preserve"> </v>
      </c>
      <c r="C738" s="8" t="str">
        <f>IFERROR(INDEX(A732:A753,MATCH(SMALL(B732:B753,7),B732:B753,0),1)," ")</f>
        <v>C18</v>
      </c>
      <c r="D738" s="8">
        <f t="shared" si="3043"/>
        <v>0</v>
      </c>
      <c r="E738" s="8">
        <f t="shared" si="3044"/>
        <v>0</v>
      </c>
      <c r="F738" s="8">
        <f t="shared" si="3045"/>
        <v>0</v>
      </c>
      <c r="G738" s="8">
        <f t="shared" si="3046"/>
        <v>0</v>
      </c>
      <c r="H738" s="8">
        <f t="shared" si="3047"/>
        <v>0</v>
      </c>
      <c r="I738" s="8">
        <f t="shared" si="3048"/>
        <v>0</v>
      </c>
      <c r="J738" s="8">
        <f t="shared" si="3049"/>
        <v>1</v>
      </c>
      <c r="K738" s="8">
        <f t="shared" si="3050"/>
        <v>0</v>
      </c>
      <c r="L738" s="8">
        <f t="shared" si="3051"/>
        <v>0</v>
      </c>
      <c r="M738" s="8">
        <f t="shared" si="3052"/>
        <v>0</v>
      </c>
      <c r="N738" s="8">
        <f t="shared" si="3053"/>
        <v>0</v>
      </c>
      <c r="O738" s="8">
        <f t="shared" si="3054"/>
        <v>0</v>
      </c>
      <c r="P738" s="8" t="e">
        <v>#NUM!</v>
      </c>
      <c r="Q738" s="8" t="e">
        <f t="shared" ref="Q738" si="3082">IF(COUNTIF(P732:P742,"&lt;"&amp;-0.001)=0,IF(ABS(P738)&lt;0.001,0,P738)," ")</f>
        <v>#NUM!</v>
      </c>
      <c r="R738" s="8"/>
      <c r="S738" s="8"/>
      <c r="U738" s="34"/>
      <c r="V738" s="34"/>
      <c r="W738" s="34"/>
      <c r="X738" s="34"/>
      <c r="Y738" s="34"/>
      <c r="Z738" s="34"/>
      <c r="AA738" s="34"/>
      <c r="AB738" s="34"/>
      <c r="AC738" s="34"/>
      <c r="AD738" s="34"/>
      <c r="AE738" s="34"/>
      <c r="AF738" s="34"/>
      <c r="AG738" s="34"/>
      <c r="AH738" s="34"/>
      <c r="AI738" s="34"/>
      <c r="AJ738" s="34"/>
      <c r="AK738" s="34"/>
      <c r="AL738" s="34"/>
      <c r="AM738" s="34"/>
      <c r="AN738" s="34"/>
      <c r="AO738" s="34"/>
      <c r="AP738" s="34"/>
      <c r="AQ738" s="34"/>
      <c r="AR738" s="34"/>
      <c r="AS738" s="34"/>
      <c r="AT738" s="34"/>
      <c r="AU738" s="34"/>
      <c r="AV738" s="34"/>
      <c r="AW738" s="34"/>
      <c r="AX738" s="34"/>
      <c r="AY738" s="34"/>
      <c r="AZ738" s="34"/>
      <c r="BA738" s="34"/>
      <c r="BB738" s="34"/>
      <c r="BC738" s="34"/>
      <c r="BD738" s="34"/>
      <c r="BE738" s="34"/>
      <c r="BF738" s="34"/>
      <c r="BG738" s="34"/>
      <c r="BH738" s="34"/>
      <c r="BI738" s="34"/>
      <c r="BJ738" s="34"/>
      <c r="BK738" s="34"/>
      <c r="BL738" s="34"/>
      <c r="BM738" s="34"/>
      <c r="BN738" s="34"/>
      <c r="BO738" s="34"/>
      <c r="BP738" s="34"/>
      <c r="BQ738" s="34"/>
      <c r="BR738" s="34"/>
      <c r="BS738" s="34"/>
      <c r="BT738" s="34"/>
      <c r="BU738" s="34"/>
      <c r="BV738" s="34"/>
      <c r="BW738" s="34"/>
      <c r="BX738" s="34"/>
      <c r="BY738" s="34"/>
      <c r="BZ738" s="34"/>
      <c r="CA738" s="34"/>
      <c r="CB738" s="34"/>
      <c r="CC738" s="34"/>
      <c r="CD738" s="34"/>
      <c r="CE738" s="34"/>
      <c r="CF738" s="34"/>
      <c r="CG738" s="34"/>
      <c r="CH738" s="34"/>
      <c r="CI738" s="8"/>
    </row>
    <row r="739" spans="1:87" x14ac:dyDescent="0.2">
      <c r="A739" s="8" t="str">
        <f>IF(AND(COUNTIF(W$3:W$13,A$22)&gt;0,A$22&lt;&gt;B546),A$22,IFERROR(IF(MATCH(A$22,Z$3:Z$13,0)=9,A$22," ")," "))</f>
        <v xml:space="preserve"> </v>
      </c>
      <c r="B739" s="8" t="str">
        <f>IF(A739=" "," ",MAX(B732:B738)+1)</f>
        <v xml:space="preserve"> </v>
      </c>
      <c r="C739" s="8" t="str">
        <f>IFERROR(INDEX(A732:A753,MATCH(SMALL(B732:B753,8),B732:B753,0),1)," ")</f>
        <v>C19</v>
      </c>
      <c r="D739" s="8">
        <f t="shared" si="3043"/>
        <v>0</v>
      </c>
      <c r="E739" s="8">
        <f t="shared" si="3044"/>
        <v>0</v>
      </c>
      <c r="F739" s="8">
        <f t="shared" si="3045"/>
        <v>0</v>
      </c>
      <c r="G739" s="8">
        <f t="shared" si="3046"/>
        <v>0</v>
      </c>
      <c r="H739" s="8">
        <f t="shared" si="3047"/>
        <v>0</v>
      </c>
      <c r="I739" s="8">
        <f t="shared" si="3048"/>
        <v>0</v>
      </c>
      <c r="J739" s="8">
        <f t="shared" si="3049"/>
        <v>0</v>
      </c>
      <c r="K739" s="8">
        <f t="shared" si="3050"/>
        <v>1</v>
      </c>
      <c r="L739" s="8">
        <f t="shared" si="3051"/>
        <v>0</v>
      </c>
      <c r="M739" s="8">
        <f t="shared" si="3052"/>
        <v>0</v>
      </c>
      <c r="N739" s="8">
        <f t="shared" si="3053"/>
        <v>0</v>
      </c>
      <c r="O739" s="8">
        <f t="shared" si="3054"/>
        <v>0</v>
      </c>
      <c r="P739" s="8" t="e">
        <v>#NUM!</v>
      </c>
      <c r="Q739" s="8" t="e">
        <f t="shared" ref="Q739" si="3083">IF(COUNTIF(P732:P742,"&lt;"&amp;-0.001)=0,IF(ABS(P739)&lt;0.001,0,P739)," ")</f>
        <v>#NUM!</v>
      </c>
      <c r="R739" s="8"/>
      <c r="S739" s="8"/>
      <c r="U739" s="34"/>
      <c r="V739" s="34"/>
      <c r="W739" s="34"/>
      <c r="X739" s="34"/>
      <c r="Y739" s="34"/>
      <c r="Z739" s="34"/>
      <c r="AA739" s="34"/>
      <c r="AB739" s="34"/>
      <c r="AC739" s="34"/>
      <c r="AD739" s="34"/>
      <c r="AE739" s="34"/>
      <c r="AF739" s="34"/>
      <c r="AG739" s="34"/>
      <c r="AH739" s="34"/>
      <c r="AI739" s="34"/>
      <c r="AJ739" s="34"/>
      <c r="AK739" s="34"/>
      <c r="AL739" s="34"/>
      <c r="AM739" s="34"/>
      <c r="AN739" s="34"/>
      <c r="AO739" s="34"/>
      <c r="AP739" s="34"/>
      <c r="AQ739" s="34"/>
      <c r="AR739" s="34"/>
      <c r="AS739" s="34"/>
      <c r="AT739" s="34"/>
      <c r="AU739" s="34"/>
      <c r="AV739" s="34"/>
      <c r="AW739" s="34"/>
      <c r="AX739" s="34"/>
      <c r="AY739" s="34"/>
      <c r="AZ739" s="34"/>
      <c r="BA739" s="34"/>
      <c r="BB739" s="34"/>
      <c r="BC739" s="34"/>
      <c r="BD739" s="34"/>
      <c r="BE739" s="34"/>
      <c r="BF739" s="34"/>
      <c r="BG739" s="34"/>
      <c r="BH739" s="34"/>
      <c r="BI739" s="34"/>
      <c r="BJ739" s="34"/>
      <c r="BK739" s="34"/>
      <c r="BL739" s="34"/>
      <c r="BM739" s="34"/>
      <c r="BN739" s="34"/>
      <c r="BO739" s="34"/>
      <c r="BP739" s="34"/>
      <c r="BQ739" s="34"/>
      <c r="BR739" s="34"/>
      <c r="BS739" s="34"/>
      <c r="BT739" s="34"/>
      <c r="BU739" s="34"/>
      <c r="BV739" s="34"/>
      <c r="BW739" s="34"/>
      <c r="BX739" s="34"/>
      <c r="BY739" s="34"/>
      <c r="BZ739" s="34"/>
      <c r="CA739" s="34"/>
      <c r="CB739" s="34"/>
      <c r="CC739" s="34"/>
      <c r="CD739" s="34"/>
      <c r="CE739" s="34"/>
      <c r="CF739" s="34"/>
      <c r="CG739" s="34"/>
      <c r="CH739" s="34"/>
      <c r="CI739" s="8"/>
    </row>
    <row r="740" spans="1:87" x14ac:dyDescent="0.2">
      <c r="A740" s="8" t="str">
        <f>IF(AND(COUNTIF(W$3:W$13,A$23)&gt;0,A$23&lt;&gt;B546),A$23,IFERROR(IF(MATCH(A$23,Z$3:Z$13,0)=9,A$23," ")," "))</f>
        <v xml:space="preserve"> </v>
      </c>
      <c r="B740" s="8" t="str">
        <f>IF(A740=" "," ",MAX(B732:B739)+1)</f>
        <v xml:space="preserve"> </v>
      </c>
      <c r="C740" s="8" t="str">
        <f>IFERROR(INDEX(A732:A753,MATCH(SMALL(B732:B753,9),B732:B753,0),1)," ")</f>
        <v>C20</v>
      </c>
      <c r="D740" s="8">
        <f t="shared" si="3043"/>
        <v>0</v>
      </c>
      <c r="E740" s="8">
        <f t="shared" si="3044"/>
        <v>0</v>
      </c>
      <c r="F740" s="8">
        <f t="shared" si="3045"/>
        <v>0</v>
      </c>
      <c r="G740" s="8">
        <f t="shared" si="3046"/>
        <v>0</v>
      </c>
      <c r="H740" s="8">
        <f t="shared" si="3047"/>
        <v>0</v>
      </c>
      <c r="I740" s="8">
        <f t="shared" si="3048"/>
        <v>0</v>
      </c>
      <c r="J740" s="8">
        <f t="shared" si="3049"/>
        <v>0</v>
      </c>
      <c r="K740" s="8">
        <f t="shared" si="3050"/>
        <v>0</v>
      </c>
      <c r="L740" s="8">
        <f t="shared" si="3051"/>
        <v>1</v>
      </c>
      <c r="M740" s="8">
        <f t="shared" si="3052"/>
        <v>0</v>
      </c>
      <c r="N740" s="8">
        <f t="shared" si="3053"/>
        <v>0</v>
      </c>
      <c r="O740" s="8">
        <f t="shared" si="3054"/>
        <v>0</v>
      </c>
      <c r="P740" s="6" t="e">
        <v>#NUM!</v>
      </c>
      <c r="Q740" s="8" t="e">
        <f t="shared" ref="Q740" si="3084">IF(COUNTIF(P732:P742,"&lt;"&amp;-0.001)=0,IF(ABS(P740)&lt;0.001,0,P740)," ")</f>
        <v>#NUM!</v>
      </c>
      <c r="R740" s="8"/>
      <c r="S740" s="8"/>
      <c r="U740" s="34"/>
      <c r="V740" s="34"/>
      <c r="W740" s="34"/>
      <c r="X740" s="34"/>
      <c r="Y740" s="34"/>
      <c r="Z740" s="34"/>
      <c r="AA740" s="34"/>
      <c r="AB740" s="34"/>
      <c r="AC740" s="34"/>
      <c r="AD740" s="34"/>
      <c r="AE740" s="34"/>
      <c r="AF740" s="34"/>
      <c r="AG740" s="34"/>
      <c r="AH740" s="34"/>
      <c r="AI740" s="34"/>
      <c r="AJ740" s="34"/>
      <c r="AK740" s="34"/>
      <c r="AL740" s="34"/>
      <c r="AM740" s="34"/>
      <c r="AN740" s="34"/>
      <c r="AO740" s="34"/>
      <c r="AP740" s="34"/>
      <c r="AQ740" s="34"/>
      <c r="AR740" s="34"/>
      <c r="AS740" s="34"/>
      <c r="AT740" s="34"/>
      <c r="AU740" s="34"/>
      <c r="AV740" s="34"/>
      <c r="AW740" s="34"/>
      <c r="AX740" s="34"/>
      <c r="AY740" s="34"/>
      <c r="AZ740" s="34"/>
      <c r="BA740" s="34"/>
      <c r="BB740" s="34"/>
      <c r="BC740" s="34"/>
      <c r="BD740" s="34"/>
      <c r="BE740" s="34"/>
      <c r="BF740" s="34"/>
      <c r="BG740" s="34"/>
      <c r="BH740" s="34"/>
      <c r="BI740" s="34"/>
      <c r="BJ740" s="34"/>
      <c r="BK740" s="34"/>
      <c r="BL740" s="34"/>
      <c r="BM740" s="34"/>
      <c r="BN740" s="34"/>
      <c r="BO740" s="34"/>
      <c r="BP740" s="34"/>
      <c r="BQ740" s="34"/>
      <c r="BR740" s="34"/>
      <c r="BS740" s="34"/>
      <c r="BT740" s="34"/>
      <c r="BU740" s="34"/>
      <c r="BV740" s="34"/>
      <c r="BW740" s="34"/>
      <c r="BX740" s="34"/>
      <c r="BY740" s="34"/>
      <c r="BZ740" s="34"/>
      <c r="CA740" s="34"/>
      <c r="CB740" s="34"/>
      <c r="CC740" s="34"/>
      <c r="CD740" s="34"/>
      <c r="CE740" s="34"/>
      <c r="CF740" s="34"/>
      <c r="CG740" s="34"/>
      <c r="CH740" s="34"/>
      <c r="CI740" s="8"/>
    </row>
    <row r="741" spans="1:87" x14ac:dyDescent="0.2">
      <c r="A741" s="8" t="str">
        <f>IF(AND(COUNTIF(W$3:W$13,A$24)&gt;0,A$24&lt;&gt;B546),A$24,IFERROR(IF(MATCH(A$24,Z$3:Z$13,0)=9,A$24," ")," "))</f>
        <v xml:space="preserve"> </v>
      </c>
      <c r="B741" s="8" t="str">
        <f>IF(A741=" "," ",MAX(B732:B740)+1)</f>
        <v xml:space="preserve"> </v>
      </c>
      <c r="C741" s="8" t="str">
        <f>IFERROR(INDEX(A732:A753,MATCH(SMALL(B732:B753,10),B732:B753,0),1)," ")</f>
        <v>C21</v>
      </c>
      <c r="D741" s="8">
        <f t="shared" si="3043"/>
        <v>0</v>
      </c>
      <c r="E741" s="8">
        <f t="shared" si="3044"/>
        <v>0</v>
      </c>
      <c r="F741" s="8">
        <f t="shared" si="3045"/>
        <v>0</v>
      </c>
      <c r="G741" s="8">
        <f t="shared" si="3046"/>
        <v>0</v>
      </c>
      <c r="H741" s="8">
        <f t="shared" si="3047"/>
        <v>0</v>
      </c>
      <c r="I741" s="8">
        <f t="shared" si="3048"/>
        <v>0</v>
      </c>
      <c r="J741" s="8">
        <f t="shared" si="3049"/>
        <v>0</v>
      </c>
      <c r="K741" s="8">
        <f t="shared" si="3050"/>
        <v>0</v>
      </c>
      <c r="L741" s="8">
        <f t="shared" si="3051"/>
        <v>0</v>
      </c>
      <c r="M741" s="8">
        <f t="shared" si="3052"/>
        <v>1</v>
      </c>
      <c r="N741" s="8">
        <f t="shared" si="3053"/>
        <v>0</v>
      </c>
      <c r="O741" s="8">
        <f t="shared" si="3054"/>
        <v>0</v>
      </c>
      <c r="P741" s="8" t="e">
        <v>#NUM!</v>
      </c>
      <c r="Q741" s="8" t="e">
        <f t="shared" ref="Q741" si="3085">IF(COUNTIF(P732:P742,"&lt;"&amp;-0.001)=0,IF(ABS(P741)&lt;0.001,0,P741)," ")</f>
        <v>#NUM!</v>
      </c>
      <c r="R741" s="8"/>
      <c r="S741" s="8"/>
      <c r="U741" s="34"/>
      <c r="V741" s="34"/>
      <c r="W741" s="34"/>
      <c r="X741" s="34"/>
      <c r="Y741" s="34"/>
      <c r="Z741" s="34"/>
      <c r="AA741" s="34"/>
      <c r="AB741" s="34"/>
      <c r="AC741" s="34"/>
      <c r="AD741" s="34"/>
      <c r="AE741" s="34"/>
      <c r="AF741" s="34"/>
      <c r="AG741" s="34"/>
      <c r="AH741" s="34"/>
      <c r="AI741" s="34"/>
      <c r="AJ741" s="34"/>
      <c r="AK741" s="34"/>
      <c r="AL741" s="34"/>
      <c r="AM741" s="34"/>
      <c r="AN741" s="34"/>
      <c r="AO741" s="34"/>
      <c r="AP741" s="34"/>
      <c r="AQ741" s="34"/>
      <c r="AR741" s="34"/>
      <c r="AS741" s="34"/>
      <c r="AT741" s="34"/>
      <c r="AU741" s="34"/>
      <c r="AV741" s="34"/>
      <c r="AW741" s="34"/>
      <c r="AX741" s="34"/>
      <c r="AY741" s="34"/>
      <c r="AZ741" s="34"/>
      <c r="BA741" s="34"/>
      <c r="BB741" s="34"/>
      <c r="BC741" s="34"/>
      <c r="BD741" s="34"/>
      <c r="BE741" s="34"/>
      <c r="BF741" s="34"/>
      <c r="BG741" s="34"/>
      <c r="BH741" s="34"/>
      <c r="BI741" s="34"/>
      <c r="BJ741" s="34"/>
      <c r="BK741" s="34"/>
      <c r="BL741" s="34"/>
      <c r="BM741" s="34"/>
      <c r="BN741" s="34"/>
      <c r="BO741" s="34"/>
      <c r="BP741" s="34"/>
      <c r="BQ741" s="34"/>
      <c r="BR741" s="34"/>
      <c r="BS741" s="34"/>
      <c r="BT741" s="34"/>
      <c r="BU741" s="34"/>
      <c r="BV741" s="34"/>
      <c r="BW741" s="34"/>
      <c r="BX741" s="34"/>
      <c r="BY741" s="34"/>
      <c r="BZ741" s="34"/>
      <c r="CA741" s="34"/>
      <c r="CB741" s="34"/>
      <c r="CC741" s="34"/>
      <c r="CD741" s="34"/>
      <c r="CE741" s="34"/>
      <c r="CF741" s="34"/>
      <c r="CG741" s="34"/>
      <c r="CH741" s="34"/>
      <c r="CI741" s="8"/>
    </row>
    <row r="742" spans="1:87" x14ac:dyDescent="0.2">
      <c r="A742" s="8" t="str">
        <f>IF(AND(COUNTIF(W$3:W$13,A$25)&gt;0,A$25&lt;&gt;B546),A$25,IFERROR(IF(MATCH(A$25,Z$3:Z$13,0)=9,A$25," ")," "))</f>
        <v>C11</v>
      </c>
      <c r="B742" s="8">
        <f>IF(A742=" "," ",MAX(B732:B741)+1)</f>
        <v>3</v>
      </c>
      <c r="C742" s="8" t="str">
        <f>IFERROR(INDEX(A732:A753,MATCH(SMALL(B732:B753,11),B732:B753,0),1)," ")</f>
        <v>C22</v>
      </c>
      <c r="D742" s="8">
        <f t="shared" si="3043"/>
        <v>0</v>
      </c>
      <c r="E742" s="8">
        <f t="shared" si="3044"/>
        <v>0</v>
      </c>
      <c r="F742" s="8">
        <f t="shared" si="3045"/>
        <v>0</v>
      </c>
      <c r="G742" s="8">
        <f t="shared" si="3046"/>
        <v>0</v>
      </c>
      <c r="H742" s="8">
        <f t="shared" si="3047"/>
        <v>0</v>
      </c>
      <c r="I742" s="8">
        <f t="shared" si="3048"/>
        <v>0</v>
      </c>
      <c r="J742" s="8">
        <f t="shared" si="3049"/>
        <v>0</v>
      </c>
      <c r="K742" s="8">
        <f t="shared" si="3050"/>
        <v>0</v>
      </c>
      <c r="L742" s="8">
        <f t="shared" si="3051"/>
        <v>0</v>
      </c>
      <c r="M742" s="8">
        <f t="shared" si="3052"/>
        <v>0</v>
      </c>
      <c r="N742" s="8">
        <f t="shared" si="3053"/>
        <v>1</v>
      </c>
      <c r="O742" s="8">
        <f t="shared" si="3054"/>
        <v>0</v>
      </c>
      <c r="P742" s="8" t="e">
        <v>#NUM!</v>
      </c>
      <c r="Q742" s="8" t="e">
        <f t="shared" ref="Q742" si="3086">IF(COUNTIF(P732:P742,"&lt;"&amp;-0.001)=0,IF(ABS(P742)&lt;0.001,0,P742)," ")</f>
        <v>#NUM!</v>
      </c>
      <c r="R742" s="8"/>
      <c r="S742" s="8"/>
      <c r="U742" s="34"/>
      <c r="V742" s="34"/>
      <c r="W742" s="34"/>
      <c r="X742" s="34"/>
      <c r="Y742" s="34"/>
      <c r="Z742" s="34"/>
      <c r="AA742" s="34"/>
      <c r="AB742" s="34"/>
      <c r="AC742" s="34"/>
      <c r="AD742" s="34"/>
      <c r="AE742" s="34"/>
      <c r="AF742" s="34"/>
      <c r="AG742" s="34"/>
      <c r="AH742" s="34"/>
      <c r="AI742" s="34"/>
      <c r="AJ742" s="34"/>
      <c r="AK742" s="34"/>
      <c r="AL742" s="34"/>
      <c r="AM742" s="34"/>
      <c r="AN742" s="34"/>
      <c r="AO742" s="34"/>
      <c r="AP742" s="34"/>
      <c r="AQ742" s="34"/>
      <c r="AR742" s="34"/>
      <c r="AS742" s="34"/>
      <c r="AT742" s="34"/>
      <c r="AU742" s="34"/>
      <c r="AV742" s="34"/>
      <c r="AW742" s="34"/>
      <c r="AX742" s="34"/>
      <c r="AY742" s="34"/>
      <c r="AZ742" s="34"/>
      <c r="BA742" s="34"/>
      <c r="BB742" s="34"/>
      <c r="BC742" s="34"/>
      <c r="BD742" s="34"/>
      <c r="BE742" s="34"/>
      <c r="BF742" s="34"/>
      <c r="BG742" s="34"/>
      <c r="BH742" s="34"/>
      <c r="BI742" s="34"/>
      <c r="BJ742" s="34"/>
      <c r="BK742" s="34"/>
      <c r="BL742" s="34"/>
      <c r="BM742" s="34"/>
      <c r="BN742" s="34"/>
      <c r="BO742" s="34"/>
      <c r="BP742" s="34"/>
      <c r="BQ742" s="34"/>
      <c r="BR742" s="34"/>
      <c r="BS742" s="34"/>
      <c r="BT742" s="34"/>
      <c r="BU742" s="34"/>
      <c r="BV742" s="34"/>
      <c r="BW742" s="34"/>
      <c r="BX742" s="34"/>
      <c r="BY742" s="34"/>
      <c r="BZ742" s="34"/>
      <c r="CA742" s="34"/>
      <c r="CB742" s="34"/>
      <c r="CC742" s="34"/>
      <c r="CD742" s="34"/>
      <c r="CE742" s="34"/>
      <c r="CF742" s="34"/>
      <c r="CG742" s="34"/>
      <c r="CH742" s="34"/>
      <c r="CI742" s="8"/>
    </row>
    <row r="743" spans="1:87" x14ac:dyDescent="0.2">
      <c r="A743" s="8" t="str">
        <f>IF(AND(COUNTIF(W$3:W$13,A$26)&gt;0,A$26&lt;&gt;B546),A$26,IFERROR(IF(MATCH(A$26,Z$3:Z$13,0)=9,A$26," ")," "))</f>
        <v xml:space="preserve"> </v>
      </c>
      <c r="B743" s="8" t="str">
        <f>IF(A743=" "," ",MAX(B732:B742)+1)</f>
        <v xml:space="preserve"> </v>
      </c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U743" s="34"/>
      <c r="V743" s="34"/>
      <c r="W743" s="34"/>
      <c r="X743" s="34"/>
      <c r="Y743" s="34"/>
      <c r="Z743" s="34"/>
      <c r="AA743" s="34"/>
      <c r="AB743" s="34"/>
      <c r="AC743" s="34"/>
      <c r="AD743" s="34"/>
      <c r="AE743" s="34"/>
      <c r="AF743" s="34"/>
      <c r="AG743" s="34"/>
      <c r="AH743" s="34"/>
      <c r="AI743" s="34"/>
      <c r="AJ743" s="34"/>
      <c r="AK743" s="34"/>
      <c r="AL743" s="34"/>
      <c r="AM743" s="34"/>
      <c r="AN743" s="34"/>
      <c r="AO743" s="34"/>
      <c r="AP743" s="34"/>
      <c r="AQ743" s="34"/>
      <c r="AR743" s="34"/>
      <c r="AS743" s="34"/>
      <c r="AT743" s="34"/>
      <c r="AU743" s="34"/>
      <c r="AV743" s="34"/>
      <c r="AW743" s="34"/>
      <c r="AX743" s="34"/>
      <c r="AY743" s="34"/>
      <c r="AZ743" s="34"/>
      <c r="BA743" s="34"/>
      <c r="BB743" s="34"/>
      <c r="BC743" s="34"/>
      <c r="BD743" s="34"/>
      <c r="BE743" s="34"/>
      <c r="BF743" s="34"/>
      <c r="BG743" s="34"/>
      <c r="BH743" s="34"/>
      <c r="BI743" s="34"/>
      <c r="BJ743" s="34"/>
      <c r="BK743" s="34"/>
      <c r="BL743" s="34"/>
      <c r="BM743" s="34"/>
      <c r="BN743" s="34"/>
      <c r="BO743" s="34"/>
      <c r="BP743" s="34"/>
      <c r="BQ743" s="34"/>
      <c r="BR743" s="34"/>
      <c r="BS743" s="34"/>
      <c r="BT743" s="34"/>
      <c r="BU743" s="34"/>
      <c r="BV743" s="34"/>
      <c r="BW743" s="34"/>
      <c r="BX743" s="34"/>
      <c r="BY743" s="34"/>
      <c r="BZ743" s="34"/>
      <c r="CA743" s="34"/>
      <c r="CB743" s="34"/>
      <c r="CC743" s="34"/>
      <c r="CD743" s="34"/>
      <c r="CE743" s="34"/>
      <c r="CF743" s="34"/>
      <c r="CG743" s="34"/>
      <c r="CH743" s="34"/>
      <c r="CI743" s="8"/>
    </row>
    <row r="744" spans="1:87" x14ac:dyDescent="0.2">
      <c r="A744" s="8" t="str">
        <f>IF(AND(COUNTIF(W$3:W$13,A$27)&gt;0,A$27&lt;&gt;B546),A$27,IFERROR(IF(MATCH(A$27,Z$3:Z$13,0)=9,A$27," ")," "))</f>
        <v xml:space="preserve"> </v>
      </c>
      <c r="B744" s="8" t="str">
        <f>IF(A744=" "," ",MAX(B732:B743)+1)</f>
        <v xml:space="preserve"> </v>
      </c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U744" s="34"/>
      <c r="V744" s="34"/>
      <c r="W744" s="34"/>
      <c r="X744" s="34"/>
      <c r="Y744" s="34"/>
      <c r="Z744" s="34"/>
      <c r="AA744" s="34"/>
      <c r="AB744" s="34"/>
      <c r="AC744" s="34"/>
      <c r="AD744" s="34"/>
      <c r="AE744" s="34"/>
      <c r="AF744" s="34"/>
      <c r="AG744" s="34"/>
      <c r="AH744" s="34"/>
      <c r="AI744" s="34"/>
      <c r="AJ744" s="34"/>
      <c r="AK744" s="34"/>
      <c r="AL744" s="34"/>
      <c r="AM744" s="34"/>
      <c r="AN744" s="34"/>
      <c r="AO744" s="34"/>
      <c r="AP744" s="34"/>
      <c r="AQ744" s="34"/>
      <c r="AR744" s="34"/>
      <c r="AS744" s="34"/>
      <c r="AT744" s="34"/>
      <c r="AU744" s="34"/>
      <c r="AV744" s="34"/>
      <c r="AW744" s="34"/>
      <c r="AX744" s="34"/>
      <c r="AY744" s="34"/>
      <c r="AZ744" s="34"/>
      <c r="BA744" s="34"/>
      <c r="BB744" s="34"/>
      <c r="BC744" s="34"/>
      <c r="BD744" s="34"/>
      <c r="BE744" s="34"/>
      <c r="BF744" s="34"/>
      <c r="BG744" s="34"/>
      <c r="BH744" s="34"/>
      <c r="BI744" s="34"/>
      <c r="BJ744" s="34"/>
      <c r="BK744" s="34"/>
      <c r="BL744" s="34"/>
      <c r="BM744" s="34"/>
      <c r="BN744" s="34"/>
      <c r="BO744" s="34"/>
      <c r="BP744" s="34"/>
      <c r="BQ744" s="34"/>
      <c r="BR744" s="34"/>
      <c r="BS744" s="34"/>
      <c r="BT744" s="34"/>
      <c r="BU744" s="34"/>
      <c r="BV744" s="34"/>
      <c r="BW744" s="34"/>
      <c r="BX744" s="34"/>
      <c r="BY744" s="34"/>
      <c r="BZ744" s="34"/>
      <c r="CA744" s="34"/>
      <c r="CB744" s="34"/>
      <c r="CC744" s="34"/>
      <c r="CD744" s="34"/>
      <c r="CE744" s="34"/>
      <c r="CF744" s="34"/>
      <c r="CG744" s="34"/>
      <c r="CH744" s="34"/>
      <c r="CI744" s="8"/>
    </row>
    <row r="745" spans="1:87" x14ac:dyDescent="0.2">
      <c r="A745" s="8" t="str">
        <f>IF(AND(COUNTIF(W$3:W$13,A$28)&gt;0,A$28&lt;&gt;B546),A$28,IFERROR(IF(MATCH(A$28,Z$3:Z$13,0)=9,A$28," ")," "))</f>
        <v xml:space="preserve"> </v>
      </c>
      <c r="B745" s="8" t="str">
        <f>IF(A745=" "," ",MAX(B732:B744)+1)</f>
        <v xml:space="preserve"> </v>
      </c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U745" s="34"/>
      <c r="V745" s="34"/>
      <c r="W745" s="34"/>
      <c r="X745" s="34"/>
      <c r="Y745" s="34"/>
      <c r="Z745" s="34"/>
      <c r="AA745" s="34"/>
      <c r="AB745" s="34"/>
      <c r="AC745" s="34"/>
      <c r="AD745" s="34"/>
      <c r="AE745" s="34"/>
      <c r="AF745" s="34"/>
      <c r="AG745" s="34"/>
      <c r="AH745" s="34"/>
      <c r="AI745" s="34"/>
      <c r="AJ745" s="34"/>
      <c r="AK745" s="34"/>
      <c r="AL745" s="34"/>
      <c r="AM745" s="34"/>
      <c r="AN745" s="34"/>
      <c r="AO745" s="34"/>
      <c r="AP745" s="34"/>
      <c r="AQ745" s="34"/>
      <c r="AR745" s="34"/>
      <c r="AS745" s="34"/>
      <c r="AT745" s="34"/>
      <c r="AU745" s="34"/>
      <c r="AV745" s="34"/>
      <c r="AW745" s="34"/>
      <c r="AX745" s="34"/>
      <c r="AY745" s="34"/>
      <c r="AZ745" s="34"/>
      <c r="BA745" s="34"/>
      <c r="BB745" s="34"/>
      <c r="BC745" s="34"/>
      <c r="BD745" s="34"/>
      <c r="BE745" s="34"/>
      <c r="BF745" s="34"/>
      <c r="BG745" s="34"/>
      <c r="BH745" s="34"/>
      <c r="BI745" s="34"/>
      <c r="BJ745" s="34"/>
      <c r="BK745" s="34"/>
      <c r="BL745" s="34"/>
      <c r="BM745" s="34"/>
      <c r="BN745" s="34"/>
      <c r="BO745" s="34"/>
      <c r="BP745" s="34"/>
      <c r="BQ745" s="34"/>
      <c r="BR745" s="34"/>
      <c r="BS745" s="34"/>
      <c r="BT745" s="34"/>
      <c r="BU745" s="34"/>
      <c r="BV745" s="34"/>
      <c r="BW745" s="34"/>
      <c r="BX745" s="34"/>
      <c r="BY745" s="34"/>
      <c r="BZ745" s="34"/>
      <c r="CA745" s="34"/>
      <c r="CB745" s="34"/>
      <c r="CC745" s="34"/>
      <c r="CD745" s="34"/>
      <c r="CE745" s="34"/>
      <c r="CF745" s="34"/>
      <c r="CG745" s="34"/>
      <c r="CH745" s="34"/>
      <c r="CI745" s="8"/>
    </row>
    <row r="746" spans="1:87" x14ac:dyDescent="0.2">
      <c r="A746" s="8" t="str">
        <f>IF(AND(COUNTIF(W$3:W$13,A$29)&gt;0,A$29&lt;&gt;B546),A$29,IFERROR(IF(MATCH(A$29,Z$3:Z$13,0)=9,A$29," ")," "))</f>
        <v>C15</v>
      </c>
      <c r="B746" s="8">
        <f>IF(A746=" "," ",MAX(B732:B745)+1)</f>
        <v>4</v>
      </c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U746" s="34"/>
      <c r="V746" s="34"/>
      <c r="W746" s="34"/>
      <c r="X746" s="34"/>
      <c r="Y746" s="34"/>
      <c r="Z746" s="34"/>
      <c r="AA746" s="34"/>
      <c r="AB746" s="34"/>
      <c r="AC746" s="34"/>
      <c r="AD746" s="34"/>
      <c r="AE746" s="34"/>
      <c r="AF746" s="34"/>
      <c r="AG746" s="34"/>
      <c r="AH746" s="34"/>
      <c r="AI746" s="34"/>
      <c r="AJ746" s="34"/>
      <c r="AK746" s="34"/>
      <c r="AL746" s="34"/>
      <c r="AM746" s="34"/>
      <c r="AN746" s="34"/>
      <c r="AO746" s="34"/>
      <c r="AP746" s="34"/>
      <c r="AQ746" s="34"/>
      <c r="AR746" s="34"/>
      <c r="AS746" s="34"/>
      <c r="AT746" s="34"/>
      <c r="AU746" s="34"/>
      <c r="AV746" s="34"/>
      <c r="AW746" s="34"/>
      <c r="AX746" s="34"/>
      <c r="AY746" s="34"/>
      <c r="AZ746" s="34"/>
      <c r="BA746" s="34"/>
      <c r="BB746" s="34"/>
      <c r="BC746" s="34"/>
      <c r="BD746" s="34"/>
      <c r="BE746" s="34"/>
      <c r="BF746" s="34"/>
      <c r="BG746" s="34"/>
      <c r="BH746" s="34"/>
      <c r="BI746" s="34"/>
      <c r="BJ746" s="34"/>
      <c r="BK746" s="34"/>
      <c r="BL746" s="34"/>
      <c r="BM746" s="34"/>
      <c r="BN746" s="34"/>
      <c r="BO746" s="34"/>
      <c r="BP746" s="34"/>
      <c r="BQ746" s="34"/>
      <c r="BR746" s="34"/>
      <c r="BS746" s="34"/>
      <c r="BT746" s="34"/>
      <c r="BU746" s="34"/>
      <c r="BV746" s="34"/>
      <c r="BW746" s="34"/>
      <c r="BX746" s="34"/>
      <c r="BY746" s="34"/>
      <c r="BZ746" s="34"/>
      <c r="CA746" s="34"/>
      <c r="CB746" s="34"/>
      <c r="CC746" s="34"/>
      <c r="CD746" s="34"/>
      <c r="CE746" s="34"/>
      <c r="CF746" s="34"/>
      <c r="CG746" s="34"/>
      <c r="CH746" s="34"/>
      <c r="CI746" s="8"/>
    </row>
    <row r="747" spans="1:87" x14ac:dyDescent="0.2">
      <c r="A747" s="8" t="str">
        <f>IF(AND(COUNTIF(W$3:W$13,A$30)&gt;0,A$30&lt;&gt;B546),A$30,IFERROR(IF(MATCH(A$30,Z$3:Z$13,0)=9,A$30," ")," "))</f>
        <v>C16</v>
      </c>
      <c r="B747" s="8">
        <f>IF(A747=" "," ",MAX(B732:B746)+1)</f>
        <v>5</v>
      </c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U747" s="34"/>
      <c r="V747" s="34"/>
      <c r="W747" s="34"/>
      <c r="X747" s="34"/>
      <c r="Y747" s="34"/>
      <c r="Z747" s="34"/>
      <c r="AA747" s="34"/>
      <c r="AB747" s="34"/>
      <c r="AC747" s="34"/>
      <c r="AD747" s="34"/>
      <c r="AE747" s="34"/>
      <c r="AF747" s="34"/>
      <c r="AG747" s="34"/>
      <c r="AH747" s="34"/>
      <c r="AI747" s="34"/>
      <c r="AJ747" s="34"/>
      <c r="AK747" s="34"/>
      <c r="AL747" s="34"/>
      <c r="AM747" s="34"/>
      <c r="AN747" s="34"/>
      <c r="AO747" s="34"/>
      <c r="AP747" s="34"/>
      <c r="AQ747" s="34"/>
      <c r="AR747" s="34"/>
      <c r="AS747" s="34"/>
      <c r="AT747" s="34"/>
      <c r="AU747" s="34"/>
      <c r="AV747" s="34"/>
      <c r="AW747" s="34"/>
      <c r="AX747" s="34"/>
      <c r="AY747" s="34"/>
      <c r="AZ747" s="34"/>
      <c r="BA747" s="34"/>
      <c r="BB747" s="34"/>
      <c r="BC747" s="34"/>
      <c r="BD747" s="34"/>
      <c r="BE747" s="34"/>
      <c r="BF747" s="34"/>
      <c r="BG747" s="34"/>
      <c r="BH747" s="34"/>
      <c r="BI747" s="34"/>
      <c r="BJ747" s="34"/>
      <c r="BK747" s="34"/>
      <c r="BL747" s="34"/>
      <c r="BM747" s="34"/>
      <c r="BN747" s="34"/>
      <c r="BO747" s="34"/>
      <c r="BP747" s="34"/>
      <c r="BQ747" s="34"/>
      <c r="BR747" s="34"/>
      <c r="BS747" s="34"/>
      <c r="BT747" s="34"/>
      <c r="BU747" s="34"/>
      <c r="BV747" s="34"/>
      <c r="BW747" s="34"/>
      <c r="BX747" s="34"/>
      <c r="BY747" s="34"/>
      <c r="BZ747" s="34"/>
      <c r="CA747" s="34"/>
      <c r="CB747" s="34"/>
      <c r="CC747" s="34"/>
      <c r="CD747" s="34"/>
      <c r="CE747" s="34"/>
      <c r="CF747" s="34"/>
      <c r="CG747" s="34"/>
      <c r="CH747" s="34"/>
      <c r="CI747" s="8"/>
    </row>
    <row r="748" spans="1:87" x14ac:dyDescent="0.2">
      <c r="A748" s="8" t="str">
        <f>IF(AND(COUNTIF(W$3:W$13,A$31)&gt;0,A$31&lt;&gt;B546),A$31,IFERROR(IF(MATCH(A$31,Z$3:Z$13,0)=9,A$31," ")," "))</f>
        <v>C17</v>
      </c>
      <c r="B748" s="8">
        <f>IF(A748=" "," ",MAX(B732:B747)+1)</f>
        <v>6</v>
      </c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U748" s="34"/>
      <c r="V748" s="34"/>
      <c r="W748" s="34"/>
      <c r="X748" s="34"/>
      <c r="Y748" s="34"/>
      <c r="Z748" s="34"/>
      <c r="AA748" s="34"/>
      <c r="AB748" s="34"/>
      <c r="AC748" s="34"/>
      <c r="AD748" s="34"/>
      <c r="AE748" s="34"/>
      <c r="AF748" s="34"/>
      <c r="AG748" s="34"/>
      <c r="AH748" s="34"/>
      <c r="AI748" s="34"/>
      <c r="AJ748" s="34"/>
      <c r="AK748" s="34"/>
      <c r="AL748" s="34"/>
      <c r="AM748" s="34"/>
      <c r="AN748" s="34"/>
      <c r="AO748" s="34"/>
      <c r="AP748" s="34"/>
      <c r="AQ748" s="34"/>
      <c r="AR748" s="34"/>
      <c r="AS748" s="34"/>
      <c r="AT748" s="34"/>
      <c r="AU748" s="34"/>
      <c r="AV748" s="34"/>
      <c r="AW748" s="34"/>
      <c r="AX748" s="34"/>
      <c r="AY748" s="34"/>
      <c r="AZ748" s="34"/>
      <c r="BA748" s="34"/>
      <c r="BB748" s="34"/>
      <c r="BC748" s="34"/>
      <c r="BD748" s="34"/>
      <c r="BE748" s="34"/>
      <c r="BF748" s="34"/>
      <c r="BG748" s="34"/>
      <c r="BH748" s="34"/>
      <c r="BI748" s="34"/>
      <c r="BJ748" s="34"/>
      <c r="BK748" s="34"/>
      <c r="BL748" s="34"/>
      <c r="BM748" s="34"/>
      <c r="BN748" s="34"/>
      <c r="BO748" s="34"/>
      <c r="BP748" s="34"/>
      <c r="BQ748" s="34"/>
      <c r="BR748" s="34"/>
      <c r="BS748" s="34"/>
      <c r="BT748" s="34"/>
      <c r="BU748" s="34"/>
      <c r="BV748" s="34"/>
      <c r="BW748" s="34"/>
      <c r="BX748" s="34"/>
      <c r="BY748" s="34"/>
      <c r="BZ748" s="34"/>
      <c r="CA748" s="34"/>
      <c r="CB748" s="34"/>
      <c r="CC748" s="34"/>
      <c r="CD748" s="34"/>
      <c r="CE748" s="34"/>
      <c r="CF748" s="34"/>
      <c r="CG748" s="34"/>
      <c r="CH748" s="34"/>
      <c r="CI748" s="8"/>
    </row>
    <row r="749" spans="1:87" x14ac:dyDescent="0.2">
      <c r="A749" s="8" t="str">
        <f>IF(AND(COUNTIF(W$3:W$13,A$32)&gt;0,A$32&lt;&gt;B546),A$32,IFERROR(IF(MATCH(A$32,Z$3:Z$13,0)=9,A$32," ")," "))</f>
        <v>C18</v>
      </c>
      <c r="B749" s="8">
        <f>IF(A749=" "," ",MAX(B732:B748)+1)</f>
        <v>7</v>
      </c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U749" s="34"/>
      <c r="V749" s="34"/>
      <c r="W749" s="34"/>
      <c r="X749" s="34"/>
      <c r="Y749" s="34"/>
      <c r="Z749" s="34"/>
      <c r="AA749" s="34"/>
      <c r="AB749" s="34"/>
      <c r="AC749" s="34"/>
      <c r="AD749" s="34"/>
      <c r="AE749" s="34"/>
      <c r="AF749" s="34"/>
      <c r="AG749" s="34"/>
      <c r="AH749" s="34"/>
      <c r="AI749" s="34"/>
      <c r="AJ749" s="34"/>
      <c r="AK749" s="34"/>
      <c r="AL749" s="34"/>
      <c r="AM749" s="34"/>
      <c r="AN749" s="34"/>
      <c r="AO749" s="34"/>
      <c r="AP749" s="34"/>
      <c r="AQ749" s="34"/>
      <c r="AR749" s="34"/>
      <c r="AS749" s="34"/>
      <c r="AT749" s="34"/>
      <c r="AU749" s="34"/>
      <c r="AV749" s="34"/>
      <c r="AW749" s="34"/>
      <c r="AX749" s="34"/>
      <c r="AY749" s="34"/>
      <c r="AZ749" s="34"/>
      <c r="BA749" s="34"/>
      <c r="BB749" s="34"/>
      <c r="BC749" s="34"/>
      <c r="BD749" s="34"/>
      <c r="BE749" s="34"/>
      <c r="BF749" s="34"/>
      <c r="BG749" s="34"/>
      <c r="BH749" s="34"/>
      <c r="BI749" s="34"/>
      <c r="BJ749" s="34"/>
      <c r="BK749" s="34"/>
      <c r="BL749" s="34"/>
      <c r="BM749" s="34"/>
      <c r="BN749" s="34"/>
      <c r="BO749" s="34"/>
      <c r="BP749" s="34"/>
      <c r="BQ749" s="34"/>
      <c r="BR749" s="34"/>
      <c r="BS749" s="34"/>
      <c r="BT749" s="34"/>
      <c r="BU749" s="34"/>
      <c r="BV749" s="34"/>
      <c r="BW749" s="34"/>
      <c r="BX749" s="34"/>
      <c r="BY749" s="34"/>
      <c r="BZ749" s="34"/>
      <c r="CA749" s="34"/>
      <c r="CB749" s="34"/>
      <c r="CC749" s="34"/>
      <c r="CD749" s="34"/>
      <c r="CE749" s="34"/>
      <c r="CF749" s="34"/>
      <c r="CG749" s="34"/>
      <c r="CH749" s="34"/>
      <c r="CI749" s="8"/>
    </row>
    <row r="750" spans="1:87" x14ac:dyDescent="0.2">
      <c r="A750" s="8" t="str">
        <f>IF(AND(COUNTIF(W$3:W$13,A$33)&gt;0,A$33&lt;&gt;B546),A$33,IFERROR(IF(MATCH(A$33,Z$3:Z$13,0)=9,A$33," ")," "))</f>
        <v>C19</v>
      </c>
      <c r="B750" s="8">
        <f>IF(A750=" "," ",MAX(B732:B749)+1)</f>
        <v>8</v>
      </c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U750" s="34"/>
      <c r="V750" s="34"/>
      <c r="W750" s="34"/>
      <c r="X750" s="34"/>
      <c r="Y750" s="34"/>
      <c r="Z750" s="34"/>
      <c r="AA750" s="34"/>
      <c r="AB750" s="34"/>
      <c r="AC750" s="34"/>
      <c r="AD750" s="34"/>
      <c r="AE750" s="34"/>
      <c r="AF750" s="34"/>
      <c r="AG750" s="34"/>
      <c r="AH750" s="34"/>
      <c r="AI750" s="34"/>
      <c r="AJ750" s="34"/>
      <c r="AK750" s="34"/>
      <c r="AL750" s="34"/>
      <c r="AM750" s="34"/>
      <c r="AN750" s="34"/>
      <c r="AO750" s="34"/>
      <c r="AP750" s="34"/>
      <c r="AQ750" s="34"/>
      <c r="AR750" s="34"/>
      <c r="AS750" s="34"/>
      <c r="AT750" s="34"/>
      <c r="AU750" s="34"/>
      <c r="AV750" s="34"/>
      <c r="AW750" s="34"/>
      <c r="AX750" s="34"/>
      <c r="AY750" s="34"/>
      <c r="AZ750" s="34"/>
      <c r="BA750" s="34"/>
      <c r="BB750" s="34"/>
      <c r="BC750" s="34"/>
      <c r="BD750" s="34"/>
      <c r="BE750" s="34"/>
      <c r="BF750" s="34"/>
      <c r="BG750" s="34"/>
      <c r="BH750" s="34"/>
      <c r="BI750" s="34"/>
      <c r="BJ750" s="34"/>
      <c r="BK750" s="34"/>
      <c r="BL750" s="34"/>
      <c r="BM750" s="34"/>
      <c r="BN750" s="34"/>
      <c r="BO750" s="34"/>
      <c r="BP750" s="34"/>
      <c r="BQ750" s="34"/>
      <c r="BR750" s="34"/>
      <c r="BS750" s="34"/>
      <c r="BT750" s="34"/>
      <c r="BU750" s="34"/>
      <c r="BV750" s="34"/>
      <c r="BW750" s="34"/>
      <c r="BX750" s="34"/>
      <c r="BY750" s="34"/>
      <c r="BZ750" s="34"/>
      <c r="CA750" s="34"/>
      <c r="CB750" s="34"/>
      <c r="CC750" s="34"/>
      <c r="CD750" s="34"/>
      <c r="CE750" s="34"/>
      <c r="CF750" s="34"/>
      <c r="CG750" s="34"/>
      <c r="CH750" s="34"/>
      <c r="CI750" s="8"/>
    </row>
    <row r="751" spans="1:87" x14ac:dyDescent="0.2">
      <c r="A751" s="8" t="str">
        <f>IF(AND(COUNTIF(W$3:W$13,A$34)&gt;0,A$34&lt;&gt;B546),A$34,IFERROR(IF(MATCH(A$34,Z$3:Z$13,0)=9,A$34," ")," "))</f>
        <v>C20</v>
      </c>
      <c r="B751" s="8">
        <f>IF(A751=" "," ",MAX(B732:B750)+1)</f>
        <v>9</v>
      </c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U751" s="34"/>
      <c r="V751" s="34"/>
      <c r="W751" s="34"/>
      <c r="X751" s="34"/>
      <c r="Y751" s="34"/>
      <c r="Z751" s="34"/>
      <c r="AA751" s="34"/>
      <c r="AB751" s="34"/>
      <c r="AC751" s="34"/>
      <c r="AD751" s="34"/>
      <c r="AE751" s="34"/>
      <c r="AF751" s="34"/>
      <c r="AG751" s="34"/>
      <c r="AH751" s="34"/>
      <c r="AI751" s="34"/>
      <c r="AJ751" s="34"/>
      <c r="AK751" s="34"/>
      <c r="AL751" s="34"/>
      <c r="AM751" s="34"/>
      <c r="AN751" s="34"/>
      <c r="AO751" s="34"/>
      <c r="AP751" s="34"/>
      <c r="AQ751" s="34"/>
      <c r="AR751" s="34"/>
      <c r="AS751" s="34"/>
      <c r="AT751" s="34"/>
      <c r="AU751" s="34"/>
      <c r="AV751" s="34"/>
      <c r="AW751" s="34"/>
      <c r="AX751" s="34"/>
      <c r="AY751" s="34"/>
      <c r="AZ751" s="34"/>
      <c r="BA751" s="34"/>
      <c r="BB751" s="34"/>
      <c r="BC751" s="34"/>
      <c r="BD751" s="34"/>
      <c r="BE751" s="34"/>
      <c r="BF751" s="34"/>
      <c r="BG751" s="34"/>
      <c r="BH751" s="34"/>
      <c r="BI751" s="34"/>
      <c r="BJ751" s="34"/>
      <c r="BK751" s="34"/>
      <c r="BL751" s="34"/>
      <c r="BM751" s="34"/>
      <c r="BN751" s="34"/>
      <c r="BO751" s="34"/>
      <c r="BP751" s="34"/>
      <c r="BQ751" s="34"/>
      <c r="BR751" s="34"/>
      <c r="BS751" s="34"/>
      <c r="BT751" s="34"/>
      <c r="BU751" s="34"/>
      <c r="BV751" s="34"/>
      <c r="BW751" s="34"/>
      <c r="BX751" s="34"/>
      <c r="BY751" s="34"/>
      <c r="BZ751" s="34"/>
      <c r="CA751" s="34"/>
      <c r="CB751" s="34"/>
      <c r="CC751" s="34"/>
      <c r="CD751" s="34"/>
      <c r="CE751" s="34"/>
      <c r="CF751" s="34"/>
      <c r="CG751" s="34"/>
      <c r="CH751" s="34"/>
      <c r="CI751" s="8"/>
    </row>
    <row r="752" spans="1:87" x14ac:dyDescent="0.2">
      <c r="A752" s="8" t="str">
        <f>IF(AND(COUNTIF(W$3:W$13,A$35)&gt;0,A$35&lt;&gt;B546),A$35,IFERROR(IF(MATCH(A$35,Z$3:Z$13,0)=9,A$35," ")," "))</f>
        <v>C21</v>
      </c>
      <c r="B752" s="8">
        <f>IF(A752=" "," ",MAX(B732:B751)+1)</f>
        <v>10</v>
      </c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U752" s="34"/>
      <c r="V752" s="34"/>
      <c r="W752" s="34"/>
      <c r="X752" s="34"/>
      <c r="Y752" s="34"/>
      <c r="Z752" s="34"/>
      <c r="AA752" s="34"/>
      <c r="AB752" s="34"/>
      <c r="AC752" s="34"/>
      <c r="AD752" s="34"/>
      <c r="AE752" s="34"/>
      <c r="AF752" s="34"/>
      <c r="AG752" s="34"/>
      <c r="AH752" s="34"/>
      <c r="AI752" s="34"/>
      <c r="AJ752" s="34"/>
      <c r="AK752" s="34"/>
      <c r="AL752" s="34"/>
      <c r="AM752" s="34"/>
      <c r="AN752" s="34"/>
      <c r="AO752" s="34"/>
      <c r="AP752" s="34"/>
      <c r="AQ752" s="34"/>
      <c r="AR752" s="34"/>
      <c r="AS752" s="34"/>
      <c r="AT752" s="34"/>
      <c r="AU752" s="34"/>
      <c r="AV752" s="34"/>
      <c r="AW752" s="34"/>
      <c r="AX752" s="34"/>
      <c r="AY752" s="34"/>
      <c r="AZ752" s="34"/>
      <c r="BA752" s="34"/>
      <c r="BB752" s="34"/>
      <c r="BC752" s="34"/>
      <c r="BD752" s="34"/>
      <c r="BE752" s="34"/>
      <c r="BF752" s="34"/>
      <c r="BG752" s="34"/>
      <c r="BH752" s="34"/>
      <c r="BI752" s="34"/>
      <c r="BJ752" s="34"/>
      <c r="BK752" s="34"/>
      <c r="BL752" s="34"/>
      <c r="BM752" s="34"/>
      <c r="BN752" s="34"/>
      <c r="BO752" s="34"/>
      <c r="BP752" s="34"/>
      <c r="BQ752" s="34"/>
      <c r="BR752" s="34"/>
      <c r="BS752" s="34"/>
      <c r="BT752" s="34"/>
      <c r="BU752" s="34"/>
      <c r="BV752" s="34"/>
      <c r="BW752" s="34"/>
      <c r="BX752" s="34"/>
      <c r="BY752" s="34"/>
      <c r="BZ752" s="34"/>
      <c r="CA752" s="34"/>
      <c r="CB752" s="34"/>
      <c r="CC752" s="34"/>
      <c r="CD752" s="34"/>
      <c r="CE752" s="34"/>
      <c r="CF752" s="34"/>
      <c r="CG752" s="34"/>
      <c r="CH752" s="34"/>
      <c r="CI752" s="8"/>
    </row>
    <row r="753" spans="1:87" x14ac:dyDescent="0.2">
      <c r="A753" s="8" t="str">
        <f>IF(AND(COUNTIF(W$3:W$13,A$36)&gt;0,A$36&lt;&gt;B546),A$36,IFERROR(IF(MATCH(A$36,Z$3:Z$13,0)=9,A$36," ")," "))</f>
        <v>C22</v>
      </c>
      <c r="B753" s="8">
        <f>IF(A753=" "," ",MAX(B732:B752)+1)</f>
        <v>11</v>
      </c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U753" s="34"/>
      <c r="V753" s="34"/>
      <c r="W753" s="34"/>
      <c r="X753" s="34"/>
      <c r="Y753" s="34"/>
      <c r="Z753" s="34"/>
      <c r="AA753" s="34"/>
      <c r="AB753" s="34"/>
      <c r="AC753" s="34"/>
      <c r="AD753" s="34"/>
      <c r="AE753" s="34"/>
      <c r="AF753" s="34"/>
      <c r="AG753" s="34"/>
      <c r="AH753" s="34"/>
      <c r="AI753" s="34"/>
      <c r="AJ753" s="34"/>
      <c r="AK753" s="34"/>
      <c r="AL753" s="34"/>
      <c r="AM753" s="34"/>
      <c r="AN753" s="34"/>
      <c r="AO753" s="34"/>
      <c r="AP753" s="34"/>
      <c r="AQ753" s="34"/>
      <c r="AR753" s="34"/>
      <c r="AS753" s="34"/>
      <c r="AT753" s="34"/>
      <c r="AU753" s="34"/>
      <c r="AV753" s="34"/>
      <c r="AW753" s="34"/>
      <c r="AX753" s="34"/>
      <c r="AY753" s="34"/>
      <c r="AZ753" s="34"/>
      <c r="BA753" s="34"/>
      <c r="BB753" s="34"/>
      <c r="BC753" s="34"/>
      <c r="BD753" s="34"/>
      <c r="BE753" s="34"/>
      <c r="BF753" s="34"/>
      <c r="BG753" s="34"/>
      <c r="BH753" s="34"/>
      <c r="BI753" s="34"/>
      <c r="BJ753" s="34"/>
      <c r="BK753" s="34"/>
      <c r="BL753" s="34"/>
      <c r="BM753" s="34"/>
      <c r="BN753" s="34"/>
      <c r="BO753" s="34"/>
      <c r="BP753" s="34"/>
      <c r="BQ753" s="34"/>
      <c r="BR753" s="34"/>
      <c r="BS753" s="34"/>
      <c r="BT753" s="34"/>
      <c r="BU753" s="34"/>
      <c r="BV753" s="34"/>
      <c r="BW753" s="34"/>
      <c r="BX753" s="34"/>
      <c r="BY753" s="34"/>
      <c r="BZ753" s="34"/>
      <c r="CA753" s="34"/>
      <c r="CB753" s="34"/>
      <c r="CC753" s="34"/>
      <c r="CD753" s="34"/>
      <c r="CE753" s="34"/>
      <c r="CF753" s="34"/>
      <c r="CG753" s="34"/>
      <c r="CH753" s="34"/>
      <c r="CI753" s="8"/>
    </row>
    <row r="754" spans="1:87" x14ac:dyDescent="0.2">
      <c r="A754" s="11" t="s">
        <v>17</v>
      </c>
      <c r="B754" s="11"/>
      <c r="C754" s="27" t="s">
        <v>18</v>
      </c>
      <c r="D754" s="27" t="s">
        <v>2</v>
      </c>
      <c r="E754" s="27" t="s">
        <v>6</v>
      </c>
      <c r="F754" s="27" t="s">
        <v>15</v>
      </c>
      <c r="G754" s="27" t="s">
        <v>36</v>
      </c>
      <c r="H754" s="27" t="s">
        <v>37</v>
      </c>
      <c r="I754" s="27" t="s">
        <v>38</v>
      </c>
      <c r="J754" s="27" t="s">
        <v>39</v>
      </c>
      <c r="K754" s="27" t="s">
        <v>40</v>
      </c>
      <c r="L754" s="27" t="s">
        <v>41</v>
      </c>
      <c r="M754" s="27" t="s">
        <v>42</v>
      </c>
      <c r="N754" s="27" t="s">
        <v>43</v>
      </c>
      <c r="O754" s="27" t="s">
        <v>9</v>
      </c>
      <c r="P754" s="27" t="s">
        <v>12</v>
      </c>
      <c r="Q754" s="27" t="s">
        <v>19</v>
      </c>
      <c r="R754" s="27" t="s">
        <v>55</v>
      </c>
      <c r="S754" s="27" t="s">
        <v>26</v>
      </c>
      <c r="T754" s="19" t="s">
        <v>25</v>
      </c>
      <c r="U754" s="33" t="s">
        <v>27</v>
      </c>
      <c r="V754" s="33" t="s">
        <v>9</v>
      </c>
      <c r="W754" s="33" t="s">
        <v>23</v>
      </c>
      <c r="X754" s="33" t="s">
        <v>12</v>
      </c>
      <c r="Y754" s="33" t="s">
        <v>26</v>
      </c>
      <c r="Z754" s="33" t="s">
        <v>25</v>
      </c>
      <c r="AA754" s="33" t="s">
        <v>27</v>
      </c>
      <c r="AB754" s="33" t="s">
        <v>9</v>
      </c>
      <c r="AC754" s="33" t="s">
        <v>23</v>
      </c>
      <c r="AD754" s="33" t="s">
        <v>12</v>
      </c>
      <c r="AE754" s="33" t="s">
        <v>26</v>
      </c>
      <c r="AF754" s="33" t="s">
        <v>25</v>
      </c>
      <c r="AG754" s="33" t="s">
        <v>27</v>
      </c>
      <c r="AH754" s="33" t="s">
        <v>9</v>
      </c>
      <c r="AI754" s="33" t="s">
        <v>23</v>
      </c>
      <c r="AJ754" s="33" t="s">
        <v>12</v>
      </c>
      <c r="AK754" s="33" t="s">
        <v>26</v>
      </c>
      <c r="AL754" s="33" t="s">
        <v>25</v>
      </c>
      <c r="AM754" s="33" t="s">
        <v>27</v>
      </c>
      <c r="AN754" s="33" t="s">
        <v>9</v>
      </c>
      <c r="AO754" s="33" t="s">
        <v>23</v>
      </c>
      <c r="AP754" s="33" t="s">
        <v>12</v>
      </c>
      <c r="AQ754" s="33" t="s">
        <v>26</v>
      </c>
      <c r="AR754" s="33" t="s">
        <v>25</v>
      </c>
      <c r="AS754" s="33" t="s">
        <v>27</v>
      </c>
      <c r="AT754" s="33" t="s">
        <v>9</v>
      </c>
      <c r="AU754" s="33" t="s">
        <v>23</v>
      </c>
      <c r="AV754" s="33" t="s">
        <v>12</v>
      </c>
      <c r="AW754" s="33" t="s">
        <v>26</v>
      </c>
      <c r="AX754" s="33" t="s">
        <v>25</v>
      </c>
      <c r="AY754" s="33" t="s">
        <v>27</v>
      </c>
      <c r="AZ754" s="33" t="s">
        <v>9</v>
      </c>
      <c r="BA754" s="33" t="s">
        <v>23</v>
      </c>
      <c r="BB754" s="33" t="s">
        <v>12</v>
      </c>
      <c r="BC754" s="33" t="s">
        <v>26</v>
      </c>
      <c r="BD754" s="33" t="s">
        <v>25</v>
      </c>
      <c r="BE754" s="33" t="s">
        <v>27</v>
      </c>
      <c r="BF754" s="33" t="s">
        <v>9</v>
      </c>
      <c r="BG754" s="33" t="s">
        <v>23</v>
      </c>
      <c r="BH754" s="33" t="s">
        <v>12</v>
      </c>
      <c r="BI754" s="33" t="s">
        <v>26</v>
      </c>
      <c r="BJ754" s="33" t="s">
        <v>25</v>
      </c>
      <c r="BK754" s="33" t="s">
        <v>27</v>
      </c>
      <c r="BL754" s="33" t="s">
        <v>9</v>
      </c>
      <c r="BM754" s="33" t="s">
        <v>23</v>
      </c>
      <c r="BN754" s="33" t="s">
        <v>12</v>
      </c>
      <c r="BO754" s="33" t="s">
        <v>26</v>
      </c>
      <c r="BP754" s="33" t="s">
        <v>25</v>
      </c>
      <c r="BQ754" s="33" t="s">
        <v>27</v>
      </c>
      <c r="BR754" s="33" t="s">
        <v>9</v>
      </c>
      <c r="BS754" s="33" t="s">
        <v>23</v>
      </c>
      <c r="BT754" s="33" t="s">
        <v>12</v>
      </c>
      <c r="BU754" s="33" t="s">
        <v>26</v>
      </c>
      <c r="BV754" s="33" t="s">
        <v>25</v>
      </c>
      <c r="BW754" s="33" t="s">
        <v>27</v>
      </c>
      <c r="BX754" s="33" t="s">
        <v>9</v>
      </c>
      <c r="BY754" s="33" t="s">
        <v>23</v>
      </c>
      <c r="BZ754" s="33" t="s">
        <v>12</v>
      </c>
      <c r="CA754" s="33" t="s">
        <v>26</v>
      </c>
      <c r="CB754" s="33" t="s">
        <v>25</v>
      </c>
      <c r="CC754" s="33" t="s">
        <v>27</v>
      </c>
      <c r="CD754" s="33" t="s">
        <v>9</v>
      </c>
      <c r="CE754" s="33" t="s">
        <v>23</v>
      </c>
      <c r="CF754" s="33" t="s">
        <v>12</v>
      </c>
      <c r="CG754" s="33" t="s">
        <v>26</v>
      </c>
      <c r="CH754" s="33" t="s">
        <v>25</v>
      </c>
      <c r="CI754" s="8"/>
    </row>
    <row r="755" spans="1:87" x14ac:dyDescent="0.2">
      <c r="A755" s="8" t="str">
        <f>IF(AND(COUNTIF(W$3:W$13,A$15)&gt;0,A$15&lt;&gt;B546),A$15,IFERROR(IF(MATCH(A$15,Z$3:Z$13,0)=10,A$15," ")," "))</f>
        <v xml:space="preserve"> </v>
      </c>
      <c r="B755" s="8" t="str">
        <f>IF(A755=" "," ",1)</f>
        <v xml:space="preserve"> </v>
      </c>
      <c r="C755" s="8" t="str">
        <f>IFERROR(INDEX(A755:A776,MATCH(SMALL(B755:B776,1),B755:B776,0),1)," ")</f>
        <v>C3</v>
      </c>
      <c r="D755" s="8">
        <f>IFERROR(VLOOKUP($C755,$A$15:$O$36,2,FALSE)," ")</f>
        <v>2</v>
      </c>
      <c r="E755" s="8">
        <f>IFERROR(VLOOKUP($C755,$A$15:$O$36,3,FALSE)," ")</f>
        <v>5</v>
      </c>
      <c r="F755" s="8">
        <f>IFERROR(VLOOKUP($C755,$A$15:$O$36,4,FALSE)," ")</f>
        <v>6</v>
      </c>
      <c r="G755" s="8">
        <f>IFERROR(VLOOKUP($C755,$A$15:$O$36,5,FALSE)," ")</f>
        <v>0</v>
      </c>
      <c r="H755" s="8">
        <f>IFERROR(VLOOKUP($C755,$A$15:$O$36,6,FALSE)," ")</f>
        <v>0</v>
      </c>
      <c r="I755" s="8">
        <f>IFERROR(VLOOKUP($C755,$A$15:$O$36,7,FALSE)," ")</f>
        <v>0</v>
      </c>
      <c r="J755" s="8">
        <f>IFERROR(VLOOKUP($C755,$A$15:$O$36,8,FALSE)," ")</f>
        <v>0</v>
      </c>
      <c r="K755" s="8">
        <f>IFERROR(VLOOKUP($C755,$A$15:$O$36,9,FALSE)," ")</f>
        <v>0</v>
      </c>
      <c r="L755" s="8">
        <f>IFERROR(VLOOKUP($C755,$A$15:$O$36,10,FALSE)," ")</f>
        <v>0</v>
      </c>
      <c r="M755" s="8">
        <f>IFERROR(VLOOKUP($C755,$A$15:$O$36,11,FALSE)," ")</f>
        <v>0</v>
      </c>
      <c r="N755" s="8">
        <f>IFERROR(VLOOKUP($C755,$A$15:$O$36,12,FALSE)," ")</f>
        <v>0</v>
      </c>
      <c r="O755" s="8">
        <f>IFERROR(VLOOKUP($C755,$A$15:$O$36,15,FALSE)," ")</f>
        <v>2000</v>
      </c>
      <c r="P755" s="8">
        <f t="array" ref="P755:P765">MMULT(MINVERSE(D755:N765),O755:O765)</f>
        <v>0</v>
      </c>
      <c r="Q755" s="8" t="str">
        <f t="shared" ref="Q755" si="3087">IF(COUNTIF(P755:P765,"&lt;"&amp;-0.001)=0,IF(ABS(P755)&lt;0.001,0,P755)," ")</f>
        <v xml:space="preserve"> </v>
      </c>
      <c r="R755" s="8" t="str">
        <f>IFERROR(VLOOKUP(B546,A$15:L$36,2,FALSE)*Q755+VLOOKUP(B546,A$15:L$36,3,FALSE)*Q756+VLOOKUP(B546,A$15:L$36,4,FALSE)*Q757+VLOOKUP(B546,A$15:L$36,5,FALSE)*Q758+VLOOKUP(B546,A$15:L$36,6,FALSE)*Q759+VLOOKUP(B546,A$15:L$36,7,FALSE)*Q760+VLOOKUP(B546,A$15:L$36,8,FALSE)*Q761+VLOOKUP(B546,A$15:L$36,9,FALSE)*Q762+VLOOKUP(B546,A$15:L$36,10,FALSE)*Q763+VLOOKUP(B546,A$15:L$36,11,FALSE)*Q764+VLOOKUP(B546,A$15:L$36,12,FALSE)*Q765," ")</f>
        <v xml:space="preserve"> </v>
      </c>
      <c r="S755" s="8" t="str">
        <f>IFERROR(IF(R755-VLOOKUP(B546,A$15:O$36,15,FALSE)&lt;0,R755-VLOOKUP(B546,A$15:O$36,15,FALSE)," ")," ")</f>
        <v xml:space="preserve"> </v>
      </c>
      <c r="T755" s="18" t="str">
        <f>IFERROR(IF(R755-VLOOKUP(B546,A$15:O$36,15,FALSE)&gt;0,R755-VLOOKUP(B546,A$15:O$36,15,FALSE)," ")," ")</f>
        <v xml:space="preserve"> </v>
      </c>
      <c r="U755" s="34">
        <f t="shared" ref="U755" si="3088">$M$2</f>
        <v>100.00000000000001</v>
      </c>
      <c r="V755" s="34">
        <v>-1</v>
      </c>
      <c r="W755" s="34">
        <f t="shared" ref="W755" si="3089">-SUMPRODUCT($M$3:$M$12,$N$3:$N$12)</f>
        <v>-105000</v>
      </c>
      <c r="X755" s="34" t="e">
        <f t="shared" ref="X755" si="3090">IF(U755&lt;&gt;U756,MMULT(MINVERSE(U755:V756),W755:W756)," ")</f>
        <v>#VALUE!</v>
      </c>
      <c r="Y755" s="34" t="str">
        <f t="shared" ref="Y755" si="3091">IFERROR(IF(X755-VLOOKUP(U$38,$A$2:$N$12,14,FALSE)&lt;0,X755-VLOOKUP(U$38,$A$2:$N$12,14,FALSE)," ")," ")</f>
        <v xml:space="preserve"> </v>
      </c>
      <c r="Z755" s="34" t="str">
        <f t="shared" ref="Z755" si="3092">IFERROR(IF(X755-VLOOKUP(U$38,$A$2:$N$12,14,FALSE)&gt;0,X755-VLOOKUP(U$38,$A$2:$N$12,14,FALSE)," ")," ")</f>
        <v xml:space="preserve"> </v>
      </c>
      <c r="AA755" s="34">
        <f t="shared" ref="AA755" si="3093">$M$3</f>
        <v>0</v>
      </c>
      <c r="AB755" s="34">
        <v>-1</v>
      </c>
      <c r="AC755" s="34">
        <f t="shared" ref="AC755" si="3094">-SUMPRODUCT($M$2:$M$2,$N$2:$N$2)-SUMPRODUCT($M$4:$M$12,$N$4:$N$12)</f>
        <v>-120000</v>
      </c>
      <c r="AD755" s="34" t="e">
        <f t="shared" ref="AD755" si="3095">IF(AA755&lt;&gt;AA756,MMULT(MINVERSE(AA755:AB756),AC755:AC756)," ")</f>
        <v>#VALUE!</v>
      </c>
      <c r="AE755" s="34" t="str">
        <f t="shared" ref="AE755" si="3096">IFERROR(IF(AD755-VLOOKUP(AA$38,$A$2:$N$12,14,FALSE)&lt;0,AD755-VLOOKUP(AA$38,$A$2:$N$12,14,FALSE)," ")," ")</f>
        <v xml:space="preserve"> </v>
      </c>
      <c r="AF755" s="34" t="str">
        <f t="shared" ref="AF755" si="3097">IFERROR(IF(AD755-VLOOKUP(AA$38,$A$2:$N$12,14,FALSE)&gt;0,AD755-VLOOKUP(AA$38,$A$2:$N$12,14,FALSE)," ")," ")</f>
        <v xml:space="preserve"> </v>
      </c>
      <c r="AG755" s="34">
        <f t="shared" ref="AG755" si="3098">$M$4</f>
        <v>300</v>
      </c>
      <c r="AH755" s="34">
        <v>-1</v>
      </c>
      <c r="AI755" s="34">
        <f t="shared" ref="AI755" si="3099">-SUMPRODUCT($M$2:$M$3,$N$2:$N$3)-SUMPRODUCT($M$5:$M$12,$N$5:$N$12)</f>
        <v>-15000.000000000002</v>
      </c>
      <c r="AJ755" s="34" t="e">
        <f t="shared" ref="AJ755" si="3100">IF(AG755&lt;&gt;AG756,MMULT(MINVERSE(AG755:AH756),AI755:AI756)," ")</f>
        <v>#VALUE!</v>
      </c>
      <c r="AK755" s="34" t="str">
        <f t="shared" ref="AK755" si="3101">IFERROR(IF(AJ755-VLOOKUP(AG$38,$A$2:$N$12,14,FALSE)&lt;0,AJ755-VLOOKUP(AG$38,$A$2:$N$12,14,FALSE)," ")," ")</f>
        <v xml:space="preserve"> </v>
      </c>
      <c r="AL755" s="34" t="str">
        <f t="shared" ref="AL755" si="3102">IFERROR(IF(AJ755-VLOOKUP(AG$38,$A$2:$N$12,14,FALSE)&gt;0,AJ755-VLOOKUP(AG$38,$A$2:$N$12,14,FALSE)," ")," ")</f>
        <v xml:space="preserve"> </v>
      </c>
      <c r="AM755" s="34">
        <f t="shared" ref="AM755" si="3103">$M$5</f>
        <v>0</v>
      </c>
      <c r="AN755" s="34">
        <v>-1</v>
      </c>
      <c r="AO755" s="34">
        <f t="shared" ref="AO755" si="3104">-SUMPRODUCT($M$2:$M$4,$N$2:$N$4)-SUMPRODUCT($M$6:$M$12,$N$6:$N$12)</f>
        <v>-120000</v>
      </c>
      <c r="AP755" s="34" t="e">
        <f t="shared" ref="AP755" si="3105">IF(AM755&lt;&gt;AM756,MMULT(MINVERSE(AM755:AN756),AO755:AO756)," ")</f>
        <v>#VALUE!</v>
      </c>
      <c r="AQ755" s="34" t="str">
        <f t="shared" ref="AQ755" si="3106">IFERROR(IF(AP755-VLOOKUP(AM$38,$A$2:$N$12,14,FALSE)&lt;0,AP755-VLOOKUP(AM$38,$A$2:$N$12,14,FALSE)," ")," ")</f>
        <v xml:space="preserve"> </v>
      </c>
      <c r="AR755" s="34" t="str">
        <f t="shared" ref="AR755" si="3107">IFERROR(IF(AP755-VLOOKUP(AM$38,$A$2:$N$12,14,FALSE)&gt;0,AP755-VLOOKUP(AM$38,$A$2:$N$12,14,FALSE)," ")," ")</f>
        <v xml:space="preserve"> </v>
      </c>
      <c r="AS755" s="34">
        <f t="shared" ref="AS755" si="3108">$M$6</f>
        <v>0</v>
      </c>
      <c r="AT755" s="34">
        <v>-1</v>
      </c>
      <c r="AU755" s="34">
        <f t="shared" ref="AU755" si="3109">-SUMPRODUCT($M$2:$M$5,$N$2:$N$5)-SUMPRODUCT($M$7:$M$12,$N$7:$N$12)</f>
        <v>-120000</v>
      </c>
      <c r="AV755" s="34" t="e">
        <f t="shared" ref="AV755" si="3110">IF(AS755&lt;&gt;AS756,MMULT(MINVERSE(AS755:AT756),AU755:AU756)," ")</f>
        <v>#VALUE!</v>
      </c>
      <c r="AW755" s="34" t="str">
        <f t="shared" ref="AW755" si="3111">IFERROR(IF(AV755-VLOOKUP(AS$38,$A$2:$N$12,14,FALSE)&lt;0,AV755-VLOOKUP(AS$38,$A$2:$N$12,14,FALSE)," ")," ")</f>
        <v xml:space="preserve"> </v>
      </c>
      <c r="AX755" s="34" t="str">
        <f t="shared" ref="AX755" si="3112">IFERROR(IF(AV755-VLOOKUP(AS$38,$A$2:$N$12,14,FALSE)&gt;0,AV755-VLOOKUP(AS$38,$A$2:$N$12,14,FALSE)," ")," ")</f>
        <v xml:space="preserve"> </v>
      </c>
      <c r="AY755" s="34">
        <f t="shared" ref="AY755" si="3113">$M$7</f>
        <v>0</v>
      </c>
      <c r="AZ755" s="34">
        <v>-1</v>
      </c>
      <c r="BA755" s="34">
        <f t="shared" ref="BA755" si="3114">-SUMPRODUCT($M$2:$M$6,$N$2:$N$6)-SUMPRODUCT($M$8:$M$12,$N$8:$N$12)</f>
        <v>-120000</v>
      </c>
      <c r="BB755" s="34" t="e">
        <f t="shared" ref="BB755" si="3115">IF(AY755&lt;&gt;AY756,MMULT(MINVERSE(AY755:AZ756),BA755:BA756)," ")</f>
        <v>#VALUE!</v>
      </c>
      <c r="BC755" s="34" t="str">
        <f t="shared" ref="BC755" si="3116">IFERROR(IF(BB755-VLOOKUP(AY$38,$A$2:$N$12,14,FALSE)&lt;0,BB755-VLOOKUP(AY$38,$A$2:$N$12,14,FALSE)," ")," ")</f>
        <v xml:space="preserve"> </v>
      </c>
      <c r="BD755" s="34" t="str">
        <f t="shared" ref="BD755" si="3117">IFERROR(IF(BB755-VLOOKUP(AY$38,$A$2:$N$12,14,FALSE)&gt;0,BB755-VLOOKUP(AY$38,$A$2:$N$12,14,FALSE)," ")," ")</f>
        <v xml:space="preserve"> </v>
      </c>
      <c r="BE755" s="34">
        <f t="shared" ref="BE755" si="3118">$M$8</f>
        <v>0</v>
      </c>
      <c r="BF755" s="34">
        <v>-1</v>
      </c>
      <c r="BG755" s="34">
        <f t="shared" ref="BG755" si="3119">-SUMPRODUCT($M$2:$M$7,$N$2:$N$7)-SUMPRODUCT($M$9:$M$12,$N$9:$N$12)</f>
        <v>-120000</v>
      </c>
      <c r="BH755" s="34" t="e">
        <f t="shared" ref="BH755" si="3120">IF(BE755&lt;&gt;BE756,MMULT(MINVERSE(BE755:BF756),BG755:BG756)," ")</f>
        <v>#VALUE!</v>
      </c>
      <c r="BI755" s="34" t="str">
        <f t="shared" ref="BI755" si="3121">IFERROR(IF(BH755-VLOOKUP(BE$38,$A$2:$N$12,14,FALSE)&lt;0,BH755-VLOOKUP(BE$38,$A$2:$N$12,14,FALSE)," ")," ")</f>
        <v xml:space="preserve"> </v>
      </c>
      <c r="BJ755" s="34" t="str">
        <f t="shared" ref="BJ755" si="3122">IFERROR(IF(BH755-VLOOKUP(BE$38,$A$2:$N$12,14,FALSE)&gt;0,BH755-VLOOKUP(BE$38,$A$2:$N$12,14,FALSE)," ")," ")</f>
        <v xml:space="preserve"> </v>
      </c>
      <c r="BK755" s="34">
        <f t="shared" ref="BK755" si="3123">$M$9</f>
        <v>0</v>
      </c>
      <c r="BL755" s="34">
        <v>-1</v>
      </c>
      <c r="BM755" s="34">
        <f t="shared" ref="BM755" si="3124">-SUMPRODUCT($M$2:$M$8,$N$2:$N$8)-SUMPRODUCT($M$10:$M$12,$N$10:$N$12)</f>
        <v>-120000</v>
      </c>
      <c r="BN755" s="34" t="e">
        <f t="shared" ref="BN755" si="3125">IF(BK755&lt;&gt;BK756,MMULT(MINVERSE(BK755:BL756),BM755:BM756)," ")</f>
        <v>#VALUE!</v>
      </c>
      <c r="BO755" s="34" t="str">
        <f t="shared" ref="BO755" si="3126">IFERROR(IF(BN755-VLOOKUP(BK$38,$A$2:$N$12,14,FALSE)&lt;0,BN755-VLOOKUP(BK$38,$A$2:$N$12,14,FALSE)," ")," ")</f>
        <v xml:space="preserve"> </v>
      </c>
      <c r="BP755" s="34" t="str">
        <f t="shared" ref="BP755" si="3127">IFERROR(IF(BN755-VLOOKUP(BK$38,$A$2:$N$12,14,FALSE)&gt;0,BN755-VLOOKUP(BK$38,$A$2:$N$12,14,FALSE)," ")," ")</f>
        <v xml:space="preserve"> </v>
      </c>
      <c r="BQ755" s="34">
        <f t="shared" ref="BQ755" si="3128">$M$10</f>
        <v>0</v>
      </c>
      <c r="BR755" s="34">
        <v>-1</v>
      </c>
      <c r="BS755" s="34">
        <f t="shared" ref="BS755" si="3129">-SUMPRODUCT($M$2:$M$9,$N$2:$N$9)-SUMPRODUCT($M$11:$M$12,$N$11:$N$12)</f>
        <v>-120000</v>
      </c>
      <c r="BT755" s="34" t="e">
        <f t="shared" ref="BT755" si="3130">IF(BQ755&lt;&gt;BQ756,MMULT(MINVERSE(BQ755:BR756),BS755:BS756)," ")</f>
        <v>#VALUE!</v>
      </c>
      <c r="BU755" s="34" t="str">
        <f t="shared" ref="BU755" si="3131">IFERROR(IF(BT755-VLOOKUP(BQ$38,$A$2:$N$12,14,FALSE)&lt;0,BT755-VLOOKUP(BQ$38,$A$2:$N$12,14,FALSE)," ")," ")</f>
        <v xml:space="preserve"> </v>
      </c>
      <c r="BV755" s="34" t="str">
        <f t="shared" ref="BV755" si="3132">IFERROR(IF(BT755-VLOOKUP(BQ$38,$A$2:$N$12,14,FALSE)&gt;0,BT755-VLOOKUP(BQ$38,$A$2:$N$12,14,FALSE)," ")," ")</f>
        <v xml:space="preserve"> </v>
      </c>
      <c r="BW755" s="34">
        <f t="shared" ref="BW755" si="3133">$M$11</f>
        <v>0</v>
      </c>
      <c r="BX755" s="34">
        <v>-1</v>
      </c>
      <c r="BY755" s="34">
        <f t="shared" ref="BY755" si="3134">-SUMPRODUCT($M$2:$M$10,$N$2:$N$10)-SUMPRODUCT($M$12,$N$12)</f>
        <v>-120000</v>
      </c>
      <c r="BZ755" s="34" t="e">
        <f t="shared" ref="BZ755" si="3135">IF(BW755&lt;&gt;BW756,MMULT(MINVERSE(BW755:BX756),BY755:BY756)," ")</f>
        <v>#VALUE!</v>
      </c>
      <c r="CA755" s="34" t="str">
        <f t="shared" ref="CA755" si="3136">IFERROR(IF(BZ755-VLOOKUP(BW$38,$A$2:$N$12,14,FALSE)&lt;0,BZ755-VLOOKUP(BW$38,$A$2:$N$12,14,FALSE)," ")," ")</f>
        <v xml:space="preserve"> </v>
      </c>
      <c r="CB755" s="34" t="str">
        <f t="shared" ref="CB755" si="3137">IFERROR(IF(BZ755-VLOOKUP(BW$38,$A$2:$N$12,14,FALSE)&gt;0,BZ755-VLOOKUP(BW$38,$A$2:$N$12,14,FALSE)," ")," ")</f>
        <v xml:space="preserve"> </v>
      </c>
      <c r="CC755" s="34">
        <f t="shared" ref="CC755" si="3138">$M$12</f>
        <v>0</v>
      </c>
      <c r="CD755" s="34">
        <v>-1</v>
      </c>
      <c r="CE755" s="34">
        <f t="shared" ref="CE755" si="3139">-SUMPRODUCT($M$2:$M$11,$N$2:$N$11)</f>
        <v>-120000</v>
      </c>
      <c r="CF755" s="34" t="e">
        <f t="shared" ref="CF755" si="3140">IF(CC755&lt;&gt;CC756,MMULT(MINVERSE(CC755:CD756),CE755:CE756)," ")</f>
        <v>#VALUE!</v>
      </c>
      <c r="CG755" s="34" t="str">
        <f t="shared" ref="CG755" si="3141">IFERROR(IF(CF755-VLOOKUP(CC$38,$A$2:$N$12,14,FALSE)&lt;0,CF755-VLOOKUP(CC$38,$A$2:$N$12,14,FALSE)," ")," ")</f>
        <v xml:space="preserve"> </v>
      </c>
      <c r="CH755" s="34" t="str">
        <f t="shared" ref="CH755" si="3142">IFERROR(IF(CF755-VLOOKUP(CC$38,$A$2:$N$12,14,FALSE)&gt;0,CF755-VLOOKUP(CC$38,$A$2:$N$12,14,FALSE)," ")," ")</f>
        <v xml:space="preserve"> </v>
      </c>
      <c r="CI755" s="8"/>
    </row>
    <row r="756" spans="1:87" x14ac:dyDescent="0.2">
      <c r="A756" s="8" t="str">
        <f>IF(AND(COUNTIF(W$3:W$13,A$16)&gt;0,A$16&lt;&gt;B546),A$16,IFERROR(IF(MATCH(A$16,Z$3:Z$13,0)=10,A$16," ")," "))</f>
        <v xml:space="preserve"> </v>
      </c>
      <c r="B756" s="8" t="str">
        <f>IF(A756=" "," ",MAX(B755:B755)+1)</f>
        <v xml:space="preserve"> </v>
      </c>
      <c r="C756" s="8" t="str">
        <f>IFERROR(INDEX(A755:A776,MATCH(SMALL(B755:B776,2),B755:B776,0),1)," ")</f>
        <v>C4</v>
      </c>
      <c r="D756" s="8">
        <f t="shared" ref="D756:D765" si="3143">IFERROR(VLOOKUP($C756,$A$15:$O$36,2,FALSE)," ")</f>
        <v>1</v>
      </c>
      <c r="E756" s="8">
        <f t="shared" ref="E756:E765" si="3144">IFERROR(VLOOKUP($C756,$A$15:$O$36,3,FALSE)," ")</f>
        <v>0</v>
      </c>
      <c r="F756" s="8">
        <f t="shared" ref="F756:F765" si="3145">IFERROR(VLOOKUP($C756,$A$15:$O$36,4,FALSE)," ")</f>
        <v>1</v>
      </c>
      <c r="G756" s="8">
        <f t="shared" ref="G756:G765" si="3146">IFERROR(VLOOKUP($C756,$A$15:$O$36,5,FALSE)," ")</f>
        <v>0</v>
      </c>
      <c r="H756" s="8">
        <f t="shared" ref="H756:H765" si="3147">IFERROR(VLOOKUP($C756,$A$15:$O$36,6,FALSE)," ")</f>
        <v>0</v>
      </c>
      <c r="I756" s="8">
        <f t="shared" ref="I756:I765" si="3148">IFERROR(VLOOKUP($C756,$A$15:$O$36,7,FALSE)," ")</f>
        <v>0</v>
      </c>
      <c r="J756" s="8">
        <f t="shared" ref="J756:J765" si="3149">IFERROR(VLOOKUP($C756,$A$15:$O$36,8,FALSE)," ")</f>
        <v>0</v>
      </c>
      <c r="K756" s="8">
        <f t="shared" ref="K756:K765" si="3150">IFERROR(VLOOKUP($C756,$A$15:$O$36,9,FALSE)," ")</f>
        <v>0</v>
      </c>
      <c r="L756" s="8">
        <f t="shared" ref="L756:L765" si="3151">IFERROR(VLOOKUP($C756,$A$15:$O$36,10,FALSE)," ")</f>
        <v>0</v>
      </c>
      <c r="M756" s="8">
        <f t="shared" ref="M756:M765" si="3152">IFERROR(VLOOKUP($C756,$A$15:$O$36,11,FALSE)," ")</f>
        <v>0</v>
      </c>
      <c r="N756" s="8">
        <f t="shared" ref="N756:N765" si="3153">IFERROR(VLOOKUP($C756,$A$15:$O$36,12,FALSE)," ")</f>
        <v>0</v>
      </c>
      <c r="O756" s="8">
        <f t="shared" ref="O756:O765" si="3154">IFERROR(VLOOKUP($C756,$A$15:$O$36,15,FALSE)," ")</f>
        <v>400</v>
      </c>
      <c r="P756" s="8">
        <v>-80</v>
      </c>
      <c r="Q756" s="8" t="str">
        <f t="shared" ref="Q756" si="3155">IF(COUNTIF(P755:P765,"&lt;"&amp;-0.001)=0,IF(ABS(P756)&lt;0.001,0,P756)," ")</f>
        <v xml:space="preserve"> </v>
      </c>
      <c r="R756" s="8"/>
      <c r="S756" s="8"/>
      <c r="U756" s="34" t="str">
        <f t="shared" ref="U756" si="3156">$Q755</f>
        <v xml:space="preserve"> </v>
      </c>
      <c r="V756" s="34">
        <v>-1</v>
      </c>
      <c r="W756" s="34">
        <f t="shared" ref="W756" si="3157">-SUMPRODUCT($Q756:$Q765,$N$3:$N$12)</f>
        <v>0</v>
      </c>
      <c r="X756" s="34"/>
      <c r="Y756" s="34"/>
      <c r="Z756" s="34"/>
      <c r="AA756" s="34" t="str">
        <f t="shared" ref="AA756" si="3158">$Q756</f>
        <v xml:space="preserve"> </v>
      </c>
      <c r="AB756" s="34">
        <v>-1</v>
      </c>
      <c r="AC756" s="34" t="e">
        <f t="shared" ref="AC756" si="3159">-SUMPRODUCT($Q755:$Q755,$N$2:$N$2)-SUMPRODUCT($Q757:$Q765,$N$4:$N$12)</f>
        <v>#VALUE!</v>
      </c>
      <c r="AD756" s="34"/>
      <c r="AE756" s="34"/>
      <c r="AF756" s="34"/>
      <c r="AG756" s="34" t="str">
        <f t="shared" ref="AG756" si="3160">$Q757</f>
        <v xml:space="preserve"> </v>
      </c>
      <c r="AH756" s="34">
        <v>-1</v>
      </c>
      <c r="AI756" s="34">
        <f t="shared" ref="AI756" si="3161">-SUMPRODUCT($Q755:$Q756,$N$2:$N$3)-SUMPRODUCT($Q758:$Q765,$N$5:$N$12)</f>
        <v>0</v>
      </c>
      <c r="AJ756" s="34"/>
      <c r="AK756" s="34"/>
      <c r="AL756" s="34"/>
      <c r="AM756" s="34" t="str">
        <f t="shared" ref="AM756" si="3162">$Q758</f>
        <v xml:space="preserve"> </v>
      </c>
      <c r="AN756" s="34">
        <v>-1</v>
      </c>
      <c r="AO756" s="34">
        <f t="shared" ref="AO756" si="3163">-SUMPRODUCT($Q755:$Q757,$N$2:$N$4)-SUMPRODUCT($Q759:$Q765,$N$6:$N$12)</f>
        <v>0</v>
      </c>
      <c r="AP756" s="34"/>
      <c r="AQ756" s="34"/>
      <c r="AR756" s="34"/>
      <c r="AS756" s="34" t="str">
        <f t="shared" ref="AS756" si="3164">$Q759</f>
        <v xml:space="preserve"> </v>
      </c>
      <c r="AT756" s="34">
        <v>-1</v>
      </c>
      <c r="AU756" s="34">
        <f t="shared" ref="AU756" si="3165">-SUMPRODUCT($Q755:$Q758,$N$2:$N$5)-SUMPRODUCT($Q760:$Q765,$N$7:$N$12)</f>
        <v>0</v>
      </c>
      <c r="AV756" s="34"/>
      <c r="AW756" s="34"/>
      <c r="AX756" s="34"/>
      <c r="AY756" s="34" t="str">
        <f t="shared" ref="AY756" si="3166">$Q760</f>
        <v xml:space="preserve"> </v>
      </c>
      <c r="AZ756" s="34">
        <v>-1</v>
      </c>
      <c r="BA756" s="34">
        <f t="shared" ref="BA756" si="3167">-SUMPRODUCT($Q755:$Q759,$N$2:$N$6)-SUMPRODUCT($Q761:$Q765,$N$8:$N$12)</f>
        <v>0</v>
      </c>
      <c r="BB756" s="34"/>
      <c r="BC756" s="34"/>
      <c r="BD756" s="34"/>
      <c r="BE756" s="34" t="str">
        <f t="shared" ref="BE756" si="3168">$Q761</f>
        <v xml:space="preserve"> </v>
      </c>
      <c r="BF756" s="34">
        <v>-1</v>
      </c>
      <c r="BG756" s="34">
        <f t="shared" ref="BG756" si="3169">-SUMPRODUCT($Q755:$Q760,$N$2:$N$7)-SUMPRODUCT($Q762:$Q765,$N$9:$N$12)</f>
        <v>0</v>
      </c>
      <c r="BH756" s="34"/>
      <c r="BI756" s="34"/>
      <c r="BJ756" s="34"/>
      <c r="BK756" s="34" t="str">
        <f t="shared" ref="BK756" si="3170">$Q762</f>
        <v xml:space="preserve"> </v>
      </c>
      <c r="BL756" s="34">
        <v>-1</v>
      </c>
      <c r="BM756" s="34">
        <f t="shared" ref="BM756" si="3171">-SUMPRODUCT($Q755:$Q761,$N$2:$N$8)-SUMPRODUCT($Q763:$Q765,$N$10:$N$12)</f>
        <v>0</v>
      </c>
      <c r="BN756" s="34"/>
      <c r="BO756" s="34"/>
      <c r="BP756" s="34"/>
      <c r="BQ756" s="34" t="str">
        <f t="shared" ref="BQ756" si="3172">$Q763</f>
        <v xml:space="preserve"> </v>
      </c>
      <c r="BR756" s="34">
        <v>-1</v>
      </c>
      <c r="BS756" s="34">
        <f t="shared" ref="BS756" si="3173">-SUMPRODUCT($Q755:$Q762,$N$2:$N$9)-SUMPRODUCT($Q764:$Q765,$N$11:$N$12)</f>
        <v>0</v>
      </c>
      <c r="BT756" s="34"/>
      <c r="BU756" s="34"/>
      <c r="BV756" s="34"/>
      <c r="BW756" s="34" t="str">
        <f t="shared" ref="BW756" si="3174">$Q764</f>
        <v xml:space="preserve"> </v>
      </c>
      <c r="BX756" s="34">
        <v>-1</v>
      </c>
      <c r="BY756" s="34" t="e">
        <f t="shared" ref="BY756" si="3175">-SUMPRODUCT($Q755:$Q763,$N$2:$N$10)-SUMPRODUCT($Q765,$N$12)</f>
        <v>#VALUE!</v>
      </c>
      <c r="BZ756" s="34"/>
      <c r="CA756" s="34"/>
      <c r="CB756" s="34"/>
      <c r="CC756" s="34" t="str">
        <f t="shared" ref="CC756" si="3176">$Q765</f>
        <v xml:space="preserve"> </v>
      </c>
      <c r="CD756" s="34">
        <v>-1</v>
      </c>
      <c r="CE756" s="34">
        <f t="shared" ref="CE756" si="3177">-SUMPRODUCT($Q755:$Q764,$N$2:$N$11)</f>
        <v>0</v>
      </c>
      <c r="CF756" s="34"/>
      <c r="CG756" s="34"/>
      <c r="CH756" s="34"/>
      <c r="CI756" s="8"/>
    </row>
    <row r="757" spans="1:87" x14ac:dyDescent="0.2">
      <c r="A757" s="8" t="str">
        <f>IF(AND(COUNTIF(W$3:W$13,A$17)&gt;0,A$17&lt;&gt;B546),A$17,IFERROR(IF(MATCH(A$17,Z$3:Z$13,0)=10,A$17," ")," "))</f>
        <v>C3</v>
      </c>
      <c r="B757" s="8">
        <f>IF(A757=" "," ",MAX(B755:B756)+1)</f>
        <v>1</v>
      </c>
      <c r="C757" s="8" t="str">
        <f>IFERROR(INDEX(A755:A776,MATCH(SMALL(B755:B776,3),B755:B776,0),1)," ")</f>
        <v>C12</v>
      </c>
      <c r="D757" s="8">
        <f t="shared" si="3143"/>
        <v>1</v>
      </c>
      <c r="E757" s="8">
        <f t="shared" si="3144"/>
        <v>0</v>
      </c>
      <c r="F757" s="8">
        <f t="shared" si="3145"/>
        <v>0</v>
      </c>
      <c r="G757" s="8">
        <f t="shared" si="3146"/>
        <v>0</v>
      </c>
      <c r="H757" s="8">
        <f t="shared" si="3147"/>
        <v>0</v>
      </c>
      <c r="I757" s="8">
        <f t="shared" si="3148"/>
        <v>0</v>
      </c>
      <c r="J757" s="8">
        <f t="shared" si="3149"/>
        <v>0</v>
      </c>
      <c r="K757" s="8">
        <f t="shared" si="3150"/>
        <v>0</v>
      </c>
      <c r="L757" s="8">
        <f t="shared" si="3151"/>
        <v>0</v>
      </c>
      <c r="M757" s="8">
        <f t="shared" si="3152"/>
        <v>0</v>
      </c>
      <c r="N757" s="8">
        <f t="shared" si="3153"/>
        <v>0</v>
      </c>
      <c r="O757" s="8">
        <f t="shared" si="3154"/>
        <v>0</v>
      </c>
      <c r="P757" s="8">
        <v>400</v>
      </c>
      <c r="Q757" s="8" t="str">
        <f t="shared" ref="Q757" si="3178">IF(COUNTIF(P755:P765,"&lt;"&amp;-0.001)=0,IF(ABS(P757)&lt;0.001,0,P757)," ")</f>
        <v xml:space="preserve"> </v>
      </c>
      <c r="R757" s="8"/>
      <c r="S757" s="8"/>
      <c r="U757" s="34"/>
      <c r="V757" s="34"/>
      <c r="W757" s="34"/>
      <c r="X757" s="34"/>
      <c r="Y757" s="34"/>
      <c r="Z757" s="34"/>
      <c r="AA757" s="34"/>
      <c r="AB757" s="34"/>
      <c r="AC757" s="34"/>
      <c r="AD757" s="34"/>
      <c r="AE757" s="34"/>
      <c r="AF757" s="34"/>
      <c r="AG757" s="34"/>
      <c r="AH757" s="34"/>
      <c r="AI757" s="34"/>
      <c r="AJ757" s="34"/>
      <c r="AK757" s="34"/>
      <c r="AL757" s="34"/>
      <c r="AM757" s="34"/>
      <c r="AN757" s="34"/>
      <c r="AO757" s="34"/>
      <c r="AP757" s="34"/>
      <c r="AQ757" s="34"/>
      <c r="AR757" s="34"/>
      <c r="AS757" s="34"/>
      <c r="AT757" s="34"/>
      <c r="AU757" s="34"/>
      <c r="AV757" s="34"/>
      <c r="AW757" s="34"/>
      <c r="AX757" s="34"/>
      <c r="AY757" s="34"/>
      <c r="AZ757" s="34"/>
      <c r="BA757" s="34"/>
      <c r="BB757" s="34"/>
      <c r="BC757" s="34"/>
      <c r="BD757" s="34"/>
      <c r="BE757" s="34"/>
      <c r="BF757" s="34"/>
      <c r="BG757" s="34"/>
      <c r="BH757" s="34"/>
      <c r="BI757" s="34"/>
      <c r="BJ757" s="34"/>
      <c r="BK757" s="34"/>
      <c r="BL757" s="34"/>
      <c r="BM757" s="34"/>
      <c r="BN757" s="34"/>
      <c r="BO757" s="34"/>
      <c r="BP757" s="34"/>
      <c r="BQ757" s="34"/>
      <c r="BR757" s="34"/>
      <c r="BS757" s="34"/>
      <c r="BT757" s="34"/>
      <c r="BU757" s="34"/>
      <c r="BV757" s="34"/>
      <c r="BW757" s="34"/>
      <c r="BX757" s="34"/>
      <c r="BY757" s="34"/>
      <c r="BZ757" s="34"/>
      <c r="CA757" s="34"/>
      <c r="CB757" s="34"/>
      <c r="CC757" s="34"/>
      <c r="CD757" s="34"/>
      <c r="CE757" s="34"/>
      <c r="CF757" s="34"/>
      <c r="CG757" s="34"/>
      <c r="CH757" s="34"/>
      <c r="CI757" s="8"/>
    </row>
    <row r="758" spans="1:87" x14ac:dyDescent="0.2">
      <c r="A758" s="8" t="str">
        <f>IF(AND(COUNTIF(W$3:W$13,A$18)&gt;0,A$18&lt;&gt;B546),A$18,IFERROR(IF(MATCH(A$18,Z$3:Z$13,0)=10,A$18," ")," "))</f>
        <v>C4</v>
      </c>
      <c r="B758" s="8">
        <f>IF(A758=" "," ",MAX(B755:B757)+1)</f>
        <v>2</v>
      </c>
      <c r="C758" s="8" t="str">
        <f>IFERROR(INDEX(A755:A776,MATCH(SMALL(B755:B776,4),B755:B776,0),1)," ")</f>
        <v>C15</v>
      </c>
      <c r="D758" s="8">
        <f t="shared" si="3143"/>
        <v>0</v>
      </c>
      <c r="E758" s="8">
        <f t="shared" si="3144"/>
        <v>0</v>
      </c>
      <c r="F758" s="8">
        <f t="shared" si="3145"/>
        <v>0</v>
      </c>
      <c r="G758" s="8">
        <f t="shared" si="3146"/>
        <v>1</v>
      </c>
      <c r="H758" s="8">
        <f t="shared" si="3147"/>
        <v>0</v>
      </c>
      <c r="I758" s="8">
        <f t="shared" si="3148"/>
        <v>0</v>
      </c>
      <c r="J758" s="8">
        <f t="shared" si="3149"/>
        <v>0</v>
      </c>
      <c r="K758" s="8">
        <f t="shared" si="3150"/>
        <v>0</v>
      </c>
      <c r="L758" s="8">
        <f t="shared" si="3151"/>
        <v>0</v>
      </c>
      <c r="M758" s="8">
        <f t="shared" si="3152"/>
        <v>0</v>
      </c>
      <c r="N758" s="8">
        <f t="shared" si="3153"/>
        <v>0</v>
      </c>
      <c r="O758" s="8">
        <f t="shared" si="3154"/>
        <v>0</v>
      </c>
      <c r="P758" s="8">
        <v>0</v>
      </c>
      <c r="Q758" s="8" t="str">
        <f t="shared" ref="Q758" si="3179">IF(COUNTIF(P755:P765,"&lt;"&amp;-0.001)=0,IF(ABS(P758)&lt;0.001,0,P758)," ")</f>
        <v xml:space="preserve"> </v>
      </c>
      <c r="R758" s="8"/>
      <c r="S758" s="8"/>
      <c r="U758" s="34"/>
      <c r="V758" s="34"/>
      <c r="W758" s="34"/>
      <c r="X758" s="34"/>
      <c r="Y758" s="34"/>
      <c r="Z758" s="34"/>
      <c r="AA758" s="34"/>
      <c r="AB758" s="34"/>
      <c r="AC758" s="34"/>
      <c r="AD758" s="34"/>
      <c r="AE758" s="34"/>
      <c r="AF758" s="34"/>
      <c r="AG758" s="34"/>
      <c r="AH758" s="34"/>
      <c r="AI758" s="34"/>
      <c r="AJ758" s="34"/>
      <c r="AK758" s="34"/>
      <c r="AL758" s="34"/>
      <c r="AM758" s="34"/>
      <c r="AN758" s="34"/>
      <c r="AO758" s="34"/>
      <c r="AP758" s="34"/>
      <c r="AQ758" s="34"/>
      <c r="AR758" s="34"/>
      <c r="AS758" s="34"/>
      <c r="AT758" s="34"/>
      <c r="AU758" s="34"/>
      <c r="AV758" s="34"/>
      <c r="AW758" s="34"/>
      <c r="AX758" s="34"/>
      <c r="AY758" s="34"/>
      <c r="AZ758" s="34"/>
      <c r="BA758" s="34"/>
      <c r="BB758" s="34"/>
      <c r="BC758" s="34"/>
      <c r="BD758" s="34"/>
      <c r="BE758" s="34"/>
      <c r="BF758" s="34"/>
      <c r="BG758" s="34"/>
      <c r="BH758" s="34"/>
      <c r="BI758" s="34"/>
      <c r="BJ758" s="34"/>
      <c r="BK758" s="34"/>
      <c r="BL758" s="34"/>
      <c r="BM758" s="34"/>
      <c r="BN758" s="34"/>
      <c r="BO758" s="34"/>
      <c r="BP758" s="34"/>
      <c r="BQ758" s="34"/>
      <c r="BR758" s="34"/>
      <c r="BS758" s="34"/>
      <c r="BT758" s="34"/>
      <c r="BU758" s="34"/>
      <c r="BV758" s="34"/>
      <c r="BW758" s="34"/>
      <c r="BX758" s="34"/>
      <c r="BY758" s="34"/>
      <c r="BZ758" s="34"/>
      <c r="CA758" s="34"/>
      <c r="CB758" s="34"/>
      <c r="CC758" s="34"/>
      <c r="CD758" s="34"/>
      <c r="CE758" s="34"/>
      <c r="CF758" s="34"/>
      <c r="CG758" s="34"/>
      <c r="CH758" s="34"/>
      <c r="CI758" s="8"/>
    </row>
    <row r="759" spans="1:87" x14ac:dyDescent="0.2">
      <c r="A759" s="8" t="str">
        <f>IF(AND(COUNTIF(W$3:W$13,A$19)&gt;0,A$19&lt;&gt;B546),A$19,IFERROR(IF(MATCH(A$19,Z$3:Z$13,0)=10,A$19," ")," "))</f>
        <v xml:space="preserve"> </v>
      </c>
      <c r="B759" s="8" t="str">
        <f>IF(A759=" "," ",MAX(B755:B758)+1)</f>
        <v xml:space="preserve"> </v>
      </c>
      <c r="C759" s="8" t="str">
        <f>IFERROR(INDEX(A755:A776,MATCH(SMALL(B755:B776,5),B755:B776,0),1)," ")</f>
        <v>C16</v>
      </c>
      <c r="D759" s="8">
        <f t="shared" si="3143"/>
        <v>0</v>
      </c>
      <c r="E759" s="8">
        <f t="shared" si="3144"/>
        <v>0</v>
      </c>
      <c r="F759" s="8">
        <f t="shared" si="3145"/>
        <v>0</v>
      </c>
      <c r="G759" s="8">
        <f t="shared" si="3146"/>
        <v>0</v>
      </c>
      <c r="H759" s="8">
        <f t="shared" si="3147"/>
        <v>1</v>
      </c>
      <c r="I759" s="8">
        <f t="shared" si="3148"/>
        <v>0</v>
      </c>
      <c r="J759" s="8">
        <f t="shared" si="3149"/>
        <v>0</v>
      </c>
      <c r="K759" s="8">
        <f t="shared" si="3150"/>
        <v>0</v>
      </c>
      <c r="L759" s="8">
        <f t="shared" si="3151"/>
        <v>0</v>
      </c>
      <c r="M759" s="8">
        <f t="shared" si="3152"/>
        <v>0</v>
      </c>
      <c r="N759" s="8">
        <f t="shared" si="3153"/>
        <v>0</v>
      </c>
      <c r="O759" s="8">
        <f t="shared" si="3154"/>
        <v>0</v>
      </c>
      <c r="P759" s="8">
        <v>0</v>
      </c>
      <c r="Q759" s="8" t="str">
        <f t="shared" ref="Q759" si="3180">IF(COUNTIF(P755:P765,"&lt;"&amp;-0.001)=0,IF(ABS(P759)&lt;0.001,0,P759)," ")</f>
        <v xml:space="preserve"> </v>
      </c>
      <c r="R759" s="8"/>
      <c r="S759" s="8"/>
      <c r="U759" s="34"/>
      <c r="V759" s="34"/>
      <c r="W759" s="34"/>
      <c r="X759" s="34"/>
      <c r="Y759" s="34"/>
      <c r="Z759" s="34"/>
      <c r="AA759" s="34"/>
      <c r="AB759" s="34"/>
      <c r="AC759" s="34"/>
      <c r="AD759" s="34"/>
      <c r="AE759" s="34"/>
      <c r="AF759" s="34"/>
      <c r="AG759" s="34"/>
      <c r="AH759" s="34"/>
      <c r="AI759" s="34"/>
      <c r="AJ759" s="34"/>
      <c r="AK759" s="34"/>
      <c r="AL759" s="34"/>
      <c r="AM759" s="34"/>
      <c r="AN759" s="34"/>
      <c r="AO759" s="34"/>
      <c r="AP759" s="34"/>
      <c r="AQ759" s="34"/>
      <c r="AR759" s="34"/>
      <c r="AS759" s="34"/>
      <c r="AT759" s="34"/>
      <c r="AU759" s="34"/>
      <c r="AV759" s="34"/>
      <c r="AW759" s="34"/>
      <c r="AX759" s="34"/>
      <c r="AY759" s="34"/>
      <c r="AZ759" s="34"/>
      <c r="BA759" s="34"/>
      <c r="BB759" s="34"/>
      <c r="BC759" s="34"/>
      <c r="BD759" s="34"/>
      <c r="BE759" s="34"/>
      <c r="BF759" s="34"/>
      <c r="BG759" s="34"/>
      <c r="BH759" s="34"/>
      <c r="BI759" s="34"/>
      <c r="BJ759" s="34"/>
      <c r="BK759" s="34"/>
      <c r="BL759" s="34"/>
      <c r="BM759" s="34"/>
      <c r="BN759" s="34"/>
      <c r="BO759" s="34"/>
      <c r="BP759" s="34"/>
      <c r="BQ759" s="34"/>
      <c r="BR759" s="34"/>
      <c r="BS759" s="34"/>
      <c r="BT759" s="34"/>
      <c r="BU759" s="34"/>
      <c r="BV759" s="34"/>
      <c r="BW759" s="34"/>
      <c r="BX759" s="34"/>
      <c r="BY759" s="34"/>
      <c r="BZ759" s="34"/>
      <c r="CA759" s="34"/>
      <c r="CB759" s="34"/>
      <c r="CC759" s="34"/>
      <c r="CD759" s="34"/>
      <c r="CE759" s="34"/>
      <c r="CF759" s="34"/>
      <c r="CG759" s="34"/>
      <c r="CH759" s="34"/>
      <c r="CI759" s="8"/>
    </row>
    <row r="760" spans="1:87" x14ac:dyDescent="0.2">
      <c r="A760" s="8" t="str">
        <f>IF(AND(COUNTIF(W$3:W$13,A$20)&gt;0,A$20&lt;&gt;B546),A$20,IFERROR(IF(MATCH(A$20,Z$3:Z$13,0)=10,A$20," ")," "))</f>
        <v xml:space="preserve"> </v>
      </c>
      <c r="B760" s="8" t="str">
        <f>IF(A760=" "," ",MAX(B755:B759)+1)</f>
        <v xml:space="preserve"> </v>
      </c>
      <c r="C760" s="8" t="str">
        <f>IFERROR(INDEX(A755:A776,MATCH(SMALL(B755:B776,6),B755:B776,0),1)," ")</f>
        <v>C17</v>
      </c>
      <c r="D760" s="8">
        <f t="shared" si="3143"/>
        <v>0</v>
      </c>
      <c r="E760" s="8">
        <f t="shared" si="3144"/>
        <v>0</v>
      </c>
      <c r="F760" s="8">
        <f t="shared" si="3145"/>
        <v>0</v>
      </c>
      <c r="G760" s="8">
        <f t="shared" si="3146"/>
        <v>0</v>
      </c>
      <c r="H760" s="8">
        <f t="shared" si="3147"/>
        <v>0</v>
      </c>
      <c r="I760" s="8">
        <f t="shared" si="3148"/>
        <v>1</v>
      </c>
      <c r="J760" s="8">
        <f t="shared" si="3149"/>
        <v>0</v>
      </c>
      <c r="K760" s="8">
        <f t="shared" si="3150"/>
        <v>0</v>
      </c>
      <c r="L760" s="8">
        <f t="shared" si="3151"/>
        <v>0</v>
      </c>
      <c r="M760" s="8">
        <f t="shared" si="3152"/>
        <v>0</v>
      </c>
      <c r="N760" s="8">
        <f t="shared" si="3153"/>
        <v>0</v>
      </c>
      <c r="O760" s="8">
        <f t="shared" si="3154"/>
        <v>0</v>
      </c>
      <c r="P760" s="8">
        <v>0</v>
      </c>
      <c r="Q760" s="8" t="str">
        <f t="shared" ref="Q760" si="3181">IF(COUNTIF(P755:P765,"&lt;"&amp;-0.001)=0,IF(ABS(P760)&lt;0.001,0,P760)," ")</f>
        <v xml:space="preserve"> </v>
      </c>
      <c r="R760" s="8"/>
      <c r="S760" s="8"/>
      <c r="U760" s="34"/>
      <c r="V760" s="34"/>
      <c r="W760" s="34"/>
      <c r="X760" s="34"/>
      <c r="Y760" s="34"/>
      <c r="Z760" s="34"/>
      <c r="AA760" s="34"/>
      <c r="AB760" s="34"/>
      <c r="AC760" s="34"/>
      <c r="AD760" s="34"/>
      <c r="AE760" s="34"/>
      <c r="AF760" s="34"/>
      <c r="AG760" s="34"/>
      <c r="AH760" s="34"/>
      <c r="AI760" s="34"/>
      <c r="AJ760" s="34"/>
      <c r="AK760" s="34"/>
      <c r="AL760" s="34"/>
      <c r="AM760" s="34"/>
      <c r="AN760" s="34"/>
      <c r="AO760" s="34"/>
      <c r="AP760" s="34"/>
      <c r="AQ760" s="34"/>
      <c r="AR760" s="34"/>
      <c r="AS760" s="34"/>
      <c r="AT760" s="34"/>
      <c r="AU760" s="34"/>
      <c r="AV760" s="34"/>
      <c r="AW760" s="34"/>
      <c r="AX760" s="34"/>
      <c r="AY760" s="34"/>
      <c r="AZ760" s="34"/>
      <c r="BA760" s="34"/>
      <c r="BB760" s="34"/>
      <c r="BC760" s="34"/>
      <c r="BD760" s="34"/>
      <c r="BE760" s="34"/>
      <c r="BF760" s="34"/>
      <c r="BG760" s="34"/>
      <c r="BH760" s="34"/>
      <c r="BI760" s="34"/>
      <c r="BJ760" s="34"/>
      <c r="BK760" s="34"/>
      <c r="BL760" s="34"/>
      <c r="BM760" s="34"/>
      <c r="BN760" s="34"/>
      <c r="BO760" s="34"/>
      <c r="BP760" s="34"/>
      <c r="BQ760" s="34"/>
      <c r="BR760" s="34"/>
      <c r="BS760" s="34"/>
      <c r="BT760" s="34"/>
      <c r="BU760" s="34"/>
      <c r="BV760" s="34"/>
      <c r="BW760" s="34"/>
      <c r="BX760" s="34"/>
      <c r="BY760" s="34"/>
      <c r="BZ760" s="34"/>
      <c r="CA760" s="34"/>
      <c r="CB760" s="34"/>
      <c r="CC760" s="34"/>
      <c r="CD760" s="34"/>
      <c r="CE760" s="34"/>
      <c r="CF760" s="34"/>
      <c r="CG760" s="34"/>
      <c r="CH760" s="34"/>
      <c r="CI760" s="8"/>
    </row>
    <row r="761" spans="1:87" x14ac:dyDescent="0.2">
      <c r="A761" s="8" t="str">
        <f>IF(AND(COUNTIF(W$3:W$13,A$21)&gt;0,A$21&lt;&gt;B546),A$21,IFERROR(IF(MATCH(A$21,Z$3:Z$13,0)=10,A$21," ")," "))</f>
        <v xml:space="preserve"> </v>
      </c>
      <c r="B761" s="8" t="str">
        <f>IF(A761=" "," ",MAX(B755:B760)+1)</f>
        <v xml:space="preserve"> </v>
      </c>
      <c r="C761" s="8" t="str">
        <f>IFERROR(INDEX(A755:A776,MATCH(SMALL(B755:B776,7),B755:B776,0),1)," ")</f>
        <v>C18</v>
      </c>
      <c r="D761" s="8">
        <f t="shared" si="3143"/>
        <v>0</v>
      </c>
      <c r="E761" s="8">
        <f t="shared" si="3144"/>
        <v>0</v>
      </c>
      <c r="F761" s="8">
        <f t="shared" si="3145"/>
        <v>0</v>
      </c>
      <c r="G761" s="8">
        <f t="shared" si="3146"/>
        <v>0</v>
      </c>
      <c r="H761" s="8">
        <f t="shared" si="3147"/>
        <v>0</v>
      </c>
      <c r="I761" s="8">
        <f t="shared" si="3148"/>
        <v>0</v>
      </c>
      <c r="J761" s="8">
        <f t="shared" si="3149"/>
        <v>1</v>
      </c>
      <c r="K761" s="8">
        <f t="shared" si="3150"/>
        <v>0</v>
      </c>
      <c r="L761" s="8">
        <f t="shared" si="3151"/>
        <v>0</v>
      </c>
      <c r="M761" s="8">
        <f t="shared" si="3152"/>
        <v>0</v>
      </c>
      <c r="N761" s="8">
        <f t="shared" si="3153"/>
        <v>0</v>
      </c>
      <c r="O761" s="8">
        <f t="shared" si="3154"/>
        <v>0</v>
      </c>
      <c r="P761" s="8">
        <v>0</v>
      </c>
      <c r="Q761" s="8" t="str">
        <f t="shared" ref="Q761" si="3182">IF(COUNTIF(P755:P765,"&lt;"&amp;-0.001)=0,IF(ABS(P761)&lt;0.001,0,P761)," ")</f>
        <v xml:space="preserve"> </v>
      </c>
      <c r="R761" s="8"/>
      <c r="S761" s="8"/>
      <c r="U761" s="34"/>
      <c r="V761" s="34"/>
      <c r="W761" s="34"/>
      <c r="X761" s="34"/>
      <c r="Y761" s="34"/>
      <c r="Z761" s="34"/>
      <c r="AA761" s="34"/>
      <c r="AB761" s="34"/>
      <c r="AC761" s="34"/>
      <c r="AD761" s="34"/>
      <c r="AE761" s="34"/>
      <c r="AF761" s="34"/>
      <c r="AG761" s="34"/>
      <c r="AH761" s="34"/>
      <c r="AI761" s="34"/>
      <c r="AJ761" s="34"/>
      <c r="AK761" s="34"/>
      <c r="AL761" s="34"/>
      <c r="AM761" s="34"/>
      <c r="AN761" s="34"/>
      <c r="AO761" s="34"/>
      <c r="AP761" s="34"/>
      <c r="AQ761" s="34"/>
      <c r="AR761" s="34"/>
      <c r="AS761" s="34"/>
      <c r="AT761" s="34"/>
      <c r="AU761" s="34"/>
      <c r="AV761" s="34"/>
      <c r="AW761" s="34"/>
      <c r="AX761" s="34"/>
      <c r="AY761" s="34"/>
      <c r="AZ761" s="34"/>
      <c r="BA761" s="34"/>
      <c r="BB761" s="34"/>
      <c r="BC761" s="34"/>
      <c r="BD761" s="34"/>
      <c r="BE761" s="34"/>
      <c r="BF761" s="34"/>
      <c r="BG761" s="34"/>
      <c r="BH761" s="34"/>
      <c r="BI761" s="34"/>
      <c r="BJ761" s="34"/>
      <c r="BK761" s="34"/>
      <c r="BL761" s="34"/>
      <c r="BM761" s="34"/>
      <c r="BN761" s="34"/>
      <c r="BO761" s="34"/>
      <c r="BP761" s="34"/>
      <c r="BQ761" s="34"/>
      <c r="BR761" s="34"/>
      <c r="BS761" s="34"/>
      <c r="BT761" s="34"/>
      <c r="BU761" s="34"/>
      <c r="BV761" s="34"/>
      <c r="BW761" s="34"/>
      <c r="BX761" s="34"/>
      <c r="BY761" s="34"/>
      <c r="BZ761" s="34"/>
      <c r="CA761" s="34"/>
      <c r="CB761" s="34"/>
      <c r="CC761" s="34"/>
      <c r="CD761" s="34"/>
      <c r="CE761" s="34"/>
      <c r="CF761" s="34"/>
      <c r="CG761" s="34"/>
      <c r="CH761" s="34"/>
      <c r="CI761" s="8"/>
    </row>
    <row r="762" spans="1:87" x14ac:dyDescent="0.2">
      <c r="A762" s="8" t="str">
        <f>IF(AND(COUNTIF(W$3:W$13,A$22)&gt;0,A$22&lt;&gt;B546),A$22,IFERROR(IF(MATCH(A$22,Z$3:Z$13,0)=10,A$22," ")," "))</f>
        <v xml:space="preserve"> </v>
      </c>
      <c r="B762" s="8" t="str">
        <f>IF(A762=" "," ",MAX(B755:B761)+1)</f>
        <v xml:space="preserve"> </v>
      </c>
      <c r="C762" s="8" t="str">
        <f>IFERROR(INDEX(A755:A776,MATCH(SMALL(B755:B776,8),B755:B776,0),1)," ")</f>
        <v>C19</v>
      </c>
      <c r="D762" s="8">
        <f t="shared" si="3143"/>
        <v>0</v>
      </c>
      <c r="E762" s="8">
        <f t="shared" si="3144"/>
        <v>0</v>
      </c>
      <c r="F762" s="8">
        <f t="shared" si="3145"/>
        <v>0</v>
      </c>
      <c r="G762" s="8">
        <f t="shared" si="3146"/>
        <v>0</v>
      </c>
      <c r="H762" s="8">
        <f t="shared" si="3147"/>
        <v>0</v>
      </c>
      <c r="I762" s="8">
        <f t="shared" si="3148"/>
        <v>0</v>
      </c>
      <c r="J762" s="8">
        <f t="shared" si="3149"/>
        <v>0</v>
      </c>
      <c r="K762" s="8">
        <f t="shared" si="3150"/>
        <v>1</v>
      </c>
      <c r="L762" s="8">
        <f t="shared" si="3151"/>
        <v>0</v>
      </c>
      <c r="M762" s="8">
        <f t="shared" si="3152"/>
        <v>0</v>
      </c>
      <c r="N762" s="8">
        <f t="shared" si="3153"/>
        <v>0</v>
      </c>
      <c r="O762" s="8">
        <f t="shared" si="3154"/>
        <v>0</v>
      </c>
      <c r="P762" s="8">
        <v>0</v>
      </c>
      <c r="Q762" s="8" t="str">
        <f t="shared" ref="Q762" si="3183">IF(COUNTIF(P755:P765,"&lt;"&amp;-0.001)=0,IF(ABS(P762)&lt;0.001,0,P762)," ")</f>
        <v xml:space="preserve"> </v>
      </c>
      <c r="R762" s="8"/>
      <c r="S762" s="8"/>
      <c r="U762" s="34"/>
      <c r="V762" s="34"/>
      <c r="W762" s="34"/>
      <c r="X762" s="34"/>
      <c r="Y762" s="34"/>
      <c r="Z762" s="34"/>
      <c r="AA762" s="34"/>
      <c r="AB762" s="34"/>
      <c r="AC762" s="34"/>
      <c r="AD762" s="34"/>
      <c r="AE762" s="34"/>
      <c r="AF762" s="34"/>
      <c r="AG762" s="34"/>
      <c r="AH762" s="34"/>
      <c r="AI762" s="34"/>
      <c r="AJ762" s="34"/>
      <c r="AK762" s="34"/>
      <c r="AL762" s="34"/>
      <c r="AM762" s="34"/>
      <c r="AN762" s="34"/>
      <c r="AO762" s="34"/>
      <c r="AP762" s="34"/>
      <c r="AQ762" s="34"/>
      <c r="AR762" s="34"/>
      <c r="AS762" s="34"/>
      <c r="AT762" s="34"/>
      <c r="AU762" s="34"/>
      <c r="AV762" s="34"/>
      <c r="AW762" s="34"/>
      <c r="AX762" s="34"/>
      <c r="AY762" s="34"/>
      <c r="AZ762" s="34"/>
      <c r="BA762" s="34"/>
      <c r="BB762" s="34"/>
      <c r="BC762" s="34"/>
      <c r="BD762" s="34"/>
      <c r="BE762" s="34"/>
      <c r="BF762" s="34"/>
      <c r="BG762" s="34"/>
      <c r="BH762" s="34"/>
      <c r="BI762" s="34"/>
      <c r="BJ762" s="34"/>
      <c r="BK762" s="34"/>
      <c r="BL762" s="34"/>
      <c r="BM762" s="34"/>
      <c r="BN762" s="34"/>
      <c r="BO762" s="34"/>
      <c r="BP762" s="34"/>
      <c r="BQ762" s="34"/>
      <c r="BR762" s="34"/>
      <c r="BS762" s="34"/>
      <c r="BT762" s="34"/>
      <c r="BU762" s="34"/>
      <c r="BV762" s="34"/>
      <c r="BW762" s="34"/>
      <c r="BX762" s="34"/>
      <c r="BY762" s="34"/>
      <c r="BZ762" s="34"/>
      <c r="CA762" s="34"/>
      <c r="CB762" s="34"/>
      <c r="CC762" s="34"/>
      <c r="CD762" s="34"/>
      <c r="CE762" s="34"/>
      <c r="CF762" s="34"/>
      <c r="CG762" s="34"/>
      <c r="CH762" s="34"/>
      <c r="CI762" s="8"/>
    </row>
    <row r="763" spans="1:87" x14ac:dyDescent="0.2">
      <c r="A763" s="8" t="str">
        <f>IF(AND(COUNTIF(W$3:W$13,A$23)&gt;0,A$23&lt;&gt;B546),A$23,IFERROR(IF(MATCH(A$23,Z$3:Z$13,0)=10,A$23," ")," "))</f>
        <v xml:space="preserve"> </v>
      </c>
      <c r="B763" s="8" t="str">
        <f>IF(A763=" "," ",MAX(B755:B762)+1)</f>
        <v xml:space="preserve"> </v>
      </c>
      <c r="C763" s="8" t="str">
        <f>IFERROR(INDEX(A755:A776,MATCH(SMALL(B755:B776,9),B755:B776,0),1)," ")</f>
        <v>C20</v>
      </c>
      <c r="D763" s="8">
        <f t="shared" si="3143"/>
        <v>0</v>
      </c>
      <c r="E763" s="8">
        <f t="shared" si="3144"/>
        <v>0</v>
      </c>
      <c r="F763" s="8">
        <f t="shared" si="3145"/>
        <v>0</v>
      </c>
      <c r="G763" s="8">
        <f t="shared" si="3146"/>
        <v>0</v>
      </c>
      <c r="H763" s="8">
        <f t="shared" si="3147"/>
        <v>0</v>
      </c>
      <c r="I763" s="8">
        <f t="shared" si="3148"/>
        <v>0</v>
      </c>
      <c r="J763" s="8">
        <f t="shared" si="3149"/>
        <v>0</v>
      </c>
      <c r="K763" s="8">
        <f t="shared" si="3150"/>
        <v>0</v>
      </c>
      <c r="L763" s="8">
        <f t="shared" si="3151"/>
        <v>1</v>
      </c>
      <c r="M763" s="8">
        <f t="shared" si="3152"/>
        <v>0</v>
      </c>
      <c r="N763" s="8">
        <f t="shared" si="3153"/>
        <v>0</v>
      </c>
      <c r="O763" s="8">
        <f t="shared" si="3154"/>
        <v>0</v>
      </c>
      <c r="P763" s="6">
        <v>0</v>
      </c>
      <c r="Q763" s="8" t="str">
        <f t="shared" ref="Q763" si="3184">IF(COUNTIF(P755:P765,"&lt;"&amp;-0.001)=0,IF(ABS(P763)&lt;0.001,0,P763)," ")</f>
        <v xml:space="preserve"> </v>
      </c>
      <c r="R763" s="8"/>
      <c r="S763" s="8"/>
      <c r="U763" s="34"/>
      <c r="V763" s="34"/>
      <c r="W763" s="34"/>
      <c r="X763" s="34"/>
      <c r="Y763" s="34"/>
      <c r="Z763" s="34"/>
      <c r="AA763" s="34"/>
      <c r="AB763" s="34"/>
      <c r="AC763" s="34"/>
      <c r="AD763" s="34"/>
      <c r="AE763" s="34"/>
      <c r="AF763" s="34"/>
      <c r="AG763" s="34"/>
      <c r="AH763" s="34"/>
      <c r="AI763" s="34"/>
      <c r="AJ763" s="34"/>
      <c r="AK763" s="34"/>
      <c r="AL763" s="34"/>
      <c r="AM763" s="34"/>
      <c r="AN763" s="34"/>
      <c r="AO763" s="34"/>
      <c r="AP763" s="34"/>
      <c r="AQ763" s="34"/>
      <c r="AR763" s="34"/>
      <c r="AS763" s="34"/>
      <c r="AT763" s="34"/>
      <c r="AU763" s="34"/>
      <c r="AV763" s="34"/>
      <c r="AW763" s="34"/>
      <c r="AX763" s="34"/>
      <c r="AY763" s="34"/>
      <c r="AZ763" s="34"/>
      <c r="BA763" s="34"/>
      <c r="BB763" s="34"/>
      <c r="BC763" s="34"/>
      <c r="BD763" s="34"/>
      <c r="BE763" s="34"/>
      <c r="BF763" s="34"/>
      <c r="BG763" s="34"/>
      <c r="BH763" s="34"/>
      <c r="BI763" s="34"/>
      <c r="BJ763" s="34"/>
      <c r="BK763" s="34"/>
      <c r="BL763" s="34"/>
      <c r="BM763" s="34"/>
      <c r="BN763" s="34"/>
      <c r="BO763" s="34"/>
      <c r="BP763" s="34"/>
      <c r="BQ763" s="34"/>
      <c r="BR763" s="34"/>
      <c r="BS763" s="34"/>
      <c r="BT763" s="34"/>
      <c r="BU763" s="34"/>
      <c r="BV763" s="34"/>
      <c r="BW763" s="34"/>
      <c r="BX763" s="34"/>
      <c r="BY763" s="34"/>
      <c r="BZ763" s="34"/>
      <c r="CA763" s="34"/>
      <c r="CB763" s="34"/>
      <c r="CC763" s="34"/>
      <c r="CD763" s="34"/>
      <c r="CE763" s="34"/>
      <c r="CF763" s="34"/>
      <c r="CG763" s="34"/>
      <c r="CH763" s="34"/>
      <c r="CI763" s="8"/>
    </row>
    <row r="764" spans="1:87" x14ac:dyDescent="0.2">
      <c r="A764" s="8" t="str">
        <f>IF(AND(COUNTIF(W$3:W$13,A$24)&gt;0,A$24&lt;&gt;B546),A$24,IFERROR(IF(MATCH(A$24,Z$3:Z$13,0)=10,A$24," ")," "))</f>
        <v xml:space="preserve"> </v>
      </c>
      <c r="B764" s="8" t="str">
        <f>IF(A764=" "," ",MAX(B755:B763)+1)</f>
        <v xml:space="preserve"> </v>
      </c>
      <c r="C764" s="8" t="str">
        <f>IFERROR(INDEX(A755:A776,MATCH(SMALL(B755:B776,10),B755:B776,0),1)," ")</f>
        <v>C21</v>
      </c>
      <c r="D764" s="8">
        <f t="shared" si="3143"/>
        <v>0</v>
      </c>
      <c r="E764" s="8">
        <f t="shared" si="3144"/>
        <v>0</v>
      </c>
      <c r="F764" s="8">
        <f t="shared" si="3145"/>
        <v>0</v>
      </c>
      <c r="G764" s="8">
        <f t="shared" si="3146"/>
        <v>0</v>
      </c>
      <c r="H764" s="8">
        <f t="shared" si="3147"/>
        <v>0</v>
      </c>
      <c r="I764" s="8">
        <f t="shared" si="3148"/>
        <v>0</v>
      </c>
      <c r="J764" s="8">
        <f t="shared" si="3149"/>
        <v>0</v>
      </c>
      <c r="K764" s="8">
        <f t="shared" si="3150"/>
        <v>0</v>
      </c>
      <c r="L764" s="8">
        <f t="shared" si="3151"/>
        <v>0</v>
      </c>
      <c r="M764" s="8">
        <f t="shared" si="3152"/>
        <v>1</v>
      </c>
      <c r="N764" s="8">
        <f t="shared" si="3153"/>
        <v>0</v>
      </c>
      <c r="O764" s="8">
        <f t="shared" si="3154"/>
        <v>0</v>
      </c>
      <c r="P764" s="8">
        <v>0</v>
      </c>
      <c r="Q764" s="8" t="str">
        <f t="shared" ref="Q764" si="3185">IF(COUNTIF(P755:P765,"&lt;"&amp;-0.001)=0,IF(ABS(P764)&lt;0.001,0,P764)," ")</f>
        <v xml:space="preserve"> </v>
      </c>
      <c r="R764" s="8"/>
      <c r="S764" s="8"/>
      <c r="U764" s="34"/>
      <c r="V764" s="34"/>
      <c r="W764" s="34"/>
      <c r="X764" s="34"/>
      <c r="Y764" s="34"/>
      <c r="Z764" s="34"/>
      <c r="AA764" s="34"/>
      <c r="AB764" s="34"/>
      <c r="AC764" s="34"/>
      <c r="AD764" s="34"/>
      <c r="AE764" s="34"/>
      <c r="AF764" s="34"/>
      <c r="AG764" s="34"/>
      <c r="AH764" s="34"/>
      <c r="AI764" s="34"/>
      <c r="AJ764" s="34"/>
      <c r="AK764" s="34"/>
      <c r="AL764" s="34"/>
      <c r="AM764" s="34"/>
      <c r="AN764" s="34"/>
      <c r="AO764" s="34"/>
      <c r="AP764" s="34"/>
      <c r="AQ764" s="34"/>
      <c r="AR764" s="34"/>
      <c r="AS764" s="34"/>
      <c r="AT764" s="34"/>
      <c r="AU764" s="34"/>
      <c r="AV764" s="34"/>
      <c r="AW764" s="34"/>
      <c r="AX764" s="34"/>
      <c r="AY764" s="34"/>
      <c r="AZ764" s="34"/>
      <c r="BA764" s="34"/>
      <c r="BB764" s="34"/>
      <c r="BC764" s="34"/>
      <c r="BD764" s="34"/>
      <c r="BE764" s="34"/>
      <c r="BF764" s="34"/>
      <c r="BG764" s="34"/>
      <c r="BH764" s="34"/>
      <c r="BI764" s="34"/>
      <c r="BJ764" s="34"/>
      <c r="BK764" s="34"/>
      <c r="BL764" s="34"/>
      <c r="BM764" s="34"/>
      <c r="BN764" s="34"/>
      <c r="BO764" s="34"/>
      <c r="BP764" s="34"/>
      <c r="BQ764" s="34"/>
      <c r="BR764" s="34"/>
      <c r="BS764" s="34"/>
      <c r="BT764" s="34"/>
      <c r="BU764" s="34"/>
      <c r="BV764" s="34"/>
      <c r="BW764" s="34"/>
      <c r="BX764" s="34"/>
      <c r="BY764" s="34"/>
      <c r="BZ764" s="34"/>
      <c r="CA764" s="34"/>
      <c r="CB764" s="34"/>
      <c r="CC764" s="34"/>
      <c r="CD764" s="34"/>
      <c r="CE764" s="34"/>
      <c r="CF764" s="34"/>
      <c r="CG764" s="34"/>
      <c r="CH764" s="34"/>
      <c r="CI764" s="8"/>
    </row>
    <row r="765" spans="1:87" x14ac:dyDescent="0.2">
      <c r="A765" s="8" t="str">
        <f>IF(AND(COUNTIF(W$3:W$13,A$25)&gt;0,A$25&lt;&gt;B546),A$25,IFERROR(IF(MATCH(A$25,Z$3:Z$13,0)=10,A$25," ")," "))</f>
        <v xml:space="preserve"> </v>
      </c>
      <c r="B765" s="8" t="str">
        <f>IF(A765=" "," ",MAX(B755:B764)+1)</f>
        <v xml:space="preserve"> </v>
      </c>
      <c r="C765" s="8" t="str">
        <f>IFERROR(INDEX(A755:A776,MATCH(SMALL(B755:B776,11),B755:B776,0),1)," ")</f>
        <v>C22</v>
      </c>
      <c r="D765" s="8">
        <f t="shared" si="3143"/>
        <v>0</v>
      </c>
      <c r="E765" s="8">
        <f t="shared" si="3144"/>
        <v>0</v>
      </c>
      <c r="F765" s="8">
        <f t="shared" si="3145"/>
        <v>0</v>
      </c>
      <c r="G765" s="8">
        <f t="shared" si="3146"/>
        <v>0</v>
      </c>
      <c r="H765" s="8">
        <f t="shared" si="3147"/>
        <v>0</v>
      </c>
      <c r="I765" s="8">
        <f t="shared" si="3148"/>
        <v>0</v>
      </c>
      <c r="J765" s="8">
        <f t="shared" si="3149"/>
        <v>0</v>
      </c>
      <c r="K765" s="8">
        <f t="shared" si="3150"/>
        <v>0</v>
      </c>
      <c r="L765" s="8">
        <f t="shared" si="3151"/>
        <v>0</v>
      </c>
      <c r="M765" s="8">
        <f t="shared" si="3152"/>
        <v>0</v>
      </c>
      <c r="N765" s="8">
        <f t="shared" si="3153"/>
        <v>1</v>
      </c>
      <c r="O765" s="8">
        <f t="shared" si="3154"/>
        <v>0</v>
      </c>
      <c r="P765" s="8">
        <v>0</v>
      </c>
      <c r="Q765" s="8" t="str">
        <f t="shared" ref="Q765" si="3186">IF(COUNTIF(P755:P765,"&lt;"&amp;-0.001)=0,IF(ABS(P765)&lt;0.001,0,P765)," ")</f>
        <v xml:space="preserve"> </v>
      </c>
      <c r="R765" s="8"/>
      <c r="S765" s="8"/>
      <c r="U765" s="34"/>
      <c r="V765" s="34"/>
      <c r="W765" s="34"/>
      <c r="X765" s="34"/>
      <c r="Y765" s="34"/>
      <c r="Z765" s="34"/>
      <c r="AA765" s="34"/>
      <c r="AB765" s="34"/>
      <c r="AC765" s="34"/>
      <c r="AD765" s="34"/>
      <c r="AE765" s="34"/>
      <c r="AF765" s="34"/>
      <c r="AG765" s="34"/>
      <c r="AH765" s="34"/>
      <c r="AI765" s="34"/>
      <c r="AJ765" s="34"/>
      <c r="AK765" s="34"/>
      <c r="AL765" s="34"/>
      <c r="AM765" s="34"/>
      <c r="AN765" s="34"/>
      <c r="AO765" s="34"/>
      <c r="AP765" s="34"/>
      <c r="AQ765" s="34"/>
      <c r="AR765" s="34"/>
      <c r="AS765" s="34"/>
      <c r="AT765" s="34"/>
      <c r="AU765" s="34"/>
      <c r="AV765" s="34"/>
      <c r="AW765" s="34"/>
      <c r="AX765" s="34"/>
      <c r="AY765" s="34"/>
      <c r="AZ765" s="34"/>
      <c r="BA765" s="34"/>
      <c r="BB765" s="34"/>
      <c r="BC765" s="34"/>
      <c r="BD765" s="34"/>
      <c r="BE765" s="34"/>
      <c r="BF765" s="34"/>
      <c r="BG765" s="34"/>
      <c r="BH765" s="34"/>
      <c r="BI765" s="34"/>
      <c r="BJ765" s="34"/>
      <c r="BK765" s="34"/>
      <c r="BL765" s="34"/>
      <c r="BM765" s="34"/>
      <c r="BN765" s="34"/>
      <c r="BO765" s="34"/>
      <c r="BP765" s="34"/>
      <c r="BQ765" s="34"/>
      <c r="BR765" s="34"/>
      <c r="BS765" s="34"/>
      <c r="BT765" s="34"/>
      <c r="BU765" s="34"/>
      <c r="BV765" s="34"/>
      <c r="BW765" s="34"/>
      <c r="BX765" s="34"/>
      <c r="BY765" s="34"/>
      <c r="BZ765" s="34"/>
      <c r="CA765" s="34"/>
      <c r="CB765" s="34"/>
      <c r="CC765" s="34"/>
      <c r="CD765" s="34"/>
      <c r="CE765" s="34"/>
      <c r="CF765" s="34"/>
      <c r="CG765" s="34"/>
      <c r="CH765" s="34"/>
      <c r="CI765" s="8"/>
    </row>
    <row r="766" spans="1:87" x14ac:dyDescent="0.2">
      <c r="A766" s="8" t="str">
        <f>IF(AND(COUNTIF(W$3:W$13,A$26)&gt;0,A$26&lt;&gt;B546),A$26,IFERROR(IF(MATCH(A$26,Z$3:Z$13,0)=10,A$26," ")," "))</f>
        <v>C12</v>
      </c>
      <c r="B766" s="8">
        <f>IF(A766=" "," ",MAX(B755:B765)+1)</f>
        <v>3</v>
      </c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U766" s="34"/>
      <c r="V766" s="34"/>
      <c r="W766" s="34"/>
      <c r="X766" s="34"/>
      <c r="Y766" s="34"/>
      <c r="Z766" s="34"/>
      <c r="AA766" s="34"/>
      <c r="AB766" s="34"/>
      <c r="AC766" s="34"/>
      <c r="AD766" s="34"/>
      <c r="AE766" s="34"/>
      <c r="AF766" s="34"/>
      <c r="AG766" s="34"/>
      <c r="AH766" s="34"/>
      <c r="AI766" s="34"/>
      <c r="AJ766" s="34"/>
      <c r="AK766" s="34"/>
      <c r="AL766" s="34"/>
      <c r="AM766" s="34"/>
      <c r="AN766" s="34"/>
      <c r="AO766" s="34"/>
      <c r="AP766" s="34"/>
      <c r="AQ766" s="34"/>
      <c r="AR766" s="34"/>
      <c r="AS766" s="34"/>
      <c r="AT766" s="34"/>
      <c r="AU766" s="34"/>
      <c r="AV766" s="34"/>
      <c r="AW766" s="34"/>
      <c r="AX766" s="34"/>
      <c r="AY766" s="34"/>
      <c r="AZ766" s="34"/>
      <c r="BA766" s="34"/>
      <c r="BB766" s="34"/>
      <c r="BC766" s="34"/>
      <c r="BD766" s="34"/>
      <c r="BE766" s="34"/>
      <c r="BF766" s="34"/>
      <c r="BG766" s="34"/>
      <c r="BH766" s="34"/>
      <c r="BI766" s="34"/>
      <c r="BJ766" s="34"/>
      <c r="BK766" s="34"/>
      <c r="BL766" s="34"/>
      <c r="BM766" s="34"/>
      <c r="BN766" s="34"/>
      <c r="BO766" s="34"/>
      <c r="BP766" s="34"/>
      <c r="BQ766" s="34"/>
      <c r="BR766" s="34"/>
      <c r="BS766" s="34"/>
      <c r="BT766" s="34"/>
      <c r="BU766" s="34"/>
      <c r="BV766" s="34"/>
      <c r="BW766" s="34"/>
      <c r="BX766" s="34"/>
      <c r="BY766" s="34"/>
      <c r="BZ766" s="34"/>
      <c r="CA766" s="34"/>
      <c r="CB766" s="34"/>
      <c r="CC766" s="34"/>
      <c r="CD766" s="34"/>
      <c r="CE766" s="34"/>
      <c r="CF766" s="34"/>
      <c r="CG766" s="34"/>
      <c r="CH766" s="34"/>
      <c r="CI766" s="8"/>
    </row>
    <row r="767" spans="1:87" x14ac:dyDescent="0.2">
      <c r="A767" s="8" t="str">
        <f>IF(AND(COUNTIF(W$3:W$13,A$27)&gt;0,A$27&lt;&gt;B546),A$27,IFERROR(IF(MATCH(A$27,Z$3:Z$13,0)=10,A$27," ")," "))</f>
        <v xml:space="preserve"> </v>
      </c>
      <c r="B767" s="8" t="str">
        <f>IF(A767=" "," ",MAX(B755:B766)+1)</f>
        <v xml:space="preserve"> </v>
      </c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U767" s="34"/>
      <c r="V767" s="34"/>
      <c r="W767" s="34"/>
      <c r="X767" s="34"/>
      <c r="Y767" s="34"/>
      <c r="Z767" s="34"/>
      <c r="AA767" s="34"/>
      <c r="AB767" s="34"/>
      <c r="AC767" s="34"/>
      <c r="AD767" s="34"/>
      <c r="AE767" s="34"/>
      <c r="AF767" s="34"/>
      <c r="AG767" s="34"/>
      <c r="AH767" s="34"/>
      <c r="AI767" s="34"/>
      <c r="AJ767" s="34"/>
      <c r="AK767" s="34"/>
      <c r="AL767" s="34"/>
      <c r="AM767" s="34"/>
      <c r="AN767" s="34"/>
      <c r="AO767" s="34"/>
      <c r="AP767" s="34"/>
      <c r="AQ767" s="34"/>
      <c r="AR767" s="34"/>
      <c r="AS767" s="34"/>
      <c r="AT767" s="34"/>
      <c r="AU767" s="34"/>
      <c r="AV767" s="34"/>
      <c r="AW767" s="34"/>
      <c r="AX767" s="34"/>
      <c r="AY767" s="34"/>
      <c r="AZ767" s="34"/>
      <c r="BA767" s="34"/>
      <c r="BB767" s="34"/>
      <c r="BC767" s="34"/>
      <c r="BD767" s="34"/>
      <c r="BE767" s="34"/>
      <c r="BF767" s="34"/>
      <c r="BG767" s="34"/>
      <c r="BH767" s="34"/>
      <c r="BI767" s="34"/>
      <c r="BJ767" s="34"/>
      <c r="BK767" s="34"/>
      <c r="BL767" s="34"/>
      <c r="BM767" s="34"/>
      <c r="BN767" s="34"/>
      <c r="BO767" s="34"/>
      <c r="BP767" s="34"/>
      <c r="BQ767" s="34"/>
      <c r="BR767" s="34"/>
      <c r="BS767" s="34"/>
      <c r="BT767" s="34"/>
      <c r="BU767" s="34"/>
      <c r="BV767" s="34"/>
      <c r="BW767" s="34"/>
      <c r="BX767" s="34"/>
      <c r="BY767" s="34"/>
      <c r="BZ767" s="34"/>
      <c r="CA767" s="34"/>
      <c r="CB767" s="34"/>
      <c r="CC767" s="34"/>
      <c r="CD767" s="34"/>
      <c r="CE767" s="34"/>
      <c r="CF767" s="34"/>
      <c r="CG767" s="34"/>
      <c r="CH767" s="34"/>
      <c r="CI767" s="8"/>
    </row>
    <row r="768" spans="1:87" x14ac:dyDescent="0.2">
      <c r="A768" s="8" t="str">
        <f>IF(AND(COUNTIF(W$3:W$13,A$28)&gt;0,A$28&lt;&gt;B546),A$28,IFERROR(IF(MATCH(A$28,Z$3:Z$13,0)=10,A$28," ")," "))</f>
        <v xml:space="preserve"> </v>
      </c>
      <c r="B768" s="8" t="str">
        <f>IF(A768=" "," ",MAX(B755:B767)+1)</f>
        <v xml:space="preserve"> </v>
      </c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U768" s="34"/>
      <c r="V768" s="34"/>
      <c r="W768" s="34"/>
      <c r="X768" s="34"/>
      <c r="Y768" s="34"/>
      <c r="Z768" s="34"/>
      <c r="AA768" s="34"/>
      <c r="AB768" s="34"/>
      <c r="AC768" s="34"/>
      <c r="AD768" s="34"/>
      <c r="AE768" s="34"/>
      <c r="AF768" s="34"/>
      <c r="AG768" s="34"/>
      <c r="AH768" s="34"/>
      <c r="AI768" s="34"/>
      <c r="AJ768" s="34"/>
      <c r="AK768" s="34"/>
      <c r="AL768" s="34"/>
      <c r="AM768" s="34"/>
      <c r="AN768" s="34"/>
      <c r="AO768" s="34"/>
      <c r="AP768" s="34"/>
      <c r="AQ768" s="34"/>
      <c r="AR768" s="34"/>
      <c r="AS768" s="34"/>
      <c r="AT768" s="34"/>
      <c r="AU768" s="34"/>
      <c r="AV768" s="34"/>
      <c r="AW768" s="34"/>
      <c r="AX768" s="34"/>
      <c r="AY768" s="34"/>
      <c r="AZ768" s="34"/>
      <c r="BA768" s="34"/>
      <c r="BB768" s="34"/>
      <c r="BC768" s="34"/>
      <c r="BD768" s="34"/>
      <c r="BE768" s="34"/>
      <c r="BF768" s="34"/>
      <c r="BG768" s="34"/>
      <c r="BH768" s="34"/>
      <c r="BI768" s="34"/>
      <c r="BJ768" s="34"/>
      <c r="BK768" s="34"/>
      <c r="BL768" s="34"/>
      <c r="BM768" s="34"/>
      <c r="BN768" s="34"/>
      <c r="BO768" s="34"/>
      <c r="BP768" s="34"/>
      <c r="BQ768" s="34"/>
      <c r="BR768" s="34"/>
      <c r="BS768" s="34"/>
      <c r="BT768" s="34"/>
      <c r="BU768" s="34"/>
      <c r="BV768" s="34"/>
      <c r="BW768" s="34"/>
      <c r="BX768" s="34"/>
      <c r="BY768" s="34"/>
      <c r="BZ768" s="34"/>
      <c r="CA768" s="34"/>
      <c r="CB768" s="34"/>
      <c r="CC768" s="34"/>
      <c r="CD768" s="34"/>
      <c r="CE768" s="34"/>
      <c r="CF768" s="34"/>
      <c r="CG768" s="34"/>
      <c r="CH768" s="34"/>
      <c r="CI768" s="8"/>
    </row>
    <row r="769" spans="1:87" x14ac:dyDescent="0.2">
      <c r="A769" s="8" t="str">
        <f>IF(AND(COUNTIF(W$3:W$13,A$29)&gt;0,A$29&lt;&gt;B546),A$29,IFERROR(IF(MATCH(A$29,Z$3:Z$13,0)=10,A$29," ")," "))</f>
        <v>C15</v>
      </c>
      <c r="B769" s="8">
        <f>IF(A769=" "," ",MAX(B755:B768)+1)</f>
        <v>4</v>
      </c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U769" s="34"/>
      <c r="V769" s="34"/>
      <c r="W769" s="34"/>
      <c r="X769" s="34"/>
      <c r="Y769" s="34"/>
      <c r="Z769" s="34"/>
      <c r="AA769" s="34"/>
      <c r="AB769" s="34"/>
      <c r="AC769" s="34"/>
      <c r="AD769" s="34"/>
      <c r="AE769" s="34"/>
      <c r="AF769" s="34"/>
      <c r="AG769" s="34"/>
      <c r="AH769" s="34"/>
      <c r="AI769" s="34"/>
      <c r="AJ769" s="34"/>
      <c r="AK769" s="34"/>
      <c r="AL769" s="34"/>
      <c r="AM769" s="34"/>
      <c r="AN769" s="34"/>
      <c r="AO769" s="34"/>
      <c r="AP769" s="34"/>
      <c r="AQ769" s="34"/>
      <c r="AR769" s="34"/>
      <c r="AS769" s="34"/>
      <c r="AT769" s="34"/>
      <c r="AU769" s="34"/>
      <c r="AV769" s="34"/>
      <c r="AW769" s="34"/>
      <c r="AX769" s="34"/>
      <c r="AY769" s="34"/>
      <c r="AZ769" s="34"/>
      <c r="BA769" s="34"/>
      <c r="BB769" s="34"/>
      <c r="BC769" s="34"/>
      <c r="BD769" s="34"/>
      <c r="BE769" s="34"/>
      <c r="BF769" s="34"/>
      <c r="BG769" s="34"/>
      <c r="BH769" s="34"/>
      <c r="BI769" s="34"/>
      <c r="BJ769" s="34"/>
      <c r="BK769" s="34"/>
      <c r="BL769" s="34"/>
      <c r="BM769" s="34"/>
      <c r="BN769" s="34"/>
      <c r="BO769" s="34"/>
      <c r="BP769" s="34"/>
      <c r="BQ769" s="34"/>
      <c r="BR769" s="34"/>
      <c r="BS769" s="34"/>
      <c r="BT769" s="34"/>
      <c r="BU769" s="34"/>
      <c r="BV769" s="34"/>
      <c r="BW769" s="34"/>
      <c r="BX769" s="34"/>
      <c r="BY769" s="34"/>
      <c r="BZ769" s="34"/>
      <c r="CA769" s="34"/>
      <c r="CB769" s="34"/>
      <c r="CC769" s="34"/>
      <c r="CD769" s="34"/>
      <c r="CE769" s="34"/>
      <c r="CF769" s="34"/>
      <c r="CG769" s="34"/>
      <c r="CH769" s="34"/>
      <c r="CI769" s="8"/>
    </row>
    <row r="770" spans="1:87" x14ac:dyDescent="0.2">
      <c r="A770" s="8" t="str">
        <f>IF(AND(COUNTIF(W$3:W$13,A$30)&gt;0,A$30&lt;&gt;B546),A$30,IFERROR(IF(MATCH(A$30,Z$3:Z$13,0)=10,A$30," ")," "))</f>
        <v>C16</v>
      </c>
      <c r="B770" s="8">
        <f>IF(A770=" "," ",MAX(B755:B769)+1)</f>
        <v>5</v>
      </c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U770" s="34"/>
      <c r="V770" s="34"/>
      <c r="W770" s="34"/>
      <c r="X770" s="34"/>
      <c r="Y770" s="34"/>
      <c r="Z770" s="34"/>
      <c r="AA770" s="34"/>
      <c r="AB770" s="34"/>
      <c r="AC770" s="34"/>
      <c r="AD770" s="34"/>
      <c r="AE770" s="34"/>
      <c r="AF770" s="34"/>
      <c r="AG770" s="34"/>
      <c r="AH770" s="34"/>
      <c r="AI770" s="34"/>
      <c r="AJ770" s="34"/>
      <c r="AK770" s="34"/>
      <c r="AL770" s="34"/>
      <c r="AM770" s="34"/>
      <c r="AN770" s="34"/>
      <c r="AO770" s="34"/>
      <c r="AP770" s="34"/>
      <c r="AQ770" s="34"/>
      <c r="AR770" s="34"/>
      <c r="AS770" s="34"/>
      <c r="AT770" s="34"/>
      <c r="AU770" s="34"/>
      <c r="AV770" s="34"/>
      <c r="AW770" s="34"/>
      <c r="AX770" s="34"/>
      <c r="AY770" s="34"/>
      <c r="AZ770" s="34"/>
      <c r="BA770" s="34"/>
      <c r="BB770" s="34"/>
      <c r="BC770" s="34"/>
      <c r="BD770" s="34"/>
      <c r="BE770" s="34"/>
      <c r="BF770" s="34"/>
      <c r="BG770" s="34"/>
      <c r="BH770" s="34"/>
      <c r="BI770" s="34"/>
      <c r="BJ770" s="34"/>
      <c r="BK770" s="34"/>
      <c r="BL770" s="34"/>
      <c r="BM770" s="34"/>
      <c r="BN770" s="34"/>
      <c r="BO770" s="34"/>
      <c r="BP770" s="34"/>
      <c r="BQ770" s="34"/>
      <c r="BR770" s="34"/>
      <c r="BS770" s="34"/>
      <c r="BT770" s="34"/>
      <c r="BU770" s="34"/>
      <c r="BV770" s="34"/>
      <c r="BW770" s="34"/>
      <c r="BX770" s="34"/>
      <c r="BY770" s="34"/>
      <c r="BZ770" s="34"/>
      <c r="CA770" s="34"/>
      <c r="CB770" s="34"/>
      <c r="CC770" s="34"/>
      <c r="CD770" s="34"/>
      <c r="CE770" s="34"/>
      <c r="CF770" s="34"/>
      <c r="CG770" s="34"/>
      <c r="CH770" s="34"/>
      <c r="CI770" s="8"/>
    </row>
    <row r="771" spans="1:87" x14ac:dyDescent="0.2">
      <c r="A771" s="8" t="str">
        <f>IF(AND(COUNTIF(W$3:W$13,A$31)&gt;0,A$31&lt;&gt;B546),A$31,IFERROR(IF(MATCH(A$31,Z$3:Z$13,0)=10,A$31," ")," "))</f>
        <v>C17</v>
      </c>
      <c r="B771" s="8">
        <f>IF(A771=" "," ",MAX(B755:B770)+1)</f>
        <v>6</v>
      </c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U771" s="34"/>
      <c r="V771" s="34"/>
      <c r="W771" s="34"/>
      <c r="X771" s="34"/>
      <c r="Y771" s="34"/>
      <c r="Z771" s="34"/>
      <c r="AA771" s="34"/>
      <c r="AB771" s="34"/>
      <c r="AC771" s="34"/>
      <c r="AD771" s="34"/>
      <c r="AE771" s="34"/>
      <c r="AF771" s="34"/>
      <c r="AG771" s="34"/>
      <c r="AH771" s="34"/>
      <c r="AI771" s="34"/>
      <c r="AJ771" s="34"/>
      <c r="AK771" s="34"/>
      <c r="AL771" s="34"/>
      <c r="AM771" s="34"/>
      <c r="AN771" s="34"/>
      <c r="AO771" s="34"/>
      <c r="AP771" s="34"/>
      <c r="AQ771" s="34"/>
      <c r="AR771" s="34"/>
      <c r="AS771" s="34"/>
      <c r="AT771" s="34"/>
      <c r="AU771" s="34"/>
      <c r="AV771" s="34"/>
      <c r="AW771" s="34"/>
      <c r="AX771" s="34"/>
      <c r="AY771" s="34"/>
      <c r="AZ771" s="34"/>
      <c r="BA771" s="34"/>
      <c r="BB771" s="34"/>
      <c r="BC771" s="34"/>
      <c r="BD771" s="34"/>
      <c r="BE771" s="34"/>
      <c r="BF771" s="34"/>
      <c r="BG771" s="34"/>
      <c r="BH771" s="34"/>
      <c r="BI771" s="34"/>
      <c r="BJ771" s="34"/>
      <c r="BK771" s="34"/>
      <c r="BL771" s="34"/>
      <c r="BM771" s="34"/>
      <c r="BN771" s="34"/>
      <c r="BO771" s="34"/>
      <c r="BP771" s="34"/>
      <c r="BQ771" s="34"/>
      <c r="BR771" s="34"/>
      <c r="BS771" s="34"/>
      <c r="BT771" s="34"/>
      <c r="BU771" s="34"/>
      <c r="BV771" s="34"/>
      <c r="BW771" s="34"/>
      <c r="BX771" s="34"/>
      <c r="BY771" s="34"/>
      <c r="BZ771" s="34"/>
      <c r="CA771" s="34"/>
      <c r="CB771" s="34"/>
      <c r="CC771" s="34"/>
      <c r="CD771" s="34"/>
      <c r="CE771" s="34"/>
      <c r="CF771" s="34"/>
      <c r="CG771" s="34"/>
      <c r="CH771" s="34"/>
      <c r="CI771" s="8"/>
    </row>
    <row r="772" spans="1:87" x14ac:dyDescent="0.2">
      <c r="A772" s="8" t="str">
        <f>IF(AND(COUNTIF(W$3:W$13,A$32)&gt;0,A$32&lt;&gt;B546),A$32,IFERROR(IF(MATCH(A$32,Z$3:Z$13,0)=10,A$32," ")," "))</f>
        <v>C18</v>
      </c>
      <c r="B772" s="8">
        <f>IF(A772=" "," ",MAX(B755:B771)+1)</f>
        <v>7</v>
      </c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U772" s="34"/>
      <c r="V772" s="34"/>
      <c r="W772" s="34"/>
      <c r="X772" s="34"/>
      <c r="Y772" s="34"/>
      <c r="Z772" s="34"/>
      <c r="AA772" s="34"/>
      <c r="AB772" s="34"/>
      <c r="AC772" s="34"/>
      <c r="AD772" s="34"/>
      <c r="AE772" s="34"/>
      <c r="AF772" s="34"/>
      <c r="AG772" s="34"/>
      <c r="AH772" s="34"/>
      <c r="AI772" s="34"/>
      <c r="AJ772" s="34"/>
      <c r="AK772" s="34"/>
      <c r="AL772" s="34"/>
      <c r="AM772" s="34"/>
      <c r="AN772" s="34"/>
      <c r="AO772" s="34"/>
      <c r="AP772" s="34"/>
      <c r="AQ772" s="34"/>
      <c r="AR772" s="34"/>
      <c r="AS772" s="34"/>
      <c r="AT772" s="34"/>
      <c r="AU772" s="34"/>
      <c r="AV772" s="34"/>
      <c r="AW772" s="34"/>
      <c r="AX772" s="34"/>
      <c r="AY772" s="34"/>
      <c r="AZ772" s="34"/>
      <c r="BA772" s="34"/>
      <c r="BB772" s="34"/>
      <c r="BC772" s="34"/>
      <c r="BD772" s="34"/>
      <c r="BE772" s="34"/>
      <c r="BF772" s="34"/>
      <c r="BG772" s="34"/>
      <c r="BH772" s="34"/>
      <c r="BI772" s="34"/>
      <c r="BJ772" s="34"/>
      <c r="BK772" s="34"/>
      <c r="BL772" s="34"/>
      <c r="BM772" s="34"/>
      <c r="BN772" s="34"/>
      <c r="BO772" s="34"/>
      <c r="BP772" s="34"/>
      <c r="BQ772" s="34"/>
      <c r="BR772" s="34"/>
      <c r="BS772" s="34"/>
      <c r="BT772" s="34"/>
      <c r="BU772" s="34"/>
      <c r="BV772" s="34"/>
      <c r="BW772" s="34"/>
      <c r="BX772" s="34"/>
      <c r="BY772" s="34"/>
      <c r="BZ772" s="34"/>
      <c r="CA772" s="34"/>
      <c r="CB772" s="34"/>
      <c r="CC772" s="34"/>
      <c r="CD772" s="34"/>
      <c r="CE772" s="34"/>
      <c r="CF772" s="34"/>
      <c r="CG772" s="34"/>
      <c r="CH772" s="34"/>
      <c r="CI772" s="8"/>
    </row>
    <row r="773" spans="1:87" x14ac:dyDescent="0.2">
      <c r="A773" s="8" t="str">
        <f>IF(AND(COUNTIF(W$3:W$13,A$33)&gt;0,A$33&lt;&gt;B546),A$33,IFERROR(IF(MATCH(A$33,Z$3:Z$13,0)=10,A$33," ")," "))</f>
        <v>C19</v>
      </c>
      <c r="B773" s="8">
        <f>IF(A773=" "," ",MAX(B755:B772)+1)</f>
        <v>8</v>
      </c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U773" s="34"/>
      <c r="V773" s="34"/>
      <c r="W773" s="34"/>
      <c r="X773" s="34"/>
      <c r="Y773" s="34"/>
      <c r="Z773" s="34"/>
      <c r="AA773" s="34"/>
      <c r="AB773" s="34"/>
      <c r="AC773" s="34"/>
      <c r="AD773" s="34"/>
      <c r="AE773" s="34"/>
      <c r="AF773" s="34"/>
      <c r="AG773" s="34"/>
      <c r="AH773" s="34"/>
      <c r="AI773" s="34"/>
      <c r="AJ773" s="34"/>
      <c r="AK773" s="34"/>
      <c r="AL773" s="34"/>
      <c r="AM773" s="34"/>
      <c r="AN773" s="34"/>
      <c r="AO773" s="34"/>
      <c r="AP773" s="34"/>
      <c r="AQ773" s="34"/>
      <c r="AR773" s="34"/>
      <c r="AS773" s="34"/>
      <c r="AT773" s="34"/>
      <c r="AU773" s="34"/>
      <c r="AV773" s="34"/>
      <c r="AW773" s="34"/>
      <c r="AX773" s="34"/>
      <c r="AY773" s="34"/>
      <c r="AZ773" s="34"/>
      <c r="BA773" s="34"/>
      <c r="BB773" s="34"/>
      <c r="BC773" s="34"/>
      <c r="BD773" s="34"/>
      <c r="BE773" s="34"/>
      <c r="BF773" s="34"/>
      <c r="BG773" s="34"/>
      <c r="BH773" s="34"/>
      <c r="BI773" s="34"/>
      <c r="BJ773" s="34"/>
      <c r="BK773" s="34"/>
      <c r="BL773" s="34"/>
      <c r="BM773" s="34"/>
      <c r="BN773" s="34"/>
      <c r="BO773" s="34"/>
      <c r="BP773" s="34"/>
      <c r="BQ773" s="34"/>
      <c r="BR773" s="34"/>
      <c r="BS773" s="34"/>
      <c r="BT773" s="34"/>
      <c r="BU773" s="34"/>
      <c r="BV773" s="34"/>
      <c r="BW773" s="34"/>
      <c r="BX773" s="34"/>
      <c r="BY773" s="34"/>
      <c r="BZ773" s="34"/>
      <c r="CA773" s="34"/>
      <c r="CB773" s="34"/>
      <c r="CC773" s="34"/>
      <c r="CD773" s="34"/>
      <c r="CE773" s="34"/>
      <c r="CF773" s="34"/>
      <c r="CG773" s="34"/>
      <c r="CH773" s="34"/>
      <c r="CI773" s="8"/>
    </row>
    <row r="774" spans="1:87" x14ac:dyDescent="0.2">
      <c r="A774" s="8" t="str">
        <f>IF(AND(COUNTIF(W$3:W$13,A$34)&gt;0,A$34&lt;&gt;B546),A$34,IFERROR(IF(MATCH(A$34,Z$3:Z$13,0)=10,A$34," ")," "))</f>
        <v>C20</v>
      </c>
      <c r="B774" s="8">
        <f>IF(A774=" "," ",MAX(B755:B773)+1)</f>
        <v>9</v>
      </c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U774" s="34"/>
      <c r="V774" s="34"/>
      <c r="W774" s="34"/>
      <c r="X774" s="34"/>
      <c r="Y774" s="34"/>
      <c r="Z774" s="34"/>
      <c r="AA774" s="34"/>
      <c r="AB774" s="34"/>
      <c r="AC774" s="34"/>
      <c r="AD774" s="34"/>
      <c r="AE774" s="34"/>
      <c r="AF774" s="34"/>
      <c r="AG774" s="34"/>
      <c r="AH774" s="34"/>
      <c r="AI774" s="34"/>
      <c r="AJ774" s="34"/>
      <c r="AK774" s="34"/>
      <c r="AL774" s="34"/>
      <c r="AM774" s="34"/>
      <c r="AN774" s="34"/>
      <c r="AO774" s="34"/>
      <c r="AP774" s="34"/>
      <c r="AQ774" s="34"/>
      <c r="AR774" s="34"/>
      <c r="AS774" s="34"/>
      <c r="AT774" s="34"/>
      <c r="AU774" s="34"/>
      <c r="AV774" s="34"/>
      <c r="AW774" s="34"/>
      <c r="AX774" s="34"/>
      <c r="AY774" s="34"/>
      <c r="AZ774" s="34"/>
      <c r="BA774" s="34"/>
      <c r="BB774" s="34"/>
      <c r="BC774" s="34"/>
      <c r="BD774" s="34"/>
      <c r="BE774" s="34"/>
      <c r="BF774" s="34"/>
      <c r="BG774" s="34"/>
      <c r="BH774" s="34"/>
      <c r="BI774" s="34"/>
      <c r="BJ774" s="34"/>
      <c r="BK774" s="34"/>
      <c r="BL774" s="34"/>
      <c r="BM774" s="34"/>
      <c r="BN774" s="34"/>
      <c r="BO774" s="34"/>
      <c r="BP774" s="34"/>
      <c r="BQ774" s="34"/>
      <c r="BR774" s="34"/>
      <c r="BS774" s="34"/>
      <c r="BT774" s="34"/>
      <c r="BU774" s="34"/>
      <c r="BV774" s="34"/>
      <c r="BW774" s="34"/>
      <c r="BX774" s="34"/>
      <c r="BY774" s="34"/>
      <c r="BZ774" s="34"/>
      <c r="CA774" s="34"/>
      <c r="CB774" s="34"/>
      <c r="CC774" s="34"/>
      <c r="CD774" s="34"/>
      <c r="CE774" s="34"/>
      <c r="CF774" s="34"/>
      <c r="CG774" s="34"/>
      <c r="CH774" s="34"/>
      <c r="CI774" s="8"/>
    </row>
    <row r="775" spans="1:87" x14ac:dyDescent="0.2">
      <c r="A775" s="8" t="str">
        <f>IF(AND(COUNTIF(W$3:W$13,A$35)&gt;0,A$35&lt;&gt;B546),A$35,IFERROR(IF(MATCH(A$35,Z$3:Z$13,0)=10,A$35," ")," "))</f>
        <v>C21</v>
      </c>
      <c r="B775" s="8">
        <f>IF(A775=" "," ",MAX(B755:B774)+1)</f>
        <v>10</v>
      </c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U775" s="34"/>
      <c r="V775" s="34"/>
      <c r="W775" s="34"/>
      <c r="X775" s="34"/>
      <c r="Y775" s="34"/>
      <c r="Z775" s="34"/>
      <c r="AA775" s="34"/>
      <c r="AB775" s="34"/>
      <c r="AC775" s="34"/>
      <c r="AD775" s="34"/>
      <c r="AE775" s="34"/>
      <c r="AF775" s="34"/>
      <c r="AG775" s="34"/>
      <c r="AH775" s="34"/>
      <c r="AI775" s="34"/>
      <c r="AJ775" s="34"/>
      <c r="AK775" s="34"/>
      <c r="AL775" s="34"/>
      <c r="AM775" s="34"/>
      <c r="AN775" s="34"/>
      <c r="AO775" s="34"/>
      <c r="AP775" s="34"/>
      <c r="AQ775" s="34"/>
      <c r="AR775" s="34"/>
      <c r="AS775" s="34"/>
      <c r="AT775" s="34"/>
      <c r="AU775" s="34"/>
      <c r="AV775" s="34"/>
      <c r="AW775" s="34"/>
      <c r="AX775" s="34"/>
      <c r="AY775" s="34"/>
      <c r="AZ775" s="34"/>
      <c r="BA775" s="34"/>
      <c r="BB775" s="34"/>
      <c r="BC775" s="34"/>
      <c r="BD775" s="34"/>
      <c r="BE775" s="34"/>
      <c r="BF775" s="34"/>
      <c r="BG775" s="34"/>
      <c r="BH775" s="34"/>
      <c r="BI775" s="34"/>
      <c r="BJ775" s="34"/>
      <c r="BK775" s="34"/>
      <c r="BL775" s="34"/>
      <c r="BM775" s="34"/>
      <c r="BN775" s="34"/>
      <c r="BO775" s="34"/>
      <c r="BP775" s="34"/>
      <c r="BQ775" s="34"/>
      <c r="BR775" s="34"/>
      <c r="BS775" s="34"/>
      <c r="BT775" s="34"/>
      <c r="BU775" s="34"/>
      <c r="BV775" s="34"/>
      <c r="BW775" s="34"/>
      <c r="BX775" s="34"/>
      <c r="BY775" s="34"/>
      <c r="BZ775" s="34"/>
      <c r="CA775" s="34"/>
      <c r="CB775" s="34"/>
      <c r="CC775" s="34"/>
      <c r="CD775" s="34"/>
      <c r="CE775" s="34"/>
      <c r="CF775" s="34"/>
      <c r="CG775" s="34"/>
      <c r="CH775" s="34"/>
      <c r="CI775" s="8"/>
    </row>
    <row r="776" spans="1:87" x14ac:dyDescent="0.2">
      <c r="A776" s="8" t="str">
        <f>IF(AND(COUNTIF(W$3:W$13,A$36)&gt;0,A$36&lt;&gt;B546),A$36,IFERROR(IF(MATCH(A$36,Z$3:Z$13,0)=10,A$36," ")," "))</f>
        <v>C22</v>
      </c>
      <c r="B776" s="8">
        <f>IF(A776=" "," ",MAX(B755:B775)+1)</f>
        <v>11</v>
      </c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U776" s="34"/>
      <c r="V776" s="34"/>
      <c r="W776" s="34"/>
      <c r="X776" s="34"/>
      <c r="Y776" s="34"/>
      <c r="Z776" s="34"/>
      <c r="AA776" s="34"/>
      <c r="AB776" s="34"/>
      <c r="AC776" s="34"/>
      <c r="AD776" s="34"/>
      <c r="AE776" s="34"/>
      <c r="AF776" s="34"/>
      <c r="AG776" s="34"/>
      <c r="AH776" s="34"/>
      <c r="AI776" s="34"/>
      <c r="AJ776" s="34"/>
      <c r="AK776" s="34"/>
      <c r="AL776" s="34"/>
      <c r="AM776" s="34"/>
      <c r="AN776" s="34"/>
      <c r="AO776" s="34"/>
      <c r="AP776" s="34"/>
      <c r="AQ776" s="34"/>
      <c r="AR776" s="34"/>
      <c r="AS776" s="34"/>
      <c r="AT776" s="34"/>
      <c r="AU776" s="34"/>
      <c r="AV776" s="34"/>
      <c r="AW776" s="34"/>
      <c r="AX776" s="34"/>
      <c r="AY776" s="34"/>
      <c r="AZ776" s="34"/>
      <c r="BA776" s="34"/>
      <c r="BB776" s="34"/>
      <c r="BC776" s="34"/>
      <c r="BD776" s="34"/>
      <c r="BE776" s="34"/>
      <c r="BF776" s="34"/>
      <c r="BG776" s="34"/>
      <c r="BH776" s="34"/>
      <c r="BI776" s="34"/>
      <c r="BJ776" s="34"/>
      <c r="BK776" s="34"/>
      <c r="BL776" s="34"/>
      <c r="BM776" s="34"/>
      <c r="BN776" s="34"/>
      <c r="BO776" s="34"/>
      <c r="BP776" s="34"/>
      <c r="BQ776" s="34"/>
      <c r="BR776" s="34"/>
      <c r="BS776" s="34"/>
      <c r="BT776" s="34"/>
      <c r="BU776" s="34"/>
      <c r="BV776" s="34"/>
      <c r="BW776" s="34"/>
      <c r="BX776" s="34"/>
      <c r="BY776" s="34"/>
      <c r="BZ776" s="34"/>
      <c r="CA776" s="34"/>
      <c r="CB776" s="34"/>
      <c r="CC776" s="34"/>
      <c r="CD776" s="34"/>
      <c r="CE776" s="34"/>
      <c r="CF776" s="34"/>
      <c r="CG776" s="34"/>
      <c r="CH776" s="34"/>
      <c r="CI776" s="8"/>
    </row>
    <row r="777" spans="1:87" x14ac:dyDescent="0.2">
      <c r="A777" s="11" t="s">
        <v>17</v>
      </c>
      <c r="B777" s="11"/>
      <c r="C777" s="27" t="s">
        <v>18</v>
      </c>
      <c r="D777" s="27" t="s">
        <v>2</v>
      </c>
      <c r="E777" s="27" t="s">
        <v>6</v>
      </c>
      <c r="F777" s="27" t="s">
        <v>15</v>
      </c>
      <c r="G777" s="27" t="s">
        <v>36</v>
      </c>
      <c r="H777" s="27" t="s">
        <v>37</v>
      </c>
      <c r="I777" s="27" t="s">
        <v>38</v>
      </c>
      <c r="J777" s="27" t="s">
        <v>39</v>
      </c>
      <c r="K777" s="27" t="s">
        <v>40</v>
      </c>
      <c r="L777" s="27" t="s">
        <v>41</v>
      </c>
      <c r="M777" s="27" t="s">
        <v>42</v>
      </c>
      <c r="N777" s="27" t="s">
        <v>43</v>
      </c>
      <c r="O777" s="27" t="s">
        <v>9</v>
      </c>
      <c r="P777" s="27" t="s">
        <v>12</v>
      </c>
      <c r="Q777" s="27" t="s">
        <v>19</v>
      </c>
      <c r="R777" s="27" t="s">
        <v>55</v>
      </c>
      <c r="S777" s="27" t="s">
        <v>26</v>
      </c>
      <c r="T777" s="19" t="s">
        <v>25</v>
      </c>
      <c r="U777" s="33" t="s">
        <v>27</v>
      </c>
      <c r="V777" s="33" t="s">
        <v>9</v>
      </c>
      <c r="W777" s="33" t="s">
        <v>23</v>
      </c>
      <c r="X777" s="33" t="s">
        <v>12</v>
      </c>
      <c r="Y777" s="33" t="s">
        <v>26</v>
      </c>
      <c r="Z777" s="33" t="s">
        <v>25</v>
      </c>
      <c r="AA777" s="33" t="s">
        <v>27</v>
      </c>
      <c r="AB777" s="33" t="s">
        <v>9</v>
      </c>
      <c r="AC777" s="33" t="s">
        <v>23</v>
      </c>
      <c r="AD777" s="33" t="s">
        <v>12</v>
      </c>
      <c r="AE777" s="33" t="s">
        <v>26</v>
      </c>
      <c r="AF777" s="33" t="s">
        <v>25</v>
      </c>
      <c r="AG777" s="33" t="s">
        <v>27</v>
      </c>
      <c r="AH777" s="33" t="s">
        <v>9</v>
      </c>
      <c r="AI777" s="33" t="s">
        <v>23</v>
      </c>
      <c r="AJ777" s="33" t="s">
        <v>12</v>
      </c>
      <c r="AK777" s="33" t="s">
        <v>26</v>
      </c>
      <c r="AL777" s="33" t="s">
        <v>25</v>
      </c>
      <c r="AM777" s="33" t="s">
        <v>27</v>
      </c>
      <c r="AN777" s="33" t="s">
        <v>9</v>
      </c>
      <c r="AO777" s="33" t="s">
        <v>23</v>
      </c>
      <c r="AP777" s="33" t="s">
        <v>12</v>
      </c>
      <c r="AQ777" s="33" t="s">
        <v>26</v>
      </c>
      <c r="AR777" s="33" t="s">
        <v>25</v>
      </c>
      <c r="AS777" s="33" t="s">
        <v>27</v>
      </c>
      <c r="AT777" s="33" t="s">
        <v>9</v>
      </c>
      <c r="AU777" s="33" t="s">
        <v>23</v>
      </c>
      <c r="AV777" s="33" t="s">
        <v>12</v>
      </c>
      <c r="AW777" s="33" t="s">
        <v>26</v>
      </c>
      <c r="AX777" s="33" t="s">
        <v>25</v>
      </c>
      <c r="AY777" s="33" t="s">
        <v>27</v>
      </c>
      <c r="AZ777" s="33" t="s">
        <v>9</v>
      </c>
      <c r="BA777" s="33" t="s">
        <v>23</v>
      </c>
      <c r="BB777" s="33" t="s">
        <v>12</v>
      </c>
      <c r="BC777" s="33" t="s">
        <v>26</v>
      </c>
      <c r="BD777" s="33" t="s">
        <v>25</v>
      </c>
      <c r="BE777" s="33" t="s">
        <v>27</v>
      </c>
      <c r="BF777" s="33" t="s">
        <v>9</v>
      </c>
      <c r="BG777" s="33" t="s">
        <v>23</v>
      </c>
      <c r="BH777" s="33" t="s">
        <v>12</v>
      </c>
      <c r="BI777" s="33" t="s">
        <v>26</v>
      </c>
      <c r="BJ777" s="33" t="s">
        <v>25</v>
      </c>
      <c r="BK777" s="33" t="s">
        <v>27</v>
      </c>
      <c r="BL777" s="33" t="s">
        <v>9</v>
      </c>
      <c r="BM777" s="33" t="s">
        <v>23</v>
      </c>
      <c r="BN777" s="33" t="s">
        <v>12</v>
      </c>
      <c r="BO777" s="33" t="s">
        <v>26</v>
      </c>
      <c r="BP777" s="33" t="s">
        <v>25</v>
      </c>
      <c r="BQ777" s="33" t="s">
        <v>27</v>
      </c>
      <c r="BR777" s="33" t="s">
        <v>9</v>
      </c>
      <c r="BS777" s="33" t="s">
        <v>23</v>
      </c>
      <c r="BT777" s="33" t="s">
        <v>12</v>
      </c>
      <c r="BU777" s="33" t="s">
        <v>26</v>
      </c>
      <c r="BV777" s="33" t="s">
        <v>25</v>
      </c>
      <c r="BW777" s="33" t="s">
        <v>27</v>
      </c>
      <c r="BX777" s="33" t="s">
        <v>9</v>
      </c>
      <c r="BY777" s="33" t="s">
        <v>23</v>
      </c>
      <c r="BZ777" s="33" t="s">
        <v>12</v>
      </c>
      <c r="CA777" s="33" t="s">
        <v>26</v>
      </c>
      <c r="CB777" s="33" t="s">
        <v>25</v>
      </c>
      <c r="CC777" s="33" t="s">
        <v>27</v>
      </c>
      <c r="CD777" s="33" t="s">
        <v>9</v>
      </c>
      <c r="CE777" s="33" t="s">
        <v>23</v>
      </c>
      <c r="CF777" s="33" t="s">
        <v>12</v>
      </c>
      <c r="CG777" s="33" t="s">
        <v>26</v>
      </c>
      <c r="CH777" s="33" t="s">
        <v>25</v>
      </c>
      <c r="CI777" s="8"/>
    </row>
    <row r="778" spans="1:87" x14ac:dyDescent="0.2">
      <c r="A778" s="8" t="str">
        <f>IF(AND(COUNTIF(W$3:W$13,A$15)&gt;0,A$15&lt;&gt;B546),A$15,IFERROR(IF(MATCH(A$15,Z$3:Z$13,0)=11,A$15," ")," "))</f>
        <v xml:space="preserve"> </v>
      </c>
      <c r="B778" s="8" t="str">
        <f>IF(A778=" "," ",1)</f>
        <v xml:space="preserve"> </v>
      </c>
      <c r="C778" s="8" t="str">
        <f>IFERROR(INDEX(A778:A799,MATCH(SMALL(B778:B799,1),B778:B799,0),1)," ")</f>
        <v>C3</v>
      </c>
      <c r="D778" s="8">
        <f>IFERROR(VLOOKUP($C778,$A$15:$O$36,2,FALSE)," ")</f>
        <v>2</v>
      </c>
      <c r="E778" s="8">
        <f>IFERROR(VLOOKUP($C778,$A$15:$O$36,3,FALSE)," ")</f>
        <v>5</v>
      </c>
      <c r="F778" s="8">
        <f>IFERROR(VLOOKUP($C778,$A$15:$O$36,4,FALSE)," ")</f>
        <v>6</v>
      </c>
      <c r="G778" s="8">
        <f>IFERROR(VLOOKUP($C778,$A$15:$O$36,5,FALSE)," ")</f>
        <v>0</v>
      </c>
      <c r="H778" s="8">
        <f>IFERROR(VLOOKUP($C778,$A$15:$O$36,6,FALSE)," ")</f>
        <v>0</v>
      </c>
      <c r="I778" s="8">
        <f>IFERROR(VLOOKUP($C778,$A$15:$O$36,7,FALSE)," ")</f>
        <v>0</v>
      </c>
      <c r="J778" s="8">
        <f>IFERROR(VLOOKUP($C778,$A$15:$O$36,8,FALSE)," ")</f>
        <v>0</v>
      </c>
      <c r="K778" s="8">
        <f>IFERROR(VLOOKUP($C778,$A$15:$O$36,9,FALSE)," ")</f>
        <v>0</v>
      </c>
      <c r="L778" s="8">
        <f>IFERROR(VLOOKUP($C778,$A$15:$O$36,10,FALSE)," ")</f>
        <v>0</v>
      </c>
      <c r="M778" s="8">
        <f>IFERROR(VLOOKUP($C778,$A$15:$O$36,11,FALSE)," ")</f>
        <v>0</v>
      </c>
      <c r="N778" s="8">
        <f>IFERROR(VLOOKUP($C778,$A$15:$O$36,12,FALSE)," ")</f>
        <v>0</v>
      </c>
      <c r="O778" s="8">
        <f>IFERROR(VLOOKUP($C778,$A$15:$O$36,15,FALSE)," ")</f>
        <v>2000</v>
      </c>
      <c r="P778" s="8">
        <f t="array" ref="P778:P788">MMULT(MINVERSE(D778:N788),O778:O788)</f>
        <v>400</v>
      </c>
      <c r="Q778" s="8">
        <f t="shared" ref="Q778" si="3187">IF(COUNTIF(P778:P788,"&lt;"&amp;-0.001)=0,IF(ABS(P778)&lt;0.001,0,P778)," ")</f>
        <v>400</v>
      </c>
      <c r="R778" s="8">
        <f>IFERROR(VLOOKUP(B546,A$15:L$36,2,FALSE)*Q778+VLOOKUP(B546,A$15:L$36,3,FALSE)*Q779+VLOOKUP(B546,A$15:L$36,4,FALSE)*Q780+VLOOKUP(B546,A$15:L$36,5,FALSE)*Q781+VLOOKUP(B546,A$15:L$36,6,FALSE)*Q782+VLOOKUP(B546,A$15:L$36,7,FALSE)*Q783+VLOOKUP(B546,A$15:L$36,8,FALSE)*Q784+VLOOKUP(B546,A$15:L$36,9,FALSE)*Q785+VLOOKUP(B546,A$15:L$36,10,FALSE)*Q786+VLOOKUP(B546,A$15:L$36,11,FALSE)*Q787+VLOOKUP(B546,A$15:L$36,12,FALSE)*Q788," ")</f>
        <v>240</v>
      </c>
      <c r="S778" s="8" t="str">
        <f>IFERROR(IF(R778-VLOOKUP(B546,A$15:O$36,15,FALSE)&lt;0,R778-VLOOKUP(B546,A$15:O$36,15,FALSE)," ")," ")</f>
        <v xml:space="preserve"> </v>
      </c>
      <c r="T778" s="18">
        <f>IFERROR(IF(R778-VLOOKUP(B546,A$15:O$36,15,FALSE)&gt;0,R778-VLOOKUP(B546,A$15:O$36,15,FALSE)," ")," ")</f>
        <v>240</v>
      </c>
      <c r="U778" s="34">
        <f t="shared" ref="U778" si="3188">$M$2</f>
        <v>100.00000000000001</v>
      </c>
      <c r="V778" s="34">
        <v>-1</v>
      </c>
      <c r="W778" s="34">
        <f t="shared" ref="W778" si="3189">-SUMPRODUCT($M$3:$M$12,$N$3:$N$12)</f>
        <v>-105000</v>
      </c>
      <c r="X778" s="34">
        <f t="shared" ref="X778" si="3190">IF(U778&lt;&gt;U779,MMULT(MINVERSE(U778:V779),W778:W779)," ")</f>
        <v>190</v>
      </c>
      <c r="Y778" s="34" t="str">
        <f t="shared" ref="Y778" si="3191">IFERROR(IF(X778-VLOOKUP(U$38,$A$2:$N$12,14,FALSE)&lt;0,X778-VLOOKUP(U$38,$A$2:$N$12,14,FALSE)," ")," ")</f>
        <v xml:space="preserve"> </v>
      </c>
      <c r="Z778" s="34">
        <f t="shared" ref="Z778" si="3192">IFERROR(IF(X778-VLOOKUP(U$38,$A$2:$N$12,14,FALSE)&gt;0,X778-VLOOKUP(U$38,$A$2:$N$12,14,FALSE)," ")," ")</f>
        <v>40</v>
      </c>
      <c r="AA778" s="34">
        <f t="shared" ref="AA778" si="3193">$M$3</f>
        <v>0</v>
      </c>
      <c r="AB778" s="34">
        <v>-1</v>
      </c>
      <c r="AC778" s="34">
        <f t="shared" ref="AC778" si="3194">-SUMPRODUCT($M$2:$M$2,$N$2:$N$2)-SUMPRODUCT($M$4:$M$12,$N$4:$N$12)</f>
        <v>-120000</v>
      </c>
      <c r="AD778" s="34">
        <f t="shared" ref="AD778" si="3195">IF(AA778&lt;&gt;AA779,MMULT(MINVERSE(AA778:AB779),AC778:AC779)," ")</f>
        <v>250</v>
      </c>
      <c r="AE778" s="34" t="str">
        <f t="shared" ref="AE778" si="3196">IFERROR(IF(AD778-VLOOKUP(AA$38,$A$2:$N$12,14,FALSE)&lt;0,AD778-VLOOKUP(AA$38,$A$2:$N$12,14,FALSE)," ")," ")</f>
        <v xml:space="preserve"> </v>
      </c>
      <c r="AF778" s="34">
        <f t="shared" ref="AF778" si="3197">IFERROR(IF(AD778-VLOOKUP(AA$38,$A$2:$N$12,14,FALSE)&gt;0,AD778-VLOOKUP(AA$38,$A$2:$N$12,14,FALSE)," ")," ")</f>
        <v>50</v>
      </c>
      <c r="AG778" s="34">
        <f t="shared" ref="AG778" si="3198">$M$4</f>
        <v>300</v>
      </c>
      <c r="AH778" s="34">
        <v>-1</v>
      </c>
      <c r="AI778" s="34">
        <f t="shared" ref="AI778" si="3199">-SUMPRODUCT($M$2:$M$3,$N$2:$N$3)-SUMPRODUCT($M$5:$M$12,$N$5:$N$12)</f>
        <v>-15000.000000000002</v>
      </c>
      <c r="AJ778" s="34">
        <f t="shared" ref="AJ778" si="3200">IF(AG778&lt;&gt;AG779,MMULT(MINVERSE(AG778:AH779),AI778:AI779)," ")</f>
        <v>310</v>
      </c>
      <c r="AK778" s="34">
        <f t="shared" ref="AK778" si="3201">IFERROR(IF(AJ778-VLOOKUP(AG$38,$A$2:$N$12,14,FALSE)&lt;0,AJ778-VLOOKUP(AG$38,$A$2:$N$12,14,FALSE)," ")," ")</f>
        <v>-40</v>
      </c>
      <c r="AL778" s="34" t="str">
        <f t="shared" ref="AL778" si="3202">IFERROR(IF(AJ778-VLOOKUP(AG$38,$A$2:$N$12,14,FALSE)&gt;0,AJ778-VLOOKUP(AG$38,$A$2:$N$12,14,FALSE)," ")," ")</f>
        <v xml:space="preserve"> </v>
      </c>
      <c r="AM778" s="34">
        <f t="shared" ref="AM778" si="3203">$M$5</f>
        <v>0</v>
      </c>
      <c r="AN778" s="34">
        <v>-1</v>
      </c>
      <c r="AO778" s="34">
        <f t="shared" ref="AO778" si="3204">-SUMPRODUCT($M$2:$M$4,$N$2:$N$4)-SUMPRODUCT($M$6:$M$12,$N$6:$N$12)</f>
        <v>-120000</v>
      </c>
      <c r="AP778" s="34" t="str">
        <f t="shared" ref="AP778" si="3205">IF(AM778&lt;&gt;AM779,MMULT(MINVERSE(AM778:AN779),AO778:AO779)," ")</f>
        <v xml:space="preserve"> </v>
      </c>
      <c r="AQ778" s="34" t="str">
        <f t="shared" ref="AQ778" si="3206">IFERROR(IF(AP778-VLOOKUP(AM$38,$A$2:$N$12,14,FALSE)&lt;0,AP778-VLOOKUP(AM$38,$A$2:$N$12,14,FALSE)," ")," ")</f>
        <v xml:space="preserve"> </v>
      </c>
      <c r="AR778" s="34" t="str">
        <f t="shared" ref="AR778" si="3207">IFERROR(IF(AP778-VLOOKUP(AM$38,$A$2:$N$12,14,FALSE)&gt;0,AP778-VLOOKUP(AM$38,$A$2:$N$12,14,FALSE)," ")," ")</f>
        <v xml:space="preserve"> </v>
      </c>
      <c r="AS778" s="34">
        <f t="shared" ref="AS778" si="3208">$M$6</f>
        <v>0</v>
      </c>
      <c r="AT778" s="34">
        <v>-1</v>
      </c>
      <c r="AU778" s="34">
        <f t="shared" ref="AU778" si="3209">-SUMPRODUCT($M$2:$M$5,$N$2:$N$5)-SUMPRODUCT($M$7:$M$12,$N$7:$N$12)</f>
        <v>-120000</v>
      </c>
      <c r="AV778" s="34" t="str">
        <f t="shared" ref="AV778" si="3210">IF(AS778&lt;&gt;AS779,MMULT(MINVERSE(AS778:AT779),AU778:AU779)," ")</f>
        <v xml:space="preserve"> </v>
      </c>
      <c r="AW778" s="34" t="str">
        <f t="shared" ref="AW778" si="3211">IFERROR(IF(AV778-VLOOKUP(AS$38,$A$2:$N$12,14,FALSE)&lt;0,AV778-VLOOKUP(AS$38,$A$2:$N$12,14,FALSE)," ")," ")</f>
        <v xml:space="preserve"> </v>
      </c>
      <c r="AX778" s="34" t="str">
        <f t="shared" ref="AX778" si="3212">IFERROR(IF(AV778-VLOOKUP(AS$38,$A$2:$N$12,14,FALSE)&gt;0,AV778-VLOOKUP(AS$38,$A$2:$N$12,14,FALSE)," ")," ")</f>
        <v xml:space="preserve"> </v>
      </c>
      <c r="AY778" s="34">
        <f t="shared" ref="AY778" si="3213">$M$7</f>
        <v>0</v>
      </c>
      <c r="AZ778" s="34">
        <v>-1</v>
      </c>
      <c r="BA778" s="34">
        <f t="shared" ref="BA778" si="3214">-SUMPRODUCT($M$2:$M$6,$N$2:$N$6)-SUMPRODUCT($M$8:$M$12,$N$8:$N$12)</f>
        <v>-120000</v>
      </c>
      <c r="BB778" s="34" t="str">
        <f t="shared" ref="BB778" si="3215">IF(AY778&lt;&gt;AY779,MMULT(MINVERSE(AY778:AZ779),BA778:BA779)," ")</f>
        <v xml:space="preserve"> </v>
      </c>
      <c r="BC778" s="34" t="str">
        <f t="shared" ref="BC778" si="3216">IFERROR(IF(BB778-VLOOKUP(AY$38,$A$2:$N$12,14,FALSE)&lt;0,BB778-VLOOKUP(AY$38,$A$2:$N$12,14,FALSE)," ")," ")</f>
        <v xml:space="preserve"> </v>
      </c>
      <c r="BD778" s="34" t="str">
        <f t="shared" ref="BD778" si="3217">IFERROR(IF(BB778-VLOOKUP(AY$38,$A$2:$N$12,14,FALSE)&gt;0,BB778-VLOOKUP(AY$38,$A$2:$N$12,14,FALSE)," ")," ")</f>
        <v xml:space="preserve"> </v>
      </c>
      <c r="BE778" s="34">
        <f t="shared" ref="BE778" si="3218">$M$8</f>
        <v>0</v>
      </c>
      <c r="BF778" s="34">
        <v>-1</v>
      </c>
      <c r="BG778" s="34">
        <f t="shared" ref="BG778" si="3219">-SUMPRODUCT($M$2:$M$7,$N$2:$N$7)-SUMPRODUCT($M$9:$M$12,$N$9:$N$12)</f>
        <v>-120000</v>
      </c>
      <c r="BH778" s="34" t="str">
        <f t="shared" ref="BH778" si="3220">IF(BE778&lt;&gt;BE779,MMULT(MINVERSE(BE778:BF779),BG778:BG779)," ")</f>
        <v xml:space="preserve"> </v>
      </c>
      <c r="BI778" s="34" t="str">
        <f t="shared" ref="BI778" si="3221">IFERROR(IF(BH778-VLOOKUP(BE$38,$A$2:$N$12,14,FALSE)&lt;0,BH778-VLOOKUP(BE$38,$A$2:$N$12,14,FALSE)," ")," ")</f>
        <v xml:space="preserve"> </v>
      </c>
      <c r="BJ778" s="34" t="str">
        <f t="shared" ref="BJ778" si="3222">IFERROR(IF(BH778-VLOOKUP(BE$38,$A$2:$N$12,14,FALSE)&gt;0,BH778-VLOOKUP(BE$38,$A$2:$N$12,14,FALSE)," ")," ")</f>
        <v xml:space="preserve"> </v>
      </c>
      <c r="BK778" s="34">
        <f t="shared" ref="BK778" si="3223">$M$9</f>
        <v>0</v>
      </c>
      <c r="BL778" s="34">
        <v>-1</v>
      </c>
      <c r="BM778" s="34">
        <f t="shared" ref="BM778" si="3224">-SUMPRODUCT($M$2:$M$8,$N$2:$N$8)-SUMPRODUCT($M$10:$M$12,$N$10:$N$12)</f>
        <v>-120000</v>
      </c>
      <c r="BN778" s="34" t="str">
        <f t="shared" ref="BN778" si="3225">IF(BK778&lt;&gt;BK779,MMULT(MINVERSE(BK778:BL779),BM778:BM779)," ")</f>
        <v xml:space="preserve"> </v>
      </c>
      <c r="BO778" s="34" t="str">
        <f t="shared" ref="BO778" si="3226">IFERROR(IF(BN778-VLOOKUP(BK$38,$A$2:$N$12,14,FALSE)&lt;0,BN778-VLOOKUP(BK$38,$A$2:$N$12,14,FALSE)," ")," ")</f>
        <v xml:space="preserve"> </v>
      </c>
      <c r="BP778" s="34" t="str">
        <f t="shared" ref="BP778" si="3227">IFERROR(IF(BN778-VLOOKUP(BK$38,$A$2:$N$12,14,FALSE)&gt;0,BN778-VLOOKUP(BK$38,$A$2:$N$12,14,FALSE)," ")," ")</f>
        <v xml:space="preserve"> </v>
      </c>
      <c r="BQ778" s="34">
        <f t="shared" ref="BQ778" si="3228">$M$10</f>
        <v>0</v>
      </c>
      <c r="BR778" s="34">
        <v>-1</v>
      </c>
      <c r="BS778" s="34">
        <f t="shared" ref="BS778" si="3229">-SUMPRODUCT($M$2:$M$9,$N$2:$N$9)-SUMPRODUCT($M$11:$M$12,$N$11:$N$12)</f>
        <v>-120000</v>
      </c>
      <c r="BT778" s="34" t="str">
        <f t="shared" ref="BT778" si="3230">IF(BQ778&lt;&gt;BQ779,MMULT(MINVERSE(BQ778:BR779),BS778:BS779)," ")</f>
        <v xml:space="preserve"> </v>
      </c>
      <c r="BU778" s="34" t="str">
        <f t="shared" ref="BU778" si="3231">IFERROR(IF(BT778-VLOOKUP(BQ$38,$A$2:$N$12,14,FALSE)&lt;0,BT778-VLOOKUP(BQ$38,$A$2:$N$12,14,FALSE)," ")," ")</f>
        <v xml:space="preserve"> </v>
      </c>
      <c r="BV778" s="34" t="str">
        <f t="shared" ref="BV778" si="3232">IFERROR(IF(BT778-VLOOKUP(BQ$38,$A$2:$N$12,14,FALSE)&gt;0,BT778-VLOOKUP(BQ$38,$A$2:$N$12,14,FALSE)," ")," ")</f>
        <v xml:space="preserve"> </v>
      </c>
      <c r="BW778" s="34">
        <f t="shared" ref="BW778" si="3233">$M$11</f>
        <v>0</v>
      </c>
      <c r="BX778" s="34">
        <v>-1</v>
      </c>
      <c r="BY778" s="34">
        <f t="shared" ref="BY778" si="3234">-SUMPRODUCT($M$2:$M$10,$N$2:$N$10)-SUMPRODUCT($M$12,$N$12)</f>
        <v>-120000</v>
      </c>
      <c r="BZ778" s="34" t="str">
        <f t="shared" ref="BZ778" si="3235">IF(BW778&lt;&gt;BW779,MMULT(MINVERSE(BW778:BX779),BY778:BY779)," ")</f>
        <v xml:space="preserve"> </v>
      </c>
      <c r="CA778" s="34" t="str">
        <f t="shared" ref="CA778" si="3236">IFERROR(IF(BZ778-VLOOKUP(BW$38,$A$2:$N$12,14,FALSE)&lt;0,BZ778-VLOOKUP(BW$38,$A$2:$N$12,14,FALSE)," ")," ")</f>
        <v xml:space="preserve"> </v>
      </c>
      <c r="CB778" s="34" t="str">
        <f t="shared" ref="CB778" si="3237">IFERROR(IF(BZ778-VLOOKUP(BW$38,$A$2:$N$12,14,FALSE)&gt;0,BZ778-VLOOKUP(BW$38,$A$2:$N$12,14,FALSE)," ")," ")</f>
        <v xml:space="preserve"> </v>
      </c>
      <c r="CC778" s="34">
        <f t="shared" ref="CC778" si="3238">$M$12</f>
        <v>0</v>
      </c>
      <c r="CD778" s="34">
        <v>-1</v>
      </c>
      <c r="CE778" s="34">
        <f t="shared" ref="CE778" si="3239">-SUMPRODUCT($M$2:$M$11,$N$2:$N$11)</f>
        <v>-120000</v>
      </c>
      <c r="CF778" s="34" t="str">
        <f t="shared" ref="CF778" si="3240">IF(CC778&lt;&gt;CC779,MMULT(MINVERSE(CC778:CD779),CE778:CE779)," ")</f>
        <v xml:space="preserve"> </v>
      </c>
      <c r="CG778" s="34" t="str">
        <f t="shared" ref="CG778" si="3241">IFERROR(IF(CF778-VLOOKUP(CC$38,$A$2:$N$12,14,FALSE)&lt;0,CF778-VLOOKUP(CC$38,$A$2:$N$12,14,FALSE)," ")," ")</f>
        <v xml:space="preserve"> </v>
      </c>
      <c r="CH778" s="34" t="str">
        <f t="shared" ref="CH778" si="3242">IFERROR(IF(CF778-VLOOKUP(CC$38,$A$2:$N$12,14,FALSE)&gt;0,CF778-VLOOKUP(CC$38,$A$2:$N$12,14,FALSE)," ")," ")</f>
        <v xml:space="preserve"> </v>
      </c>
      <c r="CI778" s="8"/>
    </row>
    <row r="779" spans="1:87" x14ac:dyDescent="0.2">
      <c r="A779" s="8" t="str">
        <f>IF(AND(COUNTIF(W$3:W$13,A$16)&gt;0,A$16&lt;&gt;B546),A$16,IFERROR(IF(MATCH(A$16,Z$3:Z$13,0)=11,A$16," ")," "))</f>
        <v xml:space="preserve"> </v>
      </c>
      <c r="B779" s="8" t="str">
        <f>IF(A779=" "," ",MAX(B778:B778)+1)</f>
        <v xml:space="preserve"> </v>
      </c>
      <c r="C779" s="8" t="str">
        <f>IFERROR(INDEX(A778:A799,MATCH(SMALL(B778:B799,2),B778:B799,0),1)," ")</f>
        <v>C4</v>
      </c>
      <c r="D779" s="8">
        <f t="shared" ref="D779:D788" si="3243">IFERROR(VLOOKUP($C779,$A$15:$O$36,2,FALSE)," ")</f>
        <v>1</v>
      </c>
      <c r="E779" s="8">
        <f t="shared" ref="E779:E788" si="3244">IFERROR(VLOOKUP($C779,$A$15:$O$36,3,FALSE)," ")</f>
        <v>0</v>
      </c>
      <c r="F779" s="8">
        <f t="shared" ref="F779:F788" si="3245">IFERROR(VLOOKUP($C779,$A$15:$O$36,4,FALSE)," ")</f>
        <v>1</v>
      </c>
      <c r="G779" s="8">
        <f t="shared" ref="G779:G788" si="3246">IFERROR(VLOOKUP($C779,$A$15:$O$36,5,FALSE)," ")</f>
        <v>0</v>
      </c>
      <c r="H779" s="8">
        <f t="shared" ref="H779:H788" si="3247">IFERROR(VLOOKUP($C779,$A$15:$O$36,6,FALSE)," ")</f>
        <v>0</v>
      </c>
      <c r="I779" s="8">
        <f t="shared" ref="I779:I788" si="3248">IFERROR(VLOOKUP($C779,$A$15:$O$36,7,FALSE)," ")</f>
        <v>0</v>
      </c>
      <c r="J779" s="8">
        <f t="shared" ref="J779:J788" si="3249">IFERROR(VLOOKUP($C779,$A$15:$O$36,8,FALSE)," ")</f>
        <v>0</v>
      </c>
      <c r="K779" s="8">
        <f t="shared" ref="K779:K788" si="3250">IFERROR(VLOOKUP($C779,$A$15:$O$36,9,FALSE)," ")</f>
        <v>0</v>
      </c>
      <c r="L779" s="8">
        <f t="shared" ref="L779:L788" si="3251">IFERROR(VLOOKUP($C779,$A$15:$O$36,10,FALSE)," ")</f>
        <v>0</v>
      </c>
      <c r="M779" s="8">
        <f t="shared" ref="M779:M788" si="3252">IFERROR(VLOOKUP($C779,$A$15:$O$36,11,FALSE)," ")</f>
        <v>0</v>
      </c>
      <c r="N779" s="8">
        <f t="shared" ref="N779:N788" si="3253">IFERROR(VLOOKUP($C779,$A$15:$O$36,12,FALSE)," ")</f>
        <v>0</v>
      </c>
      <c r="O779" s="8">
        <f t="shared" ref="O779:O788" si="3254">IFERROR(VLOOKUP($C779,$A$15:$O$36,15,FALSE)," ")</f>
        <v>400</v>
      </c>
      <c r="P779" s="8">
        <v>240</v>
      </c>
      <c r="Q779" s="8">
        <f t="shared" ref="Q779" si="3255">IF(COUNTIF(P778:P788,"&lt;"&amp;-0.001)=0,IF(ABS(P779)&lt;0.001,0,P779)," ")</f>
        <v>240</v>
      </c>
      <c r="R779" s="8"/>
      <c r="S779" s="8"/>
      <c r="U779" s="34">
        <f t="shared" ref="U779" si="3256">$Q778</f>
        <v>400</v>
      </c>
      <c r="V779" s="34">
        <v>-1</v>
      </c>
      <c r="W779" s="34">
        <f t="shared" ref="W779" si="3257">-SUMPRODUCT($Q779:$Q788,$N$3:$N$12)</f>
        <v>-48000</v>
      </c>
      <c r="X779" s="34"/>
      <c r="Y779" s="34"/>
      <c r="Z779" s="34"/>
      <c r="AA779" s="34">
        <f t="shared" ref="AA779" si="3258">$Q779</f>
        <v>240</v>
      </c>
      <c r="AB779" s="34">
        <v>-1</v>
      </c>
      <c r="AC779" s="34">
        <f t="shared" ref="AC779" si="3259">-SUMPRODUCT($Q778:$Q778,$N$2:$N$2)-SUMPRODUCT($Q780:$Q788,$N$4:$N$12)</f>
        <v>-60000</v>
      </c>
      <c r="AD779" s="34"/>
      <c r="AE779" s="34"/>
      <c r="AF779" s="34"/>
      <c r="AG779" s="34">
        <f t="shared" ref="AG779" si="3260">$Q780</f>
        <v>0</v>
      </c>
      <c r="AH779" s="34">
        <v>-1</v>
      </c>
      <c r="AI779" s="34">
        <f t="shared" ref="AI779" si="3261">-SUMPRODUCT($Q778:$Q779,$N$2:$N$3)-SUMPRODUCT($Q781:$Q788,$N$5:$N$12)</f>
        <v>-108000</v>
      </c>
      <c r="AJ779" s="34"/>
      <c r="AK779" s="34"/>
      <c r="AL779" s="34"/>
      <c r="AM779" s="34">
        <f t="shared" ref="AM779" si="3262">$Q781</f>
        <v>0</v>
      </c>
      <c r="AN779" s="34">
        <v>-1</v>
      </c>
      <c r="AO779" s="34">
        <f t="shared" ref="AO779" si="3263">-SUMPRODUCT($Q778:$Q780,$N$2:$N$4)-SUMPRODUCT($Q782:$Q788,$N$6:$N$12)</f>
        <v>-108000</v>
      </c>
      <c r="AP779" s="34"/>
      <c r="AQ779" s="34"/>
      <c r="AR779" s="34"/>
      <c r="AS779" s="34">
        <f t="shared" ref="AS779" si="3264">$Q782</f>
        <v>0</v>
      </c>
      <c r="AT779" s="34">
        <v>-1</v>
      </c>
      <c r="AU779" s="34">
        <f t="shared" ref="AU779" si="3265">-SUMPRODUCT($Q778:$Q781,$N$2:$N$5)-SUMPRODUCT($Q783:$Q788,$N$7:$N$12)</f>
        <v>-108000</v>
      </c>
      <c r="AV779" s="34"/>
      <c r="AW779" s="34"/>
      <c r="AX779" s="34"/>
      <c r="AY779" s="34">
        <f t="shared" ref="AY779" si="3266">$Q783</f>
        <v>0</v>
      </c>
      <c r="AZ779" s="34">
        <v>-1</v>
      </c>
      <c r="BA779" s="34">
        <f t="shared" ref="BA779" si="3267">-SUMPRODUCT($Q778:$Q782,$N$2:$N$6)-SUMPRODUCT($Q784:$Q788,$N$8:$N$12)</f>
        <v>-108000</v>
      </c>
      <c r="BB779" s="34"/>
      <c r="BC779" s="34"/>
      <c r="BD779" s="34"/>
      <c r="BE779" s="34">
        <f t="shared" ref="BE779" si="3268">$Q784</f>
        <v>0</v>
      </c>
      <c r="BF779" s="34">
        <v>-1</v>
      </c>
      <c r="BG779" s="34">
        <f t="shared" ref="BG779" si="3269">-SUMPRODUCT($Q778:$Q783,$N$2:$N$7)-SUMPRODUCT($Q785:$Q788,$N$9:$N$12)</f>
        <v>-108000</v>
      </c>
      <c r="BH779" s="34"/>
      <c r="BI779" s="34"/>
      <c r="BJ779" s="34"/>
      <c r="BK779" s="34">
        <f t="shared" ref="BK779" si="3270">$Q785</f>
        <v>0</v>
      </c>
      <c r="BL779" s="34">
        <v>-1</v>
      </c>
      <c r="BM779" s="34">
        <f t="shared" ref="BM779" si="3271">-SUMPRODUCT($Q778:$Q784,$N$2:$N$8)-SUMPRODUCT($Q786:$Q788,$N$10:$N$12)</f>
        <v>-108000</v>
      </c>
      <c r="BN779" s="34"/>
      <c r="BO779" s="34"/>
      <c r="BP779" s="34"/>
      <c r="BQ779" s="34">
        <f t="shared" ref="BQ779" si="3272">$Q786</f>
        <v>0</v>
      </c>
      <c r="BR779" s="34">
        <v>-1</v>
      </c>
      <c r="BS779" s="34">
        <f t="shared" ref="BS779" si="3273">-SUMPRODUCT($Q778:$Q785,$N$2:$N$9)-SUMPRODUCT($Q787:$Q788,$N$11:$N$12)</f>
        <v>-108000</v>
      </c>
      <c r="BT779" s="34"/>
      <c r="BU779" s="34"/>
      <c r="BV779" s="34"/>
      <c r="BW779" s="34">
        <f t="shared" ref="BW779" si="3274">$Q787</f>
        <v>0</v>
      </c>
      <c r="BX779" s="34">
        <v>-1</v>
      </c>
      <c r="BY779" s="34">
        <f t="shared" ref="BY779" si="3275">-SUMPRODUCT($Q778:$Q786,$N$2:$N$10)-SUMPRODUCT($Q788,$N$12)</f>
        <v>-108000</v>
      </c>
      <c r="BZ779" s="34"/>
      <c r="CA779" s="34"/>
      <c r="CB779" s="34"/>
      <c r="CC779" s="34">
        <f t="shared" ref="CC779" si="3276">$Q788</f>
        <v>0</v>
      </c>
      <c r="CD779" s="34">
        <v>-1</v>
      </c>
      <c r="CE779" s="34">
        <f t="shared" ref="CE779" si="3277">-SUMPRODUCT($Q778:$Q787,$N$2:$N$11)</f>
        <v>-108000</v>
      </c>
      <c r="CF779" s="34"/>
      <c r="CG779" s="34"/>
      <c r="CH779" s="34"/>
      <c r="CI779" s="8"/>
    </row>
    <row r="780" spans="1:87" x14ac:dyDescent="0.2">
      <c r="A780" s="8" t="str">
        <f>IF(AND(COUNTIF(W$3:W$13,A$17)&gt;0,A$17&lt;&gt;B546),A$17,IFERROR(IF(MATCH(A$17,Z$3:Z$13,0)=11,A$17," ")," "))</f>
        <v>C3</v>
      </c>
      <c r="B780" s="8">
        <f>IF(A780=" "," ",MAX(B778:B779)+1)</f>
        <v>1</v>
      </c>
      <c r="C780" s="8" t="str">
        <f>IFERROR(INDEX(A778:A799,MATCH(SMALL(B778:B799,3),B778:B799,0),1)," ")</f>
        <v>C14</v>
      </c>
      <c r="D780" s="8">
        <f t="shared" si="3243"/>
        <v>0</v>
      </c>
      <c r="E780" s="8">
        <f t="shared" si="3244"/>
        <v>0</v>
      </c>
      <c r="F780" s="8">
        <f t="shared" si="3245"/>
        <v>1</v>
      </c>
      <c r="G780" s="8">
        <f t="shared" si="3246"/>
        <v>0</v>
      </c>
      <c r="H780" s="8">
        <f t="shared" si="3247"/>
        <v>0</v>
      </c>
      <c r="I780" s="8">
        <f t="shared" si="3248"/>
        <v>0</v>
      </c>
      <c r="J780" s="8">
        <f t="shared" si="3249"/>
        <v>0</v>
      </c>
      <c r="K780" s="8">
        <f t="shared" si="3250"/>
        <v>0</v>
      </c>
      <c r="L780" s="8">
        <f t="shared" si="3251"/>
        <v>0</v>
      </c>
      <c r="M780" s="8">
        <f t="shared" si="3252"/>
        <v>0</v>
      </c>
      <c r="N780" s="8">
        <f t="shared" si="3253"/>
        <v>0</v>
      </c>
      <c r="O780" s="8">
        <f t="shared" si="3254"/>
        <v>0</v>
      </c>
      <c r="P780" s="8">
        <v>0</v>
      </c>
      <c r="Q780" s="8">
        <f t="shared" ref="Q780" si="3278">IF(COUNTIF(P778:P788,"&lt;"&amp;-0.001)=0,IF(ABS(P780)&lt;0.001,0,P780)," ")</f>
        <v>0</v>
      </c>
      <c r="R780" s="8"/>
      <c r="S780" s="8"/>
      <c r="U780" s="34"/>
      <c r="V780" s="34"/>
      <c r="W780" s="34"/>
      <c r="X780" s="34"/>
      <c r="Y780" s="34"/>
      <c r="Z780" s="34"/>
      <c r="AA780" s="34"/>
      <c r="AB780" s="34"/>
      <c r="AC780" s="34"/>
      <c r="AD780" s="34"/>
      <c r="AE780" s="34"/>
      <c r="AF780" s="34"/>
      <c r="AG780" s="34"/>
      <c r="AH780" s="34"/>
      <c r="AI780" s="34"/>
      <c r="AJ780" s="34"/>
      <c r="AK780" s="34"/>
      <c r="AL780" s="34"/>
      <c r="AM780" s="34"/>
      <c r="AN780" s="34"/>
      <c r="AO780" s="34"/>
      <c r="AP780" s="34"/>
      <c r="AQ780" s="34"/>
      <c r="AR780" s="34"/>
      <c r="AS780" s="34"/>
      <c r="AT780" s="34"/>
      <c r="AU780" s="34"/>
      <c r="AV780" s="34"/>
      <c r="AW780" s="34"/>
      <c r="AX780" s="34"/>
      <c r="AY780" s="34"/>
      <c r="AZ780" s="34"/>
      <c r="BA780" s="34"/>
      <c r="BB780" s="34"/>
      <c r="BC780" s="34"/>
      <c r="BD780" s="34"/>
      <c r="BE780" s="34"/>
      <c r="BF780" s="34"/>
      <c r="BG780" s="34"/>
      <c r="BH780" s="34"/>
      <c r="BI780" s="34"/>
      <c r="BJ780" s="34"/>
      <c r="BK780" s="34"/>
      <c r="BL780" s="34"/>
      <c r="BM780" s="34"/>
      <c r="BN780" s="34"/>
      <c r="BO780" s="34"/>
      <c r="BP780" s="34"/>
      <c r="BQ780" s="34"/>
      <c r="BR780" s="34"/>
      <c r="BS780" s="34"/>
      <c r="BT780" s="34"/>
      <c r="BU780" s="34"/>
      <c r="BV780" s="34"/>
      <c r="BW780" s="34"/>
      <c r="BX780" s="34"/>
      <c r="BY780" s="34"/>
      <c r="BZ780" s="34"/>
      <c r="CA780" s="34"/>
      <c r="CB780" s="34"/>
      <c r="CC780" s="34"/>
      <c r="CD780" s="34"/>
      <c r="CE780" s="34"/>
      <c r="CF780" s="34"/>
      <c r="CG780" s="34"/>
      <c r="CH780" s="34"/>
      <c r="CI780" s="8"/>
    </row>
    <row r="781" spans="1:87" x14ac:dyDescent="0.2">
      <c r="A781" s="8" t="str">
        <f>IF(AND(COUNTIF(W$3:W$13,A$18)&gt;0,A$18&lt;&gt;B546),A$18,IFERROR(IF(MATCH(A$18,Z$3:Z$13,0)=11,A$18," ")," "))</f>
        <v>C4</v>
      </c>
      <c r="B781" s="8">
        <f>IF(A781=" "," ",MAX(B778:B780)+1)</f>
        <v>2</v>
      </c>
      <c r="C781" s="8" t="str">
        <f>IFERROR(INDEX(A778:A799,MATCH(SMALL(B778:B799,4),B778:B799,0),1)," ")</f>
        <v>C15</v>
      </c>
      <c r="D781" s="8">
        <f t="shared" si="3243"/>
        <v>0</v>
      </c>
      <c r="E781" s="8">
        <f t="shared" si="3244"/>
        <v>0</v>
      </c>
      <c r="F781" s="8">
        <f t="shared" si="3245"/>
        <v>0</v>
      </c>
      <c r="G781" s="8">
        <f t="shared" si="3246"/>
        <v>1</v>
      </c>
      <c r="H781" s="8">
        <f t="shared" si="3247"/>
        <v>0</v>
      </c>
      <c r="I781" s="8">
        <f t="shared" si="3248"/>
        <v>0</v>
      </c>
      <c r="J781" s="8">
        <f t="shared" si="3249"/>
        <v>0</v>
      </c>
      <c r="K781" s="8">
        <f t="shared" si="3250"/>
        <v>0</v>
      </c>
      <c r="L781" s="8">
        <f t="shared" si="3251"/>
        <v>0</v>
      </c>
      <c r="M781" s="8">
        <f t="shared" si="3252"/>
        <v>0</v>
      </c>
      <c r="N781" s="8">
        <f t="shared" si="3253"/>
        <v>0</v>
      </c>
      <c r="O781" s="8">
        <f t="shared" si="3254"/>
        <v>0</v>
      </c>
      <c r="P781" s="8">
        <v>0</v>
      </c>
      <c r="Q781" s="8">
        <f t="shared" ref="Q781" si="3279">IF(COUNTIF(P778:P788,"&lt;"&amp;-0.001)=0,IF(ABS(P781)&lt;0.001,0,P781)," ")</f>
        <v>0</v>
      </c>
      <c r="R781" s="8"/>
      <c r="S781" s="8"/>
      <c r="U781" s="34"/>
      <c r="V781" s="34"/>
      <c r="W781" s="34"/>
      <c r="X781" s="34"/>
      <c r="Y781" s="34"/>
      <c r="Z781" s="34"/>
      <c r="AA781" s="34"/>
      <c r="AB781" s="34"/>
      <c r="AC781" s="34"/>
      <c r="AD781" s="34"/>
      <c r="AE781" s="34"/>
      <c r="AF781" s="34"/>
      <c r="AG781" s="34"/>
      <c r="AH781" s="34"/>
      <c r="AI781" s="34"/>
      <c r="AJ781" s="34"/>
      <c r="AK781" s="34"/>
      <c r="AL781" s="34"/>
      <c r="AM781" s="34"/>
      <c r="AN781" s="34"/>
      <c r="AO781" s="34"/>
      <c r="AP781" s="34"/>
      <c r="AQ781" s="34"/>
      <c r="AR781" s="34"/>
      <c r="AS781" s="34"/>
      <c r="AT781" s="34"/>
      <c r="AU781" s="34"/>
      <c r="AV781" s="34"/>
      <c r="AW781" s="34"/>
      <c r="AX781" s="34"/>
      <c r="AY781" s="34"/>
      <c r="AZ781" s="34"/>
      <c r="BA781" s="34"/>
      <c r="BB781" s="34"/>
      <c r="BC781" s="34"/>
      <c r="BD781" s="34"/>
      <c r="BE781" s="34"/>
      <c r="BF781" s="34"/>
      <c r="BG781" s="34"/>
      <c r="BH781" s="34"/>
      <c r="BI781" s="34"/>
      <c r="BJ781" s="34"/>
      <c r="BK781" s="34"/>
      <c r="BL781" s="34"/>
      <c r="BM781" s="34"/>
      <c r="BN781" s="34"/>
      <c r="BO781" s="34"/>
      <c r="BP781" s="34"/>
      <c r="BQ781" s="34"/>
      <c r="BR781" s="34"/>
      <c r="BS781" s="34"/>
      <c r="BT781" s="34"/>
      <c r="BU781" s="34"/>
      <c r="BV781" s="34"/>
      <c r="BW781" s="34"/>
      <c r="BX781" s="34"/>
      <c r="BY781" s="34"/>
      <c r="BZ781" s="34"/>
      <c r="CA781" s="34"/>
      <c r="CB781" s="34"/>
      <c r="CC781" s="34"/>
      <c r="CD781" s="34"/>
      <c r="CE781" s="34"/>
      <c r="CF781" s="34"/>
      <c r="CG781" s="34"/>
      <c r="CH781" s="34"/>
      <c r="CI781" s="8"/>
    </row>
    <row r="782" spans="1:87" x14ac:dyDescent="0.2">
      <c r="A782" s="8" t="str">
        <f>IF(AND(COUNTIF(W$3:W$13,A$19)&gt;0,A$19&lt;&gt;B546),A$19,IFERROR(IF(MATCH(A$19,Z$3:Z$13,0)=11,A$19," ")," "))</f>
        <v xml:space="preserve"> </v>
      </c>
      <c r="B782" s="8" t="str">
        <f>IF(A782=" "," ",MAX(B778:B781)+1)</f>
        <v xml:space="preserve"> </v>
      </c>
      <c r="C782" s="8" t="str">
        <f>IFERROR(INDEX(A778:A799,MATCH(SMALL(B778:B799,5),B778:B799,0),1)," ")</f>
        <v>C16</v>
      </c>
      <c r="D782" s="8">
        <f t="shared" si="3243"/>
        <v>0</v>
      </c>
      <c r="E782" s="8">
        <f t="shared" si="3244"/>
        <v>0</v>
      </c>
      <c r="F782" s="8">
        <f t="shared" si="3245"/>
        <v>0</v>
      </c>
      <c r="G782" s="8">
        <f t="shared" si="3246"/>
        <v>0</v>
      </c>
      <c r="H782" s="8">
        <f t="shared" si="3247"/>
        <v>1</v>
      </c>
      <c r="I782" s="8">
        <f t="shared" si="3248"/>
        <v>0</v>
      </c>
      <c r="J782" s="8">
        <f t="shared" si="3249"/>
        <v>0</v>
      </c>
      <c r="K782" s="8">
        <f t="shared" si="3250"/>
        <v>0</v>
      </c>
      <c r="L782" s="8">
        <f t="shared" si="3251"/>
        <v>0</v>
      </c>
      <c r="M782" s="8">
        <f t="shared" si="3252"/>
        <v>0</v>
      </c>
      <c r="N782" s="8">
        <f t="shared" si="3253"/>
        <v>0</v>
      </c>
      <c r="O782" s="8">
        <f t="shared" si="3254"/>
        <v>0</v>
      </c>
      <c r="P782" s="8">
        <v>0</v>
      </c>
      <c r="Q782" s="8">
        <f t="shared" ref="Q782" si="3280">IF(COUNTIF(P778:P788,"&lt;"&amp;-0.001)=0,IF(ABS(P782)&lt;0.001,0,P782)," ")</f>
        <v>0</v>
      </c>
      <c r="R782" s="8"/>
      <c r="S782" s="8"/>
      <c r="U782" s="34"/>
      <c r="V782" s="34"/>
      <c r="W782" s="34"/>
      <c r="X782" s="34"/>
      <c r="Y782" s="34"/>
      <c r="Z782" s="34"/>
      <c r="AA782" s="34"/>
      <c r="AB782" s="34"/>
      <c r="AC782" s="34"/>
      <c r="AD782" s="34"/>
      <c r="AE782" s="34"/>
      <c r="AF782" s="34"/>
      <c r="AG782" s="34"/>
      <c r="AH782" s="34"/>
      <c r="AI782" s="34"/>
      <c r="AJ782" s="34"/>
      <c r="AK782" s="34"/>
      <c r="AL782" s="34"/>
      <c r="AM782" s="34"/>
      <c r="AN782" s="34"/>
      <c r="AO782" s="34"/>
      <c r="AP782" s="34"/>
      <c r="AQ782" s="34"/>
      <c r="AR782" s="34"/>
      <c r="AS782" s="34"/>
      <c r="AT782" s="34"/>
      <c r="AU782" s="34"/>
      <c r="AV782" s="34"/>
      <c r="AW782" s="34"/>
      <c r="AX782" s="34"/>
      <c r="AY782" s="34"/>
      <c r="AZ782" s="34"/>
      <c r="BA782" s="34"/>
      <c r="BB782" s="34"/>
      <c r="BC782" s="34"/>
      <c r="BD782" s="34"/>
      <c r="BE782" s="34"/>
      <c r="BF782" s="34"/>
      <c r="BG782" s="34"/>
      <c r="BH782" s="34"/>
      <c r="BI782" s="34"/>
      <c r="BJ782" s="34"/>
      <c r="BK782" s="34"/>
      <c r="BL782" s="34"/>
      <c r="BM782" s="34"/>
      <c r="BN782" s="34"/>
      <c r="BO782" s="34"/>
      <c r="BP782" s="34"/>
      <c r="BQ782" s="34"/>
      <c r="BR782" s="34"/>
      <c r="BS782" s="34"/>
      <c r="BT782" s="34"/>
      <c r="BU782" s="34"/>
      <c r="BV782" s="34"/>
      <c r="BW782" s="34"/>
      <c r="BX782" s="34"/>
      <c r="BY782" s="34"/>
      <c r="BZ782" s="34"/>
      <c r="CA782" s="34"/>
      <c r="CB782" s="34"/>
      <c r="CC782" s="34"/>
      <c r="CD782" s="34"/>
      <c r="CE782" s="34"/>
      <c r="CF782" s="34"/>
      <c r="CG782" s="34"/>
      <c r="CH782" s="34"/>
      <c r="CI782" s="8"/>
    </row>
    <row r="783" spans="1:87" x14ac:dyDescent="0.2">
      <c r="A783" s="8" t="str">
        <f>IF(AND(COUNTIF(W$3:W$13,A$20)&gt;0,A$20&lt;&gt;B546),A$20,IFERROR(IF(MATCH(A$20,Z$3:Z$13,0)=11,A$20," ")," "))</f>
        <v xml:space="preserve"> </v>
      </c>
      <c r="B783" s="8" t="str">
        <f>IF(A783=" "," ",MAX(B778:B782)+1)</f>
        <v xml:space="preserve"> </v>
      </c>
      <c r="C783" s="8" t="str">
        <f>IFERROR(INDEX(A778:A799,MATCH(SMALL(B778:B799,6),B778:B799,0),1)," ")</f>
        <v>C17</v>
      </c>
      <c r="D783" s="8">
        <f t="shared" si="3243"/>
        <v>0</v>
      </c>
      <c r="E783" s="8">
        <f t="shared" si="3244"/>
        <v>0</v>
      </c>
      <c r="F783" s="8">
        <f t="shared" si="3245"/>
        <v>0</v>
      </c>
      <c r="G783" s="8">
        <f t="shared" si="3246"/>
        <v>0</v>
      </c>
      <c r="H783" s="8">
        <f t="shared" si="3247"/>
        <v>0</v>
      </c>
      <c r="I783" s="8">
        <f t="shared" si="3248"/>
        <v>1</v>
      </c>
      <c r="J783" s="8">
        <f t="shared" si="3249"/>
        <v>0</v>
      </c>
      <c r="K783" s="8">
        <f t="shared" si="3250"/>
        <v>0</v>
      </c>
      <c r="L783" s="8">
        <f t="shared" si="3251"/>
        <v>0</v>
      </c>
      <c r="M783" s="8">
        <f t="shared" si="3252"/>
        <v>0</v>
      </c>
      <c r="N783" s="8">
        <f t="shared" si="3253"/>
        <v>0</v>
      </c>
      <c r="O783" s="8">
        <f t="shared" si="3254"/>
        <v>0</v>
      </c>
      <c r="P783" s="8">
        <v>0</v>
      </c>
      <c r="Q783" s="8">
        <f t="shared" ref="Q783" si="3281">IF(COUNTIF(P778:P788,"&lt;"&amp;-0.001)=0,IF(ABS(P783)&lt;0.001,0,P783)," ")</f>
        <v>0</v>
      </c>
      <c r="R783" s="8"/>
      <c r="S783" s="8"/>
      <c r="U783" s="34"/>
      <c r="V783" s="34"/>
      <c r="W783" s="34"/>
      <c r="X783" s="34"/>
      <c r="Y783" s="34"/>
      <c r="Z783" s="34"/>
      <c r="AA783" s="34"/>
      <c r="AB783" s="34"/>
      <c r="AC783" s="34"/>
      <c r="AD783" s="34"/>
      <c r="AE783" s="34"/>
      <c r="AF783" s="34"/>
      <c r="AG783" s="34"/>
      <c r="AH783" s="34"/>
      <c r="AI783" s="34"/>
      <c r="AJ783" s="34"/>
      <c r="AK783" s="34"/>
      <c r="AL783" s="34"/>
      <c r="AM783" s="34"/>
      <c r="AN783" s="34"/>
      <c r="AO783" s="34"/>
      <c r="AP783" s="34"/>
      <c r="AQ783" s="34"/>
      <c r="AR783" s="34"/>
      <c r="AS783" s="34"/>
      <c r="AT783" s="34"/>
      <c r="AU783" s="34"/>
      <c r="AV783" s="34"/>
      <c r="AW783" s="34"/>
      <c r="AX783" s="34"/>
      <c r="AY783" s="34"/>
      <c r="AZ783" s="34"/>
      <c r="BA783" s="34"/>
      <c r="BB783" s="34"/>
      <c r="BC783" s="34"/>
      <c r="BD783" s="34"/>
      <c r="BE783" s="34"/>
      <c r="BF783" s="34"/>
      <c r="BG783" s="34"/>
      <c r="BH783" s="34"/>
      <c r="BI783" s="34"/>
      <c r="BJ783" s="34"/>
      <c r="BK783" s="34"/>
      <c r="BL783" s="34"/>
      <c r="BM783" s="34"/>
      <c r="BN783" s="34"/>
      <c r="BO783" s="34"/>
      <c r="BP783" s="34"/>
      <c r="BQ783" s="34"/>
      <c r="BR783" s="34"/>
      <c r="BS783" s="34"/>
      <c r="BT783" s="34"/>
      <c r="BU783" s="34"/>
      <c r="BV783" s="34"/>
      <c r="BW783" s="34"/>
      <c r="BX783" s="34"/>
      <c r="BY783" s="34"/>
      <c r="BZ783" s="34"/>
      <c r="CA783" s="34"/>
      <c r="CB783" s="34"/>
      <c r="CC783" s="34"/>
      <c r="CD783" s="34"/>
      <c r="CE783" s="34"/>
      <c r="CF783" s="34"/>
      <c r="CG783" s="34"/>
      <c r="CH783" s="34"/>
      <c r="CI783" s="8"/>
    </row>
    <row r="784" spans="1:87" x14ac:dyDescent="0.2">
      <c r="A784" s="8" t="str">
        <f>IF(AND(COUNTIF(W$3:W$13,A$21)&gt;0,A$21&lt;&gt;B546),A$21,IFERROR(IF(MATCH(A$21,Z$3:Z$13,0)=11,A$21," ")," "))</f>
        <v xml:space="preserve"> </v>
      </c>
      <c r="B784" s="8" t="str">
        <f>IF(A784=" "," ",MAX(B778:B783)+1)</f>
        <v xml:space="preserve"> </v>
      </c>
      <c r="C784" s="8" t="str">
        <f>IFERROR(INDEX(A778:A799,MATCH(SMALL(B778:B799,7),B778:B799,0),1)," ")</f>
        <v>C18</v>
      </c>
      <c r="D784" s="8">
        <f t="shared" si="3243"/>
        <v>0</v>
      </c>
      <c r="E784" s="8">
        <f t="shared" si="3244"/>
        <v>0</v>
      </c>
      <c r="F784" s="8">
        <f t="shared" si="3245"/>
        <v>0</v>
      </c>
      <c r="G784" s="8">
        <f t="shared" si="3246"/>
        <v>0</v>
      </c>
      <c r="H784" s="8">
        <f t="shared" si="3247"/>
        <v>0</v>
      </c>
      <c r="I784" s="8">
        <f t="shared" si="3248"/>
        <v>0</v>
      </c>
      <c r="J784" s="8">
        <f t="shared" si="3249"/>
        <v>1</v>
      </c>
      <c r="K784" s="8">
        <f t="shared" si="3250"/>
        <v>0</v>
      </c>
      <c r="L784" s="8">
        <f t="shared" si="3251"/>
        <v>0</v>
      </c>
      <c r="M784" s="8">
        <f t="shared" si="3252"/>
        <v>0</v>
      </c>
      <c r="N784" s="8">
        <f t="shared" si="3253"/>
        <v>0</v>
      </c>
      <c r="O784" s="8">
        <f t="shared" si="3254"/>
        <v>0</v>
      </c>
      <c r="P784" s="8">
        <v>0</v>
      </c>
      <c r="Q784" s="8">
        <f t="shared" ref="Q784" si="3282">IF(COUNTIF(P778:P788,"&lt;"&amp;-0.001)=0,IF(ABS(P784)&lt;0.001,0,P784)," ")</f>
        <v>0</v>
      </c>
      <c r="R784" s="8"/>
      <c r="S784" s="8"/>
      <c r="U784" s="34"/>
      <c r="V784" s="34"/>
      <c r="W784" s="34"/>
      <c r="X784" s="34"/>
      <c r="Y784" s="34"/>
      <c r="Z784" s="34"/>
      <c r="AA784" s="34"/>
      <c r="AB784" s="34"/>
      <c r="AC784" s="34"/>
      <c r="AD784" s="34"/>
      <c r="AE784" s="34"/>
      <c r="AF784" s="34"/>
      <c r="AG784" s="34"/>
      <c r="AH784" s="34"/>
      <c r="AI784" s="34"/>
      <c r="AJ784" s="34"/>
      <c r="AK784" s="34"/>
      <c r="AL784" s="34"/>
      <c r="AM784" s="34"/>
      <c r="AN784" s="34"/>
      <c r="AO784" s="34"/>
      <c r="AP784" s="34"/>
      <c r="AQ784" s="34"/>
      <c r="AR784" s="34"/>
      <c r="AS784" s="34"/>
      <c r="AT784" s="34"/>
      <c r="AU784" s="34"/>
      <c r="AV784" s="34"/>
      <c r="AW784" s="34"/>
      <c r="AX784" s="34"/>
      <c r="AY784" s="34"/>
      <c r="AZ784" s="34"/>
      <c r="BA784" s="34"/>
      <c r="BB784" s="34"/>
      <c r="BC784" s="34"/>
      <c r="BD784" s="34"/>
      <c r="BE784" s="34"/>
      <c r="BF784" s="34"/>
      <c r="BG784" s="34"/>
      <c r="BH784" s="34"/>
      <c r="BI784" s="34"/>
      <c r="BJ784" s="34"/>
      <c r="BK784" s="34"/>
      <c r="BL784" s="34"/>
      <c r="BM784" s="34"/>
      <c r="BN784" s="34"/>
      <c r="BO784" s="34"/>
      <c r="BP784" s="34"/>
      <c r="BQ784" s="34"/>
      <c r="BR784" s="34"/>
      <c r="BS784" s="34"/>
      <c r="BT784" s="34"/>
      <c r="BU784" s="34"/>
      <c r="BV784" s="34"/>
      <c r="BW784" s="34"/>
      <c r="BX784" s="34"/>
      <c r="BY784" s="34"/>
      <c r="BZ784" s="34"/>
      <c r="CA784" s="34"/>
      <c r="CB784" s="34"/>
      <c r="CC784" s="34"/>
      <c r="CD784" s="34"/>
      <c r="CE784" s="34"/>
      <c r="CF784" s="34"/>
      <c r="CG784" s="34"/>
      <c r="CH784" s="34"/>
      <c r="CI784" s="8"/>
    </row>
    <row r="785" spans="1:87" x14ac:dyDescent="0.2">
      <c r="A785" s="8" t="str">
        <f>IF(AND(COUNTIF(W$3:W$13,A$22)&gt;0,A$22&lt;&gt;B546),A$22,IFERROR(IF(MATCH(A$22,Z$3:Z$13,0)=11,A$22," ")," "))</f>
        <v xml:space="preserve"> </v>
      </c>
      <c r="B785" s="8" t="str">
        <f>IF(A785=" "," ",MAX(B778:B784)+1)</f>
        <v xml:space="preserve"> </v>
      </c>
      <c r="C785" s="8" t="str">
        <f>IFERROR(INDEX(A778:A799,MATCH(SMALL(B778:B799,8),B778:B799,0),1)," ")</f>
        <v>C19</v>
      </c>
      <c r="D785" s="8">
        <f t="shared" si="3243"/>
        <v>0</v>
      </c>
      <c r="E785" s="8">
        <f t="shared" si="3244"/>
        <v>0</v>
      </c>
      <c r="F785" s="8">
        <f t="shared" si="3245"/>
        <v>0</v>
      </c>
      <c r="G785" s="8">
        <f t="shared" si="3246"/>
        <v>0</v>
      </c>
      <c r="H785" s="8">
        <f t="shared" si="3247"/>
        <v>0</v>
      </c>
      <c r="I785" s="8">
        <f t="shared" si="3248"/>
        <v>0</v>
      </c>
      <c r="J785" s="8">
        <f t="shared" si="3249"/>
        <v>0</v>
      </c>
      <c r="K785" s="8">
        <f t="shared" si="3250"/>
        <v>1</v>
      </c>
      <c r="L785" s="8">
        <f t="shared" si="3251"/>
        <v>0</v>
      </c>
      <c r="M785" s="8">
        <f t="shared" si="3252"/>
        <v>0</v>
      </c>
      <c r="N785" s="8">
        <f t="shared" si="3253"/>
        <v>0</v>
      </c>
      <c r="O785" s="8">
        <f t="shared" si="3254"/>
        <v>0</v>
      </c>
      <c r="P785" s="8">
        <v>0</v>
      </c>
      <c r="Q785" s="8">
        <f t="shared" ref="Q785" si="3283">IF(COUNTIF(P778:P788,"&lt;"&amp;-0.001)=0,IF(ABS(P785)&lt;0.001,0,P785)," ")</f>
        <v>0</v>
      </c>
      <c r="R785" s="8"/>
      <c r="S785" s="8"/>
      <c r="U785" s="34"/>
      <c r="V785" s="34"/>
      <c r="W785" s="34"/>
      <c r="X785" s="34"/>
      <c r="Y785" s="34"/>
      <c r="Z785" s="34"/>
      <c r="AA785" s="34"/>
      <c r="AB785" s="34"/>
      <c r="AC785" s="34"/>
      <c r="AD785" s="34"/>
      <c r="AE785" s="34"/>
      <c r="AF785" s="34"/>
      <c r="AG785" s="34"/>
      <c r="AH785" s="34"/>
      <c r="AI785" s="34"/>
      <c r="AJ785" s="34"/>
      <c r="AK785" s="34"/>
      <c r="AL785" s="34"/>
      <c r="AM785" s="34"/>
      <c r="AN785" s="34"/>
      <c r="AO785" s="34"/>
      <c r="AP785" s="34"/>
      <c r="AQ785" s="34"/>
      <c r="AR785" s="34"/>
      <c r="AS785" s="34"/>
      <c r="AT785" s="34"/>
      <c r="AU785" s="34"/>
      <c r="AV785" s="34"/>
      <c r="AW785" s="34"/>
      <c r="AX785" s="34"/>
      <c r="AY785" s="34"/>
      <c r="AZ785" s="34"/>
      <c r="BA785" s="34"/>
      <c r="BB785" s="34"/>
      <c r="BC785" s="34"/>
      <c r="BD785" s="34"/>
      <c r="BE785" s="34"/>
      <c r="BF785" s="34"/>
      <c r="BG785" s="34"/>
      <c r="BH785" s="34"/>
      <c r="BI785" s="34"/>
      <c r="BJ785" s="34"/>
      <c r="BK785" s="34"/>
      <c r="BL785" s="34"/>
      <c r="BM785" s="34"/>
      <c r="BN785" s="34"/>
      <c r="BO785" s="34"/>
      <c r="BP785" s="34"/>
      <c r="BQ785" s="34"/>
      <c r="BR785" s="34"/>
      <c r="BS785" s="34"/>
      <c r="BT785" s="34"/>
      <c r="BU785" s="34"/>
      <c r="BV785" s="34"/>
      <c r="BW785" s="34"/>
      <c r="BX785" s="34"/>
      <c r="BY785" s="34"/>
      <c r="BZ785" s="34"/>
      <c r="CA785" s="34"/>
      <c r="CB785" s="34"/>
      <c r="CC785" s="34"/>
      <c r="CD785" s="34"/>
      <c r="CE785" s="34"/>
      <c r="CF785" s="34"/>
      <c r="CG785" s="34"/>
      <c r="CH785" s="34"/>
      <c r="CI785" s="8"/>
    </row>
    <row r="786" spans="1:87" x14ac:dyDescent="0.2">
      <c r="A786" s="8" t="str">
        <f>IF(AND(COUNTIF(W$3:W$13,A$23)&gt;0,A$23&lt;&gt;B546),A$23,IFERROR(IF(MATCH(A$23,Z$3:Z$13,0)=11,A$23," ")," "))</f>
        <v xml:space="preserve"> </v>
      </c>
      <c r="B786" s="8" t="str">
        <f>IF(A786=" "," ",MAX(B778:B785)+1)</f>
        <v xml:space="preserve"> </v>
      </c>
      <c r="C786" s="8" t="str">
        <f>IFERROR(INDEX(A778:A799,MATCH(SMALL(B778:B799,9),B778:B799,0),1)," ")</f>
        <v>C20</v>
      </c>
      <c r="D786" s="8">
        <f t="shared" si="3243"/>
        <v>0</v>
      </c>
      <c r="E786" s="8">
        <f t="shared" si="3244"/>
        <v>0</v>
      </c>
      <c r="F786" s="8">
        <f t="shared" si="3245"/>
        <v>0</v>
      </c>
      <c r="G786" s="8">
        <f t="shared" si="3246"/>
        <v>0</v>
      </c>
      <c r="H786" s="8">
        <f t="shared" si="3247"/>
        <v>0</v>
      </c>
      <c r="I786" s="8">
        <f t="shared" si="3248"/>
        <v>0</v>
      </c>
      <c r="J786" s="8">
        <f t="shared" si="3249"/>
        <v>0</v>
      </c>
      <c r="K786" s="8">
        <f t="shared" si="3250"/>
        <v>0</v>
      </c>
      <c r="L786" s="8">
        <f t="shared" si="3251"/>
        <v>1</v>
      </c>
      <c r="M786" s="8">
        <f t="shared" si="3252"/>
        <v>0</v>
      </c>
      <c r="N786" s="8">
        <f t="shared" si="3253"/>
        <v>0</v>
      </c>
      <c r="O786" s="8">
        <f t="shared" si="3254"/>
        <v>0</v>
      </c>
      <c r="P786" s="6">
        <v>0</v>
      </c>
      <c r="Q786" s="8">
        <f t="shared" ref="Q786" si="3284">IF(COUNTIF(P778:P788,"&lt;"&amp;-0.001)=0,IF(ABS(P786)&lt;0.001,0,P786)," ")</f>
        <v>0</v>
      </c>
      <c r="R786" s="8"/>
      <c r="S786" s="8"/>
      <c r="U786" s="34"/>
      <c r="V786" s="34"/>
      <c r="W786" s="34"/>
      <c r="X786" s="34"/>
      <c r="Y786" s="34"/>
      <c r="Z786" s="34"/>
      <c r="AA786" s="34"/>
      <c r="AB786" s="34"/>
      <c r="AC786" s="34"/>
      <c r="AD786" s="34"/>
      <c r="AE786" s="34"/>
      <c r="AF786" s="34"/>
      <c r="AG786" s="34"/>
      <c r="AH786" s="34"/>
      <c r="AI786" s="34"/>
      <c r="AJ786" s="34"/>
      <c r="AK786" s="34"/>
      <c r="AL786" s="34"/>
      <c r="AM786" s="34"/>
      <c r="AN786" s="34"/>
      <c r="AO786" s="34"/>
      <c r="AP786" s="34"/>
      <c r="AQ786" s="34"/>
      <c r="AR786" s="34"/>
      <c r="AS786" s="34"/>
      <c r="AT786" s="34"/>
      <c r="AU786" s="34"/>
      <c r="AV786" s="34"/>
      <c r="AW786" s="34"/>
      <c r="AX786" s="34"/>
      <c r="AY786" s="34"/>
      <c r="AZ786" s="34"/>
      <c r="BA786" s="34"/>
      <c r="BB786" s="34"/>
      <c r="BC786" s="34"/>
      <c r="BD786" s="34"/>
      <c r="BE786" s="34"/>
      <c r="BF786" s="34"/>
      <c r="BG786" s="34"/>
      <c r="BH786" s="34"/>
      <c r="BI786" s="34"/>
      <c r="BJ786" s="34"/>
      <c r="BK786" s="34"/>
      <c r="BL786" s="34"/>
      <c r="BM786" s="34"/>
      <c r="BN786" s="34"/>
      <c r="BO786" s="34"/>
      <c r="BP786" s="34"/>
      <c r="BQ786" s="34"/>
      <c r="BR786" s="34"/>
      <c r="BS786" s="34"/>
      <c r="BT786" s="34"/>
      <c r="BU786" s="34"/>
      <c r="BV786" s="34"/>
      <c r="BW786" s="34"/>
      <c r="BX786" s="34"/>
      <c r="BY786" s="34"/>
      <c r="BZ786" s="34"/>
      <c r="CA786" s="34"/>
      <c r="CB786" s="34"/>
      <c r="CC786" s="34"/>
      <c r="CD786" s="34"/>
      <c r="CE786" s="34"/>
      <c r="CF786" s="34"/>
      <c r="CG786" s="34"/>
      <c r="CH786" s="34"/>
      <c r="CI786" s="8"/>
    </row>
    <row r="787" spans="1:87" x14ac:dyDescent="0.2">
      <c r="A787" s="8" t="str">
        <f>IF(AND(COUNTIF(W$3:W$13,A$24)&gt;0,A$24&lt;&gt;B546),A$24,IFERROR(IF(MATCH(A$24,Z$3:Z$13,0)=11,A$24," ")," "))</f>
        <v xml:space="preserve"> </v>
      </c>
      <c r="B787" s="8" t="str">
        <f>IF(A787=" "," ",MAX(B778:B786)+1)</f>
        <v xml:space="preserve"> </v>
      </c>
      <c r="C787" s="8" t="str">
        <f>IFERROR(INDEX(A778:A799,MATCH(SMALL(B778:B799,10),B778:B799,0),1)," ")</f>
        <v>C21</v>
      </c>
      <c r="D787" s="8">
        <f t="shared" si="3243"/>
        <v>0</v>
      </c>
      <c r="E787" s="8">
        <f t="shared" si="3244"/>
        <v>0</v>
      </c>
      <c r="F787" s="8">
        <f t="shared" si="3245"/>
        <v>0</v>
      </c>
      <c r="G787" s="8">
        <f t="shared" si="3246"/>
        <v>0</v>
      </c>
      <c r="H787" s="8">
        <f t="shared" si="3247"/>
        <v>0</v>
      </c>
      <c r="I787" s="8">
        <f t="shared" si="3248"/>
        <v>0</v>
      </c>
      <c r="J787" s="8">
        <f t="shared" si="3249"/>
        <v>0</v>
      </c>
      <c r="K787" s="8">
        <f t="shared" si="3250"/>
        <v>0</v>
      </c>
      <c r="L787" s="8">
        <f t="shared" si="3251"/>
        <v>0</v>
      </c>
      <c r="M787" s="8">
        <f t="shared" si="3252"/>
        <v>1</v>
      </c>
      <c r="N787" s="8">
        <f t="shared" si="3253"/>
        <v>0</v>
      </c>
      <c r="O787" s="8">
        <f t="shared" si="3254"/>
        <v>0</v>
      </c>
      <c r="P787" s="8">
        <v>0</v>
      </c>
      <c r="Q787" s="8">
        <f t="shared" ref="Q787" si="3285">IF(COUNTIF(P778:P788,"&lt;"&amp;-0.001)=0,IF(ABS(P787)&lt;0.001,0,P787)," ")</f>
        <v>0</v>
      </c>
      <c r="R787" s="8"/>
      <c r="S787" s="8"/>
      <c r="U787" s="34"/>
      <c r="V787" s="34"/>
      <c r="W787" s="34"/>
      <c r="X787" s="34"/>
      <c r="Y787" s="34"/>
      <c r="Z787" s="34"/>
      <c r="AA787" s="34"/>
      <c r="AB787" s="34"/>
      <c r="AC787" s="34"/>
      <c r="AD787" s="34"/>
      <c r="AE787" s="34"/>
      <c r="AF787" s="34"/>
      <c r="AG787" s="34"/>
      <c r="AH787" s="34"/>
      <c r="AI787" s="34"/>
      <c r="AJ787" s="34"/>
      <c r="AK787" s="34"/>
      <c r="AL787" s="34"/>
      <c r="AM787" s="34"/>
      <c r="AN787" s="34"/>
      <c r="AO787" s="34"/>
      <c r="AP787" s="34"/>
      <c r="AQ787" s="34"/>
      <c r="AR787" s="34"/>
      <c r="AS787" s="34"/>
      <c r="AT787" s="34"/>
      <c r="AU787" s="34"/>
      <c r="AV787" s="34"/>
      <c r="AW787" s="34"/>
      <c r="AX787" s="34"/>
      <c r="AY787" s="34"/>
      <c r="AZ787" s="34"/>
      <c r="BA787" s="34"/>
      <c r="BB787" s="34"/>
      <c r="BC787" s="34"/>
      <c r="BD787" s="34"/>
      <c r="BE787" s="34"/>
      <c r="BF787" s="34"/>
      <c r="BG787" s="34"/>
      <c r="BH787" s="34"/>
      <c r="BI787" s="34"/>
      <c r="BJ787" s="34"/>
      <c r="BK787" s="34"/>
      <c r="BL787" s="34"/>
      <c r="BM787" s="34"/>
      <c r="BN787" s="34"/>
      <c r="BO787" s="34"/>
      <c r="BP787" s="34"/>
      <c r="BQ787" s="34"/>
      <c r="BR787" s="34"/>
      <c r="BS787" s="34"/>
      <c r="BT787" s="34"/>
      <c r="BU787" s="34"/>
      <c r="BV787" s="34"/>
      <c r="BW787" s="34"/>
      <c r="BX787" s="34"/>
      <c r="BY787" s="34"/>
      <c r="BZ787" s="34"/>
      <c r="CA787" s="34"/>
      <c r="CB787" s="34"/>
      <c r="CC787" s="34"/>
      <c r="CD787" s="34"/>
      <c r="CE787" s="34"/>
      <c r="CF787" s="34"/>
      <c r="CG787" s="34"/>
      <c r="CH787" s="34"/>
      <c r="CI787" s="8"/>
    </row>
    <row r="788" spans="1:87" x14ac:dyDescent="0.2">
      <c r="A788" s="8" t="str">
        <f>IF(AND(COUNTIF(W$3:W$13,A$25)&gt;0,A$25&lt;&gt;B546),A$25,IFERROR(IF(MATCH(A$25,Z$3:Z$13,0)=11,A$25," ")," "))</f>
        <v xml:space="preserve"> </v>
      </c>
      <c r="B788" s="8" t="str">
        <f>IF(A788=" "," ",MAX(B778:B787)+1)</f>
        <v xml:space="preserve"> </v>
      </c>
      <c r="C788" s="8" t="str">
        <f>IFERROR(INDEX(A778:A799,MATCH(SMALL(B778:B799,11),B778:B799,0),1)," ")</f>
        <v>C22</v>
      </c>
      <c r="D788" s="8">
        <f t="shared" si="3243"/>
        <v>0</v>
      </c>
      <c r="E788" s="8">
        <f t="shared" si="3244"/>
        <v>0</v>
      </c>
      <c r="F788" s="8">
        <f t="shared" si="3245"/>
        <v>0</v>
      </c>
      <c r="G788" s="8">
        <f t="shared" si="3246"/>
        <v>0</v>
      </c>
      <c r="H788" s="8">
        <f t="shared" si="3247"/>
        <v>0</v>
      </c>
      <c r="I788" s="8">
        <f t="shared" si="3248"/>
        <v>0</v>
      </c>
      <c r="J788" s="8">
        <f t="shared" si="3249"/>
        <v>0</v>
      </c>
      <c r="K788" s="8">
        <f t="shared" si="3250"/>
        <v>0</v>
      </c>
      <c r="L788" s="8">
        <f t="shared" si="3251"/>
        <v>0</v>
      </c>
      <c r="M788" s="8">
        <f t="shared" si="3252"/>
        <v>0</v>
      </c>
      <c r="N788" s="8">
        <f t="shared" si="3253"/>
        <v>1</v>
      </c>
      <c r="O788" s="8">
        <f t="shared" si="3254"/>
        <v>0</v>
      </c>
      <c r="P788" s="8">
        <v>0</v>
      </c>
      <c r="Q788" s="8">
        <f t="shared" ref="Q788" si="3286">IF(COUNTIF(P778:P788,"&lt;"&amp;-0.001)=0,IF(ABS(P788)&lt;0.001,0,P788)," ")</f>
        <v>0</v>
      </c>
      <c r="R788" s="8"/>
      <c r="S788" s="8"/>
      <c r="U788" s="34"/>
      <c r="V788" s="34"/>
      <c r="W788" s="34"/>
      <c r="X788" s="34"/>
      <c r="Y788" s="34"/>
      <c r="Z788" s="34"/>
      <c r="AA788" s="34"/>
      <c r="AB788" s="34"/>
      <c r="AC788" s="34"/>
      <c r="AD788" s="34"/>
      <c r="AE788" s="34"/>
      <c r="AF788" s="34"/>
      <c r="AG788" s="34"/>
      <c r="AH788" s="34"/>
      <c r="AI788" s="34"/>
      <c r="AJ788" s="34"/>
      <c r="AK788" s="34"/>
      <c r="AL788" s="34"/>
      <c r="AM788" s="34"/>
      <c r="AN788" s="34"/>
      <c r="AO788" s="34"/>
      <c r="AP788" s="34"/>
      <c r="AQ788" s="34"/>
      <c r="AR788" s="34"/>
      <c r="AS788" s="34"/>
      <c r="AT788" s="34"/>
      <c r="AU788" s="34"/>
      <c r="AV788" s="34"/>
      <c r="AW788" s="34"/>
      <c r="AX788" s="34"/>
      <c r="AY788" s="34"/>
      <c r="AZ788" s="34"/>
      <c r="BA788" s="34"/>
      <c r="BB788" s="34"/>
      <c r="BC788" s="34"/>
      <c r="BD788" s="34"/>
      <c r="BE788" s="34"/>
      <c r="BF788" s="34"/>
      <c r="BG788" s="34"/>
      <c r="BH788" s="34"/>
      <c r="BI788" s="34"/>
      <c r="BJ788" s="34"/>
      <c r="BK788" s="34"/>
      <c r="BL788" s="34"/>
      <c r="BM788" s="34"/>
      <c r="BN788" s="34"/>
      <c r="BO788" s="34"/>
      <c r="BP788" s="34"/>
      <c r="BQ788" s="34"/>
      <c r="BR788" s="34"/>
      <c r="BS788" s="34"/>
      <c r="BT788" s="34"/>
      <c r="BU788" s="34"/>
      <c r="BV788" s="34"/>
      <c r="BW788" s="34"/>
      <c r="BX788" s="34"/>
      <c r="BY788" s="34"/>
      <c r="BZ788" s="34"/>
      <c r="CA788" s="34"/>
      <c r="CB788" s="34"/>
      <c r="CC788" s="34"/>
      <c r="CD788" s="34"/>
      <c r="CE788" s="34"/>
      <c r="CF788" s="34"/>
      <c r="CG788" s="34"/>
      <c r="CH788" s="34"/>
      <c r="CI788" s="8"/>
    </row>
    <row r="789" spans="1:87" x14ac:dyDescent="0.2">
      <c r="A789" s="8" t="str">
        <f>IF(AND(COUNTIF(W$3:W$13,A$26)&gt;0,A$26&lt;&gt;B546),A$26,IFERROR(IF(MATCH(A$26,Z$3:Z$13,0)=11,A$26," ")," "))</f>
        <v xml:space="preserve"> </v>
      </c>
      <c r="B789" s="8" t="str">
        <f>IF(A789=" "," ",MAX(B778:B788)+1)</f>
        <v xml:space="preserve"> </v>
      </c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U789" s="34"/>
      <c r="V789" s="34"/>
      <c r="W789" s="34"/>
      <c r="X789" s="34"/>
      <c r="Y789" s="34"/>
      <c r="Z789" s="34"/>
      <c r="AA789" s="34"/>
      <c r="AB789" s="34"/>
      <c r="AC789" s="34"/>
      <c r="AD789" s="34"/>
      <c r="AE789" s="34"/>
      <c r="AF789" s="34"/>
      <c r="AG789" s="34"/>
      <c r="AH789" s="34"/>
      <c r="AI789" s="34"/>
      <c r="AJ789" s="34"/>
      <c r="AK789" s="34"/>
      <c r="AL789" s="34"/>
      <c r="AM789" s="34"/>
      <c r="AN789" s="34"/>
      <c r="AO789" s="34"/>
      <c r="AP789" s="34"/>
      <c r="AQ789" s="34"/>
      <c r="AR789" s="34"/>
      <c r="AS789" s="34"/>
      <c r="AT789" s="34"/>
      <c r="AU789" s="34"/>
      <c r="AV789" s="34"/>
      <c r="AW789" s="34"/>
      <c r="AX789" s="34"/>
      <c r="AY789" s="34"/>
      <c r="AZ789" s="34"/>
      <c r="BA789" s="34"/>
      <c r="BB789" s="34"/>
      <c r="BC789" s="34"/>
      <c r="BD789" s="34"/>
      <c r="BE789" s="34"/>
      <c r="BF789" s="34"/>
      <c r="BG789" s="34"/>
      <c r="BH789" s="34"/>
      <c r="BI789" s="34"/>
      <c r="BJ789" s="34"/>
      <c r="BK789" s="34"/>
      <c r="BL789" s="34"/>
      <c r="BM789" s="34"/>
      <c r="BN789" s="34"/>
      <c r="BO789" s="34"/>
      <c r="BP789" s="34"/>
      <c r="BQ789" s="34"/>
      <c r="BR789" s="34"/>
      <c r="BS789" s="34"/>
      <c r="BT789" s="34"/>
      <c r="BU789" s="34"/>
      <c r="BV789" s="34"/>
      <c r="BW789" s="34"/>
      <c r="BX789" s="34"/>
      <c r="BY789" s="34"/>
      <c r="BZ789" s="34"/>
      <c r="CA789" s="34"/>
      <c r="CB789" s="34"/>
      <c r="CC789" s="34"/>
      <c r="CD789" s="34"/>
      <c r="CE789" s="34"/>
      <c r="CF789" s="34"/>
      <c r="CG789" s="34"/>
      <c r="CH789" s="34"/>
      <c r="CI789" s="8"/>
    </row>
    <row r="790" spans="1:87" x14ac:dyDescent="0.2">
      <c r="A790" s="8" t="str">
        <f>IF(AND(COUNTIF(W$3:W$13,A$27)&gt;0,A$27&lt;&gt;B546),A$27,IFERROR(IF(MATCH(A$27,Z$3:Z$13,0)=11,A$27," ")," "))</f>
        <v xml:space="preserve"> </v>
      </c>
      <c r="B790" s="8" t="str">
        <f>IF(A790=" "," ",MAX(B778:B789)+1)</f>
        <v xml:space="preserve"> </v>
      </c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U790" s="34"/>
      <c r="V790" s="34"/>
      <c r="W790" s="34"/>
      <c r="X790" s="34"/>
      <c r="Y790" s="34"/>
      <c r="Z790" s="34"/>
      <c r="AA790" s="34"/>
      <c r="AB790" s="34"/>
      <c r="AC790" s="34"/>
      <c r="AD790" s="34"/>
      <c r="AE790" s="34"/>
      <c r="AF790" s="34"/>
      <c r="AG790" s="34"/>
      <c r="AH790" s="34"/>
      <c r="AI790" s="34"/>
      <c r="AJ790" s="34"/>
      <c r="AK790" s="34"/>
      <c r="AL790" s="34"/>
      <c r="AM790" s="34"/>
      <c r="AN790" s="34"/>
      <c r="AO790" s="34"/>
      <c r="AP790" s="34"/>
      <c r="AQ790" s="34"/>
      <c r="AR790" s="34"/>
      <c r="AS790" s="34"/>
      <c r="AT790" s="34"/>
      <c r="AU790" s="34"/>
      <c r="AV790" s="34"/>
      <c r="AW790" s="34"/>
      <c r="AX790" s="34"/>
      <c r="AY790" s="34"/>
      <c r="AZ790" s="34"/>
      <c r="BA790" s="34"/>
      <c r="BB790" s="34"/>
      <c r="BC790" s="34"/>
      <c r="BD790" s="34"/>
      <c r="BE790" s="34"/>
      <c r="BF790" s="34"/>
      <c r="BG790" s="34"/>
      <c r="BH790" s="34"/>
      <c r="BI790" s="34"/>
      <c r="BJ790" s="34"/>
      <c r="BK790" s="34"/>
      <c r="BL790" s="34"/>
      <c r="BM790" s="34"/>
      <c r="BN790" s="34"/>
      <c r="BO790" s="34"/>
      <c r="BP790" s="34"/>
      <c r="BQ790" s="34"/>
      <c r="BR790" s="34"/>
      <c r="BS790" s="34"/>
      <c r="BT790" s="34"/>
      <c r="BU790" s="34"/>
      <c r="BV790" s="34"/>
      <c r="BW790" s="34"/>
      <c r="BX790" s="34"/>
      <c r="BY790" s="34"/>
      <c r="BZ790" s="34"/>
      <c r="CA790" s="34"/>
      <c r="CB790" s="34"/>
      <c r="CC790" s="34"/>
      <c r="CD790" s="34"/>
      <c r="CE790" s="34"/>
      <c r="CF790" s="34"/>
      <c r="CG790" s="34"/>
      <c r="CH790" s="34"/>
      <c r="CI790" s="8"/>
    </row>
    <row r="791" spans="1:87" x14ac:dyDescent="0.2">
      <c r="A791" s="8" t="str">
        <f>IF(AND(COUNTIF(W$3:W$13,A$28)&gt;0,A$28&lt;&gt;B546),A$28,IFERROR(IF(MATCH(A$28,Z$3:Z$13,0)=11,A$28," ")," "))</f>
        <v>C14</v>
      </c>
      <c r="B791" s="8">
        <f>IF(A791=" "," ",MAX(B778:B790)+1)</f>
        <v>3</v>
      </c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U791" s="34"/>
      <c r="V791" s="34"/>
      <c r="W791" s="34"/>
      <c r="X791" s="34"/>
      <c r="Y791" s="34"/>
      <c r="Z791" s="34"/>
      <c r="AA791" s="34"/>
      <c r="AB791" s="34"/>
      <c r="AC791" s="34"/>
      <c r="AD791" s="34"/>
      <c r="AE791" s="34"/>
      <c r="AF791" s="34"/>
      <c r="AG791" s="34"/>
      <c r="AH791" s="34"/>
      <c r="AI791" s="34"/>
      <c r="AJ791" s="34"/>
      <c r="AK791" s="34"/>
      <c r="AL791" s="34"/>
      <c r="AM791" s="34"/>
      <c r="AN791" s="34"/>
      <c r="AO791" s="34"/>
      <c r="AP791" s="34"/>
      <c r="AQ791" s="34"/>
      <c r="AR791" s="34"/>
      <c r="AS791" s="34"/>
      <c r="AT791" s="34"/>
      <c r="AU791" s="34"/>
      <c r="AV791" s="34"/>
      <c r="AW791" s="34"/>
      <c r="AX791" s="34"/>
      <c r="AY791" s="34"/>
      <c r="AZ791" s="34"/>
      <c r="BA791" s="34"/>
      <c r="BB791" s="34"/>
      <c r="BC791" s="34"/>
      <c r="BD791" s="34"/>
      <c r="BE791" s="34"/>
      <c r="BF791" s="34"/>
      <c r="BG791" s="34"/>
      <c r="BH791" s="34"/>
      <c r="BI791" s="34"/>
      <c r="BJ791" s="34"/>
      <c r="BK791" s="34"/>
      <c r="BL791" s="34"/>
      <c r="BM791" s="34"/>
      <c r="BN791" s="34"/>
      <c r="BO791" s="34"/>
      <c r="BP791" s="34"/>
      <c r="BQ791" s="34"/>
      <c r="BR791" s="34"/>
      <c r="BS791" s="34"/>
      <c r="BT791" s="34"/>
      <c r="BU791" s="34"/>
      <c r="BV791" s="34"/>
      <c r="BW791" s="34"/>
      <c r="BX791" s="34"/>
      <c r="BY791" s="34"/>
      <c r="BZ791" s="34"/>
      <c r="CA791" s="34"/>
      <c r="CB791" s="34"/>
      <c r="CC791" s="34"/>
      <c r="CD791" s="34"/>
      <c r="CE791" s="34"/>
      <c r="CF791" s="34"/>
      <c r="CG791" s="34"/>
      <c r="CH791" s="34"/>
      <c r="CI791" s="8"/>
    </row>
    <row r="792" spans="1:87" x14ac:dyDescent="0.2">
      <c r="A792" s="8" t="str">
        <f>IF(AND(COUNTIF(W$3:W$13,A$29)&gt;0,A$29&lt;&gt;B546),A$29,IFERROR(IF(MATCH(A$29,Z$3:Z$13,0)=11,A$29," ")," "))</f>
        <v>C15</v>
      </c>
      <c r="B792" s="8">
        <f>IF(A792=" "," ",MAX(B778:B791)+1)</f>
        <v>4</v>
      </c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U792" s="34"/>
      <c r="V792" s="34"/>
      <c r="W792" s="34"/>
      <c r="X792" s="34"/>
      <c r="Y792" s="34"/>
      <c r="Z792" s="34"/>
      <c r="AA792" s="34"/>
      <c r="AB792" s="34"/>
      <c r="AC792" s="34"/>
      <c r="AD792" s="34"/>
      <c r="AE792" s="34"/>
      <c r="AF792" s="34"/>
      <c r="AG792" s="34"/>
      <c r="AH792" s="34"/>
      <c r="AI792" s="34"/>
      <c r="AJ792" s="34"/>
      <c r="AK792" s="34"/>
      <c r="AL792" s="34"/>
      <c r="AM792" s="34"/>
      <c r="AN792" s="34"/>
      <c r="AO792" s="34"/>
      <c r="AP792" s="34"/>
      <c r="AQ792" s="34"/>
      <c r="AR792" s="34"/>
      <c r="AS792" s="34"/>
      <c r="AT792" s="34"/>
      <c r="AU792" s="34"/>
      <c r="AV792" s="34"/>
      <c r="AW792" s="34"/>
      <c r="AX792" s="34"/>
      <c r="AY792" s="34"/>
      <c r="AZ792" s="34"/>
      <c r="BA792" s="34"/>
      <c r="BB792" s="34"/>
      <c r="BC792" s="34"/>
      <c r="BD792" s="34"/>
      <c r="BE792" s="34"/>
      <c r="BF792" s="34"/>
      <c r="BG792" s="34"/>
      <c r="BH792" s="34"/>
      <c r="BI792" s="34"/>
      <c r="BJ792" s="34"/>
      <c r="BK792" s="34"/>
      <c r="BL792" s="34"/>
      <c r="BM792" s="34"/>
      <c r="BN792" s="34"/>
      <c r="BO792" s="34"/>
      <c r="BP792" s="34"/>
      <c r="BQ792" s="34"/>
      <c r="BR792" s="34"/>
      <c r="BS792" s="34"/>
      <c r="BT792" s="34"/>
      <c r="BU792" s="34"/>
      <c r="BV792" s="34"/>
      <c r="BW792" s="34"/>
      <c r="BX792" s="34"/>
      <c r="BY792" s="34"/>
      <c r="BZ792" s="34"/>
      <c r="CA792" s="34"/>
      <c r="CB792" s="34"/>
      <c r="CC792" s="34"/>
      <c r="CD792" s="34"/>
      <c r="CE792" s="34"/>
      <c r="CF792" s="34"/>
      <c r="CG792" s="34"/>
      <c r="CH792" s="34"/>
      <c r="CI792" s="8"/>
    </row>
    <row r="793" spans="1:87" x14ac:dyDescent="0.2">
      <c r="A793" s="8" t="str">
        <f>IF(AND(COUNTIF(W$3:W$13,A$30)&gt;0,A$30&lt;&gt;B546),A$30,IFERROR(IF(MATCH(A$30,Z$3:Z$13,0)=11,A$30," ")," "))</f>
        <v>C16</v>
      </c>
      <c r="B793" s="8">
        <f>IF(A793=" "," ",MAX(B778:B792)+1)</f>
        <v>5</v>
      </c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U793" s="34"/>
      <c r="V793" s="34"/>
      <c r="W793" s="34"/>
      <c r="X793" s="34"/>
      <c r="Y793" s="34"/>
      <c r="Z793" s="34"/>
      <c r="AA793" s="34"/>
      <c r="AB793" s="34"/>
      <c r="AC793" s="34"/>
      <c r="AD793" s="34"/>
      <c r="AE793" s="34"/>
      <c r="AF793" s="34"/>
      <c r="AG793" s="34"/>
      <c r="AH793" s="34"/>
      <c r="AI793" s="34"/>
      <c r="AJ793" s="34"/>
      <c r="AK793" s="34"/>
      <c r="AL793" s="34"/>
      <c r="AM793" s="34"/>
      <c r="AN793" s="34"/>
      <c r="AO793" s="34"/>
      <c r="AP793" s="34"/>
      <c r="AQ793" s="34"/>
      <c r="AR793" s="34"/>
      <c r="AS793" s="34"/>
      <c r="AT793" s="34"/>
      <c r="AU793" s="34"/>
      <c r="AV793" s="34"/>
      <c r="AW793" s="34"/>
      <c r="AX793" s="34"/>
      <c r="AY793" s="34"/>
      <c r="AZ793" s="34"/>
      <c r="BA793" s="34"/>
      <c r="BB793" s="34"/>
      <c r="BC793" s="34"/>
      <c r="BD793" s="34"/>
      <c r="BE793" s="34"/>
      <c r="BF793" s="34"/>
      <c r="BG793" s="34"/>
      <c r="BH793" s="34"/>
      <c r="BI793" s="34"/>
      <c r="BJ793" s="34"/>
      <c r="BK793" s="34"/>
      <c r="BL793" s="34"/>
      <c r="BM793" s="34"/>
      <c r="BN793" s="34"/>
      <c r="BO793" s="34"/>
      <c r="BP793" s="34"/>
      <c r="BQ793" s="34"/>
      <c r="BR793" s="34"/>
      <c r="BS793" s="34"/>
      <c r="BT793" s="34"/>
      <c r="BU793" s="34"/>
      <c r="BV793" s="34"/>
      <c r="BW793" s="34"/>
      <c r="BX793" s="34"/>
      <c r="BY793" s="34"/>
      <c r="BZ793" s="34"/>
      <c r="CA793" s="34"/>
      <c r="CB793" s="34"/>
      <c r="CC793" s="34"/>
      <c r="CD793" s="34"/>
      <c r="CE793" s="34"/>
      <c r="CF793" s="34"/>
      <c r="CG793" s="34"/>
      <c r="CH793" s="34"/>
      <c r="CI793" s="8"/>
    </row>
    <row r="794" spans="1:87" x14ac:dyDescent="0.2">
      <c r="A794" s="8" t="str">
        <f>IF(AND(COUNTIF(W$3:W$13,A$31)&gt;0,A$31&lt;&gt;B546),A$31,IFERROR(IF(MATCH(A$31,Z$3:Z$13,0)=11,A$31," ")," "))</f>
        <v>C17</v>
      </c>
      <c r="B794" s="8">
        <f>IF(A794=" "," ",MAX(B778:B793)+1)</f>
        <v>6</v>
      </c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U794" s="34"/>
      <c r="V794" s="34"/>
      <c r="W794" s="34"/>
      <c r="X794" s="34"/>
      <c r="Y794" s="34"/>
      <c r="Z794" s="34"/>
      <c r="AA794" s="34"/>
      <c r="AB794" s="34"/>
      <c r="AC794" s="34"/>
      <c r="AD794" s="34"/>
      <c r="AE794" s="34"/>
      <c r="AF794" s="34"/>
      <c r="AG794" s="34"/>
      <c r="AH794" s="34"/>
      <c r="AI794" s="34"/>
      <c r="AJ794" s="34"/>
      <c r="AK794" s="34"/>
      <c r="AL794" s="34"/>
      <c r="AM794" s="34"/>
      <c r="AN794" s="34"/>
      <c r="AO794" s="34"/>
      <c r="AP794" s="34"/>
      <c r="AQ794" s="34"/>
      <c r="AR794" s="34"/>
      <c r="AS794" s="34"/>
      <c r="AT794" s="34"/>
      <c r="AU794" s="34"/>
      <c r="AV794" s="34"/>
      <c r="AW794" s="34"/>
      <c r="AX794" s="34"/>
      <c r="AY794" s="34"/>
      <c r="AZ794" s="34"/>
      <c r="BA794" s="34"/>
      <c r="BB794" s="34"/>
      <c r="BC794" s="34"/>
      <c r="BD794" s="34"/>
      <c r="BE794" s="34"/>
      <c r="BF794" s="34"/>
      <c r="BG794" s="34"/>
      <c r="BH794" s="34"/>
      <c r="BI794" s="34"/>
      <c r="BJ794" s="34"/>
      <c r="BK794" s="34"/>
      <c r="BL794" s="34"/>
      <c r="BM794" s="34"/>
      <c r="BN794" s="34"/>
      <c r="BO794" s="34"/>
      <c r="BP794" s="34"/>
      <c r="BQ794" s="34"/>
      <c r="BR794" s="34"/>
      <c r="BS794" s="34"/>
      <c r="BT794" s="34"/>
      <c r="BU794" s="34"/>
      <c r="BV794" s="34"/>
      <c r="BW794" s="34"/>
      <c r="BX794" s="34"/>
      <c r="BY794" s="34"/>
      <c r="BZ794" s="34"/>
      <c r="CA794" s="34"/>
      <c r="CB794" s="34"/>
      <c r="CC794" s="34"/>
      <c r="CD794" s="34"/>
      <c r="CE794" s="34"/>
      <c r="CF794" s="34"/>
      <c r="CG794" s="34"/>
      <c r="CH794" s="34"/>
      <c r="CI794" s="8"/>
    </row>
    <row r="795" spans="1:87" x14ac:dyDescent="0.2">
      <c r="A795" s="8" t="str">
        <f>IF(AND(COUNTIF(W$3:W$13,A$32)&gt;0,A$32&lt;&gt;B546),A$32,IFERROR(IF(MATCH(A$32,Z$3:Z$13,0)=11,A$32," ")," "))</f>
        <v>C18</v>
      </c>
      <c r="B795" s="8">
        <f>IF(A795=" "," ",MAX(B778:B794)+1)</f>
        <v>7</v>
      </c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U795" s="34"/>
      <c r="V795" s="34"/>
      <c r="W795" s="34"/>
      <c r="X795" s="34"/>
      <c r="Y795" s="34"/>
      <c r="Z795" s="34"/>
      <c r="AA795" s="34"/>
      <c r="AB795" s="34"/>
      <c r="AC795" s="34"/>
      <c r="AD795" s="34"/>
      <c r="AE795" s="34"/>
      <c r="AF795" s="34"/>
      <c r="AG795" s="34"/>
      <c r="AH795" s="34"/>
      <c r="AI795" s="34"/>
      <c r="AJ795" s="34"/>
      <c r="AK795" s="34"/>
      <c r="AL795" s="34"/>
      <c r="AM795" s="34"/>
      <c r="AN795" s="34"/>
      <c r="AO795" s="34"/>
      <c r="AP795" s="34"/>
      <c r="AQ795" s="34"/>
      <c r="AR795" s="34"/>
      <c r="AS795" s="34"/>
      <c r="AT795" s="34"/>
      <c r="AU795" s="34"/>
      <c r="AV795" s="34"/>
      <c r="AW795" s="34"/>
      <c r="AX795" s="34"/>
      <c r="AY795" s="34"/>
      <c r="AZ795" s="34"/>
      <c r="BA795" s="34"/>
      <c r="BB795" s="34"/>
      <c r="BC795" s="34"/>
      <c r="BD795" s="34"/>
      <c r="BE795" s="34"/>
      <c r="BF795" s="34"/>
      <c r="BG795" s="34"/>
      <c r="BH795" s="34"/>
      <c r="BI795" s="34"/>
      <c r="BJ795" s="34"/>
      <c r="BK795" s="34"/>
      <c r="BL795" s="34"/>
      <c r="BM795" s="34"/>
      <c r="BN795" s="34"/>
      <c r="BO795" s="34"/>
      <c r="BP795" s="34"/>
      <c r="BQ795" s="34"/>
      <c r="BR795" s="34"/>
      <c r="BS795" s="34"/>
      <c r="BT795" s="34"/>
      <c r="BU795" s="34"/>
      <c r="BV795" s="34"/>
      <c r="BW795" s="34"/>
      <c r="BX795" s="34"/>
      <c r="BY795" s="34"/>
      <c r="BZ795" s="34"/>
      <c r="CA795" s="34"/>
      <c r="CB795" s="34"/>
      <c r="CC795" s="34"/>
      <c r="CD795" s="34"/>
      <c r="CE795" s="34"/>
      <c r="CF795" s="34"/>
      <c r="CG795" s="34"/>
      <c r="CH795" s="34"/>
      <c r="CI795" s="8"/>
    </row>
    <row r="796" spans="1:87" x14ac:dyDescent="0.2">
      <c r="A796" s="8" t="str">
        <f>IF(AND(COUNTIF(W$3:W$13,A$33)&gt;0,A$33&lt;&gt;B546),A$33,IFERROR(IF(MATCH(A$33,Z$3:Z$13,0)=11,A$33," ")," "))</f>
        <v>C19</v>
      </c>
      <c r="B796" s="8">
        <f>IF(A796=" "," ",MAX(B778:B795)+1)</f>
        <v>8</v>
      </c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U796" s="34"/>
      <c r="V796" s="34"/>
      <c r="W796" s="34"/>
      <c r="X796" s="34"/>
      <c r="Y796" s="34"/>
      <c r="Z796" s="34"/>
      <c r="AA796" s="34"/>
      <c r="AB796" s="34"/>
      <c r="AC796" s="34"/>
      <c r="AD796" s="34"/>
      <c r="AE796" s="34"/>
      <c r="AF796" s="34"/>
      <c r="AG796" s="34"/>
      <c r="AH796" s="34"/>
      <c r="AI796" s="34"/>
      <c r="AJ796" s="34"/>
      <c r="AK796" s="34"/>
      <c r="AL796" s="34"/>
      <c r="AM796" s="34"/>
      <c r="AN796" s="34"/>
      <c r="AO796" s="34"/>
      <c r="AP796" s="34"/>
      <c r="AQ796" s="34"/>
      <c r="AR796" s="34"/>
      <c r="AS796" s="34"/>
      <c r="AT796" s="34"/>
      <c r="AU796" s="34"/>
      <c r="AV796" s="34"/>
      <c r="AW796" s="34"/>
      <c r="AX796" s="34"/>
      <c r="AY796" s="34"/>
      <c r="AZ796" s="34"/>
      <c r="BA796" s="34"/>
      <c r="BB796" s="34"/>
      <c r="BC796" s="34"/>
      <c r="BD796" s="34"/>
      <c r="BE796" s="34"/>
      <c r="BF796" s="34"/>
      <c r="BG796" s="34"/>
      <c r="BH796" s="34"/>
      <c r="BI796" s="34"/>
      <c r="BJ796" s="34"/>
      <c r="BK796" s="34"/>
      <c r="BL796" s="34"/>
      <c r="BM796" s="34"/>
      <c r="BN796" s="34"/>
      <c r="BO796" s="34"/>
      <c r="BP796" s="34"/>
      <c r="BQ796" s="34"/>
      <c r="BR796" s="34"/>
      <c r="BS796" s="34"/>
      <c r="BT796" s="34"/>
      <c r="BU796" s="34"/>
      <c r="BV796" s="34"/>
      <c r="BW796" s="34"/>
      <c r="BX796" s="34"/>
      <c r="BY796" s="34"/>
      <c r="BZ796" s="34"/>
      <c r="CA796" s="34"/>
      <c r="CB796" s="34"/>
      <c r="CC796" s="34"/>
      <c r="CD796" s="34"/>
      <c r="CE796" s="34"/>
      <c r="CF796" s="34"/>
      <c r="CG796" s="34"/>
      <c r="CH796" s="34"/>
      <c r="CI796" s="8"/>
    </row>
    <row r="797" spans="1:87" x14ac:dyDescent="0.2">
      <c r="A797" s="8" t="str">
        <f>IF(AND(COUNTIF(W$3:W$13,A$34)&gt;0,A$34&lt;&gt;B546),A$34,IFERROR(IF(MATCH(A$34,Z$3:Z$13,0)=11,A$34," ")," "))</f>
        <v>C20</v>
      </c>
      <c r="B797" s="8">
        <f>IF(A797=" "," ",MAX(B778:B796)+1)</f>
        <v>9</v>
      </c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U797" s="34"/>
      <c r="V797" s="34"/>
      <c r="W797" s="34"/>
      <c r="X797" s="34"/>
      <c r="Y797" s="34"/>
      <c r="Z797" s="34"/>
      <c r="AA797" s="34"/>
      <c r="AB797" s="34"/>
      <c r="AC797" s="34"/>
      <c r="AD797" s="34"/>
      <c r="AE797" s="34"/>
      <c r="AF797" s="34"/>
      <c r="AG797" s="34"/>
      <c r="AH797" s="34"/>
      <c r="AI797" s="34"/>
      <c r="AJ797" s="34"/>
      <c r="AK797" s="34"/>
      <c r="AL797" s="34"/>
      <c r="AM797" s="34"/>
      <c r="AN797" s="34"/>
      <c r="AO797" s="34"/>
      <c r="AP797" s="34"/>
      <c r="AQ797" s="34"/>
      <c r="AR797" s="34"/>
      <c r="AS797" s="34"/>
      <c r="AT797" s="34"/>
      <c r="AU797" s="34"/>
      <c r="AV797" s="34"/>
      <c r="AW797" s="34"/>
      <c r="AX797" s="34"/>
      <c r="AY797" s="34"/>
      <c r="AZ797" s="34"/>
      <c r="BA797" s="34"/>
      <c r="BB797" s="34"/>
      <c r="BC797" s="34"/>
      <c r="BD797" s="34"/>
      <c r="BE797" s="34"/>
      <c r="BF797" s="34"/>
      <c r="BG797" s="34"/>
      <c r="BH797" s="34"/>
      <c r="BI797" s="34"/>
      <c r="BJ797" s="34"/>
      <c r="BK797" s="34"/>
      <c r="BL797" s="34"/>
      <c r="BM797" s="34"/>
      <c r="BN797" s="34"/>
      <c r="BO797" s="34"/>
      <c r="BP797" s="34"/>
      <c r="BQ797" s="34"/>
      <c r="BR797" s="34"/>
      <c r="BS797" s="34"/>
      <c r="BT797" s="34"/>
      <c r="BU797" s="34"/>
      <c r="BV797" s="34"/>
      <c r="BW797" s="34"/>
      <c r="BX797" s="34"/>
      <c r="BY797" s="34"/>
      <c r="BZ797" s="34"/>
      <c r="CA797" s="34"/>
      <c r="CB797" s="34"/>
      <c r="CC797" s="34"/>
      <c r="CD797" s="34"/>
      <c r="CE797" s="34"/>
      <c r="CF797" s="34"/>
      <c r="CG797" s="34"/>
      <c r="CH797" s="34"/>
      <c r="CI797" s="8"/>
    </row>
    <row r="798" spans="1:87" x14ac:dyDescent="0.2">
      <c r="A798" s="8" t="str">
        <f>IF(AND(COUNTIF(W$3:W$13,A$35)&gt;0,A$35&lt;&gt;B546),A$35,IFERROR(IF(MATCH(A$35,Z$3:Z$13,0)=11,A$35," ")," "))</f>
        <v>C21</v>
      </c>
      <c r="B798" s="8">
        <f>IF(A798=" "," ",MAX(B778:B797)+1)</f>
        <v>10</v>
      </c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U798" s="34"/>
      <c r="V798" s="34"/>
      <c r="W798" s="34"/>
      <c r="X798" s="34"/>
      <c r="Y798" s="34"/>
      <c r="Z798" s="34"/>
      <c r="AA798" s="34"/>
      <c r="AB798" s="34"/>
      <c r="AC798" s="34"/>
      <c r="AD798" s="34"/>
      <c r="AE798" s="34"/>
      <c r="AF798" s="34"/>
      <c r="AG798" s="34"/>
      <c r="AH798" s="34"/>
      <c r="AI798" s="34"/>
      <c r="AJ798" s="34"/>
      <c r="AK798" s="34"/>
      <c r="AL798" s="34"/>
      <c r="AM798" s="34"/>
      <c r="AN798" s="34"/>
      <c r="AO798" s="34"/>
      <c r="AP798" s="34"/>
      <c r="AQ798" s="34"/>
      <c r="AR798" s="34"/>
      <c r="AS798" s="34"/>
      <c r="AT798" s="34"/>
      <c r="AU798" s="34"/>
      <c r="AV798" s="34"/>
      <c r="AW798" s="34"/>
      <c r="AX798" s="34"/>
      <c r="AY798" s="34"/>
      <c r="AZ798" s="34"/>
      <c r="BA798" s="34"/>
      <c r="BB798" s="34"/>
      <c r="BC798" s="34"/>
      <c r="BD798" s="34"/>
      <c r="BE798" s="34"/>
      <c r="BF798" s="34"/>
      <c r="BG798" s="34"/>
      <c r="BH798" s="34"/>
      <c r="BI798" s="34"/>
      <c r="BJ798" s="34"/>
      <c r="BK798" s="34"/>
      <c r="BL798" s="34"/>
      <c r="BM798" s="34"/>
      <c r="BN798" s="34"/>
      <c r="BO798" s="34"/>
      <c r="BP798" s="34"/>
      <c r="BQ798" s="34"/>
      <c r="BR798" s="34"/>
      <c r="BS798" s="34"/>
      <c r="BT798" s="34"/>
      <c r="BU798" s="34"/>
      <c r="BV798" s="34"/>
      <c r="BW798" s="34"/>
      <c r="BX798" s="34"/>
      <c r="BY798" s="34"/>
      <c r="BZ798" s="34"/>
      <c r="CA798" s="34"/>
      <c r="CB798" s="34"/>
      <c r="CC798" s="34"/>
      <c r="CD798" s="34"/>
      <c r="CE798" s="34"/>
      <c r="CF798" s="34"/>
      <c r="CG798" s="34"/>
      <c r="CH798" s="34"/>
      <c r="CI798" s="8"/>
    </row>
    <row r="799" spans="1:87" x14ac:dyDescent="0.2">
      <c r="A799" s="8" t="str">
        <f>IF(AND(COUNTIF(W$3:W$13,A$36)&gt;0,A$36&lt;&gt;B546),A$36,IFERROR(IF(MATCH(A$36,Z$3:Z$13,0)=11,A$36," ")," "))</f>
        <v>C22</v>
      </c>
      <c r="B799" s="8">
        <f>IF(A799=" "," ",MAX(B778:B798)+1)</f>
        <v>11</v>
      </c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U799" s="34"/>
      <c r="V799" s="34"/>
      <c r="W799" s="34"/>
      <c r="X799" s="34"/>
      <c r="Y799" s="34"/>
      <c r="Z799" s="34"/>
      <c r="AA799" s="34"/>
      <c r="AB799" s="34"/>
      <c r="AC799" s="34"/>
      <c r="AD799" s="34"/>
      <c r="AE799" s="34"/>
      <c r="AF799" s="34"/>
      <c r="AG799" s="34"/>
      <c r="AH799" s="34"/>
      <c r="AI799" s="34"/>
      <c r="AJ799" s="34"/>
      <c r="AK799" s="34"/>
      <c r="AL799" s="34"/>
      <c r="AM799" s="34"/>
      <c r="AN799" s="34"/>
      <c r="AO799" s="34"/>
      <c r="AP799" s="34"/>
      <c r="AQ799" s="34"/>
      <c r="AR799" s="34"/>
      <c r="AS799" s="34"/>
      <c r="AT799" s="34"/>
      <c r="AU799" s="34"/>
      <c r="AV799" s="34"/>
      <c r="AW799" s="34"/>
      <c r="AX799" s="34"/>
      <c r="AY799" s="34"/>
      <c r="AZ799" s="34"/>
      <c r="BA799" s="34"/>
      <c r="BB799" s="34"/>
      <c r="BC799" s="34"/>
      <c r="BD799" s="34"/>
      <c r="BE799" s="34"/>
      <c r="BF799" s="34"/>
      <c r="BG799" s="34"/>
      <c r="BH799" s="34"/>
      <c r="BI799" s="34"/>
      <c r="BJ799" s="34"/>
      <c r="BK799" s="34"/>
      <c r="BL799" s="34"/>
      <c r="BM799" s="34"/>
      <c r="BN799" s="34"/>
      <c r="BO799" s="34"/>
      <c r="BP799" s="34"/>
      <c r="BQ799" s="34"/>
      <c r="BR799" s="34"/>
      <c r="BS799" s="34"/>
      <c r="BT799" s="34"/>
      <c r="BU799" s="34"/>
      <c r="BV799" s="34"/>
      <c r="BW799" s="34"/>
      <c r="BX799" s="34"/>
      <c r="BY799" s="34"/>
      <c r="BZ799" s="34"/>
      <c r="CA799" s="34"/>
      <c r="CB799" s="34"/>
      <c r="CC799" s="34"/>
      <c r="CD799" s="34"/>
      <c r="CE799" s="34"/>
      <c r="CF799" s="34"/>
      <c r="CG799" s="34"/>
      <c r="CH799" s="34"/>
      <c r="CI799" s="8"/>
    </row>
    <row r="800" spans="1:87" s="16" customFormat="1" x14ac:dyDescent="0.2">
      <c r="A800" s="28"/>
      <c r="B800" s="49" t="str">
        <f>W6</f>
        <v>C15</v>
      </c>
      <c r="C800" s="49"/>
      <c r="D800" s="49"/>
      <c r="E800" s="49"/>
      <c r="F800" s="49"/>
      <c r="G800" s="49"/>
      <c r="H800" s="49"/>
      <c r="I800" s="49"/>
      <c r="J800" s="49"/>
      <c r="K800" s="49"/>
      <c r="L800" s="49"/>
      <c r="M800" s="49"/>
      <c r="N800" s="49"/>
      <c r="O800" s="49"/>
      <c r="P800" s="49"/>
      <c r="Q800" s="49"/>
      <c r="R800" s="28" t="e">
        <f>(N$2*INDEX(Q801:R1053,MATCH(T800,R801:R1053,0),1)+N$3*INDEX(Q801:R1053,MATCH(T800,R801:R1053,0)+1,1)+N$4*INDEX(Q801:R1053,MATCH(T800,R801:R1053,0)+2,1)+N$5*INDEX(Q801:R1053,MATCH(T800,R801:R1053,0)+3,1)+N$6*INDEX(Q801:R1053,MATCH(T800,R801:R1053,0)+4,1)+N$7*INDEX(Q801:R1053,MATCH(T800,R801:R1053,0)+5,1)+N$8*INDEX(Q801:R1053,MATCH(T800,R801:R1053,0)+6,1)+N$9*INDEX(Q801:R1053,MATCH(T800,R801:R1053,0)+7,1)+N$10*INDEX(Q801:R1053,MATCH(T800,R801:R1053,0)+8,1)+N$11*INDEX(Q801:R1053,MATCH(T800,R801:R1053,0)+9,1)+N$12*INDEX(Q801:R1053,MATCH(T800,R801:R1053,0)+10,1)-N$2*INDEX(Q801:R1053,MATCH(S800,R801:R1053,0),1)-N$3*INDEX(Q801:R1053,MATCH(S800,R801:R1053,0)+1,1)-N$4*INDEX(Q801:R1053,MATCH(S800,R801:R1053,0)+2,1)-N$5*INDEX(Q801:R1053,MATCH(S800,R801:R1053,0)+3,1)-N$6*INDEX(Q801:R1053,MATCH(S800,R801:R1053,0)+4,1)-N$7*INDEX(Q801:R1053,MATCH(S800,R801:R1053,0)+5,1)-N$8*INDEX(Q801:R1053,MATCH(S800,R801:R1053,0)+6,1)-N$9*INDEX(Q801:R1053,MATCH(S800,R801:R1053,0)+7,1)-N$10*INDEX(Q801:R1053,MATCH(S800,R801:R1053,0)+8,1)-N$11*INDEX(Q801:R1053,MATCH(S800,R801:R1053,0)+9,1)-N$12*INDEX(Q801:R1053,MATCH(S800,R801:R1053,0)+10,1))/(T800-S800)</f>
        <v>#N/A</v>
      </c>
      <c r="S800" s="28" t="e">
        <f>INDEX(R802:T1053,MATCH(MAX(S802:S1053),S802:S1053,0),1)</f>
        <v>#N/A</v>
      </c>
      <c r="T800" s="20" t="e">
        <f>INDEX(R802:T1053,MATCH(MIN(T802:T1053),T802:T1053,0),1)</f>
        <v>#N/A</v>
      </c>
      <c r="U800" s="50" t="str">
        <f t="shared" ref="U800" si="3287">A$2</f>
        <v>X1</v>
      </c>
      <c r="V800" s="49"/>
      <c r="W800" s="49"/>
      <c r="X800" s="49"/>
      <c r="Y800" s="35" t="str">
        <f t="shared" ref="Y800" si="3288">IF(INDEX($A$15:$N$36,MATCH($B800,$A$15:$A$36,0),14)&lt;&gt;"=",IFERROR(INDEX(X801:Z1053,MATCH(MAX(Y801:Y1053),Y801:Y1053,0),1)," ")," ")</f>
        <v xml:space="preserve"> </v>
      </c>
      <c r="Z800" s="35" t="str">
        <f t="shared" ref="Z800" si="3289">IF(INDEX($A$15:$N$36,MATCH($B800,$A$15:$A$36,0),14)&lt;&gt;"=",IFERROR(INDEX(X801:Z1053,MATCH(MIN(Z801:Z1053),Z801:Z1053,0),1)," ")," ")</f>
        <v xml:space="preserve"> </v>
      </c>
      <c r="AA800" s="49" t="str">
        <f t="shared" ref="AA800" si="3290">A$3</f>
        <v>X2</v>
      </c>
      <c r="AB800" s="49"/>
      <c r="AC800" s="49"/>
      <c r="AD800" s="49"/>
      <c r="AE800" s="35" t="str">
        <f t="shared" ref="AE800" si="3291">IF(INDEX($A$15:$N$36,MATCH($B800,$A$15:$A$36,0),14)&lt;&gt;"=",IFERROR(INDEX(AD801:AF1053,MATCH(MAX(AE801:AE1053),AE801:AE1053,0),1)," ")," ")</f>
        <v xml:space="preserve"> </v>
      </c>
      <c r="AF800" s="35" t="str">
        <f t="shared" ref="AF800" si="3292">IF(INDEX($A$15:$N$36,MATCH($B800,$A$15:$A$36,0),14)&lt;&gt;"=",IFERROR(INDEX(AD801:AF1053,MATCH(MIN(AF801:AF1053),AF801:AF1053,0),1)," ")," ")</f>
        <v xml:space="preserve"> </v>
      </c>
      <c r="AG800" s="49" t="str">
        <f t="shared" ref="AG800" si="3293">A$4</f>
        <v>X3</v>
      </c>
      <c r="AH800" s="49"/>
      <c r="AI800" s="49"/>
      <c r="AJ800" s="49"/>
      <c r="AK800" s="35" t="str">
        <f t="shared" ref="AK800" si="3294">IF(INDEX($A$15:$N$36,MATCH($B800,$A$15:$A$36,0),14)&lt;&gt;"=",IFERROR(INDEX(AJ801:AL1053,MATCH(MAX(AK801:AK1053),AK801:AK1053,0),1)," ")," ")</f>
        <v xml:space="preserve"> </v>
      </c>
      <c r="AL800" s="35" t="str">
        <f t="shared" ref="AL800" si="3295">IF(INDEX($A$15:$N$36,MATCH($B800,$A$15:$A$36,0),14)&lt;&gt;"=",IFERROR(INDEX(AJ801:AL1053,MATCH(MIN(AL801:AL1053),AL801:AL1053,0),1)," ")," ")</f>
        <v xml:space="preserve"> </v>
      </c>
      <c r="AM800" s="49" t="str">
        <f t="shared" ref="AM800" si="3296">A$5</f>
        <v>X4</v>
      </c>
      <c r="AN800" s="49"/>
      <c r="AO800" s="49"/>
      <c r="AP800" s="49"/>
      <c r="AQ800" s="35" t="str">
        <f t="shared" ref="AQ800" si="3297">IF(INDEX($A$15:$N$36,MATCH($B800,$A$15:$A$36,0),14)&lt;&gt;"=",IFERROR(INDEX(AP801:AR1053,MATCH(MAX(AQ801:AQ1053),AQ801:AQ1053,0),1)," ")," ")</f>
        <v xml:space="preserve"> </v>
      </c>
      <c r="AR800" s="35" t="str">
        <f t="shared" ref="AR800" si="3298">IF(INDEX($A$15:$N$36,MATCH($B800,$A$15:$A$36,0),14)&lt;&gt;"=",IFERROR(INDEX(AP801:AR1053,MATCH(MIN(AR801:AR1053),AR801:AR1053,0),1)," ")," ")</f>
        <v xml:space="preserve"> </v>
      </c>
      <c r="AS800" s="49" t="str">
        <f t="shared" ref="AS800" si="3299">A$6</f>
        <v>X5</v>
      </c>
      <c r="AT800" s="49"/>
      <c r="AU800" s="49"/>
      <c r="AV800" s="49"/>
      <c r="AW800" s="35" t="str">
        <f t="shared" ref="AW800" si="3300">IF(INDEX($A$15:$N$36,MATCH($B800,$A$15:$A$36,0),14)&lt;&gt;"=",IFERROR(INDEX(AV801:AX1053,MATCH(MAX(AW801:AW1053),AW801:AW1053,0),1)," ")," ")</f>
        <v xml:space="preserve"> </v>
      </c>
      <c r="AX800" s="35" t="str">
        <f t="shared" ref="AX800" si="3301">IF(INDEX($A$15:$N$36,MATCH($B800,$A$15:$A$36,0),14)&lt;&gt;"=",IFERROR(INDEX(AV801:AX1053,MATCH(MIN(AX801:AX1053),AX801:AX1053,0),1)," ")," ")</f>
        <v xml:space="preserve"> </v>
      </c>
      <c r="AY800" s="49" t="str">
        <f t="shared" ref="AY800" si="3302">A$7</f>
        <v>X6</v>
      </c>
      <c r="AZ800" s="49"/>
      <c r="BA800" s="49"/>
      <c r="BB800" s="49"/>
      <c r="BC800" s="35" t="str">
        <f t="shared" ref="BC800" si="3303">IF(INDEX($A$15:$N$36,MATCH($B800,$A$15:$A$36,0),14)&lt;&gt;"=",IFERROR(INDEX(BB801:BD1053,MATCH(MAX(BC801:BC1053),BC801:BC1053,0),1)," ")," ")</f>
        <v xml:space="preserve"> </v>
      </c>
      <c r="BD800" s="35" t="str">
        <f t="shared" ref="BD800" si="3304">IF(INDEX($A$15:$N$36,MATCH($B800,$A$15:$A$36,0),14)&lt;&gt;"=",IFERROR(INDEX(BB801:BD1053,MATCH(MIN(BD801:BD1053),BD801:BD1053,0),1)," ")," ")</f>
        <v xml:space="preserve"> </v>
      </c>
      <c r="BE800" s="49" t="str">
        <f t="shared" ref="BE800" si="3305">A$8</f>
        <v>X7</v>
      </c>
      <c r="BF800" s="49"/>
      <c r="BG800" s="49"/>
      <c r="BH800" s="49"/>
      <c r="BI800" s="35" t="str">
        <f t="shared" ref="BI800" si="3306">IF(INDEX($A$15:$N$36,MATCH($B800,$A$15:$A$36,0),14)&lt;&gt;"=",IFERROR(INDEX(BH801:BJ1053,MATCH(MAX(BI801:BI1053),BI801:BI1053,0),1)," ")," ")</f>
        <v xml:space="preserve"> </v>
      </c>
      <c r="BJ800" s="35" t="str">
        <f t="shared" ref="BJ800" si="3307">IF(INDEX($A$15:$N$36,MATCH($B800,$A$15:$A$36,0),14)&lt;&gt;"=",IFERROR(INDEX(BH801:BJ1053,MATCH(MIN(BJ801:BJ1053),BJ801:BJ1053,0),1)," ")," ")</f>
        <v xml:space="preserve"> </v>
      </c>
      <c r="BK800" s="49" t="str">
        <f t="shared" ref="BK800" si="3308">A$9</f>
        <v>X8</v>
      </c>
      <c r="BL800" s="49"/>
      <c r="BM800" s="49"/>
      <c r="BN800" s="49"/>
      <c r="BO800" s="35" t="str">
        <f t="shared" ref="BO800" si="3309">IF(INDEX($A$15:$N$36,MATCH($B800,$A$15:$A$36,0),14)&lt;&gt;"=",IFERROR(INDEX(BN801:BP1053,MATCH(MAX(BO801:BO1053),BO801:BO1053,0),1)," ")," ")</f>
        <v xml:space="preserve"> </v>
      </c>
      <c r="BP800" s="35" t="str">
        <f t="shared" ref="BP800" si="3310">IF(INDEX($A$15:$N$36,MATCH($B800,$A$15:$A$36,0),14)&lt;&gt;"=",IFERROR(INDEX(BN801:BP1053,MATCH(MIN(BP801:BP1053),BP801:BP1053,0),1)," ")," ")</f>
        <v xml:space="preserve"> </v>
      </c>
      <c r="BQ800" s="49" t="str">
        <f t="shared" ref="BQ800" si="3311">A$10</f>
        <v>X9</v>
      </c>
      <c r="BR800" s="49"/>
      <c r="BS800" s="49"/>
      <c r="BT800" s="49"/>
      <c r="BU800" s="35" t="str">
        <f t="shared" ref="BU800" si="3312">IF(INDEX($A$15:$N$36,MATCH($B800,$A$15:$A$36,0),14)&lt;&gt;"=",IFERROR(INDEX(BT801:BV1053,MATCH(MAX(BU801:BU1053),BU801:BU1053,0),1)," ")," ")</f>
        <v xml:space="preserve"> </v>
      </c>
      <c r="BV800" s="35" t="str">
        <f t="shared" ref="BV800" si="3313">IF(INDEX($A$15:$N$36,MATCH($B800,$A$15:$A$36,0),14)&lt;&gt;"=",IFERROR(INDEX(BT801:BV1053,MATCH(MIN(BV801:BV1053),BV801:BV1053,0),1)," ")," ")</f>
        <v xml:space="preserve"> </v>
      </c>
      <c r="BW800" s="49" t="str">
        <f t="shared" ref="BW800" si="3314">A$11</f>
        <v>X10</v>
      </c>
      <c r="BX800" s="49"/>
      <c r="BY800" s="49"/>
      <c r="BZ800" s="49"/>
      <c r="CA800" s="35" t="str">
        <f t="shared" ref="CA800" si="3315">IF(INDEX($A$15:$N$36,MATCH($B800,$A$15:$A$36,0),14)&lt;&gt;"=",IFERROR(INDEX(BZ801:CB1053,MATCH(MAX(CA801:CA1053),CA801:CA1053,0),1)," ")," ")</f>
        <v xml:space="preserve"> </v>
      </c>
      <c r="CB800" s="35" t="str">
        <f t="shared" ref="CB800" si="3316">IF(INDEX($A$15:$N$36,MATCH($B800,$A$15:$A$36,0),14)&lt;&gt;"=",IFERROR(INDEX(BZ801:CB1053,MATCH(MIN(CB801:CB1053),CB801:CB1053,0),1)," ")," ")</f>
        <v xml:space="preserve"> </v>
      </c>
      <c r="CC800" s="49" t="str">
        <f t="shared" ref="CC800" si="3317">A$12</f>
        <v>X11</v>
      </c>
      <c r="CD800" s="49"/>
      <c r="CE800" s="49"/>
      <c r="CF800" s="49"/>
      <c r="CG800" s="35" t="str">
        <f t="shared" ref="CG800" si="3318">IF(INDEX($A$15:$N$36,MATCH($B800,$A$15:$A$36,0),14)&lt;&gt;"=",IFERROR(INDEX(CF801:CH1053,MATCH(MAX(CG801:CG1053),CG801:CG1053,0),1)," ")," ")</f>
        <v xml:space="preserve"> </v>
      </c>
      <c r="CH800" s="35" t="str">
        <f t="shared" ref="CH800" si="3319">IF(INDEX($A$15:$N$36,MATCH($B800,$A$15:$A$36,0),14)&lt;&gt;"=",IFERROR(INDEX(CF801:CH1053,MATCH(MIN(CH801:CH1053),CH801:CH1053,0),1)," ")," ")</f>
        <v xml:space="preserve"> </v>
      </c>
    </row>
    <row r="801" spans="1:87" x14ac:dyDescent="0.2">
      <c r="A801" s="11" t="s">
        <v>17</v>
      </c>
      <c r="B801" s="11"/>
      <c r="C801" s="27" t="s">
        <v>18</v>
      </c>
      <c r="D801" s="27" t="s">
        <v>2</v>
      </c>
      <c r="E801" s="27" t="s">
        <v>6</v>
      </c>
      <c r="F801" s="27" t="s">
        <v>15</v>
      </c>
      <c r="G801" s="27" t="s">
        <v>36</v>
      </c>
      <c r="H801" s="27" t="s">
        <v>37</v>
      </c>
      <c r="I801" s="27" t="s">
        <v>38</v>
      </c>
      <c r="J801" s="27" t="s">
        <v>39</v>
      </c>
      <c r="K801" s="27" t="s">
        <v>40</v>
      </c>
      <c r="L801" s="27" t="s">
        <v>41</v>
      </c>
      <c r="M801" s="27" t="s">
        <v>42</v>
      </c>
      <c r="N801" s="27" t="s">
        <v>43</v>
      </c>
      <c r="O801" s="27" t="s">
        <v>9</v>
      </c>
      <c r="P801" s="27" t="s">
        <v>12</v>
      </c>
      <c r="Q801" s="27" t="s">
        <v>19</v>
      </c>
      <c r="R801" s="27" t="s">
        <v>55</v>
      </c>
      <c r="S801" s="27" t="s">
        <v>26</v>
      </c>
      <c r="T801" s="19" t="s">
        <v>25</v>
      </c>
      <c r="U801" s="33" t="s">
        <v>27</v>
      </c>
      <c r="V801" s="33" t="s">
        <v>9</v>
      </c>
      <c r="W801" s="33" t="s">
        <v>23</v>
      </c>
      <c r="X801" s="33" t="s">
        <v>12</v>
      </c>
      <c r="Y801" s="33" t="s">
        <v>26</v>
      </c>
      <c r="Z801" s="33" t="s">
        <v>25</v>
      </c>
      <c r="AA801" s="33" t="s">
        <v>27</v>
      </c>
      <c r="AB801" s="33" t="s">
        <v>9</v>
      </c>
      <c r="AC801" s="33" t="s">
        <v>23</v>
      </c>
      <c r="AD801" s="33" t="s">
        <v>12</v>
      </c>
      <c r="AE801" s="33" t="s">
        <v>26</v>
      </c>
      <c r="AF801" s="33" t="s">
        <v>25</v>
      </c>
      <c r="AG801" s="33" t="s">
        <v>27</v>
      </c>
      <c r="AH801" s="33" t="s">
        <v>9</v>
      </c>
      <c r="AI801" s="33" t="s">
        <v>23</v>
      </c>
      <c r="AJ801" s="33" t="s">
        <v>12</v>
      </c>
      <c r="AK801" s="33" t="s">
        <v>26</v>
      </c>
      <c r="AL801" s="33" t="s">
        <v>25</v>
      </c>
      <c r="AM801" s="33" t="s">
        <v>27</v>
      </c>
      <c r="AN801" s="33" t="s">
        <v>9</v>
      </c>
      <c r="AO801" s="33" t="s">
        <v>23</v>
      </c>
      <c r="AP801" s="33" t="s">
        <v>12</v>
      </c>
      <c r="AQ801" s="33" t="s">
        <v>26</v>
      </c>
      <c r="AR801" s="33" t="s">
        <v>25</v>
      </c>
      <c r="AS801" s="33" t="s">
        <v>27</v>
      </c>
      <c r="AT801" s="33" t="s">
        <v>9</v>
      </c>
      <c r="AU801" s="33" t="s">
        <v>23</v>
      </c>
      <c r="AV801" s="33" t="s">
        <v>12</v>
      </c>
      <c r="AW801" s="33" t="s">
        <v>26</v>
      </c>
      <c r="AX801" s="33" t="s">
        <v>25</v>
      </c>
      <c r="AY801" s="33" t="s">
        <v>27</v>
      </c>
      <c r="AZ801" s="33" t="s">
        <v>9</v>
      </c>
      <c r="BA801" s="33" t="s">
        <v>23</v>
      </c>
      <c r="BB801" s="33" t="s">
        <v>12</v>
      </c>
      <c r="BC801" s="33" t="s">
        <v>26</v>
      </c>
      <c r="BD801" s="33" t="s">
        <v>25</v>
      </c>
      <c r="BE801" s="33" t="s">
        <v>27</v>
      </c>
      <c r="BF801" s="33" t="s">
        <v>9</v>
      </c>
      <c r="BG801" s="33" t="s">
        <v>23</v>
      </c>
      <c r="BH801" s="33" t="s">
        <v>12</v>
      </c>
      <c r="BI801" s="33" t="s">
        <v>26</v>
      </c>
      <c r="BJ801" s="33" t="s">
        <v>25</v>
      </c>
      <c r="BK801" s="33" t="s">
        <v>27</v>
      </c>
      <c r="BL801" s="33" t="s">
        <v>9</v>
      </c>
      <c r="BM801" s="33" t="s">
        <v>23</v>
      </c>
      <c r="BN801" s="33" t="s">
        <v>12</v>
      </c>
      <c r="BO801" s="33" t="s">
        <v>26</v>
      </c>
      <c r="BP801" s="33" t="s">
        <v>25</v>
      </c>
      <c r="BQ801" s="33" t="s">
        <v>27</v>
      </c>
      <c r="BR801" s="33" t="s">
        <v>9</v>
      </c>
      <c r="BS801" s="33" t="s">
        <v>23</v>
      </c>
      <c r="BT801" s="33" t="s">
        <v>12</v>
      </c>
      <c r="BU801" s="33" t="s">
        <v>26</v>
      </c>
      <c r="BV801" s="33" t="s">
        <v>25</v>
      </c>
      <c r="BW801" s="33" t="s">
        <v>27</v>
      </c>
      <c r="BX801" s="33" t="s">
        <v>9</v>
      </c>
      <c r="BY801" s="33" t="s">
        <v>23</v>
      </c>
      <c r="BZ801" s="33" t="s">
        <v>12</v>
      </c>
      <c r="CA801" s="33" t="s">
        <v>26</v>
      </c>
      <c r="CB801" s="33" t="s">
        <v>25</v>
      </c>
      <c r="CC801" s="33" t="s">
        <v>27</v>
      </c>
      <c r="CD801" s="33" t="s">
        <v>9</v>
      </c>
      <c r="CE801" s="33" t="s">
        <v>23</v>
      </c>
      <c r="CF801" s="33" t="s">
        <v>12</v>
      </c>
      <c r="CG801" s="33" t="s">
        <v>26</v>
      </c>
      <c r="CH801" s="33" t="s">
        <v>25</v>
      </c>
      <c r="CI801" s="8"/>
    </row>
    <row r="802" spans="1:87" x14ac:dyDescent="0.2">
      <c r="A802" s="8" t="str">
        <f>IF(AND(COUNTIF(W$3:W$13,A$15)&gt;0,A$15&lt;&gt;B800),A$15,IFERROR(IF(MATCH(A$15,Z$3:Z$13,0)=1,A$15," ")," "))</f>
        <v>C1</v>
      </c>
      <c r="B802" s="8">
        <f>IF(A802=" "," ",1)</f>
        <v>1</v>
      </c>
      <c r="C802" s="8" t="str">
        <f>IFERROR(INDEX(A802:A823,MATCH(SMALL(B802:B823,1),B802:B823,0),1)," ")</f>
        <v>C1</v>
      </c>
      <c r="D802" s="8">
        <f>IFERROR(VLOOKUP($C802,$A$15:$O$36,2,FALSE)," ")</f>
        <v>1</v>
      </c>
      <c r="E802" s="8">
        <f>IFERROR(VLOOKUP($C802,$A$15:$O$36,3,FALSE)," ")</f>
        <v>1</v>
      </c>
      <c r="F802" s="8">
        <f>IFERROR(VLOOKUP($C802,$A$15:$O$36,4,FALSE)," ")</f>
        <v>1</v>
      </c>
      <c r="G802" s="8">
        <f>IFERROR(VLOOKUP($C802,$A$15:$O$36,5,FALSE)," ")</f>
        <v>0</v>
      </c>
      <c r="H802" s="8">
        <f>IFERROR(VLOOKUP($C802,$A$15:$O$36,6,FALSE)," ")</f>
        <v>0</v>
      </c>
      <c r="I802" s="8">
        <f>IFERROR(VLOOKUP($C802,$A$15:$O$36,7,FALSE)," ")</f>
        <v>0</v>
      </c>
      <c r="J802" s="8">
        <f>IFERROR(VLOOKUP($C802,$A$15:$O$36,8,FALSE)," ")</f>
        <v>0</v>
      </c>
      <c r="K802" s="8">
        <f>IFERROR(VLOOKUP($C802,$A$15:$O$36,9,FALSE)," ")</f>
        <v>0</v>
      </c>
      <c r="L802" s="8">
        <f>IFERROR(VLOOKUP($C802,$A$15:$O$36,10,FALSE)," ")</f>
        <v>0</v>
      </c>
      <c r="M802" s="8">
        <f>IFERROR(VLOOKUP($C802,$A$15:$O$36,11,FALSE)," ")</f>
        <v>0</v>
      </c>
      <c r="N802" s="8">
        <f>IFERROR(VLOOKUP($C802,$A$15:$O$36,12,FALSE)," ")</f>
        <v>0</v>
      </c>
      <c r="O802" s="8">
        <f>IFERROR(VLOOKUP($C802,$A$15:$O$36,15,FALSE)," ")</f>
        <v>550</v>
      </c>
      <c r="P802" s="8" t="e">
        <f t="array" ref="P802:P812">MMULT(MINVERSE(D802:N812),O802:O812)</f>
        <v>#NUM!</v>
      </c>
      <c r="Q802" s="8" t="e">
        <f t="shared" ref="Q802" si="3320">IF(COUNTIF(P802:P812,"&lt;"&amp;-0.001)=0,IF(ABS(P802)&lt;0.001,0,P802)," ")</f>
        <v>#NUM!</v>
      </c>
      <c r="R802" s="8" t="str">
        <f>IFERROR(VLOOKUP(B800,A$15:L$36,2,FALSE)*Q802+VLOOKUP(B800,A$15:L$36,3,FALSE)*Q803+VLOOKUP(B800,A$15:L$36,4,FALSE)*Q804+VLOOKUP(B800,A$15:L$36,5,FALSE)*Q805+VLOOKUP(B800,A$15:L$36,6,FALSE)*Q806+VLOOKUP(B800,A$15:L$36,7,FALSE)*Q807+VLOOKUP(B800,A$15:L$36,8,FALSE)*Q808+VLOOKUP(B800,A$15:L$36,9,FALSE)*Q809+VLOOKUP(B800,A$15:L$36,10,FALSE)*Q810+VLOOKUP(B800,A$15:L$36,11,FALSE)*Q811+VLOOKUP(B800,A$15:L$36,12,FALSE)*Q812," ")</f>
        <v xml:space="preserve"> </v>
      </c>
      <c r="S802" s="8" t="str">
        <f>IFERROR(IF(R802-VLOOKUP(B800,A$15:O$36,15,FALSE)&lt;0,R802-VLOOKUP(B800,A$15:O$36,15,FALSE)," ")," ")</f>
        <v xml:space="preserve"> </v>
      </c>
      <c r="T802" s="18" t="str">
        <f>IFERROR(IF(R802-VLOOKUP(B800,A$15:O$36,15,FALSE)&gt;0,R802-VLOOKUP(B800,A$15:O$36,15,FALSE)," ")," ")</f>
        <v xml:space="preserve"> </v>
      </c>
      <c r="U802" s="34">
        <f t="shared" ref="U802" si="3321">$M$2</f>
        <v>100.00000000000001</v>
      </c>
      <c r="V802" s="34">
        <v>-1</v>
      </c>
      <c r="W802" s="34">
        <f t="shared" ref="W802" si="3322">-SUMPRODUCT($M$3:$M$12,$N$3:$N$12)</f>
        <v>-105000</v>
      </c>
      <c r="X802" s="34" t="e">
        <f t="shared" ref="X802" si="3323">IF(U802&lt;&gt;U803,MMULT(MINVERSE(U802:V803),W802:W803)," ")</f>
        <v>#NUM!</v>
      </c>
      <c r="Y802" s="34" t="str">
        <f t="shared" ref="Y802" si="3324">IFERROR(IF(X802-VLOOKUP(U$38,$A$2:$N$12,14,FALSE)&lt;0,X802-VLOOKUP(U$38,$A$2:$N$12,14,FALSE)," ")," ")</f>
        <v xml:space="preserve"> </v>
      </c>
      <c r="Z802" s="34" t="str">
        <f t="shared" ref="Z802" si="3325">IFERROR(IF(X802-VLOOKUP(U$38,$A$2:$N$12,14,FALSE)&gt;0,X802-VLOOKUP(U$38,$A$2:$N$12,14,FALSE)," ")," ")</f>
        <v xml:space="preserve"> </v>
      </c>
      <c r="AA802" s="34">
        <f t="shared" ref="AA802" si="3326">$M$3</f>
        <v>0</v>
      </c>
      <c r="AB802" s="34">
        <v>-1</v>
      </c>
      <c r="AC802" s="34">
        <f t="shared" ref="AC802" si="3327">-SUMPRODUCT($M$2:$M$2,$N$2:$N$2)-SUMPRODUCT($M$4:$M$12,$N$4:$N$12)</f>
        <v>-120000</v>
      </c>
      <c r="AD802" s="34" t="e">
        <f t="shared" ref="AD802" si="3328">IF(AA802&lt;&gt;AA803,MMULT(MINVERSE(AA802:AB803),AC802:AC803)," ")</f>
        <v>#NUM!</v>
      </c>
      <c r="AE802" s="34" t="str">
        <f t="shared" ref="AE802" si="3329">IFERROR(IF(AD802-VLOOKUP(AA$38,$A$2:$N$12,14,FALSE)&lt;0,AD802-VLOOKUP(AA$38,$A$2:$N$12,14,FALSE)," ")," ")</f>
        <v xml:space="preserve"> </v>
      </c>
      <c r="AF802" s="34" t="str">
        <f t="shared" ref="AF802" si="3330">IFERROR(IF(AD802-VLOOKUP(AA$38,$A$2:$N$12,14,FALSE)&gt;0,AD802-VLOOKUP(AA$38,$A$2:$N$12,14,FALSE)," ")," ")</f>
        <v xml:space="preserve"> </v>
      </c>
      <c r="AG802" s="34">
        <f t="shared" ref="AG802" si="3331">$M$4</f>
        <v>300</v>
      </c>
      <c r="AH802" s="34">
        <v>-1</v>
      </c>
      <c r="AI802" s="34">
        <f t="shared" ref="AI802" si="3332">-SUMPRODUCT($M$2:$M$3,$N$2:$N$3)-SUMPRODUCT($M$5:$M$12,$N$5:$N$12)</f>
        <v>-15000.000000000002</v>
      </c>
      <c r="AJ802" s="34" t="e">
        <f t="shared" ref="AJ802" si="3333">IF(AG802&lt;&gt;AG803,MMULT(MINVERSE(AG802:AH803),AI802:AI803)," ")</f>
        <v>#NUM!</v>
      </c>
      <c r="AK802" s="34" t="str">
        <f t="shared" ref="AK802" si="3334">IFERROR(IF(AJ802-VLOOKUP(AG$38,$A$2:$N$12,14,FALSE)&lt;0,AJ802-VLOOKUP(AG$38,$A$2:$N$12,14,FALSE)," ")," ")</f>
        <v xml:space="preserve"> </v>
      </c>
      <c r="AL802" s="34" t="str">
        <f t="shared" ref="AL802" si="3335">IFERROR(IF(AJ802-VLOOKUP(AG$38,$A$2:$N$12,14,FALSE)&gt;0,AJ802-VLOOKUP(AG$38,$A$2:$N$12,14,FALSE)," ")," ")</f>
        <v xml:space="preserve"> </v>
      </c>
      <c r="AM802" s="34">
        <f t="shared" ref="AM802" si="3336">$M$5</f>
        <v>0</v>
      </c>
      <c r="AN802" s="34">
        <v>-1</v>
      </c>
      <c r="AO802" s="34">
        <f t="shared" ref="AO802" si="3337">-SUMPRODUCT($M$2:$M$4,$N$2:$N$4)-SUMPRODUCT($M$6:$M$12,$N$6:$N$12)</f>
        <v>-120000</v>
      </c>
      <c r="AP802" s="34" t="e">
        <f t="shared" ref="AP802" si="3338">IF(AM802&lt;&gt;AM803,MMULT(MINVERSE(AM802:AN803),AO802:AO803)," ")</f>
        <v>#NUM!</v>
      </c>
      <c r="AQ802" s="34" t="str">
        <f t="shared" ref="AQ802" si="3339">IFERROR(IF(AP802-VLOOKUP(AM$38,$A$2:$N$12,14,FALSE)&lt;0,AP802-VLOOKUP(AM$38,$A$2:$N$12,14,FALSE)," ")," ")</f>
        <v xml:space="preserve"> </v>
      </c>
      <c r="AR802" s="34" t="str">
        <f t="shared" ref="AR802" si="3340">IFERROR(IF(AP802-VLOOKUP(AM$38,$A$2:$N$12,14,FALSE)&gt;0,AP802-VLOOKUP(AM$38,$A$2:$N$12,14,FALSE)," ")," ")</f>
        <v xml:space="preserve"> </v>
      </c>
      <c r="AS802" s="34">
        <f t="shared" ref="AS802" si="3341">$M$6</f>
        <v>0</v>
      </c>
      <c r="AT802" s="34">
        <v>-1</v>
      </c>
      <c r="AU802" s="34">
        <f t="shared" ref="AU802" si="3342">-SUMPRODUCT($M$2:$M$5,$N$2:$N$5)-SUMPRODUCT($M$7:$M$12,$N$7:$N$12)</f>
        <v>-120000</v>
      </c>
      <c r="AV802" s="34" t="e">
        <f t="shared" ref="AV802" si="3343">IF(AS802&lt;&gt;AS803,MMULT(MINVERSE(AS802:AT803),AU802:AU803)," ")</f>
        <v>#NUM!</v>
      </c>
      <c r="AW802" s="34" t="str">
        <f t="shared" ref="AW802" si="3344">IFERROR(IF(AV802-VLOOKUP(AS$38,$A$2:$N$12,14,FALSE)&lt;0,AV802-VLOOKUP(AS$38,$A$2:$N$12,14,FALSE)," ")," ")</f>
        <v xml:space="preserve"> </v>
      </c>
      <c r="AX802" s="34" t="str">
        <f t="shared" ref="AX802" si="3345">IFERROR(IF(AV802-VLOOKUP(AS$38,$A$2:$N$12,14,FALSE)&gt;0,AV802-VLOOKUP(AS$38,$A$2:$N$12,14,FALSE)," ")," ")</f>
        <v xml:space="preserve"> </v>
      </c>
      <c r="AY802" s="34">
        <f t="shared" ref="AY802" si="3346">$M$7</f>
        <v>0</v>
      </c>
      <c r="AZ802" s="34">
        <v>-1</v>
      </c>
      <c r="BA802" s="34">
        <f t="shared" ref="BA802" si="3347">-SUMPRODUCT($M$2:$M$6,$N$2:$N$6)-SUMPRODUCT($M$8:$M$12,$N$8:$N$12)</f>
        <v>-120000</v>
      </c>
      <c r="BB802" s="34" t="e">
        <f t="shared" ref="BB802" si="3348">IF(AY802&lt;&gt;AY803,MMULT(MINVERSE(AY802:AZ803),BA802:BA803)," ")</f>
        <v>#NUM!</v>
      </c>
      <c r="BC802" s="34" t="str">
        <f t="shared" ref="BC802" si="3349">IFERROR(IF(BB802-VLOOKUP(AY$38,$A$2:$N$12,14,FALSE)&lt;0,BB802-VLOOKUP(AY$38,$A$2:$N$12,14,FALSE)," ")," ")</f>
        <v xml:space="preserve"> </v>
      </c>
      <c r="BD802" s="34" t="str">
        <f t="shared" ref="BD802" si="3350">IFERROR(IF(BB802-VLOOKUP(AY$38,$A$2:$N$12,14,FALSE)&gt;0,BB802-VLOOKUP(AY$38,$A$2:$N$12,14,FALSE)," ")," ")</f>
        <v xml:space="preserve"> </v>
      </c>
      <c r="BE802" s="34">
        <f t="shared" ref="BE802" si="3351">$M$8</f>
        <v>0</v>
      </c>
      <c r="BF802" s="34">
        <v>-1</v>
      </c>
      <c r="BG802" s="34">
        <f t="shared" ref="BG802" si="3352">-SUMPRODUCT($M$2:$M$7,$N$2:$N$7)-SUMPRODUCT($M$9:$M$12,$N$9:$N$12)</f>
        <v>-120000</v>
      </c>
      <c r="BH802" s="34" t="e">
        <f t="shared" ref="BH802" si="3353">IF(BE802&lt;&gt;BE803,MMULT(MINVERSE(BE802:BF803),BG802:BG803)," ")</f>
        <v>#NUM!</v>
      </c>
      <c r="BI802" s="34" t="str">
        <f t="shared" ref="BI802" si="3354">IFERROR(IF(BH802-VLOOKUP(BE$38,$A$2:$N$12,14,FALSE)&lt;0,BH802-VLOOKUP(BE$38,$A$2:$N$12,14,FALSE)," ")," ")</f>
        <v xml:space="preserve"> </v>
      </c>
      <c r="BJ802" s="34" t="str">
        <f t="shared" ref="BJ802" si="3355">IFERROR(IF(BH802-VLOOKUP(BE$38,$A$2:$N$12,14,FALSE)&gt;0,BH802-VLOOKUP(BE$38,$A$2:$N$12,14,FALSE)," ")," ")</f>
        <v xml:space="preserve"> </v>
      </c>
      <c r="BK802" s="34">
        <f t="shared" ref="BK802" si="3356">$M$9</f>
        <v>0</v>
      </c>
      <c r="BL802" s="34">
        <v>-1</v>
      </c>
      <c r="BM802" s="34">
        <f t="shared" ref="BM802" si="3357">-SUMPRODUCT($M$2:$M$8,$N$2:$N$8)-SUMPRODUCT($M$10:$M$12,$N$10:$N$12)</f>
        <v>-120000</v>
      </c>
      <c r="BN802" s="34" t="e">
        <f t="shared" ref="BN802" si="3358">IF(BK802&lt;&gt;BK803,MMULT(MINVERSE(BK802:BL803),BM802:BM803)," ")</f>
        <v>#NUM!</v>
      </c>
      <c r="BO802" s="34" t="str">
        <f t="shared" ref="BO802" si="3359">IFERROR(IF(BN802-VLOOKUP(BK$38,$A$2:$N$12,14,FALSE)&lt;0,BN802-VLOOKUP(BK$38,$A$2:$N$12,14,FALSE)," ")," ")</f>
        <v xml:space="preserve"> </v>
      </c>
      <c r="BP802" s="34" t="str">
        <f t="shared" ref="BP802" si="3360">IFERROR(IF(BN802-VLOOKUP(BK$38,$A$2:$N$12,14,FALSE)&gt;0,BN802-VLOOKUP(BK$38,$A$2:$N$12,14,FALSE)," ")," ")</f>
        <v xml:space="preserve"> </v>
      </c>
      <c r="BQ802" s="34">
        <f t="shared" ref="BQ802" si="3361">$M$10</f>
        <v>0</v>
      </c>
      <c r="BR802" s="34">
        <v>-1</v>
      </c>
      <c r="BS802" s="34">
        <f t="shared" ref="BS802" si="3362">-SUMPRODUCT($M$2:$M$9,$N$2:$N$9)-SUMPRODUCT($M$11:$M$12,$N$11:$N$12)</f>
        <v>-120000</v>
      </c>
      <c r="BT802" s="34" t="e">
        <f t="shared" ref="BT802" si="3363">IF(BQ802&lt;&gt;BQ803,MMULT(MINVERSE(BQ802:BR803),BS802:BS803)," ")</f>
        <v>#NUM!</v>
      </c>
      <c r="BU802" s="34" t="str">
        <f t="shared" ref="BU802" si="3364">IFERROR(IF(BT802-VLOOKUP(BQ$38,$A$2:$N$12,14,FALSE)&lt;0,BT802-VLOOKUP(BQ$38,$A$2:$N$12,14,FALSE)," ")," ")</f>
        <v xml:space="preserve"> </v>
      </c>
      <c r="BV802" s="34" t="str">
        <f t="shared" ref="BV802" si="3365">IFERROR(IF(BT802-VLOOKUP(BQ$38,$A$2:$N$12,14,FALSE)&gt;0,BT802-VLOOKUP(BQ$38,$A$2:$N$12,14,FALSE)," ")," ")</f>
        <v xml:space="preserve"> </v>
      </c>
      <c r="BW802" s="34">
        <f t="shared" ref="BW802" si="3366">$M$11</f>
        <v>0</v>
      </c>
      <c r="BX802" s="34">
        <v>-1</v>
      </c>
      <c r="BY802" s="34">
        <f t="shared" ref="BY802" si="3367">-SUMPRODUCT($M$2:$M$10,$N$2:$N$10)-SUMPRODUCT($M$12,$N$12)</f>
        <v>-120000</v>
      </c>
      <c r="BZ802" s="34" t="e">
        <f t="shared" ref="BZ802" si="3368">IF(BW802&lt;&gt;BW803,MMULT(MINVERSE(BW802:BX803),BY802:BY803)," ")</f>
        <v>#NUM!</v>
      </c>
      <c r="CA802" s="34" t="str">
        <f t="shared" ref="CA802" si="3369">IFERROR(IF(BZ802-VLOOKUP(BW$38,$A$2:$N$12,14,FALSE)&lt;0,BZ802-VLOOKUP(BW$38,$A$2:$N$12,14,FALSE)," ")," ")</f>
        <v xml:space="preserve"> </v>
      </c>
      <c r="CB802" s="34" t="str">
        <f t="shared" ref="CB802" si="3370">IFERROR(IF(BZ802-VLOOKUP(BW$38,$A$2:$N$12,14,FALSE)&gt;0,BZ802-VLOOKUP(BW$38,$A$2:$N$12,14,FALSE)," ")," ")</f>
        <v xml:space="preserve"> </v>
      </c>
      <c r="CC802" s="34">
        <f t="shared" ref="CC802" si="3371">$M$12</f>
        <v>0</v>
      </c>
      <c r="CD802" s="34">
        <v>-1</v>
      </c>
      <c r="CE802" s="34">
        <f t="shared" ref="CE802" si="3372">-SUMPRODUCT($M$2:$M$11,$N$2:$N$11)</f>
        <v>-120000</v>
      </c>
      <c r="CF802" s="34" t="e">
        <f t="shared" ref="CF802" si="3373">IF(CC802&lt;&gt;CC803,MMULT(MINVERSE(CC802:CD803),CE802:CE803)," ")</f>
        <v>#NUM!</v>
      </c>
      <c r="CG802" s="34" t="str">
        <f t="shared" ref="CG802" si="3374">IFERROR(IF(CF802-VLOOKUP(CC$38,$A$2:$N$12,14,FALSE)&lt;0,CF802-VLOOKUP(CC$38,$A$2:$N$12,14,FALSE)," ")," ")</f>
        <v xml:space="preserve"> </v>
      </c>
      <c r="CH802" s="34" t="str">
        <f t="shared" ref="CH802" si="3375">IFERROR(IF(CF802-VLOOKUP(CC$38,$A$2:$N$12,14,FALSE)&gt;0,CF802-VLOOKUP(CC$38,$A$2:$N$12,14,FALSE)," ")," ")</f>
        <v xml:space="preserve"> </v>
      </c>
      <c r="CI802" s="8"/>
    </row>
    <row r="803" spans="1:87" x14ac:dyDescent="0.2">
      <c r="A803" s="8" t="str">
        <f>IF(AND(COUNTIF(W$3:W$13,A$16)&gt;0,A$16&lt;&gt;B800),A$16,IFERROR(IF(MATCH(A$16,Z$3:Z$13,0)=1,A$16," ")," "))</f>
        <v xml:space="preserve"> </v>
      </c>
      <c r="B803" s="8" t="str">
        <f>IF(A803=" "," ",MAX(B802:B802)+1)</f>
        <v xml:space="preserve"> </v>
      </c>
      <c r="C803" s="8" t="str">
        <f>IFERROR(INDEX(A802:A823,MATCH(SMALL(B802:B823,2),B802:B823,0),1)," ")</f>
        <v>C3</v>
      </c>
      <c r="D803" s="8">
        <f t="shared" ref="D803:D812" si="3376">IFERROR(VLOOKUP($C803,$A$15:$O$36,2,FALSE)," ")</f>
        <v>2</v>
      </c>
      <c r="E803" s="8">
        <f t="shared" ref="E803:E812" si="3377">IFERROR(VLOOKUP($C803,$A$15:$O$36,3,FALSE)," ")</f>
        <v>5</v>
      </c>
      <c r="F803" s="8">
        <f t="shared" ref="F803:F812" si="3378">IFERROR(VLOOKUP($C803,$A$15:$O$36,4,FALSE)," ")</f>
        <v>6</v>
      </c>
      <c r="G803" s="8">
        <f t="shared" ref="G803:G812" si="3379">IFERROR(VLOOKUP($C803,$A$15:$O$36,5,FALSE)," ")</f>
        <v>0</v>
      </c>
      <c r="H803" s="8">
        <f t="shared" ref="H803:H812" si="3380">IFERROR(VLOOKUP($C803,$A$15:$O$36,6,FALSE)," ")</f>
        <v>0</v>
      </c>
      <c r="I803" s="8">
        <f t="shared" ref="I803:I812" si="3381">IFERROR(VLOOKUP($C803,$A$15:$O$36,7,FALSE)," ")</f>
        <v>0</v>
      </c>
      <c r="J803" s="8">
        <f t="shared" ref="J803:J812" si="3382">IFERROR(VLOOKUP($C803,$A$15:$O$36,8,FALSE)," ")</f>
        <v>0</v>
      </c>
      <c r="K803" s="8">
        <f t="shared" ref="K803:K812" si="3383">IFERROR(VLOOKUP($C803,$A$15:$O$36,9,FALSE)," ")</f>
        <v>0</v>
      </c>
      <c r="L803" s="8">
        <f t="shared" ref="L803:L812" si="3384">IFERROR(VLOOKUP($C803,$A$15:$O$36,10,FALSE)," ")</f>
        <v>0</v>
      </c>
      <c r="M803" s="8">
        <f t="shared" ref="M803:M812" si="3385">IFERROR(VLOOKUP($C803,$A$15:$O$36,11,FALSE)," ")</f>
        <v>0</v>
      </c>
      <c r="N803" s="8">
        <f t="shared" ref="N803:N812" si="3386">IFERROR(VLOOKUP($C803,$A$15:$O$36,12,FALSE)," ")</f>
        <v>0</v>
      </c>
      <c r="O803" s="8">
        <f t="shared" ref="O803:O812" si="3387">IFERROR(VLOOKUP($C803,$A$15:$O$36,15,FALSE)," ")</f>
        <v>2000</v>
      </c>
      <c r="P803" s="8" t="e">
        <v>#NUM!</v>
      </c>
      <c r="Q803" s="8" t="e">
        <f t="shared" ref="Q803" si="3388">IF(COUNTIF(P802:P812,"&lt;"&amp;-0.001)=0,IF(ABS(P803)&lt;0.001,0,P803)," ")</f>
        <v>#NUM!</v>
      </c>
      <c r="R803" s="8"/>
      <c r="S803" s="8"/>
      <c r="U803" s="34" t="e">
        <f t="shared" ref="U803" si="3389">$Q802</f>
        <v>#NUM!</v>
      </c>
      <c r="V803" s="34">
        <v>-1</v>
      </c>
      <c r="W803" s="34" t="e">
        <f t="shared" ref="W803" si="3390">-SUMPRODUCT($Q803:$Q812,$N$3:$N$12)</f>
        <v>#NUM!</v>
      </c>
      <c r="X803" s="34"/>
      <c r="Y803" s="34"/>
      <c r="Z803" s="34"/>
      <c r="AA803" s="34" t="e">
        <f t="shared" ref="AA803" si="3391">$Q803</f>
        <v>#NUM!</v>
      </c>
      <c r="AB803" s="34">
        <v>-1</v>
      </c>
      <c r="AC803" s="34" t="e">
        <f t="shared" ref="AC803" si="3392">-SUMPRODUCT($Q802:$Q802,$N$2:$N$2)-SUMPRODUCT($Q804:$Q812,$N$4:$N$12)</f>
        <v>#NUM!</v>
      </c>
      <c r="AD803" s="34"/>
      <c r="AE803" s="34"/>
      <c r="AF803" s="34"/>
      <c r="AG803" s="34" t="e">
        <f t="shared" ref="AG803" si="3393">$Q804</f>
        <v>#NUM!</v>
      </c>
      <c r="AH803" s="34">
        <v>-1</v>
      </c>
      <c r="AI803" s="34" t="e">
        <f t="shared" ref="AI803" si="3394">-SUMPRODUCT($Q802:$Q803,$N$2:$N$3)-SUMPRODUCT($Q805:$Q812,$N$5:$N$12)</f>
        <v>#NUM!</v>
      </c>
      <c r="AJ803" s="34"/>
      <c r="AK803" s="34"/>
      <c r="AL803" s="34"/>
      <c r="AM803" s="34" t="e">
        <f t="shared" ref="AM803" si="3395">$Q805</f>
        <v>#NUM!</v>
      </c>
      <c r="AN803" s="34">
        <v>-1</v>
      </c>
      <c r="AO803" s="34" t="e">
        <f t="shared" ref="AO803" si="3396">-SUMPRODUCT($Q802:$Q804,$N$2:$N$4)-SUMPRODUCT($Q806:$Q812,$N$6:$N$12)</f>
        <v>#NUM!</v>
      </c>
      <c r="AP803" s="34"/>
      <c r="AQ803" s="34"/>
      <c r="AR803" s="34"/>
      <c r="AS803" s="34" t="e">
        <f t="shared" ref="AS803" si="3397">$Q806</f>
        <v>#NUM!</v>
      </c>
      <c r="AT803" s="34">
        <v>-1</v>
      </c>
      <c r="AU803" s="34" t="e">
        <f t="shared" ref="AU803" si="3398">-SUMPRODUCT($Q802:$Q805,$N$2:$N$5)-SUMPRODUCT($Q807:$Q812,$N$7:$N$12)</f>
        <v>#NUM!</v>
      </c>
      <c r="AV803" s="34"/>
      <c r="AW803" s="34"/>
      <c r="AX803" s="34"/>
      <c r="AY803" s="34" t="e">
        <f t="shared" ref="AY803" si="3399">$Q807</f>
        <v>#NUM!</v>
      </c>
      <c r="AZ803" s="34">
        <v>-1</v>
      </c>
      <c r="BA803" s="34" t="e">
        <f t="shared" ref="BA803" si="3400">-SUMPRODUCT($Q802:$Q806,$N$2:$N$6)-SUMPRODUCT($Q808:$Q812,$N$8:$N$12)</f>
        <v>#NUM!</v>
      </c>
      <c r="BB803" s="34"/>
      <c r="BC803" s="34"/>
      <c r="BD803" s="34"/>
      <c r="BE803" s="34" t="e">
        <f t="shared" ref="BE803" si="3401">$Q808</f>
        <v>#NUM!</v>
      </c>
      <c r="BF803" s="34">
        <v>-1</v>
      </c>
      <c r="BG803" s="34" t="e">
        <f t="shared" ref="BG803" si="3402">-SUMPRODUCT($Q802:$Q807,$N$2:$N$7)-SUMPRODUCT($Q809:$Q812,$N$9:$N$12)</f>
        <v>#NUM!</v>
      </c>
      <c r="BH803" s="34"/>
      <c r="BI803" s="34"/>
      <c r="BJ803" s="34"/>
      <c r="BK803" s="34" t="e">
        <f t="shared" ref="BK803" si="3403">$Q809</f>
        <v>#NUM!</v>
      </c>
      <c r="BL803" s="34">
        <v>-1</v>
      </c>
      <c r="BM803" s="34" t="e">
        <f t="shared" ref="BM803" si="3404">-SUMPRODUCT($Q802:$Q808,$N$2:$N$8)-SUMPRODUCT($Q810:$Q812,$N$10:$N$12)</f>
        <v>#NUM!</v>
      </c>
      <c r="BN803" s="34"/>
      <c r="BO803" s="34"/>
      <c r="BP803" s="34"/>
      <c r="BQ803" s="34" t="e">
        <f t="shared" ref="BQ803" si="3405">$Q810</f>
        <v>#NUM!</v>
      </c>
      <c r="BR803" s="34">
        <v>-1</v>
      </c>
      <c r="BS803" s="34" t="e">
        <f t="shared" ref="BS803" si="3406">-SUMPRODUCT($Q802:$Q809,$N$2:$N$9)-SUMPRODUCT($Q811:$Q812,$N$11:$N$12)</f>
        <v>#NUM!</v>
      </c>
      <c r="BT803" s="34"/>
      <c r="BU803" s="34"/>
      <c r="BV803" s="34"/>
      <c r="BW803" s="34" t="e">
        <f t="shared" ref="BW803" si="3407">$Q811</f>
        <v>#NUM!</v>
      </c>
      <c r="BX803" s="34">
        <v>-1</v>
      </c>
      <c r="BY803" s="34" t="e">
        <f t="shared" ref="BY803" si="3408">-SUMPRODUCT($Q802:$Q810,$N$2:$N$10)-SUMPRODUCT($Q812,$N$12)</f>
        <v>#NUM!</v>
      </c>
      <c r="BZ803" s="34"/>
      <c r="CA803" s="34"/>
      <c r="CB803" s="34"/>
      <c r="CC803" s="34" t="e">
        <f t="shared" ref="CC803" si="3409">$Q812</f>
        <v>#NUM!</v>
      </c>
      <c r="CD803" s="34">
        <v>-1</v>
      </c>
      <c r="CE803" s="34" t="e">
        <f t="shared" ref="CE803" si="3410">-SUMPRODUCT($Q802:$Q811,$N$2:$N$11)</f>
        <v>#NUM!</v>
      </c>
      <c r="CF803" s="34"/>
      <c r="CG803" s="34"/>
      <c r="CH803" s="34"/>
      <c r="CI803" s="8"/>
    </row>
    <row r="804" spans="1:87" x14ac:dyDescent="0.2">
      <c r="A804" s="8" t="str">
        <f>IF(AND(COUNTIF(W$3:W$13,A$17)&gt;0,A$17&lt;&gt;B800),A$17,IFERROR(IF(MATCH(A$17,Z$3:Z$13,0)=1,A$17," ")," "))</f>
        <v>C3</v>
      </c>
      <c r="B804" s="8">
        <f>IF(A804=" "," ",MAX(B802:B803)+1)</f>
        <v>2</v>
      </c>
      <c r="C804" s="8" t="str">
        <f>IFERROR(INDEX(A802:A823,MATCH(SMALL(B802:B823,3),B802:B823,0),1)," ")</f>
        <v>C4</v>
      </c>
      <c r="D804" s="8">
        <f t="shared" si="3376"/>
        <v>1</v>
      </c>
      <c r="E804" s="8">
        <f t="shared" si="3377"/>
        <v>0</v>
      </c>
      <c r="F804" s="8">
        <f t="shared" si="3378"/>
        <v>1</v>
      </c>
      <c r="G804" s="8">
        <f t="shared" si="3379"/>
        <v>0</v>
      </c>
      <c r="H804" s="8">
        <f t="shared" si="3380"/>
        <v>0</v>
      </c>
      <c r="I804" s="8">
        <f t="shared" si="3381"/>
        <v>0</v>
      </c>
      <c r="J804" s="8">
        <f t="shared" si="3382"/>
        <v>0</v>
      </c>
      <c r="K804" s="8">
        <f t="shared" si="3383"/>
        <v>0</v>
      </c>
      <c r="L804" s="8">
        <f t="shared" si="3384"/>
        <v>0</v>
      </c>
      <c r="M804" s="8">
        <f t="shared" si="3385"/>
        <v>0</v>
      </c>
      <c r="N804" s="8">
        <f t="shared" si="3386"/>
        <v>0</v>
      </c>
      <c r="O804" s="8">
        <f t="shared" si="3387"/>
        <v>400</v>
      </c>
      <c r="P804" s="8" t="e">
        <v>#NUM!</v>
      </c>
      <c r="Q804" s="8" t="e">
        <f t="shared" ref="Q804" si="3411">IF(COUNTIF(P802:P812,"&lt;"&amp;-0.001)=0,IF(ABS(P804)&lt;0.001,0,P804)," ")</f>
        <v>#NUM!</v>
      </c>
      <c r="R804" s="8"/>
      <c r="S804" s="8"/>
      <c r="U804" s="34"/>
      <c r="V804" s="34"/>
      <c r="W804" s="34"/>
      <c r="X804" s="34"/>
      <c r="Y804" s="34"/>
      <c r="Z804" s="34"/>
      <c r="AA804" s="34"/>
      <c r="AB804" s="34"/>
      <c r="AC804" s="34"/>
      <c r="AD804" s="34"/>
      <c r="AE804" s="34"/>
      <c r="AF804" s="34"/>
      <c r="AG804" s="34"/>
      <c r="AH804" s="34"/>
      <c r="AI804" s="34"/>
      <c r="AJ804" s="34"/>
      <c r="AK804" s="34"/>
      <c r="AL804" s="34"/>
      <c r="AM804" s="34"/>
      <c r="AN804" s="34"/>
      <c r="AO804" s="34"/>
      <c r="AP804" s="34"/>
      <c r="AQ804" s="34"/>
      <c r="AR804" s="34"/>
      <c r="AS804" s="34"/>
      <c r="AT804" s="34"/>
      <c r="AU804" s="34"/>
      <c r="AV804" s="34"/>
      <c r="AW804" s="34"/>
      <c r="AX804" s="34"/>
      <c r="AY804" s="34"/>
      <c r="AZ804" s="34"/>
      <c r="BA804" s="34"/>
      <c r="BB804" s="34"/>
      <c r="BC804" s="34"/>
      <c r="BD804" s="34"/>
      <c r="BE804" s="34"/>
      <c r="BF804" s="34"/>
      <c r="BG804" s="34"/>
      <c r="BH804" s="34"/>
      <c r="BI804" s="34"/>
      <c r="BJ804" s="34"/>
      <c r="BK804" s="34"/>
      <c r="BL804" s="34"/>
      <c r="BM804" s="34"/>
      <c r="BN804" s="34"/>
      <c r="BO804" s="34"/>
      <c r="BP804" s="34"/>
      <c r="BQ804" s="34"/>
      <c r="BR804" s="34"/>
      <c r="BS804" s="34"/>
      <c r="BT804" s="34"/>
      <c r="BU804" s="34"/>
      <c r="BV804" s="34"/>
      <c r="BW804" s="34"/>
      <c r="BX804" s="34"/>
      <c r="BY804" s="34"/>
      <c r="BZ804" s="34"/>
      <c r="CA804" s="34"/>
      <c r="CB804" s="34"/>
      <c r="CC804" s="34"/>
      <c r="CD804" s="34"/>
      <c r="CE804" s="34"/>
      <c r="CF804" s="34"/>
      <c r="CG804" s="34"/>
      <c r="CH804" s="34"/>
      <c r="CI804" s="8"/>
    </row>
    <row r="805" spans="1:87" x14ac:dyDescent="0.2">
      <c r="A805" s="8" t="str">
        <f>IF(AND(COUNTIF(W$3:W$13,A$18)&gt;0,A$18&lt;&gt;B800),A$18,IFERROR(IF(MATCH(A$18,Z$3:Z$13,0)=1,A$18," ")," "))</f>
        <v>C4</v>
      </c>
      <c r="B805" s="8">
        <f>IF(A805=" "," ",MAX(B802:B804)+1)</f>
        <v>3</v>
      </c>
      <c r="C805" s="8" t="str">
        <f>IFERROR(INDEX(A802:A823,MATCH(SMALL(B802:B823,4),B802:B823,0),1)," ")</f>
        <v>C13</v>
      </c>
      <c r="D805" s="8">
        <f t="shared" si="3376"/>
        <v>0</v>
      </c>
      <c r="E805" s="8">
        <f t="shared" si="3377"/>
        <v>1</v>
      </c>
      <c r="F805" s="8">
        <f t="shared" si="3378"/>
        <v>0</v>
      </c>
      <c r="G805" s="8">
        <f t="shared" si="3379"/>
        <v>0</v>
      </c>
      <c r="H805" s="8">
        <f t="shared" si="3380"/>
        <v>0</v>
      </c>
      <c r="I805" s="8">
        <f t="shared" si="3381"/>
        <v>0</v>
      </c>
      <c r="J805" s="8">
        <f t="shared" si="3382"/>
        <v>0</v>
      </c>
      <c r="K805" s="8">
        <f t="shared" si="3383"/>
        <v>0</v>
      </c>
      <c r="L805" s="8">
        <f t="shared" si="3384"/>
        <v>0</v>
      </c>
      <c r="M805" s="8">
        <f t="shared" si="3385"/>
        <v>0</v>
      </c>
      <c r="N805" s="8">
        <f t="shared" si="3386"/>
        <v>0</v>
      </c>
      <c r="O805" s="8">
        <f t="shared" si="3387"/>
        <v>0</v>
      </c>
      <c r="P805" s="8" t="e">
        <v>#NUM!</v>
      </c>
      <c r="Q805" s="8" t="e">
        <f t="shared" ref="Q805" si="3412">IF(COUNTIF(P802:P812,"&lt;"&amp;-0.001)=0,IF(ABS(P805)&lt;0.001,0,P805)," ")</f>
        <v>#NUM!</v>
      </c>
      <c r="R805" s="8"/>
      <c r="S805" s="8"/>
      <c r="U805" s="34"/>
      <c r="V805" s="34"/>
      <c r="W805" s="34"/>
      <c r="X805" s="34"/>
      <c r="Y805" s="34"/>
      <c r="Z805" s="34"/>
      <c r="AA805" s="34"/>
      <c r="AB805" s="34"/>
      <c r="AC805" s="34"/>
      <c r="AD805" s="34"/>
      <c r="AE805" s="34"/>
      <c r="AF805" s="34"/>
      <c r="AG805" s="34"/>
      <c r="AH805" s="34"/>
      <c r="AI805" s="34"/>
      <c r="AJ805" s="34"/>
      <c r="AK805" s="34"/>
      <c r="AL805" s="34"/>
      <c r="AM805" s="34"/>
      <c r="AN805" s="34"/>
      <c r="AO805" s="34"/>
      <c r="AP805" s="34"/>
      <c r="AQ805" s="34"/>
      <c r="AR805" s="34"/>
      <c r="AS805" s="34"/>
      <c r="AT805" s="34"/>
      <c r="AU805" s="34"/>
      <c r="AV805" s="34"/>
      <c r="AW805" s="34"/>
      <c r="AX805" s="34"/>
      <c r="AY805" s="34"/>
      <c r="AZ805" s="34"/>
      <c r="BA805" s="34"/>
      <c r="BB805" s="34"/>
      <c r="BC805" s="34"/>
      <c r="BD805" s="34"/>
      <c r="BE805" s="34"/>
      <c r="BF805" s="34"/>
      <c r="BG805" s="34"/>
      <c r="BH805" s="34"/>
      <c r="BI805" s="34"/>
      <c r="BJ805" s="34"/>
      <c r="BK805" s="34"/>
      <c r="BL805" s="34"/>
      <c r="BM805" s="34"/>
      <c r="BN805" s="34"/>
      <c r="BO805" s="34"/>
      <c r="BP805" s="34"/>
      <c r="BQ805" s="34"/>
      <c r="BR805" s="34"/>
      <c r="BS805" s="34"/>
      <c r="BT805" s="34"/>
      <c r="BU805" s="34"/>
      <c r="BV805" s="34"/>
      <c r="BW805" s="34"/>
      <c r="BX805" s="34"/>
      <c r="BY805" s="34"/>
      <c r="BZ805" s="34"/>
      <c r="CA805" s="34"/>
      <c r="CB805" s="34"/>
      <c r="CC805" s="34"/>
      <c r="CD805" s="34"/>
      <c r="CE805" s="34"/>
      <c r="CF805" s="34"/>
      <c r="CG805" s="34"/>
      <c r="CH805" s="34"/>
      <c r="CI805" s="8"/>
    </row>
    <row r="806" spans="1:87" x14ac:dyDescent="0.2">
      <c r="A806" s="8" t="str">
        <f>IF(AND(COUNTIF(W$3:W$13,A$19)&gt;0,A$19&lt;&gt;B800),A$19,IFERROR(IF(MATCH(A$19,Z$3:Z$13,0)=1,A$19," ")," "))</f>
        <v xml:space="preserve"> </v>
      </c>
      <c r="B806" s="8" t="str">
        <f>IF(A806=" "," ",MAX(B802:B805)+1)</f>
        <v xml:space="preserve"> </v>
      </c>
      <c r="C806" s="8" t="str">
        <f>IFERROR(INDEX(A802:A823,MATCH(SMALL(B802:B823,5),B802:B823,0),1)," ")</f>
        <v>C16</v>
      </c>
      <c r="D806" s="8">
        <f t="shared" si="3376"/>
        <v>0</v>
      </c>
      <c r="E806" s="8">
        <f t="shared" si="3377"/>
        <v>0</v>
      </c>
      <c r="F806" s="8">
        <f t="shared" si="3378"/>
        <v>0</v>
      </c>
      <c r="G806" s="8">
        <f t="shared" si="3379"/>
        <v>0</v>
      </c>
      <c r="H806" s="8">
        <f t="shared" si="3380"/>
        <v>1</v>
      </c>
      <c r="I806" s="8">
        <f t="shared" si="3381"/>
        <v>0</v>
      </c>
      <c r="J806" s="8">
        <f t="shared" si="3382"/>
        <v>0</v>
      </c>
      <c r="K806" s="8">
        <f t="shared" si="3383"/>
        <v>0</v>
      </c>
      <c r="L806" s="8">
        <f t="shared" si="3384"/>
        <v>0</v>
      </c>
      <c r="M806" s="8">
        <f t="shared" si="3385"/>
        <v>0</v>
      </c>
      <c r="N806" s="8">
        <f t="shared" si="3386"/>
        <v>0</v>
      </c>
      <c r="O806" s="8">
        <f t="shared" si="3387"/>
        <v>0</v>
      </c>
      <c r="P806" s="8" t="e">
        <v>#NUM!</v>
      </c>
      <c r="Q806" s="8" t="e">
        <f t="shared" ref="Q806" si="3413">IF(COUNTIF(P802:P812,"&lt;"&amp;-0.001)=0,IF(ABS(P806)&lt;0.001,0,P806)," ")</f>
        <v>#NUM!</v>
      </c>
      <c r="R806" s="8"/>
      <c r="S806" s="8"/>
      <c r="U806" s="34"/>
      <c r="V806" s="34"/>
      <c r="W806" s="34"/>
      <c r="X806" s="34"/>
      <c r="Y806" s="34"/>
      <c r="Z806" s="34"/>
      <c r="AA806" s="34"/>
      <c r="AB806" s="34"/>
      <c r="AC806" s="34"/>
      <c r="AD806" s="34"/>
      <c r="AE806" s="34"/>
      <c r="AF806" s="34"/>
      <c r="AG806" s="34"/>
      <c r="AH806" s="34"/>
      <c r="AI806" s="34"/>
      <c r="AJ806" s="34"/>
      <c r="AK806" s="34"/>
      <c r="AL806" s="34"/>
      <c r="AM806" s="34"/>
      <c r="AN806" s="34"/>
      <c r="AO806" s="34"/>
      <c r="AP806" s="34"/>
      <c r="AQ806" s="34"/>
      <c r="AR806" s="34"/>
      <c r="AS806" s="34"/>
      <c r="AT806" s="34"/>
      <c r="AU806" s="34"/>
      <c r="AV806" s="34"/>
      <c r="AW806" s="34"/>
      <c r="AX806" s="34"/>
      <c r="AY806" s="34"/>
      <c r="AZ806" s="34"/>
      <c r="BA806" s="34"/>
      <c r="BB806" s="34"/>
      <c r="BC806" s="34"/>
      <c r="BD806" s="34"/>
      <c r="BE806" s="34"/>
      <c r="BF806" s="34"/>
      <c r="BG806" s="34"/>
      <c r="BH806" s="34"/>
      <c r="BI806" s="34"/>
      <c r="BJ806" s="34"/>
      <c r="BK806" s="34"/>
      <c r="BL806" s="34"/>
      <c r="BM806" s="34"/>
      <c r="BN806" s="34"/>
      <c r="BO806" s="34"/>
      <c r="BP806" s="34"/>
      <c r="BQ806" s="34"/>
      <c r="BR806" s="34"/>
      <c r="BS806" s="34"/>
      <c r="BT806" s="34"/>
      <c r="BU806" s="34"/>
      <c r="BV806" s="34"/>
      <c r="BW806" s="34"/>
      <c r="BX806" s="34"/>
      <c r="BY806" s="34"/>
      <c r="BZ806" s="34"/>
      <c r="CA806" s="34"/>
      <c r="CB806" s="34"/>
      <c r="CC806" s="34"/>
      <c r="CD806" s="34"/>
      <c r="CE806" s="34"/>
      <c r="CF806" s="34"/>
      <c r="CG806" s="34"/>
      <c r="CH806" s="34"/>
      <c r="CI806" s="8"/>
    </row>
    <row r="807" spans="1:87" x14ac:dyDescent="0.2">
      <c r="A807" s="8" t="str">
        <f>IF(AND(COUNTIF(W$3:W$13,A$20)&gt;0,A$20&lt;&gt;B800),A$20,IFERROR(IF(MATCH(A$20,Z$3:Z$13,0)=1,A$20," ")," "))</f>
        <v xml:space="preserve"> </v>
      </c>
      <c r="B807" s="8" t="str">
        <f>IF(A807=" "," ",MAX(B802:B806)+1)</f>
        <v xml:space="preserve"> </v>
      </c>
      <c r="C807" s="8" t="str">
        <f>IFERROR(INDEX(A802:A823,MATCH(SMALL(B802:B823,6),B802:B823,0),1)," ")</f>
        <v>C17</v>
      </c>
      <c r="D807" s="8">
        <f t="shared" si="3376"/>
        <v>0</v>
      </c>
      <c r="E807" s="8">
        <f t="shared" si="3377"/>
        <v>0</v>
      </c>
      <c r="F807" s="8">
        <f t="shared" si="3378"/>
        <v>0</v>
      </c>
      <c r="G807" s="8">
        <f t="shared" si="3379"/>
        <v>0</v>
      </c>
      <c r="H807" s="8">
        <f t="shared" si="3380"/>
        <v>0</v>
      </c>
      <c r="I807" s="8">
        <f t="shared" si="3381"/>
        <v>1</v>
      </c>
      <c r="J807" s="8">
        <f t="shared" si="3382"/>
        <v>0</v>
      </c>
      <c r="K807" s="8">
        <f t="shared" si="3383"/>
        <v>0</v>
      </c>
      <c r="L807" s="8">
        <f t="shared" si="3384"/>
        <v>0</v>
      </c>
      <c r="M807" s="8">
        <f t="shared" si="3385"/>
        <v>0</v>
      </c>
      <c r="N807" s="8">
        <f t="shared" si="3386"/>
        <v>0</v>
      </c>
      <c r="O807" s="8">
        <f t="shared" si="3387"/>
        <v>0</v>
      </c>
      <c r="P807" s="8" t="e">
        <v>#NUM!</v>
      </c>
      <c r="Q807" s="8" t="e">
        <f t="shared" ref="Q807" si="3414">IF(COUNTIF(P802:P812,"&lt;"&amp;-0.001)=0,IF(ABS(P807)&lt;0.001,0,P807)," ")</f>
        <v>#NUM!</v>
      </c>
      <c r="R807" s="8"/>
      <c r="S807" s="8"/>
      <c r="U807" s="34"/>
      <c r="V807" s="34"/>
      <c r="W807" s="34"/>
      <c r="X807" s="34"/>
      <c r="Y807" s="34"/>
      <c r="Z807" s="34"/>
      <c r="AA807" s="34"/>
      <c r="AB807" s="34"/>
      <c r="AC807" s="34"/>
      <c r="AD807" s="34"/>
      <c r="AE807" s="34"/>
      <c r="AF807" s="34"/>
      <c r="AG807" s="34"/>
      <c r="AH807" s="34"/>
      <c r="AI807" s="34"/>
      <c r="AJ807" s="34"/>
      <c r="AK807" s="34"/>
      <c r="AL807" s="34"/>
      <c r="AM807" s="34"/>
      <c r="AN807" s="34"/>
      <c r="AO807" s="34"/>
      <c r="AP807" s="34"/>
      <c r="AQ807" s="34"/>
      <c r="AR807" s="34"/>
      <c r="AS807" s="34"/>
      <c r="AT807" s="34"/>
      <c r="AU807" s="34"/>
      <c r="AV807" s="34"/>
      <c r="AW807" s="34"/>
      <c r="AX807" s="34"/>
      <c r="AY807" s="34"/>
      <c r="AZ807" s="34"/>
      <c r="BA807" s="34"/>
      <c r="BB807" s="34"/>
      <c r="BC807" s="34"/>
      <c r="BD807" s="34"/>
      <c r="BE807" s="34"/>
      <c r="BF807" s="34"/>
      <c r="BG807" s="34"/>
      <c r="BH807" s="34"/>
      <c r="BI807" s="34"/>
      <c r="BJ807" s="34"/>
      <c r="BK807" s="34"/>
      <c r="BL807" s="34"/>
      <c r="BM807" s="34"/>
      <c r="BN807" s="34"/>
      <c r="BO807" s="34"/>
      <c r="BP807" s="34"/>
      <c r="BQ807" s="34"/>
      <c r="BR807" s="34"/>
      <c r="BS807" s="34"/>
      <c r="BT807" s="34"/>
      <c r="BU807" s="34"/>
      <c r="BV807" s="34"/>
      <c r="BW807" s="34"/>
      <c r="BX807" s="34"/>
      <c r="BY807" s="34"/>
      <c r="BZ807" s="34"/>
      <c r="CA807" s="34"/>
      <c r="CB807" s="34"/>
      <c r="CC807" s="34"/>
      <c r="CD807" s="34"/>
      <c r="CE807" s="34"/>
      <c r="CF807" s="34"/>
      <c r="CG807" s="34"/>
      <c r="CH807" s="34"/>
      <c r="CI807" s="8"/>
    </row>
    <row r="808" spans="1:87" x14ac:dyDescent="0.2">
      <c r="A808" s="8" t="str">
        <f>IF(AND(COUNTIF(W$3:W$13,A$21)&gt;0,A$21&lt;&gt;B800),A$21,IFERROR(IF(MATCH(A$21,Z$3:Z$13,0)=1,A$21," ")," "))</f>
        <v xml:space="preserve"> </v>
      </c>
      <c r="B808" s="8" t="str">
        <f>IF(A808=" "," ",MAX(B802:B807)+1)</f>
        <v xml:space="preserve"> </v>
      </c>
      <c r="C808" s="8" t="str">
        <f>IFERROR(INDEX(A802:A823,MATCH(SMALL(B802:B823,7),B802:B823,0),1)," ")</f>
        <v>C18</v>
      </c>
      <c r="D808" s="8">
        <f t="shared" si="3376"/>
        <v>0</v>
      </c>
      <c r="E808" s="8">
        <f t="shared" si="3377"/>
        <v>0</v>
      </c>
      <c r="F808" s="8">
        <f t="shared" si="3378"/>
        <v>0</v>
      </c>
      <c r="G808" s="8">
        <f t="shared" si="3379"/>
        <v>0</v>
      </c>
      <c r="H808" s="8">
        <f t="shared" si="3380"/>
        <v>0</v>
      </c>
      <c r="I808" s="8">
        <f t="shared" si="3381"/>
        <v>0</v>
      </c>
      <c r="J808" s="8">
        <f t="shared" si="3382"/>
        <v>1</v>
      </c>
      <c r="K808" s="8">
        <f t="shared" si="3383"/>
        <v>0</v>
      </c>
      <c r="L808" s="8">
        <f t="shared" si="3384"/>
        <v>0</v>
      </c>
      <c r="M808" s="8">
        <f t="shared" si="3385"/>
        <v>0</v>
      </c>
      <c r="N808" s="8">
        <f t="shared" si="3386"/>
        <v>0</v>
      </c>
      <c r="O808" s="8">
        <f t="shared" si="3387"/>
        <v>0</v>
      </c>
      <c r="P808" s="8" t="e">
        <v>#NUM!</v>
      </c>
      <c r="Q808" s="8" t="e">
        <f t="shared" ref="Q808" si="3415">IF(COUNTIF(P802:P812,"&lt;"&amp;-0.001)=0,IF(ABS(P808)&lt;0.001,0,P808)," ")</f>
        <v>#NUM!</v>
      </c>
      <c r="R808" s="8"/>
      <c r="S808" s="8"/>
      <c r="U808" s="34"/>
      <c r="V808" s="34"/>
      <c r="W808" s="34"/>
      <c r="X808" s="34"/>
      <c r="Y808" s="34"/>
      <c r="Z808" s="34"/>
      <c r="AA808" s="34"/>
      <c r="AB808" s="34"/>
      <c r="AC808" s="34"/>
      <c r="AD808" s="34"/>
      <c r="AE808" s="34"/>
      <c r="AF808" s="34"/>
      <c r="AG808" s="34"/>
      <c r="AH808" s="34"/>
      <c r="AI808" s="34"/>
      <c r="AJ808" s="34"/>
      <c r="AK808" s="34"/>
      <c r="AL808" s="34"/>
      <c r="AM808" s="34"/>
      <c r="AN808" s="34"/>
      <c r="AO808" s="34"/>
      <c r="AP808" s="34"/>
      <c r="AQ808" s="34"/>
      <c r="AR808" s="34"/>
      <c r="AS808" s="34"/>
      <c r="AT808" s="34"/>
      <c r="AU808" s="34"/>
      <c r="AV808" s="34"/>
      <c r="AW808" s="34"/>
      <c r="AX808" s="34"/>
      <c r="AY808" s="34"/>
      <c r="AZ808" s="34"/>
      <c r="BA808" s="34"/>
      <c r="BB808" s="34"/>
      <c r="BC808" s="34"/>
      <c r="BD808" s="34"/>
      <c r="BE808" s="34"/>
      <c r="BF808" s="34"/>
      <c r="BG808" s="34"/>
      <c r="BH808" s="34"/>
      <c r="BI808" s="34"/>
      <c r="BJ808" s="34"/>
      <c r="BK808" s="34"/>
      <c r="BL808" s="34"/>
      <c r="BM808" s="34"/>
      <c r="BN808" s="34"/>
      <c r="BO808" s="34"/>
      <c r="BP808" s="34"/>
      <c r="BQ808" s="34"/>
      <c r="BR808" s="34"/>
      <c r="BS808" s="34"/>
      <c r="BT808" s="34"/>
      <c r="BU808" s="34"/>
      <c r="BV808" s="34"/>
      <c r="BW808" s="34"/>
      <c r="BX808" s="34"/>
      <c r="BY808" s="34"/>
      <c r="BZ808" s="34"/>
      <c r="CA808" s="34"/>
      <c r="CB808" s="34"/>
      <c r="CC808" s="34"/>
      <c r="CD808" s="34"/>
      <c r="CE808" s="34"/>
      <c r="CF808" s="34"/>
      <c r="CG808" s="34"/>
      <c r="CH808" s="34"/>
      <c r="CI808" s="8"/>
    </row>
    <row r="809" spans="1:87" x14ac:dyDescent="0.2">
      <c r="A809" s="8" t="str">
        <f>IF(AND(COUNTIF(W$3:W$13,A$22)&gt;0,A$22&lt;&gt;B800),A$22,IFERROR(IF(MATCH(A$22,Z$3:Z$13,0)=1,A$22," ")," "))</f>
        <v xml:space="preserve"> </v>
      </c>
      <c r="B809" s="8" t="str">
        <f>IF(A809=" "," ",MAX(B802:B808)+1)</f>
        <v xml:space="preserve"> </v>
      </c>
      <c r="C809" s="8" t="str">
        <f>IFERROR(INDEX(A802:A823,MATCH(SMALL(B802:B823,8),B802:B823,0),1)," ")</f>
        <v>C19</v>
      </c>
      <c r="D809" s="8">
        <f t="shared" si="3376"/>
        <v>0</v>
      </c>
      <c r="E809" s="8">
        <f t="shared" si="3377"/>
        <v>0</v>
      </c>
      <c r="F809" s="8">
        <f t="shared" si="3378"/>
        <v>0</v>
      </c>
      <c r="G809" s="8">
        <f t="shared" si="3379"/>
        <v>0</v>
      </c>
      <c r="H809" s="8">
        <f t="shared" si="3380"/>
        <v>0</v>
      </c>
      <c r="I809" s="8">
        <f t="shared" si="3381"/>
        <v>0</v>
      </c>
      <c r="J809" s="8">
        <f t="shared" si="3382"/>
        <v>0</v>
      </c>
      <c r="K809" s="8">
        <f t="shared" si="3383"/>
        <v>1</v>
      </c>
      <c r="L809" s="8">
        <f t="shared" si="3384"/>
        <v>0</v>
      </c>
      <c r="M809" s="8">
        <f t="shared" si="3385"/>
        <v>0</v>
      </c>
      <c r="N809" s="8">
        <f t="shared" si="3386"/>
        <v>0</v>
      </c>
      <c r="O809" s="8">
        <f t="shared" si="3387"/>
        <v>0</v>
      </c>
      <c r="P809" s="8" t="e">
        <v>#NUM!</v>
      </c>
      <c r="Q809" s="8" t="e">
        <f t="shared" ref="Q809" si="3416">IF(COUNTIF(P802:P812,"&lt;"&amp;-0.001)=0,IF(ABS(P809)&lt;0.001,0,P809)," ")</f>
        <v>#NUM!</v>
      </c>
      <c r="R809" s="8"/>
      <c r="S809" s="8"/>
      <c r="U809" s="34"/>
      <c r="V809" s="34"/>
      <c r="W809" s="34"/>
      <c r="X809" s="34"/>
      <c r="Y809" s="34"/>
      <c r="Z809" s="34"/>
      <c r="AA809" s="34"/>
      <c r="AB809" s="34"/>
      <c r="AC809" s="34"/>
      <c r="AD809" s="34"/>
      <c r="AE809" s="34"/>
      <c r="AF809" s="34"/>
      <c r="AG809" s="34"/>
      <c r="AH809" s="34"/>
      <c r="AI809" s="34"/>
      <c r="AJ809" s="34"/>
      <c r="AK809" s="34"/>
      <c r="AL809" s="34"/>
      <c r="AM809" s="34"/>
      <c r="AN809" s="34"/>
      <c r="AO809" s="34"/>
      <c r="AP809" s="34"/>
      <c r="AQ809" s="34"/>
      <c r="AR809" s="34"/>
      <c r="AS809" s="34"/>
      <c r="AT809" s="34"/>
      <c r="AU809" s="34"/>
      <c r="AV809" s="34"/>
      <c r="AW809" s="34"/>
      <c r="AX809" s="34"/>
      <c r="AY809" s="34"/>
      <c r="AZ809" s="34"/>
      <c r="BA809" s="34"/>
      <c r="BB809" s="34"/>
      <c r="BC809" s="34"/>
      <c r="BD809" s="34"/>
      <c r="BE809" s="34"/>
      <c r="BF809" s="34"/>
      <c r="BG809" s="34"/>
      <c r="BH809" s="34"/>
      <c r="BI809" s="34"/>
      <c r="BJ809" s="34"/>
      <c r="BK809" s="34"/>
      <c r="BL809" s="34"/>
      <c r="BM809" s="34"/>
      <c r="BN809" s="34"/>
      <c r="BO809" s="34"/>
      <c r="BP809" s="34"/>
      <c r="BQ809" s="34"/>
      <c r="BR809" s="34"/>
      <c r="BS809" s="34"/>
      <c r="BT809" s="34"/>
      <c r="BU809" s="34"/>
      <c r="BV809" s="34"/>
      <c r="BW809" s="34"/>
      <c r="BX809" s="34"/>
      <c r="BY809" s="34"/>
      <c r="BZ809" s="34"/>
      <c r="CA809" s="34"/>
      <c r="CB809" s="34"/>
      <c r="CC809" s="34"/>
      <c r="CD809" s="34"/>
      <c r="CE809" s="34"/>
      <c r="CF809" s="34"/>
      <c r="CG809" s="34"/>
      <c r="CH809" s="34"/>
      <c r="CI809" s="8"/>
    </row>
    <row r="810" spans="1:87" x14ac:dyDescent="0.2">
      <c r="A810" s="8" t="str">
        <f>IF(AND(COUNTIF(W$3:W$13,A$23)&gt;0,A$23&lt;&gt;B800),A$23,IFERROR(IF(MATCH(A$23,Z$3:Z$13,0)=1,A$23," ")," "))</f>
        <v xml:space="preserve"> </v>
      </c>
      <c r="B810" s="8" t="str">
        <f>IF(A810=" "," ",MAX(B802:B809)+1)</f>
        <v xml:space="preserve"> </v>
      </c>
      <c r="C810" s="8" t="str">
        <f>IFERROR(INDEX(A802:A823,MATCH(SMALL(B802:B823,9),B802:B823,0),1)," ")</f>
        <v>C20</v>
      </c>
      <c r="D810" s="8">
        <f t="shared" si="3376"/>
        <v>0</v>
      </c>
      <c r="E810" s="8">
        <f t="shared" si="3377"/>
        <v>0</v>
      </c>
      <c r="F810" s="8">
        <f t="shared" si="3378"/>
        <v>0</v>
      </c>
      <c r="G810" s="8">
        <f t="shared" si="3379"/>
        <v>0</v>
      </c>
      <c r="H810" s="8">
        <f t="shared" si="3380"/>
        <v>0</v>
      </c>
      <c r="I810" s="8">
        <f t="shared" si="3381"/>
        <v>0</v>
      </c>
      <c r="J810" s="8">
        <f t="shared" si="3382"/>
        <v>0</v>
      </c>
      <c r="K810" s="8">
        <f t="shared" si="3383"/>
        <v>0</v>
      </c>
      <c r="L810" s="8">
        <f t="shared" si="3384"/>
        <v>1</v>
      </c>
      <c r="M810" s="8">
        <f t="shared" si="3385"/>
        <v>0</v>
      </c>
      <c r="N810" s="8">
        <f t="shared" si="3386"/>
        <v>0</v>
      </c>
      <c r="O810" s="8">
        <f t="shared" si="3387"/>
        <v>0</v>
      </c>
      <c r="P810" s="6" t="e">
        <v>#NUM!</v>
      </c>
      <c r="Q810" s="8" t="e">
        <f t="shared" ref="Q810" si="3417">IF(COUNTIF(P802:P812,"&lt;"&amp;-0.001)=0,IF(ABS(P810)&lt;0.001,0,P810)," ")</f>
        <v>#NUM!</v>
      </c>
      <c r="R810" s="8"/>
      <c r="S810" s="8"/>
      <c r="U810" s="34"/>
      <c r="V810" s="34"/>
      <c r="W810" s="34"/>
      <c r="X810" s="34"/>
      <c r="Y810" s="34"/>
      <c r="Z810" s="34"/>
      <c r="AA810" s="34"/>
      <c r="AB810" s="34"/>
      <c r="AC810" s="34"/>
      <c r="AD810" s="34"/>
      <c r="AE810" s="34"/>
      <c r="AF810" s="34"/>
      <c r="AG810" s="34"/>
      <c r="AH810" s="34"/>
      <c r="AI810" s="34"/>
      <c r="AJ810" s="34"/>
      <c r="AK810" s="34"/>
      <c r="AL810" s="34"/>
      <c r="AM810" s="34"/>
      <c r="AN810" s="34"/>
      <c r="AO810" s="34"/>
      <c r="AP810" s="34"/>
      <c r="AQ810" s="34"/>
      <c r="AR810" s="34"/>
      <c r="AS810" s="34"/>
      <c r="AT810" s="34"/>
      <c r="AU810" s="34"/>
      <c r="AV810" s="34"/>
      <c r="AW810" s="34"/>
      <c r="AX810" s="34"/>
      <c r="AY810" s="34"/>
      <c r="AZ810" s="34"/>
      <c r="BA810" s="34"/>
      <c r="BB810" s="34"/>
      <c r="BC810" s="34"/>
      <c r="BD810" s="34"/>
      <c r="BE810" s="34"/>
      <c r="BF810" s="34"/>
      <c r="BG810" s="34"/>
      <c r="BH810" s="34"/>
      <c r="BI810" s="34"/>
      <c r="BJ810" s="34"/>
      <c r="BK810" s="34"/>
      <c r="BL810" s="34"/>
      <c r="BM810" s="34"/>
      <c r="BN810" s="34"/>
      <c r="BO810" s="34"/>
      <c r="BP810" s="34"/>
      <c r="BQ810" s="34"/>
      <c r="BR810" s="34"/>
      <c r="BS810" s="34"/>
      <c r="BT810" s="34"/>
      <c r="BU810" s="34"/>
      <c r="BV810" s="34"/>
      <c r="BW810" s="34"/>
      <c r="BX810" s="34"/>
      <c r="BY810" s="34"/>
      <c r="BZ810" s="34"/>
      <c r="CA810" s="34"/>
      <c r="CB810" s="34"/>
      <c r="CC810" s="34"/>
      <c r="CD810" s="34"/>
      <c r="CE810" s="34"/>
      <c r="CF810" s="34"/>
      <c r="CG810" s="34"/>
      <c r="CH810" s="34"/>
      <c r="CI810" s="8"/>
    </row>
    <row r="811" spans="1:87" x14ac:dyDescent="0.2">
      <c r="A811" s="8" t="str">
        <f>IF(AND(COUNTIF(W$3:W$13,A$24)&gt;0,A$24&lt;&gt;B800),A$24,IFERROR(IF(MATCH(A$24,Z$3:Z$13,0)=1,A$24," ")," "))</f>
        <v xml:space="preserve"> </v>
      </c>
      <c r="B811" s="8" t="str">
        <f>IF(A811=" "," ",MAX(B802:B810)+1)</f>
        <v xml:space="preserve"> </v>
      </c>
      <c r="C811" s="8" t="str">
        <f>IFERROR(INDEX(A802:A823,MATCH(SMALL(B802:B823,10),B802:B823,0),1)," ")</f>
        <v>C21</v>
      </c>
      <c r="D811" s="8">
        <f t="shared" si="3376"/>
        <v>0</v>
      </c>
      <c r="E811" s="8">
        <f t="shared" si="3377"/>
        <v>0</v>
      </c>
      <c r="F811" s="8">
        <f t="shared" si="3378"/>
        <v>0</v>
      </c>
      <c r="G811" s="8">
        <f t="shared" si="3379"/>
        <v>0</v>
      </c>
      <c r="H811" s="8">
        <f t="shared" si="3380"/>
        <v>0</v>
      </c>
      <c r="I811" s="8">
        <f t="shared" si="3381"/>
        <v>0</v>
      </c>
      <c r="J811" s="8">
        <f t="shared" si="3382"/>
        <v>0</v>
      </c>
      <c r="K811" s="8">
        <f t="shared" si="3383"/>
        <v>0</v>
      </c>
      <c r="L811" s="8">
        <f t="shared" si="3384"/>
        <v>0</v>
      </c>
      <c r="M811" s="8">
        <f t="shared" si="3385"/>
        <v>1</v>
      </c>
      <c r="N811" s="8">
        <f t="shared" si="3386"/>
        <v>0</v>
      </c>
      <c r="O811" s="8">
        <f t="shared" si="3387"/>
        <v>0</v>
      </c>
      <c r="P811" s="8" t="e">
        <v>#NUM!</v>
      </c>
      <c r="Q811" s="8" t="e">
        <f t="shared" ref="Q811" si="3418">IF(COUNTIF(P802:P812,"&lt;"&amp;-0.001)=0,IF(ABS(P811)&lt;0.001,0,P811)," ")</f>
        <v>#NUM!</v>
      </c>
      <c r="R811" s="8"/>
      <c r="S811" s="8"/>
      <c r="U811" s="34"/>
      <c r="V811" s="34"/>
      <c r="W811" s="34"/>
      <c r="X811" s="34"/>
      <c r="Y811" s="34"/>
      <c r="Z811" s="34"/>
      <c r="AA811" s="34"/>
      <c r="AB811" s="34"/>
      <c r="AC811" s="34"/>
      <c r="AD811" s="34"/>
      <c r="AE811" s="34"/>
      <c r="AF811" s="34"/>
      <c r="AG811" s="34"/>
      <c r="AH811" s="34"/>
      <c r="AI811" s="34"/>
      <c r="AJ811" s="34"/>
      <c r="AK811" s="34"/>
      <c r="AL811" s="34"/>
      <c r="AM811" s="34"/>
      <c r="AN811" s="34"/>
      <c r="AO811" s="34"/>
      <c r="AP811" s="34"/>
      <c r="AQ811" s="34"/>
      <c r="AR811" s="34"/>
      <c r="AS811" s="34"/>
      <c r="AT811" s="34"/>
      <c r="AU811" s="34"/>
      <c r="AV811" s="34"/>
      <c r="AW811" s="34"/>
      <c r="AX811" s="34"/>
      <c r="AY811" s="34"/>
      <c r="AZ811" s="34"/>
      <c r="BA811" s="34"/>
      <c r="BB811" s="34"/>
      <c r="BC811" s="34"/>
      <c r="BD811" s="34"/>
      <c r="BE811" s="34"/>
      <c r="BF811" s="34"/>
      <c r="BG811" s="34"/>
      <c r="BH811" s="34"/>
      <c r="BI811" s="34"/>
      <c r="BJ811" s="34"/>
      <c r="BK811" s="34"/>
      <c r="BL811" s="34"/>
      <c r="BM811" s="34"/>
      <c r="BN811" s="34"/>
      <c r="BO811" s="34"/>
      <c r="BP811" s="34"/>
      <c r="BQ811" s="34"/>
      <c r="BR811" s="34"/>
      <c r="BS811" s="34"/>
      <c r="BT811" s="34"/>
      <c r="BU811" s="34"/>
      <c r="BV811" s="34"/>
      <c r="BW811" s="34"/>
      <c r="BX811" s="34"/>
      <c r="BY811" s="34"/>
      <c r="BZ811" s="34"/>
      <c r="CA811" s="34"/>
      <c r="CB811" s="34"/>
      <c r="CC811" s="34"/>
      <c r="CD811" s="34"/>
      <c r="CE811" s="34"/>
      <c r="CF811" s="34"/>
      <c r="CG811" s="34"/>
      <c r="CH811" s="34"/>
      <c r="CI811" s="8"/>
    </row>
    <row r="812" spans="1:87" x14ac:dyDescent="0.2">
      <c r="A812" s="8" t="str">
        <f>IF(AND(COUNTIF(W$3:W$13,A$25)&gt;0,A$25&lt;&gt;B800),A$25,IFERROR(IF(MATCH(A$25,Z$3:Z$13,0)=1,A$25," ")," "))</f>
        <v xml:space="preserve"> </v>
      </c>
      <c r="B812" s="8" t="str">
        <f>IF(A812=" "," ",MAX(B802:B811)+1)</f>
        <v xml:space="preserve"> </v>
      </c>
      <c r="C812" s="8" t="str">
        <f>IFERROR(INDEX(A802:A823,MATCH(SMALL(B802:B823,11),B802:B823,0),1)," ")</f>
        <v>C22</v>
      </c>
      <c r="D812" s="8">
        <f t="shared" si="3376"/>
        <v>0</v>
      </c>
      <c r="E812" s="8">
        <f t="shared" si="3377"/>
        <v>0</v>
      </c>
      <c r="F812" s="8">
        <f t="shared" si="3378"/>
        <v>0</v>
      </c>
      <c r="G812" s="8">
        <f t="shared" si="3379"/>
        <v>0</v>
      </c>
      <c r="H812" s="8">
        <f t="shared" si="3380"/>
        <v>0</v>
      </c>
      <c r="I812" s="8">
        <f t="shared" si="3381"/>
        <v>0</v>
      </c>
      <c r="J812" s="8">
        <f t="shared" si="3382"/>
        <v>0</v>
      </c>
      <c r="K812" s="8">
        <f t="shared" si="3383"/>
        <v>0</v>
      </c>
      <c r="L812" s="8">
        <f t="shared" si="3384"/>
        <v>0</v>
      </c>
      <c r="M812" s="8">
        <f t="shared" si="3385"/>
        <v>0</v>
      </c>
      <c r="N812" s="8">
        <f t="shared" si="3386"/>
        <v>1</v>
      </c>
      <c r="O812" s="8">
        <f t="shared" si="3387"/>
        <v>0</v>
      </c>
      <c r="P812" s="8" t="e">
        <v>#NUM!</v>
      </c>
      <c r="Q812" s="8" t="e">
        <f t="shared" ref="Q812" si="3419">IF(COUNTIF(P802:P812,"&lt;"&amp;-0.001)=0,IF(ABS(P812)&lt;0.001,0,P812)," ")</f>
        <v>#NUM!</v>
      </c>
      <c r="R812" s="8"/>
      <c r="S812" s="8"/>
      <c r="U812" s="34"/>
      <c r="V812" s="34"/>
      <c r="W812" s="34"/>
      <c r="X812" s="34"/>
      <c r="Y812" s="34"/>
      <c r="Z812" s="34"/>
      <c r="AA812" s="34"/>
      <c r="AB812" s="34"/>
      <c r="AC812" s="34"/>
      <c r="AD812" s="34"/>
      <c r="AE812" s="34"/>
      <c r="AF812" s="34"/>
      <c r="AG812" s="34"/>
      <c r="AH812" s="34"/>
      <c r="AI812" s="34"/>
      <c r="AJ812" s="34"/>
      <c r="AK812" s="34"/>
      <c r="AL812" s="34"/>
      <c r="AM812" s="34"/>
      <c r="AN812" s="34"/>
      <c r="AO812" s="34"/>
      <c r="AP812" s="34"/>
      <c r="AQ812" s="34"/>
      <c r="AR812" s="34"/>
      <c r="AS812" s="34"/>
      <c r="AT812" s="34"/>
      <c r="AU812" s="34"/>
      <c r="AV812" s="34"/>
      <c r="AW812" s="34"/>
      <c r="AX812" s="34"/>
      <c r="AY812" s="34"/>
      <c r="AZ812" s="34"/>
      <c r="BA812" s="34"/>
      <c r="BB812" s="34"/>
      <c r="BC812" s="34"/>
      <c r="BD812" s="34"/>
      <c r="BE812" s="34"/>
      <c r="BF812" s="34"/>
      <c r="BG812" s="34"/>
      <c r="BH812" s="34"/>
      <c r="BI812" s="34"/>
      <c r="BJ812" s="34"/>
      <c r="BK812" s="34"/>
      <c r="BL812" s="34"/>
      <c r="BM812" s="34"/>
      <c r="BN812" s="34"/>
      <c r="BO812" s="34"/>
      <c r="BP812" s="34"/>
      <c r="BQ812" s="34"/>
      <c r="BR812" s="34"/>
      <c r="BS812" s="34"/>
      <c r="BT812" s="34"/>
      <c r="BU812" s="34"/>
      <c r="BV812" s="34"/>
      <c r="BW812" s="34"/>
      <c r="BX812" s="34"/>
      <c r="BY812" s="34"/>
      <c r="BZ812" s="34"/>
      <c r="CA812" s="34"/>
      <c r="CB812" s="34"/>
      <c r="CC812" s="34"/>
      <c r="CD812" s="34"/>
      <c r="CE812" s="34"/>
      <c r="CF812" s="34"/>
      <c r="CG812" s="34"/>
      <c r="CH812" s="34"/>
      <c r="CI812" s="8"/>
    </row>
    <row r="813" spans="1:87" x14ac:dyDescent="0.2">
      <c r="A813" s="8" t="str">
        <f>IF(AND(COUNTIF(W$3:W$13,A$26)&gt;0,A$26&lt;&gt;B800),A$26,IFERROR(IF(MATCH(A$26,Z$3:Z$13,0)=1,A$26," ")," "))</f>
        <v xml:space="preserve"> </v>
      </c>
      <c r="B813" s="8" t="str">
        <f>IF(A813=" "," ",MAX(B802:B812)+1)</f>
        <v xml:space="preserve"> </v>
      </c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U813" s="34"/>
      <c r="V813" s="34"/>
      <c r="W813" s="34"/>
      <c r="X813" s="34"/>
      <c r="Y813" s="34"/>
      <c r="Z813" s="34"/>
      <c r="AA813" s="34"/>
      <c r="AB813" s="34"/>
      <c r="AC813" s="34"/>
      <c r="AD813" s="34"/>
      <c r="AE813" s="34"/>
      <c r="AF813" s="34"/>
      <c r="AG813" s="34"/>
      <c r="AH813" s="34"/>
      <c r="AI813" s="34"/>
      <c r="AJ813" s="34"/>
      <c r="AK813" s="34"/>
      <c r="AL813" s="34"/>
      <c r="AM813" s="34"/>
      <c r="AN813" s="34"/>
      <c r="AO813" s="34"/>
      <c r="AP813" s="34"/>
      <c r="AQ813" s="34"/>
      <c r="AR813" s="34"/>
      <c r="AS813" s="34"/>
      <c r="AT813" s="34"/>
      <c r="AU813" s="34"/>
      <c r="AV813" s="34"/>
      <c r="AW813" s="34"/>
      <c r="AX813" s="34"/>
      <c r="AY813" s="34"/>
      <c r="AZ813" s="34"/>
      <c r="BA813" s="34"/>
      <c r="BB813" s="34"/>
      <c r="BC813" s="34"/>
      <c r="BD813" s="34"/>
      <c r="BE813" s="34"/>
      <c r="BF813" s="34"/>
      <c r="BG813" s="34"/>
      <c r="BH813" s="34"/>
      <c r="BI813" s="34"/>
      <c r="BJ813" s="34"/>
      <c r="BK813" s="34"/>
      <c r="BL813" s="34"/>
      <c r="BM813" s="34"/>
      <c r="BN813" s="34"/>
      <c r="BO813" s="34"/>
      <c r="BP813" s="34"/>
      <c r="BQ813" s="34"/>
      <c r="BR813" s="34"/>
      <c r="BS813" s="34"/>
      <c r="BT813" s="34"/>
      <c r="BU813" s="34"/>
      <c r="BV813" s="34"/>
      <c r="BW813" s="34"/>
      <c r="BX813" s="34"/>
      <c r="BY813" s="34"/>
      <c r="BZ813" s="34"/>
      <c r="CA813" s="34"/>
      <c r="CB813" s="34"/>
      <c r="CC813" s="34"/>
      <c r="CD813" s="34"/>
      <c r="CE813" s="34"/>
      <c r="CF813" s="34"/>
      <c r="CG813" s="34"/>
      <c r="CH813" s="34"/>
      <c r="CI813" s="8"/>
    </row>
    <row r="814" spans="1:87" x14ac:dyDescent="0.2">
      <c r="A814" s="8" t="str">
        <f>IF(AND(COUNTIF(W$3:W$13,A$27)&gt;0,A$27&lt;&gt;B800),A$27,IFERROR(IF(MATCH(A$27,Z$3:Z$13,0)=1,A$27," ")," "))</f>
        <v>C13</v>
      </c>
      <c r="B814" s="8">
        <f>IF(A814=" "," ",MAX(B802:B813)+1)</f>
        <v>4</v>
      </c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6"/>
      <c r="Q814" s="8"/>
      <c r="R814" s="8"/>
      <c r="S814" s="8"/>
      <c r="U814" s="34"/>
      <c r="V814" s="34"/>
      <c r="W814" s="34"/>
      <c r="X814" s="34"/>
      <c r="Y814" s="34"/>
      <c r="Z814" s="34"/>
      <c r="AA814" s="34"/>
      <c r="AB814" s="34"/>
      <c r="AC814" s="34"/>
      <c r="AD814" s="34"/>
      <c r="AE814" s="34"/>
      <c r="AF814" s="34"/>
      <c r="AG814" s="34"/>
      <c r="AH814" s="34"/>
      <c r="AI814" s="34"/>
      <c r="AJ814" s="34"/>
      <c r="AK814" s="34"/>
      <c r="AL814" s="34"/>
      <c r="AM814" s="34"/>
      <c r="AN814" s="34"/>
      <c r="AO814" s="34"/>
      <c r="AP814" s="34"/>
      <c r="AQ814" s="34"/>
      <c r="AR814" s="34"/>
      <c r="AS814" s="34"/>
      <c r="AT814" s="34"/>
      <c r="AU814" s="34"/>
      <c r="AV814" s="34"/>
      <c r="AW814" s="34"/>
      <c r="AX814" s="34"/>
      <c r="AY814" s="34"/>
      <c r="AZ814" s="34"/>
      <c r="BA814" s="34"/>
      <c r="BB814" s="34"/>
      <c r="BC814" s="34"/>
      <c r="BD814" s="34"/>
      <c r="BE814" s="34"/>
      <c r="BF814" s="34"/>
      <c r="BG814" s="34"/>
      <c r="BH814" s="34"/>
      <c r="BI814" s="34"/>
      <c r="BJ814" s="34"/>
      <c r="BK814" s="34"/>
      <c r="BL814" s="34"/>
      <c r="BM814" s="34"/>
      <c r="BN814" s="34"/>
      <c r="BO814" s="34"/>
      <c r="BP814" s="34"/>
      <c r="BQ814" s="34"/>
      <c r="BR814" s="34"/>
      <c r="BS814" s="34"/>
      <c r="BT814" s="34"/>
      <c r="BU814" s="34"/>
      <c r="BV814" s="34"/>
      <c r="BW814" s="34"/>
      <c r="BX814" s="34"/>
      <c r="BY814" s="34"/>
      <c r="BZ814" s="34"/>
      <c r="CA814" s="34"/>
      <c r="CB814" s="34"/>
      <c r="CC814" s="34"/>
      <c r="CD814" s="34"/>
      <c r="CE814" s="34"/>
      <c r="CF814" s="34"/>
      <c r="CG814" s="34"/>
      <c r="CH814" s="34"/>
      <c r="CI814" s="8"/>
    </row>
    <row r="815" spans="1:87" x14ac:dyDescent="0.2">
      <c r="A815" s="8" t="str">
        <f>IF(AND(COUNTIF(W$3:W$13,A$28)&gt;0,A$28&lt;&gt;B800),A$28,IFERROR(IF(MATCH(A$28,Z$3:Z$13,0)=1,A$28," ")," "))</f>
        <v xml:space="preserve"> </v>
      </c>
      <c r="B815" s="8" t="str">
        <f>IF(A815=" "," ",MAX(B802:B814)+1)</f>
        <v xml:space="preserve"> </v>
      </c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U815" s="34"/>
      <c r="V815" s="34"/>
      <c r="W815" s="34"/>
      <c r="X815" s="34"/>
      <c r="Y815" s="34"/>
      <c r="Z815" s="34"/>
      <c r="AA815" s="34"/>
      <c r="AB815" s="34"/>
      <c r="AC815" s="34"/>
      <c r="AD815" s="34"/>
      <c r="AE815" s="34"/>
      <c r="AF815" s="34"/>
      <c r="AG815" s="34"/>
      <c r="AH815" s="34"/>
      <c r="AI815" s="34"/>
      <c r="AJ815" s="34"/>
      <c r="AK815" s="34"/>
      <c r="AL815" s="34"/>
      <c r="AM815" s="34"/>
      <c r="AN815" s="34"/>
      <c r="AO815" s="34"/>
      <c r="AP815" s="34"/>
      <c r="AQ815" s="34"/>
      <c r="AR815" s="34"/>
      <c r="AS815" s="34"/>
      <c r="AT815" s="34"/>
      <c r="AU815" s="34"/>
      <c r="AV815" s="34"/>
      <c r="AW815" s="34"/>
      <c r="AX815" s="34"/>
      <c r="AY815" s="34"/>
      <c r="AZ815" s="34"/>
      <c r="BA815" s="34"/>
      <c r="BB815" s="34"/>
      <c r="BC815" s="34"/>
      <c r="BD815" s="34"/>
      <c r="BE815" s="34"/>
      <c r="BF815" s="34"/>
      <c r="BG815" s="34"/>
      <c r="BH815" s="34"/>
      <c r="BI815" s="34"/>
      <c r="BJ815" s="34"/>
      <c r="BK815" s="34"/>
      <c r="BL815" s="34"/>
      <c r="BM815" s="34"/>
      <c r="BN815" s="34"/>
      <c r="BO815" s="34"/>
      <c r="BP815" s="34"/>
      <c r="BQ815" s="34"/>
      <c r="BR815" s="34"/>
      <c r="BS815" s="34"/>
      <c r="BT815" s="34"/>
      <c r="BU815" s="34"/>
      <c r="BV815" s="34"/>
      <c r="BW815" s="34"/>
      <c r="BX815" s="34"/>
      <c r="BY815" s="34"/>
      <c r="BZ815" s="34"/>
      <c r="CA815" s="34"/>
      <c r="CB815" s="34"/>
      <c r="CC815" s="34"/>
      <c r="CD815" s="34"/>
      <c r="CE815" s="34"/>
      <c r="CF815" s="34"/>
      <c r="CG815" s="34"/>
      <c r="CH815" s="34"/>
      <c r="CI815" s="8"/>
    </row>
    <row r="816" spans="1:87" x14ac:dyDescent="0.2">
      <c r="A816" s="8" t="str">
        <f>IF(AND(COUNTIF(W$3:W$13,A$29)&gt;0,A$29&lt;&gt;B800),A$29,IFERROR(IF(MATCH(A$29,Z$3:Z$13,0)=1,A$29," ")," "))</f>
        <v xml:space="preserve"> </v>
      </c>
      <c r="B816" s="8" t="str">
        <f>IF(A816=" "," ",MAX(B802:B815)+1)</f>
        <v xml:space="preserve"> </v>
      </c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U816" s="34"/>
      <c r="V816" s="34"/>
      <c r="W816" s="34"/>
      <c r="X816" s="34"/>
      <c r="Y816" s="34"/>
      <c r="Z816" s="34"/>
      <c r="AA816" s="34"/>
      <c r="AB816" s="34"/>
      <c r="AC816" s="34"/>
      <c r="AD816" s="34"/>
      <c r="AE816" s="34"/>
      <c r="AF816" s="34"/>
      <c r="AG816" s="34"/>
      <c r="AH816" s="34"/>
      <c r="AI816" s="34"/>
      <c r="AJ816" s="34"/>
      <c r="AK816" s="34"/>
      <c r="AL816" s="34"/>
      <c r="AM816" s="34"/>
      <c r="AN816" s="34"/>
      <c r="AO816" s="34"/>
      <c r="AP816" s="34"/>
      <c r="AQ816" s="34"/>
      <c r="AR816" s="34"/>
      <c r="AS816" s="34"/>
      <c r="AT816" s="34"/>
      <c r="AU816" s="34"/>
      <c r="AV816" s="34"/>
      <c r="AW816" s="34"/>
      <c r="AX816" s="34"/>
      <c r="AY816" s="34"/>
      <c r="AZ816" s="34"/>
      <c r="BA816" s="34"/>
      <c r="BB816" s="34"/>
      <c r="BC816" s="34"/>
      <c r="BD816" s="34"/>
      <c r="BE816" s="34"/>
      <c r="BF816" s="34"/>
      <c r="BG816" s="34"/>
      <c r="BH816" s="34"/>
      <c r="BI816" s="34"/>
      <c r="BJ816" s="34"/>
      <c r="BK816" s="34"/>
      <c r="BL816" s="34"/>
      <c r="BM816" s="34"/>
      <c r="BN816" s="34"/>
      <c r="BO816" s="34"/>
      <c r="BP816" s="34"/>
      <c r="BQ816" s="34"/>
      <c r="BR816" s="34"/>
      <c r="BS816" s="34"/>
      <c r="BT816" s="34"/>
      <c r="BU816" s="34"/>
      <c r="BV816" s="34"/>
      <c r="BW816" s="34"/>
      <c r="BX816" s="34"/>
      <c r="BY816" s="34"/>
      <c r="BZ816" s="34"/>
      <c r="CA816" s="34"/>
      <c r="CB816" s="34"/>
      <c r="CC816" s="34"/>
      <c r="CD816" s="34"/>
      <c r="CE816" s="34"/>
      <c r="CF816" s="34"/>
      <c r="CG816" s="34"/>
      <c r="CH816" s="34"/>
      <c r="CI816" s="8"/>
    </row>
    <row r="817" spans="1:87" x14ac:dyDescent="0.2">
      <c r="A817" s="8" t="str">
        <f>IF(AND(COUNTIF(W$3:W$13,A$30)&gt;0,A$30&lt;&gt;B800),A$30,IFERROR(IF(MATCH(A$30,Z$3:Z$13,0)=1,A$30," ")," "))</f>
        <v>C16</v>
      </c>
      <c r="B817" s="8">
        <f>IF(A817=" "," ",MAX(B802:B816)+1)</f>
        <v>5</v>
      </c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U817" s="34"/>
      <c r="V817" s="34"/>
      <c r="W817" s="34"/>
      <c r="X817" s="34"/>
      <c r="Y817" s="34"/>
      <c r="Z817" s="34"/>
      <c r="AA817" s="34"/>
      <c r="AB817" s="34"/>
      <c r="AC817" s="34"/>
      <c r="AD817" s="34"/>
      <c r="AE817" s="34"/>
      <c r="AF817" s="34"/>
      <c r="AG817" s="34"/>
      <c r="AH817" s="34"/>
      <c r="AI817" s="34"/>
      <c r="AJ817" s="34"/>
      <c r="AK817" s="34"/>
      <c r="AL817" s="34"/>
      <c r="AM817" s="34"/>
      <c r="AN817" s="34"/>
      <c r="AO817" s="34"/>
      <c r="AP817" s="34"/>
      <c r="AQ817" s="34"/>
      <c r="AR817" s="34"/>
      <c r="AS817" s="34"/>
      <c r="AT817" s="34"/>
      <c r="AU817" s="34"/>
      <c r="AV817" s="34"/>
      <c r="AW817" s="34"/>
      <c r="AX817" s="34"/>
      <c r="AY817" s="34"/>
      <c r="AZ817" s="34"/>
      <c r="BA817" s="34"/>
      <c r="BB817" s="34"/>
      <c r="BC817" s="34"/>
      <c r="BD817" s="34"/>
      <c r="BE817" s="34"/>
      <c r="BF817" s="34"/>
      <c r="BG817" s="34"/>
      <c r="BH817" s="34"/>
      <c r="BI817" s="34"/>
      <c r="BJ817" s="34"/>
      <c r="BK817" s="34"/>
      <c r="BL817" s="34"/>
      <c r="BM817" s="34"/>
      <c r="BN817" s="34"/>
      <c r="BO817" s="34"/>
      <c r="BP817" s="34"/>
      <c r="BQ817" s="34"/>
      <c r="BR817" s="34"/>
      <c r="BS817" s="34"/>
      <c r="BT817" s="34"/>
      <c r="BU817" s="34"/>
      <c r="BV817" s="34"/>
      <c r="BW817" s="34"/>
      <c r="BX817" s="34"/>
      <c r="BY817" s="34"/>
      <c r="BZ817" s="34"/>
      <c r="CA817" s="34"/>
      <c r="CB817" s="34"/>
      <c r="CC817" s="34"/>
      <c r="CD817" s="34"/>
      <c r="CE817" s="34"/>
      <c r="CF817" s="34"/>
      <c r="CG817" s="34"/>
      <c r="CH817" s="34"/>
      <c r="CI817" s="8"/>
    </row>
    <row r="818" spans="1:87" x14ac:dyDescent="0.2">
      <c r="A818" s="8" t="str">
        <f>IF(AND(COUNTIF(W$3:W$13,A$31)&gt;0,A$31&lt;&gt;B800),A$31,IFERROR(IF(MATCH(A$31,Z$3:Z$13,0)=1,A$31," ")," "))</f>
        <v>C17</v>
      </c>
      <c r="B818" s="8">
        <f>IF(A818=" "," ",MAX(B802:B817)+1)</f>
        <v>6</v>
      </c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U818" s="34"/>
      <c r="V818" s="34"/>
      <c r="W818" s="34"/>
      <c r="X818" s="34"/>
      <c r="Y818" s="34"/>
      <c r="Z818" s="34"/>
      <c r="AA818" s="34"/>
      <c r="AB818" s="34"/>
      <c r="AC818" s="34"/>
      <c r="AD818" s="34"/>
      <c r="AE818" s="34"/>
      <c r="AF818" s="34"/>
      <c r="AG818" s="34"/>
      <c r="AH818" s="34"/>
      <c r="AI818" s="34"/>
      <c r="AJ818" s="34"/>
      <c r="AK818" s="34"/>
      <c r="AL818" s="34"/>
      <c r="AM818" s="34"/>
      <c r="AN818" s="34"/>
      <c r="AO818" s="34"/>
      <c r="AP818" s="34"/>
      <c r="AQ818" s="34"/>
      <c r="AR818" s="34"/>
      <c r="AS818" s="34"/>
      <c r="AT818" s="34"/>
      <c r="AU818" s="34"/>
      <c r="AV818" s="34"/>
      <c r="AW818" s="34"/>
      <c r="AX818" s="34"/>
      <c r="AY818" s="34"/>
      <c r="AZ818" s="34"/>
      <c r="BA818" s="34"/>
      <c r="BB818" s="34"/>
      <c r="BC818" s="34"/>
      <c r="BD818" s="34"/>
      <c r="BE818" s="34"/>
      <c r="BF818" s="34"/>
      <c r="BG818" s="34"/>
      <c r="BH818" s="34"/>
      <c r="BI818" s="34"/>
      <c r="BJ818" s="34"/>
      <c r="BK818" s="34"/>
      <c r="BL818" s="34"/>
      <c r="BM818" s="34"/>
      <c r="BN818" s="34"/>
      <c r="BO818" s="34"/>
      <c r="BP818" s="34"/>
      <c r="BQ818" s="34"/>
      <c r="BR818" s="34"/>
      <c r="BS818" s="34"/>
      <c r="BT818" s="34"/>
      <c r="BU818" s="34"/>
      <c r="BV818" s="34"/>
      <c r="BW818" s="34"/>
      <c r="BX818" s="34"/>
      <c r="BY818" s="34"/>
      <c r="BZ818" s="34"/>
      <c r="CA818" s="34"/>
      <c r="CB818" s="34"/>
      <c r="CC818" s="34"/>
      <c r="CD818" s="34"/>
      <c r="CE818" s="34"/>
      <c r="CF818" s="34"/>
      <c r="CG818" s="34"/>
      <c r="CH818" s="34"/>
      <c r="CI818" s="8"/>
    </row>
    <row r="819" spans="1:87" x14ac:dyDescent="0.2">
      <c r="A819" s="8" t="str">
        <f>IF(AND(COUNTIF(W$3:W$13,A$32)&gt;0,A$32&lt;&gt;B800),A$32,IFERROR(IF(MATCH(A$32,Z$3:Z$13,0)=1,A$32," ")," "))</f>
        <v>C18</v>
      </c>
      <c r="B819" s="8">
        <f>IF(A819=" "," ",MAX(B802:B818)+1)</f>
        <v>7</v>
      </c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U819" s="34"/>
      <c r="V819" s="34"/>
      <c r="W819" s="34"/>
      <c r="X819" s="34"/>
      <c r="Y819" s="34"/>
      <c r="Z819" s="34"/>
      <c r="AA819" s="34"/>
      <c r="AB819" s="34"/>
      <c r="AC819" s="34"/>
      <c r="AD819" s="34"/>
      <c r="AE819" s="34"/>
      <c r="AF819" s="34"/>
      <c r="AG819" s="34"/>
      <c r="AH819" s="34"/>
      <c r="AI819" s="34"/>
      <c r="AJ819" s="34"/>
      <c r="AK819" s="34"/>
      <c r="AL819" s="34"/>
      <c r="AM819" s="34"/>
      <c r="AN819" s="34"/>
      <c r="AO819" s="34"/>
      <c r="AP819" s="34"/>
      <c r="AQ819" s="34"/>
      <c r="AR819" s="34"/>
      <c r="AS819" s="34"/>
      <c r="AT819" s="34"/>
      <c r="AU819" s="34"/>
      <c r="AV819" s="34"/>
      <c r="AW819" s="34"/>
      <c r="AX819" s="34"/>
      <c r="AY819" s="34"/>
      <c r="AZ819" s="34"/>
      <c r="BA819" s="34"/>
      <c r="BB819" s="34"/>
      <c r="BC819" s="34"/>
      <c r="BD819" s="34"/>
      <c r="BE819" s="34"/>
      <c r="BF819" s="34"/>
      <c r="BG819" s="34"/>
      <c r="BH819" s="34"/>
      <c r="BI819" s="34"/>
      <c r="BJ819" s="34"/>
      <c r="BK819" s="34"/>
      <c r="BL819" s="34"/>
      <c r="BM819" s="34"/>
      <c r="BN819" s="34"/>
      <c r="BO819" s="34"/>
      <c r="BP819" s="34"/>
      <c r="BQ819" s="34"/>
      <c r="BR819" s="34"/>
      <c r="BS819" s="34"/>
      <c r="BT819" s="34"/>
      <c r="BU819" s="34"/>
      <c r="BV819" s="34"/>
      <c r="BW819" s="34"/>
      <c r="BX819" s="34"/>
      <c r="BY819" s="34"/>
      <c r="BZ819" s="34"/>
      <c r="CA819" s="34"/>
      <c r="CB819" s="34"/>
      <c r="CC819" s="34"/>
      <c r="CD819" s="34"/>
      <c r="CE819" s="34"/>
      <c r="CF819" s="34"/>
      <c r="CG819" s="34"/>
      <c r="CH819" s="34"/>
      <c r="CI819" s="8"/>
    </row>
    <row r="820" spans="1:87" x14ac:dyDescent="0.2">
      <c r="A820" s="8" t="str">
        <f>IF(AND(COUNTIF(W$3:W$13,A$33)&gt;0,A$33&lt;&gt;B800),A$33,IFERROR(IF(MATCH(A$33,Z$3:Z$13,0)=1,A$33," ")," "))</f>
        <v>C19</v>
      </c>
      <c r="B820" s="8">
        <f>IF(A820=" "," ",MAX(B802:B819)+1)</f>
        <v>8</v>
      </c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U820" s="34"/>
      <c r="V820" s="34"/>
      <c r="W820" s="34"/>
      <c r="X820" s="34"/>
      <c r="Y820" s="34"/>
      <c r="Z820" s="34"/>
      <c r="AA820" s="34"/>
      <c r="AB820" s="34"/>
      <c r="AC820" s="34"/>
      <c r="AD820" s="34"/>
      <c r="AE820" s="34"/>
      <c r="AF820" s="34"/>
      <c r="AG820" s="34"/>
      <c r="AH820" s="34"/>
      <c r="AI820" s="34"/>
      <c r="AJ820" s="34"/>
      <c r="AK820" s="34"/>
      <c r="AL820" s="34"/>
      <c r="AM820" s="34"/>
      <c r="AN820" s="34"/>
      <c r="AO820" s="34"/>
      <c r="AP820" s="34"/>
      <c r="AQ820" s="34"/>
      <c r="AR820" s="34"/>
      <c r="AS820" s="34"/>
      <c r="AT820" s="34"/>
      <c r="AU820" s="34"/>
      <c r="AV820" s="34"/>
      <c r="AW820" s="34"/>
      <c r="AX820" s="34"/>
      <c r="AY820" s="34"/>
      <c r="AZ820" s="34"/>
      <c r="BA820" s="34"/>
      <c r="BB820" s="34"/>
      <c r="BC820" s="34"/>
      <c r="BD820" s="34"/>
      <c r="BE820" s="34"/>
      <c r="BF820" s="34"/>
      <c r="BG820" s="34"/>
      <c r="BH820" s="34"/>
      <c r="BI820" s="34"/>
      <c r="BJ820" s="34"/>
      <c r="BK820" s="34"/>
      <c r="BL820" s="34"/>
      <c r="BM820" s="34"/>
      <c r="BN820" s="34"/>
      <c r="BO820" s="34"/>
      <c r="BP820" s="34"/>
      <c r="BQ820" s="34"/>
      <c r="BR820" s="34"/>
      <c r="BS820" s="34"/>
      <c r="BT820" s="34"/>
      <c r="BU820" s="34"/>
      <c r="BV820" s="34"/>
      <c r="BW820" s="34"/>
      <c r="BX820" s="34"/>
      <c r="BY820" s="34"/>
      <c r="BZ820" s="34"/>
      <c r="CA820" s="34"/>
      <c r="CB820" s="34"/>
      <c r="CC820" s="34"/>
      <c r="CD820" s="34"/>
      <c r="CE820" s="34"/>
      <c r="CF820" s="34"/>
      <c r="CG820" s="34"/>
      <c r="CH820" s="34"/>
      <c r="CI820" s="8"/>
    </row>
    <row r="821" spans="1:87" x14ac:dyDescent="0.2">
      <c r="A821" s="8" t="str">
        <f>IF(AND(COUNTIF(W$3:W$13,A$34)&gt;0,A$34&lt;&gt;B800),A$34,IFERROR(IF(MATCH(A$34,Z$3:Z$13,0)=1,A$34," ")," "))</f>
        <v>C20</v>
      </c>
      <c r="B821" s="8">
        <f>IF(A821=" "," ",MAX(B802:B820)+1)</f>
        <v>9</v>
      </c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U821" s="34"/>
      <c r="V821" s="34"/>
      <c r="W821" s="34"/>
      <c r="X821" s="34"/>
      <c r="Y821" s="34"/>
      <c r="Z821" s="34"/>
      <c r="AA821" s="34"/>
      <c r="AB821" s="34"/>
      <c r="AC821" s="34"/>
      <c r="AD821" s="34"/>
      <c r="AE821" s="34"/>
      <c r="AF821" s="34"/>
      <c r="AG821" s="34"/>
      <c r="AH821" s="34"/>
      <c r="AI821" s="34"/>
      <c r="AJ821" s="34"/>
      <c r="AK821" s="34"/>
      <c r="AL821" s="34"/>
      <c r="AM821" s="34"/>
      <c r="AN821" s="34"/>
      <c r="AO821" s="34"/>
      <c r="AP821" s="34"/>
      <c r="AQ821" s="34"/>
      <c r="AR821" s="34"/>
      <c r="AS821" s="34"/>
      <c r="AT821" s="34"/>
      <c r="AU821" s="34"/>
      <c r="AV821" s="34"/>
      <c r="AW821" s="34"/>
      <c r="AX821" s="34"/>
      <c r="AY821" s="34"/>
      <c r="AZ821" s="34"/>
      <c r="BA821" s="34"/>
      <c r="BB821" s="34"/>
      <c r="BC821" s="34"/>
      <c r="BD821" s="34"/>
      <c r="BE821" s="34"/>
      <c r="BF821" s="34"/>
      <c r="BG821" s="34"/>
      <c r="BH821" s="34"/>
      <c r="BI821" s="34"/>
      <c r="BJ821" s="34"/>
      <c r="BK821" s="34"/>
      <c r="BL821" s="34"/>
      <c r="BM821" s="34"/>
      <c r="BN821" s="34"/>
      <c r="BO821" s="34"/>
      <c r="BP821" s="34"/>
      <c r="BQ821" s="34"/>
      <c r="BR821" s="34"/>
      <c r="BS821" s="34"/>
      <c r="BT821" s="34"/>
      <c r="BU821" s="34"/>
      <c r="BV821" s="34"/>
      <c r="BW821" s="34"/>
      <c r="BX821" s="34"/>
      <c r="BY821" s="34"/>
      <c r="BZ821" s="34"/>
      <c r="CA821" s="34"/>
      <c r="CB821" s="34"/>
      <c r="CC821" s="34"/>
      <c r="CD821" s="34"/>
      <c r="CE821" s="34"/>
      <c r="CF821" s="34"/>
      <c r="CG821" s="34"/>
      <c r="CH821" s="34"/>
      <c r="CI821" s="8"/>
    </row>
    <row r="822" spans="1:87" x14ac:dyDescent="0.2">
      <c r="A822" s="8" t="str">
        <f>IF(AND(COUNTIF(W$3:W$13,A$35)&gt;0,A$35&lt;&gt;B800),A$35,IFERROR(IF(MATCH(A$35,Z$3:Z$13,0)=1,A$35," ")," "))</f>
        <v>C21</v>
      </c>
      <c r="B822" s="8">
        <f>IF(A822=" "," ",MAX(B802:B821)+1)</f>
        <v>10</v>
      </c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U822" s="34"/>
      <c r="V822" s="34"/>
      <c r="W822" s="34"/>
      <c r="X822" s="34"/>
      <c r="Y822" s="34"/>
      <c r="Z822" s="34"/>
      <c r="AA822" s="34"/>
      <c r="AB822" s="34"/>
      <c r="AC822" s="34"/>
      <c r="AD822" s="34"/>
      <c r="AE822" s="34"/>
      <c r="AF822" s="34"/>
      <c r="AG822" s="34"/>
      <c r="AH822" s="34"/>
      <c r="AI822" s="34"/>
      <c r="AJ822" s="34"/>
      <c r="AK822" s="34"/>
      <c r="AL822" s="34"/>
      <c r="AM822" s="34"/>
      <c r="AN822" s="34"/>
      <c r="AO822" s="34"/>
      <c r="AP822" s="34"/>
      <c r="AQ822" s="34"/>
      <c r="AR822" s="34"/>
      <c r="AS822" s="34"/>
      <c r="AT822" s="34"/>
      <c r="AU822" s="34"/>
      <c r="AV822" s="34"/>
      <c r="AW822" s="34"/>
      <c r="AX822" s="34"/>
      <c r="AY822" s="34"/>
      <c r="AZ822" s="34"/>
      <c r="BA822" s="34"/>
      <c r="BB822" s="34"/>
      <c r="BC822" s="34"/>
      <c r="BD822" s="34"/>
      <c r="BE822" s="34"/>
      <c r="BF822" s="34"/>
      <c r="BG822" s="34"/>
      <c r="BH822" s="34"/>
      <c r="BI822" s="34"/>
      <c r="BJ822" s="34"/>
      <c r="BK822" s="34"/>
      <c r="BL822" s="34"/>
      <c r="BM822" s="34"/>
      <c r="BN822" s="34"/>
      <c r="BO822" s="34"/>
      <c r="BP822" s="34"/>
      <c r="BQ822" s="34"/>
      <c r="BR822" s="34"/>
      <c r="BS822" s="34"/>
      <c r="BT822" s="34"/>
      <c r="BU822" s="34"/>
      <c r="BV822" s="34"/>
      <c r="BW822" s="34"/>
      <c r="BX822" s="34"/>
      <c r="BY822" s="34"/>
      <c r="BZ822" s="34"/>
      <c r="CA822" s="34"/>
      <c r="CB822" s="34"/>
      <c r="CC822" s="34"/>
      <c r="CD822" s="34"/>
      <c r="CE822" s="34"/>
      <c r="CF822" s="34"/>
      <c r="CG822" s="34"/>
      <c r="CH822" s="34"/>
      <c r="CI822" s="8"/>
    </row>
    <row r="823" spans="1:87" x14ac:dyDescent="0.2">
      <c r="A823" s="8" t="str">
        <f>IF(AND(COUNTIF(W$3:W$13,A$36)&gt;0,A$36&lt;&gt;B800),A$36,IFERROR(IF(MATCH(A$36,Z$3:Z$13,0)=1,A$36," ")," "))</f>
        <v>C22</v>
      </c>
      <c r="B823" s="8">
        <f>IF(A823=" "," ",MAX(B802:B822)+1)</f>
        <v>11</v>
      </c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U823" s="34"/>
      <c r="V823" s="34"/>
      <c r="W823" s="34"/>
      <c r="X823" s="34"/>
      <c r="Y823" s="34"/>
      <c r="Z823" s="34"/>
      <c r="AA823" s="34"/>
      <c r="AB823" s="34"/>
      <c r="AC823" s="34"/>
      <c r="AD823" s="34"/>
      <c r="AE823" s="34"/>
      <c r="AF823" s="34"/>
      <c r="AG823" s="34"/>
      <c r="AH823" s="34"/>
      <c r="AI823" s="34"/>
      <c r="AJ823" s="34"/>
      <c r="AK823" s="34"/>
      <c r="AL823" s="34"/>
      <c r="AM823" s="34"/>
      <c r="AN823" s="34"/>
      <c r="AO823" s="34"/>
      <c r="AP823" s="34"/>
      <c r="AQ823" s="34"/>
      <c r="AR823" s="34"/>
      <c r="AS823" s="34"/>
      <c r="AT823" s="34"/>
      <c r="AU823" s="34"/>
      <c r="AV823" s="34"/>
      <c r="AW823" s="34"/>
      <c r="AX823" s="34"/>
      <c r="AY823" s="34"/>
      <c r="AZ823" s="34"/>
      <c r="BA823" s="34"/>
      <c r="BB823" s="34"/>
      <c r="BC823" s="34"/>
      <c r="BD823" s="34"/>
      <c r="BE823" s="34"/>
      <c r="BF823" s="34"/>
      <c r="BG823" s="34"/>
      <c r="BH823" s="34"/>
      <c r="BI823" s="34"/>
      <c r="BJ823" s="34"/>
      <c r="BK823" s="34"/>
      <c r="BL823" s="34"/>
      <c r="BM823" s="34"/>
      <c r="BN823" s="34"/>
      <c r="BO823" s="34"/>
      <c r="BP823" s="34"/>
      <c r="BQ823" s="34"/>
      <c r="BR823" s="34"/>
      <c r="BS823" s="34"/>
      <c r="BT823" s="34"/>
      <c r="BU823" s="34"/>
      <c r="BV823" s="34"/>
      <c r="BW823" s="34"/>
      <c r="BX823" s="34"/>
      <c r="BY823" s="34"/>
      <c r="BZ823" s="34"/>
      <c r="CA823" s="34"/>
      <c r="CB823" s="34"/>
      <c r="CC823" s="34"/>
      <c r="CD823" s="34"/>
      <c r="CE823" s="34"/>
      <c r="CF823" s="34"/>
      <c r="CG823" s="34"/>
      <c r="CH823" s="34"/>
      <c r="CI823" s="8"/>
    </row>
    <row r="824" spans="1:87" x14ac:dyDescent="0.2">
      <c r="A824" s="11" t="s">
        <v>17</v>
      </c>
      <c r="B824" s="11"/>
      <c r="C824" s="27" t="s">
        <v>18</v>
      </c>
      <c r="D824" s="27" t="s">
        <v>2</v>
      </c>
      <c r="E824" s="27" t="s">
        <v>6</v>
      </c>
      <c r="F824" s="27" t="s">
        <v>15</v>
      </c>
      <c r="G824" s="27" t="s">
        <v>36</v>
      </c>
      <c r="H824" s="27" t="s">
        <v>37</v>
      </c>
      <c r="I824" s="27" t="s">
        <v>38</v>
      </c>
      <c r="J824" s="27" t="s">
        <v>39</v>
      </c>
      <c r="K824" s="27" t="s">
        <v>40</v>
      </c>
      <c r="L824" s="27" t="s">
        <v>41</v>
      </c>
      <c r="M824" s="27" t="s">
        <v>42</v>
      </c>
      <c r="N824" s="27" t="s">
        <v>43</v>
      </c>
      <c r="O824" s="27" t="s">
        <v>9</v>
      </c>
      <c r="P824" s="27" t="s">
        <v>12</v>
      </c>
      <c r="Q824" s="27" t="s">
        <v>19</v>
      </c>
      <c r="R824" s="27" t="s">
        <v>55</v>
      </c>
      <c r="S824" s="27" t="s">
        <v>26</v>
      </c>
      <c r="T824" s="19" t="s">
        <v>25</v>
      </c>
      <c r="U824" s="33" t="s">
        <v>27</v>
      </c>
      <c r="V824" s="33" t="s">
        <v>9</v>
      </c>
      <c r="W824" s="33" t="s">
        <v>23</v>
      </c>
      <c r="X824" s="33" t="s">
        <v>12</v>
      </c>
      <c r="Y824" s="33" t="s">
        <v>26</v>
      </c>
      <c r="Z824" s="33" t="s">
        <v>25</v>
      </c>
      <c r="AA824" s="33" t="s">
        <v>27</v>
      </c>
      <c r="AB824" s="33" t="s">
        <v>9</v>
      </c>
      <c r="AC824" s="33" t="s">
        <v>23</v>
      </c>
      <c r="AD824" s="33" t="s">
        <v>12</v>
      </c>
      <c r="AE824" s="33" t="s">
        <v>26</v>
      </c>
      <c r="AF824" s="33" t="s">
        <v>25</v>
      </c>
      <c r="AG824" s="33" t="s">
        <v>27</v>
      </c>
      <c r="AH824" s="33" t="s">
        <v>9</v>
      </c>
      <c r="AI824" s="33" t="s">
        <v>23</v>
      </c>
      <c r="AJ824" s="33" t="s">
        <v>12</v>
      </c>
      <c r="AK824" s="33" t="s">
        <v>26</v>
      </c>
      <c r="AL824" s="33" t="s">
        <v>25</v>
      </c>
      <c r="AM824" s="33" t="s">
        <v>27</v>
      </c>
      <c r="AN824" s="33" t="s">
        <v>9</v>
      </c>
      <c r="AO824" s="33" t="s">
        <v>23</v>
      </c>
      <c r="AP824" s="33" t="s">
        <v>12</v>
      </c>
      <c r="AQ824" s="33" t="s">
        <v>26</v>
      </c>
      <c r="AR824" s="33" t="s">
        <v>25</v>
      </c>
      <c r="AS824" s="33" t="s">
        <v>27</v>
      </c>
      <c r="AT824" s="33" t="s">
        <v>9</v>
      </c>
      <c r="AU824" s="33" t="s">
        <v>23</v>
      </c>
      <c r="AV824" s="33" t="s">
        <v>12</v>
      </c>
      <c r="AW824" s="33" t="s">
        <v>26</v>
      </c>
      <c r="AX824" s="33" t="s">
        <v>25</v>
      </c>
      <c r="AY824" s="33" t="s">
        <v>27</v>
      </c>
      <c r="AZ824" s="33" t="s">
        <v>9</v>
      </c>
      <c r="BA824" s="33" t="s">
        <v>23</v>
      </c>
      <c r="BB824" s="33" t="s">
        <v>12</v>
      </c>
      <c r="BC824" s="33" t="s">
        <v>26</v>
      </c>
      <c r="BD824" s="33" t="s">
        <v>25</v>
      </c>
      <c r="BE824" s="33" t="s">
        <v>27</v>
      </c>
      <c r="BF824" s="33" t="s">
        <v>9</v>
      </c>
      <c r="BG824" s="33" t="s">
        <v>23</v>
      </c>
      <c r="BH824" s="33" t="s">
        <v>12</v>
      </c>
      <c r="BI824" s="33" t="s">
        <v>26</v>
      </c>
      <c r="BJ824" s="33" t="s">
        <v>25</v>
      </c>
      <c r="BK824" s="33" t="s">
        <v>27</v>
      </c>
      <c r="BL824" s="33" t="s">
        <v>9</v>
      </c>
      <c r="BM824" s="33" t="s">
        <v>23</v>
      </c>
      <c r="BN824" s="33" t="s">
        <v>12</v>
      </c>
      <c r="BO824" s="33" t="s">
        <v>26</v>
      </c>
      <c r="BP824" s="33" t="s">
        <v>25</v>
      </c>
      <c r="BQ824" s="33" t="s">
        <v>27</v>
      </c>
      <c r="BR824" s="33" t="s">
        <v>9</v>
      </c>
      <c r="BS824" s="33" t="s">
        <v>23</v>
      </c>
      <c r="BT824" s="33" t="s">
        <v>12</v>
      </c>
      <c r="BU824" s="33" t="s">
        <v>26</v>
      </c>
      <c r="BV824" s="33" t="s">
        <v>25</v>
      </c>
      <c r="BW824" s="33" t="s">
        <v>27</v>
      </c>
      <c r="BX824" s="33" t="s">
        <v>9</v>
      </c>
      <c r="BY824" s="33" t="s">
        <v>23</v>
      </c>
      <c r="BZ824" s="33" t="s">
        <v>12</v>
      </c>
      <c r="CA824" s="33" t="s">
        <v>26</v>
      </c>
      <c r="CB824" s="33" t="s">
        <v>25</v>
      </c>
      <c r="CC824" s="33" t="s">
        <v>27</v>
      </c>
      <c r="CD824" s="33" t="s">
        <v>9</v>
      </c>
      <c r="CE824" s="33" t="s">
        <v>23</v>
      </c>
      <c r="CF824" s="33" t="s">
        <v>12</v>
      </c>
      <c r="CG824" s="33" t="s">
        <v>26</v>
      </c>
      <c r="CH824" s="33" t="s">
        <v>25</v>
      </c>
      <c r="CI824" s="8"/>
    </row>
    <row r="825" spans="1:87" x14ac:dyDescent="0.2">
      <c r="A825" s="8" t="str">
        <f>IF(AND(COUNTIF(W$3:W$13,A$15)&gt;0,A$15&lt;&gt;B800),A$15,IFERROR(IF(MATCH(A$15,Z$3:Z$13,0)=2,A$15," ")," "))</f>
        <v xml:space="preserve"> </v>
      </c>
      <c r="B825" s="8" t="str">
        <f>IF(A825=" "," ",1)</f>
        <v xml:space="preserve"> </v>
      </c>
      <c r="C825" s="8" t="str">
        <f>IFERROR(INDEX(A825:A846,MATCH(SMALL(B825:B846,1),B825:B846,0),1)," ")</f>
        <v>C2</v>
      </c>
      <c r="D825" s="8">
        <f>IFERROR(VLOOKUP($C825,$A$15:$O$36,2,FALSE)," ")</f>
        <v>1</v>
      </c>
      <c r="E825" s="8">
        <f>IFERROR(VLOOKUP($C825,$A$15:$O$36,3,FALSE)," ")</f>
        <v>3</v>
      </c>
      <c r="F825" s="8">
        <f>IFERROR(VLOOKUP($C825,$A$15:$O$36,4,FALSE)," ")</f>
        <v>2</v>
      </c>
      <c r="G825" s="8">
        <f>IFERROR(VLOOKUP($C825,$A$15:$O$36,5,FALSE)," ")</f>
        <v>0</v>
      </c>
      <c r="H825" s="8">
        <f>IFERROR(VLOOKUP($C825,$A$15:$O$36,6,FALSE)," ")</f>
        <v>0</v>
      </c>
      <c r="I825" s="8">
        <f>IFERROR(VLOOKUP($C825,$A$15:$O$36,7,FALSE)," ")</f>
        <v>0</v>
      </c>
      <c r="J825" s="8">
        <f>IFERROR(VLOOKUP($C825,$A$15:$O$36,8,FALSE)," ")</f>
        <v>0</v>
      </c>
      <c r="K825" s="8">
        <f>IFERROR(VLOOKUP($C825,$A$15:$O$36,9,FALSE)," ")</f>
        <v>0</v>
      </c>
      <c r="L825" s="8">
        <f>IFERROR(VLOOKUP($C825,$A$15:$O$36,10,FALSE)," ")</f>
        <v>0</v>
      </c>
      <c r="M825" s="8">
        <f>IFERROR(VLOOKUP($C825,$A$15:$O$36,11,FALSE)," ")</f>
        <v>0</v>
      </c>
      <c r="N825" s="8">
        <f>IFERROR(VLOOKUP($C825,$A$15:$O$36,12,FALSE)," ")</f>
        <v>0</v>
      </c>
      <c r="O825" s="8">
        <f>IFERROR(VLOOKUP($C825,$A$15:$O$36,15,FALSE)," ")</f>
        <v>1000</v>
      </c>
      <c r="P825" s="8" t="e">
        <f t="array" ref="P825:P835">MMULT(MINVERSE(D825:N835),O825:O835)</f>
        <v>#NUM!</v>
      </c>
      <c r="Q825" s="8" t="e">
        <f t="shared" ref="Q825" si="3420">IF(COUNTIF(P825:P835,"&lt;"&amp;-0.001)=0,IF(ABS(P825)&lt;0.001,0,P825)," ")</f>
        <v>#NUM!</v>
      </c>
      <c r="R825" s="8" t="str">
        <f>IFERROR(VLOOKUP(B800,A$15:L$36,2,FALSE)*Q825+VLOOKUP(B800,A$15:L$36,3,FALSE)*Q826+VLOOKUP(B800,A$15:L$36,4,FALSE)*Q827+VLOOKUP(B800,A$15:L$36,5,FALSE)*Q828+VLOOKUP(B800,A$15:L$36,6,FALSE)*Q829+VLOOKUP(B800,A$15:L$36,7,FALSE)*Q830+VLOOKUP(B800,A$15:L$36,8,FALSE)*Q831+VLOOKUP(B800,A$15:L$36,9,FALSE)*Q832+VLOOKUP(B800,A$15:L$36,10,FALSE)*Q833+VLOOKUP(B800,A$15:L$36,11,FALSE)*Q834+VLOOKUP(B800,A$15:L$36,12,FALSE)*Q835," ")</f>
        <v xml:space="preserve"> </v>
      </c>
      <c r="S825" s="8" t="str">
        <f>IFERROR(IF(R825-VLOOKUP(B800,A$15:O$36,15,FALSE)&lt;0,R825-VLOOKUP(B800,A$15:O$36,15,FALSE)," ")," ")</f>
        <v xml:space="preserve"> </v>
      </c>
      <c r="T825" s="18" t="str">
        <f>IFERROR(IF(R825-VLOOKUP(B800,A$15:O$36,15,FALSE)&gt;0,R825-VLOOKUP(B800,A$15:O$36,15,FALSE)," ")," ")</f>
        <v xml:space="preserve"> </v>
      </c>
      <c r="U825" s="34">
        <f t="shared" ref="U825" si="3421">$M$2</f>
        <v>100.00000000000001</v>
      </c>
      <c r="V825" s="34">
        <v>-1</v>
      </c>
      <c r="W825" s="34">
        <f t="shared" ref="W825" si="3422">-SUMPRODUCT($M$3:$M$12,$N$3:$N$12)</f>
        <v>-105000</v>
      </c>
      <c r="X825" s="34" t="e">
        <f t="shared" ref="X825" si="3423">IF(U825&lt;&gt;U826,MMULT(MINVERSE(U825:V826),W825:W826)," ")</f>
        <v>#NUM!</v>
      </c>
      <c r="Y825" s="34" t="str">
        <f t="shared" ref="Y825" si="3424">IFERROR(IF(X825-VLOOKUP(U$38,$A$2:$N$12,14,FALSE)&lt;0,X825-VLOOKUP(U$38,$A$2:$N$12,14,FALSE)," ")," ")</f>
        <v xml:space="preserve"> </v>
      </c>
      <c r="Z825" s="34" t="str">
        <f t="shared" ref="Z825" si="3425">IFERROR(IF(X825-VLOOKUP(U$38,$A$2:$N$12,14,FALSE)&gt;0,X825-VLOOKUP(U$38,$A$2:$N$12,14,FALSE)," ")," ")</f>
        <v xml:space="preserve"> </v>
      </c>
      <c r="AA825" s="34">
        <f t="shared" ref="AA825" si="3426">$M$3</f>
        <v>0</v>
      </c>
      <c r="AB825" s="34">
        <v>-1</v>
      </c>
      <c r="AC825" s="34">
        <f t="shared" ref="AC825" si="3427">-SUMPRODUCT($M$2:$M$2,$N$2:$N$2)-SUMPRODUCT($M$4:$M$12,$N$4:$N$12)</f>
        <v>-120000</v>
      </c>
      <c r="AD825" s="34" t="e">
        <f t="shared" ref="AD825" si="3428">IF(AA825&lt;&gt;AA826,MMULT(MINVERSE(AA825:AB826),AC825:AC826)," ")</f>
        <v>#NUM!</v>
      </c>
      <c r="AE825" s="34" t="str">
        <f t="shared" ref="AE825" si="3429">IFERROR(IF(AD825-VLOOKUP(AA$38,$A$2:$N$12,14,FALSE)&lt;0,AD825-VLOOKUP(AA$38,$A$2:$N$12,14,FALSE)," ")," ")</f>
        <v xml:space="preserve"> </v>
      </c>
      <c r="AF825" s="34" t="str">
        <f t="shared" ref="AF825" si="3430">IFERROR(IF(AD825-VLOOKUP(AA$38,$A$2:$N$12,14,FALSE)&gt;0,AD825-VLOOKUP(AA$38,$A$2:$N$12,14,FALSE)," ")," ")</f>
        <v xml:space="preserve"> </v>
      </c>
      <c r="AG825" s="34">
        <f t="shared" ref="AG825" si="3431">$M$4</f>
        <v>300</v>
      </c>
      <c r="AH825" s="34">
        <v>-1</v>
      </c>
      <c r="AI825" s="34">
        <f t="shared" ref="AI825" si="3432">-SUMPRODUCT($M$2:$M$3,$N$2:$N$3)-SUMPRODUCT($M$5:$M$12,$N$5:$N$12)</f>
        <v>-15000.000000000002</v>
      </c>
      <c r="AJ825" s="34" t="e">
        <f t="shared" ref="AJ825" si="3433">IF(AG825&lt;&gt;AG826,MMULT(MINVERSE(AG825:AH826),AI825:AI826)," ")</f>
        <v>#NUM!</v>
      </c>
      <c r="AK825" s="34" t="str">
        <f t="shared" ref="AK825" si="3434">IFERROR(IF(AJ825-VLOOKUP(AG$38,$A$2:$N$12,14,FALSE)&lt;0,AJ825-VLOOKUP(AG$38,$A$2:$N$12,14,FALSE)," ")," ")</f>
        <v xml:space="preserve"> </v>
      </c>
      <c r="AL825" s="34" t="str">
        <f t="shared" ref="AL825" si="3435">IFERROR(IF(AJ825-VLOOKUP(AG$38,$A$2:$N$12,14,FALSE)&gt;0,AJ825-VLOOKUP(AG$38,$A$2:$N$12,14,FALSE)," ")," ")</f>
        <v xml:space="preserve"> </v>
      </c>
      <c r="AM825" s="34">
        <f t="shared" ref="AM825" si="3436">$M$5</f>
        <v>0</v>
      </c>
      <c r="AN825" s="34">
        <v>-1</v>
      </c>
      <c r="AO825" s="34">
        <f t="shared" ref="AO825" si="3437">-SUMPRODUCT($M$2:$M$4,$N$2:$N$4)-SUMPRODUCT($M$6:$M$12,$N$6:$N$12)</f>
        <v>-120000</v>
      </c>
      <c r="AP825" s="34" t="e">
        <f t="shared" ref="AP825" si="3438">IF(AM825&lt;&gt;AM826,MMULT(MINVERSE(AM825:AN826),AO825:AO826)," ")</f>
        <v>#NUM!</v>
      </c>
      <c r="AQ825" s="34" t="str">
        <f t="shared" ref="AQ825" si="3439">IFERROR(IF(AP825-VLOOKUP(AM$38,$A$2:$N$12,14,FALSE)&lt;0,AP825-VLOOKUP(AM$38,$A$2:$N$12,14,FALSE)," ")," ")</f>
        <v xml:space="preserve"> </v>
      </c>
      <c r="AR825" s="34" t="str">
        <f t="shared" ref="AR825" si="3440">IFERROR(IF(AP825-VLOOKUP(AM$38,$A$2:$N$12,14,FALSE)&gt;0,AP825-VLOOKUP(AM$38,$A$2:$N$12,14,FALSE)," ")," ")</f>
        <v xml:space="preserve"> </v>
      </c>
      <c r="AS825" s="34">
        <f t="shared" ref="AS825" si="3441">$M$6</f>
        <v>0</v>
      </c>
      <c r="AT825" s="34">
        <v>-1</v>
      </c>
      <c r="AU825" s="34">
        <f t="shared" ref="AU825" si="3442">-SUMPRODUCT($M$2:$M$5,$N$2:$N$5)-SUMPRODUCT($M$7:$M$12,$N$7:$N$12)</f>
        <v>-120000</v>
      </c>
      <c r="AV825" s="34" t="e">
        <f t="shared" ref="AV825" si="3443">IF(AS825&lt;&gt;AS826,MMULT(MINVERSE(AS825:AT826),AU825:AU826)," ")</f>
        <v>#NUM!</v>
      </c>
      <c r="AW825" s="34" t="str">
        <f t="shared" ref="AW825" si="3444">IFERROR(IF(AV825-VLOOKUP(AS$38,$A$2:$N$12,14,FALSE)&lt;0,AV825-VLOOKUP(AS$38,$A$2:$N$12,14,FALSE)," ")," ")</f>
        <v xml:space="preserve"> </v>
      </c>
      <c r="AX825" s="34" t="str">
        <f t="shared" ref="AX825" si="3445">IFERROR(IF(AV825-VLOOKUP(AS$38,$A$2:$N$12,14,FALSE)&gt;0,AV825-VLOOKUP(AS$38,$A$2:$N$12,14,FALSE)," ")," ")</f>
        <v xml:space="preserve"> </v>
      </c>
      <c r="AY825" s="34">
        <f t="shared" ref="AY825" si="3446">$M$7</f>
        <v>0</v>
      </c>
      <c r="AZ825" s="34">
        <v>-1</v>
      </c>
      <c r="BA825" s="34">
        <f t="shared" ref="BA825" si="3447">-SUMPRODUCT($M$2:$M$6,$N$2:$N$6)-SUMPRODUCT($M$8:$M$12,$N$8:$N$12)</f>
        <v>-120000</v>
      </c>
      <c r="BB825" s="34" t="e">
        <f t="shared" ref="BB825" si="3448">IF(AY825&lt;&gt;AY826,MMULT(MINVERSE(AY825:AZ826),BA825:BA826)," ")</f>
        <v>#NUM!</v>
      </c>
      <c r="BC825" s="34" t="str">
        <f t="shared" ref="BC825" si="3449">IFERROR(IF(BB825-VLOOKUP(AY$38,$A$2:$N$12,14,FALSE)&lt;0,BB825-VLOOKUP(AY$38,$A$2:$N$12,14,FALSE)," ")," ")</f>
        <v xml:space="preserve"> </v>
      </c>
      <c r="BD825" s="34" t="str">
        <f t="shared" ref="BD825" si="3450">IFERROR(IF(BB825-VLOOKUP(AY$38,$A$2:$N$12,14,FALSE)&gt;0,BB825-VLOOKUP(AY$38,$A$2:$N$12,14,FALSE)," ")," ")</f>
        <v xml:space="preserve"> </v>
      </c>
      <c r="BE825" s="34">
        <f t="shared" ref="BE825" si="3451">$M$8</f>
        <v>0</v>
      </c>
      <c r="BF825" s="34">
        <v>-1</v>
      </c>
      <c r="BG825" s="34">
        <f t="shared" ref="BG825" si="3452">-SUMPRODUCT($M$2:$M$7,$N$2:$N$7)-SUMPRODUCT($M$9:$M$12,$N$9:$N$12)</f>
        <v>-120000</v>
      </c>
      <c r="BH825" s="34" t="e">
        <f t="shared" ref="BH825" si="3453">IF(BE825&lt;&gt;BE826,MMULT(MINVERSE(BE825:BF826),BG825:BG826)," ")</f>
        <v>#NUM!</v>
      </c>
      <c r="BI825" s="34" t="str">
        <f t="shared" ref="BI825" si="3454">IFERROR(IF(BH825-VLOOKUP(BE$38,$A$2:$N$12,14,FALSE)&lt;0,BH825-VLOOKUP(BE$38,$A$2:$N$12,14,FALSE)," ")," ")</f>
        <v xml:space="preserve"> </v>
      </c>
      <c r="BJ825" s="34" t="str">
        <f t="shared" ref="BJ825" si="3455">IFERROR(IF(BH825-VLOOKUP(BE$38,$A$2:$N$12,14,FALSE)&gt;0,BH825-VLOOKUP(BE$38,$A$2:$N$12,14,FALSE)," ")," ")</f>
        <v xml:space="preserve"> </v>
      </c>
      <c r="BK825" s="34">
        <f t="shared" ref="BK825" si="3456">$M$9</f>
        <v>0</v>
      </c>
      <c r="BL825" s="34">
        <v>-1</v>
      </c>
      <c r="BM825" s="34">
        <f t="shared" ref="BM825" si="3457">-SUMPRODUCT($M$2:$M$8,$N$2:$N$8)-SUMPRODUCT($M$10:$M$12,$N$10:$N$12)</f>
        <v>-120000</v>
      </c>
      <c r="BN825" s="34" t="e">
        <f t="shared" ref="BN825" si="3458">IF(BK825&lt;&gt;BK826,MMULT(MINVERSE(BK825:BL826),BM825:BM826)," ")</f>
        <v>#NUM!</v>
      </c>
      <c r="BO825" s="34" t="str">
        <f t="shared" ref="BO825" si="3459">IFERROR(IF(BN825-VLOOKUP(BK$38,$A$2:$N$12,14,FALSE)&lt;0,BN825-VLOOKUP(BK$38,$A$2:$N$12,14,FALSE)," ")," ")</f>
        <v xml:space="preserve"> </v>
      </c>
      <c r="BP825" s="34" t="str">
        <f t="shared" ref="BP825" si="3460">IFERROR(IF(BN825-VLOOKUP(BK$38,$A$2:$N$12,14,FALSE)&gt;0,BN825-VLOOKUP(BK$38,$A$2:$N$12,14,FALSE)," ")," ")</f>
        <v xml:space="preserve"> </v>
      </c>
      <c r="BQ825" s="34">
        <f t="shared" ref="BQ825" si="3461">$M$10</f>
        <v>0</v>
      </c>
      <c r="BR825" s="34">
        <v>-1</v>
      </c>
      <c r="BS825" s="34">
        <f t="shared" ref="BS825" si="3462">-SUMPRODUCT($M$2:$M$9,$N$2:$N$9)-SUMPRODUCT($M$11:$M$12,$N$11:$N$12)</f>
        <v>-120000</v>
      </c>
      <c r="BT825" s="34" t="e">
        <f t="shared" ref="BT825" si="3463">IF(BQ825&lt;&gt;BQ826,MMULT(MINVERSE(BQ825:BR826),BS825:BS826)," ")</f>
        <v>#NUM!</v>
      </c>
      <c r="BU825" s="34" t="str">
        <f t="shared" ref="BU825" si="3464">IFERROR(IF(BT825-VLOOKUP(BQ$38,$A$2:$N$12,14,FALSE)&lt;0,BT825-VLOOKUP(BQ$38,$A$2:$N$12,14,FALSE)," ")," ")</f>
        <v xml:space="preserve"> </v>
      </c>
      <c r="BV825" s="34" t="str">
        <f t="shared" ref="BV825" si="3465">IFERROR(IF(BT825-VLOOKUP(BQ$38,$A$2:$N$12,14,FALSE)&gt;0,BT825-VLOOKUP(BQ$38,$A$2:$N$12,14,FALSE)," ")," ")</f>
        <v xml:space="preserve"> </v>
      </c>
      <c r="BW825" s="34">
        <f t="shared" ref="BW825" si="3466">$M$11</f>
        <v>0</v>
      </c>
      <c r="BX825" s="34">
        <v>-1</v>
      </c>
      <c r="BY825" s="34">
        <f t="shared" ref="BY825" si="3467">-SUMPRODUCT($M$2:$M$10,$N$2:$N$10)-SUMPRODUCT($M$12,$N$12)</f>
        <v>-120000</v>
      </c>
      <c r="BZ825" s="34" t="e">
        <f t="shared" ref="BZ825" si="3468">IF(BW825&lt;&gt;BW826,MMULT(MINVERSE(BW825:BX826),BY825:BY826)," ")</f>
        <v>#NUM!</v>
      </c>
      <c r="CA825" s="34" t="str">
        <f t="shared" ref="CA825" si="3469">IFERROR(IF(BZ825-VLOOKUP(BW$38,$A$2:$N$12,14,FALSE)&lt;0,BZ825-VLOOKUP(BW$38,$A$2:$N$12,14,FALSE)," ")," ")</f>
        <v xml:space="preserve"> </v>
      </c>
      <c r="CB825" s="34" t="str">
        <f t="shared" ref="CB825" si="3470">IFERROR(IF(BZ825-VLOOKUP(BW$38,$A$2:$N$12,14,FALSE)&gt;0,BZ825-VLOOKUP(BW$38,$A$2:$N$12,14,FALSE)," ")," ")</f>
        <v xml:space="preserve"> </v>
      </c>
      <c r="CC825" s="34">
        <f t="shared" ref="CC825" si="3471">$M$12</f>
        <v>0</v>
      </c>
      <c r="CD825" s="34">
        <v>-1</v>
      </c>
      <c r="CE825" s="34">
        <f t="shared" ref="CE825" si="3472">-SUMPRODUCT($M$2:$M$11,$N$2:$N$11)</f>
        <v>-120000</v>
      </c>
      <c r="CF825" s="34" t="e">
        <f t="shared" ref="CF825" si="3473">IF(CC825&lt;&gt;CC826,MMULT(MINVERSE(CC825:CD826),CE825:CE826)," ")</f>
        <v>#NUM!</v>
      </c>
      <c r="CG825" s="34" t="str">
        <f t="shared" ref="CG825" si="3474">IFERROR(IF(CF825-VLOOKUP(CC$38,$A$2:$N$12,14,FALSE)&lt;0,CF825-VLOOKUP(CC$38,$A$2:$N$12,14,FALSE)," ")," ")</f>
        <v xml:space="preserve"> </v>
      </c>
      <c r="CH825" s="34" t="str">
        <f t="shared" ref="CH825" si="3475">IFERROR(IF(CF825-VLOOKUP(CC$38,$A$2:$N$12,14,FALSE)&gt;0,CF825-VLOOKUP(CC$38,$A$2:$N$12,14,FALSE)," ")," ")</f>
        <v xml:space="preserve"> </v>
      </c>
      <c r="CI825" s="8"/>
    </row>
    <row r="826" spans="1:87" x14ac:dyDescent="0.2">
      <c r="A826" s="8" t="str">
        <f>IF(AND(COUNTIF(W$3:W$13,A$16)&gt;0,A$16&lt;&gt;B800),A$16,IFERROR(IF(MATCH(A$16,Z$3:Z$13,0)=2,A$16," ")," "))</f>
        <v>C2</v>
      </c>
      <c r="B826" s="8">
        <f>IF(A826=" "," ",MAX(B825:B825)+1)</f>
        <v>1</v>
      </c>
      <c r="C826" s="8" t="str">
        <f>IFERROR(INDEX(A825:A846,MATCH(SMALL(B825:B846,2),B825:B846,0),1)," ")</f>
        <v>C3</v>
      </c>
      <c r="D826" s="8">
        <f t="shared" ref="D826:D835" si="3476">IFERROR(VLOOKUP($C826,$A$15:$O$36,2,FALSE)," ")</f>
        <v>2</v>
      </c>
      <c r="E826" s="8">
        <f t="shared" ref="E826:E835" si="3477">IFERROR(VLOOKUP($C826,$A$15:$O$36,3,FALSE)," ")</f>
        <v>5</v>
      </c>
      <c r="F826" s="8">
        <f t="shared" ref="F826:F835" si="3478">IFERROR(VLOOKUP($C826,$A$15:$O$36,4,FALSE)," ")</f>
        <v>6</v>
      </c>
      <c r="G826" s="8">
        <f t="shared" ref="G826:G835" si="3479">IFERROR(VLOOKUP($C826,$A$15:$O$36,5,FALSE)," ")</f>
        <v>0</v>
      </c>
      <c r="H826" s="8">
        <f t="shared" ref="H826:H835" si="3480">IFERROR(VLOOKUP($C826,$A$15:$O$36,6,FALSE)," ")</f>
        <v>0</v>
      </c>
      <c r="I826" s="8">
        <f t="shared" ref="I826:I835" si="3481">IFERROR(VLOOKUP($C826,$A$15:$O$36,7,FALSE)," ")</f>
        <v>0</v>
      </c>
      <c r="J826" s="8">
        <f t="shared" ref="J826:J835" si="3482">IFERROR(VLOOKUP($C826,$A$15:$O$36,8,FALSE)," ")</f>
        <v>0</v>
      </c>
      <c r="K826" s="8">
        <f t="shared" ref="K826:K835" si="3483">IFERROR(VLOOKUP($C826,$A$15:$O$36,9,FALSE)," ")</f>
        <v>0</v>
      </c>
      <c r="L826" s="8">
        <f t="shared" ref="L826:L835" si="3484">IFERROR(VLOOKUP($C826,$A$15:$O$36,10,FALSE)," ")</f>
        <v>0</v>
      </c>
      <c r="M826" s="8">
        <f t="shared" ref="M826:M835" si="3485">IFERROR(VLOOKUP($C826,$A$15:$O$36,11,FALSE)," ")</f>
        <v>0</v>
      </c>
      <c r="N826" s="8">
        <f t="shared" ref="N826:N835" si="3486">IFERROR(VLOOKUP($C826,$A$15:$O$36,12,FALSE)," ")</f>
        <v>0</v>
      </c>
      <c r="O826" s="8">
        <f t="shared" ref="O826:O835" si="3487">IFERROR(VLOOKUP($C826,$A$15:$O$36,15,FALSE)," ")</f>
        <v>2000</v>
      </c>
      <c r="P826" s="8" t="e">
        <v>#NUM!</v>
      </c>
      <c r="Q826" s="8" t="e">
        <f t="shared" ref="Q826" si="3488">IF(COUNTIF(P825:P835,"&lt;"&amp;-0.001)=0,IF(ABS(P826)&lt;0.001,0,P826)," ")</f>
        <v>#NUM!</v>
      </c>
      <c r="R826" s="8"/>
      <c r="S826" s="8"/>
      <c r="U826" s="34" t="e">
        <f t="shared" ref="U826" si="3489">$Q825</f>
        <v>#NUM!</v>
      </c>
      <c r="V826" s="34">
        <v>-1</v>
      </c>
      <c r="W826" s="34" t="e">
        <f t="shared" ref="W826" si="3490">-SUMPRODUCT($Q826:$Q835,$N$3:$N$12)</f>
        <v>#NUM!</v>
      </c>
      <c r="X826" s="34"/>
      <c r="Y826" s="34"/>
      <c r="Z826" s="34"/>
      <c r="AA826" s="34" t="e">
        <f t="shared" ref="AA826" si="3491">$Q826</f>
        <v>#NUM!</v>
      </c>
      <c r="AB826" s="34">
        <v>-1</v>
      </c>
      <c r="AC826" s="34" t="e">
        <f t="shared" ref="AC826" si="3492">-SUMPRODUCT($Q825:$Q825,$N$2:$N$2)-SUMPRODUCT($Q827:$Q835,$N$4:$N$12)</f>
        <v>#NUM!</v>
      </c>
      <c r="AD826" s="34"/>
      <c r="AE826" s="34"/>
      <c r="AF826" s="34"/>
      <c r="AG826" s="34" t="e">
        <f t="shared" ref="AG826" si="3493">$Q827</f>
        <v>#NUM!</v>
      </c>
      <c r="AH826" s="34">
        <v>-1</v>
      </c>
      <c r="AI826" s="34" t="e">
        <f t="shared" ref="AI826" si="3494">-SUMPRODUCT($Q825:$Q826,$N$2:$N$3)-SUMPRODUCT($Q828:$Q835,$N$5:$N$12)</f>
        <v>#NUM!</v>
      </c>
      <c r="AJ826" s="34"/>
      <c r="AK826" s="34"/>
      <c r="AL826" s="34"/>
      <c r="AM826" s="34" t="e">
        <f t="shared" ref="AM826" si="3495">$Q828</f>
        <v>#NUM!</v>
      </c>
      <c r="AN826" s="34">
        <v>-1</v>
      </c>
      <c r="AO826" s="34" t="e">
        <f t="shared" ref="AO826" si="3496">-SUMPRODUCT($Q825:$Q827,$N$2:$N$4)-SUMPRODUCT($Q829:$Q835,$N$6:$N$12)</f>
        <v>#NUM!</v>
      </c>
      <c r="AP826" s="34"/>
      <c r="AQ826" s="34"/>
      <c r="AR826" s="34"/>
      <c r="AS826" s="34" t="e">
        <f t="shared" ref="AS826" si="3497">$Q829</f>
        <v>#NUM!</v>
      </c>
      <c r="AT826" s="34">
        <v>-1</v>
      </c>
      <c r="AU826" s="34" t="e">
        <f t="shared" ref="AU826" si="3498">-SUMPRODUCT($Q825:$Q828,$N$2:$N$5)-SUMPRODUCT($Q830:$Q835,$N$7:$N$12)</f>
        <v>#NUM!</v>
      </c>
      <c r="AV826" s="34"/>
      <c r="AW826" s="34"/>
      <c r="AX826" s="34"/>
      <c r="AY826" s="34" t="e">
        <f t="shared" ref="AY826" si="3499">$Q830</f>
        <v>#NUM!</v>
      </c>
      <c r="AZ826" s="34">
        <v>-1</v>
      </c>
      <c r="BA826" s="34" t="e">
        <f t="shared" ref="BA826" si="3500">-SUMPRODUCT($Q825:$Q829,$N$2:$N$6)-SUMPRODUCT($Q831:$Q835,$N$8:$N$12)</f>
        <v>#NUM!</v>
      </c>
      <c r="BB826" s="34"/>
      <c r="BC826" s="34"/>
      <c r="BD826" s="34"/>
      <c r="BE826" s="34" t="e">
        <f t="shared" ref="BE826" si="3501">$Q831</f>
        <v>#NUM!</v>
      </c>
      <c r="BF826" s="34">
        <v>-1</v>
      </c>
      <c r="BG826" s="34" t="e">
        <f t="shared" ref="BG826" si="3502">-SUMPRODUCT($Q825:$Q830,$N$2:$N$7)-SUMPRODUCT($Q832:$Q835,$N$9:$N$12)</f>
        <v>#NUM!</v>
      </c>
      <c r="BH826" s="34"/>
      <c r="BI826" s="34"/>
      <c r="BJ826" s="34"/>
      <c r="BK826" s="34" t="e">
        <f t="shared" ref="BK826" si="3503">$Q832</f>
        <v>#NUM!</v>
      </c>
      <c r="BL826" s="34">
        <v>-1</v>
      </c>
      <c r="BM826" s="34" t="e">
        <f t="shared" ref="BM826" si="3504">-SUMPRODUCT($Q825:$Q831,$N$2:$N$8)-SUMPRODUCT($Q833:$Q835,$N$10:$N$12)</f>
        <v>#NUM!</v>
      </c>
      <c r="BN826" s="34"/>
      <c r="BO826" s="34"/>
      <c r="BP826" s="34"/>
      <c r="BQ826" s="34" t="e">
        <f t="shared" ref="BQ826" si="3505">$Q833</f>
        <v>#NUM!</v>
      </c>
      <c r="BR826" s="34">
        <v>-1</v>
      </c>
      <c r="BS826" s="34" t="e">
        <f t="shared" ref="BS826" si="3506">-SUMPRODUCT($Q825:$Q832,$N$2:$N$9)-SUMPRODUCT($Q834:$Q835,$N$11:$N$12)</f>
        <v>#NUM!</v>
      </c>
      <c r="BT826" s="34"/>
      <c r="BU826" s="34"/>
      <c r="BV826" s="34"/>
      <c r="BW826" s="34" t="e">
        <f t="shared" ref="BW826" si="3507">$Q834</f>
        <v>#NUM!</v>
      </c>
      <c r="BX826" s="34">
        <v>-1</v>
      </c>
      <c r="BY826" s="34" t="e">
        <f t="shared" ref="BY826" si="3508">-SUMPRODUCT($Q825:$Q833,$N$2:$N$10)-SUMPRODUCT($Q835,$N$12)</f>
        <v>#NUM!</v>
      </c>
      <c r="BZ826" s="34"/>
      <c r="CA826" s="34"/>
      <c r="CB826" s="34"/>
      <c r="CC826" s="34" t="e">
        <f t="shared" ref="CC826" si="3509">$Q835</f>
        <v>#NUM!</v>
      </c>
      <c r="CD826" s="34">
        <v>-1</v>
      </c>
      <c r="CE826" s="34" t="e">
        <f t="shared" ref="CE826" si="3510">-SUMPRODUCT($Q825:$Q834,$N$2:$N$11)</f>
        <v>#NUM!</v>
      </c>
      <c r="CF826" s="34"/>
      <c r="CG826" s="34"/>
      <c r="CH826" s="34"/>
      <c r="CI826" s="8"/>
    </row>
    <row r="827" spans="1:87" x14ac:dyDescent="0.2">
      <c r="A827" s="8" t="str">
        <f>IF(AND(COUNTIF(W$3:W$13,A$17)&gt;0,A$17&lt;&gt;B800),A$17,IFERROR(IF(MATCH(A$17,Z$3:Z$13,0)=2,A$17," ")," "))</f>
        <v>C3</v>
      </c>
      <c r="B827" s="8">
        <f>IF(A827=" "," ",MAX(B825:B826)+1)</f>
        <v>2</v>
      </c>
      <c r="C827" s="8" t="str">
        <f>IFERROR(INDEX(A825:A846,MATCH(SMALL(B825:B846,3),B825:B846,0),1)," ")</f>
        <v>C4</v>
      </c>
      <c r="D827" s="8">
        <f t="shared" si="3476"/>
        <v>1</v>
      </c>
      <c r="E827" s="8">
        <f t="shared" si="3477"/>
        <v>0</v>
      </c>
      <c r="F827" s="8">
        <f t="shared" si="3478"/>
        <v>1</v>
      </c>
      <c r="G827" s="8">
        <f t="shared" si="3479"/>
        <v>0</v>
      </c>
      <c r="H827" s="8">
        <f t="shared" si="3480"/>
        <v>0</v>
      </c>
      <c r="I827" s="8">
        <f t="shared" si="3481"/>
        <v>0</v>
      </c>
      <c r="J827" s="8">
        <f t="shared" si="3482"/>
        <v>0</v>
      </c>
      <c r="K827" s="8">
        <f t="shared" si="3483"/>
        <v>0</v>
      </c>
      <c r="L827" s="8">
        <f t="shared" si="3484"/>
        <v>0</v>
      </c>
      <c r="M827" s="8">
        <f t="shared" si="3485"/>
        <v>0</v>
      </c>
      <c r="N827" s="8">
        <f t="shared" si="3486"/>
        <v>0</v>
      </c>
      <c r="O827" s="8">
        <f t="shared" si="3487"/>
        <v>400</v>
      </c>
      <c r="P827" s="8" t="e">
        <v>#NUM!</v>
      </c>
      <c r="Q827" s="8" t="e">
        <f t="shared" ref="Q827" si="3511">IF(COUNTIF(P825:P835,"&lt;"&amp;-0.001)=0,IF(ABS(P827)&lt;0.001,0,P827)," ")</f>
        <v>#NUM!</v>
      </c>
      <c r="R827" s="8"/>
      <c r="S827" s="8"/>
      <c r="U827" s="34"/>
      <c r="V827" s="34"/>
      <c r="W827" s="34"/>
      <c r="X827" s="34"/>
      <c r="Y827" s="34"/>
      <c r="Z827" s="34"/>
      <c r="AA827" s="34"/>
      <c r="AB827" s="34"/>
      <c r="AC827" s="34"/>
      <c r="AD827" s="34"/>
      <c r="AE827" s="34"/>
      <c r="AF827" s="34"/>
      <c r="AG827" s="34"/>
      <c r="AH827" s="34"/>
      <c r="AI827" s="34"/>
      <c r="AJ827" s="34"/>
      <c r="AK827" s="34"/>
      <c r="AL827" s="34"/>
      <c r="AM827" s="34"/>
      <c r="AN827" s="34"/>
      <c r="AO827" s="34"/>
      <c r="AP827" s="34"/>
      <c r="AQ827" s="34"/>
      <c r="AR827" s="34"/>
      <c r="AS827" s="34"/>
      <c r="AT827" s="34"/>
      <c r="AU827" s="34"/>
      <c r="AV827" s="34"/>
      <c r="AW827" s="34"/>
      <c r="AX827" s="34"/>
      <c r="AY827" s="34"/>
      <c r="AZ827" s="34"/>
      <c r="BA827" s="34"/>
      <c r="BB827" s="34"/>
      <c r="BC827" s="34"/>
      <c r="BD827" s="34"/>
      <c r="BE827" s="34"/>
      <c r="BF827" s="34"/>
      <c r="BG827" s="34"/>
      <c r="BH827" s="34"/>
      <c r="BI827" s="34"/>
      <c r="BJ827" s="34"/>
      <c r="BK827" s="34"/>
      <c r="BL827" s="34"/>
      <c r="BM827" s="34"/>
      <c r="BN827" s="34"/>
      <c r="BO827" s="34"/>
      <c r="BP827" s="34"/>
      <c r="BQ827" s="34"/>
      <c r="BR827" s="34"/>
      <c r="BS827" s="34"/>
      <c r="BT827" s="34"/>
      <c r="BU827" s="34"/>
      <c r="BV827" s="34"/>
      <c r="BW827" s="34"/>
      <c r="BX827" s="34"/>
      <c r="BY827" s="34"/>
      <c r="BZ827" s="34"/>
      <c r="CA827" s="34"/>
      <c r="CB827" s="34"/>
      <c r="CC827" s="34"/>
      <c r="CD827" s="34"/>
      <c r="CE827" s="34"/>
      <c r="CF827" s="34"/>
      <c r="CG827" s="34"/>
      <c r="CH827" s="34"/>
      <c r="CI827" s="8"/>
    </row>
    <row r="828" spans="1:87" x14ac:dyDescent="0.2">
      <c r="A828" s="8" t="str">
        <f>IF(AND(COUNTIF(W$3:W$13,A$18)&gt;0,A$18&lt;&gt;B800),A$18,IFERROR(IF(MATCH(A$18,Z$3:Z$13,0)=2,A$18," ")," "))</f>
        <v>C4</v>
      </c>
      <c r="B828" s="8">
        <f>IF(A828=" "," ",MAX(B825:B827)+1)</f>
        <v>3</v>
      </c>
      <c r="C828" s="8" t="str">
        <f>IFERROR(INDEX(A825:A846,MATCH(SMALL(B825:B846,4),B825:B846,0),1)," ")</f>
        <v>C13</v>
      </c>
      <c r="D828" s="8">
        <f t="shared" si="3476"/>
        <v>0</v>
      </c>
      <c r="E828" s="8">
        <f t="shared" si="3477"/>
        <v>1</v>
      </c>
      <c r="F828" s="8">
        <f t="shared" si="3478"/>
        <v>0</v>
      </c>
      <c r="G828" s="8">
        <f t="shared" si="3479"/>
        <v>0</v>
      </c>
      <c r="H828" s="8">
        <f t="shared" si="3480"/>
        <v>0</v>
      </c>
      <c r="I828" s="8">
        <f t="shared" si="3481"/>
        <v>0</v>
      </c>
      <c r="J828" s="8">
        <f t="shared" si="3482"/>
        <v>0</v>
      </c>
      <c r="K828" s="8">
        <f t="shared" si="3483"/>
        <v>0</v>
      </c>
      <c r="L828" s="8">
        <f t="shared" si="3484"/>
        <v>0</v>
      </c>
      <c r="M828" s="8">
        <f t="shared" si="3485"/>
        <v>0</v>
      </c>
      <c r="N828" s="8">
        <f t="shared" si="3486"/>
        <v>0</v>
      </c>
      <c r="O828" s="8">
        <f t="shared" si="3487"/>
        <v>0</v>
      </c>
      <c r="P828" s="8" t="e">
        <v>#NUM!</v>
      </c>
      <c r="Q828" s="8" t="e">
        <f t="shared" ref="Q828" si="3512">IF(COUNTIF(P825:P835,"&lt;"&amp;-0.001)=0,IF(ABS(P828)&lt;0.001,0,P828)," ")</f>
        <v>#NUM!</v>
      </c>
      <c r="R828" s="8"/>
      <c r="S828" s="8"/>
      <c r="U828" s="34"/>
      <c r="V828" s="34"/>
      <c r="W828" s="34"/>
      <c r="X828" s="34"/>
      <c r="Y828" s="34"/>
      <c r="Z828" s="34"/>
      <c r="AA828" s="34"/>
      <c r="AB828" s="34"/>
      <c r="AC828" s="34"/>
      <c r="AD828" s="34"/>
      <c r="AE828" s="34"/>
      <c r="AF828" s="34"/>
      <c r="AG828" s="34"/>
      <c r="AH828" s="34"/>
      <c r="AI828" s="34"/>
      <c r="AJ828" s="34"/>
      <c r="AK828" s="34"/>
      <c r="AL828" s="34"/>
      <c r="AM828" s="34"/>
      <c r="AN828" s="34"/>
      <c r="AO828" s="34"/>
      <c r="AP828" s="34"/>
      <c r="AQ828" s="34"/>
      <c r="AR828" s="34"/>
      <c r="AS828" s="34"/>
      <c r="AT828" s="34"/>
      <c r="AU828" s="34"/>
      <c r="AV828" s="34"/>
      <c r="AW828" s="34"/>
      <c r="AX828" s="34"/>
      <c r="AY828" s="34"/>
      <c r="AZ828" s="34"/>
      <c r="BA828" s="34"/>
      <c r="BB828" s="34"/>
      <c r="BC828" s="34"/>
      <c r="BD828" s="34"/>
      <c r="BE828" s="34"/>
      <c r="BF828" s="34"/>
      <c r="BG828" s="34"/>
      <c r="BH828" s="34"/>
      <c r="BI828" s="34"/>
      <c r="BJ828" s="34"/>
      <c r="BK828" s="34"/>
      <c r="BL828" s="34"/>
      <c r="BM828" s="34"/>
      <c r="BN828" s="34"/>
      <c r="BO828" s="34"/>
      <c r="BP828" s="34"/>
      <c r="BQ828" s="34"/>
      <c r="BR828" s="34"/>
      <c r="BS828" s="34"/>
      <c r="BT828" s="34"/>
      <c r="BU828" s="34"/>
      <c r="BV828" s="34"/>
      <c r="BW828" s="34"/>
      <c r="BX828" s="34"/>
      <c r="BY828" s="34"/>
      <c r="BZ828" s="34"/>
      <c r="CA828" s="34"/>
      <c r="CB828" s="34"/>
      <c r="CC828" s="34"/>
      <c r="CD828" s="34"/>
      <c r="CE828" s="34"/>
      <c r="CF828" s="34"/>
      <c r="CG828" s="34"/>
      <c r="CH828" s="34"/>
      <c r="CI828" s="8"/>
    </row>
    <row r="829" spans="1:87" x14ac:dyDescent="0.2">
      <c r="A829" s="8" t="str">
        <f>IF(AND(COUNTIF(W$3:W$13,A$19)&gt;0,A$19&lt;&gt;B800),A$19,IFERROR(IF(MATCH(A$19,Z$3:Z$13,0)=2,A$19," ")," "))</f>
        <v xml:space="preserve"> </v>
      </c>
      <c r="B829" s="8" t="str">
        <f>IF(A829=" "," ",MAX(B825:B828)+1)</f>
        <v xml:space="preserve"> </v>
      </c>
      <c r="C829" s="8" t="str">
        <f>IFERROR(INDEX(A825:A846,MATCH(SMALL(B825:B846,5),B825:B846,0),1)," ")</f>
        <v>C16</v>
      </c>
      <c r="D829" s="8">
        <f t="shared" si="3476"/>
        <v>0</v>
      </c>
      <c r="E829" s="8">
        <f t="shared" si="3477"/>
        <v>0</v>
      </c>
      <c r="F829" s="8">
        <f t="shared" si="3478"/>
        <v>0</v>
      </c>
      <c r="G829" s="8">
        <f t="shared" si="3479"/>
        <v>0</v>
      </c>
      <c r="H829" s="8">
        <f t="shared" si="3480"/>
        <v>1</v>
      </c>
      <c r="I829" s="8">
        <f t="shared" si="3481"/>
        <v>0</v>
      </c>
      <c r="J829" s="8">
        <f t="shared" si="3482"/>
        <v>0</v>
      </c>
      <c r="K829" s="8">
        <f t="shared" si="3483"/>
        <v>0</v>
      </c>
      <c r="L829" s="8">
        <f t="shared" si="3484"/>
        <v>0</v>
      </c>
      <c r="M829" s="8">
        <f t="shared" si="3485"/>
        <v>0</v>
      </c>
      <c r="N829" s="8">
        <f t="shared" si="3486"/>
        <v>0</v>
      </c>
      <c r="O829" s="8">
        <f t="shared" si="3487"/>
        <v>0</v>
      </c>
      <c r="P829" s="8" t="e">
        <v>#NUM!</v>
      </c>
      <c r="Q829" s="8" t="e">
        <f t="shared" ref="Q829" si="3513">IF(COUNTIF(P825:P835,"&lt;"&amp;-0.001)=0,IF(ABS(P829)&lt;0.001,0,P829)," ")</f>
        <v>#NUM!</v>
      </c>
      <c r="R829" s="8"/>
      <c r="S829" s="8"/>
      <c r="U829" s="34"/>
      <c r="V829" s="34"/>
      <c r="W829" s="34"/>
      <c r="X829" s="34"/>
      <c r="Y829" s="34"/>
      <c r="Z829" s="34"/>
      <c r="AA829" s="34"/>
      <c r="AB829" s="34"/>
      <c r="AC829" s="34"/>
      <c r="AD829" s="34"/>
      <c r="AE829" s="34"/>
      <c r="AF829" s="34"/>
      <c r="AG829" s="34"/>
      <c r="AH829" s="34"/>
      <c r="AI829" s="34"/>
      <c r="AJ829" s="34"/>
      <c r="AK829" s="34"/>
      <c r="AL829" s="34"/>
      <c r="AM829" s="34"/>
      <c r="AN829" s="34"/>
      <c r="AO829" s="34"/>
      <c r="AP829" s="34"/>
      <c r="AQ829" s="34"/>
      <c r="AR829" s="34"/>
      <c r="AS829" s="34"/>
      <c r="AT829" s="34"/>
      <c r="AU829" s="34"/>
      <c r="AV829" s="34"/>
      <c r="AW829" s="34"/>
      <c r="AX829" s="34"/>
      <c r="AY829" s="34"/>
      <c r="AZ829" s="34"/>
      <c r="BA829" s="34"/>
      <c r="BB829" s="34"/>
      <c r="BC829" s="34"/>
      <c r="BD829" s="34"/>
      <c r="BE829" s="34"/>
      <c r="BF829" s="34"/>
      <c r="BG829" s="34"/>
      <c r="BH829" s="34"/>
      <c r="BI829" s="34"/>
      <c r="BJ829" s="34"/>
      <c r="BK829" s="34"/>
      <c r="BL829" s="34"/>
      <c r="BM829" s="34"/>
      <c r="BN829" s="34"/>
      <c r="BO829" s="34"/>
      <c r="BP829" s="34"/>
      <c r="BQ829" s="34"/>
      <c r="BR829" s="34"/>
      <c r="BS829" s="34"/>
      <c r="BT829" s="34"/>
      <c r="BU829" s="34"/>
      <c r="BV829" s="34"/>
      <c r="BW829" s="34"/>
      <c r="BX829" s="34"/>
      <c r="BY829" s="34"/>
      <c r="BZ829" s="34"/>
      <c r="CA829" s="34"/>
      <c r="CB829" s="34"/>
      <c r="CC829" s="34"/>
      <c r="CD829" s="34"/>
      <c r="CE829" s="34"/>
      <c r="CF829" s="34"/>
      <c r="CG829" s="34"/>
      <c r="CH829" s="34"/>
      <c r="CI829" s="8"/>
    </row>
    <row r="830" spans="1:87" x14ac:dyDescent="0.2">
      <c r="A830" s="8" t="str">
        <f>IF(AND(COUNTIF(W$3:W$13,A$20)&gt;0,A$20&lt;&gt;B800),A$20,IFERROR(IF(MATCH(A$20,Z$3:Z$13,0)=2,A$20," ")," "))</f>
        <v xml:space="preserve"> </v>
      </c>
      <c r="B830" s="8" t="str">
        <f>IF(A830=" "," ",MAX(B825:B829)+1)</f>
        <v xml:space="preserve"> </v>
      </c>
      <c r="C830" s="8" t="str">
        <f>IFERROR(INDEX(A825:A846,MATCH(SMALL(B825:B846,6),B825:B846,0),1)," ")</f>
        <v>C17</v>
      </c>
      <c r="D830" s="8">
        <f t="shared" si="3476"/>
        <v>0</v>
      </c>
      <c r="E830" s="8">
        <f t="shared" si="3477"/>
        <v>0</v>
      </c>
      <c r="F830" s="8">
        <f t="shared" si="3478"/>
        <v>0</v>
      </c>
      <c r="G830" s="8">
        <f t="shared" si="3479"/>
        <v>0</v>
      </c>
      <c r="H830" s="8">
        <f t="shared" si="3480"/>
        <v>0</v>
      </c>
      <c r="I830" s="8">
        <f t="shared" si="3481"/>
        <v>1</v>
      </c>
      <c r="J830" s="8">
        <f t="shared" si="3482"/>
        <v>0</v>
      </c>
      <c r="K830" s="8">
        <f t="shared" si="3483"/>
        <v>0</v>
      </c>
      <c r="L830" s="8">
        <f t="shared" si="3484"/>
        <v>0</v>
      </c>
      <c r="M830" s="8">
        <f t="shared" si="3485"/>
        <v>0</v>
      </c>
      <c r="N830" s="8">
        <f t="shared" si="3486"/>
        <v>0</v>
      </c>
      <c r="O830" s="8">
        <f t="shared" si="3487"/>
        <v>0</v>
      </c>
      <c r="P830" s="8" t="e">
        <v>#NUM!</v>
      </c>
      <c r="Q830" s="8" t="e">
        <f t="shared" ref="Q830" si="3514">IF(COUNTIF(P825:P835,"&lt;"&amp;-0.001)=0,IF(ABS(P830)&lt;0.001,0,P830)," ")</f>
        <v>#NUM!</v>
      </c>
      <c r="R830" s="8"/>
      <c r="S830" s="8"/>
      <c r="U830" s="34"/>
      <c r="V830" s="34"/>
      <c r="W830" s="34"/>
      <c r="X830" s="34"/>
      <c r="Y830" s="34"/>
      <c r="Z830" s="34"/>
      <c r="AA830" s="34"/>
      <c r="AB830" s="34"/>
      <c r="AC830" s="34"/>
      <c r="AD830" s="34"/>
      <c r="AE830" s="34"/>
      <c r="AF830" s="34"/>
      <c r="AG830" s="34"/>
      <c r="AH830" s="34"/>
      <c r="AI830" s="34"/>
      <c r="AJ830" s="34"/>
      <c r="AK830" s="34"/>
      <c r="AL830" s="34"/>
      <c r="AM830" s="34"/>
      <c r="AN830" s="34"/>
      <c r="AO830" s="34"/>
      <c r="AP830" s="34"/>
      <c r="AQ830" s="34"/>
      <c r="AR830" s="34"/>
      <c r="AS830" s="34"/>
      <c r="AT830" s="34"/>
      <c r="AU830" s="34"/>
      <c r="AV830" s="34"/>
      <c r="AW830" s="34"/>
      <c r="AX830" s="34"/>
      <c r="AY830" s="34"/>
      <c r="AZ830" s="34"/>
      <c r="BA830" s="34"/>
      <c r="BB830" s="34"/>
      <c r="BC830" s="34"/>
      <c r="BD830" s="34"/>
      <c r="BE830" s="34"/>
      <c r="BF830" s="34"/>
      <c r="BG830" s="34"/>
      <c r="BH830" s="34"/>
      <c r="BI830" s="34"/>
      <c r="BJ830" s="34"/>
      <c r="BK830" s="34"/>
      <c r="BL830" s="34"/>
      <c r="BM830" s="34"/>
      <c r="BN830" s="34"/>
      <c r="BO830" s="34"/>
      <c r="BP830" s="34"/>
      <c r="BQ830" s="34"/>
      <c r="BR830" s="34"/>
      <c r="BS830" s="34"/>
      <c r="BT830" s="34"/>
      <c r="BU830" s="34"/>
      <c r="BV830" s="34"/>
      <c r="BW830" s="34"/>
      <c r="BX830" s="34"/>
      <c r="BY830" s="34"/>
      <c r="BZ830" s="34"/>
      <c r="CA830" s="34"/>
      <c r="CB830" s="34"/>
      <c r="CC830" s="34"/>
      <c r="CD830" s="34"/>
      <c r="CE830" s="34"/>
      <c r="CF830" s="34"/>
      <c r="CG830" s="34"/>
      <c r="CH830" s="34"/>
      <c r="CI830" s="8"/>
    </row>
    <row r="831" spans="1:87" x14ac:dyDescent="0.2">
      <c r="A831" s="8" t="str">
        <f>IF(AND(COUNTIF(W$3:W$13,A$21)&gt;0,A$21&lt;&gt;B800),A$21,IFERROR(IF(MATCH(A$21,Z$3:Z$13,0)=2,A$21," ")," "))</f>
        <v xml:space="preserve"> </v>
      </c>
      <c r="B831" s="8" t="str">
        <f>IF(A831=" "," ",MAX(B825:B830)+1)</f>
        <v xml:space="preserve"> </v>
      </c>
      <c r="C831" s="8" t="str">
        <f>IFERROR(INDEX(A825:A846,MATCH(SMALL(B825:B846,7),B825:B846,0),1)," ")</f>
        <v>C18</v>
      </c>
      <c r="D831" s="8">
        <f t="shared" si="3476"/>
        <v>0</v>
      </c>
      <c r="E831" s="8">
        <f t="shared" si="3477"/>
        <v>0</v>
      </c>
      <c r="F831" s="8">
        <f t="shared" si="3478"/>
        <v>0</v>
      </c>
      <c r="G831" s="8">
        <f t="shared" si="3479"/>
        <v>0</v>
      </c>
      <c r="H831" s="8">
        <f t="shared" si="3480"/>
        <v>0</v>
      </c>
      <c r="I831" s="8">
        <f t="shared" si="3481"/>
        <v>0</v>
      </c>
      <c r="J831" s="8">
        <f t="shared" si="3482"/>
        <v>1</v>
      </c>
      <c r="K831" s="8">
        <f t="shared" si="3483"/>
        <v>0</v>
      </c>
      <c r="L831" s="8">
        <f t="shared" si="3484"/>
        <v>0</v>
      </c>
      <c r="M831" s="8">
        <f t="shared" si="3485"/>
        <v>0</v>
      </c>
      <c r="N831" s="8">
        <f t="shared" si="3486"/>
        <v>0</v>
      </c>
      <c r="O831" s="8">
        <f t="shared" si="3487"/>
        <v>0</v>
      </c>
      <c r="P831" s="8" t="e">
        <v>#NUM!</v>
      </c>
      <c r="Q831" s="8" t="e">
        <f t="shared" ref="Q831" si="3515">IF(COUNTIF(P825:P835,"&lt;"&amp;-0.001)=0,IF(ABS(P831)&lt;0.001,0,P831)," ")</f>
        <v>#NUM!</v>
      </c>
      <c r="R831" s="8"/>
      <c r="S831" s="8"/>
      <c r="U831" s="34"/>
      <c r="V831" s="34"/>
      <c r="W831" s="34"/>
      <c r="X831" s="34"/>
      <c r="Y831" s="34"/>
      <c r="Z831" s="34"/>
      <c r="AA831" s="34"/>
      <c r="AB831" s="34"/>
      <c r="AC831" s="34"/>
      <c r="AD831" s="34"/>
      <c r="AE831" s="34"/>
      <c r="AF831" s="34"/>
      <c r="AG831" s="34"/>
      <c r="AH831" s="34"/>
      <c r="AI831" s="34"/>
      <c r="AJ831" s="34"/>
      <c r="AK831" s="34"/>
      <c r="AL831" s="34"/>
      <c r="AM831" s="34"/>
      <c r="AN831" s="34"/>
      <c r="AO831" s="34"/>
      <c r="AP831" s="34"/>
      <c r="AQ831" s="34"/>
      <c r="AR831" s="34"/>
      <c r="AS831" s="34"/>
      <c r="AT831" s="34"/>
      <c r="AU831" s="34"/>
      <c r="AV831" s="34"/>
      <c r="AW831" s="34"/>
      <c r="AX831" s="34"/>
      <c r="AY831" s="34"/>
      <c r="AZ831" s="34"/>
      <c r="BA831" s="34"/>
      <c r="BB831" s="34"/>
      <c r="BC831" s="34"/>
      <c r="BD831" s="34"/>
      <c r="BE831" s="34"/>
      <c r="BF831" s="34"/>
      <c r="BG831" s="34"/>
      <c r="BH831" s="34"/>
      <c r="BI831" s="34"/>
      <c r="BJ831" s="34"/>
      <c r="BK831" s="34"/>
      <c r="BL831" s="34"/>
      <c r="BM831" s="34"/>
      <c r="BN831" s="34"/>
      <c r="BO831" s="34"/>
      <c r="BP831" s="34"/>
      <c r="BQ831" s="34"/>
      <c r="BR831" s="34"/>
      <c r="BS831" s="34"/>
      <c r="BT831" s="34"/>
      <c r="BU831" s="34"/>
      <c r="BV831" s="34"/>
      <c r="BW831" s="34"/>
      <c r="BX831" s="34"/>
      <c r="BY831" s="34"/>
      <c r="BZ831" s="34"/>
      <c r="CA831" s="34"/>
      <c r="CB831" s="34"/>
      <c r="CC831" s="34"/>
      <c r="CD831" s="34"/>
      <c r="CE831" s="34"/>
      <c r="CF831" s="34"/>
      <c r="CG831" s="34"/>
      <c r="CH831" s="34"/>
      <c r="CI831" s="8"/>
    </row>
    <row r="832" spans="1:87" x14ac:dyDescent="0.2">
      <c r="A832" s="8" t="str">
        <f>IF(AND(COUNTIF(W$3:W$13,A$22)&gt;0,A$22&lt;&gt;B800),A$22,IFERROR(IF(MATCH(A$22,Z$3:Z$13,0)=2,A$22," ")," "))</f>
        <v xml:space="preserve"> </v>
      </c>
      <c r="B832" s="8" t="str">
        <f>IF(A832=" "," ",MAX(B825:B831)+1)</f>
        <v xml:space="preserve"> </v>
      </c>
      <c r="C832" s="8" t="str">
        <f>IFERROR(INDEX(A825:A846,MATCH(SMALL(B825:B846,8),B825:B846,0),1)," ")</f>
        <v>C19</v>
      </c>
      <c r="D832" s="8">
        <f t="shared" si="3476"/>
        <v>0</v>
      </c>
      <c r="E832" s="8">
        <f t="shared" si="3477"/>
        <v>0</v>
      </c>
      <c r="F832" s="8">
        <f t="shared" si="3478"/>
        <v>0</v>
      </c>
      <c r="G832" s="8">
        <f t="shared" si="3479"/>
        <v>0</v>
      </c>
      <c r="H832" s="8">
        <f t="shared" si="3480"/>
        <v>0</v>
      </c>
      <c r="I832" s="8">
        <f t="shared" si="3481"/>
        <v>0</v>
      </c>
      <c r="J832" s="8">
        <f t="shared" si="3482"/>
        <v>0</v>
      </c>
      <c r="K832" s="8">
        <f t="shared" si="3483"/>
        <v>1</v>
      </c>
      <c r="L832" s="8">
        <f t="shared" si="3484"/>
        <v>0</v>
      </c>
      <c r="M832" s="8">
        <f t="shared" si="3485"/>
        <v>0</v>
      </c>
      <c r="N832" s="8">
        <f t="shared" si="3486"/>
        <v>0</v>
      </c>
      <c r="O832" s="8">
        <f t="shared" si="3487"/>
        <v>0</v>
      </c>
      <c r="P832" s="8" t="e">
        <v>#NUM!</v>
      </c>
      <c r="Q832" s="8" t="e">
        <f t="shared" ref="Q832" si="3516">IF(COUNTIF(P825:P835,"&lt;"&amp;-0.001)=0,IF(ABS(P832)&lt;0.001,0,P832)," ")</f>
        <v>#NUM!</v>
      </c>
      <c r="R832" s="8"/>
      <c r="S832" s="8"/>
      <c r="U832" s="34"/>
      <c r="V832" s="34"/>
      <c r="W832" s="34"/>
      <c r="X832" s="34"/>
      <c r="Y832" s="34"/>
      <c r="Z832" s="34"/>
      <c r="AA832" s="34"/>
      <c r="AB832" s="34"/>
      <c r="AC832" s="34"/>
      <c r="AD832" s="34"/>
      <c r="AE832" s="34"/>
      <c r="AF832" s="34"/>
      <c r="AG832" s="34"/>
      <c r="AH832" s="34"/>
      <c r="AI832" s="34"/>
      <c r="AJ832" s="34"/>
      <c r="AK832" s="34"/>
      <c r="AL832" s="34"/>
      <c r="AM832" s="34"/>
      <c r="AN832" s="34"/>
      <c r="AO832" s="34"/>
      <c r="AP832" s="34"/>
      <c r="AQ832" s="34"/>
      <c r="AR832" s="34"/>
      <c r="AS832" s="34"/>
      <c r="AT832" s="34"/>
      <c r="AU832" s="34"/>
      <c r="AV832" s="34"/>
      <c r="AW832" s="34"/>
      <c r="AX832" s="34"/>
      <c r="AY832" s="34"/>
      <c r="AZ832" s="34"/>
      <c r="BA832" s="34"/>
      <c r="BB832" s="34"/>
      <c r="BC832" s="34"/>
      <c r="BD832" s="34"/>
      <c r="BE832" s="34"/>
      <c r="BF832" s="34"/>
      <c r="BG832" s="34"/>
      <c r="BH832" s="34"/>
      <c r="BI832" s="34"/>
      <c r="BJ832" s="34"/>
      <c r="BK832" s="34"/>
      <c r="BL832" s="34"/>
      <c r="BM832" s="34"/>
      <c r="BN832" s="34"/>
      <c r="BO832" s="34"/>
      <c r="BP832" s="34"/>
      <c r="BQ832" s="34"/>
      <c r="BR832" s="34"/>
      <c r="BS832" s="34"/>
      <c r="BT832" s="34"/>
      <c r="BU832" s="34"/>
      <c r="BV832" s="34"/>
      <c r="BW832" s="34"/>
      <c r="BX832" s="34"/>
      <c r="BY832" s="34"/>
      <c r="BZ832" s="34"/>
      <c r="CA832" s="34"/>
      <c r="CB832" s="34"/>
      <c r="CC832" s="34"/>
      <c r="CD832" s="34"/>
      <c r="CE832" s="34"/>
      <c r="CF832" s="34"/>
      <c r="CG832" s="34"/>
      <c r="CH832" s="34"/>
      <c r="CI832" s="8"/>
    </row>
    <row r="833" spans="1:87" x14ac:dyDescent="0.2">
      <c r="A833" s="8" t="str">
        <f>IF(AND(COUNTIF(W$3:W$13,A$23)&gt;0,A$23&lt;&gt;B800),A$23,IFERROR(IF(MATCH(A$23,Z$3:Z$13,0)=2,A$23," ")," "))</f>
        <v xml:space="preserve"> </v>
      </c>
      <c r="B833" s="8" t="str">
        <f>IF(A833=" "," ",MAX(B825:B832)+1)</f>
        <v xml:space="preserve"> </v>
      </c>
      <c r="C833" s="8" t="str">
        <f>IFERROR(INDEX(A825:A846,MATCH(SMALL(B825:B846,9),B825:B846,0),1)," ")</f>
        <v>C20</v>
      </c>
      <c r="D833" s="8">
        <f t="shared" si="3476"/>
        <v>0</v>
      </c>
      <c r="E833" s="8">
        <f t="shared" si="3477"/>
        <v>0</v>
      </c>
      <c r="F833" s="8">
        <f t="shared" si="3478"/>
        <v>0</v>
      </c>
      <c r="G833" s="8">
        <f t="shared" si="3479"/>
        <v>0</v>
      </c>
      <c r="H833" s="8">
        <f t="shared" si="3480"/>
        <v>0</v>
      </c>
      <c r="I833" s="8">
        <f t="shared" si="3481"/>
        <v>0</v>
      </c>
      <c r="J833" s="8">
        <f t="shared" si="3482"/>
        <v>0</v>
      </c>
      <c r="K833" s="8">
        <f t="shared" si="3483"/>
        <v>0</v>
      </c>
      <c r="L833" s="8">
        <f t="shared" si="3484"/>
        <v>1</v>
      </c>
      <c r="M833" s="8">
        <f t="shared" si="3485"/>
        <v>0</v>
      </c>
      <c r="N833" s="8">
        <f t="shared" si="3486"/>
        <v>0</v>
      </c>
      <c r="O833" s="8">
        <f t="shared" si="3487"/>
        <v>0</v>
      </c>
      <c r="P833" s="6" t="e">
        <v>#NUM!</v>
      </c>
      <c r="Q833" s="8" t="e">
        <f t="shared" ref="Q833" si="3517">IF(COUNTIF(P825:P835,"&lt;"&amp;-0.001)=0,IF(ABS(P833)&lt;0.001,0,P833)," ")</f>
        <v>#NUM!</v>
      </c>
      <c r="R833" s="12"/>
      <c r="S833" s="12"/>
      <c r="T833" s="21"/>
      <c r="U833" s="34"/>
      <c r="V833" s="34"/>
      <c r="W833" s="34"/>
      <c r="X833" s="34"/>
      <c r="Y833" s="34"/>
      <c r="Z833" s="34"/>
      <c r="AA833" s="34"/>
      <c r="AB833" s="34"/>
      <c r="AC833" s="34"/>
      <c r="AD833" s="34"/>
      <c r="AE833" s="34"/>
      <c r="AF833" s="34"/>
      <c r="AG833" s="34"/>
      <c r="AH833" s="34"/>
      <c r="AI833" s="34"/>
      <c r="AJ833" s="34"/>
      <c r="AK833" s="34"/>
      <c r="AL833" s="34"/>
      <c r="AM833" s="34"/>
      <c r="AN833" s="34"/>
      <c r="AO833" s="34"/>
      <c r="AP833" s="34"/>
      <c r="AQ833" s="34"/>
      <c r="AR833" s="34"/>
      <c r="AS833" s="34"/>
      <c r="AT833" s="34"/>
      <c r="AU833" s="34"/>
      <c r="AV833" s="34"/>
      <c r="AW833" s="34"/>
      <c r="AX833" s="34"/>
      <c r="AY833" s="34"/>
      <c r="AZ833" s="34"/>
      <c r="BA833" s="34"/>
      <c r="BB833" s="34"/>
      <c r="BC833" s="34"/>
      <c r="BD833" s="34"/>
      <c r="BE833" s="34"/>
      <c r="BF833" s="34"/>
      <c r="BG833" s="34"/>
      <c r="BH833" s="34"/>
      <c r="BI833" s="34"/>
      <c r="BJ833" s="34"/>
      <c r="BK833" s="34"/>
      <c r="BL833" s="34"/>
      <c r="BM833" s="34"/>
      <c r="BN833" s="34"/>
      <c r="BO833" s="34"/>
      <c r="BP833" s="34"/>
      <c r="BQ833" s="34"/>
      <c r="BR833" s="34"/>
      <c r="BS833" s="34"/>
      <c r="BT833" s="34"/>
      <c r="BU833" s="34"/>
      <c r="BV833" s="34"/>
      <c r="BW833" s="34"/>
      <c r="BX833" s="34"/>
      <c r="BY833" s="34"/>
      <c r="BZ833" s="34"/>
      <c r="CA833" s="34"/>
      <c r="CB833" s="34"/>
      <c r="CC833" s="34"/>
      <c r="CD833" s="34"/>
      <c r="CE833" s="34"/>
      <c r="CF833" s="34"/>
      <c r="CG833" s="34"/>
      <c r="CH833" s="34"/>
      <c r="CI833" s="8"/>
    </row>
    <row r="834" spans="1:87" x14ac:dyDescent="0.2">
      <c r="A834" s="8" t="str">
        <f>IF(AND(COUNTIF(W$3:W$13,A$24)&gt;0,A$24&lt;&gt;B800),A$24,IFERROR(IF(MATCH(A$24,Z$3:Z$13,0)=2,A$24," ")," "))</f>
        <v xml:space="preserve"> </v>
      </c>
      <c r="B834" s="8" t="str">
        <f>IF(A834=" "," ",MAX(B825:B833)+1)</f>
        <v xml:space="preserve"> </v>
      </c>
      <c r="C834" s="8" t="str">
        <f>IFERROR(INDEX(A825:A846,MATCH(SMALL(B825:B846,10),B825:B846,0),1)," ")</f>
        <v>C21</v>
      </c>
      <c r="D834" s="8">
        <f t="shared" si="3476"/>
        <v>0</v>
      </c>
      <c r="E834" s="8">
        <f t="shared" si="3477"/>
        <v>0</v>
      </c>
      <c r="F834" s="8">
        <f t="shared" si="3478"/>
        <v>0</v>
      </c>
      <c r="G834" s="8">
        <f t="shared" si="3479"/>
        <v>0</v>
      </c>
      <c r="H834" s="8">
        <f t="shared" si="3480"/>
        <v>0</v>
      </c>
      <c r="I834" s="8">
        <f t="shared" si="3481"/>
        <v>0</v>
      </c>
      <c r="J834" s="8">
        <f t="shared" si="3482"/>
        <v>0</v>
      </c>
      <c r="K834" s="8">
        <f t="shared" si="3483"/>
        <v>0</v>
      </c>
      <c r="L834" s="8">
        <f t="shared" si="3484"/>
        <v>0</v>
      </c>
      <c r="M834" s="8">
        <f t="shared" si="3485"/>
        <v>1</v>
      </c>
      <c r="N834" s="8">
        <f t="shared" si="3486"/>
        <v>0</v>
      </c>
      <c r="O834" s="8">
        <f t="shared" si="3487"/>
        <v>0</v>
      </c>
      <c r="P834" s="8" t="e">
        <v>#NUM!</v>
      </c>
      <c r="Q834" s="8" t="e">
        <f t="shared" ref="Q834" si="3518">IF(COUNTIF(P825:P835,"&lt;"&amp;-0.001)=0,IF(ABS(P834)&lt;0.001,0,P834)," ")</f>
        <v>#NUM!</v>
      </c>
      <c r="R834" s="8"/>
      <c r="S834" s="8"/>
      <c r="U834" s="34"/>
      <c r="V834" s="34"/>
      <c r="W834" s="34"/>
      <c r="X834" s="34"/>
      <c r="Y834" s="34"/>
      <c r="Z834" s="34"/>
      <c r="AA834" s="34"/>
      <c r="AB834" s="34"/>
      <c r="AC834" s="34"/>
      <c r="AD834" s="34"/>
      <c r="AE834" s="34"/>
      <c r="AF834" s="34"/>
      <c r="AG834" s="34"/>
      <c r="AH834" s="34"/>
      <c r="AI834" s="34"/>
      <c r="AJ834" s="34"/>
      <c r="AK834" s="34"/>
      <c r="AL834" s="34"/>
      <c r="AM834" s="34"/>
      <c r="AN834" s="34"/>
      <c r="AO834" s="34"/>
      <c r="AP834" s="34"/>
      <c r="AQ834" s="34"/>
      <c r="AR834" s="34"/>
      <c r="AS834" s="34"/>
      <c r="AT834" s="34"/>
      <c r="AU834" s="34"/>
      <c r="AV834" s="34"/>
      <c r="AW834" s="34"/>
      <c r="AX834" s="34"/>
      <c r="AY834" s="34"/>
      <c r="AZ834" s="34"/>
      <c r="BA834" s="34"/>
      <c r="BB834" s="34"/>
      <c r="BC834" s="34"/>
      <c r="BD834" s="34"/>
      <c r="BE834" s="34"/>
      <c r="BF834" s="34"/>
      <c r="BG834" s="34"/>
      <c r="BH834" s="34"/>
      <c r="BI834" s="34"/>
      <c r="BJ834" s="34"/>
      <c r="BK834" s="34"/>
      <c r="BL834" s="34"/>
      <c r="BM834" s="34"/>
      <c r="BN834" s="34"/>
      <c r="BO834" s="34"/>
      <c r="BP834" s="34"/>
      <c r="BQ834" s="34"/>
      <c r="BR834" s="34"/>
      <c r="BS834" s="34"/>
      <c r="BT834" s="34"/>
      <c r="BU834" s="34"/>
      <c r="BV834" s="34"/>
      <c r="BW834" s="34"/>
      <c r="BX834" s="34"/>
      <c r="BY834" s="34"/>
      <c r="BZ834" s="34"/>
      <c r="CA834" s="34"/>
      <c r="CB834" s="34"/>
      <c r="CC834" s="34"/>
      <c r="CD834" s="34"/>
      <c r="CE834" s="34"/>
      <c r="CF834" s="34"/>
      <c r="CG834" s="34"/>
      <c r="CH834" s="34"/>
      <c r="CI834" s="8"/>
    </row>
    <row r="835" spans="1:87" x14ac:dyDescent="0.2">
      <c r="A835" s="8" t="str">
        <f>IF(AND(COUNTIF(W$3:W$13,A$25)&gt;0,A$25&lt;&gt;B800),A$25,IFERROR(IF(MATCH(A$25,Z$3:Z$13,0)=2,A$25," ")," "))</f>
        <v xml:space="preserve"> </v>
      </c>
      <c r="B835" s="8" t="str">
        <f>IF(A835=" "," ",MAX(B825:B834)+1)</f>
        <v xml:space="preserve"> </v>
      </c>
      <c r="C835" s="8" t="str">
        <f>IFERROR(INDEX(A825:A846,MATCH(SMALL(B825:B846,11),B825:B846,0),1)," ")</f>
        <v>C22</v>
      </c>
      <c r="D835" s="8">
        <f t="shared" si="3476"/>
        <v>0</v>
      </c>
      <c r="E835" s="8">
        <f t="shared" si="3477"/>
        <v>0</v>
      </c>
      <c r="F835" s="8">
        <f t="shared" si="3478"/>
        <v>0</v>
      </c>
      <c r="G835" s="8">
        <f t="shared" si="3479"/>
        <v>0</v>
      </c>
      <c r="H835" s="8">
        <f t="shared" si="3480"/>
        <v>0</v>
      </c>
      <c r="I835" s="8">
        <f t="shared" si="3481"/>
        <v>0</v>
      </c>
      <c r="J835" s="8">
        <f t="shared" si="3482"/>
        <v>0</v>
      </c>
      <c r="K835" s="8">
        <f t="shared" si="3483"/>
        <v>0</v>
      </c>
      <c r="L835" s="8">
        <f t="shared" si="3484"/>
        <v>0</v>
      </c>
      <c r="M835" s="8">
        <f t="shared" si="3485"/>
        <v>0</v>
      </c>
      <c r="N835" s="8">
        <f t="shared" si="3486"/>
        <v>1</v>
      </c>
      <c r="O835" s="8">
        <f t="shared" si="3487"/>
        <v>0</v>
      </c>
      <c r="P835" s="8" t="e">
        <v>#NUM!</v>
      </c>
      <c r="Q835" s="8" t="e">
        <f t="shared" ref="Q835" si="3519">IF(COUNTIF(P825:P835,"&lt;"&amp;-0.001)=0,IF(ABS(P835)&lt;0.001,0,P835)," ")</f>
        <v>#NUM!</v>
      </c>
      <c r="R835" s="8"/>
      <c r="S835" s="8"/>
      <c r="U835" s="34"/>
      <c r="V835" s="34"/>
      <c r="W835" s="34"/>
      <c r="X835" s="34"/>
      <c r="Y835" s="34"/>
      <c r="Z835" s="34"/>
      <c r="AA835" s="34"/>
      <c r="AB835" s="34"/>
      <c r="AC835" s="34"/>
      <c r="AD835" s="34"/>
      <c r="AE835" s="34"/>
      <c r="AF835" s="34"/>
      <c r="AG835" s="34"/>
      <c r="AH835" s="34"/>
      <c r="AI835" s="34"/>
      <c r="AJ835" s="34"/>
      <c r="AK835" s="34"/>
      <c r="AL835" s="34"/>
      <c r="AM835" s="34"/>
      <c r="AN835" s="34"/>
      <c r="AO835" s="34"/>
      <c r="AP835" s="34"/>
      <c r="AQ835" s="34"/>
      <c r="AR835" s="34"/>
      <c r="AS835" s="34"/>
      <c r="AT835" s="34"/>
      <c r="AU835" s="34"/>
      <c r="AV835" s="34"/>
      <c r="AW835" s="34"/>
      <c r="AX835" s="34"/>
      <c r="AY835" s="34"/>
      <c r="AZ835" s="34"/>
      <c r="BA835" s="34"/>
      <c r="BB835" s="34"/>
      <c r="BC835" s="34"/>
      <c r="BD835" s="34"/>
      <c r="BE835" s="34"/>
      <c r="BF835" s="34"/>
      <c r="BG835" s="34"/>
      <c r="BH835" s="34"/>
      <c r="BI835" s="34"/>
      <c r="BJ835" s="34"/>
      <c r="BK835" s="34"/>
      <c r="BL835" s="34"/>
      <c r="BM835" s="34"/>
      <c r="BN835" s="34"/>
      <c r="BO835" s="34"/>
      <c r="BP835" s="34"/>
      <c r="BQ835" s="34"/>
      <c r="BR835" s="34"/>
      <c r="BS835" s="34"/>
      <c r="BT835" s="34"/>
      <c r="BU835" s="34"/>
      <c r="BV835" s="34"/>
      <c r="BW835" s="34"/>
      <c r="BX835" s="34"/>
      <c r="BY835" s="34"/>
      <c r="BZ835" s="34"/>
      <c r="CA835" s="34"/>
      <c r="CB835" s="34"/>
      <c r="CC835" s="34"/>
      <c r="CD835" s="34"/>
      <c r="CE835" s="34"/>
      <c r="CF835" s="34"/>
      <c r="CG835" s="34"/>
      <c r="CH835" s="34"/>
      <c r="CI835" s="8"/>
    </row>
    <row r="836" spans="1:87" x14ac:dyDescent="0.2">
      <c r="A836" s="8" t="str">
        <f>IF(AND(COUNTIF(W$3:W$13,A$26)&gt;0,A$26&lt;&gt;B800),A$26,IFERROR(IF(MATCH(A$26,Z$3:Z$13,0)=2,A$26," ")," "))</f>
        <v xml:space="preserve"> </v>
      </c>
      <c r="B836" s="8" t="str">
        <f>IF(A836=" "," ",MAX(B825:B835)+1)</f>
        <v xml:space="preserve"> </v>
      </c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U836" s="34"/>
      <c r="V836" s="34"/>
      <c r="W836" s="34"/>
      <c r="X836" s="34"/>
      <c r="Y836" s="34"/>
      <c r="Z836" s="34"/>
      <c r="AA836" s="34"/>
      <c r="AB836" s="34"/>
      <c r="AC836" s="34"/>
      <c r="AD836" s="34"/>
      <c r="AE836" s="34"/>
      <c r="AF836" s="34"/>
      <c r="AG836" s="34"/>
      <c r="AH836" s="34"/>
      <c r="AI836" s="34"/>
      <c r="AJ836" s="34"/>
      <c r="AK836" s="34"/>
      <c r="AL836" s="34"/>
      <c r="AM836" s="34"/>
      <c r="AN836" s="34"/>
      <c r="AO836" s="34"/>
      <c r="AP836" s="34"/>
      <c r="AQ836" s="34"/>
      <c r="AR836" s="34"/>
      <c r="AS836" s="34"/>
      <c r="AT836" s="34"/>
      <c r="AU836" s="34"/>
      <c r="AV836" s="34"/>
      <c r="AW836" s="34"/>
      <c r="AX836" s="34"/>
      <c r="AY836" s="34"/>
      <c r="AZ836" s="34"/>
      <c r="BA836" s="34"/>
      <c r="BB836" s="34"/>
      <c r="BC836" s="34"/>
      <c r="BD836" s="34"/>
      <c r="BE836" s="34"/>
      <c r="BF836" s="34"/>
      <c r="BG836" s="34"/>
      <c r="BH836" s="34"/>
      <c r="BI836" s="34"/>
      <c r="BJ836" s="34"/>
      <c r="BK836" s="34"/>
      <c r="BL836" s="34"/>
      <c r="BM836" s="34"/>
      <c r="BN836" s="34"/>
      <c r="BO836" s="34"/>
      <c r="BP836" s="34"/>
      <c r="BQ836" s="34"/>
      <c r="BR836" s="34"/>
      <c r="BS836" s="34"/>
      <c r="BT836" s="34"/>
      <c r="BU836" s="34"/>
      <c r="BV836" s="34"/>
      <c r="BW836" s="34"/>
      <c r="BX836" s="34"/>
      <c r="BY836" s="34"/>
      <c r="BZ836" s="34"/>
      <c r="CA836" s="34"/>
      <c r="CB836" s="34"/>
      <c r="CC836" s="34"/>
      <c r="CD836" s="34"/>
      <c r="CE836" s="34"/>
      <c r="CF836" s="34"/>
      <c r="CG836" s="34"/>
      <c r="CH836" s="34"/>
      <c r="CI836" s="8"/>
    </row>
    <row r="837" spans="1:87" x14ac:dyDescent="0.2">
      <c r="A837" s="8" t="str">
        <f>IF(AND(COUNTIF(W$3:W$13,A$27)&gt;0,A$27&lt;&gt;B800),A$27,IFERROR(IF(MATCH(A$27,Z$3:Z$13,0)=2,A$27," ")," "))</f>
        <v>C13</v>
      </c>
      <c r="B837" s="8">
        <f>IF(A837=" "," ",MAX(B825:B836)+1)</f>
        <v>4</v>
      </c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U837" s="34"/>
      <c r="V837" s="34"/>
      <c r="W837" s="34"/>
      <c r="X837" s="34"/>
      <c r="Y837" s="34"/>
      <c r="Z837" s="34"/>
      <c r="AA837" s="34"/>
      <c r="AB837" s="34"/>
      <c r="AC837" s="34"/>
      <c r="AD837" s="34"/>
      <c r="AE837" s="34"/>
      <c r="AF837" s="34"/>
      <c r="AG837" s="34"/>
      <c r="AH837" s="34"/>
      <c r="AI837" s="34"/>
      <c r="AJ837" s="34"/>
      <c r="AK837" s="34"/>
      <c r="AL837" s="34"/>
      <c r="AM837" s="34"/>
      <c r="AN837" s="34"/>
      <c r="AO837" s="34"/>
      <c r="AP837" s="34"/>
      <c r="AQ837" s="34"/>
      <c r="AR837" s="34"/>
      <c r="AS837" s="34"/>
      <c r="AT837" s="34"/>
      <c r="AU837" s="34"/>
      <c r="AV837" s="34"/>
      <c r="AW837" s="34"/>
      <c r="AX837" s="34"/>
      <c r="AY837" s="34"/>
      <c r="AZ837" s="34"/>
      <c r="BA837" s="34"/>
      <c r="BB837" s="34"/>
      <c r="BC837" s="34"/>
      <c r="BD837" s="34"/>
      <c r="BE837" s="34"/>
      <c r="BF837" s="34"/>
      <c r="BG837" s="34"/>
      <c r="BH837" s="34"/>
      <c r="BI837" s="34"/>
      <c r="BJ837" s="34"/>
      <c r="BK837" s="34"/>
      <c r="BL837" s="34"/>
      <c r="BM837" s="34"/>
      <c r="BN837" s="34"/>
      <c r="BO837" s="34"/>
      <c r="BP837" s="34"/>
      <c r="BQ837" s="34"/>
      <c r="BR837" s="34"/>
      <c r="BS837" s="34"/>
      <c r="BT837" s="34"/>
      <c r="BU837" s="34"/>
      <c r="BV837" s="34"/>
      <c r="BW837" s="34"/>
      <c r="BX837" s="34"/>
      <c r="BY837" s="34"/>
      <c r="BZ837" s="34"/>
      <c r="CA837" s="34"/>
      <c r="CB837" s="34"/>
      <c r="CC837" s="34"/>
      <c r="CD837" s="34"/>
      <c r="CE837" s="34"/>
      <c r="CF837" s="34"/>
      <c r="CG837" s="34"/>
      <c r="CH837" s="34"/>
      <c r="CI837" s="8"/>
    </row>
    <row r="838" spans="1:87" x14ac:dyDescent="0.2">
      <c r="A838" s="8" t="str">
        <f>IF(AND(COUNTIF(W$3:W$13,A$28)&gt;0,A$28&lt;&gt;B800),A$28,IFERROR(IF(MATCH(A$28,Z$3:Z$13,0)=2,A$28," ")," "))</f>
        <v xml:space="preserve"> </v>
      </c>
      <c r="B838" s="8" t="str">
        <f>IF(A838=" "," ",MAX(B825:B837)+1)</f>
        <v xml:space="preserve"> </v>
      </c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U838" s="34"/>
      <c r="V838" s="34"/>
      <c r="W838" s="34"/>
      <c r="X838" s="34"/>
      <c r="Y838" s="34"/>
      <c r="Z838" s="34"/>
      <c r="AA838" s="34"/>
      <c r="AB838" s="34"/>
      <c r="AC838" s="34"/>
      <c r="AD838" s="34"/>
      <c r="AE838" s="34"/>
      <c r="AF838" s="34"/>
      <c r="AG838" s="34"/>
      <c r="AH838" s="34"/>
      <c r="AI838" s="34"/>
      <c r="AJ838" s="34"/>
      <c r="AK838" s="34"/>
      <c r="AL838" s="34"/>
      <c r="AM838" s="34"/>
      <c r="AN838" s="34"/>
      <c r="AO838" s="34"/>
      <c r="AP838" s="34"/>
      <c r="AQ838" s="34"/>
      <c r="AR838" s="34"/>
      <c r="AS838" s="34"/>
      <c r="AT838" s="34"/>
      <c r="AU838" s="34"/>
      <c r="AV838" s="34"/>
      <c r="AW838" s="34"/>
      <c r="AX838" s="34"/>
      <c r="AY838" s="34"/>
      <c r="AZ838" s="34"/>
      <c r="BA838" s="34"/>
      <c r="BB838" s="34"/>
      <c r="BC838" s="34"/>
      <c r="BD838" s="34"/>
      <c r="BE838" s="34"/>
      <c r="BF838" s="34"/>
      <c r="BG838" s="34"/>
      <c r="BH838" s="34"/>
      <c r="BI838" s="34"/>
      <c r="BJ838" s="34"/>
      <c r="BK838" s="34"/>
      <c r="BL838" s="34"/>
      <c r="BM838" s="34"/>
      <c r="BN838" s="34"/>
      <c r="BO838" s="34"/>
      <c r="BP838" s="34"/>
      <c r="BQ838" s="34"/>
      <c r="BR838" s="34"/>
      <c r="BS838" s="34"/>
      <c r="BT838" s="34"/>
      <c r="BU838" s="34"/>
      <c r="BV838" s="34"/>
      <c r="BW838" s="34"/>
      <c r="BX838" s="34"/>
      <c r="BY838" s="34"/>
      <c r="BZ838" s="34"/>
      <c r="CA838" s="34"/>
      <c r="CB838" s="34"/>
      <c r="CC838" s="34"/>
      <c r="CD838" s="34"/>
      <c r="CE838" s="34"/>
      <c r="CF838" s="34"/>
      <c r="CG838" s="34"/>
      <c r="CH838" s="34"/>
      <c r="CI838" s="8"/>
    </row>
    <row r="839" spans="1:87" x14ac:dyDescent="0.2">
      <c r="A839" s="8" t="str">
        <f>IF(AND(COUNTIF(W$3:W$13,A$29)&gt;0,A$29&lt;&gt;B800),A$29,IFERROR(IF(MATCH(A$29,Z$3:Z$13,0)=2,A$29," ")," "))</f>
        <v xml:space="preserve"> </v>
      </c>
      <c r="B839" s="8" t="str">
        <f>IF(A839=" "," ",MAX(B825:B838)+1)</f>
        <v xml:space="preserve"> </v>
      </c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U839" s="34"/>
      <c r="V839" s="34"/>
      <c r="W839" s="34"/>
      <c r="X839" s="34"/>
      <c r="Y839" s="34"/>
      <c r="Z839" s="34"/>
      <c r="AA839" s="34"/>
      <c r="AB839" s="34"/>
      <c r="AC839" s="34"/>
      <c r="AD839" s="34"/>
      <c r="AE839" s="34"/>
      <c r="AF839" s="34"/>
      <c r="AG839" s="34"/>
      <c r="AH839" s="34"/>
      <c r="AI839" s="34"/>
      <c r="AJ839" s="34"/>
      <c r="AK839" s="34"/>
      <c r="AL839" s="34"/>
      <c r="AM839" s="34"/>
      <c r="AN839" s="34"/>
      <c r="AO839" s="34"/>
      <c r="AP839" s="34"/>
      <c r="AQ839" s="34"/>
      <c r="AR839" s="34"/>
      <c r="AS839" s="34"/>
      <c r="AT839" s="34"/>
      <c r="AU839" s="34"/>
      <c r="AV839" s="34"/>
      <c r="AW839" s="34"/>
      <c r="AX839" s="34"/>
      <c r="AY839" s="34"/>
      <c r="AZ839" s="34"/>
      <c r="BA839" s="34"/>
      <c r="BB839" s="34"/>
      <c r="BC839" s="34"/>
      <c r="BD839" s="34"/>
      <c r="BE839" s="34"/>
      <c r="BF839" s="34"/>
      <c r="BG839" s="34"/>
      <c r="BH839" s="34"/>
      <c r="BI839" s="34"/>
      <c r="BJ839" s="34"/>
      <c r="BK839" s="34"/>
      <c r="BL839" s="34"/>
      <c r="BM839" s="34"/>
      <c r="BN839" s="34"/>
      <c r="BO839" s="34"/>
      <c r="BP839" s="34"/>
      <c r="BQ839" s="34"/>
      <c r="BR839" s="34"/>
      <c r="BS839" s="34"/>
      <c r="BT839" s="34"/>
      <c r="BU839" s="34"/>
      <c r="BV839" s="34"/>
      <c r="BW839" s="34"/>
      <c r="BX839" s="34"/>
      <c r="BY839" s="34"/>
      <c r="BZ839" s="34"/>
      <c r="CA839" s="34"/>
      <c r="CB839" s="34"/>
      <c r="CC839" s="34"/>
      <c r="CD839" s="34"/>
      <c r="CE839" s="34"/>
      <c r="CF839" s="34"/>
      <c r="CG839" s="34"/>
      <c r="CH839" s="34"/>
      <c r="CI839" s="8"/>
    </row>
    <row r="840" spans="1:87" x14ac:dyDescent="0.2">
      <c r="A840" s="8" t="str">
        <f>IF(AND(COUNTIF(W$3:W$13,A$30)&gt;0,A$30&lt;&gt;B800),A$30,IFERROR(IF(MATCH(A$30,Z$3:Z$13,0)=2,A$30," ")," "))</f>
        <v>C16</v>
      </c>
      <c r="B840" s="8">
        <f>IF(A840=" "," ",MAX(B825:B839)+1)</f>
        <v>5</v>
      </c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U840" s="34"/>
      <c r="V840" s="34"/>
      <c r="W840" s="34"/>
      <c r="X840" s="34"/>
      <c r="Y840" s="34"/>
      <c r="Z840" s="34"/>
      <c r="AA840" s="34"/>
      <c r="AB840" s="34"/>
      <c r="AC840" s="34"/>
      <c r="AD840" s="34"/>
      <c r="AE840" s="34"/>
      <c r="AF840" s="34"/>
      <c r="AG840" s="34"/>
      <c r="AH840" s="34"/>
      <c r="AI840" s="34"/>
      <c r="AJ840" s="34"/>
      <c r="AK840" s="34"/>
      <c r="AL840" s="34"/>
      <c r="AM840" s="34"/>
      <c r="AN840" s="34"/>
      <c r="AO840" s="34"/>
      <c r="AP840" s="34"/>
      <c r="AQ840" s="34"/>
      <c r="AR840" s="34"/>
      <c r="AS840" s="34"/>
      <c r="AT840" s="34"/>
      <c r="AU840" s="34"/>
      <c r="AV840" s="34"/>
      <c r="AW840" s="34"/>
      <c r="AX840" s="34"/>
      <c r="AY840" s="34"/>
      <c r="AZ840" s="34"/>
      <c r="BA840" s="34"/>
      <c r="BB840" s="34"/>
      <c r="BC840" s="34"/>
      <c r="BD840" s="34"/>
      <c r="BE840" s="34"/>
      <c r="BF840" s="34"/>
      <c r="BG840" s="34"/>
      <c r="BH840" s="34"/>
      <c r="BI840" s="34"/>
      <c r="BJ840" s="34"/>
      <c r="BK840" s="34"/>
      <c r="BL840" s="34"/>
      <c r="BM840" s="34"/>
      <c r="BN840" s="34"/>
      <c r="BO840" s="34"/>
      <c r="BP840" s="34"/>
      <c r="BQ840" s="34"/>
      <c r="BR840" s="34"/>
      <c r="BS840" s="34"/>
      <c r="BT840" s="34"/>
      <c r="BU840" s="34"/>
      <c r="BV840" s="34"/>
      <c r="BW840" s="34"/>
      <c r="BX840" s="34"/>
      <c r="BY840" s="34"/>
      <c r="BZ840" s="34"/>
      <c r="CA840" s="34"/>
      <c r="CB840" s="34"/>
      <c r="CC840" s="34"/>
      <c r="CD840" s="34"/>
      <c r="CE840" s="34"/>
      <c r="CF840" s="34"/>
      <c r="CG840" s="34"/>
      <c r="CH840" s="34"/>
      <c r="CI840" s="8"/>
    </row>
    <row r="841" spans="1:87" x14ac:dyDescent="0.2">
      <c r="A841" s="8" t="str">
        <f>IF(AND(COUNTIF(W$3:W$13,A$31)&gt;0,A$31&lt;&gt;B800),A$31,IFERROR(IF(MATCH(A$31,Z$3:Z$13,0)=2,A$31," ")," "))</f>
        <v>C17</v>
      </c>
      <c r="B841" s="8">
        <f>IF(A841=" "," ",MAX(B825:B840)+1)</f>
        <v>6</v>
      </c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U841" s="34"/>
      <c r="V841" s="34"/>
      <c r="W841" s="34"/>
      <c r="X841" s="34"/>
      <c r="Y841" s="34"/>
      <c r="Z841" s="34"/>
      <c r="AA841" s="34"/>
      <c r="AB841" s="34"/>
      <c r="AC841" s="34"/>
      <c r="AD841" s="34"/>
      <c r="AE841" s="34"/>
      <c r="AF841" s="34"/>
      <c r="AG841" s="34"/>
      <c r="AH841" s="34"/>
      <c r="AI841" s="34"/>
      <c r="AJ841" s="34"/>
      <c r="AK841" s="34"/>
      <c r="AL841" s="34"/>
      <c r="AM841" s="34"/>
      <c r="AN841" s="34"/>
      <c r="AO841" s="34"/>
      <c r="AP841" s="34"/>
      <c r="AQ841" s="34"/>
      <c r="AR841" s="34"/>
      <c r="AS841" s="34"/>
      <c r="AT841" s="34"/>
      <c r="AU841" s="34"/>
      <c r="AV841" s="34"/>
      <c r="AW841" s="34"/>
      <c r="AX841" s="34"/>
      <c r="AY841" s="34"/>
      <c r="AZ841" s="34"/>
      <c r="BA841" s="34"/>
      <c r="BB841" s="34"/>
      <c r="BC841" s="34"/>
      <c r="BD841" s="34"/>
      <c r="BE841" s="34"/>
      <c r="BF841" s="34"/>
      <c r="BG841" s="34"/>
      <c r="BH841" s="34"/>
      <c r="BI841" s="34"/>
      <c r="BJ841" s="34"/>
      <c r="BK841" s="34"/>
      <c r="BL841" s="34"/>
      <c r="BM841" s="34"/>
      <c r="BN841" s="34"/>
      <c r="BO841" s="34"/>
      <c r="BP841" s="34"/>
      <c r="BQ841" s="34"/>
      <c r="BR841" s="34"/>
      <c r="BS841" s="34"/>
      <c r="BT841" s="34"/>
      <c r="BU841" s="34"/>
      <c r="BV841" s="34"/>
      <c r="BW841" s="34"/>
      <c r="BX841" s="34"/>
      <c r="BY841" s="34"/>
      <c r="BZ841" s="34"/>
      <c r="CA841" s="34"/>
      <c r="CB841" s="34"/>
      <c r="CC841" s="34"/>
      <c r="CD841" s="34"/>
      <c r="CE841" s="34"/>
      <c r="CF841" s="34"/>
      <c r="CG841" s="34"/>
      <c r="CH841" s="34"/>
      <c r="CI841" s="8"/>
    </row>
    <row r="842" spans="1:87" x14ac:dyDescent="0.2">
      <c r="A842" s="8" t="str">
        <f>IF(AND(COUNTIF(W$3:W$13,A$32)&gt;0,A$32&lt;&gt;B800),A$32,IFERROR(IF(MATCH(A$32,Z$3:Z$13,0)=2,A$32," ")," "))</f>
        <v>C18</v>
      </c>
      <c r="B842" s="8">
        <f>IF(A842=" "," ",MAX(B825:B841)+1)</f>
        <v>7</v>
      </c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U842" s="34"/>
      <c r="V842" s="34"/>
      <c r="W842" s="34"/>
      <c r="X842" s="34"/>
      <c r="Y842" s="34"/>
      <c r="Z842" s="34"/>
      <c r="AA842" s="34"/>
      <c r="AB842" s="34"/>
      <c r="AC842" s="34"/>
      <c r="AD842" s="34"/>
      <c r="AE842" s="34"/>
      <c r="AF842" s="34"/>
      <c r="AG842" s="34"/>
      <c r="AH842" s="34"/>
      <c r="AI842" s="34"/>
      <c r="AJ842" s="34"/>
      <c r="AK842" s="34"/>
      <c r="AL842" s="34"/>
      <c r="AM842" s="34"/>
      <c r="AN842" s="34"/>
      <c r="AO842" s="34"/>
      <c r="AP842" s="34"/>
      <c r="AQ842" s="34"/>
      <c r="AR842" s="34"/>
      <c r="AS842" s="34"/>
      <c r="AT842" s="34"/>
      <c r="AU842" s="34"/>
      <c r="AV842" s="34"/>
      <c r="AW842" s="34"/>
      <c r="AX842" s="34"/>
      <c r="AY842" s="34"/>
      <c r="AZ842" s="34"/>
      <c r="BA842" s="34"/>
      <c r="BB842" s="34"/>
      <c r="BC842" s="34"/>
      <c r="BD842" s="34"/>
      <c r="BE842" s="34"/>
      <c r="BF842" s="34"/>
      <c r="BG842" s="34"/>
      <c r="BH842" s="34"/>
      <c r="BI842" s="34"/>
      <c r="BJ842" s="34"/>
      <c r="BK842" s="34"/>
      <c r="BL842" s="34"/>
      <c r="BM842" s="34"/>
      <c r="BN842" s="34"/>
      <c r="BO842" s="34"/>
      <c r="BP842" s="34"/>
      <c r="BQ842" s="34"/>
      <c r="BR842" s="34"/>
      <c r="BS842" s="34"/>
      <c r="BT842" s="34"/>
      <c r="BU842" s="34"/>
      <c r="BV842" s="34"/>
      <c r="BW842" s="34"/>
      <c r="BX842" s="34"/>
      <c r="BY842" s="34"/>
      <c r="BZ842" s="34"/>
      <c r="CA842" s="34"/>
      <c r="CB842" s="34"/>
      <c r="CC842" s="34"/>
      <c r="CD842" s="34"/>
      <c r="CE842" s="34"/>
      <c r="CF842" s="34"/>
      <c r="CG842" s="34"/>
      <c r="CH842" s="34"/>
      <c r="CI842" s="8"/>
    </row>
    <row r="843" spans="1:87" x14ac:dyDescent="0.2">
      <c r="A843" s="8" t="str">
        <f>IF(AND(COUNTIF(W$3:W$13,A$33)&gt;0,A$33&lt;&gt;B800),A$33,IFERROR(IF(MATCH(A$33,Z$3:Z$13,0)=2,A$33," ")," "))</f>
        <v>C19</v>
      </c>
      <c r="B843" s="8">
        <f>IF(A843=" "," ",MAX(B825:B842)+1)</f>
        <v>8</v>
      </c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U843" s="34"/>
      <c r="V843" s="34"/>
      <c r="W843" s="34"/>
      <c r="X843" s="34"/>
      <c r="Y843" s="34"/>
      <c r="Z843" s="34"/>
      <c r="AA843" s="34"/>
      <c r="AB843" s="34"/>
      <c r="AC843" s="34"/>
      <c r="AD843" s="34"/>
      <c r="AE843" s="34"/>
      <c r="AF843" s="34"/>
      <c r="AG843" s="34"/>
      <c r="AH843" s="34"/>
      <c r="AI843" s="34"/>
      <c r="AJ843" s="34"/>
      <c r="AK843" s="34"/>
      <c r="AL843" s="34"/>
      <c r="AM843" s="34"/>
      <c r="AN843" s="34"/>
      <c r="AO843" s="34"/>
      <c r="AP843" s="34"/>
      <c r="AQ843" s="34"/>
      <c r="AR843" s="34"/>
      <c r="AS843" s="34"/>
      <c r="AT843" s="34"/>
      <c r="AU843" s="34"/>
      <c r="AV843" s="34"/>
      <c r="AW843" s="34"/>
      <c r="AX843" s="34"/>
      <c r="AY843" s="34"/>
      <c r="AZ843" s="34"/>
      <c r="BA843" s="34"/>
      <c r="BB843" s="34"/>
      <c r="BC843" s="34"/>
      <c r="BD843" s="34"/>
      <c r="BE843" s="34"/>
      <c r="BF843" s="34"/>
      <c r="BG843" s="34"/>
      <c r="BH843" s="34"/>
      <c r="BI843" s="34"/>
      <c r="BJ843" s="34"/>
      <c r="BK843" s="34"/>
      <c r="BL843" s="34"/>
      <c r="BM843" s="34"/>
      <c r="BN843" s="34"/>
      <c r="BO843" s="34"/>
      <c r="BP843" s="34"/>
      <c r="BQ843" s="34"/>
      <c r="BR843" s="34"/>
      <c r="BS843" s="34"/>
      <c r="BT843" s="34"/>
      <c r="BU843" s="34"/>
      <c r="BV843" s="34"/>
      <c r="BW843" s="34"/>
      <c r="BX843" s="34"/>
      <c r="BY843" s="34"/>
      <c r="BZ843" s="34"/>
      <c r="CA843" s="34"/>
      <c r="CB843" s="34"/>
      <c r="CC843" s="34"/>
      <c r="CD843" s="34"/>
      <c r="CE843" s="34"/>
      <c r="CF843" s="34"/>
      <c r="CG843" s="34"/>
      <c r="CH843" s="34"/>
      <c r="CI843" s="8"/>
    </row>
    <row r="844" spans="1:87" x14ac:dyDescent="0.2">
      <c r="A844" s="8" t="str">
        <f>IF(AND(COUNTIF(W$3:W$13,A$34)&gt;0,A$34&lt;&gt;B800),A$34,IFERROR(IF(MATCH(A$34,Z$3:Z$13,0)=2,A$34," ")," "))</f>
        <v>C20</v>
      </c>
      <c r="B844" s="8">
        <f>IF(A844=" "," ",MAX(B825:B843)+1)</f>
        <v>9</v>
      </c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U844" s="34"/>
      <c r="V844" s="34"/>
      <c r="W844" s="34"/>
      <c r="X844" s="34"/>
      <c r="Y844" s="34"/>
      <c r="Z844" s="34"/>
      <c r="AA844" s="34"/>
      <c r="AB844" s="34"/>
      <c r="AC844" s="34"/>
      <c r="AD844" s="34"/>
      <c r="AE844" s="34"/>
      <c r="AF844" s="34"/>
      <c r="AG844" s="34"/>
      <c r="AH844" s="34"/>
      <c r="AI844" s="34"/>
      <c r="AJ844" s="34"/>
      <c r="AK844" s="34"/>
      <c r="AL844" s="34"/>
      <c r="AM844" s="34"/>
      <c r="AN844" s="34"/>
      <c r="AO844" s="34"/>
      <c r="AP844" s="34"/>
      <c r="AQ844" s="34"/>
      <c r="AR844" s="34"/>
      <c r="AS844" s="34"/>
      <c r="AT844" s="34"/>
      <c r="AU844" s="34"/>
      <c r="AV844" s="34"/>
      <c r="AW844" s="34"/>
      <c r="AX844" s="34"/>
      <c r="AY844" s="34"/>
      <c r="AZ844" s="34"/>
      <c r="BA844" s="34"/>
      <c r="BB844" s="34"/>
      <c r="BC844" s="34"/>
      <c r="BD844" s="34"/>
      <c r="BE844" s="34"/>
      <c r="BF844" s="34"/>
      <c r="BG844" s="34"/>
      <c r="BH844" s="34"/>
      <c r="BI844" s="34"/>
      <c r="BJ844" s="34"/>
      <c r="BK844" s="34"/>
      <c r="BL844" s="34"/>
      <c r="BM844" s="34"/>
      <c r="BN844" s="34"/>
      <c r="BO844" s="34"/>
      <c r="BP844" s="34"/>
      <c r="BQ844" s="34"/>
      <c r="BR844" s="34"/>
      <c r="BS844" s="34"/>
      <c r="BT844" s="34"/>
      <c r="BU844" s="34"/>
      <c r="BV844" s="34"/>
      <c r="BW844" s="34"/>
      <c r="BX844" s="34"/>
      <c r="BY844" s="34"/>
      <c r="BZ844" s="34"/>
      <c r="CA844" s="34"/>
      <c r="CB844" s="34"/>
      <c r="CC844" s="34"/>
      <c r="CD844" s="34"/>
      <c r="CE844" s="34"/>
      <c r="CF844" s="34"/>
      <c r="CG844" s="34"/>
      <c r="CH844" s="34"/>
      <c r="CI844" s="8"/>
    </row>
    <row r="845" spans="1:87" x14ac:dyDescent="0.2">
      <c r="A845" s="8" t="str">
        <f>IF(AND(COUNTIF(W$3:W$13,A$35)&gt;0,A$35&lt;&gt;B800),A$35,IFERROR(IF(MATCH(A$35,Z$3:Z$13,0)=2,A$35," ")," "))</f>
        <v>C21</v>
      </c>
      <c r="B845" s="8">
        <f>IF(A845=" "," ",MAX(B825:B844)+1)</f>
        <v>10</v>
      </c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U845" s="34"/>
      <c r="V845" s="34"/>
      <c r="W845" s="34"/>
      <c r="X845" s="34"/>
      <c r="Y845" s="34"/>
      <c r="Z845" s="34"/>
      <c r="AA845" s="34"/>
      <c r="AB845" s="34"/>
      <c r="AC845" s="34"/>
      <c r="AD845" s="34"/>
      <c r="AE845" s="34"/>
      <c r="AF845" s="34"/>
      <c r="AG845" s="34"/>
      <c r="AH845" s="34"/>
      <c r="AI845" s="34"/>
      <c r="AJ845" s="34"/>
      <c r="AK845" s="34"/>
      <c r="AL845" s="34"/>
      <c r="AM845" s="34"/>
      <c r="AN845" s="34"/>
      <c r="AO845" s="34"/>
      <c r="AP845" s="34"/>
      <c r="AQ845" s="34"/>
      <c r="AR845" s="34"/>
      <c r="AS845" s="34"/>
      <c r="AT845" s="34"/>
      <c r="AU845" s="34"/>
      <c r="AV845" s="34"/>
      <c r="AW845" s="34"/>
      <c r="AX845" s="34"/>
      <c r="AY845" s="34"/>
      <c r="AZ845" s="34"/>
      <c r="BA845" s="34"/>
      <c r="BB845" s="34"/>
      <c r="BC845" s="34"/>
      <c r="BD845" s="34"/>
      <c r="BE845" s="34"/>
      <c r="BF845" s="34"/>
      <c r="BG845" s="34"/>
      <c r="BH845" s="34"/>
      <c r="BI845" s="34"/>
      <c r="BJ845" s="34"/>
      <c r="BK845" s="34"/>
      <c r="BL845" s="34"/>
      <c r="BM845" s="34"/>
      <c r="BN845" s="34"/>
      <c r="BO845" s="34"/>
      <c r="BP845" s="34"/>
      <c r="BQ845" s="34"/>
      <c r="BR845" s="34"/>
      <c r="BS845" s="34"/>
      <c r="BT845" s="34"/>
      <c r="BU845" s="34"/>
      <c r="BV845" s="34"/>
      <c r="BW845" s="34"/>
      <c r="BX845" s="34"/>
      <c r="BY845" s="34"/>
      <c r="BZ845" s="34"/>
      <c r="CA845" s="34"/>
      <c r="CB845" s="34"/>
      <c r="CC845" s="34"/>
      <c r="CD845" s="34"/>
      <c r="CE845" s="34"/>
      <c r="CF845" s="34"/>
      <c r="CG845" s="34"/>
      <c r="CH845" s="34"/>
      <c r="CI845" s="8"/>
    </row>
    <row r="846" spans="1:87" x14ac:dyDescent="0.2">
      <c r="A846" s="8" t="str">
        <f>IF(AND(COUNTIF(W$3:W$13,A$36)&gt;0,A$36&lt;&gt;B800),A$36,IFERROR(IF(MATCH(A$36,Z$3:Z$13,0)=2,A$36," ")," "))</f>
        <v>C22</v>
      </c>
      <c r="B846" s="8">
        <f>IF(A846=" "," ",MAX(B825:B845)+1)</f>
        <v>11</v>
      </c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U846" s="34"/>
      <c r="V846" s="34"/>
      <c r="W846" s="34"/>
      <c r="X846" s="34"/>
      <c r="Y846" s="34"/>
      <c r="Z846" s="34"/>
      <c r="AA846" s="34"/>
      <c r="AB846" s="34"/>
      <c r="AC846" s="34"/>
      <c r="AD846" s="34"/>
      <c r="AE846" s="34"/>
      <c r="AF846" s="34"/>
      <c r="AG846" s="34"/>
      <c r="AH846" s="34"/>
      <c r="AI846" s="34"/>
      <c r="AJ846" s="34"/>
      <c r="AK846" s="34"/>
      <c r="AL846" s="34"/>
      <c r="AM846" s="34"/>
      <c r="AN846" s="34"/>
      <c r="AO846" s="34"/>
      <c r="AP846" s="34"/>
      <c r="AQ846" s="34"/>
      <c r="AR846" s="34"/>
      <c r="AS846" s="34"/>
      <c r="AT846" s="34"/>
      <c r="AU846" s="34"/>
      <c r="AV846" s="34"/>
      <c r="AW846" s="34"/>
      <c r="AX846" s="34"/>
      <c r="AY846" s="34"/>
      <c r="AZ846" s="34"/>
      <c r="BA846" s="34"/>
      <c r="BB846" s="34"/>
      <c r="BC846" s="34"/>
      <c r="BD846" s="34"/>
      <c r="BE846" s="34"/>
      <c r="BF846" s="34"/>
      <c r="BG846" s="34"/>
      <c r="BH846" s="34"/>
      <c r="BI846" s="34"/>
      <c r="BJ846" s="34"/>
      <c r="BK846" s="34"/>
      <c r="BL846" s="34"/>
      <c r="BM846" s="34"/>
      <c r="BN846" s="34"/>
      <c r="BO846" s="34"/>
      <c r="BP846" s="34"/>
      <c r="BQ846" s="34"/>
      <c r="BR846" s="34"/>
      <c r="BS846" s="34"/>
      <c r="BT846" s="34"/>
      <c r="BU846" s="34"/>
      <c r="BV846" s="34"/>
      <c r="BW846" s="34"/>
      <c r="BX846" s="34"/>
      <c r="BY846" s="34"/>
      <c r="BZ846" s="34"/>
      <c r="CA846" s="34"/>
      <c r="CB846" s="34"/>
      <c r="CC846" s="34"/>
      <c r="CD846" s="34"/>
      <c r="CE846" s="34"/>
      <c r="CF846" s="34"/>
      <c r="CG846" s="34"/>
      <c r="CH846" s="34"/>
      <c r="CI846" s="8"/>
    </row>
    <row r="847" spans="1:87" x14ac:dyDescent="0.2">
      <c r="A847" s="11" t="s">
        <v>17</v>
      </c>
      <c r="B847" s="11"/>
      <c r="C847" s="27" t="s">
        <v>18</v>
      </c>
      <c r="D847" s="27" t="s">
        <v>2</v>
      </c>
      <c r="E847" s="27" t="s">
        <v>6</v>
      </c>
      <c r="F847" s="27" t="s">
        <v>15</v>
      </c>
      <c r="G847" s="27" t="s">
        <v>36</v>
      </c>
      <c r="H847" s="27" t="s">
        <v>37</v>
      </c>
      <c r="I847" s="27" t="s">
        <v>38</v>
      </c>
      <c r="J847" s="27" t="s">
        <v>39</v>
      </c>
      <c r="K847" s="27" t="s">
        <v>40</v>
      </c>
      <c r="L847" s="27" t="s">
        <v>41</v>
      </c>
      <c r="M847" s="27" t="s">
        <v>42</v>
      </c>
      <c r="N847" s="27" t="s">
        <v>43</v>
      </c>
      <c r="O847" s="27" t="s">
        <v>9</v>
      </c>
      <c r="P847" s="27" t="s">
        <v>12</v>
      </c>
      <c r="Q847" s="27" t="s">
        <v>19</v>
      </c>
      <c r="R847" s="27" t="s">
        <v>55</v>
      </c>
      <c r="S847" s="27" t="s">
        <v>26</v>
      </c>
      <c r="T847" s="19" t="s">
        <v>25</v>
      </c>
      <c r="U847" s="33" t="s">
        <v>27</v>
      </c>
      <c r="V847" s="33" t="s">
        <v>9</v>
      </c>
      <c r="W847" s="33" t="s">
        <v>23</v>
      </c>
      <c r="X847" s="33" t="s">
        <v>12</v>
      </c>
      <c r="Y847" s="33" t="s">
        <v>26</v>
      </c>
      <c r="Z847" s="33" t="s">
        <v>25</v>
      </c>
      <c r="AA847" s="33" t="s">
        <v>27</v>
      </c>
      <c r="AB847" s="33" t="s">
        <v>9</v>
      </c>
      <c r="AC847" s="33" t="s">
        <v>23</v>
      </c>
      <c r="AD847" s="33" t="s">
        <v>12</v>
      </c>
      <c r="AE847" s="33" t="s">
        <v>26</v>
      </c>
      <c r="AF847" s="33" t="s">
        <v>25</v>
      </c>
      <c r="AG847" s="33" t="s">
        <v>27</v>
      </c>
      <c r="AH847" s="33" t="s">
        <v>9</v>
      </c>
      <c r="AI847" s="33" t="s">
        <v>23</v>
      </c>
      <c r="AJ847" s="33" t="s">
        <v>12</v>
      </c>
      <c r="AK847" s="33" t="s">
        <v>26</v>
      </c>
      <c r="AL847" s="33" t="s">
        <v>25</v>
      </c>
      <c r="AM847" s="33" t="s">
        <v>27</v>
      </c>
      <c r="AN847" s="33" t="s">
        <v>9</v>
      </c>
      <c r="AO847" s="33" t="s">
        <v>23</v>
      </c>
      <c r="AP847" s="33" t="s">
        <v>12</v>
      </c>
      <c r="AQ847" s="33" t="s">
        <v>26</v>
      </c>
      <c r="AR847" s="33" t="s">
        <v>25</v>
      </c>
      <c r="AS847" s="33" t="s">
        <v>27</v>
      </c>
      <c r="AT847" s="33" t="s">
        <v>9</v>
      </c>
      <c r="AU847" s="33" t="s">
        <v>23</v>
      </c>
      <c r="AV847" s="33" t="s">
        <v>12</v>
      </c>
      <c r="AW847" s="33" t="s">
        <v>26</v>
      </c>
      <c r="AX847" s="33" t="s">
        <v>25</v>
      </c>
      <c r="AY847" s="33" t="s">
        <v>27</v>
      </c>
      <c r="AZ847" s="33" t="s">
        <v>9</v>
      </c>
      <c r="BA847" s="33" t="s">
        <v>23</v>
      </c>
      <c r="BB847" s="33" t="s">
        <v>12</v>
      </c>
      <c r="BC847" s="33" t="s">
        <v>26</v>
      </c>
      <c r="BD847" s="33" t="s">
        <v>25</v>
      </c>
      <c r="BE847" s="33" t="s">
        <v>27</v>
      </c>
      <c r="BF847" s="33" t="s">
        <v>9</v>
      </c>
      <c r="BG847" s="33" t="s">
        <v>23</v>
      </c>
      <c r="BH847" s="33" t="s">
        <v>12</v>
      </c>
      <c r="BI847" s="33" t="s">
        <v>26</v>
      </c>
      <c r="BJ847" s="33" t="s">
        <v>25</v>
      </c>
      <c r="BK847" s="33" t="s">
        <v>27</v>
      </c>
      <c r="BL847" s="33" t="s">
        <v>9</v>
      </c>
      <c r="BM847" s="33" t="s">
        <v>23</v>
      </c>
      <c r="BN847" s="33" t="s">
        <v>12</v>
      </c>
      <c r="BO847" s="33" t="s">
        <v>26</v>
      </c>
      <c r="BP847" s="33" t="s">
        <v>25</v>
      </c>
      <c r="BQ847" s="33" t="s">
        <v>27</v>
      </c>
      <c r="BR847" s="33" t="s">
        <v>9</v>
      </c>
      <c r="BS847" s="33" t="s">
        <v>23</v>
      </c>
      <c r="BT847" s="33" t="s">
        <v>12</v>
      </c>
      <c r="BU847" s="33" t="s">
        <v>26</v>
      </c>
      <c r="BV847" s="33" t="s">
        <v>25</v>
      </c>
      <c r="BW847" s="33" t="s">
        <v>27</v>
      </c>
      <c r="BX847" s="33" t="s">
        <v>9</v>
      </c>
      <c r="BY847" s="33" t="s">
        <v>23</v>
      </c>
      <c r="BZ847" s="33" t="s">
        <v>12</v>
      </c>
      <c r="CA847" s="33" t="s">
        <v>26</v>
      </c>
      <c r="CB847" s="33" t="s">
        <v>25</v>
      </c>
      <c r="CC847" s="33" t="s">
        <v>27</v>
      </c>
      <c r="CD847" s="33" t="s">
        <v>9</v>
      </c>
      <c r="CE847" s="33" t="s">
        <v>23</v>
      </c>
      <c r="CF847" s="33" t="s">
        <v>12</v>
      </c>
      <c r="CG847" s="33" t="s">
        <v>26</v>
      </c>
      <c r="CH847" s="33" t="s">
        <v>25</v>
      </c>
      <c r="CI847" s="8"/>
    </row>
    <row r="848" spans="1:87" x14ac:dyDescent="0.2">
      <c r="A848" s="8" t="str">
        <f>IF(AND(COUNTIF(W$3:W$13,A$15)&gt;0,A$15&lt;&gt;B800),A$15,IFERROR(IF(MATCH(A$15,Z$3:Z$13,0)=3,A$15," ")," "))</f>
        <v xml:space="preserve"> </v>
      </c>
      <c r="B848" s="8" t="str">
        <f>IF(A848=" "," ",1)</f>
        <v xml:space="preserve"> </v>
      </c>
      <c r="C848" s="8" t="str">
        <f>IFERROR(INDEX(A848:A869,MATCH(SMALL(B848:B869,1),B848:B869,0),1)," ")</f>
        <v>C3</v>
      </c>
      <c r="D848" s="8">
        <f>IFERROR(VLOOKUP($C848,$A$15:$O$36,2,FALSE)," ")</f>
        <v>2</v>
      </c>
      <c r="E848" s="8">
        <f>IFERROR(VLOOKUP($C848,$A$15:$O$36,3,FALSE)," ")</f>
        <v>5</v>
      </c>
      <c r="F848" s="8">
        <f>IFERROR(VLOOKUP($C848,$A$15:$O$36,4,FALSE)," ")</f>
        <v>6</v>
      </c>
      <c r="G848" s="8">
        <f>IFERROR(VLOOKUP($C848,$A$15:$O$36,5,FALSE)," ")</f>
        <v>0</v>
      </c>
      <c r="H848" s="8">
        <f>IFERROR(VLOOKUP($C848,$A$15:$O$36,6,FALSE)," ")</f>
        <v>0</v>
      </c>
      <c r="I848" s="8">
        <f>IFERROR(VLOOKUP($C848,$A$15:$O$36,7,FALSE)," ")</f>
        <v>0</v>
      </c>
      <c r="J848" s="8">
        <f>IFERROR(VLOOKUP($C848,$A$15:$O$36,8,FALSE)," ")</f>
        <v>0</v>
      </c>
      <c r="K848" s="8">
        <f>IFERROR(VLOOKUP($C848,$A$15:$O$36,9,FALSE)," ")</f>
        <v>0</v>
      </c>
      <c r="L848" s="8">
        <f>IFERROR(VLOOKUP($C848,$A$15:$O$36,10,FALSE)," ")</f>
        <v>0</v>
      </c>
      <c r="M848" s="8">
        <f>IFERROR(VLOOKUP($C848,$A$15:$O$36,11,FALSE)," ")</f>
        <v>0</v>
      </c>
      <c r="N848" s="8">
        <f>IFERROR(VLOOKUP($C848,$A$15:$O$36,12,FALSE)," ")</f>
        <v>0</v>
      </c>
      <c r="O848" s="8">
        <f>IFERROR(VLOOKUP($C848,$A$15:$O$36,15,FALSE)," ")</f>
        <v>2000</v>
      </c>
      <c r="P848" s="8" t="e">
        <f t="array" ref="P848:P858">MMULT(MINVERSE(D848:N858),O848:O858)</f>
        <v>#NUM!</v>
      </c>
      <c r="Q848" s="8" t="e">
        <f t="shared" ref="Q848" si="3520">IF(COUNTIF(P848:P858,"&lt;"&amp;-0.001)=0,IF(ABS(P848)&lt;0.001,0,P848)," ")</f>
        <v>#NUM!</v>
      </c>
      <c r="R848" s="8" t="str">
        <f>IFERROR(VLOOKUP(B800,A$15:L$36,2,FALSE)*Q848+VLOOKUP(B800,A$15:L$36,3,FALSE)*Q849+VLOOKUP(B800,A$15:L$36,4,FALSE)*Q850+VLOOKUP(B800,A$15:L$36,5,FALSE)*Q851+VLOOKUP(B800,A$15:L$36,6,FALSE)*Q852+VLOOKUP(B800,A$15:L$36,7,FALSE)*Q853+VLOOKUP(B800,A$15:L$36,8,FALSE)*Q854+VLOOKUP(B800,A$15:L$36,9,FALSE)*Q855+VLOOKUP(B800,A$15:L$36,10,FALSE)*Q856+VLOOKUP(B800,A$15:L$36,11,FALSE)*Q857+VLOOKUP(B800,A$15:L$36,12,FALSE)*Q858," ")</f>
        <v xml:space="preserve"> </v>
      </c>
      <c r="S848" s="8" t="str">
        <f>IFERROR(IF(R848-VLOOKUP(B800,A$15:O$36,15,FALSE)&lt;0,R848-VLOOKUP(B800,A$15:O$36,15,FALSE)," ")," ")</f>
        <v xml:space="preserve"> </v>
      </c>
      <c r="T848" s="18" t="str">
        <f>IFERROR(IF(R848-VLOOKUP(B800,A$15:O$36,15,FALSE)&gt;0,R848-VLOOKUP(B800,A$15:O$36,15,FALSE)," ")," ")</f>
        <v xml:space="preserve"> </v>
      </c>
      <c r="U848" s="34">
        <f t="shared" ref="U848" si="3521">$M$2</f>
        <v>100.00000000000001</v>
      </c>
      <c r="V848" s="34">
        <v>-1</v>
      </c>
      <c r="W848" s="34">
        <f t="shared" ref="W848" si="3522">-SUMPRODUCT($M$3:$M$12,$N$3:$N$12)</f>
        <v>-105000</v>
      </c>
      <c r="X848" s="34" t="e">
        <f t="shared" ref="X848" si="3523">IF(U848&lt;&gt;U849,MMULT(MINVERSE(U848:V849),W848:W849)," ")</f>
        <v>#NUM!</v>
      </c>
      <c r="Y848" s="34" t="str">
        <f t="shared" ref="Y848" si="3524">IFERROR(IF(X848-VLOOKUP(U$38,$A$2:$N$12,14,FALSE)&lt;0,X848-VLOOKUP(U$38,$A$2:$N$12,14,FALSE)," ")," ")</f>
        <v xml:space="preserve"> </v>
      </c>
      <c r="Z848" s="34" t="str">
        <f t="shared" ref="Z848" si="3525">IFERROR(IF(X848-VLOOKUP(U$38,$A$2:$N$12,14,FALSE)&gt;0,X848-VLOOKUP(U$38,$A$2:$N$12,14,FALSE)," ")," ")</f>
        <v xml:space="preserve"> </v>
      </c>
      <c r="AA848" s="34">
        <f t="shared" ref="AA848" si="3526">$M$3</f>
        <v>0</v>
      </c>
      <c r="AB848" s="34">
        <v>-1</v>
      </c>
      <c r="AC848" s="34">
        <f t="shared" ref="AC848" si="3527">-SUMPRODUCT($M$2:$M$2,$N$2:$N$2)-SUMPRODUCT($M$4:$M$12,$N$4:$N$12)</f>
        <v>-120000</v>
      </c>
      <c r="AD848" s="34" t="e">
        <f t="shared" ref="AD848" si="3528">IF(AA848&lt;&gt;AA849,MMULT(MINVERSE(AA848:AB849),AC848:AC849)," ")</f>
        <v>#NUM!</v>
      </c>
      <c r="AE848" s="34" t="str">
        <f t="shared" ref="AE848" si="3529">IFERROR(IF(AD848-VLOOKUP(AA$38,$A$2:$N$12,14,FALSE)&lt;0,AD848-VLOOKUP(AA$38,$A$2:$N$12,14,FALSE)," ")," ")</f>
        <v xml:space="preserve"> </v>
      </c>
      <c r="AF848" s="34" t="str">
        <f t="shared" ref="AF848" si="3530">IFERROR(IF(AD848-VLOOKUP(AA$38,$A$2:$N$12,14,FALSE)&gt;0,AD848-VLOOKUP(AA$38,$A$2:$N$12,14,FALSE)," ")," ")</f>
        <v xml:space="preserve"> </v>
      </c>
      <c r="AG848" s="34">
        <f t="shared" ref="AG848" si="3531">$M$4</f>
        <v>300</v>
      </c>
      <c r="AH848" s="34">
        <v>-1</v>
      </c>
      <c r="AI848" s="34">
        <f t="shared" ref="AI848" si="3532">-SUMPRODUCT($M$2:$M$3,$N$2:$N$3)-SUMPRODUCT($M$5:$M$12,$N$5:$N$12)</f>
        <v>-15000.000000000002</v>
      </c>
      <c r="AJ848" s="34" t="e">
        <f t="shared" ref="AJ848" si="3533">IF(AG848&lt;&gt;AG849,MMULT(MINVERSE(AG848:AH849),AI848:AI849)," ")</f>
        <v>#NUM!</v>
      </c>
      <c r="AK848" s="34" t="str">
        <f t="shared" ref="AK848" si="3534">IFERROR(IF(AJ848-VLOOKUP(AG$38,$A$2:$N$12,14,FALSE)&lt;0,AJ848-VLOOKUP(AG$38,$A$2:$N$12,14,FALSE)," ")," ")</f>
        <v xml:space="preserve"> </v>
      </c>
      <c r="AL848" s="34" t="str">
        <f t="shared" ref="AL848" si="3535">IFERROR(IF(AJ848-VLOOKUP(AG$38,$A$2:$N$12,14,FALSE)&gt;0,AJ848-VLOOKUP(AG$38,$A$2:$N$12,14,FALSE)," ")," ")</f>
        <v xml:space="preserve"> </v>
      </c>
      <c r="AM848" s="34">
        <f t="shared" ref="AM848" si="3536">$M$5</f>
        <v>0</v>
      </c>
      <c r="AN848" s="34">
        <v>-1</v>
      </c>
      <c r="AO848" s="34">
        <f t="shared" ref="AO848" si="3537">-SUMPRODUCT($M$2:$M$4,$N$2:$N$4)-SUMPRODUCT($M$6:$M$12,$N$6:$N$12)</f>
        <v>-120000</v>
      </c>
      <c r="AP848" s="34" t="e">
        <f t="shared" ref="AP848" si="3538">IF(AM848&lt;&gt;AM849,MMULT(MINVERSE(AM848:AN849),AO848:AO849)," ")</f>
        <v>#NUM!</v>
      </c>
      <c r="AQ848" s="34" t="str">
        <f t="shared" ref="AQ848" si="3539">IFERROR(IF(AP848-VLOOKUP(AM$38,$A$2:$N$12,14,FALSE)&lt;0,AP848-VLOOKUP(AM$38,$A$2:$N$12,14,FALSE)," ")," ")</f>
        <v xml:space="preserve"> </v>
      </c>
      <c r="AR848" s="34" t="str">
        <f t="shared" ref="AR848" si="3540">IFERROR(IF(AP848-VLOOKUP(AM$38,$A$2:$N$12,14,FALSE)&gt;0,AP848-VLOOKUP(AM$38,$A$2:$N$12,14,FALSE)," ")," ")</f>
        <v xml:space="preserve"> </v>
      </c>
      <c r="AS848" s="34">
        <f t="shared" ref="AS848" si="3541">$M$6</f>
        <v>0</v>
      </c>
      <c r="AT848" s="34">
        <v>-1</v>
      </c>
      <c r="AU848" s="34">
        <f t="shared" ref="AU848" si="3542">-SUMPRODUCT($M$2:$M$5,$N$2:$N$5)-SUMPRODUCT($M$7:$M$12,$N$7:$N$12)</f>
        <v>-120000</v>
      </c>
      <c r="AV848" s="34" t="e">
        <f t="shared" ref="AV848" si="3543">IF(AS848&lt;&gt;AS849,MMULT(MINVERSE(AS848:AT849),AU848:AU849)," ")</f>
        <v>#NUM!</v>
      </c>
      <c r="AW848" s="34" t="str">
        <f t="shared" ref="AW848" si="3544">IFERROR(IF(AV848-VLOOKUP(AS$38,$A$2:$N$12,14,FALSE)&lt;0,AV848-VLOOKUP(AS$38,$A$2:$N$12,14,FALSE)," ")," ")</f>
        <v xml:space="preserve"> </v>
      </c>
      <c r="AX848" s="34" t="str">
        <f t="shared" ref="AX848" si="3545">IFERROR(IF(AV848-VLOOKUP(AS$38,$A$2:$N$12,14,FALSE)&gt;0,AV848-VLOOKUP(AS$38,$A$2:$N$12,14,FALSE)," ")," ")</f>
        <v xml:space="preserve"> </v>
      </c>
      <c r="AY848" s="34">
        <f t="shared" ref="AY848" si="3546">$M$7</f>
        <v>0</v>
      </c>
      <c r="AZ848" s="34">
        <v>-1</v>
      </c>
      <c r="BA848" s="34">
        <f t="shared" ref="BA848" si="3547">-SUMPRODUCT($M$2:$M$6,$N$2:$N$6)-SUMPRODUCT($M$8:$M$12,$N$8:$N$12)</f>
        <v>-120000</v>
      </c>
      <c r="BB848" s="34" t="e">
        <f t="shared" ref="BB848" si="3548">IF(AY848&lt;&gt;AY849,MMULT(MINVERSE(AY848:AZ849),BA848:BA849)," ")</f>
        <v>#NUM!</v>
      </c>
      <c r="BC848" s="34" t="str">
        <f t="shared" ref="BC848" si="3549">IFERROR(IF(BB848-VLOOKUP(AY$38,$A$2:$N$12,14,FALSE)&lt;0,BB848-VLOOKUP(AY$38,$A$2:$N$12,14,FALSE)," ")," ")</f>
        <v xml:space="preserve"> </v>
      </c>
      <c r="BD848" s="34" t="str">
        <f t="shared" ref="BD848" si="3550">IFERROR(IF(BB848-VLOOKUP(AY$38,$A$2:$N$12,14,FALSE)&gt;0,BB848-VLOOKUP(AY$38,$A$2:$N$12,14,FALSE)," ")," ")</f>
        <v xml:space="preserve"> </v>
      </c>
      <c r="BE848" s="34">
        <f t="shared" ref="BE848" si="3551">$M$8</f>
        <v>0</v>
      </c>
      <c r="BF848" s="34">
        <v>-1</v>
      </c>
      <c r="BG848" s="34">
        <f t="shared" ref="BG848" si="3552">-SUMPRODUCT($M$2:$M$7,$N$2:$N$7)-SUMPRODUCT($M$9:$M$12,$N$9:$N$12)</f>
        <v>-120000</v>
      </c>
      <c r="BH848" s="34" t="e">
        <f t="shared" ref="BH848" si="3553">IF(BE848&lt;&gt;BE849,MMULT(MINVERSE(BE848:BF849),BG848:BG849)," ")</f>
        <v>#NUM!</v>
      </c>
      <c r="BI848" s="34" t="str">
        <f t="shared" ref="BI848" si="3554">IFERROR(IF(BH848-VLOOKUP(BE$38,$A$2:$N$12,14,FALSE)&lt;0,BH848-VLOOKUP(BE$38,$A$2:$N$12,14,FALSE)," ")," ")</f>
        <v xml:space="preserve"> </v>
      </c>
      <c r="BJ848" s="34" t="str">
        <f t="shared" ref="BJ848" si="3555">IFERROR(IF(BH848-VLOOKUP(BE$38,$A$2:$N$12,14,FALSE)&gt;0,BH848-VLOOKUP(BE$38,$A$2:$N$12,14,FALSE)," ")," ")</f>
        <v xml:space="preserve"> </v>
      </c>
      <c r="BK848" s="34">
        <f t="shared" ref="BK848" si="3556">$M$9</f>
        <v>0</v>
      </c>
      <c r="BL848" s="34">
        <v>-1</v>
      </c>
      <c r="BM848" s="34">
        <f t="shared" ref="BM848" si="3557">-SUMPRODUCT($M$2:$M$8,$N$2:$N$8)-SUMPRODUCT($M$10:$M$12,$N$10:$N$12)</f>
        <v>-120000</v>
      </c>
      <c r="BN848" s="34" t="e">
        <f t="shared" ref="BN848" si="3558">IF(BK848&lt;&gt;BK849,MMULT(MINVERSE(BK848:BL849),BM848:BM849)," ")</f>
        <v>#NUM!</v>
      </c>
      <c r="BO848" s="34" t="str">
        <f t="shared" ref="BO848" si="3559">IFERROR(IF(BN848-VLOOKUP(BK$38,$A$2:$N$12,14,FALSE)&lt;0,BN848-VLOOKUP(BK$38,$A$2:$N$12,14,FALSE)," ")," ")</f>
        <v xml:space="preserve"> </v>
      </c>
      <c r="BP848" s="34" t="str">
        <f t="shared" ref="BP848" si="3560">IFERROR(IF(BN848-VLOOKUP(BK$38,$A$2:$N$12,14,FALSE)&gt;0,BN848-VLOOKUP(BK$38,$A$2:$N$12,14,FALSE)," ")," ")</f>
        <v xml:space="preserve"> </v>
      </c>
      <c r="BQ848" s="34">
        <f t="shared" ref="BQ848" si="3561">$M$10</f>
        <v>0</v>
      </c>
      <c r="BR848" s="34">
        <v>-1</v>
      </c>
      <c r="BS848" s="34">
        <f t="shared" ref="BS848" si="3562">-SUMPRODUCT($M$2:$M$9,$N$2:$N$9)-SUMPRODUCT($M$11:$M$12,$N$11:$N$12)</f>
        <v>-120000</v>
      </c>
      <c r="BT848" s="34" t="e">
        <f t="shared" ref="BT848" si="3563">IF(BQ848&lt;&gt;BQ849,MMULT(MINVERSE(BQ848:BR849),BS848:BS849)," ")</f>
        <v>#NUM!</v>
      </c>
      <c r="BU848" s="34" t="str">
        <f t="shared" ref="BU848" si="3564">IFERROR(IF(BT848-VLOOKUP(BQ$38,$A$2:$N$12,14,FALSE)&lt;0,BT848-VLOOKUP(BQ$38,$A$2:$N$12,14,FALSE)," ")," ")</f>
        <v xml:space="preserve"> </v>
      </c>
      <c r="BV848" s="34" t="str">
        <f t="shared" ref="BV848" si="3565">IFERROR(IF(BT848-VLOOKUP(BQ$38,$A$2:$N$12,14,FALSE)&gt;0,BT848-VLOOKUP(BQ$38,$A$2:$N$12,14,FALSE)," ")," ")</f>
        <v xml:space="preserve"> </v>
      </c>
      <c r="BW848" s="34">
        <f t="shared" ref="BW848" si="3566">$M$11</f>
        <v>0</v>
      </c>
      <c r="BX848" s="34">
        <v>-1</v>
      </c>
      <c r="BY848" s="34">
        <f t="shared" ref="BY848" si="3567">-SUMPRODUCT($M$2:$M$10,$N$2:$N$10)-SUMPRODUCT($M$12,$N$12)</f>
        <v>-120000</v>
      </c>
      <c r="BZ848" s="34" t="e">
        <f t="shared" ref="BZ848" si="3568">IF(BW848&lt;&gt;BW849,MMULT(MINVERSE(BW848:BX849),BY848:BY849)," ")</f>
        <v>#NUM!</v>
      </c>
      <c r="CA848" s="34" t="str">
        <f t="shared" ref="CA848" si="3569">IFERROR(IF(BZ848-VLOOKUP(BW$38,$A$2:$N$12,14,FALSE)&lt;0,BZ848-VLOOKUP(BW$38,$A$2:$N$12,14,FALSE)," ")," ")</f>
        <v xml:space="preserve"> </v>
      </c>
      <c r="CB848" s="34" t="str">
        <f t="shared" ref="CB848" si="3570">IFERROR(IF(BZ848-VLOOKUP(BW$38,$A$2:$N$12,14,FALSE)&gt;0,BZ848-VLOOKUP(BW$38,$A$2:$N$12,14,FALSE)," ")," ")</f>
        <v xml:space="preserve"> </v>
      </c>
      <c r="CC848" s="34">
        <f t="shared" ref="CC848" si="3571">$M$12</f>
        <v>0</v>
      </c>
      <c r="CD848" s="34">
        <v>-1</v>
      </c>
      <c r="CE848" s="34">
        <f t="shared" ref="CE848" si="3572">-SUMPRODUCT($M$2:$M$11,$N$2:$N$11)</f>
        <v>-120000</v>
      </c>
      <c r="CF848" s="34" t="e">
        <f t="shared" ref="CF848" si="3573">IF(CC848&lt;&gt;CC849,MMULT(MINVERSE(CC848:CD849),CE848:CE849)," ")</f>
        <v>#NUM!</v>
      </c>
      <c r="CG848" s="34" t="str">
        <f t="shared" ref="CG848" si="3574">IFERROR(IF(CF848-VLOOKUP(CC$38,$A$2:$N$12,14,FALSE)&lt;0,CF848-VLOOKUP(CC$38,$A$2:$N$12,14,FALSE)," ")," ")</f>
        <v xml:space="preserve"> </v>
      </c>
      <c r="CH848" s="34" t="str">
        <f t="shared" ref="CH848" si="3575">IFERROR(IF(CF848-VLOOKUP(CC$38,$A$2:$N$12,14,FALSE)&gt;0,CF848-VLOOKUP(CC$38,$A$2:$N$12,14,FALSE)," ")," ")</f>
        <v xml:space="preserve"> </v>
      </c>
      <c r="CI848" s="8"/>
    </row>
    <row r="849" spans="1:87" x14ac:dyDescent="0.2">
      <c r="A849" s="8" t="str">
        <f>IF(AND(COUNTIF(W$3:W$13,A$16)&gt;0,A$16&lt;&gt;B800),A$16,IFERROR(IF(MATCH(A$16,Z$3:Z$13,0)=3,A$16," ")," "))</f>
        <v xml:space="preserve"> </v>
      </c>
      <c r="B849" s="8" t="str">
        <f>IF(A849=" "," ",MAX(B848:B848)+1)</f>
        <v xml:space="preserve"> </v>
      </c>
      <c r="C849" s="8" t="str">
        <f>IFERROR(INDEX(A848:A869,MATCH(SMALL(B848:B869,2),B848:B869,0),1)," ")</f>
        <v>C4</v>
      </c>
      <c r="D849" s="8">
        <f t="shared" ref="D849:D858" si="3576">IFERROR(VLOOKUP($C849,$A$15:$O$36,2,FALSE)," ")</f>
        <v>1</v>
      </c>
      <c r="E849" s="8">
        <f t="shared" ref="E849:E858" si="3577">IFERROR(VLOOKUP($C849,$A$15:$O$36,3,FALSE)," ")</f>
        <v>0</v>
      </c>
      <c r="F849" s="8">
        <f t="shared" ref="F849:F858" si="3578">IFERROR(VLOOKUP($C849,$A$15:$O$36,4,FALSE)," ")</f>
        <v>1</v>
      </c>
      <c r="G849" s="8">
        <f t="shared" ref="G849:G858" si="3579">IFERROR(VLOOKUP($C849,$A$15:$O$36,5,FALSE)," ")</f>
        <v>0</v>
      </c>
      <c r="H849" s="8">
        <f t="shared" ref="H849:H858" si="3580">IFERROR(VLOOKUP($C849,$A$15:$O$36,6,FALSE)," ")</f>
        <v>0</v>
      </c>
      <c r="I849" s="8">
        <f t="shared" ref="I849:I858" si="3581">IFERROR(VLOOKUP($C849,$A$15:$O$36,7,FALSE)," ")</f>
        <v>0</v>
      </c>
      <c r="J849" s="8">
        <f t="shared" ref="J849:J858" si="3582">IFERROR(VLOOKUP($C849,$A$15:$O$36,8,FALSE)," ")</f>
        <v>0</v>
      </c>
      <c r="K849" s="8">
        <f t="shared" ref="K849:K858" si="3583">IFERROR(VLOOKUP($C849,$A$15:$O$36,9,FALSE)," ")</f>
        <v>0</v>
      </c>
      <c r="L849" s="8">
        <f t="shared" ref="L849:L858" si="3584">IFERROR(VLOOKUP($C849,$A$15:$O$36,10,FALSE)," ")</f>
        <v>0</v>
      </c>
      <c r="M849" s="8">
        <f t="shared" ref="M849:M858" si="3585">IFERROR(VLOOKUP($C849,$A$15:$O$36,11,FALSE)," ")</f>
        <v>0</v>
      </c>
      <c r="N849" s="8">
        <f t="shared" ref="N849:N858" si="3586">IFERROR(VLOOKUP($C849,$A$15:$O$36,12,FALSE)," ")</f>
        <v>0</v>
      </c>
      <c r="O849" s="8">
        <f t="shared" ref="O849:O858" si="3587">IFERROR(VLOOKUP($C849,$A$15:$O$36,15,FALSE)," ")</f>
        <v>400</v>
      </c>
      <c r="P849" s="8" t="e">
        <v>#NUM!</v>
      </c>
      <c r="Q849" s="8" t="e">
        <f t="shared" ref="Q849" si="3588">IF(COUNTIF(P848:P858,"&lt;"&amp;-0.001)=0,IF(ABS(P849)&lt;0.001,0,P849)," ")</f>
        <v>#NUM!</v>
      </c>
      <c r="R849" s="8"/>
      <c r="S849" s="8"/>
      <c r="U849" s="34" t="e">
        <f t="shared" ref="U849" si="3589">$Q848</f>
        <v>#NUM!</v>
      </c>
      <c r="V849" s="34">
        <v>-1</v>
      </c>
      <c r="W849" s="34" t="e">
        <f t="shared" ref="W849" si="3590">-SUMPRODUCT($Q849:$Q858,$N$3:$N$12)</f>
        <v>#NUM!</v>
      </c>
      <c r="X849" s="34"/>
      <c r="Y849" s="34"/>
      <c r="Z849" s="34"/>
      <c r="AA849" s="34" t="e">
        <f t="shared" ref="AA849" si="3591">$Q849</f>
        <v>#NUM!</v>
      </c>
      <c r="AB849" s="34">
        <v>-1</v>
      </c>
      <c r="AC849" s="34" t="e">
        <f t="shared" ref="AC849" si="3592">-SUMPRODUCT($Q848:$Q848,$N$2:$N$2)-SUMPRODUCT($Q850:$Q858,$N$4:$N$12)</f>
        <v>#NUM!</v>
      </c>
      <c r="AD849" s="34"/>
      <c r="AE849" s="34"/>
      <c r="AF849" s="34"/>
      <c r="AG849" s="34" t="e">
        <f t="shared" ref="AG849" si="3593">$Q850</f>
        <v>#NUM!</v>
      </c>
      <c r="AH849" s="34">
        <v>-1</v>
      </c>
      <c r="AI849" s="34" t="e">
        <f t="shared" ref="AI849" si="3594">-SUMPRODUCT($Q848:$Q849,$N$2:$N$3)-SUMPRODUCT($Q851:$Q858,$N$5:$N$12)</f>
        <v>#NUM!</v>
      </c>
      <c r="AJ849" s="34"/>
      <c r="AK849" s="34"/>
      <c r="AL849" s="34"/>
      <c r="AM849" s="34" t="e">
        <f t="shared" ref="AM849" si="3595">$Q851</f>
        <v>#NUM!</v>
      </c>
      <c r="AN849" s="34">
        <v>-1</v>
      </c>
      <c r="AO849" s="34" t="e">
        <f t="shared" ref="AO849" si="3596">-SUMPRODUCT($Q848:$Q850,$N$2:$N$4)-SUMPRODUCT($Q852:$Q858,$N$6:$N$12)</f>
        <v>#NUM!</v>
      </c>
      <c r="AP849" s="34"/>
      <c r="AQ849" s="34"/>
      <c r="AR849" s="34"/>
      <c r="AS849" s="34" t="e">
        <f t="shared" ref="AS849" si="3597">$Q852</f>
        <v>#NUM!</v>
      </c>
      <c r="AT849" s="34">
        <v>-1</v>
      </c>
      <c r="AU849" s="34" t="e">
        <f t="shared" ref="AU849" si="3598">-SUMPRODUCT($Q848:$Q851,$N$2:$N$5)-SUMPRODUCT($Q853:$Q858,$N$7:$N$12)</f>
        <v>#NUM!</v>
      </c>
      <c r="AV849" s="34"/>
      <c r="AW849" s="34"/>
      <c r="AX849" s="34"/>
      <c r="AY849" s="34" t="e">
        <f t="shared" ref="AY849" si="3599">$Q853</f>
        <v>#NUM!</v>
      </c>
      <c r="AZ849" s="34">
        <v>-1</v>
      </c>
      <c r="BA849" s="34" t="e">
        <f t="shared" ref="BA849" si="3600">-SUMPRODUCT($Q848:$Q852,$N$2:$N$6)-SUMPRODUCT($Q854:$Q858,$N$8:$N$12)</f>
        <v>#NUM!</v>
      </c>
      <c r="BB849" s="34"/>
      <c r="BC849" s="34"/>
      <c r="BD849" s="34"/>
      <c r="BE849" s="34" t="e">
        <f t="shared" ref="BE849" si="3601">$Q854</f>
        <v>#NUM!</v>
      </c>
      <c r="BF849" s="34">
        <v>-1</v>
      </c>
      <c r="BG849" s="34" t="e">
        <f t="shared" ref="BG849" si="3602">-SUMPRODUCT($Q848:$Q853,$N$2:$N$7)-SUMPRODUCT($Q855:$Q858,$N$9:$N$12)</f>
        <v>#NUM!</v>
      </c>
      <c r="BH849" s="34"/>
      <c r="BI849" s="34"/>
      <c r="BJ849" s="34"/>
      <c r="BK849" s="34" t="e">
        <f t="shared" ref="BK849" si="3603">$Q855</f>
        <v>#NUM!</v>
      </c>
      <c r="BL849" s="34">
        <v>-1</v>
      </c>
      <c r="BM849" s="34" t="e">
        <f t="shared" ref="BM849" si="3604">-SUMPRODUCT($Q848:$Q854,$N$2:$N$8)-SUMPRODUCT($Q856:$Q858,$N$10:$N$12)</f>
        <v>#NUM!</v>
      </c>
      <c r="BN849" s="34"/>
      <c r="BO849" s="34"/>
      <c r="BP849" s="34"/>
      <c r="BQ849" s="34" t="e">
        <f t="shared" ref="BQ849" si="3605">$Q856</f>
        <v>#NUM!</v>
      </c>
      <c r="BR849" s="34">
        <v>-1</v>
      </c>
      <c r="BS849" s="34" t="e">
        <f t="shared" ref="BS849" si="3606">-SUMPRODUCT($Q848:$Q855,$N$2:$N$9)-SUMPRODUCT($Q857:$Q858,$N$11:$N$12)</f>
        <v>#NUM!</v>
      </c>
      <c r="BT849" s="34"/>
      <c r="BU849" s="34"/>
      <c r="BV849" s="34"/>
      <c r="BW849" s="34" t="e">
        <f t="shared" ref="BW849" si="3607">$Q857</f>
        <v>#NUM!</v>
      </c>
      <c r="BX849" s="34">
        <v>-1</v>
      </c>
      <c r="BY849" s="34" t="e">
        <f t="shared" ref="BY849" si="3608">-SUMPRODUCT($Q848:$Q856,$N$2:$N$10)-SUMPRODUCT($Q858,$N$12)</f>
        <v>#NUM!</v>
      </c>
      <c r="BZ849" s="34"/>
      <c r="CA849" s="34"/>
      <c r="CB849" s="34"/>
      <c r="CC849" s="34" t="e">
        <f t="shared" ref="CC849" si="3609">$Q858</f>
        <v>#NUM!</v>
      </c>
      <c r="CD849" s="34">
        <v>-1</v>
      </c>
      <c r="CE849" s="34" t="e">
        <f t="shared" ref="CE849" si="3610">-SUMPRODUCT($Q848:$Q857,$N$2:$N$11)</f>
        <v>#NUM!</v>
      </c>
      <c r="CF849" s="34"/>
      <c r="CG849" s="34"/>
      <c r="CH849" s="34"/>
      <c r="CI849" s="8"/>
    </row>
    <row r="850" spans="1:87" x14ac:dyDescent="0.2">
      <c r="A850" s="8" t="str">
        <f>IF(AND(COUNTIF(W$3:W$13,A$17)&gt;0,A$17&lt;&gt;B800),A$17,IFERROR(IF(MATCH(A$17,Z$3:Z$13,0)=3,A$17," ")," "))</f>
        <v>C3</v>
      </c>
      <c r="B850" s="8">
        <f>IF(A850=" "," ",MAX(B848:B849)+1)</f>
        <v>1</v>
      </c>
      <c r="C850" s="8" t="str">
        <f>IFERROR(INDEX(A848:A869,MATCH(SMALL(B848:B869,3),B848:B869,0),1)," ")</f>
        <v>C5</v>
      </c>
      <c r="D850" s="8">
        <f t="shared" si="3576"/>
        <v>0</v>
      </c>
      <c r="E850" s="8">
        <f t="shared" si="3577"/>
        <v>0</v>
      </c>
      <c r="F850" s="8">
        <f t="shared" si="3578"/>
        <v>0</v>
      </c>
      <c r="G850" s="8">
        <f t="shared" si="3579"/>
        <v>0</v>
      </c>
      <c r="H850" s="8">
        <f t="shared" si="3580"/>
        <v>0</v>
      </c>
      <c r="I850" s="8">
        <f t="shared" si="3581"/>
        <v>0</v>
      </c>
      <c r="J850" s="8">
        <f t="shared" si="3582"/>
        <v>0</v>
      </c>
      <c r="K850" s="8">
        <f t="shared" si="3583"/>
        <v>0</v>
      </c>
      <c r="L850" s="8">
        <f t="shared" si="3584"/>
        <v>0</v>
      </c>
      <c r="M850" s="8">
        <f t="shared" si="3585"/>
        <v>0</v>
      </c>
      <c r="N850" s="8">
        <f t="shared" si="3586"/>
        <v>0</v>
      </c>
      <c r="O850" s="8">
        <f t="shared" si="3587"/>
        <v>0</v>
      </c>
      <c r="P850" s="8" t="e">
        <v>#NUM!</v>
      </c>
      <c r="Q850" s="8" t="e">
        <f t="shared" ref="Q850" si="3611">IF(COUNTIF(P848:P858,"&lt;"&amp;-0.001)=0,IF(ABS(P850)&lt;0.001,0,P850)," ")</f>
        <v>#NUM!</v>
      </c>
      <c r="R850" s="8"/>
      <c r="S850" s="8"/>
      <c r="U850" s="34"/>
      <c r="V850" s="34"/>
      <c r="W850" s="34"/>
      <c r="X850" s="34"/>
      <c r="Y850" s="34"/>
      <c r="Z850" s="34"/>
      <c r="AA850" s="34"/>
      <c r="AB850" s="34"/>
      <c r="AC850" s="34"/>
      <c r="AD850" s="34"/>
      <c r="AE850" s="34"/>
      <c r="AF850" s="34"/>
      <c r="AG850" s="34"/>
      <c r="AH850" s="34"/>
      <c r="AI850" s="34"/>
      <c r="AJ850" s="34"/>
      <c r="AK850" s="34"/>
      <c r="AL850" s="34"/>
      <c r="AM850" s="34"/>
      <c r="AN850" s="34"/>
      <c r="AO850" s="34"/>
      <c r="AP850" s="34"/>
      <c r="AQ850" s="34"/>
      <c r="AR850" s="34"/>
      <c r="AS850" s="34"/>
      <c r="AT850" s="34"/>
      <c r="AU850" s="34"/>
      <c r="AV850" s="34"/>
      <c r="AW850" s="34"/>
      <c r="AX850" s="34"/>
      <c r="AY850" s="34"/>
      <c r="AZ850" s="34"/>
      <c r="BA850" s="34"/>
      <c r="BB850" s="34"/>
      <c r="BC850" s="34"/>
      <c r="BD850" s="34"/>
      <c r="BE850" s="34"/>
      <c r="BF850" s="34"/>
      <c r="BG850" s="34"/>
      <c r="BH850" s="34"/>
      <c r="BI850" s="34"/>
      <c r="BJ850" s="34"/>
      <c r="BK850" s="34"/>
      <c r="BL850" s="34"/>
      <c r="BM850" s="34"/>
      <c r="BN850" s="34"/>
      <c r="BO850" s="34"/>
      <c r="BP850" s="34"/>
      <c r="BQ850" s="34"/>
      <c r="BR850" s="34"/>
      <c r="BS850" s="34"/>
      <c r="BT850" s="34"/>
      <c r="BU850" s="34"/>
      <c r="BV850" s="34"/>
      <c r="BW850" s="34"/>
      <c r="BX850" s="34"/>
      <c r="BY850" s="34"/>
      <c r="BZ850" s="34"/>
      <c r="CA850" s="34"/>
      <c r="CB850" s="34"/>
      <c r="CC850" s="34"/>
      <c r="CD850" s="34"/>
      <c r="CE850" s="34"/>
      <c r="CF850" s="34"/>
      <c r="CG850" s="34"/>
      <c r="CH850" s="34"/>
      <c r="CI850" s="8"/>
    </row>
    <row r="851" spans="1:87" x14ac:dyDescent="0.2">
      <c r="A851" s="8" t="str">
        <f>IF(AND(COUNTIF(W$3:W$13,A$18)&gt;0,A$18&lt;&gt;B800),A$18,IFERROR(IF(MATCH(A$18,Z$3:Z$13,0)=3,A$18," ")," "))</f>
        <v>C4</v>
      </c>
      <c r="B851" s="8">
        <f>IF(A851=" "," ",MAX(B848:B850)+1)</f>
        <v>2</v>
      </c>
      <c r="C851" s="8" t="str">
        <f>IFERROR(INDEX(A848:A869,MATCH(SMALL(B848:B869,4),B848:B869,0),1)," ")</f>
        <v>C13</v>
      </c>
      <c r="D851" s="8">
        <f t="shared" si="3576"/>
        <v>0</v>
      </c>
      <c r="E851" s="8">
        <f t="shared" si="3577"/>
        <v>1</v>
      </c>
      <c r="F851" s="8">
        <f t="shared" si="3578"/>
        <v>0</v>
      </c>
      <c r="G851" s="8">
        <f t="shared" si="3579"/>
        <v>0</v>
      </c>
      <c r="H851" s="8">
        <f t="shared" si="3580"/>
        <v>0</v>
      </c>
      <c r="I851" s="8">
        <f t="shared" si="3581"/>
        <v>0</v>
      </c>
      <c r="J851" s="8">
        <f t="shared" si="3582"/>
        <v>0</v>
      </c>
      <c r="K851" s="8">
        <f t="shared" si="3583"/>
        <v>0</v>
      </c>
      <c r="L851" s="8">
        <f t="shared" si="3584"/>
        <v>0</v>
      </c>
      <c r="M851" s="8">
        <f t="shared" si="3585"/>
        <v>0</v>
      </c>
      <c r="N851" s="8">
        <f t="shared" si="3586"/>
        <v>0</v>
      </c>
      <c r="O851" s="8">
        <f t="shared" si="3587"/>
        <v>0</v>
      </c>
      <c r="P851" s="8" t="e">
        <v>#NUM!</v>
      </c>
      <c r="Q851" s="8" t="e">
        <f t="shared" ref="Q851" si="3612">IF(COUNTIF(P848:P858,"&lt;"&amp;-0.001)=0,IF(ABS(P851)&lt;0.001,0,P851)," ")</f>
        <v>#NUM!</v>
      </c>
      <c r="R851" s="8"/>
      <c r="S851" s="8"/>
      <c r="U851" s="34"/>
      <c r="V851" s="34"/>
      <c r="W851" s="34"/>
      <c r="X851" s="34"/>
      <c r="Y851" s="34"/>
      <c r="Z851" s="34"/>
      <c r="AA851" s="34"/>
      <c r="AB851" s="34"/>
      <c r="AC851" s="34"/>
      <c r="AD851" s="34"/>
      <c r="AE851" s="34"/>
      <c r="AF851" s="34"/>
      <c r="AG851" s="34"/>
      <c r="AH851" s="34"/>
      <c r="AI851" s="34"/>
      <c r="AJ851" s="34"/>
      <c r="AK851" s="34"/>
      <c r="AL851" s="34"/>
      <c r="AM851" s="34"/>
      <c r="AN851" s="34"/>
      <c r="AO851" s="34"/>
      <c r="AP851" s="34"/>
      <c r="AQ851" s="34"/>
      <c r="AR851" s="34"/>
      <c r="AS851" s="34"/>
      <c r="AT851" s="34"/>
      <c r="AU851" s="34"/>
      <c r="AV851" s="34"/>
      <c r="AW851" s="34"/>
      <c r="AX851" s="34"/>
      <c r="AY851" s="34"/>
      <c r="AZ851" s="34"/>
      <c r="BA851" s="34"/>
      <c r="BB851" s="34"/>
      <c r="BC851" s="34"/>
      <c r="BD851" s="34"/>
      <c r="BE851" s="34"/>
      <c r="BF851" s="34"/>
      <c r="BG851" s="34"/>
      <c r="BH851" s="34"/>
      <c r="BI851" s="34"/>
      <c r="BJ851" s="34"/>
      <c r="BK851" s="34"/>
      <c r="BL851" s="34"/>
      <c r="BM851" s="34"/>
      <c r="BN851" s="34"/>
      <c r="BO851" s="34"/>
      <c r="BP851" s="34"/>
      <c r="BQ851" s="34"/>
      <c r="BR851" s="34"/>
      <c r="BS851" s="34"/>
      <c r="BT851" s="34"/>
      <c r="BU851" s="34"/>
      <c r="BV851" s="34"/>
      <c r="BW851" s="34"/>
      <c r="BX851" s="34"/>
      <c r="BY851" s="34"/>
      <c r="BZ851" s="34"/>
      <c r="CA851" s="34"/>
      <c r="CB851" s="34"/>
      <c r="CC851" s="34"/>
      <c r="CD851" s="34"/>
      <c r="CE851" s="34"/>
      <c r="CF851" s="34"/>
      <c r="CG851" s="34"/>
      <c r="CH851" s="34"/>
      <c r="CI851" s="8"/>
    </row>
    <row r="852" spans="1:87" x14ac:dyDescent="0.2">
      <c r="A852" s="8" t="str">
        <f>IF(AND(COUNTIF(W$3:W$13,A$19)&gt;0,A$19&lt;&gt;B800),A$19,IFERROR(IF(MATCH(A$19,Z$3:Z$13,0)=3,A$19," ")," "))</f>
        <v>C5</v>
      </c>
      <c r="B852" s="8">
        <f>IF(A852=" "," ",MAX(B848:B851)+1)</f>
        <v>3</v>
      </c>
      <c r="C852" s="8" t="str">
        <f>IFERROR(INDEX(A848:A869,MATCH(SMALL(B848:B869,5),B848:B869,0),1)," ")</f>
        <v>C16</v>
      </c>
      <c r="D852" s="8">
        <f t="shared" si="3576"/>
        <v>0</v>
      </c>
      <c r="E852" s="8">
        <f t="shared" si="3577"/>
        <v>0</v>
      </c>
      <c r="F852" s="8">
        <f t="shared" si="3578"/>
        <v>0</v>
      </c>
      <c r="G852" s="8">
        <f t="shared" si="3579"/>
        <v>0</v>
      </c>
      <c r="H852" s="8">
        <f t="shared" si="3580"/>
        <v>1</v>
      </c>
      <c r="I852" s="8">
        <f t="shared" si="3581"/>
        <v>0</v>
      </c>
      <c r="J852" s="8">
        <f t="shared" si="3582"/>
        <v>0</v>
      </c>
      <c r="K852" s="8">
        <f t="shared" si="3583"/>
        <v>0</v>
      </c>
      <c r="L852" s="8">
        <f t="shared" si="3584"/>
        <v>0</v>
      </c>
      <c r="M852" s="8">
        <f t="shared" si="3585"/>
        <v>0</v>
      </c>
      <c r="N852" s="8">
        <f t="shared" si="3586"/>
        <v>0</v>
      </c>
      <c r="O852" s="8">
        <f t="shared" si="3587"/>
        <v>0</v>
      </c>
      <c r="P852" s="8" t="e">
        <v>#NUM!</v>
      </c>
      <c r="Q852" s="8" t="e">
        <f t="shared" ref="Q852" si="3613">IF(COUNTIF(P848:P858,"&lt;"&amp;-0.001)=0,IF(ABS(P852)&lt;0.001,0,P852)," ")</f>
        <v>#NUM!</v>
      </c>
      <c r="R852" s="8"/>
      <c r="S852" s="8"/>
      <c r="U852" s="34"/>
      <c r="V852" s="34"/>
      <c r="W852" s="34"/>
      <c r="X852" s="34"/>
      <c r="Y852" s="34"/>
      <c r="Z852" s="34"/>
      <c r="AA852" s="34"/>
      <c r="AB852" s="34"/>
      <c r="AC852" s="34"/>
      <c r="AD852" s="34"/>
      <c r="AE852" s="34"/>
      <c r="AF852" s="34"/>
      <c r="AG852" s="34"/>
      <c r="AH852" s="34"/>
      <c r="AI852" s="34"/>
      <c r="AJ852" s="34"/>
      <c r="AK852" s="34"/>
      <c r="AL852" s="34"/>
      <c r="AM852" s="34"/>
      <c r="AN852" s="34"/>
      <c r="AO852" s="34"/>
      <c r="AP852" s="34"/>
      <c r="AQ852" s="34"/>
      <c r="AR852" s="34"/>
      <c r="AS852" s="34"/>
      <c r="AT852" s="34"/>
      <c r="AU852" s="34"/>
      <c r="AV852" s="34"/>
      <c r="AW852" s="34"/>
      <c r="AX852" s="34"/>
      <c r="AY852" s="34"/>
      <c r="AZ852" s="34"/>
      <c r="BA852" s="34"/>
      <c r="BB852" s="34"/>
      <c r="BC852" s="34"/>
      <c r="BD852" s="34"/>
      <c r="BE852" s="34"/>
      <c r="BF852" s="34"/>
      <c r="BG852" s="34"/>
      <c r="BH852" s="34"/>
      <c r="BI852" s="34"/>
      <c r="BJ852" s="34"/>
      <c r="BK852" s="34"/>
      <c r="BL852" s="34"/>
      <c r="BM852" s="34"/>
      <c r="BN852" s="34"/>
      <c r="BO852" s="34"/>
      <c r="BP852" s="34"/>
      <c r="BQ852" s="34"/>
      <c r="BR852" s="34"/>
      <c r="BS852" s="34"/>
      <c r="BT852" s="34"/>
      <c r="BU852" s="34"/>
      <c r="BV852" s="34"/>
      <c r="BW852" s="34"/>
      <c r="BX852" s="34"/>
      <c r="BY852" s="34"/>
      <c r="BZ852" s="34"/>
      <c r="CA852" s="34"/>
      <c r="CB852" s="34"/>
      <c r="CC852" s="34"/>
      <c r="CD852" s="34"/>
      <c r="CE852" s="34"/>
      <c r="CF852" s="34"/>
      <c r="CG852" s="34"/>
      <c r="CH852" s="34"/>
      <c r="CI852" s="8"/>
    </row>
    <row r="853" spans="1:87" x14ac:dyDescent="0.2">
      <c r="A853" s="8" t="str">
        <f>IF(AND(COUNTIF(W$3:W$13,A$20)&gt;0,A$20&lt;&gt;B800),A$20,IFERROR(IF(MATCH(A$20,Z$3:Z$13,0)=3,A$20," ")," "))</f>
        <v xml:space="preserve"> </v>
      </c>
      <c r="B853" s="8" t="str">
        <f>IF(A853=" "," ",MAX(B848:B852)+1)</f>
        <v xml:space="preserve"> </v>
      </c>
      <c r="C853" s="8" t="str">
        <f>IFERROR(INDEX(A848:A869,MATCH(SMALL(B848:B869,6),B848:B869,0),1)," ")</f>
        <v>C17</v>
      </c>
      <c r="D853" s="8">
        <f t="shared" si="3576"/>
        <v>0</v>
      </c>
      <c r="E853" s="8">
        <f t="shared" si="3577"/>
        <v>0</v>
      </c>
      <c r="F853" s="8">
        <f t="shared" si="3578"/>
        <v>0</v>
      </c>
      <c r="G853" s="8">
        <f t="shared" si="3579"/>
        <v>0</v>
      </c>
      <c r="H853" s="8">
        <f t="shared" si="3580"/>
        <v>0</v>
      </c>
      <c r="I853" s="8">
        <f t="shared" si="3581"/>
        <v>1</v>
      </c>
      <c r="J853" s="8">
        <f t="shared" si="3582"/>
        <v>0</v>
      </c>
      <c r="K853" s="8">
        <f t="shared" si="3583"/>
        <v>0</v>
      </c>
      <c r="L853" s="8">
        <f t="shared" si="3584"/>
        <v>0</v>
      </c>
      <c r="M853" s="8">
        <f t="shared" si="3585"/>
        <v>0</v>
      </c>
      <c r="N853" s="8">
        <f t="shared" si="3586"/>
        <v>0</v>
      </c>
      <c r="O853" s="8">
        <f t="shared" si="3587"/>
        <v>0</v>
      </c>
      <c r="P853" s="8" t="e">
        <v>#NUM!</v>
      </c>
      <c r="Q853" s="8" t="e">
        <f t="shared" ref="Q853" si="3614">IF(COUNTIF(P848:P858,"&lt;"&amp;-0.001)=0,IF(ABS(P853)&lt;0.001,0,P853)," ")</f>
        <v>#NUM!</v>
      </c>
      <c r="R853" s="8"/>
      <c r="S853" s="8"/>
      <c r="U853" s="34"/>
      <c r="V853" s="34"/>
      <c r="W853" s="34"/>
      <c r="X853" s="34"/>
      <c r="Y853" s="34"/>
      <c r="Z853" s="34"/>
      <c r="AA853" s="34"/>
      <c r="AB853" s="34"/>
      <c r="AC853" s="34"/>
      <c r="AD853" s="34"/>
      <c r="AE853" s="34"/>
      <c r="AF853" s="34"/>
      <c r="AG853" s="34"/>
      <c r="AH853" s="34"/>
      <c r="AI853" s="34"/>
      <c r="AJ853" s="34"/>
      <c r="AK853" s="34"/>
      <c r="AL853" s="34"/>
      <c r="AM853" s="34"/>
      <c r="AN853" s="34"/>
      <c r="AO853" s="34"/>
      <c r="AP853" s="34"/>
      <c r="AQ853" s="34"/>
      <c r="AR853" s="34"/>
      <c r="AS853" s="34"/>
      <c r="AT853" s="34"/>
      <c r="AU853" s="34"/>
      <c r="AV853" s="34"/>
      <c r="AW853" s="34"/>
      <c r="AX853" s="34"/>
      <c r="AY853" s="34"/>
      <c r="AZ853" s="34"/>
      <c r="BA853" s="34"/>
      <c r="BB853" s="34"/>
      <c r="BC853" s="34"/>
      <c r="BD853" s="34"/>
      <c r="BE853" s="34"/>
      <c r="BF853" s="34"/>
      <c r="BG853" s="34"/>
      <c r="BH853" s="34"/>
      <c r="BI853" s="34"/>
      <c r="BJ853" s="34"/>
      <c r="BK853" s="34"/>
      <c r="BL853" s="34"/>
      <c r="BM853" s="34"/>
      <c r="BN853" s="34"/>
      <c r="BO853" s="34"/>
      <c r="BP853" s="34"/>
      <c r="BQ853" s="34"/>
      <c r="BR853" s="34"/>
      <c r="BS853" s="34"/>
      <c r="BT853" s="34"/>
      <c r="BU853" s="34"/>
      <c r="BV853" s="34"/>
      <c r="BW853" s="34"/>
      <c r="BX853" s="34"/>
      <c r="BY853" s="34"/>
      <c r="BZ853" s="34"/>
      <c r="CA853" s="34"/>
      <c r="CB853" s="34"/>
      <c r="CC853" s="34"/>
      <c r="CD853" s="34"/>
      <c r="CE853" s="34"/>
      <c r="CF853" s="34"/>
      <c r="CG853" s="34"/>
      <c r="CH853" s="34"/>
      <c r="CI853" s="8"/>
    </row>
    <row r="854" spans="1:87" x14ac:dyDescent="0.2">
      <c r="A854" s="8" t="str">
        <f>IF(AND(COUNTIF(W$3:W$13,A$21)&gt;0,A$21&lt;&gt;B800),A$21,IFERROR(IF(MATCH(A$21,Z$3:Z$13,0)=3,A$21," ")," "))</f>
        <v xml:space="preserve"> </v>
      </c>
      <c r="B854" s="8" t="str">
        <f>IF(A854=" "," ",MAX(B848:B853)+1)</f>
        <v xml:space="preserve"> </v>
      </c>
      <c r="C854" s="8" t="str">
        <f>IFERROR(INDEX(A848:A869,MATCH(SMALL(B848:B869,7),B848:B869,0),1)," ")</f>
        <v>C18</v>
      </c>
      <c r="D854" s="8">
        <f t="shared" si="3576"/>
        <v>0</v>
      </c>
      <c r="E854" s="8">
        <f t="shared" si="3577"/>
        <v>0</v>
      </c>
      <c r="F854" s="8">
        <f t="shared" si="3578"/>
        <v>0</v>
      </c>
      <c r="G854" s="8">
        <f t="shared" si="3579"/>
        <v>0</v>
      </c>
      <c r="H854" s="8">
        <f t="shared" si="3580"/>
        <v>0</v>
      </c>
      <c r="I854" s="8">
        <f t="shared" si="3581"/>
        <v>0</v>
      </c>
      <c r="J854" s="8">
        <f t="shared" si="3582"/>
        <v>1</v>
      </c>
      <c r="K854" s="8">
        <f t="shared" si="3583"/>
        <v>0</v>
      </c>
      <c r="L854" s="8">
        <f t="shared" si="3584"/>
        <v>0</v>
      </c>
      <c r="M854" s="8">
        <f t="shared" si="3585"/>
        <v>0</v>
      </c>
      <c r="N854" s="8">
        <f t="shared" si="3586"/>
        <v>0</v>
      </c>
      <c r="O854" s="8">
        <f t="shared" si="3587"/>
        <v>0</v>
      </c>
      <c r="P854" s="8" t="e">
        <v>#NUM!</v>
      </c>
      <c r="Q854" s="8" t="e">
        <f t="shared" ref="Q854" si="3615">IF(COUNTIF(P848:P858,"&lt;"&amp;-0.001)=0,IF(ABS(P854)&lt;0.001,0,P854)," ")</f>
        <v>#NUM!</v>
      </c>
      <c r="R854" s="8"/>
      <c r="S854" s="8"/>
      <c r="U854" s="34"/>
      <c r="V854" s="34"/>
      <c r="W854" s="34"/>
      <c r="X854" s="34"/>
      <c r="Y854" s="34"/>
      <c r="Z854" s="34"/>
      <c r="AA854" s="34"/>
      <c r="AB854" s="34"/>
      <c r="AC854" s="34"/>
      <c r="AD854" s="34"/>
      <c r="AE854" s="34"/>
      <c r="AF854" s="34"/>
      <c r="AG854" s="34"/>
      <c r="AH854" s="34"/>
      <c r="AI854" s="34"/>
      <c r="AJ854" s="34"/>
      <c r="AK854" s="34"/>
      <c r="AL854" s="34"/>
      <c r="AM854" s="34"/>
      <c r="AN854" s="34"/>
      <c r="AO854" s="34"/>
      <c r="AP854" s="34"/>
      <c r="AQ854" s="34"/>
      <c r="AR854" s="34"/>
      <c r="AS854" s="34"/>
      <c r="AT854" s="34"/>
      <c r="AU854" s="34"/>
      <c r="AV854" s="34"/>
      <c r="AW854" s="34"/>
      <c r="AX854" s="34"/>
      <c r="AY854" s="34"/>
      <c r="AZ854" s="34"/>
      <c r="BA854" s="34"/>
      <c r="BB854" s="34"/>
      <c r="BC854" s="34"/>
      <c r="BD854" s="34"/>
      <c r="BE854" s="34"/>
      <c r="BF854" s="34"/>
      <c r="BG854" s="34"/>
      <c r="BH854" s="34"/>
      <c r="BI854" s="34"/>
      <c r="BJ854" s="34"/>
      <c r="BK854" s="34"/>
      <c r="BL854" s="34"/>
      <c r="BM854" s="34"/>
      <c r="BN854" s="34"/>
      <c r="BO854" s="34"/>
      <c r="BP854" s="34"/>
      <c r="BQ854" s="34"/>
      <c r="BR854" s="34"/>
      <c r="BS854" s="34"/>
      <c r="BT854" s="34"/>
      <c r="BU854" s="34"/>
      <c r="BV854" s="34"/>
      <c r="BW854" s="34"/>
      <c r="BX854" s="34"/>
      <c r="BY854" s="34"/>
      <c r="BZ854" s="34"/>
      <c r="CA854" s="34"/>
      <c r="CB854" s="34"/>
      <c r="CC854" s="34"/>
      <c r="CD854" s="34"/>
      <c r="CE854" s="34"/>
      <c r="CF854" s="34"/>
      <c r="CG854" s="34"/>
      <c r="CH854" s="34"/>
      <c r="CI854" s="8"/>
    </row>
    <row r="855" spans="1:87" x14ac:dyDescent="0.2">
      <c r="A855" s="8" t="str">
        <f>IF(AND(COUNTIF(W$3:W$13,A$22)&gt;0,A$22&lt;&gt;B800),A$22,IFERROR(IF(MATCH(A$22,Z$3:Z$13,0)=3,A$22," ")," "))</f>
        <v xml:space="preserve"> </v>
      </c>
      <c r="B855" s="8" t="str">
        <f>IF(A855=" "," ",MAX(B848:B854)+1)</f>
        <v xml:space="preserve"> </v>
      </c>
      <c r="C855" s="8" t="str">
        <f>IFERROR(INDEX(A848:A869,MATCH(SMALL(B848:B869,8),B848:B869,0),1)," ")</f>
        <v>C19</v>
      </c>
      <c r="D855" s="8">
        <f t="shared" si="3576"/>
        <v>0</v>
      </c>
      <c r="E855" s="8">
        <f t="shared" si="3577"/>
        <v>0</v>
      </c>
      <c r="F855" s="8">
        <f t="shared" si="3578"/>
        <v>0</v>
      </c>
      <c r="G855" s="8">
        <f t="shared" si="3579"/>
        <v>0</v>
      </c>
      <c r="H855" s="8">
        <f t="shared" si="3580"/>
        <v>0</v>
      </c>
      <c r="I855" s="8">
        <f t="shared" si="3581"/>
        <v>0</v>
      </c>
      <c r="J855" s="8">
        <f t="shared" si="3582"/>
        <v>0</v>
      </c>
      <c r="K855" s="8">
        <f t="shared" si="3583"/>
        <v>1</v>
      </c>
      <c r="L855" s="8">
        <f t="shared" si="3584"/>
        <v>0</v>
      </c>
      <c r="M855" s="8">
        <f t="shared" si="3585"/>
        <v>0</v>
      </c>
      <c r="N855" s="8">
        <f t="shared" si="3586"/>
        <v>0</v>
      </c>
      <c r="O855" s="8">
        <f t="shared" si="3587"/>
        <v>0</v>
      </c>
      <c r="P855" s="8" t="e">
        <v>#NUM!</v>
      </c>
      <c r="Q855" s="8" t="e">
        <f t="shared" ref="Q855" si="3616">IF(COUNTIF(P848:P858,"&lt;"&amp;-0.001)=0,IF(ABS(P855)&lt;0.001,0,P855)," ")</f>
        <v>#NUM!</v>
      </c>
      <c r="R855" s="8"/>
      <c r="S855" s="8"/>
      <c r="U855" s="34"/>
      <c r="V855" s="34"/>
      <c r="W855" s="34"/>
      <c r="X855" s="34"/>
      <c r="Y855" s="34"/>
      <c r="Z855" s="34"/>
      <c r="AA855" s="34"/>
      <c r="AB855" s="34"/>
      <c r="AC855" s="34"/>
      <c r="AD855" s="34"/>
      <c r="AE855" s="34"/>
      <c r="AF855" s="34"/>
      <c r="AG855" s="34"/>
      <c r="AH855" s="34"/>
      <c r="AI855" s="34"/>
      <c r="AJ855" s="34"/>
      <c r="AK855" s="34"/>
      <c r="AL855" s="34"/>
      <c r="AM855" s="34"/>
      <c r="AN855" s="34"/>
      <c r="AO855" s="34"/>
      <c r="AP855" s="34"/>
      <c r="AQ855" s="34"/>
      <c r="AR855" s="34"/>
      <c r="AS855" s="34"/>
      <c r="AT855" s="34"/>
      <c r="AU855" s="34"/>
      <c r="AV855" s="34"/>
      <c r="AW855" s="34"/>
      <c r="AX855" s="34"/>
      <c r="AY855" s="34"/>
      <c r="AZ855" s="34"/>
      <c r="BA855" s="34"/>
      <c r="BB855" s="34"/>
      <c r="BC855" s="34"/>
      <c r="BD855" s="34"/>
      <c r="BE855" s="34"/>
      <c r="BF855" s="34"/>
      <c r="BG855" s="34"/>
      <c r="BH855" s="34"/>
      <c r="BI855" s="34"/>
      <c r="BJ855" s="34"/>
      <c r="BK855" s="34"/>
      <c r="BL855" s="34"/>
      <c r="BM855" s="34"/>
      <c r="BN855" s="34"/>
      <c r="BO855" s="34"/>
      <c r="BP855" s="34"/>
      <c r="BQ855" s="34"/>
      <c r="BR855" s="34"/>
      <c r="BS855" s="34"/>
      <c r="BT855" s="34"/>
      <c r="BU855" s="34"/>
      <c r="BV855" s="34"/>
      <c r="BW855" s="34"/>
      <c r="BX855" s="34"/>
      <c r="BY855" s="34"/>
      <c r="BZ855" s="34"/>
      <c r="CA855" s="34"/>
      <c r="CB855" s="34"/>
      <c r="CC855" s="34"/>
      <c r="CD855" s="34"/>
      <c r="CE855" s="34"/>
      <c r="CF855" s="34"/>
      <c r="CG855" s="34"/>
      <c r="CH855" s="34"/>
      <c r="CI855" s="8"/>
    </row>
    <row r="856" spans="1:87" x14ac:dyDescent="0.2">
      <c r="A856" s="8" t="str">
        <f>IF(AND(COUNTIF(W$3:W$13,A$23)&gt;0,A$23&lt;&gt;B800),A$23,IFERROR(IF(MATCH(A$23,Z$3:Z$13,0)=3,A$23," ")," "))</f>
        <v xml:space="preserve"> </v>
      </c>
      <c r="B856" s="8" t="str">
        <f>IF(A856=" "," ",MAX(B848:B855)+1)</f>
        <v xml:space="preserve"> </v>
      </c>
      <c r="C856" s="8" t="str">
        <f>IFERROR(INDEX(A848:A869,MATCH(SMALL(B848:B869,9),B848:B869,0),1)," ")</f>
        <v>C20</v>
      </c>
      <c r="D856" s="8">
        <f t="shared" si="3576"/>
        <v>0</v>
      </c>
      <c r="E856" s="8">
        <f t="shared" si="3577"/>
        <v>0</v>
      </c>
      <c r="F856" s="8">
        <f t="shared" si="3578"/>
        <v>0</v>
      </c>
      <c r="G856" s="8">
        <f t="shared" si="3579"/>
        <v>0</v>
      </c>
      <c r="H856" s="8">
        <f t="shared" si="3580"/>
        <v>0</v>
      </c>
      <c r="I856" s="8">
        <f t="shared" si="3581"/>
        <v>0</v>
      </c>
      <c r="J856" s="8">
        <f t="shared" si="3582"/>
        <v>0</v>
      </c>
      <c r="K856" s="8">
        <f t="shared" si="3583"/>
        <v>0</v>
      </c>
      <c r="L856" s="8">
        <f t="shared" si="3584"/>
        <v>1</v>
      </c>
      <c r="M856" s="8">
        <f t="shared" si="3585"/>
        <v>0</v>
      </c>
      <c r="N856" s="8">
        <f t="shared" si="3586"/>
        <v>0</v>
      </c>
      <c r="O856" s="8">
        <f t="shared" si="3587"/>
        <v>0</v>
      </c>
      <c r="P856" s="6" t="e">
        <v>#NUM!</v>
      </c>
      <c r="Q856" s="8" t="e">
        <f t="shared" ref="Q856" si="3617">IF(COUNTIF(P848:P858,"&lt;"&amp;-0.001)=0,IF(ABS(P856)&lt;0.001,0,P856)," ")</f>
        <v>#NUM!</v>
      </c>
      <c r="R856" s="8"/>
      <c r="S856" s="8"/>
      <c r="U856" s="34"/>
      <c r="V856" s="34"/>
      <c r="W856" s="34"/>
      <c r="X856" s="34"/>
      <c r="Y856" s="34"/>
      <c r="Z856" s="34"/>
      <c r="AA856" s="34"/>
      <c r="AB856" s="34"/>
      <c r="AC856" s="34"/>
      <c r="AD856" s="34"/>
      <c r="AE856" s="34"/>
      <c r="AF856" s="34"/>
      <c r="AG856" s="34"/>
      <c r="AH856" s="34"/>
      <c r="AI856" s="34"/>
      <c r="AJ856" s="34"/>
      <c r="AK856" s="34"/>
      <c r="AL856" s="34"/>
      <c r="AM856" s="34"/>
      <c r="AN856" s="34"/>
      <c r="AO856" s="34"/>
      <c r="AP856" s="34"/>
      <c r="AQ856" s="34"/>
      <c r="AR856" s="34"/>
      <c r="AS856" s="34"/>
      <c r="AT856" s="34"/>
      <c r="AU856" s="34"/>
      <c r="AV856" s="34"/>
      <c r="AW856" s="34"/>
      <c r="AX856" s="34"/>
      <c r="AY856" s="34"/>
      <c r="AZ856" s="34"/>
      <c r="BA856" s="34"/>
      <c r="BB856" s="34"/>
      <c r="BC856" s="34"/>
      <c r="BD856" s="34"/>
      <c r="BE856" s="34"/>
      <c r="BF856" s="34"/>
      <c r="BG856" s="34"/>
      <c r="BH856" s="34"/>
      <c r="BI856" s="34"/>
      <c r="BJ856" s="34"/>
      <c r="BK856" s="34"/>
      <c r="BL856" s="34"/>
      <c r="BM856" s="34"/>
      <c r="BN856" s="34"/>
      <c r="BO856" s="34"/>
      <c r="BP856" s="34"/>
      <c r="BQ856" s="34"/>
      <c r="BR856" s="34"/>
      <c r="BS856" s="34"/>
      <c r="BT856" s="34"/>
      <c r="BU856" s="34"/>
      <c r="BV856" s="34"/>
      <c r="BW856" s="34"/>
      <c r="BX856" s="34"/>
      <c r="BY856" s="34"/>
      <c r="BZ856" s="34"/>
      <c r="CA856" s="34"/>
      <c r="CB856" s="34"/>
      <c r="CC856" s="34"/>
      <c r="CD856" s="34"/>
      <c r="CE856" s="34"/>
      <c r="CF856" s="34"/>
      <c r="CG856" s="34"/>
      <c r="CH856" s="34"/>
      <c r="CI856" s="8"/>
    </row>
    <row r="857" spans="1:87" x14ac:dyDescent="0.2">
      <c r="A857" s="8" t="str">
        <f>IF(AND(COUNTIF(W$3:W$13,A$24)&gt;0,A$24&lt;&gt;B800),A$24,IFERROR(IF(MATCH(A$24,Z$3:Z$13,0)=3,A$24," ")," "))</f>
        <v xml:space="preserve"> </v>
      </c>
      <c r="B857" s="8" t="str">
        <f>IF(A857=" "," ",MAX(B848:B856)+1)</f>
        <v xml:space="preserve"> </v>
      </c>
      <c r="C857" s="8" t="str">
        <f>IFERROR(INDEX(A848:A869,MATCH(SMALL(B848:B869,10),B848:B869,0),1)," ")</f>
        <v>C21</v>
      </c>
      <c r="D857" s="8">
        <f t="shared" si="3576"/>
        <v>0</v>
      </c>
      <c r="E857" s="8">
        <f t="shared" si="3577"/>
        <v>0</v>
      </c>
      <c r="F857" s="8">
        <f t="shared" si="3578"/>
        <v>0</v>
      </c>
      <c r="G857" s="8">
        <f t="shared" si="3579"/>
        <v>0</v>
      </c>
      <c r="H857" s="8">
        <f t="shared" si="3580"/>
        <v>0</v>
      </c>
      <c r="I857" s="8">
        <f t="shared" si="3581"/>
        <v>0</v>
      </c>
      <c r="J857" s="8">
        <f t="shared" si="3582"/>
        <v>0</v>
      </c>
      <c r="K857" s="8">
        <f t="shared" si="3583"/>
        <v>0</v>
      </c>
      <c r="L857" s="8">
        <f t="shared" si="3584"/>
        <v>0</v>
      </c>
      <c r="M857" s="8">
        <f t="shared" si="3585"/>
        <v>1</v>
      </c>
      <c r="N857" s="8">
        <f t="shared" si="3586"/>
        <v>0</v>
      </c>
      <c r="O857" s="8">
        <f t="shared" si="3587"/>
        <v>0</v>
      </c>
      <c r="P857" s="8" t="e">
        <v>#NUM!</v>
      </c>
      <c r="Q857" s="8" t="e">
        <f t="shared" ref="Q857" si="3618">IF(COUNTIF(P848:P858,"&lt;"&amp;-0.001)=0,IF(ABS(P857)&lt;0.001,0,P857)," ")</f>
        <v>#NUM!</v>
      </c>
      <c r="R857" s="8"/>
      <c r="S857" s="8"/>
      <c r="U857" s="34"/>
      <c r="V857" s="34"/>
      <c r="W857" s="34"/>
      <c r="X857" s="34"/>
      <c r="Y857" s="34"/>
      <c r="Z857" s="34"/>
      <c r="AA857" s="34"/>
      <c r="AB857" s="34"/>
      <c r="AC857" s="34"/>
      <c r="AD857" s="34"/>
      <c r="AE857" s="34"/>
      <c r="AF857" s="34"/>
      <c r="AG857" s="34"/>
      <c r="AH857" s="34"/>
      <c r="AI857" s="34"/>
      <c r="AJ857" s="34"/>
      <c r="AK857" s="34"/>
      <c r="AL857" s="34"/>
      <c r="AM857" s="34"/>
      <c r="AN857" s="34"/>
      <c r="AO857" s="34"/>
      <c r="AP857" s="34"/>
      <c r="AQ857" s="34"/>
      <c r="AR857" s="34"/>
      <c r="AS857" s="34"/>
      <c r="AT857" s="34"/>
      <c r="AU857" s="34"/>
      <c r="AV857" s="34"/>
      <c r="AW857" s="34"/>
      <c r="AX857" s="34"/>
      <c r="AY857" s="34"/>
      <c r="AZ857" s="34"/>
      <c r="BA857" s="34"/>
      <c r="BB857" s="34"/>
      <c r="BC857" s="34"/>
      <c r="BD857" s="34"/>
      <c r="BE857" s="34"/>
      <c r="BF857" s="34"/>
      <c r="BG857" s="34"/>
      <c r="BH857" s="34"/>
      <c r="BI857" s="34"/>
      <c r="BJ857" s="34"/>
      <c r="BK857" s="34"/>
      <c r="BL857" s="34"/>
      <c r="BM857" s="34"/>
      <c r="BN857" s="34"/>
      <c r="BO857" s="34"/>
      <c r="BP857" s="34"/>
      <c r="BQ857" s="34"/>
      <c r="BR857" s="34"/>
      <c r="BS857" s="34"/>
      <c r="BT857" s="34"/>
      <c r="BU857" s="34"/>
      <c r="BV857" s="34"/>
      <c r="BW857" s="34"/>
      <c r="BX857" s="34"/>
      <c r="BY857" s="34"/>
      <c r="BZ857" s="34"/>
      <c r="CA857" s="34"/>
      <c r="CB857" s="34"/>
      <c r="CC857" s="34"/>
      <c r="CD857" s="34"/>
      <c r="CE857" s="34"/>
      <c r="CF857" s="34"/>
      <c r="CG857" s="34"/>
      <c r="CH857" s="34"/>
      <c r="CI857" s="8"/>
    </row>
    <row r="858" spans="1:87" x14ac:dyDescent="0.2">
      <c r="A858" s="8" t="str">
        <f>IF(AND(COUNTIF(W$3:W$13,A$25)&gt;0,A$25&lt;&gt;B800),A$25,IFERROR(IF(MATCH(A$25,Z$3:Z$13,0)=3,A$25," ")," "))</f>
        <v xml:space="preserve"> </v>
      </c>
      <c r="B858" s="8" t="str">
        <f>IF(A858=" "," ",MAX(B848:B857)+1)</f>
        <v xml:space="preserve"> </v>
      </c>
      <c r="C858" s="8" t="str">
        <f>IFERROR(INDEX(A848:A869,MATCH(SMALL(B848:B869,11),B848:B869,0),1)," ")</f>
        <v>C22</v>
      </c>
      <c r="D858" s="8">
        <f t="shared" si="3576"/>
        <v>0</v>
      </c>
      <c r="E858" s="8">
        <f t="shared" si="3577"/>
        <v>0</v>
      </c>
      <c r="F858" s="8">
        <f t="shared" si="3578"/>
        <v>0</v>
      </c>
      <c r="G858" s="8">
        <f t="shared" si="3579"/>
        <v>0</v>
      </c>
      <c r="H858" s="8">
        <f t="shared" si="3580"/>
        <v>0</v>
      </c>
      <c r="I858" s="8">
        <f t="shared" si="3581"/>
        <v>0</v>
      </c>
      <c r="J858" s="8">
        <f t="shared" si="3582"/>
        <v>0</v>
      </c>
      <c r="K858" s="8">
        <f t="shared" si="3583"/>
        <v>0</v>
      </c>
      <c r="L858" s="8">
        <f t="shared" si="3584"/>
        <v>0</v>
      </c>
      <c r="M858" s="8">
        <f t="shared" si="3585"/>
        <v>0</v>
      </c>
      <c r="N858" s="8">
        <f t="shared" si="3586"/>
        <v>1</v>
      </c>
      <c r="O858" s="8">
        <f t="shared" si="3587"/>
        <v>0</v>
      </c>
      <c r="P858" s="8" t="e">
        <v>#NUM!</v>
      </c>
      <c r="Q858" s="8" t="e">
        <f t="shared" ref="Q858" si="3619">IF(COUNTIF(P848:P858,"&lt;"&amp;-0.001)=0,IF(ABS(P858)&lt;0.001,0,P858)," ")</f>
        <v>#NUM!</v>
      </c>
      <c r="R858" s="8"/>
      <c r="S858" s="8"/>
      <c r="U858" s="34"/>
      <c r="V858" s="34"/>
      <c r="W858" s="34"/>
      <c r="X858" s="34"/>
      <c r="Y858" s="34"/>
      <c r="Z858" s="34"/>
      <c r="AA858" s="34"/>
      <c r="AB858" s="34"/>
      <c r="AC858" s="34"/>
      <c r="AD858" s="34"/>
      <c r="AE858" s="34"/>
      <c r="AF858" s="34"/>
      <c r="AG858" s="34"/>
      <c r="AH858" s="34"/>
      <c r="AI858" s="34"/>
      <c r="AJ858" s="34"/>
      <c r="AK858" s="34"/>
      <c r="AL858" s="34"/>
      <c r="AM858" s="34"/>
      <c r="AN858" s="34"/>
      <c r="AO858" s="34"/>
      <c r="AP858" s="34"/>
      <c r="AQ858" s="34"/>
      <c r="AR858" s="34"/>
      <c r="AS858" s="34"/>
      <c r="AT858" s="34"/>
      <c r="AU858" s="34"/>
      <c r="AV858" s="34"/>
      <c r="AW858" s="34"/>
      <c r="AX858" s="34"/>
      <c r="AY858" s="34"/>
      <c r="AZ858" s="34"/>
      <c r="BA858" s="34"/>
      <c r="BB858" s="34"/>
      <c r="BC858" s="34"/>
      <c r="BD858" s="34"/>
      <c r="BE858" s="34"/>
      <c r="BF858" s="34"/>
      <c r="BG858" s="34"/>
      <c r="BH858" s="34"/>
      <c r="BI858" s="34"/>
      <c r="BJ858" s="34"/>
      <c r="BK858" s="34"/>
      <c r="BL858" s="34"/>
      <c r="BM858" s="34"/>
      <c r="BN858" s="34"/>
      <c r="BO858" s="34"/>
      <c r="BP858" s="34"/>
      <c r="BQ858" s="34"/>
      <c r="BR858" s="34"/>
      <c r="BS858" s="34"/>
      <c r="BT858" s="34"/>
      <c r="BU858" s="34"/>
      <c r="BV858" s="34"/>
      <c r="BW858" s="34"/>
      <c r="BX858" s="34"/>
      <c r="BY858" s="34"/>
      <c r="BZ858" s="34"/>
      <c r="CA858" s="34"/>
      <c r="CB858" s="34"/>
      <c r="CC858" s="34"/>
      <c r="CD858" s="34"/>
      <c r="CE858" s="34"/>
      <c r="CF858" s="34"/>
      <c r="CG858" s="34"/>
      <c r="CH858" s="34"/>
      <c r="CI858" s="8"/>
    </row>
    <row r="859" spans="1:87" x14ac:dyDescent="0.2">
      <c r="A859" s="8" t="str">
        <f>IF(AND(COUNTIF(W$3:W$13,A$26)&gt;0,A$26&lt;&gt;B800),A$26,IFERROR(IF(MATCH(A$26,Z$3:Z$13,0)=3,A$26," ")," "))</f>
        <v xml:space="preserve"> </v>
      </c>
      <c r="B859" s="8" t="str">
        <f>IF(A859=" "," ",MAX(B848:B858)+1)</f>
        <v xml:space="preserve"> </v>
      </c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U859" s="34"/>
      <c r="V859" s="34"/>
      <c r="W859" s="34"/>
      <c r="X859" s="34"/>
      <c r="Y859" s="34"/>
      <c r="Z859" s="34"/>
      <c r="AA859" s="34"/>
      <c r="AB859" s="34"/>
      <c r="AC859" s="34"/>
      <c r="AD859" s="34"/>
      <c r="AE859" s="34"/>
      <c r="AF859" s="34"/>
      <c r="AG859" s="34"/>
      <c r="AH859" s="34"/>
      <c r="AI859" s="34"/>
      <c r="AJ859" s="34"/>
      <c r="AK859" s="34"/>
      <c r="AL859" s="34"/>
      <c r="AM859" s="34"/>
      <c r="AN859" s="34"/>
      <c r="AO859" s="34"/>
      <c r="AP859" s="34"/>
      <c r="AQ859" s="34"/>
      <c r="AR859" s="34"/>
      <c r="AS859" s="34"/>
      <c r="AT859" s="34"/>
      <c r="AU859" s="34"/>
      <c r="AV859" s="34"/>
      <c r="AW859" s="34"/>
      <c r="AX859" s="34"/>
      <c r="AY859" s="34"/>
      <c r="AZ859" s="34"/>
      <c r="BA859" s="34"/>
      <c r="BB859" s="34"/>
      <c r="BC859" s="34"/>
      <c r="BD859" s="34"/>
      <c r="BE859" s="34"/>
      <c r="BF859" s="34"/>
      <c r="BG859" s="34"/>
      <c r="BH859" s="34"/>
      <c r="BI859" s="34"/>
      <c r="BJ859" s="34"/>
      <c r="BK859" s="34"/>
      <c r="BL859" s="34"/>
      <c r="BM859" s="34"/>
      <c r="BN859" s="34"/>
      <c r="BO859" s="34"/>
      <c r="BP859" s="34"/>
      <c r="BQ859" s="34"/>
      <c r="BR859" s="34"/>
      <c r="BS859" s="34"/>
      <c r="BT859" s="34"/>
      <c r="BU859" s="34"/>
      <c r="BV859" s="34"/>
      <c r="BW859" s="34"/>
      <c r="BX859" s="34"/>
      <c r="BY859" s="34"/>
      <c r="BZ859" s="34"/>
      <c r="CA859" s="34"/>
      <c r="CB859" s="34"/>
      <c r="CC859" s="34"/>
      <c r="CD859" s="34"/>
      <c r="CE859" s="34"/>
      <c r="CF859" s="34"/>
      <c r="CG859" s="34"/>
      <c r="CH859" s="34"/>
      <c r="CI859" s="8"/>
    </row>
    <row r="860" spans="1:87" x14ac:dyDescent="0.2">
      <c r="A860" s="8" t="str">
        <f>IF(AND(COUNTIF(W$3:W$13,A$27)&gt;0,A$27&lt;&gt;B800),A$27,IFERROR(IF(MATCH(A$27,Z$3:Z$13,0)=3,A$27," ")," "))</f>
        <v>C13</v>
      </c>
      <c r="B860" s="8">
        <f>IF(A860=" "," ",MAX(B848:B859)+1)</f>
        <v>4</v>
      </c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U860" s="34"/>
      <c r="V860" s="34"/>
      <c r="W860" s="34"/>
      <c r="X860" s="34"/>
      <c r="Y860" s="34"/>
      <c r="Z860" s="34"/>
      <c r="AA860" s="34"/>
      <c r="AB860" s="34"/>
      <c r="AC860" s="34"/>
      <c r="AD860" s="34"/>
      <c r="AE860" s="34"/>
      <c r="AF860" s="34"/>
      <c r="AG860" s="34"/>
      <c r="AH860" s="34"/>
      <c r="AI860" s="34"/>
      <c r="AJ860" s="34"/>
      <c r="AK860" s="34"/>
      <c r="AL860" s="34"/>
      <c r="AM860" s="34"/>
      <c r="AN860" s="34"/>
      <c r="AO860" s="34"/>
      <c r="AP860" s="34"/>
      <c r="AQ860" s="34"/>
      <c r="AR860" s="34"/>
      <c r="AS860" s="34"/>
      <c r="AT860" s="34"/>
      <c r="AU860" s="34"/>
      <c r="AV860" s="34"/>
      <c r="AW860" s="34"/>
      <c r="AX860" s="34"/>
      <c r="AY860" s="34"/>
      <c r="AZ860" s="34"/>
      <c r="BA860" s="34"/>
      <c r="BB860" s="34"/>
      <c r="BC860" s="34"/>
      <c r="BD860" s="34"/>
      <c r="BE860" s="34"/>
      <c r="BF860" s="34"/>
      <c r="BG860" s="34"/>
      <c r="BH860" s="34"/>
      <c r="BI860" s="34"/>
      <c r="BJ860" s="34"/>
      <c r="BK860" s="34"/>
      <c r="BL860" s="34"/>
      <c r="BM860" s="34"/>
      <c r="BN860" s="34"/>
      <c r="BO860" s="34"/>
      <c r="BP860" s="34"/>
      <c r="BQ860" s="34"/>
      <c r="BR860" s="34"/>
      <c r="BS860" s="34"/>
      <c r="BT860" s="34"/>
      <c r="BU860" s="34"/>
      <c r="BV860" s="34"/>
      <c r="BW860" s="34"/>
      <c r="BX860" s="34"/>
      <c r="BY860" s="34"/>
      <c r="BZ860" s="34"/>
      <c r="CA860" s="34"/>
      <c r="CB860" s="34"/>
      <c r="CC860" s="34"/>
      <c r="CD860" s="34"/>
      <c r="CE860" s="34"/>
      <c r="CF860" s="34"/>
      <c r="CG860" s="34"/>
      <c r="CH860" s="34"/>
      <c r="CI860" s="8"/>
    </row>
    <row r="861" spans="1:87" x14ac:dyDescent="0.2">
      <c r="A861" s="8" t="str">
        <f>IF(AND(COUNTIF(W$3:W$13,A$28)&gt;0,A$28&lt;&gt;B800),A$28,IFERROR(IF(MATCH(A$28,Z$3:Z$13,0)=3,A$28," ")," "))</f>
        <v xml:space="preserve"> </v>
      </c>
      <c r="B861" s="8" t="str">
        <f>IF(A861=" "," ",MAX(B848:B860)+1)</f>
        <v xml:space="preserve"> </v>
      </c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U861" s="34"/>
      <c r="V861" s="34"/>
      <c r="W861" s="34"/>
      <c r="X861" s="34"/>
      <c r="Y861" s="34"/>
      <c r="Z861" s="34"/>
      <c r="AA861" s="34"/>
      <c r="AB861" s="34"/>
      <c r="AC861" s="34"/>
      <c r="AD861" s="34"/>
      <c r="AE861" s="34"/>
      <c r="AF861" s="34"/>
      <c r="AG861" s="34"/>
      <c r="AH861" s="34"/>
      <c r="AI861" s="34"/>
      <c r="AJ861" s="34"/>
      <c r="AK861" s="34"/>
      <c r="AL861" s="34"/>
      <c r="AM861" s="34"/>
      <c r="AN861" s="34"/>
      <c r="AO861" s="34"/>
      <c r="AP861" s="34"/>
      <c r="AQ861" s="34"/>
      <c r="AR861" s="34"/>
      <c r="AS861" s="34"/>
      <c r="AT861" s="34"/>
      <c r="AU861" s="34"/>
      <c r="AV861" s="34"/>
      <c r="AW861" s="34"/>
      <c r="AX861" s="34"/>
      <c r="AY861" s="34"/>
      <c r="AZ861" s="34"/>
      <c r="BA861" s="34"/>
      <c r="BB861" s="34"/>
      <c r="BC861" s="34"/>
      <c r="BD861" s="34"/>
      <c r="BE861" s="34"/>
      <c r="BF861" s="34"/>
      <c r="BG861" s="34"/>
      <c r="BH861" s="34"/>
      <c r="BI861" s="34"/>
      <c r="BJ861" s="34"/>
      <c r="BK861" s="34"/>
      <c r="BL861" s="34"/>
      <c r="BM861" s="34"/>
      <c r="BN861" s="34"/>
      <c r="BO861" s="34"/>
      <c r="BP861" s="34"/>
      <c r="BQ861" s="34"/>
      <c r="BR861" s="34"/>
      <c r="BS861" s="34"/>
      <c r="BT861" s="34"/>
      <c r="BU861" s="34"/>
      <c r="BV861" s="34"/>
      <c r="BW861" s="34"/>
      <c r="BX861" s="34"/>
      <c r="BY861" s="34"/>
      <c r="BZ861" s="34"/>
      <c r="CA861" s="34"/>
      <c r="CB861" s="34"/>
      <c r="CC861" s="34"/>
      <c r="CD861" s="34"/>
      <c r="CE861" s="34"/>
      <c r="CF861" s="34"/>
      <c r="CG861" s="34"/>
      <c r="CH861" s="34"/>
      <c r="CI861" s="8"/>
    </row>
    <row r="862" spans="1:87" x14ac:dyDescent="0.2">
      <c r="A862" s="8" t="str">
        <f>IF(AND(COUNTIF(W$3:W$13,A$29)&gt;0,A$29&lt;&gt;B800),A$29,IFERROR(IF(MATCH(A$29,Z$3:Z$13,0)=3,A$29," ")," "))</f>
        <v xml:space="preserve"> </v>
      </c>
      <c r="B862" s="8" t="str">
        <f>IF(A862=" "," ",MAX(B848:B861)+1)</f>
        <v xml:space="preserve"> </v>
      </c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U862" s="34"/>
      <c r="V862" s="34"/>
      <c r="W862" s="34"/>
      <c r="X862" s="34"/>
      <c r="Y862" s="34"/>
      <c r="Z862" s="34"/>
      <c r="AA862" s="34"/>
      <c r="AB862" s="34"/>
      <c r="AC862" s="34"/>
      <c r="AD862" s="34"/>
      <c r="AE862" s="34"/>
      <c r="AF862" s="34"/>
      <c r="AG862" s="34"/>
      <c r="AH862" s="34"/>
      <c r="AI862" s="34"/>
      <c r="AJ862" s="34"/>
      <c r="AK862" s="34"/>
      <c r="AL862" s="34"/>
      <c r="AM862" s="34"/>
      <c r="AN862" s="34"/>
      <c r="AO862" s="34"/>
      <c r="AP862" s="34"/>
      <c r="AQ862" s="34"/>
      <c r="AR862" s="34"/>
      <c r="AS862" s="34"/>
      <c r="AT862" s="34"/>
      <c r="AU862" s="34"/>
      <c r="AV862" s="34"/>
      <c r="AW862" s="34"/>
      <c r="AX862" s="34"/>
      <c r="AY862" s="34"/>
      <c r="AZ862" s="34"/>
      <c r="BA862" s="34"/>
      <c r="BB862" s="34"/>
      <c r="BC862" s="34"/>
      <c r="BD862" s="34"/>
      <c r="BE862" s="34"/>
      <c r="BF862" s="34"/>
      <c r="BG862" s="34"/>
      <c r="BH862" s="34"/>
      <c r="BI862" s="34"/>
      <c r="BJ862" s="34"/>
      <c r="BK862" s="34"/>
      <c r="BL862" s="34"/>
      <c r="BM862" s="34"/>
      <c r="BN862" s="34"/>
      <c r="BO862" s="34"/>
      <c r="BP862" s="34"/>
      <c r="BQ862" s="34"/>
      <c r="BR862" s="34"/>
      <c r="BS862" s="34"/>
      <c r="BT862" s="34"/>
      <c r="BU862" s="34"/>
      <c r="BV862" s="34"/>
      <c r="BW862" s="34"/>
      <c r="BX862" s="34"/>
      <c r="BY862" s="34"/>
      <c r="BZ862" s="34"/>
      <c r="CA862" s="34"/>
      <c r="CB862" s="34"/>
      <c r="CC862" s="34"/>
      <c r="CD862" s="34"/>
      <c r="CE862" s="34"/>
      <c r="CF862" s="34"/>
      <c r="CG862" s="34"/>
      <c r="CH862" s="34"/>
      <c r="CI862" s="8"/>
    </row>
    <row r="863" spans="1:87" x14ac:dyDescent="0.2">
      <c r="A863" s="8" t="str">
        <f>IF(AND(COUNTIF(W$3:W$13,A$30)&gt;0,A$30&lt;&gt;B800),A$30,IFERROR(IF(MATCH(A$30,Z$3:Z$13,0)=3,A$30," ")," "))</f>
        <v>C16</v>
      </c>
      <c r="B863" s="8">
        <f>IF(A863=" "," ",MAX(B848:B862)+1)</f>
        <v>5</v>
      </c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U863" s="34"/>
      <c r="V863" s="34"/>
      <c r="W863" s="34"/>
      <c r="X863" s="34"/>
      <c r="Y863" s="34"/>
      <c r="Z863" s="34"/>
      <c r="AA863" s="34"/>
      <c r="AB863" s="34"/>
      <c r="AC863" s="34"/>
      <c r="AD863" s="34"/>
      <c r="AE863" s="34"/>
      <c r="AF863" s="34"/>
      <c r="AG863" s="34"/>
      <c r="AH863" s="34"/>
      <c r="AI863" s="34"/>
      <c r="AJ863" s="34"/>
      <c r="AK863" s="34"/>
      <c r="AL863" s="34"/>
      <c r="AM863" s="34"/>
      <c r="AN863" s="34"/>
      <c r="AO863" s="34"/>
      <c r="AP863" s="34"/>
      <c r="AQ863" s="34"/>
      <c r="AR863" s="34"/>
      <c r="AS863" s="34"/>
      <c r="AT863" s="34"/>
      <c r="AU863" s="34"/>
      <c r="AV863" s="34"/>
      <c r="AW863" s="34"/>
      <c r="AX863" s="34"/>
      <c r="AY863" s="34"/>
      <c r="AZ863" s="34"/>
      <c r="BA863" s="34"/>
      <c r="BB863" s="34"/>
      <c r="BC863" s="34"/>
      <c r="BD863" s="34"/>
      <c r="BE863" s="34"/>
      <c r="BF863" s="34"/>
      <c r="BG863" s="34"/>
      <c r="BH863" s="34"/>
      <c r="BI863" s="34"/>
      <c r="BJ863" s="34"/>
      <c r="BK863" s="34"/>
      <c r="BL863" s="34"/>
      <c r="BM863" s="34"/>
      <c r="BN863" s="34"/>
      <c r="BO863" s="34"/>
      <c r="BP863" s="34"/>
      <c r="BQ863" s="34"/>
      <c r="BR863" s="34"/>
      <c r="BS863" s="34"/>
      <c r="BT863" s="34"/>
      <c r="BU863" s="34"/>
      <c r="BV863" s="34"/>
      <c r="BW863" s="34"/>
      <c r="BX863" s="34"/>
      <c r="BY863" s="34"/>
      <c r="BZ863" s="34"/>
      <c r="CA863" s="34"/>
      <c r="CB863" s="34"/>
      <c r="CC863" s="34"/>
      <c r="CD863" s="34"/>
      <c r="CE863" s="34"/>
      <c r="CF863" s="34"/>
      <c r="CG863" s="34"/>
      <c r="CH863" s="34"/>
      <c r="CI863" s="8"/>
    </row>
    <row r="864" spans="1:87" x14ac:dyDescent="0.2">
      <c r="A864" s="8" t="str">
        <f>IF(AND(COUNTIF(W$3:W$13,A$31)&gt;0,A$31&lt;&gt;B800),A$31,IFERROR(IF(MATCH(A$31,Z$3:Z$13,0)=3,A$31," ")," "))</f>
        <v>C17</v>
      </c>
      <c r="B864" s="8">
        <f>IF(A864=" "," ",MAX(B848:B863)+1)</f>
        <v>6</v>
      </c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U864" s="34"/>
      <c r="V864" s="34"/>
      <c r="W864" s="34"/>
      <c r="X864" s="34"/>
      <c r="Y864" s="34"/>
      <c r="Z864" s="34"/>
      <c r="AA864" s="34"/>
      <c r="AB864" s="34"/>
      <c r="AC864" s="34"/>
      <c r="AD864" s="34"/>
      <c r="AE864" s="34"/>
      <c r="AF864" s="34"/>
      <c r="AG864" s="34"/>
      <c r="AH864" s="34"/>
      <c r="AI864" s="34"/>
      <c r="AJ864" s="34"/>
      <c r="AK864" s="34"/>
      <c r="AL864" s="34"/>
      <c r="AM864" s="34"/>
      <c r="AN864" s="34"/>
      <c r="AO864" s="34"/>
      <c r="AP864" s="34"/>
      <c r="AQ864" s="34"/>
      <c r="AR864" s="34"/>
      <c r="AS864" s="34"/>
      <c r="AT864" s="34"/>
      <c r="AU864" s="34"/>
      <c r="AV864" s="34"/>
      <c r="AW864" s="34"/>
      <c r="AX864" s="34"/>
      <c r="AY864" s="34"/>
      <c r="AZ864" s="34"/>
      <c r="BA864" s="34"/>
      <c r="BB864" s="34"/>
      <c r="BC864" s="34"/>
      <c r="BD864" s="34"/>
      <c r="BE864" s="34"/>
      <c r="BF864" s="34"/>
      <c r="BG864" s="34"/>
      <c r="BH864" s="34"/>
      <c r="BI864" s="34"/>
      <c r="BJ864" s="34"/>
      <c r="BK864" s="34"/>
      <c r="BL864" s="34"/>
      <c r="BM864" s="34"/>
      <c r="BN864" s="34"/>
      <c r="BO864" s="34"/>
      <c r="BP864" s="34"/>
      <c r="BQ864" s="34"/>
      <c r="BR864" s="34"/>
      <c r="BS864" s="34"/>
      <c r="BT864" s="34"/>
      <c r="BU864" s="34"/>
      <c r="BV864" s="34"/>
      <c r="BW864" s="34"/>
      <c r="BX864" s="34"/>
      <c r="BY864" s="34"/>
      <c r="BZ864" s="34"/>
      <c r="CA864" s="34"/>
      <c r="CB864" s="34"/>
      <c r="CC864" s="34"/>
      <c r="CD864" s="34"/>
      <c r="CE864" s="34"/>
      <c r="CF864" s="34"/>
      <c r="CG864" s="34"/>
      <c r="CH864" s="34"/>
      <c r="CI864" s="8"/>
    </row>
    <row r="865" spans="1:87" x14ac:dyDescent="0.2">
      <c r="A865" s="8" t="str">
        <f>IF(AND(COUNTIF(W$3:W$13,A$32)&gt;0,A$32&lt;&gt;B800),A$32,IFERROR(IF(MATCH(A$32,Z$3:Z$13,0)=3,A$32," ")," "))</f>
        <v>C18</v>
      </c>
      <c r="B865" s="8">
        <f>IF(A865=" "," ",MAX(B848:B864)+1)</f>
        <v>7</v>
      </c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U865" s="34"/>
      <c r="V865" s="34"/>
      <c r="W865" s="34"/>
      <c r="X865" s="34"/>
      <c r="Y865" s="34"/>
      <c r="Z865" s="34"/>
      <c r="AA865" s="34"/>
      <c r="AB865" s="34"/>
      <c r="AC865" s="34"/>
      <c r="AD865" s="34"/>
      <c r="AE865" s="34"/>
      <c r="AF865" s="34"/>
      <c r="AG865" s="34"/>
      <c r="AH865" s="34"/>
      <c r="AI865" s="34"/>
      <c r="AJ865" s="34"/>
      <c r="AK865" s="34"/>
      <c r="AL865" s="34"/>
      <c r="AM865" s="34"/>
      <c r="AN865" s="34"/>
      <c r="AO865" s="34"/>
      <c r="AP865" s="34"/>
      <c r="AQ865" s="34"/>
      <c r="AR865" s="34"/>
      <c r="AS865" s="34"/>
      <c r="AT865" s="34"/>
      <c r="AU865" s="34"/>
      <c r="AV865" s="34"/>
      <c r="AW865" s="34"/>
      <c r="AX865" s="34"/>
      <c r="AY865" s="34"/>
      <c r="AZ865" s="34"/>
      <c r="BA865" s="34"/>
      <c r="BB865" s="34"/>
      <c r="BC865" s="34"/>
      <c r="BD865" s="34"/>
      <c r="BE865" s="34"/>
      <c r="BF865" s="34"/>
      <c r="BG865" s="34"/>
      <c r="BH865" s="34"/>
      <c r="BI865" s="34"/>
      <c r="BJ865" s="34"/>
      <c r="BK865" s="34"/>
      <c r="BL865" s="34"/>
      <c r="BM865" s="34"/>
      <c r="BN865" s="34"/>
      <c r="BO865" s="34"/>
      <c r="BP865" s="34"/>
      <c r="BQ865" s="34"/>
      <c r="BR865" s="34"/>
      <c r="BS865" s="34"/>
      <c r="BT865" s="34"/>
      <c r="BU865" s="34"/>
      <c r="BV865" s="34"/>
      <c r="BW865" s="34"/>
      <c r="BX865" s="34"/>
      <c r="BY865" s="34"/>
      <c r="BZ865" s="34"/>
      <c r="CA865" s="34"/>
      <c r="CB865" s="34"/>
      <c r="CC865" s="34"/>
      <c r="CD865" s="34"/>
      <c r="CE865" s="34"/>
      <c r="CF865" s="34"/>
      <c r="CG865" s="34"/>
      <c r="CH865" s="34"/>
      <c r="CI865" s="8"/>
    </row>
    <row r="866" spans="1:87" x14ac:dyDescent="0.2">
      <c r="A866" s="8" t="str">
        <f>IF(AND(COUNTIF(W$3:W$13,A$33)&gt;0,A$33&lt;&gt;B800),A$33,IFERROR(IF(MATCH(A$33,Z$3:Z$13,0)=3,A$33," ")," "))</f>
        <v>C19</v>
      </c>
      <c r="B866" s="8">
        <f>IF(A866=" "," ",MAX(B848:B865)+1)</f>
        <v>8</v>
      </c>
      <c r="C866" s="14"/>
      <c r="D866" s="14"/>
      <c r="E866" s="14"/>
      <c r="F866" s="14"/>
      <c r="G866" s="14"/>
      <c r="H866" s="14"/>
      <c r="I866" s="14"/>
      <c r="J866" s="12"/>
      <c r="K866" s="12"/>
      <c r="L866" s="12"/>
      <c r="M866" s="12"/>
      <c r="N866" s="12"/>
      <c r="O866" s="12"/>
      <c r="P866" s="12"/>
      <c r="Q866" s="8"/>
      <c r="R866" s="12"/>
      <c r="S866" s="12"/>
      <c r="T866" s="21"/>
      <c r="U866" s="34"/>
      <c r="V866" s="34"/>
      <c r="W866" s="34"/>
      <c r="X866" s="34"/>
      <c r="Y866" s="34"/>
      <c r="Z866" s="34"/>
      <c r="AA866" s="34"/>
      <c r="AB866" s="34"/>
      <c r="AC866" s="34"/>
      <c r="AD866" s="34"/>
      <c r="AE866" s="34"/>
      <c r="AF866" s="34"/>
      <c r="AG866" s="34"/>
      <c r="AH866" s="34"/>
      <c r="AI866" s="34"/>
      <c r="AJ866" s="34"/>
      <c r="AK866" s="34"/>
      <c r="AL866" s="34"/>
      <c r="AM866" s="34"/>
      <c r="AN866" s="34"/>
      <c r="AO866" s="34"/>
      <c r="AP866" s="34"/>
      <c r="AQ866" s="34"/>
      <c r="AR866" s="34"/>
      <c r="AS866" s="34"/>
      <c r="AT866" s="34"/>
      <c r="AU866" s="34"/>
      <c r="AV866" s="34"/>
      <c r="AW866" s="34"/>
      <c r="AX866" s="34"/>
      <c r="AY866" s="34"/>
      <c r="AZ866" s="34"/>
      <c r="BA866" s="34"/>
      <c r="BB866" s="34"/>
      <c r="BC866" s="34"/>
      <c r="BD866" s="34"/>
      <c r="BE866" s="34"/>
      <c r="BF866" s="34"/>
      <c r="BG866" s="34"/>
      <c r="BH866" s="34"/>
      <c r="BI866" s="34"/>
      <c r="BJ866" s="34"/>
      <c r="BK866" s="34"/>
      <c r="BL866" s="34"/>
      <c r="BM866" s="34"/>
      <c r="BN866" s="34"/>
      <c r="BO866" s="34"/>
      <c r="BP866" s="34"/>
      <c r="BQ866" s="34"/>
      <c r="BR866" s="34"/>
      <c r="BS866" s="34"/>
      <c r="BT866" s="34"/>
      <c r="BU866" s="34"/>
      <c r="BV866" s="34"/>
      <c r="BW866" s="34"/>
      <c r="BX866" s="34"/>
      <c r="BY866" s="34"/>
      <c r="BZ866" s="34"/>
      <c r="CA866" s="34"/>
      <c r="CB866" s="34"/>
      <c r="CC866" s="34"/>
      <c r="CD866" s="34"/>
      <c r="CE866" s="34"/>
      <c r="CF866" s="34"/>
      <c r="CG866" s="34"/>
      <c r="CH866" s="34"/>
      <c r="CI866" s="8"/>
    </row>
    <row r="867" spans="1:87" x14ac:dyDescent="0.2">
      <c r="A867" s="8" t="str">
        <f>IF(AND(COUNTIF(W$3:W$13,A$34)&gt;0,A$34&lt;&gt;B800),A$34,IFERROR(IF(MATCH(A$34,Z$3:Z$13,0)=3,A$34," ")," "))</f>
        <v>C20</v>
      </c>
      <c r="B867" s="8">
        <f>IF(A867=" "," ",MAX(B848:B866)+1)</f>
        <v>9</v>
      </c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U867" s="34"/>
      <c r="V867" s="34"/>
      <c r="W867" s="34"/>
      <c r="X867" s="34"/>
      <c r="Y867" s="34"/>
      <c r="Z867" s="34"/>
      <c r="AA867" s="34"/>
      <c r="AB867" s="34"/>
      <c r="AC867" s="34"/>
      <c r="AD867" s="34"/>
      <c r="AE867" s="34"/>
      <c r="AF867" s="34"/>
      <c r="AG867" s="34"/>
      <c r="AH867" s="34"/>
      <c r="AI867" s="34"/>
      <c r="AJ867" s="34"/>
      <c r="AK867" s="34"/>
      <c r="AL867" s="34"/>
      <c r="AM867" s="34"/>
      <c r="AN867" s="34"/>
      <c r="AO867" s="34"/>
      <c r="AP867" s="34"/>
      <c r="AQ867" s="34"/>
      <c r="AR867" s="34"/>
      <c r="AS867" s="34"/>
      <c r="AT867" s="34"/>
      <c r="AU867" s="34"/>
      <c r="AV867" s="34"/>
      <c r="AW867" s="34"/>
      <c r="AX867" s="34"/>
      <c r="AY867" s="34"/>
      <c r="AZ867" s="34"/>
      <c r="BA867" s="34"/>
      <c r="BB867" s="34"/>
      <c r="BC867" s="34"/>
      <c r="BD867" s="34"/>
      <c r="BE867" s="34"/>
      <c r="BF867" s="34"/>
      <c r="BG867" s="34"/>
      <c r="BH867" s="34"/>
      <c r="BI867" s="34"/>
      <c r="BJ867" s="34"/>
      <c r="BK867" s="34"/>
      <c r="BL867" s="34"/>
      <c r="BM867" s="34"/>
      <c r="BN867" s="34"/>
      <c r="BO867" s="34"/>
      <c r="BP867" s="34"/>
      <c r="BQ867" s="34"/>
      <c r="BR867" s="34"/>
      <c r="BS867" s="34"/>
      <c r="BT867" s="34"/>
      <c r="BU867" s="34"/>
      <c r="BV867" s="34"/>
      <c r="BW867" s="34"/>
      <c r="BX867" s="34"/>
      <c r="BY867" s="34"/>
      <c r="BZ867" s="34"/>
      <c r="CA867" s="34"/>
      <c r="CB867" s="34"/>
      <c r="CC867" s="34"/>
      <c r="CD867" s="34"/>
      <c r="CE867" s="34"/>
      <c r="CF867" s="34"/>
      <c r="CG867" s="34"/>
      <c r="CH867" s="34"/>
      <c r="CI867" s="8"/>
    </row>
    <row r="868" spans="1:87" x14ac:dyDescent="0.2">
      <c r="A868" s="8" t="str">
        <f>IF(AND(COUNTIF(W$3:W$13,A$35)&gt;0,A$35&lt;&gt;B800),A$35,IFERROR(IF(MATCH(A$35,Z$3:Z$13,0)=3,A$35," ")," "))</f>
        <v>C21</v>
      </c>
      <c r="B868" s="8">
        <f>IF(A868=" "," ",MAX(B848:B867)+1)</f>
        <v>10</v>
      </c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U868" s="34"/>
      <c r="V868" s="34"/>
      <c r="W868" s="34"/>
      <c r="X868" s="34"/>
      <c r="Y868" s="34"/>
      <c r="Z868" s="34"/>
      <c r="AA868" s="34"/>
      <c r="AB868" s="34"/>
      <c r="AC868" s="34"/>
      <c r="AD868" s="34"/>
      <c r="AE868" s="34"/>
      <c r="AF868" s="34"/>
      <c r="AG868" s="34"/>
      <c r="AH868" s="34"/>
      <c r="AI868" s="34"/>
      <c r="AJ868" s="34"/>
      <c r="AK868" s="34"/>
      <c r="AL868" s="34"/>
      <c r="AM868" s="34"/>
      <c r="AN868" s="34"/>
      <c r="AO868" s="34"/>
      <c r="AP868" s="34"/>
      <c r="AQ868" s="34"/>
      <c r="AR868" s="34"/>
      <c r="AS868" s="34"/>
      <c r="AT868" s="34"/>
      <c r="AU868" s="34"/>
      <c r="AV868" s="34"/>
      <c r="AW868" s="34"/>
      <c r="AX868" s="34"/>
      <c r="AY868" s="34"/>
      <c r="AZ868" s="34"/>
      <c r="BA868" s="34"/>
      <c r="BB868" s="34"/>
      <c r="BC868" s="34"/>
      <c r="BD868" s="34"/>
      <c r="BE868" s="34"/>
      <c r="BF868" s="34"/>
      <c r="BG868" s="34"/>
      <c r="BH868" s="34"/>
      <c r="BI868" s="34"/>
      <c r="BJ868" s="34"/>
      <c r="BK868" s="34"/>
      <c r="BL868" s="34"/>
      <c r="BM868" s="34"/>
      <c r="BN868" s="34"/>
      <c r="BO868" s="34"/>
      <c r="BP868" s="34"/>
      <c r="BQ868" s="34"/>
      <c r="BR868" s="34"/>
      <c r="BS868" s="34"/>
      <c r="BT868" s="34"/>
      <c r="BU868" s="34"/>
      <c r="BV868" s="34"/>
      <c r="BW868" s="34"/>
      <c r="BX868" s="34"/>
      <c r="BY868" s="34"/>
      <c r="BZ868" s="34"/>
      <c r="CA868" s="34"/>
      <c r="CB868" s="34"/>
      <c r="CC868" s="34"/>
      <c r="CD868" s="34"/>
      <c r="CE868" s="34"/>
      <c r="CF868" s="34"/>
      <c r="CG868" s="34"/>
      <c r="CH868" s="34"/>
      <c r="CI868" s="8"/>
    </row>
    <row r="869" spans="1:87" x14ac:dyDescent="0.2">
      <c r="A869" s="8" t="str">
        <f>IF(AND(COUNTIF(W$3:W$13,A$36)&gt;0,A$36&lt;&gt;B800),A$36,IFERROR(IF(MATCH(A$36,Z$3:Z$13,0)=3,A$36," ")," "))</f>
        <v>C22</v>
      </c>
      <c r="B869" s="8">
        <f>IF(A869=" "," ",MAX(B848:B868)+1)</f>
        <v>11</v>
      </c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U869" s="34"/>
      <c r="V869" s="34"/>
      <c r="W869" s="34"/>
      <c r="X869" s="34"/>
      <c r="Y869" s="34"/>
      <c r="Z869" s="34"/>
      <c r="AA869" s="34"/>
      <c r="AB869" s="34"/>
      <c r="AC869" s="34"/>
      <c r="AD869" s="34"/>
      <c r="AE869" s="34"/>
      <c r="AF869" s="34"/>
      <c r="AG869" s="34"/>
      <c r="AH869" s="34"/>
      <c r="AI869" s="34"/>
      <c r="AJ869" s="34"/>
      <c r="AK869" s="34"/>
      <c r="AL869" s="34"/>
      <c r="AM869" s="34"/>
      <c r="AN869" s="34"/>
      <c r="AO869" s="34"/>
      <c r="AP869" s="34"/>
      <c r="AQ869" s="34"/>
      <c r="AR869" s="34"/>
      <c r="AS869" s="34"/>
      <c r="AT869" s="34"/>
      <c r="AU869" s="34"/>
      <c r="AV869" s="34"/>
      <c r="AW869" s="34"/>
      <c r="AX869" s="34"/>
      <c r="AY869" s="34"/>
      <c r="AZ869" s="34"/>
      <c r="BA869" s="34"/>
      <c r="BB869" s="34"/>
      <c r="BC869" s="34"/>
      <c r="BD869" s="34"/>
      <c r="BE869" s="34"/>
      <c r="BF869" s="34"/>
      <c r="BG869" s="34"/>
      <c r="BH869" s="34"/>
      <c r="BI869" s="34"/>
      <c r="BJ869" s="34"/>
      <c r="BK869" s="34"/>
      <c r="BL869" s="34"/>
      <c r="BM869" s="34"/>
      <c r="BN869" s="34"/>
      <c r="BO869" s="34"/>
      <c r="BP869" s="34"/>
      <c r="BQ869" s="34"/>
      <c r="BR869" s="34"/>
      <c r="BS869" s="34"/>
      <c r="BT869" s="34"/>
      <c r="BU869" s="34"/>
      <c r="BV869" s="34"/>
      <c r="BW869" s="34"/>
      <c r="BX869" s="34"/>
      <c r="BY869" s="34"/>
      <c r="BZ869" s="34"/>
      <c r="CA869" s="34"/>
      <c r="CB869" s="34"/>
      <c r="CC869" s="34"/>
      <c r="CD869" s="34"/>
      <c r="CE869" s="34"/>
      <c r="CF869" s="34"/>
      <c r="CG869" s="34"/>
      <c r="CH869" s="34"/>
      <c r="CI869" s="8"/>
    </row>
    <row r="870" spans="1:87" x14ac:dyDescent="0.2">
      <c r="A870" s="11" t="s">
        <v>17</v>
      </c>
      <c r="B870" s="11"/>
      <c r="C870" s="27" t="s">
        <v>18</v>
      </c>
      <c r="D870" s="27" t="s">
        <v>2</v>
      </c>
      <c r="E870" s="27" t="s">
        <v>6</v>
      </c>
      <c r="F870" s="27" t="s">
        <v>15</v>
      </c>
      <c r="G870" s="27" t="s">
        <v>36</v>
      </c>
      <c r="H870" s="27" t="s">
        <v>37</v>
      </c>
      <c r="I870" s="27" t="s">
        <v>38</v>
      </c>
      <c r="J870" s="27" t="s">
        <v>39</v>
      </c>
      <c r="K870" s="27" t="s">
        <v>40</v>
      </c>
      <c r="L870" s="27" t="s">
        <v>41</v>
      </c>
      <c r="M870" s="27" t="s">
        <v>42</v>
      </c>
      <c r="N870" s="27" t="s">
        <v>43</v>
      </c>
      <c r="O870" s="27" t="s">
        <v>9</v>
      </c>
      <c r="P870" s="27" t="s">
        <v>12</v>
      </c>
      <c r="Q870" s="27" t="s">
        <v>19</v>
      </c>
      <c r="R870" s="27" t="s">
        <v>55</v>
      </c>
      <c r="S870" s="27" t="s">
        <v>26</v>
      </c>
      <c r="T870" s="19" t="s">
        <v>25</v>
      </c>
      <c r="U870" s="33" t="s">
        <v>27</v>
      </c>
      <c r="V870" s="33" t="s">
        <v>9</v>
      </c>
      <c r="W870" s="33" t="s">
        <v>23</v>
      </c>
      <c r="X870" s="33" t="s">
        <v>12</v>
      </c>
      <c r="Y870" s="33" t="s">
        <v>26</v>
      </c>
      <c r="Z870" s="33" t="s">
        <v>25</v>
      </c>
      <c r="AA870" s="33" t="s">
        <v>27</v>
      </c>
      <c r="AB870" s="33" t="s">
        <v>9</v>
      </c>
      <c r="AC870" s="33" t="s">
        <v>23</v>
      </c>
      <c r="AD870" s="33" t="s">
        <v>12</v>
      </c>
      <c r="AE870" s="33" t="s">
        <v>26</v>
      </c>
      <c r="AF870" s="33" t="s">
        <v>25</v>
      </c>
      <c r="AG870" s="33" t="s">
        <v>27</v>
      </c>
      <c r="AH870" s="33" t="s">
        <v>9</v>
      </c>
      <c r="AI870" s="33" t="s">
        <v>23</v>
      </c>
      <c r="AJ870" s="33" t="s">
        <v>12</v>
      </c>
      <c r="AK870" s="33" t="s">
        <v>26</v>
      </c>
      <c r="AL870" s="33" t="s">
        <v>25</v>
      </c>
      <c r="AM870" s="33" t="s">
        <v>27</v>
      </c>
      <c r="AN870" s="33" t="s">
        <v>9</v>
      </c>
      <c r="AO870" s="33" t="s">
        <v>23</v>
      </c>
      <c r="AP870" s="33" t="s">
        <v>12</v>
      </c>
      <c r="AQ870" s="33" t="s">
        <v>26</v>
      </c>
      <c r="AR870" s="33" t="s">
        <v>25</v>
      </c>
      <c r="AS870" s="33" t="s">
        <v>27</v>
      </c>
      <c r="AT870" s="33" t="s">
        <v>9</v>
      </c>
      <c r="AU870" s="33" t="s">
        <v>23</v>
      </c>
      <c r="AV870" s="33" t="s">
        <v>12</v>
      </c>
      <c r="AW870" s="33" t="s">
        <v>26</v>
      </c>
      <c r="AX870" s="33" t="s">
        <v>25</v>
      </c>
      <c r="AY870" s="33" t="s">
        <v>27</v>
      </c>
      <c r="AZ870" s="33" t="s">
        <v>9</v>
      </c>
      <c r="BA870" s="33" t="s">
        <v>23</v>
      </c>
      <c r="BB870" s="33" t="s">
        <v>12</v>
      </c>
      <c r="BC870" s="33" t="s">
        <v>26</v>
      </c>
      <c r="BD870" s="33" t="s">
        <v>25</v>
      </c>
      <c r="BE870" s="33" t="s">
        <v>27</v>
      </c>
      <c r="BF870" s="33" t="s">
        <v>9</v>
      </c>
      <c r="BG870" s="33" t="s">
        <v>23</v>
      </c>
      <c r="BH870" s="33" t="s">
        <v>12</v>
      </c>
      <c r="BI870" s="33" t="s">
        <v>26</v>
      </c>
      <c r="BJ870" s="33" t="s">
        <v>25</v>
      </c>
      <c r="BK870" s="33" t="s">
        <v>27</v>
      </c>
      <c r="BL870" s="33" t="s">
        <v>9</v>
      </c>
      <c r="BM870" s="33" t="s">
        <v>23</v>
      </c>
      <c r="BN870" s="33" t="s">
        <v>12</v>
      </c>
      <c r="BO870" s="33" t="s">
        <v>26</v>
      </c>
      <c r="BP870" s="33" t="s">
        <v>25</v>
      </c>
      <c r="BQ870" s="33" t="s">
        <v>27</v>
      </c>
      <c r="BR870" s="33" t="s">
        <v>9</v>
      </c>
      <c r="BS870" s="33" t="s">
        <v>23</v>
      </c>
      <c r="BT870" s="33" t="s">
        <v>12</v>
      </c>
      <c r="BU870" s="33" t="s">
        <v>26</v>
      </c>
      <c r="BV870" s="33" t="s">
        <v>25</v>
      </c>
      <c r="BW870" s="33" t="s">
        <v>27</v>
      </c>
      <c r="BX870" s="33" t="s">
        <v>9</v>
      </c>
      <c r="BY870" s="33" t="s">
        <v>23</v>
      </c>
      <c r="BZ870" s="33" t="s">
        <v>12</v>
      </c>
      <c r="CA870" s="33" t="s">
        <v>26</v>
      </c>
      <c r="CB870" s="33" t="s">
        <v>25</v>
      </c>
      <c r="CC870" s="33" t="s">
        <v>27</v>
      </c>
      <c r="CD870" s="33" t="s">
        <v>9</v>
      </c>
      <c r="CE870" s="33" t="s">
        <v>23</v>
      </c>
      <c r="CF870" s="33" t="s">
        <v>12</v>
      </c>
      <c r="CG870" s="33" t="s">
        <v>26</v>
      </c>
      <c r="CH870" s="33" t="s">
        <v>25</v>
      </c>
      <c r="CI870" s="8"/>
    </row>
    <row r="871" spans="1:87" x14ac:dyDescent="0.2">
      <c r="A871" s="8" t="str">
        <f>IF(AND(COUNTIF(W$3:W$13,A$15)&gt;0,A$15&lt;&gt;B800),A$15,IFERROR(IF(MATCH(A$15,Z$3:Z$13,0)=4,A$15," ")," "))</f>
        <v xml:space="preserve"> </v>
      </c>
      <c r="B871" s="8" t="str">
        <f>IF(A871=" "," ",1)</f>
        <v xml:space="preserve"> </v>
      </c>
      <c r="C871" s="8" t="str">
        <f>IFERROR(INDEX(A871:A892,MATCH(SMALL(B871:B892,1),B871:B892,0),1)," ")</f>
        <v>C3</v>
      </c>
      <c r="D871" s="8">
        <f>IFERROR(VLOOKUP($C871,$A$15:$O$36,2,FALSE)," ")</f>
        <v>2</v>
      </c>
      <c r="E871" s="8">
        <f>IFERROR(VLOOKUP($C871,$A$15:$O$36,3,FALSE)," ")</f>
        <v>5</v>
      </c>
      <c r="F871" s="8">
        <f>IFERROR(VLOOKUP($C871,$A$15:$O$36,4,FALSE)," ")</f>
        <v>6</v>
      </c>
      <c r="G871" s="8">
        <f>IFERROR(VLOOKUP($C871,$A$15:$O$36,5,FALSE)," ")</f>
        <v>0</v>
      </c>
      <c r="H871" s="8">
        <f>IFERROR(VLOOKUP($C871,$A$15:$O$36,6,FALSE)," ")</f>
        <v>0</v>
      </c>
      <c r="I871" s="8">
        <f>IFERROR(VLOOKUP($C871,$A$15:$O$36,7,FALSE)," ")</f>
        <v>0</v>
      </c>
      <c r="J871" s="8">
        <f>IFERROR(VLOOKUP($C871,$A$15:$O$36,8,FALSE)," ")</f>
        <v>0</v>
      </c>
      <c r="K871" s="8">
        <f>IFERROR(VLOOKUP($C871,$A$15:$O$36,9,FALSE)," ")</f>
        <v>0</v>
      </c>
      <c r="L871" s="8">
        <f>IFERROR(VLOOKUP($C871,$A$15:$O$36,10,FALSE)," ")</f>
        <v>0</v>
      </c>
      <c r="M871" s="8">
        <f>IFERROR(VLOOKUP($C871,$A$15:$O$36,11,FALSE)," ")</f>
        <v>0</v>
      </c>
      <c r="N871" s="8">
        <f>IFERROR(VLOOKUP($C871,$A$15:$O$36,12,FALSE)," ")</f>
        <v>0</v>
      </c>
      <c r="O871" s="8">
        <f>IFERROR(VLOOKUP($C871,$A$15:$O$36,15,FALSE)," ")</f>
        <v>2000</v>
      </c>
      <c r="P871" s="8" t="e">
        <f t="array" ref="P871:P881">MMULT(MINVERSE(D871:N881),O871:O881)</f>
        <v>#NUM!</v>
      </c>
      <c r="Q871" s="8" t="e">
        <f t="shared" ref="Q871" si="3620">IF(COUNTIF(P871:P881,"&lt;"&amp;-0.001)=0,IF(ABS(P871)&lt;0.001,0,P871)," ")</f>
        <v>#NUM!</v>
      </c>
      <c r="R871" s="8" t="str">
        <f>IFERROR(VLOOKUP(B800,A$15:L$36,2,FALSE)*Q871+VLOOKUP(B800,A$15:L$36,3,FALSE)*Q872+VLOOKUP(B800,A$15:L$36,4,FALSE)*Q873+VLOOKUP(B800,A$15:L$36,5,FALSE)*Q874+VLOOKUP(B800,A$15:L$36,6,FALSE)*Q875+VLOOKUP(B800,A$15:L$36,7,FALSE)*Q876+VLOOKUP(B800,A$15:L$36,8,FALSE)*Q877+VLOOKUP(B800,A$15:L$36,9,FALSE)*Q878+VLOOKUP(B800,A$15:L$36,10,FALSE)*Q879+VLOOKUP(B800,A$15:L$36,11,FALSE)*Q880+VLOOKUP(B800,A$15:L$36,12,FALSE)*Q881," ")</f>
        <v xml:space="preserve"> </v>
      </c>
      <c r="S871" s="8" t="str">
        <f>IFERROR(IF(R871-VLOOKUP(B800,A$15:O$36,15,FALSE)&lt;0,R871-VLOOKUP(B800,A$15:O$36,15,FALSE)," ")," ")</f>
        <v xml:space="preserve"> </v>
      </c>
      <c r="T871" s="18" t="str">
        <f>IFERROR(IF(R871-VLOOKUP(B800,A$15:O$36,15,FALSE)&gt;0,R871-VLOOKUP(B800,A$15:O$36,15,FALSE)," ")," ")</f>
        <v xml:space="preserve"> </v>
      </c>
      <c r="U871" s="34">
        <f t="shared" ref="U871" si="3621">$M$2</f>
        <v>100.00000000000001</v>
      </c>
      <c r="V871" s="34">
        <v>-1</v>
      </c>
      <c r="W871" s="34">
        <f t="shared" ref="W871" si="3622">-SUMPRODUCT($M$3:$M$12,$N$3:$N$12)</f>
        <v>-105000</v>
      </c>
      <c r="X871" s="34" t="e">
        <f t="shared" ref="X871" si="3623">IF(U871&lt;&gt;U872,MMULT(MINVERSE(U871:V872),W871:W872)," ")</f>
        <v>#NUM!</v>
      </c>
      <c r="Y871" s="34" t="str">
        <f t="shared" ref="Y871" si="3624">IFERROR(IF(X871-VLOOKUP(U$38,$A$2:$N$12,14,FALSE)&lt;0,X871-VLOOKUP(U$38,$A$2:$N$12,14,FALSE)," ")," ")</f>
        <v xml:space="preserve"> </v>
      </c>
      <c r="Z871" s="34" t="str">
        <f t="shared" ref="Z871" si="3625">IFERROR(IF(X871-VLOOKUP(U$38,$A$2:$N$12,14,FALSE)&gt;0,X871-VLOOKUP(U$38,$A$2:$N$12,14,FALSE)," ")," ")</f>
        <v xml:space="preserve"> </v>
      </c>
      <c r="AA871" s="34">
        <f t="shared" ref="AA871" si="3626">$M$3</f>
        <v>0</v>
      </c>
      <c r="AB871" s="34">
        <v>-1</v>
      </c>
      <c r="AC871" s="34">
        <f t="shared" ref="AC871" si="3627">-SUMPRODUCT($M$2:$M$2,$N$2:$N$2)-SUMPRODUCT($M$4:$M$12,$N$4:$N$12)</f>
        <v>-120000</v>
      </c>
      <c r="AD871" s="34" t="e">
        <f t="shared" ref="AD871" si="3628">IF(AA871&lt;&gt;AA872,MMULT(MINVERSE(AA871:AB872),AC871:AC872)," ")</f>
        <v>#NUM!</v>
      </c>
      <c r="AE871" s="34" t="str">
        <f t="shared" ref="AE871" si="3629">IFERROR(IF(AD871-VLOOKUP(AA$38,$A$2:$N$12,14,FALSE)&lt;0,AD871-VLOOKUP(AA$38,$A$2:$N$12,14,FALSE)," ")," ")</f>
        <v xml:space="preserve"> </v>
      </c>
      <c r="AF871" s="34" t="str">
        <f t="shared" ref="AF871" si="3630">IFERROR(IF(AD871-VLOOKUP(AA$38,$A$2:$N$12,14,FALSE)&gt;0,AD871-VLOOKUP(AA$38,$A$2:$N$12,14,FALSE)," ")," ")</f>
        <v xml:space="preserve"> </v>
      </c>
      <c r="AG871" s="34">
        <f t="shared" ref="AG871" si="3631">$M$4</f>
        <v>300</v>
      </c>
      <c r="AH871" s="34">
        <v>-1</v>
      </c>
      <c r="AI871" s="34">
        <f t="shared" ref="AI871" si="3632">-SUMPRODUCT($M$2:$M$3,$N$2:$N$3)-SUMPRODUCT($M$5:$M$12,$N$5:$N$12)</f>
        <v>-15000.000000000002</v>
      </c>
      <c r="AJ871" s="34" t="e">
        <f t="shared" ref="AJ871" si="3633">IF(AG871&lt;&gt;AG872,MMULT(MINVERSE(AG871:AH872),AI871:AI872)," ")</f>
        <v>#NUM!</v>
      </c>
      <c r="AK871" s="34" t="str">
        <f t="shared" ref="AK871" si="3634">IFERROR(IF(AJ871-VLOOKUP(AG$38,$A$2:$N$12,14,FALSE)&lt;0,AJ871-VLOOKUP(AG$38,$A$2:$N$12,14,FALSE)," ")," ")</f>
        <v xml:space="preserve"> </v>
      </c>
      <c r="AL871" s="34" t="str">
        <f t="shared" ref="AL871" si="3635">IFERROR(IF(AJ871-VLOOKUP(AG$38,$A$2:$N$12,14,FALSE)&gt;0,AJ871-VLOOKUP(AG$38,$A$2:$N$12,14,FALSE)," ")," ")</f>
        <v xml:space="preserve"> </v>
      </c>
      <c r="AM871" s="34">
        <f t="shared" ref="AM871" si="3636">$M$5</f>
        <v>0</v>
      </c>
      <c r="AN871" s="34">
        <v>-1</v>
      </c>
      <c r="AO871" s="34">
        <f t="shared" ref="AO871" si="3637">-SUMPRODUCT($M$2:$M$4,$N$2:$N$4)-SUMPRODUCT($M$6:$M$12,$N$6:$N$12)</f>
        <v>-120000</v>
      </c>
      <c r="AP871" s="34" t="e">
        <f t="shared" ref="AP871" si="3638">IF(AM871&lt;&gt;AM872,MMULT(MINVERSE(AM871:AN872),AO871:AO872)," ")</f>
        <v>#NUM!</v>
      </c>
      <c r="AQ871" s="34" t="str">
        <f t="shared" ref="AQ871" si="3639">IFERROR(IF(AP871-VLOOKUP(AM$38,$A$2:$N$12,14,FALSE)&lt;0,AP871-VLOOKUP(AM$38,$A$2:$N$12,14,FALSE)," ")," ")</f>
        <v xml:space="preserve"> </v>
      </c>
      <c r="AR871" s="34" t="str">
        <f t="shared" ref="AR871" si="3640">IFERROR(IF(AP871-VLOOKUP(AM$38,$A$2:$N$12,14,FALSE)&gt;0,AP871-VLOOKUP(AM$38,$A$2:$N$12,14,FALSE)," ")," ")</f>
        <v xml:space="preserve"> </v>
      </c>
      <c r="AS871" s="34">
        <f t="shared" ref="AS871" si="3641">$M$6</f>
        <v>0</v>
      </c>
      <c r="AT871" s="34">
        <v>-1</v>
      </c>
      <c r="AU871" s="34">
        <f t="shared" ref="AU871" si="3642">-SUMPRODUCT($M$2:$M$5,$N$2:$N$5)-SUMPRODUCT($M$7:$M$12,$N$7:$N$12)</f>
        <v>-120000</v>
      </c>
      <c r="AV871" s="34" t="e">
        <f t="shared" ref="AV871" si="3643">IF(AS871&lt;&gt;AS872,MMULT(MINVERSE(AS871:AT872),AU871:AU872)," ")</f>
        <v>#NUM!</v>
      </c>
      <c r="AW871" s="34" t="str">
        <f t="shared" ref="AW871" si="3644">IFERROR(IF(AV871-VLOOKUP(AS$38,$A$2:$N$12,14,FALSE)&lt;0,AV871-VLOOKUP(AS$38,$A$2:$N$12,14,FALSE)," ")," ")</f>
        <v xml:space="preserve"> </v>
      </c>
      <c r="AX871" s="34" t="str">
        <f t="shared" ref="AX871" si="3645">IFERROR(IF(AV871-VLOOKUP(AS$38,$A$2:$N$12,14,FALSE)&gt;0,AV871-VLOOKUP(AS$38,$A$2:$N$12,14,FALSE)," ")," ")</f>
        <v xml:space="preserve"> </v>
      </c>
      <c r="AY871" s="34">
        <f t="shared" ref="AY871" si="3646">$M$7</f>
        <v>0</v>
      </c>
      <c r="AZ871" s="34">
        <v>-1</v>
      </c>
      <c r="BA871" s="34">
        <f t="shared" ref="BA871" si="3647">-SUMPRODUCT($M$2:$M$6,$N$2:$N$6)-SUMPRODUCT($M$8:$M$12,$N$8:$N$12)</f>
        <v>-120000</v>
      </c>
      <c r="BB871" s="34" t="e">
        <f t="shared" ref="BB871" si="3648">IF(AY871&lt;&gt;AY872,MMULT(MINVERSE(AY871:AZ872),BA871:BA872)," ")</f>
        <v>#NUM!</v>
      </c>
      <c r="BC871" s="34" t="str">
        <f t="shared" ref="BC871" si="3649">IFERROR(IF(BB871-VLOOKUP(AY$38,$A$2:$N$12,14,FALSE)&lt;0,BB871-VLOOKUP(AY$38,$A$2:$N$12,14,FALSE)," ")," ")</f>
        <v xml:space="preserve"> </v>
      </c>
      <c r="BD871" s="34" t="str">
        <f t="shared" ref="BD871" si="3650">IFERROR(IF(BB871-VLOOKUP(AY$38,$A$2:$N$12,14,FALSE)&gt;0,BB871-VLOOKUP(AY$38,$A$2:$N$12,14,FALSE)," ")," ")</f>
        <v xml:space="preserve"> </v>
      </c>
      <c r="BE871" s="34">
        <f t="shared" ref="BE871" si="3651">$M$8</f>
        <v>0</v>
      </c>
      <c r="BF871" s="34">
        <v>-1</v>
      </c>
      <c r="BG871" s="34">
        <f t="shared" ref="BG871" si="3652">-SUMPRODUCT($M$2:$M$7,$N$2:$N$7)-SUMPRODUCT($M$9:$M$12,$N$9:$N$12)</f>
        <v>-120000</v>
      </c>
      <c r="BH871" s="34" t="e">
        <f t="shared" ref="BH871" si="3653">IF(BE871&lt;&gt;BE872,MMULT(MINVERSE(BE871:BF872),BG871:BG872)," ")</f>
        <v>#NUM!</v>
      </c>
      <c r="BI871" s="34" t="str">
        <f t="shared" ref="BI871" si="3654">IFERROR(IF(BH871-VLOOKUP(BE$38,$A$2:$N$12,14,FALSE)&lt;0,BH871-VLOOKUP(BE$38,$A$2:$N$12,14,FALSE)," ")," ")</f>
        <v xml:space="preserve"> </v>
      </c>
      <c r="BJ871" s="34" t="str">
        <f t="shared" ref="BJ871" si="3655">IFERROR(IF(BH871-VLOOKUP(BE$38,$A$2:$N$12,14,FALSE)&gt;0,BH871-VLOOKUP(BE$38,$A$2:$N$12,14,FALSE)," ")," ")</f>
        <v xml:space="preserve"> </v>
      </c>
      <c r="BK871" s="34">
        <f t="shared" ref="BK871" si="3656">$M$9</f>
        <v>0</v>
      </c>
      <c r="BL871" s="34">
        <v>-1</v>
      </c>
      <c r="BM871" s="34">
        <f t="shared" ref="BM871" si="3657">-SUMPRODUCT($M$2:$M$8,$N$2:$N$8)-SUMPRODUCT($M$10:$M$12,$N$10:$N$12)</f>
        <v>-120000</v>
      </c>
      <c r="BN871" s="34" t="e">
        <f t="shared" ref="BN871" si="3658">IF(BK871&lt;&gt;BK872,MMULT(MINVERSE(BK871:BL872),BM871:BM872)," ")</f>
        <v>#NUM!</v>
      </c>
      <c r="BO871" s="34" t="str">
        <f t="shared" ref="BO871" si="3659">IFERROR(IF(BN871-VLOOKUP(BK$38,$A$2:$N$12,14,FALSE)&lt;0,BN871-VLOOKUP(BK$38,$A$2:$N$12,14,FALSE)," ")," ")</f>
        <v xml:space="preserve"> </v>
      </c>
      <c r="BP871" s="34" t="str">
        <f t="shared" ref="BP871" si="3660">IFERROR(IF(BN871-VLOOKUP(BK$38,$A$2:$N$12,14,FALSE)&gt;0,BN871-VLOOKUP(BK$38,$A$2:$N$12,14,FALSE)," ")," ")</f>
        <v xml:space="preserve"> </v>
      </c>
      <c r="BQ871" s="34">
        <f t="shared" ref="BQ871" si="3661">$M$10</f>
        <v>0</v>
      </c>
      <c r="BR871" s="34">
        <v>-1</v>
      </c>
      <c r="BS871" s="34">
        <f t="shared" ref="BS871" si="3662">-SUMPRODUCT($M$2:$M$9,$N$2:$N$9)-SUMPRODUCT($M$11:$M$12,$N$11:$N$12)</f>
        <v>-120000</v>
      </c>
      <c r="BT871" s="34" t="e">
        <f t="shared" ref="BT871" si="3663">IF(BQ871&lt;&gt;BQ872,MMULT(MINVERSE(BQ871:BR872),BS871:BS872)," ")</f>
        <v>#NUM!</v>
      </c>
      <c r="BU871" s="34" t="str">
        <f t="shared" ref="BU871" si="3664">IFERROR(IF(BT871-VLOOKUP(BQ$38,$A$2:$N$12,14,FALSE)&lt;0,BT871-VLOOKUP(BQ$38,$A$2:$N$12,14,FALSE)," ")," ")</f>
        <v xml:space="preserve"> </v>
      </c>
      <c r="BV871" s="34" t="str">
        <f t="shared" ref="BV871" si="3665">IFERROR(IF(BT871-VLOOKUP(BQ$38,$A$2:$N$12,14,FALSE)&gt;0,BT871-VLOOKUP(BQ$38,$A$2:$N$12,14,FALSE)," ")," ")</f>
        <v xml:space="preserve"> </v>
      </c>
      <c r="BW871" s="34">
        <f t="shared" ref="BW871" si="3666">$M$11</f>
        <v>0</v>
      </c>
      <c r="BX871" s="34">
        <v>-1</v>
      </c>
      <c r="BY871" s="34">
        <f t="shared" ref="BY871" si="3667">-SUMPRODUCT($M$2:$M$10,$N$2:$N$10)-SUMPRODUCT($M$12,$N$12)</f>
        <v>-120000</v>
      </c>
      <c r="BZ871" s="34" t="e">
        <f t="shared" ref="BZ871" si="3668">IF(BW871&lt;&gt;BW872,MMULT(MINVERSE(BW871:BX872),BY871:BY872)," ")</f>
        <v>#NUM!</v>
      </c>
      <c r="CA871" s="34" t="str">
        <f t="shared" ref="CA871" si="3669">IFERROR(IF(BZ871-VLOOKUP(BW$38,$A$2:$N$12,14,FALSE)&lt;0,BZ871-VLOOKUP(BW$38,$A$2:$N$12,14,FALSE)," ")," ")</f>
        <v xml:space="preserve"> </v>
      </c>
      <c r="CB871" s="34" t="str">
        <f t="shared" ref="CB871" si="3670">IFERROR(IF(BZ871-VLOOKUP(BW$38,$A$2:$N$12,14,FALSE)&gt;0,BZ871-VLOOKUP(BW$38,$A$2:$N$12,14,FALSE)," ")," ")</f>
        <v xml:space="preserve"> </v>
      </c>
      <c r="CC871" s="34">
        <f t="shared" ref="CC871" si="3671">$M$12</f>
        <v>0</v>
      </c>
      <c r="CD871" s="34">
        <v>-1</v>
      </c>
      <c r="CE871" s="34">
        <f t="shared" ref="CE871" si="3672">-SUMPRODUCT($M$2:$M$11,$N$2:$N$11)</f>
        <v>-120000</v>
      </c>
      <c r="CF871" s="34" t="e">
        <f t="shared" ref="CF871" si="3673">IF(CC871&lt;&gt;CC872,MMULT(MINVERSE(CC871:CD872),CE871:CE872)," ")</f>
        <v>#NUM!</v>
      </c>
      <c r="CG871" s="34" t="str">
        <f t="shared" ref="CG871" si="3674">IFERROR(IF(CF871-VLOOKUP(CC$38,$A$2:$N$12,14,FALSE)&lt;0,CF871-VLOOKUP(CC$38,$A$2:$N$12,14,FALSE)," ")," ")</f>
        <v xml:space="preserve"> </v>
      </c>
      <c r="CH871" s="34" t="str">
        <f t="shared" ref="CH871" si="3675">IFERROR(IF(CF871-VLOOKUP(CC$38,$A$2:$N$12,14,FALSE)&gt;0,CF871-VLOOKUP(CC$38,$A$2:$N$12,14,FALSE)," ")," ")</f>
        <v xml:space="preserve"> </v>
      </c>
      <c r="CI871" s="8"/>
    </row>
    <row r="872" spans="1:87" x14ac:dyDescent="0.2">
      <c r="A872" s="8" t="str">
        <f>IF(AND(COUNTIF(W$3:W$13,A$16)&gt;0,A$16&lt;&gt;B800),A$16,IFERROR(IF(MATCH(A$16,Z$3:Z$13,0)=4,A$16," ")," "))</f>
        <v xml:space="preserve"> </v>
      </c>
      <c r="B872" s="8" t="str">
        <f>IF(A872=" "," ",MAX(B871:B871)+1)</f>
        <v xml:space="preserve"> </v>
      </c>
      <c r="C872" s="8" t="str">
        <f>IFERROR(INDEX(A871:A892,MATCH(SMALL(B871:B892,2),B871:B892,0),1)," ")</f>
        <v>C4</v>
      </c>
      <c r="D872" s="8">
        <f t="shared" ref="D872:D881" si="3676">IFERROR(VLOOKUP($C872,$A$15:$O$36,2,FALSE)," ")</f>
        <v>1</v>
      </c>
      <c r="E872" s="8">
        <f t="shared" ref="E872:E881" si="3677">IFERROR(VLOOKUP($C872,$A$15:$O$36,3,FALSE)," ")</f>
        <v>0</v>
      </c>
      <c r="F872" s="8">
        <f t="shared" ref="F872:F881" si="3678">IFERROR(VLOOKUP($C872,$A$15:$O$36,4,FALSE)," ")</f>
        <v>1</v>
      </c>
      <c r="G872" s="8">
        <f t="shared" ref="G872:G881" si="3679">IFERROR(VLOOKUP($C872,$A$15:$O$36,5,FALSE)," ")</f>
        <v>0</v>
      </c>
      <c r="H872" s="8">
        <f t="shared" ref="H872:H881" si="3680">IFERROR(VLOOKUP($C872,$A$15:$O$36,6,FALSE)," ")</f>
        <v>0</v>
      </c>
      <c r="I872" s="8">
        <f t="shared" ref="I872:I881" si="3681">IFERROR(VLOOKUP($C872,$A$15:$O$36,7,FALSE)," ")</f>
        <v>0</v>
      </c>
      <c r="J872" s="8">
        <f t="shared" ref="J872:J881" si="3682">IFERROR(VLOOKUP($C872,$A$15:$O$36,8,FALSE)," ")</f>
        <v>0</v>
      </c>
      <c r="K872" s="8">
        <f t="shared" ref="K872:K881" si="3683">IFERROR(VLOOKUP($C872,$A$15:$O$36,9,FALSE)," ")</f>
        <v>0</v>
      </c>
      <c r="L872" s="8">
        <f t="shared" ref="L872:L881" si="3684">IFERROR(VLOOKUP($C872,$A$15:$O$36,10,FALSE)," ")</f>
        <v>0</v>
      </c>
      <c r="M872" s="8">
        <f t="shared" ref="M872:M881" si="3685">IFERROR(VLOOKUP($C872,$A$15:$O$36,11,FALSE)," ")</f>
        <v>0</v>
      </c>
      <c r="N872" s="8">
        <f t="shared" ref="N872:N881" si="3686">IFERROR(VLOOKUP($C872,$A$15:$O$36,12,FALSE)," ")</f>
        <v>0</v>
      </c>
      <c r="O872" s="8">
        <f t="shared" ref="O872:O881" si="3687">IFERROR(VLOOKUP($C872,$A$15:$O$36,15,FALSE)," ")</f>
        <v>400</v>
      </c>
      <c r="P872" s="8" t="e">
        <v>#NUM!</v>
      </c>
      <c r="Q872" s="8" t="e">
        <f t="shared" ref="Q872" si="3688">IF(COUNTIF(P871:P881,"&lt;"&amp;-0.001)=0,IF(ABS(P872)&lt;0.001,0,P872)," ")</f>
        <v>#NUM!</v>
      </c>
      <c r="R872" s="8"/>
      <c r="S872" s="8"/>
      <c r="U872" s="34" t="e">
        <f t="shared" ref="U872" si="3689">$Q871</f>
        <v>#NUM!</v>
      </c>
      <c r="V872" s="34">
        <v>-1</v>
      </c>
      <c r="W872" s="34" t="e">
        <f t="shared" ref="W872" si="3690">-SUMPRODUCT($Q872:$Q881,$N$3:$N$12)</f>
        <v>#NUM!</v>
      </c>
      <c r="X872" s="34"/>
      <c r="Y872" s="34"/>
      <c r="Z872" s="34"/>
      <c r="AA872" s="34" t="e">
        <f t="shared" ref="AA872" si="3691">$Q872</f>
        <v>#NUM!</v>
      </c>
      <c r="AB872" s="34">
        <v>-1</v>
      </c>
      <c r="AC872" s="34" t="e">
        <f t="shared" ref="AC872" si="3692">-SUMPRODUCT($Q871:$Q871,$N$2:$N$2)-SUMPRODUCT($Q873:$Q881,$N$4:$N$12)</f>
        <v>#NUM!</v>
      </c>
      <c r="AD872" s="34"/>
      <c r="AE872" s="34"/>
      <c r="AF872" s="34"/>
      <c r="AG872" s="34" t="e">
        <f t="shared" ref="AG872" si="3693">$Q873</f>
        <v>#NUM!</v>
      </c>
      <c r="AH872" s="34">
        <v>-1</v>
      </c>
      <c r="AI872" s="34" t="e">
        <f t="shared" ref="AI872" si="3694">-SUMPRODUCT($Q871:$Q872,$N$2:$N$3)-SUMPRODUCT($Q874:$Q881,$N$5:$N$12)</f>
        <v>#NUM!</v>
      </c>
      <c r="AJ872" s="34"/>
      <c r="AK872" s="34"/>
      <c r="AL872" s="34"/>
      <c r="AM872" s="34" t="e">
        <f t="shared" ref="AM872" si="3695">$Q874</f>
        <v>#NUM!</v>
      </c>
      <c r="AN872" s="34">
        <v>-1</v>
      </c>
      <c r="AO872" s="34" t="e">
        <f t="shared" ref="AO872" si="3696">-SUMPRODUCT($Q871:$Q873,$N$2:$N$4)-SUMPRODUCT($Q875:$Q881,$N$6:$N$12)</f>
        <v>#NUM!</v>
      </c>
      <c r="AP872" s="34"/>
      <c r="AQ872" s="34"/>
      <c r="AR872" s="34"/>
      <c r="AS872" s="34" t="e">
        <f t="shared" ref="AS872" si="3697">$Q875</f>
        <v>#NUM!</v>
      </c>
      <c r="AT872" s="34">
        <v>-1</v>
      </c>
      <c r="AU872" s="34" t="e">
        <f t="shared" ref="AU872" si="3698">-SUMPRODUCT($Q871:$Q874,$N$2:$N$5)-SUMPRODUCT($Q876:$Q881,$N$7:$N$12)</f>
        <v>#NUM!</v>
      </c>
      <c r="AV872" s="34"/>
      <c r="AW872" s="34"/>
      <c r="AX872" s="34"/>
      <c r="AY872" s="34" t="e">
        <f t="shared" ref="AY872" si="3699">$Q876</f>
        <v>#NUM!</v>
      </c>
      <c r="AZ872" s="34">
        <v>-1</v>
      </c>
      <c r="BA872" s="34" t="e">
        <f t="shared" ref="BA872" si="3700">-SUMPRODUCT($Q871:$Q875,$N$2:$N$6)-SUMPRODUCT($Q877:$Q881,$N$8:$N$12)</f>
        <v>#NUM!</v>
      </c>
      <c r="BB872" s="34"/>
      <c r="BC872" s="34"/>
      <c r="BD872" s="34"/>
      <c r="BE872" s="34" t="e">
        <f t="shared" ref="BE872" si="3701">$Q877</f>
        <v>#NUM!</v>
      </c>
      <c r="BF872" s="34">
        <v>-1</v>
      </c>
      <c r="BG872" s="34" t="e">
        <f t="shared" ref="BG872" si="3702">-SUMPRODUCT($Q871:$Q876,$N$2:$N$7)-SUMPRODUCT($Q878:$Q881,$N$9:$N$12)</f>
        <v>#NUM!</v>
      </c>
      <c r="BH872" s="34"/>
      <c r="BI872" s="34"/>
      <c r="BJ872" s="34"/>
      <c r="BK872" s="34" t="e">
        <f t="shared" ref="BK872" si="3703">$Q878</f>
        <v>#NUM!</v>
      </c>
      <c r="BL872" s="34">
        <v>-1</v>
      </c>
      <c r="BM872" s="34" t="e">
        <f t="shared" ref="BM872" si="3704">-SUMPRODUCT($Q871:$Q877,$N$2:$N$8)-SUMPRODUCT($Q879:$Q881,$N$10:$N$12)</f>
        <v>#NUM!</v>
      </c>
      <c r="BN872" s="34"/>
      <c r="BO872" s="34"/>
      <c r="BP872" s="34"/>
      <c r="BQ872" s="34" t="e">
        <f t="shared" ref="BQ872" si="3705">$Q879</f>
        <v>#NUM!</v>
      </c>
      <c r="BR872" s="34">
        <v>-1</v>
      </c>
      <c r="BS872" s="34" t="e">
        <f t="shared" ref="BS872" si="3706">-SUMPRODUCT($Q871:$Q878,$N$2:$N$9)-SUMPRODUCT($Q880:$Q881,$N$11:$N$12)</f>
        <v>#NUM!</v>
      </c>
      <c r="BT872" s="34"/>
      <c r="BU872" s="34"/>
      <c r="BV872" s="34"/>
      <c r="BW872" s="34" t="e">
        <f t="shared" ref="BW872" si="3707">$Q880</f>
        <v>#NUM!</v>
      </c>
      <c r="BX872" s="34">
        <v>-1</v>
      </c>
      <c r="BY872" s="34" t="e">
        <f t="shared" ref="BY872" si="3708">-SUMPRODUCT($Q871:$Q879,$N$2:$N$10)-SUMPRODUCT($Q881,$N$12)</f>
        <v>#NUM!</v>
      </c>
      <c r="BZ872" s="34"/>
      <c r="CA872" s="34"/>
      <c r="CB872" s="34"/>
      <c r="CC872" s="34" t="e">
        <f t="shared" ref="CC872" si="3709">$Q881</f>
        <v>#NUM!</v>
      </c>
      <c r="CD872" s="34">
        <v>-1</v>
      </c>
      <c r="CE872" s="34" t="e">
        <f t="shared" ref="CE872" si="3710">-SUMPRODUCT($Q871:$Q880,$N$2:$N$11)</f>
        <v>#NUM!</v>
      </c>
      <c r="CF872" s="34"/>
      <c r="CG872" s="34"/>
      <c r="CH872" s="34"/>
      <c r="CI872" s="8"/>
    </row>
    <row r="873" spans="1:87" x14ac:dyDescent="0.2">
      <c r="A873" s="8" t="str">
        <f>IF(AND(COUNTIF(W$3:W$13,A$17)&gt;0,A$17&lt;&gt;B800),A$17,IFERROR(IF(MATCH(A$17,Z$3:Z$13,0)=4,A$17," ")," "))</f>
        <v>C3</v>
      </c>
      <c r="B873" s="8">
        <f>IF(A873=" "," ",MAX(B871:B872)+1)</f>
        <v>1</v>
      </c>
      <c r="C873" s="8" t="str">
        <f>IFERROR(INDEX(A871:A892,MATCH(SMALL(B871:B892,3),B871:B892,0),1)," ")</f>
        <v>C6</v>
      </c>
      <c r="D873" s="8">
        <f t="shared" si="3676"/>
        <v>0</v>
      </c>
      <c r="E873" s="8">
        <f t="shared" si="3677"/>
        <v>0</v>
      </c>
      <c r="F873" s="8">
        <f t="shared" si="3678"/>
        <v>0</v>
      </c>
      <c r="G873" s="8">
        <f t="shared" si="3679"/>
        <v>0</v>
      </c>
      <c r="H873" s="8">
        <f t="shared" si="3680"/>
        <v>0</v>
      </c>
      <c r="I873" s="8">
        <f t="shared" si="3681"/>
        <v>0</v>
      </c>
      <c r="J873" s="8">
        <f t="shared" si="3682"/>
        <v>0</v>
      </c>
      <c r="K873" s="8">
        <f t="shared" si="3683"/>
        <v>0</v>
      </c>
      <c r="L873" s="8">
        <f t="shared" si="3684"/>
        <v>0</v>
      </c>
      <c r="M873" s="8">
        <f t="shared" si="3685"/>
        <v>0</v>
      </c>
      <c r="N873" s="8">
        <f t="shared" si="3686"/>
        <v>0</v>
      </c>
      <c r="O873" s="8">
        <f t="shared" si="3687"/>
        <v>0</v>
      </c>
      <c r="P873" s="8" t="e">
        <v>#NUM!</v>
      </c>
      <c r="Q873" s="8" t="e">
        <f t="shared" ref="Q873" si="3711">IF(COUNTIF(P871:P881,"&lt;"&amp;-0.001)=0,IF(ABS(P873)&lt;0.001,0,P873)," ")</f>
        <v>#NUM!</v>
      </c>
      <c r="R873" s="8"/>
      <c r="S873" s="8"/>
      <c r="U873" s="34"/>
      <c r="V873" s="34"/>
      <c r="W873" s="34"/>
      <c r="X873" s="34"/>
      <c r="Y873" s="34"/>
      <c r="Z873" s="34"/>
      <c r="AA873" s="34"/>
      <c r="AB873" s="34"/>
      <c r="AC873" s="34"/>
      <c r="AD873" s="34"/>
      <c r="AE873" s="34"/>
      <c r="AF873" s="34"/>
      <c r="AG873" s="34"/>
      <c r="AH873" s="34"/>
      <c r="AI873" s="34"/>
      <c r="AJ873" s="34"/>
      <c r="AK873" s="34"/>
      <c r="AL873" s="34"/>
      <c r="AM873" s="34"/>
      <c r="AN873" s="34"/>
      <c r="AO873" s="34"/>
      <c r="AP873" s="34"/>
      <c r="AQ873" s="34"/>
      <c r="AR873" s="34"/>
      <c r="AS873" s="34"/>
      <c r="AT873" s="34"/>
      <c r="AU873" s="34"/>
      <c r="AV873" s="34"/>
      <c r="AW873" s="34"/>
      <c r="AX873" s="34"/>
      <c r="AY873" s="34"/>
      <c r="AZ873" s="34"/>
      <c r="BA873" s="34"/>
      <c r="BB873" s="34"/>
      <c r="BC873" s="34"/>
      <c r="BD873" s="34"/>
      <c r="BE873" s="34"/>
      <c r="BF873" s="34"/>
      <c r="BG873" s="34"/>
      <c r="BH873" s="34"/>
      <c r="BI873" s="34"/>
      <c r="BJ873" s="34"/>
      <c r="BK873" s="34"/>
      <c r="BL873" s="34"/>
      <c r="BM873" s="34"/>
      <c r="BN873" s="34"/>
      <c r="BO873" s="34"/>
      <c r="BP873" s="34"/>
      <c r="BQ873" s="34"/>
      <c r="BR873" s="34"/>
      <c r="BS873" s="34"/>
      <c r="BT873" s="34"/>
      <c r="BU873" s="34"/>
      <c r="BV873" s="34"/>
      <c r="BW873" s="34"/>
      <c r="BX873" s="34"/>
      <c r="BY873" s="34"/>
      <c r="BZ873" s="34"/>
      <c r="CA873" s="34"/>
      <c r="CB873" s="34"/>
      <c r="CC873" s="34"/>
      <c r="CD873" s="34"/>
      <c r="CE873" s="34"/>
      <c r="CF873" s="34"/>
      <c r="CG873" s="34"/>
      <c r="CH873" s="34"/>
      <c r="CI873" s="8"/>
    </row>
    <row r="874" spans="1:87" x14ac:dyDescent="0.2">
      <c r="A874" s="8" t="str">
        <f>IF(AND(COUNTIF(W$3:W$13,A$18)&gt;0,A$18&lt;&gt;B800),A$18,IFERROR(IF(MATCH(A$18,Z$3:Z$13,0)=4,A$18," ")," "))</f>
        <v>C4</v>
      </c>
      <c r="B874" s="8">
        <f>IF(A874=" "," ",MAX(B871:B873)+1)</f>
        <v>2</v>
      </c>
      <c r="C874" s="8" t="str">
        <f>IFERROR(INDEX(A871:A892,MATCH(SMALL(B871:B892,4),B871:B892,0),1)," ")</f>
        <v>C13</v>
      </c>
      <c r="D874" s="8">
        <f t="shared" si="3676"/>
        <v>0</v>
      </c>
      <c r="E874" s="8">
        <f t="shared" si="3677"/>
        <v>1</v>
      </c>
      <c r="F874" s="8">
        <f t="shared" si="3678"/>
        <v>0</v>
      </c>
      <c r="G874" s="8">
        <f t="shared" si="3679"/>
        <v>0</v>
      </c>
      <c r="H874" s="8">
        <f t="shared" si="3680"/>
        <v>0</v>
      </c>
      <c r="I874" s="8">
        <f t="shared" si="3681"/>
        <v>0</v>
      </c>
      <c r="J874" s="8">
        <f t="shared" si="3682"/>
        <v>0</v>
      </c>
      <c r="K874" s="8">
        <f t="shared" si="3683"/>
        <v>0</v>
      </c>
      <c r="L874" s="8">
        <f t="shared" si="3684"/>
        <v>0</v>
      </c>
      <c r="M874" s="8">
        <f t="shared" si="3685"/>
        <v>0</v>
      </c>
      <c r="N874" s="8">
        <f t="shared" si="3686"/>
        <v>0</v>
      </c>
      <c r="O874" s="8">
        <f t="shared" si="3687"/>
        <v>0</v>
      </c>
      <c r="P874" s="8" t="e">
        <v>#NUM!</v>
      </c>
      <c r="Q874" s="8" t="e">
        <f t="shared" ref="Q874" si="3712">IF(COUNTIF(P871:P881,"&lt;"&amp;-0.001)=0,IF(ABS(P874)&lt;0.001,0,P874)," ")</f>
        <v>#NUM!</v>
      </c>
      <c r="R874" s="8"/>
      <c r="S874" s="8"/>
      <c r="U874" s="34"/>
      <c r="V874" s="34"/>
      <c r="W874" s="34"/>
      <c r="X874" s="34"/>
      <c r="Y874" s="34"/>
      <c r="Z874" s="34"/>
      <c r="AA874" s="34"/>
      <c r="AB874" s="34"/>
      <c r="AC874" s="34"/>
      <c r="AD874" s="34"/>
      <c r="AE874" s="34"/>
      <c r="AF874" s="34"/>
      <c r="AG874" s="34"/>
      <c r="AH874" s="34"/>
      <c r="AI874" s="34"/>
      <c r="AJ874" s="34"/>
      <c r="AK874" s="34"/>
      <c r="AL874" s="34"/>
      <c r="AM874" s="34"/>
      <c r="AN874" s="34"/>
      <c r="AO874" s="34"/>
      <c r="AP874" s="34"/>
      <c r="AQ874" s="34"/>
      <c r="AR874" s="34"/>
      <c r="AS874" s="34"/>
      <c r="AT874" s="34"/>
      <c r="AU874" s="34"/>
      <c r="AV874" s="34"/>
      <c r="AW874" s="34"/>
      <c r="AX874" s="34"/>
      <c r="AY874" s="34"/>
      <c r="AZ874" s="34"/>
      <c r="BA874" s="34"/>
      <c r="BB874" s="34"/>
      <c r="BC874" s="34"/>
      <c r="BD874" s="34"/>
      <c r="BE874" s="34"/>
      <c r="BF874" s="34"/>
      <c r="BG874" s="34"/>
      <c r="BH874" s="34"/>
      <c r="BI874" s="34"/>
      <c r="BJ874" s="34"/>
      <c r="BK874" s="34"/>
      <c r="BL874" s="34"/>
      <c r="BM874" s="34"/>
      <c r="BN874" s="34"/>
      <c r="BO874" s="34"/>
      <c r="BP874" s="34"/>
      <c r="BQ874" s="34"/>
      <c r="BR874" s="34"/>
      <c r="BS874" s="34"/>
      <c r="BT874" s="34"/>
      <c r="BU874" s="34"/>
      <c r="BV874" s="34"/>
      <c r="BW874" s="34"/>
      <c r="BX874" s="34"/>
      <c r="BY874" s="34"/>
      <c r="BZ874" s="34"/>
      <c r="CA874" s="34"/>
      <c r="CB874" s="34"/>
      <c r="CC874" s="34"/>
      <c r="CD874" s="34"/>
      <c r="CE874" s="34"/>
      <c r="CF874" s="34"/>
      <c r="CG874" s="34"/>
      <c r="CH874" s="34"/>
      <c r="CI874" s="8"/>
    </row>
    <row r="875" spans="1:87" x14ac:dyDescent="0.2">
      <c r="A875" s="8" t="str">
        <f>IF(AND(COUNTIF(W$3:W$13,A$19)&gt;0,A$19&lt;&gt;B800),A$19,IFERROR(IF(MATCH(A$19,Z$3:Z$13,0)=4,A$19," ")," "))</f>
        <v xml:space="preserve"> </v>
      </c>
      <c r="B875" s="8" t="str">
        <f>IF(A875=" "," ",MAX(B871:B874)+1)</f>
        <v xml:space="preserve"> </v>
      </c>
      <c r="C875" s="8" t="str">
        <f>IFERROR(INDEX(A871:A892,MATCH(SMALL(B871:B892,5),B871:B892,0),1)," ")</f>
        <v>C16</v>
      </c>
      <c r="D875" s="8">
        <f t="shared" si="3676"/>
        <v>0</v>
      </c>
      <c r="E875" s="8">
        <f t="shared" si="3677"/>
        <v>0</v>
      </c>
      <c r="F875" s="8">
        <f t="shared" si="3678"/>
        <v>0</v>
      </c>
      <c r="G875" s="8">
        <f t="shared" si="3679"/>
        <v>0</v>
      </c>
      <c r="H875" s="8">
        <f t="shared" si="3680"/>
        <v>1</v>
      </c>
      <c r="I875" s="8">
        <f t="shared" si="3681"/>
        <v>0</v>
      </c>
      <c r="J875" s="8">
        <f t="shared" si="3682"/>
        <v>0</v>
      </c>
      <c r="K875" s="8">
        <f t="shared" si="3683"/>
        <v>0</v>
      </c>
      <c r="L875" s="8">
        <f t="shared" si="3684"/>
        <v>0</v>
      </c>
      <c r="M875" s="8">
        <f t="shared" si="3685"/>
        <v>0</v>
      </c>
      <c r="N875" s="8">
        <f t="shared" si="3686"/>
        <v>0</v>
      </c>
      <c r="O875" s="8">
        <f t="shared" si="3687"/>
        <v>0</v>
      </c>
      <c r="P875" s="8" t="e">
        <v>#NUM!</v>
      </c>
      <c r="Q875" s="8" t="e">
        <f t="shared" ref="Q875" si="3713">IF(COUNTIF(P871:P881,"&lt;"&amp;-0.001)=0,IF(ABS(P875)&lt;0.001,0,P875)," ")</f>
        <v>#NUM!</v>
      </c>
      <c r="R875" s="8"/>
      <c r="S875" s="8"/>
      <c r="U875" s="34"/>
      <c r="V875" s="34"/>
      <c r="W875" s="34"/>
      <c r="X875" s="34"/>
      <c r="Y875" s="34"/>
      <c r="Z875" s="34"/>
      <c r="AA875" s="34"/>
      <c r="AB875" s="34"/>
      <c r="AC875" s="34"/>
      <c r="AD875" s="34"/>
      <c r="AE875" s="34"/>
      <c r="AF875" s="34"/>
      <c r="AG875" s="34"/>
      <c r="AH875" s="34"/>
      <c r="AI875" s="34"/>
      <c r="AJ875" s="34"/>
      <c r="AK875" s="34"/>
      <c r="AL875" s="34"/>
      <c r="AM875" s="34"/>
      <c r="AN875" s="34"/>
      <c r="AO875" s="34"/>
      <c r="AP875" s="34"/>
      <c r="AQ875" s="34"/>
      <c r="AR875" s="34"/>
      <c r="AS875" s="34"/>
      <c r="AT875" s="34"/>
      <c r="AU875" s="34"/>
      <c r="AV875" s="34"/>
      <c r="AW875" s="34"/>
      <c r="AX875" s="34"/>
      <c r="AY875" s="34"/>
      <c r="AZ875" s="34"/>
      <c r="BA875" s="34"/>
      <c r="BB875" s="34"/>
      <c r="BC875" s="34"/>
      <c r="BD875" s="34"/>
      <c r="BE875" s="34"/>
      <c r="BF875" s="34"/>
      <c r="BG875" s="34"/>
      <c r="BH875" s="34"/>
      <c r="BI875" s="34"/>
      <c r="BJ875" s="34"/>
      <c r="BK875" s="34"/>
      <c r="BL875" s="34"/>
      <c r="BM875" s="34"/>
      <c r="BN875" s="34"/>
      <c r="BO875" s="34"/>
      <c r="BP875" s="34"/>
      <c r="BQ875" s="34"/>
      <c r="BR875" s="34"/>
      <c r="BS875" s="34"/>
      <c r="BT875" s="34"/>
      <c r="BU875" s="34"/>
      <c r="BV875" s="34"/>
      <c r="BW875" s="34"/>
      <c r="BX875" s="34"/>
      <c r="BY875" s="34"/>
      <c r="BZ875" s="34"/>
      <c r="CA875" s="34"/>
      <c r="CB875" s="34"/>
      <c r="CC875" s="34"/>
      <c r="CD875" s="34"/>
      <c r="CE875" s="34"/>
      <c r="CF875" s="34"/>
      <c r="CG875" s="34"/>
      <c r="CH875" s="34"/>
      <c r="CI875" s="8"/>
    </row>
    <row r="876" spans="1:87" x14ac:dyDescent="0.2">
      <c r="A876" s="8" t="str">
        <f>IF(AND(COUNTIF(W$3:W$13,A$20)&gt;0,A$20&lt;&gt;B800),A$20,IFERROR(IF(MATCH(A$20,Z$3:Z$13,0)=4,A$20," ")," "))</f>
        <v>C6</v>
      </c>
      <c r="B876" s="8">
        <f>IF(A876=" "," ",MAX(B871:B875)+1)</f>
        <v>3</v>
      </c>
      <c r="C876" s="8" t="str">
        <f>IFERROR(INDEX(A871:A892,MATCH(SMALL(B871:B892,6),B871:B892,0),1)," ")</f>
        <v>C17</v>
      </c>
      <c r="D876" s="8">
        <f t="shared" si="3676"/>
        <v>0</v>
      </c>
      <c r="E876" s="8">
        <f t="shared" si="3677"/>
        <v>0</v>
      </c>
      <c r="F876" s="8">
        <f t="shared" si="3678"/>
        <v>0</v>
      </c>
      <c r="G876" s="8">
        <f t="shared" si="3679"/>
        <v>0</v>
      </c>
      <c r="H876" s="8">
        <f t="shared" si="3680"/>
        <v>0</v>
      </c>
      <c r="I876" s="8">
        <f t="shared" si="3681"/>
        <v>1</v>
      </c>
      <c r="J876" s="8">
        <f t="shared" si="3682"/>
        <v>0</v>
      </c>
      <c r="K876" s="8">
        <f t="shared" si="3683"/>
        <v>0</v>
      </c>
      <c r="L876" s="8">
        <f t="shared" si="3684"/>
        <v>0</v>
      </c>
      <c r="M876" s="8">
        <f t="shared" si="3685"/>
        <v>0</v>
      </c>
      <c r="N876" s="8">
        <f t="shared" si="3686"/>
        <v>0</v>
      </c>
      <c r="O876" s="8">
        <f t="shared" si="3687"/>
        <v>0</v>
      </c>
      <c r="P876" s="8" t="e">
        <v>#NUM!</v>
      </c>
      <c r="Q876" s="8" t="e">
        <f t="shared" ref="Q876" si="3714">IF(COUNTIF(P871:P881,"&lt;"&amp;-0.001)=0,IF(ABS(P876)&lt;0.001,0,P876)," ")</f>
        <v>#NUM!</v>
      </c>
      <c r="R876" s="8"/>
      <c r="S876" s="8"/>
      <c r="U876" s="34"/>
      <c r="V876" s="34"/>
      <c r="W876" s="34"/>
      <c r="X876" s="34"/>
      <c r="Y876" s="34"/>
      <c r="Z876" s="34"/>
      <c r="AA876" s="34"/>
      <c r="AB876" s="34"/>
      <c r="AC876" s="34"/>
      <c r="AD876" s="34"/>
      <c r="AE876" s="34"/>
      <c r="AF876" s="34"/>
      <c r="AG876" s="34"/>
      <c r="AH876" s="34"/>
      <c r="AI876" s="34"/>
      <c r="AJ876" s="34"/>
      <c r="AK876" s="34"/>
      <c r="AL876" s="34"/>
      <c r="AM876" s="34"/>
      <c r="AN876" s="34"/>
      <c r="AO876" s="34"/>
      <c r="AP876" s="34"/>
      <c r="AQ876" s="34"/>
      <c r="AR876" s="34"/>
      <c r="AS876" s="34"/>
      <c r="AT876" s="34"/>
      <c r="AU876" s="34"/>
      <c r="AV876" s="34"/>
      <c r="AW876" s="34"/>
      <c r="AX876" s="34"/>
      <c r="AY876" s="34"/>
      <c r="AZ876" s="34"/>
      <c r="BA876" s="34"/>
      <c r="BB876" s="34"/>
      <c r="BC876" s="34"/>
      <c r="BD876" s="34"/>
      <c r="BE876" s="34"/>
      <c r="BF876" s="34"/>
      <c r="BG876" s="34"/>
      <c r="BH876" s="34"/>
      <c r="BI876" s="34"/>
      <c r="BJ876" s="34"/>
      <c r="BK876" s="34"/>
      <c r="BL876" s="34"/>
      <c r="BM876" s="34"/>
      <c r="BN876" s="34"/>
      <c r="BO876" s="34"/>
      <c r="BP876" s="34"/>
      <c r="BQ876" s="34"/>
      <c r="BR876" s="34"/>
      <c r="BS876" s="34"/>
      <c r="BT876" s="34"/>
      <c r="BU876" s="34"/>
      <c r="BV876" s="34"/>
      <c r="BW876" s="34"/>
      <c r="BX876" s="34"/>
      <c r="BY876" s="34"/>
      <c r="BZ876" s="34"/>
      <c r="CA876" s="34"/>
      <c r="CB876" s="34"/>
      <c r="CC876" s="34"/>
      <c r="CD876" s="34"/>
      <c r="CE876" s="34"/>
      <c r="CF876" s="34"/>
      <c r="CG876" s="34"/>
      <c r="CH876" s="34"/>
      <c r="CI876" s="8"/>
    </row>
    <row r="877" spans="1:87" x14ac:dyDescent="0.2">
      <c r="A877" s="8" t="str">
        <f>IF(AND(COUNTIF(W$3:W$13,A$21)&gt;0,A$21&lt;&gt;B800),A$21,IFERROR(IF(MATCH(A$21,Z$3:Z$13,0)=4,A$21," ")," "))</f>
        <v xml:space="preserve"> </v>
      </c>
      <c r="B877" s="8" t="str">
        <f>IF(A877=" "," ",MAX(B871:B876)+1)</f>
        <v xml:space="preserve"> </v>
      </c>
      <c r="C877" s="8" t="str">
        <f>IFERROR(INDEX(A871:A892,MATCH(SMALL(B871:B892,7),B871:B892,0),1)," ")</f>
        <v>C18</v>
      </c>
      <c r="D877" s="8">
        <f t="shared" si="3676"/>
        <v>0</v>
      </c>
      <c r="E877" s="8">
        <f t="shared" si="3677"/>
        <v>0</v>
      </c>
      <c r="F877" s="8">
        <f t="shared" si="3678"/>
        <v>0</v>
      </c>
      <c r="G877" s="8">
        <f t="shared" si="3679"/>
        <v>0</v>
      </c>
      <c r="H877" s="8">
        <f t="shared" si="3680"/>
        <v>0</v>
      </c>
      <c r="I877" s="8">
        <f t="shared" si="3681"/>
        <v>0</v>
      </c>
      <c r="J877" s="8">
        <f t="shared" si="3682"/>
        <v>1</v>
      </c>
      <c r="K877" s="8">
        <f t="shared" si="3683"/>
        <v>0</v>
      </c>
      <c r="L877" s="8">
        <f t="shared" si="3684"/>
        <v>0</v>
      </c>
      <c r="M877" s="8">
        <f t="shared" si="3685"/>
        <v>0</v>
      </c>
      <c r="N877" s="8">
        <f t="shared" si="3686"/>
        <v>0</v>
      </c>
      <c r="O877" s="8">
        <f t="shared" si="3687"/>
        <v>0</v>
      </c>
      <c r="P877" s="8" t="e">
        <v>#NUM!</v>
      </c>
      <c r="Q877" s="8" t="e">
        <f t="shared" ref="Q877" si="3715">IF(COUNTIF(P871:P881,"&lt;"&amp;-0.001)=0,IF(ABS(P877)&lt;0.001,0,P877)," ")</f>
        <v>#NUM!</v>
      </c>
      <c r="R877" s="8"/>
      <c r="S877" s="8"/>
      <c r="U877" s="34"/>
      <c r="V877" s="34"/>
      <c r="W877" s="34"/>
      <c r="X877" s="34"/>
      <c r="Y877" s="34"/>
      <c r="Z877" s="34"/>
      <c r="AA877" s="34"/>
      <c r="AB877" s="34"/>
      <c r="AC877" s="34"/>
      <c r="AD877" s="34"/>
      <c r="AE877" s="34"/>
      <c r="AF877" s="34"/>
      <c r="AG877" s="34"/>
      <c r="AH877" s="34"/>
      <c r="AI877" s="34"/>
      <c r="AJ877" s="34"/>
      <c r="AK877" s="34"/>
      <c r="AL877" s="34"/>
      <c r="AM877" s="34"/>
      <c r="AN877" s="34"/>
      <c r="AO877" s="34"/>
      <c r="AP877" s="34"/>
      <c r="AQ877" s="34"/>
      <c r="AR877" s="34"/>
      <c r="AS877" s="34"/>
      <c r="AT877" s="34"/>
      <c r="AU877" s="34"/>
      <c r="AV877" s="34"/>
      <c r="AW877" s="34"/>
      <c r="AX877" s="34"/>
      <c r="AY877" s="34"/>
      <c r="AZ877" s="34"/>
      <c r="BA877" s="34"/>
      <c r="BB877" s="34"/>
      <c r="BC877" s="34"/>
      <c r="BD877" s="34"/>
      <c r="BE877" s="34"/>
      <c r="BF877" s="34"/>
      <c r="BG877" s="34"/>
      <c r="BH877" s="34"/>
      <c r="BI877" s="34"/>
      <c r="BJ877" s="34"/>
      <c r="BK877" s="34"/>
      <c r="BL877" s="34"/>
      <c r="BM877" s="34"/>
      <c r="BN877" s="34"/>
      <c r="BO877" s="34"/>
      <c r="BP877" s="34"/>
      <c r="BQ877" s="34"/>
      <c r="BR877" s="34"/>
      <c r="BS877" s="34"/>
      <c r="BT877" s="34"/>
      <c r="BU877" s="34"/>
      <c r="BV877" s="34"/>
      <c r="BW877" s="34"/>
      <c r="BX877" s="34"/>
      <c r="BY877" s="34"/>
      <c r="BZ877" s="34"/>
      <c r="CA877" s="34"/>
      <c r="CB877" s="34"/>
      <c r="CC877" s="34"/>
      <c r="CD877" s="34"/>
      <c r="CE877" s="34"/>
      <c r="CF877" s="34"/>
      <c r="CG877" s="34"/>
      <c r="CH877" s="34"/>
      <c r="CI877" s="8"/>
    </row>
    <row r="878" spans="1:87" x14ac:dyDescent="0.2">
      <c r="A878" s="8" t="str">
        <f>IF(AND(COUNTIF(W$3:W$13,A$22)&gt;0,A$22&lt;&gt;B800),A$22,IFERROR(IF(MATCH(A$22,Z$3:Z$13,0)=4,A$22," ")," "))</f>
        <v xml:space="preserve"> </v>
      </c>
      <c r="B878" s="8" t="str">
        <f>IF(A878=" "," ",MAX(B871:B877)+1)</f>
        <v xml:space="preserve"> </v>
      </c>
      <c r="C878" s="8" t="str">
        <f>IFERROR(INDEX(A871:A892,MATCH(SMALL(B871:B892,8),B871:B892,0),1)," ")</f>
        <v>C19</v>
      </c>
      <c r="D878" s="8">
        <f t="shared" si="3676"/>
        <v>0</v>
      </c>
      <c r="E878" s="8">
        <f t="shared" si="3677"/>
        <v>0</v>
      </c>
      <c r="F878" s="8">
        <f t="shared" si="3678"/>
        <v>0</v>
      </c>
      <c r="G878" s="8">
        <f t="shared" si="3679"/>
        <v>0</v>
      </c>
      <c r="H878" s="8">
        <f t="shared" si="3680"/>
        <v>0</v>
      </c>
      <c r="I878" s="8">
        <f t="shared" si="3681"/>
        <v>0</v>
      </c>
      <c r="J878" s="8">
        <f t="shared" si="3682"/>
        <v>0</v>
      </c>
      <c r="K878" s="8">
        <f t="shared" si="3683"/>
        <v>1</v>
      </c>
      <c r="L878" s="8">
        <f t="shared" si="3684"/>
        <v>0</v>
      </c>
      <c r="M878" s="8">
        <f t="shared" si="3685"/>
        <v>0</v>
      </c>
      <c r="N878" s="8">
        <f t="shared" si="3686"/>
        <v>0</v>
      </c>
      <c r="O878" s="8">
        <f t="shared" si="3687"/>
        <v>0</v>
      </c>
      <c r="P878" s="8" t="e">
        <v>#NUM!</v>
      </c>
      <c r="Q878" s="8" t="e">
        <f t="shared" ref="Q878" si="3716">IF(COUNTIF(P871:P881,"&lt;"&amp;-0.001)=0,IF(ABS(P878)&lt;0.001,0,P878)," ")</f>
        <v>#NUM!</v>
      </c>
      <c r="R878" s="8"/>
      <c r="S878" s="8"/>
      <c r="U878" s="34"/>
      <c r="V878" s="34"/>
      <c r="W878" s="34"/>
      <c r="X878" s="34"/>
      <c r="Y878" s="34"/>
      <c r="Z878" s="34"/>
      <c r="AA878" s="34"/>
      <c r="AB878" s="34"/>
      <c r="AC878" s="34"/>
      <c r="AD878" s="34"/>
      <c r="AE878" s="34"/>
      <c r="AF878" s="34"/>
      <c r="AG878" s="34"/>
      <c r="AH878" s="34"/>
      <c r="AI878" s="34"/>
      <c r="AJ878" s="34"/>
      <c r="AK878" s="34"/>
      <c r="AL878" s="34"/>
      <c r="AM878" s="34"/>
      <c r="AN878" s="34"/>
      <c r="AO878" s="34"/>
      <c r="AP878" s="34"/>
      <c r="AQ878" s="34"/>
      <c r="AR878" s="34"/>
      <c r="AS878" s="34"/>
      <c r="AT878" s="34"/>
      <c r="AU878" s="34"/>
      <c r="AV878" s="34"/>
      <c r="AW878" s="34"/>
      <c r="AX878" s="34"/>
      <c r="AY878" s="34"/>
      <c r="AZ878" s="34"/>
      <c r="BA878" s="34"/>
      <c r="BB878" s="34"/>
      <c r="BC878" s="34"/>
      <c r="BD878" s="34"/>
      <c r="BE878" s="34"/>
      <c r="BF878" s="34"/>
      <c r="BG878" s="34"/>
      <c r="BH878" s="34"/>
      <c r="BI878" s="34"/>
      <c r="BJ878" s="34"/>
      <c r="BK878" s="34"/>
      <c r="BL878" s="34"/>
      <c r="BM878" s="34"/>
      <c r="BN878" s="34"/>
      <c r="BO878" s="34"/>
      <c r="BP878" s="34"/>
      <c r="BQ878" s="34"/>
      <c r="BR878" s="34"/>
      <c r="BS878" s="34"/>
      <c r="BT878" s="34"/>
      <c r="BU878" s="34"/>
      <c r="BV878" s="34"/>
      <c r="BW878" s="34"/>
      <c r="BX878" s="34"/>
      <c r="BY878" s="34"/>
      <c r="BZ878" s="34"/>
      <c r="CA878" s="34"/>
      <c r="CB878" s="34"/>
      <c r="CC878" s="34"/>
      <c r="CD878" s="34"/>
      <c r="CE878" s="34"/>
      <c r="CF878" s="34"/>
      <c r="CG878" s="34"/>
      <c r="CH878" s="34"/>
      <c r="CI878" s="8"/>
    </row>
    <row r="879" spans="1:87" x14ac:dyDescent="0.2">
      <c r="A879" s="8" t="str">
        <f>IF(AND(COUNTIF(W$3:W$13,A$23)&gt;0,A$23&lt;&gt;B800),A$23,IFERROR(IF(MATCH(A$23,Z$3:Z$13,0)=4,A$23," ")," "))</f>
        <v xml:space="preserve"> </v>
      </c>
      <c r="B879" s="8" t="str">
        <f>IF(A879=" "," ",MAX(B871:B878)+1)</f>
        <v xml:space="preserve"> </v>
      </c>
      <c r="C879" s="8" t="str">
        <f>IFERROR(INDEX(A871:A892,MATCH(SMALL(B871:B892,9),B871:B892,0),1)," ")</f>
        <v>C20</v>
      </c>
      <c r="D879" s="8">
        <f t="shared" si="3676"/>
        <v>0</v>
      </c>
      <c r="E879" s="8">
        <f t="shared" si="3677"/>
        <v>0</v>
      </c>
      <c r="F879" s="8">
        <f t="shared" si="3678"/>
        <v>0</v>
      </c>
      <c r="G879" s="8">
        <f t="shared" si="3679"/>
        <v>0</v>
      </c>
      <c r="H879" s="8">
        <f t="shared" si="3680"/>
        <v>0</v>
      </c>
      <c r="I879" s="8">
        <f t="shared" si="3681"/>
        <v>0</v>
      </c>
      <c r="J879" s="8">
        <f t="shared" si="3682"/>
        <v>0</v>
      </c>
      <c r="K879" s="8">
        <f t="shared" si="3683"/>
        <v>0</v>
      </c>
      <c r="L879" s="8">
        <f t="shared" si="3684"/>
        <v>1</v>
      </c>
      <c r="M879" s="8">
        <f t="shared" si="3685"/>
        <v>0</v>
      </c>
      <c r="N879" s="8">
        <f t="shared" si="3686"/>
        <v>0</v>
      </c>
      <c r="O879" s="8">
        <f t="shared" si="3687"/>
        <v>0</v>
      </c>
      <c r="P879" s="6" t="e">
        <v>#NUM!</v>
      </c>
      <c r="Q879" s="8" t="e">
        <f t="shared" ref="Q879" si="3717">IF(COUNTIF(P871:P881,"&lt;"&amp;-0.001)=0,IF(ABS(P879)&lt;0.001,0,P879)," ")</f>
        <v>#NUM!</v>
      </c>
      <c r="R879" s="8"/>
      <c r="S879" s="8"/>
      <c r="U879" s="34"/>
      <c r="V879" s="34"/>
      <c r="W879" s="34"/>
      <c r="X879" s="34"/>
      <c r="Y879" s="34"/>
      <c r="Z879" s="34"/>
      <c r="AA879" s="34"/>
      <c r="AB879" s="34"/>
      <c r="AC879" s="34"/>
      <c r="AD879" s="34"/>
      <c r="AE879" s="34"/>
      <c r="AF879" s="34"/>
      <c r="AG879" s="34"/>
      <c r="AH879" s="34"/>
      <c r="AI879" s="34"/>
      <c r="AJ879" s="34"/>
      <c r="AK879" s="34"/>
      <c r="AL879" s="34"/>
      <c r="AM879" s="34"/>
      <c r="AN879" s="34"/>
      <c r="AO879" s="34"/>
      <c r="AP879" s="34"/>
      <c r="AQ879" s="34"/>
      <c r="AR879" s="34"/>
      <c r="AS879" s="34"/>
      <c r="AT879" s="34"/>
      <c r="AU879" s="34"/>
      <c r="AV879" s="34"/>
      <c r="AW879" s="34"/>
      <c r="AX879" s="34"/>
      <c r="AY879" s="34"/>
      <c r="AZ879" s="34"/>
      <c r="BA879" s="34"/>
      <c r="BB879" s="34"/>
      <c r="BC879" s="34"/>
      <c r="BD879" s="34"/>
      <c r="BE879" s="34"/>
      <c r="BF879" s="34"/>
      <c r="BG879" s="34"/>
      <c r="BH879" s="34"/>
      <c r="BI879" s="34"/>
      <c r="BJ879" s="34"/>
      <c r="BK879" s="34"/>
      <c r="BL879" s="34"/>
      <c r="BM879" s="34"/>
      <c r="BN879" s="34"/>
      <c r="BO879" s="34"/>
      <c r="BP879" s="34"/>
      <c r="BQ879" s="34"/>
      <c r="BR879" s="34"/>
      <c r="BS879" s="34"/>
      <c r="BT879" s="34"/>
      <c r="BU879" s="34"/>
      <c r="BV879" s="34"/>
      <c r="BW879" s="34"/>
      <c r="BX879" s="34"/>
      <c r="BY879" s="34"/>
      <c r="BZ879" s="34"/>
      <c r="CA879" s="34"/>
      <c r="CB879" s="34"/>
      <c r="CC879" s="34"/>
      <c r="CD879" s="34"/>
      <c r="CE879" s="34"/>
      <c r="CF879" s="34"/>
      <c r="CG879" s="34"/>
      <c r="CH879" s="34"/>
      <c r="CI879" s="8"/>
    </row>
    <row r="880" spans="1:87" x14ac:dyDescent="0.2">
      <c r="A880" s="8" t="str">
        <f>IF(AND(COUNTIF(W$3:W$13,A$24)&gt;0,A$24&lt;&gt;B800),A$24,IFERROR(IF(MATCH(A$24,Z$3:Z$13,0)=4,A$24," ")," "))</f>
        <v xml:space="preserve"> </v>
      </c>
      <c r="B880" s="8" t="str">
        <f>IF(A880=" "," ",MAX(B871:B879)+1)</f>
        <v xml:space="preserve"> </v>
      </c>
      <c r="C880" s="8" t="str">
        <f>IFERROR(INDEX(A871:A892,MATCH(SMALL(B871:B892,10),B871:B892,0),1)," ")</f>
        <v>C21</v>
      </c>
      <c r="D880" s="8">
        <f t="shared" si="3676"/>
        <v>0</v>
      </c>
      <c r="E880" s="8">
        <f t="shared" si="3677"/>
        <v>0</v>
      </c>
      <c r="F880" s="8">
        <f t="shared" si="3678"/>
        <v>0</v>
      </c>
      <c r="G880" s="8">
        <f t="shared" si="3679"/>
        <v>0</v>
      </c>
      <c r="H880" s="8">
        <f t="shared" si="3680"/>
        <v>0</v>
      </c>
      <c r="I880" s="8">
        <f t="shared" si="3681"/>
        <v>0</v>
      </c>
      <c r="J880" s="8">
        <f t="shared" si="3682"/>
        <v>0</v>
      </c>
      <c r="K880" s="8">
        <f t="shared" si="3683"/>
        <v>0</v>
      </c>
      <c r="L880" s="8">
        <f t="shared" si="3684"/>
        <v>0</v>
      </c>
      <c r="M880" s="8">
        <f t="shared" si="3685"/>
        <v>1</v>
      </c>
      <c r="N880" s="8">
        <f t="shared" si="3686"/>
        <v>0</v>
      </c>
      <c r="O880" s="8">
        <f t="shared" si="3687"/>
        <v>0</v>
      </c>
      <c r="P880" s="8" t="e">
        <v>#NUM!</v>
      </c>
      <c r="Q880" s="8" t="e">
        <f t="shared" ref="Q880" si="3718">IF(COUNTIF(P871:P881,"&lt;"&amp;-0.001)=0,IF(ABS(P880)&lt;0.001,0,P880)," ")</f>
        <v>#NUM!</v>
      </c>
      <c r="R880" s="8"/>
      <c r="S880" s="8"/>
      <c r="U880" s="34"/>
      <c r="V880" s="34"/>
      <c r="W880" s="34"/>
      <c r="X880" s="34"/>
      <c r="Y880" s="34"/>
      <c r="Z880" s="34"/>
      <c r="AA880" s="34"/>
      <c r="AB880" s="34"/>
      <c r="AC880" s="34"/>
      <c r="AD880" s="34"/>
      <c r="AE880" s="34"/>
      <c r="AF880" s="34"/>
      <c r="AG880" s="34"/>
      <c r="AH880" s="34"/>
      <c r="AI880" s="34"/>
      <c r="AJ880" s="34"/>
      <c r="AK880" s="34"/>
      <c r="AL880" s="34"/>
      <c r="AM880" s="34"/>
      <c r="AN880" s="34"/>
      <c r="AO880" s="34"/>
      <c r="AP880" s="34"/>
      <c r="AQ880" s="34"/>
      <c r="AR880" s="34"/>
      <c r="AS880" s="34"/>
      <c r="AT880" s="34"/>
      <c r="AU880" s="34"/>
      <c r="AV880" s="34"/>
      <c r="AW880" s="34"/>
      <c r="AX880" s="34"/>
      <c r="AY880" s="34"/>
      <c r="AZ880" s="34"/>
      <c r="BA880" s="34"/>
      <c r="BB880" s="34"/>
      <c r="BC880" s="34"/>
      <c r="BD880" s="34"/>
      <c r="BE880" s="34"/>
      <c r="BF880" s="34"/>
      <c r="BG880" s="34"/>
      <c r="BH880" s="34"/>
      <c r="BI880" s="34"/>
      <c r="BJ880" s="34"/>
      <c r="BK880" s="34"/>
      <c r="BL880" s="34"/>
      <c r="BM880" s="34"/>
      <c r="BN880" s="34"/>
      <c r="BO880" s="34"/>
      <c r="BP880" s="34"/>
      <c r="BQ880" s="34"/>
      <c r="BR880" s="34"/>
      <c r="BS880" s="34"/>
      <c r="BT880" s="34"/>
      <c r="BU880" s="34"/>
      <c r="BV880" s="34"/>
      <c r="BW880" s="34"/>
      <c r="BX880" s="34"/>
      <c r="BY880" s="34"/>
      <c r="BZ880" s="34"/>
      <c r="CA880" s="34"/>
      <c r="CB880" s="34"/>
      <c r="CC880" s="34"/>
      <c r="CD880" s="34"/>
      <c r="CE880" s="34"/>
      <c r="CF880" s="34"/>
      <c r="CG880" s="34"/>
      <c r="CH880" s="34"/>
      <c r="CI880" s="8"/>
    </row>
    <row r="881" spans="1:87" x14ac:dyDescent="0.2">
      <c r="A881" s="8" t="str">
        <f>IF(AND(COUNTIF(W$3:W$13,A$25)&gt;0,A$25&lt;&gt;B800),A$25,IFERROR(IF(MATCH(A$25,Z$3:Z$13,0)=4,A$25," ")," "))</f>
        <v xml:space="preserve"> </v>
      </c>
      <c r="B881" s="8" t="str">
        <f>IF(A881=" "," ",MAX(B871:B880)+1)</f>
        <v xml:space="preserve"> </v>
      </c>
      <c r="C881" s="8" t="str">
        <f>IFERROR(INDEX(A871:A892,MATCH(SMALL(B871:B892,11),B871:B892,0),1)," ")</f>
        <v>C22</v>
      </c>
      <c r="D881" s="8">
        <f t="shared" si="3676"/>
        <v>0</v>
      </c>
      <c r="E881" s="8">
        <f t="shared" si="3677"/>
        <v>0</v>
      </c>
      <c r="F881" s="8">
        <f t="shared" si="3678"/>
        <v>0</v>
      </c>
      <c r="G881" s="8">
        <f t="shared" si="3679"/>
        <v>0</v>
      </c>
      <c r="H881" s="8">
        <f t="shared" si="3680"/>
        <v>0</v>
      </c>
      <c r="I881" s="8">
        <f t="shared" si="3681"/>
        <v>0</v>
      </c>
      <c r="J881" s="8">
        <f t="shared" si="3682"/>
        <v>0</v>
      </c>
      <c r="K881" s="8">
        <f t="shared" si="3683"/>
        <v>0</v>
      </c>
      <c r="L881" s="8">
        <f t="shared" si="3684"/>
        <v>0</v>
      </c>
      <c r="M881" s="8">
        <f t="shared" si="3685"/>
        <v>0</v>
      </c>
      <c r="N881" s="8">
        <f t="shared" si="3686"/>
        <v>1</v>
      </c>
      <c r="O881" s="8">
        <f t="shared" si="3687"/>
        <v>0</v>
      </c>
      <c r="P881" s="8" t="e">
        <v>#NUM!</v>
      </c>
      <c r="Q881" s="8" t="e">
        <f t="shared" ref="Q881" si="3719">IF(COUNTIF(P871:P881,"&lt;"&amp;-0.001)=0,IF(ABS(P881)&lt;0.001,0,P881)," ")</f>
        <v>#NUM!</v>
      </c>
      <c r="R881" s="8"/>
      <c r="S881" s="8"/>
      <c r="U881" s="34"/>
      <c r="V881" s="34"/>
      <c r="W881" s="34"/>
      <c r="X881" s="34"/>
      <c r="Y881" s="34"/>
      <c r="Z881" s="34"/>
      <c r="AA881" s="34"/>
      <c r="AB881" s="34"/>
      <c r="AC881" s="34"/>
      <c r="AD881" s="34"/>
      <c r="AE881" s="34"/>
      <c r="AF881" s="34"/>
      <c r="AG881" s="34"/>
      <c r="AH881" s="34"/>
      <c r="AI881" s="34"/>
      <c r="AJ881" s="34"/>
      <c r="AK881" s="34"/>
      <c r="AL881" s="34"/>
      <c r="AM881" s="34"/>
      <c r="AN881" s="34"/>
      <c r="AO881" s="34"/>
      <c r="AP881" s="34"/>
      <c r="AQ881" s="34"/>
      <c r="AR881" s="34"/>
      <c r="AS881" s="34"/>
      <c r="AT881" s="34"/>
      <c r="AU881" s="34"/>
      <c r="AV881" s="34"/>
      <c r="AW881" s="34"/>
      <c r="AX881" s="34"/>
      <c r="AY881" s="34"/>
      <c r="AZ881" s="34"/>
      <c r="BA881" s="34"/>
      <c r="BB881" s="34"/>
      <c r="BC881" s="34"/>
      <c r="BD881" s="34"/>
      <c r="BE881" s="34"/>
      <c r="BF881" s="34"/>
      <c r="BG881" s="34"/>
      <c r="BH881" s="34"/>
      <c r="BI881" s="34"/>
      <c r="BJ881" s="34"/>
      <c r="BK881" s="34"/>
      <c r="BL881" s="34"/>
      <c r="BM881" s="34"/>
      <c r="BN881" s="34"/>
      <c r="BO881" s="34"/>
      <c r="BP881" s="34"/>
      <c r="BQ881" s="34"/>
      <c r="BR881" s="34"/>
      <c r="BS881" s="34"/>
      <c r="BT881" s="34"/>
      <c r="BU881" s="34"/>
      <c r="BV881" s="34"/>
      <c r="BW881" s="34"/>
      <c r="BX881" s="34"/>
      <c r="BY881" s="34"/>
      <c r="BZ881" s="34"/>
      <c r="CA881" s="34"/>
      <c r="CB881" s="34"/>
      <c r="CC881" s="34"/>
      <c r="CD881" s="34"/>
      <c r="CE881" s="34"/>
      <c r="CF881" s="34"/>
      <c r="CG881" s="34"/>
      <c r="CH881" s="34"/>
      <c r="CI881" s="8"/>
    </row>
    <row r="882" spans="1:87" x14ac:dyDescent="0.2">
      <c r="A882" s="8" t="str">
        <f>IF(AND(COUNTIF(W$3:W$13,A$26)&gt;0,A$26&lt;&gt;B800),A$26,IFERROR(IF(MATCH(A$26,Z$3:Z$13,0)=4,A$26," ")," "))</f>
        <v xml:space="preserve"> </v>
      </c>
      <c r="B882" s="8" t="str">
        <f>IF(A882=" "," ",MAX(B871:B881)+1)</f>
        <v xml:space="preserve"> </v>
      </c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U882" s="34"/>
      <c r="V882" s="34"/>
      <c r="W882" s="34"/>
      <c r="X882" s="34"/>
      <c r="Y882" s="34"/>
      <c r="Z882" s="34"/>
      <c r="AA882" s="34"/>
      <c r="AB882" s="34"/>
      <c r="AC882" s="34"/>
      <c r="AD882" s="34"/>
      <c r="AE882" s="34"/>
      <c r="AF882" s="34"/>
      <c r="AG882" s="34"/>
      <c r="AH882" s="34"/>
      <c r="AI882" s="34"/>
      <c r="AJ882" s="34"/>
      <c r="AK882" s="34"/>
      <c r="AL882" s="34"/>
      <c r="AM882" s="34"/>
      <c r="AN882" s="34"/>
      <c r="AO882" s="34"/>
      <c r="AP882" s="34"/>
      <c r="AQ882" s="34"/>
      <c r="AR882" s="34"/>
      <c r="AS882" s="34"/>
      <c r="AT882" s="34"/>
      <c r="AU882" s="34"/>
      <c r="AV882" s="34"/>
      <c r="AW882" s="34"/>
      <c r="AX882" s="34"/>
      <c r="AY882" s="34"/>
      <c r="AZ882" s="34"/>
      <c r="BA882" s="34"/>
      <c r="BB882" s="34"/>
      <c r="BC882" s="34"/>
      <c r="BD882" s="34"/>
      <c r="BE882" s="34"/>
      <c r="BF882" s="34"/>
      <c r="BG882" s="34"/>
      <c r="BH882" s="34"/>
      <c r="BI882" s="34"/>
      <c r="BJ882" s="34"/>
      <c r="BK882" s="34"/>
      <c r="BL882" s="34"/>
      <c r="BM882" s="34"/>
      <c r="BN882" s="34"/>
      <c r="BO882" s="34"/>
      <c r="BP882" s="34"/>
      <c r="BQ882" s="34"/>
      <c r="BR882" s="34"/>
      <c r="BS882" s="34"/>
      <c r="BT882" s="34"/>
      <c r="BU882" s="34"/>
      <c r="BV882" s="34"/>
      <c r="BW882" s="34"/>
      <c r="BX882" s="34"/>
      <c r="BY882" s="34"/>
      <c r="BZ882" s="34"/>
      <c r="CA882" s="34"/>
      <c r="CB882" s="34"/>
      <c r="CC882" s="34"/>
      <c r="CD882" s="34"/>
      <c r="CE882" s="34"/>
      <c r="CF882" s="34"/>
      <c r="CG882" s="34"/>
      <c r="CH882" s="34"/>
      <c r="CI882" s="8"/>
    </row>
    <row r="883" spans="1:87" x14ac:dyDescent="0.2">
      <c r="A883" s="8" t="str">
        <f>IF(AND(COUNTIF(W$3:W$13,A$27)&gt;0,A$27&lt;&gt;B800),A$27,IFERROR(IF(MATCH(A$27,Z$3:Z$13,0)=4,A$27," ")," "))</f>
        <v>C13</v>
      </c>
      <c r="B883" s="8">
        <f>IF(A883=" "," ",MAX(B871:B882)+1)</f>
        <v>4</v>
      </c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U883" s="34"/>
      <c r="V883" s="34"/>
      <c r="W883" s="34"/>
      <c r="X883" s="34"/>
      <c r="Y883" s="34"/>
      <c r="Z883" s="34"/>
      <c r="AA883" s="34"/>
      <c r="AB883" s="34"/>
      <c r="AC883" s="34"/>
      <c r="AD883" s="34"/>
      <c r="AE883" s="34"/>
      <c r="AF883" s="34"/>
      <c r="AG883" s="34"/>
      <c r="AH883" s="34"/>
      <c r="AI883" s="34"/>
      <c r="AJ883" s="34"/>
      <c r="AK883" s="34"/>
      <c r="AL883" s="34"/>
      <c r="AM883" s="34"/>
      <c r="AN883" s="34"/>
      <c r="AO883" s="34"/>
      <c r="AP883" s="34"/>
      <c r="AQ883" s="34"/>
      <c r="AR883" s="34"/>
      <c r="AS883" s="34"/>
      <c r="AT883" s="34"/>
      <c r="AU883" s="34"/>
      <c r="AV883" s="34"/>
      <c r="AW883" s="34"/>
      <c r="AX883" s="34"/>
      <c r="AY883" s="34"/>
      <c r="AZ883" s="34"/>
      <c r="BA883" s="34"/>
      <c r="BB883" s="34"/>
      <c r="BC883" s="34"/>
      <c r="BD883" s="34"/>
      <c r="BE883" s="34"/>
      <c r="BF883" s="34"/>
      <c r="BG883" s="34"/>
      <c r="BH883" s="34"/>
      <c r="BI883" s="34"/>
      <c r="BJ883" s="34"/>
      <c r="BK883" s="34"/>
      <c r="BL883" s="34"/>
      <c r="BM883" s="34"/>
      <c r="BN883" s="34"/>
      <c r="BO883" s="34"/>
      <c r="BP883" s="34"/>
      <c r="BQ883" s="34"/>
      <c r="BR883" s="34"/>
      <c r="BS883" s="34"/>
      <c r="BT883" s="34"/>
      <c r="BU883" s="34"/>
      <c r="BV883" s="34"/>
      <c r="BW883" s="34"/>
      <c r="BX883" s="34"/>
      <c r="BY883" s="34"/>
      <c r="BZ883" s="34"/>
      <c r="CA883" s="34"/>
      <c r="CB883" s="34"/>
      <c r="CC883" s="34"/>
      <c r="CD883" s="34"/>
      <c r="CE883" s="34"/>
      <c r="CF883" s="34"/>
      <c r="CG883" s="34"/>
      <c r="CH883" s="34"/>
      <c r="CI883" s="8"/>
    </row>
    <row r="884" spans="1:87" x14ac:dyDescent="0.2">
      <c r="A884" s="8" t="str">
        <f>IF(AND(COUNTIF(W$3:W$13,A$28)&gt;0,A$28&lt;&gt;B800),A$28,IFERROR(IF(MATCH(A$28,Z$3:Z$13,0)=4,A$28," ")," "))</f>
        <v xml:space="preserve"> </v>
      </c>
      <c r="B884" s="8" t="str">
        <f>IF(A884=" "," ",MAX(B871:B883)+1)</f>
        <v xml:space="preserve"> </v>
      </c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U884" s="34"/>
      <c r="V884" s="34"/>
      <c r="W884" s="34"/>
      <c r="X884" s="34"/>
      <c r="Y884" s="34"/>
      <c r="Z884" s="34"/>
      <c r="AA884" s="34"/>
      <c r="AB884" s="34"/>
      <c r="AC884" s="34"/>
      <c r="AD884" s="34"/>
      <c r="AE884" s="34"/>
      <c r="AF884" s="34"/>
      <c r="AG884" s="34"/>
      <c r="AH884" s="34"/>
      <c r="AI884" s="34"/>
      <c r="AJ884" s="34"/>
      <c r="AK884" s="34"/>
      <c r="AL884" s="34"/>
      <c r="AM884" s="34"/>
      <c r="AN884" s="34"/>
      <c r="AO884" s="34"/>
      <c r="AP884" s="34"/>
      <c r="AQ884" s="34"/>
      <c r="AR884" s="34"/>
      <c r="AS884" s="34"/>
      <c r="AT884" s="34"/>
      <c r="AU884" s="34"/>
      <c r="AV884" s="34"/>
      <c r="AW884" s="34"/>
      <c r="AX884" s="34"/>
      <c r="AY884" s="34"/>
      <c r="AZ884" s="34"/>
      <c r="BA884" s="34"/>
      <c r="BB884" s="34"/>
      <c r="BC884" s="34"/>
      <c r="BD884" s="34"/>
      <c r="BE884" s="34"/>
      <c r="BF884" s="34"/>
      <c r="BG884" s="34"/>
      <c r="BH884" s="34"/>
      <c r="BI884" s="34"/>
      <c r="BJ884" s="34"/>
      <c r="BK884" s="34"/>
      <c r="BL884" s="34"/>
      <c r="BM884" s="34"/>
      <c r="BN884" s="34"/>
      <c r="BO884" s="34"/>
      <c r="BP884" s="34"/>
      <c r="BQ884" s="34"/>
      <c r="BR884" s="34"/>
      <c r="BS884" s="34"/>
      <c r="BT884" s="34"/>
      <c r="BU884" s="34"/>
      <c r="BV884" s="34"/>
      <c r="BW884" s="34"/>
      <c r="BX884" s="34"/>
      <c r="BY884" s="34"/>
      <c r="BZ884" s="34"/>
      <c r="CA884" s="34"/>
      <c r="CB884" s="34"/>
      <c r="CC884" s="34"/>
      <c r="CD884" s="34"/>
      <c r="CE884" s="34"/>
      <c r="CF884" s="34"/>
      <c r="CG884" s="34"/>
      <c r="CH884" s="34"/>
      <c r="CI884" s="8"/>
    </row>
    <row r="885" spans="1:87" x14ac:dyDescent="0.2">
      <c r="A885" s="8" t="str">
        <f>IF(AND(COUNTIF(W$3:W$13,A$29)&gt;0,A$29&lt;&gt;B800),A$29,IFERROR(IF(MATCH(A$29,Z$3:Z$13,0)=4,A$29," ")," "))</f>
        <v xml:space="preserve"> </v>
      </c>
      <c r="B885" s="8" t="str">
        <f>IF(A885=" "," ",MAX(B871:B884)+1)</f>
        <v xml:space="preserve"> </v>
      </c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U885" s="34"/>
      <c r="V885" s="34"/>
      <c r="W885" s="34"/>
      <c r="X885" s="34"/>
      <c r="Y885" s="34"/>
      <c r="Z885" s="34"/>
      <c r="AA885" s="34"/>
      <c r="AB885" s="34"/>
      <c r="AC885" s="34"/>
      <c r="AD885" s="34"/>
      <c r="AE885" s="34"/>
      <c r="AF885" s="34"/>
      <c r="AG885" s="34"/>
      <c r="AH885" s="34"/>
      <c r="AI885" s="34"/>
      <c r="AJ885" s="34"/>
      <c r="AK885" s="34"/>
      <c r="AL885" s="34"/>
      <c r="AM885" s="34"/>
      <c r="AN885" s="34"/>
      <c r="AO885" s="34"/>
      <c r="AP885" s="34"/>
      <c r="AQ885" s="34"/>
      <c r="AR885" s="34"/>
      <c r="AS885" s="34"/>
      <c r="AT885" s="34"/>
      <c r="AU885" s="34"/>
      <c r="AV885" s="34"/>
      <c r="AW885" s="34"/>
      <c r="AX885" s="34"/>
      <c r="AY885" s="34"/>
      <c r="AZ885" s="34"/>
      <c r="BA885" s="34"/>
      <c r="BB885" s="34"/>
      <c r="BC885" s="34"/>
      <c r="BD885" s="34"/>
      <c r="BE885" s="34"/>
      <c r="BF885" s="34"/>
      <c r="BG885" s="34"/>
      <c r="BH885" s="34"/>
      <c r="BI885" s="34"/>
      <c r="BJ885" s="34"/>
      <c r="BK885" s="34"/>
      <c r="BL885" s="34"/>
      <c r="BM885" s="34"/>
      <c r="BN885" s="34"/>
      <c r="BO885" s="34"/>
      <c r="BP885" s="34"/>
      <c r="BQ885" s="34"/>
      <c r="BR885" s="34"/>
      <c r="BS885" s="34"/>
      <c r="BT885" s="34"/>
      <c r="BU885" s="34"/>
      <c r="BV885" s="34"/>
      <c r="BW885" s="34"/>
      <c r="BX885" s="34"/>
      <c r="BY885" s="34"/>
      <c r="BZ885" s="34"/>
      <c r="CA885" s="34"/>
      <c r="CB885" s="34"/>
      <c r="CC885" s="34"/>
      <c r="CD885" s="34"/>
      <c r="CE885" s="34"/>
      <c r="CF885" s="34"/>
      <c r="CG885" s="34"/>
      <c r="CH885" s="34"/>
      <c r="CI885" s="8"/>
    </row>
    <row r="886" spans="1:87" x14ac:dyDescent="0.2">
      <c r="A886" s="8" t="str">
        <f>IF(AND(COUNTIF(W$3:W$13,A$30)&gt;0,A$30&lt;&gt;B800),A$30,IFERROR(IF(MATCH(A$30,Z$3:Z$13,0)=4,A$30," ")," "))</f>
        <v>C16</v>
      </c>
      <c r="B886" s="8">
        <f>IF(A886=" "," ",MAX(B871:B885)+1)</f>
        <v>5</v>
      </c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U886" s="34"/>
      <c r="V886" s="34"/>
      <c r="W886" s="34"/>
      <c r="X886" s="34"/>
      <c r="Y886" s="34"/>
      <c r="Z886" s="34"/>
      <c r="AA886" s="34"/>
      <c r="AB886" s="34"/>
      <c r="AC886" s="34"/>
      <c r="AD886" s="34"/>
      <c r="AE886" s="34"/>
      <c r="AF886" s="34"/>
      <c r="AG886" s="34"/>
      <c r="AH886" s="34"/>
      <c r="AI886" s="34"/>
      <c r="AJ886" s="34"/>
      <c r="AK886" s="34"/>
      <c r="AL886" s="34"/>
      <c r="AM886" s="34"/>
      <c r="AN886" s="34"/>
      <c r="AO886" s="34"/>
      <c r="AP886" s="34"/>
      <c r="AQ886" s="34"/>
      <c r="AR886" s="34"/>
      <c r="AS886" s="34"/>
      <c r="AT886" s="34"/>
      <c r="AU886" s="34"/>
      <c r="AV886" s="34"/>
      <c r="AW886" s="34"/>
      <c r="AX886" s="34"/>
      <c r="AY886" s="34"/>
      <c r="AZ886" s="34"/>
      <c r="BA886" s="34"/>
      <c r="BB886" s="34"/>
      <c r="BC886" s="34"/>
      <c r="BD886" s="34"/>
      <c r="BE886" s="34"/>
      <c r="BF886" s="34"/>
      <c r="BG886" s="34"/>
      <c r="BH886" s="34"/>
      <c r="BI886" s="34"/>
      <c r="BJ886" s="34"/>
      <c r="BK886" s="34"/>
      <c r="BL886" s="34"/>
      <c r="BM886" s="34"/>
      <c r="BN886" s="34"/>
      <c r="BO886" s="34"/>
      <c r="BP886" s="34"/>
      <c r="BQ886" s="34"/>
      <c r="BR886" s="34"/>
      <c r="BS886" s="34"/>
      <c r="BT886" s="34"/>
      <c r="BU886" s="34"/>
      <c r="BV886" s="34"/>
      <c r="BW886" s="34"/>
      <c r="BX886" s="34"/>
      <c r="BY886" s="34"/>
      <c r="BZ886" s="34"/>
      <c r="CA886" s="34"/>
      <c r="CB886" s="34"/>
      <c r="CC886" s="34"/>
      <c r="CD886" s="34"/>
      <c r="CE886" s="34"/>
      <c r="CF886" s="34"/>
      <c r="CG886" s="34"/>
      <c r="CH886" s="34"/>
      <c r="CI886" s="8"/>
    </row>
    <row r="887" spans="1:87" x14ac:dyDescent="0.2">
      <c r="A887" s="8" t="str">
        <f>IF(AND(COUNTIF(W$3:W$13,A$31)&gt;0,A$31&lt;&gt;B800),A$31,IFERROR(IF(MATCH(A$31,Z$3:Z$13,0)=4,A$31," ")," "))</f>
        <v>C17</v>
      </c>
      <c r="B887" s="8">
        <f>IF(A887=" "," ",MAX(B871:B886)+1)</f>
        <v>6</v>
      </c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U887" s="34"/>
      <c r="V887" s="34"/>
      <c r="W887" s="34"/>
      <c r="X887" s="34"/>
      <c r="Y887" s="34"/>
      <c r="Z887" s="34"/>
      <c r="AA887" s="34"/>
      <c r="AB887" s="34"/>
      <c r="AC887" s="34"/>
      <c r="AD887" s="34"/>
      <c r="AE887" s="34"/>
      <c r="AF887" s="34"/>
      <c r="AG887" s="34"/>
      <c r="AH887" s="34"/>
      <c r="AI887" s="34"/>
      <c r="AJ887" s="34"/>
      <c r="AK887" s="34"/>
      <c r="AL887" s="34"/>
      <c r="AM887" s="34"/>
      <c r="AN887" s="34"/>
      <c r="AO887" s="34"/>
      <c r="AP887" s="34"/>
      <c r="AQ887" s="34"/>
      <c r="AR887" s="34"/>
      <c r="AS887" s="34"/>
      <c r="AT887" s="34"/>
      <c r="AU887" s="34"/>
      <c r="AV887" s="34"/>
      <c r="AW887" s="34"/>
      <c r="AX887" s="34"/>
      <c r="AY887" s="34"/>
      <c r="AZ887" s="34"/>
      <c r="BA887" s="34"/>
      <c r="BB887" s="34"/>
      <c r="BC887" s="34"/>
      <c r="BD887" s="34"/>
      <c r="BE887" s="34"/>
      <c r="BF887" s="34"/>
      <c r="BG887" s="34"/>
      <c r="BH887" s="34"/>
      <c r="BI887" s="34"/>
      <c r="BJ887" s="34"/>
      <c r="BK887" s="34"/>
      <c r="BL887" s="34"/>
      <c r="BM887" s="34"/>
      <c r="BN887" s="34"/>
      <c r="BO887" s="34"/>
      <c r="BP887" s="34"/>
      <c r="BQ887" s="34"/>
      <c r="BR887" s="34"/>
      <c r="BS887" s="34"/>
      <c r="BT887" s="34"/>
      <c r="BU887" s="34"/>
      <c r="BV887" s="34"/>
      <c r="BW887" s="34"/>
      <c r="BX887" s="34"/>
      <c r="BY887" s="34"/>
      <c r="BZ887" s="34"/>
      <c r="CA887" s="34"/>
      <c r="CB887" s="34"/>
      <c r="CC887" s="34"/>
      <c r="CD887" s="34"/>
      <c r="CE887" s="34"/>
      <c r="CF887" s="34"/>
      <c r="CG887" s="34"/>
      <c r="CH887" s="34"/>
      <c r="CI887" s="8"/>
    </row>
    <row r="888" spans="1:87" x14ac:dyDescent="0.2">
      <c r="A888" s="8" t="str">
        <f>IF(AND(COUNTIF(W$3:W$13,A$32)&gt;0,A$32&lt;&gt;B800),A$32,IFERROR(IF(MATCH(A$32,Z$3:Z$13,0)=4,A$32," ")," "))</f>
        <v>C18</v>
      </c>
      <c r="B888" s="8">
        <f>IF(A888=" "," ",MAX(B871:B887)+1)</f>
        <v>7</v>
      </c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U888" s="34"/>
      <c r="V888" s="34"/>
      <c r="W888" s="34"/>
      <c r="X888" s="34"/>
      <c r="Y888" s="34"/>
      <c r="Z888" s="34"/>
      <c r="AA888" s="34"/>
      <c r="AB888" s="34"/>
      <c r="AC888" s="34"/>
      <c r="AD888" s="34"/>
      <c r="AE888" s="34"/>
      <c r="AF888" s="34"/>
      <c r="AG888" s="34"/>
      <c r="AH888" s="34"/>
      <c r="AI888" s="34"/>
      <c r="AJ888" s="34"/>
      <c r="AK888" s="34"/>
      <c r="AL888" s="34"/>
      <c r="AM888" s="34"/>
      <c r="AN888" s="34"/>
      <c r="AO888" s="34"/>
      <c r="AP888" s="34"/>
      <c r="AQ888" s="34"/>
      <c r="AR888" s="34"/>
      <c r="AS888" s="34"/>
      <c r="AT888" s="34"/>
      <c r="AU888" s="34"/>
      <c r="AV888" s="34"/>
      <c r="AW888" s="34"/>
      <c r="AX888" s="34"/>
      <c r="AY888" s="34"/>
      <c r="AZ888" s="34"/>
      <c r="BA888" s="34"/>
      <c r="BB888" s="34"/>
      <c r="BC888" s="34"/>
      <c r="BD888" s="34"/>
      <c r="BE888" s="34"/>
      <c r="BF888" s="34"/>
      <c r="BG888" s="34"/>
      <c r="BH888" s="34"/>
      <c r="BI888" s="34"/>
      <c r="BJ888" s="34"/>
      <c r="BK888" s="34"/>
      <c r="BL888" s="34"/>
      <c r="BM888" s="34"/>
      <c r="BN888" s="34"/>
      <c r="BO888" s="34"/>
      <c r="BP888" s="34"/>
      <c r="BQ888" s="34"/>
      <c r="BR888" s="34"/>
      <c r="BS888" s="34"/>
      <c r="BT888" s="34"/>
      <c r="BU888" s="34"/>
      <c r="BV888" s="34"/>
      <c r="BW888" s="34"/>
      <c r="BX888" s="34"/>
      <c r="BY888" s="34"/>
      <c r="BZ888" s="34"/>
      <c r="CA888" s="34"/>
      <c r="CB888" s="34"/>
      <c r="CC888" s="34"/>
      <c r="CD888" s="34"/>
      <c r="CE888" s="34"/>
      <c r="CF888" s="34"/>
      <c r="CG888" s="34"/>
      <c r="CH888" s="34"/>
      <c r="CI888" s="8"/>
    </row>
    <row r="889" spans="1:87" x14ac:dyDescent="0.2">
      <c r="A889" s="8" t="str">
        <f>IF(AND(COUNTIF(W$3:W$13,A$33)&gt;0,A$33&lt;&gt;B800),A$33,IFERROR(IF(MATCH(A$33,Z$3:Z$13,0)=4,A$33," ")," "))</f>
        <v>C19</v>
      </c>
      <c r="B889" s="8">
        <f>IF(A889=" "," ",MAX(B871:B888)+1)</f>
        <v>8</v>
      </c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U889" s="34"/>
      <c r="V889" s="34"/>
      <c r="W889" s="34"/>
      <c r="X889" s="34"/>
      <c r="Y889" s="34"/>
      <c r="Z889" s="34"/>
      <c r="AA889" s="34"/>
      <c r="AB889" s="34"/>
      <c r="AC889" s="34"/>
      <c r="AD889" s="34"/>
      <c r="AE889" s="34"/>
      <c r="AF889" s="34"/>
      <c r="AG889" s="34"/>
      <c r="AH889" s="34"/>
      <c r="AI889" s="34"/>
      <c r="AJ889" s="34"/>
      <c r="AK889" s="34"/>
      <c r="AL889" s="34"/>
      <c r="AM889" s="34"/>
      <c r="AN889" s="34"/>
      <c r="AO889" s="34"/>
      <c r="AP889" s="34"/>
      <c r="AQ889" s="34"/>
      <c r="AR889" s="34"/>
      <c r="AS889" s="34"/>
      <c r="AT889" s="34"/>
      <c r="AU889" s="34"/>
      <c r="AV889" s="34"/>
      <c r="AW889" s="34"/>
      <c r="AX889" s="34"/>
      <c r="AY889" s="34"/>
      <c r="AZ889" s="34"/>
      <c r="BA889" s="34"/>
      <c r="BB889" s="34"/>
      <c r="BC889" s="34"/>
      <c r="BD889" s="34"/>
      <c r="BE889" s="34"/>
      <c r="BF889" s="34"/>
      <c r="BG889" s="34"/>
      <c r="BH889" s="34"/>
      <c r="BI889" s="34"/>
      <c r="BJ889" s="34"/>
      <c r="BK889" s="34"/>
      <c r="BL889" s="34"/>
      <c r="BM889" s="34"/>
      <c r="BN889" s="34"/>
      <c r="BO889" s="34"/>
      <c r="BP889" s="34"/>
      <c r="BQ889" s="34"/>
      <c r="BR889" s="34"/>
      <c r="BS889" s="34"/>
      <c r="BT889" s="34"/>
      <c r="BU889" s="34"/>
      <c r="BV889" s="34"/>
      <c r="BW889" s="34"/>
      <c r="BX889" s="34"/>
      <c r="BY889" s="34"/>
      <c r="BZ889" s="34"/>
      <c r="CA889" s="34"/>
      <c r="CB889" s="34"/>
      <c r="CC889" s="34"/>
      <c r="CD889" s="34"/>
      <c r="CE889" s="34"/>
      <c r="CF889" s="34"/>
      <c r="CG889" s="34"/>
      <c r="CH889" s="34"/>
      <c r="CI889" s="8"/>
    </row>
    <row r="890" spans="1:87" x14ac:dyDescent="0.2">
      <c r="A890" s="8" t="str">
        <f>IF(AND(COUNTIF(W$3:W$13,A$34)&gt;0,A$34&lt;&gt;B800),A$34,IFERROR(IF(MATCH(A$34,Z$3:Z$13,0)=4,A$34," ")," "))</f>
        <v>C20</v>
      </c>
      <c r="B890" s="8">
        <f>IF(A890=" "," ",MAX(B871:B889)+1)</f>
        <v>9</v>
      </c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U890" s="34"/>
      <c r="V890" s="34"/>
      <c r="W890" s="34"/>
      <c r="X890" s="34"/>
      <c r="Y890" s="34"/>
      <c r="Z890" s="34"/>
      <c r="AA890" s="34"/>
      <c r="AB890" s="34"/>
      <c r="AC890" s="34"/>
      <c r="AD890" s="34"/>
      <c r="AE890" s="34"/>
      <c r="AF890" s="34"/>
      <c r="AG890" s="34"/>
      <c r="AH890" s="34"/>
      <c r="AI890" s="34"/>
      <c r="AJ890" s="34"/>
      <c r="AK890" s="34"/>
      <c r="AL890" s="34"/>
      <c r="AM890" s="34"/>
      <c r="AN890" s="34"/>
      <c r="AO890" s="34"/>
      <c r="AP890" s="34"/>
      <c r="AQ890" s="34"/>
      <c r="AR890" s="34"/>
      <c r="AS890" s="34"/>
      <c r="AT890" s="34"/>
      <c r="AU890" s="34"/>
      <c r="AV890" s="34"/>
      <c r="AW890" s="34"/>
      <c r="AX890" s="34"/>
      <c r="AY890" s="34"/>
      <c r="AZ890" s="34"/>
      <c r="BA890" s="34"/>
      <c r="BB890" s="34"/>
      <c r="BC890" s="34"/>
      <c r="BD890" s="34"/>
      <c r="BE890" s="34"/>
      <c r="BF890" s="34"/>
      <c r="BG890" s="34"/>
      <c r="BH890" s="34"/>
      <c r="BI890" s="34"/>
      <c r="BJ890" s="34"/>
      <c r="BK890" s="34"/>
      <c r="BL890" s="34"/>
      <c r="BM890" s="34"/>
      <c r="BN890" s="34"/>
      <c r="BO890" s="34"/>
      <c r="BP890" s="34"/>
      <c r="BQ890" s="34"/>
      <c r="BR890" s="34"/>
      <c r="BS890" s="34"/>
      <c r="BT890" s="34"/>
      <c r="BU890" s="34"/>
      <c r="BV890" s="34"/>
      <c r="BW890" s="34"/>
      <c r="BX890" s="34"/>
      <c r="BY890" s="34"/>
      <c r="BZ890" s="34"/>
      <c r="CA890" s="34"/>
      <c r="CB890" s="34"/>
      <c r="CC890" s="34"/>
      <c r="CD890" s="34"/>
      <c r="CE890" s="34"/>
      <c r="CF890" s="34"/>
      <c r="CG890" s="34"/>
      <c r="CH890" s="34"/>
      <c r="CI890" s="8"/>
    </row>
    <row r="891" spans="1:87" x14ac:dyDescent="0.2">
      <c r="A891" s="8" t="str">
        <f>IF(AND(COUNTIF(W$3:W$13,A$35)&gt;0,A$35&lt;&gt;B800),A$35,IFERROR(IF(MATCH(A$35,Z$3:Z$13,0)=4,A$35," ")," "))</f>
        <v>C21</v>
      </c>
      <c r="B891" s="8">
        <f>IF(A891=" "," ",MAX(B871:B890)+1)</f>
        <v>10</v>
      </c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U891" s="34"/>
      <c r="V891" s="34"/>
      <c r="W891" s="34"/>
      <c r="X891" s="34"/>
      <c r="Y891" s="34"/>
      <c r="Z891" s="34"/>
      <c r="AA891" s="34"/>
      <c r="AB891" s="34"/>
      <c r="AC891" s="34"/>
      <c r="AD891" s="34"/>
      <c r="AE891" s="34"/>
      <c r="AF891" s="34"/>
      <c r="AG891" s="34"/>
      <c r="AH891" s="34"/>
      <c r="AI891" s="34"/>
      <c r="AJ891" s="34"/>
      <c r="AK891" s="34"/>
      <c r="AL891" s="34"/>
      <c r="AM891" s="34"/>
      <c r="AN891" s="34"/>
      <c r="AO891" s="34"/>
      <c r="AP891" s="34"/>
      <c r="AQ891" s="34"/>
      <c r="AR891" s="34"/>
      <c r="AS891" s="34"/>
      <c r="AT891" s="34"/>
      <c r="AU891" s="34"/>
      <c r="AV891" s="34"/>
      <c r="AW891" s="34"/>
      <c r="AX891" s="34"/>
      <c r="AY891" s="34"/>
      <c r="AZ891" s="34"/>
      <c r="BA891" s="34"/>
      <c r="BB891" s="34"/>
      <c r="BC891" s="34"/>
      <c r="BD891" s="34"/>
      <c r="BE891" s="34"/>
      <c r="BF891" s="34"/>
      <c r="BG891" s="34"/>
      <c r="BH891" s="34"/>
      <c r="BI891" s="34"/>
      <c r="BJ891" s="34"/>
      <c r="BK891" s="34"/>
      <c r="BL891" s="34"/>
      <c r="BM891" s="34"/>
      <c r="BN891" s="34"/>
      <c r="BO891" s="34"/>
      <c r="BP891" s="34"/>
      <c r="BQ891" s="34"/>
      <c r="BR891" s="34"/>
      <c r="BS891" s="34"/>
      <c r="BT891" s="34"/>
      <c r="BU891" s="34"/>
      <c r="BV891" s="34"/>
      <c r="BW891" s="34"/>
      <c r="BX891" s="34"/>
      <c r="BY891" s="34"/>
      <c r="BZ891" s="34"/>
      <c r="CA891" s="34"/>
      <c r="CB891" s="34"/>
      <c r="CC891" s="34"/>
      <c r="CD891" s="34"/>
      <c r="CE891" s="34"/>
      <c r="CF891" s="34"/>
      <c r="CG891" s="34"/>
      <c r="CH891" s="34"/>
      <c r="CI891" s="8"/>
    </row>
    <row r="892" spans="1:87" x14ac:dyDescent="0.2">
      <c r="A892" s="8" t="str">
        <f>IF(AND(COUNTIF(W$3:W$13,A$36)&gt;0,A$36&lt;&gt;B800),A$36,IFERROR(IF(MATCH(A$36,Z$3:Z$13,0)=4,A$36," ")," "))</f>
        <v>C22</v>
      </c>
      <c r="B892" s="8">
        <f>IF(A892=" "," ",MAX(B871:B891)+1)</f>
        <v>11</v>
      </c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U892" s="34"/>
      <c r="V892" s="34"/>
      <c r="W892" s="34"/>
      <c r="X892" s="34"/>
      <c r="Y892" s="34"/>
      <c r="Z892" s="34"/>
      <c r="AA892" s="34"/>
      <c r="AB892" s="34"/>
      <c r="AC892" s="34"/>
      <c r="AD892" s="34"/>
      <c r="AE892" s="34"/>
      <c r="AF892" s="34"/>
      <c r="AG892" s="34"/>
      <c r="AH892" s="34"/>
      <c r="AI892" s="34"/>
      <c r="AJ892" s="34"/>
      <c r="AK892" s="34"/>
      <c r="AL892" s="34"/>
      <c r="AM892" s="34"/>
      <c r="AN892" s="34"/>
      <c r="AO892" s="34"/>
      <c r="AP892" s="34"/>
      <c r="AQ892" s="34"/>
      <c r="AR892" s="34"/>
      <c r="AS892" s="34"/>
      <c r="AT892" s="34"/>
      <c r="AU892" s="34"/>
      <c r="AV892" s="34"/>
      <c r="AW892" s="34"/>
      <c r="AX892" s="34"/>
      <c r="AY892" s="34"/>
      <c r="AZ892" s="34"/>
      <c r="BA892" s="34"/>
      <c r="BB892" s="34"/>
      <c r="BC892" s="34"/>
      <c r="BD892" s="34"/>
      <c r="BE892" s="34"/>
      <c r="BF892" s="34"/>
      <c r="BG892" s="34"/>
      <c r="BH892" s="34"/>
      <c r="BI892" s="34"/>
      <c r="BJ892" s="34"/>
      <c r="BK892" s="34"/>
      <c r="BL892" s="34"/>
      <c r="BM892" s="34"/>
      <c r="BN892" s="34"/>
      <c r="BO892" s="34"/>
      <c r="BP892" s="34"/>
      <c r="BQ892" s="34"/>
      <c r="BR892" s="34"/>
      <c r="BS892" s="34"/>
      <c r="BT892" s="34"/>
      <c r="BU892" s="34"/>
      <c r="BV892" s="34"/>
      <c r="BW892" s="34"/>
      <c r="BX892" s="34"/>
      <c r="BY892" s="34"/>
      <c r="BZ892" s="34"/>
      <c r="CA892" s="34"/>
      <c r="CB892" s="34"/>
      <c r="CC892" s="34"/>
      <c r="CD892" s="34"/>
      <c r="CE892" s="34"/>
      <c r="CF892" s="34"/>
      <c r="CG892" s="34"/>
      <c r="CH892" s="34"/>
      <c r="CI892" s="8"/>
    </row>
    <row r="893" spans="1:87" x14ac:dyDescent="0.2">
      <c r="A893" s="11" t="s">
        <v>17</v>
      </c>
      <c r="B893" s="11"/>
      <c r="C893" s="27" t="s">
        <v>18</v>
      </c>
      <c r="D893" s="27" t="s">
        <v>2</v>
      </c>
      <c r="E893" s="27" t="s">
        <v>6</v>
      </c>
      <c r="F893" s="27" t="s">
        <v>15</v>
      </c>
      <c r="G893" s="27" t="s">
        <v>36</v>
      </c>
      <c r="H893" s="27" t="s">
        <v>37</v>
      </c>
      <c r="I893" s="27" t="s">
        <v>38</v>
      </c>
      <c r="J893" s="27" t="s">
        <v>39</v>
      </c>
      <c r="K893" s="27" t="s">
        <v>40</v>
      </c>
      <c r="L893" s="27" t="s">
        <v>41</v>
      </c>
      <c r="M893" s="27" t="s">
        <v>42</v>
      </c>
      <c r="N893" s="27" t="s">
        <v>43</v>
      </c>
      <c r="O893" s="27" t="s">
        <v>9</v>
      </c>
      <c r="P893" s="27" t="s">
        <v>12</v>
      </c>
      <c r="Q893" s="27" t="s">
        <v>19</v>
      </c>
      <c r="R893" s="27" t="s">
        <v>55</v>
      </c>
      <c r="S893" s="27" t="s">
        <v>26</v>
      </c>
      <c r="T893" s="19" t="s">
        <v>25</v>
      </c>
      <c r="U893" s="33" t="s">
        <v>27</v>
      </c>
      <c r="V893" s="33" t="s">
        <v>9</v>
      </c>
      <c r="W893" s="33" t="s">
        <v>23</v>
      </c>
      <c r="X893" s="33" t="s">
        <v>12</v>
      </c>
      <c r="Y893" s="33" t="s">
        <v>26</v>
      </c>
      <c r="Z893" s="33" t="s">
        <v>25</v>
      </c>
      <c r="AA893" s="33" t="s">
        <v>27</v>
      </c>
      <c r="AB893" s="33" t="s">
        <v>9</v>
      </c>
      <c r="AC893" s="33" t="s">
        <v>23</v>
      </c>
      <c r="AD893" s="33" t="s">
        <v>12</v>
      </c>
      <c r="AE893" s="33" t="s">
        <v>26</v>
      </c>
      <c r="AF893" s="33" t="s">
        <v>25</v>
      </c>
      <c r="AG893" s="33" t="s">
        <v>27</v>
      </c>
      <c r="AH893" s="33" t="s">
        <v>9</v>
      </c>
      <c r="AI893" s="33" t="s">
        <v>23</v>
      </c>
      <c r="AJ893" s="33" t="s">
        <v>12</v>
      </c>
      <c r="AK893" s="33" t="s">
        <v>26</v>
      </c>
      <c r="AL893" s="33" t="s">
        <v>25</v>
      </c>
      <c r="AM893" s="33" t="s">
        <v>27</v>
      </c>
      <c r="AN893" s="33" t="s">
        <v>9</v>
      </c>
      <c r="AO893" s="33" t="s">
        <v>23</v>
      </c>
      <c r="AP893" s="33" t="s">
        <v>12</v>
      </c>
      <c r="AQ893" s="33" t="s">
        <v>26</v>
      </c>
      <c r="AR893" s="33" t="s">
        <v>25</v>
      </c>
      <c r="AS893" s="33" t="s">
        <v>27</v>
      </c>
      <c r="AT893" s="33" t="s">
        <v>9</v>
      </c>
      <c r="AU893" s="33" t="s">
        <v>23</v>
      </c>
      <c r="AV893" s="33" t="s">
        <v>12</v>
      </c>
      <c r="AW893" s="33" t="s">
        <v>26</v>
      </c>
      <c r="AX893" s="33" t="s">
        <v>25</v>
      </c>
      <c r="AY893" s="33" t="s">
        <v>27</v>
      </c>
      <c r="AZ893" s="33" t="s">
        <v>9</v>
      </c>
      <c r="BA893" s="33" t="s">
        <v>23</v>
      </c>
      <c r="BB893" s="33" t="s">
        <v>12</v>
      </c>
      <c r="BC893" s="33" t="s">
        <v>26</v>
      </c>
      <c r="BD893" s="33" t="s">
        <v>25</v>
      </c>
      <c r="BE893" s="33" t="s">
        <v>27</v>
      </c>
      <c r="BF893" s="33" t="s">
        <v>9</v>
      </c>
      <c r="BG893" s="33" t="s">
        <v>23</v>
      </c>
      <c r="BH893" s="33" t="s">
        <v>12</v>
      </c>
      <c r="BI893" s="33" t="s">
        <v>26</v>
      </c>
      <c r="BJ893" s="33" t="s">
        <v>25</v>
      </c>
      <c r="BK893" s="33" t="s">
        <v>27</v>
      </c>
      <c r="BL893" s="33" t="s">
        <v>9</v>
      </c>
      <c r="BM893" s="33" t="s">
        <v>23</v>
      </c>
      <c r="BN893" s="33" t="s">
        <v>12</v>
      </c>
      <c r="BO893" s="33" t="s">
        <v>26</v>
      </c>
      <c r="BP893" s="33" t="s">
        <v>25</v>
      </c>
      <c r="BQ893" s="33" t="s">
        <v>27</v>
      </c>
      <c r="BR893" s="33" t="s">
        <v>9</v>
      </c>
      <c r="BS893" s="33" t="s">
        <v>23</v>
      </c>
      <c r="BT893" s="33" t="s">
        <v>12</v>
      </c>
      <c r="BU893" s="33" t="s">
        <v>26</v>
      </c>
      <c r="BV893" s="33" t="s">
        <v>25</v>
      </c>
      <c r="BW893" s="33" t="s">
        <v>27</v>
      </c>
      <c r="BX893" s="33" t="s">
        <v>9</v>
      </c>
      <c r="BY893" s="33" t="s">
        <v>23</v>
      </c>
      <c r="BZ893" s="33" t="s">
        <v>12</v>
      </c>
      <c r="CA893" s="33" t="s">
        <v>26</v>
      </c>
      <c r="CB893" s="33" t="s">
        <v>25</v>
      </c>
      <c r="CC893" s="33" t="s">
        <v>27</v>
      </c>
      <c r="CD893" s="33" t="s">
        <v>9</v>
      </c>
      <c r="CE893" s="33" t="s">
        <v>23</v>
      </c>
      <c r="CF893" s="33" t="s">
        <v>12</v>
      </c>
      <c r="CG893" s="33" t="s">
        <v>26</v>
      </c>
      <c r="CH893" s="33" t="s">
        <v>25</v>
      </c>
      <c r="CI893" s="8"/>
    </row>
    <row r="894" spans="1:87" x14ac:dyDescent="0.2">
      <c r="A894" s="8" t="str">
        <f>IF(AND(COUNTIF(W$3:W$13,A$15)&gt;0,A$15&lt;&gt;B800),A$15,IFERROR(IF(MATCH(A$15,Z$3:Z$13,0)=5,A$15," ")," "))</f>
        <v xml:space="preserve"> </v>
      </c>
      <c r="B894" s="8" t="str">
        <f>IF(A894=" "," ",1)</f>
        <v xml:space="preserve"> </v>
      </c>
      <c r="C894" s="8" t="str">
        <f>IFERROR(INDEX(A894:A915,MATCH(SMALL(B894:B915,1),B894:B915,0),1)," ")</f>
        <v>C3</v>
      </c>
      <c r="D894" s="8">
        <f>IFERROR(VLOOKUP($C894,$A$15:$O$36,2,FALSE)," ")</f>
        <v>2</v>
      </c>
      <c r="E894" s="8">
        <f>IFERROR(VLOOKUP($C894,$A$15:$O$36,3,FALSE)," ")</f>
        <v>5</v>
      </c>
      <c r="F894" s="8">
        <f>IFERROR(VLOOKUP($C894,$A$15:$O$36,4,FALSE)," ")</f>
        <v>6</v>
      </c>
      <c r="G894" s="8">
        <f>IFERROR(VLOOKUP($C894,$A$15:$O$36,5,FALSE)," ")</f>
        <v>0</v>
      </c>
      <c r="H894" s="8">
        <f>IFERROR(VLOOKUP($C894,$A$15:$O$36,6,FALSE)," ")</f>
        <v>0</v>
      </c>
      <c r="I894" s="8">
        <f>IFERROR(VLOOKUP($C894,$A$15:$O$36,7,FALSE)," ")</f>
        <v>0</v>
      </c>
      <c r="J894" s="8">
        <f>IFERROR(VLOOKUP($C894,$A$15:$O$36,8,FALSE)," ")</f>
        <v>0</v>
      </c>
      <c r="K894" s="8">
        <f>IFERROR(VLOOKUP($C894,$A$15:$O$36,9,FALSE)," ")</f>
        <v>0</v>
      </c>
      <c r="L894" s="8">
        <f>IFERROR(VLOOKUP($C894,$A$15:$O$36,10,FALSE)," ")</f>
        <v>0</v>
      </c>
      <c r="M894" s="8">
        <f>IFERROR(VLOOKUP($C894,$A$15:$O$36,11,FALSE)," ")</f>
        <v>0</v>
      </c>
      <c r="N894" s="8">
        <f>IFERROR(VLOOKUP($C894,$A$15:$O$36,12,FALSE)," ")</f>
        <v>0</v>
      </c>
      <c r="O894" s="8">
        <f>IFERROR(VLOOKUP($C894,$A$15:$O$36,15,FALSE)," ")</f>
        <v>2000</v>
      </c>
      <c r="P894" s="8" t="e">
        <f t="array" ref="P894:P904">MMULT(MINVERSE(D894:N904),O894:O904)</f>
        <v>#NUM!</v>
      </c>
      <c r="Q894" s="8" t="e">
        <f t="shared" ref="Q894" si="3720">IF(COUNTIF(P894:P904,"&lt;"&amp;-0.001)=0,IF(ABS(P894)&lt;0.001,0,P894)," ")</f>
        <v>#NUM!</v>
      </c>
      <c r="R894" s="8" t="str">
        <f>IFERROR(VLOOKUP(B800,A$15:L$36,2,FALSE)*Q894+VLOOKUP(B800,A$15:L$36,3,FALSE)*Q895+VLOOKUP(B800,A$15:L$36,4,FALSE)*Q896+VLOOKUP(B800,A$15:L$36,5,FALSE)*Q897+VLOOKUP(B800,A$15:L$36,6,FALSE)*Q898+VLOOKUP(B800,A$15:L$36,7,FALSE)*Q899+VLOOKUP(B800,A$15:L$36,8,FALSE)*Q900+VLOOKUP(B800,A$15:L$36,9,FALSE)*Q901+VLOOKUP(B800,A$15:L$36,10,FALSE)*Q902+VLOOKUP(B800,A$15:L$36,11,FALSE)*Q903+VLOOKUP(B800,A$15:L$36,12,FALSE)*Q904," ")</f>
        <v xml:space="preserve"> </v>
      </c>
      <c r="S894" s="8" t="str">
        <f>IFERROR(IF(R894-VLOOKUP(B800,A$15:O$36,15,FALSE)&lt;0,R894-VLOOKUP(B800,A$15:O$36,15,FALSE)," ")," ")</f>
        <v xml:space="preserve"> </v>
      </c>
      <c r="T894" s="18" t="str">
        <f>IFERROR(IF(R894-VLOOKUP(B800,A$15:O$36,15,FALSE)&gt;0,R894-VLOOKUP(B800,A$15:O$36,15,FALSE)," ")," ")</f>
        <v xml:space="preserve"> </v>
      </c>
      <c r="U894" s="34">
        <f t="shared" ref="U894" si="3721">$M$2</f>
        <v>100.00000000000001</v>
      </c>
      <c r="V894" s="34">
        <v>-1</v>
      </c>
      <c r="W894" s="34">
        <f t="shared" ref="W894" si="3722">-SUMPRODUCT($M$3:$M$12,$N$3:$N$12)</f>
        <v>-105000</v>
      </c>
      <c r="X894" s="34" t="e">
        <f t="shared" ref="X894" si="3723">IF(U894&lt;&gt;U895,MMULT(MINVERSE(U894:V895),W894:W895)," ")</f>
        <v>#NUM!</v>
      </c>
      <c r="Y894" s="34" t="str">
        <f t="shared" ref="Y894" si="3724">IFERROR(IF(X894-VLOOKUP(U$38,$A$2:$N$12,14,FALSE)&lt;0,X894-VLOOKUP(U$38,$A$2:$N$12,14,FALSE)," ")," ")</f>
        <v xml:space="preserve"> </v>
      </c>
      <c r="Z894" s="34" t="str">
        <f t="shared" ref="Z894" si="3725">IFERROR(IF(X894-VLOOKUP(U$38,$A$2:$N$12,14,FALSE)&gt;0,X894-VLOOKUP(U$38,$A$2:$N$12,14,FALSE)," ")," ")</f>
        <v xml:space="preserve"> </v>
      </c>
      <c r="AA894" s="34">
        <f t="shared" ref="AA894" si="3726">$M$3</f>
        <v>0</v>
      </c>
      <c r="AB894" s="34">
        <v>-1</v>
      </c>
      <c r="AC894" s="34">
        <f t="shared" ref="AC894" si="3727">-SUMPRODUCT($M$2:$M$2,$N$2:$N$2)-SUMPRODUCT($M$4:$M$12,$N$4:$N$12)</f>
        <v>-120000</v>
      </c>
      <c r="AD894" s="34" t="e">
        <f t="shared" ref="AD894" si="3728">IF(AA894&lt;&gt;AA895,MMULT(MINVERSE(AA894:AB895),AC894:AC895)," ")</f>
        <v>#NUM!</v>
      </c>
      <c r="AE894" s="34" t="str">
        <f t="shared" ref="AE894" si="3729">IFERROR(IF(AD894-VLOOKUP(AA$38,$A$2:$N$12,14,FALSE)&lt;0,AD894-VLOOKUP(AA$38,$A$2:$N$12,14,FALSE)," ")," ")</f>
        <v xml:space="preserve"> </v>
      </c>
      <c r="AF894" s="34" t="str">
        <f t="shared" ref="AF894" si="3730">IFERROR(IF(AD894-VLOOKUP(AA$38,$A$2:$N$12,14,FALSE)&gt;0,AD894-VLOOKUP(AA$38,$A$2:$N$12,14,FALSE)," ")," ")</f>
        <v xml:space="preserve"> </v>
      </c>
      <c r="AG894" s="34">
        <f t="shared" ref="AG894" si="3731">$M$4</f>
        <v>300</v>
      </c>
      <c r="AH894" s="34">
        <v>-1</v>
      </c>
      <c r="AI894" s="34">
        <f t="shared" ref="AI894" si="3732">-SUMPRODUCT($M$2:$M$3,$N$2:$N$3)-SUMPRODUCT($M$5:$M$12,$N$5:$N$12)</f>
        <v>-15000.000000000002</v>
      </c>
      <c r="AJ894" s="34" t="e">
        <f t="shared" ref="AJ894" si="3733">IF(AG894&lt;&gt;AG895,MMULT(MINVERSE(AG894:AH895),AI894:AI895)," ")</f>
        <v>#NUM!</v>
      </c>
      <c r="AK894" s="34" t="str">
        <f t="shared" ref="AK894" si="3734">IFERROR(IF(AJ894-VLOOKUP(AG$38,$A$2:$N$12,14,FALSE)&lt;0,AJ894-VLOOKUP(AG$38,$A$2:$N$12,14,FALSE)," ")," ")</f>
        <v xml:space="preserve"> </v>
      </c>
      <c r="AL894" s="34" t="str">
        <f t="shared" ref="AL894" si="3735">IFERROR(IF(AJ894-VLOOKUP(AG$38,$A$2:$N$12,14,FALSE)&gt;0,AJ894-VLOOKUP(AG$38,$A$2:$N$12,14,FALSE)," ")," ")</f>
        <v xml:space="preserve"> </v>
      </c>
      <c r="AM894" s="34">
        <f t="shared" ref="AM894" si="3736">$M$5</f>
        <v>0</v>
      </c>
      <c r="AN894" s="34">
        <v>-1</v>
      </c>
      <c r="AO894" s="34">
        <f t="shared" ref="AO894" si="3737">-SUMPRODUCT($M$2:$M$4,$N$2:$N$4)-SUMPRODUCT($M$6:$M$12,$N$6:$N$12)</f>
        <v>-120000</v>
      </c>
      <c r="AP894" s="34" t="e">
        <f t="shared" ref="AP894" si="3738">IF(AM894&lt;&gt;AM895,MMULT(MINVERSE(AM894:AN895),AO894:AO895)," ")</f>
        <v>#NUM!</v>
      </c>
      <c r="AQ894" s="34" t="str">
        <f t="shared" ref="AQ894" si="3739">IFERROR(IF(AP894-VLOOKUP(AM$38,$A$2:$N$12,14,FALSE)&lt;0,AP894-VLOOKUP(AM$38,$A$2:$N$12,14,FALSE)," ")," ")</f>
        <v xml:space="preserve"> </v>
      </c>
      <c r="AR894" s="34" t="str">
        <f t="shared" ref="AR894" si="3740">IFERROR(IF(AP894-VLOOKUP(AM$38,$A$2:$N$12,14,FALSE)&gt;0,AP894-VLOOKUP(AM$38,$A$2:$N$12,14,FALSE)," ")," ")</f>
        <v xml:space="preserve"> </v>
      </c>
      <c r="AS894" s="34">
        <f t="shared" ref="AS894" si="3741">$M$6</f>
        <v>0</v>
      </c>
      <c r="AT894" s="34">
        <v>-1</v>
      </c>
      <c r="AU894" s="34">
        <f t="shared" ref="AU894" si="3742">-SUMPRODUCT($M$2:$M$5,$N$2:$N$5)-SUMPRODUCT($M$7:$M$12,$N$7:$N$12)</f>
        <v>-120000</v>
      </c>
      <c r="AV894" s="34" t="e">
        <f t="shared" ref="AV894" si="3743">IF(AS894&lt;&gt;AS895,MMULT(MINVERSE(AS894:AT895),AU894:AU895)," ")</f>
        <v>#NUM!</v>
      </c>
      <c r="AW894" s="34" t="str">
        <f t="shared" ref="AW894" si="3744">IFERROR(IF(AV894-VLOOKUP(AS$38,$A$2:$N$12,14,FALSE)&lt;0,AV894-VLOOKUP(AS$38,$A$2:$N$12,14,FALSE)," ")," ")</f>
        <v xml:space="preserve"> </v>
      </c>
      <c r="AX894" s="34" t="str">
        <f t="shared" ref="AX894" si="3745">IFERROR(IF(AV894-VLOOKUP(AS$38,$A$2:$N$12,14,FALSE)&gt;0,AV894-VLOOKUP(AS$38,$A$2:$N$12,14,FALSE)," ")," ")</f>
        <v xml:space="preserve"> </v>
      </c>
      <c r="AY894" s="34">
        <f t="shared" ref="AY894" si="3746">$M$7</f>
        <v>0</v>
      </c>
      <c r="AZ894" s="34">
        <v>-1</v>
      </c>
      <c r="BA894" s="34">
        <f t="shared" ref="BA894" si="3747">-SUMPRODUCT($M$2:$M$6,$N$2:$N$6)-SUMPRODUCT($M$8:$M$12,$N$8:$N$12)</f>
        <v>-120000</v>
      </c>
      <c r="BB894" s="34" t="e">
        <f t="shared" ref="BB894" si="3748">IF(AY894&lt;&gt;AY895,MMULT(MINVERSE(AY894:AZ895),BA894:BA895)," ")</f>
        <v>#NUM!</v>
      </c>
      <c r="BC894" s="34" t="str">
        <f t="shared" ref="BC894" si="3749">IFERROR(IF(BB894-VLOOKUP(AY$38,$A$2:$N$12,14,FALSE)&lt;0,BB894-VLOOKUP(AY$38,$A$2:$N$12,14,FALSE)," ")," ")</f>
        <v xml:space="preserve"> </v>
      </c>
      <c r="BD894" s="34" t="str">
        <f t="shared" ref="BD894" si="3750">IFERROR(IF(BB894-VLOOKUP(AY$38,$A$2:$N$12,14,FALSE)&gt;0,BB894-VLOOKUP(AY$38,$A$2:$N$12,14,FALSE)," ")," ")</f>
        <v xml:space="preserve"> </v>
      </c>
      <c r="BE894" s="34">
        <f t="shared" ref="BE894" si="3751">$M$8</f>
        <v>0</v>
      </c>
      <c r="BF894" s="34">
        <v>-1</v>
      </c>
      <c r="BG894" s="34">
        <f t="shared" ref="BG894" si="3752">-SUMPRODUCT($M$2:$M$7,$N$2:$N$7)-SUMPRODUCT($M$9:$M$12,$N$9:$N$12)</f>
        <v>-120000</v>
      </c>
      <c r="BH894" s="34" t="e">
        <f t="shared" ref="BH894" si="3753">IF(BE894&lt;&gt;BE895,MMULT(MINVERSE(BE894:BF895),BG894:BG895)," ")</f>
        <v>#NUM!</v>
      </c>
      <c r="BI894" s="34" t="str">
        <f t="shared" ref="BI894" si="3754">IFERROR(IF(BH894-VLOOKUP(BE$38,$A$2:$N$12,14,FALSE)&lt;0,BH894-VLOOKUP(BE$38,$A$2:$N$12,14,FALSE)," ")," ")</f>
        <v xml:space="preserve"> </v>
      </c>
      <c r="BJ894" s="34" t="str">
        <f t="shared" ref="BJ894" si="3755">IFERROR(IF(BH894-VLOOKUP(BE$38,$A$2:$N$12,14,FALSE)&gt;0,BH894-VLOOKUP(BE$38,$A$2:$N$12,14,FALSE)," ")," ")</f>
        <v xml:space="preserve"> </v>
      </c>
      <c r="BK894" s="34">
        <f t="shared" ref="BK894" si="3756">$M$9</f>
        <v>0</v>
      </c>
      <c r="BL894" s="34">
        <v>-1</v>
      </c>
      <c r="BM894" s="34">
        <f t="shared" ref="BM894" si="3757">-SUMPRODUCT($M$2:$M$8,$N$2:$N$8)-SUMPRODUCT($M$10:$M$12,$N$10:$N$12)</f>
        <v>-120000</v>
      </c>
      <c r="BN894" s="34" t="e">
        <f t="shared" ref="BN894" si="3758">IF(BK894&lt;&gt;BK895,MMULT(MINVERSE(BK894:BL895),BM894:BM895)," ")</f>
        <v>#NUM!</v>
      </c>
      <c r="BO894" s="34" t="str">
        <f t="shared" ref="BO894" si="3759">IFERROR(IF(BN894-VLOOKUP(BK$38,$A$2:$N$12,14,FALSE)&lt;0,BN894-VLOOKUP(BK$38,$A$2:$N$12,14,FALSE)," ")," ")</f>
        <v xml:space="preserve"> </v>
      </c>
      <c r="BP894" s="34" t="str">
        <f t="shared" ref="BP894" si="3760">IFERROR(IF(BN894-VLOOKUP(BK$38,$A$2:$N$12,14,FALSE)&gt;0,BN894-VLOOKUP(BK$38,$A$2:$N$12,14,FALSE)," ")," ")</f>
        <v xml:space="preserve"> </v>
      </c>
      <c r="BQ894" s="34">
        <f t="shared" ref="BQ894" si="3761">$M$10</f>
        <v>0</v>
      </c>
      <c r="BR894" s="34">
        <v>-1</v>
      </c>
      <c r="BS894" s="34">
        <f t="shared" ref="BS894" si="3762">-SUMPRODUCT($M$2:$M$9,$N$2:$N$9)-SUMPRODUCT($M$11:$M$12,$N$11:$N$12)</f>
        <v>-120000</v>
      </c>
      <c r="BT894" s="34" t="e">
        <f t="shared" ref="BT894" si="3763">IF(BQ894&lt;&gt;BQ895,MMULT(MINVERSE(BQ894:BR895),BS894:BS895)," ")</f>
        <v>#NUM!</v>
      </c>
      <c r="BU894" s="34" t="str">
        <f t="shared" ref="BU894" si="3764">IFERROR(IF(BT894-VLOOKUP(BQ$38,$A$2:$N$12,14,FALSE)&lt;0,BT894-VLOOKUP(BQ$38,$A$2:$N$12,14,FALSE)," ")," ")</f>
        <v xml:space="preserve"> </v>
      </c>
      <c r="BV894" s="34" t="str">
        <f t="shared" ref="BV894" si="3765">IFERROR(IF(BT894-VLOOKUP(BQ$38,$A$2:$N$12,14,FALSE)&gt;0,BT894-VLOOKUP(BQ$38,$A$2:$N$12,14,FALSE)," ")," ")</f>
        <v xml:space="preserve"> </v>
      </c>
      <c r="BW894" s="34">
        <f t="shared" ref="BW894" si="3766">$M$11</f>
        <v>0</v>
      </c>
      <c r="BX894" s="34">
        <v>-1</v>
      </c>
      <c r="BY894" s="34">
        <f t="shared" ref="BY894" si="3767">-SUMPRODUCT($M$2:$M$10,$N$2:$N$10)-SUMPRODUCT($M$12,$N$12)</f>
        <v>-120000</v>
      </c>
      <c r="BZ894" s="34" t="e">
        <f t="shared" ref="BZ894" si="3768">IF(BW894&lt;&gt;BW895,MMULT(MINVERSE(BW894:BX895),BY894:BY895)," ")</f>
        <v>#NUM!</v>
      </c>
      <c r="CA894" s="34" t="str">
        <f t="shared" ref="CA894" si="3769">IFERROR(IF(BZ894-VLOOKUP(BW$38,$A$2:$N$12,14,FALSE)&lt;0,BZ894-VLOOKUP(BW$38,$A$2:$N$12,14,FALSE)," ")," ")</f>
        <v xml:space="preserve"> </v>
      </c>
      <c r="CB894" s="34" t="str">
        <f t="shared" ref="CB894" si="3770">IFERROR(IF(BZ894-VLOOKUP(BW$38,$A$2:$N$12,14,FALSE)&gt;0,BZ894-VLOOKUP(BW$38,$A$2:$N$12,14,FALSE)," ")," ")</f>
        <v xml:space="preserve"> </v>
      </c>
      <c r="CC894" s="34">
        <f t="shared" ref="CC894" si="3771">$M$12</f>
        <v>0</v>
      </c>
      <c r="CD894" s="34">
        <v>-1</v>
      </c>
      <c r="CE894" s="34">
        <f t="shared" ref="CE894" si="3772">-SUMPRODUCT($M$2:$M$11,$N$2:$N$11)</f>
        <v>-120000</v>
      </c>
      <c r="CF894" s="34" t="e">
        <f t="shared" ref="CF894" si="3773">IF(CC894&lt;&gt;CC895,MMULT(MINVERSE(CC894:CD895),CE894:CE895)," ")</f>
        <v>#NUM!</v>
      </c>
      <c r="CG894" s="34" t="str">
        <f t="shared" ref="CG894" si="3774">IFERROR(IF(CF894-VLOOKUP(CC$38,$A$2:$N$12,14,FALSE)&lt;0,CF894-VLOOKUP(CC$38,$A$2:$N$12,14,FALSE)," ")," ")</f>
        <v xml:space="preserve"> </v>
      </c>
      <c r="CH894" s="34" t="str">
        <f t="shared" ref="CH894" si="3775">IFERROR(IF(CF894-VLOOKUP(CC$38,$A$2:$N$12,14,FALSE)&gt;0,CF894-VLOOKUP(CC$38,$A$2:$N$12,14,FALSE)," ")," ")</f>
        <v xml:space="preserve"> </v>
      </c>
      <c r="CI894" s="8"/>
    </row>
    <row r="895" spans="1:87" x14ac:dyDescent="0.2">
      <c r="A895" s="8" t="str">
        <f>IF(AND(COUNTIF(W$3:W$13,A$16)&gt;0,A$16&lt;&gt;B800),A$16,IFERROR(IF(MATCH(A$16,Z$3:Z$13,0)=5,A$16," ")," "))</f>
        <v xml:space="preserve"> </v>
      </c>
      <c r="B895" s="8" t="str">
        <f>IF(A895=" "," ",MAX(B894:B894)+1)</f>
        <v xml:space="preserve"> </v>
      </c>
      <c r="C895" s="8" t="str">
        <f>IFERROR(INDEX(A894:A915,MATCH(SMALL(B894:B915,2),B894:B915,0),1)," ")</f>
        <v>C4</v>
      </c>
      <c r="D895" s="8">
        <f t="shared" ref="D895:D904" si="3776">IFERROR(VLOOKUP($C895,$A$15:$O$36,2,FALSE)," ")</f>
        <v>1</v>
      </c>
      <c r="E895" s="8">
        <f t="shared" ref="E895:E904" si="3777">IFERROR(VLOOKUP($C895,$A$15:$O$36,3,FALSE)," ")</f>
        <v>0</v>
      </c>
      <c r="F895" s="8">
        <f t="shared" ref="F895:F904" si="3778">IFERROR(VLOOKUP($C895,$A$15:$O$36,4,FALSE)," ")</f>
        <v>1</v>
      </c>
      <c r="G895" s="8">
        <f t="shared" ref="G895:G904" si="3779">IFERROR(VLOOKUP($C895,$A$15:$O$36,5,FALSE)," ")</f>
        <v>0</v>
      </c>
      <c r="H895" s="8">
        <f t="shared" ref="H895:H904" si="3780">IFERROR(VLOOKUP($C895,$A$15:$O$36,6,FALSE)," ")</f>
        <v>0</v>
      </c>
      <c r="I895" s="8">
        <f t="shared" ref="I895:I904" si="3781">IFERROR(VLOOKUP($C895,$A$15:$O$36,7,FALSE)," ")</f>
        <v>0</v>
      </c>
      <c r="J895" s="8">
        <f t="shared" ref="J895:J904" si="3782">IFERROR(VLOOKUP($C895,$A$15:$O$36,8,FALSE)," ")</f>
        <v>0</v>
      </c>
      <c r="K895" s="8">
        <f t="shared" ref="K895:K904" si="3783">IFERROR(VLOOKUP($C895,$A$15:$O$36,9,FALSE)," ")</f>
        <v>0</v>
      </c>
      <c r="L895" s="8">
        <f t="shared" ref="L895:L904" si="3784">IFERROR(VLOOKUP($C895,$A$15:$O$36,10,FALSE)," ")</f>
        <v>0</v>
      </c>
      <c r="M895" s="8">
        <f t="shared" ref="M895:M904" si="3785">IFERROR(VLOOKUP($C895,$A$15:$O$36,11,FALSE)," ")</f>
        <v>0</v>
      </c>
      <c r="N895" s="8">
        <f t="shared" ref="N895:N904" si="3786">IFERROR(VLOOKUP($C895,$A$15:$O$36,12,FALSE)," ")</f>
        <v>0</v>
      </c>
      <c r="O895" s="8">
        <f t="shared" ref="O895:O904" si="3787">IFERROR(VLOOKUP($C895,$A$15:$O$36,15,FALSE)," ")</f>
        <v>400</v>
      </c>
      <c r="P895" s="8" t="e">
        <v>#NUM!</v>
      </c>
      <c r="Q895" s="8" t="e">
        <f t="shared" ref="Q895" si="3788">IF(COUNTIF(P894:P904,"&lt;"&amp;-0.001)=0,IF(ABS(P895)&lt;0.001,0,P895)," ")</f>
        <v>#NUM!</v>
      </c>
      <c r="R895" s="8"/>
      <c r="S895" s="8"/>
      <c r="U895" s="34" t="e">
        <f t="shared" ref="U895" si="3789">$Q894</f>
        <v>#NUM!</v>
      </c>
      <c r="V895" s="34">
        <v>-1</v>
      </c>
      <c r="W895" s="34" t="e">
        <f t="shared" ref="W895" si="3790">-SUMPRODUCT($Q895:$Q904,$N$3:$N$12)</f>
        <v>#NUM!</v>
      </c>
      <c r="X895" s="34"/>
      <c r="Y895" s="34"/>
      <c r="Z895" s="34"/>
      <c r="AA895" s="34" t="e">
        <f t="shared" ref="AA895" si="3791">$Q895</f>
        <v>#NUM!</v>
      </c>
      <c r="AB895" s="34">
        <v>-1</v>
      </c>
      <c r="AC895" s="34" t="e">
        <f t="shared" ref="AC895" si="3792">-SUMPRODUCT($Q894:$Q894,$N$2:$N$2)-SUMPRODUCT($Q896:$Q904,$N$4:$N$12)</f>
        <v>#NUM!</v>
      </c>
      <c r="AD895" s="34"/>
      <c r="AE895" s="34"/>
      <c r="AF895" s="34"/>
      <c r="AG895" s="34" t="e">
        <f t="shared" ref="AG895" si="3793">$Q896</f>
        <v>#NUM!</v>
      </c>
      <c r="AH895" s="34">
        <v>-1</v>
      </c>
      <c r="AI895" s="34" t="e">
        <f t="shared" ref="AI895" si="3794">-SUMPRODUCT($Q894:$Q895,$N$2:$N$3)-SUMPRODUCT($Q897:$Q904,$N$5:$N$12)</f>
        <v>#NUM!</v>
      </c>
      <c r="AJ895" s="34"/>
      <c r="AK895" s="34"/>
      <c r="AL895" s="34"/>
      <c r="AM895" s="34" t="e">
        <f t="shared" ref="AM895" si="3795">$Q897</f>
        <v>#NUM!</v>
      </c>
      <c r="AN895" s="34">
        <v>-1</v>
      </c>
      <c r="AO895" s="34" t="e">
        <f t="shared" ref="AO895" si="3796">-SUMPRODUCT($Q894:$Q896,$N$2:$N$4)-SUMPRODUCT($Q898:$Q904,$N$6:$N$12)</f>
        <v>#NUM!</v>
      </c>
      <c r="AP895" s="34"/>
      <c r="AQ895" s="34"/>
      <c r="AR895" s="34"/>
      <c r="AS895" s="34" t="e">
        <f t="shared" ref="AS895" si="3797">$Q898</f>
        <v>#NUM!</v>
      </c>
      <c r="AT895" s="34">
        <v>-1</v>
      </c>
      <c r="AU895" s="34" t="e">
        <f t="shared" ref="AU895" si="3798">-SUMPRODUCT($Q894:$Q897,$N$2:$N$5)-SUMPRODUCT($Q899:$Q904,$N$7:$N$12)</f>
        <v>#NUM!</v>
      </c>
      <c r="AV895" s="34"/>
      <c r="AW895" s="34"/>
      <c r="AX895" s="34"/>
      <c r="AY895" s="34" t="e">
        <f t="shared" ref="AY895" si="3799">$Q899</f>
        <v>#NUM!</v>
      </c>
      <c r="AZ895" s="34">
        <v>-1</v>
      </c>
      <c r="BA895" s="34" t="e">
        <f t="shared" ref="BA895" si="3800">-SUMPRODUCT($Q894:$Q898,$N$2:$N$6)-SUMPRODUCT($Q900:$Q904,$N$8:$N$12)</f>
        <v>#NUM!</v>
      </c>
      <c r="BB895" s="34"/>
      <c r="BC895" s="34"/>
      <c r="BD895" s="34"/>
      <c r="BE895" s="34" t="e">
        <f t="shared" ref="BE895" si="3801">$Q900</f>
        <v>#NUM!</v>
      </c>
      <c r="BF895" s="34">
        <v>-1</v>
      </c>
      <c r="BG895" s="34" t="e">
        <f t="shared" ref="BG895" si="3802">-SUMPRODUCT($Q894:$Q899,$N$2:$N$7)-SUMPRODUCT($Q901:$Q904,$N$9:$N$12)</f>
        <v>#NUM!</v>
      </c>
      <c r="BH895" s="34"/>
      <c r="BI895" s="34"/>
      <c r="BJ895" s="34"/>
      <c r="BK895" s="34" t="e">
        <f t="shared" ref="BK895" si="3803">$Q901</f>
        <v>#NUM!</v>
      </c>
      <c r="BL895" s="34">
        <v>-1</v>
      </c>
      <c r="BM895" s="34" t="e">
        <f t="shared" ref="BM895" si="3804">-SUMPRODUCT($Q894:$Q900,$N$2:$N$8)-SUMPRODUCT($Q902:$Q904,$N$10:$N$12)</f>
        <v>#NUM!</v>
      </c>
      <c r="BN895" s="34"/>
      <c r="BO895" s="34"/>
      <c r="BP895" s="34"/>
      <c r="BQ895" s="34" t="e">
        <f t="shared" ref="BQ895" si="3805">$Q902</f>
        <v>#NUM!</v>
      </c>
      <c r="BR895" s="34">
        <v>-1</v>
      </c>
      <c r="BS895" s="34" t="e">
        <f t="shared" ref="BS895" si="3806">-SUMPRODUCT($Q894:$Q901,$N$2:$N$9)-SUMPRODUCT($Q903:$Q904,$N$11:$N$12)</f>
        <v>#NUM!</v>
      </c>
      <c r="BT895" s="34"/>
      <c r="BU895" s="34"/>
      <c r="BV895" s="34"/>
      <c r="BW895" s="34" t="e">
        <f t="shared" ref="BW895" si="3807">$Q903</f>
        <v>#NUM!</v>
      </c>
      <c r="BX895" s="34">
        <v>-1</v>
      </c>
      <c r="BY895" s="34" t="e">
        <f t="shared" ref="BY895" si="3808">-SUMPRODUCT($Q894:$Q902,$N$2:$N$10)-SUMPRODUCT($Q904,$N$12)</f>
        <v>#NUM!</v>
      </c>
      <c r="BZ895" s="34"/>
      <c r="CA895" s="34"/>
      <c r="CB895" s="34"/>
      <c r="CC895" s="34" t="e">
        <f t="shared" ref="CC895" si="3809">$Q904</f>
        <v>#NUM!</v>
      </c>
      <c r="CD895" s="34">
        <v>-1</v>
      </c>
      <c r="CE895" s="34" t="e">
        <f t="shared" ref="CE895" si="3810">-SUMPRODUCT($Q894:$Q903,$N$2:$N$11)</f>
        <v>#NUM!</v>
      </c>
      <c r="CF895" s="34"/>
      <c r="CG895" s="34"/>
      <c r="CH895" s="34"/>
      <c r="CI895" s="8"/>
    </row>
    <row r="896" spans="1:87" x14ac:dyDescent="0.2">
      <c r="A896" s="8" t="str">
        <f>IF(AND(COUNTIF(W$3:W$13,A$17)&gt;0,A$17&lt;&gt;B800),A$17,IFERROR(IF(MATCH(A$17,Z$3:Z$13,0)=5,A$17," ")," "))</f>
        <v>C3</v>
      </c>
      <c r="B896" s="8">
        <f>IF(A896=" "," ",MAX(B894:B895)+1)</f>
        <v>1</v>
      </c>
      <c r="C896" s="8" t="str">
        <f>IFERROR(INDEX(A894:A915,MATCH(SMALL(B894:B915,3),B894:B915,0),1)," ")</f>
        <v>C7</v>
      </c>
      <c r="D896" s="8">
        <f t="shared" si="3776"/>
        <v>0</v>
      </c>
      <c r="E896" s="8">
        <f t="shared" si="3777"/>
        <v>0</v>
      </c>
      <c r="F896" s="8">
        <f t="shared" si="3778"/>
        <v>0</v>
      </c>
      <c r="G896" s="8">
        <f t="shared" si="3779"/>
        <v>0</v>
      </c>
      <c r="H896" s="8">
        <f t="shared" si="3780"/>
        <v>0</v>
      </c>
      <c r="I896" s="8">
        <f t="shared" si="3781"/>
        <v>0</v>
      </c>
      <c r="J896" s="8">
        <f t="shared" si="3782"/>
        <v>0</v>
      </c>
      <c r="K896" s="8">
        <f t="shared" si="3783"/>
        <v>0</v>
      </c>
      <c r="L896" s="8">
        <f t="shared" si="3784"/>
        <v>0</v>
      </c>
      <c r="M896" s="8">
        <f t="shared" si="3785"/>
        <v>0</v>
      </c>
      <c r="N896" s="8">
        <f t="shared" si="3786"/>
        <v>0</v>
      </c>
      <c r="O896" s="8">
        <f t="shared" si="3787"/>
        <v>0</v>
      </c>
      <c r="P896" s="8" t="e">
        <v>#NUM!</v>
      </c>
      <c r="Q896" s="8" t="e">
        <f t="shared" ref="Q896" si="3811">IF(COUNTIF(P894:P904,"&lt;"&amp;-0.001)=0,IF(ABS(P896)&lt;0.001,0,P896)," ")</f>
        <v>#NUM!</v>
      </c>
      <c r="R896" s="8"/>
      <c r="S896" s="8"/>
      <c r="U896" s="34"/>
      <c r="V896" s="34"/>
      <c r="W896" s="34"/>
      <c r="X896" s="34"/>
      <c r="Y896" s="34"/>
      <c r="Z896" s="34"/>
      <c r="AA896" s="34"/>
      <c r="AB896" s="34"/>
      <c r="AC896" s="34"/>
      <c r="AD896" s="34"/>
      <c r="AE896" s="34"/>
      <c r="AF896" s="34"/>
      <c r="AG896" s="34"/>
      <c r="AH896" s="34"/>
      <c r="AI896" s="34"/>
      <c r="AJ896" s="34"/>
      <c r="AK896" s="34"/>
      <c r="AL896" s="34"/>
      <c r="AM896" s="34"/>
      <c r="AN896" s="34"/>
      <c r="AO896" s="34"/>
      <c r="AP896" s="34"/>
      <c r="AQ896" s="34"/>
      <c r="AR896" s="34"/>
      <c r="AS896" s="34"/>
      <c r="AT896" s="34"/>
      <c r="AU896" s="34"/>
      <c r="AV896" s="34"/>
      <c r="AW896" s="34"/>
      <c r="AX896" s="34"/>
      <c r="AY896" s="34"/>
      <c r="AZ896" s="34"/>
      <c r="BA896" s="34"/>
      <c r="BB896" s="34"/>
      <c r="BC896" s="34"/>
      <c r="BD896" s="34"/>
      <c r="BE896" s="34"/>
      <c r="BF896" s="34"/>
      <c r="BG896" s="34"/>
      <c r="BH896" s="34"/>
      <c r="BI896" s="34"/>
      <c r="BJ896" s="34"/>
      <c r="BK896" s="34"/>
      <c r="BL896" s="34"/>
      <c r="BM896" s="34"/>
      <c r="BN896" s="34"/>
      <c r="BO896" s="34"/>
      <c r="BP896" s="34"/>
      <c r="BQ896" s="34"/>
      <c r="BR896" s="34"/>
      <c r="BS896" s="34"/>
      <c r="BT896" s="34"/>
      <c r="BU896" s="34"/>
      <c r="BV896" s="34"/>
      <c r="BW896" s="34"/>
      <c r="BX896" s="34"/>
      <c r="BY896" s="34"/>
      <c r="BZ896" s="34"/>
      <c r="CA896" s="34"/>
      <c r="CB896" s="34"/>
      <c r="CC896" s="34"/>
      <c r="CD896" s="34"/>
      <c r="CE896" s="34"/>
      <c r="CF896" s="34"/>
      <c r="CG896" s="34"/>
      <c r="CH896" s="34"/>
      <c r="CI896" s="8"/>
    </row>
    <row r="897" spans="1:87" x14ac:dyDescent="0.2">
      <c r="A897" s="8" t="str">
        <f>IF(AND(COUNTIF(W$3:W$13,A$18)&gt;0,A$18&lt;&gt;B800),A$18,IFERROR(IF(MATCH(A$18,Z$3:Z$13,0)=5,A$18," ")," "))</f>
        <v>C4</v>
      </c>
      <c r="B897" s="8">
        <f>IF(A897=" "," ",MAX(B894:B896)+1)</f>
        <v>2</v>
      </c>
      <c r="C897" s="8" t="str">
        <f>IFERROR(INDEX(A894:A915,MATCH(SMALL(B894:B915,4),B894:B915,0),1)," ")</f>
        <v>C13</v>
      </c>
      <c r="D897" s="8">
        <f t="shared" si="3776"/>
        <v>0</v>
      </c>
      <c r="E897" s="8">
        <f t="shared" si="3777"/>
        <v>1</v>
      </c>
      <c r="F897" s="8">
        <f t="shared" si="3778"/>
        <v>0</v>
      </c>
      <c r="G897" s="8">
        <f t="shared" si="3779"/>
        <v>0</v>
      </c>
      <c r="H897" s="8">
        <f t="shared" si="3780"/>
        <v>0</v>
      </c>
      <c r="I897" s="8">
        <f t="shared" si="3781"/>
        <v>0</v>
      </c>
      <c r="J897" s="8">
        <f t="shared" si="3782"/>
        <v>0</v>
      </c>
      <c r="K897" s="8">
        <f t="shared" si="3783"/>
        <v>0</v>
      </c>
      <c r="L897" s="8">
        <f t="shared" si="3784"/>
        <v>0</v>
      </c>
      <c r="M897" s="8">
        <f t="shared" si="3785"/>
        <v>0</v>
      </c>
      <c r="N897" s="8">
        <f t="shared" si="3786"/>
        <v>0</v>
      </c>
      <c r="O897" s="8">
        <f t="shared" si="3787"/>
        <v>0</v>
      </c>
      <c r="P897" s="8" t="e">
        <v>#NUM!</v>
      </c>
      <c r="Q897" s="8" t="e">
        <f t="shared" ref="Q897" si="3812">IF(COUNTIF(P894:P904,"&lt;"&amp;-0.001)=0,IF(ABS(P897)&lt;0.001,0,P897)," ")</f>
        <v>#NUM!</v>
      </c>
      <c r="R897" s="8"/>
      <c r="S897" s="8"/>
      <c r="U897" s="34"/>
      <c r="V897" s="34"/>
      <c r="W897" s="34"/>
      <c r="X897" s="34"/>
      <c r="Y897" s="34"/>
      <c r="Z897" s="34"/>
      <c r="AA897" s="34"/>
      <c r="AB897" s="34"/>
      <c r="AC897" s="34"/>
      <c r="AD897" s="34"/>
      <c r="AE897" s="34"/>
      <c r="AF897" s="34"/>
      <c r="AG897" s="34"/>
      <c r="AH897" s="34"/>
      <c r="AI897" s="34"/>
      <c r="AJ897" s="34"/>
      <c r="AK897" s="34"/>
      <c r="AL897" s="34"/>
      <c r="AM897" s="34"/>
      <c r="AN897" s="34"/>
      <c r="AO897" s="34"/>
      <c r="AP897" s="34"/>
      <c r="AQ897" s="34"/>
      <c r="AR897" s="34"/>
      <c r="AS897" s="34"/>
      <c r="AT897" s="34"/>
      <c r="AU897" s="34"/>
      <c r="AV897" s="34"/>
      <c r="AW897" s="34"/>
      <c r="AX897" s="34"/>
      <c r="AY897" s="34"/>
      <c r="AZ897" s="34"/>
      <c r="BA897" s="34"/>
      <c r="BB897" s="34"/>
      <c r="BC897" s="34"/>
      <c r="BD897" s="34"/>
      <c r="BE897" s="34"/>
      <c r="BF897" s="34"/>
      <c r="BG897" s="34"/>
      <c r="BH897" s="34"/>
      <c r="BI897" s="34"/>
      <c r="BJ897" s="34"/>
      <c r="BK897" s="34"/>
      <c r="BL897" s="34"/>
      <c r="BM897" s="34"/>
      <c r="BN897" s="34"/>
      <c r="BO897" s="34"/>
      <c r="BP897" s="34"/>
      <c r="BQ897" s="34"/>
      <c r="BR897" s="34"/>
      <c r="BS897" s="34"/>
      <c r="BT897" s="34"/>
      <c r="BU897" s="34"/>
      <c r="BV897" s="34"/>
      <c r="BW897" s="34"/>
      <c r="BX897" s="34"/>
      <c r="BY897" s="34"/>
      <c r="BZ897" s="34"/>
      <c r="CA897" s="34"/>
      <c r="CB897" s="34"/>
      <c r="CC897" s="34"/>
      <c r="CD897" s="34"/>
      <c r="CE897" s="34"/>
      <c r="CF897" s="34"/>
      <c r="CG897" s="34"/>
      <c r="CH897" s="34"/>
      <c r="CI897" s="8"/>
    </row>
    <row r="898" spans="1:87" x14ac:dyDescent="0.2">
      <c r="A898" s="8" t="str">
        <f>IF(AND(COUNTIF(W$3:W$13,A$19)&gt;0,A$19&lt;&gt;B800),A$19,IFERROR(IF(MATCH(A$19,Z$3:Z$13,0)=5,A$19," ")," "))</f>
        <v xml:space="preserve"> </v>
      </c>
      <c r="B898" s="8" t="str">
        <f>IF(A898=" "," ",MAX(B894:B897)+1)</f>
        <v xml:space="preserve"> </v>
      </c>
      <c r="C898" s="8" t="str">
        <f>IFERROR(INDEX(A894:A915,MATCH(SMALL(B894:B915,5),B894:B915,0),1)," ")</f>
        <v>C16</v>
      </c>
      <c r="D898" s="8">
        <f t="shared" si="3776"/>
        <v>0</v>
      </c>
      <c r="E898" s="8">
        <f t="shared" si="3777"/>
        <v>0</v>
      </c>
      <c r="F898" s="8">
        <f t="shared" si="3778"/>
        <v>0</v>
      </c>
      <c r="G898" s="8">
        <f t="shared" si="3779"/>
        <v>0</v>
      </c>
      <c r="H898" s="8">
        <f t="shared" si="3780"/>
        <v>1</v>
      </c>
      <c r="I898" s="8">
        <f t="shared" si="3781"/>
        <v>0</v>
      </c>
      <c r="J898" s="8">
        <f t="shared" si="3782"/>
        <v>0</v>
      </c>
      <c r="K898" s="8">
        <f t="shared" si="3783"/>
        <v>0</v>
      </c>
      <c r="L898" s="8">
        <f t="shared" si="3784"/>
        <v>0</v>
      </c>
      <c r="M898" s="8">
        <f t="shared" si="3785"/>
        <v>0</v>
      </c>
      <c r="N898" s="8">
        <f t="shared" si="3786"/>
        <v>0</v>
      </c>
      <c r="O898" s="8">
        <f t="shared" si="3787"/>
        <v>0</v>
      </c>
      <c r="P898" s="8" t="e">
        <v>#NUM!</v>
      </c>
      <c r="Q898" s="8" t="e">
        <f t="shared" ref="Q898" si="3813">IF(COUNTIF(P894:P904,"&lt;"&amp;-0.001)=0,IF(ABS(P898)&lt;0.001,0,P898)," ")</f>
        <v>#NUM!</v>
      </c>
      <c r="R898" s="8"/>
      <c r="S898" s="8"/>
      <c r="U898" s="34"/>
      <c r="V898" s="34"/>
      <c r="W898" s="34"/>
      <c r="X898" s="34"/>
      <c r="Y898" s="34"/>
      <c r="Z898" s="34"/>
      <c r="AA898" s="34"/>
      <c r="AB898" s="34"/>
      <c r="AC898" s="34"/>
      <c r="AD898" s="34"/>
      <c r="AE898" s="34"/>
      <c r="AF898" s="34"/>
      <c r="AG898" s="34"/>
      <c r="AH898" s="34"/>
      <c r="AI898" s="34"/>
      <c r="AJ898" s="34"/>
      <c r="AK898" s="34"/>
      <c r="AL898" s="34"/>
      <c r="AM898" s="34"/>
      <c r="AN898" s="34"/>
      <c r="AO898" s="34"/>
      <c r="AP898" s="34"/>
      <c r="AQ898" s="34"/>
      <c r="AR898" s="34"/>
      <c r="AS898" s="34"/>
      <c r="AT898" s="34"/>
      <c r="AU898" s="34"/>
      <c r="AV898" s="34"/>
      <c r="AW898" s="34"/>
      <c r="AX898" s="34"/>
      <c r="AY898" s="34"/>
      <c r="AZ898" s="34"/>
      <c r="BA898" s="34"/>
      <c r="BB898" s="34"/>
      <c r="BC898" s="34"/>
      <c r="BD898" s="34"/>
      <c r="BE898" s="34"/>
      <c r="BF898" s="34"/>
      <c r="BG898" s="34"/>
      <c r="BH898" s="34"/>
      <c r="BI898" s="34"/>
      <c r="BJ898" s="34"/>
      <c r="BK898" s="34"/>
      <c r="BL898" s="34"/>
      <c r="BM898" s="34"/>
      <c r="BN898" s="34"/>
      <c r="BO898" s="34"/>
      <c r="BP898" s="34"/>
      <c r="BQ898" s="34"/>
      <c r="BR898" s="34"/>
      <c r="BS898" s="34"/>
      <c r="BT898" s="34"/>
      <c r="BU898" s="34"/>
      <c r="BV898" s="34"/>
      <c r="BW898" s="34"/>
      <c r="BX898" s="34"/>
      <c r="BY898" s="34"/>
      <c r="BZ898" s="34"/>
      <c r="CA898" s="34"/>
      <c r="CB898" s="34"/>
      <c r="CC898" s="34"/>
      <c r="CD898" s="34"/>
      <c r="CE898" s="34"/>
      <c r="CF898" s="34"/>
      <c r="CG898" s="34"/>
      <c r="CH898" s="34"/>
      <c r="CI898" s="8"/>
    </row>
    <row r="899" spans="1:87" x14ac:dyDescent="0.2">
      <c r="A899" s="8" t="str">
        <f>IF(AND(COUNTIF(W$3:W$13,A$20)&gt;0,A$20&lt;&gt;B800),A$20,IFERROR(IF(MATCH(A$20,Z$3:Z$13,0)=5,A$20," ")," "))</f>
        <v xml:space="preserve"> </v>
      </c>
      <c r="B899" s="8" t="str">
        <f>IF(A899=" "," ",MAX(B894:B898)+1)</f>
        <v xml:space="preserve"> </v>
      </c>
      <c r="C899" s="8" t="str">
        <f>IFERROR(INDEX(A894:A915,MATCH(SMALL(B894:B915,6),B894:B915,0),1)," ")</f>
        <v>C17</v>
      </c>
      <c r="D899" s="8">
        <f t="shared" si="3776"/>
        <v>0</v>
      </c>
      <c r="E899" s="8">
        <f t="shared" si="3777"/>
        <v>0</v>
      </c>
      <c r="F899" s="8">
        <f t="shared" si="3778"/>
        <v>0</v>
      </c>
      <c r="G899" s="8">
        <f t="shared" si="3779"/>
        <v>0</v>
      </c>
      <c r="H899" s="8">
        <f t="shared" si="3780"/>
        <v>0</v>
      </c>
      <c r="I899" s="8">
        <f t="shared" si="3781"/>
        <v>1</v>
      </c>
      <c r="J899" s="8">
        <f t="shared" si="3782"/>
        <v>0</v>
      </c>
      <c r="K899" s="8">
        <f t="shared" si="3783"/>
        <v>0</v>
      </c>
      <c r="L899" s="8">
        <f t="shared" si="3784"/>
        <v>0</v>
      </c>
      <c r="M899" s="8">
        <f t="shared" si="3785"/>
        <v>0</v>
      </c>
      <c r="N899" s="8">
        <f t="shared" si="3786"/>
        <v>0</v>
      </c>
      <c r="O899" s="8">
        <f t="shared" si="3787"/>
        <v>0</v>
      </c>
      <c r="P899" s="8" t="e">
        <v>#NUM!</v>
      </c>
      <c r="Q899" s="8" t="e">
        <f t="shared" ref="Q899" si="3814">IF(COUNTIF(P894:P904,"&lt;"&amp;-0.001)=0,IF(ABS(P899)&lt;0.001,0,P899)," ")</f>
        <v>#NUM!</v>
      </c>
      <c r="R899" s="8"/>
      <c r="S899" s="8"/>
      <c r="U899" s="34"/>
      <c r="V899" s="34"/>
      <c r="W899" s="34"/>
      <c r="X899" s="34"/>
      <c r="Y899" s="34"/>
      <c r="Z899" s="34"/>
      <c r="AA899" s="34"/>
      <c r="AB899" s="34"/>
      <c r="AC899" s="34"/>
      <c r="AD899" s="34"/>
      <c r="AE899" s="34"/>
      <c r="AF899" s="34"/>
      <c r="AG899" s="34"/>
      <c r="AH899" s="34"/>
      <c r="AI899" s="34"/>
      <c r="AJ899" s="34"/>
      <c r="AK899" s="34"/>
      <c r="AL899" s="34"/>
      <c r="AM899" s="34"/>
      <c r="AN899" s="34"/>
      <c r="AO899" s="34"/>
      <c r="AP899" s="34"/>
      <c r="AQ899" s="34"/>
      <c r="AR899" s="34"/>
      <c r="AS899" s="34"/>
      <c r="AT899" s="34"/>
      <c r="AU899" s="34"/>
      <c r="AV899" s="34"/>
      <c r="AW899" s="34"/>
      <c r="AX899" s="34"/>
      <c r="AY899" s="34"/>
      <c r="AZ899" s="34"/>
      <c r="BA899" s="34"/>
      <c r="BB899" s="34"/>
      <c r="BC899" s="34"/>
      <c r="BD899" s="34"/>
      <c r="BE899" s="34"/>
      <c r="BF899" s="34"/>
      <c r="BG899" s="34"/>
      <c r="BH899" s="34"/>
      <c r="BI899" s="34"/>
      <c r="BJ899" s="34"/>
      <c r="BK899" s="34"/>
      <c r="BL899" s="34"/>
      <c r="BM899" s="34"/>
      <c r="BN899" s="34"/>
      <c r="BO899" s="34"/>
      <c r="BP899" s="34"/>
      <c r="BQ899" s="34"/>
      <c r="BR899" s="34"/>
      <c r="BS899" s="34"/>
      <c r="BT899" s="34"/>
      <c r="BU899" s="34"/>
      <c r="BV899" s="34"/>
      <c r="BW899" s="34"/>
      <c r="BX899" s="34"/>
      <c r="BY899" s="34"/>
      <c r="BZ899" s="34"/>
      <c r="CA899" s="34"/>
      <c r="CB899" s="34"/>
      <c r="CC899" s="34"/>
      <c r="CD899" s="34"/>
      <c r="CE899" s="34"/>
      <c r="CF899" s="34"/>
      <c r="CG899" s="34"/>
      <c r="CH899" s="34"/>
      <c r="CI899" s="8"/>
    </row>
    <row r="900" spans="1:87" x14ac:dyDescent="0.2">
      <c r="A900" s="8" t="str">
        <f>IF(AND(COUNTIF(W$3:W$13,A$21)&gt;0,A$21&lt;&gt;B800),A$21,IFERROR(IF(MATCH(A$21,Z$3:Z$13,0)=5,A$21," ")," "))</f>
        <v>C7</v>
      </c>
      <c r="B900" s="8">
        <f>IF(A900=" "," ",MAX(B894:B899)+1)</f>
        <v>3</v>
      </c>
      <c r="C900" s="8" t="str">
        <f>IFERROR(INDEX(A894:A915,MATCH(SMALL(B894:B915,7),B894:B915,0),1)," ")</f>
        <v>C18</v>
      </c>
      <c r="D900" s="8">
        <f t="shared" si="3776"/>
        <v>0</v>
      </c>
      <c r="E900" s="8">
        <f t="shared" si="3777"/>
        <v>0</v>
      </c>
      <c r="F900" s="8">
        <f t="shared" si="3778"/>
        <v>0</v>
      </c>
      <c r="G900" s="8">
        <f t="shared" si="3779"/>
        <v>0</v>
      </c>
      <c r="H900" s="8">
        <f t="shared" si="3780"/>
        <v>0</v>
      </c>
      <c r="I900" s="8">
        <f t="shared" si="3781"/>
        <v>0</v>
      </c>
      <c r="J900" s="8">
        <f t="shared" si="3782"/>
        <v>1</v>
      </c>
      <c r="K900" s="8">
        <f t="shared" si="3783"/>
        <v>0</v>
      </c>
      <c r="L900" s="8">
        <f t="shared" si="3784"/>
        <v>0</v>
      </c>
      <c r="M900" s="8">
        <f t="shared" si="3785"/>
        <v>0</v>
      </c>
      <c r="N900" s="8">
        <f t="shared" si="3786"/>
        <v>0</v>
      </c>
      <c r="O900" s="8">
        <f t="shared" si="3787"/>
        <v>0</v>
      </c>
      <c r="P900" s="8" t="e">
        <v>#NUM!</v>
      </c>
      <c r="Q900" s="8" t="e">
        <f t="shared" ref="Q900" si="3815">IF(COUNTIF(P894:P904,"&lt;"&amp;-0.001)=0,IF(ABS(P900)&lt;0.001,0,P900)," ")</f>
        <v>#NUM!</v>
      </c>
      <c r="R900" s="8"/>
      <c r="S900" s="8"/>
      <c r="U900" s="34"/>
      <c r="V900" s="34"/>
      <c r="W900" s="34"/>
      <c r="X900" s="34"/>
      <c r="Y900" s="34"/>
      <c r="Z900" s="34"/>
      <c r="AA900" s="34"/>
      <c r="AB900" s="34"/>
      <c r="AC900" s="34"/>
      <c r="AD900" s="34"/>
      <c r="AE900" s="34"/>
      <c r="AF900" s="34"/>
      <c r="AG900" s="34"/>
      <c r="AH900" s="34"/>
      <c r="AI900" s="34"/>
      <c r="AJ900" s="34"/>
      <c r="AK900" s="34"/>
      <c r="AL900" s="34"/>
      <c r="AM900" s="34"/>
      <c r="AN900" s="34"/>
      <c r="AO900" s="34"/>
      <c r="AP900" s="34"/>
      <c r="AQ900" s="34"/>
      <c r="AR900" s="34"/>
      <c r="AS900" s="34"/>
      <c r="AT900" s="34"/>
      <c r="AU900" s="34"/>
      <c r="AV900" s="34"/>
      <c r="AW900" s="34"/>
      <c r="AX900" s="34"/>
      <c r="AY900" s="34"/>
      <c r="AZ900" s="34"/>
      <c r="BA900" s="34"/>
      <c r="BB900" s="34"/>
      <c r="BC900" s="34"/>
      <c r="BD900" s="34"/>
      <c r="BE900" s="34"/>
      <c r="BF900" s="34"/>
      <c r="BG900" s="34"/>
      <c r="BH900" s="34"/>
      <c r="BI900" s="34"/>
      <c r="BJ900" s="34"/>
      <c r="BK900" s="34"/>
      <c r="BL900" s="34"/>
      <c r="BM900" s="34"/>
      <c r="BN900" s="34"/>
      <c r="BO900" s="34"/>
      <c r="BP900" s="34"/>
      <c r="BQ900" s="34"/>
      <c r="BR900" s="34"/>
      <c r="BS900" s="34"/>
      <c r="BT900" s="34"/>
      <c r="BU900" s="34"/>
      <c r="BV900" s="34"/>
      <c r="BW900" s="34"/>
      <c r="BX900" s="34"/>
      <c r="BY900" s="34"/>
      <c r="BZ900" s="34"/>
      <c r="CA900" s="34"/>
      <c r="CB900" s="34"/>
      <c r="CC900" s="34"/>
      <c r="CD900" s="34"/>
      <c r="CE900" s="34"/>
      <c r="CF900" s="34"/>
      <c r="CG900" s="34"/>
      <c r="CH900" s="34"/>
      <c r="CI900" s="8"/>
    </row>
    <row r="901" spans="1:87" x14ac:dyDescent="0.2">
      <c r="A901" s="8" t="str">
        <f>IF(AND(COUNTIF(W$3:W$13,A$22)&gt;0,A$22&lt;&gt;B800),A$22,IFERROR(IF(MATCH(A$22,Z$3:Z$13,0)=5,A$22," ")," "))</f>
        <v xml:space="preserve"> </v>
      </c>
      <c r="B901" s="8" t="str">
        <f>IF(A901=" "," ",MAX(B894:B900)+1)</f>
        <v xml:space="preserve"> </v>
      </c>
      <c r="C901" s="8" t="str">
        <f>IFERROR(INDEX(A894:A915,MATCH(SMALL(B894:B915,8),B894:B915,0),1)," ")</f>
        <v>C19</v>
      </c>
      <c r="D901" s="8">
        <f t="shared" si="3776"/>
        <v>0</v>
      </c>
      <c r="E901" s="8">
        <f t="shared" si="3777"/>
        <v>0</v>
      </c>
      <c r="F901" s="8">
        <f t="shared" si="3778"/>
        <v>0</v>
      </c>
      <c r="G901" s="8">
        <f t="shared" si="3779"/>
        <v>0</v>
      </c>
      <c r="H901" s="8">
        <f t="shared" si="3780"/>
        <v>0</v>
      </c>
      <c r="I901" s="8">
        <f t="shared" si="3781"/>
        <v>0</v>
      </c>
      <c r="J901" s="8">
        <f t="shared" si="3782"/>
        <v>0</v>
      </c>
      <c r="K901" s="8">
        <f t="shared" si="3783"/>
        <v>1</v>
      </c>
      <c r="L901" s="8">
        <f t="shared" si="3784"/>
        <v>0</v>
      </c>
      <c r="M901" s="8">
        <f t="shared" si="3785"/>
        <v>0</v>
      </c>
      <c r="N901" s="8">
        <f t="shared" si="3786"/>
        <v>0</v>
      </c>
      <c r="O901" s="8">
        <f t="shared" si="3787"/>
        <v>0</v>
      </c>
      <c r="P901" s="8" t="e">
        <v>#NUM!</v>
      </c>
      <c r="Q901" s="8" t="e">
        <f t="shared" ref="Q901" si="3816">IF(COUNTIF(P894:P904,"&lt;"&amp;-0.001)=0,IF(ABS(P901)&lt;0.001,0,P901)," ")</f>
        <v>#NUM!</v>
      </c>
      <c r="R901" s="8"/>
      <c r="S901" s="8"/>
      <c r="U901" s="34"/>
      <c r="V901" s="34"/>
      <c r="W901" s="34"/>
      <c r="X901" s="34"/>
      <c r="Y901" s="34"/>
      <c r="Z901" s="34"/>
      <c r="AA901" s="34"/>
      <c r="AB901" s="34"/>
      <c r="AC901" s="34"/>
      <c r="AD901" s="34"/>
      <c r="AE901" s="34"/>
      <c r="AF901" s="34"/>
      <c r="AG901" s="34"/>
      <c r="AH901" s="34"/>
      <c r="AI901" s="34"/>
      <c r="AJ901" s="34"/>
      <c r="AK901" s="34"/>
      <c r="AL901" s="34"/>
      <c r="AM901" s="34"/>
      <c r="AN901" s="34"/>
      <c r="AO901" s="34"/>
      <c r="AP901" s="34"/>
      <c r="AQ901" s="34"/>
      <c r="AR901" s="34"/>
      <c r="AS901" s="34"/>
      <c r="AT901" s="34"/>
      <c r="AU901" s="34"/>
      <c r="AV901" s="34"/>
      <c r="AW901" s="34"/>
      <c r="AX901" s="34"/>
      <c r="AY901" s="34"/>
      <c r="AZ901" s="34"/>
      <c r="BA901" s="34"/>
      <c r="BB901" s="34"/>
      <c r="BC901" s="34"/>
      <c r="BD901" s="34"/>
      <c r="BE901" s="34"/>
      <c r="BF901" s="34"/>
      <c r="BG901" s="34"/>
      <c r="BH901" s="34"/>
      <c r="BI901" s="34"/>
      <c r="BJ901" s="34"/>
      <c r="BK901" s="34"/>
      <c r="BL901" s="34"/>
      <c r="BM901" s="34"/>
      <c r="BN901" s="34"/>
      <c r="BO901" s="34"/>
      <c r="BP901" s="34"/>
      <c r="BQ901" s="34"/>
      <c r="BR901" s="34"/>
      <c r="BS901" s="34"/>
      <c r="BT901" s="34"/>
      <c r="BU901" s="34"/>
      <c r="BV901" s="34"/>
      <c r="BW901" s="34"/>
      <c r="BX901" s="34"/>
      <c r="BY901" s="34"/>
      <c r="BZ901" s="34"/>
      <c r="CA901" s="34"/>
      <c r="CB901" s="34"/>
      <c r="CC901" s="34"/>
      <c r="CD901" s="34"/>
      <c r="CE901" s="34"/>
      <c r="CF901" s="34"/>
      <c r="CG901" s="34"/>
      <c r="CH901" s="34"/>
      <c r="CI901" s="8"/>
    </row>
    <row r="902" spans="1:87" x14ac:dyDescent="0.2">
      <c r="A902" s="8" t="str">
        <f>IF(AND(COUNTIF(W$3:W$13,A$23)&gt;0,A$23&lt;&gt;B800),A$23,IFERROR(IF(MATCH(A$23,Z$3:Z$13,0)=5,A$23," ")," "))</f>
        <v xml:space="preserve"> </v>
      </c>
      <c r="B902" s="8" t="str">
        <f>IF(A902=" "," ",MAX(B894:B901)+1)</f>
        <v xml:space="preserve"> </v>
      </c>
      <c r="C902" s="8" t="str">
        <f>IFERROR(INDEX(A894:A915,MATCH(SMALL(B894:B915,9),B894:B915,0),1)," ")</f>
        <v>C20</v>
      </c>
      <c r="D902" s="8">
        <f t="shared" si="3776"/>
        <v>0</v>
      </c>
      <c r="E902" s="8">
        <f t="shared" si="3777"/>
        <v>0</v>
      </c>
      <c r="F902" s="8">
        <f t="shared" si="3778"/>
        <v>0</v>
      </c>
      <c r="G902" s="8">
        <f t="shared" si="3779"/>
        <v>0</v>
      </c>
      <c r="H902" s="8">
        <f t="shared" si="3780"/>
        <v>0</v>
      </c>
      <c r="I902" s="8">
        <f t="shared" si="3781"/>
        <v>0</v>
      </c>
      <c r="J902" s="8">
        <f t="shared" si="3782"/>
        <v>0</v>
      </c>
      <c r="K902" s="8">
        <f t="shared" si="3783"/>
        <v>0</v>
      </c>
      <c r="L902" s="8">
        <f t="shared" si="3784"/>
        <v>1</v>
      </c>
      <c r="M902" s="8">
        <f t="shared" si="3785"/>
        <v>0</v>
      </c>
      <c r="N902" s="8">
        <f t="shared" si="3786"/>
        <v>0</v>
      </c>
      <c r="O902" s="8">
        <f t="shared" si="3787"/>
        <v>0</v>
      </c>
      <c r="P902" s="6" t="e">
        <v>#NUM!</v>
      </c>
      <c r="Q902" s="8" t="e">
        <f t="shared" ref="Q902" si="3817">IF(COUNTIF(P894:P904,"&lt;"&amp;-0.001)=0,IF(ABS(P902)&lt;0.001,0,P902)," ")</f>
        <v>#NUM!</v>
      </c>
      <c r="R902" s="8"/>
      <c r="S902" s="8"/>
      <c r="U902" s="34"/>
      <c r="V902" s="34"/>
      <c r="W902" s="34"/>
      <c r="X902" s="34"/>
      <c r="Y902" s="34"/>
      <c r="Z902" s="34"/>
      <c r="AA902" s="34"/>
      <c r="AB902" s="34"/>
      <c r="AC902" s="34"/>
      <c r="AD902" s="34"/>
      <c r="AE902" s="34"/>
      <c r="AF902" s="34"/>
      <c r="AG902" s="34"/>
      <c r="AH902" s="34"/>
      <c r="AI902" s="34"/>
      <c r="AJ902" s="34"/>
      <c r="AK902" s="34"/>
      <c r="AL902" s="34"/>
      <c r="AM902" s="34"/>
      <c r="AN902" s="34"/>
      <c r="AO902" s="34"/>
      <c r="AP902" s="34"/>
      <c r="AQ902" s="34"/>
      <c r="AR902" s="34"/>
      <c r="AS902" s="34"/>
      <c r="AT902" s="34"/>
      <c r="AU902" s="34"/>
      <c r="AV902" s="34"/>
      <c r="AW902" s="34"/>
      <c r="AX902" s="34"/>
      <c r="AY902" s="34"/>
      <c r="AZ902" s="34"/>
      <c r="BA902" s="34"/>
      <c r="BB902" s="34"/>
      <c r="BC902" s="34"/>
      <c r="BD902" s="34"/>
      <c r="BE902" s="34"/>
      <c r="BF902" s="34"/>
      <c r="BG902" s="34"/>
      <c r="BH902" s="34"/>
      <c r="BI902" s="34"/>
      <c r="BJ902" s="34"/>
      <c r="BK902" s="34"/>
      <c r="BL902" s="34"/>
      <c r="BM902" s="34"/>
      <c r="BN902" s="34"/>
      <c r="BO902" s="34"/>
      <c r="BP902" s="34"/>
      <c r="BQ902" s="34"/>
      <c r="BR902" s="34"/>
      <c r="BS902" s="34"/>
      <c r="BT902" s="34"/>
      <c r="BU902" s="34"/>
      <c r="BV902" s="34"/>
      <c r="BW902" s="34"/>
      <c r="BX902" s="34"/>
      <c r="BY902" s="34"/>
      <c r="BZ902" s="34"/>
      <c r="CA902" s="34"/>
      <c r="CB902" s="34"/>
      <c r="CC902" s="34"/>
      <c r="CD902" s="34"/>
      <c r="CE902" s="34"/>
      <c r="CF902" s="34"/>
      <c r="CG902" s="34"/>
      <c r="CH902" s="34"/>
      <c r="CI902" s="8"/>
    </row>
    <row r="903" spans="1:87" x14ac:dyDescent="0.2">
      <c r="A903" s="8" t="str">
        <f>IF(AND(COUNTIF(W$3:W$13,A$24)&gt;0,A$24&lt;&gt;B800),A$24,IFERROR(IF(MATCH(A$24,Z$3:Z$13,0)=5,A$24," ")," "))</f>
        <v xml:space="preserve"> </v>
      </c>
      <c r="B903" s="8" t="str">
        <f>IF(A903=" "," ",MAX(B894:B902)+1)</f>
        <v xml:space="preserve"> </v>
      </c>
      <c r="C903" s="8" t="str">
        <f>IFERROR(INDEX(A894:A915,MATCH(SMALL(B894:B915,10),B894:B915,0),1)," ")</f>
        <v>C21</v>
      </c>
      <c r="D903" s="8">
        <f t="shared" si="3776"/>
        <v>0</v>
      </c>
      <c r="E903" s="8">
        <f t="shared" si="3777"/>
        <v>0</v>
      </c>
      <c r="F903" s="8">
        <f t="shared" si="3778"/>
        <v>0</v>
      </c>
      <c r="G903" s="8">
        <f t="shared" si="3779"/>
        <v>0</v>
      </c>
      <c r="H903" s="8">
        <f t="shared" si="3780"/>
        <v>0</v>
      </c>
      <c r="I903" s="8">
        <f t="shared" si="3781"/>
        <v>0</v>
      </c>
      <c r="J903" s="8">
        <f t="shared" si="3782"/>
        <v>0</v>
      </c>
      <c r="K903" s="8">
        <f t="shared" si="3783"/>
        <v>0</v>
      </c>
      <c r="L903" s="8">
        <f t="shared" si="3784"/>
        <v>0</v>
      </c>
      <c r="M903" s="8">
        <f t="shared" si="3785"/>
        <v>1</v>
      </c>
      <c r="N903" s="8">
        <f t="shared" si="3786"/>
        <v>0</v>
      </c>
      <c r="O903" s="8">
        <f t="shared" si="3787"/>
        <v>0</v>
      </c>
      <c r="P903" s="8" t="e">
        <v>#NUM!</v>
      </c>
      <c r="Q903" s="8" t="e">
        <f t="shared" ref="Q903" si="3818">IF(COUNTIF(P894:P904,"&lt;"&amp;-0.001)=0,IF(ABS(P903)&lt;0.001,0,P903)," ")</f>
        <v>#NUM!</v>
      </c>
      <c r="R903" s="8"/>
      <c r="S903" s="8"/>
      <c r="U903" s="34"/>
      <c r="V903" s="34"/>
      <c r="W903" s="34"/>
      <c r="X903" s="34"/>
      <c r="Y903" s="34"/>
      <c r="Z903" s="34"/>
      <c r="AA903" s="34"/>
      <c r="AB903" s="34"/>
      <c r="AC903" s="34"/>
      <c r="AD903" s="34"/>
      <c r="AE903" s="34"/>
      <c r="AF903" s="34"/>
      <c r="AG903" s="34"/>
      <c r="AH903" s="34"/>
      <c r="AI903" s="34"/>
      <c r="AJ903" s="34"/>
      <c r="AK903" s="34"/>
      <c r="AL903" s="34"/>
      <c r="AM903" s="34"/>
      <c r="AN903" s="34"/>
      <c r="AO903" s="34"/>
      <c r="AP903" s="34"/>
      <c r="AQ903" s="34"/>
      <c r="AR903" s="34"/>
      <c r="AS903" s="34"/>
      <c r="AT903" s="34"/>
      <c r="AU903" s="34"/>
      <c r="AV903" s="34"/>
      <c r="AW903" s="34"/>
      <c r="AX903" s="34"/>
      <c r="AY903" s="34"/>
      <c r="AZ903" s="34"/>
      <c r="BA903" s="34"/>
      <c r="BB903" s="34"/>
      <c r="BC903" s="34"/>
      <c r="BD903" s="34"/>
      <c r="BE903" s="34"/>
      <c r="BF903" s="34"/>
      <c r="BG903" s="34"/>
      <c r="BH903" s="34"/>
      <c r="BI903" s="34"/>
      <c r="BJ903" s="34"/>
      <c r="BK903" s="34"/>
      <c r="BL903" s="34"/>
      <c r="BM903" s="34"/>
      <c r="BN903" s="34"/>
      <c r="BO903" s="34"/>
      <c r="BP903" s="34"/>
      <c r="BQ903" s="34"/>
      <c r="BR903" s="34"/>
      <c r="BS903" s="34"/>
      <c r="BT903" s="34"/>
      <c r="BU903" s="34"/>
      <c r="BV903" s="34"/>
      <c r="BW903" s="34"/>
      <c r="BX903" s="34"/>
      <c r="BY903" s="34"/>
      <c r="BZ903" s="34"/>
      <c r="CA903" s="34"/>
      <c r="CB903" s="34"/>
      <c r="CC903" s="34"/>
      <c r="CD903" s="34"/>
      <c r="CE903" s="34"/>
      <c r="CF903" s="34"/>
      <c r="CG903" s="34"/>
      <c r="CH903" s="34"/>
      <c r="CI903" s="8"/>
    </row>
    <row r="904" spans="1:87" x14ac:dyDescent="0.2">
      <c r="A904" s="8" t="str">
        <f>IF(AND(COUNTIF(W$3:W$13,A$25)&gt;0,A$25&lt;&gt;B800),A$25,IFERROR(IF(MATCH(A$25,Z$3:Z$13,0)=5,A$25," ")," "))</f>
        <v xml:space="preserve"> </v>
      </c>
      <c r="B904" s="8" t="str">
        <f>IF(A904=" "," ",MAX(B894:B903)+1)</f>
        <v xml:space="preserve"> </v>
      </c>
      <c r="C904" s="8" t="str">
        <f>IFERROR(INDEX(A894:A915,MATCH(SMALL(B894:B915,11),B894:B915,0),1)," ")</f>
        <v>C22</v>
      </c>
      <c r="D904" s="8">
        <f t="shared" si="3776"/>
        <v>0</v>
      </c>
      <c r="E904" s="8">
        <f t="shared" si="3777"/>
        <v>0</v>
      </c>
      <c r="F904" s="8">
        <f t="shared" si="3778"/>
        <v>0</v>
      </c>
      <c r="G904" s="8">
        <f t="shared" si="3779"/>
        <v>0</v>
      </c>
      <c r="H904" s="8">
        <f t="shared" si="3780"/>
        <v>0</v>
      </c>
      <c r="I904" s="8">
        <f t="shared" si="3781"/>
        <v>0</v>
      </c>
      <c r="J904" s="8">
        <f t="shared" si="3782"/>
        <v>0</v>
      </c>
      <c r="K904" s="8">
        <f t="shared" si="3783"/>
        <v>0</v>
      </c>
      <c r="L904" s="8">
        <f t="shared" si="3784"/>
        <v>0</v>
      </c>
      <c r="M904" s="8">
        <f t="shared" si="3785"/>
        <v>0</v>
      </c>
      <c r="N904" s="8">
        <f t="shared" si="3786"/>
        <v>1</v>
      </c>
      <c r="O904" s="8">
        <f t="shared" si="3787"/>
        <v>0</v>
      </c>
      <c r="P904" s="8" t="e">
        <v>#NUM!</v>
      </c>
      <c r="Q904" s="8" t="e">
        <f t="shared" ref="Q904" si="3819">IF(COUNTIF(P894:P904,"&lt;"&amp;-0.001)=0,IF(ABS(P904)&lt;0.001,0,P904)," ")</f>
        <v>#NUM!</v>
      </c>
      <c r="R904" s="8"/>
      <c r="S904" s="8"/>
      <c r="U904" s="34"/>
      <c r="V904" s="34"/>
      <c r="W904" s="34"/>
      <c r="X904" s="34"/>
      <c r="Y904" s="34"/>
      <c r="Z904" s="34"/>
      <c r="AA904" s="34"/>
      <c r="AB904" s="34"/>
      <c r="AC904" s="34"/>
      <c r="AD904" s="34"/>
      <c r="AE904" s="34"/>
      <c r="AF904" s="34"/>
      <c r="AG904" s="34"/>
      <c r="AH904" s="34"/>
      <c r="AI904" s="34"/>
      <c r="AJ904" s="34"/>
      <c r="AK904" s="34"/>
      <c r="AL904" s="34"/>
      <c r="AM904" s="34"/>
      <c r="AN904" s="34"/>
      <c r="AO904" s="34"/>
      <c r="AP904" s="34"/>
      <c r="AQ904" s="34"/>
      <c r="AR904" s="34"/>
      <c r="AS904" s="34"/>
      <c r="AT904" s="34"/>
      <c r="AU904" s="34"/>
      <c r="AV904" s="34"/>
      <c r="AW904" s="34"/>
      <c r="AX904" s="34"/>
      <c r="AY904" s="34"/>
      <c r="AZ904" s="34"/>
      <c r="BA904" s="34"/>
      <c r="BB904" s="34"/>
      <c r="BC904" s="34"/>
      <c r="BD904" s="34"/>
      <c r="BE904" s="34"/>
      <c r="BF904" s="34"/>
      <c r="BG904" s="34"/>
      <c r="BH904" s="34"/>
      <c r="BI904" s="34"/>
      <c r="BJ904" s="34"/>
      <c r="BK904" s="34"/>
      <c r="BL904" s="34"/>
      <c r="BM904" s="34"/>
      <c r="BN904" s="34"/>
      <c r="BO904" s="34"/>
      <c r="BP904" s="34"/>
      <c r="BQ904" s="34"/>
      <c r="BR904" s="34"/>
      <c r="BS904" s="34"/>
      <c r="BT904" s="34"/>
      <c r="BU904" s="34"/>
      <c r="BV904" s="34"/>
      <c r="BW904" s="34"/>
      <c r="BX904" s="34"/>
      <c r="BY904" s="34"/>
      <c r="BZ904" s="34"/>
      <c r="CA904" s="34"/>
      <c r="CB904" s="34"/>
      <c r="CC904" s="34"/>
      <c r="CD904" s="34"/>
      <c r="CE904" s="34"/>
      <c r="CF904" s="34"/>
      <c r="CG904" s="34"/>
      <c r="CH904" s="34"/>
      <c r="CI904" s="8"/>
    </row>
    <row r="905" spans="1:87" x14ac:dyDescent="0.2">
      <c r="A905" s="8" t="str">
        <f>IF(AND(COUNTIF(W$3:W$13,A$26)&gt;0,A$26&lt;&gt;B800),A$26,IFERROR(IF(MATCH(A$26,Z$3:Z$13,0)=5,A$26," ")," "))</f>
        <v xml:space="preserve"> </v>
      </c>
      <c r="B905" s="8" t="str">
        <f>IF(A905=" "," ",MAX(B894:B904)+1)</f>
        <v xml:space="preserve"> </v>
      </c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U905" s="34"/>
      <c r="V905" s="34"/>
      <c r="W905" s="34"/>
      <c r="X905" s="34"/>
      <c r="Y905" s="34"/>
      <c r="Z905" s="34"/>
      <c r="AA905" s="34"/>
      <c r="AB905" s="34"/>
      <c r="AC905" s="34"/>
      <c r="AD905" s="34"/>
      <c r="AE905" s="34"/>
      <c r="AF905" s="34"/>
      <c r="AG905" s="34"/>
      <c r="AH905" s="34"/>
      <c r="AI905" s="34"/>
      <c r="AJ905" s="34"/>
      <c r="AK905" s="34"/>
      <c r="AL905" s="34"/>
      <c r="AM905" s="34"/>
      <c r="AN905" s="34"/>
      <c r="AO905" s="34"/>
      <c r="AP905" s="34"/>
      <c r="AQ905" s="34"/>
      <c r="AR905" s="34"/>
      <c r="AS905" s="34"/>
      <c r="AT905" s="34"/>
      <c r="AU905" s="34"/>
      <c r="AV905" s="34"/>
      <c r="AW905" s="34"/>
      <c r="AX905" s="34"/>
      <c r="AY905" s="34"/>
      <c r="AZ905" s="34"/>
      <c r="BA905" s="34"/>
      <c r="BB905" s="34"/>
      <c r="BC905" s="34"/>
      <c r="BD905" s="34"/>
      <c r="BE905" s="34"/>
      <c r="BF905" s="34"/>
      <c r="BG905" s="34"/>
      <c r="BH905" s="34"/>
      <c r="BI905" s="34"/>
      <c r="BJ905" s="34"/>
      <c r="BK905" s="34"/>
      <c r="BL905" s="34"/>
      <c r="BM905" s="34"/>
      <c r="BN905" s="34"/>
      <c r="BO905" s="34"/>
      <c r="BP905" s="34"/>
      <c r="BQ905" s="34"/>
      <c r="BR905" s="34"/>
      <c r="BS905" s="34"/>
      <c r="BT905" s="34"/>
      <c r="BU905" s="34"/>
      <c r="BV905" s="34"/>
      <c r="BW905" s="34"/>
      <c r="BX905" s="34"/>
      <c r="BY905" s="34"/>
      <c r="BZ905" s="34"/>
      <c r="CA905" s="34"/>
      <c r="CB905" s="34"/>
      <c r="CC905" s="34"/>
      <c r="CD905" s="34"/>
      <c r="CE905" s="34"/>
      <c r="CF905" s="34"/>
      <c r="CG905" s="34"/>
      <c r="CH905" s="34"/>
      <c r="CI905" s="8"/>
    </row>
    <row r="906" spans="1:87" x14ac:dyDescent="0.2">
      <c r="A906" s="8" t="str">
        <f>IF(AND(COUNTIF(W$3:W$13,A$27)&gt;0,A$27&lt;&gt;B800),A$27,IFERROR(IF(MATCH(A$27,Z$3:Z$13,0)=5,A$27," ")," "))</f>
        <v>C13</v>
      </c>
      <c r="B906" s="8">
        <f>IF(A906=" "," ",MAX(B894:B905)+1)</f>
        <v>4</v>
      </c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U906" s="34"/>
      <c r="V906" s="34"/>
      <c r="W906" s="34"/>
      <c r="X906" s="34"/>
      <c r="Y906" s="34"/>
      <c r="Z906" s="34"/>
      <c r="AA906" s="34"/>
      <c r="AB906" s="34"/>
      <c r="AC906" s="34"/>
      <c r="AD906" s="34"/>
      <c r="AE906" s="34"/>
      <c r="AF906" s="34"/>
      <c r="AG906" s="34"/>
      <c r="AH906" s="34"/>
      <c r="AI906" s="34"/>
      <c r="AJ906" s="34"/>
      <c r="AK906" s="34"/>
      <c r="AL906" s="34"/>
      <c r="AM906" s="34"/>
      <c r="AN906" s="34"/>
      <c r="AO906" s="34"/>
      <c r="AP906" s="34"/>
      <c r="AQ906" s="34"/>
      <c r="AR906" s="34"/>
      <c r="AS906" s="34"/>
      <c r="AT906" s="34"/>
      <c r="AU906" s="34"/>
      <c r="AV906" s="34"/>
      <c r="AW906" s="34"/>
      <c r="AX906" s="34"/>
      <c r="AY906" s="34"/>
      <c r="AZ906" s="34"/>
      <c r="BA906" s="34"/>
      <c r="BB906" s="34"/>
      <c r="BC906" s="34"/>
      <c r="BD906" s="34"/>
      <c r="BE906" s="34"/>
      <c r="BF906" s="34"/>
      <c r="BG906" s="34"/>
      <c r="BH906" s="34"/>
      <c r="BI906" s="34"/>
      <c r="BJ906" s="34"/>
      <c r="BK906" s="34"/>
      <c r="BL906" s="34"/>
      <c r="BM906" s="34"/>
      <c r="BN906" s="34"/>
      <c r="BO906" s="34"/>
      <c r="BP906" s="34"/>
      <c r="BQ906" s="34"/>
      <c r="BR906" s="34"/>
      <c r="BS906" s="34"/>
      <c r="BT906" s="34"/>
      <c r="BU906" s="34"/>
      <c r="BV906" s="34"/>
      <c r="BW906" s="34"/>
      <c r="BX906" s="34"/>
      <c r="BY906" s="34"/>
      <c r="BZ906" s="34"/>
      <c r="CA906" s="34"/>
      <c r="CB906" s="34"/>
      <c r="CC906" s="34"/>
      <c r="CD906" s="34"/>
      <c r="CE906" s="34"/>
      <c r="CF906" s="34"/>
      <c r="CG906" s="34"/>
      <c r="CH906" s="34"/>
      <c r="CI906" s="8"/>
    </row>
    <row r="907" spans="1:87" x14ac:dyDescent="0.2">
      <c r="A907" s="8" t="str">
        <f>IF(AND(COUNTIF(W$3:W$13,A$28)&gt;0,A$28&lt;&gt;B800),A$28,IFERROR(IF(MATCH(A$28,Z$3:Z$13,0)=5,A$28," ")," "))</f>
        <v xml:space="preserve"> </v>
      </c>
      <c r="B907" s="8" t="str">
        <f>IF(A907=" "," ",MAX(B894:B906)+1)</f>
        <v xml:space="preserve"> </v>
      </c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U907" s="34"/>
      <c r="V907" s="34"/>
      <c r="W907" s="34"/>
      <c r="X907" s="34"/>
      <c r="Y907" s="34"/>
      <c r="Z907" s="34"/>
      <c r="AA907" s="34"/>
      <c r="AB907" s="34"/>
      <c r="AC907" s="34"/>
      <c r="AD907" s="34"/>
      <c r="AE907" s="34"/>
      <c r="AF907" s="34"/>
      <c r="AG907" s="34"/>
      <c r="AH907" s="34"/>
      <c r="AI907" s="34"/>
      <c r="AJ907" s="34"/>
      <c r="AK907" s="34"/>
      <c r="AL907" s="34"/>
      <c r="AM907" s="34"/>
      <c r="AN907" s="34"/>
      <c r="AO907" s="34"/>
      <c r="AP907" s="34"/>
      <c r="AQ907" s="34"/>
      <c r="AR907" s="34"/>
      <c r="AS907" s="34"/>
      <c r="AT907" s="34"/>
      <c r="AU907" s="34"/>
      <c r="AV907" s="34"/>
      <c r="AW907" s="34"/>
      <c r="AX907" s="34"/>
      <c r="AY907" s="34"/>
      <c r="AZ907" s="34"/>
      <c r="BA907" s="34"/>
      <c r="BB907" s="34"/>
      <c r="BC907" s="34"/>
      <c r="BD907" s="34"/>
      <c r="BE907" s="34"/>
      <c r="BF907" s="34"/>
      <c r="BG907" s="34"/>
      <c r="BH907" s="34"/>
      <c r="BI907" s="34"/>
      <c r="BJ907" s="34"/>
      <c r="BK907" s="34"/>
      <c r="BL907" s="34"/>
      <c r="BM907" s="34"/>
      <c r="BN907" s="34"/>
      <c r="BO907" s="34"/>
      <c r="BP907" s="34"/>
      <c r="BQ907" s="34"/>
      <c r="BR907" s="34"/>
      <c r="BS907" s="34"/>
      <c r="BT907" s="34"/>
      <c r="BU907" s="34"/>
      <c r="BV907" s="34"/>
      <c r="BW907" s="34"/>
      <c r="BX907" s="34"/>
      <c r="BY907" s="34"/>
      <c r="BZ907" s="34"/>
      <c r="CA907" s="34"/>
      <c r="CB907" s="34"/>
      <c r="CC907" s="34"/>
      <c r="CD907" s="34"/>
      <c r="CE907" s="34"/>
      <c r="CF907" s="34"/>
      <c r="CG907" s="34"/>
      <c r="CH907" s="34"/>
      <c r="CI907" s="8"/>
    </row>
    <row r="908" spans="1:87" x14ac:dyDescent="0.2">
      <c r="A908" s="8" t="str">
        <f>IF(AND(COUNTIF(W$3:W$13,A$29)&gt;0,A$29&lt;&gt;B800),A$29,IFERROR(IF(MATCH(A$29,Z$3:Z$13,0)=5,A$29," ")," "))</f>
        <v xml:space="preserve"> </v>
      </c>
      <c r="B908" s="8" t="str">
        <f>IF(A908=" "," ",MAX(B894:B907)+1)</f>
        <v xml:space="preserve"> </v>
      </c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U908" s="34"/>
      <c r="V908" s="34"/>
      <c r="W908" s="34"/>
      <c r="X908" s="34"/>
      <c r="Y908" s="34"/>
      <c r="Z908" s="34"/>
      <c r="AA908" s="34"/>
      <c r="AB908" s="34"/>
      <c r="AC908" s="34"/>
      <c r="AD908" s="34"/>
      <c r="AE908" s="34"/>
      <c r="AF908" s="34"/>
      <c r="AG908" s="34"/>
      <c r="AH908" s="34"/>
      <c r="AI908" s="34"/>
      <c r="AJ908" s="34"/>
      <c r="AK908" s="34"/>
      <c r="AL908" s="34"/>
      <c r="AM908" s="34"/>
      <c r="AN908" s="34"/>
      <c r="AO908" s="34"/>
      <c r="AP908" s="34"/>
      <c r="AQ908" s="34"/>
      <c r="AR908" s="34"/>
      <c r="AS908" s="34"/>
      <c r="AT908" s="34"/>
      <c r="AU908" s="34"/>
      <c r="AV908" s="34"/>
      <c r="AW908" s="34"/>
      <c r="AX908" s="34"/>
      <c r="AY908" s="34"/>
      <c r="AZ908" s="34"/>
      <c r="BA908" s="34"/>
      <c r="BB908" s="34"/>
      <c r="BC908" s="34"/>
      <c r="BD908" s="34"/>
      <c r="BE908" s="34"/>
      <c r="BF908" s="34"/>
      <c r="BG908" s="34"/>
      <c r="BH908" s="34"/>
      <c r="BI908" s="34"/>
      <c r="BJ908" s="34"/>
      <c r="BK908" s="34"/>
      <c r="BL908" s="34"/>
      <c r="BM908" s="34"/>
      <c r="BN908" s="34"/>
      <c r="BO908" s="34"/>
      <c r="BP908" s="34"/>
      <c r="BQ908" s="34"/>
      <c r="BR908" s="34"/>
      <c r="BS908" s="34"/>
      <c r="BT908" s="34"/>
      <c r="BU908" s="34"/>
      <c r="BV908" s="34"/>
      <c r="BW908" s="34"/>
      <c r="BX908" s="34"/>
      <c r="BY908" s="34"/>
      <c r="BZ908" s="34"/>
      <c r="CA908" s="34"/>
      <c r="CB908" s="34"/>
      <c r="CC908" s="34"/>
      <c r="CD908" s="34"/>
      <c r="CE908" s="34"/>
      <c r="CF908" s="34"/>
      <c r="CG908" s="34"/>
      <c r="CH908" s="34"/>
      <c r="CI908" s="8"/>
    </row>
    <row r="909" spans="1:87" x14ac:dyDescent="0.2">
      <c r="A909" s="8" t="str">
        <f>IF(AND(COUNTIF(W$3:W$13,A$30)&gt;0,A$30&lt;&gt;B800),A$30,IFERROR(IF(MATCH(A$30,Z$3:Z$13,0)=5,A$30," ")," "))</f>
        <v>C16</v>
      </c>
      <c r="B909" s="8">
        <f>IF(A909=" "," ",MAX(B894:B908)+1)</f>
        <v>5</v>
      </c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U909" s="34"/>
      <c r="V909" s="34"/>
      <c r="W909" s="34"/>
      <c r="X909" s="34"/>
      <c r="Y909" s="34"/>
      <c r="Z909" s="34"/>
      <c r="AA909" s="34"/>
      <c r="AB909" s="34"/>
      <c r="AC909" s="34"/>
      <c r="AD909" s="34"/>
      <c r="AE909" s="34"/>
      <c r="AF909" s="34"/>
      <c r="AG909" s="34"/>
      <c r="AH909" s="34"/>
      <c r="AI909" s="34"/>
      <c r="AJ909" s="34"/>
      <c r="AK909" s="34"/>
      <c r="AL909" s="34"/>
      <c r="AM909" s="34"/>
      <c r="AN909" s="34"/>
      <c r="AO909" s="34"/>
      <c r="AP909" s="34"/>
      <c r="AQ909" s="34"/>
      <c r="AR909" s="34"/>
      <c r="AS909" s="34"/>
      <c r="AT909" s="34"/>
      <c r="AU909" s="34"/>
      <c r="AV909" s="34"/>
      <c r="AW909" s="34"/>
      <c r="AX909" s="34"/>
      <c r="AY909" s="34"/>
      <c r="AZ909" s="34"/>
      <c r="BA909" s="34"/>
      <c r="BB909" s="34"/>
      <c r="BC909" s="34"/>
      <c r="BD909" s="34"/>
      <c r="BE909" s="34"/>
      <c r="BF909" s="34"/>
      <c r="BG909" s="34"/>
      <c r="BH909" s="34"/>
      <c r="BI909" s="34"/>
      <c r="BJ909" s="34"/>
      <c r="BK909" s="34"/>
      <c r="BL909" s="34"/>
      <c r="BM909" s="34"/>
      <c r="BN909" s="34"/>
      <c r="BO909" s="34"/>
      <c r="BP909" s="34"/>
      <c r="BQ909" s="34"/>
      <c r="BR909" s="34"/>
      <c r="BS909" s="34"/>
      <c r="BT909" s="34"/>
      <c r="BU909" s="34"/>
      <c r="BV909" s="34"/>
      <c r="BW909" s="34"/>
      <c r="BX909" s="34"/>
      <c r="BY909" s="34"/>
      <c r="BZ909" s="34"/>
      <c r="CA909" s="34"/>
      <c r="CB909" s="34"/>
      <c r="CC909" s="34"/>
      <c r="CD909" s="34"/>
      <c r="CE909" s="34"/>
      <c r="CF909" s="34"/>
      <c r="CG909" s="34"/>
      <c r="CH909" s="34"/>
      <c r="CI909" s="8"/>
    </row>
    <row r="910" spans="1:87" x14ac:dyDescent="0.2">
      <c r="A910" s="8" t="str">
        <f>IF(AND(COUNTIF(W$3:W$13,A$31)&gt;0,A$31&lt;&gt;B800),A$31,IFERROR(IF(MATCH(A$31,Z$3:Z$13,0)=5,A$31," ")," "))</f>
        <v>C17</v>
      </c>
      <c r="B910" s="8">
        <f>IF(A910=" "," ",MAX(B894:B909)+1)</f>
        <v>6</v>
      </c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U910" s="34"/>
      <c r="V910" s="34"/>
      <c r="W910" s="34"/>
      <c r="X910" s="34"/>
      <c r="Y910" s="34"/>
      <c r="Z910" s="34"/>
      <c r="AA910" s="34"/>
      <c r="AB910" s="34"/>
      <c r="AC910" s="34"/>
      <c r="AD910" s="34"/>
      <c r="AE910" s="34"/>
      <c r="AF910" s="34"/>
      <c r="AG910" s="34"/>
      <c r="AH910" s="34"/>
      <c r="AI910" s="34"/>
      <c r="AJ910" s="34"/>
      <c r="AK910" s="34"/>
      <c r="AL910" s="34"/>
      <c r="AM910" s="34"/>
      <c r="AN910" s="34"/>
      <c r="AO910" s="34"/>
      <c r="AP910" s="34"/>
      <c r="AQ910" s="34"/>
      <c r="AR910" s="34"/>
      <c r="AS910" s="34"/>
      <c r="AT910" s="34"/>
      <c r="AU910" s="34"/>
      <c r="AV910" s="34"/>
      <c r="AW910" s="34"/>
      <c r="AX910" s="34"/>
      <c r="AY910" s="34"/>
      <c r="AZ910" s="34"/>
      <c r="BA910" s="34"/>
      <c r="BB910" s="34"/>
      <c r="BC910" s="34"/>
      <c r="BD910" s="34"/>
      <c r="BE910" s="34"/>
      <c r="BF910" s="34"/>
      <c r="BG910" s="34"/>
      <c r="BH910" s="34"/>
      <c r="BI910" s="34"/>
      <c r="BJ910" s="34"/>
      <c r="BK910" s="34"/>
      <c r="BL910" s="34"/>
      <c r="BM910" s="34"/>
      <c r="BN910" s="34"/>
      <c r="BO910" s="34"/>
      <c r="BP910" s="34"/>
      <c r="BQ910" s="34"/>
      <c r="BR910" s="34"/>
      <c r="BS910" s="34"/>
      <c r="BT910" s="34"/>
      <c r="BU910" s="34"/>
      <c r="BV910" s="34"/>
      <c r="BW910" s="34"/>
      <c r="BX910" s="34"/>
      <c r="BY910" s="34"/>
      <c r="BZ910" s="34"/>
      <c r="CA910" s="34"/>
      <c r="CB910" s="34"/>
      <c r="CC910" s="34"/>
      <c r="CD910" s="34"/>
      <c r="CE910" s="34"/>
      <c r="CF910" s="34"/>
      <c r="CG910" s="34"/>
      <c r="CH910" s="34"/>
      <c r="CI910" s="8"/>
    </row>
    <row r="911" spans="1:87" x14ac:dyDescent="0.2">
      <c r="A911" s="8" t="str">
        <f>IF(AND(COUNTIF(W$3:W$13,A$32)&gt;0,A$32&lt;&gt;B800),A$32,IFERROR(IF(MATCH(A$32,Z$3:Z$13,0)=5,A$32," ")," "))</f>
        <v>C18</v>
      </c>
      <c r="B911" s="8">
        <f>IF(A911=" "," ",MAX(B894:B910)+1)</f>
        <v>7</v>
      </c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U911" s="34"/>
      <c r="V911" s="34"/>
      <c r="W911" s="34"/>
      <c r="X911" s="34"/>
      <c r="Y911" s="34"/>
      <c r="Z911" s="34"/>
      <c r="AA911" s="34"/>
      <c r="AB911" s="34"/>
      <c r="AC911" s="34"/>
      <c r="AD911" s="34"/>
      <c r="AE911" s="34"/>
      <c r="AF911" s="34"/>
      <c r="AG911" s="34"/>
      <c r="AH911" s="34"/>
      <c r="AI911" s="34"/>
      <c r="AJ911" s="34"/>
      <c r="AK911" s="34"/>
      <c r="AL911" s="34"/>
      <c r="AM911" s="34"/>
      <c r="AN911" s="34"/>
      <c r="AO911" s="34"/>
      <c r="AP911" s="34"/>
      <c r="AQ911" s="34"/>
      <c r="AR911" s="34"/>
      <c r="AS911" s="34"/>
      <c r="AT911" s="34"/>
      <c r="AU911" s="34"/>
      <c r="AV911" s="34"/>
      <c r="AW911" s="34"/>
      <c r="AX911" s="34"/>
      <c r="AY911" s="34"/>
      <c r="AZ911" s="34"/>
      <c r="BA911" s="34"/>
      <c r="BB911" s="34"/>
      <c r="BC911" s="34"/>
      <c r="BD911" s="34"/>
      <c r="BE911" s="34"/>
      <c r="BF911" s="34"/>
      <c r="BG911" s="34"/>
      <c r="BH911" s="34"/>
      <c r="BI911" s="34"/>
      <c r="BJ911" s="34"/>
      <c r="BK911" s="34"/>
      <c r="BL911" s="34"/>
      <c r="BM911" s="34"/>
      <c r="BN911" s="34"/>
      <c r="BO911" s="34"/>
      <c r="BP911" s="34"/>
      <c r="BQ911" s="34"/>
      <c r="BR911" s="34"/>
      <c r="BS911" s="34"/>
      <c r="BT911" s="34"/>
      <c r="BU911" s="34"/>
      <c r="BV911" s="34"/>
      <c r="BW911" s="34"/>
      <c r="BX911" s="34"/>
      <c r="BY911" s="34"/>
      <c r="BZ911" s="34"/>
      <c r="CA911" s="34"/>
      <c r="CB911" s="34"/>
      <c r="CC911" s="34"/>
      <c r="CD911" s="34"/>
      <c r="CE911" s="34"/>
      <c r="CF911" s="34"/>
      <c r="CG911" s="34"/>
      <c r="CH911" s="34"/>
      <c r="CI911" s="8"/>
    </row>
    <row r="912" spans="1:87" x14ac:dyDescent="0.2">
      <c r="A912" s="8" t="str">
        <f>IF(AND(COUNTIF(W$3:W$13,A$33)&gt;0,A$33&lt;&gt;B800),A$33,IFERROR(IF(MATCH(A$33,Z$3:Z$13,0)=5,A$33," ")," "))</f>
        <v>C19</v>
      </c>
      <c r="B912" s="8">
        <f>IF(A912=" "," ",MAX(B894:B911)+1)</f>
        <v>8</v>
      </c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U912" s="34"/>
      <c r="V912" s="34"/>
      <c r="W912" s="34"/>
      <c r="X912" s="34"/>
      <c r="Y912" s="34"/>
      <c r="Z912" s="34"/>
      <c r="AA912" s="34"/>
      <c r="AB912" s="34"/>
      <c r="AC912" s="34"/>
      <c r="AD912" s="34"/>
      <c r="AE912" s="34"/>
      <c r="AF912" s="34"/>
      <c r="AG912" s="34"/>
      <c r="AH912" s="34"/>
      <c r="AI912" s="34"/>
      <c r="AJ912" s="34"/>
      <c r="AK912" s="34"/>
      <c r="AL912" s="34"/>
      <c r="AM912" s="34"/>
      <c r="AN912" s="34"/>
      <c r="AO912" s="34"/>
      <c r="AP912" s="34"/>
      <c r="AQ912" s="34"/>
      <c r="AR912" s="34"/>
      <c r="AS912" s="34"/>
      <c r="AT912" s="34"/>
      <c r="AU912" s="34"/>
      <c r="AV912" s="34"/>
      <c r="AW912" s="34"/>
      <c r="AX912" s="34"/>
      <c r="AY912" s="34"/>
      <c r="AZ912" s="34"/>
      <c r="BA912" s="34"/>
      <c r="BB912" s="34"/>
      <c r="BC912" s="34"/>
      <c r="BD912" s="34"/>
      <c r="BE912" s="34"/>
      <c r="BF912" s="34"/>
      <c r="BG912" s="34"/>
      <c r="BH912" s="34"/>
      <c r="BI912" s="34"/>
      <c r="BJ912" s="34"/>
      <c r="BK912" s="34"/>
      <c r="BL912" s="34"/>
      <c r="BM912" s="34"/>
      <c r="BN912" s="34"/>
      <c r="BO912" s="34"/>
      <c r="BP912" s="34"/>
      <c r="BQ912" s="34"/>
      <c r="BR912" s="34"/>
      <c r="BS912" s="34"/>
      <c r="BT912" s="34"/>
      <c r="BU912" s="34"/>
      <c r="BV912" s="34"/>
      <c r="BW912" s="34"/>
      <c r="BX912" s="34"/>
      <c r="BY912" s="34"/>
      <c r="BZ912" s="34"/>
      <c r="CA912" s="34"/>
      <c r="CB912" s="34"/>
      <c r="CC912" s="34"/>
      <c r="CD912" s="34"/>
      <c r="CE912" s="34"/>
      <c r="CF912" s="34"/>
      <c r="CG912" s="34"/>
      <c r="CH912" s="34"/>
      <c r="CI912" s="8"/>
    </row>
    <row r="913" spans="1:87" x14ac:dyDescent="0.2">
      <c r="A913" s="8" t="str">
        <f>IF(AND(COUNTIF(W$3:W$13,A$34)&gt;0,A$34&lt;&gt;B800),A$34,IFERROR(IF(MATCH(A$34,Z$3:Z$13,0)=5,A$34," ")," "))</f>
        <v>C20</v>
      </c>
      <c r="B913" s="8">
        <f>IF(A913=" "," ",MAX(B894:B912)+1)</f>
        <v>9</v>
      </c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U913" s="34"/>
      <c r="V913" s="34"/>
      <c r="W913" s="34"/>
      <c r="X913" s="34"/>
      <c r="Y913" s="34"/>
      <c r="Z913" s="34"/>
      <c r="AA913" s="34"/>
      <c r="AB913" s="34"/>
      <c r="AC913" s="34"/>
      <c r="AD913" s="34"/>
      <c r="AE913" s="34"/>
      <c r="AF913" s="34"/>
      <c r="AG913" s="34"/>
      <c r="AH913" s="34"/>
      <c r="AI913" s="34"/>
      <c r="AJ913" s="34"/>
      <c r="AK913" s="34"/>
      <c r="AL913" s="34"/>
      <c r="AM913" s="34"/>
      <c r="AN913" s="34"/>
      <c r="AO913" s="34"/>
      <c r="AP913" s="34"/>
      <c r="AQ913" s="34"/>
      <c r="AR913" s="34"/>
      <c r="AS913" s="34"/>
      <c r="AT913" s="34"/>
      <c r="AU913" s="34"/>
      <c r="AV913" s="34"/>
      <c r="AW913" s="34"/>
      <c r="AX913" s="34"/>
      <c r="AY913" s="34"/>
      <c r="AZ913" s="34"/>
      <c r="BA913" s="34"/>
      <c r="BB913" s="34"/>
      <c r="BC913" s="34"/>
      <c r="BD913" s="34"/>
      <c r="BE913" s="34"/>
      <c r="BF913" s="34"/>
      <c r="BG913" s="34"/>
      <c r="BH913" s="34"/>
      <c r="BI913" s="34"/>
      <c r="BJ913" s="34"/>
      <c r="BK913" s="34"/>
      <c r="BL913" s="34"/>
      <c r="BM913" s="34"/>
      <c r="BN913" s="34"/>
      <c r="BO913" s="34"/>
      <c r="BP913" s="34"/>
      <c r="BQ913" s="34"/>
      <c r="BR913" s="34"/>
      <c r="BS913" s="34"/>
      <c r="BT913" s="34"/>
      <c r="BU913" s="34"/>
      <c r="BV913" s="34"/>
      <c r="BW913" s="34"/>
      <c r="BX913" s="34"/>
      <c r="BY913" s="34"/>
      <c r="BZ913" s="34"/>
      <c r="CA913" s="34"/>
      <c r="CB913" s="34"/>
      <c r="CC913" s="34"/>
      <c r="CD913" s="34"/>
      <c r="CE913" s="34"/>
      <c r="CF913" s="34"/>
      <c r="CG913" s="34"/>
      <c r="CH913" s="34"/>
      <c r="CI913" s="8"/>
    </row>
    <row r="914" spans="1:87" x14ac:dyDescent="0.2">
      <c r="A914" s="8" t="str">
        <f>IF(AND(COUNTIF(W$3:W$13,A$35)&gt;0,A$35&lt;&gt;B800),A$35,IFERROR(IF(MATCH(A$35,Z$3:Z$13,0)=5,A$35," ")," "))</f>
        <v>C21</v>
      </c>
      <c r="B914" s="8">
        <f>IF(A914=" "," ",MAX(B894:B913)+1)</f>
        <v>10</v>
      </c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U914" s="34"/>
      <c r="V914" s="34"/>
      <c r="W914" s="34"/>
      <c r="X914" s="34"/>
      <c r="Y914" s="34"/>
      <c r="Z914" s="34"/>
      <c r="AA914" s="34"/>
      <c r="AB914" s="34"/>
      <c r="AC914" s="34"/>
      <c r="AD914" s="34"/>
      <c r="AE914" s="34"/>
      <c r="AF914" s="34"/>
      <c r="AG914" s="34"/>
      <c r="AH914" s="34"/>
      <c r="AI914" s="34"/>
      <c r="AJ914" s="34"/>
      <c r="AK914" s="34"/>
      <c r="AL914" s="34"/>
      <c r="AM914" s="34"/>
      <c r="AN914" s="34"/>
      <c r="AO914" s="34"/>
      <c r="AP914" s="34"/>
      <c r="AQ914" s="34"/>
      <c r="AR914" s="34"/>
      <c r="AS914" s="34"/>
      <c r="AT914" s="34"/>
      <c r="AU914" s="34"/>
      <c r="AV914" s="34"/>
      <c r="AW914" s="34"/>
      <c r="AX914" s="34"/>
      <c r="AY914" s="34"/>
      <c r="AZ914" s="34"/>
      <c r="BA914" s="34"/>
      <c r="BB914" s="34"/>
      <c r="BC914" s="34"/>
      <c r="BD914" s="34"/>
      <c r="BE914" s="34"/>
      <c r="BF914" s="34"/>
      <c r="BG914" s="34"/>
      <c r="BH914" s="34"/>
      <c r="BI914" s="34"/>
      <c r="BJ914" s="34"/>
      <c r="BK914" s="34"/>
      <c r="BL914" s="34"/>
      <c r="BM914" s="34"/>
      <c r="BN914" s="34"/>
      <c r="BO914" s="34"/>
      <c r="BP914" s="34"/>
      <c r="BQ914" s="34"/>
      <c r="BR914" s="34"/>
      <c r="BS914" s="34"/>
      <c r="BT914" s="34"/>
      <c r="BU914" s="34"/>
      <c r="BV914" s="34"/>
      <c r="BW914" s="34"/>
      <c r="BX914" s="34"/>
      <c r="BY914" s="34"/>
      <c r="BZ914" s="34"/>
      <c r="CA914" s="34"/>
      <c r="CB914" s="34"/>
      <c r="CC914" s="34"/>
      <c r="CD914" s="34"/>
      <c r="CE914" s="34"/>
      <c r="CF914" s="34"/>
      <c r="CG914" s="34"/>
      <c r="CH914" s="34"/>
      <c r="CI914" s="8"/>
    </row>
    <row r="915" spans="1:87" x14ac:dyDescent="0.2">
      <c r="A915" s="8" t="str">
        <f>IF(AND(COUNTIF(W$3:W$13,A$36)&gt;0,A$36&lt;&gt;B800),A$36,IFERROR(IF(MATCH(A$36,Z$3:Z$13,0)=5,A$36," ")," "))</f>
        <v>C22</v>
      </c>
      <c r="B915" s="8">
        <f>IF(A915=" "," ",MAX(B894:B914)+1)</f>
        <v>11</v>
      </c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U915" s="34"/>
      <c r="V915" s="34"/>
      <c r="W915" s="34"/>
      <c r="X915" s="34"/>
      <c r="Y915" s="34"/>
      <c r="Z915" s="34"/>
      <c r="AA915" s="34"/>
      <c r="AB915" s="34"/>
      <c r="AC915" s="34"/>
      <c r="AD915" s="34"/>
      <c r="AE915" s="34"/>
      <c r="AF915" s="34"/>
      <c r="AG915" s="34"/>
      <c r="AH915" s="34"/>
      <c r="AI915" s="34"/>
      <c r="AJ915" s="34"/>
      <c r="AK915" s="34"/>
      <c r="AL915" s="34"/>
      <c r="AM915" s="34"/>
      <c r="AN915" s="34"/>
      <c r="AO915" s="34"/>
      <c r="AP915" s="34"/>
      <c r="AQ915" s="34"/>
      <c r="AR915" s="34"/>
      <c r="AS915" s="34"/>
      <c r="AT915" s="34"/>
      <c r="AU915" s="34"/>
      <c r="AV915" s="34"/>
      <c r="AW915" s="34"/>
      <c r="AX915" s="34"/>
      <c r="AY915" s="34"/>
      <c r="AZ915" s="34"/>
      <c r="BA915" s="34"/>
      <c r="BB915" s="34"/>
      <c r="BC915" s="34"/>
      <c r="BD915" s="34"/>
      <c r="BE915" s="34"/>
      <c r="BF915" s="34"/>
      <c r="BG915" s="34"/>
      <c r="BH915" s="34"/>
      <c r="BI915" s="34"/>
      <c r="BJ915" s="34"/>
      <c r="BK915" s="34"/>
      <c r="BL915" s="34"/>
      <c r="BM915" s="34"/>
      <c r="BN915" s="34"/>
      <c r="BO915" s="34"/>
      <c r="BP915" s="34"/>
      <c r="BQ915" s="34"/>
      <c r="BR915" s="34"/>
      <c r="BS915" s="34"/>
      <c r="BT915" s="34"/>
      <c r="BU915" s="34"/>
      <c r="BV915" s="34"/>
      <c r="BW915" s="34"/>
      <c r="BX915" s="34"/>
      <c r="BY915" s="34"/>
      <c r="BZ915" s="34"/>
      <c r="CA915" s="34"/>
      <c r="CB915" s="34"/>
      <c r="CC915" s="34"/>
      <c r="CD915" s="34"/>
      <c r="CE915" s="34"/>
      <c r="CF915" s="34"/>
      <c r="CG915" s="34"/>
      <c r="CH915" s="34"/>
      <c r="CI915" s="8"/>
    </row>
    <row r="916" spans="1:87" x14ac:dyDescent="0.2">
      <c r="A916" s="11" t="s">
        <v>17</v>
      </c>
      <c r="B916" s="11"/>
      <c r="C916" s="27" t="s">
        <v>18</v>
      </c>
      <c r="D916" s="27" t="s">
        <v>2</v>
      </c>
      <c r="E916" s="27" t="s">
        <v>6</v>
      </c>
      <c r="F916" s="27" t="s">
        <v>15</v>
      </c>
      <c r="G916" s="27" t="s">
        <v>36</v>
      </c>
      <c r="H916" s="27" t="s">
        <v>37</v>
      </c>
      <c r="I916" s="27" t="s">
        <v>38</v>
      </c>
      <c r="J916" s="27" t="s">
        <v>39</v>
      </c>
      <c r="K916" s="27" t="s">
        <v>40</v>
      </c>
      <c r="L916" s="27" t="s">
        <v>41</v>
      </c>
      <c r="M916" s="27" t="s">
        <v>42</v>
      </c>
      <c r="N916" s="27" t="s">
        <v>43</v>
      </c>
      <c r="O916" s="27" t="s">
        <v>9</v>
      </c>
      <c r="P916" s="27" t="s">
        <v>12</v>
      </c>
      <c r="Q916" s="27" t="s">
        <v>19</v>
      </c>
      <c r="R916" s="27" t="s">
        <v>55</v>
      </c>
      <c r="S916" s="27" t="s">
        <v>26</v>
      </c>
      <c r="T916" s="19" t="s">
        <v>25</v>
      </c>
      <c r="U916" s="33" t="s">
        <v>27</v>
      </c>
      <c r="V916" s="33" t="s">
        <v>9</v>
      </c>
      <c r="W916" s="33" t="s">
        <v>23</v>
      </c>
      <c r="X916" s="33" t="s">
        <v>12</v>
      </c>
      <c r="Y916" s="33" t="s">
        <v>26</v>
      </c>
      <c r="Z916" s="33" t="s">
        <v>25</v>
      </c>
      <c r="AA916" s="33" t="s">
        <v>27</v>
      </c>
      <c r="AB916" s="33" t="s">
        <v>9</v>
      </c>
      <c r="AC916" s="33" t="s">
        <v>23</v>
      </c>
      <c r="AD916" s="33" t="s">
        <v>12</v>
      </c>
      <c r="AE916" s="33" t="s">
        <v>26</v>
      </c>
      <c r="AF916" s="33" t="s">
        <v>25</v>
      </c>
      <c r="AG916" s="33" t="s">
        <v>27</v>
      </c>
      <c r="AH916" s="33" t="s">
        <v>9</v>
      </c>
      <c r="AI916" s="33" t="s">
        <v>23</v>
      </c>
      <c r="AJ916" s="33" t="s">
        <v>12</v>
      </c>
      <c r="AK916" s="33" t="s">
        <v>26</v>
      </c>
      <c r="AL916" s="33" t="s">
        <v>25</v>
      </c>
      <c r="AM916" s="33" t="s">
        <v>27</v>
      </c>
      <c r="AN916" s="33" t="s">
        <v>9</v>
      </c>
      <c r="AO916" s="33" t="s">
        <v>23</v>
      </c>
      <c r="AP916" s="33" t="s">
        <v>12</v>
      </c>
      <c r="AQ916" s="33" t="s">
        <v>26</v>
      </c>
      <c r="AR916" s="33" t="s">
        <v>25</v>
      </c>
      <c r="AS916" s="33" t="s">
        <v>27</v>
      </c>
      <c r="AT916" s="33" t="s">
        <v>9</v>
      </c>
      <c r="AU916" s="33" t="s">
        <v>23</v>
      </c>
      <c r="AV916" s="33" t="s">
        <v>12</v>
      </c>
      <c r="AW916" s="33" t="s">
        <v>26</v>
      </c>
      <c r="AX916" s="33" t="s">
        <v>25</v>
      </c>
      <c r="AY916" s="33" t="s">
        <v>27</v>
      </c>
      <c r="AZ916" s="33" t="s">
        <v>9</v>
      </c>
      <c r="BA916" s="33" t="s">
        <v>23</v>
      </c>
      <c r="BB916" s="33" t="s">
        <v>12</v>
      </c>
      <c r="BC916" s="33" t="s">
        <v>26</v>
      </c>
      <c r="BD916" s="33" t="s">
        <v>25</v>
      </c>
      <c r="BE916" s="33" t="s">
        <v>27</v>
      </c>
      <c r="BF916" s="33" t="s">
        <v>9</v>
      </c>
      <c r="BG916" s="33" t="s">
        <v>23</v>
      </c>
      <c r="BH916" s="33" t="s">
        <v>12</v>
      </c>
      <c r="BI916" s="33" t="s">
        <v>26</v>
      </c>
      <c r="BJ916" s="33" t="s">
        <v>25</v>
      </c>
      <c r="BK916" s="33" t="s">
        <v>27</v>
      </c>
      <c r="BL916" s="33" t="s">
        <v>9</v>
      </c>
      <c r="BM916" s="33" t="s">
        <v>23</v>
      </c>
      <c r="BN916" s="33" t="s">
        <v>12</v>
      </c>
      <c r="BO916" s="33" t="s">
        <v>26</v>
      </c>
      <c r="BP916" s="33" t="s">
        <v>25</v>
      </c>
      <c r="BQ916" s="33" t="s">
        <v>27</v>
      </c>
      <c r="BR916" s="33" t="s">
        <v>9</v>
      </c>
      <c r="BS916" s="33" t="s">
        <v>23</v>
      </c>
      <c r="BT916" s="33" t="s">
        <v>12</v>
      </c>
      <c r="BU916" s="33" t="s">
        <v>26</v>
      </c>
      <c r="BV916" s="33" t="s">
        <v>25</v>
      </c>
      <c r="BW916" s="33" t="s">
        <v>27</v>
      </c>
      <c r="BX916" s="33" t="s">
        <v>9</v>
      </c>
      <c r="BY916" s="33" t="s">
        <v>23</v>
      </c>
      <c r="BZ916" s="33" t="s">
        <v>12</v>
      </c>
      <c r="CA916" s="33" t="s">
        <v>26</v>
      </c>
      <c r="CB916" s="33" t="s">
        <v>25</v>
      </c>
      <c r="CC916" s="33" t="s">
        <v>27</v>
      </c>
      <c r="CD916" s="33" t="s">
        <v>9</v>
      </c>
      <c r="CE916" s="33" t="s">
        <v>23</v>
      </c>
      <c r="CF916" s="33" t="s">
        <v>12</v>
      </c>
      <c r="CG916" s="33" t="s">
        <v>26</v>
      </c>
      <c r="CH916" s="33" t="s">
        <v>25</v>
      </c>
      <c r="CI916" s="8"/>
    </row>
    <row r="917" spans="1:87" x14ac:dyDescent="0.2">
      <c r="A917" s="8" t="str">
        <f>IF(AND(COUNTIF(W$3:W$13,A$15)&gt;0,A$15&lt;&gt;B800),A$15,IFERROR(IF(MATCH(A$15,Z$3:Z$13,0)=6,A$15," ")," "))</f>
        <v xml:space="preserve"> </v>
      </c>
      <c r="B917" s="8" t="str">
        <f>IF(A917=" "," ",1)</f>
        <v xml:space="preserve"> </v>
      </c>
      <c r="C917" s="8" t="str">
        <f>IFERROR(INDEX(A917:A938,MATCH(SMALL(B917:B938,1),B917:B938,0),1)," ")</f>
        <v>C3</v>
      </c>
      <c r="D917" s="8">
        <f>IFERROR(VLOOKUP($C917,$A$15:$O$36,2,FALSE)," ")</f>
        <v>2</v>
      </c>
      <c r="E917" s="8">
        <f>IFERROR(VLOOKUP($C917,$A$15:$O$36,3,FALSE)," ")</f>
        <v>5</v>
      </c>
      <c r="F917" s="8">
        <f>IFERROR(VLOOKUP($C917,$A$15:$O$36,4,FALSE)," ")</f>
        <v>6</v>
      </c>
      <c r="G917" s="8">
        <f>IFERROR(VLOOKUP($C917,$A$15:$O$36,5,FALSE)," ")</f>
        <v>0</v>
      </c>
      <c r="H917" s="8">
        <f>IFERROR(VLOOKUP($C917,$A$15:$O$36,6,FALSE)," ")</f>
        <v>0</v>
      </c>
      <c r="I917" s="8">
        <f>IFERROR(VLOOKUP($C917,$A$15:$O$36,7,FALSE)," ")</f>
        <v>0</v>
      </c>
      <c r="J917" s="8">
        <f>IFERROR(VLOOKUP($C917,$A$15:$O$36,8,FALSE)," ")</f>
        <v>0</v>
      </c>
      <c r="K917" s="8">
        <f>IFERROR(VLOOKUP($C917,$A$15:$O$36,9,FALSE)," ")</f>
        <v>0</v>
      </c>
      <c r="L917" s="8">
        <f>IFERROR(VLOOKUP($C917,$A$15:$O$36,10,FALSE)," ")</f>
        <v>0</v>
      </c>
      <c r="M917" s="8">
        <f>IFERROR(VLOOKUP($C917,$A$15:$O$36,11,FALSE)," ")</f>
        <v>0</v>
      </c>
      <c r="N917" s="8">
        <f>IFERROR(VLOOKUP($C917,$A$15:$O$36,12,FALSE)," ")</f>
        <v>0</v>
      </c>
      <c r="O917" s="8">
        <f>IFERROR(VLOOKUP($C917,$A$15:$O$36,15,FALSE)," ")</f>
        <v>2000</v>
      </c>
      <c r="P917" s="8" t="e">
        <f t="array" ref="P917:P927">MMULT(MINVERSE(D917:N927),O917:O927)</f>
        <v>#NUM!</v>
      </c>
      <c r="Q917" s="8" t="e">
        <f t="shared" ref="Q917" si="3820">IF(COUNTIF(P917:P927,"&lt;"&amp;-0.001)=0,IF(ABS(P917)&lt;0.001,0,P917)," ")</f>
        <v>#NUM!</v>
      </c>
      <c r="R917" s="8" t="str">
        <f>IFERROR(VLOOKUP(B800,A$15:L$36,2,FALSE)*Q917+VLOOKUP(B800,A$15:L$36,3,FALSE)*Q918+VLOOKUP(B800,A$15:L$36,4,FALSE)*Q919+VLOOKUP(B800,A$15:L$36,5,FALSE)*Q920+VLOOKUP(B800,A$15:L$36,6,FALSE)*Q921+VLOOKUP(B800,A$15:L$36,7,FALSE)*Q922+VLOOKUP(B800,A$15:L$36,8,FALSE)*Q923+VLOOKUP(B800,A$15:L$36,9,FALSE)*Q924+VLOOKUP(B800,A$15:L$36,10,FALSE)*Q925+VLOOKUP(B800,A$15:L$36,11,FALSE)*Q926+VLOOKUP(B800,A$15:L$36,12,FALSE)*Q927," ")</f>
        <v xml:space="preserve"> </v>
      </c>
      <c r="S917" s="8" t="str">
        <f>IFERROR(IF(R917-VLOOKUP(B800,A$15:O$36,15,FALSE)&lt;0,R917-VLOOKUP(B800,A$15:O$36,15,FALSE)," ")," ")</f>
        <v xml:space="preserve"> </v>
      </c>
      <c r="T917" s="18" t="str">
        <f>IFERROR(IF(R917-VLOOKUP(B800,A$15:O$36,15,FALSE)&gt;0,R917-VLOOKUP(B800,A$15:O$36,15,FALSE)," ")," ")</f>
        <v xml:space="preserve"> </v>
      </c>
      <c r="U917" s="34">
        <f t="shared" ref="U917" si="3821">$M$2</f>
        <v>100.00000000000001</v>
      </c>
      <c r="V917" s="34">
        <v>-1</v>
      </c>
      <c r="W917" s="34">
        <f t="shared" ref="W917" si="3822">-SUMPRODUCT($M$3:$M$12,$N$3:$N$12)</f>
        <v>-105000</v>
      </c>
      <c r="X917" s="34" t="e">
        <f t="shared" ref="X917" si="3823">IF(U917&lt;&gt;U918,MMULT(MINVERSE(U917:V918),W917:W918)," ")</f>
        <v>#NUM!</v>
      </c>
      <c r="Y917" s="34" t="str">
        <f t="shared" ref="Y917" si="3824">IFERROR(IF(X917-VLOOKUP(U$38,$A$2:$N$12,14,FALSE)&lt;0,X917-VLOOKUP(U$38,$A$2:$N$12,14,FALSE)," ")," ")</f>
        <v xml:space="preserve"> </v>
      </c>
      <c r="Z917" s="34" t="str">
        <f t="shared" ref="Z917" si="3825">IFERROR(IF(X917-VLOOKUP(U$38,$A$2:$N$12,14,FALSE)&gt;0,X917-VLOOKUP(U$38,$A$2:$N$12,14,FALSE)," ")," ")</f>
        <v xml:space="preserve"> </v>
      </c>
      <c r="AA917" s="34">
        <f t="shared" ref="AA917" si="3826">$M$3</f>
        <v>0</v>
      </c>
      <c r="AB917" s="34">
        <v>-1</v>
      </c>
      <c r="AC917" s="34">
        <f t="shared" ref="AC917" si="3827">-SUMPRODUCT($M$2:$M$2,$N$2:$N$2)-SUMPRODUCT($M$4:$M$12,$N$4:$N$12)</f>
        <v>-120000</v>
      </c>
      <c r="AD917" s="34" t="e">
        <f t="shared" ref="AD917" si="3828">IF(AA917&lt;&gt;AA918,MMULT(MINVERSE(AA917:AB918),AC917:AC918)," ")</f>
        <v>#NUM!</v>
      </c>
      <c r="AE917" s="34" t="str">
        <f t="shared" ref="AE917" si="3829">IFERROR(IF(AD917-VLOOKUP(AA$38,$A$2:$N$12,14,FALSE)&lt;0,AD917-VLOOKUP(AA$38,$A$2:$N$12,14,FALSE)," ")," ")</f>
        <v xml:space="preserve"> </v>
      </c>
      <c r="AF917" s="34" t="str">
        <f t="shared" ref="AF917" si="3830">IFERROR(IF(AD917-VLOOKUP(AA$38,$A$2:$N$12,14,FALSE)&gt;0,AD917-VLOOKUP(AA$38,$A$2:$N$12,14,FALSE)," ")," ")</f>
        <v xml:space="preserve"> </v>
      </c>
      <c r="AG917" s="34">
        <f t="shared" ref="AG917" si="3831">$M$4</f>
        <v>300</v>
      </c>
      <c r="AH917" s="34">
        <v>-1</v>
      </c>
      <c r="AI917" s="34">
        <f t="shared" ref="AI917" si="3832">-SUMPRODUCT($M$2:$M$3,$N$2:$N$3)-SUMPRODUCT($M$5:$M$12,$N$5:$N$12)</f>
        <v>-15000.000000000002</v>
      </c>
      <c r="AJ917" s="34" t="e">
        <f t="shared" ref="AJ917" si="3833">IF(AG917&lt;&gt;AG918,MMULT(MINVERSE(AG917:AH918),AI917:AI918)," ")</f>
        <v>#NUM!</v>
      </c>
      <c r="AK917" s="34" t="str">
        <f t="shared" ref="AK917" si="3834">IFERROR(IF(AJ917-VLOOKUP(AG$38,$A$2:$N$12,14,FALSE)&lt;0,AJ917-VLOOKUP(AG$38,$A$2:$N$12,14,FALSE)," ")," ")</f>
        <v xml:space="preserve"> </v>
      </c>
      <c r="AL917" s="34" t="str">
        <f t="shared" ref="AL917" si="3835">IFERROR(IF(AJ917-VLOOKUP(AG$38,$A$2:$N$12,14,FALSE)&gt;0,AJ917-VLOOKUP(AG$38,$A$2:$N$12,14,FALSE)," ")," ")</f>
        <v xml:space="preserve"> </v>
      </c>
      <c r="AM917" s="34">
        <f t="shared" ref="AM917" si="3836">$M$5</f>
        <v>0</v>
      </c>
      <c r="AN917" s="34">
        <v>-1</v>
      </c>
      <c r="AO917" s="34">
        <f t="shared" ref="AO917" si="3837">-SUMPRODUCT($M$2:$M$4,$N$2:$N$4)-SUMPRODUCT($M$6:$M$12,$N$6:$N$12)</f>
        <v>-120000</v>
      </c>
      <c r="AP917" s="34" t="e">
        <f t="shared" ref="AP917" si="3838">IF(AM917&lt;&gt;AM918,MMULT(MINVERSE(AM917:AN918),AO917:AO918)," ")</f>
        <v>#NUM!</v>
      </c>
      <c r="AQ917" s="34" t="str">
        <f t="shared" ref="AQ917" si="3839">IFERROR(IF(AP917-VLOOKUP(AM$38,$A$2:$N$12,14,FALSE)&lt;0,AP917-VLOOKUP(AM$38,$A$2:$N$12,14,FALSE)," ")," ")</f>
        <v xml:space="preserve"> </v>
      </c>
      <c r="AR917" s="34" t="str">
        <f t="shared" ref="AR917" si="3840">IFERROR(IF(AP917-VLOOKUP(AM$38,$A$2:$N$12,14,FALSE)&gt;0,AP917-VLOOKUP(AM$38,$A$2:$N$12,14,FALSE)," ")," ")</f>
        <v xml:space="preserve"> </v>
      </c>
      <c r="AS917" s="34">
        <f t="shared" ref="AS917" si="3841">$M$6</f>
        <v>0</v>
      </c>
      <c r="AT917" s="34">
        <v>-1</v>
      </c>
      <c r="AU917" s="34">
        <f t="shared" ref="AU917" si="3842">-SUMPRODUCT($M$2:$M$5,$N$2:$N$5)-SUMPRODUCT($M$7:$M$12,$N$7:$N$12)</f>
        <v>-120000</v>
      </c>
      <c r="AV917" s="34" t="e">
        <f t="shared" ref="AV917" si="3843">IF(AS917&lt;&gt;AS918,MMULT(MINVERSE(AS917:AT918),AU917:AU918)," ")</f>
        <v>#NUM!</v>
      </c>
      <c r="AW917" s="34" t="str">
        <f t="shared" ref="AW917" si="3844">IFERROR(IF(AV917-VLOOKUP(AS$38,$A$2:$N$12,14,FALSE)&lt;0,AV917-VLOOKUP(AS$38,$A$2:$N$12,14,FALSE)," ")," ")</f>
        <v xml:space="preserve"> </v>
      </c>
      <c r="AX917" s="34" t="str">
        <f t="shared" ref="AX917" si="3845">IFERROR(IF(AV917-VLOOKUP(AS$38,$A$2:$N$12,14,FALSE)&gt;0,AV917-VLOOKUP(AS$38,$A$2:$N$12,14,FALSE)," ")," ")</f>
        <v xml:space="preserve"> </v>
      </c>
      <c r="AY917" s="34">
        <f t="shared" ref="AY917" si="3846">$M$7</f>
        <v>0</v>
      </c>
      <c r="AZ917" s="34">
        <v>-1</v>
      </c>
      <c r="BA917" s="34">
        <f t="shared" ref="BA917" si="3847">-SUMPRODUCT($M$2:$M$6,$N$2:$N$6)-SUMPRODUCT($M$8:$M$12,$N$8:$N$12)</f>
        <v>-120000</v>
      </c>
      <c r="BB917" s="34" t="e">
        <f t="shared" ref="BB917" si="3848">IF(AY917&lt;&gt;AY918,MMULT(MINVERSE(AY917:AZ918),BA917:BA918)," ")</f>
        <v>#NUM!</v>
      </c>
      <c r="BC917" s="34" t="str">
        <f t="shared" ref="BC917" si="3849">IFERROR(IF(BB917-VLOOKUP(AY$38,$A$2:$N$12,14,FALSE)&lt;0,BB917-VLOOKUP(AY$38,$A$2:$N$12,14,FALSE)," ")," ")</f>
        <v xml:space="preserve"> </v>
      </c>
      <c r="BD917" s="34" t="str">
        <f t="shared" ref="BD917" si="3850">IFERROR(IF(BB917-VLOOKUP(AY$38,$A$2:$N$12,14,FALSE)&gt;0,BB917-VLOOKUP(AY$38,$A$2:$N$12,14,FALSE)," ")," ")</f>
        <v xml:space="preserve"> </v>
      </c>
      <c r="BE917" s="34">
        <f t="shared" ref="BE917" si="3851">$M$8</f>
        <v>0</v>
      </c>
      <c r="BF917" s="34">
        <v>-1</v>
      </c>
      <c r="BG917" s="34">
        <f t="shared" ref="BG917" si="3852">-SUMPRODUCT($M$2:$M$7,$N$2:$N$7)-SUMPRODUCT($M$9:$M$12,$N$9:$N$12)</f>
        <v>-120000</v>
      </c>
      <c r="BH917" s="34" t="e">
        <f t="shared" ref="BH917" si="3853">IF(BE917&lt;&gt;BE918,MMULT(MINVERSE(BE917:BF918),BG917:BG918)," ")</f>
        <v>#NUM!</v>
      </c>
      <c r="BI917" s="34" t="str">
        <f t="shared" ref="BI917" si="3854">IFERROR(IF(BH917-VLOOKUP(BE$38,$A$2:$N$12,14,FALSE)&lt;0,BH917-VLOOKUP(BE$38,$A$2:$N$12,14,FALSE)," ")," ")</f>
        <v xml:space="preserve"> </v>
      </c>
      <c r="BJ917" s="34" t="str">
        <f t="shared" ref="BJ917" si="3855">IFERROR(IF(BH917-VLOOKUP(BE$38,$A$2:$N$12,14,FALSE)&gt;0,BH917-VLOOKUP(BE$38,$A$2:$N$12,14,FALSE)," ")," ")</f>
        <v xml:space="preserve"> </v>
      </c>
      <c r="BK917" s="34">
        <f t="shared" ref="BK917" si="3856">$M$9</f>
        <v>0</v>
      </c>
      <c r="BL917" s="34">
        <v>-1</v>
      </c>
      <c r="BM917" s="34">
        <f t="shared" ref="BM917" si="3857">-SUMPRODUCT($M$2:$M$8,$N$2:$N$8)-SUMPRODUCT($M$10:$M$12,$N$10:$N$12)</f>
        <v>-120000</v>
      </c>
      <c r="BN917" s="34" t="e">
        <f t="shared" ref="BN917" si="3858">IF(BK917&lt;&gt;BK918,MMULT(MINVERSE(BK917:BL918),BM917:BM918)," ")</f>
        <v>#NUM!</v>
      </c>
      <c r="BO917" s="34" t="str">
        <f t="shared" ref="BO917" si="3859">IFERROR(IF(BN917-VLOOKUP(BK$38,$A$2:$N$12,14,FALSE)&lt;0,BN917-VLOOKUP(BK$38,$A$2:$N$12,14,FALSE)," ")," ")</f>
        <v xml:space="preserve"> </v>
      </c>
      <c r="BP917" s="34" t="str">
        <f t="shared" ref="BP917" si="3860">IFERROR(IF(BN917-VLOOKUP(BK$38,$A$2:$N$12,14,FALSE)&gt;0,BN917-VLOOKUP(BK$38,$A$2:$N$12,14,FALSE)," ")," ")</f>
        <v xml:space="preserve"> </v>
      </c>
      <c r="BQ917" s="34">
        <f t="shared" ref="BQ917" si="3861">$M$10</f>
        <v>0</v>
      </c>
      <c r="BR917" s="34">
        <v>-1</v>
      </c>
      <c r="BS917" s="34">
        <f t="shared" ref="BS917" si="3862">-SUMPRODUCT($M$2:$M$9,$N$2:$N$9)-SUMPRODUCT($M$11:$M$12,$N$11:$N$12)</f>
        <v>-120000</v>
      </c>
      <c r="BT917" s="34" t="e">
        <f t="shared" ref="BT917" si="3863">IF(BQ917&lt;&gt;BQ918,MMULT(MINVERSE(BQ917:BR918),BS917:BS918)," ")</f>
        <v>#NUM!</v>
      </c>
      <c r="BU917" s="34" t="str">
        <f t="shared" ref="BU917" si="3864">IFERROR(IF(BT917-VLOOKUP(BQ$38,$A$2:$N$12,14,FALSE)&lt;0,BT917-VLOOKUP(BQ$38,$A$2:$N$12,14,FALSE)," ")," ")</f>
        <v xml:space="preserve"> </v>
      </c>
      <c r="BV917" s="34" t="str">
        <f t="shared" ref="BV917" si="3865">IFERROR(IF(BT917-VLOOKUP(BQ$38,$A$2:$N$12,14,FALSE)&gt;0,BT917-VLOOKUP(BQ$38,$A$2:$N$12,14,FALSE)," ")," ")</f>
        <v xml:space="preserve"> </v>
      </c>
      <c r="BW917" s="34">
        <f t="shared" ref="BW917" si="3866">$M$11</f>
        <v>0</v>
      </c>
      <c r="BX917" s="34">
        <v>-1</v>
      </c>
      <c r="BY917" s="34">
        <f t="shared" ref="BY917" si="3867">-SUMPRODUCT($M$2:$M$10,$N$2:$N$10)-SUMPRODUCT($M$12,$N$12)</f>
        <v>-120000</v>
      </c>
      <c r="BZ917" s="34" t="e">
        <f t="shared" ref="BZ917" si="3868">IF(BW917&lt;&gt;BW918,MMULT(MINVERSE(BW917:BX918),BY917:BY918)," ")</f>
        <v>#NUM!</v>
      </c>
      <c r="CA917" s="34" t="str">
        <f t="shared" ref="CA917" si="3869">IFERROR(IF(BZ917-VLOOKUP(BW$38,$A$2:$N$12,14,FALSE)&lt;0,BZ917-VLOOKUP(BW$38,$A$2:$N$12,14,FALSE)," ")," ")</f>
        <v xml:space="preserve"> </v>
      </c>
      <c r="CB917" s="34" t="str">
        <f t="shared" ref="CB917" si="3870">IFERROR(IF(BZ917-VLOOKUP(BW$38,$A$2:$N$12,14,FALSE)&gt;0,BZ917-VLOOKUP(BW$38,$A$2:$N$12,14,FALSE)," ")," ")</f>
        <v xml:space="preserve"> </v>
      </c>
      <c r="CC917" s="34">
        <f t="shared" ref="CC917" si="3871">$M$12</f>
        <v>0</v>
      </c>
      <c r="CD917" s="34">
        <v>-1</v>
      </c>
      <c r="CE917" s="34">
        <f t="shared" ref="CE917" si="3872">-SUMPRODUCT($M$2:$M$11,$N$2:$N$11)</f>
        <v>-120000</v>
      </c>
      <c r="CF917" s="34" t="e">
        <f t="shared" ref="CF917" si="3873">IF(CC917&lt;&gt;CC918,MMULT(MINVERSE(CC917:CD918),CE917:CE918)," ")</f>
        <v>#NUM!</v>
      </c>
      <c r="CG917" s="34" t="str">
        <f t="shared" ref="CG917" si="3874">IFERROR(IF(CF917-VLOOKUP(CC$38,$A$2:$N$12,14,FALSE)&lt;0,CF917-VLOOKUP(CC$38,$A$2:$N$12,14,FALSE)," ")," ")</f>
        <v xml:space="preserve"> </v>
      </c>
      <c r="CH917" s="34" t="str">
        <f t="shared" ref="CH917" si="3875">IFERROR(IF(CF917-VLOOKUP(CC$38,$A$2:$N$12,14,FALSE)&gt;0,CF917-VLOOKUP(CC$38,$A$2:$N$12,14,FALSE)," ")," ")</f>
        <v xml:space="preserve"> </v>
      </c>
      <c r="CI917" s="8"/>
    </row>
    <row r="918" spans="1:87" x14ac:dyDescent="0.2">
      <c r="A918" s="8" t="str">
        <f>IF(AND(COUNTIF(W$3:W$13,A$16)&gt;0,A$16&lt;&gt;B800),A$16,IFERROR(IF(MATCH(A$16,Z$3:Z$13,0)=6,A$16," ")," "))</f>
        <v xml:space="preserve"> </v>
      </c>
      <c r="B918" s="8" t="str">
        <f>IF(A918=" "," ",MAX(B917:B917)+1)</f>
        <v xml:space="preserve"> </v>
      </c>
      <c r="C918" s="8" t="str">
        <f>IFERROR(INDEX(A917:A938,MATCH(SMALL(B917:B938,2),B917:B938,0),1)," ")</f>
        <v>C4</v>
      </c>
      <c r="D918" s="8">
        <f t="shared" ref="D918:D927" si="3876">IFERROR(VLOOKUP($C918,$A$15:$O$36,2,FALSE)," ")</f>
        <v>1</v>
      </c>
      <c r="E918" s="8">
        <f t="shared" ref="E918:E927" si="3877">IFERROR(VLOOKUP($C918,$A$15:$O$36,3,FALSE)," ")</f>
        <v>0</v>
      </c>
      <c r="F918" s="8">
        <f t="shared" ref="F918:F927" si="3878">IFERROR(VLOOKUP($C918,$A$15:$O$36,4,FALSE)," ")</f>
        <v>1</v>
      </c>
      <c r="G918" s="8">
        <f t="shared" ref="G918:G927" si="3879">IFERROR(VLOOKUP($C918,$A$15:$O$36,5,FALSE)," ")</f>
        <v>0</v>
      </c>
      <c r="H918" s="8">
        <f t="shared" ref="H918:H927" si="3880">IFERROR(VLOOKUP($C918,$A$15:$O$36,6,FALSE)," ")</f>
        <v>0</v>
      </c>
      <c r="I918" s="8">
        <f t="shared" ref="I918:I927" si="3881">IFERROR(VLOOKUP($C918,$A$15:$O$36,7,FALSE)," ")</f>
        <v>0</v>
      </c>
      <c r="J918" s="8">
        <f t="shared" ref="J918:J927" si="3882">IFERROR(VLOOKUP($C918,$A$15:$O$36,8,FALSE)," ")</f>
        <v>0</v>
      </c>
      <c r="K918" s="8">
        <f t="shared" ref="K918:K927" si="3883">IFERROR(VLOOKUP($C918,$A$15:$O$36,9,FALSE)," ")</f>
        <v>0</v>
      </c>
      <c r="L918" s="8">
        <f t="shared" ref="L918:L927" si="3884">IFERROR(VLOOKUP($C918,$A$15:$O$36,10,FALSE)," ")</f>
        <v>0</v>
      </c>
      <c r="M918" s="8">
        <f t="shared" ref="M918:M927" si="3885">IFERROR(VLOOKUP($C918,$A$15:$O$36,11,FALSE)," ")</f>
        <v>0</v>
      </c>
      <c r="N918" s="8">
        <f t="shared" ref="N918:N927" si="3886">IFERROR(VLOOKUP($C918,$A$15:$O$36,12,FALSE)," ")</f>
        <v>0</v>
      </c>
      <c r="O918" s="8">
        <f t="shared" ref="O918:O927" si="3887">IFERROR(VLOOKUP($C918,$A$15:$O$36,15,FALSE)," ")</f>
        <v>400</v>
      </c>
      <c r="P918" s="8" t="e">
        <v>#NUM!</v>
      </c>
      <c r="Q918" s="8" t="e">
        <f t="shared" ref="Q918" si="3888">IF(COUNTIF(P917:P927,"&lt;"&amp;-0.001)=0,IF(ABS(P918)&lt;0.001,0,P918)," ")</f>
        <v>#NUM!</v>
      </c>
      <c r="R918" s="8"/>
      <c r="S918" s="8"/>
      <c r="U918" s="34" t="e">
        <f t="shared" ref="U918" si="3889">$Q917</f>
        <v>#NUM!</v>
      </c>
      <c r="V918" s="34">
        <v>-1</v>
      </c>
      <c r="W918" s="34" t="e">
        <f t="shared" ref="W918" si="3890">-SUMPRODUCT($Q918:$Q927,$N$3:$N$12)</f>
        <v>#NUM!</v>
      </c>
      <c r="X918" s="34"/>
      <c r="Y918" s="34"/>
      <c r="Z918" s="34"/>
      <c r="AA918" s="34" t="e">
        <f t="shared" ref="AA918" si="3891">$Q918</f>
        <v>#NUM!</v>
      </c>
      <c r="AB918" s="34">
        <v>-1</v>
      </c>
      <c r="AC918" s="34" t="e">
        <f t="shared" ref="AC918" si="3892">-SUMPRODUCT($Q917:$Q917,$N$2:$N$2)-SUMPRODUCT($Q919:$Q927,$N$4:$N$12)</f>
        <v>#NUM!</v>
      </c>
      <c r="AD918" s="34"/>
      <c r="AE918" s="34"/>
      <c r="AF918" s="34"/>
      <c r="AG918" s="34" t="e">
        <f t="shared" ref="AG918" si="3893">$Q919</f>
        <v>#NUM!</v>
      </c>
      <c r="AH918" s="34">
        <v>-1</v>
      </c>
      <c r="AI918" s="34" t="e">
        <f t="shared" ref="AI918" si="3894">-SUMPRODUCT($Q917:$Q918,$N$2:$N$3)-SUMPRODUCT($Q920:$Q927,$N$5:$N$12)</f>
        <v>#NUM!</v>
      </c>
      <c r="AJ918" s="34"/>
      <c r="AK918" s="34"/>
      <c r="AL918" s="34"/>
      <c r="AM918" s="34" t="e">
        <f t="shared" ref="AM918" si="3895">$Q920</f>
        <v>#NUM!</v>
      </c>
      <c r="AN918" s="34">
        <v>-1</v>
      </c>
      <c r="AO918" s="34" t="e">
        <f t="shared" ref="AO918" si="3896">-SUMPRODUCT($Q917:$Q919,$N$2:$N$4)-SUMPRODUCT($Q921:$Q927,$N$6:$N$12)</f>
        <v>#NUM!</v>
      </c>
      <c r="AP918" s="34"/>
      <c r="AQ918" s="34"/>
      <c r="AR918" s="34"/>
      <c r="AS918" s="34" t="e">
        <f t="shared" ref="AS918" si="3897">$Q921</f>
        <v>#NUM!</v>
      </c>
      <c r="AT918" s="34">
        <v>-1</v>
      </c>
      <c r="AU918" s="34" t="e">
        <f t="shared" ref="AU918" si="3898">-SUMPRODUCT($Q917:$Q920,$N$2:$N$5)-SUMPRODUCT($Q922:$Q927,$N$7:$N$12)</f>
        <v>#NUM!</v>
      </c>
      <c r="AV918" s="34"/>
      <c r="AW918" s="34"/>
      <c r="AX918" s="34"/>
      <c r="AY918" s="34" t="e">
        <f t="shared" ref="AY918" si="3899">$Q922</f>
        <v>#NUM!</v>
      </c>
      <c r="AZ918" s="34">
        <v>-1</v>
      </c>
      <c r="BA918" s="34" t="e">
        <f t="shared" ref="BA918" si="3900">-SUMPRODUCT($Q917:$Q921,$N$2:$N$6)-SUMPRODUCT($Q923:$Q927,$N$8:$N$12)</f>
        <v>#NUM!</v>
      </c>
      <c r="BB918" s="34"/>
      <c r="BC918" s="34"/>
      <c r="BD918" s="34"/>
      <c r="BE918" s="34" t="e">
        <f t="shared" ref="BE918" si="3901">$Q923</f>
        <v>#NUM!</v>
      </c>
      <c r="BF918" s="34">
        <v>-1</v>
      </c>
      <c r="BG918" s="34" t="e">
        <f t="shared" ref="BG918" si="3902">-SUMPRODUCT($Q917:$Q922,$N$2:$N$7)-SUMPRODUCT($Q924:$Q927,$N$9:$N$12)</f>
        <v>#NUM!</v>
      </c>
      <c r="BH918" s="34"/>
      <c r="BI918" s="34"/>
      <c r="BJ918" s="34"/>
      <c r="BK918" s="34" t="e">
        <f t="shared" ref="BK918" si="3903">$Q924</f>
        <v>#NUM!</v>
      </c>
      <c r="BL918" s="34">
        <v>-1</v>
      </c>
      <c r="BM918" s="34" t="e">
        <f t="shared" ref="BM918" si="3904">-SUMPRODUCT($Q917:$Q923,$N$2:$N$8)-SUMPRODUCT($Q925:$Q927,$N$10:$N$12)</f>
        <v>#NUM!</v>
      </c>
      <c r="BN918" s="34"/>
      <c r="BO918" s="34"/>
      <c r="BP918" s="34"/>
      <c r="BQ918" s="34" t="e">
        <f t="shared" ref="BQ918" si="3905">$Q925</f>
        <v>#NUM!</v>
      </c>
      <c r="BR918" s="34">
        <v>-1</v>
      </c>
      <c r="BS918" s="34" t="e">
        <f t="shared" ref="BS918" si="3906">-SUMPRODUCT($Q917:$Q924,$N$2:$N$9)-SUMPRODUCT($Q926:$Q927,$N$11:$N$12)</f>
        <v>#NUM!</v>
      </c>
      <c r="BT918" s="34"/>
      <c r="BU918" s="34"/>
      <c r="BV918" s="34"/>
      <c r="BW918" s="34" t="e">
        <f t="shared" ref="BW918" si="3907">$Q926</f>
        <v>#NUM!</v>
      </c>
      <c r="BX918" s="34">
        <v>-1</v>
      </c>
      <c r="BY918" s="34" t="e">
        <f t="shared" ref="BY918" si="3908">-SUMPRODUCT($Q917:$Q925,$N$2:$N$10)-SUMPRODUCT($Q927,$N$12)</f>
        <v>#NUM!</v>
      </c>
      <c r="BZ918" s="34"/>
      <c r="CA918" s="34"/>
      <c r="CB918" s="34"/>
      <c r="CC918" s="34" t="e">
        <f t="shared" ref="CC918" si="3909">$Q927</f>
        <v>#NUM!</v>
      </c>
      <c r="CD918" s="34">
        <v>-1</v>
      </c>
      <c r="CE918" s="34" t="e">
        <f t="shared" ref="CE918" si="3910">-SUMPRODUCT($Q917:$Q926,$N$2:$N$11)</f>
        <v>#NUM!</v>
      </c>
      <c r="CF918" s="34"/>
      <c r="CG918" s="34"/>
      <c r="CH918" s="34"/>
      <c r="CI918" s="8"/>
    </row>
    <row r="919" spans="1:87" x14ac:dyDescent="0.2">
      <c r="A919" s="8" t="str">
        <f>IF(AND(COUNTIF(W$3:W$13,A$17)&gt;0,A$17&lt;&gt;B800),A$17,IFERROR(IF(MATCH(A$17,Z$3:Z$13,0)=6,A$17," ")," "))</f>
        <v>C3</v>
      </c>
      <c r="B919" s="8">
        <f>IF(A919=" "," ",MAX(B917:B918)+1)</f>
        <v>1</v>
      </c>
      <c r="C919" s="8" t="str">
        <f>IFERROR(INDEX(A917:A938,MATCH(SMALL(B917:B938,3),B917:B938,0),1)," ")</f>
        <v>C8</v>
      </c>
      <c r="D919" s="8">
        <f t="shared" si="3876"/>
        <v>0</v>
      </c>
      <c r="E919" s="8">
        <f t="shared" si="3877"/>
        <v>0</v>
      </c>
      <c r="F919" s="8">
        <f t="shared" si="3878"/>
        <v>0</v>
      </c>
      <c r="G919" s="8">
        <f t="shared" si="3879"/>
        <v>0</v>
      </c>
      <c r="H919" s="8">
        <f t="shared" si="3880"/>
        <v>0</v>
      </c>
      <c r="I919" s="8">
        <f t="shared" si="3881"/>
        <v>0</v>
      </c>
      <c r="J919" s="8">
        <f t="shared" si="3882"/>
        <v>0</v>
      </c>
      <c r="K919" s="8">
        <f t="shared" si="3883"/>
        <v>0</v>
      </c>
      <c r="L919" s="8">
        <f t="shared" si="3884"/>
        <v>0</v>
      </c>
      <c r="M919" s="8">
        <f t="shared" si="3885"/>
        <v>0</v>
      </c>
      <c r="N919" s="8">
        <f t="shared" si="3886"/>
        <v>0</v>
      </c>
      <c r="O919" s="8">
        <f t="shared" si="3887"/>
        <v>0</v>
      </c>
      <c r="P919" s="8" t="e">
        <v>#NUM!</v>
      </c>
      <c r="Q919" s="8" t="e">
        <f t="shared" ref="Q919" si="3911">IF(COUNTIF(P917:P927,"&lt;"&amp;-0.001)=0,IF(ABS(P919)&lt;0.001,0,P919)," ")</f>
        <v>#NUM!</v>
      </c>
      <c r="R919" s="8"/>
      <c r="S919" s="8"/>
      <c r="U919" s="34"/>
      <c r="V919" s="34"/>
      <c r="W919" s="34"/>
      <c r="X919" s="34"/>
      <c r="Y919" s="34"/>
      <c r="Z919" s="34"/>
      <c r="AA919" s="34"/>
      <c r="AB919" s="34"/>
      <c r="AC919" s="34"/>
      <c r="AD919" s="34"/>
      <c r="AE919" s="34"/>
      <c r="AF919" s="34"/>
      <c r="AG919" s="34"/>
      <c r="AH919" s="34"/>
      <c r="AI919" s="34"/>
      <c r="AJ919" s="34"/>
      <c r="AK919" s="34"/>
      <c r="AL919" s="34"/>
      <c r="AM919" s="34"/>
      <c r="AN919" s="34"/>
      <c r="AO919" s="34"/>
      <c r="AP919" s="34"/>
      <c r="AQ919" s="34"/>
      <c r="AR919" s="34"/>
      <c r="AS919" s="34"/>
      <c r="AT919" s="34"/>
      <c r="AU919" s="34"/>
      <c r="AV919" s="34"/>
      <c r="AW919" s="34"/>
      <c r="AX919" s="34"/>
      <c r="AY919" s="34"/>
      <c r="AZ919" s="34"/>
      <c r="BA919" s="34"/>
      <c r="BB919" s="34"/>
      <c r="BC919" s="34"/>
      <c r="BD919" s="34"/>
      <c r="BE919" s="34"/>
      <c r="BF919" s="34"/>
      <c r="BG919" s="34"/>
      <c r="BH919" s="34"/>
      <c r="BI919" s="34"/>
      <c r="BJ919" s="34"/>
      <c r="BK919" s="34"/>
      <c r="BL919" s="34"/>
      <c r="BM919" s="34"/>
      <c r="BN919" s="34"/>
      <c r="BO919" s="34"/>
      <c r="BP919" s="34"/>
      <c r="BQ919" s="34"/>
      <c r="BR919" s="34"/>
      <c r="BS919" s="34"/>
      <c r="BT919" s="34"/>
      <c r="BU919" s="34"/>
      <c r="BV919" s="34"/>
      <c r="BW919" s="34"/>
      <c r="BX919" s="34"/>
      <c r="BY919" s="34"/>
      <c r="BZ919" s="34"/>
      <c r="CA919" s="34"/>
      <c r="CB919" s="34"/>
      <c r="CC919" s="34"/>
      <c r="CD919" s="34"/>
      <c r="CE919" s="34"/>
      <c r="CF919" s="34"/>
      <c r="CG919" s="34"/>
      <c r="CH919" s="34"/>
      <c r="CI919" s="8"/>
    </row>
    <row r="920" spans="1:87" x14ac:dyDescent="0.2">
      <c r="A920" s="8" t="str">
        <f>IF(AND(COUNTIF(W$3:W$13,A$18)&gt;0,A$18&lt;&gt;B800),A$18,IFERROR(IF(MATCH(A$18,Z$3:Z$13,0)=6,A$18," ")," "))</f>
        <v>C4</v>
      </c>
      <c r="B920" s="8">
        <f>IF(A920=" "," ",MAX(B917:B919)+1)</f>
        <v>2</v>
      </c>
      <c r="C920" s="8" t="str">
        <f>IFERROR(INDEX(A917:A938,MATCH(SMALL(B917:B938,4),B917:B938,0),1)," ")</f>
        <v>C13</v>
      </c>
      <c r="D920" s="8">
        <f t="shared" si="3876"/>
        <v>0</v>
      </c>
      <c r="E920" s="8">
        <f t="shared" si="3877"/>
        <v>1</v>
      </c>
      <c r="F920" s="8">
        <f t="shared" si="3878"/>
        <v>0</v>
      </c>
      <c r="G920" s="8">
        <f t="shared" si="3879"/>
        <v>0</v>
      </c>
      <c r="H920" s="8">
        <f t="shared" si="3880"/>
        <v>0</v>
      </c>
      <c r="I920" s="8">
        <f t="shared" si="3881"/>
        <v>0</v>
      </c>
      <c r="J920" s="8">
        <f t="shared" si="3882"/>
        <v>0</v>
      </c>
      <c r="K920" s="8">
        <f t="shared" si="3883"/>
        <v>0</v>
      </c>
      <c r="L920" s="8">
        <f t="shared" si="3884"/>
        <v>0</v>
      </c>
      <c r="M920" s="8">
        <f t="shared" si="3885"/>
        <v>0</v>
      </c>
      <c r="N920" s="8">
        <f t="shared" si="3886"/>
        <v>0</v>
      </c>
      <c r="O920" s="8">
        <f t="shared" si="3887"/>
        <v>0</v>
      </c>
      <c r="P920" s="8" t="e">
        <v>#NUM!</v>
      </c>
      <c r="Q920" s="8" t="e">
        <f t="shared" ref="Q920" si="3912">IF(COUNTIF(P917:P927,"&lt;"&amp;-0.001)=0,IF(ABS(P920)&lt;0.001,0,P920)," ")</f>
        <v>#NUM!</v>
      </c>
      <c r="R920" s="8"/>
      <c r="S920" s="8"/>
      <c r="U920" s="34"/>
      <c r="V920" s="34"/>
      <c r="W920" s="34"/>
      <c r="X920" s="34"/>
      <c r="Y920" s="34"/>
      <c r="Z920" s="34"/>
      <c r="AA920" s="34"/>
      <c r="AB920" s="34"/>
      <c r="AC920" s="34"/>
      <c r="AD920" s="34"/>
      <c r="AE920" s="34"/>
      <c r="AF920" s="34"/>
      <c r="AG920" s="34"/>
      <c r="AH920" s="34"/>
      <c r="AI920" s="34"/>
      <c r="AJ920" s="34"/>
      <c r="AK920" s="34"/>
      <c r="AL920" s="34"/>
      <c r="AM920" s="34"/>
      <c r="AN920" s="34"/>
      <c r="AO920" s="34"/>
      <c r="AP920" s="34"/>
      <c r="AQ920" s="34"/>
      <c r="AR920" s="34"/>
      <c r="AS920" s="34"/>
      <c r="AT920" s="34"/>
      <c r="AU920" s="34"/>
      <c r="AV920" s="34"/>
      <c r="AW920" s="34"/>
      <c r="AX920" s="34"/>
      <c r="AY920" s="34"/>
      <c r="AZ920" s="34"/>
      <c r="BA920" s="34"/>
      <c r="BB920" s="34"/>
      <c r="BC920" s="34"/>
      <c r="BD920" s="34"/>
      <c r="BE920" s="34"/>
      <c r="BF920" s="34"/>
      <c r="BG920" s="34"/>
      <c r="BH920" s="34"/>
      <c r="BI920" s="34"/>
      <c r="BJ920" s="34"/>
      <c r="BK920" s="34"/>
      <c r="BL920" s="34"/>
      <c r="BM920" s="34"/>
      <c r="BN920" s="34"/>
      <c r="BO920" s="34"/>
      <c r="BP920" s="34"/>
      <c r="BQ920" s="34"/>
      <c r="BR920" s="34"/>
      <c r="BS920" s="34"/>
      <c r="BT920" s="34"/>
      <c r="BU920" s="34"/>
      <c r="BV920" s="34"/>
      <c r="BW920" s="34"/>
      <c r="BX920" s="34"/>
      <c r="BY920" s="34"/>
      <c r="BZ920" s="34"/>
      <c r="CA920" s="34"/>
      <c r="CB920" s="34"/>
      <c r="CC920" s="34"/>
      <c r="CD920" s="34"/>
      <c r="CE920" s="34"/>
      <c r="CF920" s="34"/>
      <c r="CG920" s="34"/>
      <c r="CH920" s="34"/>
      <c r="CI920" s="8"/>
    </row>
    <row r="921" spans="1:87" x14ac:dyDescent="0.2">
      <c r="A921" s="8" t="str">
        <f>IF(AND(COUNTIF(W$3:W$13,A$19)&gt;0,A$19&lt;&gt;B800),A$19,IFERROR(IF(MATCH(A$19,Z$3:Z$13,0)=6,A$19," ")," "))</f>
        <v xml:space="preserve"> </v>
      </c>
      <c r="B921" s="8" t="str">
        <f>IF(A921=" "," ",MAX(B917:B920)+1)</f>
        <v xml:space="preserve"> </v>
      </c>
      <c r="C921" s="8" t="str">
        <f>IFERROR(INDEX(A917:A938,MATCH(SMALL(B917:B938,5),B917:B938,0),1)," ")</f>
        <v>C16</v>
      </c>
      <c r="D921" s="8">
        <f t="shared" si="3876"/>
        <v>0</v>
      </c>
      <c r="E921" s="8">
        <f t="shared" si="3877"/>
        <v>0</v>
      </c>
      <c r="F921" s="8">
        <f t="shared" si="3878"/>
        <v>0</v>
      </c>
      <c r="G921" s="8">
        <f t="shared" si="3879"/>
        <v>0</v>
      </c>
      <c r="H921" s="8">
        <f t="shared" si="3880"/>
        <v>1</v>
      </c>
      <c r="I921" s="8">
        <f t="shared" si="3881"/>
        <v>0</v>
      </c>
      <c r="J921" s="8">
        <f t="shared" si="3882"/>
        <v>0</v>
      </c>
      <c r="K921" s="8">
        <f t="shared" si="3883"/>
        <v>0</v>
      </c>
      <c r="L921" s="8">
        <f t="shared" si="3884"/>
        <v>0</v>
      </c>
      <c r="M921" s="8">
        <f t="shared" si="3885"/>
        <v>0</v>
      </c>
      <c r="N921" s="8">
        <f t="shared" si="3886"/>
        <v>0</v>
      </c>
      <c r="O921" s="8">
        <f t="shared" si="3887"/>
        <v>0</v>
      </c>
      <c r="P921" s="8" t="e">
        <v>#NUM!</v>
      </c>
      <c r="Q921" s="8" t="e">
        <f t="shared" ref="Q921" si="3913">IF(COUNTIF(P917:P927,"&lt;"&amp;-0.001)=0,IF(ABS(P921)&lt;0.001,0,P921)," ")</f>
        <v>#NUM!</v>
      </c>
      <c r="R921" s="8"/>
      <c r="S921" s="8"/>
      <c r="U921" s="34"/>
      <c r="V921" s="34"/>
      <c r="W921" s="34"/>
      <c r="X921" s="34"/>
      <c r="Y921" s="34"/>
      <c r="Z921" s="34"/>
      <c r="AA921" s="34"/>
      <c r="AB921" s="34"/>
      <c r="AC921" s="34"/>
      <c r="AD921" s="34"/>
      <c r="AE921" s="34"/>
      <c r="AF921" s="34"/>
      <c r="AG921" s="34"/>
      <c r="AH921" s="34"/>
      <c r="AI921" s="34"/>
      <c r="AJ921" s="34"/>
      <c r="AK921" s="34"/>
      <c r="AL921" s="34"/>
      <c r="AM921" s="34"/>
      <c r="AN921" s="34"/>
      <c r="AO921" s="34"/>
      <c r="AP921" s="34"/>
      <c r="AQ921" s="34"/>
      <c r="AR921" s="34"/>
      <c r="AS921" s="34"/>
      <c r="AT921" s="34"/>
      <c r="AU921" s="34"/>
      <c r="AV921" s="34"/>
      <c r="AW921" s="34"/>
      <c r="AX921" s="34"/>
      <c r="AY921" s="34"/>
      <c r="AZ921" s="34"/>
      <c r="BA921" s="34"/>
      <c r="BB921" s="34"/>
      <c r="BC921" s="34"/>
      <c r="BD921" s="34"/>
      <c r="BE921" s="34"/>
      <c r="BF921" s="34"/>
      <c r="BG921" s="34"/>
      <c r="BH921" s="34"/>
      <c r="BI921" s="34"/>
      <c r="BJ921" s="34"/>
      <c r="BK921" s="34"/>
      <c r="BL921" s="34"/>
      <c r="BM921" s="34"/>
      <c r="BN921" s="34"/>
      <c r="BO921" s="34"/>
      <c r="BP921" s="34"/>
      <c r="BQ921" s="34"/>
      <c r="BR921" s="34"/>
      <c r="BS921" s="34"/>
      <c r="BT921" s="34"/>
      <c r="BU921" s="34"/>
      <c r="BV921" s="34"/>
      <c r="BW921" s="34"/>
      <c r="BX921" s="34"/>
      <c r="BY921" s="34"/>
      <c r="BZ921" s="34"/>
      <c r="CA921" s="34"/>
      <c r="CB921" s="34"/>
      <c r="CC921" s="34"/>
      <c r="CD921" s="34"/>
      <c r="CE921" s="34"/>
      <c r="CF921" s="34"/>
      <c r="CG921" s="34"/>
      <c r="CH921" s="34"/>
      <c r="CI921" s="8"/>
    </row>
    <row r="922" spans="1:87" x14ac:dyDescent="0.2">
      <c r="A922" s="8" t="str">
        <f>IF(AND(COUNTIF(W$3:W$13,A$20)&gt;0,A$20&lt;&gt;B800),A$20,IFERROR(IF(MATCH(A$20,Z$3:Z$13,0)=6,A$20," ")," "))</f>
        <v xml:space="preserve"> </v>
      </c>
      <c r="B922" s="8" t="str">
        <f>IF(A922=" "," ",MAX(B917:B921)+1)</f>
        <v xml:space="preserve"> </v>
      </c>
      <c r="C922" s="8" t="str">
        <f>IFERROR(INDEX(A917:A938,MATCH(SMALL(B917:B938,6),B917:B938,0),1)," ")</f>
        <v>C17</v>
      </c>
      <c r="D922" s="8">
        <f t="shared" si="3876"/>
        <v>0</v>
      </c>
      <c r="E922" s="8">
        <f t="shared" si="3877"/>
        <v>0</v>
      </c>
      <c r="F922" s="8">
        <f t="shared" si="3878"/>
        <v>0</v>
      </c>
      <c r="G922" s="8">
        <f t="shared" si="3879"/>
        <v>0</v>
      </c>
      <c r="H922" s="8">
        <f t="shared" si="3880"/>
        <v>0</v>
      </c>
      <c r="I922" s="8">
        <f t="shared" si="3881"/>
        <v>1</v>
      </c>
      <c r="J922" s="8">
        <f t="shared" si="3882"/>
        <v>0</v>
      </c>
      <c r="K922" s="8">
        <f t="shared" si="3883"/>
        <v>0</v>
      </c>
      <c r="L922" s="8">
        <f t="shared" si="3884"/>
        <v>0</v>
      </c>
      <c r="M922" s="8">
        <f t="shared" si="3885"/>
        <v>0</v>
      </c>
      <c r="N922" s="8">
        <f t="shared" si="3886"/>
        <v>0</v>
      </c>
      <c r="O922" s="8">
        <f t="shared" si="3887"/>
        <v>0</v>
      </c>
      <c r="P922" s="8" t="e">
        <v>#NUM!</v>
      </c>
      <c r="Q922" s="8" t="e">
        <f t="shared" ref="Q922" si="3914">IF(COUNTIF(P917:P927,"&lt;"&amp;-0.001)=0,IF(ABS(P922)&lt;0.001,0,P922)," ")</f>
        <v>#NUM!</v>
      </c>
      <c r="R922" s="8"/>
      <c r="S922" s="8"/>
      <c r="U922" s="34"/>
      <c r="V922" s="34"/>
      <c r="W922" s="34"/>
      <c r="X922" s="34"/>
      <c r="Y922" s="34"/>
      <c r="Z922" s="34"/>
      <c r="AA922" s="34"/>
      <c r="AB922" s="34"/>
      <c r="AC922" s="34"/>
      <c r="AD922" s="34"/>
      <c r="AE922" s="34"/>
      <c r="AF922" s="34"/>
      <c r="AG922" s="34"/>
      <c r="AH922" s="34"/>
      <c r="AI922" s="34"/>
      <c r="AJ922" s="34"/>
      <c r="AK922" s="34"/>
      <c r="AL922" s="34"/>
      <c r="AM922" s="34"/>
      <c r="AN922" s="34"/>
      <c r="AO922" s="34"/>
      <c r="AP922" s="34"/>
      <c r="AQ922" s="34"/>
      <c r="AR922" s="34"/>
      <c r="AS922" s="34"/>
      <c r="AT922" s="34"/>
      <c r="AU922" s="34"/>
      <c r="AV922" s="34"/>
      <c r="AW922" s="34"/>
      <c r="AX922" s="34"/>
      <c r="AY922" s="34"/>
      <c r="AZ922" s="34"/>
      <c r="BA922" s="34"/>
      <c r="BB922" s="34"/>
      <c r="BC922" s="34"/>
      <c r="BD922" s="34"/>
      <c r="BE922" s="34"/>
      <c r="BF922" s="34"/>
      <c r="BG922" s="34"/>
      <c r="BH922" s="34"/>
      <c r="BI922" s="34"/>
      <c r="BJ922" s="34"/>
      <c r="BK922" s="34"/>
      <c r="BL922" s="34"/>
      <c r="BM922" s="34"/>
      <c r="BN922" s="34"/>
      <c r="BO922" s="34"/>
      <c r="BP922" s="34"/>
      <c r="BQ922" s="34"/>
      <c r="BR922" s="34"/>
      <c r="BS922" s="34"/>
      <c r="BT922" s="34"/>
      <c r="BU922" s="34"/>
      <c r="BV922" s="34"/>
      <c r="BW922" s="34"/>
      <c r="BX922" s="34"/>
      <c r="BY922" s="34"/>
      <c r="BZ922" s="34"/>
      <c r="CA922" s="34"/>
      <c r="CB922" s="34"/>
      <c r="CC922" s="34"/>
      <c r="CD922" s="34"/>
      <c r="CE922" s="34"/>
      <c r="CF922" s="34"/>
      <c r="CG922" s="34"/>
      <c r="CH922" s="34"/>
      <c r="CI922" s="8"/>
    </row>
    <row r="923" spans="1:87" x14ac:dyDescent="0.2">
      <c r="A923" s="8" t="str">
        <f>IF(AND(COUNTIF(W$3:W$13,A$21)&gt;0,A$21&lt;&gt;B800),A$21,IFERROR(IF(MATCH(A$21,Z$3:Z$13,0)=6,A$21," ")," "))</f>
        <v xml:space="preserve"> </v>
      </c>
      <c r="B923" s="8" t="str">
        <f>IF(A923=" "," ",MAX(B917:B922)+1)</f>
        <v xml:space="preserve"> </v>
      </c>
      <c r="C923" s="8" t="str">
        <f>IFERROR(INDEX(A917:A938,MATCH(SMALL(B917:B938,7),B917:B938,0),1)," ")</f>
        <v>C18</v>
      </c>
      <c r="D923" s="8">
        <f t="shared" si="3876"/>
        <v>0</v>
      </c>
      <c r="E923" s="8">
        <f t="shared" si="3877"/>
        <v>0</v>
      </c>
      <c r="F923" s="8">
        <f t="shared" si="3878"/>
        <v>0</v>
      </c>
      <c r="G923" s="8">
        <f t="shared" si="3879"/>
        <v>0</v>
      </c>
      <c r="H923" s="8">
        <f t="shared" si="3880"/>
        <v>0</v>
      </c>
      <c r="I923" s="8">
        <f t="shared" si="3881"/>
        <v>0</v>
      </c>
      <c r="J923" s="8">
        <f t="shared" si="3882"/>
        <v>1</v>
      </c>
      <c r="K923" s="8">
        <f t="shared" si="3883"/>
        <v>0</v>
      </c>
      <c r="L923" s="8">
        <f t="shared" si="3884"/>
        <v>0</v>
      </c>
      <c r="M923" s="8">
        <f t="shared" si="3885"/>
        <v>0</v>
      </c>
      <c r="N923" s="8">
        <f t="shared" si="3886"/>
        <v>0</v>
      </c>
      <c r="O923" s="8">
        <f t="shared" si="3887"/>
        <v>0</v>
      </c>
      <c r="P923" s="8" t="e">
        <v>#NUM!</v>
      </c>
      <c r="Q923" s="8" t="e">
        <f t="shared" ref="Q923" si="3915">IF(COUNTIF(P917:P927,"&lt;"&amp;-0.001)=0,IF(ABS(P923)&lt;0.001,0,P923)," ")</f>
        <v>#NUM!</v>
      </c>
      <c r="R923" s="8"/>
      <c r="S923" s="8"/>
      <c r="U923" s="34"/>
      <c r="V923" s="34"/>
      <c r="W923" s="34"/>
      <c r="X923" s="34"/>
      <c r="Y923" s="34"/>
      <c r="Z923" s="34"/>
      <c r="AA923" s="34"/>
      <c r="AB923" s="34"/>
      <c r="AC923" s="34"/>
      <c r="AD923" s="34"/>
      <c r="AE923" s="34"/>
      <c r="AF923" s="34"/>
      <c r="AG923" s="34"/>
      <c r="AH923" s="34"/>
      <c r="AI923" s="34"/>
      <c r="AJ923" s="34"/>
      <c r="AK923" s="34"/>
      <c r="AL923" s="34"/>
      <c r="AM923" s="34"/>
      <c r="AN923" s="34"/>
      <c r="AO923" s="34"/>
      <c r="AP923" s="34"/>
      <c r="AQ923" s="34"/>
      <c r="AR923" s="34"/>
      <c r="AS923" s="34"/>
      <c r="AT923" s="34"/>
      <c r="AU923" s="34"/>
      <c r="AV923" s="34"/>
      <c r="AW923" s="34"/>
      <c r="AX923" s="34"/>
      <c r="AY923" s="34"/>
      <c r="AZ923" s="34"/>
      <c r="BA923" s="34"/>
      <c r="BB923" s="34"/>
      <c r="BC923" s="34"/>
      <c r="BD923" s="34"/>
      <c r="BE923" s="34"/>
      <c r="BF923" s="34"/>
      <c r="BG923" s="34"/>
      <c r="BH923" s="34"/>
      <c r="BI923" s="34"/>
      <c r="BJ923" s="34"/>
      <c r="BK923" s="34"/>
      <c r="BL923" s="34"/>
      <c r="BM923" s="34"/>
      <c r="BN923" s="34"/>
      <c r="BO923" s="34"/>
      <c r="BP923" s="34"/>
      <c r="BQ923" s="34"/>
      <c r="BR923" s="34"/>
      <c r="BS923" s="34"/>
      <c r="BT923" s="34"/>
      <c r="BU923" s="34"/>
      <c r="BV923" s="34"/>
      <c r="BW923" s="34"/>
      <c r="BX923" s="34"/>
      <c r="BY923" s="34"/>
      <c r="BZ923" s="34"/>
      <c r="CA923" s="34"/>
      <c r="CB923" s="34"/>
      <c r="CC923" s="34"/>
      <c r="CD923" s="34"/>
      <c r="CE923" s="34"/>
      <c r="CF923" s="34"/>
      <c r="CG923" s="34"/>
      <c r="CH923" s="34"/>
      <c r="CI923" s="8"/>
    </row>
    <row r="924" spans="1:87" x14ac:dyDescent="0.2">
      <c r="A924" s="8" t="str">
        <f>IF(AND(COUNTIF(W$3:W$13,A$22)&gt;0,A$22&lt;&gt;B800),A$22,IFERROR(IF(MATCH(A$22,Z$3:Z$13,0)=6,A$22," ")," "))</f>
        <v>C8</v>
      </c>
      <c r="B924" s="8">
        <f>IF(A924=" "," ",MAX(B917:B923)+1)</f>
        <v>3</v>
      </c>
      <c r="C924" s="8" t="str">
        <f>IFERROR(INDEX(A917:A938,MATCH(SMALL(B917:B938,8),B917:B938,0),1)," ")</f>
        <v>C19</v>
      </c>
      <c r="D924" s="8">
        <f t="shared" si="3876"/>
        <v>0</v>
      </c>
      <c r="E924" s="8">
        <f t="shared" si="3877"/>
        <v>0</v>
      </c>
      <c r="F924" s="8">
        <f t="shared" si="3878"/>
        <v>0</v>
      </c>
      <c r="G924" s="8">
        <f t="shared" si="3879"/>
        <v>0</v>
      </c>
      <c r="H924" s="8">
        <f t="shared" si="3880"/>
        <v>0</v>
      </c>
      <c r="I924" s="8">
        <f t="shared" si="3881"/>
        <v>0</v>
      </c>
      <c r="J924" s="8">
        <f t="shared" si="3882"/>
        <v>0</v>
      </c>
      <c r="K924" s="8">
        <f t="shared" si="3883"/>
        <v>1</v>
      </c>
      <c r="L924" s="8">
        <f t="shared" si="3884"/>
        <v>0</v>
      </c>
      <c r="M924" s="8">
        <f t="shared" si="3885"/>
        <v>0</v>
      </c>
      <c r="N924" s="8">
        <f t="shared" si="3886"/>
        <v>0</v>
      </c>
      <c r="O924" s="8">
        <f t="shared" si="3887"/>
        <v>0</v>
      </c>
      <c r="P924" s="8" t="e">
        <v>#NUM!</v>
      </c>
      <c r="Q924" s="8" t="e">
        <f t="shared" ref="Q924" si="3916">IF(COUNTIF(P917:P927,"&lt;"&amp;-0.001)=0,IF(ABS(P924)&lt;0.001,0,P924)," ")</f>
        <v>#NUM!</v>
      </c>
      <c r="R924" s="8"/>
      <c r="S924" s="8"/>
      <c r="U924" s="34"/>
      <c r="V924" s="34"/>
      <c r="W924" s="34"/>
      <c r="X924" s="34"/>
      <c r="Y924" s="34"/>
      <c r="Z924" s="34"/>
      <c r="AA924" s="34"/>
      <c r="AB924" s="34"/>
      <c r="AC924" s="34"/>
      <c r="AD924" s="34"/>
      <c r="AE924" s="34"/>
      <c r="AF924" s="34"/>
      <c r="AG924" s="34"/>
      <c r="AH924" s="34"/>
      <c r="AI924" s="34"/>
      <c r="AJ924" s="34"/>
      <c r="AK924" s="34"/>
      <c r="AL924" s="34"/>
      <c r="AM924" s="34"/>
      <c r="AN924" s="34"/>
      <c r="AO924" s="34"/>
      <c r="AP924" s="34"/>
      <c r="AQ924" s="34"/>
      <c r="AR924" s="34"/>
      <c r="AS924" s="34"/>
      <c r="AT924" s="34"/>
      <c r="AU924" s="34"/>
      <c r="AV924" s="34"/>
      <c r="AW924" s="34"/>
      <c r="AX924" s="34"/>
      <c r="AY924" s="34"/>
      <c r="AZ924" s="34"/>
      <c r="BA924" s="34"/>
      <c r="BB924" s="34"/>
      <c r="BC924" s="34"/>
      <c r="BD924" s="34"/>
      <c r="BE924" s="34"/>
      <c r="BF924" s="34"/>
      <c r="BG924" s="34"/>
      <c r="BH924" s="34"/>
      <c r="BI924" s="34"/>
      <c r="BJ924" s="34"/>
      <c r="BK924" s="34"/>
      <c r="BL924" s="34"/>
      <c r="BM924" s="34"/>
      <c r="BN924" s="34"/>
      <c r="BO924" s="34"/>
      <c r="BP924" s="34"/>
      <c r="BQ924" s="34"/>
      <c r="BR924" s="34"/>
      <c r="BS924" s="34"/>
      <c r="BT924" s="34"/>
      <c r="BU924" s="34"/>
      <c r="BV924" s="34"/>
      <c r="BW924" s="34"/>
      <c r="BX924" s="34"/>
      <c r="BY924" s="34"/>
      <c r="BZ924" s="34"/>
      <c r="CA924" s="34"/>
      <c r="CB924" s="34"/>
      <c r="CC924" s="34"/>
      <c r="CD924" s="34"/>
      <c r="CE924" s="34"/>
      <c r="CF924" s="34"/>
      <c r="CG924" s="34"/>
      <c r="CH924" s="34"/>
      <c r="CI924" s="8"/>
    </row>
    <row r="925" spans="1:87" x14ac:dyDescent="0.2">
      <c r="A925" s="8" t="str">
        <f>IF(AND(COUNTIF(W$3:W$13,A$23)&gt;0,A$23&lt;&gt;B800),A$23,IFERROR(IF(MATCH(A$23,Z$3:Z$13,0)=6,A$23," ")," "))</f>
        <v xml:space="preserve"> </v>
      </c>
      <c r="B925" s="8" t="str">
        <f>IF(A925=" "," ",MAX(B917:B924)+1)</f>
        <v xml:space="preserve"> </v>
      </c>
      <c r="C925" s="8" t="str">
        <f>IFERROR(INDEX(A917:A938,MATCH(SMALL(B917:B938,9),B917:B938,0),1)," ")</f>
        <v>C20</v>
      </c>
      <c r="D925" s="8">
        <f t="shared" si="3876"/>
        <v>0</v>
      </c>
      <c r="E925" s="8">
        <f t="shared" si="3877"/>
        <v>0</v>
      </c>
      <c r="F925" s="8">
        <f t="shared" si="3878"/>
        <v>0</v>
      </c>
      <c r="G925" s="8">
        <f t="shared" si="3879"/>
        <v>0</v>
      </c>
      <c r="H925" s="8">
        <f t="shared" si="3880"/>
        <v>0</v>
      </c>
      <c r="I925" s="8">
        <f t="shared" si="3881"/>
        <v>0</v>
      </c>
      <c r="J925" s="8">
        <f t="shared" si="3882"/>
        <v>0</v>
      </c>
      <c r="K925" s="8">
        <f t="shared" si="3883"/>
        <v>0</v>
      </c>
      <c r="L925" s="8">
        <f t="shared" si="3884"/>
        <v>1</v>
      </c>
      <c r="M925" s="8">
        <f t="shared" si="3885"/>
        <v>0</v>
      </c>
      <c r="N925" s="8">
        <f t="shared" si="3886"/>
        <v>0</v>
      </c>
      <c r="O925" s="8">
        <f t="shared" si="3887"/>
        <v>0</v>
      </c>
      <c r="P925" s="6" t="e">
        <v>#NUM!</v>
      </c>
      <c r="Q925" s="8" t="e">
        <f t="shared" ref="Q925" si="3917">IF(COUNTIF(P917:P927,"&lt;"&amp;-0.001)=0,IF(ABS(P925)&lt;0.001,0,P925)," ")</f>
        <v>#NUM!</v>
      </c>
      <c r="R925" s="8"/>
      <c r="S925" s="8"/>
      <c r="U925" s="34"/>
      <c r="V925" s="34"/>
      <c r="W925" s="34"/>
      <c r="X925" s="34"/>
      <c r="Y925" s="34"/>
      <c r="Z925" s="34"/>
      <c r="AA925" s="34"/>
      <c r="AB925" s="34"/>
      <c r="AC925" s="34"/>
      <c r="AD925" s="34"/>
      <c r="AE925" s="34"/>
      <c r="AF925" s="34"/>
      <c r="AG925" s="34"/>
      <c r="AH925" s="34"/>
      <c r="AI925" s="34"/>
      <c r="AJ925" s="34"/>
      <c r="AK925" s="34"/>
      <c r="AL925" s="34"/>
      <c r="AM925" s="34"/>
      <c r="AN925" s="34"/>
      <c r="AO925" s="34"/>
      <c r="AP925" s="34"/>
      <c r="AQ925" s="34"/>
      <c r="AR925" s="34"/>
      <c r="AS925" s="34"/>
      <c r="AT925" s="34"/>
      <c r="AU925" s="34"/>
      <c r="AV925" s="34"/>
      <c r="AW925" s="34"/>
      <c r="AX925" s="34"/>
      <c r="AY925" s="34"/>
      <c r="AZ925" s="34"/>
      <c r="BA925" s="34"/>
      <c r="BB925" s="34"/>
      <c r="BC925" s="34"/>
      <c r="BD925" s="34"/>
      <c r="BE925" s="34"/>
      <c r="BF925" s="34"/>
      <c r="BG925" s="34"/>
      <c r="BH925" s="34"/>
      <c r="BI925" s="34"/>
      <c r="BJ925" s="34"/>
      <c r="BK925" s="34"/>
      <c r="BL925" s="34"/>
      <c r="BM925" s="34"/>
      <c r="BN925" s="34"/>
      <c r="BO925" s="34"/>
      <c r="BP925" s="34"/>
      <c r="BQ925" s="34"/>
      <c r="BR925" s="34"/>
      <c r="BS925" s="34"/>
      <c r="BT925" s="34"/>
      <c r="BU925" s="34"/>
      <c r="BV925" s="34"/>
      <c r="BW925" s="34"/>
      <c r="BX925" s="34"/>
      <c r="BY925" s="34"/>
      <c r="BZ925" s="34"/>
      <c r="CA925" s="34"/>
      <c r="CB925" s="34"/>
      <c r="CC925" s="34"/>
      <c r="CD925" s="34"/>
      <c r="CE925" s="34"/>
      <c r="CF925" s="34"/>
      <c r="CG925" s="34"/>
      <c r="CH925" s="34"/>
      <c r="CI925" s="8"/>
    </row>
    <row r="926" spans="1:87" x14ac:dyDescent="0.2">
      <c r="A926" s="8" t="str">
        <f>IF(AND(COUNTIF(W$3:W$13,A$24)&gt;0,A$24&lt;&gt;B800),A$24,IFERROR(IF(MATCH(A$24,Z$3:Z$13,0)=6,A$24," ")," "))</f>
        <v xml:space="preserve"> </v>
      </c>
      <c r="B926" s="8" t="str">
        <f>IF(A926=" "," ",MAX(B917:B925)+1)</f>
        <v xml:space="preserve"> </v>
      </c>
      <c r="C926" s="8" t="str">
        <f>IFERROR(INDEX(A917:A938,MATCH(SMALL(B917:B938,10),B917:B938,0),1)," ")</f>
        <v>C21</v>
      </c>
      <c r="D926" s="8">
        <f t="shared" si="3876"/>
        <v>0</v>
      </c>
      <c r="E926" s="8">
        <f t="shared" si="3877"/>
        <v>0</v>
      </c>
      <c r="F926" s="8">
        <f t="shared" si="3878"/>
        <v>0</v>
      </c>
      <c r="G926" s="8">
        <f t="shared" si="3879"/>
        <v>0</v>
      </c>
      <c r="H926" s="8">
        <f t="shared" si="3880"/>
        <v>0</v>
      </c>
      <c r="I926" s="8">
        <f t="shared" si="3881"/>
        <v>0</v>
      </c>
      <c r="J926" s="8">
        <f t="shared" si="3882"/>
        <v>0</v>
      </c>
      <c r="K926" s="8">
        <f t="shared" si="3883"/>
        <v>0</v>
      </c>
      <c r="L926" s="8">
        <f t="shared" si="3884"/>
        <v>0</v>
      </c>
      <c r="M926" s="8">
        <f t="shared" si="3885"/>
        <v>1</v>
      </c>
      <c r="N926" s="8">
        <f t="shared" si="3886"/>
        <v>0</v>
      </c>
      <c r="O926" s="8">
        <f t="shared" si="3887"/>
        <v>0</v>
      </c>
      <c r="P926" s="8" t="e">
        <v>#NUM!</v>
      </c>
      <c r="Q926" s="8" t="e">
        <f t="shared" ref="Q926" si="3918">IF(COUNTIF(P917:P927,"&lt;"&amp;-0.001)=0,IF(ABS(P926)&lt;0.001,0,P926)," ")</f>
        <v>#NUM!</v>
      </c>
      <c r="R926" s="8"/>
      <c r="S926" s="8"/>
      <c r="U926" s="34"/>
      <c r="V926" s="34"/>
      <c r="W926" s="34"/>
      <c r="X926" s="34"/>
      <c r="Y926" s="34"/>
      <c r="Z926" s="34"/>
      <c r="AA926" s="34"/>
      <c r="AB926" s="34"/>
      <c r="AC926" s="34"/>
      <c r="AD926" s="34"/>
      <c r="AE926" s="34"/>
      <c r="AF926" s="34"/>
      <c r="AG926" s="34"/>
      <c r="AH926" s="34"/>
      <c r="AI926" s="34"/>
      <c r="AJ926" s="34"/>
      <c r="AK926" s="34"/>
      <c r="AL926" s="34"/>
      <c r="AM926" s="34"/>
      <c r="AN926" s="34"/>
      <c r="AO926" s="34"/>
      <c r="AP926" s="34"/>
      <c r="AQ926" s="34"/>
      <c r="AR926" s="34"/>
      <c r="AS926" s="34"/>
      <c r="AT926" s="34"/>
      <c r="AU926" s="34"/>
      <c r="AV926" s="34"/>
      <c r="AW926" s="34"/>
      <c r="AX926" s="34"/>
      <c r="AY926" s="34"/>
      <c r="AZ926" s="34"/>
      <c r="BA926" s="34"/>
      <c r="BB926" s="34"/>
      <c r="BC926" s="34"/>
      <c r="BD926" s="34"/>
      <c r="BE926" s="34"/>
      <c r="BF926" s="34"/>
      <c r="BG926" s="34"/>
      <c r="BH926" s="34"/>
      <c r="BI926" s="34"/>
      <c r="BJ926" s="34"/>
      <c r="BK926" s="34"/>
      <c r="BL926" s="34"/>
      <c r="BM926" s="34"/>
      <c r="BN926" s="34"/>
      <c r="BO926" s="34"/>
      <c r="BP926" s="34"/>
      <c r="BQ926" s="34"/>
      <c r="BR926" s="34"/>
      <c r="BS926" s="34"/>
      <c r="BT926" s="34"/>
      <c r="BU926" s="34"/>
      <c r="BV926" s="34"/>
      <c r="BW926" s="34"/>
      <c r="BX926" s="34"/>
      <c r="BY926" s="34"/>
      <c r="BZ926" s="34"/>
      <c r="CA926" s="34"/>
      <c r="CB926" s="34"/>
      <c r="CC926" s="34"/>
      <c r="CD926" s="34"/>
      <c r="CE926" s="34"/>
      <c r="CF926" s="34"/>
      <c r="CG926" s="34"/>
      <c r="CH926" s="34"/>
      <c r="CI926" s="8"/>
    </row>
    <row r="927" spans="1:87" x14ac:dyDescent="0.2">
      <c r="A927" s="8" t="str">
        <f>IF(AND(COUNTIF(W$3:W$13,A$25)&gt;0,A$25&lt;&gt;B800),A$25,IFERROR(IF(MATCH(A$25,Z$3:Z$13,0)=6,A$25," ")," "))</f>
        <v xml:space="preserve"> </v>
      </c>
      <c r="B927" s="8" t="str">
        <f>IF(A927=" "," ",MAX(B917:B926)+1)</f>
        <v xml:space="preserve"> </v>
      </c>
      <c r="C927" s="8" t="str">
        <f>IFERROR(INDEX(A917:A938,MATCH(SMALL(B917:B938,11),B917:B938,0),1)," ")</f>
        <v>C22</v>
      </c>
      <c r="D927" s="8">
        <f t="shared" si="3876"/>
        <v>0</v>
      </c>
      <c r="E927" s="8">
        <f t="shared" si="3877"/>
        <v>0</v>
      </c>
      <c r="F927" s="8">
        <f t="shared" si="3878"/>
        <v>0</v>
      </c>
      <c r="G927" s="8">
        <f t="shared" si="3879"/>
        <v>0</v>
      </c>
      <c r="H927" s="8">
        <f t="shared" si="3880"/>
        <v>0</v>
      </c>
      <c r="I927" s="8">
        <f t="shared" si="3881"/>
        <v>0</v>
      </c>
      <c r="J927" s="8">
        <f t="shared" si="3882"/>
        <v>0</v>
      </c>
      <c r="K927" s="8">
        <f t="shared" si="3883"/>
        <v>0</v>
      </c>
      <c r="L927" s="8">
        <f t="shared" si="3884"/>
        <v>0</v>
      </c>
      <c r="M927" s="8">
        <f t="shared" si="3885"/>
        <v>0</v>
      </c>
      <c r="N927" s="8">
        <f t="shared" si="3886"/>
        <v>1</v>
      </c>
      <c r="O927" s="8">
        <f t="shared" si="3887"/>
        <v>0</v>
      </c>
      <c r="P927" s="8" t="e">
        <v>#NUM!</v>
      </c>
      <c r="Q927" s="8" t="e">
        <f t="shared" ref="Q927" si="3919">IF(COUNTIF(P917:P927,"&lt;"&amp;-0.001)=0,IF(ABS(P927)&lt;0.001,0,P927)," ")</f>
        <v>#NUM!</v>
      </c>
      <c r="R927" s="8"/>
      <c r="S927" s="8"/>
      <c r="U927" s="34"/>
      <c r="V927" s="34"/>
      <c r="W927" s="34"/>
      <c r="X927" s="34"/>
      <c r="Y927" s="34"/>
      <c r="Z927" s="34"/>
      <c r="AA927" s="34"/>
      <c r="AB927" s="34"/>
      <c r="AC927" s="34"/>
      <c r="AD927" s="34"/>
      <c r="AE927" s="34"/>
      <c r="AF927" s="34"/>
      <c r="AG927" s="34"/>
      <c r="AH927" s="34"/>
      <c r="AI927" s="34"/>
      <c r="AJ927" s="34"/>
      <c r="AK927" s="34"/>
      <c r="AL927" s="34"/>
      <c r="AM927" s="34"/>
      <c r="AN927" s="34"/>
      <c r="AO927" s="34"/>
      <c r="AP927" s="34"/>
      <c r="AQ927" s="34"/>
      <c r="AR927" s="34"/>
      <c r="AS927" s="34"/>
      <c r="AT927" s="34"/>
      <c r="AU927" s="34"/>
      <c r="AV927" s="34"/>
      <c r="AW927" s="34"/>
      <c r="AX927" s="34"/>
      <c r="AY927" s="34"/>
      <c r="AZ927" s="34"/>
      <c r="BA927" s="34"/>
      <c r="BB927" s="34"/>
      <c r="BC927" s="34"/>
      <c r="BD927" s="34"/>
      <c r="BE927" s="34"/>
      <c r="BF927" s="34"/>
      <c r="BG927" s="34"/>
      <c r="BH927" s="34"/>
      <c r="BI927" s="34"/>
      <c r="BJ927" s="34"/>
      <c r="BK927" s="34"/>
      <c r="BL927" s="34"/>
      <c r="BM927" s="34"/>
      <c r="BN927" s="34"/>
      <c r="BO927" s="34"/>
      <c r="BP927" s="34"/>
      <c r="BQ927" s="34"/>
      <c r="BR927" s="34"/>
      <c r="BS927" s="34"/>
      <c r="BT927" s="34"/>
      <c r="BU927" s="34"/>
      <c r="BV927" s="34"/>
      <c r="BW927" s="34"/>
      <c r="BX927" s="34"/>
      <c r="BY927" s="34"/>
      <c r="BZ927" s="34"/>
      <c r="CA927" s="34"/>
      <c r="CB927" s="34"/>
      <c r="CC927" s="34"/>
      <c r="CD927" s="34"/>
      <c r="CE927" s="34"/>
      <c r="CF927" s="34"/>
      <c r="CG927" s="34"/>
      <c r="CH927" s="34"/>
      <c r="CI927" s="8"/>
    </row>
    <row r="928" spans="1:87" x14ac:dyDescent="0.2">
      <c r="A928" s="8" t="str">
        <f>IF(AND(COUNTIF(W$3:W$13,A$26)&gt;0,A$26&lt;&gt;B800),A$26,IFERROR(IF(MATCH(A$26,Z$3:Z$13,0)=6,A$26," ")," "))</f>
        <v xml:space="preserve"> </v>
      </c>
      <c r="B928" s="8" t="str">
        <f>IF(A928=" "," ",MAX(B917:B927)+1)</f>
        <v xml:space="preserve"> </v>
      </c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U928" s="34"/>
      <c r="V928" s="34"/>
      <c r="W928" s="34"/>
      <c r="X928" s="34"/>
      <c r="Y928" s="34"/>
      <c r="Z928" s="34"/>
      <c r="AA928" s="34"/>
      <c r="AB928" s="34"/>
      <c r="AC928" s="34"/>
      <c r="AD928" s="34"/>
      <c r="AE928" s="34"/>
      <c r="AF928" s="34"/>
      <c r="AG928" s="34"/>
      <c r="AH928" s="34"/>
      <c r="AI928" s="34"/>
      <c r="AJ928" s="34"/>
      <c r="AK928" s="34"/>
      <c r="AL928" s="34"/>
      <c r="AM928" s="34"/>
      <c r="AN928" s="34"/>
      <c r="AO928" s="34"/>
      <c r="AP928" s="34"/>
      <c r="AQ928" s="34"/>
      <c r="AR928" s="34"/>
      <c r="AS928" s="34"/>
      <c r="AT928" s="34"/>
      <c r="AU928" s="34"/>
      <c r="AV928" s="34"/>
      <c r="AW928" s="34"/>
      <c r="AX928" s="34"/>
      <c r="AY928" s="34"/>
      <c r="AZ928" s="34"/>
      <c r="BA928" s="34"/>
      <c r="BB928" s="34"/>
      <c r="BC928" s="34"/>
      <c r="BD928" s="34"/>
      <c r="BE928" s="34"/>
      <c r="BF928" s="34"/>
      <c r="BG928" s="34"/>
      <c r="BH928" s="34"/>
      <c r="BI928" s="34"/>
      <c r="BJ928" s="34"/>
      <c r="BK928" s="34"/>
      <c r="BL928" s="34"/>
      <c r="BM928" s="34"/>
      <c r="BN928" s="34"/>
      <c r="BO928" s="34"/>
      <c r="BP928" s="34"/>
      <c r="BQ928" s="34"/>
      <c r="BR928" s="34"/>
      <c r="BS928" s="34"/>
      <c r="BT928" s="34"/>
      <c r="BU928" s="34"/>
      <c r="BV928" s="34"/>
      <c r="BW928" s="34"/>
      <c r="BX928" s="34"/>
      <c r="BY928" s="34"/>
      <c r="BZ928" s="34"/>
      <c r="CA928" s="34"/>
      <c r="CB928" s="34"/>
      <c r="CC928" s="34"/>
      <c r="CD928" s="34"/>
      <c r="CE928" s="34"/>
      <c r="CF928" s="34"/>
      <c r="CG928" s="34"/>
      <c r="CH928" s="34"/>
      <c r="CI928" s="8"/>
    </row>
    <row r="929" spans="1:87" x14ac:dyDescent="0.2">
      <c r="A929" s="8" t="str">
        <f>IF(AND(COUNTIF(W$3:W$13,A$27)&gt;0,A$27&lt;&gt;B800),A$27,IFERROR(IF(MATCH(A$27,Z$3:Z$13,0)=6,A$27," ")," "))</f>
        <v>C13</v>
      </c>
      <c r="B929" s="8">
        <f>IF(A929=" "," ",MAX(B917:B928)+1)</f>
        <v>4</v>
      </c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U929" s="34"/>
      <c r="V929" s="34"/>
      <c r="W929" s="34"/>
      <c r="X929" s="34"/>
      <c r="Y929" s="34"/>
      <c r="Z929" s="34"/>
      <c r="AA929" s="34"/>
      <c r="AB929" s="34"/>
      <c r="AC929" s="34"/>
      <c r="AD929" s="34"/>
      <c r="AE929" s="34"/>
      <c r="AF929" s="34"/>
      <c r="AG929" s="34"/>
      <c r="AH929" s="34"/>
      <c r="AI929" s="34"/>
      <c r="AJ929" s="34"/>
      <c r="AK929" s="34"/>
      <c r="AL929" s="34"/>
      <c r="AM929" s="34"/>
      <c r="AN929" s="34"/>
      <c r="AO929" s="34"/>
      <c r="AP929" s="34"/>
      <c r="AQ929" s="34"/>
      <c r="AR929" s="34"/>
      <c r="AS929" s="34"/>
      <c r="AT929" s="34"/>
      <c r="AU929" s="34"/>
      <c r="AV929" s="34"/>
      <c r="AW929" s="34"/>
      <c r="AX929" s="34"/>
      <c r="AY929" s="34"/>
      <c r="AZ929" s="34"/>
      <c r="BA929" s="34"/>
      <c r="BB929" s="34"/>
      <c r="BC929" s="34"/>
      <c r="BD929" s="34"/>
      <c r="BE929" s="34"/>
      <c r="BF929" s="34"/>
      <c r="BG929" s="34"/>
      <c r="BH929" s="34"/>
      <c r="BI929" s="34"/>
      <c r="BJ929" s="34"/>
      <c r="BK929" s="34"/>
      <c r="BL929" s="34"/>
      <c r="BM929" s="34"/>
      <c r="BN929" s="34"/>
      <c r="BO929" s="34"/>
      <c r="BP929" s="34"/>
      <c r="BQ929" s="34"/>
      <c r="BR929" s="34"/>
      <c r="BS929" s="34"/>
      <c r="BT929" s="34"/>
      <c r="BU929" s="34"/>
      <c r="BV929" s="34"/>
      <c r="BW929" s="34"/>
      <c r="BX929" s="34"/>
      <c r="BY929" s="34"/>
      <c r="BZ929" s="34"/>
      <c r="CA929" s="34"/>
      <c r="CB929" s="34"/>
      <c r="CC929" s="34"/>
      <c r="CD929" s="34"/>
      <c r="CE929" s="34"/>
      <c r="CF929" s="34"/>
      <c r="CG929" s="34"/>
      <c r="CH929" s="34"/>
      <c r="CI929" s="8"/>
    </row>
    <row r="930" spans="1:87" x14ac:dyDescent="0.2">
      <c r="A930" s="8" t="str">
        <f>IF(AND(COUNTIF(W$3:W$13,A$28)&gt;0,A$28&lt;&gt;B800),A$28,IFERROR(IF(MATCH(A$28,Z$3:Z$13,0)=6,A$28," ")," "))</f>
        <v xml:space="preserve"> </v>
      </c>
      <c r="B930" s="8" t="str">
        <f>IF(A930=" "," ",MAX(B917:B929)+1)</f>
        <v xml:space="preserve"> </v>
      </c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U930" s="34"/>
      <c r="V930" s="34"/>
      <c r="W930" s="34"/>
      <c r="X930" s="34"/>
      <c r="Y930" s="34"/>
      <c r="Z930" s="34"/>
      <c r="AA930" s="34"/>
      <c r="AB930" s="34"/>
      <c r="AC930" s="34"/>
      <c r="AD930" s="34"/>
      <c r="AE930" s="34"/>
      <c r="AF930" s="34"/>
      <c r="AG930" s="34"/>
      <c r="AH930" s="34"/>
      <c r="AI930" s="34"/>
      <c r="AJ930" s="34"/>
      <c r="AK930" s="34"/>
      <c r="AL930" s="34"/>
      <c r="AM930" s="34"/>
      <c r="AN930" s="34"/>
      <c r="AO930" s="34"/>
      <c r="AP930" s="34"/>
      <c r="AQ930" s="34"/>
      <c r="AR930" s="34"/>
      <c r="AS930" s="34"/>
      <c r="AT930" s="34"/>
      <c r="AU930" s="34"/>
      <c r="AV930" s="34"/>
      <c r="AW930" s="34"/>
      <c r="AX930" s="34"/>
      <c r="AY930" s="34"/>
      <c r="AZ930" s="34"/>
      <c r="BA930" s="34"/>
      <c r="BB930" s="34"/>
      <c r="BC930" s="34"/>
      <c r="BD930" s="34"/>
      <c r="BE930" s="34"/>
      <c r="BF930" s="34"/>
      <c r="BG930" s="34"/>
      <c r="BH930" s="34"/>
      <c r="BI930" s="34"/>
      <c r="BJ930" s="34"/>
      <c r="BK930" s="34"/>
      <c r="BL930" s="34"/>
      <c r="BM930" s="34"/>
      <c r="BN930" s="34"/>
      <c r="BO930" s="34"/>
      <c r="BP930" s="34"/>
      <c r="BQ930" s="34"/>
      <c r="BR930" s="34"/>
      <c r="BS930" s="34"/>
      <c r="BT930" s="34"/>
      <c r="BU930" s="34"/>
      <c r="BV930" s="34"/>
      <c r="BW930" s="34"/>
      <c r="BX930" s="34"/>
      <c r="BY930" s="34"/>
      <c r="BZ930" s="34"/>
      <c r="CA930" s="34"/>
      <c r="CB930" s="34"/>
      <c r="CC930" s="34"/>
      <c r="CD930" s="34"/>
      <c r="CE930" s="34"/>
      <c r="CF930" s="34"/>
      <c r="CG930" s="34"/>
      <c r="CH930" s="34"/>
      <c r="CI930" s="8"/>
    </row>
    <row r="931" spans="1:87" x14ac:dyDescent="0.2">
      <c r="A931" s="8" t="str">
        <f>IF(AND(COUNTIF(W$3:W$13,A$29)&gt;0,A$29&lt;&gt;B800),A$29,IFERROR(IF(MATCH(A$29,Z$3:Z$13,0)=6,A$29," ")," "))</f>
        <v xml:space="preserve"> </v>
      </c>
      <c r="B931" s="8" t="str">
        <f>IF(A931=" "," ",MAX(B917:B930)+1)</f>
        <v xml:space="preserve"> </v>
      </c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U931" s="34"/>
      <c r="V931" s="34"/>
      <c r="W931" s="34"/>
      <c r="X931" s="34"/>
      <c r="Y931" s="34"/>
      <c r="Z931" s="34"/>
      <c r="AA931" s="34"/>
      <c r="AB931" s="34"/>
      <c r="AC931" s="34"/>
      <c r="AD931" s="34"/>
      <c r="AE931" s="34"/>
      <c r="AF931" s="34"/>
      <c r="AG931" s="34"/>
      <c r="AH931" s="34"/>
      <c r="AI931" s="34"/>
      <c r="AJ931" s="34"/>
      <c r="AK931" s="34"/>
      <c r="AL931" s="34"/>
      <c r="AM931" s="34"/>
      <c r="AN931" s="34"/>
      <c r="AO931" s="34"/>
      <c r="AP931" s="34"/>
      <c r="AQ931" s="34"/>
      <c r="AR931" s="34"/>
      <c r="AS931" s="34"/>
      <c r="AT931" s="34"/>
      <c r="AU931" s="34"/>
      <c r="AV931" s="34"/>
      <c r="AW931" s="34"/>
      <c r="AX931" s="34"/>
      <c r="AY931" s="34"/>
      <c r="AZ931" s="34"/>
      <c r="BA931" s="34"/>
      <c r="BB931" s="34"/>
      <c r="BC931" s="34"/>
      <c r="BD931" s="34"/>
      <c r="BE931" s="34"/>
      <c r="BF931" s="34"/>
      <c r="BG931" s="34"/>
      <c r="BH931" s="34"/>
      <c r="BI931" s="34"/>
      <c r="BJ931" s="34"/>
      <c r="BK931" s="34"/>
      <c r="BL931" s="34"/>
      <c r="BM931" s="34"/>
      <c r="BN931" s="34"/>
      <c r="BO931" s="34"/>
      <c r="BP931" s="34"/>
      <c r="BQ931" s="34"/>
      <c r="BR931" s="34"/>
      <c r="BS931" s="34"/>
      <c r="BT931" s="34"/>
      <c r="BU931" s="34"/>
      <c r="BV931" s="34"/>
      <c r="BW931" s="34"/>
      <c r="BX931" s="34"/>
      <c r="BY931" s="34"/>
      <c r="BZ931" s="34"/>
      <c r="CA931" s="34"/>
      <c r="CB931" s="34"/>
      <c r="CC931" s="34"/>
      <c r="CD931" s="34"/>
      <c r="CE931" s="34"/>
      <c r="CF931" s="34"/>
      <c r="CG931" s="34"/>
      <c r="CH931" s="34"/>
      <c r="CI931" s="8"/>
    </row>
    <row r="932" spans="1:87" x14ac:dyDescent="0.2">
      <c r="A932" s="8" t="str">
        <f>IF(AND(COUNTIF(W$3:W$13,A$30)&gt;0,A$30&lt;&gt;B800),A$30,IFERROR(IF(MATCH(A$30,Z$3:Z$13,0)=6,A$30," ")," "))</f>
        <v>C16</v>
      </c>
      <c r="B932" s="8">
        <f>IF(A932=" "," ",MAX(B917:B931)+1)</f>
        <v>5</v>
      </c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U932" s="34"/>
      <c r="V932" s="34"/>
      <c r="W932" s="34"/>
      <c r="X932" s="34"/>
      <c r="Y932" s="34"/>
      <c r="Z932" s="34"/>
      <c r="AA932" s="34"/>
      <c r="AB932" s="34"/>
      <c r="AC932" s="34"/>
      <c r="AD932" s="34"/>
      <c r="AE932" s="34"/>
      <c r="AF932" s="34"/>
      <c r="AG932" s="34"/>
      <c r="AH932" s="34"/>
      <c r="AI932" s="34"/>
      <c r="AJ932" s="34"/>
      <c r="AK932" s="34"/>
      <c r="AL932" s="34"/>
      <c r="AM932" s="34"/>
      <c r="AN932" s="34"/>
      <c r="AO932" s="34"/>
      <c r="AP932" s="34"/>
      <c r="AQ932" s="34"/>
      <c r="AR932" s="34"/>
      <c r="AS932" s="34"/>
      <c r="AT932" s="34"/>
      <c r="AU932" s="34"/>
      <c r="AV932" s="34"/>
      <c r="AW932" s="34"/>
      <c r="AX932" s="34"/>
      <c r="AY932" s="34"/>
      <c r="AZ932" s="34"/>
      <c r="BA932" s="34"/>
      <c r="BB932" s="34"/>
      <c r="BC932" s="34"/>
      <c r="BD932" s="34"/>
      <c r="BE932" s="34"/>
      <c r="BF932" s="34"/>
      <c r="BG932" s="34"/>
      <c r="BH932" s="34"/>
      <c r="BI932" s="34"/>
      <c r="BJ932" s="34"/>
      <c r="BK932" s="34"/>
      <c r="BL932" s="34"/>
      <c r="BM932" s="34"/>
      <c r="BN932" s="34"/>
      <c r="BO932" s="34"/>
      <c r="BP932" s="34"/>
      <c r="BQ932" s="34"/>
      <c r="BR932" s="34"/>
      <c r="BS932" s="34"/>
      <c r="BT932" s="34"/>
      <c r="BU932" s="34"/>
      <c r="BV932" s="34"/>
      <c r="BW932" s="34"/>
      <c r="BX932" s="34"/>
      <c r="BY932" s="34"/>
      <c r="BZ932" s="34"/>
      <c r="CA932" s="34"/>
      <c r="CB932" s="34"/>
      <c r="CC932" s="34"/>
      <c r="CD932" s="34"/>
      <c r="CE932" s="34"/>
      <c r="CF932" s="34"/>
      <c r="CG932" s="34"/>
      <c r="CH932" s="34"/>
      <c r="CI932" s="8"/>
    </row>
    <row r="933" spans="1:87" x14ac:dyDescent="0.2">
      <c r="A933" s="8" t="str">
        <f>IF(AND(COUNTIF(W$3:W$13,A$31)&gt;0,A$31&lt;&gt;B800),A$31,IFERROR(IF(MATCH(A$31,Z$3:Z$13,0)=6,A$31," ")," "))</f>
        <v>C17</v>
      </c>
      <c r="B933" s="8">
        <f>IF(A933=" "," ",MAX(B917:B932)+1)</f>
        <v>6</v>
      </c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U933" s="34"/>
      <c r="V933" s="34"/>
      <c r="W933" s="34"/>
      <c r="X933" s="34"/>
      <c r="Y933" s="34"/>
      <c r="Z933" s="34"/>
      <c r="AA933" s="34"/>
      <c r="AB933" s="34"/>
      <c r="AC933" s="34"/>
      <c r="AD933" s="34"/>
      <c r="AE933" s="34"/>
      <c r="AF933" s="34"/>
      <c r="AG933" s="34"/>
      <c r="AH933" s="34"/>
      <c r="AI933" s="34"/>
      <c r="AJ933" s="34"/>
      <c r="AK933" s="34"/>
      <c r="AL933" s="34"/>
      <c r="AM933" s="34"/>
      <c r="AN933" s="34"/>
      <c r="AO933" s="34"/>
      <c r="AP933" s="34"/>
      <c r="AQ933" s="34"/>
      <c r="AR933" s="34"/>
      <c r="AS933" s="34"/>
      <c r="AT933" s="34"/>
      <c r="AU933" s="34"/>
      <c r="AV933" s="34"/>
      <c r="AW933" s="34"/>
      <c r="AX933" s="34"/>
      <c r="AY933" s="34"/>
      <c r="AZ933" s="34"/>
      <c r="BA933" s="34"/>
      <c r="BB933" s="34"/>
      <c r="BC933" s="34"/>
      <c r="BD933" s="34"/>
      <c r="BE933" s="34"/>
      <c r="BF933" s="34"/>
      <c r="BG933" s="34"/>
      <c r="BH933" s="34"/>
      <c r="BI933" s="34"/>
      <c r="BJ933" s="34"/>
      <c r="BK933" s="34"/>
      <c r="BL933" s="34"/>
      <c r="BM933" s="34"/>
      <c r="BN933" s="34"/>
      <c r="BO933" s="34"/>
      <c r="BP933" s="34"/>
      <c r="BQ933" s="34"/>
      <c r="BR933" s="34"/>
      <c r="BS933" s="34"/>
      <c r="BT933" s="34"/>
      <c r="BU933" s="34"/>
      <c r="BV933" s="34"/>
      <c r="BW933" s="34"/>
      <c r="BX933" s="34"/>
      <c r="BY933" s="34"/>
      <c r="BZ933" s="34"/>
      <c r="CA933" s="34"/>
      <c r="CB933" s="34"/>
      <c r="CC933" s="34"/>
      <c r="CD933" s="34"/>
      <c r="CE933" s="34"/>
      <c r="CF933" s="34"/>
      <c r="CG933" s="34"/>
      <c r="CH933" s="34"/>
      <c r="CI933" s="8"/>
    </row>
    <row r="934" spans="1:87" x14ac:dyDescent="0.2">
      <c r="A934" s="8" t="str">
        <f>IF(AND(COUNTIF(W$3:W$13,A$32)&gt;0,A$32&lt;&gt;B800),A$32,IFERROR(IF(MATCH(A$32,Z$3:Z$13,0)=6,A$32," ")," "))</f>
        <v>C18</v>
      </c>
      <c r="B934" s="8">
        <f>IF(A934=" "," ",MAX(B917:B933)+1)</f>
        <v>7</v>
      </c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U934" s="34"/>
      <c r="V934" s="34"/>
      <c r="W934" s="34"/>
      <c r="X934" s="34"/>
      <c r="Y934" s="34"/>
      <c r="Z934" s="34"/>
      <c r="AA934" s="34"/>
      <c r="AB934" s="34"/>
      <c r="AC934" s="34"/>
      <c r="AD934" s="34"/>
      <c r="AE934" s="34"/>
      <c r="AF934" s="34"/>
      <c r="AG934" s="34"/>
      <c r="AH934" s="34"/>
      <c r="AI934" s="34"/>
      <c r="AJ934" s="34"/>
      <c r="AK934" s="34"/>
      <c r="AL934" s="34"/>
      <c r="AM934" s="34"/>
      <c r="AN934" s="34"/>
      <c r="AO934" s="34"/>
      <c r="AP934" s="34"/>
      <c r="AQ934" s="34"/>
      <c r="AR934" s="34"/>
      <c r="AS934" s="34"/>
      <c r="AT934" s="34"/>
      <c r="AU934" s="34"/>
      <c r="AV934" s="34"/>
      <c r="AW934" s="34"/>
      <c r="AX934" s="34"/>
      <c r="AY934" s="34"/>
      <c r="AZ934" s="34"/>
      <c r="BA934" s="34"/>
      <c r="BB934" s="34"/>
      <c r="BC934" s="34"/>
      <c r="BD934" s="34"/>
      <c r="BE934" s="34"/>
      <c r="BF934" s="34"/>
      <c r="BG934" s="34"/>
      <c r="BH934" s="34"/>
      <c r="BI934" s="34"/>
      <c r="BJ934" s="34"/>
      <c r="BK934" s="34"/>
      <c r="BL934" s="34"/>
      <c r="BM934" s="34"/>
      <c r="BN934" s="34"/>
      <c r="BO934" s="34"/>
      <c r="BP934" s="34"/>
      <c r="BQ934" s="34"/>
      <c r="BR934" s="34"/>
      <c r="BS934" s="34"/>
      <c r="BT934" s="34"/>
      <c r="BU934" s="34"/>
      <c r="BV934" s="34"/>
      <c r="BW934" s="34"/>
      <c r="BX934" s="34"/>
      <c r="BY934" s="34"/>
      <c r="BZ934" s="34"/>
      <c r="CA934" s="34"/>
      <c r="CB934" s="34"/>
      <c r="CC934" s="34"/>
      <c r="CD934" s="34"/>
      <c r="CE934" s="34"/>
      <c r="CF934" s="34"/>
      <c r="CG934" s="34"/>
      <c r="CH934" s="34"/>
      <c r="CI934" s="8"/>
    </row>
    <row r="935" spans="1:87" x14ac:dyDescent="0.2">
      <c r="A935" s="8" t="str">
        <f>IF(AND(COUNTIF(W$3:W$13,A$33)&gt;0,A$33&lt;&gt;B800),A$33,IFERROR(IF(MATCH(A$33,Z$3:Z$13,0)=6,A$33," ")," "))</f>
        <v>C19</v>
      </c>
      <c r="B935" s="8">
        <f>IF(A935=" "," ",MAX(B917:B934)+1)</f>
        <v>8</v>
      </c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U935" s="34"/>
      <c r="V935" s="34"/>
      <c r="W935" s="34"/>
      <c r="X935" s="34"/>
      <c r="Y935" s="34"/>
      <c r="Z935" s="34"/>
      <c r="AA935" s="34"/>
      <c r="AB935" s="34"/>
      <c r="AC935" s="34"/>
      <c r="AD935" s="34"/>
      <c r="AE935" s="34"/>
      <c r="AF935" s="34"/>
      <c r="AG935" s="34"/>
      <c r="AH935" s="34"/>
      <c r="AI935" s="34"/>
      <c r="AJ935" s="34"/>
      <c r="AK935" s="34"/>
      <c r="AL935" s="34"/>
      <c r="AM935" s="34"/>
      <c r="AN935" s="34"/>
      <c r="AO935" s="34"/>
      <c r="AP935" s="34"/>
      <c r="AQ935" s="34"/>
      <c r="AR935" s="34"/>
      <c r="AS935" s="34"/>
      <c r="AT935" s="34"/>
      <c r="AU935" s="34"/>
      <c r="AV935" s="34"/>
      <c r="AW935" s="34"/>
      <c r="AX935" s="34"/>
      <c r="AY935" s="34"/>
      <c r="AZ935" s="34"/>
      <c r="BA935" s="34"/>
      <c r="BB935" s="34"/>
      <c r="BC935" s="34"/>
      <c r="BD935" s="34"/>
      <c r="BE935" s="34"/>
      <c r="BF935" s="34"/>
      <c r="BG935" s="34"/>
      <c r="BH935" s="34"/>
      <c r="BI935" s="34"/>
      <c r="BJ935" s="34"/>
      <c r="BK935" s="34"/>
      <c r="BL935" s="34"/>
      <c r="BM935" s="34"/>
      <c r="BN935" s="34"/>
      <c r="BO935" s="34"/>
      <c r="BP935" s="34"/>
      <c r="BQ935" s="34"/>
      <c r="BR935" s="34"/>
      <c r="BS935" s="34"/>
      <c r="BT935" s="34"/>
      <c r="BU935" s="34"/>
      <c r="BV935" s="34"/>
      <c r="BW935" s="34"/>
      <c r="BX935" s="34"/>
      <c r="BY935" s="34"/>
      <c r="BZ935" s="34"/>
      <c r="CA935" s="34"/>
      <c r="CB935" s="34"/>
      <c r="CC935" s="34"/>
      <c r="CD935" s="34"/>
      <c r="CE935" s="34"/>
      <c r="CF935" s="34"/>
      <c r="CG935" s="34"/>
      <c r="CH935" s="34"/>
      <c r="CI935" s="8"/>
    </row>
    <row r="936" spans="1:87" x14ac:dyDescent="0.2">
      <c r="A936" s="8" t="str">
        <f>IF(AND(COUNTIF(W$3:W$13,A$34)&gt;0,A$34&lt;&gt;B800),A$34,IFERROR(IF(MATCH(A$34,Z$3:Z$13,0)=6,A$34," ")," "))</f>
        <v>C20</v>
      </c>
      <c r="B936" s="8">
        <f>IF(A936=" "," ",MAX(B917:B935)+1)</f>
        <v>9</v>
      </c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U936" s="34"/>
      <c r="V936" s="34"/>
      <c r="W936" s="34"/>
      <c r="X936" s="34"/>
      <c r="Y936" s="34"/>
      <c r="Z936" s="34"/>
      <c r="AA936" s="34"/>
      <c r="AB936" s="34"/>
      <c r="AC936" s="34"/>
      <c r="AD936" s="34"/>
      <c r="AE936" s="34"/>
      <c r="AF936" s="34"/>
      <c r="AG936" s="34"/>
      <c r="AH936" s="34"/>
      <c r="AI936" s="34"/>
      <c r="AJ936" s="34"/>
      <c r="AK936" s="34"/>
      <c r="AL936" s="34"/>
      <c r="AM936" s="34"/>
      <c r="AN936" s="34"/>
      <c r="AO936" s="34"/>
      <c r="AP936" s="34"/>
      <c r="AQ936" s="34"/>
      <c r="AR936" s="34"/>
      <c r="AS936" s="34"/>
      <c r="AT936" s="34"/>
      <c r="AU936" s="34"/>
      <c r="AV936" s="34"/>
      <c r="AW936" s="34"/>
      <c r="AX936" s="34"/>
      <c r="AY936" s="34"/>
      <c r="AZ936" s="34"/>
      <c r="BA936" s="34"/>
      <c r="BB936" s="34"/>
      <c r="BC936" s="34"/>
      <c r="BD936" s="34"/>
      <c r="BE936" s="34"/>
      <c r="BF936" s="34"/>
      <c r="BG936" s="34"/>
      <c r="BH936" s="34"/>
      <c r="BI936" s="34"/>
      <c r="BJ936" s="34"/>
      <c r="BK936" s="34"/>
      <c r="BL936" s="34"/>
      <c r="BM936" s="34"/>
      <c r="BN936" s="34"/>
      <c r="BO936" s="34"/>
      <c r="BP936" s="34"/>
      <c r="BQ936" s="34"/>
      <c r="BR936" s="34"/>
      <c r="BS936" s="34"/>
      <c r="BT936" s="34"/>
      <c r="BU936" s="34"/>
      <c r="BV936" s="34"/>
      <c r="BW936" s="34"/>
      <c r="BX936" s="34"/>
      <c r="BY936" s="34"/>
      <c r="BZ936" s="34"/>
      <c r="CA936" s="34"/>
      <c r="CB936" s="34"/>
      <c r="CC936" s="34"/>
      <c r="CD936" s="34"/>
      <c r="CE936" s="34"/>
      <c r="CF936" s="34"/>
      <c r="CG936" s="34"/>
      <c r="CH936" s="34"/>
      <c r="CI936" s="8"/>
    </row>
    <row r="937" spans="1:87" x14ac:dyDescent="0.2">
      <c r="A937" s="8" t="str">
        <f>IF(AND(COUNTIF(W$3:W$13,A$35)&gt;0,A$35&lt;&gt;B800),A$35,IFERROR(IF(MATCH(A$35,Z$3:Z$13,0)=6,A$35," ")," "))</f>
        <v>C21</v>
      </c>
      <c r="B937" s="8">
        <f>IF(A937=" "," ",MAX(B917:B936)+1)</f>
        <v>10</v>
      </c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U937" s="34"/>
      <c r="V937" s="34"/>
      <c r="W937" s="34"/>
      <c r="X937" s="34"/>
      <c r="Y937" s="34"/>
      <c r="Z937" s="34"/>
      <c r="AA937" s="34"/>
      <c r="AB937" s="34"/>
      <c r="AC937" s="34"/>
      <c r="AD937" s="34"/>
      <c r="AE937" s="34"/>
      <c r="AF937" s="34"/>
      <c r="AG937" s="34"/>
      <c r="AH937" s="34"/>
      <c r="AI937" s="34"/>
      <c r="AJ937" s="34"/>
      <c r="AK937" s="34"/>
      <c r="AL937" s="34"/>
      <c r="AM937" s="34"/>
      <c r="AN937" s="34"/>
      <c r="AO937" s="34"/>
      <c r="AP937" s="34"/>
      <c r="AQ937" s="34"/>
      <c r="AR937" s="34"/>
      <c r="AS937" s="34"/>
      <c r="AT937" s="34"/>
      <c r="AU937" s="34"/>
      <c r="AV937" s="34"/>
      <c r="AW937" s="34"/>
      <c r="AX937" s="34"/>
      <c r="AY937" s="34"/>
      <c r="AZ937" s="34"/>
      <c r="BA937" s="34"/>
      <c r="BB937" s="34"/>
      <c r="BC937" s="34"/>
      <c r="BD937" s="34"/>
      <c r="BE937" s="34"/>
      <c r="BF937" s="34"/>
      <c r="BG937" s="34"/>
      <c r="BH937" s="34"/>
      <c r="BI937" s="34"/>
      <c r="BJ937" s="34"/>
      <c r="BK937" s="34"/>
      <c r="BL937" s="34"/>
      <c r="BM937" s="34"/>
      <c r="BN937" s="34"/>
      <c r="BO937" s="34"/>
      <c r="BP937" s="34"/>
      <c r="BQ937" s="34"/>
      <c r="BR937" s="34"/>
      <c r="BS937" s="34"/>
      <c r="BT937" s="34"/>
      <c r="BU937" s="34"/>
      <c r="BV937" s="34"/>
      <c r="BW937" s="34"/>
      <c r="BX937" s="34"/>
      <c r="BY937" s="34"/>
      <c r="BZ937" s="34"/>
      <c r="CA937" s="34"/>
      <c r="CB937" s="34"/>
      <c r="CC937" s="34"/>
      <c r="CD937" s="34"/>
      <c r="CE937" s="34"/>
      <c r="CF937" s="34"/>
      <c r="CG937" s="34"/>
      <c r="CH937" s="34"/>
      <c r="CI937" s="8"/>
    </row>
    <row r="938" spans="1:87" x14ac:dyDescent="0.2">
      <c r="A938" s="8" t="str">
        <f>IF(AND(COUNTIF(W$3:W$13,A$36)&gt;0,A$36&lt;&gt;B800),A$36,IFERROR(IF(MATCH(A$36,Z$3:Z$13,0)=6,A$36," ")," "))</f>
        <v>C22</v>
      </c>
      <c r="B938" s="8">
        <f>IF(A938=" "," ",MAX(B917:B937)+1)</f>
        <v>11</v>
      </c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U938" s="34"/>
      <c r="V938" s="34"/>
      <c r="W938" s="34"/>
      <c r="X938" s="34"/>
      <c r="Y938" s="34"/>
      <c r="Z938" s="34"/>
      <c r="AA938" s="34"/>
      <c r="AB938" s="34"/>
      <c r="AC938" s="34"/>
      <c r="AD938" s="34"/>
      <c r="AE938" s="34"/>
      <c r="AF938" s="34"/>
      <c r="AG938" s="34"/>
      <c r="AH938" s="34"/>
      <c r="AI938" s="34"/>
      <c r="AJ938" s="34"/>
      <c r="AK938" s="34"/>
      <c r="AL938" s="34"/>
      <c r="AM938" s="34"/>
      <c r="AN938" s="34"/>
      <c r="AO938" s="34"/>
      <c r="AP938" s="34"/>
      <c r="AQ938" s="34"/>
      <c r="AR938" s="34"/>
      <c r="AS938" s="34"/>
      <c r="AT938" s="34"/>
      <c r="AU938" s="34"/>
      <c r="AV938" s="34"/>
      <c r="AW938" s="34"/>
      <c r="AX938" s="34"/>
      <c r="AY938" s="34"/>
      <c r="AZ938" s="34"/>
      <c r="BA938" s="34"/>
      <c r="BB938" s="34"/>
      <c r="BC938" s="34"/>
      <c r="BD938" s="34"/>
      <c r="BE938" s="34"/>
      <c r="BF938" s="34"/>
      <c r="BG938" s="34"/>
      <c r="BH938" s="34"/>
      <c r="BI938" s="34"/>
      <c r="BJ938" s="34"/>
      <c r="BK938" s="34"/>
      <c r="BL938" s="34"/>
      <c r="BM938" s="34"/>
      <c r="BN938" s="34"/>
      <c r="BO938" s="34"/>
      <c r="BP938" s="34"/>
      <c r="BQ938" s="34"/>
      <c r="BR938" s="34"/>
      <c r="BS938" s="34"/>
      <c r="BT938" s="34"/>
      <c r="BU938" s="34"/>
      <c r="BV938" s="34"/>
      <c r="BW938" s="34"/>
      <c r="BX938" s="34"/>
      <c r="BY938" s="34"/>
      <c r="BZ938" s="34"/>
      <c r="CA938" s="34"/>
      <c r="CB938" s="34"/>
      <c r="CC938" s="34"/>
      <c r="CD938" s="34"/>
      <c r="CE938" s="34"/>
      <c r="CF938" s="34"/>
      <c r="CG938" s="34"/>
      <c r="CH938" s="34"/>
      <c r="CI938" s="8"/>
    </row>
    <row r="939" spans="1:87" x14ac:dyDescent="0.2">
      <c r="A939" s="11" t="s">
        <v>17</v>
      </c>
      <c r="B939" s="11"/>
      <c r="C939" s="27" t="s">
        <v>18</v>
      </c>
      <c r="D939" s="27" t="s">
        <v>2</v>
      </c>
      <c r="E939" s="27" t="s">
        <v>6</v>
      </c>
      <c r="F939" s="27" t="s">
        <v>15</v>
      </c>
      <c r="G939" s="27" t="s">
        <v>36</v>
      </c>
      <c r="H939" s="27" t="s">
        <v>37</v>
      </c>
      <c r="I939" s="27" t="s">
        <v>38</v>
      </c>
      <c r="J939" s="27" t="s">
        <v>39</v>
      </c>
      <c r="K939" s="27" t="s">
        <v>40</v>
      </c>
      <c r="L939" s="27" t="s">
        <v>41</v>
      </c>
      <c r="M939" s="27" t="s">
        <v>42</v>
      </c>
      <c r="N939" s="27" t="s">
        <v>43</v>
      </c>
      <c r="O939" s="27" t="s">
        <v>9</v>
      </c>
      <c r="P939" s="27" t="s">
        <v>12</v>
      </c>
      <c r="Q939" s="27" t="s">
        <v>19</v>
      </c>
      <c r="R939" s="27" t="s">
        <v>55</v>
      </c>
      <c r="S939" s="27" t="s">
        <v>26</v>
      </c>
      <c r="T939" s="19" t="s">
        <v>25</v>
      </c>
      <c r="U939" s="33" t="s">
        <v>27</v>
      </c>
      <c r="V939" s="33" t="s">
        <v>9</v>
      </c>
      <c r="W939" s="33" t="s">
        <v>23</v>
      </c>
      <c r="X939" s="33" t="s">
        <v>12</v>
      </c>
      <c r="Y939" s="33" t="s">
        <v>26</v>
      </c>
      <c r="Z939" s="33" t="s">
        <v>25</v>
      </c>
      <c r="AA939" s="33" t="s">
        <v>27</v>
      </c>
      <c r="AB939" s="33" t="s">
        <v>9</v>
      </c>
      <c r="AC939" s="33" t="s">
        <v>23</v>
      </c>
      <c r="AD939" s="33" t="s">
        <v>12</v>
      </c>
      <c r="AE939" s="33" t="s">
        <v>26</v>
      </c>
      <c r="AF939" s="33" t="s">
        <v>25</v>
      </c>
      <c r="AG939" s="33" t="s">
        <v>27</v>
      </c>
      <c r="AH939" s="33" t="s">
        <v>9</v>
      </c>
      <c r="AI939" s="33" t="s">
        <v>23</v>
      </c>
      <c r="AJ939" s="33" t="s">
        <v>12</v>
      </c>
      <c r="AK939" s="33" t="s">
        <v>26</v>
      </c>
      <c r="AL939" s="33" t="s">
        <v>25</v>
      </c>
      <c r="AM939" s="33" t="s">
        <v>27</v>
      </c>
      <c r="AN939" s="33" t="s">
        <v>9</v>
      </c>
      <c r="AO939" s="33" t="s">
        <v>23</v>
      </c>
      <c r="AP939" s="33" t="s">
        <v>12</v>
      </c>
      <c r="AQ939" s="33" t="s">
        <v>26</v>
      </c>
      <c r="AR939" s="33" t="s">
        <v>25</v>
      </c>
      <c r="AS939" s="33" t="s">
        <v>27</v>
      </c>
      <c r="AT939" s="33" t="s">
        <v>9</v>
      </c>
      <c r="AU939" s="33" t="s">
        <v>23</v>
      </c>
      <c r="AV939" s="33" t="s">
        <v>12</v>
      </c>
      <c r="AW939" s="33" t="s">
        <v>26</v>
      </c>
      <c r="AX939" s="33" t="s">
        <v>25</v>
      </c>
      <c r="AY939" s="33" t="s">
        <v>27</v>
      </c>
      <c r="AZ939" s="33" t="s">
        <v>9</v>
      </c>
      <c r="BA939" s="33" t="s">
        <v>23</v>
      </c>
      <c r="BB939" s="33" t="s">
        <v>12</v>
      </c>
      <c r="BC939" s="33" t="s">
        <v>26</v>
      </c>
      <c r="BD939" s="33" t="s">
        <v>25</v>
      </c>
      <c r="BE939" s="33" t="s">
        <v>27</v>
      </c>
      <c r="BF939" s="33" t="s">
        <v>9</v>
      </c>
      <c r="BG939" s="33" t="s">
        <v>23</v>
      </c>
      <c r="BH939" s="33" t="s">
        <v>12</v>
      </c>
      <c r="BI939" s="33" t="s">
        <v>26</v>
      </c>
      <c r="BJ939" s="33" t="s">
        <v>25</v>
      </c>
      <c r="BK939" s="33" t="s">
        <v>27</v>
      </c>
      <c r="BL939" s="33" t="s">
        <v>9</v>
      </c>
      <c r="BM939" s="33" t="s">
        <v>23</v>
      </c>
      <c r="BN939" s="33" t="s">
        <v>12</v>
      </c>
      <c r="BO939" s="33" t="s">
        <v>26</v>
      </c>
      <c r="BP939" s="33" t="s">
        <v>25</v>
      </c>
      <c r="BQ939" s="33" t="s">
        <v>27</v>
      </c>
      <c r="BR939" s="33" t="s">
        <v>9</v>
      </c>
      <c r="BS939" s="33" t="s">
        <v>23</v>
      </c>
      <c r="BT939" s="33" t="s">
        <v>12</v>
      </c>
      <c r="BU939" s="33" t="s">
        <v>26</v>
      </c>
      <c r="BV939" s="33" t="s">
        <v>25</v>
      </c>
      <c r="BW939" s="33" t="s">
        <v>27</v>
      </c>
      <c r="BX939" s="33" t="s">
        <v>9</v>
      </c>
      <c r="BY939" s="33" t="s">
        <v>23</v>
      </c>
      <c r="BZ939" s="33" t="s">
        <v>12</v>
      </c>
      <c r="CA939" s="33" t="s">
        <v>26</v>
      </c>
      <c r="CB939" s="33" t="s">
        <v>25</v>
      </c>
      <c r="CC939" s="33" t="s">
        <v>27</v>
      </c>
      <c r="CD939" s="33" t="s">
        <v>9</v>
      </c>
      <c r="CE939" s="33" t="s">
        <v>23</v>
      </c>
      <c r="CF939" s="33" t="s">
        <v>12</v>
      </c>
      <c r="CG939" s="33" t="s">
        <v>26</v>
      </c>
      <c r="CH939" s="33" t="s">
        <v>25</v>
      </c>
      <c r="CI939" s="8"/>
    </row>
    <row r="940" spans="1:87" x14ac:dyDescent="0.2">
      <c r="A940" s="8" t="str">
        <f>IF(AND(COUNTIF(W$3:W$13,A$15)&gt;0,A$15&lt;&gt;B800),A$15,IFERROR(IF(MATCH(A$15,Z$3:Z$13,0)=7,A$15," ")," "))</f>
        <v xml:space="preserve"> </v>
      </c>
      <c r="B940" s="8" t="str">
        <f>IF(A940=" "," ",1)</f>
        <v xml:space="preserve"> </v>
      </c>
      <c r="C940" s="8" t="str">
        <f>IFERROR(INDEX(A940:A961,MATCH(SMALL(B940:B961,1),B940:B961,0),1)," ")</f>
        <v>C3</v>
      </c>
      <c r="D940" s="8">
        <f>IFERROR(VLOOKUP($C940,$A$15:$O$36,2,FALSE)," ")</f>
        <v>2</v>
      </c>
      <c r="E940" s="8">
        <f>IFERROR(VLOOKUP($C940,$A$15:$O$36,3,FALSE)," ")</f>
        <v>5</v>
      </c>
      <c r="F940" s="8">
        <f>IFERROR(VLOOKUP($C940,$A$15:$O$36,4,FALSE)," ")</f>
        <v>6</v>
      </c>
      <c r="G940" s="8">
        <f>IFERROR(VLOOKUP($C940,$A$15:$O$36,5,FALSE)," ")</f>
        <v>0</v>
      </c>
      <c r="H940" s="8">
        <f>IFERROR(VLOOKUP($C940,$A$15:$O$36,6,FALSE)," ")</f>
        <v>0</v>
      </c>
      <c r="I940" s="8">
        <f>IFERROR(VLOOKUP($C940,$A$15:$O$36,7,FALSE)," ")</f>
        <v>0</v>
      </c>
      <c r="J940" s="8">
        <f>IFERROR(VLOOKUP($C940,$A$15:$O$36,8,FALSE)," ")</f>
        <v>0</v>
      </c>
      <c r="K940" s="8">
        <f>IFERROR(VLOOKUP($C940,$A$15:$O$36,9,FALSE)," ")</f>
        <v>0</v>
      </c>
      <c r="L940" s="8">
        <f>IFERROR(VLOOKUP($C940,$A$15:$O$36,10,FALSE)," ")</f>
        <v>0</v>
      </c>
      <c r="M940" s="8">
        <f>IFERROR(VLOOKUP($C940,$A$15:$O$36,11,FALSE)," ")</f>
        <v>0</v>
      </c>
      <c r="N940" s="8">
        <f>IFERROR(VLOOKUP($C940,$A$15:$O$36,12,FALSE)," ")</f>
        <v>0</v>
      </c>
      <c r="O940" s="8">
        <f>IFERROR(VLOOKUP($C940,$A$15:$O$36,15,FALSE)," ")</f>
        <v>2000</v>
      </c>
      <c r="P940" s="8" t="e">
        <f t="array" ref="P940:P950">MMULT(MINVERSE(D940:N950),O940:O950)</f>
        <v>#NUM!</v>
      </c>
      <c r="Q940" s="8" t="e">
        <f t="shared" ref="Q940" si="3920">IF(COUNTIF(P940:P950,"&lt;"&amp;-0.001)=0,IF(ABS(P940)&lt;0.001,0,P940)," ")</f>
        <v>#NUM!</v>
      </c>
      <c r="R940" s="8" t="str">
        <f>IFERROR(VLOOKUP(B800,A$15:L$36,2,FALSE)*Q940+VLOOKUP(B800,A$15:L$36,3,FALSE)*Q941+VLOOKUP(B800,A$15:L$36,4,FALSE)*Q942+VLOOKUP(B800,A$15:L$36,5,FALSE)*Q943+VLOOKUP(B800,A$15:L$36,6,FALSE)*Q944+VLOOKUP(B800,A$15:L$36,7,FALSE)*Q945+VLOOKUP(B800,A$15:L$36,8,FALSE)*Q946+VLOOKUP(B800,A$15:L$36,9,FALSE)*Q947+VLOOKUP(B800,A$15:L$36,10,FALSE)*Q948+VLOOKUP(B800,A$15:L$36,11,FALSE)*Q949+VLOOKUP(B800,A$15:L$36,12,FALSE)*Q950," ")</f>
        <v xml:space="preserve"> </v>
      </c>
      <c r="S940" s="8" t="str">
        <f>IFERROR(IF(R940-VLOOKUP(B800,A$15:O$36,15,FALSE)&lt;0,R940-VLOOKUP(B800,A$15:O$36,15,FALSE)," ")," ")</f>
        <v xml:space="preserve"> </v>
      </c>
      <c r="T940" s="18" t="str">
        <f>IFERROR(IF(R940-VLOOKUP(B800,A$15:O$36,15,FALSE)&gt;0,R940-VLOOKUP(B800,A$15:O$36,15,FALSE)," ")," ")</f>
        <v xml:space="preserve"> </v>
      </c>
      <c r="U940" s="34">
        <f t="shared" ref="U940" si="3921">$M$2</f>
        <v>100.00000000000001</v>
      </c>
      <c r="V940" s="34">
        <v>-1</v>
      </c>
      <c r="W940" s="34">
        <f t="shared" ref="W940" si="3922">-SUMPRODUCT($M$3:$M$12,$N$3:$N$12)</f>
        <v>-105000</v>
      </c>
      <c r="X940" s="34" t="e">
        <f t="shared" ref="X940" si="3923">IF(U940&lt;&gt;U941,MMULT(MINVERSE(U940:V941),W940:W941)," ")</f>
        <v>#NUM!</v>
      </c>
      <c r="Y940" s="34" t="str">
        <f t="shared" ref="Y940" si="3924">IFERROR(IF(X940-VLOOKUP(U$38,$A$2:$N$12,14,FALSE)&lt;0,X940-VLOOKUP(U$38,$A$2:$N$12,14,FALSE)," ")," ")</f>
        <v xml:space="preserve"> </v>
      </c>
      <c r="Z940" s="34" t="str">
        <f t="shared" ref="Z940" si="3925">IFERROR(IF(X940-VLOOKUP(U$38,$A$2:$N$12,14,FALSE)&gt;0,X940-VLOOKUP(U$38,$A$2:$N$12,14,FALSE)," ")," ")</f>
        <v xml:space="preserve"> </v>
      </c>
      <c r="AA940" s="34">
        <f t="shared" ref="AA940" si="3926">$M$3</f>
        <v>0</v>
      </c>
      <c r="AB940" s="34">
        <v>-1</v>
      </c>
      <c r="AC940" s="34">
        <f t="shared" ref="AC940" si="3927">-SUMPRODUCT($M$2:$M$2,$N$2:$N$2)-SUMPRODUCT($M$4:$M$12,$N$4:$N$12)</f>
        <v>-120000</v>
      </c>
      <c r="AD940" s="34" t="e">
        <f t="shared" ref="AD940" si="3928">IF(AA940&lt;&gt;AA941,MMULT(MINVERSE(AA940:AB941),AC940:AC941)," ")</f>
        <v>#NUM!</v>
      </c>
      <c r="AE940" s="34" t="str">
        <f t="shared" ref="AE940" si="3929">IFERROR(IF(AD940-VLOOKUP(AA$38,$A$2:$N$12,14,FALSE)&lt;0,AD940-VLOOKUP(AA$38,$A$2:$N$12,14,FALSE)," ")," ")</f>
        <v xml:space="preserve"> </v>
      </c>
      <c r="AF940" s="34" t="str">
        <f t="shared" ref="AF940" si="3930">IFERROR(IF(AD940-VLOOKUP(AA$38,$A$2:$N$12,14,FALSE)&gt;0,AD940-VLOOKUP(AA$38,$A$2:$N$12,14,FALSE)," ")," ")</f>
        <v xml:space="preserve"> </v>
      </c>
      <c r="AG940" s="34">
        <f t="shared" ref="AG940" si="3931">$M$4</f>
        <v>300</v>
      </c>
      <c r="AH940" s="34">
        <v>-1</v>
      </c>
      <c r="AI940" s="34">
        <f t="shared" ref="AI940" si="3932">-SUMPRODUCT($M$2:$M$3,$N$2:$N$3)-SUMPRODUCT($M$5:$M$12,$N$5:$N$12)</f>
        <v>-15000.000000000002</v>
      </c>
      <c r="AJ940" s="34" t="e">
        <f t="shared" ref="AJ940" si="3933">IF(AG940&lt;&gt;AG941,MMULT(MINVERSE(AG940:AH941),AI940:AI941)," ")</f>
        <v>#NUM!</v>
      </c>
      <c r="AK940" s="34" t="str">
        <f t="shared" ref="AK940" si="3934">IFERROR(IF(AJ940-VLOOKUP(AG$38,$A$2:$N$12,14,FALSE)&lt;0,AJ940-VLOOKUP(AG$38,$A$2:$N$12,14,FALSE)," ")," ")</f>
        <v xml:space="preserve"> </v>
      </c>
      <c r="AL940" s="34" t="str">
        <f t="shared" ref="AL940" si="3935">IFERROR(IF(AJ940-VLOOKUP(AG$38,$A$2:$N$12,14,FALSE)&gt;0,AJ940-VLOOKUP(AG$38,$A$2:$N$12,14,FALSE)," ")," ")</f>
        <v xml:space="preserve"> </v>
      </c>
      <c r="AM940" s="34">
        <f t="shared" ref="AM940" si="3936">$M$5</f>
        <v>0</v>
      </c>
      <c r="AN940" s="34">
        <v>-1</v>
      </c>
      <c r="AO940" s="34">
        <f t="shared" ref="AO940" si="3937">-SUMPRODUCT($M$2:$M$4,$N$2:$N$4)-SUMPRODUCT($M$6:$M$12,$N$6:$N$12)</f>
        <v>-120000</v>
      </c>
      <c r="AP940" s="34" t="e">
        <f t="shared" ref="AP940" si="3938">IF(AM940&lt;&gt;AM941,MMULT(MINVERSE(AM940:AN941),AO940:AO941)," ")</f>
        <v>#NUM!</v>
      </c>
      <c r="AQ940" s="34" t="str">
        <f t="shared" ref="AQ940" si="3939">IFERROR(IF(AP940-VLOOKUP(AM$38,$A$2:$N$12,14,FALSE)&lt;0,AP940-VLOOKUP(AM$38,$A$2:$N$12,14,FALSE)," ")," ")</f>
        <v xml:space="preserve"> </v>
      </c>
      <c r="AR940" s="34" t="str">
        <f t="shared" ref="AR940" si="3940">IFERROR(IF(AP940-VLOOKUP(AM$38,$A$2:$N$12,14,FALSE)&gt;0,AP940-VLOOKUP(AM$38,$A$2:$N$12,14,FALSE)," ")," ")</f>
        <v xml:space="preserve"> </v>
      </c>
      <c r="AS940" s="34">
        <f t="shared" ref="AS940" si="3941">$M$6</f>
        <v>0</v>
      </c>
      <c r="AT940" s="34">
        <v>-1</v>
      </c>
      <c r="AU940" s="34">
        <f t="shared" ref="AU940" si="3942">-SUMPRODUCT($M$2:$M$5,$N$2:$N$5)-SUMPRODUCT($M$7:$M$12,$N$7:$N$12)</f>
        <v>-120000</v>
      </c>
      <c r="AV940" s="34" t="e">
        <f t="shared" ref="AV940" si="3943">IF(AS940&lt;&gt;AS941,MMULT(MINVERSE(AS940:AT941),AU940:AU941)," ")</f>
        <v>#NUM!</v>
      </c>
      <c r="AW940" s="34" t="str">
        <f t="shared" ref="AW940" si="3944">IFERROR(IF(AV940-VLOOKUP(AS$38,$A$2:$N$12,14,FALSE)&lt;0,AV940-VLOOKUP(AS$38,$A$2:$N$12,14,FALSE)," ")," ")</f>
        <v xml:space="preserve"> </v>
      </c>
      <c r="AX940" s="34" t="str">
        <f t="shared" ref="AX940" si="3945">IFERROR(IF(AV940-VLOOKUP(AS$38,$A$2:$N$12,14,FALSE)&gt;0,AV940-VLOOKUP(AS$38,$A$2:$N$12,14,FALSE)," ")," ")</f>
        <v xml:space="preserve"> </v>
      </c>
      <c r="AY940" s="34">
        <f t="shared" ref="AY940" si="3946">$M$7</f>
        <v>0</v>
      </c>
      <c r="AZ940" s="34">
        <v>-1</v>
      </c>
      <c r="BA940" s="34">
        <f t="shared" ref="BA940" si="3947">-SUMPRODUCT($M$2:$M$6,$N$2:$N$6)-SUMPRODUCT($M$8:$M$12,$N$8:$N$12)</f>
        <v>-120000</v>
      </c>
      <c r="BB940" s="34" t="e">
        <f t="shared" ref="BB940" si="3948">IF(AY940&lt;&gt;AY941,MMULT(MINVERSE(AY940:AZ941),BA940:BA941)," ")</f>
        <v>#NUM!</v>
      </c>
      <c r="BC940" s="34" t="str">
        <f t="shared" ref="BC940" si="3949">IFERROR(IF(BB940-VLOOKUP(AY$38,$A$2:$N$12,14,FALSE)&lt;0,BB940-VLOOKUP(AY$38,$A$2:$N$12,14,FALSE)," ")," ")</f>
        <v xml:space="preserve"> </v>
      </c>
      <c r="BD940" s="34" t="str">
        <f t="shared" ref="BD940" si="3950">IFERROR(IF(BB940-VLOOKUP(AY$38,$A$2:$N$12,14,FALSE)&gt;0,BB940-VLOOKUP(AY$38,$A$2:$N$12,14,FALSE)," ")," ")</f>
        <v xml:space="preserve"> </v>
      </c>
      <c r="BE940" s="34">
        <f t="shared" ref="BE940" si="3951">$M$8</f>
        <v>0</v>
      </c>
      <c r="BF940" s="34">
        <v>-1</v>
      </c>
      <c r="BG940" s="34">
        <f t="shared" ref="BG940" si="3952">-SUMPRODUCT($M$2:$M$7,$N$2:$N$7)-SUMPRODUCT($M$9:$M$12,$N$9:$N$12)</f>
        <v>-120000</v>
      </c>
      <c r="BH940" s="34" t="e">
        <f t="shared" ref="BH940" si="3953">IF(BE940&lt;&gt;BE941,MMULT(MINVERSE(BE940:BF941),BG940:BG941)," ")</f>
        <v>#NUM!</v>
      </c>
      <c r="BI940" s="34" t="str">
        <f t="shared" ref="BI940" si="3954">IFERROR(IF(BH940-VLOOKUP(BE$38,$A$2:$N$12,14,FALSE)&lt;0,BH940-VLOOKUP(BE$38,$A$2:$N$12,14,FALSE)," ")," ")</f>
        <v xml:space="preserve"> </v>
      </c>
      <c r="BJ940" s="34" t="str">
        <f t="shared" ref="BJ940" si="3955">IFERROR(IF(BH940-VLOOKUP(BE$38,$A$2:$N$12,14,FALSE)&gt;0,BH940-VLOOKUP(BE$38,$A$2:$N$12,14,FALSE)," ")," ")</f>
        <v xml:space="preserve"> </v>
      </c>
      <c r="BK940" s="34">
        <f t="shared" ref="BK940" si="3956">$M$9</f>
        <v>0</v>
      </c>
      <c r="BL940" s="34">
        <v>-1</v>
      </c>
      <c r="BM940" s="34">
        <f t="shared" ref="BM940" si="3957">-SUMPRODUCT($M$2:$M$8,$N$2:$N$8)-SUMPRODUCT($M$10:$M$12,$N$10:$N$12)</f>
        <v>-120000</v>
      </c>
      <c r="BN940" s="34" t="e">
        <f t="shared" ref="BN940" si="3958">IF(BK940&lt;&gt;BK941,MMULT(MINVERSE(BK940:BL941),BM940:BM941)," ")</f>
        <v>#NUM!</v>
      </c>
      <c r="BO940" s="34" t="str">
        <f t="shared" ref="BO940" si="3959">IFERROR(IF(BN940-VLOOKUP(BK$38,$A$2:$N$12,14,FALSE)&lt;0,BN940-VLOOKUP(BK$38,$A$2:$N$12,14,FALSE)," ")," ")</f>
        <v xml:space="preserve"> </v>
      </c>
      <c r="BP940" s="34" t="str">
        <f t="shared" ref="BP940" si="3960">IFERROR(IF(BN940-VLOOKUP(BK$38,$A$2:$N$12,14,FALSE)&gt;0,BN940-VLOOKUP(BK$38,$A$2:$N$12,14,FALSE)," ")," ")</f>
        <v xml:space="preserve"> </v>
      </c>
      <c r="BQ940" s="34">
        <f t="shared" ref="BQ940" si="3961">$M$10</f>
        <v>0</v>
      </c>
      <c r="BR940" s="34">
        <v>-1</v>
      </c>
      <c r="BS940" s="34">
        <f t="shared" ref="BS940" si="3962">-SUMPRODUCT($M$2:$M$9,$N$2:$N$9)-SUMPRODUCT($M$11:$M$12,$N$11:$N$12)</f>
        <v>-120000</v>
      </c>
      <c r="BT940" s="34" t="e">
        <f t="shared" ref="BT940" si="3963">IF(BQ940&lt;&gt;BQ941,MMULT(MINVERSE(BQ940:BR941),BS940:BS941)," ")</f>
        <v>#NUM!</v>
      </c>
      <c r="BU940" s="34" t="str">
        <f t="shared" ref="BU940" si="3964">IFERROR(IF(BT940-VLOOKUP(BQ$38,$A$2:$N$12,14,FALSE)&lt;0,BT940-VLOOKUP(BQ$38,$A$2:$N$12,14,FALSE)," ")," ")</f>
        <v xml:space="preserve"> </v>
      </c>
      <c r="BV940" s="34" t="str">
        <f t="shared" ref="BV940" si="3965">IFERROR(IF(BT940-VLOOKUP(BQ$38,$A$2:$N$12,14,FALSE)&gt;0,BT940-VLOOKUP(BQ$38,$A$2:$N$12,14,FALSE)," ")," ")</f>
        <v xml:space="preserve"> </v>
      </c>
      <c r="BW940" s="34">
        <f t="shared" ref="BW940" si="3966">$M$11</f>
        <v>0</v>
      </c>
      <c r="BX940" s="34">
        <v>-1</v>
      </c>
      <c r="BY940" s="34">
        <f t="shared" ref="BY940" si="3967">-SUMPRODUCT($M$2:$M$10,$N$2:$N$10)-SUMPRODUCT($M$12,$N$12)</f>
        <v>-120000</v>
      </c>
      <c r="BZ940" s="34" t="e">
        <f t="shared" ref="BZ940" si="3968">IF(BW940&lt;&gt;BW941,MMULT(MINVERSE(BW940:BX941),BY940:BY941)," ")</f>
        <v>#NUM!</v>
      </c>
      <c r="CA940" s="34" t="str">
        <f t="shared" ref="CA940" si="3969">IFERROR(IF(BZ940-VLOOKUP(BW$38,$A$2:$N$12,14,FALSE)&lt;0,BZ940-VLOOKUP(BW$38,$A$2:$N$12,14,FALSE)," ")," ")</f>
        <v xml:space="preserve"> </v>
      </c>
      <c r="CB940" s="34" t="str">
        <f t="shared" ref="CB940" si="3970">IFERROR(IF(BZ940-VLOOKUP(BW$38,$A$2:$N$12,14,FALSE)&gt;0,BZ940-VLOOKUP(BW$38,$A$2:$N$12,14,FALSE)," ")," ")</f>
        <v xml:space="preserve"> </v>
      </c>
      <c r="CC940" s="34">
        <f t="shared" ref="CC940" si="3971">$M$12</f>
        <v>0</v>
      </c>
      <c r="CD940" s="34">
        <v>-1</v>
      </c>
      <c r="CE940" s="34">
        <f t="shared" ref="CE940" si="3972">-SUMPRODUCT($M$2:$M$11,$N$2:$N$11)</f>
        <v>-120000</v>
      </c>
      <c r="CF940" s="34" t="e">
        <f t="shared" ref="CF940" si="3973">IF(CC940&lt;&gt;CC941,MMULT(MINVERSE(CC940:CD941),CE940:CE941)," ")</f>
        <v>#NUM!</v>
      </c>
      <c r="CG940" s="34" t="str">
        <f t="shared" ref="CG940" si="3974">IFERROR(IF(CF940-VLOOKUP(CC$38,$A$2:$N$12,14,FALSE)&lt;0,CF940-VLOOKUP(CC$38,$A$2:$N$12,14,FALSE)," ")," ")</f>
        <v xml:space="preserve"> </v>
      </c>
      <c r="CH940" s="34" t="str">
        <f t="shared" ref="CH940" si="3975">IFERROR(IF(CF940-VLOOKUP(CC$38,$A$2:$N$12,14,FALSE)&gt;0,CF940-VLOOKUP(CC$38,$A$2:$N$12,14,FALSE)," ")," ")</f>
        <v xml:space="preserve"> </v>
      </c>
      <c r="CI940" s="8"/>
    </row>
    <row r="941" spans="1:87" x14ac:dyDescent="0.2">
      <c r="A941" s="8" t="str">
        <f>IF(AND(COUNTIF(W$3:W$13,A$16)&gt;0,A$16&lt;&gt;B1400),A$16,IFERROR(IF(MATCH(A$16,Z$3:Z$13,0)=7,A$16," ")," "))</f>
        <v xml:space="preserve"> </v>
      </c>
      <c r="B941" s="8" t="str">
        <f>IF(A941=" "," ",MAX(B940:B940)+1)</f>
        <v xml:space="preserve"> </v>
      </c>
      <c r="C941" s="8" t="str">
        <f>IFERROR(INDEX(A940:A961,MATCH(SMALL(B940:B961,2),B940:B961,0),1)," ")</f>
        <v>C4</v>
      </c>
      <c r="D941" s="8">
        <f t="shared" ref="D941:D950" si="3976">IFERROR(VLOOKUP($C941,$A$15:$O$36,2,FALSE)," ")</f>
        <v>1</v>
      </c>
      <c r="E941" s="8">
        <f t="shared" ref="E941:E950" si="3977">IFERROR(VLOOKUP($C941,$A$15:$O$36,3,FALSE)," ")</f>
        <v>0</v>
      </c>
      <c r="F941" s="8">
        <f t="shared" ref="F941:F950" si="3978">IFERROR(VLOOKUP($C941,$A$15:$O$36,4,FALSE)," ")</f>
        <v>1</v>
      </c>
      <c r="G941" s="8">
        <f t="shared" ref="G941:G950" si="3979">IFERROR(VLOOKUP($C941,$A$15:$O$36,5,FALSE)," ")</f>
        <v>0</v>
      </c>
      <c r="H941" s="8">
        <f t="shared" ref="H941:H950" si="3980">IFERROR(VLOOKUP($C941,$A$15:$O$36,6,FALSE)," ")</f>
        <v>0</v>
      </c>
      <c r="I941" s="8">
        <f t="shared" ref="I941:I950" si="3981">IFERROR(VLOOKUP($C941,$A$15:$O$36,7,FALSE)," ")</f>
        <v>0</v>
      </c>
      <c r="J941" s="8">
        <f t="shared" ref="J941:J950" si="3982">IFERROR(VLOOKUP($C941,$A$15:$O$36,8,FALSE)," ")</f>
        <v>0</v>
      </c>
      <c r="K941" s="8">
        <f t="shared" ref="K941:K950" si="3983">IFERROR(VLOOKUP($C941,$A$15:$O$36,9,FALSE)," ")</f>
        <v>0</v>
      </c>
      <c r="L941" s="8">
        <f t="shared" ref="L941:L950" si="3984">IFERROR(VLOOKUP($C941,$A$15:$O$36,10,FALSE)," ")</f>
        <v>0</v>
      </c>
      <c r="M941" s="8">
        <f t="shared" ref="M941:M950" si="3985">IFERROR(VLOOKUP($C941,$A$15:$O$36,11,FALSE)," ")</f>
        <v>0</v>
      </c>
      <c r="N941" s="8">
        <f t="shared" ref="N941:N950" si="3986">IFERROR(VLOOKUP($C941,$A$15:$O$36,12,FALSE)," ")</f>
        <v>0</v>
      </c>
      <c r="O941" s="8">
        <f t="shared" ref="O941:O950" si="3987">IFERROR(VLOOKUP($C941,$A$15:$O$36,15,FALSE)," ")</f>
        <v>400</v>
      </c>
      <c r="P941" s="8" t="e">
        <v>#NUM!</v>
      </c>
      <c r="Q941" s="8" t="e">
        <f t="shared" ref="Q941" si="3988">IF(COUNTIF(P940:P950,"&lt;"&amp;-0.001)=0,IF(ABS(P941)&lt;0.001,0,P941)," ")</f>
        <v>#NUM!</v>
      </c>
      <c r="R941" s="8"/>
      <c r="S941" s="8"/>
      <c r="U941" s="34" t="e">
        <f t="shared" ref="U941" si="3989">$Q940</f>
        <v>#NUM!</v>
      </c>
      <c r="V941" s="34">
        <v>-1</v>
      </c>
      <c r="W941" s="34" t="e">
        <f t="shared" ref="W941" si="3990">-SUMPRODUCT($Q941:$Q950,$N$3:$N$12)</f>
        <v>#NUM!</v>
      </c>
      <c r="X941" s="34"/>
      <c r="Y941" s="34"/>
      <c r="Z941" s="34"/>
      <c r="AA941" s="34" t="e">
        <f t="shared" ref="AA941" si="3991">$Q941</f>
        <v>#NUM!</v>
      </c>
      <c r="AB941" s="34">
        <v>-1</v>
      </c>
      <c r="AC941" s="34" t="e">
        <f t="shared" ref="AC941" si="3992">-SUMPRODUCT($Q940:$Q940,$N$2:$N$2)-SUMPRODUCT($Q942:$Q950,$N$4:$N$12)</f>
        <v>#NUM!</v>
      </c>
      <c r="AD941" s="34"/>
      <c r="AE941" s="34"/>
      <c r="AF941" s="34"/>
      <c r="AG941" s="34" t="e">
        <f t="shared" ref="AG941" si="3993">$Q942</f>
        <v>#NUM!</v>
      </c>
      <c r="AH941" s="34">
        <v>-1</v>
      </c>
      <c r="AI941" s="34" t="e">
        <f t="shared" ref="AI941" si="3994">-SUMPRODUCT($Q940:$Q941,$N$2:$N$3)-SUMPRODUCT($Q943:$Q950,$N$5:$N$12)</f>
        <v>#NUM!</v>
      </c>
      <c r="AJ941" s="34"/>
      <c r="AK941" s="34"/>
      <c r="AL941" s="34"/>
      <c r="AM941" s="34" t="e">
        <f t="shared" ref="AM941" si="3995">$Q943</f>
        <v>#NUM!</v>
      </c>
      <c r="AN941" s="34">
        <v>-1</v>
      </c>
      <c r="AO941" s="34" t="e">
        <f t="shared" ref="AO941" si="3996">-SUMPRODUCT($Q940:$Q942,$N$2:$N$4)-SUMPRODUCT($Q944:$Q950,$N$6:$N$12)</f>
        <v>#NUM!</v>
      </c>
      <c r="AP941" s="34"/>
      <c r="AQ941" s="34"/>
      <c r="AR941" s="34"/>
      <c r="AS941" s="34" t="e">
        <f t="shared" ref="AS941" si="3997">$Q944</f>
        <v>#NUM!</v>
      </c>
      <c r="AT941" s="34">
        <v>-1</v>
      </c>
      <c r="AU941" s="34" t="e">
        <f t="shared" ref="AU941" si="3998">-SUMPRODUCT($Q940:$Q943,$N$2:$N$5)-SUMPRODUCT($Q945:$Q950,$N$7:$N$12)</f>
        <v>#NUM!</v>
      </c>
      <c r="AV941" s="34"/>
      <c r="AW941" s="34"/>
      <c r="AX941" s="34"/>
      <c r="AY941" s="34" t="e">
        <f t="shared" ref="AY941" si="3999">$Q945</f>
        <v>#NUM!</v>
      </c>
      <c r="AZ941" s="34">
        <v>-1</v>
      </c>
      <c r="BA941" s="34" t="e">
        <f t="shared" ref="BA941" si="4000">-SUMPRODUCT($Q940:$Q944,$N$2:$N$6)-SUMPRODUCT($Q946:$Q950,$N$8:$N$12)</f>
        <v>#NUM!</v>
      </c>
      <c r="BB941" s="34"/>
      <c r="BC941" s="34"/>
      <c r="BD941" s="34"/>
      <c r="BE941" s="34" t="e">
        <f t="shared" ref="BE941" si="4001">$Q946</f>
        <v>#NUM!</v>
      </c>
      <c r="BF941" s="34">
        <v>-1</v>
      </c>
      <c r="BG941" s="34" t="e">
        <f t="shared" ref="BG941" si="4002">-SUMPRODUCT($Q940:$Q945,$N$2:$N$7)-SUMPRODUCT($Q947:$Q950,$N$9:$N$12)</f>
        <v>#NUM!</v>
      </c>
      <c r="BH941" s="34"/>
      <c r="BI941" s="34"/>
      <c r="BJ941" s="34"/>
      <c r="BK941" s="34" t="e">
        <f t="shared" ref="BK941" si="4003">$Q947</f>
        <v>#NUM!</v>
      </c>
      <c r="BL941" s="34">
        <v>-1</v>
      </c>
      <c r="BM941" s="34" t="e">
        <f t="shared" ref="BM941" si="4004">-SUMPRODUCT($Q940:$Q946,$N$2:$N$8)-SUMPRODUCT($Q948:$Q950,$N$10:$N$12)</f>
        <v>#NUM!</v>
      </c>
      <c r="BN941" s="34"/>
      <c r="BO941" s="34"/>
      <c r="BP941" s="34"/>
      <c r="BQ941" s="34" t="e">
        <f t="shared" ref="BQ941" si="4005">$Q948</f>
        <v>#NUM!</v>
      </c>
      <c r="BR941" s="34">
        <v>-1</v>
      </c>
      <c r="BS941" s="34" t="e">
        <f t="shared" ref="BS941" si="4006">-SUMPRODUCT($Q940:$Q947,$N$2:$N$9)-SUMPRODUCT($Q949:$Q950,$N$11:$N$12)</f>
        <v>#NUM!</v>
      </c>
      <c r="BT941" s="34"/>
      <c r="BU941" s="34"/>
      <c r="BV941" s="34"/>
      <c r="BW941" s="34" t="e">
        <f t="shared" ref="BW941" si="4007">$Q949</f>
        <v>#NUM!</v>
      </c>
      <c r="BX941" s="34">
        <v>-1</v>
      </c>
      <c r="BY941" s="34" t="e">
        <f t="shared" ref="BY941" si="4008">-SUMPRODUCT($Q940:$Q948,$N$2:$N$10)-SUMPRODUCT($Q950,$N$12)</f>
        <v>#NUM!</v>
      </c>
      <c r="BZ941" s="34"/>
      <c r="CA941" s="34"/>
      <c r="CB941" s="34"/>
      <c r="CC941" s="34" t="e">
        <f t="shared" ref="CC941" si="4009">$Q950</f>
        <v>#NUM!</v>
      </c>
      <c r="CD941" s="34">
        <v>-1</v>
      </c>
      <c r="CE941" s="34" t="e">
        <f t="shared" ref="CE941" si="4010">-SUMPRODUCT($Q940:$Q949,$N$2:$N$11)</f>
        <v>#NUM!</v>
      </c>
      <c r="CF941" s="34"/>
      <c r="CG941" s="34"/>
      <c r="CH941" s="34"/>
      <c r="CI941" s="8"/>
    </row>
    <row r="942" spans="1:87" x14ac:dyDescent="0.2">
      <c r="A942" s="8" t="str">
        <f>IF(AND(COUNTIF(W$3:W$13,A$17)&gt;0,A$17&lt;&gt;B800),A$17,IFERROR(IF(MATCH(A$17,Z$3:Z$13,0)=7,A$17," ")," "))</f>
        <v>C3</v>
      </c>
      <c r="B942" s="8">
        <f>IF(A942=" "," ",MAX(B940:B941)+1)</f>
        <v>1</v>
      </c>
      <c r="C942" s="8" t="str">
        <f>IFERROR(INDEX(A940:A961,MATCH(SMALL(B940:B961,3),B940:B961,0),1)," ")</f>
        <v>C9</v>
      </c>
      <c r="D942" s="8">
        <f t="shared" si="3976"/>
        <v>0</v>
      </c>
      <c r="E942" s="8">
        <f t="shared" si="3977"/>
        <v>0</v>
      </c>
      <c r="F942" s="8">
        <f t="shared" si="3978"/>
        <v>0</v>
      </c>
      <c r="G942" s="8">
        <f t="shared" si="3979"/>
        <v>0</v>
      </c>
      <c r="H942" s="8">
        <f t="shared" si="3980"/>
        <v>0</v>
      </c>
      <c r="I942" s="8">
        <f t="shared" si="3981"/>
        <v>0</v>
      </c>
      <c r="J942" s="8">
        <f t="shared" si="3982"/>
        <v>0</v>
      </c>
      <c r="K942" s="8">
        <f t="shared" si="3983"/>
        <v>0</v>
      </c>
      <c r="L942" s="8">
        <f t="shared" si="3984"/>
        <v>0</v>
      </c>
      <c r="M942" s="8">
        <f t="shared" si="3985"/>
        <v>0</v>
      </c>
      <c r="N942" s="8">
        <f t="shared" si="3986"/>
        <v>0</v>
      </c>
      <c r="O942" s="8">
        <f t="shared" si="3987"/>
        <v>0</v>
      </c>
      <c r="P942" s="8" t="e">
        <v>#NUM!</v>
      </c>
      <c r="Q942" s="8" t="e">
        <f t="shared" ref="Q942" si="4011">IF(COUNTIF(P940:P950,"&lt;"&amp;-0.001)=0,IF(ABS(P942)&lt;0.001,0,P942)," ")</f>
        <v>#NUM!</v>
      </c>
      <c r="R942" s="8"/>
      <c r="S942" s="8"/>
      <c r="U942" s="34"/>
      <c r="V942" s="34"/>
      <c r="W942" s="34"/>
      <c r="X942" s="34"/>
      <c r="Y942" s="34"/>
      <c r="Z942" s="34"/>
      <c r="AA942" s="34"/>
      <c r="AB942" s="34"/>
      <c r="AC942" s="34"/>
      <c r="AD942" s="34"/>
      <c r="AE942" s="34"/>
      <c r="AF942" s="34"/>
      <c r="AG942" s="34"/>
      <c r="AH942" s="34"/>
      <c r="AI942" s="34"/>
      <c r="AJ942" s="34"/>
      <c r="AK942" s="34"/>
      <c r="AL942" s="34"/>
      <c r="AM942" s="34"/>
      <c r="AN942" s="34"/>
      <c r="AO942" s="34"/>
      <c r="AP942" s="34"/>
      <c r="AQ942" s="34"/>
      <c r="AR942" s="34"/>
      <c r="AS942" s="34"/>
      <c r="AT942" s="34"/>
      <c r="AU942" s="34"/>
      <c r="AV942" s="34"/>
      <c r="AW942" s="34"/>
      <c r="AX942" s="34"/>
      <c r="AY942" s="34"/>
      <c r="AZ942" s="34"/>
      <c r="BA942" s="34"/>
      <c r="BB942" s="34"/>
      <c r="BC942" s="34"/>
      <c r="BD942" s="34"/>
      <c r="BE942" s="34"/>
      <c r="BF942" s="34"/>
      <c r="BG942" s="34"/>
      <c r="BH942" s="34"/>
      <c r="BI942" s="34"/>
      <c r="BJ942" s="34"/>
      <c r="BK942" s="34"/>
      <c r="BL942" s="34"/>
      <c r="BM942" s="34"/>
      <c r="BN942" s="34"/>
      <c r="BO942" s="34"/>
      <c r="BP942" s="34"/>
      <c r="BQ942" s="34"/>
      <c r="BR942" s="34"/>
      <c r="BS942" s="34"/>
      <c r="BT942" s="34"/>
      <c r="BU942" s="34"/>
      <c r="BV942" s="34"/>
      <c r="BW942" s="34"/>
      <c r="BX942" s="34"/>
      <c r="BY942" s="34"/>
      <c r="BZ942" s="34"/>
      <c r="CA942" s="34"/>
      <c r="CB942" s="34"/>
      <c r="CC942" s="34"/>
      <c r="CD942" s="34"/>
      <c r="CE942" s="34"/>
      <c r="CF942" s="34"/>
      <c r="CG942" s="34"/>
      <c r="CH942" s="34"/>
      <c r="CI942" s="8"/>
    </row>
    <row r="943" spans="1:87" x14ac:dyDescent="0.2">
      <c r="A943" s="8" t="str">
        <f>IF(AND(COUNTIF(W$3:W$13,A$18)&gt;0,A$18&lt;&gt;B800),A$18,IFERROR(IF(MATCH(A$18,Z$3:Z$13,0)=7,A$18," ")," "))</f>
        <v>C4</v>
      </c>
      <c r="B943" s="8">
        <f>IF(A943=" "," ",MAX(B940:B942)+1)</f>
        <v>2</v>
      </c>
      <c r="C943" s="8" t="str">
        <f>IFERROR(INDEX(A940:A961,MATCH(SMALL(B940:B961,4),B940:B961,0),1)," ")</f>
        <v>C13</v>
      </c>
      <c r="D943" s="8">
        <f t="shared" si="3976"/>
        <v>0</v>
      </c>
      <c r="E943" s="8">
        <f t="shared" si="3977"/>
        <v>1</v>
      </c>
      <c r="F943" s="8">
        <f t="shared" si="3978"/>
        <v>0</v>
      </c>
      <c r="G943" s="8">
        <f t="shared" si="3979"/>
        <v>0</v>
      </c>
      <c r="H943" s="8">
        <f t="shared" si="3980"/>
        <v>0</v>
      </c>
      <c r="I943" s="8">
        <f t="shared" si="3981"/>
        <v>0</v>
      </c>
      <c r="J943" s="8">
        <f t="shared" si="3982"/>
        <v>0</v>
      </c>
      <c r="K943" s="8">
        <f t="shared" si="3983"/>
        <v>0</v>
      </c>
      <c r="L943" s="8">
        <f t="shared" si="3984"/>
        <v>0</v>
      </c>
      <c r="M943" s="8">
        <f t="shared" si="3985"/>
        <v>0</v>
      </c>
      <c r="N943" s="8">
        <f t="shared" si="3986"/>
        <v>0</v>
      </c>
      <c r="O943" s="8">
        <f t="shared" si="3987"/>
        <v>0</v>
      </c>
      <c r="P943" s="8" t="e">
        <v>#NUM!</v>
      </c>
      <c r="Q943" s="8" t="e">
        <f t="shared" ref="Q943" si="4012">IF(COUNTIF(P940:P950,"&lt;"&amp;-0.001)=0,IF(ABS(P943)&lt;0.001,0,P943)," ")</f>
        <v>#NUM!</v>
      </c>
      <c r="R943" s="8"/>
      <c r="S943" s="8"/>
      <c r="U943" s="34"/>
      <c r="V943" s="34"/>
      <c r="W943" s="34"/>
      <c r="X943" s="34"/>
      <c r="Y943" s="34"/>
      <c r="Z943" s="34"/>
      <c r="AA943" s="34"/>
      <c r="AB943" s="34"/>
      <c r="AC943" s="34"/>
      <c r="AD943" s="34"/>
      <c r="AE943" s="34"/>
      <c r="AF943" s="34"/>
      <c r="AG943" s="34"/>
      <c r="AH943" s="34"/>
      <c r="AI943" s="34"/>
      <c r="AJ943" s="34"/>
      <c r="AK943" s="34"/>
      <c r="AL943" s="34"/>
      <c r="AM943" s="34"/>
      <c r="AN943" s="34"/>
      <c r="AO943" s="34"/>
      <c r="AP943" s="34"/>
      <c r="AQ943" s="34"/>
      <c r="AR943" s="34"/>
      <c r="AS943" s="34"/>
      <c r="AT943" s="34"/>
      <c r="AU943" s="34"/>
      <c r="AV943" s="34"/>
      <c r="AW943" s="34"/>
      <c r="AX943" s="34"/>
      <c r="AY943" s="34"/>
      <c r="AZ943" s="34"/>
      <c r="BA943" s="34"/>
      <c r="BB943" s="34"/>
      <c r="BC943" s="34"/>
      <c r="BD943" s="34"/>
      <c r="BE943" s="34"/>
      <c r="BF943" s="34"/>
      <c r="BG943" s="34"/>
      <c r="BH943" s="34"/>
      <c r="BI943" s="34"/>
      <c r="BJ943" s="34"/>
      <c r="BK943" s="34"/>
      <c r="BL943" s="34"/>
      <c r="BM943" s="34"/>
      <c r="BN943" s="34"/>
      <c r="BO943" s="34"/>
      <c r="BP943" s="34"/>
      <c r="BQ943" s="34"/>
      <c r="BR943" s="34"/>
      <c r="BS943" s="34"/>
      <c r="BT943" s="34"/>
      <c r="BU943" s="34"/>
      <c r="BV943" s="34"/>
      <c r="BW943" s="34"/>
      <c r="BX943" s="34"/>
      <c r="BY943" s="34"/>
      <c r="BZ943" s="34"/>
      <c r="CA943" s="34"/>
      <c r="CB943" s="34"/>
      <c r="CC943" s="34"/>
      <c r="CD943" s="34"/>
      <c r="CE943" s="34"/>
      <c r="CF943" s="34"/>
      <c r="CG943" s="34"/>
      <c r="CH943" s="34"/>
      <c r="CI943" s="8"/>
    </row>
    <row r="944" spans="1:87" x14ac:dyDescent="0.2">
      <c r="A944" s="8" t="str">
        <f>IF(AND(COUNTIF(W$3:W$13,A$19)&gt;0,A$19&lt;&gt;B800),A$19,IFERROR(IF(MATCH(A$19,Z$3:Z$13,0)=7,A$19," ")," "))</f>
        <v xml:space="preserve"> </v>
      </c>
      <c r="B944" s="8" t="str">
        <f>IF(A944=" "," ",MAX(B940:B943)+1)</f>
        <v xml:space="preserve"> </v>
      </c>
      <c r="C944" s="8" t="str">
        <f>IFERROR(INDEX(A940:A961,MATCH(SMALL(B940:B961,5),B940:B961,0),1)," ")</f>
        <v>C16</v>
      </c>
      <c r="D944" s="8">
        <f t="shared" si="3976"/>
        <v>0</v>
      </c>
      <c r="E944" s="8">
        <f t="shared" si="3977"/>
        <v>0</v>
      </c>
      <c r="F944" s="8">
        <f t="shared" si="3978"/>
        <v>0</v>
      </c>
      <c r="G944" s="8">
        <f t="shared" si="3979"/>
        <v>0</v>
      </c>
      <c r="H944" s="8">
        <f t="shared" si="3980"/>
        <v>1</v>
      </c>
      <c r="I944" s="8">
        <f t="shared" si="3981"/>
        <v>0</v>
      </c>
      <c r="J944" s="8">
        <f t="shared" si="3982"/>
        <v>0</v>
      </c>
      <c r="K944" s="8">
        <f t="shared" si="3983"/>
        <v>0</v>
      </c>
      <c r="L944" s="8">
        <f t="shared" si="3984"/>
        <v>0</v>
      </c>
      <c r="M944" s="8">
        <f t="shared" si="3985"/>
        <v>0</v>
      </c>
      <c r="N944" s="8">
        <f t="shared" si="3986"/>
        <v>0</v>
      </c>
      <c r="O944" s="8">
        <f t="shared" si="3987"/>
        <v>0</v>
      </c>
      <c r="P944" s="8" t="e">
        <v>#NUM!</v>
      </c>
      <c r="Q944" s="8" t="e">
        <f t="shared" ref="Q944" si="4013">IF(COUNTIF(P940:P950,"&lt;"&amp;-0.001)=0,IF(ABS(P944)&lt;0.001,0,P944)," ")</f>
        <v>#NUM!</v>
      </c>
      <c r="R944" s="8"/>
      <c r="S944" s="8"/>
      <c r="U944" s="34"/>
      <c r="V944" s="34"/>
      <c r="W944" s="34"/>
      <c r="X944" s="34"/>
      <c r="Y944" s="34"/>
      <c r="Z944" s="34"/>
      <c r="AA944" s="34"/>
      <c r="AB944" s="34"/>
      <c r="AC944" s="34"/>
      <c r="AD944" s="34"/>
      <c r="AE944" s="34"/>
      <c r="AF944" s="34"/>
      <c r="AG944" s="34"/>
      <c r="AH944" s="34"/>
      <c r="AI944" s="34"/>
      <c r="AJ944" s="34"/>
      <c r="AK944" s="34"/>
      <c r="AL944" s="34"/>
      <c r="AM944" s="34"/>
      <c r="AN944" s="34"/>
      <c r="AO944" s="34"/>
      <c r="AP944" s="34"/>
      <c r="AQ944" s="34"/>
      <c r="AR944" s="34"/>
      <c r="AS944" s="34"/>
      <c r="AT944" s="34"/>
      <c r="AU944" s="34"/>
      <c r="AV944" s="34"/>
      <c r="AW944" s="34"/>
      <c r="AX944" s="34"/>
      <c r="AY944" s="34"/>
      <c r="AZ944" s="34"/>
      <c r="BA944" s="34"/>
      <c r="BB944" s="34"/>
      <c r="BC944" s="34"/>
      <c r="BD944" s="34"/>
      <c r="BE944" s="34"/>
      <c r="BF944" s="34"/>
      <c r="BG944" s="34"/>
      <c r="BH944" s="34"/>
      <c r="BI944" s="34"/>
      <c r="BJ944" s="34"/>
      <c r="BK944" s="34"/>
      <c r="BL944" s="34"/>
      <c r="BM944" s="34"/>
      <c r="BN944" s="34"/>
      <c r="BO944" s="34"/>
      <c r="BP944" s="34"/>
      <c r="BQ944" s="34"/>
      <c r="BR944" s="34"/>
      <c r="BS944" s="34"/>
      <c r="BT944" s="34"/>
      <c r="BU944" s="34"/>
      <c r="BV944" s="34"/>
      <c r="BW944" s="34"/>
      <c r="BX944" s="34"/>
      <c r="BY944" s="34"/>
      <c r="BZ944" s="34"/>
      <c r="CA944" s="34"/>
      <c r="CB944" s="34"/>
      <c r="CC944" s="34"/>
      <c r="CD944" s="34"/>
      <c r="CE944" s="34"/>
      <c r="CF944" s="34"/>
      <c r="CG944" s="34"/>
      <c r="CH944" s="34"/>
      <c r="CI944" s="8"/>
    </row>
    <row r="945" spans="1:87" x14ac:dyDescent="0.2">
      <c r="A945" s="8" t="str">
        <f>IF(AND(COUNTIF(W$3:W$13,A$20)&gt;0,A$20&lt;&gt;B800),A$20,IFERROR(IF(MATCH(A$20,Z$3:Z$13,0)=7,A$20," ")," "))</f>
        <v xml:space="preserve"> </v>
      </c>
      <c r="B945" s="8" t="str">
        <f>IF(A945=" "," ",MAX(B940:B944)+1)</f>
        <v xml:space="preserve"> </v>
      </c>
      <c r="C945" s="8" t="str">
        <f>IFERROR(INDEX(A940:A961,MATCH(SMALL(B940:B961,6),B940:B961,0),1)," ")</f>
        <v>C17</v>
      </c>
      <c r="D945" s="8">
        <f t="shared" si="3976"/>
        <v>0</v>
      </c>
      <c r="E945" s="8">
        <f t="shared" si="3977"/>
        <v>0</v>
      </c>
      <c r="F945" s="8">
        <f t="shared" si="3978"/>
        <v>0</v>
      </c>
      <c r="G945" s="8">
        <f t="shared" si="3979"/>
        <v>0</v>
      </c>
      <c r="H945" s="8">
        <f t="shared" si="3980"/>
        <v>0</v>
      </c>
      <c r="I945" s="8">
        <f t="shared" si="3981"/>
        <v>1</v>
      </c>
      <c r="J945" s="8">
        <f t="shared" si="3982"/>
        <v>0</v>
      </c>
      <c r="K945" s="8">
        <f t="shared" si="3983"/>
        <v>0</v>
      </c>
      <c r="L945" s="8">
        <f t="shared" si="3984"/>
        <v>0</v>
      </c>
      <c r="M945" s="8">
        <f t="shared" si="3985"/>
        <v>0</v>
      </c>
      <c r="N945" s="8">
        <f t="shared" si="3986"/>
        <v>0</v>
      </c>
      <c r="O945" s="8">
        <f t="shared" si="3987"/>
        <v>0</v>
      </c>
      <c r="P945" s="8" t="e">
        <v>#NUM!</v>
      </c>
      <c r="Q945" s="8" t="e">
        <f t="shared" ref="Q945" si="4014">IF(COUNTIF(P940:P950,"&lt;"&amp;-0.001)=0,IF(ABS(P945)&lt;0.001,0,P945)," ")</f>
        <v>#NUM!</v>
      </c>
      <c r="R945" s="8"/>
      <c r="S945" s="8"/>
      <c r="U945" s="34"/>
      <c r="V945" s="34"/>
      <c r="W945" s="34"/>
      <c r="X945" s="34"/>
      <c r="Y945" s="34"/>
      <c r="Z945" s="34"/>
      <c r="AA945" s="34"/>
      <c r="AB945" s="34"/>
      <c r="AC945" s="34"/>
      <c r="AD945" s="34"/>
      <c r="AE945" s="34"/>
      <c r="AF945" s="34"/>
      <c r="AG945" s="34"/>
      <c r="AH945" s="34"/>
      <c r="AI945" s="34"/>
      <c r="AJ945" s="34"/>
      <c r="AK945" s="34"/>
      <c r="AL945" s="34"/>
      <c r="AM945" s="34"/>
      <c r="AN945" s="34"/>
      <c r="AO945" s="34"/>
      <c r="AP945" s="34"/>
      <c r="AQ945" s="34"/>
      <c r="AR945" s="34"/>
      <c r="AS945" s="34"/>
      <c r="AT945" s="34"/>
      <c r="AU945" s="34"/>
      <c r="AV945" s="34"/>
      <c r="AW945" s="34"/>
      <c r="AX945" s="34"/>
      <c r="AY945" s="34"/>
      <c r="AZ945" s="34"/>
      <c r="BA945" s="34"/>
      <c r="BB945" s="34"/>
      <c r="BC945" s="34"/>
      <c r="BD945" s="34"/>
      <c r="BE945" s="34"/>
      <c r="BF945" s="34"/>
      <c r="BG945" s="34"/>
      <c r="BH945" s="34"/>
      <c r="BI945" s="34"/>
      <c r="BJ945" s="34"/>
      <c r="BK945" s="34"/>
      <c r="BL945" s="34"/>
      <c r="BM945" s="34"/>
      <c r="BN945" s="34"/>
      <c r="BO945" s="34"/>
      <c r="BP945" s="34"/>
      <c r="BQ945" s="34"/>
      <c r="BR945" s="34"/>
      <c r="BS945" s="34"/>
      <c r="BT945" s="34"/>
      <c r="BU945" s="34"/>
      <c r="BV945" s="34"/>
      <c r="BW945" s="34"/>
      <c r="BX945" s="34"/>
      <c r="BY945" s="34"/>
      <c r="BZ945" s="34"/>
      <c r="CA945" s="34"/>
      <c r="CB945" s="34"/>
      <c r="CC945" s="34"/>
      <c r="CD945" s="34"/>
      <c r="CE945" s="34"/>
      <c r="CF945" s="34"/>
      <c r="CG945" s="34"/>
      <c r="CH945" s="34"/>
      <c r="CI945" s="8"/>
    </row>
    <row r="946" spans="1:87" x14ac:dyDescent="0.2">
      <c r="A946" s="8" t="str">
        <f>IF(AND(COUNTIF(W$3:W$13,A$21)&gt;0,A$21&lt;&gt;B800),A$21,IFERROR(IF(MATCH(A$21,Z$3:Z$13,0)=7,A$21," ")," "))</f>
        <v xml:space="preserve"> </v>
      </c>
      <c r="B946" s="8" t="str">
        <f>IF(A946=" "," ",MAX(B940:B945)+1)</f>
        <v xml:space="preserve"> </v>
      </c>
      <c r="C946" s="8" t="str">
        <f>IFERROR(INDEX(A940:A961,MATCH(SMALL(B940:B961,7),B940:B961,0),1)," ")</f>
        <v>C18</v>
      </c>
      <c r="D946" s="8">
        <f t="shared" si="3976"/>
        <v>0</v>
      </c>
      <c r="E946" s="8">
        <f t="shared" si="3977"/>
        <v>0</v>
      </c>
      <c r="F946" s="8">
        <f t="shared" si="3978"/>
        <v>0</v>
      </c>
      <c r="G946" s="8">
        <f t="shared" si="3979"/>
        <v>0</v>
      </c>
      <c r="H946" s="8">
        <f t="shared" si="3980"/>
        <v>0</v>
      </c>
      <c r="I946" s="8">
        <f t="shared" si="3981"/>
        <v>0</v>
      </c>
      <c r="J946" s="8">
        <f t="shared" si="3982"/>
        <v>1</v>
      </c>
      <c r="K946" s="8">
        <f t="shared" si="3983"/>
        <v>0</v>
      </c>
      <c r="L946" s="8">
        <f t="shared" si="3984"/>
        <v>0</v>
      </c>
      <c r="M946" s="8">
        <f t="shared" si="3985"/>
        <v>0</v>
      </c>
      <c r="N946" s="8">
        <f t="shared" si="3986"/>
        <v>0</v>
      </c>
      <c r="O946" s="8">
        <f t="shared" si="3987"/>
        <v>0</v>
      </c>
      <c r="P946" s="8" t="e">
        <v>#NUM!</v>
      </c>
      <c r="Q946" s="8" t="e">
        <f t="shared" ref="Q946" si="4015">IF(COUNTIF(P940:P950,"&lt;"&amp;-0.001)=0,IF(ABS(P946)&lt;0.001,0,P946)," ")</f>
        <v>#NUM!</v>
      </c>
      <c r="R946" s="8"/>
      <c r="S946" s="8"/>
      <c r="U946" s="34"/>
      <c r="V946" s="34"/>
      <c r="W946" s="34"/>
      <c r="X946" s="34"/>
      <c r="Y946" s="34"/>
      <c r="Z946" s="34"/>
      <c r="AA946" s="34"/>
      <c r="AB946" s="34"/>
      <c r="AC946" s="34"/>
      <c r="AD946" s="34"/>
      <c r="AE946" s="34"/>
      <c r="AF946" s="34"/>
      <c r="AG946" s="34"/>
      <c r="AH946" s="34"/>
      <c r="AI946" s="34"/>
      <c r="AJ946" s="34"/>
      <c r="AK946" s="34"/>
      <c r="AL946" s="34"/>
      <c r="AM946" s="34"/>
      <c r="AN946" s="34"/>
      <c r="AO946" s="34"/>
      <c r="AP946" s="34"/>
      <c r="AQ946" s="34"/>
      <c r="AR946" s="34"/>
      <c r="AS946" s="34"/>
      <c r="AT946" s="34"/>
      <c r="AU946" s="34"/>
      <c r="AV946" s="34"/>
      <c r="AW946" s="34"/>
      <c r="AX946" s="34"/>
      <c r="AY946" s="34"/>
      <c r="AZ946" s="34"/>
      <c r="BA946" s="34"/>
      <c r="BB946" s="34"/>
      <c r="BC946" s="34"/>
      <c r="BD946" s="34"/>
      <c r="BE946" s="34"/>
      <c r="BF946" s="34"/>
      <c r="BG946" s="34"/>
      <c r="BH946" s="34"/>
      <c r="BI946" s="34"/>
      <c r="BJ946" s="34"/>
      <c r="BK946" s="34"/>
      <c r="BL946" s="34"/>
      <c r="BM946" s="34"/>
      <c r="BN946" s="34"/>
      <c r="BO946" s="34"/>
      <c r="BP946" s="34"/>
      <c r="BQ946" s="34"/>
      <c r="BR946" s="34"/>
      <c r="BS946" s="34"/>
      <c r="BT946" s="34"/>
      <c r="BU946" s="34"/>
      <c r="BV946" s="34"/>
      <c r="BW946" s="34"/>
      <c r="BX946" s="34"/>
      <c r="BY946" s="34"/>
      <c r="BZ946" s="34"/>
      <c r="CA946" s="34"/>
      <c r="CB946" s="34"/>
      <c r="CC946" s="34"/>
      <c r="CD946" s="34"/>
      <c r="CE946" s="34"/>
      <c r="CF946" s="34"/>
      <c r="CG946" s="34"/>
      <c r="CH946" s="34"/>
      <c r="CI946" s="8"/>
    </row>
    <row r="947" spans="1:87" x14ac:dyDescent="0.2">
      <c r="A947" s="8" t="str">
        <f>IF(AND(COUNTIF(W$3:W$13,A$22)&gt;0,A$22&lt;&gt;B800),A$22,IFERROR(IF(MATCH(A$22,Z$3:Z$13,0)=7,A$22," ")," "))</f>
        <v xml:space="preserve"> </v>
      </c>
      <c r="B947" s="8" t="str">
        <f>IF(A947=" "," ",MAX(B940:B946)+1)</f>
        <v xml:space="preserve"> </v>
      </c>
      <c r="C947" s="8" t="str">
        <f>IFERROR(INDEX(A940:A961,MATCH(SMALL(B940:B961,8),B940:B961,0),1)," ")</f>
        <v>C19</v>
      </c>
      <c r="D947" s="8">
        <f t="shared" si="3976"/>
        <v>0</v>
      </c>
      <c r="E947" s="8">
        <f t="shared" si="3977"/>
        <v>0</v>
      </c>
      <c r="F947" s="8">
        <f t="shared" si="3978"/>
        <v>0</v>
      </c>
      <c r="G947" s="8">
        <f t="shared" si="3979"/>
        <v>0</v>
      </c>
      <c r="H947" s="8">
        <f t="shared" si="3980"/>
        <v>0</v>
      </c>
      <c r="I947" s="8">
        <f t="shared" si="3981"/>
        <v>0</v>
      </c>
      <c r="J947" s="8">
        <f t="shared" si="3982"/>
        <v>0</v>
      </c>
      <c r="K947" s="8">
        <f t="shared" si="3983"/>
        <v>1</v>
      </c>
      <c r="L947" s="8">
        <f t="shared" si="3984"/>
        <v>0</v>
      </c>
      <c r="M947" s="8">
        <f t="shared" si="3985"/>
        <v>0</v>
      </c>
      <c r="N947" s="8">
        <f t="shared" si="3986"/>
        <v>0</v>
      </c>
      <c r="O947" s="8">
        <f t="shared" si="3987"/>
        <v>0</v>
      </c>
      <c r="P947" s="8" t="e">
        <v>#NUM!</v>
      </c>
      <c r="Q947" s="8" t="e">
        <f t="shared" ref="Q947" si="4016">IF(COUNTIF(P940:P950,"&lt;"&amp;-0.001)=0,IF(ABS(P947)&lt;0.001,0,P947)," ")</f>
        <v>#NUM!</v>
      </c>
      <c r="R947" s="8"/>
      <c r="S947" s="8"/>
      <c r="U947" s="34"/>
      <c r="V947" s="34"/>
      <c r="W947" s="34"/>
      <c r="X947" s="34"/>
      <c r="Y947" s="34"/>
      <c r="Z947" s="34"/>
      <c r="AA947" s="34"/>
      <c r="AB947" s="34"/>
      <c r="AC947" s="34"/>
      <c r="AD947" s="34"/>
      <c r="AE947" s="34"/>
      <c r="AF947" s="34"/>
      <c r="AG947" s="34"/>
      <c r="AH947" s="34"/>
      <c r="AI947" s="34"/>
      <c r="AJ947" s="34"/>
      <c r="AK947" s="34"/>
      <c r="AL947" s="34"/>
      <c r="AM947" s="34"/>
      <c r="AN947" s="34"/>
      <c r="AO947" s="34"/>
      <c r="AP947" s="34"/>
      <c r="AQ947" s="34"/>
      <c r="AR947" s="34"/>
      <c r="AS947" s="34"/>
      <c r="AT947" s="34"/>
      <c r="AU947" s="34"/>
      <c r="AV947" s="34"/>
      <c r="AW947" s="34"/>
      <c r="AX947" s="34"/>
      <c r="AY947" s="34"/>
      <c r="AZ947" s="34"/>
      <c r="BA947" s="34"/>
      <c r="BB947" s="34"/>
      <c r="BC947" s="34"/>
      <c r="BD947" s="34"/>
      <c r="BE947" s="34"/>
      <c r="BF947" s="34"/>
      <c r="BG947" s="34"/>
      <c r="BH947" s="34"/>
      <c r="BI947" s="34"/>
      <c r="BJ947" s="34"/>
      <c r="BK947" s="34"/>
      <c r="BL947" s="34"/>
      <c r="BM947" s="34"/>
      <c r="BN947" s="34"/>
      <c r="BO947" s="34"/>
      <c r="BP947" s="34"/>
      <c r="BQ947" s="34"/>
      <c r="BR947" s="34"/>
      <c r="BS947" s="34"/>
      <c r="BT947" s="34"/>
      <c r="BU947" s="34"/>
      <c r="BV947" s="34"/>
      <c r="BW947" s="34"/>
      <c r="BX947" s="34"/>
      <c r="BY947" s="34"/>
      <c r="BZ947" s="34"/>
      <c r="CA947" s="34"/>
      <c r="CB947" s="34"/>
      <c r="CC947" s="34"/>
      <c r="CD947" s="34"/>
      <c r="CE947" s="34"/>
      <c r="CF947" s="34"/>
      <c r="CG947" s="34"/>
      <c r="CH947" s="34"/>
      <c r="CI947" s="8"/>
    </row>
    <row r="948" spans="1:87" x14ac:dyDescent="0.2">
      <c r="A948" s="8" t="str">
        <f>IF(AND(COUNTIF(W$3:W$13,A$23)&gt;0,A$23&lt;&gt;B800),A$23,IFERROR(IF(MATCH(A$23,Z$3:Z$13,0)=7,A$23," ")," "))</f>
        <v>C9</v>
      </c>
      <c r="B948" s="8">
        <f>IF(A948=" "," ",MAX(B940:B947)+1)</f>
        <v>3</v>
      </c>
      <c r="C948" s="8" t="str">
        <f>IFERROR(INDEX(A940:A961,MATCH(SMALL(B940:B961,9),B940:B961,0),1)," ")</f>
        <v>C20</v>
      </c>
      <c r="D948" s="8">
        <f t="shared" si="3976"/>
        <v>0</v>
      </c>
      <c r="E948" s="8">
        <f t="shared" si="3977"/>
        <v>0</v>
      </c>
      <c r="F948" s="8">
        <f t="shared" si="3978"/>
        <v>0</v>
      </c>
      <c r="G948" s="8">
        <f t="shared" si="3979"/>
        <v>0</v>
      </c>
      <c r="H948" s="8">
        <f t="shared" si="3980"/>
        <v>0</v>
      </c>
      <c r="I948" s="8">
        <f t="shared" si="3981"/>
        <v>0</v>
      </c>
      <c r="J948" s="8">
        <f t="shared" si="3982"/>
        <v>0</v>
      </c>
      <c r="K948" s="8">
        <f t="shared" si="3983"/>
        <v>0</v>
      </c>
      <c r="L948" s="8">
        <f t="shared" si="3984"/>
        <v>1</v>
      </c>
      <c r="M948" s="8">
        <f t="shared" si="3985"/>
        <v>0</v>
      </c>
      <c r="N948" s="8">
        <f t="shared" si="3986"/>
        <v>0</v>
      </c>
      <c r="O948" s="8">
        <f t="shared" si="3987"/>
        <v>0</v>
      </c>
      <c r="P948" s="6" t="e">
        <v>#NUM!</v>
      </c>
      <c r="Q948" s="8" t="e">
        <f t="shared" ref="Q948" si="4017">IF(COUNTIF(P940:P950,"&lt;"&amp;-0.001)=0,IF(ABS(P948)&lt;0.001,0,P948)," ")</f>
        <v>#NUM!</v>
      </c>
      <c r="R948" s="8"/>
      <c r="S948" s="8"/>
      <c r="U948" s="34"/>
      <c r="V948" s="34"/>
      <c r="W948" s="34"/>
      <c r="X948" s="34"/>
      <c r="Y948" s="34"/>
      <c r="Z948" s="34"/>
      <c r="AA948" s="34"/>
      <c r="AB948" s="34"/>
      <c r="AC948" s="34"/>
      <c r="AD948" s="34"/>
      <c r="AE948" s="34"/>
      <c r="AF948" s="34"/>
      <c r="AG948" s="34"/>
      <c r="AH948" s="34"/>
      <c r="AI948" s="34"/>
      <c r="AJ948" s="34"/>
      <c r="AK948" s="34"/>
      <c r="AL948" s="34"/>
      <c r="AM948" s="34"/>
      <c r="AN948" s="34"/>
      <c r="AO948" s="34"/>
      <c r="AP948" s="34"/>
      <c r="AQ948" s="34"/>
      <c r="AR948" s="34"/>
      <c r="AS948" s="34"/>
      <c r="AT948" s="34"/>
      <c r="AU948" s="34"/>
      <c r="AV948" s="34"/>
      <c r="AW948" s="34"/>
      <c r="AX948" s="34"/>
      <c r="AY948" s="34"/>
      <c r="AZ948" s="34"/>
      <c r="BA948" s="34"/>
      <c r="BB948" s="34"/>
      <c r="BC948" s="34"/>
      <c r="BD948" s="34"/>
      <c r="BE948" s="34"/>
      <c r="BF948" s="34"/>
      <c r="BG948" s="34"/>
      <c r="BH948" s="34"/>
      <c r="BI948" s="34"/>
      <c r="BJ948" s="34"/>
      <c r="BK948" s="34"/>
      <c r="BL948" s="34"/>
      <c r="BM948" s="34"/>
      <c r="BN948" s="34"/>
      <c r="BO948" s="34"/>
      <c r="BP948" s="34"/>
      <c r="BQ948" s="34"/>
      <c r="BR948" s="34"/>
      <c r="BS948" s="34"/>
      <c r="BT948" s="34"/>
      <c r="BU948" s="34"/>
      <c r="BV948" s="34"/>
      <c r="BW948" s="34"/>
      <c r="BX948" s="34"/>
      <c r="BY948" s="34"/>
      <c r="BZ948" s="34"/>
      <c r="CA948" s="34"/>
      <c r="CB948" s="34"/>
      <c r="CC948" s="34"/>
      <c r="CD948" s="34"/>
      <c r="CE948" s="34"/>
      <c r="CF948" s="34"/>
      <c r="CG948" s="34"/>
      <c r="CH948" s="34"/>
      <c r="CI948" s="8"/>
    </row>
    <row r="949" spans="1:87" x14ac:dyDescent="0.2">
      <c r="A949" s="8" t="str">
        <f>IF(AND(COUNTIF(W$3:W$13,A$24)&gt;0,A$24&lt;&gt;B800),A$24,IFERROR(IF(MATCH(A$24,Z$3:Z$13,0)=7,A$24," ")," "))</f>
        <v xml:space="preserve"> </v>
      </c>
      <c r="B949" s="8" t="str">
        <f>IF(A949=" "," ",MAX(B940:B948)+1)</f>
        <v xml:space="preserve"> </v>
      </c>
      <c r="C949" s="8" t="str">
        <f>IFERROR(INDEX(A940:A961,MATCH(SMALL(B940:B961,10),B940:B961,0),1)," ")</f>
        <v>C21</v>
      </c>
      <c r="D949" s="8">
        <f t="shared" si="3976"/>
        <v>0</v>
      </c>
      <c r="E949" s="8">
        <f t="shared" si="3977"/>
        <v>0</v>
      </c>
      <c r="F949" s="8">
        <f t="shared" si="3978"/>
        <v>0</v>
      </c>
      <c r="G949" s="8">
        <f t="shared" si="3979"/>
        <v>0</v>
      </c>
      <c r="H949" s="8">
        <f t="shared" si="3980"/>
        <v>0</v>
      </c>
      <c r="I949" s="8">
        <f t="shared" si="3981"/>
        <v>0</v>
      </c>
      <c r="J949" s="8">
        <f t="shared" si="3982"/>
        <v>0</v>
      </c>
      <c r="K949" s="8">
        <f t="shared" si="3983"/>
        <v>0</v>
      </c>
      <c r="L949" s="8">
        <f t="shared" si="3984"/>
        <v>0</v>
      </c>
      <c r="M949" s="8">
        <f t="shared" si="3985"/>
        <v>1</v>
      </c>
      <c r="N949" s="8">
        <f t="shared" si="3986"/>
        <v>0</v>
      </c>
      <c r="O949" s="8">
        <f t="shared" si="3987"/>
        <v>0</v>
      </c>
      <c r="P949" s="8" t="e">
        <v>#NUM!</v>
      </c>
      <c r="Q949" s="8" t="e">
        <f t="shared" ref="Q949" si="4018">IF(COUNTIF(P940:P950,"&lt;"&amp;-0.001)=0,IF(ABS(P949)&lt;0.001,0,P949)," ")</f>
        <v>#NUM!</v>
      </c>
      <c r="R949" s="8"/>
      <c r="S949" s="8"/>
      <c r="U949" s="34"/>
      <c r="V949" s="34"/>
      <c r="W949" s="34"/>
      <c r="X949" s="34"/>
      <c r="Y949" s="34"/>
      <c r="Z949" s="34"/>
      <c r="AA949" s="34"/>
      <c r="AB949" s="34"/>
      <c r="AC949" s="34"/>
      <c r="AD949" s="34"/>
      <c r="AE949" s="34"/>
      <c r="AF949" s="34"/>
      <c r="AG949" s="34"/>
      <c r="AH949" s="34"/>
      <c r="AI949" s="34"/>
      <c r="AJ949" s="34"/>
      <c r="AK949" s="34"/>
      <c r="AL949" s="34"/>
      <c r="AM949" s="34"/>
      <c r="AN949" s="34"/>
      <c r="AO949" s="34"/>
      <c r="AP949" s="34"/>
      <c r="AQ949" s="34"/>
      <c r="AR949" s="34"/>
      <c r="AS949" s="34"/>
      <c r="AT949" s="34"/>
      <c r="AU949" s="34"/>
      <c r="AV949" s="34"/>
      <c r="AW949" s="34"/>
      <c r="AX949" s="34"/>
      <c r="AY949" s="34"/>
      <c r="AZ949" s="34"/>
      <c r="BA949" s="34"/>
      <c r="BB949" s="34"/>
      <c r="BC949" s="34"/>
      <c r="BD949" s="34"/>
      <c r="BE949" s="34"/>
      <c r="BF949" s="34"/>
      <c r="BG949" s="34"/>
      <c r="BH949" s="34"/>
      <c r="BI949" s="34"/>
      <c r="BJ949" s="34"/>
      <c r="BK949" s="34"/>
      <c r="BL949" s="34"/>
      <c r="BM949" s="34"/>
      <c r="BN949" s="34"/>
      <c r="BO949" s="34"/>
      <c r="BP949" s="34"/>
      <c r="BQ949" s="34"/>
      <c r="BR949" s="34"/>
      <c r="BS949" s="34"/>
      <c r="BT949" s="34"/>
      <c r="BU949" s="34"/>
      <c r="BV949" s="34"/>
      <c r="BW949" s="34"/>
      <c r="BX949" s="34"/>
      <c r="BY949" s="34"/>
      <c r="BZ949" s="34"/>
      <c r="CA949" s="34"/>
      <c r="CB949" s="34"/>
      <c r="CC949" s="34"/>
      <c r="CD949" s="34"/>
      <c r="CE949" s="34"/>
      <c r="CF949" s="34"/>
      <c r="CG949" s="34"/>
      <c r="CH949" s="34"/>
      <c r="CI949" s="8"/>
    </row>
    <row r="950" spans="1:87" x14ac:dyDescent="0.2">
      <c r="A950" s="8" t="str">
        <f>IF(AND(COUNTIF(W$3:W$13,A$25)&gt;0,A$25&lt;&gt;B800),A$25,IFERROR(IF(MATCH(A$25,Z$3:Z$13,0)=7,A$25," ")," "))</f>
        <v xml:space="preserve"> </v>
      </c>
      <c r="B950" s="8" t="str">
        <f>IF(A950=" "," ",MAX(B940:B949)+1)</f>
        <v xml:space="preserve"> </v>
      </c>
      <c r="C950" s="8" t="str">
        <f>IFERROR(INDEX(A940:A961,MATCH(SMALL(B940:B961,11),B940:B961,0),1)," ")</f>
        <v>C22</v>
      </c>
      <c r="D950" s="8">
        <f t="shared" si="3976"/>
        <v>0</v>
      </c>
      <c r="E950" s="8">
        <f t="shared" si="3977"/>
        <v>0</v>
      </c>
      <c r="F950" s="8">
        <f t="shared" si="3978"/>
        <v>0</v>
      </c>
      <c r="G950" s="8">
        <f t="shared" si="3979"/>
        <v>0</v>
      </c>
      <c r="H950" s="8">
        <f t="shared" si="3980"/>
        <v>0</v>
      </c>
      <c r="I950" s="8">
        <f t="shared" si="3981"/>
        <v>0</v>
      </c>
      <c r="J950" s="8">
        <f t="shared" si="3982"/>
        <v>0</v>
      </c>
      <c r="K950" s="8">
        <f t="shared" si="3983"/>
        <v>0</v>
      </c>
      <c r="L950" s="8">
        <f t="shared" si="3984"/>
        <v>0</v>
      </c>
      <c r="M950" s="8">
        <f t="shared" si="3985"/>
        <v>0</v>
      </c>
      <c r="N950" s="8">
        <f t="shared" si="3986"/>
        <v>1</v>
      </c>
      <c r="O950" s="8">
        <f t="shared" si="3987"/>
        <v>0</v>
      </c>
      <c r="P950" s="8" t="e">
        <v>#NUM!</v>
      </c>
      <c r="Q950" s="8" t="e">
        <f t="shared" ref="Q950" si="4019">IF(COUNTIF(P940:P950,"&lt;"&amp;-0.001)=0,IF(ABS(P950)&lt;0.001,0,P950)," ")</f>
        <v>#NUM!</v>
      </c>
      <c r="R950" s="8"/>
      <c r="S950" s="8"/>
      <c r="U950" s="34"/>
      <c r="V950" s="34"/>
      <c r="W950" s="34"/>
      <c r="X950" s="34"/>
      <c r="Y950" s="34"/>
      <c r="Z950" s="34"/>
      <c r="AA950" s="34"/>
      <c r="AB950" s="34"/>
      <c r="AC950" s="34"/>
      <c r="AD950" s="34"/>
      <c r="AE950" s="34"/>
      <c r="AF950" s="34"/>
      <c r="AG950" s="34"/>
      <c r="AH950" s="34"/>
      <c r="AI950" s="34"/>
      <c r="AJ950" s="34"/>
      <c r="AK950" s="34"/>
      <c r="AL950" s="34"/>
      <c r="AM950" s="34"/>
      <c r="AN950" s="34"/>
      <c r="AO950" s="34"/>
      <c r="AP950" s="34"/>
      <c r="AQ950" s="34"/>
      <c r="AR950" s="34"/>
      <c r="AS950" s="34"/>
      <c r="AT950" s="34"/>
      <c r="AU950" s="34"/>
      <c r="AV950" s="34"/>
      <c r="AW950" s="34"/>
      <c r="AX950" s="34"/>
      <c r="AY950" s="34"/>
      <c r="AZ950" s="34"/>
      <c r="BA950" s="34"/>
      <c r="BB950" s="34"/>
      <c r="BC950" s="34"/>
      <c r="BD950" s="34"/>
      <c r="BE950" s="34"/>
      <c r="BF950" s="34"/>
      <c r="BG950" s="34"/>
      <c r="BH950" s="34"/>
      <c r="BI950" s="34"/>
      <c r="BJ950" s="34"/>
      <c r="BK950" s="34"/>
      <c r="BL950" s="34"/>
      <c r="BM950" s="34"/>
      <c r="BN950" s="34"/>
      <c r="BO950" s="34"/>
      <c r="BP950" s="34"/>
      <c r="BQ950" s="34"/>
      <c r="BR950" s="34"/>
      <c r="BS950" s="34"/>
      <c r="BT950" s="34"/>
      <c r="BU950" s="34"/>
      <c r="BV950" s="34"/>
      <c r="BW950" s="34"/>
      <c r="BX950" s="34"/>
      <c r="BY950" s="34"/>
      <c r="BZ950" s="34"/>
      <c r="CA950" s="34"/>
      <c r="CB950" s="34"/>
      <c r="CC950" s="34"/>
      <c r="CD950" s="34"/>
      <c r="CE950" s="34"/>
      <c r="CF950" s="34"/>
      <c r="CG950" s="34"/>
      <c r="CH950" s="34"/>
      <c r="CI950" s="8"/>
    </row>
    <row r="951" spans="1:87" x14ac:dyDescent="0.2">
      <c r="A951" s="8" t="str">
        <f>IF(AND(COUNTIF(W$3:W$13,A$26)&gt;0,A$26&lt;&gt;B800),A$26,IFERROR(IF(MATCH(A$26,Z$3:Z$13,0)=7,A$26," ")," "))</f>
        <v xml:space="preserve"> </v>
      </c>
      <c r="B951" s="8" t="str">
        <f>IF(A951=" "," ",MAX(B940:B950)+1)</f>
        <v xml:space="preserve"> </v>
      </c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U951" s="34"/>
      <c r="V951" s="34"/>
      <c r="W951" s="34"/>
      <c r="X951" s="34"/>
      <c r="Y951" s="34"/>
      <c r="Z951" s="34"/>
      <c r="AA951" s="34"/>
      <c r="AB951" s="34"/>
      <c r="AC951" s="34"/>
      <c r="AD951" s="34"/>
      <c r="AE951" s="34"/>
      <c r="AF951" s="34"/>
      <c r="AG951" s="34"/>
      <c r="AH951" s="34"/>
      <c r="AI951" s="34"/>
      <c r="AJ951" s="34"/>
      <c r="AK951" s="34"/>
      <c r="AL951" s="34"/>
      <c r="AM951" s="34"/>
      <c r="AN951" s="34"/>
      <c r="AO951" s="34"/>
      <c r="AP951" s="34"/>
      <c r="AQ951" s="34"/>
      <c r="AR951" s="34"/>
      <c r="AS951" s="34"/>
      <c r="AT951" s="34"/>
      <c r="AU951" s="34"/>
      <c r="AV951" s="34"/>
      <c r="AW951" s="34"/>
      <c r="AX951" s="34"/>
      <c r="AY951" s="34"/>
      <c r="AZ951" s="34"/>
      <c r="BA951" s="34"/>
      <c r="BB951" s="34"/>
      <c r="BC951" s="34"/>
      <c r="BD951" s="34"/>
      <c r="BE951" s="34"/>
      <c r="BF951" s="34"/>
      <c r="BG951" s="34"/>
      <c r="BH951" s="34"/>
      <c r="BI951" s="34"/>
      <c r="BJ951" s="34"/>
      <c r="BK951" s="34"/>
      <c r="BL951" s="34"/>
      <c r="BM951" s="34"/>
      <c r="BN951" s="34"/>
      <c r="BO951" s="34"/>
      <c r="BP951" s="34"/>
      <c r="BQ951" s="34"/>
      <c r="BR951" s="34"/>
      <c r="BS951" s="34"/>
      <c r="BT951" s="34"/>
      <c r="BU951" s="34"/>
      <c r="BV951" s="34"/>
      <c r="BW951" s="34"/>
      <c r="BX951" s="34"/>
      <c r="BY951" s="34"/>
      <c r="BZ951" s="34"/>
      <c r="CA951" s="34"/>
      <c r="CB951" s="34"/>
      <c r="CC951" s="34"/>
      <c r="CD951" s="34"/>
      <c r="CE951" s="34"/>
      <c r="CF951" s="34"/>
      <c r="CG951" s="34"/>
      <c r="CH951" s="34"/>
      <c r="CI951" s="8"/>
    </row>
    <row r="952" spans="1:87" x14ac:dyDescent="0.2">
      <c r="A952" s="8" t="str">
        <f>IF(AND(COUNTIF(W$3:W$13,A$27)&gt;0,A$27&lt;&gt;B800),A$27,IFERROR(IF(MATCH(A$27,Z$3:Z$13,0)=7,A$27," ")," "))</f>
        <v>C13</v>
      </c>
      <c r="B952" s="8">
        <f>IF(A952=" "," ",MAX(B940:B951)+1)</f>
        <v>4</v>
      </c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U952" s="34"/>
      <c r="V952" s="34"/>
      <c r="W952" s="34"/>
      <c r="X952" s="34"/>
      <c r="Y952" s="34"/>
      <c r="Z952" s="34"/>
      <c r="AA952" s="34"/>
      <c r="AB952" s="34"/>
      <c r="AC952" s="34"/>
      <c r="AD952" s="34"/>
      <c r="AE952" s="34"/>
      <c r="AF952" s="34"/>
      <c r="AG952" s="34"/>
      <c r="AH952" s="34"/>
      <c r="AI952" s="34"/>
      <c r="AJ952" s="34"/>
      <c r="AK952" s="34"/>
      <c r="AL952" s="34"/>
      <c r="AM952" s="34"/>
      <c r="AN952" s="34"/>
      <c r="AO952" s="34"/>
      <c r="AP952" s="34"/>
      <c r="AQ952" s="34"/>
      <c r="AR952" s="34"/>
      <c r="AS952" s="34"/>
      <c r="AT952" s="34"/>
      <c r="AU952" s="34"/>
      <c r="AV952" s="34"/>
      <c r="AW952" s="34"/>
      <c r="AX952" s="34"/>
      <c r="AY952" s="34"/>
      <c r="AZ952" s="34"/>
      <c r="BA952" s="34"/>
      <c r="BB952" s="34"/>
      <c r="BC952" s="34"/>
      <c r="BD952" s="34"/>
      <c r="BE952" s="34"/>
      <c r="BF952" s="34"/>
      <c r="BG952" s="34"/>
      <c r="BH952" s="34"/>
      <c r="BI952" s="34"/>
      <c r="BJ952" s="34"/>
      <c r="BK952" s="34"/>
      <c r="BL952" s="34"/>
      <c r="BM952" s="34"/>
      <c r="BN952" s="34"/>
      <c r="BO952" s="34"/>
      <c r="BP952" s="34"/>
      <c r="BQ952" s="34"/>
      <c r="BR952" s="34"/>
      <c r="BS952" s="34"/>
      <c r="BT952" s="34"/>
      <c r="BU952" s="34"/>
      <c r="BV952" s="34"/>
      <c r="BW952" s="34"/>
      <c r="BX952" s="34"/>
      <c r="BY952" s="34"/>
      <c r="BZ952" s="34"/>
      <c r="CA952" s="34"/>
      <c r="CB952" s="34"/>
      <c r="CC952" s="34"/>
      <c r="CD952" s="34"/>
      <c r="CE952" s="34"/>
      <c r="CF952" s="34"/>
      <c r="CG952" s="34"/>
      <c r="CH952" s="34"/>
      <c r="CI952" s="8"/>
    </row>
    <row r="953" spans="1:87" x14ac:dyDescent="0.2">
      <c r="A953" s="8" t="str">
        <f>IF(AND(COUNTIF(W$3:W$13,A$28)&gt;0,A$28&lt;&gt;B800),A$28,IFERROR(IF(MATCH(A$28,Z$3:Z$13,0)=7,A$28," ")," "))</f>
        <v xml:space="preserve"> </v>
      </c>
      <c r="B953" s="8" t="str">
        <f>IF(A953=" "," ",MAX(B940:B952)+1)</f>
        <v xml:space="preserve"> </v>
      </c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U953" s="34"/>
      <c r="V953" s="34"/>
      <c r="W953" s="34"/>
      <c r="X953" s="34"/>
      <c r="Y953" s="34"/>
      <c r="Z953" s="34"/>
      <c r="AA953" s="34"/>
      <c r="AB953" s="34"/>
      <c r="AC953" s="34"/>
      <c r="AD953" s="34"/>
      <c r="AE953" s="34"/>
      <c r="AF953" s="34"/>
      <c r="AG953" s="34"/>
      <c r="AH953" s="34"/>
      <c r="AI953" s="34"/>
      <c r="AJ953" s="34"/>
      <c r="AK953" s="34"/>
      <c r="AL953" s="34"/>
      <c r="AM953" s="34"/>
      <c r="AN953" s="34"/>
      <c r="AO953" s="34"/>
      <c r="AP953" s="34"/>
      <c r="AQ953" s="34"/>
      <c r="AR953" s="34"/>
      <c r="AS953" s="34"/>
      <c r="AT953" s="34"/>
      <c r="AU953" s="34"/>
      <c r="AV953" s="34"/>
      <c r="AW953" s="34"/>
      <c r="AX953" s="34"/>
      <c r="AY953" s="34"/>
      <c r="AZ953" s="34"/>
      <c r="BA953" s="34"/>
      <c r="BB953" s="34"/>
      <c r="BC953" s="34"/>
      <c r="BD953" s="34"/>
      <c r="BE953" s="34"/>
      <c r="BF953" s="34"/>
      <c r="BG953" s="34"/>
      <c r="BH953" s="34"/>
      <c r="BI953" s="34"/>
      <c r="BJ953" s="34"/>
      <c r="BK953" s="34"/>
      <c r="BL953" s="34"/>
      <c r="BM953" s="34"/>
      <c r="BN953" s="34"/>
      <c r="BO953" s="34"/>
      <c r="BP953" s="34"/>
      <c r="BQ953" s="34"/>
      <c r="BR953" s="34"/>
      <c r="BS953" s="34"/>
      <c r="BT953" s="34"/>
      <c r="BU953" s="34"/>
      <c r="BV953" s="34"/>
      <c r="BW953" s="34"/>
      <c r="BX953" s="34"/>
      <c r="BY953" s="34"/>
      <c r="BZ953" s="34"/>
      <c r="CA953" s="34"/>
      <c r="CB953" s="34"/>
      <c r="CC953" s="34"/>
      <c r="CD953" s="34"/>
      <c r="CE953" s="34"/>
      <c r="CF953" s="34"/>
      <c r="CG953" s="34"/>
      <c r="CH953" s="34"/>
      <c r="CI953" s="8"/>
    </row>
    <row r="954" spans="1:87" x14ac:dyDescent="0.2">
      <c r="A954" s="8" t="str">
        <f>IF(AND(COUNTIF(W$3:W$13,A$29)&gt;0,A$29&lt;&gt;B800),A$29,IFERROR(IF(MATCH(A$29,Z$3:Z$13,0)=7,A$29," ")," "))</f>
        <v xml:space="preserve"> </v>
      </c>
      <c r="B954" s="8" t="str">
        <f>IF(A954=" "," ",MAX(B940:B953)+1)</f>
        <v xml:space="preserve"> </v>
      </c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U954" s="34"/>
      <c r="V954" s="34"/>
      <c r="W954" s="34"/>
      <c r="X954" s="34"/>
      <c r="Y954" s="34"/>
      <c r="Z954" s="34"/>
      <c r="AA954" s="34"/>
      <c r="AB954" s="34"/>
      <c r="AC954" s="34"/>
      <c r="AD954" s="34"/>
      <c r="AE954" s="34"/>
      <c r="AF954" s="34"/>
      <c r="AG954" s="34"/>
      <c r="AH954" s="34"/>
      <c r="AI954" s="34"/>
      <c r="AJ954" s="34"/>
      <c r="AK954" s="34"/>
      <c r="AL954" s="34"/>
      <c r="AM954" s="34"/>
      <c r="AN954" s="34"/>
      <c r="AO954" s="34"/>
      <c r="AP954" s="34"/>
      <c r="AQ954" s="34"/>
      <c r="AR954" s="34"/>
      <c r="AS954" s="34"/>
      <c r="AT954" s="34"/>
      <c r="AU954" s="34"/>
      <c r="AV954" s="34"/>
      <c r="AW954" s="34"/>
      <c r="AX954" s="34"/>
      <c r="AY954" s="34"/>
      <c r="AZ954" s="34"/>
      <c r="BA954" s="34"/>
      <c r="BB954" s="34"/>
      <c r="BC954" s="34"/>
      <c r="BD954" s="34"/>
      <c r="BE954" s="34"/>
      <c r="BF954" s="34"/>
      <c r="BG954" s="34"/>
      <c r="BH954" s="34"/>
      <c r="BI954" s="34"/>
      <c r="BJ954" s="34"/>
      <c r="BK954" s="34"/>
      <c r="BL954" s="34"/>
      <c r="BM954" s="34"/>
      <c r="BN954" s="34"/>
      <c r="BO954" s="34"/>
      <c r="BP954" s="34"/>
      <c r="BQ954" s="34"/>
      <c r="BR954" s="34"/>
      <c r="BS954" s="34"/>
      <c r="BT954" s="34"/>
      <c r="BU954" s="34"/>
      <c r="BV954" s="34"/>
      <c r="BW954" s="34"/>
      <c r="BX954" s="34"/>
      <c r="BY954" s="34"/>
      <c r="BZ954" s="34"/>
      <c r="CA954" s="34"/>
      <c r="CB954" s="34"/>
      <c r="CC954" s="34"/>
      <c r="CD954" s="34"/>
      <c r="CE954" s="34"/>
      <c r="CF954" s="34"/>
      <c r="CG954" s="34"/>
      <c r="CH954" s="34"/>
      <c r="CI954" s="8"/>
    </row>
    <row r="955" spans="1:87" x14ac:dyDescent="0.2">
      <c r="A955" s="8" t="str">
        <f>IF(AND(COUNTIF(W$3:W$13,A$30)&gt;0,A$30&lt;&gt;B800),A$30,IFERROR(IF(MATCH(A$30,Z$3:Z$13,0)=7,A$30," ")," "))</f>
        <v>C16</v>
      </c>
      <c r="B955" s="8">
        <f>IF(A955=" "," ",MAX(B940:B954)+1)</f>
        <v>5</v>
      </c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U955" s="34"/>
      <c r="V955" s="34"/>
      <c r="W955" s="34"/>
      <c r="X955" s="34"/>
      <c r="Y955" s="34"/>
      <c r="Z955" s="34"/>
      <c r="AA955" s="34"/>
      <c r="AB955" s="34"/>
      <c r="AC955" s="34"/>
      <c r="AD955" s="34"/>
      <c r="AE955" s="34"/>
      <c r="AF955" s="34"/>
      <c r="AG955" s="34"/>
      <c r="AH955" s="34"/>
      <c r="AI955" s="34"/>
      <c r="AJ955" s="34"/>
      <c r="AK955" s="34"/>
      <c r="AL955" s="34"/>
      <c r="AM955" s="34"/>
      <c r="AN955" s="34"/>
      <c r="AO955" s="34"/>
      <c r="AP955" s="34"/>
      <c r="AQ955" s="34"/>
      <c r="AR955" s="34"/>
      <c r="AS955" s="34"/>
      <c r="AT955" s="34"/>
      <c r="AU955" s="34"/>
      <c r="AV955" s="34"/>
      <c r="AW955" s="34"/>
      <c r="AX955" s="34"/>
      <c r="AY955" s="34"/>
      <c r="AZ955" s="34"/>
      <c r="BA955" s="34"/>
      <c r="BB955" s="34"/>
      <c r="BC955" s="34"/>
      <c r="BD955" s="34"/>
      <c r="BE955" s="34"/>
      <c r="BF955" s="34"/>
      <c r="BG955" s="34"/>
      <c r="BH955" s="34"/>
      <c r="BI955" s="34"/>
      <c r="BJ955" s="34"/>
      <c r="BK955" s="34"/>
      <c r="BL955" s="34"/>
      <c r="BM955" s="34"/>
      <c r="BN955" s="34"/>
      <c r="BO955" s="34"/>
      <c r="BP955" s="34"/>
      <c r="BQ955" s="34"/>
      <c r="BR955" s="34"/>
      <c r="BS955" s="34"/>
      <c r="BT955" s="34"/>
      <c r="BU955" s="34"/>
      <c r="BV955" s="34"/>
      <c r="BW955" s="34"/>
      <c r="BX955" s="34"/>
      <c r="BY955" s="34"/>
      <c r="BZ955" s="34"/>
      <c r="CA955" s="34"/>
      <c r="CB955" s="34"/>
      <c r="CC955" s="34"/>
      <c r="CD955" s="34"/>
      <c r="CE955" s="34"/>
      <c r="CF955" s="34"/>
      <c r="CG955" s="34"/>
      <c r="CH955" s="34"/>
      <c r="CI955" s="8"/>
    </row>
    <row r="956" spans="1:87" x14ac:dyDescent="0.2">
      <c r="A956" s="8" t="str">
        <f>IF(AND(COUNTIF(W$3:W$13,A$31)&gt;0,A$31&lt;&gt;B800),A$31,IFERROR(IF(MATCH(A$31,Z$3:Z$13,0)=7,A$31," ")," "))</f>
        <v>C17</v>
      </c>
      <c r="B956" s="8">
        <f>IF(A956=" "," ",MAX(B940:B955)+1)</f>
        <v>6</v>
      </c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U956" s="34"/>
      <c r="V956" s="34"/>
      <c r="W956" s="34"/>
      <c r="X956" s="34"/>
      <c r="Y956" s="34"/>
      <c r="Z956" s="34"/>
      <c r="AA956" s="34"/>
      <c r="AB956" s="34"/>
      <c r="AC956" s="34"/>
      <c r="AD956" s="34"/>
      <c r="AE956" s="34"/>
      <c r="AF956" s="34"/>
      <c r="AG956" s="34"/>
      <c r="AH956" s="34"/>
      <c r="AI956" s="34"/>
      <c r="AJ956" s="34"/>
      <c r="AK956" s="34"/>
      <c r="AL956" s="34"/>
      <c r="AM956" s="34"/>
      <c r="AN956" s="34"/>
      <c r="AO956" s="34"/>
      <c r="AP956" s="34"/>
      <c r="AQ956" s="34"/>
      <c r="AR956" s="34"/>
      <c r="AS956" s="34"/>
      <c r="AT956" s="34"/>
      <c r="AU956" s="34"/>
      <c r="AV956" s="34"/>
      <c r="AW956" s="34"/>
      <c r="AX956" s="34"/>
      <c r="AY956" s="34"/>
      <c r="AZ956" s="34"/>
      <c r="BA956" s="34"/>
      <c r="BB956" s="34"/>
      <c r="BC956" s="34"/>
      <c r="BD956" s="34"/>
      <c r="BE956" s="34"/>
      <c r="BF956" s="34"/>
      <c r="BG956" s="34"/>
      <c r="BH956" s="34"/>
      <c r="BI956" s="34"/>
      <c r="BJ956" s="34"/>
      <c r="BK956" s="34"/>
      <c r="BL956" s="34"/>
      <c r="BM956" s="34"/>
      <c r="BN956" s="34"/>
      <c r="BO956" s="34"/>
      <c r="BP956" s="34"/>
      <c r="BQ956" s="34"/>
      <c r="BR956" s="34"/>
      <c r="BS956" s="34"/>
      <c r="BT956" s="34"/>
      <c r="BU956" s="34"/>
      <c r="BV956" s="34"/>
      <c r="BW956" s="34"/>
      <c r="BX956" s="34"/>
      <c r="BY956" s="34"/>
      <c r="BZ956" s="34"/>
      <c r="CA956" s="34"/>
      <c r="CB956" s="34"/>
      <c r="CC956" s="34"/>
      <c r="CD956" s="34"/>
      <c r="CE956" s="34"/>
      <c r="CF956" s="34"/>
      <c r="CG956" s="34"/>
      <c r="CH956" s="34"/>
      <c r="CI956" s="8"/>
    </row>
    <row r="957" spans="1:87" x14ac:dyDescent="0.2">
      <c r="A957" s="8" t="str">
        <f>IF(AND(COUNTIF(W$3:W$13,A$32)&gt;0,A$32&lt;&gt;B800),A$32,IFERROR(IF(MATCH(A$32,Z$3:Z$13,0)=7,A$32," ")," "))</f>
        <v>C18</v>
      </c>
      <c r="B957" s="8">
        <f>IF(A957=" "," ",MAX(B940:B956)+1)</f>
        <v>7</v>
      </c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U957" s="34"/>
      <c r="V957" s="34"/>
      <c r="W957" s="34"/>
      <c r="X957" s="34"/>
      <c r="Y957" s="34"/>
      <c r="Z957" s="34"/>
      <c r="AA957" s="34"/>
      <c r="AB957" s="34"/>
      <c r="AC957" s="34"/>
      <c r="AD957" s="34"/>
      <c r="AE957" s="34"/>
      <c r="AF957" s="34"/>
      <c r="AG957" s="34"/>
      <c r="AH957" s="34"/>
      <c r="AI957" s="34"/>
      <c r="AJ957" s="34"/>
      <c r="AK957" s="34"/>
      <c r="AL957" s="34"/>
      <c r="AM957" s="34"/>
      <c r="AN957" s="34"/>
      <c r="AO957" s="34"/>
      <c r="AP957" s="34"/>
      <c r="AQ957" s="34"/>
      <c r="AR957" s="34"/>
      <c r="AS957" s="34"/>
      <c r="AT957" s="34"/>
      <c r="AU957" s="34"/>
      <c r="AV957" s="34"/>
      <c r="AW957" s="34"/>
      <c r="AX957" s="34"/>
      <c r="AY957" s="34"/>
      <c r="AZ957" s="34"/>
      <c r="BA957" s="34"/>
      <c r="BB957" s="34"/>
      <c r="BC957" s="34"/>
      <c r="BD957" s="34"/>
      <c r="BE957" s="34"/>
      <c r="BF957" s="34"/>
      <c r="BG957" s="34"/>
      <c r="BH957" s="34"/>
      <c r="BI957" s="34"/>
      <c r="BJ957" s="34"/>
      <c r="BK957" s="34"/>
      <c r="BL957" s="34"/>
      <c r="BM957" s="34"/>
      <c r="BN957" s="34"/>
      <c r="BO957" s="34"/>
      <c r="BP957" s="34"/>
      <c r="BQ957" s="34"/>
      <c r="BR957" s="34"/>
      <c r="BS957" s="34"/>
      <c r="BT957" s="34"/>
      <c r="BU957" s="34"/>
      <c r="BV957" s="34"/>
      <c r="BW957" s="34"/>
      <c r="BX957" s="34"/>
      <c r="BY957" s="34"/>
      <c r="BZ957" s="34"/>
      <c r="CA957" s="34"/>
      <c r="CB957" s="34"/>
      <c r="CC957" s="34"/>
      <c r="CD957" s="34"/>
      <c r="CE957" s="34"/>
      <c r="CF957" s="34"/>
      <c r="CG957" s="34"/>
      <c r="CH957" s="34"/>
      <c r="CI957" s="8"/>
    </row>
    <row r="958" spans="1:87" x14ac:dyDescent="0.2">
      <c r="A958" s="8" t="str">
        <f>IF(AND(COUNTIF(W$3:W$13,A$33)&gt;0,A$33&lt;&gt;B800),A$33,IFERROR(IF(MATCH(A$33,Z$3:Z$13,0)=7,A$33," ")," "))</f>
        <v>C19</v>
      </c>
      <c r="B958" s="8">
        <f>IF(A958=" "," ",MAX(B940:B957)+1)</f>
        <v>8</v>
      </c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U958" s="34"/>
      <c r="V958" s="34"/>
      <c r="W958" s="34"/>
      <c r="X958" s="34"/>
      <c r="Y958" s="34"/>
      <c r="Z958" s="34"/>
      <c r="AA958" s="34"/>
      <c r="AB958" s="34"/>
      <c r="AC958" s="34"/>
      <c r="AD958" s="34"/>
      <c r="AE958" s="34"/>
      <c r="AF958" s="34"/>
      <c r="AG958" s="34"/>
      <c r="AH958" s="34"/>
      <c r="AI958" s="34"/>
      <c r="AJ958" s="34"/>
      <c r="AK958" s="34"/>
      <c r="AL958" s="34"/>
      <c r="AM958" s="34"/>
      <c r="AN958" s="34"/>
      <c r="AO958" s="34"/>
      <c r="AP958" s="34"/>
      <c r="AQ958" s="34"/>
      <c r="AR958" s="34"/>
      <c r="AS958" s="34"/>
      <c r="AT958" s="34"/>
      <c r="AU958" s="34"/>
      <c r="AV958" s="34"/>
      <c r="AW958" s="34"/>
      <c r="AX958" s="34"/>
      <c r="AY958" s="34"/>
      <c r="AZ958" s="34"/>
      <c r="BA958" s="34"/>
      <c r="BB958" s="34"/>
      <c r="BC958" s="34"/>
      <c r="BD958" s="34"/>
      <c r="BE958" s="34"/>
      <c r="BF958" s="34"/>
      <c r="BG958" s="34"/>
      <c r="BH958" s="34"/>
      <c r="BI958" s="34"/>
      <c r="BJ958" s="34"/>
      <c r="BK958" s="34"/>
      <c r="BL958" s="34"/>
      <c r="BM958" s="34"/>
      <c r="BN958" s="34"/>
      <c r="BO958" s="34"/>
      <c r="BP958" s="34"/>
      <c r="BQ958" s="34"/>
      <c r="BR958" s="34"/>
      <c r="BS958" s="34"/>
      <c r="BT958" s="34"/>
      <c r="BU958" s="34"/>
      <c r="BV958" s="34"/>
      <c r="BW958" s="34"/>
      <c r="BX958" s="34"/>
      <c r="BY958" s="34"/>
      <c r="BZ958" s="34"/>
      <c r="CA958" s="34"/>
      <c r="CB958" s="34"/>
      <c r="CC958" s="34"/>
      <c r="CD958" s="34"/>
      <c r="CE958" s="34"/>
      <c r="CF958" s="34"/>
      <c r="CG958" s="34"/>
      <c r="CH958" s="34"/>
      <c r="CI958" s="8"/>
    </row>
    <row r="959" spans="1:87" x14ac:dyDescent="0.2">
      <c r="A959" s="8" t="str">
        <f>IF(AND(COUNTIF(W$3:W$13,A$34)&gt;0,A$34&lt;&gt;B800),A$34,IFERROR(IF(MATCH(A$34,Z$3:Z$13,0)=7,A$34," ")," "))</f>
        <v>C20</v>
      </c>
      <c r="B959" s="8">
        <f>IF(A959=" "," ",MAX(B940:B958)+1)</f>
        <v>9</v>
      </c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U959" s="34"/>
      <c r="V959" s="34"/>
      <c r="W959" s="34"/>
      <c r="X959" s="34"/>
      <c r="Y959" s="34"/>
      <c r="Z959" s="34"/>
      <c r="AA959" s="34"/>
      <c r="AB959" s="34"/>
      <c r="AC959" s="34"/>
      <c r="AD959" s="34"/>
      <c r="AE959" s="34"/>
      <c r="AF959" s="34"/>
      <c r="AG959" s="34"/>
      <c r="AH959" s="34"/>
      <c r="AI959" s="34"/>
      <c r="AJ959" s="34"/>
      <c r="AK959" s="34"/>
      <c r="AL959" s="34"/>
      <c r="AM959" s="34"/>
      <c r="AN959" s="34"/>
      <c r="AO959" s="34"/>
      <c r="AP959" s="34"/>
      <c r="AQ959" s="34"/>
      <c r="AR959" s="34"/>
      <c r="AS959" s="34"/>
      <c r="AT959" s="34"/>
      <c r="AU959" s="34"/>
      <c r="AV959" s="34"/>
      <c r="AW959" s="34"/>
      <c r="AX959" s="34"/>
      <c r="AY959" s="34"/>
      <c r="AZ959" s="34"/>
      <c r="BA959" s="34"/>
      <c r="BB959" s="34"/>
      <c r="BC959" s="34"/>
      <c r="BD959" s="34"/>
      <c r="BE959" s="34"/>
      <c r="BF959" s="34"/>
      <c r="BG959" s="34"/>
      <c r="BH959" s="34"/>
      <c r="BI959" s="34"/>
      <c r="BJ959" s="34"/>
      <c r="BK959" s="34"/>
      <c r="BL959" s="34"/>
      <c r="BM959" s="34"/>
      <c r="BN959" s="34"/>
      <c r="BO959" s="34"/>
      <c r="BP959" s="34"/>
      <c r="BQ959" s="34"/>
      <c r="BR959" s="34"/>
      <c r="BS959" s="34"/>
      <c r="BT959" s="34"/>
      <c r="BU959" s="34"/>
      <c r="BV959" s="34"/>
      <c r="BW959" s="34"/>
      <c r="BX959" s="34"/>
      <c r="BY959" s="34"/>
      <c r="BZ959" s="34"/>
      <c r="CA959" s="34"/>
      <c r="CB959" s="34"/>
      <c r="CC959" s="34"/>
      <c r="CD959" s="34"/>
      <c r="CE959" s="34"/>
      <c r="CF959" s="34"/>
      <c r="CG959" s="34"/>
      <c r="CH959" s="34"/>
      <c r="CI959" s="8"/>
    </row>
    <row r="960" spans="1:87" x14ac:dyDescent="0.2">
      <c r="A960" s="8" t="str">
        <f>IF(AND(COUNTIF(W$3:W$13,A$35)&gt;0,A$35&lt;&gt;B800),A$35,IFERROR(IF(MATCH(A$35,Z$3:Z$13,0)=7,A$35," ")," "))</f>
        <v>C21</v>
      </c>
      <c r="B960" s="8">
        <f>IF(A960=" "," ",MAX(B940:B959)+1)</f>
        <v>10</v>
      </c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U960" s="34"/>
      <c r="V960" s="34"/>
      <c r="W960" s="34"/>
      <c r="X960" s="34"/>
      <c r="Y960" s="34"/>
      <c r="Z960" s="34"/>
      <c r="AA960" s="34"/>
      <c r="AB960" s="34"/>
      <c r="AC960" s="34"/>
      <c r="AD960" s="34"/>
      <c r="AE960" s="34"/>
      <c r="AF960" s="34"/>
      <c r="AG960" s="34"/>
      <c r="AH960" s="34"/>
      <c r="AI960" s="34"/>
      <c r="AJ960" s="34"/>
      <c r="AK960" s="34"/>
      <c r="AL960" s="34"/>
      <c r="AM960" s="34"/>
      <c r="AN960" s="34"/>
      <c r="AO960" s="34"/>
      <c r="AP960" s="34"/>
      <c r="AQ960" s="34"/>
      <c r="AR960" s="34"/>
      <c r="AS960" s="34"/>
      <c r="AT960" s="34"/>
      <c r="AU960" s="34"/>
      <c r="AV960" s="34"/>
      <c r="AW960" s="34"/>
      <c r="AX960" s="34"/>
      <c r="AY960" s="34"/>
      <c r="AZ960" s="34"/>
      <c r="BA960" s="34"/>
      <c r="BB960" s="34"/>
      <c r="BC960" s="34"/>
      <c r="BD960" s="34"/>
      <c r="BE960" s="34"/>
      <c r="BF960" s="34"/>
      <c r="BG960" s="34"/>
      <c r="BH960" s="34"/>
      <c r="BI960" s="34"/>
      <c r="BJ960" s="34"/>
      <c r="BK960" s="34"/>
      <c r="BL960" s="34"/>
      <c r="BM960" s="34"/>
      <c r="BN960" s="34"/>
      <c r="BO960" s="34"/>
      <c r="BP960" s="34"/>
      <c r="BQ960" s="34"/>
      <c r="BR960" s="34"/>
      <c r="BS960" s="34"/>
      <c r="BT960" s="34"/>
      <c r="BU960" s="34"/>
      <c r="BV960" s="34"/>
      <c r="BW960" s="34"/>
      <c r="BX960" s="34"/>
      <c r="BY960" s="34"/>
      <c r="BZ960" s="34"/>
      <c r="CA960" s="34"/>
      <c r="CB960" s="34"/>
      <c r="CC960" s="34"/>
      <c r="CD960" s="34"/>
      <c r="CE960" s="34"/>
      <c r="CF960" s="34"/>
      <c r="CG960" s="34"/>
      <c r="CH960" s="34"/>
      <c r="CI960" s="8"/>
    </row>
    <row r="961" spans="1:87" x14ac:dyDescent="0.2">
      <c r="A961" s="8" t="str">
        <f>IF(AND(COUNTIF(W$3:W$13,A$36)&gt;0,A$36&lt;&gt;B800),A$36,IFERROR(IF(MATCH(A$36,Z$3:Z$13,0)=7,A$36," ")," "))</f>
        <v>C22</v>
      </c>
      <c r="B961" s="8">
        <f>IF(A961=" "," ",MAX(B940:B960)+1)</f>
        <v>11</v>
      </c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U961" s="34"/>
      <c r="V961" s="34"/>
      <c r="W961" s="34"/>
      <c r="X961" s="34"/>
      <c r="Y961" s="34"/>
      <c r="Z961" s="34"/>
      <c r="AA961" s="34"/>
      <c r="AB961" s="34"/>
      <c r="AC961" s="34"/>
      <c r="AD961" s="34"/>
      <c r="AE961" s="34"/>
      <c r="AF961" s="34"/>
      <c r="AG961" s="34"/>
      <c r="AH961" s="34"/>
      <c r="AI961" s="34"/>
      <c r="AJ961" s="34"/>
      <c r="AK961" s="34"/>
      <c r="AL961" s="34"/>
      <c r="AM961" s="34"/>
      <c r="AN961" s="34"/>
      <c r="AO961" s="34"/>
      <c r="AP961" s="34"/>
      <c r="AQ961" s="34"/>
      <c r="AR961" s="34"/>
      <c r="AS961" s="34"/>
      <c r="AT961" s="34"/>
      <c r="AU961" s="34"/>
      <c r="AV961" s="34"/>
      <c r="AW961" s="34"/>
      <c r="AX961" s="34"/>
      <c r="AY961" s="34"/>
      <c r="AZ961" s="34"/>
      <c r="BA961" s="34"/>
      <c r="BB961" s="34"/>
      <c r="BC961" s="34"/>
      <c r="BD961" s="34"/>
      <c r="BE961" s="34"/>
      <c r="BF961" s="34"/>
      <c r="BG961" s="34"/>
      <c r="BH961" s="34"/>
      <c r="BI961" s="34"/>
      <c r="BJ961" s="34"/>
      <c r="BK961" s="34"/>
      <c r="BL961" s="34"/>
      <c r="BM961" s="34"/>
      <c r="BN961" s="34"/>
      <c r="BO961" s="34"/>
      <c r="BP961" s="34"/>
      <c r="BQ961" s="34"/>
      <c r="BR961" s="34"/>
      <c r="BS961" s="34"/>
      <c r="BT961" s="34"/>
      <c r="BU961" s="34"/>
      <c r="BV961" s="34"/>
      <c r="BW961" s="34"/>
      <c r="BX961" s="34"/>
      <c r="BY961" s="34"/>
      <c r="BZ961" s="34"/>
      <c r="CA961" s="34"/>
      <c r="CB961" s="34"/>
      <c r="CC961" s="34"/>
      <c r="CD961" s="34"/>
      <c r="CE961" s="34"/>
      <c r="CF961" s="34"/>
      <c r="CG961" s="34"/>
      <c r="CH961" s="34"/>
      <c r="CI961" s="8"/>
    </row>
    <row r="962" spans="1:87" x14ac:dyDescent="0.2">
      <c r="A962" s="11" t="s">
        <v>17</v>
      </c>
      <c r="B962" s="11"/>
      <c r="C962" s="27" t="s">
        <v>18</v>
      </c>
      <c r="D962" s="27" t="s">
        <v>2</v>
      </c>
      <c r="E962" s="27" t="s">
        <v>6</v>
      </c>
      <c r="F962" s="27" t="s">
        <v>15</v>
      </c>
      <c r="G962" s="27" t="s">
        <v>36</v>
      </c>
      <c r="H962" s="27" t="s">
        <v>37</v>
      </c>
      <c r="I962" s="27" t="s">
        <v>38</v>
      </c>
      <c r="J962" s="27" t="s">
        <v>39</v>
      </c>
      <c r="K962" s="27" t="s">
        <v>40</v>
      </c>
      <c r="L962" s="27" t="s">
        <v>41</v>
      </c>
      <c r="M962" s="27" t="s">
        <v>42</v>
      </c>
      <c r="N962" s="27" t="s">
        <v>43</v>
      </c>
      <c r="O962" s="27" t="s">
        <v>9</v>
      </c>
      <c r="P962" s="27" t="s">
        <v>12</v>
      </c>
      <c r="Q962" s="27" t="s">
        <v>19</v>
      </c>
      <c r="R962" s="27" t="s">
        <v>55</v>
      </c>
      <c r="S962" s="27" t="s">
        <v>26</v>
      </c>
      <c r="T962" s="19" t="s">
        <v>25</v>
      </c>
      <c r="U962" s="33" t="s">
        <v>27</v>
      </c>
      <c r="V962" s="33" t="s">
        <v>9</v>
      </c>
      <c r="W962" s="33" t="s">
        <v>23</v>
      </c>
      <c r="X962" s="33" t="s">
        <v>12</v>
      </c>
      <c r="Y962" s="33" t="s">
        <v>26</v>
      </c>
      <c r="Z962" s="33" t="s">
        <v>25</v>
      </c>
      <c r="AA962" s="33" t="s">
        <v>27</v>
      </c>
      <c r="AB962" s="33" t="s">
        <v>9</v>
      </c>
      <c r="AC962" s="33" t="s">
        <v>23</v>
      </c>
      <c r="AD962" s="33" t="s">
        <v>12</v>
      </c>
      <c r="AE962" s="33" t="s">
        <v>26</v>
      </c>
      <c r="AF962" s="33" t="s">
        <v>25</v>
      </c>
      <c r="AG962" s="33" t="s">
        <v>27</v>
      </c>
      <c r="AH962" s="33" t="s">
        <v>9</v>
      </c>
      <c r="AI962" s="33" t="s">
        <v>23</v>
      </c>
      <c r="AJ962" s="33" t="s">
        <v>12</v>
      </c>
      <c r="AK962" s="33" t="s">
        <v>26</v>
      </c>
      <c r="AL962" s="33" t="s">
        <v>25</v>
      </c>
      <c r="AM962" s="33" t="s">
        <v>27</v>
      </c>
      <c r="AN962" s="33" t="s">
        <v>9</v>
      </c>
      <c r="AO962" s="33" t="s">
        <v>23</v>
      </c>
      <c r="AP962" s="33" t="s">
        <v>12</v>
      </c>
      <c r="AQ962" s="33" t="s">
        <v>26</v>
      </c>
      <c r="AR962" s="33" t="s">
        <v>25</v>
      </c>
      <c r="AS962" s="33" t="s">
        <v>27</v>
      </c>
      <c r="AT962" s="33" t="s">
        <v>9</v>
      </c>
      <c r="AU962" s="33" t="s">
        <v>23</v>
      </c>
      <c r="AV962" s="33" t="s">
        <v>12</v>
      </c>
      <c r="AW962" s="33" t="s">
        <v>26</v>
      </c>
      <c r="AX962" s="33" t="s">
        <v>25</v>
      </c>
      <c r="AY962" s="33" t="s">
        <v>27</v>
      </c>
      <c r="AZ962" s="33" t="s">
        <v>9</v>
      </c>
      <c r="BA962" s="33" t="s">
        <v>23</v>
      </c>
      <c r="BB962" s="33" t="s">
        <v>12</v>
      </c>
      <c r="BC962" s="33" t="s">
        <v>26</v>
      </c>
      <c r="BD962" s="33" t="s">
        <v>25</v>
      </c>
      <c r="BE962" s="33" t="s">
        <v>27</v>
      </c>
      <c r="BF962" s="33" t="s">
        <v>9</v>
      </c>
      <c r="BG962" s="33" t="s">
        <v>23</v>
      </c>
      <c r="BH962" s="33" t="s">
        <v>12</v>
      </c>
      <c r="BI962" s="33" t="s">
        <v>26</v>
      </c>
      <c r="BJ962" s="33" t="s">
        <v>25</v>
      </c>
      <c r="BK962" s="33" t="s">
        <v>27</v>
      </c>
      <c r="BL962" s="33" t="s">
        <v>9</v>
      </c>
      <c r="BM962" s="33" t="s">
        <v>23</v>
      </c>
      <c r="BN962" s="33" t="s">
        <v>12</v>
      </c>
      <c r="BO962" s="33" t="s">
        <v>26</v>
      </c>
      <c r="BP962" s="33" t="s">
        <v>25</v>
      </c>
      <c r="BQ962" s="33" t="s">
        <v>27</v>
      </c>
      <c r="BR962" s="33" t="s">
        <v>9</v>
      </c>
      <c r="BS962" s="33" t="s">
        <v>23</v>
      </c>
      <c r="BT962" s="33" t="s">
        <v>12</v>
      </c>
      <c r="BU962" s="33" t="s">
        <v>26</v>
      </c>
      <c r="BV962" s="33" t="s">
        <v>25</v>
      </c>
      <c r="BW962" s="33" t="s">
        <v>27</v>
      </c>
      <c r="BX962" s="33" t="s">
        <v>9</v>
      </c>
      <c r="BY962" s="33" t="s">
        <v>23</v>
      </c>
      <c r="BZ962" s="33" t="s">
        <v>12</v>
      </c>
      <c r="CA962" s="33" t="s">
        <v>26</v>
      </c>
      <c r="CB962" s="33" t="s">
        <v>25</v>
      </c>
      <c r="CC962" s="33" t="s">
        <v>27</v>
      </c>
      <c r="CD962" s="33" t="s">
        <v>9</v>
      </c>
      <c r="CE962" s="33" t="s">
        <v>23</v>
      </c>
      <c r="CF962" s="33" t="s">
        <v>12</v>
      </c>
      <c r="CG962" s="33" t="s">
        <v>26</v>
      </c>
      <c r="CH962" s="33" t="s">
        <v>25</v>
      </c>
      <c r="CI962" s="8"/>
    </row>
    <row r="963" spans="1:87" x14ac:dyDescent="0.2">
      <c r="A963" s="8" t="str">
        <f>IF(AND(COUNTIF(W$3:W$13,A$15)&gt;0,A$15&lt;&gt;B800),A$15,IFERROR(IF(MATCH(A$15,Z$3:Z$13,0)=8,A$15," ")," "))</f>
        <v xml:space="preserve"> </v>
      </c>
      <c r="B963" s="8" t="str">
        <f>IF(A963=" "," ",1)</f>
        <v xml:space="preserve"> </v>
      </c>
      <c r="C963" s="8" t="str">
        <f>IFERROR(INDEX(A963:A984,MATCH(SMALL(B963:B984,1),B963:B984,0),1)," ")</f>
        <v>C3</v>
      </c>
      <c r="D963" s="8">
        <f>IFERROR(VLOOKUP($C963,$A$15:$O$36,2,FALSE)," ")</f>
        <v>2</v>
      </c>
      <c r="E963" s="8">
        <f>IFERROR(VLOOKUP($C963,$A$15:$O$36,3,FALSE)," ")</f>
        <v>5</v>
      </c>
      <c r="F963" s="8">
        <f>IFERROR(VLOOKUP($C963,$A$15:$O$36,4,FALSE)," ")</f>
        <v>6</v>
      </c>
      <c r="G963" s="8">
        <f>IFERROR(VLOOKUP($C963,$A$15:$O$36,5,FALSE)," ")</f>
        <v>0</v>
      </c>
      <c r="H963" s="8">
        <f>IFERROR(VLOOKUP($C963,$A$15:$O$36,6,FALSE)," ")</f>
        <v>0</v>
      </c>
      <c r="I963" s="8">
        <f>IFERROR(VLOOKUP($C963,$A$15:$O$36,7,FALSE)," ")</f>
        <v>0</v>
      </c>
      <c r="J963" s="8">
        <f>IFERROR(VLOOKUP($C963,$A$15:$O$36,8,FALSE)," ")</f>
        <v>0</v>
      </c>
      <c r="K963" s="8">
        <f>IFERROR(VLOOKUP($C963,$A$15:$O$36,9,FALSE)," ")</f>
        <v>0</v>
      </c>
      <c r="L963" s="8">
        <f>IFERROR(VLOOKUP($C963,$A$15:$O$36,10,FALSE)," ")</f>
        <v>0</v>
      </c>
      <c r="M963" s="8">
        <f>IFERROR(VLOOKUP($C963,$A$15:$O$36,11,FALSE)," ")</f>
        <v>0</v>
      </c>
      <c r="N963" s="8">
        <f>IFERROR(VLOOKUP($C963,$A$15:$O$36,12,FALSE)," ")</f>
        <v>0</v>
      </c>
      <c r="O963" s="8">
        <f>IFERROR(VLOOKUP($C963,$A$15:$O$36,15,FALSE)," ")</f>
        <v>2000</v>
      </c>
      <c r="P963" s="8" t="e">
        <f t="array" ref="P963:P973">MMULT(MINVERSE(D963:N973),O963:O973)</f>
        <v>#NUM!</v>
      </c>
      <c r="Q963" s="8" t="e">
        <f t="shared" ref="Q963" si="4020">IF(COUNTIF(P963:P973,"&lt;"&amp;-0.001)=0,IF(ABS(P963)&lt;0.001,0,P963)," ")</f>
        <v>#NUM!</v>
      </c>
      <c r="R963" s="8" t="str">
        <f>IFERROR(VLOOKUP(B800,A$15:L$36,2,FALSE)*Q963+VLOOKUP(B800,A$15:L$36,3,FALSE)*Q964+VLOOKUP(B800,A$15:L$36,4,FALSE)*Q965+VLOOKUP(B800,A$15:L$36,5,FALSE)*Q966+VLOOKUP(B800,A$15:L$36,6,FALSE)*Q967+VLOOKUP(B800,A$15:L$36,7,FALSE)*Q968+VLOOKUP(B800,A$15:L$36,8,FALSE)*Q969+VLOOKUP(B800,A$15:L$36,9,FALSE)*Q970+VLOOKUP(B800,A$15:L$36,10,FALSE)*Q971+VLOOKUP(B800,A$15:L$36,11,FALSE)*Q972+VLOOKUP(B800,A$15:L$36,12,FALSE)*Q973," ")</f>
        <v xml:space="preserve"> </v>
      </c>
      <c r="S963" s="8" t="str">
        <f>IFERROR(IF(R963-VLOOKUP(B800,A$15:O$36,15,FALSE)&lt;0,R963-VLOOKUP(B800,A$15:O$36,15,FALSE)," ")," ")</f>
        <v xml:space="preserve"> </v>
      </c>
      <c r="T963" s="18" t="str">
        <f>IFERROR(IF(R963-VLOOKUP(B800,A$15:O$36,15,FALSE)&gt;0,R963-VLOOKUP(B800,A$15:O$36,15,FALSE)," ")," ")</f>
        <v xml:space="preserve"> </v>
      </c>
      <c r="U963" s="34">
        <f t="shared" ref="U963" si="4021">$M$2</f>
        <v>100.00000000000001</v>
      </c>
      <c r="V963" s="34">
        <v>-1</v>
      </c>
      <c r="W963" s="34">
        <f t="shared" ref="W963" si="4022">-SUMPRODUCT($M$3:$M$12,$N$3:$N$12)</f>
        <v>-105000</v>
      </c>
      <c r="X963" s="34" t="e">
        <f t="shared" ref="X963" si="4023">IF(U963&lt;&gt;U964,MMULT(MINVERSE(U963:V964),W963:W964)," ")</f>
        <v>#NUM!</v>
      </c>
      <c r="Y963" s="34" t="str">
        <f t="shared" ref="Y963" si="4024">IFERROR(IF(X963-VLOOKUP(U$38,$A$2:$N$12,14,FALSE)&lt;0,X963-VLOOKUP(U$38,$A$2:$N$12,14,FALSE)," ")," ")</f>
        <v xml:space="preserve"> </v>
      </c>
      <c r="Z963" s="34" t="str">
        <f t="shared" ref="Z963" si="4025">IFERROR(IF(X963-VLOOKUP(U$38,$A$2:$N$12,14,FALSE)&gt;0,X963-VLOOKUP(U$38,$A$2:$N$12,14,FALSE)," ")," ")</f>
        <v xml:space="preserve"> </v>
      </c>
      <c r="AA963" s="34">
        <f t="shared" ref="AA963" si="4026">$M$3</f>
        <v>0</v>
      </c>
      <c r="AB963" s="34">
        <v>-1</v>
      </c>
      <c r="AC963" s="34">
        <f t="shared" ref="AC963" si="4027">-SUMPRODUCT($M$2:$M$2,$N$2:$N$2)-SUMPRODUCT($M$4:$M$12,$N$4:$N$12)</f>
        <v>-120000</v>
      </c>
      <c r="AD963" s="34" t="e">
        <f t="shared" ref="AD963" si="4028">IF(AA963&lt;&gt;AA964,MMULT(MINVERSE(AA963:AB964),AC963:AC964)," ")</f>
        <v>#NUM!</v>
      </c>
      <c r="AE963" s="34" t="str">
        <f t="shared" ref="AE963" si="4029">IFERROR(IF(AD963-VLOOKUP(AA$38,$A$2:$N$12,14,FALSE)&lt;0,AD963-VLOOKUP(AA$38,$A$2:$N$12,14,FALSE)," ")," ")</f>
        <v xml:space="preserve"> </v>
      </c>
      <c r="AF963" s="34" t="str">
        <f t="shared" ref="AF963" si="4030">IFERROR(IF(AD963-VLOOKUP(AA$38,$A$2:$N$12,14,FALSE)&gt;0,AD963-VLOOKUP(AA$38,$A$2:$N$12,14,FALSE)," ")," ")</f>
        <v xml:space="preserve"> </v>
      </c>
      <c r="AG963" s="34">
        <f t="shared" ref="AG963" si="4031">$M$4</f>
        <v>300</v>
      </c>
      <c r="AH963" s="34">
        <v>-1</v>
      </c>
      <c r="AI963" s="34">
        <f t="shared" ref="AI963" si="4032">-SUMPRODUCT($M$2:$M$3,$N$2:$N$3)-SUMPRODUCT($M$5:$M$12,$N$5:$N$12)</f>
        <v>-15000.000000000002</v>
      </c>
      <c r="AJ963" s="34" t="e">
        <f t="shared" ref="AJ963" si="4033">IF(AG963&lt;&gt;AG964,MMULT(MINVERSE(AG963:AH964),AI963:AI964)," ")</f>
        <v>#NUM!</v>
      </c>
      <c r="AK963" s="34" t="str">
        <f t="shared" ref="AK963" si="4034">IFERROR(IF(AJ963-VLOOKUP(AG$38,$A$2:$N$12,14,FALSE)&lt;0,AJ963-VLOOKUP(AG$38,$A$2:$N$12,14,FALSE)," ")," ")</f>
        <v xml:space="preserve"> </v>
      </c>
      <c r="AL963" s="34" t="str">
        <f t="shared" ref="AL963" si="4035">IFERROR(IF(AJ963-VLOOKUP(AG$38,$A$2:$N$12,14,FALSE)&gt;0,AJ963-VLOOKUP(AG$38,$A$2:$N$12,14,FALSE)," ")," ")</f>
        <v xml:space="preserve"> </v>
      </c>
      <c r="AM963" s="34">
        <f t="shared" ref="AM963" si="4036">$M$5</f>
        <v>0</v>
      </c>
      <c r="AN963" s="34">
        <v>-1</v>
      </c>
      <c r="AO963" s="34">
        <f t="shared" ref="AO963" si="4037">-SUMPRODUCT($M$2:$M$4,$N$2:$N$4)-SUMPRODUCT($M$6:$M$12,$N$6:$N$12)</f>
        <v>-120000</v>
      </c>
      <c r="AP963" s="34" t="e">
        <f t="shared" ref="AP963" si="4038">IF(AM963&lt;&gt;AM964,MMULT(MINVERSE(AM963:AN964),AO963:AO964)," ")</f>
        <v>#NUM!</v>
      </c>
      <c r="AQ963" s="34" t="str">
        <f t="shared" ref="AQ963" si="4039">IFERROR(IF(AP963-VLOOKUP(AM$38,$A$2:$N$12,14,FALSE)&lt;0,AP963-VLOOKUP(AM$38,$A$2:$N$12,14,FALSE)," ")," ")</f>
        <v xml:space="preserve"> </v>
      </c>
      <c r="AR963" s="34" t="str">
        <f t="shared" ref="AR963" si="4040">IFERROR(IF(AP963-VLOOKUP(AM$38,$A$2:$N$12,14,FALSE)&gt;0,AP963-VLOOKUP(AM$38,$A$2:$N$12,14,FALSE)," ")," ")</f>
        <v xml:space="preserve"> </v>
      </c>
      <c r="AS963" s="34">
        <f t="shared" ref="AS963" si="4041">$M$6</f>
        <v>0</v>
      </c>
      <c r="AT963" s="34">
        <v>-1</v>
      </c>
      <c r="AU963" s="34">
        <f t="shared" ref="AU963" si="4042">-SUMPRODUCT($M$2:$M$5,$N$2:$N$5)-SUMPRODUCT($M$7:$M$12,$N$7:$N$12)</f>
        <v>-120000</v>
      </c>
      <c r="AV963" s="34" t="e">
        <f t="shared" ref="AV963" si="4043">IF(AS963&lt;&gt;AS964,MMULT(MINVERSE(AS963:AT964),AU963:AU964)," ")</f>
        <v>#NUM!</v>
      </c>
      <c r="AW963" s="34" t="str">
        <f t="shared" ref="AW963" si="4044">IFERROR(IF(AV963-VLOOKUP(AS$38,$A$2:$N$12,14,FALSE)&lt;0,AV963-VLOOKUP(AS$38,$A$2:$N$12,14,FALSE)," ")," ")</f>
        <v xml:space="preserve"> </v>
      </c>
      <c r="AX963" s="34" t="str">
        <f t="shared" ref="AX963" si="4045">IFERROR(IF(AV963-VLOOKUP(AS$38,$A$2:$N$12,14,FALSE)&gt;0,AV963-VLOOKUP(AS$38,$A$2:$N$12,14,FALSE)," ")," ")</f>
        <v xml:space="preserve"> </v>
      </c>
      <c r="AY963" s="34">
        <f t="shared" ref="AY963" si="4046">$M$7</f>
        <v>0</v>
      </c>
      <c r="AZ963" s="34">
        <v>-1</v>
      </c>
      <c r="BA963" s="34">
        <f t="shared" ref="BA963" si="4047">-SUMPRODUCT($M$2:$M$6,$N$2:$N$6)-SUMPRODUCT($M$8:$M$12,$N$8:$N$12)</f>
        <v>-120000</v>
      </c>
      <c r="BB963" s="34" t="e">
        <f t="shared" ref="BB963" si="4048">IF(AY963&lt;&gt;AY964,MMULT(MINVERSE(AY963:AZ964),BA963:BA964)," ")</f>
        <v>#NUM!</v>
      </c>
      <c r="BC963" s="34" t="str">
        <f t="shared" ref="BC963" si="4049">IFERROR(IF(BB963-VLOOKUP(AY$38,$A$2:$N$12,14,FALSE)&lt;0,BB963-VLOOKUP(AY$38,$A$2:$N$12,14,FALSE)," ")," ")</f>
        <v xml:space="preserve"> </v>
      </c>
      <c r="BD963" s="34" t="str">
        <f t="shared" ref="BD963" si="4050">IFERROR(IF(BB963-VLOOKUP(AY$38,$A$2:$N$12,14,FALSE)&gt;0,BB963-VLOOKUP(AY$38,$A$2:$N$12,14,FALSE)," ")," ")</f>
        <v xml:space="preserve"> </v>
      </c>
      <c r="BE963" s="34">
        <f t="shared" ref="BE963" si="4051">$M$8</f>
        <v>0</v>
      </c>
      <c r="BF963" s="34">
        <v>-1</v>
      </c>
      <c r="BG963" s="34">
        <f t="shared" ref="BG963" si="4052">-SUMPRODUCT($M$2:$M$7,$N$2:$N$7)-SUMPRODUCT($M$9:$M$12,$N$9:$N$12)</f>
        <v>-120000</v>
      </c>
      <c r="BH963" s="34" t="e">
        <f t="shared" ref="BH963" si="4053">IF(BE963&lt;&gt;BE964,MMULT(MINVERSE(BE963:BF964),BG963:BG964)," ")</f>
        <v>#NUM!</v>
      </c>
      <c r="BI963" s="34" t="str">
        <f t="shared" ref="BI963" si="4054">IFERROR(IF(BH963-VLOOKUP(BE$38,$A$2:$N$12,14,FALSE)&lt;0,BH963-VLOOKUP(BE$38,$A$2:$N$12,14,FALSE)," ")," ")</f>
        <v xml:space="preserve"> </v>
      </c>
      <c r="BJ963" s="34" t="str">
        <f t="shared" ref="BJ963" si="4055">IFERROR(IF(BH963-VLOOKUP(BE$38,$A$2:$N$12,14,FALSE)&gt;0,BH963-VLOOKUP(BE$38,$A$2:$N$12,14,FALSE)," ")," ")</f>
        <v xml:space="preserve"> </v>
      </c>
      <c r="BK963" s="34">
        <f t="shared" ref="BK963" si="4056">$M$9</f>
        <v>0</v>
      </c>
      <c r="BL963" s="34">
        <v>-1</v>
      </c>
      <c r="BM963" s="34">
        <f t="shared" ref="BM963" si="4057">-SUMPRODUCT($M$2:$M$8,$N$2:$N$8)-SUMPRODUCT($M$10:$M$12,$N$10:$N$12)</f>
        <v>-120000</v>
      </c>
      <c r="BN963" s="34" t="e">
        <f t="shared" ref="BN963" si="4058">IF(BK963&lt;&gt;BK964,MMULT(MINVERSE(BK963:BL964),BM963:BM964)," ")</f>
        <v>#NUM!</v>
      </c>
      <c r="BO963" s="34" t="str">
        <f t="shared" ref="BO963" si="4059">IFERROR(IF(BN963-VLOOKUP(BK$38,$A$2:$N$12,14,FALSE)&lt;0,BN963-VLOOKUP(BK$38,$A$2:$N$12,14,FALSE)," ")," ")</f>
        <v xml:space="preserve"> </v>
      </c>
      <c r="BP963" s="34" t="str">
        <f t="shared" ref="BP963" si="4060">IFERROR(IF(BN963-VLOOKUP(BK$38,$A$2:$N$12,14,FALSE)&gt;0,BN963-VLOOKUP(BK$38,$A$2:$N$12,14,FALSE)," ")," ")</f>
        <v xml:space="preserve"> </v>
      </c>
      <c r="BQ963" s="34">
        <f t="shared" ref="BQ963" si="4061">$M$10</f>
        <v>0</v>
      </c>
      <c r="BR963" s="34">
        <v>-1</v>
      </c>
      <c r="BS963" s="34">
        <f t="shared" ref="BS963" si="4062">-SUMPRODUCT($M$2:$M$9,$N$2:$N$9)-SUMPRODUCT($M$11:$M$12,$N$11:$N$12)</f>
        <v>-120000</v>
      </c>
      <c r="BT963" s="34" t="e">
        <f t="shared" ref="BT963" si="4063">IF(BQ963&lt;&gt;BQ964,MMULT(MINVERSE(BQ963:BR964),BS963:BS964)," ")</f>
        <v>#NUM!</v>
      </c>
      <c r="BU963" s="34" t="str">
        <f t="shared" ref="BU963" si="4064">IFERROR(IF(BT963-VLOOKUP(BQ$38,$A$2:$N$12,14,FALSE)&lt;0,BT963-VLOOKUP(BQ$38,$A$2:$N$12,14,FALSE)," ")," ")</f>
        <v xml:space="preserve"> </v>
      </c>
      <c r="BV963" s="34" t="str">
        <f t="shared" ref="BV963" si="4065">IFERROR(IF(BT963-VLOOKUP(BQ$38,$A$2:$N$12,14,FALSE)&gt;0,BT963-VLOOKUP(BQ$38,$A$2:$N$12,14,FALSE)," ")," ")</f>
        <v xml:space="preserve"> </v>
      </c>
      <c r="BW963" s="34">
        <f t="shared" ref="BW963" si="4066">$M$11</f>
        <v>0</v>
      </c>
      <c r="BX963" s="34">
        <v>-1</v>
      </c>
      <c r="BY963" s="34">
        <f t="shared" ref="BY963" si="4067">-SUMPRODUCT($M$2:$M$10,$N$2:$N$10)-SUMPRODUCT($M$12,$N$12)</f>
        <v>-120000</v>
      </c>
      <c r="BZ963" s="34" t="e">
        <f t="shared" ref="BZ963" si="4068">IF(BW963&lt;&gt;BW964,MMULT(MINVERSE(BW963:BX964),BY963:BY964)," ")</f>
        <v>#NUM!</v>
      </c>
      <c r="CA963" s="34" t="str">
        <f t="shared" ref="CA963" si="4069">IFERROR(IF(BZ963-VLOOKUP(BW$38,$A$2:$N$12,14,FALSE)&lt;0,BZ963-VLOOKUP(BW$38,$A$2:$N$12,14,FALSE)," ")," ")</f>
        <v xml:space="preserve"> </v>
      </c>
      <c r="CB963" s="34" t="str">
        <f t="shared" ref="CB963" si="4070">IFERROR(IF(BZ963-VLOOKUP(BW$38,$A$2:$N$12,14,FALSE)&gt;0,BZ963-VLOOKUP(BW$38,$A$2:$N$12,14,FALSE)," ")," ")</f>
        <v xml:space="preserve"> </v>
      </c>
      <c r="CC963" s="34">
        <f t="shared" ref="CC963" si="4071">$M$12</f>
        <v>0</v>
      </c>
      <c r="CD963" s="34">
        <v>-1</v>
      </c>
      <c r="CE963" s="34">
        <f t="shared" ref="CE963" si="4072">-SUMPRODUCT($M$2:$M$11,$N$2:$N$11)</f>
        <v>-120000</v>
      </c>
      <c r="CF963" s="34" t="e">
        <f t="shared" ref="CF963" si="4073">IF(CC963&lt;&gt;CC964,MMULT(MINVERSE(CC963:CD964),CE963:CE964)," ")</f>
        <v>#NUM!</v>
      </c>
      <c r="CG963" s="34" t="str">
        <f t="shared" ref="CG963" si="4074">IFERROR(IF(CF963-VLOOKUP(CC$38,$A$2:$N$12,14,FALSE)&lt;0,CF963-VLOOKUP(CC$38,$A$2:$N$12,14,FALSE)," ")," ")</f>
        <v xml:space="preserve"> </v>
      </c>
      <c r="CH963" s="34" t="str">
        <f t="shared" ref="CH963" si="4075">IFERROR(IF(CF963-VLOOKUP(CC$38,$A$2:$N$12,14,FALSE)&gt;0,CF963-VLOOKUP(CC$38,$A$2:$N$12,14,FALSE)," ")," ")</f>
        <v xml:space="preserve"> </v>
      </c>
      <c r="CI963" s="8"/>
    </row>
    <row r="964" spans="1:87" x14ac:dyDescent="0.2">
      <c r="A964" s="8" t="str">
        <f>IF(AND(COUNTIF(W$3:W$13,A$16)&gt;0,A$16&lt;&gt;B800),A$16,IFERROR(IF(MATCH(A$16,Z$3:Z$13,0)=8,A$16," ")," "))</f>
        <v xml:space="preserve"> </v>
      </c>
      <c r="B964" s="8" t="str">
        <f>IF(A964=" "," ",MAX(B963:B963)+1)</f>
        <v xml:space="preserve"> </v>
      </c>
      <c r="C964" s="8" t="str">
        <f>IFERROR(INDEX(A963:A984,MATCH(SMALL(B963:B984,2),B963:B984,0),1)," ")</f>
        <v>C4</v>
      </c>
      <c r="D964" s="8">
        <f t="shared" ref="D964:D973" si="4076">IFERROR(VLOOKUP($C964,$A$15:$O$36,2,FALSE)," ")</f>
        <v>1</v>
      </c>
      <c r="E964" s="8">
        <f t="shared" ref="E964:E973" si="4077">IFERROR(VLOOKUP($C964,$A$15:$O$36,3,FALSE)," ")</f>
        <v>0</v>
      </c>
      <c r="F964" s="8">
        <f t="shared" ref="F964:F973" si="4078">IFERROR(VLOOKUP($C964,$A$15:$O$36,4,FALSE)," ")</f>
        <v>1</v>
      </c>
      <c r="G964" s="8">
        <f t="shared" ref="G964:G973" si="4079">IFERROR(VLOOKUP($C964,$A$15:$O$36,5,FALSE)," ")</f>
        <v>0</v>
      </c>
      <c r="H964" s="8">
        <f t="shared" ref="H964:H973" si="4080">IFERROR(VLOOKUP($C964,$A$15:$O$36,6,FALSE)," ")</f>
        <v>0</v>
      </c>
      <c r="I964" s="8">
        <f t="shared" ref="I964:I973" si="4081">IFERROR(VLOOKUP($C964,$A$15:$O$36,7,FALSE)," ")</f>
        <v>0</v>
      </c>
      <c r="J964" s="8">
        <f t="shared" ref="J964:J973" si="4082">IFERROR(VLOOKUP($C964,$A$15:$O$36,8,FALSE)," ")</f>
        <v>0</v>
      </c>
      <c r="K964" s="8">
        <f t="shared" ref="K964:K973" si="4083">IFERROR(VLOOKUP($C964,$A$15:$O$36,9,FALSE)," ")</f>
        <v>0</v>
      </c>
      <c r="L964" s="8">
        <f t="shared" ref="L964:L973" si="4084">IFERROR(VLOOKUP($C964,$A$15:$O$36,10,FALSE)," ")</f>
        <v>0</v>
      </c>
      <c r="M964" s="8">
        <f t="shared" ref="M964:M973" si="4085">IFERROR(VLOOKUP($C964,$A$15:$O$36,11,FALSE)," ")</f>
        <v>0</v>
      </c>
      <c r="N964" s="8">
        <f t="shared" ref="N964:N973" si="4086">IFERROR(VLOOKUP($C964,$A$15:$O$36,12,FALSE)," ")</f>
        <v>0</v>
      </c>
      <c r="O964" s="8">
        <f t="shared" ref="O964:O973" si="4087">IFERROR(VLOOKUP($C964,$A$15:$O$36,15,FALSE)," ")</f>
        <v>400</v>
      </c>
      <c r="P964" s="8" t="e">
        <v>#NUM!</v>
      </c>
      <c r="Q964" s="8" t="e">
        <f t="shared" ref="Q964" si="4088">IF(COUNTIF(P963:P973,"&lt;"&amp;-0.001)=0,IF(ABS(P964)&lt;0.001,0,P964)," ")</f>
        <v>#NUM!</v>
      </c>
      <c r="R964" s="8"/>
      <c r="S964" s="8"/>
      <c r="U964" s="34" t="e">
        <f t="shared" ref="U964" si="4089">$Q963</f>
        <v>#NUM!</v>
      </c>
      <c r="V964" s="34">
        <v>-1</v>
      </c>
      <c r="W964" s="34" t="e">
        <f t="shared" ref="W964" si="4090">-SUMPRODUCT($Q964:$Q973,$N$3:$N$12)</f>
        <v>#NUM!</v>
      </c>
      <c r="X964" s="34"/>
      <c r="Y964" s="34"/>
      <c r="Z964" s="34"/>
      <c r="AA964" s="34" t="e">
        <f t="shared" ref="AA964" si="4091">$Q964</f>
        <v>#NUM!</v>
      </c>
      <c r="AB964" s="34">
        <v>-1</v>
      </c>
      <c r="AC964" s="34" t="e">
        <f t="shared" ref="AC964" si="4092">-SUMPRODUCT($Q963:$Q963,$N$2:$N$2)-SUMPRODUCT($Q965:$Q973,$N$4:$N$12)</f>
        <v>#NUM!</v>
      </c>
      <c r="AD964" s="34"/>
      <c r="AE964" s="34"/>
      <c r="AF964" s="34"/>
      <c r="AG964" s="34" t="e">
        <f t="shared" ref="AG964" si="4093">$Q965</f>
        <v>#NUM!</v>
      </c>
      <c r="AH964" s="34">
        <v>-1</v>
      </c>
      <c r="AI964" s="34" t="e">
        <f t="shared" ref="AI964" si="4094">-SUMPRODUCT($Q963:$Q964,$N$2:$N$3)-SUMPRODUCT($Q966:$Q973,$N$5:$N$12)</f>
        <v>#NUM!</v>
      </c>
      <c r="AJ964" s="34"/>
      <c r="AK964" s="34"/>
      <c r="AL964" s="34"/>
      <c r="AM964" s="34" t="e">
        <f t="shared" ref="AM964" si="4095">$Q966</f>
        <v>#NUM!</v>
      </c>
      <c r="AN964" s="34">
        <v>-1</v>
      </c>
      <c r="AO964" s="34" t="e">
        <f t="shared" ref="AO964" si="4096">-SUMPRODUCT($Q963:$Q965,$N$2:$N$4)-SUMPRODUCT($Q967:$Q973,$N$6:$N$12)</f>
        <v>#NUM!</v>
      </c>
      <c r="AP964" s="34"/>
      <c r="AQ964" s="34"/>
      <c r="AR964" s="34"/>
      <c r="AS964" s="34" t="e">
        <f t="shared" ref="AS964" si="4097">$Q967</f>
        <v>#NUM!</v>
      </c>
      <c r="AT964" s="34">
        <v>-1</v>
      </c>
      <c r="AU964" s="34" t="e">
        <f t="shared" ref="AU964" si="4098">-SUMPRODUCT($Q963:$Q966,$N$2:$N$5)-SUMPRODUCT($Q968:$Q973,$N$7:$N$12)</f>
        <v>#NUM!</v>
      </c>
      <c r="AV964" s="34"/>
      <c r="AW964" s="34"/>
      <c r="AX964" s="34"/>
      <c r="AY964" s="34" t="e">
        <f t="shared" ref="AY964" si="4099">$Q968</f>
        <v>#NUM!</v>
      </c>
      <c r="AZ964" s="34">
        <v>-1</v>
      </c>
      <c r="BA964" s="34" t="e">
        <f t="shared" ref="BA964" si="4100">-SUMPRODUCT($Q963:$Q967,$N$2:$N$6)-SUMPRODUCT($Q969:$Q973,$N$8:$N$12)</f>
        <v>#NUM!</v>
      </c>
      <c r="BB964" s="34"/>
      <c r="BC964" s="34"/>
      <c r="BD964" s="34"/>
      <c r="BE964" s="34" t="e">
        <f t="shared" ref="BE964" si="4101">$Q969</f>
        <v>#NUM!</v>
      </c>
      <c r="BF964" s="34">
        <v>-1</v>
      </c>
      <c r="BG964" s="34" t="e">
        <f t="shared" ref="BG964" si="4102">-SUMPRODUCT($Q963:$Q968,$N$2:$N$7)-SUMPRODUCT($Q970:$Q973,$N$9:$N$12)</f>
        <v>#NUM!</v>
      </c>
      <c r="BH964" s="34"/>
      <c r="BI964" s="34"/>
      <c r="BJ964" s="34"/>
      <c r="BK964" s="34" t="e">
        <f t="shared" ref="BK964" si="4103">$Q970</f>
        <v>#NUM!</v>
      </c>
      <c r="BL964" s="34">
        <v>-1</v>
      </c>
      <c r="BM964" s="34" t="e">
        <f t="shared" ref="BM964" si="4104">-SUMPRODUCT($Q963:$Q969,$N$2:$N$8)-SUMPRODUCT($Q971:$Q973,$N$10:$N$12)</f>
        <v>#NUM!</v>
      </c>
      <c r="BN964" s="34"/>
      <c r="BO964" s="34"/>
      <c r="BP964" s="34"/>
      <c r="BQ964" s="34" t="e">
        <f t="shared" ref="BQ964" si="4105">$Q971</f>
        <v>#NUM!</v>
      </c>
      <c r="BR964" s="34">
        <v>-1</v>
      </c>
      <c r="BS964" s="34" t="e">
        <f t="shared" ref="BS964" si="4106">-SUMPRODUCT($Q963:$Q970,$N$2:$N$9)-SUMPRODUCT($Q972:$Q973,$N$11:$N$12)</f>
        <v>#NUM!</v>
      </c>
      <c r="BT964" s="34"/>
      <c r="BU964" s="34"/>
      <c r="BV964" s="34"/>
      <c r="BW964" s="34" t="e">
        <f t="shared" ref="BW964" si="4107">$Q972</f>
        <v>#NUM!</v>
      </c>
      <c r="BX964" s="34">
        <v>-1</v>
      </c>
      <c r="BY964" s="34" t="e">
        <f t="shared" ref="BY964" si="4108">-SUMPRODUCT($Q963:$Q971,$N$2:$N$10)-SUMPRODUCT($Q973,$N$12)</f>
        <v>#NUM!</v>
      </c>
      <c r="BZ964" s="34"/>
      <c r="CA964" s="34"/>
      <c r="CB964" s="34"/>
      <c r="CC964" s="34" t="e">
        <f t="shared" ref="CC964" si="4109">$Q973</f>
        <v>#NUM!</v>
      </c>
      <c r="CD964" s="34">
        <v>-1</v>
      </c>
      <c r="CE964" s="34" t="e">
        <f t="shared" ref="CE964" si="4110">-SUMPRODUCT($Q963:$Q972,$N$2:$N$11)</f>
        <v>#NUM!</v>
      </c>
      <c r="CF964" s="34"/>
      <c r="CG964" s="34"/>
      <c r="CH964" s="34"/>
      <c r="CI964" s="8"/>
    </row>
    <row r="965" spans="1:87" x14ac:dyDescent="0.2">
      <c r="A965" s="8" t="str">
        <f>IF(AND(COUNTIF(W$3:W$13,A$17)&gt;0,A$17&lt;&gt;B800),A$17,IFERROR(IF(MATCH(A$17,Z$3:Z$13,0)=8,A$17," ")," "))</f>
        <v>C3</v>
      </c>
      <c r="B965" s="8">
        <f>IF(A965=" "," ",MAX(B963:B964)+1)</f>
        <v>1</v>
      </c>
      <c r="C965" s="8" t="str">
        <f>IFERROR(INDEX(A963:A984,MATCH(SMALL(B963:B984,3),B963:B984,0),1)," ")</f>
        <v>C10</v>
      </c>
      <c r="D965" s="8">
        <f t="shared" si="4076"/>
        <v>0</v>
      </c>
      <c r="E965" s="8">
        <f t="shared" si="4077"/>
        <v>0</v>
      </c>
      <c r="F965" s="8">
        <f t="shared" si="4078"/>
        <v>0</v>
      </c>
      <c r="G965" s="8">
        <f t="shared" si="4079"/>
        <v>0</v>
      </c>
      <c r="H965" s="8">
        <f t="shared" si="4080"/>
        <v>0</v>
      </c>
      <c r="I965" s="8">
        <f t="shared" si="4081"/>
        <v>0</v>
      </c>
      <c r="J965" s="8">
        <f t="shared" si="4082"/>
        <v>0</v>
      </c>
      <c r="K965" s="8">
        <f t="shared" si="4083"/>
        <v>0</v>
      </c>
      <c r="L965" s="8">
        <f t="shared" si="4084"/>
        <v>0</v>
      </c>
      <c r="M965" s="8">
        <f t="shared" si="4085"/>
        <v>0</v>
      </c>
      <c r="N965" s="8">
        <f t="shared" si="4086"/>
        <v>0</v>
      </c>
      <c r="O965" s="8">
        <f t="shared" si="4087"/>
        <v>0</v>
      </c>
      <c r="P965" s="8" t="e">
        <v>#NUM!</v>
      </c>
      <c r="Q965" s="8" t="e">
        <f t="shared" ref="Q965" si="4111">IF(COUNTIF(P963:P973,"&lt;"&amp;-0.001)=0,IF(ABS(P965)&lt;0.001,0,P965)," ")</f>
        <v>#NUM!</v>
      </c>
      <c r="R965" s="8"/>
      <c r="S965" s="8"/>
      <c r="U965" s="34"/>
      <c r="V965" s="34"/>
      <c r="W965" s="34"/>
      <c r="X965" s="34"/>
      <c r="Y965" s="34"/>
      <c r="Z965" s="34"/>
      <c r="AA965" s="34"/>
      <c r="AB965" s="34"/>
      <c r="AC965" s="34"/>
      <c r="AD965" s="34"/>
      <c r="AE965" s="34"/>
      <c r="AF965" s="34"/>
      <c r="AG965" s="34"/>
      <c r="AH965" s="34"/>
      <c r="AI965" s="34"/>
      <c r="AJ965" s="34"/>
      <c r="AK965" s="34"/>
      <c r="AL965" s="34"/>
      <c r="AM965" s="34"/>
      <c r="AN965" s="34"/>
      <c r="AO965" s="34"/>
      <c r="AP965" s="34"/>
      <c r="AQ965" s="34"/>
      <c r="AR965" s="34"/>
      <c r="AS965" s="34"/>
      <c r="AT965" s="34"/>
      <c r="AU965" s="34"/>
      <c r="AV965" s="34"/>
      <c r="AW965" s="34"/>
      <c r="AX965" s="34"/>
      <c r="AY965" s="34"/>
      <c r="AZ965" s="34"/>
      <c r="BA965" s="34"/>
      <c r="BB965" s="34"/>
      <c r="BC965" s="34"/>
      <c r="BD965" s="34"/>
      <c r="BE965" s="34"/>
      <c r="BF965" s="34"/>
      <c r="BG965" s="34"/>
      <c r="BH965" s="34"/>
      <c r="BI965" s="34"/>
      <c r="BJ965" s="34"/>
      <c r="BK965" s="34"/>
      <c r="BL965" s="34"/>
      <c r="BM965" s="34"/>
      <c r="BN965" s="34"/>
      <c r="BO965" s="34"/>
      <c r="BP965" s="34"/>
      <c r="BQ965" s="34"/>
      <c r="BR965" s="34"/>
      <c r="BS965" s="34"/>
      <c r="BT965" s="34"/>
      <c r="BU965" s="34"/>
      <c r="BV965" s="34"/>
      <c r="BW965" s="34"/>
      <c r="BX965" s="34"/>
      <c r="BY965" s="34"/>
      <c r="BZ965" s="34"/>
      <c r="CA965" s="34"/>
      <c r="CB965" s="34"/>
      <c r="CC965" s="34"/>
      <c r="CD965" s="34"/>
      <c r="CE965" s="34"/>
      <c r="CF965" s="34"/>
      <c r="CG965" s="34"/>
      <c r="CH965" s="34"/>
      <c r="CI965" s="8"/>
    </row>
    <row r="966" spans="1:87" x14ac:dyDescent="0.2">
      <c r="A966" s="8" t="str">
        <f>IF(AND(COUNTIF(W$3:W$13,A$18)&gt;0,A$18&lt;&gt;B800),A$18,IFERROR(IF(MATCH(A$18,Z$3:Z$13,0)=8,A$18," ")," "))</f>
        <v>C4</v>
      </c>
      <c r="B966" s="8">
        <f>IF(A966=" "," ",MAX(B963:B965)+1)</f>
        <v>2</v>
      </c>
      <c r="C966" s="8" t="str">
        <f>IFERROR(INDEX(A963:A984,MATCH(SMALL(B963:B984,4),B963:B984,0),1)," ")</f>
        <v>C13</v>
      </c>
      <c r="D966" s="8">
        <f t="shared" si="4076"/>
        <v>0</v>
      </c>
      <c r="E966" s="8">
        <f t="shared" si="4077"/>
        <v>1</v>
      </c>
      <c r="F966" s="8">
        <f t="shared" si="4078"/>
        <v>0</v>
      </c>
      <c r="G966" s="8">
        <f t="shared" si="4079"/>
        <v>0</v>
      </c>
      <c r="H966" s="8">
        <f t="shared" si="4080"/>
        <v>0</v>
      </c>
      <c r="I966" s="8">
        <f t="shared" si="4081"/>
        <v>0</v>
      </c>
      <c r="J966" s="8">
        <f t="shared" si="4082"/>
        <v>0</v>
      </c>
      <c r="K966" s="8">
        <f t="shared" si="4083"/>
        <v>0</v>
      </c>
      <c r="L966" s="8">
        <f t="shared" si="4084"/>
        <v>0</v>
      </c>
      <c r="M966" s="8">
        <f t="shared" si="4085"/>
        <v>0</v>
      </c>
      <c r="N966" s="8">
        <f t="shared" si="4086"/>
        <v>0</v>
      </c>
      <c r="O966" s="8">
        <f t="shared" si="4087"/>
        <v>0</v>
      </c>
      <c r="P966" s="8" t="e">
        <v>#NUM!</v>
      </c>
      <c r="Q966" s="8" t="e">
        <f t="shared" ref="Q966" si="4112">IF(COUNTIF(P963:P973,"&lt;"&amp;-0.001)=0,IF(ABS(P966)&lt;0.001,0,P966)," ")</f>
        <v>#NUM!</v>
      </c>
      <c r="R966" s="8"/>
      <c r="S966" s="8"/>
      <c r="U966" s="34"/>
      <c r="V966" s="34"/>
      <c r="W966" s="34"/>
      <c r="X966" s="34"/>
      <c r="Y966" s="34"/>
      <c r="Z966" s="34"/>
      <c r="AA966" s="34"/>
      <c r="AB966" s="34"/>
      <c r="AC966" s="34"/>
      <c r="AD966" s="34"/>
      <c r="AE966" s="34"/>
      <c r="AF966" s="34"/>
      <c r="AG966" s="34"/>
      <c r="AH966" s="34"/>
      <c r="AI966" s="34"/>
      <c r="AJ966" s="34"/>
      <c r="AK966" s="34"/>
      <c r="AL966" s="34"/>
      <c r="AM966" s="34"/>
      <c r="AN966" s="34"/>
      <c r="AO966" s="34"/>
      <c r="AP966" s="34"/>
      <c r="AQ966" s="34"/>
      <c r="AR966" s="34"/>
      <c r="AS966" s="34"/>
      <c r="AT966" s="34"/>
      <c r="AU966" s="34"/>
      <c r="AV966" s="34"/>
      <c r="AW966" s="34"/>
      <c r="AX966" s="34"/>
      <c r="AY966" s="34"/>
      <c r="AZ966" s="34"/>
      <c r="BA966" s="34"/>
      <c r="BB966" s="34"/>
      <c r="BC966" s="34"/>
      <c r="BD966" s="34"/>
      <c r="BE966" s="34"/>
      <c r="BF966" s="34"/>
      <c r="BG966" s="34"/>
      <c r="BH966" s="34"/>
      <c r="BI966" s="34"/>
      <c r="BJ966" s="34"/>
      <c r="BK966" s="34"/>
      <c r="BL966" s="34"/>
      <c r="BM966" s="34"/>
      <c r="BN966" s="34"/>
      <c r="BO966" s="34"/>
      <c r="BP966" s="34"/>
      <c r="BQ966" s="34"/>
      <c r="BR966" s="34"/>
      <c r="BS966" s="34"/>
      <c r="BT966" s="34"/>
      <c r="BU966" s="34"/>
      <c r="BV966" s="34"/>
      <c r="BW966" s="34"/>
      <c r="BX966" s="34"/>
      <c r="BY966" s="34"/>
      <c r="BZ966" s="34"/>
      <c r="CA966" s="34"/>
      <c r="CB966" s="34"/>
      <c r="CC966" s="34"/>
      <c r="CD966" s="34"/>
      <c r="CE966" s="34"/>
      <c r="CF966" s="34"/>
      <c r="CG966" s="34"/>
      <c r="CH966" s="34"/>
      <c r="CI966" s="8"/>
    </row>
    <row r="967" spans="1:87" x14ac:dyDescent="0.2">
      <c r="A967" s="8" t="str">
        <f>IF(AND(COUNTIF(W$3:W$13,A$19)&gt;0,A$19&lt;&gt;B800),A$19,IFERROR(IF(MATCH(A$19,Z$3:Z$13,0)=8,A$19," ")," "))</f>
        <v xml:space="preserve"> </v>
      </c>
      <c r="B967" s="8" t="str">
        <f>IF(A967=" "," ",MAX(B963:B966)+1)</f>
        <v xml:space="preserve"> </v>
      </c>
      <c r="C967" s="8" t="str">
        <f>IFERROR(INDEX(A963:A984,MATCH(SMALL(B963:B984,5),B963:B984,0),1)," ")</f>
        <v>C16</v>
      </c>
      <c r="D967" s="8">
        <f t="shared" si="4076"/>
        <v>0</v>
      </c>
      <c r="E967" s="8">
        <f t="shared" si="4077"/>
        <v>0</v>
      </c>
      <c r="F967" s="8">
        <f t="shared" si="4078"/>
        <v>0</v>
      </c>
      <c r="G967" s="8">
        <f t="shared" si="4079"/>
        <v>0</v>
      </c>
      <c r="H967" s="8">
        <f t="shared" si="4080"/>
        <v>1</v>
      </c>
      <c r="I967" s="8">
        <f t="shared" si="4081"/>
        <v>0</v>
      </c>
      <c r="J967" s="8">
        <f t="shared" si="4082"/>
        <v>0</v>
      </c>
      <c r="K967" s="8">
        <f t="shared" si="4083"/>
        <v>0</v>
      </c>
      <c r="L967" s="8">
        <f t="shared" si="4084"/>
        <v>0</v>
      </c>
      <c r="M967" s="8">
        <f t="shared" si="4085"/>
        <v>0</v>
      </c>
      <c r="N967" s="8">
        <f t="shared" si="4086"/>
        <v>0</v>
      </c>
      <c r="O967" s="8">
        <f t="shared" si="4087"/>
        <v>0</v>
      </c>
      <c r="P967" s="8" t="e">
        <v>#NUM!</v>
      </c>
      <c r="Q967" s="8" t="e">
        <f t="shared" ref="Q967" si="4113">IF(COUNTIF(P963:P973,"&lt;"&amp;-0.001)=0,IF(ABS(P967)&lt;0.001,0,P967)," ")</f>
        <v>#NUM!</v>
      </c>
      <c r="R967" s="8"/>
      <c r="S967" s="8"/>
      <c r="U967" s="34"/>
      <c r="V967" s="34"/>
      <c r="W967" s="34"/>
      <c r="X967" s="34"/>
      <c r="Y967" s="34"/>
      <c r="Z967" s="34"/>
      <c r="AA967" s="34"/>
      <c r="AB967" s="34"/>
      <c r="AC967" s="34"/>
      <c r="AD967" s="34"/>
      <c r="AE967" s="34"/>
      <c r="AF967" s="34"/>
      <c r="AG967" s="34"/>
      <c r="AH967" s="34"/>
      <c r="AI967" s="34"/>
      <c r="AJ967" s="34"/>
      <c r="AK967" s="34"/>
      <c r="AL967" s="34"/>
      <c r="AM967" s="34"/>
      <c r="AN967" s="34"/>
      <c r="AO967" s="34"/>
      <c r="AP967" s="34"/>
      <c r="AQ967" s="34"/>
      <c r="AR967" s="34"/>
      <c r="AS967" s="34"/>
      <c r="AT967" s="34"/>
      <c r="AU967" s="34"/>
      <c r="AV967" s="34"/>
      <c r="AW967" s="34"/>
      <c r="AX967" s="34"/>
      <c r="AY967" s="34"/>
      <c r="AZ967" s="34"/>
      <c r="BA967" s="34"/>
      <c r="BB967" s="34"/>
      <c r="BC967" s="34"/>
      <c r="BD967" s="34"/>
      <c r="BE967" s="34"/>
      <c r="BF967" s="34"/>
      <c r="BG967" s="34"/>
      <c r="BH967" s="34"/>
      <c r="BI967" s="34"/>
      <c r="BJ967" s="34"/>
      <c r="BK967" s="34"/>
      <c r="BL967" s="34"/>
      <c r="BM967" s="34"/>
      <c r="BN967" s="34"/>
      <c r="BO967" s="34"/>
      <c r="BP967" s="34"/>
      <c r="BQ967" s="34"/>
      <c r="BR967" s="34"/>
      <c r="BS967" s="34"/>
      <c r="BT967" s="34"/>
      <c r="BU967" s="34"/>
      <c r="BV967" s="34"/>
      <c r="BW967" s="34"/>
      <c r="BX967" s="34"/>
      <c r="BY967" s="34"/>
      <c r="BZ967" s="34"/>
      <c r="CA967" s="34"/>
      <c r="CB967" s="34"/>
      <c r="CC967" s="34"/>
      <c r="CD967" s="34"/>
      <c r="CE967" s="34"/>
      <c r="CF967" s="34"/>
      <c r="CG967" s="34"/>
      <c r="CH967" s="34"/>
      <c r="CI967" s="8"/>
    </row>
    <row r="968" spans="1:87" x14ac:dyDescent="0.2">
      <c r="A968" s="8" t="str">
        <f>IF(AND(COUNTIF(W$3:W$13,A$20)&gt;0,A$20&lt;&gt;B800),A$20,IFERROR(IF(MATCH(A$20,Z$3:Z$13,0)=8,A$20," ")," "))</f>
        <v xml:space="preserve"> </v>
      </c>
      <c r="B968" s="8" t="str">
        <f>IF(A968=" "," ",MAX(B963:B967)+1)</f>
        <v xml:space="preserve"> </v>
      </c>
      <c r="C968" s="8" t="str">
        <f>IFERROR(INDEX(A963:A984,MATCH(SMALL(B963:B984,6),B963:B984,0),1)," ")</f>
        <v>C17</v>
      </c>
      <c r="D968" s="8">
        <f t="shared" si="4076"/>
        <v>0</v>
      </c>
      <c r="E968" s="8">
        <f t="shared" si="4077"/>
        <v>0</v>
      </c>
      <c r="F968" s="8">
        <f t="shared" si="4078"/>
        <v>0</v>
      </c>
      <c r="G968" s="8">
        <f t="shared" si="4079"/>
        <v>0</v>
      </c>
      <c r="H968" s="8">
        <f t="shared" si="4080"/>
        <v>0</v>
      </c>
      <c r="I968" s="8">
        <f t="shared" si="4081"/>
        <v>1</v>
      </c>
      <c r="J968" s="8">
        <f t="shared" si="4082"/>
        <v>0</v>
      </c>
      <c r="K968" s="8">
        <f t="shared" si="4083"/>
        <v>0</v>
      </c>
      <c r="L968" s="8">
        <f t="shared" si="4084"/>
        <v>0</v>
      </c>
      <c r="M968" s="8">
        <f t="shared" si="4085"/>
        <v>0</v>
      </c>
      <c r="N968" s="8">
        <f t="shared" si="4086"/>
        <v>0</v>
      </c>
      <c r="O968" s="8">
        <f t="shared" si="4087"/>
        <v>0</v>
      </c>
      <c r="P968" s="8" t="e">
        <v>#NUM!</v>
      </c>
      <c r="Q968" s="8" t="e">
        <f t="shared" ref="Q968" si="4114">IF(COUNTIF(P963:P973,"&lt;"&amp;-0.001)=0,IF(ABS(P968)&lt;0.001,0,P968)," ")</f>
        <v>#NUM!</v>
      </c>
      <c r="R968" s="8"/>
      <c r="S968" s="8"/>
      <c r="U968" s="34"/>
      <c r="V968" s="34"/>
      <c r="W968" s="34"/>
      <c r="X968" s="34"/>
      <c r="Y968" s="34"/>
      <c r="Z968" s="34"/>
      <c r="AA968" s="34"/>
      <c r="AB968" s="34"/>
      <c r="AC968" s="34"/>
      <c r="AD968" s="34"/>
      <c r="AE968" s="34"/>
      <c r="AF968" s="34"/>
      <c r="AG968" s="34"/>
      <c r="AH968" s="34"/>
      <c r="AI968" s="34"/>
      <c r="AJ968" s="34"/>
      <c r="AK968" s="34"/>
      <c r="AL968" s="34"/>
      <c r="AM968" s="34"/>
      <c r="AN968" s="34"/>
      <c r="AO968" s="34"/>
      <c r="AP968" s="34"/>
      <c r="AQ968" s="34"/>
      <c r="AR968" s="34"/>
      <c r="AS968" s="34"/>
      <c r="AT968" s="34"/>
      <c r="AU968" s="34"/>
      <c r="AV968" s="34"/>
      <c r="AW968" s="34"/>
      <c r="AX968" s="34"/>
      <c r="AY968" s="34"/>
      <c r="AZ968" s="34"/>
      <c r="BA968" s="34"/>
      <c r="BB968" s="34"/>
      <c r="BC968" s="34"/>
      <c r="BD968" s="34"/>
      <c r="BE968" s="34"/>
      <c r="BF968" s="34"/>
      <c r="BG968" s="34"/>
      <c r="BH968" s="34"/>
      <c r="BI968" s="34"/>
      <c r="BJ968" s="34"/>
      <c r="BK968" s="34"/>
      <c r="BL968" s="34"/>
      <c r="BM968" s="34"/>
      <c r="BN968" s="34"/>
      <c r="BO968" s="34"/>
      <c r="BP968" s="34"/>
      <c r="BQ968" s="34"/>
      <c r="BR968" s="34"/>
      <c r="BS968" s="34"/>
      <c r="BT968" s="34"/>
      <c r="BU968" s="34"/>
      <c r="BV968" s="34"/>
      <c r="BW968" s="34"/>
      <c r="BX968" s="34"/>
      <c r="BY968" s="34"/>
      <c r="BZ968" s="34"/>
      <c r="CA968" s="34"/>
      <c r="CB968" s="34"/>
      <c r="CC968" s="34"/>
      <c r="CD968" s="34"/>
      <c r="CE968" s="34"/>
      <c r="CF968" s="34"/>
      <c r="CG968" s="34"/>
      <c r="CH968" s="34"/>
      <c r="CI968" s="8"/>
    </row>
    <row r="969" spans="1:87" x14ac:dyDescent="0.2">
      <c r="A969" s="8" t="str">
        <f>IF(AND(COUNTIF(W$3:W$13,A$21)&gt;0,A$21&lt;&gt;B800),A$21,IFERROR(IF(MATCH(A$21,Z$3:Z$13,0)=8,A$21," ")," "))</f>
        <v xml:space="preserve"> </v>
      </c>
      <c r="B969" s="8" t="str">
        <f>IF(A969=" "," ",MAX(B963:B968)+1)</f>
        <v xml:space="preserve"> </v>
      </c>
      <c r="C969" s="8" t="str">
        <f>IFERROR(INDEX(A963:A984,MATCH(SMALL(B963:B984,7),B963:B984,0),1)," ")</f>
        <v>C18</v>
      </c>
      <c r="D969" s="8">
        <f t="shared" si="4076"/>
        <v>0</v>
      </c>
      <c r="E969" s="8">
        <f t="shared" si="4077"/>
        <v>0</v>
      </c>
      <c r="F969" s="8">
        <f t="shared" si="4078"/>
        <v>0</v>
      </c>
      <c r="G969" s="8">
        <f t="shared" si="4079"/>
        <v>0</v>
      </c>
      <c r="H969" s="8">
        <f t="shared" si="4080"/>
        <v>0</v>
      </c>
      <c r="I969" s="8">
        <f t="shared" si="4081"/>
        <v>0</v>
      </c>
      <c r="J969" s="8">
        <f t="shared" si="4082"/>
        <v>1</v>
      </c>
      <c r="K969" s="8">
        <f t="shared" si="4083"/>
        <v>0</v>
      </c>
      <c r="L969" s="8">
        <f t="shared" si="4084"/>
        <v>0</v>
      </c>
      <c r="M969" s="8">
        <f t="shared" si="4085"/>
        <v>0</v>
      </c>
      <c r="N969" s="8">
        <f t="shared" si="4086"/>
        <v>0</v>
      </c>
      <c r="O969" s="8">
        <f t="shared" si="4087"/>
        <v>0</v>
      </c>
      <c r="P969" s="8" t="e">
        <v>#NUM!</v>
      </c>
      <c r="Q969" s="8" t="e">
        <f t="shared" ref="Q969" si="4115">IF(COUNTIF(P963:P973,"&lt;"&amp;-0.001)=0,IF(ABS(P969)&lt;0.001,0,P969)," ")</f>
        <v>#NUM!</v>
      </c>
      <c r="R969" s="8"/>
      <c r="S969" s="8"/>
      <c r="U969" s="34"/>
      <c r="V969" s="34"/>
      <c r="W969" s="34"/>
      <c r="X969" s="34"/>
      <c r="Y969" s="34"/>
      <c r="Z969" s="34"/>
      <c r="AA969" s="34"/>
      <c r="AB969" s="34"/>
      <c r="AC969" s="34"/>
      <c r="AD969" s="34"/>
      <c r="AE969" s="34"/>
      <c r="AF969" s="34"/>
      <c r="AG969" s="34"/>
      <c r="AH969" s="34"/>
      <c r="AI969" s="34"/>
      <c r="AJ969" s="34"/>
      <c r="AK969" s="34"/>
      <c r="AL969" s="34"/>
      <c r="AM969" s="34"/>
      <c r="AN969" s="34"/>
      <c r="AO969" s="34"/>
      <c r="AP969" s="34"/>
      <c r="AQ969" s="34"/>
      <c r="AR969" s="34"/>
      <c r="AS969" s="34"/>
      <c r="AT969" s="34"/>
      <c r="AU969" s="34"/>
      <c r="AV969" s="34"/>
      <c r="AW969" s="34"/>
      <c r="AX969" s="34"/>
      <c r="AY969" s="34"/>
      <c r="AZ969" s="34"/>
      <c r="BA969" s="34"/>
      <c r="BB969" s="34"/>
      <c r="BC969" s="34"/>
      <c r="BD969" s="34"/>
      <c r="BE969" s="34"/>
      <c r="BF969" s="34"/>
      <c r="BG969" s="34"/>
      <c r="BH969" s="34"/>
      <c r="BI969" s="34"/>
      <c r="BJ969" s="34"/>
      <c r="BK969" s="34"/>
      <c r="BL969" s="34"/>
      <c r="BM969" s="34"/>
      <c r="BN969" s="34"/>
      <c r="BO969" s="34"/>
      <c r="BP969" s="34"/>
      <c r="BQ969" s="34"/>
      <c r="BR969" s="34"/>
      <c r="BS969" s="34"/>
      <c r="BT969" s="34"/>
      <c r="BU969" s="34"/>
      <c r="BV969" s="34"/>
      <c r="BW969" s="34"/>
      <c r="BX969" s="34"/>
      <c r="BY969" s="34"/>
      <c r="BZ969" s="34"/>
      <c r="CA969" s="34"/>
      <c r="CB969" s="34"/>
      <c r="CC969" s="34"/>
      <c r="CD969" s="34"/>
      <c r="CE969" s="34"/>
      <c r="CF969" s="34"/>
      <c r="CG969" s="34"/>
      <c r="CH969" s="34"/>
      <c r="CI969" s="8"/>
    </row>
    <row r="970" spans="1:87" x14ac:dyDescent="0.2">
      <c r="A970" s="8" t="str">
        <f>IF(AND(COUNTIF(W$3:W$13,A$22)&gt;0,A$22&lt;&gt;B800),A$22,IFERROR(IF(MATCH(A$22,Z$3:Z$13,0)=8,A$22," ")," "))</f>
        <v xml:space="preserve"> </v>
      </c>
      <c r="B970" s="8" t="str">
        <f>IF(A970=" "," ",MAX(B963:B969)+1)</f>
        <v xml:space="preserve"> </v>
      </c>
      <c r="C970" s="8" t="str">
        <f>IFERROR(INDEX(A963:A984,MATCH(SMALL(B963:B984,8),B963:B984,0),1)," ")</f>
        <v>C19</v>
      </c>
      <c r="D970" s="8">
        <f t="shared" si="4076"/>
        <v>0</v>
      </c>
      <c r="E970" s="8">
        <f t="shared" si="4077"/>
        <v>0</v>
      </c>
      <c r="F970" s="8">
        <f t="shared" si="4078"/>
        <v>0</v>
      </c>
      <c r="G970" s="8">
        <f t="shared" si="4079"/>
        <v>0</v>
      </c>
      <c r="H970" s="8">
        <f t="shared" si="4080"/>
        <v>0</v>
      </c>
      <c r="I970" s="8">
        <f t="shared" si="4081"/>
        <v>0</v>
      </c>
      <c r="J970" s="8">
        <f t="shared" si="4082"/>
        <v>0</v>
      </c>
      <c r="K970" s="8">
        <f t="shared" si="4083"/>
        <v>1</v>
      </c>
      <c r="L970" s="8">
        <f t="shared" si="4084"/>
        <v>0</v>
      </c>
      <c r="M970" s="8">
        <f t="shared" si="4085"/>
        <v>0</v>
      </c>
      <c r="N970" s="8">
        <f t="shared" si="4086"/>
        <v>0</v>
      </c>
      <c r="O970" s="8">
        <f t="shared" si="4087"/>
        <v>0</v>
      </c>
      <c r="P970" s="8" t="e">
        <v>#NUM!</v>
      </c>
      <c r="Q970" s="8" t="e">
        <f t="shared" ref="Q970" si="4116">IF(COUNTIF(P963:P973,"&lt;"&amp;-0.001)=0,IF(ABS(P970)&lt;0.001,0,P970)," ")</f>
        <v>#NUM!</v>
      </c>
      <c r="R970" s="8"/>
      <c r="S970" s="8"/>
      <c r="U970" s="34"/>
      <c r="V970" s="34"/>
      <c r="W970" s="34"/>
      <c r="X970" s="34"/>
      <c r="Y970" s="34"/>
      <c r="Z970" s="34"/>
      <c r="AA970" s="34"/>
      <c r="AB970" s="34"/>
      <c r="AC970" s="34"/>
      <c r="AD970" s="34"/>
      <c r="AE970" s="34"/>
      <c r="AF970" s="34"/>
      <c r="AG970" s="34"/>
      <c r="AH970" s="34"/>
      <c r="AI970" s="34"/>
      <c r="AJ970" s="34"/>
      <c r="AK970" s="34"/>
      <c r="AL970" s="34"/>
      <c r="AM970" s="34"/>
      <c r="AN970" s="34"/>
      <c r="AO970" s="34"/>
      <c r="AP970" s="34"/>
      <c r="AQ970" s="34"/>
      <c r="AR970" s="34"/>
      <c r="AS970" s="34"/>
      <c r="AT970" s="34"/>
      <c r="AU970" s="34"/>
      <c r="AV970" s="34"/>
      <c r="AW970" s="34"/>
      <c r="AX970" s="34"/>
      <c r="AY970" s="34"/>
      <c r="AZ970" s="34"/>
      <c r="BA970" s="34"/>
      <c r="BB970" s="34"/>
      <c r="BC970" s="34"/>
      <c r="BD970" s="34"/>
      <c r="BE970" s="34"/>
      <c r="BF970" s="34"/>
      <c r="BG970" s="34"/>
      <c r="BH970" s="34"/>
      <c r="BI970" s="34"/>
      <c r="BJ970" s="34"/>
      <c r="BK970" s="34"/>
      <c r="BL970" s="34"/>
      <c r="BM970" s="34"/>
      <c r="BN970" s="34"/>
      <c r="BO970" s="34"/>
      <c r="BP970" s="34"/>
      <c r="BQ970" s="34"/>
      <c r="BR970" s="34"/>
      <c r="BS970" s="34"/>
      <c r="BT970" s="34"/>
      <c r="BU970" s="34"/>
      <c r="BV970" s="34"/>
      <c r="BW970" s="34"/>
      <c r="BX970" s="34"/>
      <c r="BY970" s="34"/>
      <c r="BZ970" s="34"/>
      <c r="CA970" s="34"/>
      <c r="CB970" s="34"/>
      <c r="CC970" s="34"/>
      <c r="CD970" s="34"/>
      <c r="CE970" s="34"/>
      <c r="CF970" s="34"/>
      <c r="CG970" s="34"/>
      <c r="CH970" s="34"/>
      <c r="CI970" s="8"/>
    </row>
    <row r="971" spans="1:87" x14ac:dyDescent="0.2">
      <c r="A971" s="8" t="str">
        <f>IF(AND(COUNTIF(W$3:W$13,A$23)&gt;0,A$23&lt;&gt;B800),A$23,IFERROR(IF(MATCH(A$23,Z$3:Z$13,0)=8,A$23," ")," "))</f>
        <v xml:space="preserve"> </v>
      </c>
      <c r="B971" s="8" t="str">
        <f>IF(A971=" "," ",MAX(B963:B970)+1)</f>
        <v xml:space="preserve"> </v>
      </c>
      <c r="C971" s="8" t="str">
        <f>IFERROR(INDEX(A963:A984,MATCH(SMALL(B963:B984,9),B963:B984,0),1)," ")</f>
        <v>C20</v>
      </c>
      <c r="D971" s="8">
        <f t="shared" si="4076"/>
        <v>0</v>
      </c>
      <c r="E971" s="8">
        <f t="shared" si="4077"/>
        <v>0</v>
      </c>
      <c r="F971" s="8">
        <f t="shared" si="4078"/>
        <v>0</v>
      </c>
      <c r="G971" s="8">
        <f t="shared" si="4079"/>
        <v>0</v>
      </c>
      <c r="H971" s="8">
        <f t="shared" si="4080"/>
        <v>0</v>
      </c>
      <c r="I971" s="8">
        <f t="shared" si="4081"/>
        <v>0</v>
      </c>
      <c r="J971" s="8">
        <f t="shared" si="4082"/>
        <v>0</v>
      </c>
      <c r="K971" s="8">
        <f t="shared" si="4083"/>
        <v>0</v>
      </c>
      <c r="L971" s="8">
        <f t="shared" si="4084"/>
        <v>1</v>
      </c>
      <c r="M971" s="8">
        <f t="shared" si="4085"/>
        <v>0</v>
      </c>
      <c r="N971" s="8">
        <f t="shared" si="4086"/>
        <v>0</v>
      </c>
      <c r="O971" s="8">
        <f t="shared" si="4087"/>
        <v>0</v>
      </c>
      <c r="P971" s="6" t="e">
        <v>#NUM!</v>
      </c>
      <c r="Q971" s="8" t="e">
        <f t="shared" ref="Q971" si="4117">IF(COUNTIF(P963:P973,"&lt;"&amp;-0.001)=0,IF(ABS(P971)&lt;0.001,0,P971)," ")</f>
        <v>#NUM!</v>
      </c>
      <c r="R971" s="8"/>
      <c r="S971" s="8"/>
      <c r="U971" s="34"/>
      <c r="V971" s="34"/>
      <c r="W971" s="34"/>
      <c r="X971" s="34"/>
      <c r="Y971" s="34"/>
      <c r="Z971" s="34"/>
      <c r="AA971" s="34"/>
      <c r="AB971" s="34"/>
      <c r="AC971" s="34"/>
      <c r="AD971" s="34"/>
      <c r="AE971" s="34"/>
      <c r="AF971" s="34"/>
      <c r="AG971" s="34"/>
      <c r="AH971" s="34"/>
      <c r="AI971" s="34"/>
      <c r="AJ971" s="34"/>
      <c r="AK971" s="34"/>
      <c r="AL971" s="34"/>
      <c r="AM971" s="34"/>
      <c r="AN971" s="34"/>
      <c r="AO971" s="34"/>
      <c r="AP971" s="34"/>
      <c r="AQ971" s="34"/>
      <c r="AR971" s="34"/>
      <c r="AS971" s="34"/>
      <c r="AT971" s="34"/>
      <c r="AU971" s="34"/>
      <c r="AV971" s="34"/>
      <c r="AW971" s="34"/>
      <c r="AX971" s="34"/>
      <c r="AY971" s="34"/>
      <c r="AZ971" s="34"/>
      <c r="BA971" s="34"/>
      <c r="BB971" s="34"/>
      <c r="BC971" s="34"/>
      <c r="BD971" s="34"/>
      <c r="BE971" s="34"/>
      <c r="BF971" s="34"/>
      <c r="BG971" s="34"/>
      <c r="BH971" s="34"/>
      <c r="BI971" s="34"/>
      <c r="BJ971" s="34"/>
      <c r="BK971" s="34"/>
      <c r="BL971" s="34"/>
      <c r="BM971" s="34"/>
      <c r="BN971" s="34"/>
      <c r="BO971" s="34"/>
      <c r="BP971" s="34"/>
      <c r="BQ971" s="34"/>
      <c r="BR971" s="34"/>
      <c r="BS971" s="34"/>
      <c r="BT971" s="34"/>
      <c r="BU971" s="34"/>
      <c r="BV971" s="34"/>
      <c r="BW971" s="34"/>
      <c r="BX971" s="34"/>
      <c r="BY971" s="34"/>
      <c r="BZ971" s="34"/>
      <c r="CA971" s="34"/>
      <c r="CB971" s="34"/>
      <c r="CC971" s="34"/>
      <c r="CD971" s="34"/>
      <c r="CE971" s="34"/>
      <c r="CF971" s="34"/>
      <c r="CG971" s="34"/>
      <c r="CH971" s="34"/>
      <c r="CI971" s="8"/>
    </row>
    <row r="972" spans="1:87" x14ac:dyDescent="0.2">
      <c r="A972" s="8" t="str">
        <f>IF(AND(COUNTIF(W$3:W$13,A$24)&gt;0,A$24&lt;&gt;B800),A$24,IFERROR(IF(MATCH(A$24,Z$3:Z$13,0)=8,A$24," ")," "))</f>
        <v>C10</v>
      </c>
      <c r="B972" s="8">
        <f>IF(A972=" "," ",MAX(B963:B971)+1)</f>
        <v>3</v>
      </c>
      <c r="C972" s="8" t="str">
        <f>IFERROR(INDEX(A963:A984,MATCH(SMALL(B963:B984,10),B963:B984,0),1)," ")</f>
        <v>C21</v>
      </c>
      <c r="D972" s="8">
        <f t="shared" si="4076"/>
        <v>0</v>
      </c>
      <c r="E972" s="8">
        <f t="shared" si="4077"/>
        <v>0</v>
      </c>
      <c r="F972" s="8">
        <f t="shared" si="4078"/>
        <v>0</v>
      </c>
      <c r="G972" s="8">
        <f t="shared" si="4079"/>
        <v>0</v>
      </c>
      <c r="H972" s="8">
        <f t="shared" si="4080"/>
        <v>0</v>
      </c>
      <c r="I972" s="8">
        <f t="shared" si="4081"/>
        <v>0</v>
      </c>
      <c r="J972" s="8">
        <f t="shared" si="4082"/>
        <v>0</v>
      </c>
      <c r="K972" s="8">
        <f t="shared" si="4083"/>
        <v>0</v>
      </c>
      <c r="L972" s="8">
        <f t="shared" si="4084"/>
        <v>0</v>
      </c>
      <c r="M972" s="8">
        <f t="shared" si="4085"/>
        <v>1</v>
      </c>
      <c r="N972" s="8">
        <f t="shared" si="4086"/>
        <v>0</v>
      </c>
      <c r="O972" s="8">
        <f t="shared" si="4087"/>
        <v>0</v>
      </c>
      <c r="P972" s="8" t="e">
        <v>#NUM!</v>
      </c>
      <c r="Q972" s="8" t="e">
        <f t="shared" ref="Q972" si="4118">IF(COUNTIF(P963:P973,"&lt;"&amp;-0.001)=0,IF(ABS(P972)&lt;0.001,0,P972)," ")</f>
        <v>#NUM!</v>
      </c>
      <c r="R972" s="8"/>
      <c r="S972" s="8"/>
      <c r="U972" s="34"/>
      <c r="V972" s="34"/>
      <c r="W972" s="34"/>
      <c r="X972" s="34"/>
      <c r="Y972" s="34"/>
      <c r="Z972" s="34"/>
      <c r="AA972" s="34"/>
      <c r="AB972" s="34"/>
      <c r="AC972" s="34"/>
      <c r="AD972" s="34"/>
      <c r="AE972" s="34"/>
      <c r="AF972" s="34"/>
      <c r="AG972" s="34"/>
      <c r="AH972" s="34"/>
      <c r="AI972" s="34"/>
      <c r="AJ972" s="34"/>
      <c r="AK972" s="34"/>
      <c r="AL972" s="34"/>
      <c r="AM972" s="34"/>
      <c r="AN972" s="34"/>
      <c r="AO972" s="34"/>
      <c r="AP972" s="34"/>
      <c r="AQ972" s="34"/>
      <c r="AR972" s="34"/>
      <c r="AS972" s="34"/>
      <c r="AT972" s="34"/>
      <c r="AU972" s="34"/>
      <c r="AV972" s="34"/>
      <c r="AW972" s="34"/>
      <c r="AX972" s="34"/>
      <c r="AY972" s="34"/>
      <c r="AZ972" s="34"/>
      <c r="BA972" s="34"/>
      <c r="BB972" s="34"/>
      <c r="BC972" s="34"/>
      <c r="BD972" s="34"/>
      <c r="BE972" s="34"/>
      <c r="BF972" s="34"/>
      <c r="BG972" s="34"/>
      <c r="BH972" s="34"/>
      <c r="BI972" s="34"/>
      <c r="BJ972" s="34"/>
      <c r="BK972" s="34"/>
      <c r="BL972" s="34"/>
      <c r="BM972" s="34"/>
      <c r="BN972" s="34"/>
      <c r="BO972" s="34"/>
      <c r="BP972" s="34"/>
      <c r="BQ972" s="34"/>
      <c r="BR972" s="34"/>
      <c r="BS972" s="34"/>
      <c r="BT972" s="34"/>
      <c r="BU972" s="34"/>
      <c r="BV972" s="34"/>
      <c r="BW972" s="34"/>
      <c r="BX972" s="34"/>
      <c r="BY972" s="34"/>
      <c r="BZ972" s="34"/>
      <c r="CA972" s="34"/>
      <c r="CB972" s="34"/>
      <c r="CC972" s="34"/>
      <c r="CD972" s="34"/>
      <c r="CE972" s="34"/>
      <c r="CF972" s="34"/>
      <c r="CG972" s="34"/>
      <c r="CH972" s="34"/>
      <c r="CI972" s="8"/>
    </row>
    <row r="973" spans="1:87" x14ac:dyDescent="0.2">
      <c r="A973" s="8" t="str">
        <f>IF(AND(COUNTIF(W$3:W$13,A$25)&gt;0,A$25&lt;&gt;B800),A$25,IFERROR(IF(MATCH(A$25,Z$3:Z$13,0)=8,A$25," ")," "))</f>
        <v xml:space="preserve"> </v>
      </c>
      <c r="B973" s="8" t="str">
        <f>IF(A973=" "," ",MAX(B963:B972)+1)</f>
        <v xml:space="preserve"> </v>
      </c>
      <c r="C973" s="8" t="str">
        <f>IFERROR(INDEX(A963:A984,MATCH(SMALL(B963:B984,11),B963:B984,0),1)," ")</f>
        <v>C22</v>
      </c>
      <c r="D973" s="8">
        <f t="shared" si="4076"/>
        <v>0</v>
      </c>
      <c r="E973" s="8">
        <f t="shared" si="4077"/>
        <v>0</v>
      </c>
      <c r="F973" s="8">
        <f t="shared" si="4078"/>
        <v>0</v>
      </c>
      <c r="G973" s="8">
        <f t="shared" si="4079"/>
        <v>0</v>
      </c>
      <c r="H973" s="8">
        <f t="shared" si="4080"/>
        <v>0</v>
      </c>
      <c r="I973" s="8">
        <f t="shared" si="4081"/>
        <v>0</v>
      </c>
      <c r="J973" s="8">
        <f t="shared" si="4082"/>
        <v>0</v>
      </c>
      <c r="K973" s="8">
        <f t="shared" si="4083"/>
        <v>0</v>
      </c>
      <c r="L973" s="8">
        <f t="shared" si="4084"/>
        <v>0</v>
      </c>
      <c r="M973" s="8">
        <f t="shared" si="4085"/>
        <v>0</v>
      </c>
      <c r="N973" s="8">
        <f t="shared" si="4086"/>
        <v>1</v>
      </c>
      <c r="O973" s="8">
        <f t="shared" si="4087"/>
        <v>0</v>
      </c>
      <c r="P973" s="8" t="e">
        <v>#NUM!</v>
      </c>
      <c r="Q973" s="8" t="e">
        <f t="shared" ref="Q973" si="4119">IF(COUNTIF(P963:P973,"&lt;"&amp;-0.001)=0,IF(ABS(P973)&lt;0.001,0,P973)," ")</f>
        <v>#NUM!</v>
      </c>
      <c r="R973" s="8"/>
      <c r="S973" s="8"/>
      <c r="U973" s="34"/>
      <c r="V973" s="34"/>
      <c r="W973" s="34"/>
      <c r="X973" s="34"/>
      <c r="Y973" s="34"/>
      <c r="Z973" s="34"/>
      <c r="AA973" s="34"/>
      <c r="AB973" s="34"/>
      <c r="AC973" s="34"/>
      <c r="AD973" s="34"/>
      <c r="AE973" s="34"/>
      <c r="AF973" s="34"/>
      <c r="AG973" s="34"/>
      <c r="AH973" s="34"/>
      <c r="AI973" s="34"/>
      <c r="AJ973" s="34"/>
      <c r="AK973" s="34"/>
      <c r="AL973" s="34"/>
      <c r="AM973" s="34"/>
      <c r="AN973" s="34"/>
      <c r="AO973" s="34"/>
      <c r="AP973" s="34"/>
      <c r="AQ973" s="34"/>
      <c r="AR973" s="34"/>
      <c r="AS973" s="34"/>
      <c r="AT973" s="34"/>
      <c r="AU973" s="34"/>
      <c r="AV973" s="34"/>
      <c r="AW973" s="34"/>
      <c r="AX973" s="34"/>
      <c r="AY973" s="34"/>
      <c r="AZ973" s="34"/>
      <c r="BA973" s="34"/>
      <c r="BB973" s="34"/>
      <c r="BC973" s="34"/>
      <c r="BD973" s="34"/>
      <c r="BE973" s="34"/>
      <c r="BF973" s="34"/>
      <c r="BG973" s="34"/>
      <c r="BH973" s="34"/>
      <c r="BI973" s="34"/>
      <c r="BJ973" s="34"/>
      <c r="BK973" s="34"/>
      <c r="BL973" s="34"/>
      <c r="BM973" s="34"/>
      <c r="BN973" s="34"/>
      <c r="BO973" s="34"/>
      <c r="BP973" s="34"/>
      <c r="BQ973" s="34"/>
      <c r="BR973" s="34"/>
      <c r="BS973" s="34"/>
      <c r="BT973" s="34"/>
      <c r="BU973" s="34"/>
      <c r="BV973" s="34"/>
      <c r="BW973" s="34"/>
      <c r="BX973" s="34"/>
      <c r="BY973" s="34"/>
      <c r="BZ973" s="34"/>
      <c r="CA973" s="34"/>
      <c r="CB973" s="34"/>
      <c r="CC973" s="34"/>
      <c r="CD973" s="34"/>
      <c r="CE973" s="34"/>
      <c r="CF973" s="34"/>
      <c r="CG973" s="34"/>
      <c r="CH973" s="34"/>
      <c r="CI973" s="8"/>
    </row>
    <row r="974" spans="1:87" x14ac:dyDescent="0.2">
      <c r="A974" s="8" t="str">
        <f>IF(AND(COUNTIF(W$3:W$13,A$26)&gt;0,A$26&lt;&gt;B800),A$26,IFERROR(IF(MATCH(A$26,Z$3:Z$13,0)=8,A$26," ")," "))</f>
        <v xml:space="preserve"> </v>
      </c>
      <c r="B974" s="8" t="str">
        <f>IF(A974=" "," ",MAX(B963:B973)+1)</f>
        <v xml:space="preserve"> </v>
      </c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U974" s="34"/>
      <c r="V974" s="34"/>
      <c r="W974" s="34"/>
      <c r="X974" s="34"/>
      <c r="Y974" s="34"/>
      <c r="Z974" s="34"/>
      <c r="AA974" s="34"/>
      <c r="AB974" s="34"/>
      <c r="AC974" s="34"/>
      <c r="AD974" s="34"/>
      <c r="AE974" s="34"/>
      <c r="AF974" s="34"/>
      <c r="AG974" s="34"/>
      <c r="AH974" s="34"/>
      <c r="AI974" s="34"/>
      <c r="AJ974" s="34"/>
      <c r="AK974" s="34"/>
      <c r="AL974" s="34"/>
      <c r="AM974" s="34"/>
      <c r="AN974" s="34"/>
      <c r="AO974" s="34"/>
      <c r="AP974" s="34"/>
      <c r="AQ974" s="34"/>
      <c r="AR974" s="34"/>
      <c r="AS974" s="34"/>
      <c r="AT974" s="34"/>
      <c r="AU974" s="34"/>
      <c r="AV974" s="34"/>
      <c r="AW974" s="34"/>
      <c r="AX974" s="34"/>
      <c r="AY974" s="34"/>
      <c r="AZ974" s="34"/>
      <c r="BA974" s="34"/>
      <c r="BB974" s="34"/>
      <c r="BC974" s="34"/>
      <c r="BD974" s="34"/>
      <c r="BE974" s="34"/>
      <c r="BF974" s="34"/>
      <c r="BG974" s="34"/>
      <c r="BH974" s="34"/>
      <c r="BI974" s="34"/>
      <c r="BJ974" s="34"/>
      <c r="BK974" s="34"/>
      <c r="BL974" s="34"/>
      <c r="BM974" s="34"/>
      <c r="BN974" s="34"/>
      <c r="BO974" s="34"/>
      <c r="BP974" s="34"/>
      <c r="BQ974" s="34"/>
      <c r="BR974" s="34"/>
      <c r="BS974" s="34"/>
      <c r="BT974" s="34"/>
      <c r="BU974" s="34"/>
      <c r="BV974" s="34"/>
      <c r="BW974" s="34"/>
      <c r="BX974" s="34"/>
      <c r="BY974" s="34"/>
      <c r="BZ974" s="34"/>
      <c r="CA974" s="34"/>
      <c r="CB974" s="34"/>
      <c r="CC974" s="34"/>
      <c r="CD974" s="34"/>
      <c r="CE974" s="34"/>
      <c r="CF974" s="34"/>
      <c r="CG974" s="34"/>
      <c r="CH974" s="34"/>
      <c r="CI974" s="8"/>
    </row>
    <row r="975" spans="1:87" x14ac:dyDescent="0.2">
      <c r="A975" s="8" t="str">
        <f>IF(AND(COUNTIF(W$3:W$13,A$27)&gt;0,A$27&lt;&gt;B800),A$27,IFERROR(IF(MATCH(A$27,Z$3:Z$13,0)=8,A$27," ")," "))</f>
        <v>C13</v>
      </c>
      <c r="B975" s="8">
        <f>IF(A975=" "," ",MAX(B963:B974)+1)</f>
        <v>4</v>
      </c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U975" s="34"/>
      <c r="V975" s="34"/>
      <c r="W975" s="34"/>
      <c r="X975" s="34"/>
      <c r="Y975" s="34"/>
      <c r="Z975" s="34"/>
      <c r="AA975" s="34"/>
      <c r="AB975" s="34"/>
      <c r="AC975" s="34"/>
      <c r="AD975" s="34"/>
      <c r="AE975" s="34"/>
      <c r="AF975" s="34"/>
      <c r="AG975" s="34"/>
      <c r="AH975" s="34"/>
      <c r="AI975" s="34"/>
      <c r="AJ975" s="34"/>
      <c r="AK975" s="34"/>
      <c r="AL975" s="34"/>
      <c r="AM975" s="34"/>
      <c r="AN975" s="34"/>
      <c r="AO975" s="34"/>
      <c r="AP975" s="34"/>
      <c r="AQ975" s="34"/>
      <c r="AR975" s="34"/>
      <c r="AS975" s="34"/>
      <c r="AT975" s="34"/>
      <c r="AU975" s="34"/>
      <c r="AV975" s="34"/>
      <c r="AW975" s="34"/>
      <c r="AX975" s="34"/>
      <c r="AY975" s="34"/>
      <c r="AZ975" s="34"/>
      <c r="BA975" s="34"/>
      <c r="BB975" s="34"/>
      <c r="BC975" s="34"/>
      <c r="BD975" s="34"/>
      <c r="BE975" s="34"/>
      <c r="BF975" s="34"/>
      <c r="BG975" s="34"/>
      <c r="BH975" s="34"/>
      <c r="BI975" s="34"/>
      <c r="BJ975" s="34"/>
      <c r="BK975" s="34"/>
      <c r="BL975" s="34"/>
      <c r="BM975" s="34"/>
      <c r="BN975" s="34"/>
      <c r="BO975" s="34"/>
      <c r="BP975" s="34"/>
      <c r="BQ975" s="34"/>
      <c r="BR975" s="34"/>
      <c r="BS975" s="34"/>
      <c r="BT975" s="34"/>
      <c r="BU975" s="34"/>
      <c r="BV975" s="34"/>
      <c r="BW975" s="34"/>
      <c r="BX975" s="34"/>
      <c r="BY975" s="34"/>
      <c r="BZ975" s="34"/>
      <c r="CA975" s="34"/>
      <c r="CB975" s="34"/>
      <c r="CC975" s="34"/>
      <c r="CD975" s="34"/>
      <c r="CE975" s="34"/>
      <c r="CF975" s="34"/>
      <c r="CG975" s="34"/>
      <c r="CH975" s="34"/>
      <c r="CI975" s="8"/>
    </row>
    <row r="976" spans="1:87" x14ac:dyDescent="0.2">
      <c r="A976" s="8" t="str">
        <f>IF(AND(COUNTIF(W$3:W$13,A$28)&gt;0,A$28&lt;&gt;B800),A$28,IFERROR(IF(MATCH(A$28,Z$3:Z$13,0)=8,A$28," ")," "))</f>
        <v xml:space="preserve"> </v>
      </c>
      <c r="B976" s="8" t="str">
        <f>IF(A976=" "," ",MAX(B963:B975)+1)</f>
        <v xml:space="preserve"> </v>
      </c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U976" s="34"/>
      <c r="V976" s="34"/>
      <c r="W976" s="34"/>
      <c r="X976" s="34"/>
      <c r="Y976" s="34"/>
      <c r="Z976" s="34"/>
      <c r="AA976" s="34"/>
      <c r="AB976" s="34"/>
      <c r="AC976" s="34"/>
      <c r="AD976" s="34"/>
      <c r="AE976" s="34"/>
      <c r="AF976" s="34"/>
      <c r="AG976" s="34"/>
      <c r="AH976" s="34"/>
      <c r="AI976" s="34"/>
      <c r="AJ976" s="34"/>
      <c r="AK976" s="34"/>
      <c r="AL976" s="34"/>
      <c r="AM976" s="34"/>
      <c r="AN976" s="34"/>
      <c r="AO976" s="34"/>
      <c r="AP976" s="34"/>
      <c r="AQ976" s="34"/>
      <c r="AR976" s="34"/>
      <c r="AS976" s="34"/>
      <c r="AT976" s="34"/>
      <c r="AU976" s="34"/>
      <c r="AV976" s="34"/>
      <c r="AW976" s="34"/>
      <c r="AX976" s="34"/>
      <c r="AY976" s="34"/>
      <c r="AZ976" s="34"/>
      <c r="BA976" s="34"/>
      <c r="BB976" s="34"/>
      <c r="BC976" s="34"/>
      <c r="BD976" s="34"/>
      <c r="BE976" s="34"/>
      <c r="BF976" s="34"/>
      <c r="BG976" s="34"/>
      <c r="BH976" s="34"/>
      <c r="BI976" s="34"/>
      <c r="BJ976" s="34"/>
      <c r="BK976" s="34"/>
      <c r="BL976" s="34"/>
      <c r="BM976" s="34"/>
      <c r="BN976" s="34"/>
      <c r="BO976" s="34"/>
      <c r="BP976" s="34"/>
      <c r="BQ976" s="34"/>
      <c r="BR976" s="34"/>
      <c r="BS976" s="34"/>
      <c r="BT976" s="34"/>
      <c r="BU976" s="34"/>
      <c r="BV976" s="34"/>
      <c r="BW976" s="34"/>
      <c r="BX976" s="34"/>
      <c r="BY976" s="34"/>
      <c r="BZ976" s="34"/>
      <c r="CA976" s="34"/>
      <c r="CB976" s="34"/>
      <c r="CC976" s="34"/>
      <c r="CD976" s="34"/>
      <c r="CE976" s="34"/>
      <c r="CF976" s="34"/>
      <c r="CG976" s="34"/>
      <c r="CH976" s="34"/>
      <c r="CI976" s="8"/>
    </row>
    <row r="977" spans="1:87" x14ac:dyDescent="0.2">
      <c r="A977" s="8" t="str">
        <f>IF(AND(COUNTIF(W$3:W$13,A$29)&gt;0,A$29&lt;&gt;B800),A$29,IFERROR(IF(MATCH(A$29,Z$3:Z$13,0)=8,A$29," ")," "))</f>
        <v xml:space="preserve"> </v>
      </c>
      <c r="B977" s="8" t="str">
        <f>IF(A977=" "," ",MAX(B963:B976)+1)</f>
        <v xml:space="preserve"> </v>
      </c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U977" s="34"/>
      <c r="V977" s="34"/>
      <c r="W977" s="34"/>
      <c r="X977" s="34"/>
      <c r="Y977" s="34"/>
      <c r="Z977" s="34"/>
      <c r="AA977" s="34"/>
      <c r="AB977" s="34"/>
      <c r="AC977" s="34"/>
      <c r="AD977" s="34"/>
      <c r="AE977" s="34"/>
      <c r="AF977" s="34"/>
      <c r="AG977" s="34"/>
      <c r="AH977" s="34"/>
      <c r="AI977" s="34"/>
      <c r="AJ977" s="34"/>
      <c r="AK977" s="34"/>
      <c r="AL977" s="34"/>
      <c r="AM977" s="34"/>
      <c r="AN977" s="34"/>
      <c r="AO977" s="34"/>
      <c r="AP977" s="34"/>
      <c r="AQ977" s="34"/>
      <c r="AR977" s="34"/>
      <c r="AS977" s="34"/>
      <c r="AT977" s="34"/>
      <c r="AU977" s="34"/>
      <c r="AV977" s="34"/>
      <c r="AW977" s="34"/>
      <c r="AX977" s="34"/>
      <c r="AY977" s="34"/>
      <c r="AZ977" s="34"/>
      <c r="BA977" s="34"/>
      <c r="BB977" s="34"/>
      <c r="BC977" s="34"/>
      <c r="BD977" s="34"/>
      <c r="BE977" s="34"/>
      <c r="BF977" s="34"/>
      <c r="BG977" s="34"/>
      <c r="BH977" s="34"/>
      <c r="BI977" s="34"/>
      <c r="BJ977" s="34"/>
      <c r="BK977" s="34"/>
      <c r="BL977" s="34"/>
      <c r="BM977" s="34"/>
      <c r="BN977" s="34"/>
      <c r="BO977" s="34"/>
      <c r="BP977" s="34"/>
      <c r="BQ977" s="34"/>
      <c r="BR977" s="34"/>
      <c r="BS977" s="34"/>
      <c r="BT977" s="34"/>
      <c r="BU977" s="34"/>
      <c r="BV977" s="34"/>
      <c r="BW977" s="34"/>
      <c r="BX977" s="34"/>
      <c r="BY977" s="34"/>
      <c r="BZ977" s="34"/>
      <c r="CA977" s="34"/>
      <c r="CB977" s="34"/>
      <c r="CC977" s="34"/>
      <c r="CD977" s="34"/>
      <c r="CE977" s="34"/>
      <c r="CF977" s="34"/>
      <c r="CG977" s="34"/>
      <c r="CH977" s="34"/>
      <c r="CI977" s="8"/>
    </row>
    <row r="978" spans="1:87" x14ac:dyDescent="0.2">
      <c r="A978" s="8" t="str">
        <f>IF(AND(COUNTIF(W$3:W$13,A$30)&gt;0,A$30&lt;&gt;B800),A$30,IFERROR(IF(MATCH(A$30,Z$3:Z$13,0)=8,A$30," ")," "))</f>
        <v>C16</v>
      </c>
      <c r="B978" s="8">
        <f>IF(A978=" "," ",MAX(B963:B977)+1)</f>
        <v>5</v>
      </c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U978" s="34"/>
      <c r="V978" s="34"/>
      <c r="W978" s="34"/>
      <c r="X978" s="34"/>
      <c r="Y978" s="34"/>
      <c r="Z978" s="34"/>
      <c r="AA978" s="34"/>
      <c r="AB978" s="34"/>
      <c r="AC978" s="34"/>
      <c r="AD978" s="34"/>
      <c r="AE978" s="34"/>
      <c r="AF978" s="34"/>
      <c r="AG978" s="34"/>
      <c r="AH978" s="34"/>
      <c r="AI978" s="34"/>
      <c r="AJ978" s="34"/>
      <c r="AK978" s="34"/>
      <c r="AL978" s="34"/>
      <c r="AM978" s="34"/>
      <c r="AN978" s="34"/>
      <c r="AO978" s="34"/>
      <c r="AP978" s="34"/>
      <c r="AQ978" s="34"/>
      <c r="AR978" s="34"/>
      <c r="AS978" s="34"/>
      <c r="AT978" s="34"/>
      <c r="AU978" s="34"/>
      <c r="AV978" s="34"/>
      <c r="AW978" s="34"/>
      <c r="AX978" s="34"/>
      <c r="AY978" s="34"/>
      <c r="AZ978" s="34"/>
      <c r="BA978" s="34"/>
      <c r="BB978" s="34"/>
      <c r="BC978" s="34"/>
      <c r="BD978" s="34"/>
      <c r="BE978" s="34"/>
      <c r="BF978" s="34"/>
      <c r="BG978" s="34"/>
      <c r="BH978" s="34"/>
      <c r="BI978" s="34"/>
      <c r="BJ978" s="34"/>
      <c r="BK978" s="34"/>
      <c r="BL978" s="34"/>
      <c r="BM978" s="34"/>
      <c r="BN978" s="34"/>
      <c r="BO978" s="34"/>
      <c r="BP978" s="34"/>
      <c r="BQ978" s="34"/>
      <c r="BR978" s="34"/>
      <c r="BS978" s="34"/>
      <c r="BT978" s="34"/>
      <c r="BU978" s="34"/>
      <c r="BV978" s="34"/>
      <c r="BW978" s="34"/>
      <c r="BX978" s="34"/>
      <c r="BY978" s="34"/>
      <c r="BZ978" s="34"/>
      <c r="CA978" s="34"/>
      <c r="CB978" s="34"/>
      <c r="CC978" s="34"/>
      <c r="CD978" s="34"/>
      <c r="CE978" s="34"/>
      <c r="CF978" s="34"/>
      <c r="CG978" s="34"/>
      <c r="CH978" s="34"/>
      <c r="CI978" s="8"/>
    </row>
    <row r="979" spans="1:87" x14ac:dyDescent="0.2">
      <c r="A979" s="8" t="str">
        <f>IF(AND(COUNTIF(W$3:W$13,A$31)&gt;0,A$31&lt;&gt;B800),A$31,IFERROR(IF(MATCH(A$31,Z$3:Z$13,0)=8,A$31," ")," "))</f>
        <v>C17</v>
      </c>
      <c r="B979" s="8">
        <f>IF(A979=" "," ",MAX(B963:B978)+1)</f>
        <v>6</v>
      </c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U979" s="34"/>
      <c r="V979" s="34"/>
      <c r="W979" s="34"/>
      <c r="X979" s="34"/>
      <c r="Y979" s="34"/>
      <c r="Z979" s="34"/>
      <c r="AA979" s="34"/>
      <c r="AB979" s="34"/>
      <c r="AC979" s="34"/>
      <c r="AD979" s="34"/>
      <c r="AE979" s="34"/>
      <c r="AF979" s="34"/>
      <c r="AG979" s="34"/>
      <c r="AH979" s="34"/>
      <c r="AI979" s="34"/>
      <c r="AJ979" s="34"/>
      <c r="AK979" s="34"/>
      <c r="AL979" s="34"/>
      <c r="AM979" s="34"/>
      <c r="AN979" s="34"/>
      <c r="AO979" s="34"/>
      <c r="AP979" s="34"/>
      <c r="AQ979" s="34"/>
      <c r="AR979" s="34"/>
      <c r="AS979" s="34"/>
      <c r="AT979" s="34"/>
      <c r="AU979" s="34"/>
      <c r="AV979" s="34"/>
      <c r="AW979" s="34"/>
      <c r="AX979" s="34"/>
      <c r="AY979" s="34"/>
      <c r="AZ979" s="34"/>
      <c r="BA979" s="34"/>
      <c r="BB979" s="34"/>
      <c r="BC979" s="34"/>
      <c r="BD979" s="34"/>
      <c r="BE979" s="34"/>
      <c r="BF979" s="34"/>
      <c r="BG979" s="34"/>
      <c r="BH979" s="34"/>
      <c r="BI979" s="34"/>
      <c r="BJ979" s="34"/>
      <c r="BK979" s="34"/>
      <c r="BL979" s="34"/>
      <c r="BM979" s="34"/>
      <c r="BN979" s="34"/>
      <c r="BO979" s="34"/>
      <c r="BP979" s="34"/>
      <c r="BQ979" s="34"/>
      <c r="BR979" s="34"/>
      <c r="BS979" s="34"/>
      <c r="BT979" s="34"/>
      <c r="BU979" s="34"/>
      <c r="BV979" s="34"/>
      <c r="BW979" s="34"/>
      <c r="BX979" s="34"/>
      <c r="BY979" s="34"/>
      <c r="BZ979" s="34"/>
      <c r="CA979" s="34"/>
      <c r="CB979" s="34"/>
      <c r="CC979" s="34"/>
      <c r="CD979" s="34"/>
      <c r="CE979" s="34"/>
      <c r="CF979" s="34"/>
      <c r="CG979" s="34"/>
      <c r="CH979" s="34"/>
      <c r="CI979" s="8"/>
    </row>
    <row r="980" spans="1:87" x14ac:dyDescent="0.2">
      <c r="A980" s="8" t="str">
        <f>IF(AND(COUNTIF(W$3:W$13,A$32)&gt;0,A$32&lt;&gt;B800),A$32,IFERROR(IF(MATCH(A$32,Z$3:Z$13,0)=8,A$32," ")," "))</f>
        <v>C18</v>
      </c>
      <c r="B980" s="8">
        <f>IF(A980=" "," ",MAX(B963:B979)+1)</f>
        <v>7</v>
      </c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U980" s="34"/>
      <c r="V980" s="34"/>
      <c r="W980" s="34"/>
      <c r="X980" s="34"/>
      <c r="Y980" s="34"/>
      <c r="Z980" s="34"/>
      <c r="AA980" s="34"/>
      <c r="AB980" s="34"/>
      <c r="AC980" s="34"/>
      <c r="AD980" s="34"/>
      <c r="AE980" s="34"/>
      <c r="AF980" s="34"/>
      <c r="AG980" s="34"/>
      <c r="AH980" s="34"/>
      <c r="AI980" s="34"/>
      <c r="AJ980" s="34"/>
      <c r="AK980" s="34"/>
      <c r="AL980" s="34"/>
      <c r="AM980" s="34"/>
      <c r="AN980" s="34"/>
      <c r="AO980" s="34"/>
      <c r="AP980" s="34"/>
      <c r="AQ980" s="34"/>
      <c r="AR980" s="34"/>
      <c r="AS980" s="34"/>
      <c r="AT980" s="34"/>
      <c r="AU980" s="34"/>
      <c r="AV980" s="34"/>
      <c r="AW980" s="34"/>
      <c r="AX980" s="34"/>
      <c r="AY980" s="34"/>
      <c r="AZ980" s="34"/>
      <c r="BA980" s="34"/>
      <c r="BB980" s="34"/>
      <c r="BC980" s="34"/>
      <c r="BD980" s="34"/>
      <c r="BE980" s="34"/>
      <c r="BF980" s="34"/>
      <c r="BG980" s="34"/>
      <c r="BH980" s="34"/>
      <c r="BI980" s="34"/>
      <c r="BJ980" s="34"/>
      <c r="BK980" s="34"/>
      <c r="BL980" s="34"/>
      <c r="BM980" s="34"/>
      <c r="BN980" s="34"/>
      <c r="BO980" s="34"/>
      <c r="BP980" s="34"/>
      <c r="BQ980" s="34"/>
      <c r="BR980" s="34"/>
      <c r="BS980" s="34"/>
      <c r="BT980" s="34"/>
      <c r="BU980" s="34"/>
      <c r="BV980" s="34"/>
      <c r="BW980" s="34"/>
      <c r="BX980" s="34"/>
      <c r="BY980" s="34"/>
      <c r="BZ980" s="34"/>
      <c r="CA980" s="34"/>
      <c r="CB980" s="34"/>
      <c r="CC980" s="34"/>
      <c r="CD980" s="34"/>
      <c r="CE980" s="34"/>
      <c r="CF980" s="34"/>
      <c r="CG980" s="34"/>
      <c r="CH980" s="34"/>
      <c r="CI980" s="8"/>
    </row>
    <row r="981" spans="1:87" x14ac:dyDescent="0.2">
      <c r="A981" s="8" t="str">
        <f>IF(AND(COUNTIF(W$3:W$13,A$33)&gt;0,A$33&lt;&gt;B800),A$33,IFERROR(IF(MATCH(A$33,Z$3:Z$13,0)=8,A$33," ")," "))</f>
        <v>C19</v>
      </c>
      <c r="B981" s="8">
        <f>IF(A981=" "," ",MAX(B963:B980)+1)</f>
        <v>8</v>
      </c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U981" s="34"/>
      <c r="V981" s="34"/>
      <c r="W981" s="34"/>
      <c r="X981" s="34"/>
      <c r="Y981" s="34"/>
      <c r="Z981" s="34"/>
      <c r="AA981" s="34"/>
      <c r="AB981" s="34"/>
      <c r="AC981" s="34"/>
      <c r="AD981" s="34"/>
      <c r="AE981" s="34"/>
      <c r="AF981" s="34"/>
      <c r="AG981" s="34"/>
      <c r="AH981" s="34"/>
      <c r="AI981" s="34"/>
      <c r="AJ981" s="34"/>
      <c r="AK981" s="34"/>
      <c r="AL981" s="34"/>
      <c r="AM981" s="34"/>
      <c r="AN981" s="34"/>
      <c r="AO981" s="34"/>
      <c r="AP981" s="34"/>
      <c r="AQ981" s="34"/>
      <c r="AR981" s="34"/>
      <c r="AS981" s="34"/>
      <c r="AT981" s="34"/>
      <c r="AU981" s="34"/>
      <c r="AV981" s="34"/>
      <c r="AW981" s="34"/>
      <c r="AX981" s="34"/>
      <c r="AY981" s="34"/>
      <c r="AZ981" s="34"/>
      <c r="BA981" s="34"/>
      <c r="BB981" s="34"/>
      <c r="BC981" s="34"/>
      <c r="BD981" s="34"/>
      <c r="BE981" s="34"/>
      <c r="BF981" s="34"/>
      <c r="BG981" s="34"/>
      <c r="BH981" s="34"/>
      <c r="BI981" s="34"/>
      <c r="BJ981" s="34"/>
      <c r="BK981" s="34"/>
      <c r="BL981" s="34"/>
      <c r="BM981" s="34"/>
      <c r="BN981" s="34"/>
      <c r="BO981" s="34"/>
      <c r="BP981" s="34"/>
      <c r="BQ981" s="34"/>
      <c r="BR981" s="34"/>
      <c r="BS981" s="34"/>
      <c r="BT981" s="34"/>
      <c r="BU981" s="34"/>
      <c r="BV981" s="34"/>
      <c r="BW981" s="34"/>
      <c r="BX981" s="34"/>
      <c r="BY981" s="34"/>
      <c r="BZ981" s="34"/>
      <c r="CA981" s="34"/>
      <c r="CB981" s="34"/>
      <c r="CC981" s="34"/>
      <c r="CD981" s="34"/>
      <c r="CE981" s="34"/>
      <c r="CF981" s="34"/>
      <c r="CG981" s="34"/>
      <c r="CH981" s="34"/>
      <c r="CI981" s="8"/>
    </row>
    <row r="982" spans="1:87" x14ac:dyDescent="0.2">
      <c r="A982" s="8" t="str">
        <f>IF(AND(COUNTIF(W$3:W$13,A$34)&gt;0,A$34&lt;&gt;B800),A$34,IFERROR(IF(MATCH(A$34,Z$3:Z$13,0)=8,A$34," ")," "))</f>
        <v>C20</v>
      </c>
      <c r="B982" s="8">
        <f>IF(A982=" "," ",MAX(B963:B981)+1)</f>
        <v>9</v>
      </c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U982" s="34"/>
      <c r="V982" s="34"/>
      <c r="W982" s="34"/>
      <c r="X982" s="34"/>
      <c r="Y982" s="34"/>
      <c r="Z982" s="34"/>
      <c r="AA982" s="34"/>
      <c r="AB982" s="34"/>
      <c r="AC982" s="34"/>
      <c r="AD982" s="34"/>
      <c r="AE982" s="34"/>
      <c r="AF982" s="34"/>
      <c r="AG982" s="34"/>
      <c r="AH982" s="34"/>
      <c r="AI982" s="34"/>
      <c r="AJ982" s="34"/>
      <c r="AK982" s="34"/>
      <c r="AL982" s="34"/>
      <c r="AM982" s="34"/>
      <c r="AN982" s="34"/>
      <c r="AO982" s="34"/>
      <c r="AP982" s="34"/>
      <c r="AQ982" s="34"/>
      <c r="AR982" s="34"/>
      <c r="AS982" s="34"/>
      <c r="AT982" s="34"/>
      <c r="AU982" s="34"/>
      <c r="AV982" s="34"/>
      <c r="AW982" s="34"/>
      <c r="AX982" s="34"/>
      <c r="AY982" s="34"/>
      <c r="AZ982" s="34"/>
      <c r="BA982" s="34"/>
      <c r="BB982" s="34"/>
      <c r="BC982" s="34"/>
      <c r="BD982" s="34"/>
      <c r="BE982" s="34"/>
      <c r="BF982" s="34"/>
      <c r="BG982" s="34"/>
      <c r="BH982" s="34"/>
      <c r="BI982" s="34"/>
      <c r="BJ982" s="34"/>
      <c r="BK982" s="34"/>
      <c r="BL982" s="34"/>
      <c r="BM982" s="34"/>
      <c r="BN982" s="34"/>
      <c r="BO982" s="34"/>
      <c r="BP982" s="34"/>
      <c r="BQ982" s="34"/>
      <c r="BR982" s="34"/>
      <c r="BS982" s="34"/>
      <c r="BT982" s="34"/>
      <c r="BU982" s="34"/>
      <c r="BV982" s="34"/>
      <c r="BW982" s="34"/>
      <c r="BX982" s="34"/>
      <c r="BY982" s="34"/>
      <c r="BZ982" s="34"/>
      <c r="CA982" s="34"/>
      <c r="CB982" s="34"/>
      <c r="CC982" s="34"/>
      <c r="CD982" s="34"/>
      <c r="CE982" s="34"/>
      <c r="CF982" s="34"/>
      <c r="CG982" s="34"/>
      <c r="CH982" s="34"/>
      <c r="CI982" s="8"/>
    </row>
    <row r="983" spans="1:87" x14ac:dyDescent="0.2">
      <c r="A983" s="8" t="str">
        <f>IF(AND(COUNTIF(W$3:W$13,A$35)&gt;0,A$35&lt;&gt;B800),A$35,IFERROR(IF(MATCH(A$35,Z$3:Z$13,0)=8,A$35," ")," "))</f>
        <v>C21</v>
      </c>
      <c r="B983" s="8">
        <f>IF(A983=" "," ",MAX(B963:B982)+1)</f>
        <v>10</v>
      </c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U983" s="34"/>
      <c r="V983" s="34"/>
      <c r="W983" s="34"/>
      <c r="X983" s="34"/>
      <c r="Y983" s="34"/>
      <c r="Z983" s="34"/>
      <c r="AA983" s="34"/>
      <c r="AB983" s="34"/>
      <c r="AC983" s="34"/>
      <c r="AD983" s="34"/>
      <c r="AE983" s="34"/>
      <c r="AF983" s="34"/>
      <c r="AG983" s="34"/>
      <c r="AH983" s="34"/>
      <c r="AI983" s="34"/>
      <c r="AJ983" s="34"/>
      <c r="AK983" s="34"/>
      <c r="AL983" s="34"/>
      <c r="AM983" s="34"/>
      <c r="AN983" s="34"/>
      <c r="AO983" s="34"/>
      <c r="AP983" s="34"/>
      <c r="AQ983" s="34"/>
      <c r="AR983" s="34"/>
      <c r="AS983" s="34"/>
      <c r="AT983" s="34"/>
      <c r="AU983" s="34"/>
      <c r="AV983" s="34"/>
      <c r="AW983" s="34"/>
      <c r="AX983" s="34"/>
      <c r="AY983" s="34"/>
      <c r="AZ983" s="34"/>
      <c r="BA983" s="34"/>
      <c r="BB983" s="34"/>
      <c r="BC983" s="34"/>
      <c r="BD983" s="34"/>
      <c r="BE983" s="34"/>
      <c r="BF983" s="34"/>
      <c r="BG983" s="34"/>
      <c r="BH983" s="34"/>
      <c r="BI983" s="34"/>
      <c r="BJ983" s="34"/>
      <c r="BK983" s="34"/>
      <c r="BL983" s="34"/>
      <c r="BM983" s="34"/>
      <c r="BN983" s="34"/>
      <c r="BO983" s="34"/>
      <c r="BP983" s="34"/>
      <c r="BQ983" s="34"/>
      <c r="BR983" s="34"/>
      <c r="BS983" s="34"/>
      <c r="BT983" s="34"/>
      <c r="BU983" s="34"/>
      <c r="BV983" s="34"/>
      <c r="BW983" s="34"/>
      <c r="BX983" s="34"/>
      <c r="BY983" s="34"/>
      <c r="BZ983" s="34"/>
      <c r="CA983" s="34"/>
      <c r="CB983" s="34"/>
      <c r="CC983" s="34"/>
      <c r="CD983" s="34"/>
      <c r="CE983" s="34"/>
      <c r="CF983" s="34"/>
      <c r="CG983" s="34"/>
      <c r="CH983" s="34"/>
      <c r="CI983" s="8"/>
    </row>
    <row r="984" spans="1:87" x14ac:dyDescent="0.2">
      <c r="A984" s="8" t="str">
        <f>IF(AND(COUNTIF(W$3:W$13,A$36)&gt;0,A$36&lt;&gt;B800),A$36,IFERROR(IF(MATCH(A$36,Z$3:Z$13,0)=8,A$36," ")," "))</f>
        <v>C22</v>
      </c>
      <c r="B984" s="8">
        <f>IF(A984=" "," ",MAX(B963:B983)+1)</f>
        <v>11</v>
      </c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U984" s="34"/>
      <c r="V984" s="34"/>
      <c r="W984" s="34"/>
      <c r="X984" s="34"/>
      <c r="Y984" s="34"/>
      <c r="Z984" s="34"/>
      <c r="AA984" s="34"/>
      <c r="AB984" s="34"/>
      <c r="AC984" s="34"/>
      <c r="AD984" s="34"/>
      <c r="AE984" s="34"/>
      <c r="AF984" s="34"/>
      <c r="AG984" s="34"/>
      <c r="AH984" s="34"/>
      <c r="AI984" s="34"/>
      <c r="AJ984" s="34"/>
      <c r="AK984" s="34"/>
      <c r="AL984" s="34"/>
      <c r="AM984" s="34"/>
      <c r="AN984" s="34"/>
      <c r="AO984" s="34"/>
      <c r="AP984" s="34"/>
      <c r="AQ984" s="34"/>
      <c r="AR984" s="34"/>
      <c r="AS984" s="34"/>
      <c r="AT984" s="34"/>
      <c r="AU984" s="34"/>
      <c r="AV984" s="34"/>
      <c r="AW984" s="34"/>
      <c r="AX984" s="34"/>
      <c r="AY984" s="34"/>
      <c r="AZ984" s="34"/>
      <c r="BA984" s="34"/>
      <c r="BB984" s="34"/>
      <c r="BC984" s="34"/>
      <c r="BD984" s="34"/>
      <c r="BE984" s="34"/>
      <c r="BF984" s="34"/>
      <c r="BG984" s="34"/>
      <c r="BH984" s="34"/>
      <c r="BI984" s="34"/>
      <c r="BJ984" s="34"/>
      <c r="BK984" s="34"/>
      <c r="BL984" s="34"/>
      <c r="BM984" s="34"/>
      <c r="BN984" s="34"/>
      <c r="BO984" s="34"/>
      <c r="BP984" s="34"/>
      <c r="BQ984" s="34"/>
      <c r="BR984" s="34"/>
      <c r="BS984" s="34"/>
      <c r="BT984" s="34"/>
      <c r="BU984" s="34"/>
      <c r="BV984" s="34"/>
      <c r="BW984" s="34"/>
      <c r="BX984" s="34"/>
      <c r="BY984" s="34"/>
      <c r="BZ984" s="34"/>
      <c r="CA984" s="34"/>
      <c r="CB984" s="34"/>
      <c r="CC984" s="34"/>
      <c r="CD984" s="34"/>
      <c r="CE984" s="34"/>
      <c r="CF984" s="34"/>
      <c r="CG984" s="34"/>
      <c r="CH984" s="34"/>
      <c r="CI984" s="8"/>
    </row>
    <row r="985" spans="1:87" x14ac:dyDescent="0.2">
      <c r="A985" s="11" t="s">
        <v>17</v>
      </c>
      <c r="B985" s="11"/>
      <c r="C985" s="27" t="s">
        <v>18</v>
      </c>
      <c r="D985" s="27" t="s">
        <v>2</v>
      </c>
      <c r="E985" s="27" t="s">
        <v>6</v>
      </c>
      <c r="F985" s="27" t="s">
        <v>15</v>
      </c>
      <c r="G985" s="27" t="s">
        <v>36</v>
      </c>
      <c r="H985" s="27" t="s">
        <v>37</v>
      </c>
      <c r="I985" s="27" t="s">
        <v>38</v>
      </c>
      <c r="J985" s="27" t="s">
        <v>39</v>
      </c>
      <c r="K985" s="27" t="s">
        <v>40</v>
      </c>
      <c r="L985" s="27" t="s">
        <v>41</v>
      </c>
      <c r="M985" s="27" t="s">
        <v>42</v>
      </c>
      <c r="N985" s="27" t="s">
        <v>43</v>
      </c>
      <c r="O985" s="27" t="s">
        <v>9</v>
      </c>
      <c r="P985" s="27" t="s">
        <v>12</v>
      </c>
      <c r="Q985" s="27" t="s">
        <v>19</v>
      </c>
      <c r="R985" s="27" t="s">
        <v>55</v>
      </c>
      <c r="S985" s="27" t="s">
        <v>26</v>
      </c>
      <c r="T985" s="19" t="s">
        <v>25</v>
      </c>
      <c r="U985" s="33" t="s">
        <v>27</v>
      </c>
      <c r="V985" s="33" t="s">
        <v>9</v>
      </c>
      <c r="W985" s="33" t="s">
        <v>23</v>
      </c>
      <c r="X985" s="33" t="s">
        <v>12</v>
      </c>
      <c r="Y985" s="33" t="s">
        <v>26</v>
      </c>
      <c r="Z985" s="33" t="s">
        <v>25</v>
      </c>
      <c r="AA985" s="33" t="s">
        <v>27</v>
      </c>
      <c r="AB985" s="33" t="s">
        <v>9</v>
      </c>
      <c r="AC985" s="33" t="s">
        <v>23</v>
      </c>
      <c r="AD985" s="33" t="s">
        <v>12</v>
      </c>
      <c r="AE985" s="33" t="s">
        <v>26</v>
      </c>
      <c r="AF985" s="33" t="s">
        <v>25</v>
      </c>
      <c r="AG985" s="33" t="s">
        <v>27</v>
      </c>
      <c r="AH985" s="33" t="s">
        <v>9</v>
      </c>
      <c r="AI985" s="33" t="s">
        <v>23</v>
      </c>
      <c r="AJ985" s="33" t="s">
        <v>12</v>
      </c>
      <c r="AK985" s="33" t="s">
        <v>26</v>
      </c>
      <c r="AL985" s="33" t="s">
        <v>25</v>
      </c>
      <c r="AM985" s="33" t="s">
        <v>27</v>
      </c>
      <c r="AN985" s="33" t="s">
        <v>9</v>
      </c>
      <c r="AO985" s="33" t="s">
        <v>23</v>
      </c>
      <c r="AP985" s="33" t="s">
        <v>12</v>
      </c>
      <c r="AQ985" s="33" t="s">
        <v>26</v>
      </c>
      <c r="AR985" s="33" t="s">
        <v>25</v>
      </c>
      <c r="AS985" s="33" t="s">
        <v>27</v>
      </c>
      <c r="AT985" s="33" t="s">
        <v>9</v>
      </c>
      <c r="AU985" s="33" t="s">
        <v>23</v>
      </c>
      <c r="AV985" s="33" t="s">
        <v>12</v>
      </c>
      <c r="AW985" s="33" t="s">
        <v>26</v>
      </c>
      <c r="AX985" s="33" t="s">
        <v>25</v>
      </c>
      <c r="AY985" s="33" t="s">
        <v>27</v>
      </c>
      <c r="AZ985" s="33" t="s">
        <v>9</v>
      </c>
      <c r="BA985" s="33" t="s">
        <v>23</v>
      </c>
      <c r="BB985" s="33" t="s">
        <v>12</v>
      </c>
      <c r="BC985" s="33" t="s">
        <v>26</v>
      </c>
      <c r="BD985" s="33" t="s">
        <v>25</v>
      </c>
      <c r="BE985" s="33" t="s">
        <v>27</v>
      </c>
      <c r="BF985" s="33" t="s">
        <v>9</v>
      </c>
      <c r="BG985" s="33" t="s">
        <v>23</v>
      </c>
      <c r="BH985" s="33" t="s">
        <v>12</v>
      </c>
      <c r="BI985" s="33" t="s">
        <v>26</v>
      </c>
      <c r="BJ985" s="33" t="s">
        <v>25</v>
      </c>
      <c r="BK985" s="33" t="s">
        <v>27</v>
      </c>
      <c r="BL985" s="33" t="s">
        <v>9</v>
      </c>
      <c r="BM985" s="33" t="s">
        <v>23</v>
      </c>
      <c r="BN985" s="33" t="s">
        <v>12</v>
      </c>
      <c r="BO985" s="33" t="s">
        <v>26</v>
      </c>
      <c r="BP985" s="33" t="s">
        <v>25</v>
      </c>
      <c r="BQ985" s="33" t="s">
        <v>27</v>
      </c>
      <c r="BR985" s="33" t="s">
        <v>9</v>
      </c>
      <c r="BS985" s="33" t="s">
        <v>23</v>
      </c>
      <c r="BT985" s="33" t="s">
        <v>12</v>
      </c>
      <c r="BU985" s="33" t="s">
        <v>26</v>
      </c>
      <c r="BV985" s="33" t="s">
        <v>25</v>
      </c>
      <c r="BW985" s="33" t="s">
        <v>27</v>
      </c>
      <c r="BX985" s="33" t="s">
        <v>9</v>
      </c>
      <c r="BY985" s="33" t="s">
        <v>23</v>
      </c>
      <c r="BZ985" s="33" t="s">
        <v>12</v>
      </c>
      <c r="CA985" s="33" t="s">
        <v>26</v>
      </c>
      <c r="CB985" s="33" t="s">
        <v>25</v>
      </c>
      <c r="CC985" s="33" t="s">
        <v>27</v>
      </c>
      <c r="CD985" s="33" t="s">
        <v>9</v>
      </c>
      <c r="CE985" s="33" t="s">
        <v>23</v>
      </c>
      <c r="CF985" s="33" t="s">
        <v>12</v>
      </c>
      <c r="CG985" s="33" t="s">
        <v>26</v>
      </c>
      <c r="CH985" s="33" t="s">
        <v>25</v>
      </c>
      <c r="CI985" s="8"/>
    </row>
    <row r="986" spans="1:87" x14ac:dyDescent="0.2">
      <c r="A986" s="8" t="str">
        <f>IF(AND(COUNTIF(W$3:W$13,A$15)&gt;0,A$15&lt;&gt;B800),A$15,IFERROR(IF(MATCH(A$15,Z$3:Z$13,0)=9,A$15," ")," "))</f>
        <v xml:space="preserve"> </v>
      </c>
      <c r="B986" s="8" t="str">
        <f>IF(A986=" "," ",1)</f>
        <v xml:space="preserve"> </v>
      </c>
      <c r="C986" s="8" t="str">
        <f>IFERROR(INDEX(A986:A1007,MATCH(SMALL(B986:B1007,1),B986:B1007,0),1)," ")</f>
        <v>C3</v>
      </c>
      <c r="D986" s="8">
        <f>IFERROR(VLOOKUP($C986,$A$15:$O$36,2,FALSE)," ")</f>
        <v>2</v>
      </c>
      <c r="E986" s="8">
        <f>IFERROR(VLOOKUP($C986,$A$15:$O$36,3,FALSE)," ")</f>
        <v>5</v>
      </c>
      <c r="F986" s="8">
        <f>IFERROR(VLOOKUP($C986,$A$15:$O$36,4,FALSE)," ")</f>
        <v>6</v>
      </c>
      <c r="G986" s="8">
        <f>IFERROR(VLOOKUP($C986,$A$15:$O$36,5,FALSE)," ")</f>
        <v>0</v>
      </c>
      <c r="H986" s="8">
        <f>IFERROR(VLOOKUP($C986,$A$15:$O$36,6,FALSE)," ")</f>
        <v>0</v>
      </c>
      <c r="I986" s="8">
        <f>IFERROR(VLOOKUP($C986,$A$15:$O$36,7,FALSE)," ")</f>
        <v>0</v>
      </c>
      <c r="J986" s="8">
        <f>IFERROR(VLOOKUP($C986,$A$15:$O$36,8,FALSE)," ")</f>
        <v>0</v>
      </c>
      <c r="K986" s="8">
        <f>IFERROR(VLOOKUP($C986,$A$15:$O$36,9,FALSE)," ")</f>
        <v>0</v>
      </c>
      <c r="L986" s="8">
        <f>IFERROR(VLOOKUP($C986,$A$15:$O$36,10,FALSE)," ")</f>
        <v>0</v>
      </c>
      <c r="M986" s="8">
        <f>IFERROR(VLOOKUP($C986,$A$15:$O$36,11,FALSE)," ")</f>
        <v>0</v>
      </c>
      <c r="N986" s="8">
        <f>IFERROR(VLOOKUP($C986,$A$15:$O$36,12,FALSE)," ")</f>
        <v>0</v>
      </c>
      <c r="O986" s="8">
        <f>IFERROR(VLOOKUP($C986,$A$15:$O$36,15,FALSE)," ")</f>
        <v>2000</v>
      </c>
      <c r="P986" s="8" t="e">
        <f t="array" ref="P986:P996">MMULT(MINVERSE(D986:N996),O986:O996)</f>
        <v>#NUM!</v>
      </c>
      <c r="Q986" s="8" t="e">
        <f t="shared" ref="Q986" si="4120">IF(COUNTIF(P986:P996,"&lt;"&amp;-0.001)=0,IF(ABS(P986)&lt;0.001,0,P986)," ")</f>
        <v>#NUM!</v>
      </c>
      <c r="R986" s="8" t="str">
        <f>IFERROR(VLOOKUP(B800,A$15:L$36,2,FALSE)*Q986+VLOOKUP(B800,A$15:L$36,3,FALSE)*Q987+VLOOKUP(B800,A$15:L$36,4,FALSE)*Q988+VLOOKUP(B800,A$15:L$36,5,FALSE)*Q989+VLOOKUP(B800,A$15:L$36,6,FALSE)*Q990+VLOOKUP(B800,A$15:L$36,7,FALSE)*Q991+VLOOKUP(B800,A$15:L$36,8,FALSE)*Q992+VLOOKUP(B800,A$15:L$36,9,FALSE)*Q993+VLOOKUP(B800,A$15:L$36,10,FALSE)*Q994+VLOOKUP(B800,A$15:L$36,11,FALSE)*Q995+VLOOKUP(B800,A$15:L$36,12,FALSE)*Q996," ")</f>
        <v xml:space="preserve"> </v>
      </c>
      <c r="S986" s="8" t="str">
        <f>IFERROR(IF(R986-VLOOKUP(B800,A$15:O$36,15,FALSE)&lt;0,R986-VLOOKUP(B800,A$15:O$36,15,FALSE)," ")," ")</f>
        <v xml:space="preserve"> </v>
      </c>
      <c r="T986" s="18" t="str">
        <f>IFERROR(IF(R986-VLOOKUP(B800,A$15:O$36,15,FALSE)&gt;0,R986-VLOOKUP(B800,A$15:O$36,15,FALSE)," ")," ")</f>
        <v xml:space="preserve"> </v>
      </c>
      <c r="U986" s="34">
        <f t="shared" ref="U986" si="4121">$M$2</f>
        <v>100.00000000000001</v>
      </c>
      <c r="V986" s="34">
        <v>-1</v>
      </c>
      <c r="W986" s="34">
        <f t="shared" ref="W986" si="4122">-SUMPRODUCT($M$3:$M$12,$N$3:$N$12)</f>
        <v>-105000</v>
      </c>
      <c r="X986" s="34" t="e">
        <f t="shared" ref="X986" si="4123">IF(U986&lt;&gt;U987,MMULT(MINVERSE(U986:V987),W986:W987)," ")</f>
        <v>#NUM!</v>
      </c>
      <c r="Y986" s="34" t="str">
        <f t="shared" ref="Y986" si="4124">IFERROR(IF(X986-VLOOKUP(U$38,$A$2:$N$12,14,FALSE)&lt;0,X986-VLOOKUP(U$38,$A$2:$N$12,14,FALSE)," ")," ")</f>
        <v xml:space="preserve"> </v>
      </c>
      <c r="Z986" s="34" t="str">
        <f t="shared" ref="Z986" si="4125">IFERROR(IF(X986-VLOOKUP(U$38,$A$2:$N$12,14,FALSE)&gt;0,X986-VLOOKUP(U$38,$A$2:$N$12,14,FALSE)," ")," ")</f>
        <v xml:space="preserve"> </v>
      </c>
      <c r="AA986" s="34">
        <f t="shared" ref="AA986" si="4126">$M$3</f>
        <v>0</v>
      </c>
      <c r="AB986" s="34">
        <v>-1</v>
      </c>
      <c r="AC986" s="34">
        <f t="shared" ref="AC986" si="4127">-SUMPRODUCT($M$2:$M$2,$N$2:$N$2)-SUMPRODUCT($M$4:$M$12,$N$4:$N$12)</f>
        <v>-120000</v>
      </c>
      <c r="AD986" s="34" t="e">
        <f t="shared" ref="AD986" si="4128">IF(AA986&lt;&gt;AA987,MMULT(MINVERSE(AA986:AB987),AC986:AC987)," ")</f>
        <v>#NUM!</v>
      </c>
      <c r="AE986" s="34" t="str">
        <f t="shared" ref="AE986" si="4129">IFERROR(IF(AD986-VLOOKUP(AA$38,$A$2:$N$12,14,FALSE)&lt;0,AD986-VLOOKUP(AA$38,$A$2:$N$12,14,FALSE)," ")," ")</f>
        <v xml:space="preserve"> </v>
      </c>
      <c r="AF986" s="34" t="str">
        <f t="shared" ref="AF986" si="4130">IFERROR(IF(AD986-VLOOKUP(AA$38,$A$2:$N$12,14,FALSE)&gt;0,AD986-VLOOKUP(AA$38,$A$2:$N$12,14,FALSE)," ")," ")</f>
        <v xml:space="preserve"> </v>
      </c>
      <c r="AG986" s="34">
        <f t="shared" ref="AG986" si="4131">$M$4</f>
        <v>300</v>
      </c>
      <c r="AH986" s="34">
        <v>-1</v>
      </c>
      <c r="AI986" s="34">
        <f t="shared" ref="AI986" si="4132">-SUMPRODUCT($M$2:$M$3,$N$2:$N$3)-SUMPRODUCT($M$5:$M$12,$N$5:$N$12)</f>
        <v>-15000.000000000002</v>
      </c>
      <c r="AJ986" s="34" t="e">
        <f t="shared" ref="AJ986" si="4133">IF(AG986&lt;&gt;AG987,MMULT(MINVERSE(AG986:AH987),AI986:AI987)," ")</f>
        <v>#NUM!</v>
      </c>
      <c r="AK986" s="34" t="str">
        <f t="shared" ref="AK986" si="4134">IFERROR(IF(AJ986-VLOOKUP(AG$38,$A$2:$N$12,14,FALSE)&lt;0,AJ986-VLOOKUP(AG$38,$A$2:$N$12,14,FALSE)," ")," ")</f>
        <v xml:space="preserve"> </v>
      </c>
      <c r="AL986" s="34" t="str">
        <f t="shared" ref="AL986" si="4135">IFERROR(IF(AJ986-VLOOKUP(AG$38,$A$2:$N$12,14,FALSE)&gt;0,AJ986-VLOOKUP(AG$38,$A$2:$N$12,14,FALSE)," ")," ")</f>
        <v xml:space="preserve"> </v>
      </c>
      <c r="AM986" s="34">
        <f t="shared" ref="AM986" si="4136">$M$5</f>
        <v>0</v>
      </c>
      <c r="AN986" s="34">
        <v>-1</v>
      </c>
      <c r="AO986" s="34">
        <f t="shared" ref="AO986" si="4137">-SUMPRODUCT($M$2:$M$4,$N$2:$N$4)-SUMPRODUCT($M$6:$M$12,$N$6:$N$12)</f>
        <v>-120000</v>
      </c>
      <c r="AP986" s="34" t="e">
        <f t="shared" ref="AP986" si="4138">IF(AM986&lt;&gt;AM987,MMULT(MINVERSE(AM986:AN987),AO986:AO987)," ")</f>
        <v>#NUM!</v>
      </c>
      <c r="AQ986" s="34" t="str">
        <f t="shared" ref="AQ986" si="4139">IFERROR(IF(AP986-VLOOKUP(AM$38,$A$2:$N$12,14,FALSE)&lt;0,AP986-VLOOKUP(AM$38,$A$2:$N$12,14,FALSE)," ")," ")</f>
        <v xml:space="preserve"> </v>
      </c>
      <c r="AR986" s="34" t="str">
        <f t="shared" ref="AR986" si="4140">IFERROR(IF(AP986-VLOOKUP(AM$38,$A$2:$N$12,14,FALSE)&gt;0,AP986-VLOOKUP(AM$38,$A$2:$N$12,14,FALSE)," ")," ")</f>
        <v xml:space="preserve"> </v>
      </c>
      <c r="AS986" s="34">
        <f t="shared" ref="AS986" si="4141">$M$6</f>
        <v>0</v>
      </c>
      <c r="AT986" s="34">
        <v>-1</v>
      </c>
      <c r="AU986" s="34">
        <f t="shared" ref="AU986" si="4142">-SUMPRODUCT($M$2:$M$5,$N$2:$N$5)-SUMPRODUCT($M$7:$M$12,$N$7:$N$12)</f>
        <v>-120000</v>
      </c>
      <c r="AV986" s="34" t="e">
        <f t="shared" ref="AV986" si="4143">IF(AS986&lt;&gt;AS987,MMULT(MINVERSE(AS986:AT987),AU986:AU987)," ")</f>
        <v>#NUM!</v>
      </c>
      <c r="AW986" s="34" t="str">
        <f t="shared" ref="AW986" si="4144">IFERROR(IF(AV986-VLOOKUP(AS$38,$A$2:$N$12,14,FALSE)&lt;0,AV986-VLOOKUP(AS$38,$A$2:$N$12,14,FALSE)," ")," ")</f>
        <v xml:space="preserve"> </v>
      </c>
      <c r="AX986" s="34" t="str">
        <f t="shared" ref="AX986" si="4145">IFERROR(IF(AV986-VLOOKUP(AS$38,$A$2:$N$12,14,FALSE)&gt;0,AV986-VLOOKUP(AS$38,$A$2:$N$12,14,FALSE)," ")," ")</f>
        <v xml:space="preserve"> </v>
      </c>
      <c r="AY986" s="34">
        <f t="shared" ref="AY986" si="4146">$M$7</f>
        <v>0</v>
      </c>
      <c r="AZ986" s="34">
        <v>-1</v>
      </c>
      <c r="BA986" s="34">
        <f t="shared" ref="BA986" si="4147">-SUMPRODUCT($M$2:$M$6,$N$2:$N$6)-SUMPRODUCT($M$8:$M$12,$N$8:$N$12)</f>
        <v>-120000</v>
      </c>
      <c r="BB986" s="34" t="e">
        <f t="shared" ref="BB986" si="4148">IF(AY986&lt;&gt;AY987,MMULT(MINVERSE(AY986:AZ987),BA986:BA987)," ")</f>
        <v>#NUM!</v>
      </c>
      <c r="BC986" s="34" t="str">
        <f t="shared" ref="BC986" si="4149">IFERROR(IF(BB986-VLOOKUP(AY$38,$A$2:$N$12,14,FALSE)&lt;0,BB986-VLOOKUP(AY$38,$A$2:$N$12,14,FALSE)," ")," ")</f>
        <v xml:space="preserve"> </v>
      </c>
      <c r="BD986" s="34" t="str">
        <f t="shared" ref="BD986" si="4150">IFERROR(IF(BB986-VLOOKUP(AY$38,$A$2:$N$12,14,FALSE)&gt;0,BB986-VLOOKUP(AY$38,$A$2:$N$12,14,FALSE)," ")," ")</f>
        <v xml:space="preserve"> </v>
      </c>
      <c r="BE986" s="34">
        <f t="shared" ref="BE986" si="4151">$M$8</f>
        <v>0</v>
      </c>
      <c r="BF986" s="34">
        <v>-1</v>
      </c>
      <c r="BG986" s="34">
        <f t="shared" ref="BG986" si="4152">-SUMPRODUCT($M$2:$M$7,$N$2:$N$7)-SUMPRODUCT($M$9:$M$12,$N$9:$N$12)</f>
        <v>-120000</v>
      </c>
      <c r="BH986" s="34" t="e">
        <f t="shared" ref="BH986" si="4153">IF(BE986&lt;&gt;BE987,MMULT(MINVERSE(BE986:BF987),BG986:BG987)," ")</f>
        <v>#NUM!</v>
      </c>
      <c r="BI986" s="34" t="str">
        <f t="shared" ref="BI986" si="4154">IFERROR(IF(BH986-VLOOKUP(BE$38,$A$2:$N$12,14,FALSE)&lt;0,BH986-VLOOKUP(BE$38,$A$2:$N$12,14,FALSE)," ")," ")</f>
        <v xml:space="preserve"> </v>
      </c>
      <c r="BJ986" s="34" t="str">
        <f t="shared" ref="BJ986" si="4155">IFERROR(IF(BH986-VLOOKUP(BE$38,$A$2:$N$12,14,FALSE)&gt;0,BH986-VLOOKUP(BE$38,$A$2:$N$12,14,FALSE)," ")," ")</f>
        <v xml:space="preserve"> </v>
      </c>
      <c r="BK986" s="34">
        <f t="shared" ref="BK986" si="4156">$M$9</f>
        <v>0</v>
      </c>
      <c r="BL986" s="34">
        <v>-1</v>
      </c>
      <c r="BM986" s="34">
        <f t="shared" ref="BM986" si="4157">-SUMPRODUCT($M$2:$M$8,$N$2:$N$8)-SUMPRODUCT($M$10:$M$12,$N$10:$N$12)</f>
        <v>-120000</v>
      </c>
      <c r="BN986" s="34" t="e">
        <f t="shared" ref="BN986" si="4158">IF(BK986&lt;&gt;BK987,MMULT(MINVERSE(BK986:BL987),BM986:BM987)," ")</f>
        <v>#NUM!</v>
      </c>
      <c r="BO986" s="34" t="str">
        <f t="shared" ref="BO986" si="4159">IFERROR(IF(BN986-VLOOKUP(BK$38,$A$2:$N$12,14,FALSE)&lt;0,BN986-VLOOKUP(BK$38,$A$2:$N$12,14,FALSE)," ")," ")</f>
        <v xml:space="preserve"> </v>
      </c>
      <c r="BP986" s="34" t="str">
        <f t="shared" ref="BP986" si="4160">IFERROR(IF(BN986-VLOOKUP(BK$38,$A$2:$N$12,14,FALSE)&gt;0,BN986-VLOOKUP(BK$38,$A$2:$N$12,14,FALSE)," ")," ")</f>
        <v xml:space="preserve"> </v>
      </c>
      <c r="BQ986" s="34">
        <f t="shared" ref="BQ986" si="4161">$M$10</f>
        <v>0</v>
      </c>
      <c r="BR986" s="34">
        <v>-1</v>
      </c>
      <c r="BS986" s="34">
        <f t="shared" ref="BS986" si="4162">-SUMPRODUCT($M$2:$M$9,$N$2:$N$9)-SUMPRODUCT($M$11:$M$12,$N$11:$N$12)</f>
        <v>-120000</v>
      </c>
      <c r="BT986" s="34" t="e">
        <f t="shared" ref="BT986" si="4163">IF(BQ986&lt;&gt;BQ987,MMULT(MINVERSE(BQ986:BR987),BS986:BS987)," ")</f>
        <v>#NUM!</v>
      </c>
      <c r="BU986" s="34" t="str">
        <f t="shared" ref="BU986" si="4164">IFERROR(IF(BT986-VLOOKUP(BQ$38,$A$2:$N$12,14,FALSE)&lt;0,BT986-VLOOKUP(BQ$38,$A$2:$N$12,14,FALSE)," ")," ")</f>
        <v xml:space="preserve"> </v>
      </c>
      <c r="BV986" s="34" t="str">
        <f t="shared" ref="BV986" si="4165">IFERROR(IF(BT986-VLOOKUP(BQ$38,$A$2:$N$12,14,FALSE)&gt;0,BT986-VLOOKUP(BQ$38,$A$2:$N$12,14,FALSE)," ")," ")</f>
        <v xml:space="preserve"> </v>
      </c>
      <c r="BW986" s="34">
        <f t="shared" ref="BW986" si="4166">$M$11</f>
        <v>0</v>
      </c>
      <c r="BX986" s="34">
        <v>-1</v>
      </c>
      <c r="BY986" s="34">
        <f t="shared" ref="BY986" si="4167">-SUMPRODUCT($M$2:$M$10,$N$2:$N$10)-SUMPRODUCT($M$12,$N$12)</f>
        <v>-120000</v>
      </c>
      <c r="BZ986" s="34" t="e">
        <f t="shared" ref="BZ986" si="4168">IF(BW986&lt;&gt;BW987,MMULT(MINVERSE(BW986:BX987),BY986:BY987)," ")</f>
        <v>#NUM!</v>
      </c>
      <c r="CA986" s="34" t="str">
        <f t="shared" ref="CA986" si="4169">IFERROR(IF(BZ986-VLOOKUP(BW$38,$A$2:$N$12,14,FALSE)&lt;0,BZ986-VLOOKUP(BW$38,$A$2:$N$12,14,FALSE)," ")," ")</f>
        <v xml:space="preserve"> </v>
      </c>
      <c r="CB986" s="34" t="str">
        <f t="shared" ref="CB986" si="4170">IFERROR(IF(BZ986-VLOOKUP(BW$38,$A$2:$N$12,14,FALSE)&gt;0,BZ986-VLOOKUP(BW$38,$A$2:$N$12,14,FALSE)," ")," ")</f>
        <v xml:space="preserve"> </v>
      </c>
      <c r="CC986" s="34">
        <f t="shared" ref="CC986" si="4171">$M$12</f>
        <v>0</v>
      </c>
      <c r="CD986" s="34">
        <v>-1</v>
      </c>
      <c r="CE986" s="34">
        <f t="shared" ref="CE986" si="4172">-SUMPRODUCT($M$2:$M$11,$N$2:$N$11)</f>
        <v>-120000</v>
      </c>
      <c r="CF986" s="34" t="e">
        <f t="shared" ref="CF986" si="4173">IF(CC986&lt;&gt;CC987,MMULT(MINVERSE(CC986:CD987),CE986:CE987)," ")</f>
        <v>#NUM!</v>
      </c>
      <c r="CG986" s="34" t="str">
        <f t="shared" ref="CG986" si="4174">IFERROR(IF(CF986-VLOOKUP(CC$38,$A$2:$N$12,14,FALSE)&lt;0,CF986-VLOOKUP(CC$38,$A$2:$N$12,14,FALSE)," ")," ")</f>
        <v xml:space="preserve"> </v>
      </c>
      <c r="CH986" s="34" t="str">
        <f t="shared" ref="CH986" si="4175">IFERROR(IF(CF986-VLOOKUP(CC$38,$A$2:$N$12,14,FALSE)&gt;0,CF986-VLOOKUP(CC$38,$A$2:$N$12,14,FALSE)," ")," ")</f>
        <v xml:space="preserve"> </v>
      </c>
      <c r="CI986" s="8"/>
    </row>
    <row r="987" spans="1:87" x14ac:dyDescent="0.2">
      <c r="A987" s="8" t="str">
        <f>IF(AND(COUNTIF(W$3:W$13,A$16)&gt;0,A$16&lt;&gt;B800),A$16,IFERROR(IF(MATCH(A$16,Z$3:Z$13,0)=9,A$16," ")," "))</f>
        <v xml:space="preserve"> </v>
      </c>
      <c r="B987" s="8" t="str">
        <f>IF(A987=" "," ",MAX(B986:B986)+1)</f>
        <v xml:space="preserve"> </v>
      </c>
      <c r="C987" s="8" t="str">
        <f>IFERROR(INDEX(A986:A1007,MATCH(SMALL(B986:B1007,2),B986:B1007,0),1)," ")</f>
        <v>C4</v>
      </c>
      <c r="D987" s="8">
        <f t="shared" ref="D987:D996" si="4176">IFERROR(VLOOKUP($C987,$A$15:$O$36,2,FALSE)," ")</f>
        <v>1</v>
      </c>
      <c r="E987" s="8">
        <f t="shared" ref="E987:E996" si="4177">IFERROR(VLOOKUP($C987,$A$15:$O$36,3,FALSE)," ")</f>
        <v>0</v>
      </c>
      <c r="F987" s="8">
        <f t="shared" ref="F987:F996" si="4178">IFERROR(VLOOKUP($C987,$A$15:$O$36,4,FALSE)," ")</f>
        <v>1</v>
      </c>
      <c r="G987" s="8">
        <f t="shared" ref="G987:G996" si="4179">IFERROR(VLOOKUP($C987,$A$15:$O$36,5,FALSE)," ")</f>
        <v>0</v>
      </c>
      <c r="H987" s="8">
        <f t="shared" ref="H987:H996" si="4180">IFERROR(VLOOKUP($C987,$A$15:$O$36,6,FALSE)," ")</f>
        <v>0</v>
      </c>
      <c r="I987" s="8">
        <f t="shared" ref="I987:I996" si="4181">IFERROR(VLOOKUP($C987,$A$15:$O$36,7,FALSE)," ")</f>
        <v>0</v>
      </c>
      <c r="J987" s="8">
        <f t="shared" ref="J987:J996" si="4182">IFERROR(VLOOKUP($C987,$A$15:$O$36,8,FALSE)," ")</f>
        <v>0</v>
      </c>
      <c r="K987" s="8">
        <f t="shared" ref="K987:K996" si="4183">IFERROR(VLOOKUP($C987,$A$15:$O$36,9,FALSE)," ")</f>
        <v>0</v>
      </c>
      <c r="L987" s="8">
        <f t="shared" ref="L987:L996" si="4184">IFERROR(VLOOKUP($C987,$A$15:$O$36,10,FALSE)," ")</f>
        <v>0</v>
      </c>
      <c r="M987" s="8">
        <f t="shared" ref="M987:M996" si="4185">IFERROR(VLOOKUP($C987,$A$15:$O$36,11,FALSE)," ")</f>
        <v>0</v>
      </c>
      <c r="N987" s="8">
        <f t="shared" ref="N987:N996" si="4186">IFERROR(VLOOKUP($C987,$A$15:$O$36,12,FALSE)," ")</f>
        <v>0</v>
      </c>
      <c r="O987" s="8">
        <f t="shared" ref="O987:O996" si="4187">IFERROR(VLOOKUP($C987,$A$15:$O$36,15,FALSE)," ")</f>
        <v>400</v>
      </c>
      <c r="P987" s="8" t="e">
        <v>#NUM!</v>
      </c>
      <c r="Q987" s="8" t="e">
        <f t="shared" ref="Q987" si="4188">IF(COUNTIF(P986:P996,"&lt;"&amp;-0.001)=0,IF(ABS(P987)&lt;0.001,0,P987)," ")</f>
        <v>#NUM!</v>
      </c>
      <c r="R987" s="8"/>
      <c r="S987" s="8"/>
      <c r="U987" s="34" t="e">
        <f t="shared" ref="U987" si="4189">$Q986</f>
        <v>#NUM!</v>
      </c>
      <c r="V987" s="34">
        <v>-1</v>
      </c>
      <c r="W987" s="34" t="e">
        <f t="shared" ref="W987" si="4190">-SUMPRODUCT($Q987:$Q996,$N$3:$N$12)</f>
        <v>#NUM!</v>
      </c>
      <c r="X987" s="34"/>
      <c r="Y987" s="34"/>
      <c r="Z987" s="34"/>
      <c r="AA987" s="34" t="e">
        <f t="shared" ref="AA987" si="4191">$Q987</f>
        <v>#NUM!</v>
      </c>
      <c r="AB987" s="34">
        <v>-1</v>
      </c>
      <c r="AC987" s="34" t="e">
        <f t="shared" ref="AC987" si="4192">-SUMPRODUCT($Q986:$Q986,$N$2:$N$2)-SUMPRODUCT($Q988:$Q996,$N$4:$N$12)</f>
        <v>#NUM!</v>
      </c>
      <c r="AD987" s="34"/>
      <c r="AE987" s="34"/>
      <c r="AF987" s="34"/>
      <c r="AG987" s="34" t="e">
        <f t="shared" ref="AG987" si="4193">$Q988</f>
        <v>#NUM!</v>
      </c>
      <c r="AH987" s="34">
        <v>-1</v>
      </c>
      <c r="AI987" s="34" t="e">
        <f t="shared" ref="AI987" si="4194">-SUMPRODUCT($Q986:$Q987,$N$2:$N$3)-SUMPRODUCT($Q989:$Q996,$N$5:$N$12)</f>
        <v>#NUM!</v>
      </c>
      <c r="AJ987" s="34"/>
      <c r="AK987" s="34"/>
      <c r="AL987" s="34"/>
      <c r="AM987" s="34" t="e">
        <f t="shared" ref="AM987" si="4195">$Q989</f>
        <v>#NUM!</v>
      </c>
      <c r="AN987" s="34">
        <v>-1</v>
      </c>
      <c r="AO987" s="34" t="e">
        <f t="shared" ref="AO987" si="4196">-SUMPRODUCT($Q986:$Q988,$N$2:$N$4)-SUMPRODUCT($Q990:$Q996,$N$6:$N$12)</f>
        <v>#NUM!</v>
      </c>
      <c r="AP987" s="34"/>
      <c r="AQ987" s="34"/>
      <c r="AR987" s="34"/>
      <c r="AS987" s="34" t="e">
        <f t="shared" ref="AS987" si="4197">$Q990</f>
        <v>#NUM!</v>
      </c>
      <c r="AT987" s="34">
        <v>-1</v>
      </c>
      <c r="AU987" s="34" t="e">
        <f t="shared" ref="AU987" si="4198">-SUMPRODUCT($Q986:$Q989,$N$2:$N$5)-SUMPRODUCT($Q991:$Q996,$N$7:$N$12)</f>
        <v>#NUM!</v>
      </c>
      <c r="AV987" s="34"/>
      <c r="AW987" s="34"/>
      <c r="AX987" s="34"/>
      <c r="AY987" s="34" t="e">
        <f t="shared" ref="AY987" si="4199">$Q991</f>
        <v>#NUM!</v>
      </c>
      <c r="AZ987" s="34">
        <v>-1</v>
      </c>
      <c r="BA987" s="34" t="e">
        <f t="shared" ref="BA987" si="4200">-SUMPRODUCT($Q986:$Q990,$N$2:$N$6)-SUMPRODUCT($Q992:$Q996,$N$8:$N$12)</f>
        <v>#NUM!</v>
      </c>
      <c r="BB987" s="34"/>
      <c r="BC987" s="34"/>
      <c r="BD987" s="34"/>
      <c r="BE987" s="34" t="e">
        <f t="shared" ref="BE987" si="4201">$Q992</f>
        <v>#NUM!</v>
      </c>
      <c r="BF987" s="34">
        <v>-1</v>
      </c>
      <c r="BG987" s="34" t="e">
        <f t="shared" ref="BG987" si="4202">-SUMPRODUCT($Q986:$Q991,$N$2:$N$7)-SUMPRODUCT($Q993:$Q996,$N$9:$N$12)</f>
        <v>#NUM!</v>
      </c>
      <c r="BH987" s="34"/>
      <c r="BI987" s="34"/>
      <c r="BJ987" s="34"/>
      <c r="BK987" s="34" t="e">
        <f t="shared" ref="BK987" si="4203">$Q993</f>
        <v>#NUM!</v>
      </c>
      <c r="BL987" s="34">
        <v>-1</v>
      </c>
      <c r="BM987" s="34" t="e">
        <f t="shared" ref="BM987" si="4204">-SUMPRODUCT($Q986:$Q992,$N$2:$N$8)-SUMPRODUCT($Q994:$Q996,$N$10:$N$12)</f>
        <v>#NUM!</v>
      </c>
      <c r="BN987" s="34"/>
      <c r="BO987" s="34"/>
      <c r="BP987" s="34"/>
      <c r="BQ987" s="34" t="e">
        <f t="shared" ref="BQ987" si="4205">$Q994</f>
        <v>#NUM!</v>
      </c>
      <c r="BR987" s="34">
        <v>-1</v>
      </c>
      <c r="BS987" s="34" t="e">
        <f t="shared" ref="BS987" si="4206">-SUMPRODUCT($Q986:$Q993,$N$2:$N$9)-SUMPRODUCT($Q995:$Q996,$N$11:$N$12)</f>
        <v>#NUM!</v>
      </c>
      <c r="BT987" s="34"/>
      <c r="BU987" s="34"/>
      <c r="BV987" s="34"/>
      <c r="BW987" s="34" t="e">
        <f t="shared" ref="BW987" si="4207">$Q995</f>
        <v>#NUM!</v>
      </c>
      <c r="BX987" s="34">
        <v>-1</v>
      </c>
      <c r="BY987" s="34" t="e">
        <f t="shared" ref="BY987" si="4208">-SUMPRODUCT($Q986:$Q994,$N$2:$N$10)-SUMPRODUCT($Q996,$N$12)</f>
        <v>#NUM!</v>
      </c>
      <c r="BZ987" s="34"/>
      <c r="CA987" s="34"/>
      <c r="CB987" s="34"/>
      <c r="CC987" s="34" t="e">
        <f t="shared" ref="CC987" si="4209">$Q996</f>
        <v>#NUM!</v>
      </c>
      <c r="CD987" s="34">
        <v>-1</v>
      </c>
      <c r="CE987" s="34" t="e">
        <f t="shared" ref="CE987" si="4210">-SUMPRODUCT($Q986:$Q995,$N$2:$N$11)</f>
        <v>#NUM!</v>
      </c>
      <c r="CF987" s="34"/>
      <c r="CG987" s="34"/>
      <c r="CH987" s="34"/>
      <c r="CI987" s="8"/>
    </row>
    <row r="988" spans="1:87" x14ac:dyDescent="0.2">
      <c r="A988" s="8" t="str">
        <f>IF(AND(COUNTIF(W$3:W$13,A$17)&gt;0,A$17&lt;&gt;B800),A$17,IFERROR(IF(MATCH(A$17,Z$3:Z$13,0)=9,A$17," ")," "))</f>
        <v>C3</v>
      </c>
      <c r="B988" s="8">
        <f>IF(A988=" "," ",MAX(B986:B987)+1)</f>
        <v>1</v>
      </c>
      <c r="C988" s="8" t="str">
        <f>IFERROR(INDEX(A986:A1007,MATCH(SMALL(B986:B1007,3),B986:B1007,0),1)," ")</f>
        <v>C11</v>
      </c>
      <c r="D988" s="8">
        <f t="shared" si="4176"/>
        <v>0</v>
      </c>
      <c r="E988" s="8">
        <f t="shared" si="4177"/>
        <v>0</v>
      </c>
      <c r="F988" s="8">
        <f t="shared" si="4178"/>
        <v>0</v>
      </c>
      <c r="G988" s="8">
        <f t="shared" si="4179"/>
        <v>0</v>
      </c>
      <c r="H988" s="8">
        <f t="shared" si="4180"/>
        <v>0</v>
      </c>
      <c r="I988" s="8">
        <f t="shared" si="4181"/>
        <v>0</v>
      </c>
      <c r="J988" s="8">
        <f t="shared" si="4182"/>
        <v>0</v>
      </c>
      <c r="K988" s="8">
        <f t="shared" si="4183"/>
        <v>0</v>
      </c>
      <c r="L988" s="8">
        <f t="shared" si="4184"/>
        <v>0</v>
      </c>
      <c r="M988" s="8">
        <f t="shared" si="4185"/>
        <v>0</v>
      </c>
      <c r="N988" s="8">
        <f t="shared" si="4186"/>
        <v>0</v>
      </c>
      <c r="O988" s="8">
        <f t="shared" si="4187"/>
        <v>0</v>
      </c>
      <c r="P988" s="8" t="e">
        <v>#NUM!</v>
      </c>
      <c r="Q988" s="8" t="e">
        <f t="shared" ref="Q988" si="4211">IF(COUNTIF(P986:P996,"&lt;"&amp;-0.001)=0,IF(ABS(P988)&lt;0.001,0,P988)," ")</f>
        <v>#NUM!</v>
      </c>
      <c r="R988" s="8"/>
      <c r="S988" s="8"/>
      <c r="U988" s="34"/>
      <c r="V988" s="34"/>
      <c r="W988" s="34"/>
      <c r="X988" s="34"/>
      <c r="Y988" s="34"/>
      <c r="Z988" s="34"/>
      <c r="AA988" s="34"/>
      <c r="AB988" s="34"/>
      <c r="AC988" s="34"/>
      <c r="AD988" s="34"/>
      <c r="AE988" s="34"/>
      <c r="AF988" s="34"/>
      <c r="AG988" s="34"/>
      <c r="AH988" s="34"/>
      <c r="AI988" s="34"/>
      <c r="AJ988" s="34"/>
      <c r="AK988" s="34"/>
      <c r="AL988" s="34"/>
      <c r="AM988" s="34"/>
      <c r="AN988" s="34"/>
      <c r="AO988" s="34"/>
      <c r="AP988" s="34"/>
      <c r="AQ988" s="34"/>
      <c r="AR988" s="34"/>
      <c r="AS988" s="34"/>
      <c r="AT988" s="34"/>
      <c r="AU988" s="34"/>
      <c r="AV988" s="34"/>
      <c r="AW988" s="34"/>
      <c r="AX988" s="34"/>
      <c r="AY988" s="34"/>
      <c r="AZ988" s="34"/>
      <c r="BA988" s="34"/>
      <c r="BB988" s="34"/>
      <c r="BC988" s="34"/>
      <c r="BD988" s="34"/>
      <c r="BE988" s="34"/>
      <c r="BF988" s="34"/>
      <c r="BG988" s="34"/>
      <c r="BH988" s="34"/>
      <c r="BI988" s="34"/>
      <c r="BJ988" s="34"/>
      <c r="BK988" s="34"/>
      <c r="BL988" s="34"/>
      <c r="BM988" s="34"/>
      <c r="BN988" s="34"/>
      <c r="BO988" s="34"/>
      <c r="BP988" s="34"/>
      <c r="BQ988" s="34"/>
      <c r="BR988" s="34"/>
      <c r="BS988" s="34"/>
      <c r="BT988" s="34"/>
      <c r="BU988" s="34"/>
      <c r="BV988" s="34"/>
      <c r="BW988" s="34"/>
      <c r="BX988" s="34"/>
      <c r="BY988" s="34"/>
      <c r="BZ988" s="34"/>
      <c r="CA988" s="34"/>
      <c r="CB988" s="34"/>
      <c r="CC988" s="34"/>
      <c r="CD988" s="34"/>
      <c r="CE988" s="34"/>
      <c r="CF988" s="34"/>
      <c r="CG988" s="34"/>
      <c r="CH988" s="34"/>
      <c r="CI988" s="8"/>
    </row>
    <row r="989" spans="1:87" x14ac:dyDescent="0.2">
      <c r="A989" s="8" t="str">
        <f>IF(AND(COUNTIF(W$3:W$13,A$18)&gt;0,A$18&lt;&gt;B800),A$18,IFERROR(IF(MATCH(A$18,Z$3:Z$13,0)=9,A$18," ")," "))</f>
        <v>C4</v>
      </c>
      <c r="B989" s="8">
        <f>IF(A989=" "," ",MAX(B986:B988)+1)</f>
        <v>2</v>
      </c>
      <c r="C989" s="8" t="str">
        <f>IFERROR(INDEX(A986:A1007,MATCH(SMALL(B986:B1007,4),B986:B1007,0),1)," ")</f>
        <v>C13</v>
      </c>
      <c r="D989" s="8">
        <f t="shared" si="4176"/>
        <v>0</v>
      </c>
      <c r="E989" s="8">
        <f t="shared" si="4177"/>
        <v>1</v>
      </c>
      <c r="F989" s="8">
        <f t="shared" si="4178"/>
        <v>0</v>
      </c>
      <c r="G989" s="8">
        <f t="shared" si="4179"/>
        <v>0</v>
      </c>
      <c r="H989" s="8">
        <f t="shared" si="4180"/>
        <v>0</v>
      </c>
      <c r="I989" s="8">
        <f t="shared" si="4181"/>
        <v>0</v>
      </c>
      <c r="J989" s="8">
        <f t="shared" si="4182"/>
        <v>0</v>
      </c>
      <c r="K989" s="8">
        <f t="shared" si="4183"/>
        <v>0</v>
      </c>
      <c r="L989" s="8">
        <f t="shared" si="4184"/>
        <v>0</v>
      </c>
      <c r="M989" s="8">
        <f t="shared" si="4185"/>
        <v>0</v>
      </c>
      <c r="N989" s="8">
        <f t="shared" si="4186"/>
        <v>0</v>
      </c>
      <c r="O989" s="8">
        <f t="shared" si="4187"/>
        <v>0</v>
      </c>
      <c r="P989" s="8" t="e">
        <v>#NUM!</v>
      </c>
      <c r="Q989" s="8" t="e">
        <f t="shared" ref="Q989" si="4212">IF(COUNTIF(P986:P996,"&lt;"&amp;-0.001)=0,IF(ABS(P989)&lt;0.001,0,P989)," ")</f>
        <v>#NUM!</v>
      </c>
      <c r="R989" s="8"/>
      <c r="S989" s="8"/>
      <c r="U989" s="34"/>
      <c r="V989" s="34"/>
      <c r="W989" s="34"/>
      <c r="X989" s="34"/>
      <c r="Y989" s="34"/>
      <c r="Z989" s="34"/>
      <c r="AA989" s="34"/>
      <c r="AB989" s="34"/>
      <c r="AC989" s="34"/>
      <c r="AD989" s="34"/>
      <c r="AE989" s="34"/>
      <c r="AF989" s="34"/>
      <c r="AG989" s="34"/>
      <c r="AH989" s="34"/>
      <c r="AI989" s="34"/>
      <c r="AJ989" s="34"/>
      <c r="AK989" s="34"/>
      <c r="AL989" s="34"/>
      <c r="AM989" s="34"/>
      <c r="AN989" s="34"/>
      <c r="AO989" s="34"/>
      <c r="AP989" s="34"/>
      <c r="AQ989" s="34"/>
      <c r="AR989" s="34"/>
      <c r="AS989" s="34"/>
      <c r="AT989" s="34"/>
      <c r="AU989" s="34"/>
      <c r="AV989" s="34"/>
      <c r="AW989" s="34"/>
      <c r="AX989" s="34"/>
      <c r="AY989" s="34"/>
      <c r="AZ989" s="34"/>
      <c r="BA989" s="34"/>
      <c r="BB989" s="34"/>
      <c r="BC989" s="34"/>
      <c r="BD989" s="34"/>
      <c r="BE989" s="34"/>
      <c r="BF989" s="34"/>
      <c r="BG989" s="34"/>
      <c r="BH989" s="34"/>
      <c r="BI989" s="34"/>
      <c r="BJ989" s="34"/>
      <c r="BK989" s="34"/>
      <c r="BL989" s="34"/>
      <c r="BM989" s="34"/>
      <c r="BN989" s="34"/>
      <c r="BO989" s="34"/>
      <c r="BP989" s="34"/>
      <c r="BQ989" s="34"/>
      <c r="BR989" s="34"/>
      <c r="BS989" s="34"/>
      <c r="BT989" s="34"/>
      <c r="BU989" s="34"/>
      <c r="BV989" s="34"/>
      <c r="BW989" s="34"/>
      <c r="BX989" s="34"/>
      <c r="BY989" s="34"/>
      <c r="BZ989" s="34"/>
      <c r="CA989" s="34"/>
      <c r="CB989" s="34"/>
      <c r="CC989" s="34"/>
      <c r="CD989" s="34"/>
      <c r="CE989" s="34"/>
      <c r="CF989" s="34"/>
      <c r="CG989" s="34"/>
      <c r="CH989" s="34"/>
      <c r="CI989" s="8"/>
    </row>
    <row r="990" spans="1:87" x14ac:dyDescent="0.2">
      <c r="A990" s="8" t="str">
        <f>IF(AND(COUNTIF(W$3:W$13,A$19)&gt;0,A$19&lt;&gt;B800),A$19,IFERROR(IF(MATCH(A$19,Z$3:Z$13,0)=9,A$19," ")," "))</f>
        <v xml:space="preserve"> </v>
      </c>
      <c r="B990" s="8" t="str">
        <f>IF(A990=" "," ",MAX(B986:B989)+1)</f>
        <v xml:space="preserve"> </v>
      </c>
      <c r="C990" s="8" t="str">
        <f>IFERROR(INDEX(A986:A1007,MATCH(SMALL(B986:B1007,5),B986:B1007,0),1)," ")</f>
        <v>C16</v>
      </c>
      <c r="D990" s="8">
        <f t="shared" si="4176"/>
        <v>0</v>
      </c>
      <c r="E990" s="8">
        <f t="shared" si="4177"/>
        <v>0</v>
      </c>
      <c r="F990" s="8">
        <f t="shared" si="4178"/>
        <v>0</v>
      </c>
      <c r="G990" s="8">
        <f t="shared" si="4179"/>
        <v>0</v>
      </c>
      <c r="H990" s="8">
        <f t="shared" si="4180"/>
        <v>1</v>
      </c>
      <c r="I990" s="8">
        <f t="shared" si="4181"/>
        <v>0</v>
      </c>
      <c r="J990" s="8">
        <f t="shared" si="4182"/>
        <v>0</v>
      </c>
      <c r="K990" s="8">
        <f t="shared" si="4183"/>
        <v>0</v>
      </c>
      <c r="L990" s="8">
        <f t="shared" si="4184"/>
        <v>0</v>
      </c>
      <c r="M990" s="8">
        <f t="shared" si="4185"/>
        <v>0</v>
      </c>
      <c r="N990" s="8">
        <f t="shared" si="4186"/>
        <v>0</v>
      </c>
      <c r="O990" s="8">
        <f t="shared" si="4187"/>
        <v>0</v>
      </c>
      <c r="P990" s="8" t="e">
        <v>#NUM!</v>
      </c>
      <c r="Q990" s="8" t="e">
        <f t="shared" ref="Q990" si="4213">IF(COUNTIF(P986:P996,"&lt;"&amp;-0.001)=0,IF(ABS(P990)&lt;0.001,0,P990)," ")</f>
        <v>#NUM!</v>
      </c>
      <c r="R990" s="8"/>
      <c r="S990" s="8"/>
      <c r="U990" s="34"/>
      <c r="V990" s="34"/>
      <c r="W990" s="34"/>
      <c r="X990" s="34"/>
      <c r="Y990" s="34"/>
      <c r="Z990" s="34"/>
      <c r="AA990" s="34"/>
      <c r="AB990" s="34"/>
      <c r="AC990" s="34"/>
      <c r="AD990" s="34"/>
      <c r="AE990" s="34"/>
      <c r="AF990" s="34"/>
      <c r="AG990" s="34"/>
      <c r="AH990" s="34"/>
      <c r="AI990" s="34"/>
      <c r="AJ990" s="34"/>
      <c r="AK990" s="34"/>
      <c r="AL990" s="34"/>
      <c r="AM990" s="34"/>
      <c r="AN990" s="34"/>
      <c r="AO990" s="34"/>
      <c r="AP990" s="34"/>
      <c r="AQ990" s="34"/>
      <c r="AR990" s="34"/>
      <c r="AS990" s="34"/>
      <c r="AT990" s="34"/>
      <c r="AU990" s="34"/>
      <c r="AV990" s="34"/>
      <c r="AW990" s="34"/>
      <c r="AX990" s="34"/>
      <c r="AY990" s="34"/>
      <c r="AZ990" s="34"/>
      <c r="BA990" s="34"/>
      <c r="BB990" s="34"/>
      <c r="BC990" s="34"/>
      <c r="BD990" s="34"/>
      <c r="BE990" s="34"/>
      <c r="BF990" s="34"/>
      <c r="BG990" s="34"/>
      <c r="BH990" s="34"/>
      <c r="BI990" s="34"/>
      <c r="BJ990" s="34"/>
      <c r="BK990" s="34"/>
      <c r="BL990" s="34"/>
      <c r="BM990" s="34"/>
      <c r="BN990" s="34"/>
      <c r="BO990" s="34"/>
      <c r="BP990" s="34"/>
      <c r="BQ990" s="34"/>
      <c r="BR990" s="34"/>
      <c r="BS990" s="34"/>
      <c r="BT990" s="34"/>
      <c r="BU990" s="34"/>
      <c r="BV990" s="34"/>
      <c r="BW990" s="34"/>
      <c r="BX990" s="34"/>
      <c r="BY990" s="34"/>
      <c r="BZ990" s="34"/>
      <c r="CA990" s="34"/>
      <c r="CB990" s="34"/>
      <c r="CC990" s="34"/>
      <c r="CD990" s="34"/>
      <c r="CE990" s="34"/>
      <c r="CF990" s="34"/>
      <c r="CG990" s="34"/>
      <c r="CH990" s="34"/>
      <c r="CI990" s="8"/>
    </row>
    <row r="991" spans="1:87" x14ac:dyDescent="0.2">
      <c r="A991" s="8" t="str">
        <f>IF(AND(COUNTIF(W$3:W$13,A$20)&gt;0,A$20&lt;&gt;B800),A$20,IFERROR(IF(MATCH(A$20,Z$3:Z$13,0)=9,A$20," ")," "))</f>
        <v xml:space="preserve"> </v>
      </c>
      <c r="B991" s="8" t="str">
        <f>IF(A991=" "," ",MAX(B986:B990)+1)</f>
        <v xml:space="preserve"> </v>
      </c>
      <c r="C991" s="8" t="str">
        <f>IFERROR(INDEX(A986:A1007,MATCH(SMALL(B986:B1007,6),B986:B1007,0),1)," ")</f>
        <v>C17</v>
      </c>
      <c r="D991" s="8">
        <f t="shared" si="4176"/>
        <v>0</v>
      </c>
      <c r="E991" s="8">
        <f t="shared" si="4177"/>
        <v>0</v>
      </c>
      <c r="F991" s="8">
        <f t="shared" si="4178"/>
        <v>0</v>
      </c>
      <c r="G991" s="8">
        <f t="shared" si="4179"/>
        <v>0</v>
      </c>
      <c r="H991" s="8">
        <f t="shared" si="4180"/>
        <v>0</v>
      </c>
      <c r="I991" s="8">
        <f t="shared" si="4181"/>
        <v>1</v>
      </c>
      <c r="J991" s="8">
        <f t="shared" si="4182"/>
        <v>0</v>
      </c>
      <c r="K991" s="8">
        <f t="shared" si="4183"/>
        <v>0</v>
      </c>
      <c r="L991" s="8">
        <f t="shared" si="4184"/>
        <v>0</v>
      </c>
      <c r="M991" s="8">
        <f t="shared" si="4185"/>
        <v>0</v>
      </c>
      <c r="N991" s="8">
        <f t="shared" si="4186"/>
        <v>0</v>
      </c>
      <c r="O991" s="8">
        <f t="shared" si="4187"/>
        <v>0</v>
      </c>
      <c r="P991" s="8" t="e">
        <v>#NUM!</v>
      </c>
      <c r="Q991" s="8" t="e">
        <f t="shared" ref="Q991" si="4214">IF(COUNTIF(P986:P996,"&lt;"&amp;-0.001)=0,IF(ABS(P991)&lt;0.001,0,P991)," ")</f>
        <v>#NUM!</v>
      </c>
      <c r="R991" s="8"/>
      <c r="S991" s="8"/>
      <c r="U991" s="34"/>
      <c r="V991" s="34"/>
      <c r="W991" s="34"/>
      <c r="X991" s="34"/>
      <c r="Y991" s="34"/>
      <c r="Z991" s="34"/>
      <c r="AA991" s="34"/>
      <c r="AB991" s="34"/>
      <c r="AC991" s="34"/>
      <c r="AD991" s="34"/>
      <c r="AE991" s="34"/>
      <c r="AF991" s="34"/>
      <c r="AG991" s="34"/>
      <c r="AH991" s="34"/>
      <c r="AI991" s="34"/>
      <c r="AJ991" s="34"/>
      <c r="AK991" s="34"/>
      <c r="AL991" s="34"/>
      <c r="AM991" s="34"/>
      <c r="AN991" s="34"/>
      <c r="AO991" s="34"/>
      <c r="AP991" s="34"/>
      <c r="AQ991" s="34"/>
      <c r="AR991" s="34"/>
      <c r="AS991" s="34"/>
      <c r="AT991" s="34"/>
      <c r="AU991" s="34"/>
      <c r="AV991" s="34"/>
      <c r="AW991" s="34"/>
      <c r="AX991" s="34"/>
      <c r="AY991" s="34"/>
      <c r="AZ991" s="34"/>
      <c r="BA991" s="34"/>
      <c r="BB991" s="34"/>
      <c r="BC991" s="34"/>
      <c r="BD991" s="34"/>
      <c r="BE991" s="34"/>
      <c r="BF991" s="34"/>
      <c r="BG991" s="34"/>
      <c r="BH991" s="34"/>
      <c r="BI991" s="34"/>
      <c r="BJ991" s="34"/>
      <c r="BK991" s="34"/>
      <c r="BL991" s="34"/>
      <c r="BM991" s="34"/>
      <c r="BN991" s="34"/>
      <c r="BO991" s="34"/>
      <c r="BP991" s="34"/>
      <c r="BQ991" s="34"/>
      <c r="BR991" s="34"/>
      <c r="BS991" s="34"/>
      <c r="BT991" s="34"/>
      <c r="BU991" s="34"/>
      <c r="BV991" s="34"/>
      <c r="BW991" s="34"/>
      <c r="BX991" s="34"/>
      <c r="BY991" s="34"/>
      <c r="BZ991" s="34"/>
      <c r="CA991" s="34"/>
      <c r="CB991" s="34"/>
      <c r="CC991" s="34"/>
      <c r="CD991" s="34"/>
      <c r="CE991" s="34"/>
      <c r="CF991" s="34"/>
      <c r="CG991" s="34"/>
      <c r="CH991" s="34"/>
      <c r="CI991" s="8"/>
    </row>
    <row r="992" spans="1:87" x14ac:dyDescent="0.2">
      <c r="A992" s="8" t="str">
        <f>IF(AND(COUNTIF(W$3:W$13,A$21)&gt;0,A$21&lt;&gt;B800),A$21,IFERROR(IF(MATCH(A$21,Z$3:Z$13,0)=9,A$21," ")," "))</f>
        <v xml:space="preserve"> </v>
      </c>
      <c r="B992" s="8" t="str">
        <f>IF(A992=" "," ",MAX(B986:B991)+1)</f>
        <v xml:space="preserve"> </v>
      </c>
      <c r="C992" s="8" t="str">
        <f>IFERROR(INDEX(A986:A1007,MATCH(SMALL(B986:B1007,7),B986:B1007,0),1)," ")</f>
        <v>C18</v>
      </c>
      <c r="D992" s="8">
        <f t="shared" si="4176"/>
        <v>0</v>
      </c>
      <c r="E992" s="8">
        <f t="shared" si="4177"/>
        <v>0</v>
      </c>
      <c r="F992" s="8">
        <f t="shared" si="4178"/>
        <v>0</v>
      </c>
      <c r="G992" s="8">
        <f t="shared" si="4179"/>
        <v>0</v>
      </c>
      <c r="H992" s="8">
        <f t="shared" si="4180"/>
        <v>0</v>
      </c>
      <c r="I992" s="8">
        <f t="shared" si="4181"/>
        <v>0</v>
      </c>
      <c r="J992" s="8">
        <f t="shared" si="4182"/>
        <v>1</v>
      </c>
      <c r="K992" s="8">
        <f t="shared" si="4183"/>
        <v>0</v>
      </c>
      <c r="L992" s="8">
        <f t="shared" si="4184"/>
        <v>0</v>
      </c>
      <c r="M992" s="8">
        <f t="shared" si="4185"/>
        <v>0</v>
      </c>
      <c r="N992" s="8">
        <f t="shared" si="4186"/>
        <v>0</v>
      </c>
      <c r="O992" s="8">
        <f t="shared" si="4187"/>
        <v>0</v>
      </c>
      <c r="P992" s="8" t="e">
        <v>#NUM!</v>
      </c>
      <c r="Q992" s="8" t="e">
        <f t="shared" ref="Q992" si="4215">IF(COUNTIF(P986:P996,"&lt;"&amp;-0.001)=0,IF(ABS(P992)&lt;0.001,0,P992)," ")</f>
        <v>#NUM!</v>
      </c>
      <c r="R992" s="8"/>
      <c r="S992" s="8"/>
      <c r="U992" s="34"/>
      <c r="V992" s="34"/>
      <c r="W992" s="34"/>
      <c r="X992" s="34"/>
      <c r="Y992" s="34"/>
      <c r="Z992" s="34"/>
      <c r="AA992" s="34"/>
      <c r="AB992" s="34"/>
      <c r="AC992" s="34"/>
      <c r="AD992" s="34"/>
      <c r="AE992" s="34"/>
      <c r="AF992" s="34"/>
      <c r="AG992" s="34"/>
      <c r="AH992" s="34"/>
      <c r="AI992" s="34"/>
      <c r="AJ992" s="34"/>
      <c r="AK992" s="34"/>
      <c r="AL992" s="34"/>
      <c r="AM992" s="34"/>
      <c r="AN992" s="34"/>
      <c r="AO992" s="34"/>
      <c r="AP992" s="34"/>
      <c r="AQ992" s="34"/>
      <c r="AR992" s="34"/>
      <c r="AS992" s="34"/>
      <c r="AT992" s="34"/>
      <c r="AU992" s="34"/>
      <c r="AV992" s="34"/>
      <c r="AW992" s="34"/>
      <c r="AX992" s="34"/>
      <c r="AY992" s="34"/>
      <c r="AZ992" s="34"/>
      <c r="BA992" s="34"/>
      <c r="BB992" s="34"/>
      <c r="BC992" s="34"/>
      <c r="BD992" s="34"/>
      <c r="BE992" s="34"/>
      <c r="BF992" s="34"/>
      <c r="BG992" s="34"/>
      <c r="BH992" s="34"/>
      <c r="BI992" s="34"/>
      <c r="BJ992" s="34"/>
      <c r="BK992" s="34"/>
      <c r="BL992" s="34"/>
      <c r="BM992" s="34"/>
      <c r="BN992" s="34"/>
      <c r="BO992" s="34"/>
      <c r="BP992" s="34"/>
      <c r="BQ992" s="34"/>
      <c r="BR992" s="34"/>
      <c r="BS992" s="34"/>
      <c r="BT992" s="34"/>
      <c r="BU992" s="34"/>
      <c r="BV992" s="34"/>
      <c r="BW992" s="34"/>
      <c r="BX992" s="34"/>
      <c r="BY992" s="34"/>
      <c r="BZ992" s="34"/>
      <c r="CA992" s="34"/>
      <c r="CB992" s="34"/>
      <c r="CC992" s="34"/>
      <c r="CD992" s="34"/>
      <c r="CE992" s="34"/>
      <c r="CF992" s="34"/>
      <c r="CG992" s="34"/>
      <c r="CH992" s="34"/>
      <c r="CI992" s="8"/>
    </row>
    <row r="993" spans="1:87" x14ac:dyDescent="0.2">
      <c r="A993" s="8" t="str">
        <f>IF(AND(COUNTIF(W$3:W$13,A$22)&gt;0,A$22&lt;&gt;B800),A$22,IFERROR(IF(MATCH(A$22,Z$3:Z$13,0)=9,A$22," ")," "))</f>
        <v xml:space="preserve"> </v>
      </c>
      <c r="B993" s="8" t="str">
        <f>IF(A993=" "," ",MAX(B986:B992)+1)</f>
        <v xml:space="preserve"> </v>
      </c>
      <c r="C993" s="8" t="str">
        <f>IFERROR(INDEX(A986:A1007,MATCH(SMALL(B986:B1007,8),B986:B1007,0),1)," ")</f>
        <v>C19</v>
      </c>
      <c r="D993" s="8">
        <f t="shared" si="4176"/>
        <v>0</v>
      </c>
      <c r="E993" s="8">
        <f t="shared" si="4177"/>
        <v>0</v>
      </c>
      <c r="F993" s="8">
        <f t="shared" si="4178"/>
        <v>0</v>
      </c>
      <c r="G993" s="8">
        <f t="shared" si="4179"/>
        <v>0</v>
      </c>
      <c r="H993" s="8">
        <f t="shared" si="4180"/>
        <v>0</v>
      </c>
      <c r="I993" s="8">
        <f t="shared" si="4181"/>
        <v>0</v>
      </c>
      <c r="J993" s="8">
        <f t="shared" si="4182"/>
        <v>0</v>
      </c>
      <c r="K993" s="8">
        <f t="shared" si="4183"/>
        <v>1</v>
      </c>
      <c r="L993" s="8">
        <f t="shared" si="4184"/>
        <v>0</v>
      </c>
      <c r="M993" s="8">
        <f t="shared" si="4185"/>
        <v>0</v>
      </c>
      <c r="N993" s="8">
        <f t="shared" si="4186"/>
        <v>0</v>
      </c>
      <c r="O993" s="8">
        <f t="shared" si="4187"/>
        <v>0</v>
      </c>
      <c r="P993" s="8" t="e">
        <v>#NUM!</v>
      </c>
      <c r="Q993" s="8" t="e">
        <f t="shared" ref="Q993" si="4216">IF(COUNTIF(P986:P996,"&lt;"&amp;-0.001)=0,IF(ABS(P993)&lt;0.001,0,P993)," ")</f>
        <v>#NUM!</v>
      </c>
      <c r="R993" s="8"/>
      <c r="S993" s="8"/>
      <c r="U993" s="34"/>
      <c r="V993" s="34"/>
      <c r="W993" s="34"/>
      <c r="X993" s="34"/>
      <c r="Y993" s="34"/>
      <c r="Z993" s="34"/>
      <c r="AA993" s="34"/>
      <c r="AB993" s="34"/>
      <c r="AC993" s="34"/>
      <c r="AD993" s="34"/>
      <c r="AE993" s="34"/>
      <c r="AF993" s="34"/>
      <c r="AG993" s="34"/>
      <c r="AH993" s="34"/>
      <c r="AI993" s="34"/>
      <c r="AJ993" s="34"/>
      <c r="AK993" s="34"/>
      <c r="AL993" s="34"/>
      <c r="AM993" s="34"/>
      <c r="AN993" s="34"/>
      <c r="AO993" s="34"/>
      <c r="AP993" s="34"/>
      <c r="AQ993" s="34"/>
      <c r="AR993" s="34"/>
      <c r="AS993" s="34"/>
      <c r="AT993" s="34"/>
      <c r="AU993" s="34"/>
      <c r="AV993" s="34"/>
      <c r="AW993" s="34"/>
      <c r="AX993" s="34"/>
      <c r="AY993" s="34"/>
      <c r="AZ993" s="34"/>
      <c r="BA993" s="34"/>
      <c r="BB993" s="34"/>
      <c r="BC993" s="34"/>
      <c r="BD993" s="34"/>
      <c r="BE993" s="34"/>
      <c r="BF993" s="34"/>
      <c r="BG993" s="34"/>
      <c r="BH993" s="34"/>
      <c r="BI993" s="34"/>
      <c r="BJ993" s="34"/>
      <c r="BK993" s="34"/>
      <c r="BL993" s="34"/>
      <c r="BM993" s="34"/>
      <c r="BN993" s="34"/>
      <c r="BO993" s="34"/>
      <c r="BP993" s="34"/>
      <c r="BQ993" s="34"/>
      <c r="BR993" s="34"/>
      <c r="BS993" s="34"/>
      <c r="BT993" s="34"/>
      <c r="BU993" s="34"/>
      <c r="BV993" s="34"/>
      <c r="BW993" s="34"/>
      <c r="BX993" s="34"/>
      <c r="BY993" s="34"/>
      <c r="BZ993" s="34"/>
      <c r="CA993" s="34"/>
      <c r="CB993" s="34"/>
      <c r="CC993" s="34"/>
      <c r="CD993" s="34"/>
      <c r="CE993" s="34"/>
      <c r="CF993" s="34"/>
      <c r="CG993" s="34"/>
      <c r="CH993" s="34"/>
      <c r="CI993" s="8"/>
    </row>
    <row r="994" spans="1:87" x14ac:dyDescent="0.2">
      <c r="A994" s="8" t="str">
        <f>IF(AND(COUNTIF(W$3:W$13,A$23)&gt;0,A$23&lt;&gt;B800),A$23,IFERROR(IF(MATCH(A$23,Z$3:Z$13,0)=9,A$23," ")," "))</f>
        <v xml:space="preserve"> </v>
      </c>
      <c r="B994" s="8" t="str">
        <f>IF(A994=" "," ",MAX(B986:B993)+1)</f>
        <v xml:space="preserve"> </v>
      </c>
      <c r="C994" s="8" t="str">
        <f>IFERROR(INDEX(A986:A1007,MATCH(SMALL(B986:B1007,9),B986:B1007,0),1)," ")</f>
        <v>C20</v>
      </c>
      <c r="D994" s="8">
        <f t="shared" si="4176"/>
        <v>0</v>
      </c>
      <c r="E994" s="8">
        <f t="shared" si="4177"/>
        <v>0</v>
      </c>
      <c r="F994" s="8">
        <f t="shared" si="4178"/>
        <v>0</v>
      </c>
      <c r="G994" s="8">
        <f t="shared" si="4179"/>
        <v>0</v>
      </c>
      <c r="H994" s="8">
        <f t="shared" si="4180"/>
        <v>0</v>
      </c>
      <c r="I994" s="8">
        <f t="shared" si="4181"/>
        <v>0</v>
      </c>
      <c r="J994" s="8">
        <f t="shared" si="4182"/>
        <v>0</v>
      </c>
      <c r="K994" s="8">
        <f t="shared" si="4183"/>
        <v>0</v>
      </c>
      <c r="L994" s="8">
        <f t="shared" si="4184"/>
        <v>1</v>
      </c>
      <c r="M994" s="8">
        <f t="shared" si="4185"/>
        <v>0</v>
      </c>
      <c r="N994" s="8">
        <f t="shared" si="4186"/>
        <v>0</v>
      </c>
      <c r="O994" s="8">
        <f t="shared" si="4187"/>
        <v>0</v>
      </c>
      <c r="P994" s="6" t="e">
        <v>#NUM!</v>
      </c>
      <c r="Q994" s="8" t="e">
        <f t="shared" ref="Q994" si="4217">IF(COUNTIF(P986:P996,"&lt;"&amp;-0.001)=0,IF(ABS(P994)&lt;0.001,0,P994)," ")</f>
        <v>#NUM!</v>
      </c>
      <c r="R994" s="8"/>
      <c r="S994" s="8"/>
      <c r="U994" s="34"/>
      <c r="V994" s="34"/>
      <c r="W994" s="34"/>
      <c r="X994" s="34"/>
      <c r="Y994" s="34"/>
      <c r="Z994" s="34"/>
      <c r="AA994" s="34"/>
      <c r="AB994" s="34"/>
      <c r="AC994" s="34"/>
      <c r="AD994" s="34"/>
      <c r="AE994" s="34"/>
      <c r="AF994" s="34"/>
      <c r="AG994" s="34"/>
      <c r="AH994" s="34"/>
      <c r="AI994" s="34"/>
      <c r="AJ994" s="34"/>
      <c r="AK994" s="34"/>
      <c r="AL994" s="34"/>
      <c r="AM994" s="34"/>
      <c r="AN994" s="34"/>
      <c r="AO994" s="34"/>
      <c r="AP994" s="34"/>
      <c r="AQ994" s="34"/>
      <c r="AR994" s="34"/>
      <c r="AS994" s="34"/>
      <c r="AT994" s="34"/>
      <c r="AU994" s="34"/>
      <c r="AV994" s="34"/>
      <c r="AW994" s="34"/>
      <c r="AX994" s="34"/>
      <c r="AY994" s="34"/>
      <c r="AZ994" s="34"/>
      <c r="BA994" s="34"/>
      <c r="BB994" s="34"/>
      <c r="BC994" s="34"/>
      <c r="BD994" s="34"/>
      <c r="BE994" s="34"/>
      <c r="BF994" s="34"/>
      <c r="BG994" s="34"/>
      <c r="BH994" s="34"/>
      <c r="BI994" s="34"/>
      <c r="BJ994" s="34"/>
      <c r="BK994" s="34"/>
      <c r="BL994" s="34"/>
      <c r="BM994" s="34"/>
      <c r="BN994" s="34"/>
      <c r="BO994" s="34"/>
      <c r="BP994" s="34"/>
      <c r="BQ994" s="34"/>
      <c r="BR994" s="34"/>
      <c r="BS994" s="34"/>
      <c r="BT994" s="34"/>
      <c r="BU994" s="34"/>
      <c r="BV994" s="34"/>
      <c r="BW994" s="34"/>
      <c r="BX994" s="34"/>
      <c r="BY994" s="34"/>
      <c r="BZ994" s="34"/>
      <c r="CA994" s="34"/>
      <c r="CB994" s="34"/>
      <c r="CC994" s="34"/>
      <c r="CD994" s="34"/>
      <c r="CE994" s="34"/>
      <c r="CF994" s="34"/>
      <c r="CG994" s="34"/>
      <c r="CH994" s="34"/>
      <c r="CI994" s="8"/>
    </row>
    <row r="995" spans="1:87" x14ac:dyDescent="0.2">
      <c r="A995" s="8" t="str">
        <f>IF(AND(COUNTIF(W$3:W$13,A$24)&gt;0,A$24&lt;&gt;B800),A$24,IFERROR(IF(MATCH(A$24,Z$3:Z$13,0)=9,A$24," ")," "))</f>
        <v xml:space="preserve"> </v>
      </c>
      <c r="B995" s="8" t="str">
        <f>IF(A995=" "," ",MAX(B986:B994)+1)</f>
        <v xml:space="preserve"> </v>
      </c>
      <c r="C995" s="8" t="str">
        <f>IFERROR(INDEX(A986:A1007,MATCH(SMALL(B986:B1007,10),B986:B1007,0),1)," ")</f>
        <v>C21</v>
      </c>
      <c r="D995" s="8">
        <f t="shared" si="4176"/>
        <v>0</v>
      </c>
      <c r="E995" s="8">
        <f t="shared" si="4177"/>
        <v>0</v>
      </c>
      <c r="F995" s="8">
        <f t="shared" si="4178"/>
        <v>0</v>
      </c>
      <c r="G995" s="8">
        <f t="shared" si="4179"/>
        <v>0</v>
      </c>
      <c r="H995" s="8">
        <f t="shared" si="4180"/>
        <v>0</v>
      </c>
      <c r="I995" s="8">
        <f t="shared" si="4181"/>
        <v>0</v>
      </c>
      <c r="J995" s="8">
        <f t="shared" si="4182"/>
        <v>0</v>
      </c>
      <c r="K995" s="8">
        <f t="shared" si="4183"/>
        <v>0</v>
      </c>
      <c r="L995" s="8">
        <f t="shared" si="4184"/>
        <v>0</v>
      </c>
      <c r="M995" s="8">
        <f t="shared" si="4185"/>
        <v>1</v>
      </c>
      <c r="N995" s="8">
        <f t="shared" si="4186"/>
        <v>0</v>
      </c>
      <c r="O995" s="8">
        <f t="shared" si="4187"/>
        <v>0</v>
      </c>
      <c r="P995" s="8" t="e">
        <v>#NUM!</v>
      </c>
      <c r="Q995" s="8" t="e">
        <f t="shared" ref="Q995" si="4218">IF(COUNTIF(P986:P996,"&lt;"&amp;-0.001)=0,IF(ABS(P995)&lt;0.001,0,P995)," ")</f>
        <v>#NUM!</v>
      </c>
      <c r="R995" s="8"/>
      <c r="S995" s="8"/>
      <c r="U995" s="34"/>
      <c r="V995" s="34"/>
      <c r="W995" s="34"/>
      <c r="X995" s="34"/>
      <c r="Y995" s="34"/>
      <c r="Z995" s="34"/>
      <c r="AA995" s="34"/>
      <c r="AB995" s="34"/>
      <c r="AC995" s="34"/>
      <c r="AD995" s="34"/>
      <c r="AE995" s="34"/>
      <c r="AF995" s="34"/>
      <c r="AG995" s="34"/>
      <c r="AH995" s="34"/>
      <c r="AI995" s="34"/>
      <c r="AJ995" s="34"/>
      <c r="AK995" s="34"/>
      <c r="AL995" s="34"/>
      <c r="AM995" s="34"/>
      <c r="AN995" s="34"/>
      <c r="AO995" s="34"/>
      <c r="AP995" s="34"/>
      <c r="AQ995" s="34"/>
      <c r="AR995" s="34"/>
      <c r="AS995" s="34"/>
      <c r="AT995" s="34"/>
      <c r="AU995" s="34"/>
      <c r="AV995" s="34"/>
      <c r="AW995" s="34"/>
      <c r="AX995" s="34"/>
      <c r="AY995" s="34"/>
      <c r="AZ995" s="34"/>
      <c r="BA995" s="34"/>
      <c r="BB995" s="34"/>
      <c r="BC995" s="34"/>
      <c r="BD995" s="34"/>
      <c r="BE995" s="34"/>
      <c r="BF995" s="34"/>
      <c r="BG995" s="34"/>
      <c r="BH995" s="34"/>
      <c r="BI995" s="34"/>
      <c r="BJ995" s="34"/>
      <c r="BK995" s="34"/>
      <c r="BL995" s="34"/>
      <c r="BM995" s="34"/>
      <c r="BN995" s="34"/>
      <c r="BO995" s="34"/>
      <c r="BP995" s="34"/>
      <c r="BQ995" s="34"/>
      <c r="BR995" s="34"/>
      <c r="BS995" s="34"/>
      <c r="BT995" s="34"/>
      <c r="BU995" s="34"/>
      <c r="BV995" s="34"/>
      <c r="BW995" s="34"/>
      <c r="BX995" s="34"/>
      <c r="BY995" s="34"/>
      <c r="BZ995" s="34"/>
      <c r="CA995" s="34"/>
      <c r="CB995" s="34"/>
      <c r="CC995" s="34"/>
      <c r="CD995" s="34"/>
      <c r="CE995" s="34"/>
      <c r="CF995" s="34"/>
      <c r="CG995" s="34"/>
      <c r="CH995" s="34"/>
      <c r="CI995" s="8"/>
    </row>
    <row r="996" spans="1:87" x14ac:dyDescent="0.2">
      <c r="A996" s="8" t="str">
        <f>IF(AND(COUNTIF(W$3:W$13,A$25)&gt;0,A$25&lt;&gt;B800),A$25,IFERROR(IF(MATCH(A$25,Z$3:Z$13,0)=9,A$25," ")," "))</f>
        <v>C11</v>
      </c>
      <c r="B996" s="8">
        <f>IF(A996=" "," ",MAX(B986:B995)+1)</f>
        <v>3</v>
      </c>
      <c r="C996" s="8" t="str">
        <f>IFERROR(INDEX(A986:A1007,MATCH(SMALL(B986:B1007,11),B986:B1007,0),1)," ")</f>
        <v>C22</v>
      </c>
      <c r="D996" s="8">
        <f t="shared" si="4176"/>
        <v>0</v>
      </c>
      <c r="E996" s="8">
        <f t="shared" si="4177"/>
        <v>0</v>
      </c>
      <c r="F996" s="8">
        <f t="shared" si="4178"/>
        <v>0</v>
      </c>
      <c r="G996" s="8">
        <f t="shared" si="4179"/>
        <v>0</v>
      </c>
      <c r="H996" s="8">
        <f t="shared" si="4180"/>
        <v>0</v>
      </c>
      <c r="I996" s="8">
        <f t="shared" si="4181"/>
        <v>0</v>
      </c>
      <c r="J996" s="8">
        <f t="shared" si="4182"/>
        <v>0</v>
      </c>
      <c r="K996" s="8">
        <f t="shared" si="4183"/>
        <v>0</v>
      </c>
      <c r="L996" s="8">
        <f t="shared" si="4184"/>
        <v>0</v>
      </c>
      <c r="M996" s="8">
        <f t="shared" si="4185"/>
        <v>0</v>
      </c>
      <c r="N996" s="8">
        <f t="shared" si="4186"/>
        <v>1</v>
      </c>
      <c r="O996" s="8">
        <f t="shared" si="4187"/>
        <v>0</v>
      </c>
      <c r="P996" s="8" t="e">
        <v>#NUM!</v>
      </c>
      <c r="Q996" s="8" t="e">
        <f t="shared" ref="Q996" si="4219">IF(COUNTIF(P986:P996,"&lt;"&amp;-0.001)=0,IF(ABS(P996)&lt;0.001,0,P996)," ")</f>
        <v>#NUM!</v>
      </c>
      <c r="R996" s="8"/>
      <c r="S996" s="8"/>
      <c r="U996" s="34"/>
      <c r="V996" s="34"/>
      <c r="W996" s="34"/>
      <c r="X996" s="34"/>
      <c r="Y996" s="34"/>
      <c r="Z996" s="34"/>
      <c r="AA996" s="34"/>
      <c r="AB996" s="34"/>
      <c r="AC996" s="34"/>
      <c r="AD996" s="34"/>
      <c r="AE996" s="34"/>
      <c r="AF996" s="34"/>
      <c r="AG996" s="34"/>
      <c r="AH996" s="34"/>
      <c r="AI996" s="34"/>
      <c r="AJ996" s="34"/>
      <c r="AK996" s="34"/>
      <c r="AL996" s="34"/>
      <c r="AM996" s="34"/>
      <c r="AN996" s="34"/>
      <c r="AO996" s="34"/>
      <c r="AP996" s="34"/>
      <c r="AQ996" s="34"/>
      <c r="AR996" s="34"/>
      <c r="AS996" s="34"/>
      <c r="AT996" s="34"/>
      <c r="AU996" s="34"/>
      <c r="AV996" s="34"/>
      <c r="AW996" s="34"/>
      <c r="AX996" s="34"/>
      <c r="AY996" s="34"/>
      <c r="AZ996" s="34"/>
      <c r="BA996" s="34"/>
      <c r="BB996" s="34"/>
      <c r="BC996" s="34"/>
      <c r="BD996" s="34"/>
      <c r="BE996" s="34"/>
      <c r="BF996" s="34"/>
      <c r="BG996" s="34"/>
      <c r="BH996" s="34"/>
      <c r="BI996" s="34"/>
      <c r="BJ996" s="34"/>
      <c r="BK996" s="34"/>
      <c r="BL996" s="34"/>
      <c r="BM996" s="34"/>
      <c r="BN996" s="34"/>
      <c r="BO996" s="34"/>
      <c r="BP996" s="34"/>
      <c r="BQ996" s="34"/>
      <c r="BR996" s="34"/>
      <c r="BS996" s="34"/>
      <c r="BT996" s="34"/>
      <c r="BU996" s="34"/>
      <c r="BV996" s="34"/>
      <c r="BW996" s="34"/>
      <c r="BX996" s="34"/>
      <c r="BY996" s="34"/>
      <c r="BZ996" s="34"/>
      <c r="CA996" s="34"/>
      <c r="CB996" s="34"/>
      <c r="CC996" s="34"/>
      <c r="CD996" s="34"/>
      <c r="CE996" s="34"/>
      <c r="CF996" s="34"/>
      <c r="CG996" s="34"/>
      <c r="CH996" s="34"/>
      <c r="CI996" s="8"/>
    </row>
    <row r="997" spans="1:87" x14ac:dyDescent="0.2">
      <c r="A997" s="8" t="str">
        <f>IF(AND(COUNTIF(W$3:W$13,A$26)&gt;0,A$26&lt;&gt;B800),A$26,IFERROR(IF(MATCH(A$26,Z$3:Z$13,0)=9,A$26," ")," "))</f>
        <v xml:space="preserve"> </v>
      </c>
      <c r="B997" s="8" t="str">
        <f>IF(A997=" "," ",MAX(B986:B996)+1)</f>
        <v xml:space="preserve"> </v>
      </c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U997" s="34"/>
      <c r="V997" s="34"/>
      <c r="W997" s="34"/>
      <c r="X997" s="34"/>
      <c r="Y997" s="34"/>
      <c r="Z997" s="34"/>
      <c r="AA997" s="34"/>
      <c r="AB997" s="34"/>
      <c r="AC997" s="34"/>
      <c r="AD997" s="34"/>
      <c r="AE997" s="34"/>
      <c r="AF997" s="34"/>
      <c r="AG997" s="34"/>
      <c r="AH997" s="34"/>
      <c r="AI997" s="34"/>
      <c r="AJ997" s="34"/>
      <c r="AK997" s="34"/>
      <c r="AL997" s="34"/>
      <c r="AM997" s="34"/>
      <c r="AN997" s="34"/>
      <c r="AO997" s="34"/>
      <c r="AP997" s="34"/>
      <c r="AQ997" s="34"/>
      <c r="AR997" s="34"/>
      <c r="AS997" s="34"/>
      <c r="AT997" s="34"/>
      <c r="AU997" s="34"/>
      <c r="AV997" s="34"/>
      <c r="AW997" s="34"/>
      <c r="AX997" s="34"/>
      <c r="AY997" s="34"/>
      <c r="AZ997" s="34"/>
      <c r="BA997" s="34"/>
      <c r="BB997" s="34"/>
      <c r="BC997" s="34"/>
      <c r="BD997" s="34"/>
      <c r="BE997" s="34"/>
      <c r="BF997" s="34"/>
      <c r="BG997" s="34"/>
      <c r="BH997" s="34"/>
      <c r="BI997" s="34"/>
      <c r="BJ997" s="34"/>
      <c r="BK997" s="34"/>
      <c r="BL997" s="34"/>
      <c r="BM997" s="34"/>
      <c r="BN997" s="34"/>
      <c r="BO997" s="34"/>
      <c r="BP997" s="34"/>
      <c r="BQ997" s="34"/>
      <c r="BR997" s="34"/>
      <c r="BS997" s="34"/>
      <c r="BT997" s="34"/>
      <c r="BU997" s="34"/>
      <c r="BV997" s="34"/>
      <c r="BW997" s="34"/>
      <c r="BX997" s="34"/>
      <c r="BY997" s="34"/>
      <c r="BZ997" s="34"/>
      <c r="CA997" s="34"/>
      <c r="CB997" s="34"/>
      <c r="CC997" s="34"/>
      <c r="CD997" s="34"/>
      <c r="CE997" s="34"/>
      <c r="CF997" s="34"/>
      <c r="CG997" s="34"/>
      <c r="CH997" s="34"/>
      <c r="CI997" s="8"/>
    </row>
    <row r="998" spans="1:87" x14ac:dyDescent="0.2">
      <c r="A998" s="8" t="str">
        <f>IF(AND(COUNTIF(W$3:W$13,A$27)&gt;0,A$27&lt;&gt;B800),A$27,IFERROR(IF(MATCH(A$27,Z$3:Z$13,0)=9,A$27," ")," "))</f>
        <v>C13</v>
      </c>
      <c r="B998" s="8">
        <f>IF(A998=" "," ",MAX(B986:B997)+1)</f>
        <v>4</v>
      </c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U998" s="34"/>
      <c r="V998" s="34"/>
      <c r="W998" s="34"/>
      <c r="X998" s="34"/>
      <c r="Y998" s="34"/>
      <c r="Z998" s="34"/>
      <c r="AA998" s="34"/>
      <c r="AB998" s="34"/>
      <c r="AC998" s="34"/>
      <c r="AD998" s="34"/>
      <c r="AE998" s="34"/>
      <c r="AF998" s="34"/>
      <c r="AG998" s="34"/>
      <c r="AH998" s="34"/>
      <c r="AI998" s="34"/>
      <c r="AJ998" s="34"/>
      <c r="AK998" s="34"/>
      <c r="AL998" s="34"/>
      <c r="AM998" s="34"/>
      <c r="AN998" s="34"/>
      <c r="AO998" s="34"/>
      <c r="AP998" s="34"/>
      <c r="AQ998" s="34"/>
      <c r="AR998" s="34"/>
      <c r="AS998" s="34"/>
      <c r="AT998" s="34"/>
      <c r="AU998" s="34"/>
      <c r="AV998" s="34"/>
      <c r="AW998" s="34"/>
      <c r="AX998" s="34"/>
      <c r="AY998" s="34"/>
      <c r="AZ998" s="34"/>
      <c r="BA998" s="34"/>
      <c r="BB998" s="34"/>
      <c r="BC998" s="34"/>
      <c r="BD998" s="34"/>
      <c r="BE998" s="34"/>
      <c r="BF998" s="34"/>
      <c r="BG998" s="34"/>
      <c r="BH998" s="34"/>
      <c r="BI998" s="34"/>
      <c r="BJ998" s="34"/>
      <c r="BK998" s="34"/>
      <c r="BL998" s="34"/>
      <c r="BM998" s="34"/>
      <c r="BN998" s="34"/>
      <c r="BO998" s="34"/>
      <c r="BP998" s="34"/>
      <c r="BQ998" s="34"/>
      <c r="BR998" s="34"/>
      <c r="BS998" s="34"/>
      <c r="BT998" s="34"/>
      <c r="BU998" s="34"/>
      <c r="BV998" s="34"/>
      <c r="BW998" s="34"/>
      <c r="BX998" s="34"/>
      <c r="BY998" s="34"/>
      <c r="BZ998" s="34"/>
      <c r="CA998" s="34"/>
      <c r="CB998" s="34"/>
      <c r="CC998" s="34"/>
      <c r="CD998" s="34"/>
      <c r="CE998" s="34"/>
      <c r="CF998" s="34"/>
      <c r="CG998" s="34"/>
      <c r="CH998" s="34"/>
      <c r="CI998" s="8"/>
    </row>
    <row r="999" spans="1:87" x14ac:dyDescent="0.2">
      <c r="A999" s="8" t="str">
        <f>IF(AND(COUNTIF(W$3:W$13,A$28)&gt;0,A$28&lt;&gt;B800),A$28,IFERROR(IF(MATCH(A$28,Z$3:Z$13,0)=9,A$28," ")," "))</f>
        <v xml:space="preserve"> </v>
      </c>
      <c r="B999" s="8" t="str">
        <f>IF(A999=" "," ",MAX(B986:B998)+1)</f>
        <v xml:space="preserve"> </v>
      </c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U999" s="34"/>
      <c r="V999" s="34"/>
      <c r="W999" s="34"/>
      <c r="X999" s="34"/>
      <c r="Y999" s="34"/>
      <c r="Z999" s="34"/>
      <c r="AA999" s="34"/>
      <c r="AB999" s="34"/>
      <c r="AC999" s="34"/>
      <c r="AD999" s="34"/>
      <c r="AE999" s="34"/>
      <c r="AF999" s="34"/>
      <c r="AG999" s="34"/>
      <c r="AH999" s="34"/>
      <c r="AI999" s="34"/>
      <c r="AJ999" s="34"/>
      <c r="AK999" s="34"/>
      <c r="AL999" s="34"/>
      <c r="AM999" s="34"/>
      <c r="AN999" s="34"/>
      <c r="AO999" s="34"/>
      <c r="AP999" s="34"/>
      <c r="AQ999" s="34"/>
      <c r="AR999" s="34"/>
      <c r="AS999" s="34"/>
      <c r="AT999" s="34"/>
      <c r="AU999" s="34"/>
      <c r="AV999" s="34"/>
      <c r="AW999" s="34"/>
      <c r="AX999" s="34"/>
      <c r="AY999" s="34"/>
      <c r="AZ999" s="34"/>
      <c r="BA999" s="34"/>
      <c r="BB999" s="34"/>
      <c r="BC999" s="34"/>
      <c r="BD999" s="34"/>
      <c r="BE999" s="34"/>
      <c r="BF999" s="34"/>
      <c r="BG999" s="34"/>
      <c r="BH999" s="34"/>
      <c r="BI999" s="34"/>
      <c r="BJ999" s="34"/>
      <c r="BK999" s="34"/>
      <c r="BL999" s="34"/>
      <c r="BM999" s="34"/>
      <c r="BN999" s="34"/>
      <c r="BO999" s="34"/>
      <c r="BP999" s="34"/>
      <c r="BQ999" s="34"/>
      <c r="BR999" s="34"/>
      <c r="BS999" s="34"/>
      <c r="BT999" s="34"/>
      <c r="BU999" s="34"/>
      <c r="BV999" s="34"/>
      <c r="BW999" s="34"/>
      <c r="BX999" s="34"/>
      <c r="BY999" s="34"/>
      <c r="BZ999" s="34"/>
      <c r="CA999" s="34"/>
      <c r="CB999" s="34"/>
      <c r="CC999" s="34"/>
      <c r="CD999" s="34"/>
      <c r="CE999" s="34"/>
      <c r="CF999" s="34"/>
      <c r="CG999" s="34"/>
      <c r="CH999" s="34"/>
      <c r="CI999" s="8"/>
    </row>
    <row r="1000" spans="1:87" x14ac:dyDescent="0.2">
      <c r="A1000" s="8" t="str">
        <f>IF(AND(COUNTIF(W$3:W$13,A$29)&gt;0,A$29&lt;&gt;B800),A$29,IFERROR(IF(MATCH(A$29,Z$3:Z$13,0)=9,A$29," ")," "))</f>
        <v xml:space="preserve"> </v>
      </c>
      <c r="B1000" s="8" t="str">
        <f>IF(A1000=" "," ",MAX(B986:B999)+1)</f>
        <v xml:space="preserve"> </v>
      </c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U1000" s="34"/>
      <c r="V1000" s="34"/>
      <c r="W1000" s="34"/>
      <c r="X1000" s="34"/>
      <c r="Y1000" s="34"/>
      <c r="Z1000" s="34"/>
      <c r="AA1000" s="34"/>
      <c r="AB1000" s="34"/>
      <c r="AC1000" s="34"/>
      <c r="AD1000" s="34"/>
      <c r="AE1000" s="34"/>
      <c r="AF1000" s="34"/>
      <c r="AG1000" s="34"/>
      <c r="AH1000" s="34"/>
      <c r="AI1000" s="34"/>
      <c r="AJ1000" s="34"/>
      <c r="AK1000" s="34"/>
      <c r="AL1000" s="34"/>
      <c r="AM1000" s="34"/>
      <c r="AN1000" s="34"/>
      <c r="AO1000" s="34"/>
      <c r="AP1000" s="34"/>
      <c r="AQ1000" s="34"/>
      <c r="AR1000" s="34"/>
      <c r="AS1000" s="34"/>
      <c r="AT1000" s="34"/>
      <c r="AU1000" s="34"/>
      <c r="AV1000" s="34"/>
      <c r="AW1000" s="34"/>
      <c r="AX1000" s="34"/>
      <c r="AY1000" s="34"/>
      <c r="AZ1000" s="34"/>
      <c r="BA1000" s="34"/>
      <c r="BB1000" s="34"/>
      <c r="BC1000" s="34"/>
      <c r="BD1000" s="34"/>
      <c r="BE1000" s="34"/>
      <c r="BF1000" s="34"/>
      <c r="BG1000" s="34"/>
      <c r="BH1000" s="34"/>
      <c r="BI1000" s="34"/>
      <c r="BJ1000" s="34"/>
      <c r="BK1000" s="34"/>
      <c r="BL1000" s="34"/>
      <c r="BM1000" s="34"/>
      <c r="BN1000" s="34"/>
      <c r="BO1000" s="34"/>
      <c r="BP1000" s="34"/>
      <c r="BQ1000" s="34"/>
      <c r="BR1000" s="34"/>
      <c r="BS1000" s="34"/>
      <c r="BT1000" s="34"/>
      <c r="BU1000" s="34"/>
      <c r="BV1000" s="34"/>
      <c r="BW1000" s="34"/>
      <c r="BX1000" s="34"/>
      <c r="BY1000" s="34"/>
      <c r="BZ1000" s="34"/>
      <c r="CA1000" s="34"/>
      <c r="CB1000" s="34"/>
      <c r="CC1000" s="34"/>
      <c r="CD1000" s="34"/>
      <c r="CE1000" s="34"/>
      <c r="CF1000" s="34"/>
      <c r="CG1000" s="34"/>
      <c r="CH1000" s="34"/>
      <c r="CI1000" s="8"/>
    </row>
    <row r="1001" spans="1:87" x14ac:dyDescent="0.2">
      <c r="A1001" s="8" t="str">
        <f>IF(AND(COUNTIF(W$3:W$13,A$30)&gt;0,A$30&lt;&gt;B800),A$30,IFERROR(IF(MATCH(A$30,Z$3:Z$13,0)=9,A$30," ")," "))</f>
        <v>C16</v>
      </c>
      <c r="B1001" s="8">
        <f>IF(A1001=" "," ",MAX(B986:B1000)+1)</f>
        <v>5</v>
      </c>
      <c r="C1001" s="8"/>
      <c r="D1001" s="8"/>
      <c r="E1001" s="8"/>
      <c r="F1001" s="8"/>
      <c r="G1001" s="8"/>
      <c r="H1001" s="8"/>
      <c r="I1001" s="8"/>
      <c r="J1001" s="8"/>
      <c r="K1001" s="8"/>
      <c r="L1001" s="8"/>
      <c r="M1001" s="8"/>
      <c r="N1001" s="8"/>
      <c r="O1001" s="8"/>
      <c r="P1001" s="8"/>
      <c r="Q1001" s="8"/>
      <c r="R1001" s="8"/>
      <c r="S1001" s="8"/>
      <c r="U1001" s="34"/>
      <c r="V1001" s="34"/>
      <c r="W1001" s="34"/>
      <c r="X1001" s="34"/>
      <c r="Y1001" s="34"/>
      <c r="Z1001" s="34"/>
      <c r="AA1001" s="34"/>
      <c r="AB1001" s="34"/>
      <c r="AC1001" s="34"/>
      <c r="AD1001" s="34"/>
      <c r="AE1001" s="34"/>
      <c r="AF1001" s="34"/>
      <c r="AG1001" s="34"/>
      <c r="AH1001" s="34"/>
      <c r="AI1001" s="34"/>
      <c r="AJ1001" s="34"/>
      <c r="AK1001" s="34"/>
      <c r="AL1001" s="34"/>
      <c r="AM1001" s="34"/>
      <c r="AN1001" s="34"/>
      <c r="AO1001" s="34"/>
      <c r="AP1001" s="34"/>
      <c r="AQ1001" s="34"/>
      <c r="AR1001" s="34"/>
      <c r="AS1001" s="34"/>
      <c r="AT1001" s="34"/>
      <c r="AU1001" s="34"/>
      <c r="AV1001" s="34"/>
      <c r="AW1001" s="34"/>
      <c r="AX1001" s="34"/>
      <c r="AY1001" s="34"/>
      <c r="AZ1001" s="34"/>
      <c r="BA1001" s="34"/>
      <c r="BB1001" s="34"/>
      <c r="BC1001" s="34"/>
      <c r="BD1001" s="34"/>
      <c r="BE1001" s="34"/>
      <c r="BF1001" s="34"/>
      <c r="BG1001" s="34"/>
      <c r="BH1001" s="34"/>
      <c r="BI1001" s="34"/>
      <c r="BJ1001" s="34"/>
      <c r="BK1001" s="34"/>
      <c r="BL1001" s="34"/>
      <c r="BM1001" s="34"/>
      <c r="BN1001" s="34"/>
      <c r="BO1001" s="34"/>
      <c r="BP1001" s="34"/>
      <c r="BQ1001" s="34"/>
      <c r="BR1001" s="34"/>
      <c r="BS1001" s="34"/>
      <c r="BT1001" s="34"/>
      <c r="BU1001" s="34"/>
      <c r="BV1001" s="34"/>
      <c r="BW1001" s="34"/>
      <c r="BX1001" s="34"/>
      <c r="BY1001" s="34"/>
      <c r="BZ1001" s="34"/>
      <c r="CA1001" s="34"/>
      <c r="CB1001" s="34"/>
      <c r="CC1001" s="34"/>
      <c r="CD1001" s="34"/>
      <c r="CE1001" s="34"/>
      <c r="CF1001" s="34"/>
      <c r="CG1001" s="34"/>
      <c r="CH1001" s="34"/>
      <c r="CI1001" s="8"/>
    </row>
    <row r="1002" spans="1:87" x14ac:dyDescent="0.2">
      <c r="A1002" s="8" t="str">
        <f>IF(AND(COUNTIF(W$3:W$13,A$31)&gt;0,A$31&lt;&gt;B800),A$31,IFERROR(IF(MATCH(A$31,Z$3:Z$13,0)=9,A$31," ")," "))</f>
        <v>C17</v>
      </c>
      <c r="B1002" s="8">
        <f>IF(A1002=" "," ",MAX(B986:B1001)+1)</f>
        <v>6</v>
      </c>
      <c r="C1002" s="8"/>
      <c r="D1002" s="8"/>
      <c r="E1002" s="8"/>
      <c r="F1002" s="8"/>
      <c r="G1002" s="8"/>
      <c r="H1002" s="8"/>
      <c r="I1002" s="8"/>
      <c r="J1002" s="8"/>
      <c r="K1002" s="8"/>
      <c r="L1002" s="8"/>
      <c r="M1002" s="8"/>
      <c r="N1002" s="8"/>
      <c r="O1002" s="8"/>
      <c r="P1002" s="8"/>
      <c r="Q1002" s="8"/>
      <c r="R1002" s="8"/>
      <c r="S1002" s="8"/>
      <c r="U1002" s="34"/>
      <c r="V1002" s="34"/>
      <c r="W1002" s="34"/>
      <c r="X1002" s="34"/>
      <c r="Y1002" s="34"/>
      <c r="Z1002" s="34"/>
      <c r="AA1002" s="34"/>
      <c r="AB1002" s="34"/>
      <c r="AC1002" s="34"/>
      <c r="AD1002" s="34"/>
      <c r="AE1002" s="34"/>
      <c r="AF1002" s="34"/>
      <c r="AG1002" s="34"/>
      <c r="AH1002" s="34"/>
      <c r="AI1002" s="34"/>
      <c r="AJ1002" s="34"/>
      <c r="AK1002" s="34"/>
      <c r="AL1002" s="34"/>
      <c r="AM1002" s="34"/>
      <c r="AN1002" s="34"/>
      <c r="AO1002" s="34"/>
      <c r="AP1002" s="34"/>
      <c r="AQ1002" s="34"/>
      <c r="AR1002" s="34"/>
      <c r="AS1002" s="34"/>
      <c r="AT1002" s="34"/>
      <c r="AU1002" s="34"/>
      <c r="AV1002" s="34"/>
      <c r="AW1002" s="34"/>
      <c r="AX1002" s="34"/>
      <c r="AY1002" s="34"/>
      <c r="AZ1002" s="34"/>
      <c r="BA1002" s="34"/>
      <c r="BB1002" s="34"/>
      <c r="BC1002" s="34"/>
      <c r="BD1002" s="34"/>
      <c r="BE1002" s="34"/>
      <c r="BF1002" s="34"/>
      <c r="BG1002" s="34"/>
      <c r="BH1002" s="34"/>
      <c r="BI1002" s="34"/>
      <c r="BJ1002" s="34"/>
      <c r="BK1002" s="34"/>
      <c r="BL1002" s="34"/>
      <c r="BM1002" s="34"/>
      <c r="BN1002" s="34"/>
      <c r="BO1002" s="34"/>
      <c r="BP1002" s="34"/>
      <c r="BQ1002" s="34"/>
      <c r="BR1002" s="34"/>
      <c r="BS1002" s="34"/>
      <c r="BT1002" s="34"/>
      <c r="BU1002" s="34"/>
      <c r="BV1002" s="34"/>
      <c r="BW1002" s="34"/>
      <c r="BX1002" s="34"/>
      <c r="BY1002" s="34"/>
      <c r="BZ1002" s="34"/>
      <c r="CA1002" s="34"/>
      <c r="CB1002" s="34"/>
      <c r="CC1002" s="34"/>
      <c r="CD1002" s="34"/>
      <c r="CE1002" s="34"/>
      <c r="CF1002" s="34"/>
      <c r="CG1002" s="34"/>
      <c r="CH1002" s="34"/>
      <c r="CI1002" s="8"/>
    </row>
    <row r="1003" spans="1:87" x14ac:dyDescent="0.2">
      <c r="A1003" s="8" t="str">
        <f>IF(AND(COUNTIF(W$3:W$13,A$32)&gt;0,A$32&lt;&gt;B800),A$32,IFERROR(IF(MATCH(A$32,Z$3:Z$13,0)=9,A$32," ")," "))</f>
        <v>C18</v>
      </c>
      <c r="B1003" s="8">
        <f>IF(A1003=" "," ",MAX(B986:B1002)+1)</f>
        <v>7</v>
      </c>
      <c r="C1003" s="8"/>
      <c r="D1003" s="8"/>
      <c r="E1003" s="8"/>
      <c r="F1003" s="8"/>
      <c r="G1003" s="8"/>
      <c r="H1003" s="8"/>
      <c r="I1003" s="8"/>
      <c r="J1003" s="8"/>
      <c r="K1003" s="8"/>
      <c r="L1003" s="8"/>
      <c r="M1003" s="8"/>
      <c r="N1003" s="8"/>
      <c r="O1003" s="8"/>
      <c r="P1003" s="8"/>
      <c r="Q1003" s="8"/>
      <c r="R1003" s="8"/>
      <c r="S1003" s="8"/>
      <c r="U1003" s="34"/>
      <c r="V1003" s="34"/>
      <c r="W1003" s="34"/>
      <c r="X1003" s="34"/>
      <c r="Y1003" s="34"/>
      <c r="Z1003" s="34"/>
      <c r="AA1003" s="34"/>
      <c r="AB1003" s="34"/>
      <c r="AC1003" s="34"/>
      <c r="AD1003" s="34"/>
      <c r="AE1003" s="34"/>
      <c r="AF1003" s="34"/>
      <c r="AG1003" s="34"/>
      <c r="AH1003" s="34"/>
      <c r="AI1003" s="34"/>
      <c r="AJ1003" s="34"/>
      <c r="AK1003" s="34"/>
      <c r="AL1003" s="34"/>
      <c r="AM1003" s="34"/>
      <c r="AN1003" s="34"/>
      <c r="AO1003" s="34"/>
      <c r="AP1003" s="34"/>
      <c r="AQ1003" s="34"/>
      <c r="AR1003" s="34"/>
      <c r="AS1003" s="34"/>
      <c r="AT1003" s="34"/>
      <c r="AU1003" s="34"/>
      <c r="AV1003" s="34"/>
      <c r="AW1003" s="34"/>
      <c r="AX1003" s="34"/>
      <c r="AY1003" s="34"/>
      <c r="AZ1003" s="34"/>
      <c r="BA1003" s="34"/>
      <c r="BB1003" s="34"/>
      <c r="BC1003" s="34"/>
      <c r="BD1003" s="34"/>
      <c r="BE1003" s="34"/>
      <c r="BF1003" s="34"/>
      <c r="BG1003" s="34"/>
      <c r="BH1003" s="34"/>
      <c r="BI1003" s="34"/>
      <c r="BJ1003" s="34"/>
      <c r="BK1003" s="34"/>
      <c r="BL1003" s="34"/>
      <c r="BM1003" s="34"/>
      <c r="BN1003" s="34"/>
      <c r="BO1003" s="34"/>
      <c r="BP1003" s="34"/>
      <c r="BQ1003" s="34"/>
      <c r="BR1003" s="34"/>
      <c r="BS1003" s="34"/>
      <c r="BT1003" s="34"/>
      <c r="BU1003" s="34"/>
      <c r="BV1003" s="34"/>
      <c r="BW1003" s="34"/>
      <c r="BX1003" s="34"/>
      <c r="BY1003" s="34"/>
      <c r="BZ1003" s="34"/>
      <c r="CA1003" s="34"/>
      <c r="CB1003" s="34"/>
      <c r="CC1003" s="34"/>
      <c r="CD1003" s="34"/>
      <c r="CE1003" s="34"/>
      <c r="CF1003" s="34"/>
      <c r="CG1003" s="34"/>
      <c r="CH1003" s="34"/>
      <c r="CI1003" s="8"/>
    </row>
    <row r="1004" spans="1:87" x14ac:dyDescent="0.2">
      <c r="A1004" s="8" t="str">
        <f>IF(AND(COUNTIF(W$3:W$13,A$33)&gt;0,A$33&lt;&gt;B800),A$33,IFERROR(IF(MATCH(A$33,Z$3:Z$13,0)=9,A$33," ")," "))</f>
        <v>C19</v>
      </c>
      <c r="B1004" s="8">
        <f>IF(A1004=" "," ",MAX(B986:B1003)+1)</f>
        <v>8</v>
      </c>
      <c r="C1004" s="8"/>
      <c r="D1004" s="8"/>
      <c r="E1004" s="8"/>
      <c r="F1004" s="8"/>
      <c r="G1004" s="8"/>
      <c r="H1004" s="8"/>
      <c r="I1004" s="8"/>
      <c r="J1004" s="8"/>
      <c r="K1004" s="8"/>
      <c r="L1004" s="8"/>
      <c r="M1004" s="8"/>
      <c r="N1004" s="8"/>
      <c r="O1004" s="8"/>
      <c r="P1004" s="8"/>
      <c r="Q1004" s="8"/>
      <c r="R1004" s="8"/>
      <c r="S1004" s="8"/>
      <c r="U1004" s="34"/>
      <c r="V1004" s="34"/>
      <c r="W1004" s="34"/>
      <c r="X1004" s="34"/>
      <c r="Y1004" s="34"/>
      <c r="Z1004" s="34"/>
      <c r="AA1004" s="34"/>
      <c r="AB1004" s="34"/>
      <c r="AC1004" s="34"/>
      <c r="AD1004" s="34"/>
      <c r="AE1004" s="34"/>
      <c r="AF1004" s="34"/>
      <c r="AG1004" s="34"/>
      <c r="AH1004" s="34"/>
      <c r="AI1004" s="34"/>
      <c r="AJ1004" s="34"/>
      <c r="AK1004" s="34"/>
      <c r="AL1004" s="34"/>
      <c r="AM1004" s="34"/>
      <c r="AN1004" s="34"/>
      <c r="AO1004" s="34"/>
      <c r="AP1004" s="34"/>
      <c r="AQ1004" s="34"/>
      <c r="AR1004" s="34"/>
      <c r="AS1004" s="34"/>
      <c r="AT1004" s="34"/>
      <c r="AU1004" s="34"/>
      <c r="AV1004" s="34"/>
      <c r="AW1004" s="34"/>
      <c r="AX1004" s="34"/>
      <c r="AY1004" s="34"/>
      <c r="AZ1004" s="34"/>
      <c r="BA1004" s="34"/>
      <c r="BB1004" s="34"/>
      <c r="BC1004" s="34"/>
      <c r="BD1004" s="34"/>
      <c r="BE1004" s="34"/>
      <c r="BF1004" s="34"/>
      <c r="BG1004" s="34"/>
      <c r="BH1004" s="34"/>
      <c r="BI1004" s="34"/>
      <c r="BJ1004" s="34"/>
      <c r="BK1004" s="34"/>
      <c r="BL1004" s="34"/>
      <c r="BM1004" s="34"/>
      <c r="BN1004" s="34"/>
      <c r="BO1004" s="34"/>
      <c r="BP1004" s="34"/>
      <c r="BQ1004" s="34"/>
      <c r="BR1004" s="34"/>
      <c r="BS1004" s="34"/>
      <c r="BT1004" s="34"/>
      <c r="BU1004" s="34"/>
      <c r="BV1004" s="34"/>
      <c r="BW1004" s="34"/>
      <c r="BX1004" s="34"/>
      <c r="BY1004" s="34"/>
      <c r="BZ1004" s="34"/>
      <c r="CA1004" s="34"/>
      <c r="CB1004" s="34"/>
      <c r="CC1004" s="34"/>
      <c r="CD1004" s="34"/>
      <c r="CE1004" s="34"/>
      <c r="CF1004" s="34"/>
      <c r="CG1004" s="34"/>
      <c r="CH1004" s="34"/>
      <c r="CI1004" s="8"/>
    </row>
    <row r="1005" spans="1:87" x14ac:dyDescent="0.2">
      <c r="A1005" s="8" t="str">
        <f>IF(AND(COUNTIF(W$3:W$13,A$34)&gt;0,A$34&lt;&gt;B800),A$34,IFERROR(IF(MATCH(A$34,Z$3:Z$13,0)=9,A$34," ")," "))</f>
        <v>C20</v>
      </c>
      <c r="B1005" s="8">
        <f>IF(A1005=" "," ",MAX(B986:B1004)+1)</f>
        <v>9</v>
      </c>
      <c r="C1005" s="8"/>
      <c r="D1005" s="8"/>
      <c r="E1005" s="8"/>
      <c r="F1005" s="8"/>
      <c r="G1005" s="8"/>
      <c r="H1005" s="8"/>
      <c r="I1005" s="8"/>
      <c r="J1005" s="8"/>
      <c r="K1005" s="8"/>
      <c r="L1005" s="8"/>
      <c r="M1005" s="8"/>
      <c r="N1005" s="8"/>
      <c r="O1005" s="8"/>
      <c r="P1005" s="8"/>
      <c r="Q1005" s="8"/>
      <c r="R1005" s="8"/>
      <c r="S1005" s="8"/>
      <c r="U1005" s="34"/>
      <c r="V1005" s="34"/>
      <c r="W1005" s="34"/>
      <c r="X1005" s="34"/>
      <c r="Y1005" s="34"/>
      <c r="Z1005" s="34"/>
      <c r="AA1005" s="34"/>
      <c r="AB1005" s="34"/>
      <c r="AC1005" s="34"/>
      <c r="AD1005" s="34"/>
      <c r="AE1005" s="34"/>
      <c r="AF1005" s="34"/>
      <c r="AG1005" s="34"/>
      <c r="AH1005" s="34"/>
      <c r="AI1005" s="34"/>
      <c r="AJ1005" s="34"/>
      <c r="AK1005" s="34"/>
      <c r="AL1005" s="34"/>
      <c r="AM1005" s="34"/>
      <c r="AN1005" s="34"/>
      <c r="AO1005" s="34"/>
      <c r="AP1005" s="34"/>
      <c r="AQ1005" s="34"/>
      <c r="AR1005" s="34"/>
      <c r="AS1005" s="34"/>
      <c r="AT1005" s="34"/>
      <c r="AU1005" s="34"/>
      <c r="AV1005" s="34"/>
      <c r="AW1005" s="34"/>
      <c r="AX1005" s="34"/>
      <c r="AY1005" s="34"/>
      <c r="AZ1005" s="34"/>
      <c r="BA1005" s="34"/>
      <c r="BB1005" s="34"/>
      <c r="BC1005" s="34"/>
      <c r="BD1005" s="34"/>
      <c r="BE1005" s="34"/>
      <c r="BF1005" s="34"/>
      <c r="BG1005" s="34"/>
      <c r="BH1005" s="34"/>
      <c r="BI1005" s="34"/>
      <c r="BJ1005" s="34"/>
      <c r="BK1005" s="34"/>
      <c r="BL1005" s="34"/>
      <c r="BM1005" s="34"/>
      <c r="BN1005" s="34"/>
      <c r="BO1005" s="34"/>
      <c r="BP1005" s="34"/>
      <c r="BQ1005" s="34"/>
      <c r="BR1005" s="34"/>
      <c r="BS1005" s="34"/>
      <c r="BT1005" s="34"/>
      <c r="BU1005" s="34"/>
      <c r="BV1005" s="34"/>
      <c r="BW1005" s="34"/>
      <c r="BX1005" s="34"/>
      <c r="BY1005" s="34"/>
      <c r="BZ1005" s="34"/>
      <c r="CA1005" s="34"/>
      <c r="CB1005" s="34"/>
      <c r="CC1005" s="34"/>
      <c r="CD1005" s="34"/>
      <c r="CE1005" s="34"/>
      <c r="CF1005" s="34"/>
      <c r="CG1005" s="34"/>
      <c r="CH1005" s="34"/>
      <c r="CI1005" s="8"/>
    </row>
    <row r="1006" spans="1:87" x14ac:dyDescent="0.2">
      <c r="A1006" s="8" t="str">
        <f>IF(AND(COUNTIF(W$3:W$13,A$35)&gt;0,A$35&lt;&gt;B800),A$35,IFERROR(IF(MATCH(A$35,Z$3:Z$13,0)=9,A$35," ")," "))</f>
        <v>C21</v>
      </c>
      <c r="B1006" s="8">
        <f>IF(A1006=" "," ",MAX(B986:B1005)+1)</f>
        <v>10</v>
      </c>
      <c r="C1006" s="8"/>
      <c r="D1006" s="8"/>
      <c r="E1006" s="8"/>
      <c r="F1006" s="8"/>
      <c r="G1006" s="8"/>
      <c r="H1006" s="8"/>
      <c r="I1006" s="8"/>
      <c r="J1006" s="8"/>
      <c r="K1006" s="8"/>
      <c r="L1006" s="8"/>
      <c r="M1006" s="8"/>
      <c r="N1006" s="8"/>
      <c r="O1006" s="8"/>
      <c r="P1006" s="8"/>
      <c r="Q1006" s="8"/>
      <c r="R1006" s="8"/>
      <c r="S1006" s="8"/>
      <c r="U1006" s="34"/>
      <c r="V1006" s="34"/>
      <c r="W1006" s="34"/>
      <c r="X1006" s="34"/>
      <c r="Y1006" s="34"/>
      <c r="Z1006" s="34"/>
      <c r="AA1006" s="34"/>
      <c r="AB1006" s="34"/>
      <c r="AC1006" s="34"/>
      <c r="AD1006" s="34"/>
      <c r="AE1006" s="34"/>
      <c r="AF1006" s="34"/>
      <c r="AG1006" s="34"/>
      <c r="AH1006" s="34"/>
      <c r="AI1006" s="34"/>
      <c r="AJ1006" s="34"/>
      <c r="AK1006" s="34"/>
      <c r="AL1006" s="34"/>
      <c r="AM1006" s="34"/>
      <c r="AN1006" s="34"/>
      <c r="AO1006" s="34"/>
      <c r="AP1006" s="34"/>
      <c r="AQ1006" s="34"/>
      <c r="AR1006" s="34"/>
      <c r="AS1006" s="34"/>
      <c r="AT1006" s="34"/>
      <c r="AU1006" s="34"/>
      <c r="AV1006" s="34"/>
      <c r="AW1006" s="34"/>
      <c r="AX1006" s="34"/>
      <c r="AY1006" s="34"/>
      <c r="AZ1006" s="34"/>
      <c r="BA1006" s="34"/>
      <c r="BB1006" s="34"/>
      <c r="BC1006" s="34"/>
      <c r="BD1006" s="34"/>
      <c r="BE1006" s="34"/>
      <c r="BF1006" s="34"/>
      <c r="BG1006" s="34"/>
      <c r="BH1006" s="34"/>
      <c r="BI1006" s="34"/>
      <c r="BJ1006" s="34"/>
      <c r="BK1006" s="34"/>
      <c r="BL1006" s="34"/>
      <c r="BM1006" s="34"/>
      <c r="BN1006" s="34"/>
      <c r="BO1006" s="34"/>
      <c r="BP1006" s="34"/>
      <c r="BQ1006" s="34"/>
      <c r="BR1006" s="34"/>
      <c r="BS1006" s="34"/>
      <c r="BT1006" s="34"/>
      <c r="BU1006" s="34"/>
      <c r="BV1006" s="34"/>
      <c r="BW1006" s="34"/>
      <c r="BX1006" s="34"/>
      <c r="BY1006" s="34"/>
      <c r="BZ1006" s="34"/>
      <c r="CA1006" s="34"/>
      <c r="CB1006" s="34"/>
      <c r="CC1006" s="34"/>
      <c r="CD1006" s="34"/>
      <c r="CE1006" s="34"/>
      <c r="CF1006" s="34"/>
      <c r="CG1006" s="34"/>
      <c r="CH1006" s="34"/>
      <c r="CI1006" s="8"/>
    </row>
    <row r="1007" spans="1:87" x14ac:dyDescent="0.2">
      <c r="A1007" s="8" t="str">
        <f>IF(AND(COUNTIF(W$3:W$13,A$36)&gt;0,A$36&lt;&gt;B800),A$36,IFERROR(IF(MATCH(A$36,Z$3:Z$13,0)=9,A$36," ")," "))</f>
        <v>C22</v>
      </c>
      <c r="B1007" s="8">
        <f>IF(A1007=" "," ",MAX(B986:B1006)+1)</f>
        <v>11</v>
      </c>
      <c r="C1007" s="8"/>
      <c r="D1007" s="8"/>
      <c r="E1007" s="8"/>
      <c r="F1007" s="8"/>
      <c r="G1007" s="8"/>
      <c r="H1007" s="8"/>
      <c r="I1007" s="8"/>
      <c r="J1007" s="8"/>
      <c r="K1007" s="8"/>
      <c r="L1007" s="8"/>
      <c r="M1007" s="8"/>
      <c r="N1007" s="8"/>
      <c r="O1007" s="8"/>
      <c r="P1007" s="8"/>
      <c r="Q1007" s="8"/>
      <c r="R1007" s="8"/>
      <c r="S1007" s="8"/>
      <c r="U1007" s="34"/>
      <c r="V1007" s="34"/>
      <c r="W1007" s="34"/>
      <c r="X1007" s="34"/>
      <c r="Y1007" s="34"/>
      <c r="Z1007" s="34"/>
      <c r="AA1007" s="34"/>
      <c r="AB1007" s="34"/>
      <c r="AC1007" s="34"/>
      <c r="AD1007" s="34"/>
      <c r="AE1007" s="34"/>
      <c r="AF1007" s="34"/>
      <c r="AG1007" s="34"/>
      <c r="AH1007" s="34"/>
      <c r="AI1007" s="34"/>
      <c r="AJ1007" s="34"/>
      <c r="AK1007" s="34"/>
      <c r="AL1007" s="34"/>
      <c r="AM1007" s="34"/>
      <c r="AN1007" s="34"/>
      <c r="AO1007" s="34"/>
      <c r="AP1007" s="34"/>
      <c r="AQ1007" s="34"/>
      <c r="AR1007" s="34"/>
      <c r="AS1007" s="34"/>
      <c r="AT1007" s="34"/>
      <c r="AU1007" s="34"/>
      <c r="AV1007" s="34"/>
      <c r="AW1007" s="34"/>
      <c r="AX1007" s="34"/>
      <c r="AY1007" s="34"/>
      <c r="AZ1007" s="34"/>
      <c r="BA1007" s="34"/>
      <c r="BB1007" s="34"/>
      <c r="BC1007" s="34"/>
      <c r="BD1007" s="34"/>
      <c r="BE1007" s="34"/>
      <c r="BF1007" s="34"/>
      <c r="BG1007" s="34"/>
      <c r="BH1007" s="34"/>
      <c r="BI1007" s="34"/>
      <c r="BJ1007" s="34"/>
      <c r="BK1007" s="34"/>
      <c r="BL1007" s="34"/>
      <c r="BM1007" s="34"/>
      <c r="BN1007" s="34"/>
      <c r="BO1007" s="34"/>
      <c r="BP1007" s="34"/>
      <c r="BQ1007" s="34"/>
      <c r="BR1007" s="34"/>
      <c r="BS1007" s="34"/>
      <c r="BT1007" s="34"/>
      <c r="BU1007" s="34"/>
      <c r="BV1007" s="34"/>
      <c r="BW1007" s="34"/>
      <c r="BX1007" s="34"/>
      <c r="BY1007" s="34"/>
      <c r="BZ1007" s="34"/>
      <c r="CA1007" s="34"/>
      <c r="CB1007" s="34"/>
      <c r="CC1007" s="34"/>
      <c r="CD1007" s="34"/>
      <c r="CE1007" s="34"/>
      <c r="CF1007" s="34"/>
      <c r="CG1007" s="34"/>
      <c r="CH1007" s="34"/>
      <c r="CI1007" s="8"/>
    </row>
    <row r="1008" spans="1:87" x14ac:dyDescent="0.2">
      <c r="A1008" s="11" t="s">
        <v>17</v>
      </c>
      <c r="B1008" s="11"/>
      <c r="C1008" s="27" t="s">
        <v>18</v>
      </c>
      <c r="D1008" s="27" t="s">
        <v>2</v>
      </c>
      <c r="E1008" s="27" t="s">
        <v>6</v>
      </c>
      <c r="F1008" s="27" t="s">
        <v>15</v>
      </c>
      <c r="G1008" s="27" t="s">
        <v>36</v>
      </c>
      <c r="H1008" s="27" t="s">
        <v>37</v>
      </c>
      <c r="I1008" s="27" t="s">
        <v>38</v>
      </c>
      <c r="J1008" s="27" t="s">
        <v>39</v>
      </c>
      <c r="K1008" s="27" t="s">
        <v>40</v>
      </c>
      <c r="L1008" s="27" t="s">
        <v>41</v>
      </c>
      <c r="M1008" s="27" t="s">
        <v>42</v>
      </c>
      <c r="N1008" s="27" t="s">
        <v>43</v>
      </c>
      <c r="O1008" s="27" t="s">
        <v>9</v>
      </c>
      <c r="P1008" s="27" t="s">
        <v>12</v>
      </c>
      <c r="Q1008" s="27" t="s">
        <v>19</v>
      </c>
      <c r="R1008" s="27" t="s">
        <v>55</v>
      </c>
      <c r="S1008" s="27" t="s">
        <v>26</v>
      </c>
      <c r="T1008" s="19" t="s">
        <v>25</v>
      </c>
      <c r="U1008" s="33" t="s">
        <v>27</v>
      </c>
      <c r="V1008" s="33" t="s">
        <v>9</v>
      </c>
      <c r="W1008" s="33" t="s">
        <v>23</v>
      </c>
      <c r="X1008" s="33" t="s">
        <v>12</v>
      </c>
      <c r="Y1008" s="33" t="s">
        <v>26</v>
      </c>
      <c r="Z1008" s="33" t="s">
        <v>25</v>
      </c>
      <c r="AA1008" s="33" t="s">
        <v>27</v>
      </c>
      <c r="AB1008" s="33" t="s">
        <v>9</v>
      </c>
      <c r="AC1008" s="33" t="s">
        <v>23</v>
      </c>
      <c r="AD1008" s="33" t="s">
        <v>12</v>
      </c>
      <c r="AE1008" s="33" t="s">
        <v>26</v>
      </c>
      <c r="AF1008" s="33" t="s">
        <v>25</v>
      </c>
      <c r="AG1008" s="33" t="s">
        <v>27</v>
      </c>
      <c r="AH1008" s="33" t="s">
        <v>9</v>
      </c>
      <c r="AI1008" s="33" t="s">
        <v>23</v>
      </c>
      <c r="AJ1008" s="33" t="s">
        <v>12</v>
      </c>
      <c r="AK1008" s="33" t="s">
        <v>26</v>
      </c>
      <c r="AL1008" s="33" t="s">
        <v>25</v>
      </c>
      <c r="AM1008" s="33" t="s">
        <v>27</v>
      </c>
      <c r="AN1008" s="33" t="s">
        <v>9</v>
      </c>
      <c r="AO1008" s="33" t="s">
        <v>23</v>
      </c>
      <c r="AP1008" s="33" t="s">
        <v>12</v>
      </c>
      <c r="AQ1008" s="33" t="s">
        <v>26</v>
      </c>
      <c r="AR1008" s="33" t="s">
        <v>25</v>
      </c>
      <c r="AS1008" s="33" t="s">
        <v>27</v>
      </c>
      <c r="AT1008" s="33" t="s">
        <v>9</v>
      </c>
      <c r="AU1008" s="33" t="s">
        <v>23</v>
      </c>
      <c r="AV1008" s="33" t="s">
        <v>12</v>
      </c>
      <c r="AW1008" s="33" t="s">
        <v>26</v>
      </c>
      <c r="AX1008" s="33" t="s">
        <v>25</v>
      </c>
      <c r="AY1008" s="33" t="s">
        <v>27</v>
      </c>
      <c r="AZ1008" s="33" t="s">
        <v>9</v>
      </c>
      <c r="BA1008" s="33" t="s">
        <v>23</v>
      </c>
      <c r="BB1008" s="33" t="s">
        <v>12</v>
      </c>
      <c r="BC1008" s="33" t="s">
        <v>26</v>
      </c>
      <c r="BD1008" s="33" t="s">
        <v>25</v>
      </c>
      <c r="BE1008" s="33" t="s">
        <v>27</v>
      </c>
      <c r="BF1008" s="33" t="s">
        <v>9</v>
      </c>
      <c r="BG1008" s="33" t="s">
        <v>23</v>
      </c>
      <c r="BH1008" s="33" t="s">
        <v>12</v>
      </c>
      <c r="BI1008" s="33" t="s">
        <v>26</v>
      </c>
      <c r="BJ1008" s="33" t="s">
        <v>25</v>
      </c>
      <c r="BK1008" s="33" t="s">
        <v>27</v>
      </c>
      <c r="BL1008" s="33" t="s">
        <v>9</v>
      </c>
      <c r="BM1008" s="33" t="s">
        <v>23</v>
      </c>
      <c r="BN1008" s="33" t="s">
        <v>12</v>
      </c>
      <c r="BO1008" s="33" t="s">
        <v>26</v>
      </c>
      <c r="BP1008" s="33" t="s">
        <v>25</v>
      </c>
      <c r="BQ1008" s="33" t="s">
        <v>27</v>
      </c>
      <c r="BR1008" s="33" t="s">
        <v>9</v>
      </c>
      <c r="BS1008" s="33" t="s">
        <v>23</v>
      </c>
      <c r="BT1008" s="33" t="s">
        <v>12</v>
      </c>
      <c r="BU1008" s="33" t="s">
        <v>26</v>
      </c>
      <c r="BV1008" s="33" t="s">
        <v>25</v>
      </c>
      <c r="BW1008" s="33" t="s">
        <v>27</v>
      </c>
      <c r="BX1008" s="33" t="s">
        <v>9</v>
      </c>
      <c r="BY1008" s="33" t="s">
        <v>23</v>
      </c>
      <c r="BZ1008" s="33" t="s">
        <v>12</v>
      </c>
      <c r="CA1008" s="33" t="s">
        <v>26</v>
      </c>
      <c r="CB1008" s="33" t="s">
        <v>25</v>
      </c>
      <c r="CC1008" s="33" t="s">
        <v>27</v>
      </c>
      <c r="CD1008" s="33" t="s">
        <v>9</v>
      </c>
      <c r="CE1008" s="33" t="s">
        <v>23</v>
      </c>
      <c r="CF1008" s="33" t="s">
        <v>12</v>
      </c>
      <c r="CG1008" s="33" t="s">
        <v>26</v>
      </c>
      <c r="CH1008" s="33" t="s">
        <v>25</v>
      </c>
      <c r="CI1008" s="8"/>
    </row>
    <row r="1009" spans="1:87" x14ac:dyDescent="0.2">
      <c r="A1009" s="8" t="str">
        <f>IF(AND(COUNTIF(W$3:W$13,A$15)&gt;0,A$15&lt;&gt;B800),A$15,IFERROR(IF(MATCH(A$15,Z$3:Z$13,0)=10,A$15," ")," "))</f>
        <v xml:space="preserve"> </v>
      </c>
      <c r="B1009" s="8" t="str">
        <f>IF(A1009=" "," ",1)</f>
        <v xml:space="preserve"> </v>
      </c>
      <c r="C1009" s="8" t="str">
        <f>IFERROR(INDEX(A1009:A1030,MATCH(SMALL(B1009:B1030,1),B1009:B1030,0),1)," ")</f>
        <v>C3</v>
      </c>
      <c r="D1009" s="8">
        <f>IFERROR(VLOOKUP($C1009,$A$15:$O$36,2,FALSE)," ")</f>
        <v>2</v>
      </c>
      <c r="E1009" s="8">
        <f>IFERROR(VLOOKUP($C1009,$A$15:$O$36,3,FALSE)," ")</f>
        <v>5</v>
      </c>
      <c r="F1009" s="8">
        <f>IFERROR(VLOOKUP($C1009,$A$15:$O$36,4,FALSE)," ")</f>
        <v>6</v>
      </c>
      <c r="G1009" s="8">
        <f>IFERROR(VLOOKUP($C1009,$A$15:$O$36,5,FALSE)," ")</f>
        <v>0</v>
      </c>
      <c r="H1009" s="8">
        <f>IFERROR(VLOOKUP($C1009,$A$15:$O$36,6,FALSE)," ")</f>
        <v>0</v>
      </c>
      <c r="I1009" s="8">
        <f>IFERROR(VLOOKUP($C1009,$A$15:$O$36,7,FALSE)," ")</f>
        <v>0</v>
      </c>
      <c r="J1009" s="8">
        <f>IFERROR(VLOOKUP($C1009,$A$15:$O$36,8,FALSE)," ")</f>
        <v>0</v>
      </c>
      <c r="K1009" s="8">
        <f>IFERROR(VLOOKUP($C1009,$A$15:$O$36,9,FALSE)," ")</f>
        <v>0</v>
      </c>
      <c r="L1009" s="8">
        <f>IFERROR(VLOOKUP($C1009,$A$15:$O$36,10,FALSE)," ")</f>
        <v>0</v>
      </c>
      <c r="M1009" s="8">
        <f>IFERROR(VLOOKUP($C1009,$A$15:$O$36,11,FALSE)," ")</f>
        <v>0</v>
      </c>
      <c r="N1009" s="8">
        <f>IFERROR(VLOOKUP($C1009,$A$15:$O$36,12,FALSE)," ")</f>
        <v>0</v>
      </c>
      <c r="O1009" s="8">
        <f>IFERROR(VLOOKUP($C1009,$A$15:$O$36,15,FALSE)," ")</f>
        <v>2000</v>
      </c>
      <c r="P1009" s="8" t="e">
        <f t="array" ref="P1009:P1019">MMULT(MINVERSE(D1009:N1019),O1009:O1019)</f>
        <v>#NUM!</v>
      </c>
      <c r="Q1009" s="8" t="e">
        <f t="shared" ref="Q1009" si="4220">IF(COUNTIF(P1009:P1019,"&lt;"&amp;-0.001)=0,IF(ABS(P1009)&lt;0.001,0,P1009)," ")</f>
        <v>#NUM!</v>
      </c>
      <c r="R1009" s="8" t="str">
        <f>IFERROR(VLOOKUP(B800,A$15:L$36,2,FALSE)*Q1009+VLOOKUP(B800,A$15:L$36,3,FALSE)*Q1010+VLOOKUP(B800,A$15:L$36,4,FALSE)*Q1011+VLOOKUP(B800,A$15:L$36,5,FALSE)*Q1012+VLOOKUP(B800,A$15:L$36,6,FALSE)*Q1013+VLOOKUP(B800,A$15:L$36,7,FALSE)*Q1014+VLOOKUP(B800,A$15:L$36,8,FALSE)*Q1015+VLOOKUP(B800,A$15:L$36,9,FALSE)*Q1016+VLOOKUP(B800,A$15:L$36,10,FALSE)*Q1017+VLOOKUP(B800,A$15:L$36,11,FALSE)*Q1018+VLOOKUP(B800,A$15:L$36,12,FALSE)*Q1019," ")</f>
        <v xml:space="preserve"> </v>
      </c>
      <c r="S1009" s="8" t="str">
        <f>IFERROR(IF(R1009-VLOOKUP(B800,A$15:O$36,15,FALSE)&lt;0,R1009-VLOOKUP(B800,A$15:O$36,15,FALSE)," ")," ")</f>
        <v xml:space="preserve"> </v>
      </c>
      <c r="T1009" s="18" t="str">
        <f>IFERROR(IF(R1009-VLOOKUP(B800,A$15:O$36,15,FALSE)&gt;0,R1009-VLOOKUP(B800,A$15:O$36,15,FALSE)," ")," ")</f>
        <v xml:space="preserve"> </v>
      </c>
      <c r="U1009" s="34">
        <f t="shared" ref="U1009" si="4221">$M$2</f>
        <v>100.00000000000001</v>
      </c>
      <c r="V1009" s="34">
        <v>-1</v>
      </c>
      <c r="W1009" s="34">
        <f t="shared" ref="W1009" si="4222">-SUMPRODUCT($M$3:$M$12,$N$3:$N$12)</f>
        <v>-105000</v>
      </c>
      <c r="X1009" s="34" t="e">
        <f t="shared" ref="X1009" si="4223">IF(U1009&lt;&gt;U1010,MMULT(MINVERSE(U1009:V1010),W1009:W1010)," ")</f>
        <v>#NUM!</v>
      </c>
      <c r="Y1009" s="34" t="str">
        <f t="shared" ref="Y1009" si="4224">IFERROR(IF(X1009-VLOOKUP(U$38,$A$2:$N$12,14,FALSE)&lt;0,X1009-VLOOKUP(U$38,$A$2:$N$12,14,FALSE)," ")," ")</f>
        <v xml:space="preserve"> </v>
      </c>
      <c r="Z1009" s="34" t="str">
        <f t="shared" ref="Z1009" si="4225">IFERROR(IF(X1009-VLOOKUP(U$38,$A$2:$N$12,14,FALSE)&gt;0,X1009-VLOOKUP(U$38,$A$2:$N$12,14,FALSE)," ")," ")</f>
        <v xml:space="preserve"> </v>
      </c>
      <c r="AA1009" s="34">
        <f t="shared" ref="AA1009" si="4226">$M$3</f>
        <v>0</v>
      </c>
      <c r="AB1009" s="34">
        <v>-1</v>
      </c>
      <c r="AC1009" s="34">
        <f t="shared" ref="AC1009" si="4227">-SUMPRODUCT($M$2:$M$2,$N$2:$N$2)-SUMPRODUCT($M$4:$M$12,$N$4:$N$12)</f>
        <v>-120000</v>
      </c>
      <c r="AD1009" s="34" t="e">
        <f t="shared" ref="AD1009" si="4228">IF(AA1009&lt;&gt;AA1010,MMULT(MINVERSE(AA1009:AB1010),AC1009:AC1010)," ")</f>
        <v>#NUM!</v>
      </c>
      <c r="AE1009" s="34" t="str">
        <f t="shared" ref="AE1009" si="4229">IFERROR(IF(AD1009-VLOOKUP(AA$38,$A$2:$N$12,14,FALSE)&lt;0,AD1009-VLOOKUP(AA$38,$A$2:$N$12,14,FALSE)," ")," ")</f>
        <v xml:space="preserve"> </v>
      </c>
      <c r="AF1009" s="34" t="str">
        <f t="shared" ref="AF1009" si="4230">IFERROR(IF(AD1009-VLOOKUP(AA$38,$A$2:$N$12,14,FALSE)&gt;0,AD1009-VLOOKUP(AA$38,$A$2:$N$12,14,FALSE)," ")," ")</f>
        <v xml:space="preserve"> </v>
      </c>
      <c r="AG1009" s="34">
        <f t="shared" ref="AG1009" si="4231">$M$4</f>
        <v>300</v>
      </c>
      <c r="AH1009" s="34">
        <v>-1</v>
      </c>
      <c r="AI1009" s="34">
        <f t="shared" ref="AI1009" si="4232">-SUMPRODUCT($M$2:$M$3,$N$2:$N$3)-SUMPRODUCT($M$5:$M$12,$N$5:$N$12)</f>
        <v>-15000.000000000002</v>
      </c>
      <c r="AJ1009" s="34" t="e">
        <f t="shared" ref="AJ1009" si="4233">IF(AG1009&lt;&gt;AG1010,MMULT(MINVERSE(AG1009:AH1010),AI1009:AI1010)," ")</f>
        <v>#NUM!</v>
      </c>
      <c r="AK1009" s="34" t="str">
        <f t="shared" ref="AK1009" si="4234">IFERROR(IF(AJ1009-VLOOKUP(AG$38,$A$2:$N$12,14,FALSE)&lt;0,AJ1009-VLOOKUP(AG$38,$A$2:$N$12,14,FALSE)," ")," ")</f>
        <v xml:space="preserve"> </v>
      </c>
      <c r="AL1009" s="34" t="str">
        <f t="shared" ref="AL1009" si="4235">IFERROR(IF(AJ1009-VLOOKUP(AG$38,$A$2:$N$12,14,FALSE)&gt;0,AJ1009-VLOOKUP(AG$38,$A$2:$N$12,14,FALSE)," ")," ")</f>
        <v xml:space="preserve"> </v>
      </c>
      <c r="AM1009" s="34">
        <f t="shared" ref="AM1009" si="4236">$M$5</f>
        <v>0</v>
      </c>
      <c r="AN1009" s="34">
        <v>-1</v>
      </c>
      <c r="AO1009" s="34">
        <f t="shared" ref="AO1009" si="4237">-SUMPRODUCT($M$2:$M$4,$N$2:$N$4)-SUMPRODUCT($M$6:$M$12,$N$6:$N$12)</f>
        <v>-120000</v>
      </c>
      <c r="AP1009" s="34" t="e">
        <f t="shared" ref="AP1009" si="4238">IF(AM1009&lt;&gt;AM1010,MMULT(MINVERSE(AM1009:AN1010),AO1009:AO1010)," ")</f>
        <v>#NUM!</v>
      </c>
      <c r="AQ1009" s="34" t="str">
        <f t="shared" ref="AQ1009" si="4239">IFERROR(IF(AP1009-VLOOKUP(AM$38,$A$2:$N$12,14,FALSE)&lt;0,AP1009-VLOOKUP(AM$38,$A$2:$N$12,14,FALSE)," ")," ")</f>
        <v xml:space="preserve"> </v>
      </c>
      <c r="AR1009" s="34" t="str">
        <f t="shared" ref="AR1009" si="4240">IFERROR(IF(AP1009-VLOOKUP(AM$38,$A$2:$N$12,14,FALSE)&gt;0,AP1009-VLOOKUP(AM$38,$A$2:$N$12,14,FALSE)," ")," ")</f>
        <v xml:space="preserve"> </v>
      </c>
      <c r="AS1009" s="34">
        <f t="shared" ref="AS1009" si="4241">$M$6</f>
        <v>0</v>
      </c>
      <c r="AT1009" s="34">
        <v>-1</v>
      </c>
      <c r="AU1009" s="34">
        <f t="shared" ref="AU1009" si="4242">-SUMPRODUCT($M$2:$M$5,$N$2:$N$5)-SUMPRODUCT($M$7:$M$12,$N$7:$N$12)</f>
        <v>-120000</v>
      </c>
      <c r="AV1009" s="34" t="e">
        <f t="shared" ref="AV1009" si="4243">IF(AS1009&lt;&gt;AS1010,MMULT(MINVERSE(AS1009:AT1010),AU1009:AU1010)," ")</f>
        <v>#NUM!</v>
      </c>
      <c r="AW1009" s="34" t="str">
        <f t="shared" ref="AW1009" si="4244">IFERROR(IF(AV1009-VLOOKUP(AS$38,$A$2:$N$12,14,FALSE)&lt;0,AV1009-VLOOKUP(AS$38,$A$2:$N$12,14,FALSE)," ")," ")</f>
        <v xml:space="preserve"> </v>
      </c>
      <c r="AX1009" s="34" t="str">
        <f t="shared" ref="AX1009" si="4245">IFERROR(IF(AV1009-VLOOKUP(AS$38,$A$2:$N$12,14,FALSE)&gt;0,AV1009-VLOOKUP(AS$38,$A$2:$N$12,14,FALSE)," ")," ")</f>
        <v xml:space="preserve"> </v>
      </c>
      <c r="AY1009" s="34">
        <f t="shared" ref="AY1009" si="4246">$M$7</f>
        <v>0</v>
      </c>
      <c r="AZ1009" s="34">
        <v>-1</v>
      </c>
      <c r="BA1009" s="34">
        <f t="shared" ref="BA1009" si="4247">-SUMPRODUCT($M$2:$M$6,$N$2:$N$6)-SUMPRODUCT($M$8:$M$12,$N$8:$N$12)</f>
        <v>-120000</v>
      </c>
      <c r="BB1009" s="34" t="e">
        <f t="shared" ref="BB1009" si="4248">IF(AY1009&lt;&gt;AY1010,MMULT(MINVERSE(AY1009:AZ1010),BA1009:BA1010)," ")</f>
        <v>#NUM!</v>
      </c>
      <c r="BC1009" s="34" t="str">
        <f t="shared" ref="BC1009" si="4249">IFERROR(IF(BB1009-VLOOKUP(AY$38,$A$2:$N$12,14,FALSE)&lt;0,BB1009-VLOOKUP(AY$38,$A$2:$N$12,14,FALSE)," ")," ")</f>
        <v xml:space="preserve"> </v>
      </c>
      <c r="BD1009" s="34" t="str">
        <f t="shared" ref="BD1009" si="4250">IFERROR(IF(BB1009-VLOOKUP(AY$38,$A$2:$N$12,14,FALSE)&gt;0,BB1009-VLOOKUP(AY$38,$A$2:$N$12,14,FALSE)," ")," ")</f>
        <v xml:space="preserve"> </v>
      </c>
      <c r="BE1009" s="34">
        <f t="shared" ref="BE1009" si="4251">$M$8</f>
        <v>0</v>
      </c>
      <c r="BF1009" s="34">
        <v>-1</v>
      </c>
      <c r="BG1009" s="34">
        <f t="shared" ref="BG1009" si="4252">-SUMPRODUCT($M$2:$M$7,$N$2:$N$7)-SUMPRODUCT($M$9:$M$12,$N$9:$N$12)</f>
        <v>-120000</v>
      </c>
      <c r="BH1009" s="34" t="e">
        <f t="shared" ref="BH1009" si="4253">IF(BE1009&lt;&gt;BE1010,MMULT(MINVERSE(BE1009:BF1010),BG1009:BG1010)," ")</f>
        <v>#NUM!</v>
      </c>
      <c r="BI1009" s="34" t="str">
        <f t="shared" ref="BI1009" si="4254">IFERROR(IF(BH1009-VLOOKUP(BE$38,$A$2:$N$12,14,FALSE)&lt;0,BH1009-VLOOKUP(BE$38,$A$2:$N$12,14,FALSE)," ")," ")</f>
        <v xml:space="preserve"> </v>
      </c>
      <c r="BJ1009" s="34" t="str">
        <f t="shared" ref="BJ1009" si="4255">IFERROR(IF(BH1009-VLOOKUP(BE$38,$A$2:$N$12,14,FALSE)&gt;0,BH1009-VLOOKUP(BE$38,$A$2:$N$12,14,FALSE)," ")," ")</f>
        <v xml:space="preserve"> </v>
      </c>
      <c r="BK1009" s="34">
        <f t="shared" ref="BK1009" si="4256">$M$9</f>
        <v>0</v>
      </c>
      <c r="BL1009" s="34">
        <v>-1</v>
      </c>
      <c r="BM1009" s="34">
        <f t="shared" ref="BM1009" si="4257">-SUMPRODUCT($M$2:$M$8,$N$2:$N$8)-SUMPRODUCT($M$10:$M$12,$N$10:$N$12)</f>
        <v>-120000</v>
      </c>
      <c r="BN1009" s="34" t="e">
        <f t="shared" ref="BN1009" si="4258">IF(BK1009&lt;&gt;BK1010,MMULT(MINVERSE(BK1009:BL1010),BM1009:BM1010)," ")</f>
        <v>#NUM!</v>
      </c>
      <c r="BO1009" s="34" t="str">
        <f t="shared" ref="BO1009" si="4259">IFERROR(IF(BN1009-VLOOKUP(BK$38,$A$2:$N$12,14,FALSE)&lt;0,BN1009-VLOOKUP(BK$38,$A$2:$N$12,14,FALSE)," ")," ")</f>
        <v xml:space="preserve"> </v>
      </c>
      <c r="BP1009" s="34" t="str">
        <f t="shared" ref="BP1009" si="4260">IFERROR(IF(BN1009-VLOOKUP(BK$38,$A$2:$N$12,14,FALSE)&gt;0,BN1009-VLOOKUP(BK$38,$A$2:$N$12,14,FALSE)," ")," ")</f>
        <v xml:space="preserve"> </v>
      </c>
      <c r="BQ1009" s="34">
        <f t="shared" ref="BQ1009" si="4261">$M$10</f>
        <v>0</v>
      </c>
      <c r="BR1009" s="34">
        <v>-1</v>
      </c>
      <c r="BS1009" s="34">
        <f t="shared" ref="BS1009" si="4262">-SUMPRODUCT($M$2:$M$9,$N$2:$N$9)-SUMPRODUCT($M$11:$M$12,$N$11:$N$12)</f>
        <v>-120000</v>
      </c>
      <c r="BT1009" s="34" t="e">
        <f t="shared" ref="BT1009" si="4263">IF(BQ1009&lt;&gt;BQ1010,MMULT(MINVERSE(BQ1009:BR1010),BS1009:BS1010)," ")</f>
        <v>#NUM!</v>
      </c>
      <c r="BU1009" s="34" t="str">
        <f t="shared" ref="BU1009" si="4264">IFERROR(IF(BT1009-VLOOKUP(BQ$38,$A$2:$N$12,14,FALSE)&lt;0,BT1009-VLOOKUP(BQ$38,$A$2:$N$12,14,FALSE)," ")," ")</f>
        <v xml:space="preserve"> </v>
      </c>
      <c r="BV1009" s="34" t="str">
        <f t="shared" ref="BV1009" si="4265">IFERROR(IF(BT1009-VLOOKUP(BQ$38,$A$2:$N$12,14,FALSE)&gt;0,BT1009-VLOOKUP(BQ$38,$A$2:$N$12,14,FALSE)," ")," ")</f>
        <v xml:space="preserve"> </v>
      </c>
      <c r="BW1009" s="34">
        <f t="shared" ref="BW1009" si="4266">$M$11</f>
        <v>0</v>
      </c>
      <c r="BX1009" s="34">
        <v>-1</v>
      </c>
      <c r="BY1009" s="34">
        <f t="shared" ref="BY1009" si="4267">-SUMPRODUCT($M$2:$M$10,$N$2:$N$10)-SUMPRODUCT($M$12,$N$12)</f>
        <v>-120000</v>
      </c>
      <c r="BZ1009" s="34" t="e">
        <f t="shared" ref="BZ1009" si="4268">IF(BW1009&lt;&gt;BW1010,MMULT(MINVERSE(BW1009:BX1010),BY1009:BY1010)," ")</f>
        <v>#NUM!</v>
      </c>
      <c r="CA1009" s="34" t="str">
        <f t="shared" ref="CA1009" si="4269">IFERROR(IF(BZ1009-VLOOKUP(BW$38,$A$2:$N$12,14,FALSE)&lt;0,BZ1009-VLOOKUP(BW$38,$A$2:$N$12,14,FALSE)," ")," ")</f>
        <v xml:space="preserve"> </v>
      </c>
      <c r="CB1009" s="34" t="str">
        <f t="shared" ref="CB1009" si="4270">IFERROR(IF(BZ1009-VLOOKUP(BW$38,$A$2:$N$12,14,FALSE)&gt;0,BZ1009-VLOOKUP(BW$38,$A$2:$N$12,14,FALSE)," ")," ")</f>
        <v xml:space="preserve"> </v>
      </c>
      <c r="CC1009" s="34">
        <f t="shared" ref="CC1009" si="4271">$M$12</f>
        <v>0</v>
      </c>
      <c r="CD1009" s="34">
        <v>-1</v>
      </c>
      <c r="CE1009" s="34">
        <f t="shared" ref="CE1009" si="4272">-SUMPRODUCT($M$2:$M$11,$N$2:$N$11)</f>
        <v>-120000</v>
      </c>
      <c r="CF1009" s="34" t="e">
        <f t="shared" ref="CF1009" si="4273">IF(CC1009&lt;&gt;CC1010,MMULT(MINVERSE(CC1009:CD1010),CE1009:CE1010)," ")</f>
        <v>#NUM!</v>
      </c>
      <c r="CG1009" s="34" t="str">
        <f t="shared" ref="CG1009" si="4274">IFERROR(IF(CF1009-VLOOKUP(CC$38,$A$2:$N$12,14,FALSE)&lt;0,CF1009-VLOOKUP(CC$38,$A$2:$N$12,14,FALSE)," ")," ")</f>
        <v xml:space="preserve"> </v>
      </c>
      <c r="CH1009" s="34" t="str">
        <f t="shared" ref="CH1009" si="4275">IFERROR(IF(CF1009-VLOOKUP(CC$38,$A$2:$N$12,14,FALSE)&gt;0,CF1009-VLOOKUP(CC$38,$A$2:$N$12,14,FALSE)," ")," ")</f>
        <v xml:space="preserve"> </v>
      </c>
      <c r="CI1009" s="8"/>
    </row>
    <row r="1010" spans="1:87" x14ac:dyDescent="0.2">
      <c r="A1010" s="8" t="str">
        <f>IF(AND(COUNTIF(W$3:W$13,A$16)&gt;0,A$16&lt;&gt;B800),A$16,IFERROR(IF(MATCH(A$16,Z$3:Z$13,0)=10,A$16," ")," "))</f>
        <v xml:space="preserve"> </v>
      </c>
      <c r="B1010" s="8" t="str">
        <f>IF(A1010=" "," ",MAX(B1009:B1009)+1)</f>
        <v xml:space="preserve"> </v>
      </c>
      <c r="C1010" s="8" t="str">
        <f>IFERROR(INDEX(A1009:A1030,MATCH(SMALL(B1009:B1030,2),B1009:B1030,0),1)," ")</f>
        <v>C4</v>
      </c>
      <c r="D1010" s="8">
        <f t="shared" ref="D1010:D1019" si="4276">IFERROR(VLOOKUP($C1010,$A$15:$O$36,2,FALSE)," ")</f>
        <v>1</v>
      </c>
      <c r="E1010" s="8">
        <f t="shared" ref="E1010:E1019" si="4277">IFERROR(VLOOKUP($C1010,$A$15:$O$36,3,FALSE)," ")</f>
        <v>0</v>
      </c>
      <c r="F1010" s="8">
        <f t="shared" ref="F1010:F1019" si="4278">IFERROR(VLOOKUP($C1010,$A$15:$O$36,4,FALSE)," ")</f>
        <v>1</v>
      </c>
      <c r="G1010" s="8">
        <f t="shared" ref="G1010:G1019" si="4279">IFERROR(VLOOKUP($C1010,$A$15:$O$36,5,FALSE)," ")</f>
        <v>0</v>
      </c>
      <c r="H1010" s="8">
        <f t="shared" ref="H1010:H1019" si="4280">IFERROR(VLOOKUP($C1010,$A$15:$O$36,6,FALSE)," ")</f>
        <v>0</v>
      </c>
      <c r="I1010" s="8">
        <f t="shared" ref="I1010:I1019" si="4281">IFERROR(VLOOKUP($C1010,$A$15:$O$36,7,FALSE)," ")</f>
        <v>0</v>
      </c>
      <c r="J1010" s="8">
        <f t="shared" ref="J1010:J1019" si="4282">IFERROR(VLOOKUP($C1010,$A$15:$O$36,8,FALSE)," ")</f>
        <v>0</v>
      </c>
      <c r="K1010" s="8">
        <f t="shared" ref="K1010:K1019" si="4283">IFERROR(VLOOKUP($C1010,$A$15:$O$36,9,FALSE)," ")</f>
        <v>0</v>
      </c>
      <c r="L1010" s="8">
        <f t="shared" ref="L1010:L1019" si="4284">IFERROR(VLOOKUP($C1010,$A$15:$O$36,10,FALSE)," ")</f>
        <v>0</v>
      </c>
      <c r="M1010" s="8">
        <f t="shared" ref="M1010:M1019" si="4285">IFERROR(VLOOKUP($C1010,$A$15:$O$36,11,FALSE)," ")</f>
        <v>0</v>
      </c>
      <c r="N1010" s="8">
        <f t="shared" ref="N1010:N1019" si="4286">IFERROR(VLOOKUP($C1010,$A$15:$O$36,12,FALSE)," ")</f>
        <v>0</v>
      </c>
      <c r="O1010" s="8">
        <f t="shared" ref="O1010:O1019" si="4287">IFERROR(VLOOKUP($C1010,$A$15:$O$36,15,FALSE)," ")</f>
        <v>400</v>
      </c>
      <c r="P1010" s="8" t="e">
        <v>#NUM!</v>
      </c>
      <c r="Q1010" s="8" t="e">
        <f t="shared" ref="Q1010" si="4288">IF(COUNTIF(P1009:P1019,"&lt;"&amp;-0.001)=0,IF(ABS(P1010)&lt;0.001,0,P1010)," ")</f>
        <v>#NUM!</v>
      </c>
      <c r="R1010" s="8"/>
      <c r="S1010" s="8"/>
      <c r="U1010" s="34" t="e">
        <f t="shared" ref="U1010" si="4289">$Q1009</f>
        <v>#NUM!</v>
      </c>
      <c r="V1010" s="34">
        <v>-1</v>
      </c>
      <c r="W1010" s="34" t="e">
        <f t="shared" ref="W1010" si="4290">-SUMPRODUCT($Q1010:$Q1019,$N$3:$N$12)</f>
        <v>#NUM!</v>
      </c>
      <c r="X1010" s="34"/>
      <c r="Y1010" s="34"/>
      <c r="Z1010" s="34"/>
      <c r="AA1010" s="34" t="e">
        <f t="shared" ref="AA1010" si="4291">$Q1010</f>
        <v>#NUM!</v>
      </c>
      <c r="AB1010" s="34">
        <v>-1</v>
      </c>
      <c r="AC1010" s="34" t="e">
        <f t="shared" ref="AC1010" si="4292">-SUMPRODUCT($Q1009:$Q1009,$N$2:$N$2)-SUMPRODUCT($Q1011:$Q1019,$N$4:$N$12)</f>
        <v>#NUM!</v>
      </c>
      <c r="AD1010" s="34"/>
      <c r="AE1010" s="34"/>
      <c r="AF1010" s="34"/>
      <c r="AG1010" s="34" t="e">
        <f t="shared" ref="AG1010" si="4293">$Q1011</f>
        <v>#NUM!</v>
      </c>
      <c r="AH1010" s="34">
        <v>-1</v>
      </c>
      <c r="AI1010" s="34" t="e">
        <f t="shared" ref="AI1010" si="4294">-SUMPRODUCT($Q1009:$Q1010,$N$2:$N$3)-SUMPRODUCT($Q1012:$Q1019,$N$5:$N$12)</f>
        <v>#NUM!</v>
      </c>
      <c r="AJ1010" s="34"/>
      <c r="AK1010" s="34"/>
      <c r="AL1010" s="34"/>
      <c r="AM1010" s="34" t="e">
        <f t="shared" ref="AM1010" si="4295">$Q1012</f>
        <v>#NUM!</v>
      </c>
      <c r="AN1010" s="34">
        <v>-1</v>
      </c>
      <c r="AO1010" s="34" t="e">
        <f t="shared" ref="AO1010" si="4296">-SUMPRODUCT($Q1009:$Q1011,$N$2:$N$4)-SUMPRODUCT($Q1013:$Q1019,$N$6:$N$12)</f>
        <v>#NUM!</v>
      </c>
      <c r="AP1010" s="34"/>
      <c r="AQ1010" s="34"/>
      <c r="AR1010" s="34"/>
      <c r="AS1010" s="34" t="e">
        <f t="shared" ref="AS1010" si="4297">$Q1013</f>
        <v>#NUM!</v>
      </c>
      <c r="AT1010" s="34">
        <v>-1</v>
      </c>
      <c r="AU1010" s="34" t="e">
        <f t="shared" ref="AU1010" si="4298">-SUMPRODUCT($Q1009:$Q1012,$N$2:$N$5)-SUMPRODUCT($Q1014:$Q1019,$N$7:$N$12)</f>
        <v>#NUM!</v>
      </c>
      <c r="AV1010" s="34"/>
      <c r="AW1010" s="34"/>
      <c r="AX1010" s="34"/>
      <c r="AY1010" s="34" t="e">
        <f t="shared" ref="AY1010" si="4299">$Q1014</f>
        <v>#NUM!</v>
      </c>
      <c r="AZ1010" s="34">
        <v>-1</v>
      </c>
      <c r="BA1010" s="34" t="e">
        <f t="shared" ref="BA1010" si="4300">-SUMPRODUCT($Q1009:$Q1013,$N$2:$N$6)-SUMPRODUCT($Q1015:$Q1019,$N$8:$N$12)</f>
        <v>#NUM!</v>
      </c>
      <c r="BB1010" s="34"/>
      <c r="BC1010" s="34"/>
      <c r="BD1010" s="34"/>
      <c r="BE1010" s="34" t="e">
        <f t="shared" ref="BE1010" si="4301">$Q1015</f>
        <v>#NUM!</v>
      </c>
      <c r="BF1010" s="34">
        <v>-1</v>
      </c>
      <c r="BG1010" s="34" t="e">
        <f t="shared" ref="BG1010" si="4302">-SUMPRODUCT($Q1009:$Q1014,$N$2:$N$7)-SUMPRODUCT($Q1016:$Q1019,$N$9:$N$12)</f>
        <v>#NUM!</v>
      </c>
      <c r="BH1010" s="34"/>
      <c r="BI1010" s="34"/>
      <c r="BJ1010" s="34"/>
      <c r="BK1010" s="34" t="e">
        <f t="shared" ref="BK1010" si="4303">$Q1016</f>
        <v>#NUM!</v>
      </c>
      <c r="BL1010" s="34">
        <v>-1</v>
      </c>
      <c r="BM1010" s="34" t="e">
        <f t="shared" ref="BM1010" si="4304">-SUMPRODUCT($Q1009:$Q1015,$N$2:$N$8)-SUMPRODUCT($Q1017:$Q1019,$N$10:$N$12)</f>
        <v>#NUM!</v>
      </c>
      <c r="BN1010" s="34"/>
      <c r="BO1010" s="34"/>
      <c r="BP1010" s="34"/>
      <c r="BQ1010" s="34" t="e">
        <f t="shared" ref="BQ1010" si="4305">$Q1017</f>
        <v>#NUM!</v>
      </c>
      <c r="BR1010" s="34">
        <v>-1</v>
      </c>
      <c r="BS1010" s="34" t="e">
        <f t="shared" ref="BS1010" si="4306">-SUMPRODUCT($Q1009:$Q1016,$N$2:$N$9)-SUMPRODUCT($Q1018:$Q1019,$N$11:$N$12)</f>
        <v>#NUM!</v>
      </c>
      <c r="BT1010" s="34"/>
      <c r="BU1010" s="34"/>
      <c r="BV1010" s="34"/>
      <c r="BW1010" s="34" t="e">
        <f t="shared" ref="BW1010" si="4307">$Q1018</f>
        <v>#NUM!</v>
      </c>
      <c r="BX1010" s="34">
        <v>-1</v>
      </c>
      <c r="BY1010" s="34" t="e">
        <f t="shared" ref="BY1010" si="4308">-SUMPRODUCT($Q1009:$Q1017,$N$2:$N$10)-SUMPRODUCT($Q1019,$N$12)</f>
        <v>#NUM!</v>
      </c>
      <c r="BZ1010" s="34"/>
      <c r="CA1010" s="34"/>
      <c r="CB1010" s="34"/>
      <c r="CC1010" s="34" t="e">
        <f t="shared" ref="CC1010" si="4309">$Q1019</f>
        <v>#NUM!</v>
      </c>
      <c r="CD1010" s="34">
        <v>-1</v>
      </c>
      <c r="CE1010" s="34" t="e">
        <f t="shared" ref="CE1010" si="4310">-SUMPRODUCT($Q1009:$Q1018,$N$2:$N$11)</f>
        <v>#NUM!</v>
      </c>
      <c r="CF1010" s="34"/>
      <c r="CG1010" s="34"/>
      <c r="CH1010" s="34"/>
      <c r="CI1010" s="8"/>
    </row>
    <row r="1011" spans="1:87" x14ac:dyDescent="0.2">
      <c r="A1011" s="8" t="str">
        <f>IF(AND(COUNTIF(W$3:W$13,A$17)&gt;0,A$17&lt;&gt;B800),A$17,IFERROR(IF(MATCH(A$17,Z$3:Z$13,0)=10,A$17," ")," "))</f>
        <v>C3</v>
      </c>
      <c r="B1011" s="8">
        <f>IF(A1011=" "," ",MAX(B1009:B1010)+1)</f>
        <v>1</v>
      </c>
      <c r="C1011" s="8" t="str">
        <f>IFERROR(INDEX(A1009:A1030,MATCH(SMALL(B1009:B1030,3),B1009:B1030,0),1)," ")</f>
        <v>C12</v>
      </c>
      <c r="D1011" s="8">
        <f t="shared" si="4276"/>
        <v>1</v>
      </c>
      <c r="E1011" s="8">
        <f t="shared" si="4277"/>
        <v>0</v>
      </c>
      <c r="F1011" s="8">
        <f t="shared" si="4278"/>
        <v>0</v>
      </c>
      <c r="G1011" s="8">
        <f t="shared" si="4279"/>
        <v>0</v>
      </c>
      <c r="H1011" s="8">
        <f t="shared" si="4280"/>
        <v>0</v>
      </c>
      <c r="I1011" s="8">
        <f t="shared" si="4281"/>
        <v>0</v>
      </c>
      <c r="J1011" s="8">
        <f t="shared" si="4282"/>
        <v>0</v>
      </c>
      <c r="K1011" s="8">
        <f t="shared" si="4283"/>
        <v>0</v>
      </c>
      <c r="L1011" s="8">
        <f t="shared" si="4284"/>
        <v>0</v>
      </c>
      <c r="M1011" s="8">
        <f t="shared" si="4285"/>
        <v>0</v>
      </c>
      <c r="N1011" s="8">
        <f t="shared" si="4286"/>
        <v>0</v>
      </c>
      <c r="O1011" s="8">
        <f t="shared" si="4287"/>
        <v>0</v>
      </c>
      <c r="P1011" s="8" t="e">
        <v>#NUM!</v>
      </c>
      <c r="Q1011" s="8" t="e">
        <f t="shared" ref="Q1011" si="4311">IF(COUNTIF(P1009:P1019,"&lt;"&amp;-0.001)=0,IF(ABS(P1011)&lt;0.001,0,P1011)," ")</f>
        <v>#NUM!</v>
      </c>
      <c r="R1011" s="8"/>
      <c r="S1011" s="8"/>
      <c r="U1011" s="34"/>
      <c r="V1011" s="34"/>
      <c r="W1011" s="34"/>
      <c r="X1011" s="34"/>
      <c r="Y1011" s="34"/>
      <c r="Z1011" s="34"/>
      <c r="AA1011" s="34"/>
      <c r="AB1011" s="34"/>
      <c r="AC1011" s="34"/>
      <c r="AD1011" s="34"/>
      <c r="AE1011" s="34"/>
      <c r="AF1011" s="34"/>
      <c r="AG1011" s="34"/>
      <c r="AH1011" s="34"/>
      <c r="AI1011" s="34"/>
      <c r="AJ1011" s="34"/>
      <c r="AK1011" s="34"/>
      <c r="AL1011" s="34"/>
      <c r="AM1011" s="34"/>
      <c r="AN1011" s="34"/>
      <c r="AO1011" s="34"/>
      <c r="AP1011" s="34"/>
      <c r="AQ1011" s="34"/>
      <c r="AR1011" s="34"/>
      <c r="AS1011" s="34"/>
      <c r="AT1011" s="34"/>
      <c r="AU1011" s="34"/>
      <c r="AV1011" s="34"/>
      <c r="AW1011" s="34"/>
      <c r="AX1011" s="34"/>
      <c r="AY1011" s="34"/>
      <c r="AZ1011" s="34"/>
      <c r="BA1011" s="34"/>
      <c r="BB1011" s="34"/>
      <c r="BC1011" s="34"/>
      <c r="BD1011" s="34"/>
      <c r="BE1011" s="34"/>
      <c r="BF1011" s="34"/>
      <c r="BG1011" s="34"/>
      <c r="BH1011" s="34"/>
      <c r="BI1011" s="34"/>
      <c r="BJ1011" s="34"/>
      <c r="BK1011" s="34"/>
      <c r="BL1011" s="34"/>
      <c r="BM1011" s="34"/>
      <c r="BN1011" s="34"/>
      <c r="BO1011" s="34"/>
      <c r="BP1011" s="34"/>
      <c r="BQ1011" s="34"/>
      <c r="BR1011" s="34"/>
      <c r="BS1011" s="34"/>
      <c r="BT1011" s="34"/>
      <c r="BU1011" s="34"/>
      <c r="BV1011" s="34"/>
      <c r="BW1011" s="34"/>
      <c r="BX1011" s="34"/>
      <c r="BY1011" s="34"/>
      <c r="BZ1011" s="34"/>
      <c r="CA1011" s="34"/>
      <c r="CB1011" s="34"/>
      <c r="CC1011" s="34"/>
      <c r="CD1011" s="34"/>
      <c r="CE1011" s="34"/>
      <c r="CF1011" s="34"/>
      <c r="CG1011" s="34"/>
      <c r="CH1011" s="34"/>
      <c r="CI1011" s="8"/>
    </row>
    <row r="1012" spans="1:87" x14ac:dyDescent="0.2">
      <c r="A1012" s="8" t="str">
        <f>IF(AND(COUNTIF(W$3:W$13,A$18)&gt;0,A$18&lt;&gt;B800),A$18,IFERROR(IF(MATCH(A$18,Z$3:Z$13,0)=10,A$18," ")," "))</f>
        <v>C4</v>
      </c>
      <c r="B1012" s="8">
        <f>IF(A1012=" "," ",MAX(B1009:B1011)+1)</f>
        <v>2</v>
      </c>
      <c r="C1012" s="8" t="str">
        <f>IFERROR(INDEX(A1009:A1030,MATCH(SMALL(B1009:B1030,4),B1009:B1030,0),1)," ")</f>
        <v>C13</v>
      </c>
      <c r="D1012" s="8">
        <f t="shared" si="4276"/>
        <v>0</v>
      </c>
      <c r="E1012" s="8">
        <f t="shared" si="4277"/>
        <v>1</v>
      </c>
      <c r="F1012" s="8">
        <f t="shared" si="4278"/>
        <v>0</v>
      </c>
      <c r="G1012" s="8">
        <f t="shared" si="4279"/>
        <v>0</v>
      </c>
      <c r="H1012" s="8">
        <f t="shared" si="4280"/>
        <v>0</v>
      </c>
      <c r="I1012" s="8">
        <f t="shared" si="4281"/>
        <v>0</v>
      </c>
      <c r="J1012" s="8">
        <f t="shared" si="4282"/>
        <v>0</v>
      </c>
      <c r="K1012" s="8">
        <f t="shared" si="4283"/>
        <v>0</v>
      </c>
      <c r="L1012" s="8">
        <f t="shared" si="4284"/>
        <v>0</v>
      </c>
      <c r="M1012" s="8">
        <f t="shared" si="4285"/>
        <v>0</v>
      </c>
      <c r="N1012" s="8">
        <f t="shared" si="4286"/>
        <v>0</v>
      </c>
      <c r="O1012" s="8">
        <f t="shared" si="4287"/>
        <v>0</v>
      </c>
      <c r="P1012" s="8" t="e">
        <v>#NUM!</v>
      </c>
      <c r="Q1012" s="8" t="e">
        <f t="shared" ref="Q1012" si="4312">IF(COUNTIF(P1009:P1019,"&lt;"&amp;-0.001)=0,IF(ABS(P1012)&lt;0.001,0,P1012)," ")</f>
        <v>#NUM!</v>
      </c>
      <c r="R1012" s="8"/>
      <c r="S1012" s="8"/>
      <c r="U1012" s="34"/>
      <c r="V1012" s="34"/>
      <c r="W1012" s="34"/>
      <c r="X1012" s="34"/>
      <c r="Y1012" s="34"/>
      <c r="Z1012" s="34"/>
      <c r="AA1012" s="34"/>
      <c r="AB1012" s="34"/>
      <c r="AC1012" s="34"/>
      <c r="AD1012" s="34"/>
      <c r="AE1012" s="34"/>
      <c r="AF1012" s="34"/>
      <c r="AG1012" s="34"/>
      <c r="AH1012" s="34"/>
      <c r="AI1012" s="34"/>
      <c r="AJ1012" s="34"/>
      <c r="AK1012" s="34"/>
      <c r="AL1012" s="34"/>
      <c r="AM1012" s="34"/>
      <c r="AN1012" s="34"/>
      <c r="AO1012" s="34"/>
      <c r="AP1012" s="34"/>
      <c r="AQ1012" s="34"/>
      <c r="AR1012" s="34"/>
      <c r="AS1012" s="34"/>
      <c r="AT1012" s="34"/>
      <c r="AU1012" s="34"/>
      <c r="AV1012" s="34"/>
      <c r="AW1012" s="34"/>
      <c r="AX1012" s="34"/>
      <c r="AY1012" s="34"/>
      <c r="AZ1012" s="34"/>
      <c r="BA1012" s="34"/>
      <c r="BB1012" s="34"/>
      <c r="BC1012" s="34"/>
      <c r="BD1012" s="34"/>
      <c r="BE1012" s="34"/>
      <c r="BF1012" s="34"/>
      <c r="BG1012" s="34"/>
      <c r="BH1012" s="34"/>
      <c r="BI1012" s="34"/>
      <c r="BJ1012" s="34"/>
      <c r="BK1012" s="34"/>
      <c r="BL1012" s="34"/>
      <c r="BM1012" s="34"/>
      <c r="BN1012" s="34"/>
      <c r="BO1012" s="34"/>
      <c r="BP1012" s="34"/>
      <c r="BQ1012" s="34"/>
      <c r="BR1012" s="34"/>
      <c r="BS1012" s="34"/>
      <c r="BT1012" s="34"/>
      <c r="BU1012" s="34"/>
      <c r="BV1012" s="34"/>
      <c r="BW1012" s="34"/>
      <c r="BX1012" s="34"/>
      <c r="BY1012" s="34"/>
      <c r="BZ1012" s="34"/>
      <c r="CA1012" s="34"/>
      <c r="CB1012" s="34"/>
      <c r="CC1012" s="34"/>
      <c r="CD1012" s="34"/>
      <c r="CE1012" s="34"/>
      <c r="CF1012" s="34"/>
      <c r="CG1012" s="34"/>
      <c r="CH1012" s="34"/>
      <c r="CI1012" s="8"/>
    </row>
    <row r="1013" spans="1:87" x14ac:dyDescent="0.2">
      <c r="A1013" s="8" t="str">
        <f>IF(AND(COUNTIF(W$3:W$13,A$19)&gt;0,A$19&lt;&gt;B800),A$19,IFERROR(IF(MATCH(A$19,Z$3:Z$13,0)=10,A$19," ")," "))</f>
        <v xml:space="preserve"> </v>
      </c>
      <c r="B1013" s="8" t="str">
        <f>IF(A1013=" "," ",MAX(B1009:B1012)+1)</f>
        <v xml:space="preserve"> </v>
      </c>
      <c r="C1013" s="8" t="str">
        <f>IFERROR(INDEX(A1009:A1030,MATCH(SMALL(B1009:B1030,5),B1009:B1030,0),1)," ")</f>
        <v>C16</v>
      </c>
      <c r="D1013" s="8">
        <f t="shared" si="4276"/>
        <v>0</v>
      </c>
      <c r="E1013" s="8">
        <f t="shared" si="4277"/>
        <v>0</v>
      </c>
      <c r="F1013" s="8">
        <f t="shared" si="4278"/>
        <v>0</v>
      </c>
      <c r="G1013" s="8">
        <f t="shared" si="4279"/>
        <v>0</v>
      </c>
      <c r="H1013" s="8">
        <f t="shared" si="4280"/>
        <v>1</v>
      </c>
      <c r="I1013" s="8">
        <f t="shared" si="4281"/>
        <v>0</v>
      </c>
      <c r="J1013" s="8">
        <f t="shared" si="4282"/>
        <v>0</v>
      </c>
      <c r="K1013" s="8">
        <f t="shared" si="4283"/>
        <v>0</v>
      </c>
      <c r="L1013" s="8">
        <f t="shared" si="4284"/>
        <v>0</v>
      </c>
      <c r="M1013" s="8">
        <f t="shared" si="4285"/>
        <v>0</v>
      </c>
      <c r="N1013" s="8">
        <f t="shared" si="4286"/>
        <v>0</v>
      </c>
      <c r="O1013" s="8">
        <f t="shared" si="4287"/>
        <v>0</v>
      </c>
      <c r="P1013" s="8" t="e">
        <v>#NUM!</v>
      </c>
      <c r="Q1013" s="8" t="e">
        <f t="shared" ref="Q1013" si="4313">IF(COUNTIF(P1009:P1019,"&lt;"&amp;-0.001)=0,IF(ABS(P1013)&lt;0.001,0,P1013)," ")</f>
        <v>#NUM!</v>
      </c>
      <c r="R1013" s="8"/>
      <c r="S1013" s="8"/>
      <c r="U1013" s="34"/>
      <c r="V1013" s="34"/>
      <c r="W1013" s="34"/>
      <c r="X1013" s="34"/>
      <c r="Y1013" s="34"/>
      <c r="Z1013" s="34"/>
      <c r="AA1013" s="34"/>
      <c r="AB1013" s="34"/>
      <c r="AC1013" s="34"/>
      <c r="AD1013" s="34"/>
      <c r="AE1013" s="34"/>
      <c r="AF1013" s="34"/>
      <c r="AG1013" s="34"/>
      <c r="AH1013" s="34"/>
      <c r="AI1013" s="34"/>
      <c r="AJ1013" s="34"/>
      <c r="AK1013" s="34"/>
      <c r="AL1013" s="34"/>
      <c r="AM1013" s="34"/>
      <c r="AN1013" s="34"/>
      <c r="AO1013" s="34"/>
      <c r="AP1013" s="34"/>
      <c r="AQ1013" s="34"/>
      <c r="AR1013" s="34"/>
      <c r="AS1013" s="34"/>
      <c r="AT1013" s="34"/>
      <c r="AU1013" s="34"/>
      <c r="AV1013" s="34"/>
      <c r="AW1013" s="34"/>
      <c r="AX1013" s="34"/>
      <c r="AY1013" s="34"/>
      <c r="AZ1013" s="34"/>
      <c r="BA1013" s="34"/>
      <c r="BB1013" s="34"/>
      <c r="BC1013" s="34"/>
      <c r="BD1013" s="34"/>
      <c r="BE1013" s="34"/>
      <c r="BF1013" s="34"/>
      <c r="BG1013" s="34"/>
      <c r="BH1013" s="34"/>
      <c r="BI1013" s="34"/>
      <c r="BJ1013" s="34"/>
      <c r="BK1013" s="34"/>
      <c r="BL1013" s="34"/>
      <c r="BM1013" s="34"/>
      <c r="BN1013" s="34"/>
      <c r="BO1013" s="34"/>
      <c r="BP1013" s="34"/>
      <c r="BQ1013" s="34"/>
      <c r="BR1013" s="34"/>
      <c r="BS1013" s="34"/>
      <c r="BT1013" s="34"/>
      <c r="BU1013" s="34"/>
      <c r="BV1013" s="34"/>
      <c r="BW1013" s="34"/>
      <c r="BX1013" s="34"/>
      <c r="BY1013" s="34"/>
      <c r="BZ1013" s="34"/>
      <c r="CA1013" s="34"/>
      <c r="CB1013" s="34"/>
      <c r="CC1013" s="34"/>
      <c r="CD1013" s="34"/>
      <c r="CE1013" s="34"/>
      <c r="CF1013" s="34"/>
      <c r="CG1013" s="34"/>
      <c r="CH1013" s="34"/>
      <c r="CI1013" s="8"/>
    </row>
    <row r="1014" spans="1:87" x14ac:dyDescent="0.2">
      <c r="A1014" s="8" t="str">
        <f>IF(AND(COUNTIF(W$3:W$13,A$20)&gt;0,A$20&lt;&gt;B800),A$20,IFERROR(IF(MATCH(A$20,Z$3:Z$13,0)=10,A$20," ")," "))</f>
        <v xml:space="preserve"> </v>
      </c>
      <c r="B1014" s="8" t="str">
        <f>IF(A1014=" "," ",MAX(B1009:B1013)+1)</f>
        <v xml:space="preserve"> </v>
      </c>
      <c r="C1014" s="8" t="str">
        <f>IFERROR(INDEX(A1009:A1030,MATCH(SMALL(B1009:B1030,6),B1009:B1030,0),1)," ")</f>
        <v>C17</v>
      </c>
      <c r="D1014" s="8">
        <f t="shared" si="4276"/>
        <v>0</v>
      </c>
      <c r="E1014" s="8">
        <f t="shared" si="4277"/>
        <v>0</v>
      </c>
      <c r="F1014" s="8">
        <f t="shared" si="4278"/>
        <v>0</v>
      </c>
      <c r="G1014" s="8">
        <f t="shared" si="4279"/>
        <v>0</v>
      </c>
      <c r="H1014" s="8">
        <f t="shared" si="4280"/>
        <v>0</v>
      </c>
      <c r="I1014" s="8">
        <f t="shared" si="4281"/>
        <v>1</v>
      </c>
      <c r="J1014" s="8">
        <f t="shared" si="4282"/>
        <v>0</v>
      </c>
      <c r="K1014" s="8">
        <f t="shared" si="4283"/>
        <v>0</v>
      </c>
      <c r="L1014" s="8">
        <f t="shared" si="4284"/>
        <v>0</v>
      </c>
      <c r="M1014" s="8">
        <f t="shared" si="4285"/>
        <v>0</v>
      </c>
      <c r="N1014" s="8">
        <f t="shared" si="4286"/>
        <v>0</v>
      </c>
      <c r="O1014" s="8">
        <f t="shared" si="4287"/>
        <v>0</v>
      </c>
      <c r="P1014" s="8" t="e">
        <v>#NUM!</v>
      </c>
      <c r="Q1014" s="8" t="e">
        <f t="shared" ref="Q1014" si="4314">IF(COUNTIF(P1009:P1019,"&lt;"&amp;-0.001)=0,IF(ABS(P1014)&lt;0.001,0,P1014)," ")</f>
        <v>#NUM!</v>
      </c>
      <c r="R1014" s="8"/>
      <c r="S1014" s="8"/>
      <c r="U1014" s="34"/>
      <c r="V1014" s="34"/>
      <c r="W1014" s="34"/>
      <c r="X1014" s="34"/>
      <c r="Y1014" s="34"/>
      <c r="Z1014" s="34"/>
      <c r="AA1014" s="34"/>
      <c r="AB1014" s="34"/>
      <c r="AC1014" s="34"/>
      <c r="AD1014" s="34"/>
      <c r="AE1014" s="34"/>
      <c r="AF1014" s="34"/>
      <c r="AG1014" s="34"/>
      <c r="AH1014" s="34"/>
      <c r="AI1014" s="34"/>
      <c r="AJ1014" s="34"/>
      <c r="AK1014" s="34"/>
      <c r="AL1014" s="34"/>
      <c r="AM1014" s="34"/>
      <c r="AN1014" s="34"/>
      <c r="AO1014" s="34"/>
      <c r="AP1014" s="34"/>
      <c r="AQ1014" s="34"/>
      <c r="AR1014" s="34"/>
      <c r="AS1014" s="34"/>
      <c r="AT1014" s="34"/>
      <c r="AU1014" s="34"/>
      <c r="AV1014" s="34"/>
      <c r="AW1014" s="34"/>
      <c r="AX1014" s="34"/>
      <c r="AY1014" s="34"/>
      <c r="AZ1014" s="34"/>
      <c r="BA1014" s="34"/>
      <c r="BB1014" s="34"/>
      <c r="BC1014" s="34"/>
      <c r="BD1014" s="34"/>
      <c r="BE1014" s="34"/>
      <c r="BF1014" s="34"/>
      <c r="BG1014" s="34"/>
      <c r="BH1014" s="34"/>
      <c r="BI1014" s="34"/>
      <c r="BJ1014" s="34"/>
      <c r="BK1014" s="34"/>
      <c r="BL1014" s="34"/>
      <c r="BM1014" s="34"/>
      <c r="BN1014" s="34"/>
      <c r="BO1014" s="34"/>
      <c r="BP1014" s="34"/>
      <c r="BQ1014" s="34"/>
      <c r="BR1014" s="34"/>
      <c r="BS1014" s="34"/>
      <c r="BT1014" s="34"/>
      <c r="BU1014" s="34"/>
      <c r="BV1014" s="34"/>
      <c r="BW1014" s="34"/>
      <c r="BX1014" s="34"/>
      <c r="BY1014" s="34"/>
      <c r="BZ1014" s="34"/>
      <c r="CA1014" s="34"/>
      <c r="CB1014" s="34"/>
      <c r="CC1014" s="34"/>
      <c r="CD1014" s="34"/>
      <c r="CE1014" s="34"/>
      <c r="CF1014" s="34"/>
      <c r="CG1014" s="34"/>
      <c r="CH1014" s="34"/>
      <c r="CI1014" s="8"/>
    </row>
    <row r="1015" spans="1:87" x14ac:dyDescent="0.2">
      <c r="A1015" s="8" t="str">
        <f>IF(AND(COUNTIF(W$3:W$13,A$21)&gt;0,A$21&lt;&gt;B800),A$21,IFERROR(IF(MATCH(A$21,Z$3:Z$13,0)=10,A$21," ")," "))</f>
        <v xml:space="preserve"> </v>
      </c>
      <c r="B1015" s="8" t="str">
        <f>IF(A1015=" "," ",MAX(B1009:B1014)+1)</f>
        <v xml:space="preserve"> </v>
      </c>
      <c r="C1015" s="8" t="str">
        <f>IFERROR(INDEX(A1009:A1030,MATCH(SMALL(B1009:B1030,7),B1009:B1030,0),1)," ")</f>
        <v>C18</v>
      </c>
      <c r="D1015" s="8">
        <f t="shared" si="4276"/>
        <v>0</v>
      </c>
      <c r="E1015" s="8">
        <f t="shared" si="4277"/>
        <v>0</v>
      </c>
      <c r="F1015" s="8">
        <f t="shared" si="4278"/>
        <v>0</v>
      </c>
      <c r="G1015" s="8">
        <f t="shared" si="4279"/>
        <v>0</v>
      </c>
      <c r="H1015" s="8">
        <f t="shared" si="4280"/>
        <v>0</v>
      </c>
      <c r="I1015" s="8">
        <f t="shared" si="4281"/>
        <v>0</v>
      </c>
      <c r="J1015" s="8">
        <f t="shared" si="4282"/>
        <v>1</v>
      </c>
      <c r="K1015" s="8">
        <f t="shared" si="4283"/>
        <v>0</v>
      </c>
      <c r="L1015" s="8">
        <f t="shared" si="4284"/>
        <v>0</v>
      </c>
      <c r="M1015" s="8">
        <f t="shared" si="4285"/>
        <v>0</v>
      </c>
      <c r="N1015" s="8">
        <f t="shared" si="4286"/>
        <v>0</v>
      </c>
      <c r="O1015" s="8">
        <f t="shared" si="4287"/>
        <v>0</v>
      </c>
      <c r="P1015" s="8" t="e">
        <v>#NUM!</v>
      </c>
      <c r="Q1015" s="8" t="e">
        <f t="shared" ref="Q1015" si="4315">IF(COUNTIF(P1009:P1019,"&lt;"&amp;-0.001)=0,IF(ABS(P1015)&lt;0.001,0,P1015)," ")</f>
        <v>#NUM!</v>
      </c>
      <c r="R1015" s="8"/>
      <c r="S1015" s="8"/>
      <c r="U1015" s="34"/>
      <c r="V1015" s="34"/>
      <c r="W1015" s="34"/>
      <c r="X1015" s="34"/>
      <c r="Y1015" s="34"/>
      <c r="Z1015" s="34"/>
      <c r="AA1015" s="34"/>
      <c r="AB1015" s="34"/>
      <c r="AC1015" s="34"/>
      <c r="AD1015" s="34"/>
      <c r="AE1015" s="34"/>
      <c r="AF1015" s="34"/>
      <c r="AG1015" s="34"/>
      <c r="AH1015" s="34"/>
      <c r="AI1015" s="34"/>
      <c r="AJ1015" s="34"/>
      <c r="AK1015" s="34"/>
      <c r="AL1015" s="34"/>
      <c r="AM1015" s="34"/>
      <c r="AN1015" s="34"/>
      <c r="AO1015" s="34"/>
      <c r="AP1015" s="34"/>
      <c r="AQ1015" s="34"/>
      <c r="AR1015" s="34"/>
      <c r="AS1015" s="34"/>
      <c r="AT1015" s="34"/>
      <c r="AU1015" s="34"/>
      <c r="AV1015" s="34"/>
      <c r="AW1015" s="34"/>
      <c r="AX1015" s="34"/>
      <c r="AY1015" s="34"/>
      <c r="AZ1015" s="34"/>
      <c r="BA1015" s="34"/>
      <c r="BB1015" s="34"/>
      <c r="BC1015" s="34"/>
      <c r="BD1015" s="34"/>
      <c r="BE1015" s="34"/>
      <c r="BF1015" s="34"/>
      <c r="BG1015" s="34"/>
      <c r="BH1015" s="34"/>
      <c r="BI1015" s="34"/>
      <c r="BJ1015" s="34"/>
      <c r="BK1015" s="34"/>
      <c r="BL1015" s="34"/>
      <c r="BM1015" s="34"/>
      <c r="BN1015" s="34"/>
      <c r="BO1015" s="34"/>
      <c r="BP1015" s="34"/>
      <c r="BQ1015" s="34"/>
      <c r="BR1015" s="34"/>
      <c r="BS1015" s="34"/>
      <c r="BT1015" s="34"/>
      <c r="BU1015" s="34"/>
      <c r="BV1015" s="34"/>
      <c r="BW1015" s="34"/>
      <c r="BX1015" s="34"/>
      <c r="BY1015" s="34"/>
      <c r="BZ1015" s="34"/>
      <c r="CA1015" s="34"/>
      <c r="CB1015" s="34"/>
      <c r="CC1015" s="34"/>
      <c r="CD1015" s="34"/>
      <c r="CE1015" s="34"/>
      <c r="CF1015" s="34"/>
      <c r="CG1015" s="34"/>
      <c r="CH1015" s="34"/>
      <c r="CI1015" s="8"/>
    </row>
    <row r="1016" spans="1:87" x14ac:dyDescent="0.2">
      <c r="A1016" s="8" t="str">
        <f>IF(AND(COUNTIF(W$3:W$13,A$22)&gt;0,A$22&lt;&gt;B800),A$22,IFERROR(IF(MATCH(A$22,Z$3:Z$13,0)=10,A$22," ")," "))</f>
        <v xml:space="preserve"> </v>
      </c>
      <c r="B1016" s="8" t="str">
        <f>IF(A1016=" "," ",MAX(B1009:B1015)+1)</f>
        <v xml:space="preserve"> </v>
      </c>
      <c r="C1016" s="8" t="str">
        <f>IFERROR(INDEX(A1009:A1030,MATCH(SMALL(B1009:B1030,8),B1009:B1030,0),1)," ")</f>
        <v>C19</v>
      </c>
      <c r="D1016" s="8">
        <f t="shared" si="4276"/>
        <v>0</v>
      </c>
      <c r="E1016" s="8">
        <f t="shared" si="4277"/>
        <v>0</v>
      </c>
      <c r="F1016" s="8">
        <f t="shared" si="4278"/>
        <v>0</v>
      </c>
      <c r="G1016" s="8">
        <f t="shared" si="4279"/>
        <v>0</v>
      </c>
      <c r="H1016" s="8">
        <f t="shared" si="4280"/>
        <v>0</v>
      </c>
      <c r="I1016" s="8">
        <f t="shared" si="4281"/>
        <v>0</v>
      </c>
      <c r="J1016" s="8">
        <f t="shared" si="4282"/>
        <v>0</v>
      </c>
      <c r="K1016" s="8">
        <f t="shared" si="4283"/>
        <v>1</v>
      </c>
      <c r="L1016" s="8">
        <f t="shared" si="4284"/>
        <v>0</v>
      </c>
      <c r="M1016" s="8">
        <f t="shared" si="4285"/>
        <v>0</v>
      </c>
      <c r="N1016" s="8">
        <f t="shared" si="4286"/>
        <v>0</v>
      </c>
      <c r="O1016" s="8">
        <f t="shared" si="4287"/>
        <v>0</v>
      </c>
      <c r="P1016" s="8" t="e">
        <v>#NUM!</v>
      </c>
      <c r="Q1016" s="8" t="e">
        <f t="shared" ref="Q1016" si="4316">IF(COUNTIF(P1009:P1019,"&lt;"&amp;-0.001)=0,IF(ABS(P1016)&lt;0.001,0,P1016)," ")</f>
        <v>#NUM!</v>
      </c>
      <c r="R1016" s="8"/>
      <c r="S1016" s="8"/>
      <c r="U1016" s="34"/>
      <c r="V1016" s="34"/>
      <c r="W1016" s="34"/>
      <c r="X1016" s="34"/>
      <c r="Y1016" s="34"/>
      <c r="Z1016" s="34"/>
      <c r="AA1016" s="34"/>
      <c r="AB1016" s="34"/>
      <c r="AC1016" s="34"/>
      <c r="AD1016" s="34"/>
      <c r="AE1016" s="34"/>
      <c r="AF1016" s="34"/>
      <c r="AG1016" s="34"/>
      <c r="AH1016" s="34"/>
      <c r="AI1016" s="34"/>
      <c r="AJ1016" s="34"/>
      <c r="AK1016" s="34"/>
      <c r="AL1016" s="34"/>
      <c r="AM1016" s="34"/>
      <c r="AN1016" s="34"/>
      <c r="AO1016" s="34"/>
      <c r="AP1016" s="34"/>
      <c r="AQ1016" s="34"/>
      <c r="AR1016" s="34"/>
      <c r="AS1016" s="34"/>
      <c r="AT1016" s="34"/>
      <c r="AU1016" s="34"/>
      <c r="AV1016" s="34"/>
      <c r="AW1016" s="34"/>
      <c r="AX1016" s="34"/>
      <c r="AY1016" s="34"/>
      <c r="AZ1016" s="34"/>
      <c r="BA1016" s="34"/>
      <c r="BB1016" s="34"/>
      <c r="BC1016" s="34"/>
      <c r="BD1016" s="34"/>
      <c r="BE1016" s="34"/>
      <c r="BF1016" s="34"/>
      <c r="BG1016" s="34"/>
      <c r="BH1016" s="34"/>
      <c r="BI1016" s="34"/>
      <c r="BJ1016" s="34"/>
      <c r="BK1016" s="34"/>
      <c r="BL1016" s="34"/>
      <c r="BM1016" s="34"/>
      <c r="BN1016" s="34"/>
      <c r="BO1016" s="34"/>
      <c r="BP1016" s="34"/>
      <c r="BQ1016" s="34"/>
      <c r="BR1016" s="34"/>
      <c r="BS1016" s="34"/>
      <c r="BT1016" s="34"/>
      <c r="BU1016" s="34"/>
      <c r="BV1016" s="34"/>
      <c r="BW1016" s="34"/>
      <c r="BX1016" s="34"/>
      <c r="BY1016" s="34"/>
      <c r="BZ1016" s="34"/>
      <c r="CA1016" s="34"/>
      <c r="CB1016" s="34"/>
      <c r="CC1016" s="34"/>
      <c r="CD1016" s="34"/>
      <c r="CE1016" s="34"/>
      <c r="CF1016" s="34"/>
      <c r="CG1016" s="34"/>
      <c r="CH1016" s="34"/>
      <c r="CI1016" s="8"/>
    </row>
    <row r="1017" spans="1:87" x14ac:dyDescent="0.2">
      <c r="A1017" s="8" t="str">
        <f>IF(AND(COUNTIF(W$3:W$13,A$23)&gt;0,A$23&lt;&gt;B800),A$23,IFERROR(IF(MATCH(A$23,Z$3:Z$13,0)=10,A$23," ")," "))</f>
        <v xml:space="preserve"> </v>
      </c>
      <c r="B1017" s="8" t="str">
        <f>IF(A1017=" "," ",MAX(B1009:B1016)+1)</f>
        <v xml:space="preserve"> </v>
      </c>
      <c r="C1017" s="8" t="str">
        <f>IFERROR(INDEX(A1009:A1030,MATCH(SMALL(B1009:B1030,9),B1009:B1030,0),1)," ")</f>
        <v>C20</v>
      </c>
      <c r="D1017" s="8">
        <f t="shared" si="4276"/>
        <v>0</v>
      </c>
      <c r="E1017" s="8">
        <f t="shared" si="4277"/>
        <v>0</v>
      </c>
      <c r="F1017" s="8">
        <f t="shared" si="4278"/>
        <v>0</v>
      </c>
      <c r="G1017" s="8">
        <f t="shared" si="4279"/>
        <v>0</v>
      </c>
      <c r="H1017" s="8">
        <f t="shared" si="4280"/>
        <v>0</v>
      </c>
      <c r="I1017" s="8">
        <f t="shared" si="4281"/>
        <v>0</v>
      </c>
      <c r="J1017" s="8">
        <f t="shared" si="4282"/>
        <v>0</v>
      </c>
      <c r="K1017" s="8">
        <f t="shared" si="4283"/>
        <v>0</v>
      </c>
      <c r="L1017" s="8">
        <f t="shared" si="4284"/>
        <v>1</v>
      </c>
      <c r="M1017" s="8">
        <f t="shared" si="4285"/>
        <v>0</v>
      </c>
      <c r="N1017" s="8">
        <f t="shared" si="4286"/>
        <v>0</v>
      </c>
      <c r="O1017" s="8">
        <f t="shared" si="4287"/>
        <v>0</v>
      </c>
      <c r="P1017" s="6" t="e">
        <v>#NUM!</v>
      </c>
      <c r="Q1017" s="8" t="e">
        <f t="shared" ref="Q1017" si="4317">IF(COUNTIF(P1009:P1019,"&lt;"&amp;-0.001)=0,IF(ABS(P1017)&lt;0.001,0,P1017)," ")</f>
        <v>#NUM!</v>
      </c>
      <c r="R1017" s="8"/>
      <c r="S1017" s="8"/>
      <c r="U1017" s="34"/>
      <c r="V1017" s="34"/>
      <c r="W1017" s="34"/>
      <c r="X1017" s="34"/>
      <c r="Y1017" s="34"/>
      <c r="Z1017" s="34"/>
      <c r="AA1017" s="34"/>
      <c r="AB1017" s="34"/>
      <c r="AC1017" s="34"/>
      <c r="AD1017" s="34"/>
      <c r="AE1017" s="34"/>
      <c r="AF1017" s="34"/>
      <c r="AG1017" s="34"/>
      <c r="AH1017" s="34"/>
      <c r="AI1017" s="34"/>
      <c r="AJ1017" s="34"/>
      <c r="AK1017" s="34"/>
      <c r="AL1017" s="34"/>
      <c r="AM1017" s="34"/>
      <c r="AN1017" s="34"/>
      <c r="AO1017" s="34"/>
      <c r="AP1017" s="34"/>
      <c r="AQ1017" s="34"/>
      <c r="AR1017" s="34"/>
      <c r="AS1017" s="34"/>
      <c r="AT1017" s="34"/>
      <c r="AU1017" s="34"/>
      <c r="AV1017" s="34"/>
      <c r="AW1017" s="34"/>
      <c r="AX1017" s="34"/>
      <c r="AY1017" s="34"/>
      <c r="AZ1017" s="34"/>
      <c r="BA1017" s="34"/>
      <c r="BB1017" s="34"/>
      <c r="BC1017" s="34"/>
      <c r="BD1017" s="34"/>
      <c r="BE1017" s="34"/>
      <c r="BF1017" s="34"/>
      <c r="BG1017" s="34"/>
      <c r="BH1017" s="34"/>
      <c r="BI1017" s="34"/>
      <c r="BJ1017" s="34"/>
      <c r="BK1017" s="34"/>
      <c r="BL1017" s="34"/>
      <c r="BM1017" s="34"/>
      <c r="BN1017" s="34"/>
      <c r="BO1017" s="34"/>
      <c r="BP1017" s="34"/>
      <c r="BQ1017" s="34"/>
      <c r="BR1017" s="34"/>
      <c r="BS1017" s="34"/>
      <c r="BT1017" s="34"/>
      <c r="BU1017" s="34"/>
      <c r="BV1017" s="34"/>
      <c r="BW1017" s="34"/>
      <c r="BX1017" s="34"/>
      <c r="BY1017" s="34"/>
      <c r="BZ1017" s="34"/>
      <c r="CA1017" s="34"/>
      <c r="CB1017" s="34"/>
      <c r="CC1017" s="34"/>
      <c r="CD1017" s="34"/>
      <c r="CE1017" s="34"/>
      <c r="CF1017" s="34"/>
      <c r="CG1017" s="34"/>
      <c r="CH1017" s="34"/>
      <c r="CI1017" s="8"/>
    </row>
    <row r="1018" spans="1:87" x14ac:dyDescent="0.2">
      <c r="A1018" s="8" t="str">
        <f>IF(AND(COUNTIF(W$3:W$13,A$24)&gt;0,A$24&lt;&gt;B800),A$24,IFERROR(IF(MATCH(A$24,Z$3:Z$13,0)=10,A$24," ")," "))</f>
        <v xml:space="preserve"> </v>
      </c>
      <c r="B1018" s="8" t="str">
        <f>IF(A1018=" "," ",MAX(B1009:B1017)+1)</f>
        <v xml:space="preserve"> </v>
      </c>
      <c r="C1018" s="8" t="str">
        <f>IFERROR(INDEX(A1009:A1030,MATCH(SMALL(B1009:B1030,10),B1009:B1030,0),1)," ")</f>
        <v>C21</v>
      </c>
      <c r="D1018" s="8">
        <f t="shared" si="4276"/>
        <v>0</v>
      </c>
      <c r="E1018" s="8">
        <f t="shared" si="4277"/>
        <v>0</v>
      </c>
      <c r="F1018" s="8">
        <f t="shared" si="4278"/>
        <v>0</v>
      </c>
      <c r="G1018" s="8">
        <f t="shared" si="4279"/>
        <v>0</v>
      </c>
      <c r="H1018" s="8">
        <f t="shared" si="4280"/>
        <v>0</v>
      </c>
      <c r="I1018" s="8">
        <f t="shared" si="4281"/>
        <v>0</v>
      </c>
      <c r="J1018" s="8">
        <f t="shared" si="4282"/>
        <v>0</v>
      </c>
      <c r="K1018" s="8">
        <f t="shared" si="4283"/>
        <v>0</v>
      </c>
      <c r="L1018" s="8">
        <f t="shared" si="4284"/>
        <v>0</v>
      </c>
      <c r="M1018" s="8">
        <f t="shared" si="4285"/>
        <v>1</v>
      </c>
      <c r="N1018" s="8">
        <f t="shared" si="4286"/>
        <v>0</v>
      </c>
      <c r="O1018" s="8">
        <f t="shared" si="4287"/>
        <v>0</v>
      </c>
      <c r="P1018" s="8" t="e">
        <v>#NUM!</v>
      </c>
      <c r="Q1018" s="8" t="e">
        <f t="shared" ref="Q1018" si="4318">IF(COUNTIF(P1009:P1019,"&lt;"&amp;-0.001)=0,IF(ABS(P1018)&lt;0.001,0,P1018)," ")</f>
        <v>#NUM!</v>
      </c>
      <c r="R1018" s="8"/>
      <c r="S1018" s="8"/>
      <c r="U1018" s="34"/>
      <c r="V1018" s="34"/>
      <c r="W1018" s="34"/>
      <c r="X1018" s="34"/>
      <c r="Y1018" s="34"/>
      <c r="Z1018" s="34"/>
      <c r="AA1018" s="34"/>
      <c r="AB1018" s="34"/>
      <c r="AC1018" s="34"/>
      <c r="AD1018" s="34"/>
      <c r="AE1018" s="34"/>
      <c r="AF1018" s="34"/>
      <c r="AG1018" s="34"/>
      <c r="AH1018" s="34"/>
      <c r="AI1018" s="34"/>
      <c r="AJ1018" s="34"/>
      <c r="AK1018" s="34"/>
      <c r="AL1018" s="34"/>
      <c r="AM1018" s="34"/>
      <c r="AN1018" s="34"/>
      <c r="AO1018" s="34"/>
      <c r="AP1018" s="34"/>
      <c r="AQ1018" s="34"/>
      <c r="AR1018" s="34"/>
      <c r="AS1018" s="34"/>
      <c r="AT1018" s="34"/>
      <c r="AU1018" s="34"/>
      <c r="AV1018" s="34"/>
      <c r="AW1018" s="34"/>
      <c r="AX1018" s="34"/>
      <c r="AY1018" s="34"/>
      <c r="AZ1018" s="34"/>
      <c r="BA1018" s="34"/>
      <c r="BB1018" s="34"/>
      <c r="BC1018" s="34"/>
      <c r="BD1018" s="34"/>
      <c r="BE1018" s="34"/>
      <c r="BF1018" s="34"/>
      <c r="BG1018" s="34"/>
      <c r="BH1018" s="34"/>
      <c r="BI1018" s="34"/>
      <c r="BJ1018" s="34"/>
      <c r="BK1018" s="34"/>
      <c r="BL1018" s="34"/>
      <c r="BM1018" s="34"/>
      <c r="BN1018" s="34"/>
      <c r="BO1018" s="34"/>
      <c r="BP1018" s="34"/>
      <c r="BQ1018" s="34"/>
      <c r="BR1018" s="34"/>
      <c r="BS1018" s="34"/>
      <c r="BT1018" s="34"/>
      <c r="BU1018" s="34"/>
      <c r="BV1018" s="34"/>
      <c r="BW1018" s="34"/>
      <c r="BX1018" s="34"/>
      <c r="BY1018" s="34"/>
      <c r="BZ1018" s="34"/>
      <c r="CA1018" s="34"/>
      <c r="CB1018" s="34"/>
      <c r="CC1018" s="34"/>
      <c r="CD1018" s="34"/>
      <c r="CE1018" s="34"/>
      <c r="CF1018" s="34"/>
      <c r="CG1018" s="34"/>
      <c r="CH1018" s="34"/>
      <c r="CI1018" s="8"/>
    </row>
    <row r="1019" spans="1:87" x14ac:dyDescent="0.2">
      <c r="A1019" s="8" t="str">
        <f>IF(AND(COUNTIF(W$3:W$13,A$25)&gt;0,A$25&lt;&gt;B800),A$25,IFERROR(IF(MATCH(A$25,Z$3:Z$13,0)=10,A$25," ")," "))</f>
        <v xml:space="preserve"> </v>
      </c>
      <c r="B1019" s="8" t="str">
        <f>IF(A1019=" "," ",MAX(B1009:B1018)+1)</f>
        <v xml:space="preserve"> </v>
      </c>
      <c r="C1019" s="8" t="str">
        <f>IFERROR(INDEX(A1009:A1030,MATCH(SMALL(B1009:B1030,11),B1009:B1030,0),1)," ")</f>
        <v>C22</v>
      </c>
      <c r="D1019" s="8">
        <f t="shared" si="4276"/>
        <v>0</v>
      </c>
      <c r="E1019" s="8">
        <f t="shared" si="4277"/>
        <v>0</v>
      </c>
      <c r="F1019" s="8">
        <f t="shared" si="4278"/>
        <v>0</v>
      </c>
      <c r="G1019" s="8">
        <f t="shared" si="4279"/>
        <v>0</v>
      </c>
      <c r="H1019" s="8">
        <f t="shared" si="4280"/>
        <v>0</v>
      </c>
      <c r="I1019" s="8">
        <f t="shared" si="4281"/>
        <v>0</v>
      </c>
      <c r="J1019" s="8">
        <f t="shared" si="4282"/>
        <v>0</v>
      </c>
      <c r="K1019" s="8">
        <f t="shared" si="4283"/>
        <v>0</v>
      </c>
      <c r="L1019" s="8">
        <f t="shared" si="4284"/>
        <v>0</v>
      </c>
      <c r="M1019" s="8">
        <f t="shared" si="4285"/>
        <v>0</v>
      </c>
      <c r="N1019" s="8">
        <f t="shared" si="4286"/>
        <v>1</v>
      </c>
      <c r="O1019" s="8">
        <f t="shared" si="4287"/>
        <v>0</v>
      </c>
      <c r="P1019" s="8" t="e">
        <v>#NUM!</v>
      </c>
      <c r="Q1019" s="8" t="e">
        <f t="shared" ref="Q1019" si="4319">IF(COUNTIF(P1009:P1019,"&lt;"&amp;-0.001)=0,IF(ABS(P1019)&lt;0.001,0,P1019)," ")</f>
        <v>#NUM!</v>
      </c>
      <c r="R1019" s="8"/>
      <c r="S1019" s="8"/>
      <c r="U1019" s="34"/>
      <c r="V1019" s="34"/>
      <c r="W1019" s="34"/>
      <c r="X1019" s="34"/>
      <c r="Y1019" s="34"/>
      <c r="Z1019" s="34"/>
      <c r="AA1019" s="34"/>
      <c r="AB1019" s="34"/>
      <c r="AC1019" s="34"/>
      <c r="AD1019" s="34"/>
      <c r="AE1019" s="34"/>
      <c r="AF1019" s="34"/>
      <c r="AG1019" s="34"/>
      <c r="AH1019" s="34"/>
      <c r="AI1019" s="34"/>
      <c r="AJ1019" s="34"/>
      <c r="AK1019" s="34"/>
      <c r="AL1019" s="34"/>
      <c r="AM1019" s="34"/>
      <c r="AN1019" s="34"/>
      <c r="AO1019" s="34"/>
      <c r="AP1019" s="34"/>
      <c r="AQ1019" s="34"/>
      <c r="AR1019" s="34"/>
      <c r="AS1019" s="34"/>
      <c r="AT1019" s="34"/>
      <c r="AU1019" s="34"/>
      <c r="AV1019" s="34"/>
      <c r="AW1019" s="34"/>
      <c r="AX1019" s="34"/>
      <c r="AY1019" s="34"/>
      <c r="AZ1019" s="34"/>
      <c r="BA1019" s="34"/>
      <c r="BB1019" s="34"/>
      <c r="BC1019" s="34"/>
      <c r="BD1019" s="34"/>
      <c r="BE1019" s="34"/>
      <c r="BF1019" s="34"/>
      <c r="BG1019" s="34"/>
      <c r="BH1019" s="34"/>
      <c r="BI1019" s="34"/>
      <c r="BJ1019" s="34"/>
      <c r="BK1019" s="34"/>
      <c r="BL1019" s="34"/>
      <c r="BM1019" s="34"/>
      <c r="BN1019" s="34"/>
      <c r="BO1019" s="34"/>
      <c r="BP1019" s="34"/>
      <c r="BQ1019" s="34"/>
      <c r="BR1019" s="34"/>
      <c r="BS1019" s="34"/>
      <c r="BT1019" s="34"/>
      <c r="BU1019" s="34"/>
      <c r="BV1019" s="34"/>
      <c r="BW1019" s="34"/>
      <c r="BX1019" s="34"/>
      <c r="BY1019" s="34"/>
      <c r="BZ1019" s="34"/>
      <c r="CA1019" s="34"/>
      <c r="CB1019" s="34"/>
      <c r="CC1019" s="34"/>
      <c r="CD1019" s="34"/>
      <c r="CE1019" s="34"/>
      <c r="CF1019" s="34"/>
      <c r="CG1019" s="34"/>
      <c r="CH1019" s="34"/>
      <c r="CI1019" s="8"/>
    </row>
    <row r="1020" spans="1:87" x14ac:dyDescent="0.2">
      <c r="A1020" s="8" t="str">
        <f>IF(AND(COUNTIF(W$3:W$13,A$26)&gt;0,A$26&lt;&gt;B800),A$26,IFERROR(IF(MATCH(A$26,Z$3:Z$13,0)=10,A$26," ")," "))</f>
        <v>C12</v>
      </c>
      <c r="B1020" s="8">
        <f>IF(A1020=" "," ",MAX(B1009:B1019)+1)</f>
        <v>3</v>
      </c>
      <c r="C1020" s="8"/>
      <c r="D1020" s="8"/>
      <c r="E1020" s="8"/>
      <c r="F1020" s="8"/>
      <c r="G1020" s="8"/>
      <c r="H1020" s="8"/>
      <c r="I1020" s="8"/>
      <c r="J1020" s="8"/>
      <c r="K1020" s="8"/>
      <c r="L1020" s="8"/>
      <c r="M1020" s="8"/>
      <c r="N1020" s="8"/>
      <c r="O1020" s="8"/>
      <c r="P1020" s="8"/>
      <c r="Q1020" s="8"/>
      <c r="R1020" s="8"/>
      <c r="S1020" s="8"/>
      <c r="U1020" s="34"/>
      <c r="V1020" s="34"/>
      <c r="W1020" s="34"/>
      <c r="X1020" s="34"/>
      <c r="Y1020" s="34"/>
      <c r="Z1020" s="34"/>
      <c r="AA1020" s="34"/>
      <c r="AB1020" s="34"/>
      <c r="AC1020" s="34"/>
      <c r="AD1020" s="34"/>
      <c r="AE1020" s="34"/>
      <c r="AF1020" s="34"/>
      <c r="AG1020" s="34"/>
      <c r="AH1020" s="34"/>
      <c r="AI1020" s="34"/>
      <c r="AJ1020" s="34"/>
      <c r="AK1020" s="34"/>
      <c r="AL1020" s="34"/>
      <c r="AM1020" s="34"/>
      <c r="AN1020" s="34"/>
      <c r="AO1020" s="34"/>
      <c r="AP1020" s="34"/>
      <c r="AQ1020" s="34"/>
      <c r="AR1020" s="34"/>
      <c r="AS1020" s="34"/>
      <c r="AT1020" s="34"/>
      <c r="AU1020" s="34"/>
      <c r="AV1020" s="34"/>
      <c r="AW1020" s="34"/>
      <c r="AX1020" s="34"/>
      <c r="AY1020" s="34"/>
      <c r="AZ1020" s="34"/>
      <c r="BA1020" s="34"/>
      <c r="BB1020" s="34"/>
      <c r="BC1020" s="34"/>
      <c r="BD1020" s="34"/>
      <c r="BE1020" s="34"/>
      <c r="BF1020" s="34"/>
      <c r="BG1020" s="34"/>
      <c r="BH1020" s="34"/>
      <c r="BI1020" s="34"/>
      <c r="BJ1020" s="34"/>
      <c r="BK1020" s="34"/>
      <c r="BL1020" s="34"/>
      <c r="BM1020" s="34"/>
      <c r="BN1020" s="34"/>
      <c r="BO1020" s="34"/>
      <c r="BP1020" s="34"/>
      <c r="BQ1020" s="34"/>
      <c r="BR1020" s="34"/>
      <c r="BS1020" s="34"/>
      <c r="BT1020" s="34"/>
      <c r="BU1020" s="34"/>
      <c r="BV1020" s="34"/>
      <c r="BW1020" s="34"/>
      <c r="BX1020" s="34"/>
      <c r="BY1020" s="34"/>
      <c r="BZ1020" s="34"/>
      <c r="CA1020" s="34"/>
      <c r="CB1020" s="34"/>
      <c r="CC1020" s="34"/>
      <c r="CD1020" s="34"/>
      <c r="CE1020" s="34"/>
      <c r="CF1020" s="34"/>
      <c r="CG1020" s="34"/>
      <c r="CH1020" s="34"/>
      <c r="CI1020" s="8"/>
    </row>
    <row r="1021" spans="1:87" x14ac:dyDescent="0.2">
      <c r="A1021" s="8" t="str">
        <f>IF(AND(COUNTIF(W$3:W$13,A$27)&gt;0,A$27&lt;&gt;B800),A$27,IFERROR(IF(MATCH(A$27,Z$3:Z$13,0)=10,A$27," ")," "))</f>
        <v>C13</v>
      </c>
      <c r="B1021" s="8">
        <f>IF(A1021=" "," ",MAX(B1009:B1020)+1)</f>
        <v>4</v>
      </c>
      <c r="C1021" s="8"/>
      <c r="D1021" s="8"/>
      <c r="E1021" s="8"/>
      <c r="F1021" s="8"/>
      <c r="G1021" s="8"/>
      <c r="H1021" s="8"/>
      <c r="I1021" s="8"/>
      <c r="J1021" s="8"/>
      <c r="K1021" s="8"/>
      <c r="L1021" s="8"/>
      <c r="M1021" s="8"/>
      <c r="N1021" s="8"/>
      <c r="O1021" s="8"/>
      <c r="P1021" s="8"/>
      <c r="Q1021" s="8"/>
      <c r="R1021" s="8"/>
      <c r="S1021" s="8"/>
      <c r="U1021" s="34"/>
      <c r="V1021" s="34"/>
      <c r="W1021" s="34"/>
      <c r="X1021" s="34"/>
      <c r="Y1021" s="34"/>
      <c r="Z1021" s="34"/>
      <c r="AA1021" s="34"/>
      <c r="AB1021" s="34"/>
      <c r="AC1021" s="34"/>
      <c r="AD1021" s="34"/>
      <c r="AE1021" s="34"/>
      <c r="AF1021" s="34"/>
      <c r="AG1021" s="34"/>
      <c r="AH1021" s="34"/>
      <c r="AI1021" s="34"/>
      <c r="AJ1021" s="34"/>
      <c r="AK1021" s="34"/>
      <c r="AL1021" s="34"/>
      <c r="AM1021" s="34"/>
      <c r="AN1021" s="34"/>
      <c r="AO1021" s="34"/>
      <c r="AP1021" s="34"/>
      <c r="AQ1021" s="34"/>
      <c r="AR1021" s="34"/>
      <c r="AS1021" s="34"/>
      <c r="AT1021" s="34"/>
      <c r="AU1021" s="34"/>
      <c r="AV1021" s="34"/>
      <c r="AW1021" s="34"/>
      <c r="AX1021" s="34"/>
      <c r="AY1021" s="34"/>
      <c r="AZ1021" s="34"/>
      <c r="BA1021" s="34"/>
      <c r="BB1021" s="34"/>
      <c r="BC1021" s="34"/>
      <c r="BD1021" s="34"/>
      <c r="BE1021" s="34"/>
      <c r="BF1021" s="34"/>
      <c r="BG1021" s="34"/>
      <c r="BH1021" s="34"/>
      <c r="BI1021" s="34"/>
      <c r="BJ1021" s="34"/>
      <c r="BK1021" s="34"/>
      <c r="BL1021" s="34"/>
      <c r="BM1021" s="34"/>
      <c r="BN1021" s="34"/>
      <c r="BO1021" s="34"/>
      <c r="BP1021" s="34"/>
      <c r="BQ1021" s="34"/>
      <c r="BR1021" s="34"/>
      <c r="BS1021" s="34"/>
      <c r="BT1021" s="34"/>
      <c r="BU1021" s="34"/>
      <c r="BV1021" s="34"/>
      <c r="BW1021" s="34"/>
      <c r="BX1021" s="34"/>
      <c r="BY1021" s="34"/>
      <c r="BZ1021" s="34"/>
      <c r="CA1021" s="34"/>
      <c r="CB1021" s="34"/>
      <c r="CC1021" s="34"/>
      <c r="CD1021" s="34"/>
      <c r="CE1021" s="34"/>
      <c r="CF1021" s="34"/>
      <c r="CG1021" s="34"/>
      <c r="CH1021" s="34"/>
      <c r="CI1021" s="8"/>
    </row>
    <row r="1022" spans="1:87" x14ac:dyDescent="0.2">
      <c r="A1022" s="8" t="str">
        <f>IF(AND(COUNTIF(W$3:W$13,A$28)&gt;0,A$28&lt;&gt;B800),A$28,IFERROR(IF(MATCH(A$28,Z$3:Z$13,0)=10,A$28," ")," "))</f>
        <v xml:space="preserve"> </v>
      </c>
      <c r="B1022" s="8" t="str">
        <f>IF(A1022=" "," ",MAX(B1009:B1021)+1)</f>
        <v xml:space="preserve"> </v>
      </c>
      <c r="C1022" s="8"/>
      <c r="D1022" s="8"/>
      <c r="E1022" s="8"/>
      <c r="F1022" s="8"/>
      <c r="G1022" s="8"/>
      <c r="H1022" s="8"/>
      <c r="I1022" s="8"/>
      <c r="J1022" s="8"/>
      <c r="K1022" s="8"/>
      <c r="L1022" s="8"/>
      <c r="M1022" s="8"/>
      <c r="N1022" s="8"/>
      <c r="O1022" s="8"/>
      <c r="P1022" s="8"/>
      <c r="Q1022" s="8"/>
      <c r="R1022" s="8"/>
      <c r="S1022" s="8"/>
      <c r="U1022" s="34"/>
      <c r="V1022" s="34"/>
      <c r="W1022" s="34"/>
      <c r="X1022" s="34"/>
      <c r="Y1022" s="34"/>
      <c r="Z1022" s="34"/>
      <c r="AA1022" s="34"/>
      <c r="AB1022" s="34"/>
      <c r="AC1022" s="34"/>
      <c r="AD1022" s="34"/>
      <c r="AE1022" s="34"/>
      <c r="AF1022" s="34"/>
      <c r="AG1022" s="34"/>
      <c r="AH1022" s="34"/>
      <c r="AI1022" s="34"/>
      <c r="AJ1022" s="34"/>
      <c r="AK1022" s="34"/>
      <c r="AL1022" s="34"/>
      <c r="AM1022" s="34"/>
      <c r="AN1022" s="34"/>
      <c r="AO1022" s="34"/>
      <c r="AP1022" s="34"/>
      <c r="AQ1022" s="34"/>
      <c r="AR1022" s="34"/>
      <c r="AS1022" s="34"/>
      <c r="AT1022" s="34"/>
      <c r="AU1022" s="34"/>
      <c r="AV1022" s="34"/>
      <c r="AW1022" s="34"/>
      <c r="AX1022" s="34"/>
      <c r="AY1022" s="34"/>
      <c r="AZ1022" s="34"/>
      <c r="BA1022" s="34"/>
      <c r="BB1022" s="34"/>
      <c r="BC1022" s="34"/>
      <c r="BD1022" s="34"/>
      <c r="BE1022" s="34"/>
      <c r="BF1022" s="34"/>
      <c r="BG1022" s="34"/>
      <c r="BH1022" s="34"/>
      <c r="BI1022" s="34"/>
      <c r="BJ1022" s="34"/>
      <c r="BK1022" s="34"/>
      <c r="BL1022" s="34"/>
      <c r="BM1022" s="34"/>
      <c r="BN1022" s="34"/>
      <c r="BO1022" s="34"/>
      <c r="BP1022" s="34"/>
      <c r="BQ1022" s="34"/>
      <c r="BR1022" s="34"/>
      <c r="BS1022" s="34"/>
      <c r="BT1022" s="34"/>
      <c r="BU1022" s="34"/>
      <c r="BV1022" s="34"/>
      <c r="BW1022" s="34"/>
      <c r="BX1022" s="34"/>
      <c r="BY1022" s="34"/>
      <c r="BZ1022" s="34"/>
      <c r="CA1022" s="34"/>
      <c r="CB1022" s="34"/>
      <c r="CC1022" s="34"/>
      <c r="CD1022" s="34"/>
      <c r="CE1022" s="34"/>
      <c r="CF1022" s="34"/>
      <c r="CG1022" s="34"/>
      <c r="CH1022" s="34"/>
      <c r="CI1022" s="8"/>
    </row>
    <row r="1023" spans="1:87" x14ac:dyDescent="0.2">
      <c r="A1023" s="8" t="str">
        <f>IF(AND(COUNTIF(W$3:W$13,A$29)&gt;0,A$29&lt;&gt;B800),A$29,IFERROR(IF(MATCH(A$29,Z$3:Z$13,0)=10,A$29," ")," "))</f>
        <v xml:space="preserve"> </v>
      </c>
      <c r="B1023" s="8" t="str">
        <f>IF(A1023=" "," ",MAX(B1009:B1022)+1)</f>
        <v xml:space="preserve"> </v>
      </c>
      <c r="C1023" s="8"/>
      <c r="D1023" s="8"/>
      <c r="E1023" s="8"/>
      <c r="F1023" s="8"/>
      <c r="G1023" s="8"/>
      <c r="H1023" s="8"/>
      <c r="I1023" s="8"/>
      <c r="J1023" s="8"/>
      <c r="K1023" s="8"/>
      <c r="L1023" s="8"/>
      <c r="M1023" s="8"/>
      <c r="N1023" s="8"/>
      <c r="O1023" s="8"/>
      <c r="P1023" s="8"/>
      <c r="Q1023" s="8"/>
      <c r="R1023" s="8"/>
      <c r="S1023" s="8"/>
      <c r="U1023" s="34"/>
      <c r="V1023" s="34"/>
      <c r="W1023" s="34"/>
      <c r="X1023" s="34"/>
      <c r="Y1023" s="34"/>
      <c r="Z1023" s="34"/>
      <c r="AA1023" s="34"/>
      <c r="AB1023" s="34"/>
      <c r="AC1023" s="34"/>
      <c r="AD1023" s="34"/>
      <c r="AE1023" s="34"/>
      <c r="AF1023" s="34"/>
      <c r="AG1023" s="34"/>
      <c r="AH1023" s="34"/>
      <c r="AI1023" s="34"/>
      <c r="AJ1023" s="34"/>
      <c r="AK1023" s="34"/>
      <c r="AL1023" s="34"/>
      <c r="AM1023" s="34"/>
      <c r="AN1023" s="34"/>
      <c r="AO1023" s="34"/>
      <c r="AP1023" s="34"/>
      <c r="AQ1023" s="34"/>
      <c r="AR1023" s="34"/>
      <c r="AS1023" s="34"/>
      <c r="AT1023" s="34"/>
      <c r="AU1023" s="34"/>
      <c r="AV1023" s="34"/>
      <c r="AW1023" s="34"/>
      <c r="AX1023" s="34"/>
      <c r="AY1023" s="34"/>
      <c r="AZ1023" s="34"/>
      <c r="BA1023" s="34"/>
      <c r="BB1023" s="34"/>
      <c r="BC1023" s="34"/>
      <c r="BD1023" s="34"/>
      <c r="BE1023" s="34"/>
      <c r="BF1023" s="34"/>
      <c r="BG1023" s="34"/>
      <c r="BH1023" s="34"/>
      <c r="BI1023" s="34"/>
      <c r="BJ1023" s="34"/>
      <c r="BK1023" s="34"/>
      <c r="BL1023" s="34"/>
      <c r="BM1023" s="34"/>
      <c r="BN1023" s="34"/>
      <c r="BO1023" s="34"/>
      <c r="BP1023" s="34"/>
      <c r="BQ1023" s="34"/>
      <c r="BR1023" s="34"/>
      <c r="BS1023" s="34"/>
      <c r="BT1023" s="34"/>
      <c r="BU1023" s="34"/>
      <c r="BV1023" s="34"/>
      <c r="BW1023" s="34"/>
      <c r="BX1023" s="34"/>
      <c r="BY1023" s="34"/>
      <c r="BZ1023" s="34"/>
      <c r="CA1023" s="34"/>
      <c r="CB1023" s="34"/>
      <c r="CC1023" s="34"/>
      <c r="CD1023" s="34"/>
      <c r="CE1023" s="34"/>
      <c r="CF1023" s="34"/>
      <c r="CG1023" s="34"/>
      <c r="CH1023" s="34"/>
      <c r="CI1023" s="8"/>
    </row>
    <row r="1024" spans="1:87" x14ac:dyDescent="0.2">
      <c r="A1024" s="8" t="str">
        <f>IF(AND(COUNTIF(W$3:W$13,A$30)&gt;0,A$30&lt;&gt;B800),A$30,IFERROR(IF(MATCH(A$30,Z$3:Z$13,0)=10,A$30," ")," "))</f>
        <v>C16</v>
      </c>
      <c r="B1024" s="8">
        <f>IF(A1024=" "," ",MAX(B1009:B1023)+1)</f>
        <v>5</v>
      </c>
      <c r="C1024" s="8"/>
      <c r="D1024" s="8"/>
      <c r="E1024" s="8"/>
      <c r="F1024" s="8"/>
      <c r="G1024" s="8"/>
      <c r="H1024" s="8"/>
      <c r="I1024" s="8"/>
      <c r="J1024" s="8"/>
      <c r="K1024" s="8"/>
      <c r="L1024" s="8"/>
      <c r="M1024" s="8"/>
      <c r="N1024" s="8"/>
      <c r="O1024" s="8"/>
      <c r="P1024" s="8"/>
      <c r="Q1024" s="8"/>
      <c r="R1024" s="8"/>
      <c r="S1024" s="8"/>
      <c r="U1024" s="34"/>
      <c r="V1024" s="34"/>
      <c r="W1024" s="34"/>
      <c r="X1024" s="34"/>
      <c r="Y1024" s="34"/>
      <c r="Z1024" s="34"/>
      <c r="AA1024" s="34"/>
      <c r="AB1024" s="34"/>
      <c r="AC1024" s="34"/>
      <c r="AD1024" s="34"/>
      <c r="AE1024" s="34"/>
      <c r="AF1024" s="34"/>
      <c r="AG1024" s="34"/>
      <c r="AH1024" s="34"/>
      <c r="AI1024" s="34"/>
      <c r="AJ1024" s="34"/>
      <c r="AK1024" s="34"/>
      <c r="AL1024" s="34"/>
      <c r="AM1024" s="34"/>
      <c r="AN1024" s="34"/>
      <c r="AO1024" s="34"/>
      <c r="AP1024" s="34"/>
      <c r="AQ1024" s="34"/>
      <c r="AR1024" s="34"/>
      <c r="AS1024" s="34"/>
      <c r="AT1024" s="34"/>
      <c r="AU1024" s="34"/>
      <c r="AV1024" s="34"/>
      <c r="AW1024" s="34"/>
      <c r="AX1024" s="34"/>
      <c r="AY1024" s="34"/>
      <c r="AZ1024" s="34"/>
      <c r="BA1024" s="34"/>
      <c r="BB1024" s="34"/>
      <c r="BC1024" s="34"/>
      <c r="BD1024" s="34"/>
      <c r="BE1024" s="34"/>
      <c r="BF1024" s="34"/>
      <c r="BG1024" s="34"/>
      <c r="BH1024" s="34"/>
      <c r="BI1024" s="34"/>
      <c r="BJ1024" s="34"/>
      <c r="BK1024" s="34"/>
      <c r="BL1024" s="34"/>
      <c r="BM1024" s="34"/>
      <c r="BN1024" s="34"/>
      <c r="BO1024" s="34"/>
      <c r="BP1024" s="34"/>
      <c r="BQ1024" s="34"/>
      <c r="BR1024" s="34"/>
      <c r="BS1024" s="34"/>
      <c r="BT1024" s="34"/>
      <c r="BU1024" s="34"/>
      <c r="BV1024" s="34"/>
      <c r="BW1024" s="34"/>
      <c r="BX1024" s="34"/>
      <c r="BY1024" s="34"/>
      <c r="BZ1024" s="34"/>
      <c r="CA1024" s="34"/>
      <c r="CB1024" s="34"/>
      <c r="CC1024" s="34"/>
      <c r="CD1024" s="34"/>
      <c r="CE1024" s="34"/>
      <c r="CF1024" s="34"/>
      <c r="CG1024" s="34"/>
      <c r="CH1024" s="34"/>
      <c r="CI1024" s="8"/>
    </row>
    <row r="1025" spans="1:87" x14ac:dyDescent="0.2">
      <c r="A1025" s="8" t="str">
        <f>IF(AND(COUNTIF(W$3:W$13,A$31)&gt;0,A$31&lt;&gt;B800),A$31,IFERROR(IF(MATCH(A$31,Z$3:Z$13,0)=10,A$31," ")," "))</f>
        <v>C17</v>
      </c>
      <c r="B1025" s="8">
        <f>IF(A1025=" "," ",MAX(B1009:B1024)+1)</f>
        <v>6</v>
      </c>
      <c r="C1025" s="8"/>
      <c r="D1025" s="8"/>
      <c r="E1025" s="8"/>
      <c r="F1025" s="8"/>
      <c r="G1025" s="8"/>
      <c r="H1025" s="8"/>
      <c r="I1025" s="8"/>
      <c r="J1025" s="8"/>
      <c r="K1025" s="8"/>
      <c r="L1025" s="8"/>
      <c r="M1025" s="8"/>
      <c r="N1025" s="8"/>
      <c r="O1025" s="8"/>
      <c r="P1025" s="8"/>
      <c r="Q1025" s="8"/>
      <c r="R1025" s="8"/>
      <c r="S1025" s="8"/>
      <c r="U1025" s="34"/>
      <c r="V1025" s="34"/>
      <c r="W1025" s="34"/>
      <c r="X1025" s="34"/>
      <c r="Y1025" s="34"/>
      <c r="Z1025" s="34"/>
      <c r="AA1025" s="34"/>
      <c r="AB1025" s="34"/>
      <c r="AC1025" s="34"/>
      <c r="AD1025" s="34"/>
      <c r="AE1025" s="34"/>
      <c r="AF1025" s="34"/>
      <c r="AG1025" s="34"/>
      <c r="AH1025" s="34"/>
      <c r="AI1025" s="34"/>
      <c r="AJ1025" s="34"/>
      <c r="AK1025" s="34"/>
      <c r="AL1025" s="34"/>
      <c r="AM1025" s="34"/>
      <c r="AN1025" s="34"/>
      <c r="AO1025" s="34"/>
      <c r="AP1025" s="34"/>
      <c r="AQ1025" s="34"/>
      <c r="AR1025" s="34"/>
      <c r="AS1025" s="34"/>
      <c r="AT1025" s="34"/>
      <c r="AU1025" s="34"/>
      <c r="AV1025" s="34"/>
      <c r="AW1025" s="34"/>
      <c r="AX1025" s="34"/>
      <c r="AY1025" s="34"/>
      <c r="AZ1025" s="34"/>
      <c r="BA1025" s="34"/>
      <c r="BB1025" s="34"/>
      <c r="BC1025" s="34"/>
      <c r="BD1025" s="34"/>
      <c r="BE1025" s="34"/>
      <c r="BF1025" s="34"/>
      <c r="BG1025" s="34"/>
      <c r="BH1025" s="34"/>
      <c r="BI1025" s="34"/>
      <c r="BJ1025" s="34"/>
      <c r="BK1025" s="34"/>
      <c r="BL1025" s="34"/>
      <c r="BM1025" s="34"/>
      <c r="BN1025" s="34"/>
      <c r="BO1025" s="34"/>
      <c r="BP1025" s="34"/>
      <c r="BQ1025" s="34"/>
      <c r="BR1025" s="34"/>
      <c r="BS1025" s="34"/>
      <c r="BT1025" s="34"/>
      <c r="BU1025" s="34"/>
      <c r="BV1025" s="34"/>
      <c r="BW1025" s="34"/>
      <c r="BX1025" s="34"/>
      <c r="BY1025" s="34"/>
      <c r="BZ1025" s="34"/>
      <c r="CA1025" s="34"/>
      <c r="CB1025" s="34"/>
      <c r="CC1025" s="34"/>
      <c r="CD1025" s="34"/>
      <c r="CE1025" s="34"/>
      <c r="CF1025" s="34"/>
      <c r="CG1025" s="34"/>
      <c r="CH1025" s="34"/>
      <c r="CI1025" s="8"/>
    </row>
    <row r="1026" spans="1:87" x14ac:dyDescent="0.2">
      <c r="A1026" s="8" t="str">
        <f>IF(AND(COUNTIF(W$3:W$13,A$32)&gt;0,A$32&lt;&gt;B800),A$32,IFERROR(IF(MATCH(A$32,Z$3:Z$13,0)=10,A$32," ")," "))</f>
        <v>C18</v>
      </c>
      <c r="B1026" s="8">
        <f>IF(A1026=" "," ",MAX(B1009:B1025)+1)</f>
        <v>7</v>
      </c>
      <c r="C1026" s="8"/>
      <c r="D1026" s="8"/>
      <c r="E1026" s="8"/>
      <c r="F1026" s="8"/>
      <c r="G1026" s="8"/>
      <c r="H1026" s="8"/>
      <c r="I1026" s="8"/>
      <c r="J1026" s="8"/>
      <c r="K1026" s="8"/>
      <c r="L1026" s="8"/>
      <c r="M1026" s="8"/>
      <c r="N1026" s="8"/>
      <c r="O1026" s="8"/>
      <c r="P1026" s="8"/>
      <c r="Q1026" s="8"/>
      <c r="R1026" s="8"/>
      <c r="S1026" s="8"/>
      <c r="U1026" s="34"/>
      <c r="V1026" s="34"/>
      <c r="W1026" s="34"/>
      <c r="X1026" s="34"/>
      <c r="Y1026" s="34"/>
      <c r="Z1026" s="34"/>
      <c r="AA1026" s="34"/>
      <c r="AB1026" s="34"/>
      <c r="AC1026" s="34"/>
      <c r="AD1026" s="34"/>
      <c r="AE1026" s="34"/>
      <c r="AF1026" s="34"/>
      <c r="AG1026" s="34"/>
      <c r="AH1026" s="34"/>
      <c r="AI1026" s="34"/>
      <c r="AJ1026" s="34"/>
      <c r="AK1026" s="34"/>
      <c r="AL1026" s="34"/>
      <c r="AM1026" s="34"/>
      <c r="AN1026" s="34"/>
      <c r="AO1026" s="34"/>
      <c r="AP1026" s="34"/>
      <c r="AQ1026" s="34"/>
      <c r="AR1026" s="34"/>
      <c r="AS1026" s="34"/>
      <c r="AT1026" s="34"/>
      <c r="AU1026" s="34"/>
      <c r="AV1026" s="34"/>
      <c r="AW1026" s="34"/>
      <c r="AX1026" s="34"/>
      <c r="AY1026" s="34"/>
      <c r="AZ1026" s="34"/>
      <c r="BA1026" s="34"/>
      <c r="BB1026" s="34"/>
      <c r="BC1026" s="34"/>
      <c r="BD1026" s="34"/>
      <c r="BE1026" s="34"/>
      <c r="BF1026" s="34"/>
      <c r="BG1026" s="34"/>
      <c r="BH1026" s="34"/>
      <c r="BI1026" s="34"/>
      <c r="BJ1026" s="34"/>
      <c r="BK1026" s="34"/>
      <c r="BL1026" s="34"/>
      <c r="BM1026" s="34"/>
      <c r="BN1026" s="34"/>
      <c r="BO1026" s="34"/>
      <c r="BP1026" s="34"/>
      <c r="BQ1026" s="34"/>
      <c r="BR1026" s="34"/>
      <c r="BS1026" s="34"/>
      <c r="BT1026" s="34"/>
      <c r="BU1026" s="34"/>
      <c r="BV1026" s="34"/>
      <c r="BW1026" s="34"/>
      <c r="BX1026" s="34"/>
      <c r="BY1026" s="34"/>
      <c r="BZ1026" s="34"/>
      <c r="CA1026" s="34"/>
      <c r="CB1026" s="34"/>
      <c r="CC1026" s="34"/>
      <c r="CD1026" s="34"/>
      <c r="CE1026" s="34"/>
      <c r="CF1026" s="34"/>
      <c r="CG1026" s="34"/>
      <c r="CH1026" s="34"/>
      <c r="CI1026" s="8"/>
    </row>
    <row r="1027" spans="1:87" x14ac:dyDescent="0.2">
      <c r="A1027" s="8" t="str">
        <f>IF(AND(COUNTIF(W$3:W$13,A$33)&gt;0,A$33&lt;&gt;B800),A$33,IFERROR(IF(MATCH(A$33,Z$3:Z$13,0)=10,A$33," ")," "))</f>
        <v>C19</v>
      </c>
      <c r="B1027" s="8">
        <f>IF(A1027=" "," ",MAX(B1009:B1026)+1)</f>
        <v>8</v>
      </c>
      <c r="C1027" s="8"/>
      <c r="D1027" s="8"/>
      <c r="E1027" s="8"/>
      <c r="F1027" s="8"/>
      <c r="G1027" s="8"/>
      <c r="H1027" s="8"/>
      <c r="I1027" s="8"/>
      <c r="J1027" s="8"/>
      <c r="K1027" s="8"/>
      <c r="L1027" s="8"/>
      <c r="M1027" s="8"/>
      <c r="N1027" s="8"/>
      <c r="O1027" s="8"/>
      <c r="P1027" s="8"/>
      <c r="Q1027" s="8"/>
      <c r="R1027" s="8"/>
      <c r="S1027" s="8"/>
      <c r="U1027" s="34"/>
      <c r="V1027" s="34"/>
      <c r="W1027" s="34"/>
      <c r="X1027" s="34"/>
      <c r="Y1027" s="34"/>
      <c r="Z1027" s="34"/>
      <c r="AA1027" s="34"/>
      <c r="AB1027" s="34"/>
      <c r="AC1027" s="34"/>
      <c r="AD1027" s="34"/>
      <c r="AE1027" s="34"/>
      <c r="AF1027" s="34"/>
      <c r="AG1027" s="34"/>
      <c r="AH1027" s="34"/>
      <c r="AI1027" s="34"/>
      <c r="AJ1027" s="34"/>
      <c r="AK1027" s="34"/>
      <c r="AL1027" s="34"/>
      <c r="AM1027" s="34"/>
      <c r="AN1027" s="34"/>
      <c r="AO1027" s="34"/>
      <c r="AP1027" s="34"/>
      <c r="AQ1027" s="34"/>
      <c r="AR1027" s="34"/>
      <c r="AS1027" s="34"/>
      <c r="AT1027" s="34"/>
      <c r="AU1027" s="34"/>
      <c r="AV1027" s="34"/>
      <c r="AW1027" s="34"/>
      <c r="AX1027" s="34"/>
      <c r="AY1027" s="34"/>
      <c r="AZ1027" s="34"/>
      <c r="BA1027" s="34"/>
      <c r="BB1027" s="34"/>
      <c r="BC1027" s="34"/>
      <c r="BD1027" s="34"/>
      <c r="BE1027" s="34"/>
      <c r="BF1027" s="34"/>
      <c r="BG1027" s="34"/>
      <c r="BH1027" s="34"/>
      <c r="BI1027" s="34"/>
      <c r="BJ1027" s="34"/>
      <c r="BK1027" s="34"/>
      <c r="BL1027" s="34"/>
      <c r="BM1027" s="34"/>
      <c r="BN1027" s="34"/>
      <c r="BO1027" s="34"/>
      <c r="BP1027" s="34"/>
      <c r="BQ1027" s="34"/>
      <c r="BR1027" s="34"/>
      <c r="BS1027" s="34"/>
      <c r="BT1027" s="34"/>
      <c r="BU1027" s="34"/>
      <c r="BV1027" s="34"/>
      <c r="BW1027" s="34"/>
      <c r="BX1027" s="34"/>
      <c r="BY1027" s="34"/>
      <c r="BZ1027" s="34"/>
      <c r="CA1027" s="34"/>
      <c r="CB1027" s="34"/>
      <c r="CC1027" s="34"/>
      <c r="CD1027" s="34"/>
      <c r="CE1027" s="34"/>
      <c r="CF1027" s="34"/>
      <c r="CG1027" s="34"/>
      <c r="CH1027" s="34"/>
      <c r="CI1027" s="8"/>
    </row>
    <row r="1028" spans="1:87" x14ac:dyDescent="0.2">
      <c r="A1028" s="8" t="str">
        <f>IF(AND(COUNTIF(W$3:W$13,A$34)&gt;0,A$34&lt;&gt;B800),A$34,IFERROR(IF(MATCH(A$34,Z$3:Z$13,0)=10,A$34," ")," "))</f>
        <v>C20</v>
      </c>
      <c r="B1028" s="8">
        <f>IF(A1028=" "," ",MAX(B1009:B1027)+1)</f>
        <v>9</v>
      </c>
      <c r="C1028" s="8"/>
      <c r="D1028" s="8"/>
      <c r="E1028" s="8"/>
      <c r="F1028" s="8"/>
      <c r="G1028" s="8"/>
      <c r="H1028" s="8"/>
      <c r="I1028" s="8"/>
      <c r="J1028" s="8"/>
      <c r="K1028" s="8"/>
      <c r="L1028" s="8"/>
      <c r="M1028" s="8"/>
      <c r="N1028" s="8"/>
      <c r="O1028" s="8"/>
      <c r="P1028" s="8"/>
      <c r="Q1028" s="8"/>
      <c r="R1028" s="8"/>
      <c r="S1028" s="8"/>
      <c r="U1028" s="34"/>
      <c r="V1028" s="34"/>
      <c r="W1028" s="34"/>
      <c r="X1028" s="34"/>
      <c r="Y1028" s="34"/>
      <c r="Z1028" s="34"/>
      <c r="AA1028" s="34"/>
      <c r="AB1028" s="34"/>
      <c r="AC1028" s="34"/>
      <c r="AD1028" s="34"/>
      <c r="AE1028" s="34"/>
      <c r="AF1028" s="34"/>
      <c r="AG1028" s="34"/>
      <c r="AH1028" s="34"/>
      <c r="AI1028" s="34"/>
      <c r="AJ1028" s="34"/>
      <c r="AK1028" s="34"/>
      <c r="AL1028" s="34"/>
      <c r="AM1028" s="34"/>
      <c r="AN1028" s="34"/>
      <c r="AO1028" s="34"/>
      <c r="AP1028" s="34"/>
      <c r="AQ1028" s="34"/>
      <c r="AR1028" s="34"/>
      <c r="AS1028" s="34"/>
      <c r="AT1028" s="34"/>
      <c r="AU1028" s="34"/>
      <c r="AV1028" s="34"/>
      <c r="AW1028" s="34"/>
      <c r="AX1028" s="34"/>
      <c r="AY1028" s="34"/>
      <c r="AZ1028" s="34"/>
      <c r="BA1028" s="34"/>
      <c r="BB1028" s="34"/>
      <c r="BC1028" s="34"/>
      <c r="BD1028" s="34"/>
      <c r="BE1028" s="34"/>
      <c r="BF1028" s="34"/>
      <c r="BG1028" s="34"/>
      <c r="BH1028" s="34"/>
      <c r="BI1028" s="34"/>
      <c r="BJ1028" s="34"/>
      <c r="BK1028" s="34"/>
      <c r="BL1028" s="34"/>
      <c r="BM1028" s="34"/>
      <c r="BN1028" s="34"/>
      <c r="BO1028" s="34"/>
      <c r="BP1028" s="34"/>
      <c r="BQ1028" s="34"/>
      <c r="BR1028" s="34"/>
      <c r="BS1028" s="34"/>
      <c r="BT1028" s="34"/>
      <c r="BU1028" s="34"/>
      <c r="BV1028" s="34"/>
      <c r="BW1028" s="34"/>
      <c r="BX1028" s="34"/>
      <c r="BY1028" s="34"/>
      <c r="BZ1028" s="34"/>
      <c r="CA1028" s="34"/>
      <c r="CB1028" s="34"/>
      <c r="CC1028" s="34"/>
      <c r="CD1028" s="34"/>
      <c r="CE1028" s="34"/>
      <c r="CF1028" s="34"/>
      <c r="CG1028" s="34"/>
      <c r="CH1028" s="34"/>
      <c r="CI1028" s="8"/>
    </row>
    <row r="1029" spans="1:87" x14ac:dyDescent="0.2">
      <c r="A1029" s="8" t="str">
        <f>IF(AND(COUNTIF(W$3:W$13,A$35)&gt;0,A$35&lt;&gt;B800),A$35,IFERROR(IF(MATCH(A$35,Z$3:Z$13,0)=10,A$35," ")," "))</f>
        <v>C21</v>
      </c>
      <c r="B1029" s="8">
        <f>IF(A1029=" "," ",MAX(B1009:B1028)+1)</f>
        <v>10</v>
      </c>
      <c r="C1029" s="8"/>
      <c r="D1029" s="8"/>
      <c r="E1029" s="8"/>
      <c r="F1029" s="8"/>
      <c r="G1029" s="8"/>
      <c r="H1029" s="8"/>
      <c r="I1029" s="8"/>
      <c r="J1029" s="8"/>
      <c r="K1029" s="8"/>
      <c r="L1029" s="8"/>
      <c r="M1029" s="8"/>
      <c r="N1029" s="8"/>
      <c r="O1029" s="8"/>
      <c r="P1029" s="8"/>
      <c r="Q1029" s="8"/>
      <c r="R1029" s="8"/>
      <c r="S1029" s="8"/>
      <c r="U1029" s="34"/>
      <c r="V1029" s="34"/>
      <c r="W1029" s="34"/>
      <c r="X1029" s="34"/>
      <c r="Y1029" s="34"/>
      <c r="Z1029" s="34"/>
      <c r="AA1029" s="34"/>
      <c r="AB1029" s="34"/>
      <c r="AC1029" s="34"/>
      <c r="AD1029" s="34"/>
      <c r="AE1029" s="34"/>
      <c r="AF1029" s="34"/>
      <c r="AG1029" s="34"/>
      <c r="AH1029" s="34"/>
      <c r="AI1029" s="34"/>
      <c r="AJ1029" s="34"/>
      <c r="AK1029" s="34"/>
      <c r="AL1029" s="34"/>
      <c r="AM1029" s="34"/>
      <c r="AN1029" s="34"/>
      <c r="AO1029" s="34"/>
      <c r="AP1029" s="34"/>
      <c r="AQ1029" s="34"/>
      <c r="AR1029" s="34"/>
      <c r="AS1029" s="34"/>
      <c r="AT1029" s="34"/>
      <c r="AU1029" s="34"/>
      <c r="AV1029" s="34"/>
      <c r="AW1029" s="34"/>
      <c r="AX1029" s="34"/>
      <c r="AY1029" s="34"/>
      <c r="AZ1029" s="34"/>
      <c r="BA1029" s="34"/>
      <c r="BB1029" s="34"/>
      <c r="BC1029" s="34"/>
      <c r="BD1029" s="34"/>
      <c r="BE1029" s="34"/>
      <c r="BF1029" s="34"/>
      <c r="BG1029" s="34"/>
      <c r="BH1029" s="34"/>
      <c r="BI1029" s="34"/>
      <c r="BJ1029" s="34"/>
      <c r="BK1029" s="34"/>
      <c r="BL1029" s="34"/>
      <c r="BM1029" s="34"/>
      <c r="BN1029" s="34"/>
      <c r="BO1029" s="34"/>
      <c r="BP1029" s="34"/>
      <c r="BQ1029" s="34"/>
      <c r="BR1029" s="34"/>
      <c r="BS1029" s="34"/>
      <c r="BT1029" s="34"/>
      <c r="BU1029" s="34"/>
      <c r="BV1029" s="34"/>
      <c r="BW1029" s="34"/>
      <c r="BX1029" s="34"/>
      <c r="BY1029" s="34"/>
      <c r="BZ1029" s="34"/>
      <c r="CA1029" s="34"/>
      <c r="CB1029" s="34"/>
      <c r="CC1029" s="34"/>
      <c r="CD1029" s="34"/>
      <c r="CE1029" s="34"/>
      <c r="CF1029" s="34"/>
      <c r="CG1029" s="34"/>
      <c r="CH1029" s="34"/>
      <c r="CI1029" s="8"/>
    </row>
    <row r="1030" spans="1:87" x14ac:dyDescent="0.2">
      <c r="A1030" s="8" t="str">
        <f>IF(AND(COUNTIF(W$3:W$13,A$36)&gt;0,A$36&lt;&gt;B800),A$36,IFERROR(IF(MATCH(A$36,Z$3:Z$13,0)=10,A$36," ")," "))</f>
        <v>C22</v>
      </c>
      <c r="B1030" s="8">
        <f>IF(A1030=" "," ",MAX(B1009:B1029)+1)</f>
        <v>11</v>
      </c>
      <c r="C1030" s="8"/>
      <c r="D1030" s="8"/>
      <c r="E1030" s="8"/>
      <c r="F1030" s="8"/>
      <c r="G1030" s="8"/>
      <c r="H1030" s="8"/>
      <c r="I1030" s="8"/>
      <c r="J1030" s="8"/>
      <c r="K1030" s="8"/>
      <c r="L1030" s="8"/>
      <c r="M1030" s="8"/>
      <c r="N1030" s="8"/>
      <c r="O1030" s="8"/>
      <c r="P1030" s="8"/>
      <c r="Q1030" s="8"/>
      <c r="R1030" s="8"/>
      <c r="S1030" s="8"/>
      <c r="U1030" s="34"/>
      <c r="V1030" s="34"/>
      <c r="W1030" s="34"/>
      <c r="X1030" s="34"/>
      <c r="Y1030" s="34"/>
      <c r="Z1030" s="34"/>
      <c r="AA1030" s="34"/>
      <c r="AB1030" s="34"/>
      <c r="AC1030" s="34"/>
      <c r="AD1030" s="34"/>
      <c r="AE1030" s="34"/>
      <c r="AF1030" s="34"/>
      <c r="AG1030" s="34"/>
      <c r="AH1030" s="34"/>
      <c r="AI1030" s="34"/>
      <c r="AJ1030" s="34"/>
      <c r="AK1030" s="34"/>
      <c r="AL1030" s="34"/>
      <c r="AM1030" s="34"/>
      <c r="AN1030" s="34"/>
      <c r="AO1030" s="34"/>
      <c r="AP1030" s="34"/>
      <c r="AQ1030" s="34"/>
      <c r="AR1030" s="34"/>
      <c r="AS1030" s="34"/>
      <c r="AT1030" s="34"/>
      <c r="AU1030" s="34"/>
      <c r="AV1030" s="34"/>
      <c r="AW1030" s="34"/>
      <c r="AX1030" s="34"/>
      <c r="AY1030" s="34"/>
      <c r="AZ1030" s="34"/>
      <c r="BA1030" s="34"/>
      <c r="BB1030" s="34"/>
      <c r="BC1030" s="34"/>
      <c r="BD1030" s="34"/>
      <c r="BE1030" s="34"/>
      <c r="BF1030" s="34"/>
      <c r="BG1030" s="34"/>
      <c r="BH1030" s="34"/>
      <c r="BI1030" s="34"/>
      <c r="BJ1030" s="34"/>
      <c r="BK1030" s="34"/>
      <c r="BL1030" s="34"/>
      <c r="BM1030" s="34"/>
      <c r="BN1030" s="34"/>
      <c r="BO1030" s="34"/>
      <c r="BP1030" s="34"/>
      <c r="BQ1030" s="34"/>
      <c r="BR1030" s="34"/>
      <c r="BS1030" s="34"/>
      <c r="BT1030" s="34"/>
      <c r="BU1030" s="34"/>
      <c r="BV1030" s="34"/>
      <c r="BW1030" s="34"/>
      <c r="BX1030" s="34"/>
      <c r="BY1030" s="34"/>
      <c r="BZ1030" s="34"/>
      <c r="CA1030" s="34"/>
      <c r="CB1030" s="34"/>
      <c r="CC1030" s="34"/>
      <c r="CD1030" s="34"/>
      <c r="CE1030" s="34"/>
      <c r="CF1030" s="34"/>
      <c r="CG1030" s="34"/>
      <c r="CH1030" s="34"/>
      <c r="CI1030" s="8"/>
    </row>
    <row r="1031" spans="1:87" x14ac:dyDescent="0.2">
      <c r="A1031" s="11" t="s">
        <v>17</v>
      </c>
      <c r="B1031" s="11"/>
      <c r="C1031" s="27" t="s">
        <v>18</v>
      </c>
      <c r="D1031" s="27" t="s">
        <v>2</v>
      </c>
      <c r="E1031" s="27" t="s">
        <v>6</v>
      </c>
      <c r="F1031" s="27" t="s">
        <v>15</v>
      </c>
      <c r="G1031" s="27" t="s">
        <v>36</v>
      </c>
      <c r="H1031" s="27" t="s">
        <v>37</v>
      </c>
      <c r="I1031" s="27" t="s">
        <v>38</v>
      </c>
      <c r="J1031" s="27" t="s">
        <v>39</v>
      </c>
      <c r="K1031" s="27" t="s">
        <v>40</v>
      </c>
      <c r="L1031" s="27" t="s">
        <v>41</v>
      </c>
      <c r="M1031" s="27" t="s">
        <v>42</v>
      </c>
      <c r="N1031" s="27" t="s">
        <v>43</v>
      </c>
      <c r="O1031" s="27" t="s">
        <v>9</v>
      </c>
      <c r="P1031" s="27" t="s">
        <v>12</v>
      </c>
      <c r="Q1031" s="27" t="s">
        <v>19</v>
      </c>
      <c r="R1031" s="27" t="s">
        <v>55</v>
      </c>
      <c r="S1031" s="27" t="s">
        <v>26</v>
      </c>
      <c r="T1031" s="19" t="s">
        <v>25</v>
      </c>
      <c r="U1031" s="33" t="s">
        <v>27</v>
      </c>
      <c r="V1031" s="33" t="s">
        <v>9</v>
      </c>
      <c r="W1031" s="33" t="s">
        <v>23</v>
      </c>
      <c r="X1031" s="33" t="s">
        <v>12</v>
      </c>
      <c r="Y1031" s="33" t="s">
        <v>26</v>
      </c>
      <c r="Z1031" s="33" t="s">
        <v>25</v>
      </c>
      <c r="AA1031" s="33" t="s">
        <v>27</v>
      </c>
      <c r="AB1031" s="33" t="s">
        <v>9</v>
      </c>
      <c r="AC1031" s="33" t="s">
        <v>23</v>
      </c>
      <c r="AD1031" s="33" t="s">
        <v>12</v>
      </c>
      <c r="AE1031" s="33" t="s">
        <v>26</v>
      </c>
      <c r="AF1031" s="33" t="s">
        <v>25</v>
      </c>
      <c r="AG1031" s="33" t="s">
        <v>27</v>
      </c>
      <c r="AH1031" s="33" t="s">
        <v>9</v>
      </c>
      <c r="AI1031" s="33" t="s">
        <v>23</v>
      </c>
      <c r="AJ1031" s="33" t="s">
        <v>12</v>
      </c>
      <c r="AK1031" s="33" t="s">
        <v>26</v>
      </c>
      <c r="AL1031" s="33" t="s">
        <v>25</v>
      </c>
      <c r="AM1031" s="33" t="s">
        <v>27</v>
      </c>
      <c r="AN1031" s="33" t="s">
        <v>9</v>
      </c>
      <c r="AO1031" s="33" t="s">
        <v>23</v>
      </c>
      <c r="AP1031" s="33" t="s">
        <v>12</v>
      </c>
      <c r="AQ1031" s="33" t="s">
        <v>26</v>
      </c>
      <c r="AR1031" s="33" t="s">
        <v>25</v>
      </c>
      <c r="AS1031" s="33" t="s">
        <v>27</v>
      </c>
      <c r="AT1031" s="33" t="s">
        <v>9</v>
      </c>
      <c r="AU1031" s="33" t="s">
        <v>23</v>
      </c>
      <c r="AV1031" s="33" t="s">
        <v>12</v>
      </c>
      <c r="AW1031" s="33" t="s">
        <v>26</v>
      </c>
      <c r="AX1031" s="33" t="s">
        <v>25</v>
      </c>
      <c r="AY1031" s="33" t="s">
        <v>27</v>
      </c>
      <c r="AZ1031" s="33" t="s">
        <v>9</v>
      </c>
      <c r="BA1031" s="33" t="s">
        <v>23</v>
      </c>
      <c r="BB1031" s="33" t="s">
        <v>12</v>
      </c>
      <c r="BC1031" s="33" t="s">
        <v>26</v>
      </c>
      <c r="BD1031" s="33" t="s">
        <v>25</v>
      </c>
      <c r="BE1031" s="33" t="s">
        <v>27</v>
      </c>
      <c r="BF1031" s="33" t="s">
        <v>9</v>
      </c>
      <c r="BG1031" s="33" t="s">
        <v>23</v>
      </c>
      <c r="BH1031" s="33" t="s">
        <v>12</v>
      </c>
      <c r="BI1031" s="33" t="s">
        <v>26</v>
      </c>
      <c r="BJ1031" s="33" t="s">
        <v>25</v>
      </c>
      <c r="BK1031" s="33" t="s">
        <v>27</v>
      </c>
      <c r="BL1031" s="33" t="s">
        <v>9</v>
      </c>
      <c r="BM1031" s="33" t="s">
        <v>23</v>
      </c>
      <c r="BN1031" s="33" t="s">
        <v>12</v>
      </c>
      <c r="BO1031" s="33" t="s">
        <v>26</v>
      </c>
      <c r="BP1031" s="33" t="s">
        <v>25</v>
      </c>
      <c r="BQ1031" s="33" t="s">
        <v>27</v>
      </c>
      <c r="BR1031" s="33" t="s">
        <v>9</v>
      </c>
      <c r="BS1031" s="33" t="s">
        <v>23</v>
      </c>
      <c r="BT1031" s="33" t="s">
        <v>12</v>
      </c>
      <c r="BU1031" s="33" t="s">
        <v>26</v>
      </c>
      <c r="BV1031" s="33" t="s">
        <v>25</v>
      </c>
      <c r="BW1031" s="33" t="s">
        <v>27</v>
      </c>
      <c r="BX1031" s="33" t="s">
        <v>9</v>
      </c>
      <c r="BY1031" s="33" t="s">
        <v>23</v>
      </c>
      <c r="BZ1031" s="33" t="s">
        <v>12</v>
      </c>
      <c r="CA1031" s="33" t="s">
        <v>26</v>
      </c>
      <c r="CB1031" s="33" t="s">
        <v>25</v>
      </c>
      <c r="CC1031" s="33" t="s">
        <v>27</v>
      </c>
      <c r="CD1031" s="33" t="s">
        <v>9</v>
      </c>
      <c r="CE1031" s="33" t="s">
        <v>23</v>
      </c>
      <c r="CF1031" s="33" t="s">
        <v>12</v>
      </c>
      <c r="CG1031" s="33" t="s">
        <v>26</v>
      </c>
      <c r="CH1031" s="33" t="s">
        <v>25</v>
      </c>
      <c r="CI1031" s="8"/>
    </row>
    <row r="1032" spans="1:87" x14ac:dyDescent="0.2">
      <c r="A1032" s="8" t="str">
        <f>IF(AND(COUNTIF(W$3:W$13,A$15)&gt;0,A$15&lt;&gt;B800),A$15,IFERROR(IF(MATCH(A$15,Z$3:Z$13,0)=11,A$15," ")," "))</f>
        <v xml:space="preserve"> </v>
      </c>
      <c r="B1032" s="8" t="str">
        <f>IF(A1032=" "," ",1)</f>
        <v xml:space="preserve"> </v>
      </c>
      <c r="C1032" s="8" t="str">
        <f>IFERROR(INDEX(A1032:A1053,MATCH(SMALL(B1032:B1053,1),B1032:B1053,0),1)," ")</f>
        <v>C3</v>
      </c>
      <c r="D1032" s="8">
        <f>IFERROR(VLOOKUP($C1032,$A$15:$O$36,2,FALSE)," ")</f>
        <v>2</v>
      </c>
      <c r="E1032" s="8">
        <f>IFERROR(VLOOKUP($C1032,$A$15:$O$36,3,FALSE)," ")</f>
        <v>5</v>
      </c>
      <c r="F1032" s="8">
        <f>IFERROR(VLOOKUP($C1032,$A$15:$O$36,4,FALSE)," ")</f>
        <v>6</v>
      </c>
      <c r="G1032" s="8">
        <f>IFERROR(VLOOKUP($C1032,$A$15:$O$36,5,FALSE)," ")</f>
        <v>0</v>
      </c>
      <c r="H1032" s="8">
        <f>IFERROR(VLOOKUP($C1032,$A$15:$O$36,6,FALSE)," ")</f>
        <v>0</v>
      </c>
      <c r="I1032" s="8">
        <f>IFERROR(VLOOKUP($C1032,$A$15:$O$36,7,FALSE)," ")</f>
        <v>0</v>
      </c>
      <c r="J1032" s="8">
        <f>IFERROR(VLOOKUP($C1032,$A$15:$O$36,8,FALSE)," ")</f>
        <v>0</v>
      </c>
      <c r="K1032" s="8">
        <f>IFERROR(VLOOKUP($C1032,$A$15:$O$36,9,FALSE)," ")</f>
        <v>0</v>
      </c>
      <c r="L1032" s="8">
        <f>IFERROR(VLOOKUP($C1032,$A$15:$O$36,10,FALSE)," ")</f>
        <v>0</v>
      </c>
      <c r="M1032" s="8">
        <f>IFERROR(VLOOKUP($C1032,$A$15:$O$36,11,FALSE)," ")</f>
        <v>0</v>
      </c>
      <c r="N1032" s="8">
        <f>IFERROR(VLOOKUP($C1032,$A$15:$O$36,12,FALSE)," ")</f>
        <v>0</v>
      </c>
      <c r="O1032" s="8">
        <f>IFERROR(VLOOKUP($C1032,$A$15:$O$36,15,FALSE)," ")</f>
        <v>2000</v>
      </c>
      <c r="P1032" s="8" t="e">
        <f t="array" ref="P1032:P1042">MMULT(MINVERSE(D1032:N1042),O1032:O1042)</f>
        <v>#NUM!</v>
      </c>
      <c r="Q1032" s="8" t="e">
        <f t="shared" ref="Q1032" si="4320">IF(COUNTIF(P1032:P1042,"&lt;"&amp;-0.001)=0,IF(ABS(P1032)&lt;0.001,0,P1032)," ")</f>
        <v>#NUM!</v>
      </c>
      <c r="R1032" s="8" t="str">
        <f>IFERROR(VLOOKUP(B800,A$15:L$36,2,FALSE)*Q1032+VLOOKUP(B800,A$15:L$36,3,FALSE)*Q1033+VLOOKUP(B800,A$15:L$36,4,FALSE)*Q1034+VLOOKUP(B800,A$15:L$36,5,FALSE)*Q1035+VLOOKUP(B800,A$15:L$36,6,FALSE)*Q1036+VLOOKUP(B800,A$15:L$36,7,FALSE)*Q1037+VLOOKUP(B800,A$15:L$36,8,FALSE)*Q1038+VLOOKUP(B800,A$15:L$36,9,FALSE)*Q1039+VLOOKUP(B800,A$15:L$36,10,FALSE)*Q1040+VLOOKUP(B800,A$15:L$36,11,FALSE)*Q1041+VLOOKUP(B800,A$15:L$36,12,FALSE)*Q1042," ")</f>
        <v xml:space="preserve"> </v>
      </c>
      <c r="S1032" s="8" t="str">
        <f>IFERROR(IF(R1032-VLOOKUP(B800,A$15:O$36,15,FALSE)&lt;0,R1032-VLOOKUP(B800,A$15:O$36,15,FALSE)," ")," ")</f>
        <v xml:space="preserve"> </v>
      </c>
      <c r="T1032" s="18" t="str">
        <f>IFERROR(IF(R1032-VLOOKUP(B800,A$15:O$36,15,FALSE)&gt;0,R1032-VLOOKUP(B800,A$15:O$36,15,FALSE)," ")," ")</f>
        <v xml:space="preserve"> </v>
      </c>
      <c r="U1032" s="34">
        <f t="shared" ref="U1032" si="4321">$M$2</f>
        <v>100.00000000000001</v>
      </c>
      <c r="V1032" s="34">
        <v>-1</v>
      </c>
      <c r="W1032" s="34">
        <f t="shared" ref="W1032" si="4322">-SUMPRODUCT($M$3:$M$12,$N$3:$N$12)</f>
        <v>-105000</v>
      </c>
      <c r="X1032" s="34" t="e">
        <f t="shared" ref="X1032" si="4323">IF(U1032&lt;&gt;U1033,MMULT(MINVERSE(U1032:V1033),W1032:W1033)," ")</f>
        <v>#NUM!</v>
      </c>
      <c r="Y1032" s="34" t="str">
        <f t="shared" ref="Y1032" si="4324">IFERROR(IF(X1032-VLOOKUP(U$38,$A$2:$N$12,14,FALSE)&lt;0,X1032-VLOOKUP(U$38,$A$2:$N$12,14,FALSE)," ")," ")</f>
        <v xml:space="preserve"> </v>
      </c>
      <c r="Z1032" s="34" t="str">
        <f t="shared" ref="Z1032" si="4325">IFERROR(IF(X1032-VLOOKUP(U$38,$A$2:$N$12,14,FALSE)&gt;0,X1032-VLOOKUP(U$38,$A$2:$N$12,14,FALSE)," ")," ")</f>
        <v xml:space="preserve"> </v>
      </c>
      <c r="AA1032" s="34">
        <f t="shared" ref="AA1032" si="4326">$M$3</f>
        <v>0</v>
      </c>
      <c r="AB1032" s="34">
        <v>-1</v>
      </c>
      <c r="AC1032" s="34">
        <f t="shared" ref="AC1032" si="4327">-SUMPRODUCT($M$2:$M$2,$N$2:$N$2)-SUMPRODUCT($M$4:$M$12,$N$4:$N$12)</f>
        <v>-120000</v>
      </c>
      <c r="AD1032" s="34" t="e">
        <f t="shared" ref="AD1032" si="4328">IF(AA1032&lt;&gt;AA1033,MMULT(MINVERSE(AA1032:AB1033),AC1032:AC1033)," ")</f>
        <v>#NUM!</v>
      </c>
      <c r="AE1032" s="34" t="str">
        <f t="shared" ref="AE1032" si="4329">IFERROR(IF(AD1032-VLOOKUP(AA$38,$A$2:$N$12,14,FALSE)&lt;0,AD1032-VLOOKUP(AA$38,$A$2:$N$12,14,FALSE)," ")," ")</f>
        <v xml:space="preserve"> </v>
      </c>
      <c r="AF1032" s="34" t="str">
        <f t="shared" ref="AF1032" si="4330">IFERROR(IF(AD1032-VLOOKUP(AA$38,$A$2:$N$12,14,FALSE)&gt;0,AD1032-VLOOKUP(AA$38,$A$2:$N$12,14,FALSE)," ")," ")</f>
        <v xml:space="preserve"> </v>
      </c>
      <c r="AG1032" s="34">
        <f t="shared" ref="AG1032" si="4331">$M$4</f>
        <v>300</v>
      </c>
      <c r="AH1032" s="34">
        <v>-1</v>
      </c>
      <c r="AI1032" s="34">
        <f t="shared" ref="AI1032" si="4332">-SUMPRODUCT($M$2:$M$3,$N$2:$N$3)-SUMPRODUCT($M$5:$M$12,$N$5:$N$12)</f>
        <v>-15000.000000000002</v>
      </c>
      <c r="AJ1032" s="34" t="e">
        <f t="shared" ref="AJ1032" si="4333">IF(AG1032&lt;&gt;AG1033,MMULT(MINVERSE(AG1032:AH1033),AI1032:AI1033)," ")</f>
        <v>#NUM!</v>
      </c>
      <c r="AK1032" s="34" t="str">
        <f t="shared" ref="AK1032" si="4334">IFERROR(IF(AJ1032-VLOOKUP(AG$38,$A$2:$N$12,14,FALSE)&lt;0,AJ1032-VLOOKUP(AG$38,$A$2:$N$12,14,FALSE)," ")," ")</f>
        <v xml:space="preserve"> </v>
      </c>
      <c r="AL1032" s="34" t="str">
        <f t="shared" ref="AL1032" si="4335">IFERROR(IF(AJ1032-VLOOKUP(AG$38,$A$2:$N$12,14,FALSE)&gt;0,AJ1032-VLOOKUP(AG$38,$A$2:$N$12,14,FALSE)," ")," ")</f>
        <v xml:space="preserve"> </v>
      </c>
      <c r="AM1032" s="34">
        <f t="shared" ref="AM1032" si="4336">$M$5</f>
        <v>0</v>
      </c>
      <c r="AN1032" s="34">
        <v>-1</v>
      </c>
      <c r="AO1032" s="34">
        <f t="shared" ref="AO1032" si="4337">-SUMPRODUCT($M$2:$M$4,$N$2:$N$4)-SUMPRODUCT($M$6:$M$12,$N$6:$N$12)</f>
        <v>-120000</v>
      </c>
      <c r="AP1032" s="34" t="e">
        <f t="shared" ref="AP1032" si="4338">IF(AM1032&lt;&gt;AM1033,MMULT(MINVERSE(AM1032:AN1033),AO1032:AO1033)," ")</f>
        <v>#NUM!</v>
      </c>
      <c r="AQ1032" s="34" t="str">
        <f t="shared" ref="AQ1032" si="4339">IFERROR(IF(AP1032-VLOOKUP(AM$38,$A$2:$N$12,14,FALSE)&lt;0,AP1032-VLOOKUP(AM$38,$A$2:$N$12,14,FALSE)," ")," ")</f>
        <v xml:space="preserve"> </v>
      </c>
      <c r="AR1032" s="34" t="str">
        <f t="shared" ref="AR1032" si="4340">IFERROR(IF(AP1032-VLOOKUP(AM$38,$A$2:$N$12,14,FALSE)&gt;0,AP1032-VLOOKUP(AM$38,$A$2:$N$12,14,FALSE)," ")," ")</f>
        <v xml:space="preserve"> </v>
      </c>
      <c r="AS1032" s="34">
        <f t="shared" ref="AS1032" si="4341">$M$6</f>
        <v>0</v>
      </c>
      <c r="AT1032" s="34">
        <v>-1</v>
      </c>
      <c r="AU1032" s="34">
        <f t="shared" ref="AU1032" si="4342">-SUMPRODUCT($M$2:$M$5,$N$2:$N$5)-SUMPRODUCT($M$7:$M$12,$N$7:$N$12)</f>
        <v>-120000</v>
      </c>
      <c r="AV1032" s="34" t="e">
        <f t="shared" ref="AV1032" si="4343">IF(AS1032&lt;&gt;AS1033,MMULT(MINVERSE(AS1032:AT1033),AU1032:AU1033)," ")</f>
        <v>#NUM!</v>
      </c>
      <c r="AW1032" s="34" t="str">
        <f t="shared" ref="AW1032" si="4344">IFERROR(IF(AV1032-VLOOKUP(AS$38,$A$2:$N$12,14,FALSE)&lt;0,AV1032-VLOOKUP(AS$38,$A$2:$N$12,14,FALSE)," ")," ")</f>
        <v xml:space="preserve"> </v>
      </c>
      <c r="AX1032" s="34" t="str">
        <f t="shared" ref="AX1032" si="4345">IFERROR(IF(AV1032-VLOOKUP(AS$38,$A$2:$N$12,14,FALSE)&gt;0,AV1032-VLOOKUP(AS$38,$A$2:$N$12,14,FALSE)," ")," ")</f>
        <v xml:space="preserve"> </v>
      </c>
      <c r="AY1032" s="34">
        <f t="shared" ref="AY1032" si="4346">$M$7</f>
        <v>0</v>
      </c>
      <c r="AZ1032" s="34">
        <v>-1</v>
      </c>
      <c r="BA1032" s="34">
        <f t="shared" ref="BA1032" si="4347">-SUMPRODUCT($M$2:$M$6,$N$2:$N$6)-SUMPRODUCT($M$8:$M$12,$N$8:$N$12)</f>
        <v>-120000</v>
      </c>
      <c r="BB1032" s="34" t="e">
        <f t="shared" ref="BB1032" si="4348">IF(AY1032&lt;&gt;AY1033,MMULT(MINVERSE(AY1032:AZ1033),BA1032:BA1033)," ")</f>
        <v>#NUM!</v>
      </c>
      <c r="BC1032" s="34" t="str">
        <f t="shared" ref="BC1032" si="4349">IFERROR(IF(BB1032-VLOOKUP(AY$38,$A$2:$N$12,14,FALSE)&lt;0,BB1032-VLOOKUP(AY$38,$A$2:$N$12,14,FALSE)," ")," ")</f>
        <v xml:space="preserve"> </v>
      </c>
      <c r="BD1032" s="34" t="str">
        <f t="shared" ref="BD1032" si="4350">IFERROR(IF(BB1032-VLOOKUP(AY$38,$A$2:$N$12,14,FALSE)&gt;0,BB1032-VLOOKUP(AY$38,$A$2:$N$12,14,FALSE)," ")," ")</f>
        <v xml:space="preserve"> </v>
      </c>
      <c r="BE1032" s="34">
        <f t="shared" ref="BE1032" si="4351">$M$8</f>
        <v>0</v>
      </c>
      <c r="BF1032" s="34">
        <v>-1</v>
      </c>
      <c r="BG1032" s="34">
        <f t="shared" ref="BG1032" si="4352">-SUMPRODUCT($M$2:$M$7,$N$2:$N$7)-SUMPRODUCT($M$9:$M$12,$N$9:$N$12)</f>
        <v>-120000</v>
      </c>
      <c r="BH1032" s="34" t="e">
        <f t="shared" ref="BH1032" si="4353">IF(BE1032&lt;&gt;BE1033,MMULT(MINVERSE(BE1032:BF1033),BG1032:BG1033)," ")</f>
        <v>#NUM!</v>
      </c>
      <c r="BI1032" s="34" t="str">
        <f t="shared" ref="BI1032" si="4354">IFERROR(IF(BH1032-VLOOKUP(BE$38,$A$2:$N$12,14,FALSE)&lt;0,BH1032-VLOOKUP(BE$38,$A$2:$N$12,14,FALSE)," ")," ")</f>
        <v xml:space="preserve"> </v>
      </c>
      <c r="BJ1032" s="34" t="str">
        <f t="shared" ref="BJ1032" si="4355">IFERROR(IF(BH1032-VLOOKUP(BE$38,$A$2:$N$12,14,FALSE)&gt;0,BH1032-VLOOKUP(BE$38,$A$2:$N$12,14,FALSE)," ")," ")</f>
        <v xml:space="preserve"> </v>
      </c>
      <c r="BK1032" s="34">
        <f t="shared" ref="BK1032" si="4356">$M$9</f>
        <v>0</v>
      </c>
      <c r="BL1032" s="34">
        <v>-1</v>
      </c>
      <c r="BM1032" s="34">
        <f t="shared" ref="BM1032" si="4357">-SUMPRODUCT($M$2:$M$8,$N$2:$N$8)-SUMPRODUCT($M$10:$M$12,$N$10:$N$12)</f>
        <v>-120000</v>
      </c>
      <c r="BN1032" s="34" t="e">
        <f t="shared" ref="BN1032" si="4358">IF(BK1032&lt;&gt;BK1033,MMULT(MINVERSE(BK1032:BL1033),BM1032:BM1033)," ")</f>
        <v>#NUM!</v>
      </c>
      <c r="BO1032" s="34" t="str">
        <f t="shared" ref="BO1032" si="4359">IFERROR(IF(BN1032-VLOOKUP(BK$38,$A$2:$N$12,14,FALSE)&lt;0,BN1032-VLOOKUP(BK$38,$A$2:$N$12,14,FALSE)," ")," ")</f>
        <v xml:space="preserve"> </v>
      </c>
      <c r="BP1032" s="34" t="str">
        <f t="shared" ref="BP1032" si="4360">IFERROR(IF(BN1032-VLOOKUP(BK$38,$A$2:$N$12,14,FALSE)&gt;0,BN1032-VLOOKUP(BK$38,$A$2:$N$12,14,FALSE)," ")," ")</f>
        <v xml:space="preserve"> </v>
      </c>
      <c r="BQ1032" s="34">
        <f t="shared" ref="BQ1032" si="4361">$M$10</f>
        <v>0</v>
      </c>
      <c r="BR1032" s="34">
        <v>-1</v>
      </c>
      <c r="BS1032" s="34">
        <f t="shared" ref="BS1032" si="4362">-SUMPRODUCT($M$2:$M$9,$N$2:$N$9)-SUMPRODUCT($M$11:$M$12,$N$11:$N$12)</f>
        <v>-120000</v>
      </c>
      <c r="BT1032" s="34" t="e">
        <f t="shared" ref="BT1032" si="4363">IF(BQ1032&lt;&gt;BQ1033,MMULT(MINVERSE(BQ1032:BR1033),BS1032:BS1033)," ")</f>
        <v>#NUM!</v>
      </c>
      <c r="BU1032" s="34" t="str">
        <f t="shared" ref="BU1032" si="4364">IFERROR(IF(BT1032-VLOOKUP(BQ$38,$A$2:$N$12,14,FALSE)&lt;0,BT1032-VLOOKUP(BQ$38,$A$2:$N$12,14,FALSE)," ")," ")</f>
        <v xml:space="preserve"> </v>
      </c>
      <c r="BV1032" s="34" t="str">
        <f t="shared" ref="BV1032" si="4365">IFERROR(IF(BT1032-VLOOKUP(BQ$38,$A$2:$N$12,14,FALSE)&gt;0,BT1032-VLOOKUP(BQ$38,$A$2:$N$12,14,FALSE)," ")," ")</f>
        <v xml:space="preserve"> </v>
      </c>
      <c r="BW1032" s="34">
        <f t="shared" ref="BW1032" si="4366">$M$11</f>
        <v>0</v>
      </c>
      <c r="BX1032" s="34">
        <v>-1</v>
      </c>
      <c r="BY1032" s="34">
        <f t="shared" ref="BY1032" si="4367">-SUMPRODUCT($M$2:$M$10,$N$2:$N$10)-SUMPRODUCT($M$12,$N$12)</f>
        <v>-120000</v>
      </c>
      <c r="BZ1032" s="34" t="e">
        <f t="shared" ref="BZ1032" si="4368">IF(BW1032&lt;&gt;BW1033,MMULT(MINVERSE(BW1032:BX1033),BY1032:BY1033)," ")</f>
        <v>#NUM!</v>
      </c>
      <c r="CA1032" s="34" t="str">
        <f t="shared" ref="CA1032" si="4369">IFERROR(IF(BZ1032-VLOOKUP(BW$38,$A$2:$N$12,14,FALSE)&lt;0,BZ1032-VLOOKUP(BW$38,$A$2:$N$12,14,FALSE)," ")," ")</f>
        <v xml:space="preserve"> </v>
      </c>
      <c r="CB1032" s="34" t="str">
        <f t="shared" ref="CB1032" si="4370">IFERROR(IF(BZ1032-VLOOKUP(BW$38,$A$2:$N$12,14,FALSE)&gt;0,BZ1032-VLOOKUP(BW$38,$A$2:$N$12,14,FALSE)," ")," ")</f>
        <v xml:space="preserve"> </v>
      </c>
      <c r="CC1032" s="34">
        <f t="shared" ref="CC1032" si="4371">$M$12</f>
        <v>0</v>
      </c>
      <c r="CD1032" s="34">
        <v>-1</v>
      </c>
      <c r="CE1032" s="34">
        <f t="shared" ref="CE1032" si="4372">-SUMPRODUCT($M$2:$M$11,$N$2:$N$11)</f>
        <v>-120000</v>
      </c>
      <c r="CF1032" s="34" t="e">
        <f t="shared" ref="CF1032" si="4373">IF(CC1032&lt;&gt;CC1033,MMULT(MINVERSE(CC1032:CD1033),CE1032:CE1033)," ")</f>
        <v>#NUM!</v>
      </c>
      <c r="CG1032" s="34" t="str">
        <f t="shared" ref="CG1032" si="4374">IFERROR(IF(CF1032-VLOOKUP(CC$38,$A$2:$N$12,14,FALSE)&lt;0,CF1032-VLOOKUP(CC$38,$A$2:$N$12,14,FALSE)," ")," ")</f>
        <v xml:space="preserve"> </v>
      </c>
      <c r="CH1032" s="34" t="str">
        <f t="shared" ref="CH1032" si="4375">IFERROR(IF(CF1032-VLOOKUP(CC$38,$A$2:$N$12,14,FALSE)&gt;0,CF1032-VLOOKUP(CC$38,$A$2:$N$12,14,FALSE)," ")," ")</f>
        <v xml:space="preserve"> </v>
      </c>
      <c r="CI1032" s="8"/>
    </row>
    <row r="1033" spans="1:87" x14ac:dyDescent="0.2">
      <c r="A1033" s="8" t="str">
        <f>IF(AND(COUNTIF(W$3:W$13,A$16)&gt;0,A$16&lt;&gt;B800),A$16,IFERROR(IF(MATCH(A$16,Z$3:Z$13,0)=11,A$16," ")," "))</f>
        <v xml:space="preserve"> </v>
      </c>
      <c r="B1033" s="8" t="str">
        <f>IF(A1033=" "," ",MAX(B1032:B1032)+1)</f>
        <v xml:space="preserve"> </v>
      </c>
      <c r="C1033" s="8" t="str">
        <f>IFERROR(INDEX(A1032:A1053,MATCH(SMALL(B1032:B1053,2),B1032:B1053,0),1)," ")</f>
        <v>C4</v>
      </c>
      <c r="D1033" s="8">
        <f t="shared" ref="D1033:D1042" si="4376">IFERROR(VLOOKUP($C1033,$A$15:$O$36,2,FALSE)," ")</f>
        <v>1</v>
      </c>
      <c r="E1033" s="8">
        <f t="shared" ref="E1033:E1042" si="4377">IFERROR(VLOOKUP($C1033,$A$15:$O$36,3,FALSE)," ")</f>
        <v>0</v>
      </c>
      <c r="F1033" s="8">
        <f t="shared" ref="F1033:F1042" si="4378">IFERROR(VLOOKUP($C1033,$A$15:$O$36,4,FALSE)," ")</f>
        <v>1</v>
      </c>
      <c r="G1033" s="8">
        <f t="shared" ref="G1033:G1042" si="4379">IFERROR(VLOOKUP($C1033,$A$15:$O$36,5,FALSE)," ")</f>
        <v>0</v>
      </c>
      <c r="H1033" s="8">
        <f t="shared" ref="H1033:H1042" si="4380">IFERROR(VLOOKUP($C1033,$A$15:$O$36,6,FALSE)," ")</f>
        <v>0</v>
      </c>
      <c r="I1033" s="8">
        <f t="shared" ref="I1033:I1042" si="4381">IFERROR(VLOOKUP($C1033,$A$15:$O$36,7,FALSE)," ")</f>
        <v>0</v>
      </c>
      <c r="J1033" s="8">
        <f t="shared" ref="J1033:J1042" si="4382">IFERROR(VLOOKUP($C1033,$A$15:$O$36,8,FALSE)," ")</f>
        <v>0</v>
      </c>
      <c r="K1033" s="8">
        <f t="shared" ref="K1033:K1042" si="4383">IFERROR(VLOOKUP($C1033,$A$15:$O$36,9,FALSE)," ")</f>
        <v>0</v>
      </c>
      <c r="L1033" s="8">
        <f t="shared" ref="L1033:L1042" si="4384">IFERROR(VLOOKUP($C1033,$A$15:$O$36,10,FALSE)," ")</f>
        <v>0</v>
      </c>
      <c r="M1033" s="8">
        <f t="shared" ref="M1033:M1042" si="4385">IFERROR(VLOOKUP($C1033,$A$15:$O$36,11,FALSE)," ")</f>
        <v>0</v>
      </c>
      <c r="N1033" s="8">
        <f t="shared" ref="N1033:N1042" si="4386">IFERROR(VLOOKUP($C1033,$A$15:$O$36,12,FALSE)," ")</f>
        <v>0</v>
      </c>
      <c r="O1033" s="8">
        <f t="shared" ref="O1033:O1042" si="4387">IFERROR(VLOOKUP($C1033,$A$15:$O$36,15,FALSE)," ")</f>
        <v>400</v>
      </c>
      <c r="P1033" s="8" t="e">
        <v>#NUM!</v>
      </c>
      <c r="Q1033" s="8" t="e">
        <f t="shared" ref="Q1033" si="4388">IF(COUNTIF(P1032:P1042,"&lt;"&amp;-0.001)=0,IF(ABS(P1033)&lt;0.001,0,P1033)," ")</f>
        <v>#NUM!</v>
      </c>
      <c r="R1033" s="8"/>
      <c r="S1033" s="8"/>
      <c r="U1033" s="34" t="e">
        <f t="shared" ref="U1033" si="4389">$Q1032</f>
        <v>#NUM!</v>
      </c>
      <c r="V1033" s="34">
        <v>-1</v>
      </c>
      <c r="W1033" s="34" t="e">
        <f t="shared" ref="W1033" si="4390">-SUMPRODUCT($Q1033:$Q1042,$N$3:$N$12)</f>
        <v>#NUM!</v>
      </c>
      <c r="X1033" s="34"/>
      <c r="Y1033" s="34"/>
      <c r="Z1033" s="34"/>
      <c r="AA1033" s="34" t="e">
        <f t="shared" ref="AA1033" si="4391">$Q1033</f>
        <v>#NUM!</v>
      </c>
      <c r="AB1033" s="34">
        <v>-1</v>
      </c>
      <c r="AC1033" s="34" t="e">
        <f t="shared" ref="AC1033" si="4392">-SUMPRODUCT($Q1032:$Q1032,$N$2:$N$2)-SUMPRODUCT($Q1034:$Q1042,$N$4:$N$12)</f>
        <v>#NUM!</v>
      </c>
      <c r="AD1033" s="34"/>
      <c r="AE1033" s="34"/>
      <c r="AF1033" s="34"/>
      <c r="AG1033" s="34" t="e">
        <f t="shared" ref="AG1033" si="4393">$Q1034</f>
        <v>#NUM!</v>
      </c>
      <c r="AH1033" s="34">
        <v>-1</v>
      </c>
      <c r="AI1033" s="34" t="e">
        <f t="shared" ref="AI1033" si="4394">-SUMPRODUCT($Q1032:$Q1033,$N$2:$N$3)-SUMPRODUCT($Q1035:$Q1042,$N$5:$N$12)</f>
        <v>#NUM!</v>
      </c>
      <c r="AJ1033" s="34"/>
      <c r="AK1033" s="34"/>
      <c r="AL1033" s="34"/>
      <c r="AM1033" s="34" t="e">
        <f t="shared" ref="AM1033" si="4395">$Q1035</f>
        <v>#NUM!</v>
      </c>
      <c r="AN1033" s="34">
        <v>-1</v>
      </c>
      <c r="AO1033" s="34" t="e">
        <f t="shared" ref="AO1033" si="4396">-SUMPRODUCT($Q1032:$Q1034,$N$2:$N$4)-SUMPRODUCT($Q1036:$Q1042,$N$6:$N$12)</f>
        <v>#NUM!</v>
      </c>
      <c r="AP1033" s="34"/>
      <c r="AQ1033" s="34"/>
      <c r="AR1033" s="34"/>
      <c r="AS1033" s="34" t="e">
        <f t="shared" ref="AS1033" si="4397">$Q1036</f>
        <v>#NUM!</v>
      </c>
      <c r="AT1033" s="34">
        <v>-1</v>
      </c>
      <c r="AU1033" s="34" t="e">
        <f t="shared" ref="AU1033" si="4398">-SUMPRODUCT($Q1032:$Q1035,$N$2:$N$5)-SUMPRODUCT($Q1037:$Q1042,$N$7:$N$12)</f>
        <v>#NUM!</v>
      </c>
      <c r="AV1033" s="34"/>
      <c r="AW1033" s="34"/>
      <c r="AX1033" s="34"/>
      <c r="AY1033" s="34" t="e">
        <f t="shared" ref="AY1033" si="4399">$Q1037</f>
        <v>#NUM!</v>
      </c>
      <c r="AZ1033" s="34">
        <v>-1</v>
      </c>
      <c r="BA1033" s="34" t="e">
        <f t="shared" ref="BA1033" si="4400">-SUMPRODUCT($Q1032:$Q1036,$N$2:$N$6)-SUMPRODUCT($Q1038:$Q1042,$N$8:$N$12)</f>
        <v>#NUM!</v>
      </c>
      <c r="BB1033" s="34"/>
      <c r="BC1033" s="34"/>
      <c r="BD1033" s="34"/>
      <c r="BE1033" s="34" t="e">
        <f t="shared" ref="BE1033" si="4401">$Q1038</f>
        <v>#NUM!</v>
      </c>
      <c r="BF1033" s="34">
        <v>-1</v>
      </c>
      <c r="BG1033" s="34" t="e">
        <f t="shared" ref="BG1033" si="4402">-SUMPRODUCT($Q1032:$Q1037,$N$2:$N$7)-SUMPRODUCT($Q1039:$Q1042,$N$9:$N$12)</f>
        <v>#NUM!</v>
      </c>
      <c r="BH1033" s="34"/>
      <c r="BI1033" s="34"/>
      <c r="BJ1033" s="34"/>
      <c r="BK1033" s="34" t="e">
        <f t="shared" ref="BK1033" si="4403">$Q1039</f>
        <v>#NUM!</v>
      </c>
      <c r="BL1033" s="34">
        <v>-1</v>
      </c>
      <c r="BM1033" s="34" t="e">
        <f t="shared" ref="BM1033" si="4404">-SUMPRODUCT($Q1032:$Q1038,$N$2:$N$8)-SUMPRODUCT($Q1040:$Q1042,$N$10:$N$12)</f>
        <v>#NUM!</v>
      </c>
      <c r="BN1033" s="34"/>
      <c r="BO1033" s="34"/>
      <c r="BP1033" s="34"/>
      <c r="BQ1033" s="34" t="e">
        <f t="shared" ref="BQ1033" si="4405">$Q1040</f>
        <v>#NUM!</v>
      </c>
      <c r="BR1033" s="34">
        <v>-1</v>
      </c>
      <c r="BS1033" s="34" t="e">
        <f t="shared" ref="BS1033" si="4406">-SUMPRODUCT($Q1032:$Q1039,$N$2:$N$9)-SUMPRODUCT($Q1041:$Q1042,$N$11:$N$12)</f>
        <v>#NUM!</v>
      </c>
      <c r="BT1033" s="34"/>
      <c r="BU1033" s="34"/>
      <c r="BV1033" s="34"/>
      <c r="BW1033" s="34" t="e">
        <f t="shared" ref="BW1033" si="4407">$Q1041</f>
        <v>#NUM!</v>
      </c>
      <c r="BX1033" s="34">
        <v>-1</v>
      </c>
      <c r="BY1033" s="34" t="e">
        <f t="shared" ref="BY1033" si="4408">-SUMPRODUCT($Q1032:$Q1040,$N$2:$N$10)-SUMPRODUCT($Q1042,$N$12)</f>
        <v>#NUM!</v>
      </c>
      <c r="BZ1033" s="34"/>
      <c r="CA1033" s="34"/>
      <c r="CB1033" s="34"/>
      <c r="CC1033" s="34" t="e">
        <f t="shared" ref="CC1033" si="4409">$Q1042</f>
        <v>#NUM!</v>
      </c>
      <c r="CD1033" s="34">
        <v>-1</v>
      </c>
      <c r="CE1033" s="34" t="e">
        <f t="shared" ref="CE1033" si="4410">-SUMPRODUCT($Q1032:$Q1041,$N$2:$N$11)</f>
        <v>#NUM!</v>
      </c>
      <c r="CF1033" s="34"/>
      <c r="CG1033" s="34"/>
      <c r="CH1033" s="34"/>
      <c r="CI1033" s="8"/>
    </row>
    <row r="1034" spans="1:87" x14ac:dyDescent="0.2">
      <c r="A1034" s="8" t="str">
        <f>IF(AND(COUNTIF(W$3:W$13,A$17)&gt;0,A$17&lt;&gt;B800),A$17,IFERROR(IF(MATCH(A$17,Z$3:Z$13,0)=11,A$17," ")," "))</f>
        <v>C3</v>
      </c>
      <c r="B1034" s="8">
        <f>IF(A1034=" "," ",MAX(B1032:B1033)+1)</f>
        <v>1</v>
      </c>
      <c r="C1034" s="8" t="str">
        <f>IFERROR(INDEX(A1032:A1053,MATCH(SMALL(B1032:B1053,3),B1032:B1053,0),1)," ")</f>
        <v>C13</v>
      </c>
      <c r="D1034" s="8">
        <f t="shared" si="4376"/>
        <v>0</v>
      </c>
      <c r="E1034" s="8">
        <f t="shared" si="4377"/>
        <v>1</v>
      </c>
      <c r="F1034" s="8">
        <f t="shared" si="4378"/>
        <v>0</v>
      </c>
      <c r="G1034" s="8">
        <f t="shared" si="4379"/>
        <v>0</v>
      </c>
      <c r="H1034" s="8">
        <f t="shared" si="4380"/>
        <v>0</v>
      </c>
      <c r="I1034" s="8">
        <f t="shared" si="4381"/>
        <v>0</v>
      </c>
      <c r="J1034" s="8">
        <f t="shared" si="4382"/>
        <v>0</v>
      </c>
      <c r="K1034" s="8">
        <f t="shared" si="4383"/>
        <v>0</v>
      </c>
      <c r="L1034" s="8">
        <f t="shared" si="4384"/>
        <v>0</v>
      </c>
      <c r="M1034" s="8">
        <f t="shared" si="4385"/>
        <v>0</v>
      </c>
      <c r="N1034" s="8">
        <f t="shared" si="4386"/>
        <v>0</v>
      </c>
      <c r="O1034" s="8">
        <f t="shared" si="4387"/>
        <v>0</v>
      </c>
      <c r="P1034" s="8" t="e">
        <v>#NUM!</v>
      </c>
      <c r="Q1034" s="8" t="e">
        <f t="shared" ref="Q1034" si="4411">IF(COUNTIF(P1032:P1042,"&lt;"&amp;-0.001)=0,IF(ABS(P1034)&lt;0.001,0,P1034)," ")</f>
        <v>#NUM!</v>
      </c>
      <c r="R1034" s="8"/>
      <c r="S1034" s="8"/>
      <c r="U1034" s="34"/>
      <c r="V1034" s="34"/>
      <c r="W1034" s="34"/>
      <c r="X1034" s="34"/>
      <c r="Y1034" s="34"/>
      <c r="Z1034" s="34"/>
      <c r="AA1034" s="34"/>
      <c r="AB1034" s="34"/>
      <c r="AC1034" s="34"/>
      <c r="AD1034" s="34"/>
      <c r="AE1034" s="34"/>
      <c r="AF1034" s="34"/>
      <c r="AG1034" s="34"/>
      <c r="AH1034" s="34"/>
      <c r="AI1034" s="34"/>
      <c r="AJ1034" s="34"/>
      <c r="AK1034" s="34"/>
      <c r="AL1034" s="34"/>
      <c r="AM1034" s="34"/>
      <c r="AN1034" s="34"/>
      <c r="AO1034" s="34"/>
      <c r="AP1034" s="34"/>
      <c r="AQ1034" s="34"/>
      <c r="AR1034" s="34"/>
      <c r="AS1034" s="34"/>
      <c r="AT1034" s="34"/>
      <c r="AU1034" s="34"/>
      <c r="AV1034" s="34"/>
      <c r="AW1034" s="34"/>
      <c r="AX1034" s="34"/>
      <c r="AY1034" s="34"/>
      <c r="AZ1034" s="34"/>
      <c r="BA1034" s="34"/>
      <c r="BB1034" s="34"/>
      <c r="BC1034" s="34"/>
      <c r="BD1034" s="34"/>
      <c r="BE1034" s="34"/>
      <c r="BF1034" s="34"/>
      <c r="BG1034" s="34"/>
      <c r="BH1034" s="34"/>
      <c r="BI1034" s="34"/>
      <c r="BJ1034" s="34"/>
      <c r="BK1034" s="34"/>
      <c r="BL1034" s="34"/>
      <c r="BM1034" s="34"/>
      <c r="BN1034" s="34"/>
      <c r="BO1034" s="34"/>
      <c r="BP1034" s="34"/>
      <c r="BQ1034" s="34"/>
      <c r="BR1034" s="34"/>
      <c r="BS1034" s="34"/>
      <c r="BT1034" s="34"/>
      <c r="BU1034" s="34"/>
      <c r="BV1034" s="34"/>
      <c r="BW1034" s="34"/>
      <c r="BX1034" s="34"/>
      <c r="BY1034" s="34"/>
      <c r="BZ1034" s="34"/>
      <c r="CA1034" s="34"/>
      <c r="CB1034" s="34"/>
      <c r="CC1034" s="34"/>
      <c r="CD1034" s="34"/>
      <c r="CE1034" s="34"/>
      <c r="CF1034" s="34"/>
      <c r="CG1034" s="34"/>
      <c r="CH1034" s="34"/>
      <c r="CI1034" s="8"/>
    </row>
    <row r="1035" spans="1:87" x14ac:dyDescent="0.2">
      <c r="A1035" s="8" t="str">
        <f>IF(AND(COUNTIF(W$3:W$13,A$18)&gt;0,A$18&lt;&gt;B800),A$18,IFERROR(IF(MATCH(A$18,Z$3:Z$13,0)=11,A$18," ")," "))</f>
        <v>C4</v>
      </c>
      <c r="B1035" s="8">
        <f>IF(A1035=" "," ",MAX(B1032:B1034)+1)</f>
        <v>2</v>
      </c>
      <c r="C1035" s="8" t="str">
        <f>IFERROR(INDEX(A1032:A1053,MATCH(SMALL(B1032:B1053,4),B1032:B1053,0),1)," ")</f>
        <v>C14</v>
      </c>
      <c r="D1035" s="8">
        <f t="shared" si="4376"/>
        <v>0</v>
      </c>
      <c r="E1035" s="8">
        <f t="shared" si="4377"/>
        <v>0</v>
      </c>
      <c r="F1035" s="8">
        <f t="shared" si="4378"/>
        <v>1</v>
      </c>
      <c r="G1035" s="8">
        <f t="shared" si="4379"/>
        <v>0</v>
      </c>
      <c r="H1035" s="8">
        <f t="shared" si="4380"/>
        <v>0</v>
      </c>
      <c r="I1035" s="8">
        <f t="shared" si="4381"/>
        <v>0</v>
      </c>
      <c r="J1035" s="8">
        <f t="shared" si="4382"/>
        <v>0</v>
      </c>
      <c r="K1035" s="8">
        <f t="shared" si="4383"/>
        <v>0</v>
      </c>
      <c r="L1035" s="8">
        <f t="shared" si="4384"/>
        <v>0</v>
      </c>
      <c r="M1035" s="8">
        <f t="shared" si="4385"/>
        <v>0</v>
      </c>
      <c r="N1035" s="8">
        <f t="shared" si="4386"/>
        <v>0</v>
      </c>
      <c r="O1035" s="8">
        <f t="shared" si="4387"/>
        <v>0</v>
      </c>
      <c r="P1035" s="8" t="e">
        <v>#NUM!</v>
      </c>
      <c r="Q1035" s="8" t="e">
        <f t="shared" ref="Q1035" si="4412">IF(COUNTIF(P1032:P1042,"&lt;"&amp;-0.001)=0,IF(ABS(P1035)&lt;0.001,0,P1035)," ")</f>
        <v>#NUM!</v>
      </c>
      <c r="R1035" s="8"/>
      <c r="S1035" s="8"/>
      <c r="U1035" s="34"/>
      <c r="V1035" s="34"/>
      <c r="W1035" s="34"/>
      <c r="X1035" s="34"/>
      <c r="Y1035" s="34"/>
      <c r="Z1035" s="34"/>
      <c r="AA1035" s="34"/>
      <c r="AB1035" s="34"/>
      <c r="AC1035" s="34"/>
      <c r="AD1035" s="34"/>
      <c r="AE1035" s="34"/>
      <c r="AF1035" s="34"/>
      <c r="AG1035" s="34"/>
      <c r="AH1035" s="34"/>
      <c r="AI1035" s="34"/>
      <c r="AJ1035" s="34"/>
      <c r="AK1035" s="34"/>
      <c r="AL1035" s="34"/>
      <c r="AM1035" s="34"/>
      <c r="AN1035" s="34"/>
      <c r="AO1035" s="34"/>
      <c r="AP1035" s="34"/>
      <c r="AQ1035" s="34"/>
      <c r="AR1035" s="34"/>
      <c r="AS1035" s="34"/>
      <c r="AT1035" s="34"/>
      <c r="AU1035" s="34"/>
      <c r="AV1035" s="34"/>
      <c r="AW1035" s="34"/>
      <c r="AX1035" s="34"/>
      <c r="AY1035" s="34"/>
      <c r="AZ1035" s="34"/>
      <c r="BA1035" s="34"/>
      <c r="BB1035" s="34"/>
      <c r="BC1035" s="34"/>
      <c r="BD1035" s="34"/>
      <c r="BE1035" s="34"/>
      <c r="BF1035" s="34"/>
      <c r="BG1035" s="34"/>
      <c r="BH1035" s="34"/>
      <c r="BI1035" s="34"/>
      <c r="BJ1035" s="34"/>
      <c r="BK1035" s="34"/>
      <c r="BL1035" s="34"/>
      <c r="BM1035" s="34"/>
      <c r="BN1035" s="34"/>
      <c r="BO1035" s="34"/>
      <c r="BP1035" s="34"/>
      <c r="BQ1035" s="34"/>
      <c r="BR1035" s="34"/>
      <c r="BS1035" s="34"/>
      <c r="BT1035" s="34"/>
      <c r="BU1035" s="34"/>
      <c r="BV1035" s="34"/>
      <c r="BW1035" s="34"/>
      <c r="BX1035" s="34"/>
      <c r="BY1035" s="34"/>
      <c r="BZ1035" s="34"/>
      <c r="CA1035" s="34"/>
      <c r="CB1035" s="34"/>
      <c r="CC1035" s="34"/>
      <c r="CD1035" s="34"/>
      <c r="CE1035" s="34"/>
      <c r="CF1035" s="34"/>
      <c r="CG1035" s="34"/>
      <c r="CH1035" s="34"/>
      <c r="CI1035" s="8"/>
    </row>
    <row r="1036" spans="1:87" x14ac:dyDescent="0.2">
      <c r="A1036" s="8" t="str">
        <f>IF(AND(COUNTIF(W$3:W$13,A$19)&gt;0,A$19&lt;&gt;B800),A$19,IFERROR(IF(MATCH(A$19,Z$3:Z$13,0)=11,A$19," ")," "))</f>
        <v xml:space="preserve"> </v>
      </c>
      <c r="B1036" s="8" t="str">
        <f>IF(A1036=" "," ",MAX(B1032:B1035)+1)</f>
        <v xml:space="preserve"> </v>
      </c>
      <c r="C1036" s="8" t="str">
        <f>IFERROR(INDEX(A1032:A1053,MATCH(SMALL(B1032:B1053,5),B1032:B1053,0),1)," ")</f>
        <v>C16</v>
      </c>
      <c r="D1036" s="8">
        <f t="shared" si="4376"/>
        <v>0</v>
      </c>
      <c r="E1036" s="8">
        <f t="shared" si="4377"/>
        <v>0</v>
      </c>
      <c r="F1036" s="8">
        <f t="shared" si="4378"/>
        <v>0</v>
      </c>
      <c r="G1036" s="8">
        <f t="shared" si="4379"/>
        <v>0</v>
      </c>
      <c r="H1036" s="8">
        <f t="shared" si="4380"/>
        <v>1</v>
      </c>
      <c r="I1036" s="8">
        <f t="shared" si="4381"/>
        <v>0</v>
      </c>
      <c r="J1036" s="8">
        <f t="shared" si="4382"/>
        <v>0</v>
      </c>
      <c r="K1036" s="8">
        <f t="shared" si="4383"/>
        <v>0</v>
      </c>
      <c r="L1036" s="8">
        <f t="shared" si="4384"/>
        <v>0</v>
      </c>
      <c r="M1036" s="8">
        <f t="shared" si="4385"/>
        <v>0</v>
      </c>
      <c r="N1036" s="8">
        <f t="shared" si="4386"/>
        <v>0</v>
      </c>
      <c r="O1036" s="8">
        <f t="shared" si="4387"/>
        <v>0</v>
      </c>
      <c r="P1036" s="8" t="e">
        <v>#NUM!</v>
      </c>
      <c r="Q1036" s="8" t="e">
        <f t="shared" ref="Q1036" si="4413">IF(COUNTIF(P1032:P1042,"&lt;"&amp;-0.001)=0,IF(ABS(P1036)&lt;0.001,0,P1036)," ")</f>
        <v>#NUM!</v>
      </c>
      <c r="R1036" s="8"/>
      <c r="S1036" s="8"/>
      <c r="U1036" s="34"/>
      <c r="V1036" s="34"/>
      <c r="W1036" s="34"/>
      <c r="X1036" s="34"/>
      <c r="Y1036" s="34"/>
      <c r="Z1036" s="34"/>
      <c r="AA1036" s="34"/>
      <c r="AB1036" s="34"/>
      <c r="AC1036" s="34"/>
      <c r="AD1036" s="34"/>
      <c r="AE1036" s="34"/>
      <c r="AF1036" s="34"/>
      <c r="AG1036" s="34"/>
      <c r="AH1036" s="34"/>
      <c r="AI1036" s="34"/>
      <c r="AJ1036" s="34"/>
      <c r="AK1036" s="34"/>
      <c r="AL1036" s="34"/>
      <c r="AM1036" s="34"/>
      <c r="AN1036" s="34"/>
      <c r="AO1036" s="34"/>
      <c r="AP1036" s="34"/>
      <c r="AQ1036" s="34"/>
      <c r="AR1036" s="34"/>
      <c r="AS1036" s="34"/>
      <c r="AT1036" s="34"/>
      <c r="AU1036" s="34"/>
      <c r="AV1036" s="34"/>
      <c r="AW1036" s="34"/>
      <c r="AX1036" s="34"/>
      <c r="AY1036" s="34"/>
      <c r="AZ1036" s="34"/>
      <c r="BA1036" s="34"/>
      <c r="BB1036" s="34"/>
      <c r="BC1036" s="34"/>
      <c r="BD1036" s="34"/>
      <c r="BE1036" s="34"/>
      <c r="BF1036" s="34"/>
      <c r="BG1036" s="34"/>
      <c r="BH1036" s="34"/>
      <c r="BI1036" s="34"/>
      <c r="BJ1036" s="34"/>
      <c r="BK1036" s="34"/>
      <c r="BL1036" s="34"/>
      <c r="BM1036" s="34"/>
      <c r="BN1036" s="34"/>
      <c r="BO1036" s="34"/>
      <c r="BP1036" s="34"/>
      <c r="BQ1036" s="34"/>
      <c r="BR1036" s="34"/>
      <c r="BS1036" s="34"/>
      <c r="BT1036" s="34"/>
      <c r="BU1036" s="34"/>
      <c r="BV1036" s="34"/>
      <c r="BW1036" s="34"/>
      <c r="BX1036" s="34"/>
      <c r="BY1036" s="34"/>
      <c r="BZ1036" s="34"/>
      <c r="CA1036" s="34"/>
      <c r="CB1036" s="34"/>
      <c r="CC1036" s="34"/>
      <c r="CD1036" s="34"/>
      <c r="CE1036" s="34"/>
      <c r="CF1036" s="34"/>
      <c r="CG1036" s="34"/>
      <c r="CH1036" s="34"/>
      <c r="CI1036" s="8"/>
    </row>
    <row r="1037" spans="1:87" x14ac:dyDescent="0.2">
      <c r="A1037" s="8" t="str">
        <f>IF(AND(COUNTIF(W$3:W$13,A$20)&gt;0,A$20&lt;&gt;B800),A$20,IFERROR(IF(MATCH(A$20,Z$3:Z$13,0)=11,A$20," ")," "))</f>
        <v xml:space="preserve"> </v>
      </c>
      <c r="B1037" s="8" t="str">
        <f>IF(A1037=" "," ",MAX(B1032:B1036)+1)</f>
        <v xml:space="preserve"> </v>
      </c>
      <c r="C1037" s="8" t="str">
        <f>IFERROR(INDEX(A1032:A1053,MATCH(SMALL(B1032:B1053,6),B1032:B1053,0),1)," ")</f>
        <v>C17</v>
      </c>
      <c r="D1037" s="8">
        <f t="shared" si="4376"/>
        <v>0</v>
      </c>
      <c r="E1037" s="8">
        <f t="shared" si="4377"/>
        <v>0</v>
      </c>
      <c r="F1037" s="8">
        <f t="shared" si="4378"/>
        <v>0</v>
      </c>
      <c r="G1037" s="8">
        <f t="shared" si="4379"/>
        <v>0</v>
      </c>
      <c r="H1037" s="8">
        <f t="shared" si="4380"/>
        <v>0</v>
      </c>
      <c r="I1037" s="8">
        <f t="shared" si="4381"/>
        <v>1</v>
      </c>
      <c r="J1037" s="8">
        <f t="shared" si="4382"/>
        <v>0</v>
      </c>
      <c r="K1037" s="8">
        <f t="shared" si="4383"/>
        <v>0</v>
      </c>
      <c r="L1037" s="8">
        <f t="shared" si="4384"/>
        <v>0</v>
      </c>
      <c r="M1037" s="8">
        <f t="shared" si="4385"/>
        <v>0</v>
      </c>
      <c r="N1037" s="8">
        <f t="shared" si="4386"/>
        <v>0</v>
      </c>
      <c r="O1037" s="8">
        <f t="shared" si="4387"/>
        <v>0</v>
      </c>
      <c r="P1037" s="8" t="e">
        <v>#NUM!</v>
      </c>
      <c r="Q1037" s="8" t="e">
        <f t="shared" ref="Q1037" si="4414">IF(COUNTIF(P1032:P1042,"&lt;"&amp;-0.001)=0,IF(ABS(P1037)&lt;0.001,0,P1037)," ")</f>
        <v>#NUM!</v>
      </c>
      <c r="R1037" s="8"/>
      <c r="S1037" s="8"/>
      <c r="U1037" s="34"/>
      <c r="V1037" s="34"/>
      <c r="W1037" s="34"/>
      <c r="X1037" s="34"/>
      <c r="Y1037" s="34"/>
      <c r="Z1037" s="34"/>
      <c r="AA1037" s="34"/>
      <c r="AB1037" s="34"/>
      <c r="AC1037" s="34"/>
      <c r="AD1037" s="34"/>
      <c r="AE1037" s="34"/>
      <c r="AF1037" s="34"/>
      <c r="AG1037" s="34"/>
      <c r="AH1037" s="34"/>
      <c r="AI1037" s="34"/>
      <c r="AJ1037" s="34"/>
      <c r="AK1037" s="34"/>
      <c r="AL1037" s="34"/>
      <c r="AM1037" s="34"/>
      <c r="AN1037" s="34"/>
      <c r="AO1037" s="34"/>
      <c r="AP1037" s="34"/>
      <c r="AQ1037" s="34"/>
      <c r="AR1037" s="34"/>
      <c r="AS1037" s="34"/>
      <c r="AT1037" s="34"/>
      <c r="AU1037" s="34"/>
      <c r="AV1037" s="34"/>
      <c r="AW1037" s="34"/>
      <c r="AX1037" s="34"/>
      <c r="AY1037" s="34"/>
      <c r="AZ1037" s="34"/>
      <c r="BA1037" s="34"/>
      <c r="BB1037" s="34"/>
      <c r="BC1037" s="34"/>
      <c r="BD1037" s="34"/>
      <c r="BE1037" s="34"/>
      <c r="BF1037" s="34"/>
      <c r="BG1037" s="34"/>
      <c r="BH1037" s="34"/>
      <c r="BI1037" s="34"/>
      <c r="BJ1037" s="34"/>
      <c r="BK1037" s="34"/>
      <c r="BL1037" s="34"/>
      <c r="BM1037" s="34"/>
      <c r="BN1037" s="34"/>
      <c r="BO1037" s="34"/>
      <c r="BP1037" s="34"/>
      <c r="BQ1037" s="34"/>
      <c r="BR1037" s="34"/>
      <c r="BS1037" s="34"/>
      <c r="BT1037" s="34"/>
      <c r="BU1037" s="34"/>
      <c r="BV1037" s="34"/>
      <c r="BW1037" s="34"/>
      <c r="BX1037" s="34"/>
      <c r="BY1037" s="34"/>
      <c r="BZ1037" s="34"/>
      <c r="CA1037" s="34"/>
      <c r="CB1037" s="34"/>
      <c r="CC1037" s="34"/>
      <c r="CD1037" s="34"/>
      <c r="CE1037" s="34"/>
      <c r="CF1037" s="34"/>
      <c r="CG1037" s="34"/>
      <c r="CH1037" s="34"/>
      <c r="CI1037" s="8"/>
    </row>
    <row r="1038" spans="1:87" x14ac:dyDescent="0.2">
      <c r="A1038" s="8" t="str">
        <f>IF(AND(COUNTIF(W$3:W$13,A$21)&gt;0,A$21&lt;&gt;B800),A$21,IFERROR(IF(MATCH(A$21,Z$3:Z$13,0)=11,A$21," ")," "))</f>
        <v xml:space="preserve"> </v>
      </c>
      <c r="B1038" s="8" t="str">
        <f>IF(A1038=" "," ",MAX(B1032:B1037)+1)</f>
        <v xml:space="preserve"> </v>
      </c>
      <c r="C1038" s="8" t="str">
        <f>IFERROR(INDEX(A1032:A1053,MATCH(SMALL(B1032:B1053,7),B1032:B1053,0),1)," ")</f>
        <v>C18</v>
      </c>
      <c r="D1038" s="8">
        <f t="shared" si="4376"/>
        <v>0</v>
      </c>
      <c r="E1038" s="8">
        <f t="shared" si="4377"/>
        <v>0</v>
      </c>
      <c r="F1038" s="8">
        <f t="shared" si="4378"/>
        <v>0</v>
      </c>
      <c r="G1038" s="8">
        <f t="shared" si="4379"/>
        <v>0</v>
      </c>
      <c r="H1038" s="8">
        <f t="shared" si="4380"/>
        <v>0</v>
      </c>
      <c r="I1038" s="8">
        <f t="shared" si="4381"/>
        <v>0</v>
      </c>
      <c r="J1038" s="8">
        <f t="shared" si="4382"/>
        <v>1</v>
      </c>
      <c r="K1038" s="8">
        <f t="shared" si="4383"/>
        <v>0</v>
      </c>
      <c r="L1038" s="8">
        <f t="shared" si="4384"/>
        <v>0</v>
      </c>
      <c r="M1038" s="8">
        <f t="shared" si="4385"/>
        <v>0</v>
      </c>
      <c r="N1038" s="8">
        <f t="shared" si="4386"/>
        <v>0</v>
      </c>
      <c r="O1038" s="8">
        <f t="shared" si="4387"/>
        <v>0</v>
      </c>
      <c r="P1038" s="8" t="e">
        <v>#NUM!</v>
      </c>
      <c r="Q1038" s="8" t="e">
        <f t="shared" ref="Q1038" si="4415">IF(COUNTIF(P1032:P1042,"&lt;"&amp;-0.001)=0,IF(ABS(P1038)&lt;0.001,0,P1038)," ")</f>
        <v>#NUM!</v>
      </c>
      <c r="R1038" s="8"/>
      <c r="S1038" s="8"/>
      <c r="U1038" s="34"/>
      <c r="V1038" s="34"/>
      <c r="W1038" s="34"/>
      <c r="X1038" s="34"/>
      <c r="Y1038" s="34"/>
      <c r="Z1038" s="34"/>
      <c r="AA1038" s="34"/>
      <c r="AB1038" s="34"/>
      <c r="AC1038" s="34"/>
      <c r="AD1038" s="34"/>
      <c r="AE1038" s="34"/>
      <c r="AF1038" s="34"/>
      <c r="AG1038" s="34"/>
      <c r="AH1038" s="34"/>
      <c r="AI1038" s="34"/>
      <c r="AJ1038" s="34"/>
      <c r="AK1038" s="34"/>
      <c r="AL1038" s="34"/>
      <c r="AM1038" s="34"/>
      <c r="AN1038" s="34"/>
      <c r="AO1038" s="34"/>
      <c r="AP1038" s="34"/>
      <c r="AQ1038" s="34"/>
      <c r="AR1038" s="34"/>
      <c r="AS1038" s="34"/>
      <c r="AT1038" s="34"/>
      <c r="AU1038" s="34"/>
      <c r="AV1038" s="34"/>
      <c r="AW1038" s="34"/>
      <c r="AX1038" s="34"/>
      <c r="AY1038" s="34"/>
      <c r="AZ1038" s="34"/>
      <c r="BA1038" s="34"/>
      <c r="BB1038" s="34"/>
      <c r="BC1038" s="34"/>
      <c r="BD1038" s="34"/>
      <c r="BE1038" s="34"/>
      <c r="BF1038" s="34"/>
      <c r="BG1038" s="34"/>
      <c r="BH1038" s="34"/>
      <c r="BI1038" s="34"/>
      <c r="BJ1038" s="34"/>
      <c r="BK1038" s="34"/>
      <c r="BL1038" s="34"/>
      <c r="BM1038" s="34"/>
      <c r="BN1038" s="34"/>
      <c r="BO1038" s="34"/>
      <c r="BP1038" s="34"/>
      <c r="BQ1038" s="34"/>
      <c r="BR1038" s="34"/>
      <c r="BS1038" s="34"/>
      <c r="BT1038" s="34"/>
      <c r="BU1038" s="34"/>
      <c r="BV1038" s="34"/>
      <c r="BW1038" s="34"/>
      <c r="BX1038" s="34"/>
      <c r="BY1038" s="34"/>
      <c r="BZ1038" s="34"/>
      <c r="CA1038" s="34"/>
      <c r="CB1038" s="34"/>
      <c r="CC1038" s="34"/>
      <c r="CD1038" s="34"/>
      <c r="CE1038" s="34"/>
      <c r="CF1038" s="34"/>
      <c r="CG1038" s="34"/>
      <c r="CH1038" s="34"/>
      <c r="CI1038" s="8"/>
    </row>
    <row r="1039" spans="1:87" x14ac:dyDescent="0.2">
      <c r="A1039" s="8" t="str">
        <f>IF(AND(COUNTIF(W$3:W$13,A$22)&gt;0,A$22&lt;&gt;B800),A$22,IFERROR(IF(MATCH(A$22,Z$3:Z$13,0)=11,A$22," ")," "))</f>
        <v xml:space="preserve"> </v>
      </c>
      <c r="B1039" s="8" t="str">
        <f>IF(A1039=" "," ",MAX(B1032:B1038)+1)</f>
        <v xml:space="preserve"> </v>
      </c>
      <c r="C1039" s="8" t="str">
        <f>IFERROR(INDEX(A1032:A1053,MATCH(SMALL(B1032:B1053,8),B1032:B1053,0),1)," ")</f>
        <v>C19</v>
      </c>
      <c r="D1039" s="8">
        <f t="shared" si="4376"/>
        <v>0</v>
      </c>
      <c r="E1039" s="8">
        <f t="shared" si="4377"/>
        <v>0</v>
      </c>
      <c r="F1039" s="8">
        <f t="shared" si="4378"/>
        <v>0</v>
      </c>
      <c r="G1039" s="8">
        <f t="shared" si="4379"/>
        <v>0</v>
      </c>
      <c r="H1039" s="8">
        <f t="shared" si="4380"/>
        <v>0</v>
      </c>
      <c r="I1039" s="8">
        <f t="shared" si="4381"/>
        <v>0</v>
      </c>
      <c r="J1039" s="8">
        <f t="shared" si="4382"/>
        <v>0</v>
      </c>
      <c r="K1039" s="8">
        <f t="shared" si="4383"/>
        <v>1</v>
      </c>
      <c r="L1039" s="8">
        <f t="shared" si="4384"/>
        <v>0</v>
      </c>
      <c r="M1039" s="8">
        <f t="shared" si="4385"/>
        <v>0</v>
      </c>
      <c r="N1039" s="8">
        <f t="shared" si="4386"/>
        <v>0</v>
      </c>
      <c r="O1039" s="8">
        <f t="shared" si="4387"/>
        <v>0</v>
      </c>
      <c r="P1039" s="8" t="e">
        <v>#NUM!</v>
      </c>
      <c r="Q1039" s="8" t="e">
        <f t="shared" ref="Q1039" si="4416">IF(COUNTIF(P1032:P1042,"&lt;"&amp;-0.001)=0,IF(ABS(P1039)&lt;0.001,0,P1039)," ")</f>
        <v>#NUM!</v>
      </c>
      <c r="R1039" s="8"/>
      <c r="S1039" s="8"/>
      <c r="U1039" s="34"/>
      <c r="V1039" s="34"/>
      <c r="W1039" s="34"/>
      <c r="X1039" s="34"/>
      <c r="Y1039" s="34"/>
      <c r="Z1039" s="34"/>
      <c r="AA1039" s="34"/>
      <c r="AB1039" s="34"/>
      <c r="AC1039" s="34"/>
      <c r="AD1039" s="34"/>
      <c r="AE1039" s="34"/>
      <c r="AF1039" s="34"/>
      <c r="AG1039" s="34"/>
      <c r="AH1039" s="34"/>
      <c r="AI1039" s="34"/>
      <c r="AJ1039" s="34"/>
      <c r="AK1039" s="34"/>
      <c r="AL1039" s="34"/>
      <c r="AM1039" s="34"/>
      <c r="AN1039" s="34"/>
      <c r="AO1039" s="34"/>
      <c r="AP1039" s="34"/>
      <c r="AQ1039" s="34"/>
      <c r="AR1039" s="34"/>
      <c r="AS1039" s="34"/>
      <c r="AT1039" s="34"/>
      <c r="AU1039" s="34"/>
      <c r="AV1039" s="34"/>
      <c r="AW1039" s="34"/>
      <c r="AX1039" s="34"/>
      <c r="AY1039" s="34"/>
      <c r="AZ1039" s="34"/>
      <c r="BA1039" s="34"/>
      <c r="BB1039" s="34"/>
      <c r="BC1039" s="34"/>
      <c r="BD1039" s="34"/>
      <c r="BE1039" s="34"/>
      <c r="BF1039" s="34"/>
      <c r="BG1039" s="34"/>
      <c r="BH1039" s="34"/>
      <c r="BI1039" s="34"/>
      <c r="BJ1039" s="34"/>
      <c r="BK1039" s="34"/>
      <c r="BL1039" s="34"/>
      <c r="BM1039" s="34"/>
      <c r="BN1039" s="34"/>
      <c r="BO1039" s="34"/>
      <c r="BP1039" s="34"/>
      <c r="BQ1039" s="34"/>
      <c r="BR1039" s="34"/>
      <c r="BS1039" s="34"/>
      <c r="BT1039" s="34"/>
      <c r="BU1039" s="34"/>
      <c r="BV1039" s="34"/>
      <c r="BW1039" s="34"/>
      <c r="BX1039" s="34"/>
      <c r="BY1039" s="34"/>
      <c r="BZ1039" s="34"/>
      <c r="CA1039" s="34"/>
      <c r="CB1039" s="34"/>
      <c r="CC1039" s="34"/>
      <c r="CD1039" s="34"/>
      <c r="CE1039" s="34"/>
      <c r="CF1039" s="34"/>
      <c r="CG1039" s="34"/>
      <c r="CH1039" s="34"/>
      <c r="CI1039" s="8"/>
    </row>
    <row r="1040" spans="1:87" x14ac:dyDescent="0.2">
      <c r="A1040" s="8" t="str">
        <f>IF(AND(COUNTIF(W$3:W$13,A$23)&gt;0,A$23&lt;&gt;B800),A$23,IFERROR(IF(MATCH(A$23,Z$3:Z$13,0)=11,A$23," ")," "))</f>
        <v xml:space="preserve"> </v>
      </c>
      <c r="B1040" s="8" t="str">
        <f>IF(A1040=" "," ",MAX(B1032:B1039)+1)</f>
        <v xml:space="preserve"> </v>
      </c>
      <c r="C1040" s="8" t="str">
        <f>IFERROR(INDEX(A1032:A1053,MATCH(SMALL(B1032:B1053,9),B1032:B1053,0),1)," ")</f>
        <v>C20</v>
      </c>
      <c r="D1040" s="8">
        <f t="shared" si="4376"/>
        <v>0</v>
      </c>
      <c r="E1040" s="8">
        <f t="shared" si="4377"/>
        <v>0</v>
      </c>
      <c r="F1040" s="8">
        <f t="shared" si="4378"/>
        <v>0</v>
      </c>
      <c r="G1040" s="8">
        <f t="shared" si="4379"/>
        <v>0</v>
      </c>
      <c r="H1040" s="8">
        <f t="shared" si="4380"/>
        <v>0</v>
      </c>
      <c r="I1040" s="8">
        <f t="shared" si="4381"/>
        <v>0</v>
      </c>
      <c r="J1040" s="8">
        <f t="shared" si="4382"/>
        <v>0</v>
      </c>
      <c r="K1040" s="8">
        <f t="shared" si="4383"/>
        <v>0</v>
      </c>
      <c r="L1040" s="8">
        <f t="shared" si="4384"/>
        <v>1</v>
      </c>
      <c r="M1040" s="8">
        <f t="shared" si="4385"/>
        <v>0</v>
      </c>
      <c r="N1040" s="8">
        <f t="shared" si="4386"/>
        <v>0</v>
      </c>
      <c r="O1040" s="8">
        <f t="shared" si="4387"/>
        <v>0</v>
      </c>
      <c r="P1040" s="6" t="e">
        <v>#NUM!</v>
      </c>
      <c r="Q1040" s="8" t="e">
        <f t="shared" ref="Q1040" si="4417">IF(COUNTIF(P1032:P1042,"&lt;"&amp;-0.001)=0,IF(ABS(P1040)&lt;0.001,0,P1040)," ")</f>
        <v>#NUM!</v>
      </c>
      <c r="R1040" s="8"/>
      <c r="S1040" s="8"/>
      <c r="U1040" s="34"/>
      <c r="V1040" s="34"/>
      <c r="W1040" s="34"/>
      <c r="X1040" s="34"/>
      <c r="Y1040" s="34"/>
      <c r="Z1040" s="34"/>
      <c r="AA1040" s="34"/>
      <c r="AB1040" s="34"/>
      <c r="AC1040" s="34"/>
      <c r="AD1040" s="34"/>
      <c r="AE1040" s="34"/>
      <c r="AF1040" s="34"/>
      <c r="AG1040" s="34"/>
      <c r="AH1040" s="34"/>
      <c r="AI1040" s="34"/>
      <c r="AJ1040" s="34"/>
      <c r="AK1040" s="34"/>
      <c r="AL1040" s="34"/>
      <c r="AM1040" s="34"/>
      <c r="AN1040" s="34"/>
      <c r="AO1040" s="34"/>
      <c r="AP1040" s="34"/>
      <c r="AQ1040" s="34"/>
      <c r="AR1040" s="34"/>
      <c r="AS1040" s="34"/>
      <c r="AT1040" s="34"/>
      <c r="AU1040" s="34"/>
      <c r="AV1040" s="34"/>
      <c r="AW1040" s="34"/>
      <c r="AX1040" s="34"/>
      <c r="AY1040" s="34"/>
      <c r="AZ1040" s="34"/>
      <c r="BA1040" s="34"/>
      <c r="BB1040" s="34"/>
      <c r="BC1040" s="34"/>
      <c r="BD1040" s="34"/>
      <c r="BE1040" s="34"/>
      <c r="BF1040" s="34"/>
      <c r="BG1040" s="34"/>
      <c r="BH1040" s="34"/>
      <c r="BI1040" s="34"/>
      <c r="BJ1040" s="34"/>
      <c r="BK1040" s="34"/>
      <c r="BL1040" s="34"/>
      <c r="BM1040" s="34"/>
      <c r="BN1040" s="34"/>
      <c r="BO1040" s="34"/>
      <c r="BP1040" s="34"/>
      <c r="BQ1040" s="34"/>
      <c r="BR1040" s="34"/>
      <c r="BS1040" s="34"/>
      <c r="BT1040" s="34"/>
      <c r="BU1040" s="34"/>
      <c r="BV1040" s="34"/>
      <c r="BW1040" s="34"/>
      <c r="BX1040" s="34"/>
      <c r="BY1040" s="34"/>
      <c r="BZ1040" s="34"/>
      <c r="CA1040" s="34"/>
      <c r="CB1040" s="34"/>
      <c r="CC1040" s="34"/>
      <c r="CD1040" s="34"/>
      <c r="CE1040" s="34"/>
      <c r="CF1040" s="34"/>
      <c r="CG1040" s="34"/>
      <c r="CH1040" s="34"/>
      <c r="CI1040" s="8"/>
    </row>
    <row r="1041" spans="1:87" x14ac:dyDescent="0.2">
      <c r="A1041" s="8" t="str">
        <f>IF(AND(COUNTIF(W$3:W$13,A$24)&gt;0,A$24&lt;&gt;B800),A$24,IFERROR(IF(MATCH(A$24,Z$3:Z$13,0)=11,A$24," ")," "))</f>
        <v xml:space="preserve"> </v>
      </c>
      <c r="B1041" s="8" t="str">
        <f>IF(A1041=" "," ",MAX(B1032:B1040)+1)</f>
        <v xml:space="preserve"> </v>
      </c>
      <c r="C1041" s="8" t="str">
        <f>IFERROR(INDEX(A1032:A1053,MATCH(SMALL(B1032:B1053,10),B1032:B1053,0),1)," ")</f>
        <v>C21</v>
      </c>
      <c r="D1041" s="8">
        <f t="shared" si="4376"/>
        <v>0</v>
      </c>
      <c r="E1041" s="8">
        <f t="shared" si="4377"/>
        <v>0</v>
      </c>
      <c r="F1041" s="8">
        <f t="shared" si="4378"/>
        <v>0</v>
      </c>
      <c r="G1041" s="8">
        <f t="shared" si="4379"/>
        <v>0</v>
      </c>
      <c r="H1041" s="8">
        <f t="shared" si="4380"/>
        <v>0</v>
      </c>
      <c r="I1041" s="8">
        <f t="shared" si="4381"/>
        <v>0</v>
      </c>
      <c r="J1041" s="8">
        <f t="shared" si="4382"/>
        <v>0</v>
      </c>
      <c r="K1041" s="8">
        <f t="shared" si="4383"/>
        <v>0</v>
      </c>
      <c r="L1041" s="8">
        <f t="shared" si="4384"/>
        <v>0</v>
      </c>
      <c r="M1041" s="8">
        <f t="shared" si="4385"/>
        <v>1</v>
      </c>
      <c r="N1041" s="8">
        <f t="shared" si="4386"/>
        <v>0</v>
      </c>
      <c r="O1041" s="8">
        <f t="shared" si="4387"/>
        <v>0</v>
      </c>
      <c r="P1041" s="8" t="e">
        <v>#NUM!</v>
      </c>
      <c r="Q1041" s="8" t="e">
        <f t="shared" ref="Q1041" si="4418">IF(COUNTIF(P1032:P1042,"&lt;"&amp;-0.001)=0,IF(ABS(P1041)&lt;0.001,0,P1041)," ")</f>
        <v>#NUM!</v>
      </c>
      <c r="R1041" s="8"/>
      <c r="S1041" s="8"/>
      <c r="U1041" s="34"/>
      <c r="V1041" s="34"/>
      <c r="W1041" s="34"/>
      <c r="X1041" s="34"/>
      <c r="Y1041" s="34"/>
      <c r="Z1041" s="34"/>
      <c r="AA1041" s="34"/>
      <c r="AB1041" s="34"/>
      <c r="AC1041" s="34"/>
      <c r="AD1041" s="34"/>
      <c r="AE1041" s="34"/>
      <c r="AF1041" s="34"/>
      <c r="AG1041" s="34"/>
      <c r="AH1041" s="34"/>
      <c r="AI1041" s="34"/>
      <c r="AJ1041" s="34"/>
      <c r="AK1041" s="34"/>
      <c r="AL1041" s="34"/>
      <c r="AM1041" s="34"/>
      <c r="AN1041" s="34"/>
      <c r="AO1041" s="34"/>
      <c r="AP1041" s="34"/>
      <c r="AQ1041" s="34"/>
      <c r="AR1041" s="34"/>
      <c r="AS1041" s="34"/>
      <c r="AT1041" s="34"/>
      <c r="AU1041" s="34"/>
      <c r="AV1041" s="34"/>
      <c r="AW1041" s="34"/>
      <c r="AX1041" s="34"/>
      <c r="AY1041" s="34"/>
      <c r="AZ1041" s="34"/>
      <c r="BA1041" s="34"/>
      <c r="BB1041" s="34"/>
      <c r="BC1041" s="34"/>
      <c r="BD1041" s="34"/>
      <c r="BE1041" s="34"/>
      <c r="BF1041" s="34"/>
      <c r="BG1041" s="34"/>
      <c r="BH1041" s="34"/>
      <c r="BI1041" s="34"/>
      <c r="BJ1041" s="34"/>
      <c r="BK1041" s="34"/>
      <c r="BL1041" s="34"/>
      <c r="BM1041" s="34"/>
      <c r="BN1041" s="34"/>
      <c r="BO1041" s="34"/>
      <c r="BP1041" s="34"/>
      <c r="BQ1041" s="34"/>
      <c r="BR1041" s="34"/>
      <c r="BS1041" s="34"/>
      <c r="BT1041" s="34"/>
      <c r="BU1041" s="34"/>
      <c r="BV1041" s="34"/>
      <c r="BW1041" s="34"/>
      <c r="BX1041" s="34"/>
      <c r="BY1041" s="34"/>
      <c r="BZ1041" s="34"/>
      <c r="CA1041" s="34"/>
      <c r="CB1041" s="34"/>
      <c r="CC1041" s="34"/>
      <c r="CD1041" s="34"/>
      <c r="CE1041" s="34"/>
      <c r="CF1041" s="34"/>
      <c r="CG1041" s="34"/>
      <c r="CH1041" s="34"/>
      <c r="CI1041" s="8"/>
    </row>
    <row r="1042" spans="1:87" x14ac:dyDescent="0.2">
      <c r="A1042" s="8" t="str">
        <f>IF(AND(COUNTIF(W$3:W$13,A$25)&gt;0,A$25&lt;&gt;B800),A$25,IFERROR(IF(MATCH(A$25,Z$3:Z$13,0)=11,A$25," ")," "))</f>
        <v xml:space="preserve"> </v>
      </c>
      <c r="B1042" s="8" t="str">
        <f>IF(A1042=" "," ",MAX(B1032:B1041)+1)</f>
        <v xml:space="preserve"> </v>
      </c>
      <c r="C1042" s="8" t="str">
        <f>IFERROR(INDEX(A1032:A1053,MATCH(SMALL(B1032:B1053,11),B1032:B1053,0),1)," ")</f>
        <v>C22</v>
      </c>
      <c r="D1042" s="8">
        <f t="shared" si="4376"/>
        <v>0</v>
      </c>
      <c r="E1042" s="8">
        <f t="shared" si="4377"/>
        <v>0</v>
      </c>
      <c r="F1042" s="8">
        <f t="shared" si="4378"/>
        <v>0</v>
      </c>
      <c r="G1042" s="8">
        <f t="shared" si="4379"/>
        <v>0</v>
      </c>
      <c r="H1042" s="8">
        <f t="shared" si="4380"/>
        <v>0</v>
      </c>
      <c r="I1042" s="8">
        <f t="shared" si="4381"/>
        <v>0</v>
      </c>
      <c r="J1042" s="8">
        <f t="shared" si="4382"/>
        <v>0</v>
      </c>
      <c r="K1042" s="8">
        <f t="shared" si="4383"/>
        <v>0</v>
      </c>
      <c r="L1042" s="8">
        <f t="shared" si="4384"/>
        <v>0</v>
      </c>
      <c r="M1042" s="8">
        <f t="shared" si="4385"/>
        <v>0</v>
      </c>
      <c r="N1042" s="8">
        <f t="shared" si="4386"/>
        <v>1</v>
      </c>
      <c r="O1042" s="8">
        <f t="shared" si="4387"/>
        <v>0</v>
      </c>
      <c r="P1042" s="8" t="e">
        <v>#NUM!</v>
      </c>
      <c r="Q1042" s="8" t="e">
        <f t="shared" ref="Q1042" si="4419">IF(COUNTIF(P1032:P1042,"&lt;"&amp;-0.001)=0,IF(ABS(P1042)&lt;0.001,0,P1042)," ")</f>
        <v>#NUM!</v>
      </c>
      <c r="R1042" s="8"/>
      <c r="S1042" s="8"/>
      <c r="U1042" s="34"/>
      <c r="V1042" s="34"/>
      <c r="W1042" s="34"/>
      <c r="X1042" s="34"/>
      <c r="Y1042" s="34"/>
      <c r="Z1042" s="34"/>
      <c r="AA1042" s="34"/>
      <c r="AB1042" s="34"/>
      <c r="AC1042" s="34"/>
      <c r="AD1042" s="34"/>
      <c r="AE1042" s="34"/>
      <c r="AF1042" s="34"/>
      <c r="AG1042" s="34"/>
      <c r="AH1042" s="34"/>
      <c r="AI1042" s="34"/>
      <c r="AJ1042" s="34"/>
      <c r="AK1042" s="34"/>
      <c r="AL1042" s="34"/>
      <c r="AM1042" s="34"/>
      <c r="AN1042" s="34"/>
      <c r="AO1042" s="34"/>
      <c r="AP1042" s="34"/>
      <c r="AQ1042" s="34"/>
      <c r="AR1042" s="34"/>
      <c r="AS1042" s="34"/>
      <c r="AT1042" s="34"/>
      <c r="AU1042" s="34"/>
      <c r="AV1042" s="34"/>
      <c r="AW1042" s="34"/>
      <c r="AX1042" s="34"/>
      <c r="AY1042" s="34"/>
      <c r="AZ1042" s="34"/>
      <c r="BA1042" s="34"/>
      <c r="BB1042" s="34"/>
      <c r="BC1042" s="34"/>
      <c r="BD1042" s="34"/>
      <c r="BE1042" s="34"/>
      <c r="BF1042" s="34"/>
      <c r="BG1042" s="34"/>
      <c r="BH1042" s="34"/>
      <c r="BI1042" s="34"/>
      <c r="BJ1042" s="34"/>
      <c r="BK1042" s="34"/>
      <c r="BL1042" s="34"/>
      <c r="BM1042" s="34"/>
      <c r="BN1042" s="34"/>
      <c r="BO1042" s="34"/>
      <c r="BP1042" s="34"/>
      <c r="BQ1042" s="34"/>
      <c r="BR1042" s="34"/>
      <c r="BS1042" s="34"/>
      <c r="BT1042" s="34"/>
      <c r="BU1042" s="34"/>
      <c r="BV1042" s="34"/>
      <c r="BW1042" s="34"/>
      <c r="BX1042" s="34"/>
      <c r="BY1042" s="34"/>
      <c r="BZ1042" s="34"/>
      <c r="CA1042" s="34"/>
      <c r="CB1042" s="34"/>
      <c r="CC1042" s="34"/>
      <c r="CD1042" s="34"/>
      <c r="CE1042" s="34"/>
      <c r="CF1042" s="34"/>
      <c r="CG1042" s="34"/>
      <c r="CH1042" s="34"/>
      <c r="CI1042" s="8"/>
    </row>
    <row r="1043" spans="1:87" x14ac:dyDescent="0.2">
      <c r="A1043" s="8" t="str">
        <f>IF(AND(COUNTIF(W$3:W$13,A$26)&gt;0,A$26&lt;&gt;B800),A$26,IFERROR(IF(MATCH(A$26,Z$3:Z$13,0)=11,A$26," ")," "))</f>
        <v xml:space="preserve"> </v>
      </c>
      <c r="B1043" s="8" t="str">
        <f>IF(A1043=" "," ",MAX(B1032:B1042)+1)</f>
        <v xml:space="preserve"> </v>
      </c>
      <c r="C1043" s="8"/>
      <c r="D1043" s="8"/>
      <c r="E1043" s="8"/>
      <c r="F1043" s="8"/>
      <c r="G1043" s="8"/>
      <c r="H1043" s="8"/>
      <c r="I1043" s="8"/>
      <c r="J1043" s="8"/>
      <c r="K1043" s="8"/>
      <c r="L1043" s="8"/>
      <c r="M1043" s="8"/>
      <c r="N1043" s="8"/>
      <c r="O1043" s="8"/>
      <c r="P1043" s="8"/>
      <c r="Q1043" s="8"/>
      <c r="R1043" s="8"/>
      <c r="S1043" s="8"/>
      <c r="U1043" s="34"/>
      <c r="V1043" s="34"/>
      <c r="W1043" s="34"/>
      <c r="X1043" s="34"/>
      <c r="Y1043" s="34"/>
      <c r="Z1043" s="34"/>
      <c r="AA1043" s="34"/>
      <c r="AB1043" s="34"/>
      <c r="AC1043" s="34"/>
      <c r="AD1043" s="34"/>
      <c r="AE1043" s="34"/>
      <c r="AF1043" s="34"/>
      <c r="AG1043" s="34"/>
      <c r="AH1043" s="34"/>
      <c r="AI1043" s="34"/>
      <c r="AJ1043" s="34"/>
      <c r="AK1043" s="34"/>
      <c r="AL1043" s="34"/>
      <c r="AM1043" s="34"/>
      <c r="AN1043" s="34"/>
      <c r="AO1043" s="34"/>
      <c r="AP1043" s="34"/>
      <c r="AQ1043" s="34"/>
      <c r="AR1043" s="34"/>
      <c r="AS1043" s="34"/>
      <c r="AT1043" s="34"/>
      <c r="AU1043" s="34"/>
      <c r="AV1043" s="34"/>
      <c r="AW1043" s="34"/>
      <c r="AX1043" s="34"/>
      <c r="AY1043" s="34"/>
      <c r="AZ1043" s="34"/>
      <c r="BA1043" s="34"/>
      <c r="BB1043" s="34"/>
      <c r="BC1043" s="34"/>
      <c r="BD1043" s="34"/>
      <c r="BE1043" s="34"/>
      <c r="BF1043" s="34"/>
      <c r="BG1043" s="34"/>
      <c r="BH1043" s="34"/>
      <c r="BI1043" s="34"/>
      <c r="BJ1043" s="34"/>
      <c r="BK1043" s="34"/>
      <c r="BL1043" s="34"/>
      <c r="BM1043" s="34"/>
      <c r="BN1043" s="34"/>
      <c r="BO1043" s="34"/>
      <c r="BP1043" s="34"/>
      <c r="BQ1043" s="34"/>
      <c r="BR1043" s="34"/>
      <c r="BS1043" s="34"/>
      <c r="BT1043" s="34"/>
      <c r="BU1043" s="34"/>
      <c r="BV1043" s="34"/>
      <c r="BW1043" s="34"/>
      <c r="BX1043" s="34"/>
      <c r="BY1043" s="34"/>
      <c r="BZ1043" s="34"/>
      <c r="CA1043" s="34"/>
      <c r="CB1043" s="34"/>
      <c r="CC1043" s="34"/>
      <c r="CD1043" s="34"/>
      <c r="CE1043" s="34"/>
      <c r="CF1043" s="34"/>
      <c r="CG1043" s="34"/>
      <c r="CH1043" s="34"/>
      <c r="CI1043" s="8"/>
    </row>
    <row r="1044" spans="1:87" x14ac:dyDescent="0.2">
      <c r="A1044" s="8" t="str">
        <f>IF(AND(COUNTIF(W$3:W$13,A$27)&gt;0,A$27&lt;&gt;B800),A$27,IFERROR(IF(MATCH(A$27,Z$3:Z$13,0)=11,A$27," ")," "))</f>
        <v>C13</v>
      </c>
      <c r="B1044" s="8">
        <f>IF(A1044=" "," ",MAX(B1032:B1043)+1)</f>
        <v>3</v>
      </c>
      <c r="C1044" s="8"/>
      <c r="D1044" s="8"/>
      <c r="E1044" s="8"/>
      <c r="F1044" s="8"/>
      <c r="G1044" s="8"/>
      <c r="H1044" s="8"/>
      <c r="I1044" s="8"/>
      <c r="J1044" s="8"/>
      <c r="K1044" s="8"/>
      <c r="L1044" s="8"/>
      <c r="M1044" s="8"/>
      <c r="N1044" s="8"/>
      <c r="O1044" s="8"/>
      <c r="P1044" s="8"/>
      <c r="Q1044" s="8"/>
      <c r="R1044" s="8"/>
      <c r="S1044" s="8"/>
      <c r="U1044" s="34"/>
      <c r="V1044" s="34"/>
      <c r="W1044" s="34"/>
      <c r="X1044" s="34"/>
      <c r="Y1044" s="34"/>
      <c r="Z1044" s="34"/>
      <c r="AA1044" s="34"/>
      <c r="AB1044" s="34"/>
      <c r="AC1044" s="34"/>
      <c r="AD1044" s="34"/>
      <c r="AE1044" s="34"/>
      <c r="AF1044" s="34"/>
      <c r="AG1044" s="34"/>
      <c r="AH1044" s="34"/>
      <c r="AI1044" s="34"/>
      <c r="AJ1044" s="34"/>
      <c r="AK1044" s="34"/>
      <c r="AL1044" s="34"/>
      <c r="AM1044" s="34"/>
      <c r="AN1044" s="34"/>
      <c r="AO1044" s="34"/>
      <c r="AP1044" s="34"/>
      <c r="AQ1044" s="34"/>
      <c r="AR1044" s="34"/>
      <c r="AS1044" s="34"/>
      <c r="AT1044" s="34"/>
      <c r="AU1044" s="34"/>
      <c r="AV1044" s="34"/>
      <c r="AW1044" s="34"/>
      <c r="AX1044" s="34"/>
      <c r="AY1044" s="34"/>
      <c r="AZ1044" s="34"/>
      <c r="BA1044" s="34"/>
      <c r="BB1044" s="34"/>
      <c r="BC1044" s="34"/>
      <c r="BD1044" s="34"/>
      <c r="BE1044" s="34"/>
      <c r="BF1044" s="34"/>
      <c r="BG1044" s="34"/>
      <c r="BH1044" s="34"/>
      <c r="BI1044" s="34"/>
      <c r="BJ1044" s="34"/>
      <c r="BK1044" s="34"/>
      <c r="BL1044" s="34"/>
      <c r="BM1044" s="34"/>
      <c r="BN1044" s="34"/>
      <c r="BO1044" s="34"/>
      <c r="BP1044" s="34"/>
      <c r="BQ1044" s="34"/>
      <c r="BR1044" s="34"/>
      <c r="BS1044" s="34"/>
      <c r="BT1044" s="34"/>
      <c r="BU1044" s="34"/>
      <c r="BV1044" s="34"/>
      <c r="BW1044" s="34"/>
      <c r="BX1044" s="34"/>
      <c r="BY1044" s="34"/>
      <c r="BZ1044" s="34"/>
      <c r="CA1044" s="34"/>
      <c r="CB1044" s="34"/>
      <c r="CC1044" s="34"/>
      <c r="CD1044" s="34"/>
      <c r="CE1044" s="34"/>
      <c r="CF1044" s="34"/>
      <c r="CG1044" s="34"/>
      <c r="CH1044" s="34"/>
      <c r="CI1044" s="8"/>
    </row>
    <row r="1045" spans="1:87" x14ac:dyDescent="0.2">
      <c r="A1045" s="8" t="str">
        <f>IF(AND(COUNTIF(W$3:W$13,A$28)&gt;0,A$28&lt;&gt;B800),A$28,IFERROR(IF(MATCH(A$28,Z$3:Z$13,0)=11,A$28," ")," "))</f>
        <v>C14</v>
      </c>
      <c r="B1045" s="8">
        <f>IF(A1045=" "," ",MAX(B1032:B1044)+1)</f>
        <v>4</v>
      </c>
      <c r="C1045" s="8"/>
      <c r="D1045" s="8"/>
      <c r="E1045" s="8"/>
      <c r="F1045" s="8"/>
      <c r="G1045" s="8"/>
      <c r="H1045" s="8"/>
      <c r="I1045" s="8"/>
      <c r="J1045" s="8"/>
      <c r="K1045" s="8"/>
      <c r="L1045" s="8"/>
      <c r="M1045" s="8"/>
      <c r="N1045" s="8"/>
      <c r="O1045" s="8"/>
      <c r="P1045" s="8"/>
      <c r="Q1045" s="8"/>
      <c r="R1045" s="8"/>
      <c r="S1045" s="8"/>
      <c r="U1045" s="34"/>
      <c r="V1045" s="34"/>
      <c r="W1045" s="34"/>
      <c r="X1045" s="34"/>
      <c r="Y1045" s="34"/>
      <c r="Z1045" s="34"/>
      <c r="AA1045" s="34"/>
      <c r="AB1045" s="34"/>
      <c r="AC1045" s="34"/>
      <c r="AD1045" s="34"/>
      <c r="AE1045" s="34"/>
      <c r="AF1045" s="34"/>
      <c r="AG1045" s="34"/>
      <c r="AH1045" s="34"/>
      <c r="AI1045" s="34"/>
      <c r="AJ1045" s="34"/>
      <c r="AK1045" s="34"/>
      <c r="AL1045" s="34"/>
      <c r="AM1045" s="34"/>
      <c r="AN1045" s="34"/>
      <c r="AO1045" s="34"/>
      <c r="AP1045" s="34"/>
      <c r="AQ1045" s="34"/>
      <c r="AR1045" s="34"/>
      <c r="AS1045" s="34"/>
      <c r="AT1045" s="34"/>
      <c r="AU1045" s="34"/>
      <c r="AV1045" s="34"/>
      <c r="AW1045" s="34"/>
      <c r="AX1045" s="34"/>
      <c r="AY1045" s="34"/>
      <c r="AZ1045" s="34"/>
      <c r="BA1045" s="34"/>
      <c r="BB1045" s="34"/>
      <c r="BC1045" s="34"/>
      <c r="BD1045" s="34"/>
      <c r="BE1045" s="34"/>
      <c r="BF1045" s="34"/>
      <c r="BG1045" s="34"/>
      <c r="BH1045" s="34"/>
      <c r="BI1045" s="34"/>
      <c r="BJ1045" s="34"/>
      <c r="BK1045" s="34"/>
      <c r="BL1045" s="34"/>
      <c r="BM1045" s="34"/>
      <c r="BN1045" s="34"/>
      <c r="BO1045" s="34"/>
      <c r="BP1045" s="34"/>
      <c r="BQ1045" s="34"/>
      <c r="BR1045" s="34"/>
      <c r="BS1045" s="34"/>
      <c r="BT1045" s="34"/>
      <c r="BU1045" s="34"/>
      <c r="BV1045" s="34"/>
      <c r="BW1045" s="34"/>
      <c r="BX1045" s="34"/>
      <c r="BY1045" s="34"/>
      <c r="BZ1045" s="34"/>
      <c r="CA1045" s="34"/>
      <c r="CB1045" s="34"/>
      <c r="CC1045" s="34"/>
      <c r="CD1045" s="34"/>
      <c r="CE1045" s="34"/>
      <c r="CF1045" s="34"/>
      <c r="CG1045" s="34"/>
      <c r="CH1045" s="34"/>
      <c r="CI1045" s="8"/>
    </row>
    <row r="1046" spans="1:87" x14ac:dyDescent="0.2">
      <c r="A1046" s="8" t="str">
        <f>IF(AND(COUNTIF(W$3:W$13,A$29)&gt;0,A$29&lt;&gt;B800),A$29,IFERROR(IF(MATCH(A$29,Z$3:Z$13,0)=11,A$29," ")," "))</f>
        <v xml:space="preserve"> </v>
      </c>
      <c r="B1046" s="8" t="str">
        <f>IF(A1046=" "," ",MAX(B1032:B1045)+1)</f>
        <v xml:space="preserve"> </v>
      </c>
      <c r="C1046" s="8"/>
      <c r="D1046" s="8"/>
      <c r="E1046" s="8"/>
      <c r="F1046" s="8"/>
      <c r="G1046" s="8"/>
      <c r="H1046" s="8"/>
      <c r="I1046" s="8"/>
      <c r="J1046" s="8"/>
      <c r="K1046" s="8"/>
      <c r="L1046" s="8"/>
      <c r="M1046" s="8"/>
      <c r="N1046" s="8"/>
      <c r="O1046" s="8"/>
      <c r="P1046" s="8"/>
      <c r="Q1046" s="8"/>
      <c r="R1046" s="8"/>
      <c r="S1046" s="8"/>
      <c r="U1046" s="34"/>
      <c r="V1046" s="34"/>
      <c r="W1046" s="34"/>
      <c r="X1046" s="34"/>
      <c r="Y1046" s="34"/>
      <c r="Z1046" s="34"/>
      <c r="AA1046" s="34"/>
      <c r="AB1046" s="34"/>
      <c r="AC1046" s="34"/>
      <c r="AD1046" s="34"/>
      <c r="AE1046" s="34"/>
      <c r="AF1046" s="34"/>
      <c r="AG1046" s="34"/>
      <c r="AH1046" s="34"/>
      <c r="AI1046" s="34"/>
      <c r="AJ1046" s="34"/>
      <c r="AK1046" s="34"/>
      <c r="AL1046" s="34"/>
      <c r="AM1046" s="34"/>
      <c r="AN1046" s="34"/>
      <c r="AO1046" s="34"/>
      <c r="AP1046" s="34"/>
      <c r="AQ1046" s="34"/>
      <c r="AR1046" s="34"/>
      <c r="AS1046" s="34"/>
      <c r="AT1046" s="34"/>
      <c r="AU1046" s="34"/>
      <c r="AV1046" s="34"/>
      <c r="AW1046" s="34"/>
      <c r="AX1046" s="34"/>
      <c r="AY1046" s="34"/>
      <c r="AZ1046" s="34"/>
      <c r="BA1046" s="34"/>
      <c r="BB1046" s="34"/>
      <c r="BC1046" s="34"/>
      <c r="BD1046" s="34"/>
      <c r="BE1046" s="34"/>
      <c r="BF1046" s="34"/>
      <c r="BG1046" s="34"/>
      <c r="BH1046" s="34"/>
      <c r="BI1046" s="34"/>
      <c r="BJ1046" s="34"/>
      <c r="BK1046" s="34"/>
      <c r="BL1046" s="34"/>
      <c r="BM1046" s="34"/>
      <c r="BN1046" s="34"/>
      <c r="BO1046" s="34"/>
      <c r="BP1046" s="34"/>
      <c r="BQ1046" s="34"/>
      <c r="BR1046" s="34"/>
      <c r="BS1046" s="34"/>
      <c r="BT1046" s="34"/>
      <c r="BU1046" s="34"/>
      <c r="BV1046" s="34"/>
      <c r="BW1046" s="34"/>
      <c r="BX1046" s="34"/>
      <c r="BY1046" s="34"/>
      <c r="BZ1046" s="34"/>
      <c r="CA1046" s="34"/>
      <c r="CB1046" s="34"/>
      <c r="CC1046" s="34"/>
      <c r="CD1046" s="34"/>
      <c r="CE1046" s="34"/>
      <c r="CF1046" s="34"/>
      <c r="CG1046" s="34"/>
      <c r="CH1046" s="34"/>
      <c r="CI1046" s="8"/>
    </row>
    <row r="1047" spans="1:87" x14ac:dyDescent="0.2">
      <c r="A1047" s="8" t="str">
        <f>IF(AND(COUNTIF(W$3:W$13,A$30)&gt;0,A$30&lt;&gt;B800),A$30,IFERROR(IF(MATCH(A$30,Z$3:Z$13,0)=11,A$30," ")," "))</f>
        <v>C16</v>
      </c>
      <c r="B1047" s="8">
        <f>IF(A1047=" "," ",MAX(B1032:B1046)+1)</f>
        <v>5</v>
      </c>
      <c r="C1047" s="8"/>
      <c r="D1047" s="8"/>
      <c r="E1047" s="8"/>
      <c r="F1047" s="8"/>
      <c r="G1047" s="8"/>
      <c r="H1047" s="8"/>
      <c r="I1047" s="8"/>
      <c r="J1047" s="8"/>
      <c r="K1047" s="8"/>
      <c r="L1047" s="8"/>
      <c r="M1047" s="8"/>
      <c r="N1047" s="8"/>
      <c r="O1047" s="8"/>
      <c r="P1047" s="8"/>
      <c r="Q1047" s="8"/>
      <c r="R1047" s="8"/>
      <c r="S1047" s="8"/>
      <c r="U1047" s="34"/>
      <c r="V1047" s="34"/>
      <c r="W1047" s="34"/>
      <c r="X1047" s="34"/>
      <c r="Y1047" s="34"/>
      <c r="Z1047" s="34"/>
      <c r="AA1047" s="34"/>
      <c r="AB1047" s="34"/>
      <c r="AC1047" s="34"/>
      <c r="AD1047" s="34"/>
      <c r="AE1047" s="34"/>
      <c r="AF1047" s="34"/>
      <c r="AG1047" s="34"/>
      <c r="AH1047" s="34"/>
      <c r="AI1047" s="34"/>
      <c r="AJ1047" s="34"/>
      <c r="AK1047" s="34"/>
      <c r="AL1047" s="34"/>
      <c r="AM1047" s="34"/>
      <c r="AN1047" s="34"/>
      <c r="AO1047" s="34"/>
      <c r="AP1047" s="34"/>
      <c r="AQ1047" s="34"/>
      <c r="AR1047" s="34"/>
      <c r="AS1047" s="34"/>
      <c r="AT1047" s="34"/>
      <c r="AU1047" s="34"/>
      <c r="AV1047" s="34"/>
      <c r="AW1047" s="34"/>
      <c r="AX1047" s="34"/>
      <c r="AY1047" s="34"/>
      <c r="AZ1047" s="34"/>
      <c r="BA1047" s="34"/>
      <c r="BB1047" s="34"/>
      <c r="BC1047" s="34"/>
      <c r="BD1047" s="34"/>
      <c r="BE1047" s="34"/>
      <c r="BF1047" s="34"/>
      <c r="BG1047" s="34"/>
      <c r="BH1047" s="34"/>
      <c r="BI1047" s="34"/>
      <c r="BJ1047" s="34"/>
      <c r="BK1047" s="34"/>
      <c r="BL1047" s="34"/>
      <c r="BM1047" s="34"/>
      <c r="BN1047" s="34"/>
      <c r="BO1047" s="34"/>
      <c r="BP1047" s="34"/>
      <c r="BQ1047" s="34"/>
      <c r="BR1047" s="34"/>
      <c r="BS1047" s="34"/>
      <c r="BT1047" s="34"/>
      <c r="BU1047" s="34"/>
      <c r="BV1047" s="34"/>
      <c r="BW1047" s="34"/>
      <c r="BX1047" s="34"/>
      <c r="BY1047" s="34"/>
      <c r="BZ1047" s="34"/>
      <c r="CA1047" s="34"/>
      <c r="CB1047" s="34"/>
      <c r="CC1047" s="34"/>
      <c r="CD1047" s="34"/>
      <c r="CE1047" s="34"/>
      <c r="CF1047" s="34"/>
      <c r="CG1047" s="34"/>
      <c r="CH1047" s="34"/>
      <c r="CI1047" s="8"/>
    </row>
    <row r="1048" spans="1:87" x14ac:dyDescent="0.2">
      <c r="A1048" s="8" t="str">
        <f>IF(AND(COUNTIF(W$3:W$13,A$31)&gt;0,A$31&lt;&gt;B800),A$31,IFERROR(IF(MATCH(A$31,Z$3:Z$13,0)=11,A$31," ")," "))</f>
        <v>C17</v>
      </c>
      <c r="B1048" s="8">
        <f>IF(A1048=" "," ",MAX(B1032:B1047)+1)</f>
        <v>6</v>
      </c>
      <c r="C1048" s="8"/>
      <c r="D1048" s="8"/>
      <c r="E1048" s="8"/>
      <c r="F1048" s="8"/>
      <c r="G1048" s="8"/>
      <c r="H1048" s="8"/>
      <c r="I1048" s="8"/>
      <c r="J1048" s="8"/>
      <c r="K1048" s="8"/>
      <c r="L1048" s="8"/>
      <c r="M1048" s="8"/>
      <c r="N1048" s="8"/>
      <c r="O1048" s="8"/>
      <c r="P1048" s="8"/>
      <c r="Q1048" s="8"/>
      <c r="R1048" s="8"/>
      <c r="S1048" s="8"/>
      <c r="U1048" s="34"/>
      <c r="V1048" s="34"/>
      <c r="W1048" s="34"/>
      <c r="X1048" s="34"/>
      <c r="Y1048" s="34"/>
      <c r="Z1048" s="34"/>
      <c r="AA1048" s="34"/>
      <c r="AB1048" s="34"/>
      <c r="AC1048" s="34"/>
      <c r="AD1048" s="34"/>
      <c r="AE1048" s="34"/>
      <c r="AF1048" s="34"/>
      <c r="AG1048" s="34"/>
      <c r="AH1048" s="34"/>
      <c r="AI1048" s="34"/>
      <c r="AJ1048" s="34"/>
      <c r="AK1048" s="34"/>
      <c r="AL1048" s="34"/>
      <c r="AM1048" s="34"/>
      <c r="AN1048" s="34"/>
      <c r="AO1048" s="34"/>
      <c r="AP1048" s="34"/>
      <c r="AQ1048" s="34"/>
      <c r="AR1048" s="34"/>
      <c r="AS1048" s="34"/>
      <c r="AT1048" s="34"/>
      <c r="AU1048" s="34"/>
      <c r="AV1048" s="34"/>
      <c r="AW1048" s="34"/>
      <c r="AX1048" s="34"/>
      <c r="AY1048" s="34"/>
      <c r="AZ1048" s="34"/>
      <c r="BA1048" s="34"/>
      <c r="BB1048" s="34"/>
      <c r="BC1048" s="34"/>
      <c r="BD1048" s="34"/>
      <c r="BE1048" s="34"/>
      <c r="BF1048" s="34"/>
      <c r="BG1048" s="34"/>
      <c r="BH1048" s="34"/>
      <c r="BI1048" s="34"/>
      <c r="BJ1048" s="34"/>
      <c r="BK1048" s="34"/>
      <c r="BL1048" s="34"/>
      <c r="BM1048" s="34"/>
      <c r="BN1048" s="34"/>
      <c r="BO1048" s="34"/>
      <c r="BP1048" s="34"/>
      <c r="BQ1048" s="34"/>
      <c r="BR1048" s="34"/>
      <c r="BS1048" s="34"/>
      <c r="BT1048" s="34"/>
      <c r="BU1048" s="34"/>
      <c r="BV1048" s="34"/>
      <c r="BW1048" s="34"/>
      <c r="BX1048" s="34"/>
      <c r="BY1048" s="34"/>
      <c r="BZ1048" s="34"/>
      <c r="CA1048" s="34"/>
      <c r="CB1048" s="34"/>
      <c r="CC1048" s="34"/>
      <c r="CD1048" s="34"/>
      <c r="CE1048" s="34"/>
      <c r="CF1048" s="34"/>
      <c r="CG1048" s="34"/>
      <c r="CH1048" s="34"/>
      <c r="CI1048" s="8"/>
    </row>
    <row r="1049" spans="1:87" x14ac:dyDescent="0.2">
      <c r="A1049" s="8" t="str">
        <f>IF(AND(COUNTIF(W$3:W$13,A$32)&gt;0,A$32&lt;&gt;B800),A$32,IFERROR(IF(MATCH(A$32,Z$3:Z$13,0)=11,A$32," ")," "))</f>
        <v>C18</v>
      </c>
      <c r="B1049" s="8">
        <f>IF(A1049=" "," ",MAX(B1032:B1048)+1)</f>
        <v>7</v>
      </c>
      <c r="C1049" s="8"/>
      <c r="D1049" s="8"/>
      <c r="E1049" s="8"/>
      <c r="F1049" s="8"/>
      <c r="G1049" s="8"/>
      <c r="H1049" s="8"/>
      <c r="I1049" s="8"/>
      <c r="J1049" s="8"/>
      <c r="K1049" s="8"/>
      <c r="L1049" s="8"/>
      <c r="M1049" s="8"/>
      <c r="N1049" s="8"/>
      <c r="O1049" s="8"/>
      <c r="P1049" s="8"/>
      <c r="Q1049" s="8"/>
      <c r="R1049" s="8"/>
      <c r="S1049" s="8"/>
      <c r="U1049" s="34"/>
      <c r="V1049" s="34"/>
      <c r="W1049" s="34"/>
      <c r="X1049" s="34"/>
      <c r="Y1049" s="34"/>
      <c r="Z1049" s="34"/>
      <c r="AA1049" s="34"/>
      <c r="AB1049" s="34"/>
      <c r="AC1049" s="34"/>
      <c r="AD1049" s="34"/>
      <c r="AE1049" s="34"/>
      <c r="AF1049" s="34"/>
      <c r="AG1049" s="34"/>
      <c r="AH1049" s="34"/>
      <c r="AI1049" s="34"/>
      <c r="AJ1049" s="34"/>
      <c r="AK1049" s="34"/>
      <c r="AL1049" s="34"/>
      <c r="AM1049" s="34"/>
      <c r="AN1049" s="34"/>
      <c r="AO1049" s="34"/>
      <c r="AP1049" s="34"/>
      <c r="AQ1049" s="34"/>
      <c r="AR1049" s="34"/>
      <c r="AS1049" s="34"/>
      <c r="AT1049" s="34"/>
      <c r="AU1049" s="34"/>
      <c r="AV1049" s="34"/>
      <c r="AW1049" s="34"/>
      <c r="AX1049" s="34"/>
      <c r="AY1049" s="34"/>
      <c r="AZ1049" s="34"/>
      <c r="BA1049" s="34"/>
      <c r="BB1049" s="34"/>
      <c r="BC1049" s="34"/>
      <c r="BD1049" s="34"/>
      <c r="BE1049" s="34"/>
      <c r="BF1049" s="34"/>
      <c r="BG1049" s="34"/>
      <c r="BH1049" s="34"/>
      <c r="BI1049" s="34"/>
      <c r="BJ1049" s="34"/>
      <c r="BK1049" s="34"/>
      <c r="BL1049" s="34"/>
      <c r="BM1049" s="34"/>
      <c r="BN1049" s="34"/>
      <c r="BO1049" s="34"/>
      <c r="BP1049" s="34"/>
      <c r="BQ1049" s="34"/>
      <c r="BR1049" s="34"/>
      <c r="BS1049" s="34"/>
      <c r="BT1049" s="34"/>
      <c r="BU1049" s="34"/>
      <c r="BV1049" s="34"/>
      <c r="BW1049" s="34"/>
      <c r="BX1049" s="34"/>
      <c r="BY1049" s="34"/>
      <c r="BZ1049" s="34"/>
      <c r="CA1049" s="34"/>
      <c r="CB1049" s="34"/>
      <c r="CC1049" s="34"/>
      <c r="CD1049" s="34"/>
      <c r="CE1049" s="34"/>
      <c r="CF1049" s="34"/>
      <c r="CG1049" s="34"/>
      <c r="CH1049" s="34"/>
      <c r="CI1049" s="8"/>
    </row>
    <row r="1050" spans="1:87" x14ac:dyDescent="0.2">
      <c r="A1050" s="8" t="str">
        <f>IF(AND(COUNTIF(W$3:W$13,A$33)&gt;0,A$33&lt;&gt;B800),A$33,IFERROR(IF(MATCH(A$33,Z$3:Z$13,0)=11,A$33," ")," "))</f>
        <v>C19</v>
      </c>
      <c r="B1050" s="8">
        <f>IF(A1050=" "," ",MAX(B1032:B1049)+1)</f>
        <v>8</v>
      </c>
      <c r="C1050" s="8"/>
      <c r="D1050" s="8"/>
      <c r="E1050" s="8"/>
      <c r="F1050" s="8"/>
      <c r="G1050" s="8"/>
      <c r="H1050" s="8"/>
      <c r="I1050" s="8"/>
      <c r="J1050" s="8"/>
      <c r="K1050" s="8"/>
      <c r="L1050" s="8"/>
      <c r="M1050" s="8"/>
      <c r="N1050" s="8"/>
      <c r="O1050" s="8"/>
      <c r="P1050" s="8"/>
      <c r="Q1050" s="8"/>
      <c r="R1050" s="8"/>
      <c r="S1050" s="8"/>
      <c r="U1050" s="34"/>
      <c r="V1050" s="34"/>
      <c r="W1050" s="34"/>
      <c r="X1050" s="34"/>
      <c r="Y1050" s="34"/>
      <c r="Z1050" s="34"/>
      <c r="AA1050" s="34"/>
      <c r="AB1050" s="34"/>
      <c r="AC1050" s="34"/>
      <c r="AD1050" s="34"/>
      <c r="AE1050" s="34"/>
      <c r="AF1050" s="34"/>
      <c r="AG1050" s="34"/>
      <c r="AH1050" s="34"/>
      <c r="AI1050" s="34"/>
      <c r="AJ1050" s="34"/>
      <c r="AK1050" s="34"/>
      <c r="AL1050" s="34"/>
      <c r="AM1050" s="34"/>
      <c r="AN1050" s="34"/>
      <c r="AO1050" s="34"/>
      <c r="AP1050" s="34"/>
      <c r="AQ1050" s="34"/>
      <c r="AR1050" s="34"/>
      <c r="AS1050" s="34"/>
      <c r="AT1050" s="34"/>
      <c r="AU1050" s="34"/>
      <c r="AV1050" s="34"/>
      <c r="AW1050" s="34"/>
      <c r="AX1050" s="34"/>
      <c r="AY1050" s="34"/>
      <c r="AZ1050" s="34"/>
      <c r="BA1050" s="34"/>
      <c r="BB1050" s="34"/>
      <c r="BC1050" s="34"/>
      <c r="BD1050" s="34"/>
      <c r="BE1050" s="34"/>
      <c r="BF1050" s="34"/>
      <c r="BG1050" s="34"/>
      <c r="BH1050" s="34"/>
      <c r="BI1050" s="34"/>
      <c r="BJ1050" s="34"/>
      <c r="BK1050" s="34"/>
      <c r="BL1050" s="34"/>
      <c r="BM1050" s="34"/>
      <c r="BN1050" s="34"/>
      <c r="BO1050" s="34"/>
      <c r="BP1050" s="34"/>
      <c r="BQ1050" s="34"/>
      <c r="BR1050" s="34"/>
      <c r="BS1050" s="34"/>
      <c r="BT1050" s="34"/>
      <c r="BU1050" s="34"/>
      <c r="BV1050" s="34"/>
      <c r="BW1050" s="34"/>
      <c r="BX1050" s="34"/>
      <c r="BY1050" s="34"/>
      <c r="BZ1050" s="34"/>
      <c r="CA1050" s="34"/>
      <c r="CB1050" s="34"/>
      <c r="CC1050" s="34"/>
      <c r="CD1050" s="34"/>
      <c r="CE1050" s="34"/>
      <c r="CF1050" s="34"/>
      <c r="CG1050" s="34"/>
      <c r="CH1050" s="34"/>
      <c r="CI1050" s="8"/>
    </row>
    <row r="1051" spans="1:87" x14ac:dyDescent="0.2">
      <c r="A1051" s="8" t="str">
        <f>IF(AND(COUNTIF(W$3:W$13,A$34)&gt;0,A$34&lt;&gt;B800),A$34,IFERROR(IF(MATCH(A$34,Z$3:Z$13,0)=11,A$34," ")," "))</f>
        <v>C20</v>
      </c>
      <c r="B1051" s="8">
        <f>IF(A1051=" "," ",MAX(B1032:B1050)+1)</f>
        <v>9</v>
      </c>
      <c r="C1051" s="8"/>
      <c r="D1051" s="8"/>
      <c r="E1051" s="8"/>
      <c r="F1051" s="8"/>
      <c r="G1051" s="8"/>
      <c r="H1051" s="8"/>
      <c r="I1051" s="8"/>
      <c r="J1051" s="8"/>
      <c r="K1051" s="8"/>
      <c r="L1051" s="8"/>
      <c r="M1051" s="8"/>
      <c r="N1051" s="8"/>
      <c r="O1051" s="8"/>
      <c r="P1051" s="8"/>
      <c r="Q1051" s="8"/>
      <c r="R1051" s="8"/>
      <c r="S1051" s="8"/>
      <c r="U1051" s="34"/>
      <c r="V1051" s="34"/>
      <c r="W1051" s="34"/>
      <c r="X1051" s="34"/>
      <c r="Y1051" s="34"/>
      <c r="Z1051" s="34"/>
      <c r="AA1051" s="34"/>
      <c r="AB1051" s="34"/>
      <c r="AC1051" s="34"/>
      <c r="AD1051" s="34"/>
      <c r="AE1051" s="34"/>
      <c r="AF1051" s="34"/>
      <c r="AG1051" s="34"/>
      <c r="AH1051" s="34"/>
      <c r="AI1051" s="34"/>
      <c r="AJ1051" s="34"/>
      <c r="AK1051" s="34"/>
      <c r="AL1051" s="34"/>
      <c r="AM1051" s="34"/>
      <c r="AN1051" s="34"/>
      <c r="AO1051" s="34"/>
      <c r="AP1051" s="34"/>
      <c r="AQ1051" s="34"/>
      <c r="AR1051" s="34"/>
      <c r="AS1051" s="34"/>
      <c r="AT1051" s="34"/>
      <c r="AU1051" s="34"/>
      <c r="AV1051" s="34"/>
      <c r="AW1051" s="34"/>
      <c r="AX1051" s="34"/>
      <c r="AY1051" s="34"/>
      <c r="AZ1051" s="34"/>
      <c r="BA1051" s="34"/>
      <c r="BB1051" s="34"/>
      <c r="BC1051" s="34"/>
      <c r="BD1051" s="34"/>
      <c r="BE1051" s="34"/>
      <c r="BF1051" s="34"/>
      <c r="BG1051" s="34"/>
      <c r="BH1051" s="34"/>
      <c r="BI1051" s="34"/>
      <c r="BJ1051" s="34"/>
      <c r="BK1051" s="34"/>
      <c r="BL1051" s="34"/>
      <c r="BM1051" s="34"/>
      <c r="BN1051" s="34"/>
      <c r="BO1051" s="34"/>
      <c r="BP1051" s="34"/>
      <c r="BQ1051" s="34"/>
      <c r="BR1051" s="34"/>
      <c r="BS1051" s="34"/>
      <c r="BT1051" s="34"/>
      <c r="BU1051" s="34"/>
      <c r="BV1051" s="34"/>
      <c r="BW1051" s="34"/>
      <c r="BX1051" s="34"/>
      <c r="BY1051" s="34"/>
      <c r="BZ1051" s="34"/>
      <c r="CA1051" s="34"/>
      <c r="CB1051" s="34"/>
      <c r="CC1051" s="34"/>
      <c r="CD1051" s="34"/>
      <c r="CE1051" s="34"/>
      <c r="CF1051" s="34"/>
      <c r="CG1051" s="34"/>
      <c r="CH1051" s="34"/>
      <c r="CI1051" s="8"/>
    </row>
    <row r="1052" spans="1:87" x14ac:dyDescent="0.2">
      <c r="A1052" s="8" t="str">
        <f>IF(AND(COUNTIF(W$3:W$13,A$35)&gt;0,A$35&lt;&gt;B800),A$35,IFERROR(IF(MATCH(A$35,Z$3:Z$13,0)=11,A$35," ")," "))</f>
        <v>C21</v>
      </c>
      <c r="B1052" s="8">
        <f>IF(A1052=" "," ",MAX(B1032:B1051)+1)</f>
        <v>10</v>
      </c>
      <c r="C1052" s="8"/>
      <c r="D1052" s="8"/>
      <c r="E1052" s="8"/>
      <c r="F1052" s="8"/>
      <c r="G1052" s="8"/>
      <c r="H1052" s="8"/>
      <c r="I1052" s="8"/>
      <c r="J1052" s="8"/>
      <c r="K1052" s="8"/>
      <c r="L1052" s="8"/>
      <c r="M1052" s="8"/>
      <c r="N1052" s="8"/>
      <c r="O1052" s="8"/>
      <c r="P1052" s="8"/>
      <c r="Q1052" s="8"/>
      <c r="R1052" s="8"/>
      <c r="S1052" s="8"/>
      <c r="U1052" s="34"/>
      <c r="V1052" s="34"/>
      <c r="W1052" s="34"/>
      <c r="X1052" s="34"/>
      <c r="Y1052" s="34"/>
      <c r="Z1052" s="34"/>
      <c r="AA1052" s="34"/>
      <c r="AB1052" s="34"/>
      <c r="AC1052" s="34"/>
      <c r="AD1052" s="34"/>
      <c r="AE1052" s="34"/>
      <c r="AF1052" s="34"/>
      <c r="AG1052" s="34"/>
      <c r="AH1052" s="34"/>
      <c r="AI1052" s="34"/>
      <c r="AJ1052" s="34"/>
      <c r="AK1052" s="34"/>
      <c r="AL1052" s="34"/>
      <c r="AM1052" s="34"/>
      <c r="AN1052" s="34"/>
      <c r="AO1052" s="34"/>
      <c r="AP1052" s="34"/>
      <c r="AQ1052" s="34"/>
      <c r="AR1052" s="34"/>
      <c r="AS1052" s="34"/>
      <c r="AT1052" s="34"/>
      <c r="AU1052" s="34"/>
      <c r="AV1052" s="34"/>
      <c r="AW1052" s="34"/>
      <c r="AX1052" s="34"/>
      <c r="AY1052" s="34"/>
      <c r="AZ1052" s="34"/>
      <c r="BA1052" s="34"/>
      <c r="BB1052" s="34"/>
      <c r="BC1052" s="34"/>
      <c r="BD1052" s="34"/>
      <c r="BE1052" s="34"/>
      <c r="BF1052" s="34"/>
      <c r="BG1052" s="34"/>
      <c r="BH1052" s="34"/>
      <c r="BI1052" s="34"/>
      <c r="BJ1052" s="34"/>
      <c r="BK1052" s="34"/>
      <c r="BL1052" s="34"/>
      <c r="BM1052" s="34"/>
      <c r="BN1052" s="34"/>
      <c r="BO1052" s="34"/>
      <c r="BP1052" s="34"/>
      <c r="BQ1052" s="34"/>
      <c r="BR1052" s="34"/>
      <c r="BS1052" s="34"/>
      <c r="BT1052" s="34"/>
      <c r="BU1052" s="34"/>
      <c r="BV1052" s="34"/>
      <c r="BW1052" s="34"/>
      <c r="BX1052" s="34"/>
      <c r="BY1052" s="34"/>
      <c r="BZ1052" s="34"/>
      <c r="CA1052" s="34"/>
      <c r="CB1052" s="34"/>
      <c r="CC1052" s="34"/>
      <c r="CD1052" s="34"/>
      <c r="CE1052" s="34"/>
      <c r="CF1052" s="34"/>
      <c r="CG1052" s="34"/>
      <c r="CH1052" s="34"/>
      <c r="CI1052" s="8"/>
    </row>
    <row r="1053" spans="1:87" x14ac:dyDescent="0.2">
      <c r="A1053" s="8" t="str">
        <f>IF(AND(COUNTIF(W$3:W$13,A$36)&gt;0,A$36&lt;&gt;B800),A$36,IFERROR(IF(MATCH(A$36,Z$3:Z$13,0)=11,A$36," ")," "))</f>
        <v>C22</v>
      </c>
      <c r="B1053" s="8">
        <f>IF(A1053=" "," ",MAX(B1032:B1052)+1)</f>
        <v>11</v>
      </c>
      <c r="C1053" s="8"/>
      <c r="D1053" s="8"/>
      <c r="E1053" s="8"/>
      <c r="F1053" s="8"/>
      <c r="G1053" s="8"/>
      <c r="H1053" s="8"/>
      <c r="I1053" s="8"/>
      <c r="J1053" s="8"/>
      <c r="K1053" s="8"/>
      <c r="L1053" s="8"/>
      <c r="M1053" s="8"/>
      <c r="N1053" s="8"/>
      <c r="O1053" s="8"/>
      <c r="P1053" s="8"/>
      <c r="Q1053" s="8"/>
      <c r="R1053" s="8"/>
      <c r="S1053" s="8"/>
      <c r="U1053" s="34"/>
      <c r="V1053" s="34"/>
      <c r="W1053" s="34"/>
      <c r="X1053" s="34"/>
      <c r="Y1053" s="34"/>
      <c r="Z1053" s="34"/>
      <c r="AA1053" s="34"/>
      <c r="AB1053" s="34"/>
      <c r="AC1053" s="34"/>
      <c r="AD1053" s="34"/>
      <c r="AE1053" s="34"/>
      <c r="AF1053" s="34"/>
      <c r="AG1053" s="34"/>
      <c r="AH1053" s="34"/>
      <c r="AI1053" s="34"/>
      <c r="AJ1053" s="34"/>
      <c r="AK1053" s="34"/>
      <c r="AL1053" s="34"/>
      <c r="AM1053" s="34"/>
      <c r="AN1053" s="34"/>
      <c r="AO1053" s="34"/>
      <c r="AP1053" s="34"/>
      <c r="AQ1053" s="34"/>
      <c r="AR1053" s="34"/>
      <c r="AS1053" s="34"/>
      <c r="AT1053" s="34"/>
      <c r="AU1053" s="34"/>
      <c r="AV1053" s="34"/>
      <c r="AW1053" s="34"/>
      <c r="AX1053" s="34"/>
      <c r="AY1053" s="34"/>
      <c r="AZ1053" s="34"/>
      <c r="BA1053" s="34"/>
      <c r="BB1053" s="34"/>
      <c r="BC1053" s="34"/>
      <c r="BD1053" s="34"/>
      <c r="BE1053" s="34"/>
      <c r="BF1053" s="34"/>
      <c r="BG1053" s="34"/>
      <c r="BH1053" s="34"/>
      <c r="BI1053" s="34"/>
      <c r="BJ1053" s="34"/>
      <c r="BK1053" s="34"/>
      <c r="BL1053" s="34"/>
      <c r="BM1053" s="34"/>
      <c r="BN1053" s="34"/>
      <c r="BO1053" s="34"/>
      <c r="BP1053" s="34"/>
      <c r="BQ1053" s="34"/>
      <c r="BR1053" s="34"/>
      <c r="BS1053" s="34"/>
      <c r="BT1053" s="34"/>
      <c r="BU1053" s="34"/>
      <c r="BV1053" s="34"/>
      <c r="BW1053" s="34"/>
      <c r="BX1053" s="34"/>
      <c r="BY1053" s="34"/>
      <c r="BZ1053" s="34"/>
      <c r="CA1053" s="34"/>
      <c r="CB1053" s="34"/>
      <c r="CC1053" s="34"/>
      <c r="CD1053" s="34"/>
      <c r="CE1053" s="34"/>
      <c r="CF1053" s="34"/>
      <c r="CG1053" s="34"/>
      <c r="CH1053" s="34"/>
      <c r="CI1053" s="8"/>
    </row>
    <row r="1054" spans="1:87" s="16" customFormat="1" x14ac:dyDescent="0.2">
      <c r="A1054" s="28"/>
      <c r="B1054" s="49" t="str">
        <f>W7</f>
        <v>C16</v>
      </c>
      <c r="C1054" s="49"/>
      <c r="D1054" s="49"/>
      <c r="E1054" s="49"/>
      <c r="F1054" s="49"/>
      <c r="G1054" s="49"/>
      <c r="H1054" s="49"/>
      <c r="I1054" s="49"/>
      <c r="J1054" s="49"/>
      <c r="K1054" s="49"/>
      <c r="L1054" s="49"/>
      <c r="M1054" s="49"/>
      <c r="N1054" s="49"/>
      <c r="O1054" s="49"/>
      <c r="P1054" s="49"/>
      <c r="Q1054" s="49"/>
      <c r="R1054" s="28" t="e">
        <f>(N$2*INDEX(Q1055:R1307,MATCH(T1054,R1055:R1307,0),1)+N$3*INDEX(Q1055:R1307,MATCH(T1054,R1055:R1307,0)+1,1)+N$4*INDEX(Q1055:R1307,MATCH(T1054,R1055:R1307,0)+2,1)+N$5*INDEX(Q1055:R1307,MATCH(T1054,R1055:R1307,0)+3,1)+N$6*INDEX(Q1055:R1307,MATCH(T1054,R1055:R1307,0)+4,1)+N$7*INDEX(Q1055:R1307,MATCH(T1054,R1055:R1307,0)+5,1)+N$8*INDEX(Q1055:R1307,MATCH(T1054,R1055:R1307,0)+6,1)+N$9*INDEX(Q1055:R1307,MATCH(T1054,R1055:R1307,0)+7,1)+N$10*INDEX(Q1055:R1307,MATCH(T1054,R1055:R1307,0)+8,1)+N$11*INDEX(Q1055:R1307,MATCH(T1054,R1055:R1307,0)+9,1)+N$12*INDEX(Q1055:R1307,MATCH(T1054,R1055:R1307,0)+10,1)-N$2*INDEX(Q1055:R1307,MATCH(S1054,R1055:R1307,0),1)-N$3*INDEX(Q1055:R1307,MATCH(S1054,R1055:R1307,0)+1,1)-N$4*INDEX(Q1055:R1307,MATCH(S1054,R1055:R1307,0)+2,1)-N$5*INDEX(Q1055:R1307,MATCH(S1054,R1055:R1307,0)+3,1)-N$6*INDEX(Q1055:R1307,MATCH(S1054,R1055:R1307,0)+4,1)-N$7*INDEX(Q1055:R1307,MATCH(S1054,R1055:R1307,0)+5,1)-N$8*INDEX(Q1055:R1307,MATCH(S1054,R1055:R1307,0)+6,1)-N$9*INDEX(Q1055:R1307,MATCH(S1054,R1055:R1307,0)+7,1)-N$10*INDEX(Q1055:R1307,MATCH(S1054,R1055:R1307,0)+8,1)-N$11*INDEX(Q1055:R1307,MATCH(S1054,R1055:R1307,0)+9,1)-N$12*INDEX(Q1055:R1307,MATCH(S1054,R1055:R1307,0)+10,1))/(T1054-S1054)</f>
        <v>#N/A</v>
      </c>
      <c r="S1054" s="28" t="e">
        <f>INDEX(R1056:T1307,MATCH(MAX(S1056:S1307),S1056:S1307,0),1)</f>
        <v>#N/A</v>
      </c>
      <c r="T1054" s="20" t="e">
        <f>INDEX(R1056:T1307,MATCH(MIN(T1056:T1307),T1056:T1307,0),1)</f>
        <v>#N/A</v>
      </c>
      <c r="U1054" s="50" t="str">
        <f t="shared" ref="U1054" si="4420">A$2</f>
        <v>X1</v>
      </c>
      <c r="V1054" s="49"/>
      <c r="W1054" s="49"/>
      <c r="X1054" s="49"/>
      <c r="Y1054" s="35" t="str">
        <f t="shared" ref="Y1054" si="4421">IF(INDEX($A$15:$N$36,MATCH($B1054,$A$15:$A$36,0),14)&lt;&gt;"=",IFERROR(INDEX(X1055:Z1307,MATCH(MAX(Y1055:Y1307),Y1055:Y1307,0),1)," ")," ")</f>
        <v xml:space="preserve"> </v>
      </c>
      <c r="Z1054" s="35" t="str">
        <f t="shared" ref="Z1054" si="4422">IF(INDEX($A$15:$N$36,MATCH($B1054,$A$15:$A$36,0),14)&lt;&gt;"=",IFERROR(INDEX(X1055:Z1307,MATCH(MIN(Z1055:Z1307),Z1055:Z1307,0),1)," ")," ")</f>
        <v xml:space="preserve"> </v>
      </c>
      <c r="AA1054" s="49" t="str">
        <f t="shared" ref="AA1054" si="4423">A$3</f>
        <v>X2</v>
      </c>
      <c r="AB1054" s="49"/>
      <c r="AC1054" s="49"/>
      <c r="AD1054" s="49"/>
      <c r="AE1054" s="35" t="str">
        <f t="shared" ref="AE1054" si="4424">IF(INDEX($A$15:$N$36,MATCH($B1054,$A$15:$A$36,0),14)&lt;&gt;"=",IFERROR(INDEX(AD1055:AF1307,MATCH(MAX(AE1055:AE1307),AE1055:AE1307,0),1)," ")," ")</f>
        <v xml:space="preserve"> </v>
      </c>
      <c r="AF1054" s="35" t="str">
        <f t="shared" ref="AF1054" si="4425">IF(INDEX($A$15:$N$36,MATCH($B1054,$A$15:$A$36,0),14)&lt;&gt;"=",IFERROR(INDEX(AD1055:AF1307,MATCH(MIN(AF1055:AF1307),AF1055:AF1307,0),1)," ")," ")</f>
        <v xml:space="preserve"> </v>
      </c>
      <c r="AG1054" s="49" t="str">
        <f t="shared" ref="AG1054" si="4426">A$4</f>
        <v>X3</v>
      </c>
      <c r="AH1054" s="49"/>
      <c r="AI1054" s="49"/>
      <c r="AJ1054" s="49"/>
      <c r="AK1054" s="35" t="str">
        <f t="shared" ref="AK1054" si="4427">IF(INDEX($A$15:$N$36,MATCH($B1054,$A$15:$A$36,0),14)&lt;&gt;"=",IFERROR(INDEX(AJ1055:AL1307,MATCH(MAX(AK1055:AK1307),AK1055:AK1307,0),1)," ")," ")</f>
        <v xml:space="preserve"> </v>
      </c>
      <c r="AL1054" s="35" t="str">
        <f t="shared" ref="AL1054" si="4428">IF(INDEX($A$15:$N$36,MATCH($B1054,$A$15:$A$36,0),14)&lt;&gt;"=",IFERROR(INDEX(AJ1055:AL1307,MATCH(MIN(AL1055:AL1307),AL1055:AL1307,0),1)," ")," ")</f>
        <v xml:space="preserve"> </v>
      </c>
      <c r="AM1054" s="49" t="str">
        <f t="shared" ref="AM1054" si="4429">A$5</f>
        <v>X4</v>
      </c>
      <c r="AN1054" s="49"/>
      <c r="AO1054" s="49"/>
      <c r="AP1054" s="49"/>
      <c r="AQ1054" s="35" t="str">
        <f t="shared" ref="AQ1054" si="4430">IF(INDEX($A$15:$N$36,MATCH($B1054,$A$15:$A$36,0),14)&lt;&gt;"=",IFERROR(INDEX(AP1055:AR1307,MATCH(MAX(AQ1055:AQ1307),AQ1055:AQ1307,0),1)," ")," ")</f>
        <v xml:space="preserve"> </v>
      </c>
      <c r="AR1054" s="35" t="str">
        <f t="shared" ref="AR1054" si="4431">IF(INDEX($A$15:$N$36,MATCH($B1054,$A$15:$A$36,0),14)&lt;&gt;"=",IFERROR(INDEX(AP1055:AR1307,MATCH(MIN(AR1055:AR1307),AR1055:AR1307,0),1)," ")," ")</f>
        <v xml:space="preserve"> </v>
      </c>
      <c r="AS1054" s="49" t="str">
        <f t="shared" ref="AS1054" si="4432">A$6</f>
        <v>X5</v>
      </c>
      <c r="AT1054" s="49"/>
      <c r="AU1054" s="49"/>
      <c r="AV1054" s="49"/>
      <c r="AW1054" s="35" t="str">
        <f t="shared" ref="AW1054" si="4433">IF(INDEX($A$15:$N$36,MATCH($B1054,$A$15:$A$36,0),14)&lt;&gt;"=",IFERROR(INDEX(AV1055:AX1307,MATCH(MAX(AW1055:AW1307),AW1055:AW1307,0),1)," ")," ")</f>
        <v xml:space="preserve"> </v>
      </c>
      <c r="AX1054" s="35" t="str">
        <f t="shared" ref="AX1054" si="4434">IF(INDEX($A$15:$N$36,MATCH($B1054,$A$15:$A$36,0),14)&lt;&gt;"=",IFERROR(INDEX(AV1055:AX1307,MATCH(MIN(AX1055:AX1307),AX1055:AX1307,0),1)," ")," ")</f>
        <v xml:space="preserve"> </v>
      </c>
      <c r="AY1054" s="49" t="str">
        <f t="shared" ref="AY1054" si="4435">A$7</f>
        <v>X6</v>
      </c>
      <c r="AZ1054" s="49"/>
      <c r="BA1054" s="49"/>
      <c r="BB1054" s="49"/>
      <c r="BC1054" s="35" t="str">
        <f t="shared" ref="BC1054" si="4436">IF(INDEX($A$15:$N$36,MATCH($B1054,$A$15:$A$36,0),14)&lt;&gt;"=",IFERROR(INDEX(BB1055:BD1307,MATCH(MAX(BC1055:BC1307),BC1055:BC1307,0),1)," ")," ")</f>
        <v xml:space="preserve"> </v>
      </c>
      <c r="BD1054" s="35" t="str">
        <f t="shared" ref="BD1054" si="4437">IF(INDEX($A$15:$N$36,MATCH($B1054,$A$15:$A$36,0),14)&lt;&gt;"=",IFERROR(INDEX(BB1055:BD1307,MATCH(MIN(BD1055:BD1307),BD1055:BD1307,0),1)," ")," ")</f>
        <v xml:space="preserve"> </v>
      </c>
      <c r="BE1054" s="49" t="str">
        <f t="shared" ref="BE1054" si="4438">A$8</f>
        <v>X7</v>
      </c>
      <c r="BF1054" s="49"/>
      <c r="BG1054" s="49"/>
      <c r="BH1054" s="49"/>
      <c r="BI1054" s="35" t="str">
        <f t="shared" ref="BI1054" si="4439">IF(INDEX($A$15:$N$36,MATCH($B1054,$A$15:$A$36,0),14)&lt;&gt;"=",IFERROR(INDEX(BH1055:BJ1307,MATCH(MAX(BI1055:BI1307),BI1055:BI1307,0),1)," ")," ")</f>
        <v xml:space="preserve"> </v>
      </c>
      <c r="BJ1054" s="35" t="str">
        <f t="shared" ref="BJ1054" si="4440">IF(INDEX($A$15:$N$36,MATCH($B1054,$A$15:$A$36,0),14)&lt;&gt;"=",IFERROR(INDEX(BH1055:BJ1307,MATCH(MIN(BJ1055:BJ1307),BJ1055:BJ1307,0),1)," ")," ")</f>
        <v xml:space="preserve"> </v>
      </c>
      <c r="BK1054" s="49" t="str">
        <f t="shared" ref="BK1054" si="4441">A$9</f>
        <v>X8</v>
      </c>
      <c r="BL1054" s="49"/>
      <c r="BM1054" s="49"/>
      <c r="BN1054" s="49"/>
      <c r="BO1054" s="35" t="str">
        <f t="shared" ref="BO1054" si="4442">IF(INDEX($A$15:$N$36,MATCH($B1054,$A$15:$A$36,0),14)&lt;&gt;"=",IFERROR(INDEX(BN1055:BP1307,MATCH(MAX(BO1055:BO1307),BO1055:BO1307,0),1)," ")," ")</f>
        <v xml:space="preserve"> </v>
      </c>
      <c r="BP1054" s="35" t="str">
        <f t="shared" ref="BP1054" si="4443">IF(INDEX($A$15:$N$36,MATCH($B1054,$A$15:$A$36,0),14)&lt;&gt;"=",IFERROR(INDEX(BN1055:BP1307,MATCH(MIN(BP1055:BP1307),BP1055:BP1307,0),1)," ")," ")</f>
        <v xml:space="preserve"> </v>
      </c>
      <c r="BQ1054" s="49" t="str">
        <f t="shared" ref="BQ1054" si="4444">A$10</f>
        <v>X9</v>
      </c>
      <c r="BR1054" s="49"/>
      <c r="BS1054" s="49"/>
      <c r="BT1054" s="49"/>
      <c r="BU1054" s="35" t="str">
        <f t="shared" ref="BU1054" si="4445">IF(INDEX($A$15:$N$36,MATCH($B1054,$A$15:$A$36,0),14)&lt;&gt;"=",IFERROR(INDEX(BT1055:BV1307,MATCH(MAX(BU1055:BU1307),BU1055:BU1307,0),1)," ")," ")</f>
        <v xml:space="preserve"> </v>
      </c>
      <c r="BV1054" s="35" t="str">
        <f t="shared" ref="BV1054" si="4446">IF(INDEX($A$15:$N$36,MATCH($B1054,$A$15:$A$36,0),14)&lt;&gt;"=",IFERROR(INDEX(BT1055:BV1307,MATCH(MIN(BV1055:BV1307),BV1055:BV1307,0),1)," ")," ")</f>
        <v xml:space="preserve"> </v>
      </c>
      <c r="BW1054" s="49" t="str">
        <f t="shared" ref="BW1054" si="4447">A$11</f>
        <v>X10</v>
      </c>
      <c r="BX1054" s="49"/>
      <c r="BY1054" s="49"/>
      <c r="BZ1054" s="49"/>
      <c r="CA1054" s="35" t="str">
        <f t="shared" ref="CA1054" si="4448">IF(INDEX($A$15:$N$36,MATCH($B1054,$A$15:$A$36,0),14)&lt;&gt;"=",IFERROR(INDEX(BZ1055:CB1307,MATCH(MAX(CA1055:CA1307),CA1055:CA1307,0),1)," ")," ")</f>
        <v xml:space="preserve"> </v>
      </c>
      <c r="CB1054" s="35" t="str">
        <f t="shared" ref="CB1054" si="4449">IF(INDEX($A$15:$N$36,MATCH($B1054,$A$15:$A$36,0),14)&lt;&gt;"=",IFERROR(INDEX(BZ1055:CB1307,MATCH(MIN(CB1055:CB1307),CB1055:CB1307,0),1)," ")," ")</f>
        <v xml:space="preserve"> </v>
      </c>
      <c r="CC1054" s="49" t="str">
        <f t="shared" ref="CC1054" si="4450">A$12</f>
        <v>X11</v>
      </c>
      <c r="CD1054" s="49"/>
      <c r="CE1054" s="49"/>
      <c r="CF1054" s="49"/>
      <c r="CG1054" s="35" t="str">
        <f t="shared" ref="CG1054" si="4451">IF(INDEX($A$15:$N$36,MATCH($B1054,$A$15:$A$36,0),14)&lt;&gt;"=",IFERROR(INDEX(CF1055:CH1307,MATCH(MAX(CG1055:CG1307),CG1055:CG1307,0),1)," ")," ")</f>
        <v xml:space="preserve"> </v>
      </c>
      <c r="CH1054" s="35" t="str">
        <f t="shared" ref="CH1054" si="4452">IF(INDEX($A$15:$N$36,MATCH($B1054,$A$15:$A$36,0),14)&lt;&gt;"=",IFERROR(INDEX(CF1055:CH1307,MATCH(MIN(CH1055:CH1307),CH1055:CH1307,0),1)," ")," ")</f>
        <v xml:space="preserve"> </v>
      </c>
    </row>
    <row r="1055" spans="1:87" x14ac:dyDescent="0.2">
      <c r="A1055" s="11" t="s">
        <v>17</v>
      </c>
      <c r="B1055" s="11"/>
      <c r="C1055" s="27" t="s">
        <v>18</v>
      </c>
      <c r="D1055" s="27" t="s">
        <v>2</v>
      </c>
      <c r="E1055" s="27" t="s">
        <v>6</v>
      </c>
      <c r="F1055" s="27" t="s">
        <v>15</v>
      </c>
      <c r="G1055" s="27" t="s">
        <v>36</v>
      </c>
      <c r="H1055" s="27" t="s">
        <v>37</v>
      </c>
      <c r="I1055" s="27" t="s">
        <v>38</v>
      </c>
      <c r="J1055" s="27" t="s">
        <v>39</v>
      </c>
      <c r="K1055" s="27" t="s">
        <v>40</v>
      </c>
      <c r="L1055" s="27" t="s">
        <v>41</v>
      </c>
      <c r="M1055" s="27" t="s">
        <v>42</v>
      </c>
      <c r="N1055" s="27" t="s">
        <v>43</v>
      </c>
      <c r="O1055" s="27" t="s">
        <v>9</v>
      </c>
      <c r="P1055" s="27" t="s">
        <v>12</v>
      </c>
      <c r="Q1055" s="27" t="s">
        <v>19</v>
      </c>
      <c r="R1055" s="27" t="s">
        <v>55</v>
      </c>
      <c r="S1055" s="27" t="s">
        <v>26</v>
      </c>
      <c r="T1055" s="19" t="s">
        <v>25</v>
      </c>
      <c r="U1055" s="33" t="s">
        <v>27</v>
      </c>
      <c r="V1055" s="33" t="s">
        <v>9</v>
      </c>
      <c r="W1055" s="33" t="s">
        <v>23</v>
      </c>
      <c r="X1055" s="33" t="s">
        <v>12</v>
      </c>
      <c r="Y1055" s="33" t="s">
        <v>26</v>
      </c>
      <c r="Z1055" s="33" t="s">
        <v>25</v>
      </c>
      <c r="AA1055" s="33" t="s">
        <v>27</v>
      </c>
      <c r="AB1055" s="33" t="s">
        <v>9</v>
      </c>
      <c r="AC1055" s="33" t="s">
        <v>23</v>
      </c>
      <c r="AD1055" s="33" t="s">
        <v>12</v>
      </c>
      <c r="AE1055" s="33" t="s">
        <v>26</v>
      </c>
      <c r="AF1055" s="33" t="s">
        <v>25</v>
      </c>
      <c r="AG1055" s="33" t="s">
        <v>27</v>
      </c>
      <c r="AH1055" s="33" t="s">
        <v>9</v>
      </c>
      <c r="AI1055" s="33" t="s">
        <v>23</v>
      </c>
      <c r="AJ1055" s="33" t="s">
        <v>12</v>
      </c>
      <c r="AK1055" s="33" t="s">
        <v>26</v>
      </c>
      <c r="AL1055" s="33" t="s">
        <v>25</v>
      </c>
      <c r="AM1055" s="33" t="s">
        <v>27</v>
      </c>
      <c r="AN1055" s="33" t="s">
        <v>9</v>
      </c>
      <c r="AO1055" s="33" t="s">
        <v>23</v>
      </c>
      <c r="AP1055" s="33" t="s">
        <v>12</v>
      </c>
      <c r="AQ1055" s="33" t="s">
        <v>26</v>
      </c>
      <c r="AR1055" s="33" t="s">
        <v>25</v>
      </c>
      <c r="AS1055" s="33" t="s">
        <v>27</v>
      </c>
      <c r="AT1055" s="33" t="s">
        <v>9</v>
      </c>
      <c r="AU1055" s="33" t="s">
        <v>23</v>
      </c>
      <c r="AV1055" s="33" t="s">
        <v>12</v>
      </c>
      <c r="AW1055" s="33" t="s">
        <v>26</v>
      </c>
      <c r="AX1055" s="33" t="s">
        <v>25</v>
      </c>
      <c r="AY1055" s="33" t="s">
        <v>27</v>
      </c>
      <c r="AZ1055" s="33" t="s">
        <v>9</v>
      </c>
      <c r="BA1055" s="33" t="s">
        <v>23</v>
      </c>
      <c r="BB1055" s="33" t="s">
        <v>12</v>
      </c>
      <c r="BC1055" s="33" t="s">
        <v>26</v>
      </c>
      <c r="BD1055" s="33" t="s">
        <v>25</v>
      </c>
      <c r="BE1055" s="33" t="s">
        <v>27</v>
      </c>
      <c r="BF1055" s="33" t="s">
        <v>9</v>
      </c>
      <c r="BG1055" s="33" t="s">
        <v>23</v>
      </c>
      <c r="BH1055" s="33" t="s">
        <v>12</v>
      </c>
      <c r="BI1055" s="33" t="s">
        <v>26</v>
      </c>
      <c r="BJ1055" s="33" t="s">
        <v>25</v>
      </c>
      <c r="BK1055" s="33" t="s">
        <v>27</v>
      </c>
      <c r="BL1055" s="33" t="s">
        <v>9</v>
      </c>
      <c r="BM1055" s="33" t="s">
        <v>23</v>
      </c>
      <c r="BN1055" s="33" t="s">
        <v>12</v>
      </c>
      <c r="BO1055" s="33" t="s">
        <v>26</v>
      </c>
      <c r="BP1055" s="33" t="s">
        <v>25</v>
      </c>
      <c r="BQ1055" s="33" t="s">
        <v>27</v>
      </c>
      <c r="BR1055" s="33" t="s">
        <v>9</v>
      </c>
      <c r="BS1055" s="33" t="s">
        <v>23</v>
      </c>
      <c r="BT1055" s="33" t="s">
        <v>12</v>
      </c>
      <c r="BU1055" s="33" t="s">
        <v>26</v>
      </c>
      <c r="BV1055" s="33" t="s">
        <v>25</v>
      </c>
      <c r="BW1055" s="33" t="s">
        <v>27</v>
      </c>
      <c r="BX1055" s="33" t="s">
        <v>9</v>
      </c>
      <c r="BY1055" s="33" t="s">
        <v>23</v>
      </c>
      <c r="BZ1055" s="33" t="s">
        <v>12</v>
      </c>
      <c r="CA1055" s="33" t="s">
        <v>26</v>
      </c>
      <c r="CB1055" s="33" t="s">
        <v>25</v>
      </c>
      <c r="CC1055" s="33" t="s">
        <v>27</v>
      </c>
      <c r="CD1055" s="33" t="s">
        <v>9</v>
      </c>
      <c r="CE1055" s="33" t="s">
        <v>23</v>
      </c>
      <c r="CF1055" s="33" t="s">
        <v>12</v>
      </c>
      <c r="CG1055" s="33" t="s">
        <v>26</v>
      </c>
      <c r="CH1055" s="33" t="s">
        <v>25</v>
      </c>
      <c r="CI1055" s="8"/>
    </row>
    <row r="1056" spans="1:87" x14ac:dyDescent="0.2">
      <c r="A1056" s="8" t="str">
        <f>IF(AND(COUNTIF(W$3:W$13,A$15)&gt;0,A$15&lt;&gt;B1054),A$15,IFERROR(IF(MATCH(A$15,Z$3:Z$13,0)=1,A$15," ")," "))</f>
        <v>C1</v>
      </c>
      <c r="B1056" s="8">
        <f>IF(A1056=" "," ",1)</f>
        <v>1</v>
      </c>
      <c r="C1056" s="8" t="str">
        <f>IFERROR(INDEX(A1056:A1077,MATCH(SMALL(B1056:B1077,1),B1056:B1077,0),1)," ")</f>
        <v>C1</v>
      </c>
      <c r="D1056" s="8">
        <f>IFERROR(VLOOKUP($C1056,$A$15:$O$36,2,FALSE)," ")</f>
        <v>1</v>
      </c>
      <c r="E1056" s="8">
        <f>IFERROR(VLOOKUP($C1056,$A$15:$O$36,3,FALSE)," ")</f>
        <v>1</v>
      </c>
      <c r="F1056" s="8">
        <f>IFERROR(VLOOKUP($C1056,$A$15:$O$36,4,FALSE)," ")</f>
        <v>1</v>
      </c>
      <c r="G1056" s="8">
        <f>IFERROR(VLOOKUP($C1056,$A$15:$O$36,5,FALSE)," ")</f>
        <v>0</v>
      </c>
      <c r="H1056" s="8">
        <f>IFERROR(VLOOKUP($C1056,$A$15:$O$36,6,FALSE)," ")</f>
        <v>0</v>
      </c>
      <c r="I1056" s="8">
        <f>IFERROR(VLOOKUP($C1056,$A$15:$O$36,7,FALSE)," ")</f>
        <v>0</v>
      </c>
      <c r="J1056" s="8">
        <f>IFERROR(VLOOKUP($C1056,$A$15:$O$36,8,FALSE)," ")</f>
        <v>0</v>
      </c>
      <c r="K1056" s="8">
        <f>IFERROR(VLOOKUP($C1056,$A$15:$O$36,9,FALSE)," ")</f>
        <v>0</v>
      </c>
      <c r="L1056" s="8">
        <f>IFERROR(VLOOKUP($C1056,$A$15:$O$36,10,FALSE)," ")</f>
        <v>0</v>
      </c>
      <c r="M1056" s="8">
        <f>IFERROR(VLOOKUP($C1056,$A$15:$O$36,11,FALSE)," ")</f>
        <v>0</v>
      </c>
      <c r="N1056" s="8">
        <f>IFERROR(VLOOKUP($C1056,$A$15:$O$36,12,FALSE)," ")</f>
        <v>0</v>
      </c>
      <c r="O1056" s="8">
        <f>IFERROR(VLOOKUP($C1056,$A$15:$O$36,15,FALSE)," ")</f>
        <v>550</v>
      </c>
      <c r="P1056" s="8" t="e">
        <f t="array" ref="P1056:P1066">MMULT(MINVERSE(D1056:N1066),O1056:O1066)</f>
        <v>#NUM!</v>
      </c>
      <c r="Q1056" s="8" t="e">
        <f t="shared" ref="Q1056" si="4453">IF(COUNTIF(P1056:P1066,"&lt;"&amp;-0.001)=0,IF(ABS(P1056)&lt;0.001,0,P1056)," ")</f>
        <v>#NUM!</v>
      </c>
      <c r="R1056" s="8" t="str">
        <f>IFERROR(VLOOKUP(B1054,A$15:L$36,2,FALSE)*Q1056+VLOOKUP(B1054,A$15:L$36,3,FALSE)*Q1057+VLOOKUP(B1054,A$15:L$36,4,FALSE)*Q1058+VLOOKUP(B1054,A$15:L$36,5,FALSE)*Q1059+VLOOKUP(B1054,A$15:L$36,6,FALSE)*Q1060+VLOOKUP(B1054,A$15:L$36,7,FALSE)*Q1061+VLOOKUP(B1054,A$15:L$36,8,FALSE)*Q1062+VLOOKUP(B1054,A$15:L$36,9,FALSE)*Q1063+VLOOKUP(B1054,A$15:L$36,10,FALSE)*Q1064+VLOOKUP(B1054,A$15:L$36,11,FALSE)*Q1065+VLOOKUP(B1054,A$15:L$36,12,FALSE)*Q1066," ")</f>
        <v xml:space="preserve"> </v>
      </c>
      <c r="S1056" s="8" t="str">
        <f>IFERROR(IF(R1056-VLOOKUP(B1054,A$15:O$36,15,FALSE)&lt;0,R1056-VLOOKUP(B1054,A$15:O$36,15,FALSE)," ")," ")</f>
        <v xml:space="preserve"> </v>
      </c>
      <c r="T1056" s="18" t="str">
        <f>IFERROR(IF(R1056-VLOOKUP(B1054,A$15:O$36,15,FALSE)&gt;0,R1056-VLOOKUP(B1054,A$15:O$36,15,FALSE)," ")," ")</f>
        <v xml:space="preserve"> </v>
      </c>
      <c r="U1056" s="34">
        <f t="shared" ref="U1056" si="4454">$M$2</f>
        <v>100.00000000000001</v>
      </c>
      <c r="V1056" s="34">
        <v>-1</v>
      </c>
      <c r="W1056" s="34">
        <f t="shared" ref="W1056" si="4455">-SUMPRODUCT($M$3:$M$12,$N$3:$N$12)</f>
        <v>-105000</v>
      </c>
      <c r="X1056" s="34" t="e">
        <f t="shared" ref="X1056" si="4456">IF(U1056&lt;&gt;U1057,MMULT(MINVERSE(U1056:V1057),W1056:W1057)," ")</f>
        <v>#NUM!</v>
      </c>
      <c r="Y1056" s="34" t="str">
        <f t="shared" ref="Y1056" si="4457">IFERROR(IF(X1056-VLOOKUP(U$38,$A$2:$N$12,14,FALSE)&lt;0,X1056-VLOOKUP(U$38,$A$2:$N$12,14,FALSE)," ")," ")</f>
        <v xml:space="preserve"> </v>
      </c>
      <c r="Z1056" s="34" t="str">
        <f t="shared" ref="Z1056" si="4458">IFERROR(IF(X1056-VLOOKUP(U$38,$A$2:$N$12,14,FALSE)&gt;0,X1056-VLOOKUP(U$38,$A$2:$N$12,14,FALSE)," ")," ")</f>
        <v xml:space="preserve"> </v>
      </c>
      <c r="AA1056" s="34">
        <f t="shared" ref="AA1056" si="4459">$M$3</f>
        <v>0</v>
      </c>
      <c r="AB1056" s="34">
        <v>-1</v>
      </c>
      <c r="AC1056" s="34">
        <f t="shared" ref="AC1056" si="4460">-SUMPRODUCT($M$2:$M$2,$N$2:$N$2)-SUMPRODUCT($M$4:$M$12,$N$4:$N$12)</f>
        <v>-120000</v>
      </c>
      <c r="AD1056" s="34" t="e">
        <f t="shared" ref="AD1056" si="4461">IF(AA1056&lt;&gt;AA1057,MMULT(MINVERSE(AA1056:AB1057),AC1056:AC1057)," ")</f>
        <v>#NUM!</v>
      </c>
      <c r="AE1056" s="34" t="str">
        <f t="shared" ref="AE1056" si="4462">IFERROR(IF(AD1056-VLOOKUP(AA$38,$A$2:$N$12,14,FALSE)&lt;0,AD1056-VLOOKUP(AA$38,$A$2:$N$12,14,FALSE)," ")," ")</f>
        <v xml:space="preserve"> </v>
      </c>
      <c r="AF1056" s="34" t="str">
        <f t="shared" ref="AF1056" si="4463">IFERROR(IF(AD1056-VLOOKUP(AA$38,$A$2:$N$12,14,FALSE)&gt;0,AD1056-VLOOKUP(AA$38,$A$2:$N$12,14,FALSE)," ")," ")</f>
        <v xml:space="preserve"> </v>
      </c>
      <c r="AG1056" s="34">
        <f t="shared" ref="AG1056" si="4464">$M$4</f>
        <v>300</v>
      </c>
      <c r="AH1056" s="34">
        <v>-1</v>
      </c>
      <c r="AI1056" s="34">
        <f t="shared" ref="AI1056" si="4465">-SUMPRODUCT($M$2:$M$3,$N$2:$N$3)-SUMPRODUCT($M$5:$M$12,$N$5:$N$12)</f>
        <v>-15000.000000000002</v>
      </c>
      <c r="AJ1056" s="34" t="e">
        <f t="shared" ref="AJ1056" si="4466">IF(AG1056&lt;&gt;AG1057,MMULT(MINVERSE(AG1056:AH1057),AI1056:AI1057)," ")</f>
        <v>#NUM!</v>
      </c>
      <c r="AK1056" s="34" t="str">
        <f t="shared" ref="AK1056" si="4467">IFERROR(IF(AJ1056-VLOOKUP(AG$38,$A$2:$N$12,14,FALSE)&lt;0,AJ1056-VLOOKUP(AG$38,$A$2:$N$12,14,FALSE)," ")," ")</f>
        <v xml:space="preserve"> </v>
      </c>
      <c r="AL1056" s="34" t="str">
        <f t="shared" ref="AL1056" si="4468">IFERROR(IF(AJ1056-VLOOKUP(AG$38,$A$2:$N$12,14,FALSE)&gt;0,AJ1056-VLOOKUP(AG$38,$A$2:$N$12,14,FALSE)," ")," ")</f>
        <v xml:space="preserve"> </v>
      </c>
      <c r="AM1056" s="34">
        <f t="shared" ref="AM1056" si="4469">$M$5</f>
        <v>0</v>
      </c>
      <c r="AN1056" s="34">
        <v>-1</v>
      </c>
      <c r="AO1056" s="34">
        <f t="shared" ref="AO1056" si="4470">-SUMPRODUCT($M$2:$M$4,$N$2:$N$4)-SUMPRODUCT($M$6:$M$12,$N$6:$N$12)</f>
        <v>-120000</v>
      </c>
      <c r="AP1056" s="34" t="e">
        <f t="shared" ref="AP1056" si="4471">IF(AM1056&lt;&gt;AM1057,MMULT(MINVERSE(AM1056:AN1057),AO1056:AO1057)," ")</f>
        <v>#NUM!</v>
      </c>
      <c r="AQ1056" s="34" t="str">
        <f t="shared" ref="AQ1056" si="4472">IFERROR(IF(AP1056-VLOOKUP(AM$38,$A$2:$N$12,14,FALSE)&lt;0,AP1056-VLOOKUP(AM$38,$A$2:$N$12,14,FALSE)," ")," ")</f>
        <v xml:space="preserve"> </v>
      </c>
      <c r="AR1056" s="34" t="str">
        <f t="shared" ref="AR1056" si="4473">IFERROR(IF(AP1056-VLOOKUP(AM$38,$A$2:$N$12,14,FALSE)&gt;0,AP1056-VLOOKUP(AM$38,$A$2:$N$12,14,FALSE)," ")," ")</f>
        <v xml:space="preserve"> </v>
      </c>
      <c r="AS1056" s="34">
        <f t="shared" ref="AS1056" si="4474">$M$6</f>
        <v>0</v>
      </c>
      <c r="AT1056" s="34">
        <v>-1</v>
      </c>
      <c r="AU1056" s="34">
        <f t="shared" ref="AU1056" si="4475">-SUMPRODUCT($M$2:$M$5,$N$2:$N$5)-SUMPRODUCT($M$7:$M$12,$N$7:$N$12)</f>
        <v>-120000</v>
      </c>
      <c r="AV1056" s="34" t="e">
        <f t="shared" ref="AV1056" si="4476">IF(AS1056&lt;&gt;AS1057,MMULT(MINVERSE(AS1056:AT1057),AU1056:AU1057)," ")</f>
        <v>#NUM!</v>
      </c>
      <c r="AW1056" s="34" t="str">
        <f t="shared" ref="AW1056" si="4477">IFERROR(IF(AV1056-VLOOKUP(AS$38,$A$2:$N$12,14,FALSE)&lt;0,AV1056-VLOOKUP(AS$38,$A$2:$N$12,14,FALSE)," ")," ")</f>
        <v xml:space="preserve"> </v>
      </c>
      <c r="AX1056" s="34" t="str">
        <f t="shared" ref="AX1056" si="4478">IFERROR(IF(AV1056-VLOOKUP(AS$38,$A$2:$N$12,14,FALSE)&gt;0,AV1056-VLOOKUP(AS$38,$A$2:$N$12,14,FALSE)," ")," ")</f>
        <v xml:space="preserve"> </v>
      </c>
      <c r="AY1056" s="34">
        <f t="shared" ref="AY1056" si="4479">$M$7</f>
        <v>0</v>
      </c>
      <c r="AZ1056" s="34">
        <v>-1</v>
      </c>
      <c r="BA1056" s="34">
        <f t="shared" ref="BA1056" si="4480">-SUMPRODUCT($M$2:$M$6,$N$2:$N$6)-SUMPRODUCT($M$8:$M$12,$N$8:$N$12)</f>
        <v>-120000</v>
      </c>
      <c r="BB1056" s="34" t="e">
        <f t="shared" ref="BB1056" si="4481">IF(AY1056&lt;&gt;AY1057,MMULT(MINVERSE(AY1056:AZ1057),BA1056:BA1057)," ")</f>
        <v>#NUM!</v>
      </c>
      <c r="BC1056" s="34" t="str">
        <f t="shared" ref="BC1056" si="4482">IFERROR(IF(BB1056-VLOOKUP(AY$38,$A$2:$N$12,14,FALSE)&lt;0,BB1056-VLOOKUP(AY$38,$A$2:$N$12,14,FALSE)," ")," ")</f>
        <v xml:space="preserve"> </v>
      </c>
      <c r="BD1056" s="34" t="str">
        <f t="shared" ref="BD1056" si="4483">IFERROR(IF(BB1056-VLOOKUP(AY$38,$A$2:$N$12,14,FALSE)&gt;0,BB1056-VLOOKUP(AY$38,$A$2:$N$12,14,FALSE)," ")," ")</f>
        <v xml:space="preserve"> </v>
      </c>
      <c r="BE1056" s="34">
        <f t="shared" ref="BE1056" si="4484">$M$8</f>
        <v>0</v>
      </c>
      <c r="BF1056" s="34">
        <v>-1</v>
      </c>
      <c r="BG1056" s="34">
        <f t="shared" ref="BG1056" si="4485">-SUMPRODUCT($M$2:$M$7,$N$2:$N$7)-SUMPRODUCT($M$9:$M$12,$N$9:$N$12)</f>
        <v>-120000</v>
      </c>
      <c r="BH1056" s="34" t="e">
        <f t="shared" ref="BH1056" si="4486">IF(BE1056&lt;&gt;BE1057,MMULT(MINVERSE(BE1056:BF1057),BG1056:BG1057)," ")</f>
        <v>#NUM!</v>
      </c>
      <c r="BI1056" s="34" t="str">
        <f t="shared" ref="BI1056" si="4487">IFERROR(IF(BH1056-VLOOKUP(BE$38,$A$2:$N$12,14,FALSE)&lt;0,BH1056-VLOOKUP(BE$38,$A$2:$N$12,14,FALSE)," ")," ")</f>
        <v xml:space="preserve"> </v>
      </c>
      <c r="BJ1056" s="34" t="str">
        <f t="shared" ref="BJ1056" si="4488">IFERROR(IF(BH1056-VLOOKUP(BE$38,$A$2:$N$12,14,FALSE)&gt;0,BH1056-VLOOKUP(BE$38,$A$2:$N$12,14,FALSE)," ")," ")</f>
        <v xml:space="preserve"> </v>
      </c>
      <c r="BK1056" s="34">
        <f t="shared" ref="BK1056" si="4489">$M$9</f>
        <v>0</v>
      </c>
      <c r="BL1056" s="34">
        <v>-1</v>
      </c>
      <c r="BM1056" s="34">
        <f t="shared" ref="BM1056" si="4490">-SUMPRODUCT($M$2:$M$8,$N$2:$N$8)-SUMPRODUCT($M$10:$M$12,$N$10:$N$12)</f>
        <v>-120000</v>
      </c>
      <c r="BN1056" s="34" t="e">
        <f t="shared" ref="BN1056" si="4491">IF(BK1056&lt;&gt;BK1057,MMULT(MINVERSE(BK1056:BL1057),BM1056:BM1057)," ")</f>
        <v>#NUM!</v>
      </c>
      <c r="BO1056" s="34" t="str">
        <f t="shared" ref="BO1056" si="4492">IFERROR(IF(BN1056-VLOOKUP(BK$38,$A$2:$N$12,14,FALSE)&lt;0,BN1056-VLOOKUP(BK$38,$A$2:$N$12,14,FALSE)," ")," ")</f>
        <v xml:space="preserve"> </v>
      </c>
      <c r="BP1056" s="34" t="str">
        <f t="shared" ref="BP1056" si="4493">IFERROR(IF(BN1056-VLOOKUP(BK$38,$A$2:$N$12,14,FALSE)&gt;0,BN1056-VLOOKUP(BK$38,$A$2:$N$12,14,FALSE)," ")," ")</f>
        <v xml:space="preserve"> </v>
      </c>
      <c r="BQ1056" s="34">
        <f t="shared" ref="BQ1056" si="4494">$M$10</f>
        <v>0</v>
      </c>
      <c r="BR1056" s="34">
        <v>-1</v>
      </c>
      <c r="BS1056" s="34">
        <f t="shared" ref="BS1056" si="4495">-SUMPRODUCT($M$2:$M$9,$N$2:$N$9)-SUMPRODUCT($M$11:$M$12,$N$11:$N$12)</f>
        <v>-120000</v>
      </c>
      <c r="BT1056" s="34" t="e">
        <f t="shared" ref="BT1056" si="4496">IF(BQ1056&lt;&gt;BQ1057,MMULT(MINVERSE(BQ1056:BR1057),BS1056:BS1057)," ")</f>
        <v>#NUM!</v>
      </c>
      <c r="BU1056" s="34" t="str">
        <f t="shared" ref="BU1056" si="4497">IFERROR(IF(BT1056-VLOOKUP(BQ$38,$A$2:$N$12,14,FALSE)&lt;0,BT1056-VLOOKUP(BQ$38,$A$2:$N$12,14,FALSE)," ")," ")</f>
        <v xml:space="preserve"> </v>
      </c>
      <c r="BV1056" s="34" t="str">
        <f t="shared" ref="BV1056" si="4498">IFERROR(IF(BT1056-VLOOKUP(BQ$38,$A$2:$N$12,14,FALSE)&gt;0,BT1056-VLOOKUP(BQ$38,$A$2:$N$12,14,FALSE)," ")," ")</f>
        <v xml:space="preserve"> </v>
      </c>
      <c r="BW1056" s="34">
        <f t="shared" ref="BW1056" si="4499">$M$11</f>
        <v>0</v>
      </c>
      <c r="BX1056" s="34">
        <v>-1</v>
      </c>
      <c r="BY1056" s="34">
        <f t="shared" ref="BY1056" si="4500">-SUMPRODUCT($M$2:$M$10,$N$2:$N$10)-SUMPRODUCT($M$12,$N$12)</f>
        <v>-120000</v>
      </c>
      <c r="BZ1056" s="34" t="e">
        <f t="shared" ref="BZ1056" si="4501">IF(BW1056&lt;&gt;BW1057,MMULT(MINVERSE(BW1056:BX1057),BY1056:BY1057)," ")</f>
        <v>#NUM!</v>
      </c>
      <c r="CA1056" s="34" t="str">
        <f t="shared" ref="CA1056" si="4502">IFERROR(IF(BZ1056-VLOOKUP(BW$38,$A$2:$N$12,14,FALSE)&lt;0,BZ1056-VLOOKUP(BW$38,$A$2:$N$12,14,FALSE)," ")," ")</f>
        <v xml:space="preserve"> </v>
      </c>
      <c r="CB1056" s="34" t="str">
        <f t="shared" ref="CB1056" si="4503">IFERROR(IF(BZ1056-VLOOKUP(BW$38,$A$2:$N$12,14,FALSE)&gt;0,BZ1056-VLOOKUP(BW$38,$A$2:$N$12,14,FALSE)," ")," ")</f>
        <v xml:space="preserve"> </v>
      </c>
      <c r="CC1056" s="34">
        <f t="shared" ref="CC1056" si="4504">$M$12</f>
        <v>0</v>
      </c>
      <c r="CD1056" s="34">
        <v>-1</v>
      </c>
      <c r="CE1056" s="34">
        <f t="shared" ref="CE1056" si="4505">-SUMPRODUCT($M$2:$M$11,$N$2:$N$11)</f>
        <v>-120000</v>
      </c>
      <c r="CF1056" s="34" t="e">
        <f t="shared" ref="CF1056" si="4506">IF(CC1056&lt;&gt;CC1057,MMULT(MINVERSE(CC1056:CD1057),CE1056:CE1057)," ")</f>
        <v>#NUM!</v>
      </c>
      <c r="CG1056" s="34" t="str">
        <f t="shared" ref="CG1056" si="4507">IFERROR(IF(CF1056-VLOOKUP(CC$38,$A$2:$N$12,14,FALSE)&lt;0,CF1056-VLOOKUP(CC$38,$A$2:$N$12,14,FALSE)," ")," ")</f>
        <v xml:space="preserve"> </v>
      </c>
      <c r="CH1056" s="34" t="str">
        <f t="shared" ref="CH1056" si="4508">IFERROR(IF(CF1056-VLOOKUP(CC$38,$A$2:$N$12,14,FALSE)&gt;0,CF1056-VLOOKUP(CC$38,$A$2:$N$12,14,FALSE)," ")," ")</f>
        <v xml:space="preserve"> </v>
      </c>
      <c r="CI1056" s="8"/>
    </row>
    <row r="1057" spans="1:87" x14ac:dyDescent="0.2">
      <c r="A1057" s="8" t="str">
        <f>IF(AND(COUNTIF(W$3:W$13,A$16)&gt;0,A$16&lt;&gt;B1054),A$16,IFERROR(IF(MATCH(A$16,Z$3:Z$13,0)=1,A$16," ")," "))</f>
        <v xml:space="preserve"> </v>
      </c>
      <c r="B1057" s="8" t="str">
        <f>IF(A1057=" "," ",MAX(B1056:B1056)+1)</f>
        <v xml:space="preserve"> </v>
      </c>
      <c r="C1057" s="8" t="str">
        <f>IFERROR(INDEX(A1056:A1077,MATCH(SMALL(B1056:B1077,2),B1056:B1077,0),1)," ")</f>
        <v>C3</v>
      </c>
      <c r="D1057" s="8">
        <f t="shared" ref="D1057:D1066" si="4509">IFERROR(VLOOKUP($C1057,$A$15:$O$36,2,FALSE)," ")</f>
        <v>2</v>
      </c>
      <c r="E1057" s="8">
        <f t="shared" ref="E1057:E1066" si="4510">IFERROR(VLOOKUP($C1057,$A$15:$O$36,3,FALSE)," ")</f>
        <v>5</v>
      </c>
      <c r="F1057" s="8">
        <f t="shared" ref="F1057:F1066" si="4511">IFERROR(VLOOKUP($C1057,$A$15:$O$36,4,FALSE)," ")</f>
        <v>6</v>
      </c>
      <c r="G1057" s="8">
        <f t="shared" ref="G1057:G1066" si="4512">IFERROR(VLOOKUP($C1057,$A$15:$O$36,5,FALSE)," ")</f>
        <v>0</v>
      </c>
      <c r="H1057" s="8">
        <f t="shared" ref="H1057:H1066" si="4513">IFERROR(VLOOKUP($C1057,$A$15:$O$36,6,FALSE)," ")</f>
        <v>0</v>
      </c>
      <c r="I1057" s="8">
        <f t="shared" ref="I1057:I1066" si="4514">IFERROR(VLOOKUP($C1057,$A$15:$O$36,7,FALSE)," ")</f>
        <v>0</v>
      </c>
      <c r="J1057" s="8">
        <f t="shared" ref="J1057:J1066" si="4515">IFERROR(VLOOKUP($C1057,$A$15:$O$36,8,FALSE)," ")</f>
        <v>0</v>
      </c>
      <c r="K1057" s="8">
        <f t="shared" ref="K1057:K1066" si="4516">IFERROR(VLOOKUP($C1057,$A$15:$O$36,9,FALSE)," ")</f>
        <v>0</v>
      </c>
      <c r="L1057" s="8">
        <f t="shared" ref="L1057:L1066" si="4517">IFERROR(VLOOKUP($C1057,$A$15:$O$36,10,FALSE)," ")</f>
        <v>0</v>
      </c>
      <c r="M1057" s="8">
        <f t="shared" ref="M1057:M1066" si="4518">IFERROR(VLOOKUP($C1057,$A$15:$O$36,11,FALSE)," ")</f>
        <v>0</v>
      </c>
      <c r="N1057" s="8">
        <f t="shared" ref="N1057:N1066" si="4519">IFERROR(VLOOKUP($C1057,$A$15:$O$36,12,FALSE)," ")</f>
        <v>0</v>
      </c>
      <c r="O1057" s="8">
        <f t="shared" ref="O1057:O1066" si="4520">IFERROR(VLOOKUP($C1057,$A$15:$O$36,15,FALSE)," ")</f>
        <v>2000</v>
      </c>
      <c r="P1057" s="8" t="e">
        <v>#NUM!</v>
      </c>
      <c r="Q1057" s="8" t="e">
        <f t="shared" ref="Q1057" si="4521">IF(COUNTIF(P1056:P1066,"&lt;"&amp;-0.001)=0,IF(ABS(P1057)&lt;0.001,0,P1057)," ")</f>
        <v>#NUM!</v>
      </c>
      <c r="R1057" s="8"/>
      <c r="S1057" s="8"/>
      <c r="U1057" s="34" t="e">
        <f t="shared" ref="U1057" si="4522">$Q1056</f>
        <v>#NUM!</v>
      </c>
      <c r="V1057" s="34">
        <v>-1</v>
      </c>
      <c r="W1057" s="34" t="e">
        <f t="shared" ref="W1057" si="4523">-SUMPRODUCT($Q1057:$Q1066,$N$3:$N$12)</f>
        <v>#NUM!</v>
      </c>
      <c r="X1057" s="34"/>
      <c r="Y1057" s="34"/>
      <c r="Z1057" s="34"/>
      <c r="AA1057" s="34" t="e">
        <f t="shared" ref="AA1057" si="4524">$Q1057</f>
        <v>#NUM!</v>
      </c>
      <c r="AB1057" s="34">
        <v>-1</v>
      </c>
      <c r="AC1057" s="34" t="e">
        <f t="shared" ref="AC1057" si="4525">-SUMPRODUCT($Q1056:$Q1056,$N$2:$N$2)-SUMPRODUCT($Q1058:$Q1066,$N$4:$N$12)</f>
        <v>#NUM!</v>
      </c>
      <c r="AD1057" s="34"/>
      <c r="AE1057" s="34"/>
      <c r="AF1057" s="34"/>
      <c r="AG1057" s="34" t="e">
        <f t="shared" ref="AG1057" si="4526">$Q1058</f>
        <v>#NUM!</v>
      </c>
      <c r="AH1057" s="34">
        <v>-1</v>
      </c>
      <c r="AI1057" s="34" t="e">
        <f t="shared" ref="AI1057" si="4527">-SUMPRODUCT($Q1056:$Q1057,$N$2:$N$3)-SUMPRODUCT($Q1059:$Q1066,$N$5:$N$12)</f>
        <v>#NUM!</v>
      </c>
      <c r="AJ1057" s="34"/>
      <c r="AK1057" s="34"/>
      <c r="AL1057" s="34"/>
      <c r="AM1057" s="34" t="e">
        <f t="shared" ref="AM1057" si="4528">$Q1059</f>
        <v>#NUM!</v>
      </c>
      <c r="AN1057" s="34">
        <v>-1</v>
      </c>
      <c r="AO1057" s="34" t="e">
        <f t="shared" ref="AO1057" si="4529">-SUMPRODUCT($Q1056:$Q1058,$N$2:$N$4)-SUMPRODUCT($Q1060:$Q1066,$N$6:$N$12)</f>
        <v>#NUM!</v>
      </c>
      <c r="AP1057" s="34"/>
      <c r="AQ1057" s="34"/>
      <c r="AR1057" s="34"/>
      <c r="AS1057" s="34" t="e">
        <f t="shared" ref="AS1057" si="4530">$Q1060</f>
        <v>#NUM!</v>
      </c>
      <c r="AT1057" s="34">
        <v>-1</v>
      </c>
      <c r="AU1057" s="34" t="e">
        <f t="shared" ref="AU1057" si="4531">-SUMPRODUCT($Q1056:$Q1059,$N$2:$N$5)-SUMPRODUCT($Q1061:$Q1066,$N$7:$N$12)</f>
        <v>#NUM!</v>
      </c>
      <c r="AV1057" s="34"/>
      <c r="AW1057" s="34"/>
      <c r="AX1057" s="34"/>
      <c r="AY1057" s="34" t="e">
        <f t="shared" ref="AY1057" si="4532">$Q1061</f>
        <v>#NUM!</v>
      </c>
      <c r="AZ1057" s="34">
        <v>-1</v>
      </c>
      <c r="BA1057" s="34" t="e">
        <f t="shared" ref="BA1057" si="4533">-SUMPRODUCT($Q1056:$Q1060,$N$2:$N$6)-SUMPRODUCT($Q1062:$Q1066,$N$8:$N$12)</f>
        <v>#NUM!</v>
      </c>
      <c r="BB1057" s="34"/>
      <c r="BC1057" s="34"/>
      <c r="BD1057" s="34"/>
      <c r="BE1057" s="34" t="e">
        <f t="shared" ref="BE1057" si="4534">$Q1062</f>
        <v>#NUM!</v>
      </c>
      <c r="BF1057" s="34">
        <v>-1</v>
      </c>
      <c r="BG1057" s="34" t="e">
        <f t="shared" ref="BG1057" si="4535">-SUMPRODUCT($Q1056:$Q1061,$N$2:$N$7)-SUMPRODUCT($Q1063:$Q1066,$N$9:$N$12)</f>
        <v>#NUM!</v>
      </c>
      <c r="BH1057" s="34"/>
      <c r="BI1057" s="34"/>
      <c r="BJ1057" s="34"/>
      <c r="BK1057" s="34" t="e">
        <f t="shared" ref="BK1057" si="4536">$Q1063</f>
        <v>#NUM!</v>
      </c>
      <c r="BL1057" s="34">
        <v>-1</v>
      </c>
      <c r="BM1057" s="34" t="e">
        <f t="shared" ref="BM1057" si="4537">-SUMPRODUCT($Q1056:$Q1062,$N$2:$N$8)-SUMPRODUCT($Q1064:$Q1066,$N$10:$N$12)</f>
        <v>#NUM!</v>
      </c>
      <c r="BN1057" s="34"/>
      <c r="BO1057" s="34"/>
      <c r="BP1057" s="34"/>
      <c r="BQ1057" s="34" t="e">
        <f t="shared" ref="BQ1057" si="4538">$Q1064</f>
        <v>#NUM!</v>
      </c>
      <c r="BR1057" s="34">
        <v>-1</v>
      </c>
      <c r="BS1057" s="34" t="e">
        <f t="shared" ref="BS1057" si="4539">-SUMPRODUCT($Q1056:$Q1063,$N$2:$N$9)-SUMPRODUCT($Q1065:$Q1066,$N$11:$N$12)</f>
        <v>#NUM!</v>
      </c>
      <c r="BT1057" s="34"/>
      <c r="BU1057" s="34"/>
      <c r="BV1057" s="34"/>
      <c r="BW1057" s="34" t="e">
        <f t="shared" ref="BW1057" si="4540">$Q1065</f>
        <v>#NUM!</v>
      </c>
      <c r="BX1057" s="34">
        <v>-1</v>
      </c>
      <c r="BY1057" s="34" t="e">
        <f t="shared" ref="BY1057" si="4541">-SUMPRODUCT($Q1056:$Q1064,$N$2:$N$10)-SUMPRODUCT($Q1066,$N$12)</f>
        <v>#NUM!</v>
      </c>
      <c r="BZ1057" s="34"/>
      <c r="CA1057" s="34"/>
      <c r="CB1057" s="34"/>
      <c r="CC1057" s="34" t="e">
        <f t="shared" ref="CC1057" si="4542">$Q1066</f>
        <v>#NUM!</v>
      </c>
      <c r="CD1057" s="34">
        <v>-1</v>
      </c>
      <c r="CE1057" s="34" t="e">
        <f t="shared" ref="CE1057" si="4543">-SUMPRODUCT($Q1056:$Q1065,$N$2:$N$11)</f>
        <v>#NUM!</v>
      </c>
      <c r="CF1057" s="34"/>
      <c r="CG1057" s="34"/>
      <c r="CH1057" s="34"/>
      <c r="CI1057" s="8"/>
    </row>
    <row r="1058" spans="1:87" x14ac:dyDescent="0.2">
      <c r="A1058" s="8" t="str">
        <f>IF(AND(COUNTIF(W$3:W$13,A$17)&gt;0,A$17&lt;&gt;B1054),A$17,IFERROR(IF(MATCH(A$17,Z$3:Z$13,0)=1,A$17," ")," "))</f>
        <v>C3</v>
      </c>
      <c r="B1058" s="8">
        <f>IF(A1058=" "," ",MAX(B1056:B1057)+1)</f>
        <v>2</v>
      </c>
      <c r="C1058" s="8" t="str">
        <f>IFERROR(INDEX(A1056:A1077,MATCH(SMALL(B1056:B1077,3),B1056:B1077,0),1)," ")</f>
        <v>C4</v>
      </c>
      <c r="D1058" s="8">
        <f t="shared" si="4509"/>
        <v>1</v>
      </c>
      <c r="E1058" s="8">
        <f t="shared" si="4510"/>
        <v>0</v>
      </c>
      <c r="F1058" s="8">
        <f t="shared" si="4511"/>
        <v>1</v>
      </c>
      <c r="G1058" s="8">
        <f t="shared" si="4512"/>
        <v>0</v>
      </c>
      <c r="H1058" s="8">
        <f t="shared" si="4513"/>
        <v>0</v>
      </c>
      <c r="I1058" s="8">
        <f t="shared" si="4514"/>
        <v>0</v>
      </c>
      <c r="J1058" s="8">
        <f t="shared" si="4515"/>
        <v>0</v>
      </c>
      <c r="K1058" s="8">
        <f t="shared" si="4516"/>
        <v>0</v>
      </c>
      <c r="L1058" s="8">
        <f t="shared" si="4517"/>
        <v>0</v>
      </c>
      <c r="M1058" s="8">
        <f t="shared" si="4518"/>
        <v>0</v>
      </c>
      <c r="N1058" s="8">
        <f t="shared" si="4519"/>
        <v>0</v>
      </c>
      <c r="O1058" s="8">
        <f t="shared" si="4520"/>
        <v>400</v>
      </c>
      <c r="P1058" s="8" t="e">
        <v>#NUM!</v>
      </c>
      <c r="Q1058" s="8" t="e">
        <f t="shared" ref="Q1058" si="4544">IF(COUNTIF(P1056:P1066,"&lt;"&amp;-0.001)=0,IF(ABS(P1058)&lt;0.001,0,P1058)," ")</f>
        <v>#NUM!</v>
      </c>
      <c r="R1058" s="8"/>
      <c r="S1058" s="8"/>
      <c r="U1058" s="34"/>
      <c r="V1058" s="34"/>
      <c r="W1058" s="34"/>
      <c r="X1058" s="34"/>
      <c r="Y1058" s="34"/>
      <c r="Z1058" s="34"/>
      <c r="AA1058" s="34"/>
      <c r="AB1058" s="34"/>
      <c r="AC1058" s="34"/>
      <c r="AD1058" s="34"/>
      <c r="AE1058" s="34"/>
      <c r="AF1058" s="34"/>
      <c r="AG1058" s="34"/>
      <c r="AH1058" s="34"/>
      <c r="AI1058" s="34"/>
      <c r="AJ1058" s="34"/>
      <c r="AK1058" s="34"/>
      <c r="AL1058" s="34"/>
      <c r="AM1058" s="34"/>
      <c r="AN1058" s="34"/>
      <c r="AO1058" s="34"/>
      <c r="AP1058" s="34"/>
      <c r="AQ1058" s="34"/>
      <c r="AR1058" s="34"/>
      <c r="AS1058" s="34"/>
      <c r="AT1058" s="34"/>
      <c r="AU1058" s="34"/>
      <c r="AV1058" s="34"/>
      <c r="AW1058" s="34"/>
      <c r="AX1058" s="34"/>
      <c r="AY1058" s="34"/>
      <c r="AZ1058" s="34"/>
      <c r="BA1058" s="34"/>
      <c r="BB1058" s="34"/>
      <c r="BC1058" s="34"/>
      <c r="BD1058" s="34"/>
      <c r="BE1058" s="34"/>
      <c r="BF1058" s="34"/>
      <c r="BG1058" s="34"/>
      <c r="BH1058" s="34"/>
      <c r="BI1058" s="34"/>
      <c r="BJ1058" s="34"/>
      <c r="BK1058" s="34"/>
      <c r="BL1058" s="34"/>
      <c r="BM1058" s="34"/>
      <c r="BN1058" s="34"/>
      <c r="BO1058" s="34"/>
      <c r="BP1058" s="34"/>
      <c r="BQ1058" s="34"/>
      <c r="BR1058" s="34"/>
      <c r="BS1058" s="34"/>
      <c r="BT1058" s="34"/>
      <c r="BU1058" s="34"/>
      <c r="BV1058" s="34"/>
      <c r="BW1058" s="34"/>
      <c r="BX1058" s="34"/>
      <c r="BY1058" s="34"/>
      <c r="BZ1058" s="34"/>
      <c r="CA1058" s="34"/>
      <c r="CB1058" s="34"/>
      <c r="CC1058" s="34"/>
      <c r="CD1058" s="34"/>
      <c r="CE1058" s="34"/>
      <c r="CF1058" s="34"/>
      <c r="CG1058" s="34"/>
      <c r="CH1058" s="34"/>
      <c r="CI1058" s="8"/>
    </row>
    <row r="1059" spans="1:87" x14ac:dyDescent="0.2">
      <c r="A1059" s="8" t="str">
        <f>IF(AND(COUNTIF(W$3:W$13,A$18)&gt;0,A$18&lt;&gt;B1054),A$18,IFERROR(IF(MATCH(A$18,Z$3:Z$13,0)=1,A$18," ")," "))</f>
        <v>C4</v>
      </c>
      <c r="B1059" s="8">
        <f>IF(A1059=" "," ",MAX(B1056:B1058)+1)</f>
        <v>3</v>
      </c>
      <c r="C1059" s="8" t="str">
        <f>IFERROR(INDEX(A1056:A1077,MATCH(SMALL(B1056:B1077,4),B1056:B1077,0),1)," ")</f>
        <v>C13</v>
      </c>
      <c r="D1059" s="8">
        <f t="shared" si="4509"/>
        <v>0</v>
      </c>
      <c r="E1059" s="8">
        <f t="shared" si="4510"/>
        <v>1</v>
      </c>
      <c r="F1059" s="8">
        <f t="shared" si="4511"/>
        <v>0</v>
      </c>
      <c r="G1059" s="8">
        <f t="shared" si="4512"/>
        <v>0</v>
      </c>
      <c r="H1059" s="8">
        <f t="shared" si="4513"/>
        <v>0</v>
      </c>
      <c r="I1059" s="8">
        <f t="shared" si="4514"/>
        <v>0</v>
      </c>
      <c r="J1059" s="8">
        <f t="shared" si="4515"/>
        <v>0</v>
      </c>
      <c r="K1059" s="8">
        <f t="shared" si="4516"/>
        <v>0</v>
      </c>
      <c r="L1059" s="8">
        <f t="shared" si="4517"/>
        <v>0</v>
      </c>
      <c r="M1059" s="8">
        <f t="shared" si="4518"/>
        <v>0</v>
      </c>
      <c r="N1059" s="8">
        <f t="shared" si="4519"/>
        <v>0</v>
      </c>
      <c r="O1059" s="8">
        <f t="shared" si="4520"/>
        <v>0</v>
      </c>
      <c r="P1059" s="8" t="e">
        <v>#NUM!</v>
      </c>
      <c r="Q1059" s="8" t="e">
        <f t="shared" ref="Q1059" si="4545">IF(COUNTIF(P1056:P1066,"&lt;"&amp;-0.001)=0,IF(ABS(P1059)&lt;0.001,0,P1059)," ")</f>
        <v>#NUM!</v>
      </c>
      <c r="R1059" s="8"/>
      <c r="S1059" s="8"/>
      <c r="U1059" s="34"/>
      <c r="V1059" s="34"/>
      <c r="W1059" s="34"/>
      <c r="X1059" s="34"/>
      <c r="Y1059" s="34"/>
      <c r="Z1059" s="34"/>
      <c r="AA1059" s="34"/>
      <c r="AB1059" s="34"/>
      <c r="AC1059" s="34"/>
      <c r="AD1059" s="34"/>
      <c r="AE1059" s="34"/>
      <c r="AF1059" s="34"/>
      <c r="AG1059" s="34"/>
      <c r="AH1059" s="34"/>
      <c r="AI1059" s="34"/>
      <c r="AJ1059" s="34"/>
      <c r="AK1059" s="34"/>
      <c r="AL1059" s="34"/>
      <c r="AM1059" s="34"/>
      <c r="AN1059" s="34"/>
      <c r="AO1059" s="34"/>
      <c r="AP1059" s="34"/>
      <c r="AQ1059" s="34"/>
      <c r="AR1059" s="34"/>
      <c r="AS1059" s="34"/>
      <c r="AT1059" s="34"/>
      <c r="AU1059" s="34"/>
      <c r="AV1059" s="34"/>
      <c r="AW1059" s="34"/>
      <c r="AX1059" s="34"/>
      <c r="AY1059" s="34"/>
      <c r="AZ1059" s="34"/>
      <c r="BA1059" s="34"/>
      <c r="BB1059" s="34"/>
      <c r="BC1059" s="34"/>
      <c r="BD1059" s="34"/>
      <c r="BE1059" s="34"/>
      <c r="BF1059" s="34"/>
      <c r="BG1059" s="34"/>
      <c r="BH1059" s="34"/>
      <c r="BI1059" s="34"/>
      <c r="BJ1059" s="34"/>
      <c r="BK1059" s="34"/>
      <c r="BL1059" s="34"/>
      <c r="BM1059" s="34"/>
      <c r="BN1059" s="34"/>
      <c r="BO1059" s="34"/>
      <c r="BP1059" s="34"/>
      <c r="BQ1059" s="34"/>
      <c r="BR1059" s="34"/>
      <c r="BS1059" s="34"/>
      <c r="BT1059" s="34"/>
      <c r="BU1059" s="34"/>
      <c r="BV1059" s="34"/>
      <c r="BW1059" s="34"/>
      <c r="BX1059" s="34"/>
      <c r="BY1059" s="34"/>
      <c r="BZ1059" s="34"/>
      <c r="CA1059" s="34"/>
      <c r="CB1059" s="34"/>
      <c r="CC1059" s="34"/>
      <c r="CD1059" s="34"/>
      <c r="CE1059" s="34"/>
      <c r="CF1059" s="34"/>
      <c r="CG1059" s="34"/>
      <c r="CH1059" s="34"/>
      <c r="CI1059" s="8"/>
    </row>
    <row r="1060" spans="1:87" x14ac:dyDescent="0.2">
      <c r="A1060" s="8" t="str">
        <f>IF(AND(COUNTIF(W$3:W$13,A$19)&gt;0,A$19&lt;&gt;B1054),A$19,IFERROR(IF(MATCH(A$19,Z$3:Z$13,0)=1,A$19," ")," "))</f>
        <v xml:space="preserve"> </v>
      </c>
      <c r="B1060" s="8" t="str">
        <f>IF(A1060=" "," ",MAX(B1056:B1059)+1)</f>
        <v xml:space="preserve"> </v>
      </c>
      <c r="C1060" s="8" t="str">
        <f>IFERROR(INDEX(A1056:A1077,MATCH(SMALL(B1056:B1077,5),B1056:B1077,0),1)," ")</f>
        <v>C15</v>
      </c>
      <c r="D1060" s="8">
        <f t="shared" si="4509"/>
        <v>0</v>
      </c>
      <c r="E1060" s="8">
        <f t="shared" si="4510"/>
        <v>0</v>
      </c>
      <c r="F1060" s="8">
        <f t="shared" si="4511"/>
        <v>0</v>
      </c>
      <c r="G1060" s="8">
        <f t="shared" si="4512"/>
        <v>1</v>
      </c>
      <c r="H1060" s="8">
        <f t="shared" si="4513"/>
        <v>0</v>
      </c>
      <c r="I1060" s="8">
        <f t="shared" si="4514"/>
        <v>0</v>
      </c>
      <c r="J1060" s="8">
        <f t="shared" si="4515"/>
        <v>0</v>
      </c>
      <c r="K1060" s="8">
        <f t="shared" si="4516"/>
        <v>0</v>
      </c>
      <c r="L1060" s="8">
        <f t="shared" si="4517"/>
        <v>0</v>
      </c>
      <c r="M1060" s="8">
        <f t="shared" si="4518"/>
        <v>0</v>
      </c>
      <c r="N1060" s="8">
        <f t="shared" si="4519"/>
        <v>0</v>
      </c>
      <c r="O1060" s="8">
        <f t="shared" si="4520"/>
        <v>0</v>
      </c>
      <c r="P1060" s="8" t="e">
        <v>#NUM!</v>
      </c>
      <c r="Q1060" s="8" t="e">
        <f t="shared" ref="Q1060" si="4546">IF(COUNTIF(P1056:P1066,"&lt;"&amp;-0.001)=0,IF(ABS(P1060)&lt;0.001,0,P1060)," ")</f>
        <v>#NUM!</v>
      </c>
      <c r="R1060" s="8"/>
      <c r="S1060" s="8"/>
      <c r="U1060" s="34"/>
      <c r="V1060" s="34"/>
      <c r="W1060" s="34"/>
      <c r="X1060" s="34"/>
      <c r="Y1060" s="34"/>
      <c r="Z1060" s="34"/>
      <c r="AA1060" s="34"/>
      <c r="AB1060" s="34"/>
      <c r="AC1060" s="34"/>
      <c r="AD1060" s="34"/>
      <c r="AE1060" s="34"/>
      <c r="AF1060" s="34"/>
      <c r="AG1060" s="34"/>
      <c r="AH1060" s="34"/>
      <c r="AI1060" s="34"/>
      <c r="AJ1060" s="34"/>
      <c r="AK1060" s="34"/>
      <c r="AL1060" s="34"/>
      <c r="AM1060" s="34"/>
      <c r="AN1060" s="34"/>
      <c r="AO1060" s="34"/>
      <c r="AP1060" s="34"/>
      <c r="AQ1060" s="34"/>
      <c r="AR1060" s="34"/>
      <c r="AS1060" s="34"/>
      <c r="AT1060" s="34"/>
      <c r="AU1060" s="34"/>
      <c r="AV1060" s="34"/>
      <c r="AW1060" s="34"/>
      <c r="AX1060" s="34"/>
      <c r="AY1060" s="34"/>
      <c r="AZ1060" s="34"/>
      <c r="BA1060" s="34"/>
      <c r="BB1060" s="34"/>
      <c r="BC1060" s="34"/>
      <c r="BD1060" s="34"/>
      <c r="BE1060" s="34"/>
      <c r="BF1060" s="34"/>
      <c r="BG1060" s="34"/>
      <c r="BH1060" s="34"/>
      <c r="BI1060" s="34"/>
      <c r="BJ1060" s="34"/>
      <c r="BK1060" s="34"/>
      <c r="BL1060" s="34"/>
      <c r="BM1060" s="34"/>
      <c r="BN1060" s="34"/>
      <c r="BO1060" s="34"/>
      <c r="BP1060" s="34"/>
      <c r="BQ1060" s="34"/>
      <c r="BR1060" s="34"/>
      <c r="BS1060" s="34"/>
      <c r="BT1060" s="34"/>
      <c r="BU1060" s="34"/>
      <c r="BV1060" s="34"/>
      <c r="BW1060" s="34"/>
      <c r="BX1060" s="34"/>
      <c r="BY1060" s="34"/>
      <c r="BZ1060" s="34"/>
      <c r="CA1060" s="34"/>
      <c r="CB1060" s="34"/>
      <c r="CC1060" s="34"/>
      <c r="CD1060" s="34"/>
      <c r="CE1060" s="34"/>
      <c r="CF1060" s="34"/>
      <c r="CG1060" s="34"/>
      <c r="CH1060" s="34"/>
      <c r="CI1060" s="8"/>
    </row>
    <row r="1061" spans="1:87" x14ac:dyDescent="0.2">
      <c r="A1061" s="8" t="str">
        <f>IF(AND(COUNTIF(W$3:W$13,A$20)&gt;0,A$20&lt;&gt;B1054),A$20,IFERROR(IF(MATCH(A$20,Z$3:Z$13,0)=1,A$20," ")," "))</f>
        <v xml:space="preserve"> </v>
      </c>
      <c r="B1061" s="8" t="str">
        <f>IF(A1061=" "," ",MAX(B1056:B1060)+1)</f>
        <v xml:space="preserve"> </v>
      </c>
      <c r="C1061" s="8" t="str">
        <f>IFERROR(INDEX(A1056:A1077,MATCH(SMALL(B1056:B1077,6),B1056:B1077,0),1)," ")</f>
        <v>C17</v>
      </c>
      <c r="D1061" s="8">
        <f t="shared" si="4509"/>
        <v>0</v>
      </c>
      <c r="E1061" s="8">
        <f t="shared" si="4510"/>
        <v>0</v>
      </c>
      <c r="F1061" s="8">
        <f t="shared" si="4511"/>
        <v>0</v>
      </c>
      <c r="G1061" s="8">
        <f t="shared" si="4512"/>
        <v>0</v>
      </c>
      <c r="H1061" s="8">
        <f t="shared" si="4513"/>
        <v>0</v>
      </c>
      <c r="I1061" s="8">
        <f t="shared" si="4514"/>
        <v>1</v>
      </c>
      <c r="J1061" s="8">
        <f t="shared" si="4515"/>
        <v>0</v>
      </c>
      <c r="K1061" s="8">
        <f t="shared" si="4516"/>
        <v>0</v>
      </c>
      <c r="L1061" s="8">
        <f t="shared" si="4517"/>
        <v>0</v>
      </c>
      <c r="M1061" s="8">
        <f t="shared" si="4518"/>
        <v>0</v>
      </c>
      <c r="N1061" s="8">
        <f t="shared" si="4519"/>
        <v>0</v>
      </c>
      <c r="O1061" s="8">
        <f t="shared" si="4520"/>
        <v>0</v>
      </c>
      <c r="P1061" s="8" t="e">
        <v>#NUM!</v>
      </c>
      <c r="Q1061" s="8" t="e">
        <f t="shared" ref="Q1061" si="4547">IF(COUNTIF(P1056:P1066,"&lt;"&amp;-0.001)=0,IF(ABS(P1061)&lt;0.001,0,P1061)," ")</f>
        <v>#NUM!</v>
      </c>
      <c r="R1061" s="8"/>
      <c r="S1061" s="8"/>
      <c r="U1061" s="34"/>
      <c r="V1061" s="34"/>
      <c r="W1061" s="34"/>
      <c r="X1061" s="34"/>
      <c r="Y1061" s="34"/>
      <c r="Z1061" s="34"/>
      <c r="AA1061" s="34"/>
      <c r="AB1061" s="34"/>
      <c r="AC1061" s="34"/>
      <c r="AD1061" s="34"/>
      <c r="AE1061" s="34"/>
      <c r="AF1061" s="34"/>
      <c r="AG1061" s="34"/>
      <c r="AH1061" s="34"/>
      <c r="AI1061" s="34"/>
      <c r="AJ1061" s="34"/>
      <c r="AK1061" s="34"/>
      <c r="AL1061" s="34"/>
      <c r="AM1061" s="34"/>
      <c r="AN1061" s="34"/>
      <c r="AO1061" s="34"/>
      <c r="AP1061" s="34"/>
      <c r="AQ1061" s="34"/>
      <c r="AR1061" s="34"/>
      <c r="AS1061" s="34"/>
      <c r="AT1061" s="34"/>
      <c r="AU1061" s="34"/>
      <c r="AV1061" s="34"/>
      <c r="AW1061" s="34"/>
      <c r="AX1061" s="34"/>
      <c r="AY1061" s="34"/>
      <c r="AZ1061" s="34"/>
      <c r="BA1061" s="34"/>
      <c r="BB1061" s="34"/>
      <c r="BC1061" s="34"/>
      <c r="BD1061" s="34"/>
      <c r="BE1061" s="34"/>
      <c r="BF1061" s="34"/>
      <c r="BG1061" s="34"/>
      <c r="BH1061" s="34"/>
      <c r="BI1061" s="34"/>
      <c r="BJ1061" s="34"/>
      <c r="BK1061" s="34"/>
      <c r="BL1061" s="34"/>
      <c r="BM1061" s="34"/>
      <c r="BN1061" s="34"/>
      <c r="BO1061" s="34"/>
      <c r="BP1061" s="34"/>
      <c r="BQ1061" s="34"/>
      <c r="BR1061" s="34"/>
      <c r="BS1061" s="34"/>
      <c r="BT1061" s="34"/>
      <c r="BU1061" s="34"/>
      <c r="BV1061" s="34"/>
      <c r="BW1061" s="34"/>
      <c r="BX1061" s="34"/>
      <c r="BY1061" s="34"/>
      <c r="BZ1061" s="34"/>
      <c r="CA1061" s="34"/>
      <c r="CB1061" s="34"/>
      <c r="CC1061" s="34"/>
      <c r="CD1061" s="34"/>
      <c r="CE1061" s="34"/>
      <c r="CF1061" s="34"/>
      <c r="CG1061" s="34"/>
      <c r="CH1061" s="34"/>
      <c r="CI1061" s="8"/>
    </row>
    <row r="1062" spans="1:87" x14ac:dyDescent="0.2">
      <c r="A1062" s="8" t="str">
        <f>IF(AND(COUNTIF(W$3:W$13,A$21)&gt;0,A$21&lt;&gt;B1054),A$21,IFERROR(IF(MATCH(A$21,Z$3:Z$13,0)=1,A$21," ")," "))</f>
        <v xml:space="preserve"> </v>
      </c>
      <c r="B1062" s="8" t="str">
        <f>IF(A1062=" "," ",MAX(B1056:B1061)+1)</f>
        <v xml:space="preserve"> </v>
      </c>
      <c r="C1062" s="8" t="str">
        <f>IFERROR(INDEX(A1056:A1077,MATCH(SMALL(B1056:B1077,7),B1056:B1077,0),1)," ")</f>
        <v>C18</v>
      </c>
      <c r="D1062" s="8">
        <f t="shared" si="4509"/>
        <v>0</v>
      </c>
      <c r="E1062" s="8">
        <f t="shared" si="4510"/>
        <v>0</v>
      </c>
      <c r="F1062" s="8">
        <f t="shared" si="4511"/>
        <v>0</v>
      </c>
      <c r="G1062" s="8">
        <f t="shared" si="4512"/>
        <v>0</v>
      </c>
      <c r="H1062" s="8">
        <f t="shared" si="4513"/>
        <v>0</v>
      </c>
      <c r="I1062" s="8">
        <f t="shared" si="4514"/>
        <v>0</v>
      </c>
      <c r="J1062" s="8">
        <f t="shared" si="4515"/>
        <v>1</v>
      </c>
      <c r="K1062" s="8">
        <f t="shared" si="4516"/>
        <v>0</v>
      </c>
      <c r="L1062" s="8">
        <f t="shared" si="4517"/>
        <v>0</v>
      </c>
      <c r="M1062" s="8">
        <f t="shared" si="4518"/>
        <v>0</v>
      </c>
      <c r="N1062" s="8">
        <f t="shared" si="4519"/>
        <v>0</v>
      </c>
      <c r="O1062" s="8">
        <f t="shared" si="4520"/>
        <v>0</v>
      </c>
      <c r="P1062" s="8" t="e">
        <v>#NUM!</v>
      </c>
      <c r="Q1062" s="8" t="e">
        <f t="shared" ref="Q1062" si="4548">IF(COUNTIF(P1056:P1066,"&lt;"&amp;-0.001)=0,IF(ABS(P1062)&lt;0.001,0,P1062)," ")</f>
        <v>#NUM!</v>
      </c>
      <c r="R1062" s="8"/>
      <c r="S1062" s="8"/>
      <c r="U1062" s="34"/>
      <c r="V1062" s="34"/>
      <c r="W1062" s="34"/>
      <c r="X1062" s="34"/>
      <c r="Y1062" s="34"/>
      <c r="Z1062" s="34"/>
      <c r="AA1062" s="34"/>
      <c r="AB1062" s="34"/>
      <c r="AC1062" s="34"/>
      <c r="AD1062" s="34"/>
      <c r="AE1062" s="34"/>
      <c r="AF1062" s="34"/>
      <c r="AG1062" s="34"/>
      <c r="AH1062" s="34"/>
      <c r="AI1062" s="34"/>
      <c r="AJ1062" s="34"/>
      <c r="AK1062" s="34"/>
      <c r="AL1062" s="34"/>
      <c r="AM1062" s="34"/>
      <c r="AN1062" s="34"/>
      <c r="AO1062" s="34"/>
      <c r="AP1062" s="34"/>
      <c r="AQ1062" s="34"/>
      <c r="AR1062" s="34"/>
      <c r="AS1062" s="34"/>
      <c r="AT1062" s="34"/>
      <c r="AU1062" s="34"/>
      <c r="AV1062" s="34"/>
      <c r="AW1062" s="34"/>
      <c r="AX1062" s="34"/>
      <c r="AY1062" s="34"/>
      <c r="AZ1062" s="34"/>
      <c r="BA1062" s="34"/>
      <c r="BB1062" s="34"/>
      <c r="BC1062" s="34"/>
      <c r="BD1062" s="34"/>
      <c r="BE1062" s="34"/>
      <c r="BF1062" s="34"/>
      <c r="BG1062" s="34"/>
      <c r="BH1062" s="34"/>
      <c r="BI1062" s="34"/>
      <c r="BJ1062" s="34"/>
      <c r="BK1062" s="34"/>
      <c r="BL1062" s="34"/>
      <c r="BM1062" s="34"/>
      <c r="BN1062" s="34"/>
      <c r="BO1062" s="34"/>
      <c r="BP1062" s="34"/>
      <c r="BQ1062" s="34"/>
      <c r="BR1062" s="34"/>
      <c r="BS1062" s="34"/>
      <c r="BT1062" s="34"/>
      <c r="BU1062" s="34"/>
      <c r="BV1062" s="34"/>
      <c r="BW1062" s="34"/>
      <c r="BX1062" s="34"/>
      <c r="BY1062" s="34"/>
      <c r="BZ1062" s="34"/>
      <c r="CA1062" s="34"/>
      <c r="CB1062" s="34"/>
      <c r="CC1062" s="34"/>
      <c r="CD1062" s="34"/>
      <c r="CE1062" s="34"/>
      <c r="CF1062" s="34"/>
      <c r="CG1062" s="34"/>
      <c r="CH1062" s="34"/>
      <c r="CI1062" s="8"/>
    </row>
    <row r="1063" spans="1:87" x14ac:dyDescent="0.2">
      <c r="A1063" s="8" t="str">
        <f>IF(AND(COUNTIF(W$3:W$13,A$22)&gt;0,A$22&lt;&gt;B1054),A$22,IFERROR(IF(MATCH(A$22,Z$3:Z$13,0)=1,A$22," ")," "))</f>
        <v xml:space="preserve"> </v>
      </c>
      <c r="B1063" s="8" t="str">
        <f>IF(A1063=" "," ",MAX(B1056:B1062)+1)</f>
        <v xml:space="preserve"> </v>
      </c>
      <c r="C1063" s="8" t="str">
        <f>IFERROR(INDEX(A1056:A1077,MATCH(SMALL(B1056:B1077,8),B1056:B1077,0),1)," ")</f>
        <v>C19</v>
      </c>
      <c r="D1063" s="8">
        <f t="shared" si="4509"/>
        <v>0</v>
      </c>
      <c r="E1063" s="8">
        <f t="shared" si="4510"/>
        <v>0</v>
      </c>
      <c r="F1063" s="8">
        <f t="shared" si="4511"/>
        <v>0</v>
      </c>
      <c r="G1063" s="8">
        <f t="shared" si="4512"/>
        <v>0</v>
      </c>
      <c r="H1063" s="8">
        <f t="shared" si="4513"/>
        <v>0</v>
      </c>
      <c r="I1063" s="8">
        <f t="shared" si="4514"/>
        <v>0</v>
      </c>
      <c r="J1063" s="8">
        <f t="shared" si="4515"/>
        <v>0</v>
      </c>
      <c r="K1063" s="8">
        <f t="shared" si="4516"/>
        <v>1</v>
      </c>
      <c r="L1063" s="8">
        <f t="shared" si="4517"/>
        <v>0</v>
      </c>
      <c r="M1063" s="8">
        <f t="shared" si="4518"/>
        <v>0</v>
      </c>
      <c r="N1063" s="8">
        <f t="shared" si="4519"/>
        <v>0</v>
      </c>
      <c r="O1063" s="8">
        <f t="shared" si="4520"/>
        <v>0</v>
      </c>
      <c r="P1063" s="8" t="e">
        <v>#NUM!</v>
      </c>
      <c r="Q1063" s="8" t="e">
        <f t="shared" ref="Q1063" si="4549">IF(COUNTIF(P1056:P1066,"&lt;"&amp;-0.001)=0,IF(ABS(P1063)&lt;0.001,0,P1063)," ")</f>
        <v>#NUM!</v>
      </c>
      <c r="R1063" s="8"/>
      <c r="S1063" s="8"/>
      <c r="U1063" s="34"/>
      <c r="V1063" s="34"/>
      <c r="W1063" s="34"/>
      <c r="X1063" s="34"/>
      <c r="Y1063" s="34"/>
      <c r="Z1063" s="34"/>
      <c r="AA1063" s="34"/>
      <c r="AB1063" s="34"/>
      <c r="AC1063" s="34"/>
      <c r="AD1063" s="34"/>
      <c r="AE1063" s="34"/>
      <c r="AF1063" s="34"/>
      <c r="AG1063" s="34"/>
      <c r="AH1063" s="34"/>
      <c r="AI1063" s="34"/>
      <c r="AJ1063" s="34"/>
      <c r="AK1063" s="34"/>
      <c r="AL1063" s="34"/>
      <c r="AM1063" s="34"/>
      <c r="AN1063" s="34"/>
      <c r="AO1063" s="34"/>
      <c r="AP1063" s="34"/>
      <c r="AQ1063" s="34"/>
      <c r="AR1063" s="34"/>
      <c r="AS1063" s="34"/>
      <c r="AT1063" s="34"/>
      <c r="AU1063" s="34"/>
      <c r="AV1063" s="34"/>
      <c r="AW1063" s="34"/>
      <c r="AX1063" s="34"/>
      <c r="AY1063" s="34"/>
      <c r="AZ1063" s="34"/>
      <c r="BA1063" s="34"/>
      <c r="BB1063" s="34"/>
      <c r="BC1063" s="34"/>
      <c r="BD1063" s="34"/>
      <c r="BE1063" s="34"/>
      <c r="BF1063" s="34"/>
      <c r="BG1063" s="34"/>
      <c r="BH1063" s="34"/>
      <c r="BI1063" s="34"/>
      <c r="BJ1063" s="34"/>
      <c r="BK1063" s="34"/>
      <c r="BL1063" s="34"/>
      <c r="BM1063" s="34"/>
      <c r="BN1063" s="34"/>
      <c r="BO1063" s="34"/>
      <c r="BP1063" s="34"/>
      <c r="BQ1063" s="34"/>
      <c r="BR1063" s="34"/>
      <c r="BS1063" s="34"/>
      <c r="BT1063" s="34"/>
      <c r="BU1063" s="34"/>
      <c r="BV1063" s="34"/>
      <c r="BW1063" s="34"/>
      <c r="BX1063" s="34"/>
      <c r="BY1063" s="34"/>
      <c r="BZ1063" s="34"/>
      <c r="CA1063" s="34"/>
      <c r="CB1063" s="34"/>
      <c r="CC1063" s="34"/>
      <c r="CD1063" s="34"/>
      <c r="CE1063" s="34"/>
      <c r="CF1063" s="34"/>
      <c r="CG1063" s="34"/>
      <c r="CH1063" s="34"/>
      <c r="CI1063" s="8"/>
    </row>
    <row r="1064" spans="1:87" x14ac:dyDescent="0.2">
      <c r="A1064" s="8" t="str">
        <f>IF(AND(COUNTIF(W$3:W$13,A$23)&gt;0,A$23&lt;&gt;B1054),A$23,IFERROR(IF(MATCH(A$23,Z$3:Z$13,0)=1,A$23," ")," "))</f>
        <v xml:space="preserve"> </v>
      </c>
      <c r="B1064" s="8" t="str">
        <f>IF(A1064=" "," ",MAX(B1056:B1063)+1)</f>
        <v xml:space="preserve"> </v>
      </c>
      <c r="C1064" s="8" t="str">
        <f>IFERROR(INDEX(A1056:A1077,MATCH(SMALL(B1056:B1077,9),B1056:B1077,0),1)," ")</f>
        <v>C20</v>
      </c>
      <c r="D1064" s="8">
        <f t="shared" si="4509"/>
        <v>0</v>
      </c>
      <c r="E1064" s="8">
        <f t="shared" si="4510"/>
        <v>0</v>
      </c>
      <c r="F1064" s="8">
        <f t="shared" si="4511"/>
        <v>0</v>
      </c>
      <c r="G1064" s="8">
        <f t="shared" si="4512"/>
        <v>0</v>
      </c>
      <c r="H1064" s="8">
        <f t="shared" si="4513"/>
        <v>0</v>
      </c>
      <c r="I1064" s="8">
        <f t="shared" si="4514"/>
        <v>0</v>
      </c>
      <c r="J1064" s="8">
        <f t="shared" si="4515"/>
        <v>0</v>
      </c>
      <c r="K1064" s="8">
        <f t="shared" si="4516"/>
        <v>0</v>
      </c>
      <c r="L1064" s="8">
        <f t="shared" si="4517"/>
        <v>1</v>
      </c>
      <c r="M1064" s="8">
        <f t="shared" si="4518"/>
        <v>0</v>
      </c>
      <c r="N1064" s="8">
        <f t="shared" si="4519"/>
        <v>0</v>
      </c>
      <c r="O1064" s="8">
        <f t="shared" si="4520"/>
        <v>0</v>
      </c>
      <c r="P1064" s="6" t="e">
        <v>#NUM!</v>
      </c>
      <c r="Q1064" s="8" t="e">
        <f t="shared" ref="Q1064" si="4550">IF(COUNTIF(P1056:P1066,"&lt;"&amp;-0.001)=0,IF(ABS(P1064)&lt;0.001,0,P1064)," ")</f>
        <v>#NUM!</v>
      </c>
      <c r="R1064" s="8"/>
      <c r="S1064" s="8"/>
      <c r="U1064" s="34"/>
      <c r="V1064" s="34"/>
      <c r="W1064" s="34"/>
      <c r="X1064" s="34"/>
      <c r="Y1064" s="34"/>
      <c r="Z1064" s="34"/>
      <c r="AA1064" s="34"/>
      <c r="AB1064" s="34"/>
      <c r="AC1064" s="34"/>
      <c r="AD1064" s="34"/>
      <c r="AE1064" s="34"/>
      <c r="AF1064" s="34"/>
      <c r="AG1064" s="34"/>
      <c r="AH1064" s="34"/>
      <c r="AI1064" s="34"/>
      <c r="AJ1064" s="34"/>
      <c r="AK1064" s="34"/>
      <c r="AL1064" s="34"/>
      <c r="AM1064" s="34"/>
      <c r="AN1064" s="34"/>
      <c r="AO1064" s="34"/>
      <c r="AP1064" s="34"/>
      <c r="AQ1064" s="34"/>
      <c r="AR1064" s="34"/>
      <c r="AS1064" s="34"/>
      <c r="AT1064" s="34"/>
      <c r="AU1064" s="34"/>
      <c r="AV1064" s="34"/>
      <c r="AW1064" s="34"/>
      <c r="AX1064" s="34"/>
      <c r="AY1064" s="34"/>
      <c r="AZ1064" s="34"/>
      <c r="BA1064" s="34"/>
      <c r="BB1064" s="34"/>
      <c r="BC1064" s="34"/>
      <c r="BD1064" s="34"/>
      <c r="BE1064" s="34"/>
      <c r="BF1064" s="34"/>
      <c r="BG1064" s="34"/>
      <c r="BH1064" s="34"/>
      <c r="BI1064" s="34"/>
      <c r="BJ1064" s="34"/>
      <c r="BK1064" s="34"/>
      <c r="BL1064" s="34"/>
      <c r="BM1064" s="34"/>
      <c r="BN1064" s="34"/>
      <c r="BO1064" s="34"/>
      <c r="BP1064" s="34"/>
      <c r="BQ1064" s="34"/>
      <c r="BR1064" s="34"/>
      <c r="BS1064" s="34"/>
      <c r="BT1064" s="34"/>
      <c r="BU1064" s="34"/>
      <c r="BV1064" s="34"/>
      <c r="BW1064" s="34"/>
      <c r="BX1064" s="34"/>
      <c r="BY1064" s="34"/>
      <c r="BZ1064" s="34"/>
      <c r="CA1064" s="34"/>
      <c r="CB1064" s="34"/>
      <c r="CC1064" s="34"/>
      <c r="CD1064" s="34"/>
      <c r="CE1064" s="34"/>
      <c r="CF1064" s="34"/>
      <c r="CG1064" s="34"/>
      <c r="CH1064" s="34"/>
      <c r="CI1064" s="8"/>
    </row>
    <row r="1065" spans="1:87" x14ac:dyDescent="0.2">
      <c r="A1065" s="8" t="str">
        <f>IF(AND(COUNTIF(W$3:W$13,A$24)&gt;0,A$24&lt;&gt;B1054),A$24,IFERROR(IF(MATCH(A$24,Z$3:Z$13,0)=1,A$24," ")," "))</f>
        <v xml:space="preserve"> </v>
      </c>
      <c r="B1065" s="8" t="str">
        <f>IF(A1065=" "," ",MAX(B1056:B1064)+1)</f>
        <v xml:space="preserve"> </v>
      </c>
      <c r="C1065" s="8" t="str">
        <f>IFERROR(INDEX(A1056:A1077,MATCH(SMALL(B1056:B1077,10),B1056:B1077,0),1)," ")</f>
        <v>C21</v>
      </c>
      <c r="D1065" s="8">
        <f t="shared" si="4509"/>
        <v>0</v>
      </c>
      <c r="E1065" s="8">
        <f t="shared" si="4510"/>
        <v>0</v>
      </c>
      <c r="F1065" s="8">
        <f t="shared" si="4511"/>
        <v>0</v>
      </c>
      <c r="G1065" s="8">
        <f t="shared" si="4512"/>
        <v>0</v>
      </c>
      <c r="H1065" s="8">
        <f t="shared" si="4513"/>
        <v>0</v>
      </c>
      <c r="I1065" s="8">
        <f t="shared" si="4514"/>
        <v>0</v>
      </c>
      <c r="J1065" s="8">
        <f t="shared" si="4515"/>
        <v>0</v>
      </c>
      <c r="K1065" s="8">
        <f t="shared" si="4516"/>
        <v>0</v>
      </c>
      <c r="L1065" s="8">
        <f t="shared" si="4517"/>
        <v>0</v>
      </c>
      <c r="M1065" s="8">
        <f t="shared" si="4518"/>
        <v>1</v>
      </c>
      <c r="N1065" s="8">
        <f t="shared" si="4519"/>
        <v>0</v>
      </c>
      <c r="O1065" s="8">
        <f t="shared" si="4520"/>
        <v>0</v>
      </c>
      <c r="P1065" s="8" t="e">
        <v>#NUM!</v>
      </c>
      <c r="Q1065" s="8" t="e">
        <f t="shared" ref="Q1065" si="4551">IF(COUNTIF(P1056:P1066,"&lt;"&amp;-0.001)=0,IF(ABS(P1065)&lt;0.001,0,P1065)," ")</f>
        <v>#NUM!</v>
      </c>
      <c r="R1065" s="8"/>
      <c r="S1065" s="8"/>
      <c r="U1065" s="34"/>
      <c r="V1065" s="34"/>
      <c r="W1065" s="34"/>
      <c r="X1065" s="34"/>
      <c r="Y1065" s="34"/>
      <c r="Z1065" s="34"/>
      <c r="AA1065" s="34"/>
      <c r="AB1065" s="34"/>
      <c r="AC1065" s="34"/>
      <c r="AD1065" s="34"/>
      <c r="AE1065" s="34"/>
      <c r="AF1065" s="34"/>
      <c r="AG1065" s="34"/>
      <c r="AH1065" s="34"/>
      <c r="AI1065" s="34"/>
      <c r="AJ1065" s="34"/>
      <c r="AK1065" s="34"/>
      <c r="AL1065" s="34"/>
      <c r="AM1065" s="34"/>
      <c r="AN1065" s="34"/>
      <c r="AO1065" s="34"/>
      <c r="AP1065" s="34"/>
      <c r="AQ1065" s="34"/>
      <c r="AR1065" s="34"/>
      <c r="AS1065" s="34"/>
      <c r="AT1065" s="34"/>
      <c r="AU1065" s="34"/>
      <c r="AV1065" s="34"/>
      <c r="AW1065" s="34"/>
      <c r="AX1065" s="34"/>
      <c r="AY1065" s="34"/>
      <c r="AZ1065" s="34"/>
      <c r="BA1065" s="34"/>
      <c r="BB1065" s="34"/>
      <c r="BC1065" s="34"/>
      <c r="BD1065" s="34"/>
      <c r="BE1065" s="34"/>
      <c r="BF1065" s="34"/>
      <c r="BG1065" s="34"/>
      <c r="BH1065" s="34"/>
      <c r="BI1065" s="34"/>
      <c r="BJ1065" s="34"/>
      <c r="BK1065" s="34"/>
      <c r="BL1065" s="34"/>
      <c r="BM1065" s="34"/>
      <c r="BN1065" s="34"/>
      <c r="BO1065" s="34"/>
      <c r="BP1065" s="34"/>
      <c r="BQ1065" s="34"/>
      <c r="BR1065" s="34"/>
      <c r="BS1065" s="34"/>
      <c r="BT1065" s="34"/>
      <c r="BU1065" s="34"/>
      <c r="BV1065" s="34"/>
      <c r="BW1065" s="34"/>
      <c r="BX1065" s="34"/>
      <c r="BY1065" s="34"/>
      <c r="BZ1065" s="34"/>
      <c r="CA1065" s="34"/>
      <c r="CB1065" s="34"/>
      <c r="CC1065" s="34"/>
      <c r="CD1065" s="34"/>
      <c r="CE1065" s="34"/>
      <c r="CF1065" s="34"/>
      <c r="CG1065" s="34"/>
      <c r="CH1065" s="34"/>
      <c r="CI1065" s="8"/>
    </row>
    <row r="1066" spans="1:87" x14ac:dyDescent="0.2">
      <c r="A1066" s="8" t="str">
        <f>IF(AND(COUNTIF(W$3:W$13,A$25)&gt;0,A$25&lt;&gt;B1054),A$25,IFERROR(IF(MATCH(A$25,Z$3:Z$13,0)=1,A$25," ")," "))</f>
        <v xml:space="preserve"> </v>
      </c>
      <c r="B1066" s="8" t="str">
        <f>IF(A1066=" "," ",MAX(B1056:B1065)+1)</f>
        <v xml:space="preserve"> </v>
      </c>
      <c r="C1066" s="8" t="str">
        <f>IFERROR(INDEX(A1056:A1077,MATCH(SMALL(B1056:B1077,11),B1056:B1077,0),1)," ")</f>
        <v>C22</v>
      </c>
      <c r="D1066" s="8">
        <f t="shared" si="4509"/>
        <v>0</v>
      </c>
      <c r="E1066" s="8">
        <f t="shared" si="4510"/>
        <v>0</v>
      </c>
      <c r="F1066" s="8">
        <f t="shared" si="4511"/>
        <v>0</v>
      </c>
      <c r="G1066" s="8">
        <f t="shared" si="4512"/>
        <v>0</v>
      </c>
      <c r="H1066" s="8">
        <f t="shared" si="4513"/>
        <v>0</v>
      </c>
      <c r="I1066" s="8">
        <f t="shared" si="4514"/>
        <v>0</v>
      </c>
      <c r="J1066" s="8">
        <f t="shared" si="4515"/>
        <v>0</v>
      </c>
      <c r="K1066" s="8">
        <f t="shared" si="4516"/>
        <v>0</v>
      </c>
      <c r="L1066" s="8">
        <f t="shared" si="4517"/>
        <v>0</v>
      </c>
      <c r="M1066" s="8">
        <f t="shared" si="4518"/>
        <v>0</v>
      </c>
      <c r="N1066" s="8">
        <f t="shared" si="4519"/>
        <v>1</v>
      </c>
      <c r="O1066" s="8">
        <f t="shared" si="4520"/>
        <v>0</v>
      </c>
      <c r="P1066" s="8" t="e">
        <v>#NUM!</v>
      </c>
      <c r="Q1066" s="8" t="e">
        <f t="shared" ref="Q1066" si="4552">IF(COUNTIF(P1056:P1066,"&lt;"&amp;-0.001)=0,IF(ABS(P1066)&lt;0.001,0,P1066)," ")</f>
        <v>#NUM!</v>
      </c>
      <c r="R1066" s="8"/>
      <c r="S1066" s="8"/>
      <c r="U1066" s="34"/>
      <c r="V1066" s="34"/>
      <c r="W1066" s="34"/>
      <c r="X1066" s="34"/>
      <c r="Y1066" s="34"/>
      <c r="Z1066" s="34"/>
      <c r="AA1066" s="34"/>
      <c r="AB1066" s="34"/>
      <c r="AC1066" s="34"/>
      <c r="AD1066" s="34"/>
      <c r="AE1066" s="34"/>
      <c r="AF1066" s="34"/>
      <c r="AG1066" s="34"/>
      <c r="AH1066" s="34"/>
      <c r="AI1066" s="34"/>
      <c r="AJ1066" s="34"/>
      <c r="AK1066" s="34"/>
      <c r="AL1066" s="34"/>
      <c r="AM1066" s="34"/>
      <c r="AN1066" s="34"/>
      <c r="AO1066" s="34"/>
      <c r="AP1066" s="34"/>
      <c r="AQ1066" s="34"/>
      <c r="AR1066" s="34"/>
      <c r="AS1066" s="34"/>
      <c r="AT1066" s="34"/>
      <c r="AU1066" s="34"/>
      <c r="AV1066" s="34"/>
      <c r="AW1066" s="34"/>
      <c r="AX1066" s="34"/>
      <c r="AY1066" s="34"/>
      <c r="AZ1066" s="34"/>
      <c r="BA1066" s="34"/>
      <c r="BB1066" s="34"/>
      <c r="BC1066" s="34"/>
      <c r="BD1066" s="34"/>
      <c r="BE1066" s="34"/>
      <c r="BF1066" s="34"/>
      <c r="BG1066" s="34"/>
      <c r="BH1066" s="34"/>
      <c r="BI1066" s="34"/>
      <c r="BJ1066" s="34"/>
      <c r="BK1066" s="34"/>
      <c r="BL1066" s="34"/>
      <c r="BM1066" s="34"/>
      <c r="BN1066" s="34"/>
      <c r="BO1066" s="34"/>
      <c r="BP1066" s="34"/>
      <c r="BQ1066" s="34"/>
      <c r="BR1066" s="34"/>
      <c r="BS1066" s="34"/>
      <c r="BT1066" s="34"/>
      <c r="BU1066" s="34"/>
      <c r="BV1066" s="34"/>
      <c r="BW1066" s="34"/>
      <c r="BX1066" s="34"/>
      <c r="BY1066" s="34"/>
      <c r="BZ1066" s="34"/>
      <c r="CA1066" s="34"/>
      <c r="CB1066" s="34"/>
      <c r="CC1066" s="34"/>
      <c r="CD1066" s="34"/>
      <c r="CE1066" s="34"/>
      <c r="CF1066" s="34"/>
      <c r="CG1066" s="34"/>
      <c r="CH1066" s="34"/>
      <c r="CI1066" s="8"/>
    </row>
    <row r="1067" spans="1:87" x14ac:dyDescent="0.2">
      <c r="A1067" s="8" t="str">
        <f>IF(AND(COUNTIF(W$3:W$13,A$26)&gt;0,A$26&lt;&gt;B1054),A$26,IFERROR(IF(MATCH(A$26,Z$3:Z$13,0)=1,A$26," ")," "))</f>
        <v xml:space="preserve"> </v>
      </c>
      <c r="B1067" s="8" t="str">
        <f>IF(A1067=" "," ",MAX(B1056:B1066)+1)</f>
        <v xml:space="preserve"> </v>
      </c>
      <c r="C1067" s="8"/>
      <c r="D1067" s="8"/>
      <c r="E1067" s="8"/>
      <c r="F1067" s="8"/>
      <c r="G1067" s="8"/>
      <c r="H1067" s="8"/>
      <c r="I1067" s="8"/>
      <c r="J1067" s="8"/>
      <c r="K1067" s="8"/>
      <c r="L1067" s="8"/>
      <c r="M1067" s="8"/>
      <c r="N1067" s="8"/>
      <c r="O1067" s="8"/>
      <c r="P1067" s="8"/>
      <c r="Q1067" s="8"/>
      <c r="R1067" s="8"/>
      <c r="S1067" s="8"/>
      <c r="U1067" s="34"/>
      <c r="V1067" s="34"/>
      <c r="W1067" s="34"/>
      <c r="X1067" s="34"/>
      <c r="Y1067" s="34"/>
      <c r="Z1067" s="34"/>
      <c r="AA1067" s="34"/>
      <c r="AB1067" s="34"/>
      <c r="AC1067" s="34"/>
      <c r="AD1067" s="34"/>
      <c r="AE1067" s="34"/>
      <c r="AF1067" s="34"/>
      <c r="AG1067" s="34"/>
      <c r="AH1067" s="34"/>
      <c r="AI1067" s="34"/>
      <c r="AJ1067" s="34"/>
      <c r="AK1067" s="34"/>
      <c r="AL1067" s="34"/>
      <c r="AM1067" s="34"/>
      <c r="AN1067" s="34"/>
      <c r="AO1067" s="34"/>
      <c r="AP1067" s="34"/>
      <c r="AQ1067" s="34"/>
      <c r="AR1067" s="34"/>
      <c r="AS1067" s="34"/>
      <c r="AT1067" s="34"/>
      <c r="AU1067" s="34"/>
      <c r="AV1067" s="34"/>
      <c r="AW1067" s="34"/>
      <c r="AX1067" s="34"/>
      <c r="AY1067" s="34"/>
      <c r="AZ1067" s="34"/>
      <c r="BA1067" s="34"/>
      <c r="BB1067" s="34"/>
      <c r="BC1067" s="34"/>
      <c r="BD1067" s="34"/>
      <c r="BE1067" s="34"/>
      <c r="BF1067" s="34"/>
      <c r="BG1067" s="34"/>
      <c r="BH1067" s="34"/>
      <c r="BI1067" s="34"/>
      <c r="BJ1067" s="34"/>
      <c r="BK1067" s="34"/>
      <c r="BL1067" s="34"/>
      <c r="BM1067" s="34"/>
      <c r="BN1067" s="34"/>
      <c r="BO1067" s="34"/>
      <c r="BP1067" s="34"/>
      <c r="BQ1067" s="34"/>
      <c r="BR1067" s="34"/>
      <c r="BS1067" s="34"/>
      <c r="BT1067" s="34"/>
      <c r="BU1067" s="34"/>
      <c r="BV1067" s="34"/>
      <c r="BW1067" s="34"/>
      <c r="BX1067" s="34"/>
      <c r="BY1067" s="34"/>
      <c r="BZ1067" s="34"/>
      <c r="CA1067" s="34"/>
      <c r="CB1067" s="34"/>
      <c r="CC1067" s="34"/>
      <c r="CD1067" s="34"/>
      <c r="CE1067" s="34"/>
      <c r="CF1067" s="34"/>
      <c r="CG1067" s="34"/>
      <c r="CH1067" s="34"/>
      <c r="CI1067" s="8"/>
    </row>
    <row r="1068" spans="1:87" x14ac:dyDescent="0.2">
      <c r="A1068" s="8" t="str">
        <f>IF(AND(COUNTIF(W$3:W$13,A$27)&gt;0,A$27&lt;&gt;B1054),A$27,IFERROR(IF(MATCH(A$27,Z$3:Z$13,0)=1,A$27," ")," "))</f>
        <v>C13</v>
      </c>
      <c r="B1068" s="8">
        <f>IF(A1068=" "," ",MAX(B1056:B1067)+1)</f>
        <v>4</v>
      </c>
      <c r="C1068" s="8"/>
      <c r="D1068" s="8"/>
      <c r="E1068" s="8"/>
      <c r="F1068" s="8"/>
      <c r="G1068" s="8"/>
      <c r="H1068" s="8"/>
      <c r="I1068" s="8"/>
      <c r="J1068" s="8"/>
      <c r="K1068" s="8"/>
      <c r="L1068" s="8"/>
      <c r="M1068" s="8"/>
      <c r="N1068" s="8"/>
      <c r="O1068" s="8"/>
      <c r="P1068" s="6"/>
      <c r="Q1068" s="8"/>
      <c r="R1068" s="8"/>
      <c r="S1068" s="8"/>
      <c r="U1068" s="34"/>
      <c r="V1068" s="34"/>
      <c r="W1068" s="34"/>
      <c r="X1068" s="34"/>
      <c r="Y1068" s="34"/>
      <c r="Z1068" s="34"/>
      <c r="AA1068" s="34"/>
      <c r="AB1068" s="34"/>
      <c r="AC1068" s="34"/>
      <c r="AD1068" s="34"/>
      <c r="AE1068" s="34"/>
      <c r="AF1068" s="34"/>
      <c r="AG1068" s="34"/>
      <c r="AH1068" s="34"/>
      <c r="AI1068" s="34"/>
      <c r="AJ1068" s="34"/>
      <c r="AK1068" s="34"/>
      <c r="AL1068" s="34"/>
      <c r="AM1068" s="34"/>
      <c r="AN1068" s="34"/>
      <c r="AO1068" s="34"/>
      <c r="AP1068" s="34"/>
      <c r="AQ1068" s="34"/>
      <c r="AR1068" s="34"/>
      <c r="AS1068" s="34"/>
      <c r="AT1068" s="34"/>
      <c r="AU1068" s="34"/>
      <c r="AV1068" s="34"/>
      <c r="AW1068" s="34"/>
      <c r="AX1068" s="34"/>
      <c r="AY1068" s="34"/>
      <c r="AZ1068" s="34"/>
      <c r="BA1068" s="34"/>
      <c r="BB1068" s="34"/>
      <c r="BC1068" s="34"/>
      <c r="BD1068" s="34"/>
      <c r="BE1068" s="34"/>
      <c r="BF1068" s="34"/>
      <c r="BG1068" s="34"/>
      <c r="BH1068" s="34"/>
      <c r="BI1068" s="34"/>
      <c r="BJ1068" s="34"/>
      <c r="BK1068" s="34"/>
      <c r="BL1068" s="34"/>
      <c r="BM1068" s="34"/>
      <c r="BN1068" s="34"/>
      <c r="BO1068" s="34"/>
      <c r="BP1068" s="34"/>
      <c r="BQ1068" s="34"/>
      <c r="BR1068" s="34"/>
      <c r="BS1068" s="34"/>
      <c r="BT1068" s="34"/>
      <c r="BU1068" s="34"/>
      <c r="BV1068" s="34"/>
      <c r="BW1068" s="34"/>
      <c r="BX1068" s="34"/>
      <c r="BY1068" s="34"/>
      <c r="BZ1068" s="34"/>
      <c r="CA1068" s="34"/>
      <c r="CB1068" s="34"/>
      <c r="CC1068" s="34"/>
      <c r="CD1068" s="34"/>
      <c r="CE1068" s="34"/>
      <c r="CF1068" s="34"/>
      <c r="CG1068" s="34"/>
      <c r="CH1068" s="34"/>
      <c r="CI1068" s="8"/>
    </row>
    <row r="1069" spans="1:87" x14ac:dyDescent="0.2">
      <c r="A1069" s="8" t="str">
        <f>IF(AND(COUNTIF(W$3:W$13,A$28)&gt;0,A$28&lt;&gt;B1054),A$28,IFERROR(IF(MATCH(A$28,Z$3:Z$13,0)=1,A$28," ")," "))</f>
        <v xml:space="preserve"> </v>
      </c>
      <c r="B1069" s="8" t="str">
        <f>IF(A1069=" "," ",MAX(B1056:B1068)+1)</f>
        <v xml:space="preserve"> </v>
      </c>
      <c r="C1069" s="8"/>
      <c r="D1069" s="8"/>
      <c r="E1069" s="8"/>
      <c r="F1069" s="8"/>
      <c r="G1069" s="8"/>
      <c r="H1069" s="8"/>
      <c r="I1069" s="8"/>
      <c r="J1069" s="8"/>
      <c r="K1069" s="8"/>
      <c r="L1069" s="8"/>
      <c r="M1069" s="8"/>
      <c r="N1069" s="8"/>
      <c r="O1069" s="8"/>
      <c r="P1069" s="8"/>
      <c r="Q1069" s="8"/>
      <c r="R1069" s="8"/>
      <c r="S1069" s="8"/>
      <c r="U1069" s="34"/>
      <c r="V1069" s="34"/>
      <c r="W1069" s="34"/>
      <c r="X1069" s="34"/>
      <c r="Y1069" s="34"/>
      <c r="Z1069" s="34"/>
      <c r="AA1069" s="34"/>
      <c r="AB1069" s="34"/>
      <c r="AC1069" s="34"/>
      <c r="AD1069" s="34"/>
      <c r="AE1069" s="34"/>
      <c r="AF1069" s="34"/>
      <c r="AG1069" s="34"/>
      <c r="AH1069" s="34"/>
      <c r="AI1069" s="34"/>
      <c r="AJ1069" s="34"/>
      <c r="AK1069" s="34"/>
      <c r="AL1069" s="34"/>
      <c r="AM1069" s="34"/>
      <c r="AN1069" s="34"/>
      <c r="AO1069" s="34"/>
      <c r="AP1069" s="34"/>
      <c r="AQ1069" s="34"/>
      <c r="AR1069" s="34"/>
      <c r="AS1069" s="34"/>
      <c r="AT1069" s="34"/>
      <c r="AU1069" s="34"/>
      <c r="AV1069" s="34"/>
      <c r="AW1069" s="34"/>
      <c r="AX1069" s="34"/>
      <c r="AY1069" s="34"/>
      <c r="AZ1069" s="34"/>
      <c r="BA1069" s="34"/>
      <c r="BB1069" s="34"/>
      <c r="BC1069" s="34"/>
      <c r="BD1069" s="34"/>
      <c r="BE1069" s="34"/>
      <c r="BF1069" s="34"/>
      <c r="BG1069" s="34"/>
      <c r="BH1069" s="34"/>
      <c r="BI1069" s="34"/>
      <c r="BJ1069" s="34"/>
      <c r="BK1069" s="34"/>
      <c r="BL1069" s="34"/>
      <c r="BM1069" s="34"/>
      <c r="BN1069" s="34"/>
      <c r="BO1069" s="34"/>
      <c r="BP1069" s="34"/>
      <c r="BQ1069" s="34"/>
      <c r="BR1069" s="34"/>
      <c r="BS1069" s="34"/>
      <c r="BT1069" s="34"/>
      <c r="BU1069" s="34"/>
      <c r="BV1069" s="34"/>
      <c r="BW1069" s="34"/>
      <c r="BX1069" s="34"/>
      <c r="BY1069" s="34"/>
      <c r="BZ1069" s="34"/>
      <c r="CA1069" s="34"/>
      <c r="CB1069" s="34"/>
      <c r="CC1069" s="34"/>
      <c r="CD1069" s="34"/>
      <c r="CE1069" s="34"/>
      <c r="CF1069" s="34"/>
      <c r="CG1069" s="34"/>
      <c r="CH1069" s="34"/>
      <c r="CI1069" s="8"/>
    </row>
    <row r="1070" spans="1:87" x14ac:dyDescent="0.2">
      <c r="A1070" s="8" t="str">
        <f>IF(AND(COUNTIF(W$3:W$13,A$29)&gt;0,A$29&lt;&gt;B1054),A$29,IFERROR(IF(MATCH(A$29,Z$3:Z$13,0)=1,A$29," ")," "))</f>
        <v>C15</v>
      </c>
      <c r="B1070" s="8">
        <f>IF(A1070=" "," ",MAX(B1056:B1069)+1)</f>
        <v>5</v>
      </c>
      <c r="C1070" s="8"/>
      <c r="D1070" s="8"/>
      <c r="E1070" s="8"/>
      <c r="F1070" s="8"/>
      <c r="G1070" s="8"/>
      <c r="H1070" s="8"/>
      <c r="I1070" s="8"/>
      <c r="J1070" s="8"/>
      <c r="K1070" s="8"/>
      <c r="L1070" s="8"/>
      <c r="M1070" s="8"/>
      <c r="N1070" s="8"/>
      <c r="O1070" s="8"/>
      <c r="P1070" s="8"/>
      <c r="Q1070" s="8"/>
      <c r="R1070" s="8"/>
      <c r="S1070" s="8"/>
      <c r="U1070" s="34"/>
      <c r="V1070" s="34"/>
      <c r="W1070" s="34"/>
      <c r="X1070" s="34"/>
      <c r="Y1070" s="34"/>
      <c r="Z1070" s="34"/>
      <c r="AA1070" s="34"/>
      <c r="AB1070" s="34"/>
      <c r="AC1070" s="34"/>
      <c r="AD1070" s="34"/>
      <c r="AE1070" s="34"/>
      <c r="AF1070" s="34"/>
      <c r="AG1070" s="34"/>
      <c r="AH1070" s="34"/>
      <c r="AI1070" s="34"/>
      <c r="AJ1070" s="34"/>
      <c r="AK1070" s="34"/>
      <c r="AL1070" s="34"/>
      <c r="AM1070" s="34"/>
      <c r="AN1070" s="34"/>
      <c r="AO1070" s="34"/>
      <c r="AP1070" s="34"/>
      <c r="AQ1070" s="34"/>
      <c r="AR1070" s="34"/>
      <c r="AS1070" s="34"/>
      <c r="AT1070" s="34"/>
      <c r="AU1070" s="34"/>
      <c r="AV1070" s="34"/>
      <c r="AW1070" s="34"/>
      <c r="AX1070" s="34"/>
      <c r="AY1070" s="34"/>
      <c r="AZ1070" s="34"/>
      <c r="BA1070" s="34"/>
      <c r="BB1070" s="34"/>
      <c r="BC1070" s="34"/>
      <c r="BD1070" s="34"/>
      <c r="BE1070" s="34"/>
      <c r="BF1070" s="34"/>
      <c r="BG1070" s="34"/>
      <c r="BH1070" s="34"/>
      <c r="BI1070" s="34"/>
      <c r="BJ1070" s="34"/>
      <c r="BK1070" s="34"/>
      <c r="BL1070" s="34"/>
      <c r="BM1070" s="34"/>
      <c r="BN1070" s="34"/>
      <c r="BO1070" s="34"/>
      <c r="BP1070" s="34"/>
      <c r="BQ1070" s="34"/>
      <c r="BR1070" s="34"/>
      <c r="BS1070" s="34"/>
      <c r="BT1070" s="34"/>
      <c r="BU1070" s="34"/>
      <c r="BV1070" s="34"/>
      <c r="BW1070" s="34"/>
      <c r="BX1070" s="34"/>
      <c r="BY1070" s="34"/>
      <c r="BZ1070" s="34"/>
      <c r="CA1070" s="34"/>
      <c r="CB1070" s="34"/>
      <c r="CC1070" s="34"/>
      <c r="CD1070" s="34"/>
      <c r="CE1070" s="34"/>
      <c r="CF1070" s="34"/>
      <c r="CG1070" s="34"/>
      <c r="CH1070" s="34"/>
      <c r="CI1070" s="8"/>
    </row>
    <row r="1071" spans="1:87" x14ac:dyDescent="0.2">
      <c r="A1071" s="8" t="str">
        <f>IF(AND(COUNTIF(W$3:W$13,A$30)&gt;0,A$30&lt;&gt;B1054),A$30,IFERROR(IF(MATCH(A$30,Z$3:Z$13,0)=1,A$30," ")," "))</f>
        <v xml:space="preserve"> </v>
      </c>
      <c r="B1071" s="8" t="str">
        <f>IF(A1071=" "," ",MAX(B1056:B1070)+1)</f>
        <v xml:space="preserve"> </v>
      </c>
      <c r="C1071" s="8"/>
      <c r="D1071" s="8"/>
      <c r="E1071" s="8"/>
      <c r="F1071" s="8"/>
      <c r="G1071" s="8"/>
      <c r="H1071" s="8"/>
      <c r="I1071" s="8"/>
      <c r="J1071" s="8"/>
      <c r="K1071" s="8"/>
      <c r="L1071" s="8"/>
      <c r="M1071" s="8"/>
      <c r="N1071" s="8"/>
      <c r="O1071" s="8"/>
      <c r="P1071" s="8"/>
      <c r="Q1071" s="8"/>
      <c r="R1071" s="8"/>
      <c r="S1071" s="8"/>
      <c r="U1071" s="34"/>
      <c r="V1071" s="34"/>
      <c r="W1071" s="34"/>
      <c r="X1071" s="34"/>
      <c r="Y1071" s="34"/>
      <c r="Z1071" s="34"/>
      <c r="AA1071" s="34"/>
      <c r="AB1071" s="34"/>
      <c r="AC1071" s="34"/>
      <c r="AD1071" s="34"/>
      <c r="AE1071" s="34"/>
      <c r="AF1071" s="34"/>
      <c r="AG1071" s="34"/>
      <c r="AH1071" s="34"/>
      <c r="AI1071" s="34"/>
      <c r="AJ1071" s="34"/>
      <c r="AK1071" s="34"/>
      <c r="AL1071" s="34"/>
      <c r="AM1071" s="34"/>
      <c r="AN1071" s="34"/>
      <c r="AO1071" s="34"/>
      <c r="AP1071" s="34"/>
      <c r="AQ1071" s="34"/>
      <c r="AR1071" s="34"/>
      <c r="AS1071" s="34"/>
      <c r="AT1071" s="34"/>
      <c r="AU1071" s="34"/>
      <c r="AV1071" s="34"/>
      <c r="AW1071" s="34"/>
      <c r="AX1071" s="34"/>
      <c r="AY1071" s="34"/>
      <c r="AZ1071" s="34"/>
      <c r="BA1071" s="34"/>
      <c r="BB1071" s="34"/>
      <c r="BC1071" s="34"/>
      <c r="BD1071" s="34"/>
      <c r="BE1071" s="34"/>
      <c r="BF1071" s="34"/>
      <c r="BG1071" s="34"/>
      <c r="BH1071" s="34"/>
      <c r="BI1071" s="34"/>
      <c r="BJ1071" s="34"/>
      <c r="BK1071" s="34"/>
      <c r="BL1071" s="34"/>
      <c r="BM1071" s="34"/>
      <c r="BN1071" s="34"/>
      <c r="BO1071" s="34"/>
      <c r="BP1071" s="34"/>
      <c r="BQ1071" s="34"/>
      <c r="BR1071" s="34"/>
      <c r="BS1071" s="34"/>
      <c r="BT1071" s="34"/>
      <c r="BU1071" s="34"/>
      <c r="BV1071" s="34"/>
      <c r="BW1071" s="34"/>
      <c r="BX1071" s="34"/>
      <c r="BY1071" s="34"/>
      <c r="BZ1071" s="34"/>
      <c r="CA1071" s="34"/>
      <c r="CB1071" s="34"/>
      <c r="CC1071" s="34"/>
      <c r="CD1071" s="34"/>
      <c r="CE1071" s="34"/>
      <c r="CF1071" s="34"/>
      <c r="CG1071" s="34"/>
      <c r="CH1071" s="34"/>
      <c r="CI1071" s="8"/>
    </row>
    <row r="1072" spans="1:87" x14ac:dyDescent="0.2">
      <c r="A1072" s="8" t="str">
        <f>IF(AND(COUNTIF(W$3:W$13,A$31)&gt;0,A$31&lt;&gt;B1054),A$31,IFERROR(IF(MATCH(A$31,Z$3:Z$13,0)=1,A$31," ")," "))</f>
        <v>C17</v>
      </c>
      <c r="B1072" s="8">
        <f>IF(A1072=" "," ",MAX(B1056:B1071)+1)</f>
        <v>6</v>
      </c>
      <c r="C1072" s="8"/>
      <c r="D1072" s="8"/>
      <c r="E1072" s="8"/>
      <c r="F1072" s="8"/>
      <c r="G1072" s="8"/>
      <c r="H1072" s="8"/>
      <c r="I1072" s="8"/>
      <c r="J1072" s="8"/>
      <c r="K1072" s="8"/>
      <c r="L1072" s="8"/>
      <c r="M1072" s="8"/>
      <c r="N1072" s="8"/>
      <c r="O1072" s="8"/>
      <c r="P1072" s="8"/>
      <c r="Q1072" s="8"/>
      <c r="R1072" s="8"/>
      <c r="S1072" s="8"/>
      <c r="U1072" s="34"/>
      <c r="V1072" s="34"/>
      <c r="W1072" s="34"/>
      <c r="X1072" s="34"/>
      <c r="Y1072" s="34"/>
      <c r="Z1072" s="34"/>
      <c r="AA1072" s="34"/>
      <c r="AB1072" s="34"/>
      <c r="AC1072" s="34"/>
      <c r="AD1072" s="34"/>
      <c r="AE1072" s="34"/>
      <c r="AF1072" s="34"/>
      <c r="AG1072" s="34"/>
      <c r="AH1072" s="34"/>
      <c r="AI1072" s="34"/>
      <c r="AJ1072" s="34"/>
      <c r="AK1072" s="34"/>
      <c r="AL1072" s="34"/>
      <c r="AM1072" s="34"/>
      <c r="AN1072" s="34"/>
      <c r="AO1072" s="34"/>
      <c r="AP1072" s="34"/>
      <c r="AQ1072" s="34"/>
      <c r="AR1072" s="34"/>
      <c r="AS1072" s="34"/>
      <c r="AT1072" s="34"/>
      <c r="AU1072" s="34"/>
      <c r="AV1072" s="34"/>
      <c r="AW1072" s="34"/>
      <c r="AX1072" s="34"/>
      <c r="AY1072" s="34"/>
      <c r="AZ1072" s="34"/>
      <c r="BA1072" s="34"/>
      <c r="BB1072" s="34"/>
      <c r="BC1072" s="34"/>
      <c r="BD1072" s="34"/>
      <c r="BE1072" s="34"/>
      <c r="BF1072" s="34"/>
      <c r="BG1072" s="34"/>
      <c r="BH1072" s="34"/>
      <c r="BI1072" s="34"/>
      <c r="BJ1072" s="34"/>
      <c r="BK1072" s="34"/>
      <c r="BL1072" s="34"/>
      <c r="BM1072" s="34"/>
      <c r="BN1072" s="34"/>
      <c r="BO1072" s="34"/>
      <c r="BP1072" s="34"/>
      <c r="BQ1072" s="34"/>
      <c r="BR1072" s="34"/>
      <c r="BS1072" s="34"/>
      <c r="BT1072" s="34"/>
      <c r="BU1072" s="34"/>
      <c r="BV1072" s="34"/>
      <c r="BW1072" s="34"/>
      <c r="BX1072" s="34"/>
      <c r="BY1072" s="34"/>
      <c r="BZ1072" s="34"/>
      <c r="CA1072" s="34"/>
      <c r="CB1072" s="34"/>
      <c r="CC1072" s="34"/>
      <c r="CD1072" s="34"/>
      <c r="CE1072" s="34"/>
      <c r="CF1072" s="34"/>
      <c r="CG1072" s="34"/>
      <c r="CH1072" s="34"/>
      <c r="CI1072" s="8"/>
    </row>
    <row r="1073" spans="1:87" x14ac:dyDescent="0.2">
      <c r="A1073" s="8" t="str">
        <f>IF(AND(COUNTIF(W$3:W$13,A$32)&gt;0,A$32&lt;&gt;B1054),A$32,IFERROR(IF(MATCH(A$32,Z$3:Z$13,0)=1,A$32," ")," "))</f>
        <v>C18</v>
      </c>
      <c r="B1073" s="8">
        <f>IF(A1073=" "," ",MAX(B1056:B1072)+1)</f>
        <v>7</v>
      </c>
      <c r="C1073" s="8"/>
      <c r="D1073" s="8"/>
      <c r="E1073" s="8"/>
      <c r="F1073" s="8"/>
      <c r="G1073" s="8"/>
      <c r="H1073" s="8"/>
      <c r="I1073" s="8"/>
      <c r="J1073" s="8"/>
      <c r="K1073" s="8"/>
      <c r="L1073" s="8"/>
      <c r="M1073" s="8"/>
      <c r="N1073" s="8"/>
      <c r="O1073" s="8"/>
      <c r="P1073" s="8"/>
      <c r="Q1073" s="8"/>
      <c r="R1073" s="8"/>
      <c r="S1073" s="8"/>
      <c r="U1073" s="34"/>
      <c r="V1073" s="34"/>
      <c r="W1073" s="34"/>
      <c r="X1073" s="34"/>
      <c r="Y1073" s="34"/>
      <c r="Z1073" s="34"/>
      <c r="AA1073" s="34"/>
      <c r="AB1073" s="34"/>
      <c r="AC1073" s="34"/>
      <c r="AD1073" s="34"/>
      <c r="AE1073" s="34"/>
      <c r="AF1073" s="34"/>
      <c r="AG1073" s="34"/>
      <c r="AH1073" s="34"/>
      <c r="AI1073" s="34"/>
      <c r="AJ1073" s="34"/>
      <c r="AK1073" s="34"/>
      <c r="AL1073" s="34"/>
      <c r="AM1073" s="34"/>
      <c r="AN1073" s="34"/>
      <c r="AO1073" s="34"/>
      <c r="AP1073" s="34"/>
      <c r="AQ1073" s="34"/>
      <c r="AR1073" s="34"/>
      <c r="AS1073" s="34"/>
      <c r="AT1073" s="34"/>
      <c r="AU1073" s="34"/>
      <c r="AV1073" s="34"/>
      <c r="AW1073" s="34"/>
      <c r="AX1073" s="34"/>
      <c r="AY1073" s="34"/>
      <c r="AZ1073" s="34"/>
      <c r="BA1073" s="34"/>
      <c r="BB1073" s="34"/>
      <c r="BC1073" s="34"/>
      <c r="BD1073" s="34"/>
      <c r="BE1073" s="34"/>
      <c r="BF1073" s="34"/>
      <c r="BG1073" s="34"/>
      <c r="BH1073" s="34"/>
      <c r="BI1073" s="34"/>
      <c r="BJ1073" s="34"/>
      <c r="BK1073" s="34"/>
      <c r="BL1073" s="34"/>
      <c r="BM1073" s="34"/>
      <c r="BN1073" s="34"/>
      <c r="BO1073" s="34"/>
      <c r="BP1073" s="34"/>
      <c r="BQ1073" s="34"/>
      <c r="BR1073" s="34"/>
      <c r="BS1073" s="34"/>
      <c r="BT1073" s="34"/>
      <c r="BU1073" s="34"/>
      <c r="BV1073" s="34"/>
      <c r="BW1073" s="34"/>
      <c r="BX1073" s="34"/>
      <c r="BY1073" s="34"/>
      <c r="BZ1073" s="34"/>
      <c r="CA1073" s="34"/>
      <c r="CB1073" s="34"/>
      <c r="CC1073" s="34"/>
      <c r="CD1073" s="34"/>
      <c r="CE1073" s="34"/>
      <c r="CF1073" s="34"/>
      <c r="CG1073" s="34"/>
      <c r="CH1073" s="34"/>
      <c r="CI1073" s="8"/>
    </row>
    <row r="1074" spans="1:87" x14ac:dyDescent="0.2">
      <c r="A1074" s="8" t="str">
        <f>IF(AND(COUNTIF(W$3:W$13,A$33)&gt;0,A$33&lt;&gt;B1054),A$33,IFERROR(IF(MATCH(A$33,Z$3:Z$13,0)=1,A$33," ")," "))</f>
        <v>C19</v>
      </c>
      <c r="B1074" s="8">
        <f>IF(A1074=" "," ",MAX(B1056:B1073)+1)</f>
        <v>8</v>
      </c>
      <c r="C1074" s="8"/>
      <c r="D1074" s="8"/>
      <c r="E1074" s="8"/>
      <c r="F1074" s="8"/>
      <c r="G1074" s="8"/>
      <c r="H1074" s="8"/>
      <c r="I1074" s="8"/>
      <c r="J1074" s="8"/>
      <c r="K1074" s="8"/>
      <c r="L1074" s="8"/>
      <c r="M1074" s="8"/>
      <c r="N1074" s="8"/>
      <c r="O1074" s="8"/>
      <c r="P1074" s="8"/>
      <c r="Q1074" s="8"/>
      <c r="R1074" s="8"/>
      <c r="S1074" s="8"/>
      <c r="U1074" s="34"/>
      <c r="V1074" s="34"/>
      <c r="W1074" s="34"/>
      <c r="X1074" s="34"/>
      <c r="Y1074" s="34"/>
      <c r="Z1074" s="34"/>
      <c r="AA1074" s="34"/>
      <c r="AB1074" s="34"/>
      <c r="AC1074" s="34"/>
      <c r="AD1074" s="34"/>
      <c r="AE1074" s="34"/>
      <c r="AF1074" s="34"/>
      <c r="AG1074" s="34"/>
      <c r="AH1074" s="34"/>
      <c r="AI1074" s="34"/>
      <c r="AJ1074" s="34"/>
      <c r="AK1074" s="34"/>
      <c r="AL1074" s="34"/>
      <c r="AM1074" s="34"/>
      <c r="AN1074" s="34"/>
      <c r="AO1074" s="34"/>
      <c r="AP1074" s="34"/>
      <c r="AQ1074" s="34"/>
      <c r="AR1074" s="34"/>
      <c r="AS1074" s="34"/>
      <c r="AT1074" s="34"/>
      <c r="AU1074" s="34"/>
      <c r="AV1074" s="34"/>
      <c r="AW1074" s="34"/>
      <c r="AX1074" s="34"/>
      <c r="AY1074" s="34"/>
      <c r="AZ1074" s="34"/>
      <c r="BA1074" s="34"/>
      <c r="BB1074" s="34"/>
      <c r="BC1074" s="34"/>
      <c r="BD1074" s="34"/>
      <c r="BE1074" s="34"/>
      <c r="BF1074" s="34"/>
      <c r="BG1074" s="34"/>
      <c r="BH1074" s="34"/>
      <c r="BI1074" s="34"/>
      <c r="BJ1074" s="34"/>
      <c r="BK1074" s="34"/>
      <c r="BL1074" s="34"/>
      <c r="BM1074" s="34"/>
      <c r="BN1074" s="34"/>
      <c r="BO1074" s="34"/>
      <c r="BP1074" s="34"/>
      <c r="BQ1074" s="34"/>
      <c r="BR1074" s="34"/>
      <c r="BS1074" s="34"/>
      <c r="BT1074" s="34"/>
      <c r="BU1074" s="34"/>
      <c r="BV1074" s="34"/>
      <c r="BW1074" s="34"/>
      <c r="BX1074" s="34"/>
      <c r="BY1074" s="34"/>
      <c r="BZ1074" s="34"/>
      <c r="CA1074" s="34"/>
      <c r="CB1074" s="34"/>
      <c r="CC1074" s="34"/>
      <c r="CD1074" s="34"/>
      <c r="CE1074" s="34"/>
      <c r="CF1074" s="34"/>
      <c r="CG1074" s="34"/>
      <c r="CH1074" s="34"/>
      <c r="CI1074" s="8"/>
    </row>
    <row r="1075" spans="1:87" x14ac:dyDescent="0.2">
      <c r="A1075" s="8" t="str">
        <f>IF(AND(COUNTIF(W$3:W$13,A$34)&gt;0,A$34&lt;&gt;B1054),A$34,IFERROR(IF(MATCH(A$34,Z$3:Z$13,0)=1,A$34," ")," "))</f>
        <v>C20</v>
      </c>
      <c r="B1075" s="8">
        <f>IF(A1075=" "," ",MAX(B1056:B1074)+1)</f>
        <v>9</v>
      </c>
      <c r="C1075" s="8"/>
      <c r="D1075" s="8"/>
      <c r="E1075" s="8"/>
      <c r="F1075" s="8"/>
      <c r="G1075" s="8"/>
      <c r="H1075" s="8"/>
      <c r="I1075" s="8"/>
      <c r="J1075" s="8"/>
      <c r="K1075" s="8"/>
      <c r="L1075" s="8"/>
      <c r="M1075" s="8"/>
      <c r="N1075" s="8"/>
      <c r="O1075" s="8"/>
      <c r="P1075" s="8"/>
      <c r="Q1075" s="8"/>
      <c r="R1075" s="8"/>
      <c r="S1075" s="8"/>
      <c r="U1075" s="34"/>
      <c r="V1075" s="34"/>
      <c r="W1075" s="34"/>
      <c r="X1075" s="34"/>
      <c r="Y1075" s="34"/>
      <c r="Z1075" s="34"/>
      <c r="AA1075" s="34"/>
      <c r="AB1075" s="34"/>
      <c r="AC1075" s="34"/>
      <c r="AD1075" s="34"/>
      <c r="AE1075" s="34"/>
      <c r="AF1075" s="34"/>
      <c r="AG1075" s="34"/>
      <c r="AH1075" s="34"/>
      <c r="AI1075" s="34"/>
      <c r="AJ1075" s="34"/>
      <c r="AK1075" s="34"/>
      <c r="AL1075" s="34"/>
      <c r="AM1075" s="34"/>
      <c r="AN1075" s="34"/>
      <c r="AO1075" s="34"/>
      <c r="AP1075" s="34"/>
      <c r="AQ1075" s="34"/>
      <c r="AR1075" s="34"/>
      <c r="AS1075" s="34"/>
      <c r="AT1075" s="34"/>
      <c r="AU1075" s="34"/>
      <c r="AV1075" s="34"/>
      <c r="AW1075" s="34"/>
      <c r="AX1075" s="34"/>
      <c r="AY1075" s="34"/>
      <c r="AZ1075" s="34"/>
      <c r="BA1075" s="34"/>
      <c r="BB1075" s="34"/>
      <c r="BC1075" s="34"/>
      <c r="BD1075" s="34"/>
      <c r="BE1075" s="34"/>
      <c r="BF1075" s="34"/>
      <c r="BG1075" s="34"/>
      <c r="BH1075" s="34"/>
      <c r="BI1075" s="34"/>
      <c r="BJ1075" s="34"/>
      <c r="BK1075" s="34"/>
      <c r="BL1075" s="34"/>
      <c r="BM1075" s="34"/>
      <c r="BN1075" s="34"/>
      <c r="BO1075" s="34"/>
      <c r="BP1075" s="34"/>
      <c r="BQ1075" s="34"/>
      <c r="BR1075" s="34"/>
      <c r="BS1075" s="34"/>
      <c r="BT1075" s="34"/>
      <c r="BU1075" s="34"/>
      <c r="BV1075" s="34"/>
      <c r="BW1075" s="34"/>
      <c r="BX1075" s="34"/>
      <c r="BY1075" s="34"/>
      <c r="BZ1075" s="34"/>
      <c r="CA1075" s="34"/>
      <c r="CB1075" s="34"/>
      <c r="CC1075" s="34"/>
      <c r="CD1075" s="34"/>
      <c r="CE1075" s="34"/>
      <c r="CF1075" s="34"/>
      <c r="CG1075" s="34"/>
      <c r="CH1075" s="34"/>
      <c r="CI1075" s="8"/>
    </row>
    <row r="1076" spans="1:87" x14ac:dyDescent="0.2">
      <c r="A1076" s="8" t="str">
        <f>IF(AND(COUNTIF(W$3:W$13,A$35)&gt;0,A$35&lt;&gt;B1054),A$35,IFERROR(IF(MATCH(A$35,Z$3:Z$13,0)=1,A$35," ")," "))</f>
        <v>C21</v>
      </c>
      <c r="B1076" s="8">
        <f>IF(A1076=" "," ",MAX(B1056:B1075)+1)</f>
        <v>10</v>
      </c>
      <c r="C1076" s="8"/>
      <c r="D1076" s="8"/>
      <c r="E1076" s="8"/>
      <c r="F1076" s="8"/>
      <c r="G1076" s="8"/>
      <c r="H1076" s="8"/>
      <c r="I1076" s="8"/>
      <c r="J1076" s="8"/>
      <c r="K1076" s="8"/>
      <c r="L1076" s="8"/>
      <c r="M1076" s="8"/>
      <c r="N1076" s="8"/>
      <c r="O1076" s="8"/>
      <c r="P1076" s="8"/>
      <c r="Q1076" s="8"/>
      <c r="R1076" s="8"/>
      <c r="S1076" s="8"/>
      <c r="U1076" s="34"/>
      <c r="V1076" s="34"/>
      <c r="W1076" s="34"/>
      <c r="X1076" s="34"/>
      <c r="Y1076" s="34"/>
      <c r="Z1076" s="34"/>
      <c r="AA1076" s="34"/>
      <c r="AB1076" s="34"/>
      <c r="AC1076" s="34"/>
      <c r="AD1076" s="34"/>
      <c r="AE1076" s="34"/>
      <c r="AF1076" s="34"/>
      <c r="AG1076" s="34"/>
      <c r="AH1076" s="34"/>
      <c r="AI1076" s="34"/>
      <c r="AJ1076" s="34"/>
      <c r="AK1076" s="34"/>
      <c r="AL1076" s="34"/>
      <c r="AM1076" s="34"/>
      <c r="AN1076" s="34"/>
      <c r="AO1076" s="34"/>
      <c r="AP1076" s="34"/>
      <c r="AQ1076" s="34"/>
      <c r="AR1076" s="34"/>
      <c r="AS1076" s="34"/>
      <c r="AT1076" s="34"/>
      <c r="AU1076" s="34"/>
      <c r="AV1076" s="34"/>
      <c r="AW1076" s="34"/>
      <c r="AX1076" s="34"/>
      <c r="AY1076" s="34"/>
      <c r="AZ1076" s="34"/>
      <c r="BA1076" s="34"/>
      <c r="BB1076" s="34"/>
      <c r="BC1076" s="34"/>
      <c r="BD1076" s="34"/>
      <c r="BE1076" s="34"/>
      <c r="BF1076" s="34"/>
      <c r="BG1076" s="34"/>
      <c r="BH1076" s="34"/>
      <c r="BI1076" s="34"/>
      <c r="BJ1076" s="34"/>
      <c r="BK1076" s="34"/>
      <c r="BL1076" s="34"/>
      <c r="BM1076" s="34"/>
      <c r="BN1076" s="34"/>
      <c r="BO1076" s="34"/>
      <c r="BP1076" s="34"/>
      <c r="BQ1076" s="34"/>
      <c r="BR1076" s="34"/>
      <c r="BS1076" s="34"/>
      <c r="BT1076" s="34"/>
      <c r="BU1076" s="34"/>
      <c r="BV1076" s="34"/>
      <c r="BW1076" s="34"/>
      <c r="BX1076" s="34"/>
      <c r="BY1076" s="34"/>
      <c r="BZ1076" s="34"/>
      <c r="CA1076" s="34"/>
      <c r="CB1076" s="34"/>
      <c r="CC1076" s="34"/>
      <c r="CD1076" s="34"/>
      <c r="CE1076" s="34"/>
      <c r="CF1076" s="34"/>
      <c r="CG1076" s="34"/>
      <c r="CH1076" s="34"/>
      <c r="CI1076" s="8"/>
    </row>
    <row r="1077" spans="1:87" x14ac:dyDescent="0.2">
      <c r="A1077" s="8" t="str">
        <f>IF(AND(COUNTIF(W$3:W$13,A$36)&gt;0,A$36&lt;&gt;B1054),A$36,IFERROR(IF(MATCH(A$36,Z$3:Z$13,0)=1,A$36," ")," "))</f>
        <v>C22</v>
      </c>
      <c r="B1077" s="8">
        <f>IF(A1077=" "," ",MAX(B1056:B1076)+1)</f>
        <v>11</v>
      </c>
      <c r="C1077" s="8"/>
      <c r="D1077" s="8"/>
      <c r="E1077" s="8"/>
      <c r="F1077" s="8"/>
      <c r="G1077" s="8"/>
      <c r="H1077" s="8"/>
      <c r="I1077" s="8"/>
      <c r="J1077" s="8"/>
      <c r="K1077" s="8"/>
      <c r="L1077" s="8"/>
      <c r="M1077" s="8"/>
      <c r="N1077" s="8"/>
      <c r="O1077" s="8"/>
      <c r="P1077" s="8"/>
      <c r="Q1077" s="8"/>
      <c r="R1077" s="8"/>
      <c r="S1077" s="8"/>
      <c r="U1077" s="34"/>
      <c r="V1077" s="34"/>
      <c r="W1077" s="34"/>
      <c r="X1077" s="34"/>
      <c r="Y1077" s="34"/>
      <c r="Z1077" s="34"/>
      <c r="AA1077" s="34"/>
      <c r="AB1077" s="34"/>
      <c r="AC1077" s="34"/>
      <c r="AD1077" s="34"/>
      <c r="AE1077" s="34"/>
      <c r="AF1077" s="34"/>
      <c r="AG1077" s="34"/>
      <c r="AH1077" s="34"/>
      <c r="AI1077" s="34"/>
      <c r="AJ1077" s="34"/>
      <c r="AK1077" s="34"/>
      <c r="AL1077" s="34"/>
      <c r="AM1077" s="34"/>
      <c r="AN1077" s="34"/>
      <c r="AO1077" s="34"/>
      <c r="AP1077" s="34"/>
      <c r="AQ1077" s="34"/>
      <c r="AR1077" s="34"/>
      <c r="AS1077" s="34"/>
      <c r="AT1077" s="34"/>
      <c r="AU1077" s="34"/>
      <c r="AV1077" s="34"/>
      <c r="AW1077" s="34"/>
      <c r="AX1077" s="34"/>
      <c r="AY1077" s="34"/>
      <c r="AZ1077" s="34"/>
      <c r="BA1077" s="34"/>
      <c r="BB1077" s="34"/>
      <c r="BC1077" s="34"/>
      <c r="BD1077" s="34"/>
      <c r="BE1077" s="34"/>
      <c r="BF1077" s="34"/>
      <c r="BG1077" s="34"/>
      <c r="BH1077" s="34"/>
      <c r="BI1077" s="34"/>
      <c r="BJ1077" s="34"/>
      <c r="BK1077" s="34"/>
      <c r="BL1077" s="34"/>
      <c r="BM1077" s="34"/>
      <c r="BN1077" s="34"/>
      <c r="BO1077" s="34"/>
      <c r="BP1077" s="34"/>
      <c r="BQ1077" s="34"/>
      <c r="BR1077" s="34"/>
      <c r="BS1077" s="34"/>
      <c r="BT1077" s="34"/>
      <c r="BU1077" s="34"/>
      <c r="BV1077" s="34"/>
      <c r="BW1077" s="34"/>
      <c r="BX1077" s="34"/>
      <c r="BY1077" s="34"/>
      <c r="BZ1077" s="34"/>
      <c r="CA1077" s="34"/>
      <c r="CB1077" s="34"/>
      <c r="CC1077" s="34"/>
      <c r="CD1077" s="34"/>
      <c r="CE1077" s="34"/>
      <c r="CF1077" s="34"/>
      <c r="CG1077" s="34"/>
      <c r="CH1077" s="34"/>
      <c r="CI1077" s="8"/>
    </row>
    <row r="1078" spans="1:87" x14ac:dyDescent="0.2">
      <c r="A1078" s="11" t="s">
        <v>17</v>
      </c>
      <c r="B1078" s="11"/>
      <c r="C1078" s="27" t="s">
        <v>18</v>
      </c>
      <c r="D1078" s="27" t="s">
        <v>2</v>
      </c>
      <c r="E1078" s="27" t="s">
        <v>6</v>
      </c>
      <c r="F1078" s="27" t="s">
        <v>15</v>
      </c>
      <c r="G1078" s="27" t="s">
        <v>36</v>
      </c>
      <c r="H1078" s="27" t="s">
        <v>37</v>
      </c>
      <c r="I1078" s="27" t="s">
        <v>38</v>
      </c>
      <c r="J1078" s="27" t="s">
        <v>39</v>
      </c>
      <c r="K1078" s="27" t="s">
        <v>40</v>
      </c>
      <c r="L1078" s="27" t="s">
        <v>41</v>
      </c>
      <c r="M1078" s="27" t="s">
        <v>42</v>
      </c>
      <c r="N1078" s="27" t="s">
        <v>43</v>
      </c>
      <c r="O1078" s="27" t="s">
        <v>9</v>
      </c>
      <c r="P1078" s="27" t="s">
        <v>12</v>
      </c>
      <c r="Q1078" s="27" t="s">
        <v>19</v>
      </c>
      <c r="R1078" s="27" t="s">
        <v>55</v>
      </c>
      <c r="S1078" s="27" t="s">
        <v>26</v>
      </c>
      <c r="T1078" s="19" t="s">
        <v>25</v>
      </c>
      <c r="U1078" s="33" t="s">
        <v>27</v>
      </c>
      <c r="V1078" s="33" t="s">
        <v>9</v>
      </c>
      <c r="W1078" s="33" t="s">
        <v>23</v>
      </c>
      <c r="X1078" s="33" t="s">
        <v>12</v>
      </c>
      <c r="Y1078" s="33" t="s">
        <v>26</v>
      </c>
      <c r="Z1078" s="33" t="s">
        <v>25</v>
      </c>
      <c r="AA1078" s="33" t="s">
        <v>27</v>
      </c>
      <c r="AB1078" s="33" t="s">
        <v>9</v>
      </c>
      <c r="AC1078" s="33" t="s">
        <v>23</v>
      </c>
      <c r="AD1078" s="33" t="s">
        <v>12</v>
      </c>
      <c r="AE1078" s="33" t="s">
        <v>26</v>
      </c>
      <c r="AF1078" s="33" t="s">
        <v>25</v>
      </c>
      <c r="AG1078" s="33" t="s">
        <v>27</v>
      </c>
      <c r="AH1078" s="33" t="s">
        <v>9</v>
      </c>
      <c r="AI1078" s="33" t="s">
        <v>23</v>
      </c>
      <c r="AJ1078" s="33" t="s">
        <v>12</v>
      </c>
      <c r="AK1078" s="33" t="s">
        <v>26</v>
      </c>
      <c r="AL1078" s="33" t="s">
        <v>25</v>
      </c>
      <c r="AM1078" s="33" t="s">
        <v>27</v>
      </c>
      <c r="AN1078" s="33" t="s">
        <v>9</v>
      </c>
      <c r="AO1078" s="33" t="s">
        <v>23</v>
      </c>
      <c r="AP1078" s="33" t="s">
        <v>12</v>
      </c>
      <c r="AQ1078" s="33" t="s">
        <v>26</v>
      </c>
      <c r="AR1078" s="33" t="s">
        <v>25</v>
      </c>
      <c r="AS1078" s="33" t="s">
        <v>27</v>
      </c>
      <c r="AT1078" s="33" t="s">
        <v>9</v>
      </c>
      <c r="AU1078" s="33" t="s">
        <v>23</v>
      </c>
      <c r="AV1078" s="33" t="s">
        <v>12</v>
      </c>
      <c r="AW1078" s="33" t="s">
        <v>26</v>
      </c>
      <c r="AX1078" s="33" t="s">
        <v>25</v>
      </c>
      <c r="AY1078" s="33" t="s">
        <v>27</v>
      </c>
      <c r="AZ1078" s="33" t="s">
        <v>9</v>
      </c>
      <c r="BA1078" s="33" t="s">
        <v>23</v>
      </c>
      <c r="BB1078" s="33" t="s">
        <v>12</v>
      </c>
      <c r="BC1078" s="33" t="s">
        <v>26</v>
      </c>
      <c r="BD1078" s="33" t="s">
        <v>25</v>
      </c>
      <c r="BE1078" s="33" t="s">
        <v>27</v>
      </c>
      <c r="BF1078" s="33" t="s">
        <v>9</v>
      </c>
      <c r="BG1078" s="33" t="s">
        <v>23</v>
      </c>
      <c r="BH1078" s="33" t="s">
        <v>12</v>
      </c>
      <c r="BI1078" s="33" t="s">
        <v>26</v>
      </c>
      <c r="BJ1078" s="33" t="s">
        <v>25</v>
      </c>
      <c r="BK1078" s="33" t="s">
        <v>27</v>
      </c>
      <c r="BL1078" s="33" t="s">
        <v>9</v>
      </c>
      <c r="BM1078" s="33" t="s">
        <v>23</v>
      </c>
      <c r="BN1078" s="33" t="s">
        <v>12</v>
      </c>
      <c r="BO1078" s="33" t="s">
        <v>26</v>
      </c>
      <c r="BP1078" s="33" t="s">
        <v>25</v>
      </c>
      <c r="BQ1078" s="33" t="s">
        <v>27</v>
      </c>
      <c r="BR1078" s="33" t="s">
        <v>9</v>
      </c>
      <c r="BS1078" s="33" t="s">
        <v>23</v>
      </c>
      <c r="BT1078" s="33" t="s">
        <v>12</v>
      </c>
      <c r="BU1078" s="33" t="s">
        <v>26</v>
      </c>
      <c r="BV1078" s="33" t="s">
        <v>25</v>
      </c>
      <c r="BW1078" s="33" t="s">
        <v>27</v>
      </c>
      <c r="BX1078" s="33" t="s">
        <v>9</v>
      </c>
      <c r="BY1078" s="33" t="s">
        <v>23</v>
      </c>
      <c r="BZ1078" s="33" t="s">
        <v>12</v>
      </c>
      <c r="CA1078" s="33" t="s">
        <v>26</v>
      </c>
      <c r="CB1078" s="33" t="s">
        <v>25</v>
      </c>
      <c r="CC1078" s="33" t="s">
        <v>27</v>
      </c>
      <c r="CD1078" s="33" t="s">
        <v>9</v>
      </c>
      <c r="CE1078" s="33" t="s">
        <v>23</v>
      </c>
      <c r="CF1078" s="33" t="s">
        <v>12</v>
      </c>
      <c r="CG1078" s="33" t="s">
        <v>26</v>
      </c>
      <c r="CH1078" s="33" t="s">
        <v>25</v>
      </c>
      <c r="CI1078" s="8"/>
    </row>
    <row r="1079" spans="1:87" x14ac:dyDescent="0.2">
      <c r="A1079" s="8" t="str">
        <f>IF(AND(COUNTIF(W$3:W$13,A$15)&gt;0,A$15&lt;&gt;B1054),A$15,IFERROR(IF(MATCH(A$15,Z$3:Z$13,0)=2,A$15," ")," "))</f>
        <v xml:space="preserve"> </v>
      </c>
      <c r="B1079" s="8" t="str">
        <f>IF(A1079=" "," ",1)</f>
        <v xml:space="preserve"> </v>
      </c>
      <c r="C1079" s="8" t="str">
        <f>IFERROR(INDEX(A1079:A1100,MATCH(SMALL(B1079:B1100,1),B1079:B1100,0),1)," ")</f>
        <v>C2</v>
      </c>
      <c r="D1079" s="8">
        <f>IFERROR(VLOOKUP($C1079,$A$15:$O$36,2,FALSE)," ")</f>
        <v>1</v>
      </c>
      <c r="E1079" s="8">
        <f>IFERROR(VLOOKUP($C1079,$A$15:$O$36,3,FALSE)," ")</f>
        <v>3</v>
      </c>
      <c r="F1079" s="8">
        <f>IFERROR(VLOOKUP($C1079,$A$15:$O$36,4,FALSE)," ")</f>
        <v>2</v>
      </c>
      <c r="G1079" s="8">
        <f>IFERROR(VLOOKUP($C1079,$A$15:$O$36,5,FALSE)," ")</f>
        <v>0</v>
      </c>
      <c r="H1079" s="8">
        <f>IFERROR(VLOOKUP($C1079,$A$15:$O$36,6,FALSE)," ")</f>
        <v>0</v>
      </c>
      <c r="I1079" s="8">
        <f>IFERROR(VLOOKUP($C1079,$A$15:$O$36,7,FALSE)," ")</f>
        <v>0</v>
      </c>
      <c r="J1079" s="8">
        <f>IFERROR(VLOOKUP($C1079,$A$15:$O$36,8,FALSE)," ")</f>
        <v>0</v>
      </c>
      <c r="K1079" s="8">
        <f>IFERROR(VLOOKUP($C1079,$A$15:$O$36,9,FALSE)," ")</f>
        <v>0</v>
      </c>
      <c r="L1079" s="8">
        <f>IFERROR(VLOOKUP($C1079,$A$15:$O$36,10,FALSE)," ")</f>
        <v>0</v>
      </c>
      <c r="M1079" s="8">
        <f>IFERROR(VLOOKUP($C1079,$A$15:$O$36,11,FALSE)," ")</f>
        <v>0</v>
      </c>
      <c r="N1079" s="8">
        <f>IFERROR(VLOOKUP($C1079,$A$15:$O$36,12,FALSE)," ")</f>
        <v>0</v>
      </c>
      <c r="O1079" s="8">
        <f>IFERROR(VLOOKUP($C1079,$A$15:$O$36,15,FALSE)," ")</f>
        <v>1000</v>
      </c>
      <c r="P1079" s="8" t="e">
        <f t="array" ref="P1079:P1089">MMULT(MINVERSE(D1079:N1089),O1079:O1089)</f>
        <v>#NUM!</v>
      </c>
      <c r="Q1079" s="8" t="e">
        <f t="shared" ref="Q1079" si="4553">IF(COUNTIF(P1079:P1089,"&lt;"&amp;-0.001)=0,IF(ABS(P1079)&lt;0.001,0,P1079)," ")</f>
        <v>#NUM!</v>
      </c>
      <c r="R1079" s="8" t="str">
        <f>IFERROR(VLOOKUP(B1054,A$15:L$36,2,FALSE)*Q1079+VLOOKUP(B1054,A$15:L$36,3,FALSE)*Q1080+VLOOKUP(B1054,A$15:L$36,4,FALSE)*Q1081+VLOOKUP(B1054,A$15:L$36,5,FALSE)*Q1082+VLOOKUP(B1054,A$15:L$36,6,FALSE)*Q1083+VLOOKUP(B1054,A$15:L$36,7,FALSE)*Q1084+VLOOKUP(B1054,A$15:L$36,8,FALSE)*Q1085+VLOOKUP(B1054,A$15:L$36,9,FALSE)*Q1086+VLOOKUP(B1054,A$15:L$36,10,FALSE)*Q1087+VLOOKUP(B1054,A$15:L$36,11,FALSE)*Q1088+VLOOKUP(B1054,A$15:L$36,12,FALSE)*Q1089," ")</f>
        <v xml:space="preserve"> </v>
      </c>
      <c r="S1079" s="8" t="str">
        <f>IFERROR(IF(R1079-VLOOKUP(B1054,A$15:O$36,15,FALSE)&lt;0,R1079-VLOOKUP(B1054,A$15:O$36,15,FALSE)," ")," ")</f>
        <v xml:space="preserve"> </v>
      </c>
      <c r="T1079" s="18" t="str">
        <f>IFERROR(IF(R1079-VLOOKUP(B1054,A$15:O$36,15,FALSE)&gt;0,R1079-VLOOKUP(B1054,A$15:O$36,15,FALSE)," ")," ")</f>
        <v xml:space="preserve"> </v>
      </c>
      <c r="U1079" s="34">
        <f t="shared" ref="U1079" si="4554">$M$2</f>
        <v>100.00000000000001</v>
      </c>
      <c r="V1079" s="34">
        <v>-1</v>
      </c>
      <c r="W1079" s="34">
        <f t="shared" ref="W1079" si="4555">-SUMPRODUCT($M$3:$M$12,$N$3:$N$12)</f>
        <v>-105000</v>
      </c>
      <c r="X1079" s="34" t="e">
        <f t="shared" ref="X1079" si="4556">IF(U1079&lt;&gt;U1080,MMULT(MINVERSE(U1079:V1080),W1079:W1080)," ")</f>
        <v>#NUM!</v>
      </c>
      <c r="Y1079" s="34" t="str">
        <f t="shared" ref="Y1079" si="4557">IFERROR(IF(X1079-VLOOKUP(U$38,$A$2:$N$12,14,FALSE)&lt;0,X1079-VLOOKUP(U$38,$A$2:$N$12,14,FALSE)," ")," ")</f>
        <v xml:space="preserve"> </v>
      </c>
      <c r="Z1079" s="34" t="str">
        <f t="shared" ref="Z1079" si="4558">IFERROR(IF(X1079-VLOOKUP(U$38,$A$2:$N$12,14,FALSE)&gt;0,X1079-VLOOKUP(U$38,$A$2:$N$12,14,FALSE)," ")," ")</f>
        <v xml:space="preserve"> </v>
      </c>
      <c r="AA1079" s="34">
        <f t="shared" ref="AA1079" si="4559">$M$3</f>
        <v>0</v>
      </c>
      <c r="AB1079" s="34">
        <v>-1</v>
      </c>
      <c r="AC1079" s="34">
        <f t="shared" ref="AC1079" si="4560">-SUMPRODUCT($M$2:$M$2,$N$2:$N$2)-SUMPRODUCT($M$4:$M$12,$N$4:$N$12)</f>
        <v>-120000</v>
      </c>
      <c r="AD1079" s="34" t="e">
        <f t="shared" ref="AD1079" si="4561">IF(AA1079&lt;&gt;AA1080,MMULT(MINVERSE(AA1079:AB1080),AC1079:AC1080)," ")</f>
        <v>#NUM!</v>
      </c>
      <c r="AE1079" s="34" t="str">
        <f t="shared" ref="AE1079" si="4562">IFERROR(IF(AD1079-VLOOKUP(AA$38,$A$2:$N$12,14,FALSE)&lt;0,AD1079-VLOOKUP(AA$38,$A$2:$N$12,14,FALSE)," ")," ")</f>
        <v xml:space="preserve"> </v>
      </c>
      <c r="AF1079" s="34" t="str">
        <f t="shared" ref="AF1079" si="4563">IFERROR(IF(AD1079-VLOOKUP(AA$38,$A$2:$N$12,14,FALSE)&gt;0,AD1079-VLOOKUP(AA$38,$A$2:$N$12,14,FALSE)," ")," ")</f>
        <v xml:space="preserve"> </v>
      </c>
      <c r="AG1079" s="34">
        <f t="shared" ref="AG1079" si="4564">$M$4</f>
        <v>300</v>
      </c>
      <c r="AH1079" s="34">
        <v>-1</v>
      </c>
      <c r="AI1079" s="34">
        <f t="shared" ref="AI1079" si="4565">-SUMPRODUCT($M$2:$M$3,$N$2:$N$3)-SUMPRODUCT($M$5:$M$12,$N$5:$N$12)</f>
        <v>-15000.000000000002</v>
      </c>
      <c r="AJ1079" s="34" t="e">
        <f t="shared" ref="AJ1079" si="4566">IF(AG1079&lt;&gt;AG1080,MMULT(MINVERSE(AG1079:AH1080),AI1079:AI1080)," ")</f>
        <v>#NUM!</v>
      </c>
      <c r="AK1079" s="34" t="str">
        <f t="shared" ref="AK1079" si="4567">IFERROR(IF(AJ1079-VLOOKUP(AG$38,$A$2:$N$12,14,FALSE)&lt;0,AJ1079-VLOOKUP(AG$38,$A$2:$N$12,14,FALSE)," ")," ")</f>
        <v xml:space="preserve"> </v>
      </c>
      <c r="AL1079" s="34" t="str">
        <f t="shared" ref="AL1079" si="4568">IFERROR(IF(AJ1079-VLOOKUP(AG$38,$A$2:$N$12,14,FALSE)&gt;0,AJ1079-VLOOKUP(AG$38,$A$2:$N$12,14,FALSE)," ")," ")</f>
        <v xml:space="preserve"> </v>
      </c>
      <c r="AM1079" s="34">
        <f t="shared" ref="AM1079" si="4569">$M$5</f>
        <v>0</v>
      </c>
      <c r="AN1079" s="34">
        <v>-1</v>
      </c>
      <c r="AO1079" s="34">
        <f t="shared" ref="AO1079" si="4570">-SUMPRODUCT($M$2:$M$4,$N$2:$N$4)-SUMPRODUCT($M$6:$M$12,$N$6:$N$12)</f>
        <v>-120000</v>
      </c>
      <c r="AP1079" s="34" t="e">
        <f t="shared" ref="AP1079" si="4571">IF(AM1079&lt;&gt;AM1080,MMULT(MINVERSE(AM1079:AN1080),AO1079:AO1080)," ")</f>
        <v>#NUM!</v>
      </c>
      <c r="AQ1079" s="34" t="str">
        <f t="shared" ref="AQ1079" si="4572">IFERROR(IF(AP1079-VLOOKUP(AM$38,$A$2:$N$12,14,FALSE)&lt;0,AP1079-VLOOKUP(AM$38,$A$2:$N$12,14,FALSE)," ")," ")</f>
        <v xml:space="preserve"> </v>
      </c>
      <c r="AR1079" s="34" t="str">
        <f t="shared" ref="AR1079" si="4573">IFERROR(IF(AP1079-VLOOKUP(AM$38,$A$2:$N$12,14,FALSE)&gt;0,AP1079-VLOOKUP(AM$38,$A$2:$N$12,14,FALSE)," ")," ")</f>
        <v xml:space="preserve"> </v>
      </c>
      <c r="AS1079" s="34">
        <f t="shared" ref="AS1079" si="4574">$M$6</f>
        <v>0</v>
      </c>
      <c r="AT1079" s="34">
        <v>-1</v>
      </c>
      <c r="AU1079" s="34">
        <f t="shared" ref="AU1079" si="4575">-SUMPRODUCT($M$2:$M$5,$N$2:$N$5)-SUMPRODUCT($M$7:$M$12,$N$7:$N$12)</f>
        <v>-120000</v>
      </c>
      <c r="AV1079" s="34" t="e">
        <f t="shared" ref="AV1079" si="4576">IF(AS1079&lt;&gt;AS1080,MMULT(MINVERSE(AS1079:AT1080),AU1079:AU1080)," ")</f>
        <v>#NUM!</v>
      </c>
      <c r="AW1079" s="34" t="str">
        <f t="shared" ref="AW1079" si="4577">IFERROR(IF(AV1079-VLOOKUP(AS$38,$A$2:$N$12,14,FALSE)&lt;0,AV1079-VLOOKUP(AS$38,$A$2:$N$12,14,FALSE)," ")," ")</f>
        <v xml:space="preserve"> </v>
      </c>
      <c r="AX1079" s="34" t="str">
        <f t="shared" ref="AX1079" si="4578">IFERROR(IF(AV1079-VLOOKUP(AS$38,$A$2:$N$12,14,FALSE)&gt;0,AV1079-VLOOKUP(AS$38,$A$2:$N$12,14,FALSE)," ")," ")</f>
        <v xml:space="preserve"> </v>
      </c>
      <c r="AY1079" s="34">
        <f t="shared" ref="AY1079" si="4579">$M$7</f>
        <v>0</v>
      </c>
      <c r="AZ1079" s="34">
        <v>-1</v>
      </c>
      <c r="BA1079" s="34">
        <f t="shared" ref="BA1079" si="4580">-SUMPRODUCT($M$2:$M$6,$N$2:$N$6)-SUMPRODUCT($M$8:$M$12,$N$8:$N$12)</f>
        <v>-120000</v>
      </c>
      <c r="BB1079" s="34" t="e">
        <f t="shared" ref="BB1079" si="4581">IF(AY1079&lt;&gt;AY1080,MMULT(MINVERSE(AY1079:AZ1080),BA1079:BA1080)," ")</f>
        <v>#NUM!</v>
      </c>
      <c r="BC1079" s="34" t="str">
        <f t="shared" ref="BC1079" si="4582">IFERROR(IF(BB1079-VLOOKUP(AY$38,$A$2:$N$12,14,FALSE)&lt;0,BB1079-VLOOKUP(AY$38,$A$2:$N$12,14,FALSE)," ")," ")</f>
        <v xml:space="preserve"> </v>
      </c>
      <c r="BD1079" s="34" t="str">
        <f t="shared" ref="BD1079" si="4583">IFERROR(IF(BB1079-VLOOKUP(AY$38,$A$2:$N$12,14,FALSE)&gt;0,BB1079-VLOOKUP(AY$38,$A$2:$N$12,14,FALSE)," ")," ")</f>
        <v xml:space="preserve"> </v>
      </c>
      <c r="BE1079" s="34">
        <f t="shared" ref="BE1079" si="4584">$M$8</f>
        <v>0</v>
      </c>
      <c r="BF1079" s="34">
        <v>-1</v>
      </c>
      <c r="BG1079" s="34">
        <f t="shared" ref="BG1079" si="4585">-SUMPRODUCT($M$2:$M$7,$N$2:$N$7)-SUMPRODUCT($M$9:$M$12,$N$9:$N$12)</f>
        <v>-120000</v>
      </c>
      <c r="BH1079" s="34" t="e">
        <f t="shared" ref="BH1079" si="4586">IF(BE1079&lt;&gt;BE1080,MMULT(MINVERSE(BE1079:BF1080),BG1079:BG1080)," ")</f>
        <v>#NUM!</v>
      </c>
      <c r="BI1079" s="34" t="str">
        <f t="shared" ref="BI1079" si="4587">IFERROR(IF(BH1079-VLOOKUP(BE$38,$A$2:$N$12,14,FALSE)&lt;0,BH1079-VLOOKUP(BE$38,$A$2:$N$12,14,FALSE)," ")," ")</f>
        <v xml:space="preserve"> </v>
      </c>
      <c r="BJ1079" s="34" t="str">
        <f t="shared" ref="BJ1079" si="4588">IFERROR(IF(BH1079-VLOOKUP(BE$38,$A$2:$N$12,14,FALSE)&gt;0,BH1079-VLOOKUP(BE$38,$A$2:$N$12,14,FALSE)," ")," ")</f>
        <v xml:space="preserve"> </v>
      </c>
      <c r="BK1079" s="34">
        <f t="shared" ref="BK1079" si="4589">$M$9</f>
        <v>0</v>
      </c>
      <c r="BL1079" s="34">
        <v>-1</v>
      </c>
      <c r="BM1079" s="34">
        <f t="shared" ref="BM1079" si="4590">-SUMPRODUCT($M$2:$M$8,$N$2:$N$8)-SUMPRODUCT($M$10:$M$12,$N$10:$N$12)</f>
        <v>-120000</v>
      </c>
      <c r="BN1079" s="34" t="e">
        <f t="shared" ref="BN1079" si="4591">IF(BK1079&lt;&gt;BK1080,MMULT(MINVERSE(BK1079:BL1080),BM1079:BM1080)," ")</f>
        <v>#NUM!</v>
      </c>
      <c r="BO1079" s="34" t="str">
        <f t="shared" ref="BO1079" si="4592">IFERROR(IF(BN1079-VLOOKUP(BK$38,$A$2:$N$12,14,FALSE)&lt;0,BN1079-VLOOKUP(BK$38,$A$2:$N$12,14,FALSE)," ")," ")</f>
        <v xml:space="preserve"> </v>
      </c>
      <c r="BP1079" s="34" t="str">
        <f t="shared" ref="BP1079" si="4593">IFERROR(IF(BN1079-VLOOKUP(BK$38,$A$2:$N$12,14,FALSE)&gt;0,BN1079-VLOOKUP(BK$38,$A$2:$N$12,14,FALSE)," ")," ")</f>
        <v xml:space="preserve"> </v>
      </c>
      <c r="BQ1079" s="34">
        <f t="shared" ref="BQ1079" si="4594">$M$10</f>
        <v>0</v>
      </c>
      <c r="BR1079" s="34">
        <v>-1</v>
      </c>
      <c r="BS1079" s="34">
        <f t="shared" ref="BS1079" si="4595">-SUMPRODUCT($M$2:$M$9,$N$2:$N$9)-SUMPRODUCT($M$11:$M$12,$N$11:$N$12)</f>
        <v>-120000</v>
      </c>
      <c r="BT1079" s="34" t="e">
        <f t="shared" ref="BT1079" si="4596">IF(BQ1079&lt;&gt;BQ1080,MMULT(MINVERSE(BQ1079:BR1080),BS1079:BS1080)," ")</f>
        <v>#NUM!</v>
      </c>
      <c r="BU1079" s="34" t="str">
        <f t="shared" ref="BU1079" si="4597">IFERROR(IF(BT1079-VLOOKUP(BQ$38,$A$2:$N$12,14,FALSE)&lt;0,BT1079-VLOOKUP(BQ$38,$A$2:$N$12,14,FALSE)," ")," ")</f>
        <v xml:space="preserve"> </v>
      </c>
      <c r="BV1079" s="34" t="str">
        <f t="shared" ref="BV1079" si="4598">IFERROR(IF(BT1079-VLOOKUP(BQ$38,$A$2:$N$12,14,FALSE)&gt;0,BT1079-VLOOKUP(BQ$38,$A$2:$N$12,14,FALSE)," ")," ")</f>
        <v xml:space="preserve"> </v>
      </c>
      <c r="BW1079" s="34">
        <f t="shared" ref="BW1079" si="4599">$M$11</f>
        <v>0</v>
      </c>
      <c r="BX1079" s="34">
        <v>-1</v>
      </c>
      <c r="BY1079" s="34">
        <f t="shared" ref="BY1079" si="4600">-SUMPRODUCT($M$2:$M$10,$N$2:$N$10)-SUMPRODUCT($M$12,$N$12)</f>
        <v>-120000</v>
      </c>
      <c r="BZ1079" s="34" t="e">
        <f t="shared" ref="BZ1079" si="4601">IF(BW1079&lt;&gt;BW1080,MMULT(MINVERSE(BW1079:BX1080),BY1079:BY1080)," ")</f>
        <v>#NUM!</v>
      </c>
      <c r="CA1079" s="34" t="str">
        <f t="shared" ref="CA1079" si="4602">IFERROR(IF(BZ1079-VLOOKUP(BW$38,$A$2:$N$12,14,FALSE)&lt;0,BZ1079-VLOOKUP(BW$38,$A$2:$N$12,14,FALSE)," ")," ")</f>
        <v xml:space="preserve"> </v>
      </c>
      <c r="CB1079" s="34" t="str">
        <f t="shared" ref="CB1079" si="4603">IFERROR(IF(BZ1079-VLOOKUP(BW$38,$A$2:$N$12,14,FALSE)&gt;0,BZ1079-VLOOKUP(BW$38,$A$2:$N$12,14,FALSE)," ")," ")</f>
        <v xml:space="preserve"> </v>
      </c>
      <c r="CC1079" s="34">
        <f t="shared" ref="CC1079" si="4604">$M$12</f>
        <v>0</v>
      </c>
      <c r="CD1079" s="34">
        <v>-1</v>
      </c>
      <c r="CE1079" s="34">
        <f t="shared" ref="CE1079" si="4605">-SUMPRODUCT($M$2:$M$11,$N$2:$N$11)</f>
        <v>-120000</v>
      </c>
      <c r="CF1079" s="34" t="e">
        <f t="shared" ref="CF1079" si="4606">IF(CC1079&lt;&gt;CC1080,MMULT(MINVERSE(CC1079:CD1080),CE1079:CE1080)," ")</f>
        <v>#NUM!</v>
      </c>
      <c r="CG1079" s="34" t="str">
        <f t="shared" ref="CG1079" si="4607">IFERROR(IF(CF1079-VLOOKUP(CC$38,$A$2:$N$12,14,FALSE)&lt;0,CF1079-VLOOKUP(CC$38,$A$2:$N$12,14,FALSE)," ")," ")</f>
        <v xml:space="preserve"> </v>
      </c>
      <c r="CH1079" s="34" t="str">
        <f t="shared" ref="CH1079" si="4608">IFERROR(IF(CF1079-VLOOKUP(CC$38,$A$2:$N$12,14,FALSE)&gt;0,CF1079-VLOOKUP(CC$38,$A$2:$N$12,14,FALSE)," ")," ")</f>
        <v xml:space="preserve"> </v>
      </c>
      <c r="CI1079" s="8"/>
    </row>
    <row r="1080" spans="1:87" x14ac:dyDescent="0.2">
      <c r="A1080" s="8" t="str">
        <f>IF(AND(COUNTIF(W$3:W$13,A$16)&gt;0,A$16&lt;&gt;B1054),A$16,IFERROR(IF(MATCH(A$16,Z$3:Z$13,0)=2,A$16," ")," "))</f>
        <v>C2</v>
      </c>
      <c r="B1080" s="8">
        <f>IF(A1080=" "," ",MAX(B1079:B1079)+1)</f>
        <v>1</v>
      </c>
      <c r="C1080" s="8" t="str">
        <f>IFERROR(INDEX(A1079:A1100,MATCH(SMALL(B1079:B1100,2),B1079:B1100,0),1)," ")</f>
        <v>C3</v>
      </c>
      <c r="D1080" s="8">
        <f t="shared" ref="D1080:D1089" si="4609">IFERROR(VLOOKUP($C1080,$A$15:$O$36,2,FALSE)," ")</f>
        <v>2</v>
      </c>
      <c r="E1080" s="8">
        <f t="shared" ref="E1080:E1089" si="4610">IFERROR(VLOOKUP($C1080,$A$15:$O$36,3,FALSE)," ")</f>
        <v>5</v>
      </c>
      <c r="F1080" s="8">
        <f t="shared" ref="F1080:F1089" si="4611">IFERROR(VLOOKUP($C1080,$A$15:$O$36,4,FALSE)," ")</f>
        <v>6</v>
      </c>
      <c r="G1080" s="8">
        <f t="shared" ref="G1080:G1089" si="4612">IFERROR(VLOOKUP($C1080,$A$15:$O$36,5,FALSE)," ")</f>
        <v>0</v>
      </c>
      <c r="H1080" s="8">
        <f t="shared" ref="H1080:H1089" si="4613">IFERROR(VLOOKUP($C1080,$A$15:$O$36,6,FALSE)," ")</f>
        <v>0</v>
      </c>
      <c r="I1080" s="8">
        <f t="shared" ref="I1080:I1089" si="4614">IFERROR(VLOOKUP($C1080,$A$15:$O$36,7,FALSE)," ")</f>
        <v>0</v>
      </c>
      <c r="J1080" s="8">
        <f t="shared" ref="J1080:J1089" si="4615">IFERROR(VLOOKUP($C1080,$A$15:$O$36,8,FALSE)," ")</f>
        <v>0</v>
      </c>
      <c r="K1080" s="8">
        <f t="shared" ref="K1080:K1089" si="4616">IFERROR(VLOOKUP($C1080,$A$15:$O$36,9,FALSE)," ")</f>
        <v>0</v>
      </c>
      <c r="L1080" s="8">
        <f t="shared" ref="L1080:L1089" si="4617">IFERROR(VLOOKUP($C1080,$A$15:$O$36,10,FALSE)," ")</f>
        <v>0</v>
      </c>
      <c r="M1080" s="8">
        <f t="shared" ref="M1080:M1089" si="4618">IFERROR(VLOOKUP($C1080,$A$15:$O$36,11,FALSE)," ")</f>
        <v>0</v>
      </c>
      <c r="N1080" s="8">
        <f t="shared" ref="N1080:N1089" si="4619">IFERROR(VLOOKUP($C1080,$A$15:$O$36,12,FALSE)," ")</f>
        <v>0</v>
      </c>
      <c r="O1080" s="8">
        <f t="shared" ref="O1080:O1089" si="4620">IFERROR(VLOOKUP($C1080,$A$15:$O$36,15,FALSE)," ")</f>
        <v>2000</v>
      </c>
      <c r="P1080" s="8" t="e">
        <v>#NUM!</v>
      </c>
      <c r="Q1080" s="8" t="e">
        <f t="shared" ref="Q1080" si="4621">IF(COUNTIF(P1079:P1089,"&lt;"&amp;-0.001)=0,IF(ABS(P1080)&lt;0.001,0,P1080)," ")</f>
        <v>#NUM!</v>
      </c>
      <c r="R1080" s="8"/>
      <c r="S1080" s="8"/>
      <c r="U1080" s="34" t="e">
        <f t="shared" ref="U1080" si="4622">$Q1079</f>
        <v>#NUM!</v>
      </c>
      <c r="V1080" s="34">
        <v>-1</v>
      </c>
      <c r="W1080" s="34" t="e">
        <f t="shared" ref="W1080" si="4623">-SUMPRODUCT($Q1080:$Q1089,$N$3:$N$12)</f>
        <v>#NUM!</v>
      </c>
      <c r="X1080" s="34"/>
      <c r="Y1080" s="34"/>
      <c r="Z1080" s="34"/>
      <c r="AA1080" s="34" t="e">
        <f t="shared" ref="AA1080" si="4624">$Q1080</f>
        <v>#NUM!</v>
      </c>
      <c r="AB1080" s="34">
        <v>-1</v>
      </c>
      <c r="AC1080" s="34" t="e">
        <f t="shared" ref="AC1080" si="4625">-SUMPRODUCT($Q1079:$Q1079,$N$2:$N$2)-SUMPRODUCT($Q1081:$Q1089,$N$4:$N$12)</f>
        <v>#NUM!</v>
      </c>
      <c r="AD1080" s="34"/>
      <c r="AE1080" s="34"/>
      <c r="AF1080" s="34"/>
      <c r="AG1080" s="34" t="e">
        <f t="shared" ref="AG1080" si="4626">$Q1081</f>
        <v>#NUM!</v>
      </c>
      <c r="AH1080" s="34">
        <v>-1</v>
      </c>
      <c r="AI1080" s="34" t="e">
        <f t="shared" ref="AI1080" si="4627">-SUMPRODUCT($Q1079:$Q1080,$N$2:$N$3)-SUMPRODUCT($Q1082:$Q1089,$N$5:$N$12)</f>
        <v>#NUM!</v>
      </c>
      <c r="AJ1080" s="34"/>
      <c r="AK1080" s="34"/>
      <c r="AL1080" s="34"/>
      <c r="AM1080" s="34" t="e">
        <f t="shared" ref="AM1080" si="4628">$Q1082</f>
        <v>#NUM!</v>
      </c>
      <c r="AN1080" s="34">
        <v>-1</v>
      </c>
      <c r="AO1080" s="34" t="e">
        <f t="shared" ref="AO1080" si="4629">-SUMPRODUCT($Q1079:$Q1081,$N$2:$N$4)-SUMPRODUCT($Q1083:$Q1089,$N$6:$N$12)</f>
        <v>#NUM!</v>
      </c>
      <c r="AP1080" s="34"/>
      <c r="AQ1080" s="34"/>
      <c r="AR1080" s="34"/>
      <c r="AS1080" s="34" t="e">
        <f t="shared" ref="AS1080" si="4630">$Q1083</f>
        <v>#NUM!</v>
      </c>
      <c r="AT1080" s="34">
        <v>-1</v>
      </c>
      <c r="AU1080" s="34" t="e">
        <f t="shared" ref="AU1080" si="4631">-SUMPRODUCT($Q1079:$Q1082,$N$2:$N$5)-SUMPRODUCT($Q1084:$Q1089,$N$7:$N$12)</f>
        <v>#NUM!</v>
      </c>
      <c r="AV1080" s="34"/>
      <c r="AW1080" s="34"/>
      <c r="AX1080" s="34"/>
      <c r="AY1080" s="34" t="e">
        <f t="shared" ref="AY1080" si="4632">$Q1084</f>
        <v>#NUM!</v>
      </c>
      <c r="AZ1080" s="34">
        <v>-1</v>
      </c>
      <c r="BA1080" s="34" t="e">
        <f t="shared" ref="BA1080" si="4633">-SUMPRODUCT($Q1079:$Q1083,$N$2:$N$6)-SUMPRODUCT($Q1085:$Q1089,$N$8:$N$12)</f>
        <v>#NUM!</v>
      </c>
      <c r="BB1080" s="34"/>
      <c r="BC1080" s="34"/>
      <c r="BD1080" s="34"/>
      <c r="BE1080" s="34" t="e">
        <f t="shared" ref="BE1080" si="4634">$Q1085</f>
        <v>#NUM!</v>
      </c>
      <c r="BF1080" s="34">
        <v>-1</v>
      </c>
      <c r="BG1080" s="34" t="e">
        <f t="shared" ref="BG1080" si="4635">-SUMPRODUCT($Q1079:$Q1084,$N$2:$N$7)-SUMPRODUCT($Q1086:$Q1089,$N$9:$N$12)</f>
        <v>#NUM!</v>
      </c>
      <c r="BH1080" s="34"/>
      <c r="BI1080" s="34"/>
      <c r="BJ1080" s="34"/>
      <c r="BK1080" s="34" t="e">
        <f t="shared" ref="BK1080" si="4636">$Q1086</f>
        <v>#NUM!</v>
      </c>
      <c r="BL1080" s="34">
        <v>-1</v>
      </c>
      <c r="BM1080" s="34" t="e">
        <f t="shared" ref="BM1080" si="4637">-SUMPRODUCT($Q1079:$Q1085,$N$2:$N$8)-SUMPRODUCT($Q1087:$Q1089,$N$10:$N$12)</f>
        <v>#NUM!</v>
      </c>
      <c r="BN1080" s="34"/>
      <c r="BO1080" s="34"/>
      <c r="BP1080" s="34"/>
      <c r="BQ1080" s="34" t="e">
        <f t="shared" ref="BQ1080" si="4638">$Q1087</f>
        <v>#NUM!</v>
      </c>
      <c r="BR1080" s="34">
        <v>-1</v>
      </c>
      <c r="BS1080" s="34" t="e">
        <f t="shared" ref="BS1080" si="4639">-SUMPRODUCT($Q1079:$Q1086,$N$2:$N$9)-SUMPRODUCT($Q1088:$Q1089,$N$11:$N$12)</f>
        <v>#NUM!</v>
      </c>
      <c r="BT1080" s="34"/>
      <c r="BU1080" s="34"/>
      <c r="BV1080" s="34"/>
      <c r="BW1080" s="34" t="e">
        <f t="shared" ref="BW1080" si="4640">$Q1088</f>
        <v>#NUM!</v>
      </c>
      <c r="BX1080" s="34">
        <v>-1</v>
      </c>
      <c r="BY1080" s="34" t="e">
        <f t="shared" ref="BY1080" si="4641">-SUMPRODUCT($Q1079:$Q1087,$N$2:$N$10)-SUMPRODUCT($Q1089,$N$12)</f>
        <v>#NUM!</v>
      </c>
      <c r="BZ1080" s="34"/>
      <c r="CA1080" s="34"/>
      <c r="CB1080" s="34"/>
      <c r="CC1080" s="34" t="e">
        <f t="shared" ref="CC1080" si="4642">$Q1089</f>
        <v>#NUM!</v>
      </c>
      <c r="CD1080" s="34">
        <v>-1</v>
      </c>
      <c r="CE1080" s="34" t="e">
        <f t="shared" ref="CE1080" si="4643">-SUMPRODUCT($Q1079:$Q1088,$N$2:$N$11)</f>
        <v>#NUM!</v>
      </c>
      <c r="CF1080" s="34"/>
      <c r="CG1080" s="34"/>
      <c r="CH1080" s="34"/>
      <c r="CI1080" s="8"/>
    </row>
    <row r="1081" spans="1:87" x14ac:dyDescent="0.2">
      <c r="A1081" s="8" t="str">
        <f>IF(AND(COUNTIF(W$3:W$13,A$17)&gt;0,A$17&lt;&gt;B1054),A$17,IFERROR(IF(MATCH(A$17,Z$3:Z$13,0)=2,A$17," ")," "))</f>
        <v>C3</v>
      </c>
      <c r="B1081" s="8">
        <f>IF(A1081=" "," ",MAX(B1079:B1080)+1)</f>
        <v>2</v>
      </c>
      <c r="C1081" s="8" t="str">
        <f>IFERROR(INDEX(A1079:A1100,MATCH(SMALL(B1079:B1100,3),B1079:B1100,0),1)," ")</f>
        <v>C4</v>
      </c>
      <c r="D1081" s="8">
        <f t="shared" si="4609"/>
        <v>1</v>
      </c>
      <c r="E1081" s="8">
        <f t="shared" si="4610"/>
        <v>0</v>
      </c>
      <c r="F1081" s="8">
        <f t="shared" si="4611"/>
        <v>1</v>
      </c>
      <c r="G1081" s="8">
        <f t="shared" si="4612"/>
        <v>0</v>
      </c>
      <c r="H1081" s="8">
        <f t="shared" si="4613"/>
        <v>0</v>
      </c>
      <c r="I1081" s="8">
        <f t="shared" si="4614"/>
        <v>0</v>
      </c>
      <c r="J1081" s="8">
        <f t="shared" si="4615"/>
        <v>0</v>
      </c>
      <c r="K1081" s="8">
        <f t="shared" si="4616"/>
        <v>0</v>
      </c>
      <c r="L1081" s="8">
        <f t="shared" si="4617"/>
        <v>0</v>
      </c>
      <c r="M1081" s="8">
        <f t="shared" si="4618"/>
        <v>0</v>
      </c>
      <c r="N1081" s="8">
        <f t="shared" si="4619"/>
        <v>0</v>
      </c>
      <c r="O1081" s="8">
        <f t="shared" si="4620"/>
        <v>400</v>
      </c>
      <c r="P1081" s="8" t="e">
        <v>#NUM!</v>
      </c>
      <c r="Q1081" s="8" t="e">
        <f t="shared" ref="Q1081" si="4644">IF(COUNTIF(P1079:P1089,"&lt;"&amp;-0.001)=0,IF(ABS(P1081)&lt;0.001,0,P1081)," ")</f>
        <v>#NUM!</v>
      </c>
      <c r="R1081" s="8"/>
      <c r="S1081" s="8"/>
      <c r="U1081" s="34"/>
      <c r="V1081" s="34"/>
      <c r="W1081" s="34"/>
      <c r="X1081" s="34"/>
      <c r="Y1081" s="34"/>
      <c r="Z1081" s="34"/>
      <c r="AA1081" s="34"/>
      <c r="AB1081" s="34"/>
      <c r="AC1081" s="34"/>
      <c r="AD1081" s="34"/>
      <c r="AE1081" s="34"/>
      <c r="AF1081" s="34"/>
      <c r="AG1081" s="34"/>
      <c r="AH1081" s="34"/>
      <c r="AI1081" s="34"/>
      <c r="AJ1081" s="34"/>
      <c r="AK1081" s="34"/>
      <c r="AL1081" s="34"/>
      <c r="AM1081" s="34"/>
      <c r="AN1081" s="34"/>
      <c r="AO1081" s="34"/>
      <c r="AP1081" s="34"/>
      <c r="AQ1081" s="34"/>
      <c r="AR1081" s="34"/>
      <c r="AS1081" s="34"/>
      <c r="AT1081" s="34"/>
      <c r="AU1081" s="34"/>
      <c r="AV1081" s="34"/>
      <c r="AW1081" s="34"/>
      <c r="AX1081" s="34"/>
      <c r="AY1081" s="34"/>
      <c r="AZ1081" s="34"/>
      <c r="BA1081" s="34"/>
      <c r="BB1081" s="34"/>
      <c r="BC1081" s="34"/>
      <c r="BD1081" s="34"/>
      <c r="BE1081" s="34"/>
      <c r="BF1081" s="34"/>
      <c r="BG1081" s="34"/>
      <c r="BH1081" s="34"/>
      <c r="BI1081" s="34"/>
      <c r="BJ1081" s="34"/>
      <c r="BK1081" s="34"/>
      <c r="BL1081" s="34"/>
      <c r="BM1081" s="34"/>
      <c r="BN1081" s="34"/>
      <c r="BO1081" s="34"/>
      <c r="BP1081" s="34"/>
      <c r="BQ1081" s="34"/>
      <c r="BR1081" s="34"/>
      <c r="BS1081" s="34"/>
      <c r="BT1081" s="34"/>
      <c r="BU1081" s="34"/>
      <c r="BV1081" s="34"/>
      <c r="BW1081" s="34"/>
      <c r="BX1081" s="34"/>
      <c r="BY1081" s="34"/>
      <c r="BZ1081" s="34"/>
      <c r="CA1081" s="34"/>
      <c r="CB1081" s="34"/>
      <c r="CC1081" s="34"/>
      <c r="CD1081" s="34"/>
      <c r="CE1081" s="34"/>
      <c r="CF1081" s="34"/>
      <c r="CG1081" s="34"/>
      <c r="CH1081" s="34"/>
      <c r="CI1081" s="8"/>
    </row>
    <row r="1082" spans="1:87" x14ac:dyDescent="0.2">
      <c r="A1082" s="8" t="str">
        <f>IF(AND(COUNTIF(W$3:W$13,A$18)&gt;0,A$18&lt;&gt;B1054),A$18,IFERROR(IF(MATCH(A$18,Z$3:Z$13,0)=2,A$18," ")," "))</f>
        <v>C4</v>
      </c>
      <c r="B1082" s="8">
        <f>IF(A1082=" "," ",MAX(B1079:B1081)+1)</f>
        <v>3</v>
      </c>
      <c r="C1082" s="8" t="str">
        <f>IFERROR(INDEX(A1079:A1100,MATCH(SMALL(B1079:B1100,4),B1079:B1100,0),1)," ")</f>
        <v>C13</v>
      </c>
      <c r="D1082" s="8">
        <f t="shared" si="4609"/>
        <v>0</v>
      </c>
      <c r="E1082" s="8">
        <f t="shared" si="4610"/>
        <v>1</v>
      </c>
      <c r="F1082" s="8">
        <f t="shared" si="4611"/>
        <v>0</v>
      </c>
      <c r="G1082" s="8">
        <f t="shared" si="4612"/>
        <v>0</v>
      </c>
      <c r="H1082" s="8">
        <f t="shared" si="4613"/>
        <v>0</v>
      </c>
      <c r="I1082" s="8">
        <f t="shared" si="4614"/>
        <v>0</v>
      </c>
      <c r="J1082" s="8">
        <f t="shared" si="4615"/>
        <v>0</v>
      </c>
      <c r="K1082" s="8">
        <f t="shared" si="4616"/>
        <v>0</v>
      </c>
      <c r="L1082" s="8">
        <f t="shared" si="4617"/>
        <v>0</v>
      </c>
      <c r="M1082" s="8">
        <f t="shared" si="4618"/>
        <v>0</v>
      </c>
      <c r="N1082" s="8">
        <f t="shared" si="4619"/>
        <v>0</v>
      </c>
      <c r="O1082" s="8">
        <f t="shared" si="4620"/>
        <v>0</v>
      </c>
      <c r="P1082" s="8" t="e">
        <v>#NUM!</v>
      </c>
      <c r="Q1082" s="8" t="e">
        <f t="shared" ref="Q1082" si="4645">IF(COUNTIF(P1079:P1089,"&lt;"&amp;-0.001)=0,IF(ABS(P1082)&lt;0.001,0,P1082)," ")</f>
        <v>#NUM!</v>
      </c>
      <c r="R1082" s="8"/>
      <c r="S1082" s="8"/>
      <c r="U1082" s="34"/>
      <c r="V1082" s="34"/>
      <c r="W1082" s="34"/>
      <c r="X1082" s="34"/>
      <c r="Y1082" s="34"/>
      <c r="Z1082" s="34"/>
      <c r="AA1082" s="34"/>
      <c r="AB1082" s="34"/>
      <c r="AC1082" s="34"/>
      <c r="AD1082" s="34"/>
      <c r="AE1082" s="34"/>
      <c r="AF1082" s="34"/>
      <c r="AG1082" s="34"/>
      <c r="AH1082" s="34"/>
      <c r="AI1082" s="34"/>
      <c r="AJ1082" s="34"/>
      <c r="AK1082" s="34"/>
      <c r="AL1082" s="34"/>
      <c r="AM1082" s="34"/>
      <c r="AN1082" s="34"/>
      <c r="AO1082" s="34"/>
      <c r="AP1082" s="34"/>
      <c r="AQ1082" s="34"/>
      <c r="AR1082" s="34"/>
      <c r="AS1082" s="34"/>
      <c r="AT1082" s="34"/>
      <c r="AU1082" s="34"/>
      <c r="AV1082" s="34"/>
      <c r="AW1082" s="34"/>
      <c r="AX1082" s="34"/>
      <c r="AY1082" s="34"/>
      <c r="AZ1082" s="34"/>
      <c r="BA1082" s="34"/>
      <c r="BB1082" s="34"/>
      <c r="BC1082" s="34"/>
      <c r="BD1082" s="34"/>
      <c r="BE1082" s="34"/>
      <c r="BF1082" s="34"/>
      <c r="BG1082" s="34"/>
      <c r="BH1082" s="34"/>
      <c r="BI1082" s="34"/>
      <c r="BJ1082" s="34"/>
      <c r="BK1082" s="34"/>
      <c r="BL1082" s="34"/>
      <c r="BM1082" s="34"/>
      <c r="BN1082" s="34"/>
      <c r="BO1082" s="34"/>
      <c r="BP1082" s="34"/>
      <c r="BQ1082" s="34"/>
      <c r="BR1082" s="34"/>
      <c r="BS1082" s="34"/>
      <c r="BT1082" s="34"/>
      <c r="BU1082" s="34"/>
      <c r="BV1082" s="34"/>
      <c r="BW1082" s="34"/>
      <c r="BX1082" s="34"/>
      <c r="BY1082" s="34"/>
      <c r="BZ1082" s="34"/>
      <c r="CA1082" s="34"/>
      <c r="CB1082" s="34"/>
      <c r="CC1082" s="34"/>
      <c r="CD1082" s="34"/>
      <c r="CE1082" s="34"/>
      <c r="CF1082" s="34"/>
      <c r="CG1082" s="34"/>
      <c r="CH1082" s="34"/>
      <c r="CI1082" s="8"/>
    </row>
    <row r="1083" spans="1:87" x14ac:dyDescent="0.2">
      <c r="A1083" s="8" t="str">
        <f>IF(AND(COUNTIF(W$3:W$13,A$19)&gt;0,A$19&lt;&gt;B1054),A$19,IFERROR(IF(MATCH(A$19,Z$3:Z$13,0)=2,A$19," ")," "))</f>
        <v xml:space="preserve"> </v>
      </c>
      <c r="B1083" s="8" t="str">
        <f>IF(A1083=" "," ",MAX(B1079:B1082)+1)</f>
        <v xml:space="preserve"> </v>
      </c>
      <c r="C1083" s="8" t="str">
        <f>IFERROR(INDEX(A1079:A1100,MATCH(SMALL(B1079:B1100,5),B1079:B1100,0),1)," ")</f>
        <v>C15</v>
      </c>
      <c r="D1083" s="8">
        <f t="shared" si="4609"/>
        <v>0</v>
      </c>
      <c r="E1083" s="8">
        <f t="shared" si="4610"/>
        <v>0</v>
      </c>
      <c r="F1083" s="8">
        <f t="shared" si="4611"/>
        <v>0</v>
      </c>
      <c r="G1083" s="8">
        <f t="shared" si="4612"/>
        <v>1</v>
      </c>
      <c r="H1083" s="8">
        <f t="shared" si="4613"/>
        <v>0</v>
      </c>
      <c r="I1083" s="8">
        <f t="shared" si="4614"/>
        <v>0</v>
      </c>
      <c r="J1083" s="8">
        <f t="shared" si="4615"/>
        <v>0</v>
      </c>
      <c r="K1083" s="8">
        <f t="shared" si="4616"/>
        <v>0</v>
      </c>
      <c r="L1083" s="8">
        <f t="shared" si="4617"/>
        <v>0</v>
      </c>
      <c r="M1083" s="8">
        <f t="shared" si="4618"/>
        <v>0</v>
      </c>
      <c r="N1083" s="8">
        <f t="shared" si="4619"/>
        <v>0</v>
      </c>
      <c r="O1083" s="8">
        <f t="shared" si="4620"/>
        <v>0</v>
      </c>
      <c r="P1083" s="8" t="e">
        <v>#NUM!</v>
      </c>
      <c r="Q1083" s="8" t="e">
        <f t="shared" ref="Q1083" si="4646">IF(COUNTIF(P1079:P1089,"&lt;"&amp;-0.001)=0,IF(ABS(P1083)&lt;0.001,0,P1083)," ")</f>
        <v>#NUM!</v>
      </c>
      <c r="R1083" s="8"/>
      <c r="S1083" s="8"/>
      <c r="U1083" s="34"/>
      <c r="V1083" s="34"/>
      <c r="W1083" s="34"/>
      <c r="X1083" s="34"/>
      <c r="Y1083" s="34"/>
      <c r="Z1083" s="34"/>
      <c r="AA1083" s="34"/>
      <c r="AB1083" s="34"/>
      <c r="AC1083" s="34"/>
      <c r="AD1083" s="34"/>
      <c r="AE1083" s="34"/>
      <c r="AF1083" s="34"/>
      <c r="AG1083" s="34"/>
      <c r="AH1083" s="34"/>
      <c r="AI1083" s="34"/>
      <c r="AJ1083" s="34"/>
      <c r="AK1083" s="34"/>
      <c r="AL1083" s="34"/>
      <c r="AM1083" s="34"/>
      <c r="AN1083" s="34"/>
      <c r="AO1083" s="34"/>
      <c r="AP1083" s="34"/>
      <c r="AQ1083" s="34"/>
      <c r="AR1083" s="34"/>
      <c r="AS1083" s="34"/>
      <c r="AT1083" s="34"/>
      <c r="AU1083" s="34"/>
      <c r="AV1083" s="34"/>
      <c r="AW1083" s="34"/>
      <c r="AX1083" s="34"/>
      <c r="AY1083" s="34"/>
      <c r="AZ1083" s="34"/>
      <c r="BA1083" s="34"/>
      <c r="BB1083" s="34"/>
      <c r="BC1083" s="34"/>
      <c r="BD1083" s="34"/>
      <c r="BE1083" s="34"/>
      <c r="BF1083" s="34"/>
      <c r="BG1083" s="34"/>
      <c r="BH1083" s="34"/>
      <c r="BI1083" s="34"/>
      <c r="BJ1083" s="34"/>
      <c r="BK1083" s="34"/>
      <c r="BL1083" s="34"/>
      <c r="BM1083" s="34"/>
      <c r="BN1083" s="34"/>
      <c r="BO1083" s="34"/>
      <c r="BP1083" s="34"/>
      <c r="BQ1083" s="34"/>
      <c r="BR1083" s="34"/>
      <c r="BS1083" s="34"/>
      <c r="BT1083" s="34"/>
      <c r="BU1083" s="34"/>
      <c r="BV1083" s="34"/>
      <c r="BW1083" s="34"/>
      <c r="BX1083" s="34"/>
      <c r="BY1083" s="34"/>
      <c r="BZ1083" s="34"/>
      <c r="CA1083" s="34"/>
      <c r="CB1083" s="34"/>
      <c r="CC1083" s="34"/>
      <c r="CD1083" s="34"/>
      <c r="CE1083" s="34"/>
      <c r="CF1083" s="34"/>
      <c r="CG1083" s="34"/>
      <c r="CH1083" s="34"/>
      <c r="CI1083" s="8"/>
    </row>
    <row r="1084" spans="1:87" x14ac:dyDescent="0.2">
      <c r="A1084" s="8" t="str">
        <f>IF(AND(COUNTIF(W$3:W$13,A$20)&gt;0,A$20&lt;&gt;B1054),A$20,IFERROR(IF(MATCH(A$20,Z$3:Z$13,0)=2,A$20," ")," "))</f>
        <v xml:space="preserve"> </v>
      </c>
      <c r="B1084" s="8" t="str">
        <f>IF(A1084=" "," ",MAX(B1079:B1083)+1)</f>
        <v xml:space="preserve"> </v>
      </c>
      <c r="C1084" s="8" t="str">
        <f>IFERROR(INDEX(A1079:A1100,MATCH(SMALL(B1079:B1100,6),B1079:B1100,0),1)," ")</f>
        <v>C17</v>
      </c>
      <c r="D1084" s="8">
        <f t="shared" si="4609"/>
        <v>0</v>
      </c>
      <c r="E1084" s="8">
        <f t="shared" si="4610"/>
        <v>0</v>
      </c>
      <c r="F1084" s="8">
        <f t="shared" si="4611"/>
        <v>0</v>
      </c>
      <c r="G1084" s="8">
        <f t="shared" si="4612"/>
        <v>0</v>
      </c>
      <c r="H1084" s="8">
        <f t="shared" si="4613"/>
        <v>0</v>
      </c>
      <c r="I1084" s="8">
        <f t="shared" si="4614"/>
        <v>1</v>
      </c>
      <c r="J1084" s="8">
        <f t="shared" si="4615"/>
        <v>0</v>
      </c>
      <c r="K1084" s="8">
        <f t="shared" si="4616"/>
        <v>0</v>
      </c>
      <c r="L1084" s="8">
        <f t="shared" si="4617"/>
        <v>0</v>
      </c>
      <c r="M1084" s="8">
        <f t="shared" si="4618"/>
        <v>0</v>
      </c>
      <c r="N1084" s="8">
        <f t="shared" si="4619"/>
        <v>0</v>
      </c>
      <c r="O1084" s="8">
        <f t="shared" si="4620"/>
        <v>0</v>
      </c>
      <c r="P1084" s="8" t="e">
        <v>#NUM!</v>
      </c>
      <c r="Q1084" s="8" t="e">
        <f t="shared" ref="Q1084" si="4647">IF(COUNTIF(P1079:P1089,"&lt;"&amp;-0.001)=0,IF(ABS(P1084)&lt;0.001,0,P1084)," ")</f>
        <v>#NUM!</v>
      </c>
      <c r="R1084" s="8"/>
      <c r="S1084" s="8"/>
      <c r="U1084" s="34"/>
      <c r="V1084" s="34"/>
      <c r="W1084" s="34"/>
      <c r="X1084" s="34"/>
      <c r="Y1084" s="34"/>
      <c r="Z1084" s="34"/>
      <c r="AA1084" s="34"/>
      <c r="AB1084" s="34"/>
      <c r="AC1084" s="34"/>
      <c r="AD1084" s="34"/>
      <c r="AE1084" s="34"/>
      <c r="AF1084" s="34"/>
      <c r="AG1084" s="34"/>
      <c r="AH1084" s="34"/>
      <c r="AI1084" s="34"/>
      <c r="AJ1084" s="34"/>
      <c r="AK1084" s="34"/>
      <c r="AL1084" s="34"/>
      <c r="AM1084" s="34"/>
      <c r="AN1084" s="34"/>
      <c r="AO1084" s="34"/>
      <c r="AP1084" s="34"/>
      <c r="AQ1084" s="34"/>
      <c r="AR1084" s="34"/>
      <c r="AS1084" s="34"/>
      <c r="AT1084" s="34"/>
      <c r="AU1084" s="34"/>
      <c r="AV1084" s="34"/>
      <c r="AW1084" s="34"/>
      <c r="AX1084" s="34"/>
      <c r="AY1084" s="34"/>
      <c r="AZ1084" s="34"/>
      <c r="BA1084" s="34"/>
      <c r="BB1084" s="34"/>
      <c r="BC1084" s="34"/>
      <c r="BD1084" s="34"/>
      <c r="BE1084" s="34"/>
      <c r="BF1084" s="34"/>
      <c r="BG1084" s="34"/>
      <c r="BH1084" s="34"/>
      <c r="BI1084" s="34"/>
      <c r="BJ1084" s="34"/>
      <c r="BK1084" s="34"/>
      <c r="BL1084" s="34"/>
      <c r="BM1084" s="34"/>
      <c r="BN1084" s="34"/>
      <c r="BO1084" s="34"/>
      <c r="BP1084" s="34"/>
      <c r="BQ1084" s="34"/>
      <c r="BR1084" s="34"/>
      <c r="BS1084" s="34"/>
      <c r="BT1084" s="34"/>
      <c r="BU1084" s="34"/>
      <c r="BV1084" s="34"/>
      <c r="BW1084" s="34"/>
      <c r="BX1084" s="34"/>
      <c r="BY1084" s="34"/>
      <c r="BZ1084" s="34"/>
      <c r="CA1084" s="34"/>
      <c r="CB1084" s="34"/>
      <c r="CC1084" s="34"/>
      <c r="CD1084" s="34"/>
      <c r="CE1084" s="34"/>
      <c r="CF1084" s="34"/>
      <c r="CG1084" s="34"/>
      <c r="CH1084" s="34"/>
      <c r="CI1084" s="8"/>
    </row>
    <row r="1085" spans="1:87" x14ac:dyDescent="0.2">
      <c r="A1085" s="8" t="str">
        <f>IF(AND(COUNTIF(W$3:W$13,A$21)&gt;0,A$21&lt;&gt;B1054),A$21,IFERROR(IF(MATCH(A$21,Z$3:Z$13,0)=2,A$21," ")," "))</f>
        <v xml:space="preserve"> </v>
      </c>
      <c r="B1085" s="8" t="str">
        <f>IF(A1085=" "," ",MAX(B1079:B1084)+1)</f>
        <v xml:space="preserve"> </v>
      </c>
      <c r="C1085" s="8" t="str">
        <f>IFERROR(INDEX(A1079:A1100,MATCH(SMALL(B1079:B1100,7),B1079:B1100,0),1)," ")</f>
        <v>C18</v>
      </c>
      <c r="D1085" s="8">
        <f t="shared" si="4609"/>
        <v>0</v>
      </c>
      <c r="E1085" s="8">
        <f t="shared" si="4610"/>
        <v>0</v>
      </c>
      <c r="F1085" s="8">
        <f t="shared" si="4611"/>
        <v>0</v>
      </c>
      <c r="G1085" s="8">
        <f t="shared" si="4612"/>
        <v>0</v>
      </c>
      <c r="H1085" s="8">
        <f t="shared" si="4613"/>
        <v>0</v>
      </c>
      <c r="I1085" s="8">
        <f t="shared" si="4614"/>
        <v>0</v>
      </c>
      <c r="J1085" s="8">
        <f t="shared" si="4615"/>
        <v>1</v>
      </c>
      <c r="K1085" s="8">
        <f t="shared" si="4616"/>
        <v>0</v>
      </c>
      <c r="L1085" s="8">
        <f t="shared" si="4617"/>
        <v>0</v>
      </c>
      <c r="M1085" s="8">
        <f t="shared" si="4618"/>
        <v>0</v>
      </c>
      <c r="N1085" s="8">
        <f t="shared" si="4619"/>
        <v>0</v>
      </c>
      <c r="O1085" s="8">
        <f t="shared" si="4620"/>
        <v>0</v>
      </c>
      <c r="P1085" s="8" t="e">
        <v>#NUM!</v>
      </c>
      <c r="Q1085" s="8" t="e">
        <f t="shared" ref="Q1085" si="4648">IF(COUNTIF(P1079:P1089,"&lt;"&amp;-0.001)=0,IF(ABS(P1085)&lt;0.001,0,P1085)," ")</f>
        <v>#NUM!</v>
      </c>
      <c r="R1085" s="8"/>
      <c r="S1085" s="8"/>
      <c r="U1085" s="34"/>
      <c r="V1085" s="34"/>
      <c r="W1085" s="34"/>
      <c r="X1085" s="34"/>
      <c r="Y1085" s="34"/>
      <c r="Z1085" s="34"/>
      <c r="AA1085" s="34"/>
      <c r="AB1085" s="34"/>
      <c r="AC1085" s="34"/>
      <c r="AD1085" s="34"/>
      <c r="AE1085" s="34"/>
      <c r="AF1085" s="34"/>
      <c r="AG1085" s="34"/>
      <c r="AH1085" s="34"/>
      <c r="AI1085" s="34"/>
      <c r="AJ1085" s="34"/>
      <c r="AK1085" s="34"/>
      <c r="AL1085" s="34"/>
      <c r="AM1085" s="34"/>
      <c r="AN1085" s="34"/>
      <c r="AO1085" s="34"/>
      <c r="AP1085" s="34"/>
      <c r="AQ1085" s="34"/>
      <c r="AR1085" s="34"/>
      <c r="AS1085" s="34"/>
      <c r="AT1085" s="34"/>
      <c r="AU1085" s="34"/>
      <c r="AV1085" s="34"/>
      <c r="AW1085" s="34"/>
      <c r="AX1085" s="34"/>
      <c r="AY1085" s="34"/>
      <c r="AZ1085" s="34"/>
      <c r="BA1085" s="34"/>
      <c r="BB1085" s="34"/>
      <c r="BC1085" s="34"/>
      <c r="BD1085" s="34"/>
      <c r="BE1085" s="34"/>
      <c r="BF1085" s="34"/>
      <c r="BG1085" s="34"/>
      <c r="BH1085" s="34"/>
      <c r="BI1085" s="34"/>
      <c r="BJ1085" s="34"/>
      <c r="BK1085" s="34"/>
      <c r="BL1085" s="34"/>
      <c r="BM1085" s="34"/>
      <c r="BN1085" s="34"/>
      <c r="BO1085" s="34"/>
      <c r="BP1085" s="34"/>
      <c r="BQ1085" s="34"/>
      <c r="BR1085" s="34"/>
      <c r="BS1085" s="34"/>
      <c r="BT1085" s="34"/>
      <c r="BU1085" s="34"/>
      <c r="BV1085" s="34"/>
      <c r="BW1085" s="34"/>
      <c r="BX1085" s="34"/>
      <c r="BY1085" s="34"/>
      <c r="BZ1085" s="34"/>
      <c r="CA1085" s="34"/>
      <c r="CB1085" s="34"/>
      <c r="CC1085" s="34"/>
      <c r="CD1085" s="34"/>
      <c r="CE1085" s="34"/>
      <c r="CF1085" s="34"/>
      <c r="CG1085" s="34"/>
      <c r="CH1085" s="34"/>
      <c r="CI1085" s="8"/>
    </row>
    <row r="1086" spans="1:87" x14ac:dyDescent="0.2">
      <c r="A1086" s="8" t="str">
        <f>IF(AND(COUNTIF(W$3:W$13,A$22)&gt;0,A$22&lt;&gt;B1054),A$22,IFERROR(IF(MATCH(A$22,Z$3:Z$13,0)=2,A$22," ")," "))</f>
        <v xml:space="preserve"> </v>
      </c>
      <c r="B1086" s="8" t="str">
        <f>IF(A1086=" "," ",MAX(B1079:B1085)+1)</f>
        <v xml:space="preserve"> </v>
      </c>
      <c r="C1086" s="8" t="str">
        <f>IFERROR(INDEX(A1079:A1100,MATCH(SMALL(B1079:B1100,8),B1079:B1100,0),1)," ")</f>
        <v>C19</v>
      </c>
      <c r="D1086" s="8">
        <f t="shared" si="4609"/>
        <v>0</v>
      </c>
      <c r="E1086" s="8">
        <f t="shared" si="4610"/>
        <v>0</v>
      </c>
      <c r="F1086" s="8">
        <f t="shared" si="4611"/>
        <v>0</v>
      </c>
      <c r="G1086" s="8">
        <f t="shared" si="4612"/>
        <v>0</v>
      </c>
      <c r="H1086" s="8">
        <f t="shared" si="4613"/>
        <v>0</v>
      </c>
      <c r="I1086" s="8">
        <f t="shared" si="4614"/>
        <v>0</v>
      </c>
      <c r="J1086" s="8">
        <f t="shared" si="4615"/>
        <v>0</v>
      </c>
      <c r="K1086" s="8">
        <f t="shared" si="4616"/>
        <v>1</v>
      </c>
      <c r="L1086" s="8">
        <f t="shared" si="4617"/>
        <v>0</v>
      </c>
      <c r="M1086" s="8">
        <f t="shared" si="4618"/>
        <v>0</v>
      </c>
      <c r="N1086" s="8">
        <f t="shared" si="4619"/>
        <v>0</v>
      </c>
      <c r="O1086" s="8">
        <f t="shared" si="4620"/>
        <v>0</v>
      </c>
      <c r="P1086" s="8" t="e">
        <v>#NUM!</v>
      </c>
      <c r="Q1086" s="8" t="e">
        <f t="shared" ref="Q1086" si="4649">IF(COUNTIF(P1079:P1089,"&lt;"&amp;-0.001)=0,IF(ABS(P1086)&lt;0.001,0,P1086)," ")</f>
        <v>#NUM!</v>
      </c>
      <c r="R1086" s="8"/>
      <c r="S1086" s="8"/>
      <c r="U1086" s="34"/>
      <c r="V1086" s="34"/>
      <c r="W1086" s="34"/>
      <c r="X1086" s="34"/>
      <c r="Y1086" s="34"/>
      <c r="Z1086" s="34"/>
      <c r="AA1086" s="34"/>
      <c r="AB1086" s="34"/>
      <c r="AC1086" s="34"/>
      <c r="AD1086" s="34"/>
      <c r="AE1086" s="34"/>
      <c r="AF1086" s="34"/>
      <c r="AG1086" s="34"/>
      <c r="AH1086" s="34"/>
      <c r="AI1086" s="34"/>
      <c r="AJ1086" s="34"/>
      <c r="AK1086" s="34"/>
      <c r="AL1086" s="34"/>
      <c r="AM1086" s="34"/>
      <c r="AN1086" s="34"/>
      <c r="AO1086" s="34"/>
      <c r="AP1086" s="34"/>
      <c r="AQ1086" s="34"/>
      <c r="AR1086" s="34"/>
      <c r="AS1086" s="34"/>
      <c r="AT1086" s="34"/>
      <c r="AU1086" s="34"/>
      <c r="AV1086" s="34"/>
      <c r="AW1086" s="34"/>
      <c r="AX1086" s="34"/>
      <c r="AY1086" s="34"/>
      <c r="AZ1086" s="34"/>
      <c r="BA1086" s="34"/>
      <c r="BB1086" s="34"/>
      <c r="BC1086" s="34"/>
      <c r="BD1086" s="34"/>
      <c r="BE1086" s="34"/>
      <c r="BF1086" s="34"/>
      <c r="BG1086" s="34"/>
      <c r="BH1086" s="34"/>
      <c r="BI1086" s="34"/>
      <c r="BJ1086" s="34"/>
      <c r="BK1086" s="34"/>
      <c r="BL1086" s="34"/>
      <c r="BM1086" s="34"/>
      <c r="BN1086" s="34"/>
      <c r="BO1086" s="34"/>
      <c r="BP1086" s="34"/>
      <c r="BQ1086" s="34"/>
      <c r="BR1086" s="34"/>
      <c r="BS1086" s="34"/>
      <c r="BT1086" s="34"/>
      <c r="BU1086" s="34"/>
      <c r="BV1086" s="34"/>
      <c r="BW1086" s="34"/>
      <c r="BX1086" s="34"/>
      <c r="BY1086" s="34"/>
      <c r="BZ1086" s="34"/>
      <c r="CA1086" s="34"/>
      <c r="CB1086" s="34"/>
      <c r="CC1086" s="34"/>
      <c r="CD1086" s="34"/>
      <c r="CE1086" s="34"/>
      <c r="CF1086" s="34"/>
      <c r="CG1086" s="34"/>
      <c r="CH1086" s="34"/>
      <c r="CI1086" s="8"/>
    </row>
    <row r="1087" spans="1:87" x14ac:dyDescent="0.2">
      <c r="A1087" s="8" t="str">
        <f>IF(AND(COUNTIF(W$3:W$13,A$23)&gt;0,A$23&lt;&gt;B1054),A$23,IFERROR(IF(MATCH(A$23,Z$3:Z$13,0)=2,A$23," ")," "))</f>
        <v xml:space="preserve"> </v>
      </c>
      <c r="B1087" s="8" t="str">
        <f>IF(A1087=" "," ",MAX(B1079:B1086)+1)</f>
        <v xml:space="preserve"> </v>
      </c>
      <c r="C1087" s="8" t="str">
        <f>IFERROR(INDEX(A1079:A1100,MATCH(SMALL(B1079:B1100,9),B1079:B1100,0),1)," ")</f>
        <v>C20</v>
      </c>
      <c r="D1087" s="8">
        <f t="shared" si="4609"/>
        <v>0</v>
      </c>
      <c r="E1087" s="8">
        <f t="shared" si="4610"/>
        <v>0</v>
      </c>
      <c r="F1087" s="8">
        <f t="shared" si="4611"/>
        <v>0</v>
      </c>
      <c r="G1087" s="8">
        <f t="shared" si="4612"/>
        <v>0</v>
      </c>
      <c r="H1087" s="8">
        <f t="shared" si="4613"/>
        <v>0</v>
      </c>
      <c r="I1087" s="8">
        <f t="shared" si="4614"/>
        <v>0</v>
      </c>
      <c r="J1087" s="8">
        <f t="shared" si="4615"/>
        <v>0</v>
      </c>
      <c r="K1087" s="8">
        <f t="shared" si="4616"/>
        <v>0</v>
      </c>
      <c r="L1087" s="8">
        <f t="shared" si="4617"/>
        <v>1</v>
      </c>
      <c r="M1087" s="8">
        <f t="shared" si="4618"/>
        <v>0</v>
      </c>
      <c r="N1087" s="8">
        <f t="shared" si="4619"/>
        <v>0</v>
      </c>
      <c r="O1087" s="8">
        <f t="shared" si="4620"/>
        <v>0</v>
      </c>
      <c r="P1087" s="6" t="e">
        <v>#NUM!</v>
      </c>
      <c r="Q1087" s="8" t="e">
        <f t="shared" ref="Q1087" si="4650">IF(COUNTIF(P1079:P1089,"&lt;"&amp;-0.001)=0,IF(ABS(P1087)&lt;0.001,0,P1087)," ")</f>
        <v>#NUM!</v>
      </c>
      <c r="R1087" s="12"/>
      <c r="S1087" s="12"/>
      <c r="T1087" s="21"/>
      <c r="U1087" s="34"/>
      <c r="V1087" s="34"/>
      <c r="W1087" s="34"/>
      <c r="X1087" s="34"/>
      <c r="Y1087" s="34"/>
      <c r="Z1087" s="34"/>
      <c r="AA1087" s="34"/>
      <c r="AB1087" s="34"/>
      <c r="AC1087" s="34"/>
      <c r="AD1087" s="34"/>
      <c r="AE1087" s="34"/>
      <c r="AF1087" s="34"/>
      <c r="AG1087" s="34"/>
      <c r="AH1087" s="34"/>
      <c r="AI1087" s="34"/>
      <c r="AJ1087" s="34"/>
      <c r="AK1087" s="34"/>
      <c r="AL1087" s="34"/>
      <c r="AM1087" s="34"/>
      <c r="AN1087" s="34"/>
      <c r="AO1087" s="34"/>
      <c r="AP1087" s="34"/>
      <c r="AQ1087" s="34"/>
      <c r="AR1087" s="34"/>
      <c r="AS1087" s="34"/>
      <c r="AT1087" s="34"/>
      <c r="AU1087" s="34"/>
      <c r="AV1087" s="34"/>
      <c r="AW1087" s="34"/>
      <c r="AX1087" s="34"/>
      <c r="AY1087" s="34"/>
      <c r="AZ1087" s="34"/>
      <c r="BA1087" s="34"/>
      <c r="BB1087" s="34"/>
      <c r="BC1087" s="34"/>
      <c r="BD1087" s="34"/>
      <c r="BE1087" s="34"/>
      <c r="BF1087" s="34"/>
      <c r="BG1087" s="34"/>
      <c r="BH1087" s="34"/>
      <c r="BI1087" s="34"/>
      <c r="BJ1087" s="34"/>
      <c r="BK1087" s="34"/>
      <c r="BL1087" s="34"/>
      <c r="BM1087" s="34"/>
      <c r="BN1087" s="34"/>
      <c r="BO1087" s="34"/>
      <c r="BP1087" s="34"/>
      <c r="BQ1087" s="34"/>
      <c r="BR1087" s="34"/>
      <c r="BS1087" s="34"/>
      <c r="BT1087" s="34"/>
      <c r="BU1087" s="34"/>
      <c r="BV1087" s="34"/>
      <c r="BW1087" s="34"/>
      <c r="BX1087" s="34"/>
      <c r="BY1087" s="34"/>
      <c r="BZ1087" s="34"/>
      <c r="CA1087" s="34"/>
      <c r="CB1087" s="34"/>
      <c r="CC1087" s="34"/>
      <c r="CD1087" s="34"/>
      <c r="CE1087" s="34"/>
      <c r="CF1087" s="34"/>
      <c r="CG1087" s="34"/>
      <c r="CH1087" s="34"/>
      <c r="CI1087" s="8"/>
    </row>
    <row r="1088" spans="1:87" x14ac:dyDescent="0.2">
      <c r="A1088" s="8" t="str">
        <f>IF(AND(COUNTIF(W$3:W$13,A$24)&gt;0,A$24&lt;&gt;B1054),A$24,IFERROR(IF(MATCH(A$24,Z$3:Z$13,0)=2,A$24," ")," "))</f>
        <v xml:space="preserve"> </v>
      </c>
      <c r="B1088" s="8" t="str">
        <f>IF(A1088=" "," ",MAX(B1079:B1087)+1)</f>
        <v xml:space="preserve"> </v>
      </c>
      <c r="C1088" s="8" t="str">
        <f>IFERROR(INDEX(A1079:A1100,MATCH(SMALL(B1079:B1100,10),B1079:B1100,0),1)," ")</f>
        <v>C21</v>
      </c>
      <c r="D1088" s="8">
        <f t="shared" si="4609"/>
        <v>0</v>
      </c>
      <c r="E1088" s="8">
        <f t="shared" si="4610"/>
        <v>0</v>
      </c>
      <c r="F1088" s="8">
        <f t="shared" si="4611"/>
        <v>0</v>
      </c>
      <c r="G1088" s="8">
        <f t="shared" si="4612"/>
        <v>0</v>
      </c>
      <c r="H1088" s="8">
        <f t="shared" si="4613"/>
        <v>0</v>
      </c>
      <c r="I1088" s="8">
        <f t="shared" si="4614"/>
        <v>0</v>
      </c>
      <c r="J1088" s="8">
        <f t="shared" si="4615"/>
        <v>0</v>
      </c>
      <c r="K1088" s="8">
        <f t="shared" si="4616"/>
        <v>0</v>
      </c>
      <c r="L1088" s="8">
        <f t="shared" si="4617"/>
        <v>0</v>
      </c>
      <c r="M1088" s="8">
        <f t="shared" si="4618"/>
        <v>1</v>
      </c>
      <c r="N1088" s="8">
        <f t="shared" si="4619"/>
        <v>0</v>
      </c>
      <c r="O1088" s="8">
        <f t="shared" si="4620"/>
        <v>0</v>
      </c>
      <c r="P1088" s="8" t="e">
        <v>#NUM!</v>
      </c>
      <c r="Q1088" s="8" t="e">
        <f t="shared" ref="Q1088" si="4651">IF(COUNTIF(P1079:P1089,"&lt;"&amp;-0.001)=0,IF(ABS(P1088)&lt;0.001,0,P1088)," ")</f>
        <v>#NUM!</v>
      </c>
      <c r="R1088" s="8"/>
      <c r="S1088" s="8"/>
      <c r="U1088" s="34"/>
      <c r="V1088" s="34"/>
      <c r="W1088" s="34"/>
      <c r="X1088" s="34"/>
      <c r="Y1088" s="34"/>
      <c r="Z1088" s="34"/>
      <c r="AA1088" s="34"/>
      <c r="AB1088" s="34"/>
      <c r="AC1088" s="34"/>
      <c r="AD1088" s="34"/>
      <c r="AE1088" s="34"/>
      <c r="AF1088" s="34"/>
      <c r="AG1088" s="34"/>
      <c r="AH1088" s="34"/>
      <c r="AI1088" s="34"/>
      <c r="AJ1088" s="34"/>
      <c r="AK1088" s="34"/>
      <c r="AL1088" s="34"/>
      <c r="AM1088" s="34"/>
      <c r="AN1088" s="34"/>
      <c r="AO1088" s="34"/>
      <c r="AP1088" s="34"/>
      <c r="AQ1088" s="34"/>
      <c r="AR1088" s="34"/>
      <c r="AS1088" s="34"/>
      <c r="AT1088" s="34"/>
      <c r="AU1088" s="34"/>
      <c r="AV1088" s="34"/>
      <c r="AW1088" s="34"/>
      <c r="AX1088" s="34"/>
      <c r="AY1088" s="34"/>
      <c r="AZ1088" s="34"/>
      <c r="BA1088" s="34"/>
      <c r="BB1088" s="34"/>
      <c r="BC1088" s="34"/>
      <c r="BD1088" s="34"/>
      <c r="BE1088" s="34"/>
      <c r="BF1088" s="34"/>
      <c r="BG1088" s="34"/>
      <c r="BH1088" s="34"/>
      <c r="BI1088" s="34"/>
      <c r="BJ1088" s="34"/>
      <c r="BK1088" s="34"/>
      <c r="BL1088" s="34"/>
      <c r="BM1088" s="34"/>
      <c r="BN1088" s="34"/>
      <c r="BO1088" s="34"/>
      <c r="BP1088" s="34"/>
      <c r="BQ1088" s="34"/>
      <c r="BR1088" s="34"/>
      <c r="BS1088" s="34"/>
      <c r="BT1088" s="34"/>
      <c r="BU1088" s="34"/>
      <c r="BV1088" s="34"/>
      <c r="BW1088" s="34"/>
      <c r="BX1088" s="34"/>
      <c r="BY1088" s="34"/>
      <c r="BZ1088" s="34"/>
      <c r="CA1088" s="34"/>
      <c r="CB1088" s="34"/>
      <c r="CC1088" s="34"/>
      <c r="CD1088" s="34"/>
      <c r="CE1088" s="34"/>
      <c r="CF1088" s="34"/>
      <c r="CG1088" s="34"/>
      <c r="CH1088" s="34"/>
      <c r="CI1088" s="8"/>
    </row>
    <row r="1089" spans="1:87" x14ac:dyDescent="0.2">
      <c r="A1089" s="8" t="str">
        <f>IF(AND(COUNTIF(W$3:W$13,A$25)&gt;0,A$25&lt;&gt;B1054),A$25,IFERROR(IF(MATCH(A$25,Z$3:Z$13,0)=2,A$25," ")," "))</f>
        <v xml:space="preserve"> </v>
      </c>
      <c r="B1089" s="8" t="str">
        <f>IF(A1089=" "," ",MAX(B1079:B1088)+1)</f>
        <v xml:space="preserve"> </v>
      </c>
      <c r="C1089" s="8" t="str">
        <f>IFERROR(INDEX(A1079:A1100,MATCH(SMALL(B1079:B1100,11),B1079:B1100,0),1)," ")</f>
        <v>C22</v>
      </c>
      <c r="D1089" s="8">
        <f t="shared" si="4609"/>
        <v>0</v>
      </c>
      <c r="E1089" s="8">
        <f t="shared" si="4610"/>
        <v>0</v>
      </c>
      <c r="F1089" s="8">
        <f t="shared" si="4611"/>
        <v>0</v>
      </c>
      <c r="G1089" s="8">
        <f t="shared" si="4612"/>
        <v>0</v>
      </c>
      <c r="H1089" s="8">
        <f t="shared" si="4613"/>
        <v>0</v>
      </c>
      <c r="I1089" s="8">
        <f t="shared" si="4614"/>
        <v>0</v>
      </c>
      <c r="J1089" s="8">
        <f t="shared" si="4615"/>
        <v>0</v>
      </c>
      <c r="K1089" s="8">
        <f t="shared" si="4616"/>
        <v>0</v>
      </c>
      <c r="L1089" s="8">
        <f t="shared" si="4617"/>
        <v>0</v>
      </c>
      <c r="M1089" s="8">
        <f t="shared" si="4618"/>
        <v>0</v>
      </c>
      <c r="N1089" s="8">
        <f t="shared" si="4619"/>
        <v>1</v>
      </c>
      <c r="O1089" s="8">
        <f t="shared" si="4620"/>
        <v>0</v>
      </c>
      <c r="P1089" s="8" t="e">
        <v>#NUM!</v>
      </c>
      <c r="Q1089" s="8" t="e">
        <f t="shared" ref="Q1089" si="4652">IF(COUNTIF(P1079:P1089,"&lt;"&amp;-0.001)=0,IF(ABS(P1089)&lt;0.001,0,P1089)," ")</f>
        <v>#NUM!</v>
      </c>
      <c r="R1089" s="8"/>
      <c r="S1089" s="8"/>
      <c r="U1089" s="34"/>
      <c r="V1089" s="34"/>
      <c r="W1089" s="34"/>
      <c r="X1089" s="34"/>
      <c r="Y1089" s="34"/>
      <c r="Z1089" s="34"/>
      <c r="AA1089" s="34"/>
      <c r="AB1089" s="34"/>
      <c r="AC1089" s="34"/>
      <c r="AD1089" s="34"/>
      <c r="AE1089" s="34"/>
      <c r="AF1089" s="34"/>
      <c r="AG1089" s="34"/>
      <c r="AH1089" s="34"/>
      <c r="AI1089" s="34"/>
      <c r="AJ1089" s="34"/>
      <c r="AK1089" s="34"/>
      <c r="AL1089" s="34"/>
      <c r="AM1089" s="34"/>
      <c r="AN1089" s="34"/>
      <c r="AO1089" s="34"/>
      <c r="AP1089" s="34"/>
      <c r="AQ1089" s="34"/>
      <c r="AR1089" s="34"/>
      <c r="AS1089" s="34"/>
      <c r="AT1089" s="34"/>
      <c r="AU1089" s="34"/>
      <c r="AV1089" s="34"/>
      <c r="AW1089" s="34"/>
      <c r="AX1089" s="34"/>
      <c r="AY1089" s="34"/>
      <c r="AZ1089" s="34"/>
      <c r="BA1089" s="34"/>
      <c r="BB1089" s="34"/>
      <c r="BC1089" s="34"/>
      <c r="BD1089" s="34"/>
      <c r="BE1089" s="34"/>
      <c r="BF1089" s="34"/>
      <c r="BG1089" s="34"/>
      <c r="BH1089" s="34"/>
      <c r="BI1089" s="34"/>
      <c r="BJ1089" s="34"/>
      <c r="BK1089" s="34"/>
      <c r="BL1089" s="34"/>
      <c r="BM1089" s="34"/>
      <c r="BN1089" s="34"/>
      <c r="BO1089" s="34"/>
      <c r="BP1089" s="34"/>
      <c r="BQ1089" s="34"/>
      <c r="BR1089" s="34"/>
      <c r="BS1089" s="34"/>
      <c r="BT1089" s="34"/>
      <c r="BU1089" s="34"/>
      <c r="BV1089" s="34"/>
      <c r="BW1089" s="34"/>
      <c r="BX1089" s="34"/>
      <c r="BY1089" s="34"/>
      <c r="BZ1089" s="34"/>
      <c r="CA1089" s="34"/>
      <c r="CB1089" s="34"/>
      <c r="CC1089" s="34"/>
      <c r="CD1089" s="34"/>
      <c r="CE1089" s="34"/>
      <c r="CF1089" s="34"/>
      <c r="CG1089" s="34"/>
      <c r="CH1089" s="34"/>
      <c r="CI1089" s="8"/>
    </row>
    <row r="1090" spans="1:87" x14ac:dyDescent="0.2">
      <c r="A1090" s="8" t="str">
        <f>IF(AND(COUNTIF(W$3:W$13,A$26)&gt;0,A$26&lt;&gt;B1054),A$26,IFERROR(IF(MATCH(A$26,Z$3:Z$13,0)=2,A$26," ")," "))</f>
        <v xml:space="preserve"> </v>
      </c>
      <c r="B1090" s="8" t="str">
        <f>IF(A1090=" "," ",MAX(B1079:B1089)+1)</f>
        <v xml:space="preserve"> </v>
      </c>
      <c r="C1090" s="8"/>
      <c r="D1090" s="8"/>
      <c r="E1090" s="8"/>
      <c r="F1090" s="8"/>
      <c r="G1090" s="8"/>
      <c r="H1090" s="8"/>
      <c r="I1090" s="8"/>
      <c r="J1090" s="8"/>
      <c r="K1090" s="8"/>
      <c r="L1090" s="8"/>
      <c r="M1090" s="8"/>
      <c r="N1090" s="8"/>
      <c r="O1090" s="8"/>
      <c r="P1090" s="8"/>
      <c r="Q1090" s="8"/>
      <c r="R1090" s="8"/>
      <c r="S1090" s="8"/>
      <c r="U1090" s="34"/>
      <c r="V1090" s="34"/>
      <c r="W1090" s="34"/>
      <c r="X1090" s="34"/>
      <c r="Y1090" s="34"/>
      <c r="Z1090" s="34"/>
      <c r="AA1090" s="34"/>
      <c r="AB1090" s="34"/>
      <c r="AC1090" s="34"/>
      <c r="AD1090" s="34"/>
      <c r="AE1090" s="34"/>
      <c r="AF1090" s="34"/>
      <c r="AG1090" s="34"/>
      <c r="AH1090" s="34"/>
      <c r="AI1090" s="34"/>
      <c r="AJ1090" s="34"/>
      <c r="AK1090" s="34"/>
      <c r="AL1090" s="34"/>
      <c r="AM1090" s="34"/>
      <c r="AN1090" s="34"/>
      <c r="AO1090" s="34"/>
      <c r="AP1090" s="34"/>
      <c r="AQ1090" s="34"/>
      <c r="AR1090" s="34"/>
      <c r="AS1090" s="34"/>
      <c r="AT1090" s="34"/>
      <c r="AU1090" s="34"/>
      <c r="AV1090" s="34"/>
      <c r="AW1090" s="34"/>
      <c r="AX1090" s="34"/>
      <c r="AY1090" s="34"/>
      <c r="AZ1090" s="34"/>
      <c r="BA1090" s="34"/>
      <c r="BB1090" s="34"/>
      <c r="BC1090" s="34"/>
      <c r="BD1090" s="34"/>
      <c r="BE1090" s="34"/>
      <c r="BF1090" s="34"/>
      <c r="BG1090" s="34"/>
      <c r="BH1090" s="34"/>
      <c r="BI1090" s="34"/>
      <c r="BJ1090" s="34"/>
      <c r="BK1090" s="34"/>
      <c r="BL1090" s="34"/>
      <c r="BM1090" s="34"/>
      <c r="BN1090" s="34"/>
      <c r="BO1090" s="34"/>
      <c r="BP1090" s="34"/>
      <c r="BQ1090" s="34"/>
      <c r="BR1090" s="34"/>
      <c r="BS1090" s="34"/>
      <c r="BT1090" s="34"/>
      <c r="BU1090" s="34"/>
      <c r="BV1090" s="34"/>
      <c r="BW1090" s="34"/>
      <c r="BX1090" s="34"/>
      <c r="BY1090" s="34"/>
      <c r="BZ1090" s="34"/>
      <c r="CA1090" s="34"/>
      <c r="CB1090" s="34"/>
      <c r="CC1090" s="34"/>
      <c r="CD1090" s="34"/>
      <c r="CE1090" s="34"/>
      <c r="CF1090" s="34"/>
      <c r="CG1090" s="34"/>
      <c r="CH1090" s="34"/>
      <c r="CI1090" s="8"/>
    </row>
    <row r="1091" spans="1:87" x14ac:dyDescent="0.2">
      <c r="A1091" s="8" t="str">
        <f>IF(AND(COUNTIF(W$3:W$13,A$27)&gt;0,A$27&lt;&gt;B1054),A$27,IFERROR(IF(MATCH(A$27,Z$3:Z$13,0)=2,A$27," ")," "))</f>
        <v>C13</v>
      </c>
      <c r="B1091" s="8">
        <f>IF(A1091=" "," ",MAX(B1079:B1090)+1)</f>
        <v>4</v>
      </c>
      <c r="C1091" s="8"/>
      <c r="D1091" s="8"/>
      <c r="E1091" s="8"/>
      <c r="F1091" s="8"/>
      <c r="G1091" s="8"/>
      <c r="H1091" s="8"/>
      <c r="I1091" s="8"/>
      <c r="J1091" s="8"/>
      <c r="K1091" s="8"/>
      <c r="L1091" s="8"/>
      <c r="M1091" s="8"/>
      <c r="N1091" s="8"/>
      <c r="O1091" s="8"/>
      <c r="P1091" s="8"/>
      <c r="Q1091" s="8"/>
      <c r="R1091" s="8"/>
      <c r="S1091" s="8"/>
      <c r="U1091" s="34"/>
      <c r="V1091" s="34"/>
      <c r="W1091" s="34"/>
      <c r="X1091" s="34"/>
      <c r="Y1091" s="34"/>
      <c r="Z1091" s="34"/>
      <c r="AA1091" s="34"/>
      <c r="AB1091" s="34"/>
      <c r="AC1091" s="34"/>
      <c r="AD1091" s="34"/>
      <c r="AE1091" s="34"/>
      <c r="AF1091" s="34"/>
      <c r="AG1091" s="34"/>
      <c r="AH1091" s="34"/>
      <c r="AI1091" s="34"/>
      <c r="AJ1091" s="34"/>
      <c r="AK1091" s="34"/>
      <c r="AL1091" s="34"/>
      <c r="AM1091" s="34"/>
      <c r="AN1091" s="34"/>
      <c r="AO1091" s="34"/>
      <c r="AP1091" s="34"/>
      <c r="AQ1091" s="34"/>
      <c r="AR1091" s="34"/>
      <c r="AS1091" s="34"/>
      <c r="AT1091" s="34"/>
      <c r="AU1091" s="34"/>
      <c r="AV1091" s="34"/>
      <c r="AW1091" s="34"/>
      <c r="AX1091" s="34"/>
      <c r="AY1091" s="34"/>
      <c r="AZ1091" s="34"/>
      <c r="BA1091" s="34"/>
      <c r="BB1091" s="34"/>
      <c r="BC1091" s="34"/>
      <c r="BD1091" s="34"/>
      <c r="BE1091" s="34"/>
      <c r="BF1091" s="34"/>
      <c r="BG1091" s="34"/>
      <c r="BH1091" s="34"/>
      <c r="BI1091" s="34"/>
      <c r="BJ1091" s="34"/>
      <c r="BK1091" s="34"/>
      <c r="BL1091" s="34"/>
      <c r="BM1091" s="34"/>
      <c r="BN1091" s="34"/>
      <c r="BO1091" s="34"/>
      <c r="BP1091" s="34"/>
      <c r="BQ1091" s="34"/>
      <c r="BR1091" s="34"/>
      <c r="BS1091" s="34"/>
      <c r="BT1091" s="34"/>
      <c r="BU1091" s="34"/>
      <c r="BV1091" s="34"/>
      <c r="BW1091" s="34"/>
      <c r="BX1091" s="34"/>
      <c r="BY1091" s="34"/>
      <c r="BZ1091" s="34"/>
      <c r="CA1091" s="34"/>
      <c r="CB1091" s="34"/>
      <c r="CC1091" s="34"/>
      <c r="CD1091" s="34"/>
      <c r="CE1091" s="34"/>
      <c r="CF1091" s="34"/>
      <c r="CG1091" s="34"/>
      <c r="CH1091" s="34"/>
      <c r="CI1091" s="8"/>
    </row>
    <row r="1092" spans="1:87" x14ac:dyDescent="0.2">
      <c r="A1092" s="8" t="str">
        <f>IF(AND(COUNTIF(W$3:W$13,A$28)&gt;0,A$28&lt;&gt;B1054),A$28,IFERROR(IF(MATCH(A$28,Z$3:Z$13,0)=2,A$28," ")," "))</f>
        <v xml:space="preserve"> </v>
      </c>
      <c r="B1092" s="8" t="str">
        <f>IF(A1092=" "," ",MAX(B1079:B1091)+1)</f>
        <v xml:space="preserve"> </v>
      </c>
      <c r="C1092" s="8"/>
      <c r="D1092" s="8"/>
      <c r="E1092" s="8"/>
      <c r="F1092" s="8"/>
      <c r="G1092" s="8"/>
      <c r="H1092" s="8"/>
      <c r="I1092" s="8"/>
      <c r="J1092" s="8"/>
      <c r="K1092" s="8"/>
      <c r="L1092" s="8"/>
      <c r="M1092" s="8"/>
      <c r="N1092" s="8"/>
      <c r="O1092" s="8"/>
      <c r="P1092" s="8"/>
      <c r="Q1092" s="8"/>
      <c r="R1092" s="8"/>
      <c r="S1092" s="8"/>
      <c r="U1092" s="34"/>
      <c r="V1092" s="34"/>
      <c r="W1092" s="34"/>
      <c r="X1092" s="34"/>
      <c r="Y1092" s="34"/>
      <c r="Z1092" s="34"/>
      <c r="AA1092" s="34"/>
      <c r="AB1092" s="34"/>
      <c r="AC1092" s="34"/>
      <c r="AD1092" s="34"/>
      <c r="AE1092" s="34"/>
      <c r="AF1092" s="34"/>
      <c r="AG1092" s="34"/>
      <c r="AH1092" s="34"/>
      <c r="AI1092" s="34"/>
      <c r="AJ1092" s="34"/>
      <c r="AK1092" s="34"/>
      <c r="AL1092" s="34"/>
      <c r="AM1092" s="34"/>
      <c r="AN1092" s="34"/>
      <c r="AO1092" s="34"/>
      <c r="AP1092" s="34"/>
      <c r="AQ1092" s="34"/>
      <c r="AR1092" s="34"/>
      <c r="AS1092" s="34"/>
      <c r="AT1092" s="34"/>
      <c r="AU1092" s="34"/>
      <c r="AV1092" s="34"/>
      <c r="AW1092" s="34"/>
      <c r="AX1092" s="34"/>
      <c r="AY1092" s="34"/>
      <c r="AZ1092" s="34"/>
      <c r="BA1092" s="34"/>
      <c r="BB1092" s="34"/>
      <c r="BC1092" s="34"/>
      <c r="BD1092" s="34"/>
      <c r="BE1092" s="34"/>
      <c r="BF1092" s="34"/>
      <c r="BG1092" s="34"/>
      <c r="BH1092" s="34"/>
      <c r="BI1092" s="34"/>
      <c r="BJ1092" s="34"/>
      <c r="BK1092" s="34"/>
      <c r="BL1092" s="34"/>
      <c r="BM1092" s="34"/>
      <c r="BN1092" s="34"/>
      <c r="BO1092" s="34"/>
      <c r="BP1092" s="34"/>
      <c r="BQ1092" s="34"/>
      <c r="BR1092" s="34"/>
      <c r="BS1092" s="34"/>
      <c r="BT1092" s="34"/>
      <c r="BU1092" s="34"/>
      <c r="BV1092" s="34"/>
      <c r="BW1092" s="34"/>
      <c r="BX1092" s="34"/>
      <c r="BY1092" s="34"/>
      <c r="BZ1092" s="34"/>
      <c r="CA1092" s="34"/>
      <c r="CB1092" s="34"/>
      <c r="CC1092" s="34"/>
      <c r="CD1092" s="34"/>
      <c r="CE1092" s="34"/>
      <c r="CF1092" s="34"/>
      <c r="CG1092" s="34"/>
      <c r="CH1092" s="34"/>
      <c r="CI1092" s="8"/>
    </row>
    <row r="1093" spans="1:87" x14ac:dyDescent="0.2">
      <c r="A1093" s="8" t="str">
        <f>IF(AND(COUNTIF(W$3:W$13,A$29)&gt;0,A$29&lt;&gt;B1054),A$29,IFERROR(IF(MATCH(A$29,Z$3:Z$13,0)=2,A$29," ")," "))</f>
        <v>C15</v>
      </c>
      <c r="B1093" s="8">
        <f>IF(A1093=" "," ",MAX(B1079:B1092)+1)</f>
        <v>5</v>
      </c>
      <c r="C1093" s="8"/>
      <c r="D1093" s="8"/>
      <c r="E1093" s="8"/>
      <c r="F1093" s="8"/>
      <c r="G1093" s="8"/>
      <c r="H1093" s="8"/>
      <c r="I1093" s="8"/>
      <c r="J1093" s="8"/>
      <c r="K1093" s="8"/>
      <c r="L1093" s="8"/>
      <c r="M1093" s="8"/>
      <c r="N1093" s="8"/>
      <c r="O1093" s="8"/>
      <c r="P1093" s="8"/>
      <c r="Q1093" s="8"/>
      <c r="R1093" s="8"/>
      <c r="S1093" s="8"/>
      <c r="U1093" s="34"/>
      <c r="V1093" s="34"/>
      <c r="W1093" s="34"/>
      <c r="X1093" s="34"/>
      <c r="Y1093" s="34"/>
      <c r="Z1093" s="34"/>
      <c r="AA1093" s="34"/>
      <c r="AB1093" s="34"/>
      <c r="AC1093" s="34"/>
      <c r="AD1093" s="34"/>
      <c r="AE1093" s="34"/>
      <c r="AF1093" s="34"/>
      <c r="AG1093" s="34"/>
      <c r="AH1093" s="34"/>
      <c r="AI1093" s="34"/>
      <c r="AJ1093" s="34"/>
      <c r="AK1093" s="34"/>
      <c r="AL1093" s="34"/>
      <c r="AM1093" s="34"/>
      <c r="AN1093" s="34"/>
      <c r="AO1093" s="34"/>
      <c r="AP1093" s="34"/>
      <c r="AQ1093" s="34"/>
      <c r="AR1093" s="34"/>
      <c r="AS1093" s="34"/>
      <c r="AT1093" s="34"/>
      <c r="AU1093" s="34"/>
      <c r="AV1093" s="34"/>
      <c r="AW1093" s="34"/>
      <c r="AX1093" s="34"/>
      <c r="AY1093" s="34"/>
      <c r="AZ1093" s="34"/>
      <c r="BA1093" s="34"/>
      <c r="BB1093" s="34"/>
      <c r="BC1093" s="34"/>
      <c r="BD1093" s="34"/>
      <c r="BE1093" s="34"/>
      <c r="BF1093" s="34"/>
      <c r="BG1093" s="34"/>
      <c r="BH1093" s="34"/>
      <c r="BI1093" s="34"/>
      <c r="BJ1093" s="34"/>
      <c r="BK1093" s="34"/>
      <c r="BL1093" s="34"/>
      <c r="BM1093" s="34"/>
      <c r="BN1093" s="34"/>
      <c r="BO1093" s="34"/>
      <c r="BP1093" s="34"/>
      <c r="BQ1093" s="34"/>
      <c r="BR1093" s="34"/>
      <c r="BS1093" s="34"/>
      <c r="BT1093" s="34"/>
      <c r="BU1093" s="34"/>
      <c r="BV1093" s="34"/>
      <c r="BW1093" s="34"/>
      <c r="BX1093" s="34"/>
      <c r="BY1093" s="34"/>
      <c r="BZ1093" s="34"/>
      <c r="CA1093" s="34"/>
      <c r="CB1093" s="34"/>
      <c r="CC1093" s="34"/>
      <c r="CD1093" s="34"/>
      <c r="CE1093" s="34"/>
      <c r="CF1093" s="34"/>
      <c r="CG1093" s="34"/>
      <c r="CH1093" s="34"/>
      <c r="CI1093" s="8"/>
    </row>
    <row r="1094" spans="1:87" x14ac:dyDescent="0.2">
      <c r="A1094" s="8" t="str">
        <f>IF(AND(COUNTIF(W$3:W$13,A$30)&gt;0,A$30&lt;&gt;B1054),A$30,IFERROR(IF(MATCH(A$30,Z$3:Z$13,0)=2,A$30," ")," "))</f>
        <v xml:space="preserve"> </v>
      </c>
      <c r="B1094" s="8" t="str">
        <f>IF(A1094=" "," ",MAX(B1079:B1093)+1)</f>
        <v xml:space="preserve"> </v>
      </c>
      <c r="C1094" s="8"/>
      <c r="D1094" s="8"/>
      <c r="E1094" s="8"/>
      <c r="F1094" s="8"/>
      <c r="G1094" s="8"/>
      <c r="H1094" s="8"/>
      <c r="I1094" s="8"/>
      <c r="J1094" s="8"/>
      <c r="K1094" s="8"/>
      <c r="L1094" s="8"/>
      <c r="M1094" s="8"/>
      <c r="N1094" s="8"/>
      <c r="O1094" s="8"/>
      <c r="P1094" s="8"/>
      <c r="Q1094" s="8"/>
      <c r="R1094" s="8"/>
      <c r="S1094" s="8"/>
      <c r="U1094" s="34"/>
      <c r="V1094" s="34"/>
      <c r="W1094" s="34"/>
      <c r="X1094" s="34"/>
      <c r="Y1094" s="34"/>
      <c r="Z1094" s="34"/>
      <c r="AA1094" s="34"/>
      <c r="AB1094" s="34"/>
      <c r="AC1094" s="34"/>
      <c r="AD1094" s="34"/>
      <c r="AE1094" s="34"/>
      <c r="AF1094" s="34"/>
      <c r="AG1094" s="34"/>
      <c r="AH1094" s="34"/>
      <c r="AI1094" s="34"/>
      <c r="AJ1094" s="34"/>
      <c r="AK1094" s="34"/>
      <c r="AL1094" s="34"/>
      <c r="AM1094" s="34"/>
      <c r="AN1094" s="34"/>
      <c r="AO1094" s="34"/>
      <c r="AP1094" s="34"/>
      <c r="AQ1094" s="34"/>
      <c r="AR1094" s="34"/>
      <c r="AS1094" s="34"/>
      <c r="AT1094" s="34"/>
      <c r="AU1094" s="34"/>
      <c r="AV1094" s="34"/>
      <c r="AW1094" s="34"/>
      <c r="AX1094" s="34"/>
      <c r="AY1094" s="34"/>
      <c r="AZ1094" s="34"/>
      <c r="BA1094" s="34"/>
      <c r="BB1094" s="34"/>
      <c r="BC1094" s="34"/>
      <c r="BD1094" s="34"/>
      <c r="BE1094" s="34"/>
      <c r="BF1094" s="34"/>
      <c r="BG1094" s="34"/>
      <c r="BH1094" s="34"/>
      <c r="BI1094" s="34"/>
      <c r="BJ1094" s="34"/>
      <c r="BK1094" s="34"/>
      <c r="BL1094" s="34"/>
      <c r="BM1094" s="34"/>
      <c r="BN1094" s="34"/>
      <c r="BO1094" s="34"/>
      <c r="BP1094" s="34"/>
      <c r="BQ1094" s="34"/>
      <c r="BR1094" s="34"/>
      <c r="BS1094" s="34"/>
      <c r="BT1094" s="34"/>
      <c r="BU1094" s="34"/>
      <c r="BV1094" s="34"/>
      <c r="BW1094" s="34"/>
      <c r="BX1094" s="34"/>
      <c r="BY1094" s="34"/>
      <c r="BZ1094" s="34"/>
      <c r="CA1094" s="34"/>
      <c r="CB1094" s="34"/>
      <c r="CC1094" s="34"/>
      <c r="CD1094" s="34"/>
      <c r="CE1094" s="34"/>
      <c r="CF1094" s="34"/>
      <c r="CG1094" s="34"/>
      <c r="CH1094" s="34"/>
      <c r="CI1094" s="8"/>
    </row>
    <row r="1095" spans="1:87" x14ac:dyDescent="0.2">
      <c r="A1095" s="8" t="str">
        <f>IF(AND(COUNTIF(W$3:W$13,A$31)&gt;0,A$31&lt;&gt;B1054),A$31,IFERROR(IF(MATCH(A$31,Z$3:Z$13,0)=2,A$31," ")," "))</f>
        <v>C17</v>
      </c>
      <c r="B1095" s="8">
        <f>IF(A1095=" "," ",MAX(B1079:B1094)+1)</f>
        <v>6</v>
      </c>
      <c r="C1095" s="8"/>
      <c r="D1095" s="8"/>
      <c r="E1095" s="8"/>
      <c r="F1095" s="8"/>
      <c r="G1095" s="8"/>
      <c r="H1095" s="8"/>
      <c r="I1095" s="8"/>
      <c r="J1095" s="8"/>
      <c r="K1095" s="8"/>
      <c r="L1095" s="8"/>
      <c r="M1095" s="8"/>
      <c r="N1095" s="8"/>
      <c r="O1095" s="8"/>
      <c r="P1095" s="8"/>
      <c r="Q1095" s="8"/>
      <c r="R1095" s="8"/>
      <c r="S1095" s="8"/>
      <c r="U1095" s="34"/>
      <c r="V1095" s="34"/>
      <c r="W1095" s="34"/>
      <c r="X1095" s="34"/>
      <c r="Y1095" s="34"/>
      <c r="Z1095" s="34"/>
      <c r="AA1095" s="34"/>
      <c r="AB1095" s="34"/>
      <c r="AC1095" s="34"/>
      <c r="AD1095" s="34"/>
      <c r="AE1095" s="34"/>
      <c r="AF1095" s="34"/>
      <c r="AG1095" s="34"/>
      <c r="AH1095" s="34"/>
      <c r="AI1095" s="34"/>
      <c r="AJ1095" s="34"/>
      <c r="AK1095" s="34"/>
      <c r="AL1095" s="34"/>
      <c r="AM1095" s="34"/>
      <c r="AN1095" s="34"/>
      <c r="AO1095" s="34"/>
      <c r="AP1095" s="34"/>
      <c r="AQ1095" s="34"/>
      <c r="AR1095" s="34"/>
      <c r="AS1095" s="34"/>
      <c r="AT1095" s="34"/>
      <c r="AU1095" s="34"/>
      <c r="AV1095" s="34"/>
      <c r="AW1095" s="34"/>
      <c r="AX1095" s="34"/>
      <c r="AY1095" s="34"/>
      <c r="AZ1095" s="34"/>
      <c r="BA1095" s="34"/>
      <c r="BB1095" s="34"/>
      <c r="BC1095" s="34"/>
      <c r="BD1095" s="34"/>
      <c r="BE1095" s="34"/>
      <c r="BF1095" s="34"/>
      <c r="BG1095" s="34"/>
      <c r="BH1095" s="34"/>
      <c r="BI1095" s="34"/>
      <c r="BJ1095" s="34"/>
      <c r="BK1095" s="34"/>
      <c r="BL1095" s="34"/>
      <c r="BM1095" s="34"/>
      <c r="BN1095" s="34"/>
      <c r="BO1095" s="34"/>
      <c r="BP1095" s="34"/>
      <c r="BQ1095" s="34"/>
      <c r="BR1095" s="34"/>
      <c r="BS1095" s="34"/>
      <c r="BT1095" s="34"/>
      <c r="BU1095" s="34"/>
      <c r="BV1095" s="34"/>
      <c r="BW1095" s="34"/>
      <c r="BX1095" s="34"/>
      <c r="BY1095" s="34"/>
      <c r="BZ1095" s="34"/>
      <c r="CA1095" s="34"/>
      <c r="CB1095" s="34"/>
      <c r="CC1095" s="34"/>
      <c r="CD1095" s="34"/>
      <c r="CE1095" s="34"/>
      <c r="CF1095" s="34"/>
      <c r="CG1095" s="34"/>
      <c r="CH1095" s="34"/>
      <c r="CI1095" s="8"/>
    </row>
    <row r="1096" spans="1:87" x14ac:dyDescent="0.2">
      <c r="A1096" s="8" t="str">
        <f>IF(AND(COUNTIF(W$3:W$13,A$32)&gt;0,A$32&lt;&gt;B1054),A$32,IFERROR(IF(MATCH(A$32,Z$3:Z$13,0)=2,A$32," ")," "))</f>
        <v>C18</v>
      </c>
      <c r="B1096" s="8">
        <f>IF(A1096=" "," ",MAX(B1079:B1095)+1)</f>
        <v>7</v>
      </c>
      <c r="C1096" s="8"/>
      <c r="D1096" s="8"/>
      <c r="E1096" s="8"/>
      <c r="F1096" s="8"/>
      <c r="G1096" s="8"/>
      <c r="H1096" s="8"/>
      <c r="I1096" s="8"/>
      <c r="J1096" s="8"/>
      <c r="K1096" s="8"/>
      <c r="L1096" s="8"/>
      <c r="M1096" s="8"/>
      <c r="N1096" s="8"/>
      <c r="O1096" s="8"/>
      <c r="P1096" s="8"/>
      <c r="Q1096" s="8"/>
      <c r="R1096" s="8"/>
      <c r="S1096" s="8"/>
      <c r="U1096" s="34"/>
      <c r="V1096" s="34"/>
      <c r="W1096" s="34"/>
      <c r="X1096" s="34"/>
      <c r="Y1096" s="34"/>
      <c r="Z1096" s="34"/>
      <c r="AA1096" s="34"/>
      <c r="AB1096" s="34"/>
      <c r="AC1096" s="34"/>
      <c r="AD1096" s="34"/>
      <c r="AE1096" s="34"/>
      <c r="AF1096" s="34"/>
      <c r="AG1096" s="34"/>
      <c r="AH1096" s="34"/>
      <c r="AI1096" s="34"/>
      <c r="AJ1096" s="34"/>
      <c r="AK1096" s="34"/>
      <c r="AL1096" s="34"/>
      <c r="AM1096" s="34"/>
      <c r="AN1096" s="34"/>
      <c r="AO1096" s="34"/>
      <c r="AP1096" s="34"/>
      <c r="AQ1096" s="34"/>
      <c r="AR1096" s="34"/>
      <c r="AS1096" s="34"/>
      <c r="AT1096" s="34"/>
      <c r="AU1096" s="34"/>
      <c r="AV1096" s="34"/>
      <c r="AW1096" s="34"/>
      <c r="AX1096" s="34"/>
      <c r="AY1096" s="34"/>
      <c r="AZ1096" s="34"/>
      <c r="BA1096" s="34"/>
      <c r="BB1096" s="34"/>
      <c r="BC1096" s="34"/>
      <c r="BD1096" s="34"/>
      <c r="BE1096" s="34"/>
      <c r="BF1096" s="34"/>
      <c r="BG1096" s="34"/>
      <c r="BH1096" s="34"/>
      <c r="BI1096" s="34"/>
      <c r="BJ1096" s="34"/>
      <c r="BK1096" s="34"/>
      <c r="BL1096" s="34"/>
      <c r="BM1096" s="34"/>
      <c r="BN1096" s="34"/>
      <c r="BO1096" s="34"/>
      <c r="BP1096" s="34"/>
      <c r="BQ1096" s="34"/>
      <c r="BR1096" s="34"/>
      <c r="BS1096" s="34"/>
      <c r="BT1096" s="34"/>
      <c r="BU1096" s="34"/>
      <c r="BV1096" s="34"/>
      <c r="BW1096" s="34"/>
      <c r="BX1096" s="34"/>
      <c r="BY1096" s="34"/>
      <c r="BZ1096" s="34"/>
      <c r="CA1096" s="34"/>
      <c r="CB1096" s="34"/>
      <c r="CC1096" s="34"/>
      <c r="CD1096" s="34"/>
      <c r="CE1096" s="34"/>
      <c r="CF1096" s="34"/>
      <c r="CG1096" s="34"/>
      <c r="CH1096" s="34"/>
      <c r="CI1096" s="8"/>
    </row>
    <row r="1097" spans="1:87" x14ac:dyDescent="0.2">
      <c r="A1097" s="8" t="str">
        <f>IF(AND(COUNTIF(W$3:W$13,A$33)&gt;0,A$33&lt;&gt;B1054),A$33,IFERROR(IF(MATCH(A$33,Z$3:Z$13,0)=2,A$33," ")," "))</f>
        <v>C19</v>
      </c>
      <c r="B1097" s="8">
        <f>IF(A1097=" "," ",MAX(B1079:B1096)+1)</f>
        <v>8</v>
      </c>
      <c r="C1097" s="8"/>
      <c r="D1097" s="8"/>
      <c r="E1097" s="8"/>
      <c r="F1097" s="8"/>
      <c r="G1097" s="8"/>
      <c r="H1097" s="8"/>
      <c r="I1097" s="8"/>
      <c r="J1097" s="8"/>
      <c r="K1097" s="8"/>
      <c r="L1097" s="8"/>
      <c r="M1097" s="8"/>
      <c r="N1097" s="8"/>
      <c r="O1097" s="8"/>
      <c r="P1097" s="8"/>
      <c r="Q1097" s="8"/>
      <c r="R1097" s="8"/>
      <c r="S1097" s="8"/>
      <c r="U1097" s="34"/>
      <c r="V1097" s="34"/>
      <c r="W1097" s="34"/>
      <c r="X1097" s="34"/>
      <c r="Y1097" s="34"/>
      <c r="Z1097" s="34"/>
      <c r="AA1097" s="34"/>
      <c r="AB1097" s="34"/>
      <c r="AC1097" s="34"/>
      <c r="AD1097" s="34"/>
      <c r="AE1097" s="34"/>
      <c r="AF1097" s="34"/>
      <c r="AG1097" s="34"/>
      <c r="AH1097" s="34"/>
      <c r="AI1097" s="34"/>
      <c r="AJ1097" s="34"/>
      <c r="AK1097" s="34"/>
      <c r="AL1097" s="34"/>
      <c r="AM1097" s="34"/>
      <c r="AN1097" s="34"/>
      <c r="AO1097" s="34"/>
      <c r="AP1097" s="34"/>
      <c r="AQ1097" s="34"/>
      <c r="AR1097" s="34"/>
      <c r="AS1097" s="34"/>
      <c r="AT1097" s="34"/>
      <c r="AU1097" s="34"/>
      <c r="AV1097" s="34"/>
      <c r="AW1097" s="34"/>
      <c r="AX1097" s="34"/>
      <c r="AY1097" s="34"/>
      <c r="AZ1097" s="34"/>
      <c r="BA1097" s="34"/>
      <c r="BB1097" s="34"/>
      <c r="BC1097" s="34"/>
      <c r="BD1097" s="34"/>
      <c r="BE1097" s="34"/>
      <c r="BF1097" s="34"/>
      <c r="BG1097" s="34"/>
      <c r="BH1097" s="34"/>
      <c r="BI1097" s="34"/>
      <c r="BJ1097" s="34"/>
      <c r="BK1097" s="34"/>
      <c r="BL1097" s="34"/>
      <c r="BM1097" s="34"/>
      <c r="BN1097" s="34"/>
      <c r="BO1097" s="34"/>
      <c r="BP1097" s="34"/>
      <c r="BQ1097" s="34"/>
      <c r="BR1097" s="34"/>
      <c r="BS1097" s="34"/>
      <c r="BT1097" s="34"/>
      <c r="BU1097" s="34"/>
      <c r="BV1097" s="34"/>
      <c r="BW1097" s="34"/>
      <c r="BX1097" s="34"/>
      <c r="BY1097" s="34"/>
      <c r="BZ1097" s="34"/>
      <c r="CA1097" s="34"/>
      <c r="CB1097" s="34"/>
      <c r="CC1097" s="34"/>
      <c r="CD1097" s="34"/>
      <c r="CE1097" s="34"/>
      <c r="CF1097" s="34"/>
      <c r="CG1097" s="34"/>
      <c r="CH1097" s="34"/>
      <c r="CI1097" s="8"/>
    </row>
    <row r="1098" spans="1:87" x14ac:dyDescent="0.2">
      <c r="A1098" s="8" t="str">
        <f>IF(AND(COUNTIF(W$3:W$13,A$34)&gt;0,A$34&lt;&gt;B1054),A$34,IFERROR(IF(MATCH(A$34,Z$3:Z$13,0)=2,A$34," ")," "))</f>
        <v>C20</v>
      </c>
      <c r="B1098" s="8">
        <f>IF(A1098=" "," ",MAX(B1079:B1097)+1)</f>
        <v>9</v>
      </c>
      <c r="C1098" s="8"/>
      <c r="D1098" s="8"/>
      <c r="E1098" s="8"/>
      <c r="F1098" s="8"/>
      <c r="G1098" s="8"/>
      <c r="H1098" s="8"/>
      <c r="I1098" s="8"/>
      <c r="J1098" s="8"/>
      <c r="K1098" s="8"/>
      <c r="L1098" s="8"/>
      <c r="M1098" s="8"/>
      <c r="N1098" s="8"/>
      <c r="O1098" s="8"/>
      <c r="P1098" s="8"/>
      <c r="Q1098" s="8"/>
      <c r="R1098" s="8"/>
      <c r="S1098" s="8"/>
      <c r="U1098" s="34"/>
      <c r="V1098" s="34"/>
      <c r="W1098" s="34"/>
      <c r="X1098" s="34"/>
      <c r="Y1098" s="34"/>
      <c r="Z1098" s="34"/>
      <c r="AA1098" s="34"/>
      <c r="AB1098" s="34"/>
      <c r="AC1098" s="34"/>
      <c r="AD1098" s="34"/>
      <c r="AE1098" s="34"/>
      <c r="AF1098" s="34"/>
      <c r="AG1098" s="34"/>
      <c r="AH1098" s="34"/>
      <c r="AI1098" s="34"/>
      <c r="AJ1098" s="34"/>
      <c r="AK1098" s="34"/>
      <c r="AL1098" s="34"/>
      <c r="AM1098" s="34"/>
      <c r="AN1098" s="34"/>
      <c r="AO1098" s="34"/>
      <c r="AP1098" s="34"/>
      <c r="AQ1098" s="34"/>
      <c r="AR1098" s="34"/>
      <c r="AS1098" s="34"/>
      <c r="AT1098" s="34"/>
      <c r="AU1098" s="34"/>
      <c r="AV1098" s="34"/>
      <c r="AW1098" s="34"/>
      <c r="AX1098" s="34"/>
      <c r="AY1098" s="34"/>
      <c r="AZ1098" s="34"/>
      <c r="BA1098" s="34"/>
      <c r="BB1098" s="34"/>
      <c r="BC1098" s="34"/>
      <c r="BD1098" s="34"/>
      <c r="BE1098" s="34"/>
      <c r="BF1098" s="34"/>
      <c r="BG1098" s="34"/>
      <c r="BH1098" s="34"/>
      <c r="BI1098" s="34"/>
      <c r="BJ1098" s="34"/>
      <c r="BK1098" s="34"/>
      <c r="BL1098" s="34"/>
      <c r="BM1098" s="34"/>
      <c r="BN1098" s="34"/>
      <c r="BO1098" s="34"/>
      <c r="BP1098" s="34"/>
      <c r="BQ1098" s="34"/>
      <c r="BR1098" s="34"/>
      <c r="BS1098" s="34"/>
      <c r="BT1098" s="34"/>
      <c r="BU1098" s="34"/>
      <c r="BV1098" s="34"/>
      <c r="BW1098" s="34"/>
      <c r="BX1098" s="34"/>
      <c r="BY1098" s="34"/>
      <c r="BZ1098" s="34"/>
      <c r="CA1098" s="34"/>
      <c r="CB1098" s="34"/>
      <c r="CC1098" s="34"/>
      <c r="CD1098" s="34"/>
      <c r="CE1098" s="34"/>
      <c r="CF1098" s="34"/>
      <c r="CG1098" s="34"/>
      <c r="CH1098" s="34"/>
      <c r="CI1098" s="8"/>
    </row>
    <row r="1099" spans="1:87" x14ac:dyDescent="0.2">
      <c r="A1099" s="8" t="str">
        <f>IF(AND(COUNTIF(W$3:W$13,A$35)&gt;0,A$35&lt;&gt;B1054),A$35,IFERROR(IF(MATCH(A$35,Z$3:Z$13,0)=2,A$35," ")," "))</f>
        <v>C21</v>
      </c>
      <c r="B1099" s="8">
        <f>IF(A1099=" "," ",MAX(B1079:B1098)+1)</f>
        <v>10</v>
      </c>
      <c r="C1099" s="8"/>
      <c r="D1099" s="8"/>
      <c r="E1099" s="8"/>
      <c r="F1099" s="8"/>
      <c r="G1099" s="8"/>
      <c r="H1099" s="8"/>
      <c r="I1099" s="8"/>
      <c r="J1099" s="8"/>
      <c r="K1099" s="8"/>
      <c r="L1099" s="8"/>
      <c r="M1099" s="8"/>
      <c r="N1099" s="8"/>
      <c r="O1099" s="8"/>
      <c r="P1099" s="8"/>
      <c r="Q1099" s="8"/>
      <c r="R1099" s="8"/>
      <c r="S1099" s="8"/>
      <c r="U1099" s="34"/>
      <c r="V1099" s="34"/>
      <c r="W1099" s="34"/>
      <c r="X1099" s="34"/>
      <c r="Y1099" s="34"/>
      <c r="Z1099" s="34"/>
      <c r="AA1099" s="34"/>
      <c r="AB1099" s="34"/>
      <c r="AC1099" s="34"/>
      <c r="AD1099" s="34"/>
      <c r="AE1099" s="34"/>
      <c r="AF1099" s="34"/>
      <c r="AG1099" s="34"/>
      <c r="AH1099" s="34"/>
      <c r="AI1099" s="34"/>
      <c r="AJ1099" s="34"/>
      <c r="AK1099" s="34"/>
      <c r="AL1099" s="34"/>
      <c r="AM1099" s="34"/>
      <c r="AN1099" s="34"/>
      <c r="AO1099" s="34"/>
      <c r="AP1099" s="34"/>
      <c r="AQ1099" s="34"/>
      <c r="AR1099" s="34"/>
      <c r="AS1099" s="34"/>
      <c r="AT1099" s="34"/>
      <c r="AU1099" s="34"/>
      <c r="AV1099" s="34"/>
      <c r="AW1099" s="34"/>
      <c r="AX1099" s="34"/>
      <c r="AY1099" s="34"/>
      <c r="AZ1099" s="34"/>
      <c r="BA1099" s="34"/>
      <c r="BB1099" s="34"/>
      <c r="BC1099" s="34"/>
      <c r="BD1099" s="34"/>
      <c r="BE1099" s="34"/>
      <c r="BF1099" s="34"/>
      <c r="BG1099" s="34"/>
      <c r="BH1099" s="34"/>
      <c r="BI1099" s="34"/>
      <c r="BJ1099" s="34"/>
      <c r="BK1099" s="34"/>
      <c r="BL1099" s="34"/>
      <c r="BM1099" s="34"/>
      <c r="BN1099" s="34"/>
      <c r="BO1099" s="34"/>
      <c r="BP1099" s="34"/>
      <c r="BQ1099" s="34"/>
      <c r="BR1099" s="34"/>
      <c r="BS1099" s="34"/>
      <c r="BT1099" s="34"/>
      <c r="BU1099" s="34"/>
      <c r="BV1099" s="34"/>
      <c r="BW1099" s="34"/>
      <c r="BX1099" s="34"/>
      <c r="BY1099" s="34"/>
      <c r="BZ1099" s="34"/>
      <c r="CA1099" s="34"/>
      <c r="CB1099" s="34"/>
      <c r="CC1099" s="34"/>
      <c r="CD1099" s="34"/>
      <c r="CE1099" s="34"/>
      <c r="CF1099" s="34"/>
      <c r="CG1099" s="34"/>
      <c r="CH1099" s="34"/>
      <c r="CI1099" s="8"/>
    </row>
    <row r="1100" spans="1:87" x14ac:dyDescent="0.2">
      <c r="A1100" s="8" t="str">
        <f>IF(AND(COUNTIF(W$3:W$13,A$36)&gt;0,A$36&lt;&gt;B1054),A$36,IFERROR(IF(MATCH(A$36,Z$3:Z$13,0)=2,A$36," ")," "))</f>
        <v>C22</v>
      </c>
      <c r="B1100" s="8">
        <f>IF(A1100=" "," ",MAX(B1079:B1099)+1)</f>
        <v>11</v>
      </c>
      <c r="C1100" s="8"/>
      <c r="D1100" s="8"/>
      <c r="E1100" s="8"/>
      <c r="F1100" s="8"/>
      <c r="G1100" s="8"/>
      <c r="H1100" s="8"/>
      <c r="I1100" s="8"/>
      <c r="J1100" s="8"/>
      <c r="K1100" s="8"/>
      <c r="L1100" s="8"/>
      <c r="M1100" s="8"/>
      <c r="N1100" s="8"/>
      <c r="O1100" s="8"/>
      <c r="P1100" s="8"/>
      <c r="Q1100" s="8"/>
      <c r="R1100" s="8"/>
      <c r="S1100" s="8"/>
      <c r="U1100" s="34"/>
      <c r="V1100" s="34"/>
      <c r="W1100" s="34"/>
      <c r="X1100" s="34"/>
      <c r="Y1100" s="34"/>
      <c r="Z1100" s="34"/>
      <c r="AA1100" s="34"/>
      <c r="AB1100" s="34"/>
      <c r="AC1100" s="34"/>
      <c r="AD1100" s="34"/>
      <c r="AE1100" s="34"/>
      <c r="AF1100" s="34"/>
      <c r="AG1100" s="34"/>
      <c r="AH1100" s="34"/>
      <c r="AI1100" s="34"/>
      <c r="AJ1100" s="34"/>
      <c r="AK1100" s="34"/>
      <c r="AL1100" s="34"/>
      <c r="AM1100" s="34"/>
      <c r="AN1100" s="34"/>
      <c r="AO1100" s="34"/>
      <c r="AP1100" s="34"/>
      <c r="AQ1100" s="34"/>
      <c r="AR1100" s="34"/>
      <c r="AS1100" s="34"/>
      <c r="AT1100" s="34"/>
      <c r="AU1100" s="34"/>
      <c r="AV1100" s="34"/>
      <c r="AW1100" s="34"/>
      <c r="AX1100" s="34"/>
      <c r="AY1100" s="34"/>
      <c r="AZ1100" s="34"/>
      <c r="BA1100" s="34"/>
      <c r="BB1100" s="34"/>
      <c r="BC1100" s="34"/>
      <c r="BD1100" s="34"/>
      <c r="BE1100" s="34"/>
      <c r="BF1100" s="34"/>
      <c r="BG1100" s="34"/>
      <c r="BH1100" s="34"/>
      <c r="BI1100" s="34"/>
      <c r="BJ1100" s="34"/>
      <c r="BK1100" s="34"/>
      <c r="BL1100" s="34"/>
      <c r="BM1100" s="34"/>
      <c r="BN1100" s="34"/>
      <c r="BO1100" s="34"/>
      <c r="BP1100" s="34"/>
      <c r="BQ1100" s="34"/>
      <c r="BR1100" s="34"/>
      <c r="BS1100" s="34"/>
      <c r="BT1100" s="34"/>
      <c r="BU1100" s="34"/>
      <c r="BV1100" s="34"/>
      <c r="BW1100" s="34"/>
      <c r="BX1100" s="34"/>
      <c r="BY1100" s="34"/>
      <c r="BZ1100" s="34"/>
      <c r="CA1100" s="34"/>
      <c r="CB1100" s="34"/>
      <c r="CC1100" s="34"/>
      <c r="CD1100" s="34"/>
      <c r="CE1100" s="34"/>
      <c r="CF1100" s="34"/>
      <c r="CG1100" s="34"/>
      <c r="CH1100" s="34"/>
      <c r="CI1100" s="8"/>
    </row>
    <row r="1101" spans="1:87" x14ac:dyDescent="0.2">
      <c r="A1101" s="11" t="s">
        <v>17</v>
      </c>
      <c r="B1101" s="11"/>
      <c r="C1101" s="27" t="s">
        <v>18</v>
      </c>
      <c r="D1101" s="27" t="s">
        <v>2</v>
      </c>
      <c r="E1101" s="27" t="s">
        <v>6</v>
      </c>
      <c r="F1101" s="27" t="s">
        <v>15</v>
      </c>
      <c r="G1101" s="27" t="s">
        <v>36</v>
      </c>
      <c r="H1101" s="27" t="s">
        <v>37</v>
      </c>
      <c r="I1101" s="27" t="s">
        <v>38</v>
      </c>
      <c r="J1101" s="27" t="s">
        <v>39</v>
      </c>
      <c r="K1101" s="27" t="s">
        <v>40</v>
      </c>
      <c r="L1101" s="27" t="s">
        <v>41</v>
      </c>
      <c r="M1101" s="27" t="s">
        <v>42</v>
      </c>
      <c r="N1101" s="27" t="s">
        <v>43</v>
      </c>
      <c r="O1101" s="27" t="s">
        <v>9</v>
      </c>
      <c r="P1101" s="27" t="s">
        <v>12</v>
      </c>
      <c r="Q1101" s="27" t="s">
        <v>19</v>
      </c>
      <c r="R1101" s="27" t="s">
        <v>55</v>
      </c>
      <c r="S1101" s="27" t="s">
        <v>26</v>
      </c>
      <c r="T1101" s="19" t="s">
        <v>25</v>
      </c>
      <c r="U1101" s="33" t="s">
        <v>27</v>
      </c>
      <c r="V1101" s="33" t="s">
        <v>9</v>
      </c>
      <c r="W1101" s="33" t="s">
        <v>23</v>
      </c>
      <c r="X1101" s="33" t="s">
        <v>12</v>
      </c>
      <c r="Y1101" s="33" t="s">
        <v>26</v>
      </c>
      <c r="Z1101" s="33" t="s">
        <v>25</v>
      </c>
      <c r="AA1101" s="33" t="s">
        <v>27</v>
      </c>
      <c r="AB1101" s="33" t="s">
        <v>9</v>
      </c>
      <c r="AC1101" s="33" t="s">
        <v>23</v>
      </c>
      <c r="AD1101" s="33" t="s">
        <v>12</v>
      </c>
      <c r="AE1101" s="33" t="s">
        <v>26</v>
      </c>
      <c r="AF1101" s="33" t="s">
        <v>25</v>
      </c>
      <c r="AG1101" s="33" t="s">
        <v>27</v>
      </c>
      <c r="AH1101" s="33" t="s">
        <v>9</v>
      </c>
      <c r="AI1101" s="33" t="s">
        <v>23</v>
      </c>
      <c r="AJ1101" s="33" t="s">
        <v>12</v>
      </c>
      <c r="AK1101" s="33" t="s">
        <v>26</v>
      </c>
      <c r="AL1101" s="33" t="s">
        <v>25</v>
      </c>
      <c r="AM1101" s="33" t="s">
        <v>27</v>
      </c>
      <c r="AN1101" s="33" t="s">
        <v>9</v>
      </c>
      <c r="AO1101" s="33" t="s">
        <v>23</v>
      </c>
      <c r="AP1101" s="33" t="s">
        <v>12</v>
      </c>
      <c r="AQ1101" s="33" t="s">
        <v>26</v>
      </c>
      <c r="AR1101" s="33" t="s">
        <v>25</v>
      </c>
      <c r="AS1101" s="33" t="s">
        <v>27</v>
      </c>
      <c r="AT1101" s="33" t="s">
        <v>9</v>
      </c>
      <c r="AU1101" s="33" t="s">
        <v>23</v>
      </c>
      <c r="AV1101" s="33" t="s">
        <v>12</v>
      </c>
      <c r="AW1101" s="33" t="s">
        <v>26</v>
      </c>
      <c r="AX1101" s="33" t="s">
        <v>25</v>
      </c>
      <c r="AY1101" s="33" t="s">
        <v>27</v>
      </c>
      <c r="AZ1101" s="33" t="s">
        <v>9</v>
      </c>
      <c r="BA1101" s="33" t="s">
        <v>23</v>
      </c>
      <c r="BB1101" s="33" t="s">
        <v>12</v>
      </c>
      <c r="BC1101" s="33" t="s">
        <v>26</v>
      </c>
      <c r="BD1101" s="33" t="s">
        <v>25</v>
      </c>
      <c r="BE1101" s="33" t="s">
        <v>27</v>
      </c>
      <c r="BF1101" s="33" t="s">
        <v>9</v>
      </c>
      <c r="BG1101" s="33" t="s">
        <v>23</v>
      </c>
      <c r="BH1101" s="33" t="s">
        <v>12</v>
      </c>
      <c r="BI1101" s="33" t="s">
        <v>26</v>
      </c>
      <c r="BJ1101" s="33" t="s">
        <v>25</v>
      </c>
      <c r="BK1101" s="33" t="s">
        <v>27</v>
      </c>
      <c r="BL1101" s="33" t="s">
        <v>9</v>
      </c>
      <c r="BM1101" s="33" t="s">
        <v>23</v>
      </c>
      <c r="BN1101" s="33" t="s">
        <v>12</v>
      </c>
      <c r="BO1101" s="33" t="s">
        <v>26</v>
      </c>
      <c r="BP1101" s="33" t="s">
        <v>25</v>
      </c>
      <c r="BQ1101" s="33" t="s">
        <v>27</v>
      </c>
      <c r="BR1101" s="33" t="s">
        <v>9</v>
      </c>
      <c r="BS1101" s="33" t="s">
        <v>23</v>
      </c>
      <c r="BT1101" s="33" t="s">
        <v>12</v>
      </c>
      <c r="BU1101" s="33" t="s">
        <v>26</v>
      </c>
      <c r="BV1101" s="33" t="s">
        <v>25</v>
      </c>
      <c r="BW1101" s="33" t="s">
        <v>27</v>
      </c>
      <c r="BX1101" s="33" t="s">
        <v>9</v>
      </c>
      <c r="BY1101" s="33" t="s">
        <v>23</v>
      </c>
      <c r="BZ1101" s="33" t="s">
        <v>12</v>
      </c>
      <c r="CA1101" s="33" t="s">
        <v>26</v>
      </c>
      <c r="CB1101" s="33" t="s">
        <v>25</v>
      </c>
      <c r="CC1101" s="33" t="s">
        <v>27</v>
      </c>
      <c r="CD1101" s="33" t="s">
        <v>9</v>
      </c>
      <c r="CE1101" s="33" t="s">
        <v>23</v>
      </c>
      <c r="CF1101" s="33" t="s">
        <v>12</v>
      </c>
      <c r="CG1101" s="33" t="s">
        <v>26</v>
      </c>
      <c r="CH1101" s="33" t="s">
        <v>25</v>
      </c>
      <c r="CI1101" s="8"/>
    </row>
    <row r="1102" spans="1:87" x14ac:dyDescent="0.2">
      <c r="A1102" s="8" t="str">
        <f>IF(AND(COUNTIF(W$3:W$13,A$15)&gt;0,A$15&lt;&gt;B1054),A$15,IFERROR(IF(MATCH(A$15,Z$3:Z$13,0)=3,A$15," ")," "))</f>
        <v xml:space="preserve"> </v>
      </c>
      <c r="B1102" s="8" t="str">
        <f>IF(A1102=" "," ",1)</f>
        <v xml:space="preserve"> </v>
      </c>
      <c r="C1102" s="8" t="str">
        <f>IFERROR(INDEX(A1102:A1123,MATCH(SMALL(B1102:B1123,1),B1102:B1123,0),1)," ")</f>
        <v>C3</v>
      </c>
      <c r="D1102" s="8">
        <f>IFERROR(VLOOKUP($C1102,$A$15:$O$36,2,FALSE)," ")</f>
        <v>2</v>
      </c>
      <c r="E1102" s="8">
        <f>IFERROR(VLOOKUP($C1102,$A$15:$O$36,3,FALSE)," ")</f>
        <v>5</v>
      </c>
      <c r="F1102" s="8">
        <f>IFERROR(VLOOKUP($C1102,$A$15:$O$36,4,FALSE)," ")</f>
        <v>6</v>
      </c>
      <c r="G1102" s="8">
        <f>IFERROR(VLOOKUP($C1102,$A$15:$O$36,5,FALSE)," ")</f>
        <v>0</v>
      </c>
      <c r="H1102" s="8">
        <f>IFERROR(VLOOKUP($C1102,$A$15:$O$36,6,FALSE)," ")</f>
        <v>0</v>
      </c>
      <c r="I1102" s="8">
        <f>IFERROR(VLOOKUP($C1102,$A$15:$O$36,7,FALSE)," ")</f>
        <v>0</v>
      </c>
      <c r="J1102" s="8">
        <f>IFERROR(VLOOKUP($C1102,$A$15:$O$36,8,FALSE)," ")</f>
        <v>0</v>
      </c>
      <c r="K1102" s="8">
        <f>IFERROR(VLOOKUP($C1102,$A$15:$O$36,9,FALSE)," ")</f>
        <v>0</v>
      </c>
      <c r="L1102" s="8">
        <f>IFERROR(VLOOKUP($C1102,$A$15:$O$36,10,FALSE)," ")</f>
        <v>0</v>
      </c>
      <c r="M1102" s="8">
        <f>IFERROR(VLOOKUP($C1102,$A$15:$O$36,11,FALSE)," ")</f>
        <v>0</v>
      </c>
      <c r="N1102" s="8">
        <f>IFERROR(VLOOKUP($C1102,$A$15:$O$36,12,FALSE)," ")</f>
        <v>0</v>
      </c>
      <c r="O1102" s="8">
        <f>IFERROR(VLOOKUP($C1102,$A$15:$O$36,15,FALSE)," ")</f>
        <v>2000</v>
      </c>
      <c r="P1102" s="8" t="e">
        <f t="array" ref="P1102:P1112">MMULT(MINVERSE(D1102:N1112),O1102:O1112)</f>
        <v>#NUM!</v>
      </c>
      <c r="Q1102" s="8" t="e">
        <f t="shared" ref="Q1102" si="4653">IF(COUNTIF(P1102:P1112,"&lt;"&amp;-0.001)=0,IF(ABS(P1102)&lt;0.001,0,P1102)," ")</f>
        <v>#NUM!</v>
      </c>
      <c r="R1102" s="8" t="str">
        <f>IFERROR(VLOOKUP(B1054,A$15:L$36,2,FALSE)*Q1102+VLOOKUP(B1054,A$15:L$36,3,FALSE)*Q1103+VLOOKUP(B1054,A$15:L$36,4,FALSE)*Q1104+VLOOKUP(B1054,A$15:L$36,5,FALSE)*Q1105+VLOOKUP(B1054,A$15:L$36,6,FALSE)*Q1106+VLOOKUP(B1054,A$15:L$36,7,FALSE)*Q1107+VLOOKUP(B1054,A$15:L$36,8,FALSE)*Q1108+VLOOKUP(B1054,A$15:L$36,9,FALSE)*Q1109+VLOOKUP(B1054,A$15:L$36,10,FALSE)*Q1110+VLOOKUP(B1054,A$15:L$36,11,FALSE)*Q1111+VLOOKUP(B1054,A$15:L$36,12,FALSE)*Q1112," ")</f>
        <v xml:space="preserve"> </v>
      </c>
      <c r="S1102" s="8" t="str">
        <f>IFERROR(IF(R1102-VLOOKUP(B1054,A$15:O$36,15,FALSE)&lt;0,R1102-VLOOKUP(B1054,A$15:O$36,15,FALSE)," ")," ")</f>
        <v xml:space="preserve"> </v>
      </c>
      <c r="T1102" s="18" t="str">
        <f>IFERROR(IF(R1102-VLOOKUP(B1054,A$15:O$36,15,FALSE)&gt;0,R1102-VLOOKUP(B1054,A$15:O$36,15,FALSE)," ")," ")</f>
        <v xml:space="preserve"> </v>
      </c>
      <c r="U1102" s="34">
        <f t="shared" ref="U1102" si="4654">$M$2</f>
        <v>100.00000000000001</v>
      </c>
      <c r="V1102" s="34">
        <v>-1</v>
      </c>
      <c r="W1102" s="34">
        <f t="shared" ref="W1102" si="4655">-SUMPRODUCT($M$3:$M$12,$N$3:$N$12)</f>
        <v>-105000</v>
      </c>
      <c r="X1102" s="34" t="e">
        <f t="shared" ref="X1102" si="4656">IF(U1102&lt;&gt;U1103,MMULT(MINVERSE(U1102:V1103),W1102:W1103)," ")</f>
        <v>#NUM!</v>
      </c>
      <c r="Y1102" s="34" t="str">
        <f t="shared" ref="Y1102" si="4657">IFERROR(IF(X1102-VLOOKUP(U$38,$A$2:$N$12,14,FALSE)&lt;0,X1102-VLOOKUP(U$38,$A$2:$N$12,14,FALSE)," ")," ")</f>
        <v xml:space="preserve"> </v>
      </c>
      <c r="Z1102" s="34" t="str">
        <f t="shared" ref="Z1102" si="4658">IFERROR(IF(X1102-VLOOKUP(U$38,$A$2:$N$12,14,FALSE)&gt;0,X1102-VLOOKUP(U$38,$A$2:$N$12,14,FALSE)," ")," ")</f>
        <v xml:space="preserve"> </v>
      </c>
      <c r="AA1102" s="34">
        <f t="shared" ref="AA1102" si="4659">$M$3</f>
        <v>0</v>
      </c>
      <c r="AB1102" s="34">
        <v>-1</v>
      </c>
      <c r="AC1102" s="34">
        <f t="shared" ref="AC1102" si="4660">-SUMPRODUCT($M$2:$M$2,$N$2:$N$2)-SUMPRODUCT($M$4:$M$12,$N$4:$N$12)</f>
        <v>-120000</v>
      </c>
      <c r="AD1102" s="34" t="e">
        <f t="shared" ref="AD1102" si="4661">IF(AA1102&lt;&gt;AA1103,MMULT(MINVERSE(AA1102:AB1103),AC1102:AC1103)," ")</f>
        <v>#NUM!</v>
      </c>
      <c r="AE1102" s="34" t="str">
        <f t="shared" ref="AE1102" si="4662">IFERROR(IF(AD1102-VLOOKUP(AA$38,$A$2:$N$12,14,FALSE)&lt;0,AD1102-VLOOKUP(AA$38,$A$2:$N$12,14,FALSE)," ")," ")</f>
        <v xml:space="preserve"> </v>
      </c>
      <c r="AF1102" s="34" t="str">
        <f t="shared" ref="AF1102" si="4663">IFERROR(IF(AD1102-VLOOKUP(AA$38,$A$2:$N$12,14,FALSE)&gt;0,AD1102-VLOOKUP(AA$38,$A$2:$N$12,14,FALSE)," ")," ")</f>
        <v xml:space="preserve"> </v>
      </c>
      <c r="AG1102" s="34">
        <f t="shared" ref="AG1102" si="4664">$M$4</f>
        <v>300</v>
      </c>
      <c r="AH1102" s="34">
        <v>-1</v>
      </c>
      <c r="AI1102" s="34">
        <f t="shared" ref="AI1102" si="4665">-SUMPRODUCT($M$2:$M$3,$N$2:$N$3)-SUMPRODUCT($M$5:$M$12,$N$5:$N$12)</f>
        <v>-15000.000000000002</v>
      </c>
      <c r="AJ1102" s="34" t="e">
        <f t="shared" ref="AJ1102" si="4666">IF(AG1102&lt;&gt;AG1103,MMULT(MINVERSE(AG1102:AH1103),AI1102:AI1103)," ")</f>
        <v>#NUM!</v>
      </c>
      <c r="AK1102" s="34" t="str">
        <f t="shared" ref="AK1102" si="4667">IFERROR(IF(AJ1102-VLOOKUP(AG$38,$A$2:$N$12,14,FALSE)&lt;0,AJ1102-VLOOKUP(AG$38,$A$2:$N$12,14,FALSE)," ")," ")</f>
        <v xml:space="preserve"> </v>
      </c>
      <c r="AL1102" s="34" t="str">
        <f t="shared" ref="AL1102" si="4668">IFERROR(IF(AJ1102-VLOOKUP(AG$38,$A$2:$N$12,14,FALSE)&gt;0,AJ1102-VLOOKUP(AG$38,$A$2:$N$12,14,FALSE)," ")," ")</f>
        <v xml:space="preserve"> </v>
      </c>
      <c r="AM1102" s="34">
        <f t="shared" ref="AM1102" si="4669">$M$5</f>
        <v>0</v>
      </c>
      <c r="AN1102" s="34">
        <v>-1</v>
      </c>
      <c r="AO1102" s="34">
        <f t="shared" ref="AO1102" si="4670">-SUMPRODUCT($M$2:$M$4,$N$2:$N$4)-SUMPRODUCT($M$6:$M$12,$N$6:$N$12)</f>
        <v>-120000</v>
      </c>
      <c r="AP1102" s="34" t="e">
        <f t="shared" ref="AP1102" si="4671">IF(AM1102&lt;&gt;AM1103,MMULT(MINVERSE(AM1102:AN1103),AO1102:AO1103)," ")</f>
        <v>#NUM!</v>
      </c>
      <c r="AQ1102" s="34" t="str">
        <f t="shared" ref="AQ1102" si="4672">IFERROR(IF(AP1102-VLOOKUP(AM$38,$A$2:$N$12,14,FALSE)&lt;0,AP1102-VLOOKUP(AM$38,$A$2:$N$12,14,FALSE)," ")," ")</f>
        <v xml:space="preserve"> </v>
      </c>
      <c r="AR1102" s="34" t="str">
        <f t="shared" ref="AR1102" si="4673">IFERROR(IF(AP1102-VLOOKUP(AM$38,$A$2:$N$12,14,FALSE)&gt;0,AP1102-VLOOKUP(AM$38,$A$2:$N$12,14,FALSE)," ")," ")</f>
        <v xml:space="preserve"> </v>
      </c>
      <c r="AS1102" s="34">
        <f t="shared" ref="AS1102" si="4674">$M$6</f>
        <v>0</v>
      </c>
      <c r="AT1102" s="34">
        <v>-1</v>
      </c>
      <c r="AU1102" s="34">
        <f t="shared" ref="AU1102" si="4675">-SUMPRODUCT($M$2:$M$5,$N$2:$N$5)-SUMPRODUCT($M$7:$M$12,$N$7:$N$12)</f>
        <v>-120000</v>
      </c>
      <c r="AV1102" s="34" t="e">
        <f t="shared" ref="AV1102" si="4676">IF(AS1102&lt;&gt;AS1103,MMULT(MINVERSE(AS1102:AT1103),AU1102:AU1103)," ")</f>
        <v>#NUM!</v>
      </c>
      <c r="AW1102" s="34" t="str">
        <f t="shared" ref="AW1102" si="4677">IFERROR(IF(AV1102-VLOOKUP(AS$38,$A$2:$N$12,14,FALSE)&lt;0,AV1102-VLOOKUP(AS$38,$A$2:$N$12,14,FALSE)," ")," ")</f>
        <v xml:space="preserve"> </v>
      </c>
      <c r="AX1102" s="34" t="str">
        <f t="shared" ref="AX1102" si="4678">IFERROR(IF(AV1102-VLOOKUP(AS$38,$A$2:$N$12,14,FALSE)&gt;0,AV1102-VLOOKUP(AS$38,$A$2:$N$12,14,FALSE)," ")," ")</f>
        <v xml:space="preserve"> </v>
      </c>
      <c r="AY1102" s="34">
        <f t="shared" ref="AY1102" si="4679">$M$7</f>
        <v>0</v>
      </c>
      <c r="AZ1102" s="34">
        <v>-1</v>
      </c>
      <c r="BA1102" s="34">
        <f t="shared" ref="BA1102" si="4680">-SUMPRODUCT($M$2:$M$6,$N$2:$N$6)-SUMPRODUCT($M$8:$M$12,$N$8:$N$12)</f>
        <v>-120000</v>
      </c>
      <c r="BB1102" s="34" t="e">
        <f t="shared" ref="BB1102" si="4681">IF(AY1102&lt;&gt;AY1103,MMULT(MINVERSE(AY1102:AZ1103),BA1102:BA1103)," ")</f>
        <v>#NUM!</v>
      </c>
      <c r="BC1102" s="34" t="str">
        <f t="shared" ref="BC1102" si="4682">IFERROR(IF(BB1102-VLOOKUP(AY$38,$A$2:$N$12,14,FALSE)&lt;0,BB1102-VLOOKUP(AY$38,$A$2:$N$12,14,FALSE)," ")," ")</f>
        <v xml:space="preserve"> </v>
      </c>
      <c r="BD1102" s="34" t="str">
        <f t="shared" ref="BD1102" si="4683">IFERROR(IF(BB1102-VLOOKUP(AY$38,$A$2:$N$12,14,FALSE)&gt;0,BB1102-VLOOKUP(AY$38,$A$2:$N$12,14,FALSE)," ")," ")</f>
        <v xml:space="preserve"> </v>
      </c>
      <c r="BE1102" s="34">
        <f t="shared" ref="BE1102" si="4684">$M$8</f>
        <v>0</v>
      </c>
      <c r="BF1102" s="34">
        <v>-1</v>
      </c>
      <c r="BG1102" s="34">
        <f t="shared" ref="BG1102" si="4685">-SUMPRODUCT($M$2:$M$7,$N$2:$N$7)-SUMPRODUCT($M$9:$M$12,$N$9:$N$12)</f>
        <v>-120000</v>
      </c>
      <c r="BH1102" s="34" t="e">
        <f t="shared" ref="BH1102" si="4686">IF(BE1102&lt;&gt;BE1103,MMULT(MINVERSE(BE1102:BF1103),BG1102:BG1103)," ")</f>
        <v>#NUM!</v>
      </c>
      <c r="BI1102" s="34" t="str">
        <f t="shared" ref="BI1102" si="4687">IFERROR(IF(BH1102-VLOOKUP(BE$38,$A$2:$N$12,14,FALSE)&lt;0,BH1102-VLOOKUP(BE$38,$A$2:$N$12,14,FALSE)," ")," ")</f>
        <v xml:space="preserve"> </v>
      </c>
      <c r="BJ1102" s="34" t="str">
        <f t="shared" ref="BJ1102" si="4688">IFERROR(IF(BH1102-VLOOKUP(BE$38,$A$2:$N$12,14,FALSE)&gt;0,BH1102-VLOOKUP(BE$38,$A$2:$N$12,14,FALSE)," ")," ")</f>
        <v xml:space="preserve"> </v>
      </c>
      <c r="BK1102" s="34">
        <f t="shared" ref="BK1102" si="4689">$M$9</f>
        <v>0</v>
      </c>
      <c r="BL1102" s="34">
        <v>-1</v>
      </c>
      <c r="BM1102" s="34">
        <f t="shared" ref="BM1102" si="4690">-SUMPRODUCT($M$2:$M$8,$N$2:$N$8)-SUMPRODUCT($M$10:$M$12,$N$10:$N$12)</f>
        <v>-120000</v>
      </c>
      <c r="BN1102" s="34" t="e">
        <f t="shared" ref="BN1102" si="4691">IF(BK1102&lt;&gt;BK1103,MMULT(MINVERSE(BK1102:BL1103),BM1102:BM1103)," ")</f>
        <v>#NUM!</v>
      </c>
      <c r="BO1102" s="34" t="str">
        <f t="shared" ref="BO1102" si="4692">IFERROR(IF(BN1102-VLOOKUP(BK$38,$A$2:$N$12,14,FALSE)&lt;0,BN1102-VLOOKUP(BK$38,$A$2:$N$12,14,FALSE)," ")," ")</f>
        <v xml:space="preserve"> </v>
      </c>
      <c r="BP1102" s="34" t="str">
        <f t="shared" ref="BP1102" si="4693">IFERROR(IF(BN1102-VLOOKUP(BK$38,$A$2:$N$12,14,FALSE)&gt;0,BN1102-VLOOKUP(BK$38,$A$2:$N$12,14,FALSE)," ")," ")</f>
        <v xml:space="preserve"> </v>
      </c>
      <c r="BQ1102" s="34">
        <f t="shared" ref="BQ1102" si="4694">$M$10</f>
        <v>0</v>
      </c>
      <c r="BR1102" s="34">
        <v>-1</v>
      </c>
      <c r="BS1102" s="34">
        <f t="shared" ref="BS1102" si="4695">-SUMPRODUCT($M$2:$M$9,$N$2:$N$9)-SUMPRODUCT($M$11:$M$12,$N$11:$N$12)</f>
        <v>-120000</v>
      </c>
      <c r="BT1102" s="34" t="e">
        <f t="shared" ref="BT1102" si="4696">IF(BQ1102&lt;&gt;BQ1103,MMULT(MINVERSE(BQ1102:BR1103),BS1102:BS1103)," ")</f>
        <v>#NUM!</v>
      </c>
      <c r="BU1102" s="34" t="str">
        <f t="shared" ref="BU1102" si="4697">IFERROR(IF(BT1102-VLOOKUP(BQ$38,$A$2:$N$12,14,FALSE)&lt;0,BT1102-VLOOKUP(BQ$38,$A$2:$N$12,14,FALSE)," ")," ")</f>
        <v xml:space="preserve"> </v>
      </c>
      <c r="BV1102" s="34" t="str">
        <f t="shared" ref="BV1102" si="4698">IFERROR(IF(BT1102-VLOOKUP(BQ$38,$A$2:$N$12,14,FALSE)&gt;0,BT1102-VLOOKUP(BQ$38,$A$2:$N$12,14,FALSE)," ")," ")</f>
        <v xml:space="preserve"> </v>
      </c>
      <c r="BW1102" s="34">
        <f t="shared" ref="BW1102" si="4699">$M$11</f>
        <v>0</v>
      </c>
      <c r="BX1102" s="34">
        <v>-1</v>
      </c>
      <c r="BY1102" s="34">
        <f t="shared" ref="BY1102" si="4700">-SUMPRODUCT($M$2:$M$10,$N$2:$N$10)-SUMPRODUCT($M$12,$N$12)</f>
        <v>-120000</v>
      </c>
      <c r="BZ1102" s="34" t="e">
        <f t="shared" ref="BZ1102" si="4701">IF(BW1102&lt;&gt;BW1103,MMULT(MINVERSE(BW1102:BX1103),BY1102:BY1103)," ")</f>
        <v>#NUM!</v>
      </c>
      <c r="CA1102" s="34" t="str">
        <f t="shared" ref="CA1102" si="4702">IFERROR(IF(BZ1102-VLOOKUP(BW$38,$A$2:$N$12,14,FALSE)&lt;0,BZ1102-VLOOKUP(BW$38,$A$2:$N$12,14,FALSE)," ")," ")</f>
        <v xml:space="preserve"> </v>
      </c>
      <c r="CB1102" s="34" t="str">
        <f t="shared" ref="CB1102" si="4703">IFERROR(IF(BZ1102-VLOOKUP(BW$38,$A$2:$N$12,14,FALSE)&gt;0,BZ1102-VLOOKUP(BW$38,$A$2:$N$12,14,FALSE)," ")," ")</f>
        <v xml:space="preserve"> </v>
      </c>
      <c r="CC1102" s="34">
        <f t="shared" ref="CC1102" si="4704">$M$12</f>
        <v>0</v>
      </c>
      <c r="CD1102" s="34">
        <v>-1</v>
      </c>
      <c r="CE1102" s="34">
        <f t="shared" ref="CE1102" si="4705">-SUMPRODUCT($M$2:$M$11,$N$2:$N$11)</f>
        <v>-120000</v>
      </c>
      <c r="CF1102" s="34" t="e">
        <f t="shared" ref="CF1102" si="4706">IF(CC1102&lt;&gt;CC1103,MMULT(MINVERSE(CC1102:CD1103),CE1102:CE1103)," ")</f>
        <v>#NUM!</v>
      </c>
      <c r="CG1102" s="34" t="str">
        <f t="shared" ref="CG1102" si="4707">IFERROR(IF(CF1102-VLOOKUP(CC$38,$A$2:$N$12,14,FALSE)&lt;0,CF1102-VLOOKUP(CC$38,$A$2:$N$12,14,FALSE)," ")," ")</f>
        <v xml:space="preserve"> </v>
      </c>
      <c r="CH1102" s="34" t="str">
        <f t="shared" ref="CH1102" si="4708">IFERROR(IF(CF1102-VLOOKUP(CC$38,$A$2:$N$12,14,FALSE)&gt;0,CF1102-VLOOKUP(CC$38,$A$2:$N$12,14,FALSE)," ")," ")</f>
        <v xml:space="preserve"> </v>
      </c>
      <c r="CI1102" s="8"/>
    </row>
    <row r="1103" spans="1:87" x14ac:dyDescent="0.2">
      <c r="A1103" s="8" t="str">
        <f>IF(AND(COUNTIF(W$3:W$13,A$16)&gt;0,A$16&lt;&gt;B1054),A$16,IFERROR(IF(MATCH(A$16,Z$3:Z$13,0)=3,A$16," ")," "))</f>
        <v xml:space="preserve"> </v>
      </c>
      <c r="B1103" s="8" t="str">
        <f>IF(A1103=" "," ",MAX(B1102:B1102)+1)</f>
        <v xml:space="preserve"> </v>
      </c>
      <c r="C1103" s="8" t="str">
        <f>IFERROR(INDEX(A1102:A1123,MATCH(SMALL(B1102:B1123,2),B1102:B1123,0),1)," ")</f>
        <v>C4</v>
      </c>
      <c r="D1103" s="8">
        <f t="shared" ref="D1103:D1112" si="4709">IFERROR(VLOOKUP($C1103,$A$15:$O$36,2,FALSE)," ")</f>
        <v>1</v>
      </c>
      <c r="E1103" s="8">
        <f t="shared" ref="E1103:E1112" si="4710">IFERROR(VLOOKUP($C1103,$A$15:$O$36,3,FALSE)," ")</f>
        <v>0</v>
      </c>
      <c r="F1103" s="8">
        <f t="shared" ref="F1103:F1112" si="4711">IFERROR(VLOOKUP($C1103,$A$15:$O$36,4,FALSE)," ")</f>
        <v>1</v>
      </c>
      <c r="G1103" s="8">
        <f t="shared" ref="G1103:G1112" si="4712">IFERROR(VLOOKUP($C1103,$A$15:$O$36,5,FALSE)," ")</f>
        <v>0</v>
      </c>
      <c r="H1103" s="8">
        <f t="shared" ref="H1103:H1112" si="4713">IFERROR(VLOOKUP($C1103,$A$15:$O$36,6,FALSE)," ")</f>
        <v>0</v>
      </c>
      <c r="I1103" s="8">
        <f t="shared" ref="I1103:I1112" si="4714">IFERROR(VLOOKUP($C1103,$A$15:$O$36,7,FALSE)," ")</f>
        <v>0</v>
      </c>
      <c r="J1103" s="8">
        <f t="shared" ref="J1103:J1112" si="4715">IFERROR(VLOOKUP($C1103,$A$15:$O$36,8,FALSE)," ")</f>
        <v>0</v>
      </c>
      <c r="K1103" s="8">
        <f t="shared" ref="K1103:K1112" si="4716">IFERROR(VLOOKUP($C1103,$A$15:$O$36,9,FALSE)," ")</f>
        <v>0</v>
      </c>
      <c r="L1103" s="8">
        <f t="shared" ref="L1103:L1112" si="4717">IFERROR(VLOOKUP($C1103,$A$15:$O$36,10,FALSE)," ")</f>
        <v>0</v>
      </c>
      <c r="M1103" s="8">
        <f t="shared" ref="M1103:M1112" si="4718">IFERROR(VLOOKUP($C1103,$A$15:$O$36,11,FALSE)," ")</f>
        <v>0</v>
      </c>
      <c r="N1103" s="8">
        <f t="shared" ref="N1103:N1112" si="4719">IFERROR(VLOOKUP($C1103,$A$15:$O$36,12,FALSE)," ")</f>
        <v>0</v>
      </c>
      <c r="O1103" s="8">
        <f t="shared" ref="O1103:O1112" si="4720">IFERROR(VLOOKUP($C1103,$A$15:$O$36,15,FALSE)," ")</f>
        <v>400</v>
      </c>
      <c r="P1103" s="8" t="e">
        <v>#NUM!</v>
      </c>
      <c r="Q1103" s="8" t="e">
        <f t="shared" ref="Q1103" si="4721">IF(COUNTIF(P1102:P1112,"&lt;"&amp;-0.001)=0,IF(ABS(P1103)&lt;0.001,0,P1103)," ")</f>
        <v>#NUM!</v>
      </c>
      <c r="R1103" s="8"/>
      <c r="S1103" s="8"/>
      <c r="U1103" s="34" t="e">
        <f t="shared" ref="U1103" si="4722">$Q1102</f>
        <v>#NUM!</v>
      </c>
      <c r="V1103" s="34">
        <v>-1</v>
      </c>
      <c r="W1103" s="34" t="e">
        <f t="shared" ref="W1103" si="4723">-SUMPRODUCT($Q1103:$Q1112,$N$3:$N$12)</f>
        <v>#NUM!</v>
      </c>
      <c r="X1103" s="34"/>
      <c r="Y1103" s="34"/>
      <c r="Z1103" s="34"/>
      <c r="AA1103" s="34" t="e">
        <f t="shared" ref="AA1103" si="4724">$Q1103</f>
        <v>#NUM!</v>
      </c>
      <c r="AB1103" s="34">
        <v>-1</v>
      </c>
      <c r="AC1103" s="34" t="e">
        <f t="shared" ref="AC1103" si="4725">-SUMPRODUCT($Q1102:$Q1102,$N$2:$N$2)-SUMPRODUCT($Q1104:$Q1112,$N$4:$N$12)</f>
        <v>#NUM!</v>
      </c>
      <c r="AD1103" s="34"/>
      <c r="AE1103" s="34"/>
      <c r="AF1103" s="34"/>
      <c r="AG1103" s="34" t="e">
        <f t="shared" ref="AG1103" si="4726">$Q1104</f>
        <v>#NUM!</v>
      </c>
      <c r="AH1103" s="34">
        <v>-1</v>
      </c>
      <c r="AI1103" s="34" t="e">
        <f t="shared" ref="AI1103" si="4727">-SUMPRODUCT($Q1102:$Q1103,$N$2:$N$3)-SUMPRODUCT($Q1105:$Q1112,$N$5:$N$12)</f>
        <v>#NUM!</v>
      </c>
      <c r="AJ1103" s="34"/>
      <c r="AK1103" s="34"/>
      <c r="AL1103" s="34"/>
      <c r="AM1103" s="34" t="e">
        <f t="shared" ref="AM1103" si="4728">$Q1105</f>
        <v>#NUM!</v>
      </c>
      <c r="AN1103" s="34">
        <v>-1</v>
      </c>
      <c r="AO1103" s="34" t="e">
        <f t="shared" ref="AO1103" si="4729">-SUMPRODUCT($Q1102:$Q1104,$N$2:$N$4)-SUMPRODUCT($Q1106:$Q1112,$N$6:$N$12)</f>
        <v>#NUM!</v>
      </c>
      <c r="AP1103" s="34"/>
      <c r="AQ1103" s="34"/>
      <c r="AR1103" s="34"/>
      <c r="AS1103" s="34" t="e">
        <f t="shared" ref="AS1103" si="4730">$Q1106</f>
        <v>#NUM!</v>
      </c>
      <c r="AT1103" s="34">
        <v>-1</v>
      </c>
      <c r="AU1103" s="34" t="e">
        <f t="shared" ref="AU1103" si="4731">-SUMPRODUCT($Q1102:$Q1105,$N$2:$N$5)-SUMPRODUCT($Q1107:$Q1112,$N$7:$N$12)</f>
        <v>#NUM!</v>
      </c>
      <c r="AV1103" s="34"/>
      <c r="AW1103" s="34"/>
      <c r="AX1103" s="34"/>
      <c r="AY1103" s="34" t="e">
        <f t="shared" ref="AY1103" si="4732">$Q1107</f>
        <v>#NUM!</v>
      </c>
      <c r="AZ1103" s="34">
        <v>-1</v>
      </c>
      <c r="BA1103" s="34" t="e">
        <f t="shared" ref="BA1103" si="4733">-SUMPRODUCT($Q1102:$Q1106,$N$2:$N$6)-SUMPRODUCT($Q1108:$Q1112,$N$8:$N$12)</f>
        <v>#NUM!</v>
      </c>
      <c r="BB1103" s="34"/>
      <c r="BC1103" s="34"/>
      <c r="BD1103" s="34"/>
      <c r="BE1103" s="34" t="e">
        <f t="shared" ref="BE1103" si="4734">$Q1108</f>
        <v>#NUM!</v>
      </c>
      <c r="BF1103" s="34">
        <v>-1</v>
      </c>
      <c r="BG1103" s="34" t="e">
        <f t="shared" ref="BG1103" si="4735">-SUMPRODUCT($Q1102:$Q1107,$N$2:$N$7)-SUMPRODUCT($Q1109:$Q1112,$N$9:$N$12)</f>
        <v>#NUM!</v>
      </c>
      <c r="BH1103" s="34"/>
      <c r="BI1103" s="34"/>
      <c r="BJ1103" s="34"/>
      <c r="BK1103" s="34" t="e">
        <f t="shared" ref="BK1103" si="4736">$Q1109</f>
        <v>#NUM!</v>
      </c>
      <c r="BL1103" s="34">
        <v>-1</v>
      </c>
      <c r="BM1103" s="34" t="e">
        <f t="shared" ref="BM1103" si="4737">-SUMPRODUCT($Q1102:$Q1108,$N$2:$N$8)-SUMPRODUCT($Q1110:$Q1112,$N$10:$N$12)</f>
        <v>#NUM!</v>
      </c>
      <c r="BN1103" s="34"/>
      <c r="BO1103" s="34"/>
      <c r="BP1103" s="34"/>
      <c r="BQ1103" s="34" t="e">
        <f t="shared" ref="BQ1103" si="4738">$Q1110</f>
        <v>#NUM!</v>
      </c>
      <c r="BR1103" s="34">
        <v>-1</v>
      </c>
      <c r="BS1103" s="34" t="e">
        <f t="shared" ref="BS1103" si="4739">-SUMPRODUCT($Q1102:$Q1109,$N$2:$N$9)-SUMPRODUCT($Q1111:$Q1112,$N$11:$N$12)</f>
        <v>#NUM!</v>
      </c>
      <c r="BT1103" s="34"/>
      <c r="BU1103" s="34"/>
      <c r="BV1103" s="34"/>
      <c r="BW1103" s="34" t="e">
        <f t="shared" ref="BW1103" si="4740">$Q1111</f>
        <v>#NUM!</v>
      </c>
      <c r="BX1103" s="34">
        <v>-1</v>
      </c>
      <c r="BY1103" s="34" t="e">
        <f t="shared" ref="BY1103" si="4741">-SUMPRODUCT($Q1102:$Q1110,$N$2:$N$10)-SUMPRODUCT($Q1112,$N$12)</f>
        <v>#NUM!</v>
      </c>
      <c r="BZ1103" s="34"/>
      <c r="CA1103" s="34"/>
      <c r="CB1103" s="34"/>
      <c r="CC1103" s="34" t="e">
        <f t="shared" ref="CC1103" si="4742">$Q1112</f>
        <v>#NUM!</v>
      </c>
      <c r="CD1103" s="34">
        <v>-1</v>
      </c>
      <c r="CE1103" s="34" t="e">
        <f t="shared" ref="CE1103" si="4743">-SUMPRODUCT($Q1102:$Q1111,$N$2:$N$11)</f>
        <v>#NUM!</v>
      </c>
      <c r="CF1103" s="34"/>
      <c r="CG1103" s="34"/>
      <c r="CH1103" s="34"/>
      <c r="CI1103" s="8"/>
    </row>
    <row r="1104" spans="1:87" x14ac:dyDescent="0.2">
      <c r="A1104" s="8" t="str">
        <f>IF(AND(COUNTIF(W$3:W$13,A$17)&gt;0,A$17&lt;&gt;B1054),A$17,IFERROR(IF(MATCH(A$17,Z$3:Z$13,0)=3,A$17," ")," "))</f>
        <v>C3</v>
      </c>
      <c r="B1104" s="8">
        <f>IF(A1104=" "," ",MAX(B1102:B1103)+1)</f>
        <v>1</v>
      </c>
      <c r="C1104" s="8" t="str">
        <f>IFERROR(INDEX(A1102:A1123,MATCH(SMALL(B1102:B1123,3),B1102:B1123,0),1)," ")</f>
        <v>C5</v>
      </c>
      <c r="D1104" s="8">
        <f t="shared" si="4709"/>
        <v>0</v>
      </c>
      <c r="E1104" s="8">
        <f t="shared" si="4710"/>
        <v>0</v>
      </c>
      <c r="F1104" s="8">
        <f t="shared" si="4711"/>
        <v>0</v>
      </c>
      <c r="G1104" s="8">
        <f t="shared" si="4712"/>
        <v>0</v>
      </c>
      <c r="H1104" s="8">
        <f t="shared" si="4713"/>
        <v>0</v>
      </c>
      <c r="I1104" s="8">
        <f t="shared" si="4714"/>
        <v>0</v>
      </c>
      <c r="J1104" s="8">
        <f t="shared" si="4715"/>
        <v>0</v>
      </c>
      <c r="K1104" s="8">
        <f t="shared" si="4716"/>
        <v>0</v>
      </c>
      <c r="L1104" s="8">
        <f t="shared" si="4717"/>
        <v>0</v>
      </c>
      <c r="M1104" s="8">
        <f t="shared" si="4718"/>
        <v>0</v>
      </c>
      <c r="N1104" s="8">
        <f t="shared" si="4719"/>
        <v>0</v>
      </c>
      <c r="O1104" s="8">
        <f t="shared" si="4720"/>
        <v>0</v>
      </c>
      <c r="P1104" s="8" t="e">
        <v>#NUM!</v>
      </c>
      <c r="Q1104" s="8" t="e">
        <f t="shared" ref="Q1104" si="4744">IF(COUNTIF(P1102:P1112,"&lt;"&amp;-0.001)=0,IF(ABS(P1104)&lt;0.001,0,P1104)," ")</f>
        <v>#NUM!</v>
      </c>
      <c r="R1104" s="8"/>
      <c r="S1104" s="8"/>
      <c r="U1104" s="34"/>
      <c r="V1104" s="34"/>
      <c r="W1104" s="34"/>
      <c r="X1104" s="34"/>
      <c r="Y1104" s="34"/>
      <c r="Z1104" s="34"/>
      <c r="AA1104" s="34"/>
      <c r="AB1104" s="34"/>
      <c r="AC1104" s="34"/>
      <c r="AD1104" s="34"/>
      <c r="AE1104" s="34"/>
      <c r="AF1104" s="34"/>
      <c r="AG1104" s="34"/>
      <c r="AH1104" s="34"/>
      <c r="AI1104" s="34"/>
      <c r="AJ1104" s="34"/>
      <c r="AK1104" s="34"/>
      <c r="AL1104" s="34"/>
      <c r="AM1104" s="34"/>
      <c r="AN1104" s="34"/>
      <c r="AO1104" s="34"/>
      <c r="AP1104" s="34"/>
      <c r="AQ1104" s="34"/>
      <c r="AR1104" s="34"/>
      <c r="AS1104" s="34"/>
      <c r="AT1104" s="34"/>
      <c r="AU1104" s="34"/>
      <c r="AV1104" s="34"/>
      <c r="AW1104" s="34"/>
      <c r="AX1104" s="34"/>
      <c r="AY1104" s="34"/>
      <c r="AZ1104" s="34"/>
      <c r="BA1104" s="34"/>
      <c r="BB1104" s="34"/>
      <c r="BC1104" s="34"/>
      <c r="BD1104" s="34"/>
      <c r="BE1104" s="34"/>
      <c r="BF1104" s="34"/>
      <c r="BG1104" s="34"/>
      <c r="BH1104" s="34"/>
      <c r="BI1104" s="34"/>
      <c r="BJ1104" s="34"/>
      <c r="BK1104" s="34"/>
      <c r="BL1104" s="34"/>
      <c r="BM1104" s="34"/>
      <c r="BN1104" s="34"/>
      <c r="BO1104" s="34"/>
      <c r="BP1104" s="34"/>
      <c r="BQ1104" s="34"/>
      <c r="BR1104" s="34"/>
      <c r="BS1104" s="34"/>
      <c r="BT1104" s="34"/>
      <c r="BU1104" s="34"/>
      <c r="BV1104" s="34"/>
      <c r="BW1104" s="34"/>
      <c r="BX1104" s="34"/>
      <c r="BY1104" s="34"/>
      <c r="BZ1104" s="34"/>
      <c r="CA1104" s="34"/>
      <c r="CB1104" s="34"/>
      <c r="CC1104" s="34"/>
      <c r="CD1104" s="34"/>
      <c r="CE1104" s="34"/>
      <c r="CF1104" s="34"/>
      <c r="CG1104" s="34"/>
      <c r="CH1104" s="34"/>
      <c r="CI1104" s="8"/>
    </row>
    <row r="1105" spans="1:87" x14ac:dyDescent="0.2">
      <c r="A1105" s="8" t="str">
        <f>IF(AND(COUNTIF(W$3:W$13,A$18)&gt;0,A$18&lt;&gt;B1054),A$18,IFERROR(IF(MATCH(A$18,Z$3:Z$13,0)=3,A$18," ")," "))</f>
        <v>C4</v>
      </c>
      <c r="B1105" s="8">
        <f>IF(A1105=" "," ",MAX(B1102:B1104)+1)</f>
        <v>2</v>
      </c>
      <c r="C1105" s="8" t="str">
        <f>IFERROR(INDEX(A1102:A1123,MATCH(SMALL(B1102:B1123,4),B1102:B1123,0),1)," ")</f>
        <v>C13</v>
      </c>
      <c r="D1105" s="8">
        <f t="shared" si="4709"/>
        <v>0</v>
      </c>
      <c r="E1105" s="8">
        <f t="shared" si="4710"/>
        <v>1</v>
      </c>
      <c r="F1105" s="8">
        <f t="shared" si="4711"/>
        <v>0</v>
      </c>
      <c r="G1105" s="8">
        <f t="shared" si="4712"/>
        <v>0</v>
      </c>
      <c r="H1105" s="8">
        <f t="shared" si="4713"/>
        <v>0</v>
      </c>
      <c r="I1105" s="8">
        <f t="shared" si="4714"/>
        <v>0</v>
      </c>
      <c r="J1105" s="8">
        <f t="shared" si="4715"/>
        <v>0</v>
      </c>
      <c r="K1105" s="8">
        <f t="shared" si="4716"/>
        <v>0</v>
      </c>
      <c r="L1105" s="8">
        <f t="shared" si="4717"/>
        <v>0</v>
      </c>
      <c r="M1105" s="8">
        <f t="shared" si="4718"/>
        <v>0</v>
      </c>
      <c r="N1105" s="8">
        <f t="shared" si="4719"/>
        <v>0</v>
      </c>
      <c r="O1105" s="8">
        <f t="shared" si="4720"/>
        <v>0</v>
      </c>
      <c r="P1105" s="8" t="e">
        <v>#NUM!</v>
      </c>
      <c r="Q1105" s="8" t="e">
        <f t="shared" ref="Q1105" si="4745">IF(COUNTIF(P1102:P1112,"&lt;"&amp;-0.001)=0,IF(ABS(P1105)&lt;0.001,0,P1105)," ")</f>
        <v>#NUM!</v>
      </c>
      <c r="R1105" s="8"/>
      <c r="S1105" s="8"/>
      <c r="U1105" s="34"/>
      <c r="V1105" s="34"/>
      <c r="W1105" s="34"/>
      <c r="X1105" s="34"/>
      <c r="Y1105" s="34"/>
      <c r="Z1105" s="34"/>
      <c r="AA1105" s="34"/>
      <c r="AB1105" s="34"/>
      <c r="AC1105" s="34"/>
      <c r="AD1105" s="34"/>
      <c r="AE1105" s="34"/>
      <c r="AF1105" s="34"/>
      <c r="AG1105" s="34"/>
      <c r="AH1105" s="34"/>
      <c r="AI1105" s="34"/>
      <c r="AJ1105" s="34"/>
      <c r="AK1105" s="34"/>
      <c r="AL1105" s="34"/>
      <c r="AM1105" s="34"/>
      <c r="AN1105" s="34"/>
      <c r="AO1105" s="34"/>
      <c r="AP1105" s="34"/>
      <c r="AQ1105" s="34"/>
      <c r="AR1105" s="34"/>
      <c r="AS1105" s="34"/>
      <c r="AT1105" s="34"/>
      <c r="AU1105" s="34"/>
      <c r="AV1105" s="34"/>
      <c r="AW1105" s="34"/>
      <c r="AX1105" s="34"/>
      <c r="AY1105" s="34"/>
      <c r="AZ1105" s="34"/>
      <c r="BA1105" s="34"/>
      <c r="BB1105" s="34"/>
      <c r="BC1105" s="34"/>
      <c r="BD1105" s="34"/>
      <c r="BE1105" s="34"/>
      <c r="BF1105" s="34"/>
      <c r="BG1105" s="34"/>
      <c r="BH1105" s="34"/>
      <c r="BI1105" s="34"/>
      <c r="BJ1105" s="34"/>
      <c r="BK1105" s="34"/>
      <c r="BL1105" s="34"/>
      <c r="BM1105" s="34"/>
      <c r="BN1105" s="34"/>
      <c r="BO1105" s="34"/>
      <c r="BP1105" s="34"/>
      <c r="BQ1105" s="34"/>
      <c r="BR1105" s="34"/>
      <c r="BS1105" s="34"/>
      <c r="BT1105" s="34"/>
      <c r="BU1105" s="34"/>
      <c r="BV1105" s="34"/>
      <c r="BW1105" s="34"/>
      <c r="BX1105" s="34"/>
      <c r="BY1105" s="34"/>
      <c r="BZ1105" s="34"/>
      <c r="CA1105" s="34"/>
      <c r="CB1105" s="34"/>
      <c r="CC1105" s="34"/>
      <c r="CD1105" s="34"/>
      <c r="CE1105" s="34"/>
      <c r="CF1105" s="34"/>
      <c r="CG1105" s="34"/>
      <c r="CH1105" s="34"/>
      <c r="CI1105" s="8"/>
    </row>
    <row r="1106" spans="1:87" x14ac:dyDescent="0.2">
      <c r="A1106" s="8" t="str">
        <f>IF(AND(COUNTIF(W$3:W$13,A$19)&gt;0,A$19&lt;&gt;B1054),A$19,IFERROR(IF(MATCH(A$19,Z$3:Z$13,0)=3,A$19," ")," "))</f>
        <v>C5</v>
      </c>
      <c r="B1106" s="8">
        <f>IF(A1106=" "," ",MAX(B1102:B1105)+1)</f>
        <v>3</v>
      </c>
      <c r="C1106" s="8" t="str">
        <f>IFERROR(INDEX(A1102:A1123,MATCH(SMALL(B1102:B1123,5),B1102:B1123,0),1)," ")</f>
        <v>C15</v>
      </c>
      <c r="D1106" s="8">
        <f t="shared" si="4709"/>
        <v>0</v>
      </c>
      <c r="E1106" s="8">
        <f t="shared" si="4710"/>
        <v>0</v>
      </c>
      <c r="F1106" s="8">
        <f t="shared" si="4711"/>
        <v>0</v>
      </c>
      <c r="G1106" s="8">
        <f t="shared" si="4712"/>
        <v>1</v>
      </c>
      <c r="H1106" s="8">
        <f t="shared" si="4713"/>
        <v>0</v>
      </c>
      <c r="I1106" s="8">
        <f t="shared" si="4714"/>
        <v>0</v>
      </c>
      <c r="J1106" s="8">
        <f t="shared" si="4715"/>
        <v>0</v>
      </c>
      <c r="K1106" s="8">
        <f t="shared" si="4716"/>
        <v>0</v>
      </c>
      <c r="L1106" s="8">
        <f t="shared" si="4717"/>
        <v>0</v>
      </c>
      <c r="M1106" s="8">
        <f t="shared" si="4718"/>
        <v>0</v>
      </c>
      <c r="N1106" s="8">
        <f t="shared" si="4719"/>
        <v>0</v>
      </c>
      <c r="O1106" s="8">
        <f t="shared" si="4720"/>
        <v>0</v>
      </c>
      <c r="P1106" s="8" t="e">
        <v>#NUM!</v>
      </c>
      <c r="Q1106" s="8" t="e">
        <f t="shared" ref="Q1106" si="4746">IF(COUNTIF(P1102:P1112,"&lt;"&amp;-0.001)=0,IF(ABS(P1106)&lt;0.001,0,P1106)," ")</f>
        <v>#NUM!</v>
      </c>
      <c r="R1106" s="8"/>
      <c r="S1106" s="8"/>
      <c r="U1106" s="34"/>
      <c r="V1106" s="34"/>
      <c r="W1106" s="34"/>
      <c r="X1106" s="34"/>
      <c r="Y1106" s="34"/>
      <c r="Z1106" s="34"/>
      <c r="AA1106" s="34"/>
      <c r="AB1106" s="34"/>
      <c r="AC1106" s="34"/>
      <c r="AD1106" s="34"/>
      <c r="AE1106" s="34"/>
      <c r="AF1106" s="34"/>
      <c r="AG1106" s="34"/>
      <c r="AH1106" s="34"/>
      <c r="AI1106" s="34"/>
      <c r="AJ1106" s="34"/>
      <c r="AK1106" s="34"/>
      <c r="AL1106" s="34"/>
      <c r="AM1106" s="34"/>
      <c r="AN1106" s="34"/>
      <c r="AO1106" s="34"/>
      <c r="AP1106" s="34"/>
      <c r="AQ1106" s="34"/>
      <c r="AR1106" s="34"/>
      <c r="AS1106" s="34"/>
      <c r="AT1106" s="34"/>
      <c r="AU1106" s="34"/>
      <c r="AV1106" s="34"/>
      <c r="AW1106" s="34"/>
      <c r="AX1106" s="34"/>
      <c r="AY1106" s="34"/>
      <c r="AZ1106" s="34"/>
      <c r="BA1106" s="34"/>
      <c r="BB1106" s="34"/>
      <c r="BC1106" s="34"/>
      <c r="BD1106" s="34"/>
      <c r="BE1106" s="34"/>
      <c r="BF1106" s="34"/>
      <c r="BG1106" s="34"/>
      <c r="BH1106" s="34"/>
      <c r="BI1106" s="34"/>
      <c r="BJ1106" s="34"/>
      <c r="BK1106" s="34"/>
      <c r="BL1106" s="34"/>
      <c r="BM1106" s="34"/>
      <c r="BN1106" s="34"/>
      <c r="BO1106" s="34"/>
      <c r="BP1106" s="34"/>
      <c r="BQ1106" s="34"/>
      <c r="BR1106" s="34"/>
      <c r="BS1106" s="34"/>
      <c r="BT1106" s="34"/>
      <c r="BU1106" s="34"/>
      <c r="BV1106" s="34"/>
      <c r="BW1106" s="34"/>
      <c r="BX1106" s="34"/>
      <c r="BY1106" s="34"/>
      <c r="BZ1106" s="34"/>
      <c r="CA1106" s="34"/>
      <c r="CB1106" s="34"/>
      <c r="CC1106" s="34"/>
      <c r="CD1106" s="34"/>
      <c r="CE1106" s="34"/>
      <c r="CF1106" s="34"/>
      <c r="CG1106" s="34"/>
      <c r="CH1106" s="34"/>
      <c r="CI1106" s="8"/>
    </row>
    <row r="1107" spans="1:87" x14ac:dyDescent="0.2">
      <c r="A1107" s="8" t="str">
        <f>IF(AND(COUNTIF(W$3:W$13,A$20)&gt;0,A$20&lt;&gt;B1054),A$20,IFERROR(IF(MATCH(A$20,Z$3:Z$13,0)=3,A$20," ")," "))</f>
        <v xml:space="preserve"> </v>
      </c>
      <c r="B1107" s="8" t="str">
        <f>IF(A1107=" "," ",MAX(B1102:B1106)+1)</f>
        <v xml:space="preserve"> </v>
      </c>
      <c r="C1107" s="8" t="str">
        <f>IFERROR(INDEX(A1102:A1123,MATCH(SMALL(B1102:B1123,6),B1102:B1123,0),1)," ")</f>
        <v>C17</v>
      </c>
      <c r="D1107" s="8">
        <f t="shared" si="4709"/>
        <v>0</v>
      </c>
      <c r="E1107" s="8">
        <f t="shared" si="4710"/>
        <v>0</v>
      </c>
      <c r="F1107" s="8">
        <f t="shared" si="4711"/>
        <v>0</v>
      </c>
      <c r="G1107" s="8">
        <f t="shared" si="4712"/>
        <v>0</v>
      </c>
      <c r="H1107" s="8">
        <f t="shared" si="4713"/>
        <v>0</v>
      </c>
      <c r="I1107" s="8">
        <f t="shared" si="4714"/>
        <v>1</v>
      </c>
      <c r="J1107" s="8">
        <f t="shared" si="4715"/>
        <v>0</v>
      </c>
      <c r="K1107" s="8">
        <f t="shared" si="4716"/>
        <v>0</v>
      </c>
      <c r="L1107" s="8">
        <f t="shared" si="4717"/>
        <v>0</v>
      </c>
      <c r="M1107" s="8">
        <f t="shared" si="4718"/>
        <v>0</v>
      </c>
      <c r="N1107" s="8">
        <f t="shared" si="4719"/>
        <v>0</v>
      </c>
      <c r="O1107" s="8">
        <f t="shared" si="4720"/>
        <v>0</v>
      </c>
      <c r="P1107" s="8" t="e">
        <v>#NUM!</v>
      </c>
      <c r="Q1107" s="8" t="e">
        <f t="shared" ref="Q1107" si="4747">IF(COUNTIF(P1102:P1112,"&lt;"&amp;-0.001)=0,IF(ABS(P1107)&lt;0.001,0,P1107)," ")</f>
        <v>#NUM!</v>
      </c>
      <c r="R1107" s="8"/>
      <c r="S1107" s="8"/>
      <c r="U1107" s="34"/>
      <c r="V1107" s="34"/>
      <c r="W1107" s="34"/>
      <c r="X1107" s="34"/>
      <c r="Y1107" s="34"/>
      <c r="Z1107" s="34"/>
      <c r="AA1107" s="34"/>
      <c r="AB1107" s="34"/>
      <c r="AC1107" s="34"/>
      <c r="AD1107" s="34"/>
      <c r="AE1107" s="34"/>
      <c r="AF1107" s="34"/>
      <c r="AG1107" s="34"/>
      <c r="AH1107" s="34"/>
      <c r="AI1107" s="34"/>
      <c r="AJ1107" s="34"/>
      <c r="AK1107" s="34"/>
      <c r="AL1107" s="34"/>
      <c r="AM1107" s="34"/>
      <c r="AN1107" s="34"/>
      <c r="AO1107" s="34"/>
      <c r="AP1107" s="34"/>
      <c r="AQ1107" s="34"/>
      <c r="AR1107" s="34"/>
      <c r="AS1107" s="34"/>
      <c r="AT1107" s="34"/>
      <c r="AU1107" s="34"/>
      <c r="AV1107" s="34"/>
      <c r="AW1107" s="34"/>
      <c r="AX1107" s="34"/>
      <c r="AY1107" s="34"/>
      <c r="AZ1107" s="34"/>
      <c r="BA1107" s="34"/>
      <c r="BB1107" s="34"/>
      <c r="BC1107" s="34"/>
      <c r="BD1107" s="34"/>
      <c r="BE1107" s="34"/>
      <c r="BF1107" s="34"/>
      <c r="BG1107" s="34"/>
      <c r="BH1107" s="34"/>
      <c r="BI1107" s="34"/>
      <c r="BJ1107" s="34"/>
      <c r="BK1107" s="34"/>
      <c r="BL1107" s="34"/>
      <c r="BM1107" s="34"/>
      <c r="BN1107" s="34"/>
      <c r="BO1107" s="34"/>
      <c r="BP1107" s="34"/>
      <c r="BQ1107" s="34"/>
      <c r="BR1107" s="34"/>
      <c r="BS1107" s="34"/>
      <c r="BT1107" s="34"/>
      <c r="BU1107" s="34"/>
      <c r="BV1107" s="34"/>
      <c r="BW1107" s="34"/>
      <c r="BX1107" s="34"/>
      <c r="BY1107" s="34"/>
      <c r="BZ1107" s="34"/>
      <c r="CA1107" s="34"/>
      <c r="CB1107" s="34"/>
      <c r="CC1107" s="34"/>
      <c r="CD1107" s="34"/>
      <c r="CE1107" s="34"/>
      <c r="CF1107" s="34"/>
      <c r="CG1107" s="34"/>
      <c r="CH1107" s="34"/>
      <c r="CI1107" s="8"/>
    </row>
    <row r="1108" spans="1:87" x14ac:dyDescent="0.2">
      <c r="A1108" s="8" t="str">
        <f>IF(AND(COUNTIF(W$3:W$13,A$21)&gt;0,A$21&lt;&gt;B1054),A$21,IFERROR(IF(MATCH(A$21,Z$3:Z$13,0)=3,A$21," ")," "))</f>
        <v xml:space="preserve"> </v>
      </c>
      <c r="B1108" s="8" t="str">
        <f>IF(A1108=" "," ",MAX(B1102:B1107)+1)</f>
        <v xml:space="preserve"> </v>
      </c>
      <c r="C1108" s="8" t="str">
        <f>IFERROR(INDEX(A1102:A1123,MATCH(SMALL(B1102:B1123,7),B1102:B1123,0),1)," ")</f>
        <v>C18</v>
      </c>
      <c r="D1108" s="8">
        <f t="shared" si="4709"/>
        <v>0</v>
      </c>
      <c r="E1108" s="8">
        <f t="shared" si="4710"/>
        <v>0</v>
      </c>
      <c r="F1108" s="8">
        <f t="shared" si="4711"/>
        <v>0</v>
      </c>
      <c r="G1108" s="8">
        <f t="shared" si="4712"/>
        <v>0</v>
      </c>
      <c r="H1108" s="8">
        <f t="shared" si="4713"/>
        <v>0</v>
      </c>
      <c r="I1108" s="8">
        <f t="shared" si="4714"/>
        <v>0</v>
      </c>
      <c r="J1108" s="8">
        <f t="shared" si="4715"/>
        <v>1</v>
      </c>
      <c r="K1108" s="8">
        <f t="shared" si="4716"/>
        <v>0</v>
      </c>
      <c r="L1108" s="8">
        <f t="shared" si="4717"/>
        <v>0</v>
      </c>
      <c r="M1108" s="8">
        <f t="shared" si="4718"/>
        <v>0</v>
      </c>
      <c r="N1108" s="8">
        <f t="shared" si="4719"/>
        <v>0</v>
      </c>
      <c r="O1108" s="8">
        <f t="shared" si="4720"/>
        <v>0</v>
      </c>
      <c r="P1108" s="8" t="e">
        <v>#NUM!</v>
      </c>
      <c r="Q1108" s="8" t="e">
        <f t="shared" ref="Q1108" si="4748">IF(COUNTIF(P1102:P1112,"&lt;"&amp;-0.001)=0,IF(ABS(P1108)&lt;0.001,0,P1108)," ")</f>
        <v>#NUM!</v>
      </c>
      <c r="R1108" s="8"/>
      <c r="S1108" s="8"/>
      <c r="U1108" s="34"/>
      <c r="V1108" s="34"/>
      <c r="W1108" s="34"/>
      <c r="X1108" s="34"/>
      <c r="Y1108" s="34"/>
      <c r="Z1108" s="34"/>
      <c r="AA1108" s="34"/>
      <c r="AB1108" s="34"/>
      <c r="AC1108" s="34"/>
      <c r="AD1108" s="34"/>
      <c r="AE1108" s="34"/>
      <c r="AF1108" s="34"/>
      <c r="AG1108" s="34"/>
      <c r="AH1108" s="34"/>
      <c r="AI1108" s="34"/>
      <c r="AJ1108" s="34"/>
      <c r="AK1108" s="34"/>
      <c r="AL1108" s="34"/>
      <c r="AM1108" s="34"/>
      <c r="AN1108" s="34"/>
      <c r="AO1108" s="34"/>
      <c r="AP1108" s="34"/>
      <c r="AQ1108" s="34"/>
      <c r="AR1108" s="34"/>
      <c r="AS1108" s="34"/>
      <c r="AT1108" s="34"/>
      <c r="AU1108" s="34"/>
      <c r="AV1108" s="34"/>
      <c r="AW1108" s="34"/>
      <c r="AX1108" s="34"/>
      <c r="AY1108" s="34"/>
      <c r="AZ1108" s="34"/>
      <c r="BA1108" s="34"/>
      <c r="BB1108" s="34"/>
      <c r="BC1108" s="34"/>
      <c r="BD1108" s="34"/>
      <c r="BE1108" s="34"/>
      <c r="BF1108" s="34"/>
      <c r="BG1108" s="34"/>
      <c r="BH1108" s="34"/>
      <c r="BI1108" s="34"/>
      <c r="BJ1108" s="34"/>
      <c r="BK1108" s="34"/>
      <c r="BL1108" s="34"/>
      <c r="BM1108" s="34"/>
      <c r="BN1108" s="34"/>
      <c r="BO1108" s="34"/>
      <c r="BP1108" s="34"/>
      <c r="BQ1108" s="34"/>
      <c r="BR1108" s="34"/>
      <c r="BS1108" s="34"/>
      <c r="BT1108" s="34"/>
      <c r="BU1108" s="34"/>
      <c r="BV1108" s="34"/>
      <c r="BW1108" s="34"/>
      <c r="BX1108" s="34"/>
      <c r="BY1108" s="34"/>
      <c r="BZ1108" s="34"/>
      <c r="CA1108" s="34"/>
      <c r="CB1108" s="34"/>
      <c r="CC1108" s="34"/>
      <c r="CD1108" s="34"/>
      <c r="CE1108" s="34"/>
      <c r="CF1108" s="34"/>
      <c r="CG1108" s="34"/>
      <c r="CH1108" s="34"/>
      <c r="CI1108" s="8"/>
    </row>
    <row r="1109" spans="1:87" x14ac:dyDescent="0.2">
      <c r="A1109" s="8" t="str">
        <f>IF(AND(COUNTIF(W$3:W$13,A$22)&gt;0,A$22&lt;&gt;B1054),A$22,IFERROR(IF(MATCH(A$22,Z$3:Z$13,0)=3,A$22," ")," "))</f>
        <v xml:space="preserve"> </v>
      </c>
      <c r="B1109" s="8" t="str">
        <f>IF(A1109=" "," ",MAX(B1102:B1108)+1)</f>
        <v xml:space="preserve"> </v>
      </c>
      <c r="C1109" s="8" t="str">
        <f>IFERROR(INDEX(A1102:A1123,MATCH(SMALL(B1102:B1123,8),B1102:B1123,0),1)," ")</f>
        <v>C19</v>
      </c>
      <c r="D1109" s="8">
        <f t="shared" si="4709"/>
        <v>0</v>
      </c>
      <c r="E1109" s="8">
        <f t="shared" si="4710"/>
        <v>0</v>
      </c>
      <c r="F1109" s="8">
        <f t="shared" si="4711"/>
        <v>0</v>
      </c>
      <c r="G1109" s="8">
        <f t="shared" si="4712"/>
        <v>0</v>
      </c>
      <c r="H1109" s="8">
        <f t="shared" si="4713"/>
        <v>0</v>
      </c>
      <c r="I1109" s="8">
        <f t="shared" si="4714"/>
        <v>0</v>
      </c>
      <c r="J1109" s="8">
        <f t="shared" si="4715"/>
        <v>0</v>
      </c>
      <c r="K1109" s="8">
        <f t="shared" si="4716"/>
        <v>1</v>
      </c>
      <c r="L1109" s="8">
        <f t="shared" si="4717"/>
        <v>0</v>
      </c>
      <c r="M1109" s="8">
        <f t="shared" si="4718"/>
        <v>0</v>
      </c>
      <c r="N1109" s="8">
        <f t="shared" si="4719"/>
        <v>0</v>
      </c>
      <c r="O1109" s="8">
        <f t="shared" si="4720"/>
        <v>0</v>
      </c>
      <c r="P1109" s="8" t="e">
        <v>#NUM!</v>
      </c>
      <c r="Q1109" s="8" t="e">
        <f t="shared" ref="Q1109" si="4749">IF(COUNTIF(P1102:P1112,"&lt;"&amp;-0.001)=0,IF(ABS(P1109)&lt;0.001,0,P1109)," ")</f>
        <v>#NUM!</v>
      </c>
      <c r="R1109" s="8"/>
      <c r="S1109" s="8"/>
      <c r="U1109" s="34"/>
      <c r="V1109" s="34"/>
      <c r="W1109" s="34"/>
      <c r="X1109" s="34"/>
      <c r="Y1109" s="34"/>
      <c r="Z1109" s="34"/>
      <c r="AA1109" s="34"/>
      <c r="AB1109" s="34"/>
      <c r="AC1109" s="34"/>
      <c r="AD1109" s="34"/>
      <c r="AE1109" s="34"/>
      <c r="AF1109" s="34"/>
      <c r="AG1109" s="34"/>
      <c r="AH1109" s="34"/>
      <c r="AI1109" s="34"/>
      <c r="AJ1109" s="34"/>
      <c r="AK1109" s="34"/>
      <c r="AL1109" s="34"/>
      <c r="AM1109" s="34"/>
      <c r="AN1109" s="34"/>
      <c r="AO1109" s="34"/>
      <c r="AP1109" s="34"/>
      <c r="AQ1109" s="34"/>
      <c r="AR1109" s="34"/>
      <c r="AS1109" s="34"/>
      <c r="AT1109" s="34"/>
      <c r="AU1109" s="34"/>
      <c r="AV1109" s="34"/>
      <c r="AW1109" s="34"/>
      <c r="AX1109" s="34"/>
      <c r="AY1109" s="34"/>
      <c r="AZ1109" s="34"/>
      <c r="BA1109" s="34"/>
      <c r="BB1109" s="34"/>
      <c r="BC1109" s="34"/>
      <c r="BD1109" s="34"/>
      <c r="BE1109" s="34"/>
      <c r="BF1109" s="34"/>
      <c r="BG1109" s="34"/>
      <c r="BH1109" s="34"/>
      <c r="BI1109" s="34"/>
      <c r="BJ1109" s="34"/>
      <c r="BK1109" s="34"/>
      <c r="BL1109" s="34"/>
      <c r="BM1109" s="34"/>
      <c r="BN1109" s="34"/>
      <c r="BO1109" s="34"/>
      <c r="BP1109" s="34"/>
      <c r="BQ1109" s="34"/>
      <c r="BR1109" s="34"/>
      <c r="BS1109" s="34"/>
      <c r="BT1109" s="34"/>
      <c r="BU1109" s="34"/>
      <c r="BV1109" s="34"/>
      <c r="BW1109" s="34"/>
      <c r="BX1109" s="34"/>
      <c r="BY1109" s="34"/>
      <c r="BZ1109" s="34"/>
      <c r="CA1109" s="34"/>
      <c r="CB1109" s="34"/>
      <c r="CC1109" s="34"/>
      <c r="CD1109" s="34"/>
      <c r="CE1109" s="34"/>
      <c r="CF1109" s="34"/>
      <c r="CG1109" s="34"/>
      <c r="CH1109" s="34"/>
      <c r="CI1109" s="8"/>
    </row>
    <row r="1110" spans="1:87" x14ac:dyDescent="0.2">
      <c r="A1110" s="8" t="str">
        <f>IF(AND(COUNTIF(W$3:W$13,A$23)&gt;0,A$23&lt;&gt;B1054),A$23,IFERROR(IF(MATCH(A$23,Z$3:Z$13,0)=3,A$23," ")," "))</f>
        <v xml:space="preserve"> </v>
      </c>
      <c r="B1110" s="8" t="str">
        <f>IF(A1110=" "," ",MAX(B1102:B1109)+1)</f>
        <v xml:space="preserve"> </v>
      </c>
      <c r="C1110" s="8" t="str">
        <f>IFERROR(INDEX(A1102:A1123,MATCH(SMALL(B1102:B1123,9),B1102:B1123,0),1)," ")</f>
        <v>C20</v>
      </c>
      <c r="D1110" s="8">
        <f t="shared" si="4709"/>
        <v>0</v>
      </c>
      <c r="E1110" s="8">
        <f t="shared" si="4710"/>
        <v>0</v>
      </c>
      <c r="F1110" s="8">
        <f t="shared" si="4711"/>
        <v>0</v>
      </c>
      <c r="G1110" s="8">
        <f t="shared" si="4712"/>
        <v>0</v>
      </c>
      <c r="H1110" s="8">
        <f t="shared" si="4713"/>
        <v>0</v>
      </c>
      <c r="I1110" s="8">
        <f t="shared" si="4714"/>
        <v>0</v>
      </c>
      <c r="J1110" s="8">
        <f t="shared" si="4715"/>
        <v>0</v>
      </c>
      <c r="K1110" s="8">
        <f t="shared" si="4716"/>
        <v>0</v>
      </c>
      <c r="L1110" s="8">
        <f t="shared" si="4717"/>
        <v>1</v>
      </c>
      <c r="M1110" s="8">
        <f t="shared" si="4718"/>
        <v>0</v>
      </c>
      <c r="N1110" s="8">
        <f t="shared" si="4719"/>
        <v>0</v>
      </c>
      <c r="O1110" s="8">
        <f t="shared" si="4720"/>
        <v>0</v>
      </c>
      <c r="P1110" s="6" t="e">
        <v>#NUM!</v>
      </c>
      <c r="Q1110" s="8" t="e">
        <f t="shared" ref="Q1110" si="4750">IF(COUNTIF(P1102:P1112,"&lt;"&amp;-0.001)=0,IF(ABS(P1110)&lt;0.001,0,P1110)," ")</f>
        <v>#NUM!</v>
      </c>
      <c r="R1110" s="8"/>
      <c r="S1110" s="8"/>
      <c r="U1110" s="34"/>
      <c r="V1110" s="34"/>
      <c r="W1110" s="34"/>
      <c r="X1110" s="34"/>
      <c r="Y1110" s="34"/>
      <c r="Z1110" s="34"/>
      <c r="AA1110" s="34"/>
      <c r="AB1110" s="34"/>
      <c r="AC1110" s="34"/>
      <c r="AD1110" s="34"/>
      <c r="AE1110" s="34"/>
      <c r="AF1110" s="34"/>
      <c r="AG1110" s="34"/>
      <c r="AH1110" s="34"/>
      <c r="AI1110" s="34"/>
      <c r="AJ1110" s="34"/>
      <c r="AK1110" s="34"/>
      <c r="AL1110" s="34"/>
      <c r="AM1110" s="34"/>
      <c r="AN1110" s="34"/>
      <c r="AO1110" s="34"/>
      <c r="AP1110" s="34"/>
      <c r="AQ1110" s="34"/>
      <c r="AR1110" s="34"/>
      <c r="AS1110" s="34"/>
      <c r="AT1110" s="34"/>
      <c r="AU1110" s="34"/>
      <c r="AV1110" s="34"/>
      <c r="AW1110" s="34"/>
      <c r="AX1110" s="34"/>
      <c r="AY1110" s="34"/>
      <c r="AZ1110" s="34"/>
      <c r="BA1110" s="34"/>
      <c r="BB1110" s="34"/>
      <c r="BC1110" s="34"/>
      <c r="BD1110" s="34"/>
      <c r="BE1110" s="34"/>
      <c r="BF1110" s="34"/>
      <c r="BG1110" s="34"/>
      <c r="BH1110" s="34"/>
      <c r="BI1110" s="34"/>
      <c r="BJ1110" s="34"/>
      <c r="BK1110" s="34"/>
      <c r="BL1110" s="34"/>
      <c r="BM1110" s="34"/>
      <c r="BN1110" s="34"/>
      <c r="BO1110" s="34"/>
      <c r="BP1110" s="34"/>
      <c r="BQ1110" s="34"/>
      <c r="BR1110" s="34"/>
      <c r="BS1110" s="34"/>
      <c r="BT1110" s="34"/>
      <c r="BU1110" s="34"/>
      <c r="BV1110" s="34"/>
      <c r="BW1110" s="34"/>
      <c r="BX1110" s="34"/>
      <c r="BY1110" s="34"/>
      <c r="BZ1110" s="34"/>
      <c r="CA1110" s="34"/>
      <c r="CB1110" s="34"/>
      <c r="CC1110" s="34"/>
      <c r="CD1110" s="34"/>
      <c r="CE1110" s="34"/>
      <c r="CF1110" s="34"/>
      <c r="CG1110" s="34"/>
      <c r="CH1110" s="34"/>
      <c r="CI1110" s="8"/>
    </row>
    <row r="1111" spans="1:87" x14ac:dyDescent="0.2">
      <c r="A1111" s="8" t="str">
        <f>IF(AND(COUNTIF(W$3:W$13,A$24)&gt;0,A$24&lt;&gt;B1054),A$24,IFERROR(IF(MATCH(A$24,Z$3:Z$13,0)=3,A$24," ")," "))</f>
        <v xml:space="preserve"> </v>
      </c>
      <c r="B1111" s="8" t="str">
        <f>IF(A1111=" "," ",MAX(B1102:B1110)+1)</f>
        <v xml:space="preserve"> </v>
      </c>
      <c r="C1111" s="8" t="str">
        <f>IFERROR(INDEX(A1102:A1123,MATCH(SMALL(B1102:B1123,10),B1102:B1123,0),1)," ")</f>
        <v>C21</v>
      </c>
      <c r="D1111" s="8">
        <f t="shared" si="4709"/>
        <v>0</v>
      </c>
      <c r="E1111" s="8">
        <f t="shared" si="4710"/>
        <v>0</v>
      </c>
      <c r="F1111" s="8">
        <f t="shared" si="4711"/>
        <v>0</v>
      </c>
      <c r="G1111" s="8">
        <f t="shared" si="4712"/>
        <v>0</v>
      </c>
      <c r="H1111" s="8">
        <f t="shared" si="4713"/>
        <v>0</v>
      </c>
      <c r="I1111" s="8">
        <f t="shared" si="4714"/>
        <v>0</v>
      </c>
      <c r="J1111" s="8">
        <f t="shared" si="4715"/>
        <v>0</v>
      </c>
      <c r="K1111" s="8">
        <f t="shared" si="4716"/>
        <v>0</v>
      </c>
      <c r="L1111" s="8">
        <f t="shared" si="4717"/>
        <v>0</v>
      </c>
      <c r="M1111" s="8">
        <f t="shared" si="4718"/>
        <v>1</v>
      </c>
      <c r="N1111" s="8">
        <f t="shared" si="4719"/>
        <v>0</v>
      </c>
      <c r="O1111" s="8">
        <f t="shared" si="4720"/>
        <v>0</v>
      </c>
      <c r="P1111" s="8" t="e">
        <v>#NUM!</v>
      </c>
      <c r="Q1111" s="8" t="e">
        <f t="shared" ref="Q1111" si="4751">IF(COUNTIF(P1102:P1112,"&lt;"&amp;-0.001)=0,IF(ABS(P1111)&lt;0.001,0,P1111)," ")</f>
        <v>#NUM!</v>
      </c>
      <c r="R1111" s="8"/>
      <c r="S1111" s="8"/>
      <c r="U1111" s="34"/>
      <c r="V1111" s="34"/>
      <c r="W1111" s="34"/>
      <c r="X1111" s="34"/>
      <c r="Y1111" s="34"/>
      <c r="Z1111" s="34"/>
      <c r="AA1111" s="34"/>
      <c r="AB1111" s="34"/>
      <c r="AC1111" s="34"/>
      <c r="AD1111" s="34"/>
      <c r="AE1111" s="34"/>
      <c r="AF1111" s="34"/>
      <c r="AG1111" s="34"/>
      <c r="AH1111" s="34"/>
      <c r="AI1111" s="34"/>
      <c r="AJ1111" s="34"/>
      <c r="AK1111" s="34"/>
      <c r="AL1111" s="34"/>
      <c r="AM1111" s="34"/>
      <c r="AN1111" s="34"/>
      <c r="AO1111" s="34"/>
      <c r="AP1111" s="34"/>
      <c r="AQ1111" s="34"/>
      <c r="AR1111" s="34"/>
      <c r="AS1111" s="34"/>
      <c r="AT1111" s="34"/>
      <c r="AU1111" s="34"/>
      <c r="AV1111" s="34"/>
      <c r="AW1111" s="34"/>
      <c r="AX1111" s="34"/>
      <c r="AY1111" s="34"/>
      <c r="AZ1111" s="34"/>
      <c r="BA1111" s="34"/>
      <c r="BB1111" s="34"/>
      <c r="BC1111" s="34"/>
      <c r="BD1111" s="34"/>
      <c r="BE1111" s="34"/>
      <c r="BF1111" s="34"/>
      <c r="BG1111" s="34"/>
      <c r="BH1111" s="34"/>
      <c r="BI1111" s="34"/>
      <c r="BJ1111" s="34"/>
      <c r="BK1111" s="34"/>
      <c r="BL1111" s="34"/>
      <c r="BM1111" s="34"/>
      <c r="BN1111" s="34"/>
      <c r="BO1111" s="34"/>
      <c r="BP1111" s="34"/>
      <c r="BQ1111" s="34"/>
      <c r="BR1111" s="34"/>
      <c r="BS1111" s="34"/>
      <c r="BT1111" s="34"/>
      <c r="BU1111" s="34"/>
      <c r="BV1111" s="34"/>
      <c r="BW1111" s="34"/>
      <c r="BX1111" s="34"/>
      <c r="BY1111" s="34"/>
      <c r="BZ1111" s="34"/>
      <c r="CA1111" s="34"/>
      <c r="CB1111" s="34"/>
      <c r="CC1111" s="34"/>
      <c r="CD1111" s="34"/>
      <c r="CE1111" s="34"/>
      <c r="CF1111" s="34"/>
      <c r="CG1111" s="34"/>
      <c r="CH1111" s="34"/>
      <c r="CI1111" s="8"/>
    </row>
    <row r="1112" spans="1:87" x14ac:dyDescent="0.2">
      <c r="A1112" s="8" t="str">
        <f>IF(AND(COUNTIF(W$3:W$13,A$25)&gt;0,A$25&lt;&gt;B1054),A$25,IFERROR(IF(MATCH(A$25,Z$3:Z$13,0)=3,A$25," ")," "))</f>
        <v xml:space="preserve"> </v>
      </c>
      <c r="B1112" s="8" t="str">
        <f>IF(A1112=" "," ",MAX(B1102:B1111)+1)</f>
        <v xml:space="preserve"> </v>
      </c>
      <c r="C1112" s="8" t="str">
        <f>IFERROR(INDEX(A1102:A1123,MATCH(SMALL(B1102:B1123,11),B1102:B1123,0),1)," ")</f>
        <v>C22</v>
      </c>
      <c r="D1112" s="8">
        <f t="shared" si="4709"/>
        <v>0</v>
      </c>
      <c r="E1112" s="8">
        <f t="shared" si="4710"/>
        <v>0</v>
      </c>
      <c r="F1112" s="8">
        <f t="shared" si="4711"/>
        <v>0</v>
      </c>
      <c r="G1112" s="8">
        <f t="shared" si="4712"/>
        <v>0</v>
      </c>
      <c r="H1112" s="8">
        <f t="shared" si="4713"/>
        <v>0</v>
      </c>
      <c r="I1112" s="8">
        <f t="shared" si="4714"/>
        <v>0</v>
      </c>
      <c r="J1112" s="8">
        <f t="shared" si="4715"/>
        <v>0</v>
      </c>
      <c r="K1112" s="8">
        <f t="shared" si="4716"/>
        <v>0</v>
      </c>
      <c r="L1112" s="8">
        <f t="shared" si="4717"/>
        <v>0</v>
      </c>
      <c r="M1112" s="8">
        <f t="shared" si="4718"/>
        <v>0</v>
      </c>
      <c r="N1112" s="8">
        <f t="shared" si="4719"/>
        <v>1</v>
      </c>
      <c r="O1112" s="8">
        <f t="shared" si="4720"/>
        <v>0</v>
      </c>
      <c r="P1112" s="8" t="e">
        <v>#NUM!</v>
      </c>
      <c r="Q1112" s="8" t="e">
        <f t="shared" ref="Q1112" si="4752">IF(COUNTIF(P1102:P1112,"&lt;"&amp;-0.001)=0,IF(ABS(P1112)&lt;0.001,0,P1112)," ")</f>
        <v>#NUM!</v>
      </c>
      <c r="R1112" s="8"/>
      <c r="S1112" s="8"/>
      <c r="U1112" s="34"/>
      <c r="V1112" s="34"/>
      <c r="W1112" s="34"/>
      <c r="X1112" s="34"/>
      <c r="Y1112" s="34"/>
      <c r="Z1112" s="34"/>
      <c r="AA1112" s="34"/>
      <c r="AB1112" s="34"/>
      <c r="AC1112" s="34"/>
      <c r="AD1112" s="34"/>
      <c r="AE1112" s="34"/>
      <c r="AF1112" s="34"/>
      <c r="AG1112" s="34"/>
      <c r="AH1112" s="34"/>
      <c r="AI1112" s="34"/>
      <c r="AJ1112" s="34"/>
      <c r="AK1112" s="34"/>
      <c r="AL1112" s="34"/>
      <c r="AM1112" s="34"/>
      <c r="AN1112" s="34"/>
      <c r="AO1112" s="34"/>
      <c r="AP1112" s="34"/>
      <c r="AQ1112" s="34"/>
      <c r="AR1112" s="34"/>
      <c r="AS1112" s="34"/>
      <c r="AT1112" s="34"/>
      <c r="AU1112" s="34"/>
      <c r="AV1112" s="34"/>
      <c r="AW1112" s="34"/>
      <c r="AX1112" s="34"/>
      <c r="AY1112" s="34"/>
      <c r="AZ1112" s="34"/>
      <c r="BA1112" s="34"/>
      <c r="BB1112" s="34"/>
      <c r="BC1112" s="34"/>
      <c r="BD1112" s="34"/>
      <c r="BE1112" s="34"/>
      <c r="BF1112" s="34"/>
      <c r="BG1112" s="34"/>
      <c r="BH1112" s="34"/>
      <c r="BI1112" s="34"/>
      <c r="BJ1112" s="34"/>
      <c r="BK1112" s="34"/>
      <c r="BL1112" s="34"/>
      <c r="BM1112" s="34"/>
      <c r="BN1112" s="34"/>
      <c r="BO1112" s="34"/>
      <c r="BP1112" s="34"/>
      <c r="BQ1112" s="34"/>
      <c r="BR1112" s="34"/>
      <c r="BS1112" s="34"/>
      <c r="BT1112" s="34"/>
      <c r="BU1112" s="34"/>
      <c r="BV1112" s="34"/>
      <c r="BW1112" s="34"/>
      <c r="BX1112" s="34"/>
      <c r="BY1112" s="34"/>
      <c r="BZ1112" s="34"/>
      <c r="CA1112" s="34"/>
      <c r="CB1112" s="34"/>
      <c r="CC1112" s="34"/>
      <c r="CD1112" s="34"/>
      <c r="CE1112" s="34"/>
      <c r="CF1112" s="34"/>
      <c r="CG1112" s="34"/>
      <c r="CH1112" s="34"/>
      <c r="CI1112" s="8"/>
    </row>
    <row r="1113" spans="1:87" x14ac:dyDescent="0.2">
      <c r="A1113" s="8" t="str">
        <f>IF(AND(COUNTIF(W$3:W$13,A$26)&gt;0,A$26&lt;&gt;B1054),A$26,IFERROR(IF(MATCH(A$26,Z$3:Z$13,0)=3,A$26," ")," "))</f>
        <v xml:space="preserve"> </v>
      </c>
      <c r="B1113" s="8" t="str">
        <f>IF(A1113=" "," ",MAX(B1102:B1112)+1)</f>
        <v xml:space="preserve"> </v>
      </c>
      <c r="C1113" s="8"/>
      <c r="D1113" s="8"/>
      <c r="E1113" s="8"/>
      <c r="F1113" s="8"/>
      <c r="G1113" s="8"/>
      <c r="H1113" s="8"/>
      <c r="I1113" s="8"/>
      <c r="J1113" s="8"/>
      <c r="K1113" s="8"/>
      <c r="L1113" s="8"/>
      <c r="M1113" s="8"/>
      <c r="N1113" s="8"/>
      <c r="O1113" s="8"/>
      <c r="P1113" s="8"/>
      <c r="Q1113" s="8"/>
      <c r="R1113" s="8"/>
      <c r="S1113" s="8"/>
      <c r="U1113" s="34"/>
      <c r="V1113" s="34"/>
      <c r="W1113" s="34"/>
      <c r="X1113" s="34"/>
      <c r="Y1113" s="34"/>
      <c r="Z1113" s="34"/>
      <c r="AA1113" s="34"/>
      <c r="AB1113" s="34"/>
      <c r="AC1113" s="34"/>
      <c r="AD1113" s="34"/>
      <c r="AE1113" s="34"/>
      <c r="AF1113" s="34"/>
      <c r="AG1113" s="34"/>
      <c r="AH1113" s="34"/>
      <c r="AI1113" s="34"/>
      <c r="AJ1113" s="34"/>
      <c r="AK1113" s="34"/>
      <c r="AL1113" s="34"/>
      <c r="AM1113" s="34"/>
      <c r="AN1113" s="34"/>
      <c r="AO1113" s="34"/>
      <c r="AP1113" s="34"/>
      <c r="AQ1113" s="34"/>
      <c r="AR1113" s="34"/>
      <c r="AS1113" s="34"/>
      <c r="AT1113" s="34"/>
      <c r="AU1113" s="34"/>
      <c r="AV1113" s="34"/>
      <c r="AW1113" s="34"/>
      <c r="AX1113" s="34"/>
      <c r="AY1113" s="34"/>
      <c r="AZ1113" s="34"/>
      <c r="BA1113" s="34"/>
      <c r="BB1113" s="34"/>
      <c r="BC1113" s="34"/>
      <c r="BD1113" s="34"/>
      <c r="BE1113" s="34"/>
      <c r="BF1113" s="34"/>
      <c r="BG1113" s="34"/>
      <c r="BH1113" s="34"/>
      <c r="BI1113" s="34"/>
      <c r="BJ1113" s="34"/>
      <c r="BK1113" s="34"/>
      <c r="BL1113" s="34"/>
      <c r="BM1113" s="34"/>
      <c r="BN1113" s="34"/>
      <c r="BO1113" s="34"/>
      <c r="BP1113" s="34"/>
      <c r="BQ1113" s="34"/>
      <c r="BR1113" s="34"/>
      <c r="BS1113" s="34"/>
      <c r="BT1113" s="34"/>
      <c r="BU1113" s="34"/>
      <c r="BV1113" s="34"/>
      <c r="BW1113" s="34"/>
      <c r="BX1113" s="34"/>
      <c r="BY1113" s="34"/>
      <c r="BZ1113" s="34"/>
      <c r="CA1113" s="34"/>
      <c r="CB1113" s="34"/>
      <c r="CC1113" s="34"/>
      <c r="CD1113" s="34"/>
      <c r="CE1113" s="34"/>
      <c r="CF1113" s="34"/>
      <c r="CG1113" s="34"/>
      <c r="CH1113" s="34"/>
      <c r="CI1113" s="8"/>
    </row>
    <row r="1114" spans="1:87" x14ac:dyDescent="0.2">
      <c r="A1114" s="8" t="str">
        <f>IF(AND(COUNTIF(W$3:W$13,A$27)&gt;0,A$27&lt;&gt;B1054),A$27,IFERROR(IF(MATCH(A$27,Z$3:Z$13,0)=3,A$27," ")," "))</f>
        <v>C13</v>
      </c>
      <c r="B1114" s="8">
        <f>IF(A1114=" "," ",MAX(B1102:B1113)+1)</f>
        <v>4</v>
      </c>
      <c r="C1114" s="8"/>
      <c r="D1114" s="8"/>
      <c r="E1114" s="8"/>
      <c r="F1114" s="8"/>
      <c r="G1114" s="8"/>
      <c r="H1114" s="8"/>
      <c r="I1114" s="8"/>
      <c r="J1114" s="8"/>
      <c r="K1114" s="8"/>
      <c r="L1114" s="8"/>
      <c r="M1114" s="8"/>
      <c r="N1114" s="8"/>
      <c r="O1114" s="8"/>
      <c r="P1114" s="8"/>
      <c r="Q1114" s="8"/>
      <c r="R1114" s="8"/>
      <c r="S1114" s="8"/>
      <c r="U1114" s="34"/>
      <c r="V1114" s="34"/>
      <c r="W1114" s="34"/>
      <c r="X1114" s="34"/>
      <c r="Y1114" s="34"/>
      <c r="Z1114" s="34"/>
      <c r="AA1114" s="34"/>
      <c r="AB1114" s="34"/>
      <c r="AC1114" s="34"/>
      <c r="AD1114" s="34"/>
      <c r="AE1114" s="34"/>
      <c r="AF1114" s="34"/>
      <c r="AG1114" s="34"/>
      <c r="AH1114" s="34"/>
      <c r="AI1114" s="34"/>
      <c r="AJ1114" s="34"/>
      <c r="AK1114" s="34"/>
      <c r="AL1114" s="34"/>
      <c r="AM1114" s="34"/>
      <c r="AN1114" s="34"/>
      <c r="AO1114" s="34"/>
      <c r="AP1114" s="34"/>
      <c r="AQ1114" s="34"/>
      <c r="AR1114" s="34"/>
      <c r="AS1114" s="34"/>
      <c r="AT1114" s="34"/>
      <c r="AU1114" s="34"/>
      <c r="AV1114" s="34"/>
      <c r="AW1114" s="34"/>
      <c r="AX1114" s="34"/>
      <c r="AY1114" s="34"/>
      <c r="AZ1114" s="34"/>
      <c r="BA1114" s="34"/>
      <c r="BB1114" s="34"/>
      <c r="BC1114" s="34"/>
      <c r="BD1114" s="34"/>
      <c r="BE1114" s="34"/>
      <c r="BF1114" s="34"/>
      <c r="BG1114" s="34"/>
      <c r="BH1114" s="34"/>
      <c r="BI1114" s="34"/>
      <c r="BJ1114" s="34"/>
      <c r="BK1114" s="34"/>
      <c r="BL1114" s="34"/>
      <c r="BM1114" s="34"/>
      <c r="BN1114" s="34"/>
      <c r="BO1114" s="34"/>
      <c r="BP1114" s="34"/>
      <c r="BQ1114" s="34"/>
      <c r="BR1114" s="34"/>
      <c r="BS1114" s="34"/>
      <c r="BT1114" s="34"/>
      <c r="BU1114" s="34"/>
      <c r="BV1114" s="34"/>
      <c r="BW1114" s="34"/>
      <c r="BX1114" s="34"/>
      <c r="BY1114" s="34"/>
      <c r="BZ1114" s="34"/>
      <c r="CA1114" s="34"/>
      <c r="CB1114" s="34"/>
      <c r="CC1114" s="34"/>
      <c r="CD1114" s="34"/>
      <c r="CE1114" s="34"/>
      <c r="CF1114" s="34"/>
      <c r="CG1114" s="34"/>
      <c r="CH1114" s="34"/>
      <c r="CI1114" s="8"/>
    </row>
    <row r="1115" spans="1:87" x14ac:dyDescent="0.2">
      <c r="A1115" s="8" t="str">
        <f>IF(AND(COUNTIF(W$3:W$13,A$28)&gt;0,A$28&lt;&gt;B1054),A$28,IFERROR(IF(MATCH(A$28,Z$3:Z$13,0)=3,A$28," ")," "))</f>
        <v xml:space="preserve"> </v>
      </c>
      <c r="B1115" s="8" t="str">
        <f>IF(A1115=" "," ",MAX(B1102:B1114)+1)</f>
        <v xml:space="preserve"> </v>
      </c>
      <c r="C1115" s="8"/>
      <c r="D1115" s="8"/>
      <c r="E1115" s="8"/>
      <c r="F1115" s="8"/>
      <c r="G1115" s="8"/>
      <c r="H1115" s="8"/>
      <c r="I1115" s="8"/>
      <c r="J1115" s="8"/>
      <c r="K1115" s="8"/>
      <c r="L1115" s="8"/>
      <c r="M1115" s="8"/>
      <c r="N1115" s="8"/>
      <c r="O1115" s="8"/>
      <c r="P1115" s="8"/>
      <c r="Q1115" s="8"/>
      <c r="R1115" s="8"/>
      <c r="S1115" s="8"/>
      <c r="U1115" s="34"/>
      <c r="V1115" s="34"/>
      <c r="W1115" s="34"/>
      <c r="X1115" s="34"/>
      <c r="Y1115" s="34"/>
      <c r="Z1115" s="34"/>
      <c r="AA1115" s="34"/>
      <c r="AB1115" s="34"/>
      <c r="AC1115" s="34"/>
      <c r="AD1115" s="34"/>
      <c r="AE1115" s="34"/>
      <c r="AF1115" s="34"/>
      <c r="AG1115" s="34"/>
      <c r="AH1115" s="34"/>
      <c r="AI1115" s="34"/>
      <c r="AJ1115" s="34"/>
      <c r="AK1115" s="34"/>
      <c r="AL1115" s="34"/>
      <c r="AM1115" s="34"/>
      <c r="AN1115" s="34"/>
      <c r="AO1115" s="34"/>
      <c r="AP1115" s="34"/>
      <c r="AQ1115" s="34"/>
      <c r="AR1115" s="34"/>
      <c r="AS1115" s="34"/>
      <c r="AT1115" s="34"/>
      <c r="AU1115" s="34"/>
      <c r="AV1115" s="34"/>
      <c r="AW1115" s="34"/>
      <c r="AX1115" s="34"/>
      <c r="AY1115" s="34"/>
      <c r="AZ1115" s="34"/>
      <c r="BA1115" s="34"/>
      <c r="BB1115" s="34"/>
      <c r="BC1115" s="34"/>
      <c r="BD1115" s="34"/>
      <c r="BE1115" s="34"/>
      <c r="BF1115" s="34"/>
      <c r="BG1115" s="34"/>
      <c r="BH1115" s="34"/>
      <c r="BI1115" s="34"/>
      <c r="BJ1115" s="34"/>
      <c r="BK1115" s="34"/>
      <c r="BL1115" s="34"/>
      <c r="BM1115" s="34"/>
      <c r="BN1115" s="34"/>
      <c r="BO1115" s="34"/>
      <c r="BP1115" s="34"/>
      <c r="BQ1115" s="34"/>
      <c r="BR1115" s="34"/>
      <c r="BS1115" s="34"/>
      <c r="BT1115" s="34"/>
      <c r="BU1115" s="34"/>
      <c r="BV1115" s="34"/>
      <c r="BW1115" s="34"/>
      <c r="BX1115" s="34"/>
      <c r="BY1115" s="34"/>
      <c r="BZ1115" s="34"/>
      <c r="CA1115" s="34"/>
      <c r="CB1115" s="34"/>
      <c r="CC1115" s="34"/>
      <c r="CD1115" s="34"/>
      <c r="CE1115" s="34"/>
      <c r="CF1115" s="34"/>
      <c r="CG1115" s="34"/>
      <c r="CH1115" s="34"/>
      <c r="CI1115" s="8"/>
    </row>
    <row r="1116" spans="1:87" x14ac:dyDescent="0.2">
      <c r="A1116" s="8" t="str">
        <f>IF(AND(COUNTIF(W$3:W$13,A$29)&gt;0,A$29&lt;&gt;B1054),A$29,IFERROR(IF(MATCH(A$29,Z$3:Z$13,0)=3,A$29," ")," "))</f>
        <v>C15</v>
      </c>
      <c r="B1116" s="8">
        <f>IF(A1116=" "," ",MAX(B1102:B1115)+1)</f>
        <v>5</v>
      </c>
      <c r="C1116" s="8"/>
      <c r="D1116" s="8"/>
      <c r="E1116" s="8"/>
      <c r="F1116" s="8"/>
      <c r="G1116" s="8"/>
      <c r="H1116" s="8"/>
      <c r="I1116" s="8"/>
      <c r="J1116" s="8"/>
      <c r="K1116" s="8"/>
      <c r="L1116" s="8"/>
      <c r="M1116" s="8"/>
      <c r="N1116" s="8"/>
      <c r="O1116" s="8"/>
      <c r="P1116" s="8"/>
      <c r="Q1116" s="8"/>
      <c r="R1116" s="8"/>
      <c r="S1116" s="8"/>
      <c r="U1116" s="34"/>
      <c r="V1116" s="34"/>
      <c r="W1116" s="34"/>
      <c r="X1116" s="34"/>
      <c r="Y1116" s="34"/>
      <c r="Z1116" s="34"/>
      <c r="AA1116" s="34"/>
      <c r="AB1116" s="34"/>
      <c r="AC1116" s="34"/>
      <c r="AD1116" s="34"/>
      <c r="AE1116" s="34"/>
      <c r="AF1116" s="34"/>
      <c r="AG1116" s="34"/>
      <c r="AH1116" s="34"/>
      <c r="AI1116" s="34"/>
      <c r="AJ1116" s="34"/>
      <c r="AK1116" s="34"/>
      <c r="AL1116" s="34"/>
      <c r="AM1116" s="34"/>
      <c r="AN1116" s="34"/>
      <c r="AO1116" s="34"/>
      <c r="AP1116" s="34"/>
      <c r="AQ1116" s="34"/>
      <c r="AR1116" s="34"/>
      <c r="AS1116" s="34"/>
      <c r="AT1116" s="34"/>
      <c r="AU1116" s="34"/>
      <c r="AV1116" s="34"/>
      <c r="AW1116" s="34"/>
      <c r="AX1116" s="34"/>
      <c r="AY1116" s="34"/>
      <c r="AZ1116" s="34"/>
      <c r="BA1116" s="34"/>
      <c r="BB1116" s="34"/>
      <c r="BC1116" s="34"/>
      <c r="BD1116" s="34"/>
      <c r="BE1116" s="34"/>
      <c r="BF1116" s="34"/>
      <c r="BG1116" s="34"/>
      <c r="BH1116" s="34"/>
      <c r="BI1116" s="34"/>
      <c r="BJ1116" s="34"/>
      <c r="BK1116" s="34"/>
      <c r="BL1116" s="34"/>
      <c r="BM1116" s="34"/>
      <c r="BN1116" s="34"/>
      <c r="BO1116" s="34"/>
      <c r="BP1116" s="34"/>
      <c r="BQ1116" s="34"/>
      <c r="BR1116" s="34"/>
      <c r="BS1116" s="34"/>
      <c r="BT1116" s="34"/>
      <c r="BU1116" s="34"/>
      <c r="BV1116" s="34"/>
      <c r="BW1116" s="34"/>
      <c r="BX1116" s="34"/>
      <c r="BY1116" s="34"/>
      <c r="BZ1116" s="34"/>
      <c r="CA1116" s="34"/>
      <c r="CB1116" s="34"/>
      <c r="CC1116" s="34"/>
      <c r="CD1116" s="34"/>
      <c r="CE1116" s="34"/>
      <c r="CF1116" s="34"/>
      <c r="CG1116" s="34"/>
      <c r="CH1116" s="34"/>
      <c r="CI1116" s="8"/>
    </row>
    <row r="1117" spans="1:87" x14ac:dyDescent="0.2">
      <c r="A1117" s="8" t="str">
        <f>IF(AND(COUNTIF(W$3:W$13,A$30)&gt;0,A$30&lt;&gt;B1054),A$30,IFERROR(IF(MATCH(A$30,Z$3:Z$13,0)=3,A$30," ")," "))</f>
        <v xml:space="preserve"> </v>
      </c>
      <c r="B1117" s="8" t="str">
        <f>IF(A1117=" "," ",MAX(B1102:B1116)+1)</f>
        <v xml:space="preserve"> </v>
      </c>
      <c r="C1117" s="8"/>
      <c r="D1117" s="8"/>
      <c r="E1117" s="8"/>
      <c r="F1117" s="8"/>
      <c r="G1117" s="8"/>
      <c r="H1117" s="8"/>
      <c r="I1117" s="8"/>
      <c r="J1117" s="8"/>
      <c r="K1117" s="8"/>
      <c r="L1117" s="8"/>
      <c r="M1117" s="8"/>
      <c r="N1117" s="8"/>
      <c r="O1117" s="8"/>
      <c r="P1117" s="8"/>
      <c r="Q1117" s="8"/>
      <c r="R1117" s="8"/>
      <c r="S1117" s="8"/>
      <c r="U1117" s="34"/>
      <c r="V1117" s="34"/>
      <c r="W1117" s="34"/>
      <c r="X1117" s="34"/>
      <c r="Y1117" s="34"/>
      <c r="Z1117" s="34"/>
      <c r="AA1117" s="34"/>
      <c r="AB1117" s="34"/>
      <c r="AC1117" s="34"/>
      <c r="AD1117" s="34"/>
      <c r="AE1117" s="34"/>
      <c r="AF1117" s="34"/>
      <c r="AG1117" s="34"/>
      <c r="AH1117" s="34"/>
      <c r="AI1117" s="34"/>
      <c r="AJ1117" s="34"/>
      <c r="AK1117" s="34"/>
      <c r="AL1117" s="34"/>
      <c r="AM1117" s="34"/>
      <c r="AN1117" s="34"/>
      <c r="AO1117" s="34"/>
      <c r="AP1117" s="34"/>
      <c r="AQ1117" s="34"/>
      <c r="AR1117" s="34"/>
      <c r="AS1117" s="34"/>
      <c r="AT1117" s="34"/>
      <c r="AU1117" s="34"/>
      <c r="AV1117" s="34"/>
      <c r="AW1117" s="34"/>
      <c r="AX1117" s="34"/>
      <c r="AY1117" s="34"/>
      <c r="AZ1117" s="34"/>
      <c r="BA1117" s="34"/>
      <c r="BB1117" s="34"/>
      <c r="BC1117" s="34"/>
      <c r="BD1117" s="34"/>
      <c r="BE1117" s="34"/>
      <c r="BF1117" s="34"/>
      <c r="BG1117" s="34"/>
      <c r="BH1117" s="34"/>
      <c r="BI1117" s="34"/>
      <c r="BJ1117" s="34"/>
      <c r="BK1117" s="34"/>
      <c r="BL1117" s="34"/>
      <c r="BM1117" s="34"/>
      <c r="BN1117" s="34"/>
      <c r="BO1117" s="34"/>
      <c r="BP1117" s="34"/>
      <c r="BQ1117" s="34"/>
      <c r="BR1117" s="34"/>
      <c r="BS1117" s="34"/>
      <c r="BT1117" s="34"/>
      <c r="BU1117" s="34"/>
      <c r="BV1117" s="34"/>
      <c r="BW1117" s="34"/>
      <c r="BX1117" s="34"/>
      <c r="BY1117" s="34"/>
      <c r="BZ1117" s="34"/>
      <c r="CA1117" s="34"/>
      <c r="CB1117" s="34"/>
      <c r="CC1117" s="34"/>
      <c r="CD1117" s="34"/>
      <c r="CE1117" s="34"/>
      <c r="CF1117" s="34"/>
      <c r="CG1117" s="34"/>
      <c r="CH1117" s="34"/>
      <c r="CI1117" s="8"/>
    </row>
    <row r="1118" spans="1:87" x14ac:dyDescent="0.2">
      <c r="A1118" s="8" t="str">
        <f>IF(AND(COUNTIF(W$3:W$13,A$31)&gt;0,A$31&lt;&gt;B1054),A$31,IFERROR(IF(MATCH(A$31,Z$3:Z$13,0)=3,A$31," ")," "))</f>
        <v>C17</v>
      </c>
      <c r="B1118" s="8">
        <f>IF(A1118=" "," ",MAX(B1102:B1117)+1)</f>
        <v>6</v>
      </c>
      <c r="C1118" s="8"/>
      <c r="D1118" s="8"/>
      <c r="E1118" s="8"/>
      <c r="F1118" s="8"/>
      <c r="G1118" s="8"/>
      <c r="H1118" s="8"/>
      <c r="I1118" s="8"/>
      <c r="J1118" s="8"/>
      <c r="K1118" s="8"/>
      <c r="L1118" s="8"/>
      <c r="M1118" s="8"/>
      <c r="N1118" s="8"/>
      <c r="O1118" s="8"/>
      <c r="P1118" s="8"/>
      <c r="Q1118" s="8"/>
      <c r="R1118" s="8"/>
      <c r="S1118" s="8"/>
      <c r="U1118" s="34"/>
      <c r="V1118" s="34"/>
      <c r="W1118" s="34"/>
      <c r="X1118" s="34"/>
      <c r="Y1118" s="34"/>
      <c r="Z1118" s="34"/>
      <c r="AA1118" s="34"/>
      <c r="AB1118" s="34"/>
      <c r="AC1118" s="34"/>
      <c r="AD1118" s="34"/>
      <c r="AE1118" s="34"/>
      <c r="AF1118" s="34"/>
      <c r="AG1118" s="34"/>
      <c r="AH1118" s="34"/>
      <c r="AI1118" s="34"/>
      <c r="AJ1118" s="34"/>
      <c r="AK1118" s="34"/>
      <c r="AL1118" s="34"/>
      <c r="AM1118" s="34"/>
      <c r="AN1118" s="34"/>
      <c r="AO1118" s="34"/>
      <c r="AP1118" s="34"/>
      <c r="AQ1118" s="34"/>
      <c r="AR1118" s="34"/>
      <c r="AS1118" s="34"/>
      <c r="AT1118" s="34"/>
      <c r="AU1118" s="34"/>
      <c r="AV1118" s="34"/>
      <c r="AW1118" s="34"/>
      <c r="AX1118" s="34"/>
      <c r="AY1118" s="34"/>
      <c r="AZ1118" s="34"/>
      <c r="BA1118" s="34"/>
      <c r="BB1118" s="34"/>
      <c r="BC1118" s="34"/>
      <c r="BD1118" s="34"/>
      <c r="BE1118" s="34"/>
      <c r="BF1118" s="34"/>
      <c r="BG1118" s="34"/>
      <c r="BH1118" s="34"/>
      <c r="BI1118" s="34"/>
      <c r="BJ1118" s="34"/>
      <c r="BK1118" s="34"/>
      <c r="BL1118" s="34"/>
      <c r="BM1118" s="34"/>
      <c r="BN1118" s="34"/>
      <c r="BO1118" s="34"/>
      <c r="BP1118" s="34"/>
      <c r="BQ1118" s="34"/>
      <c r="BR1118" s="34"/>
      <c r="BS1118" s="34"/>
      <c r="BT1118" s="34"/>
      <c r="BU1118" s="34"/>
      <c r="BV1118" s="34"/>
      <c r="BW1118" s="34"/>
      <c r="BX1118" s="34"/>
      <c r="BY1118" s="34"/>
      <c r="BZ1118" s="34"/>
      <c r="CA1118" s="34"/>
      <c r="CB1118" s="34"/>
      <c r="CC1118" s="34"/>
      <c r="CD1118" s="34"/>
      <c r="CE1118" s="34"/>
      <c r="CF1118" s="34"/>
      <c r="CG1118" s="34"/>
      <c r="CH1118" s="34"/>
      <c r="CI1118" s="8"/>
    </row>
    <row r="1119" spans="1:87" x14ac:dyDescent="0.2">
      <c r="A1119" s="8" t="str">
        <f>IF(AND(COUNTIF(W$3:W$13,A$32)&gt;0,A$32&lt;&gt;B1054),A$32,IFERROR(IF(MATCH(A$32,Z$3:Z$13,0)=3,A$32," ")," "))</f>
        <v>C18</v>
      </c>
      <c r="B1119" s="8">
        <f>IF(A1119=" "," ",MAX(B1102:B1118)+1)</f>
        <v>7</v>
      </c>
      <c r="C1119" s="8"/>
      <c r="D1119" s="8"/>
      <c r="E1119" s="8"/>
      <c r="F1119" s="8"/>
      <c r="G1119" s="8"/>
      <c r="H1119" s="8"/>
      <c r="I1119" s="8"/>
      <c r="J1119" s="8"/>
      <c r="K1119" s="8"/>
      <c r="L1119" s="8"/>
      <c r="M1119" s="8"/>
      <c r="N1119" s="8"/>
      <c r="O1119" s="8"/>
      <c r="P1119" s="8"/>
      <c r="Q1119" s="8"/>
      <c r="R1119" s="8"/>
      <c r="S1119" s="8"/>
      <c r="U1119" s="34"/>
      <c r="V1119" s="34"/>
      <c r="W1119" s="34"/>
      <c r="X1119" s="34"/>
      <c r="Y1119" s="34"/>
      <c r="Z1119" s="34"/>
      <c r="AA1119" s="34"/>
      <c r="AB1119" s="34"/>
      <c r="AC1119" s="34"/>
      <c r="AD1119" s="34"/>
      <c r="AE1119" s="34"/>
      <c r="AF1119" s="34"/>
      <c r="AG1119" s="34"/>
      <c r="AH1119" s="34"/>
      <c r="AI1119" s="34"/>
      <c r="AJ1119" s="34"/>
      <c r="AK1119" s="34"/>
      <c r="AL1119" s="34"/>
      <c r="AM1119" s="34"/>
      <c r="AN1119" s="34"/>
      <c r="AO1119" s="34"/>
      <c r="AP1119" s="34"/>
      <c r="AQ1119" s="34"/>
      <c r="AR1119" s="34"/>
      <c r="AS1119" s="34"/>
      <c r="AT1119" s="34"/>
      <c r="AU1119" s="34"/>
      <c r="AV1119" s="34"/>
      <c r="AW1119" s="34"/>
      <c r="AX1119" s="34"/>
      <c r="AY1119" s="34"/>
      <c r="AZ1119" s="34"/>
      <c r="BA1119" s="34"/>
      <c r="BB1119" s="34"/>
      <c r="BC1119" s="34"/>
      <c r="BD1119" s="34"/>
      <c r="BE1119" s="34"/>
      <c r="BF1119" s="34"/>
      <c r="BG1119" s="34"/>
      <c r="BH1119" s="34"/>
      <c r="BI1119" s="34"/>
      <c r="BJ1119" s="34"/>
      <c r="BK1119" s="34"/>
      <c r="BL1119" s="34"/>
      <c r="BM1119" s="34"/>
      <c r="BN1119" s="34"/>
      <c r="BO1119" s="34"/>
      <c r="BP1119" s="34"/>
      <c r="BQ1119" s="34"/>
      <c r="BR1119" s="34"/>
      <c r="BS1119" s="34"/>
      <c r="BT1119" s="34"/>
      <c r="BU1119" s="34"/>
      <c r="BV1119" s="34"/>
      <c r="BW1119" s="34"/>
      <c r="BX1119" s="34"/>
      <c r="BY1119" s="34"/>
      <c r="BZ1119" s="34"/>
      <c r="CA1119" s="34"/>
      <c r="CB1119" s="34"/>
      <c r="CC1119" s="34"/>
      <c r="CD1119" s="34"/>
      <c r="CE1119" s="34"/>
      <c r="CF1119" s="34"/>
      <c r="CG1119" s="34"/>
      <c r="CH1119" s="34"/>
      <c r="CI1119" s="8"/>
    </row>
    <row r="1120" spans="1:87" x14ac:dyDescent="0.2">
      <c r="A1120" s="8" t="str">
        <f>IF(AND(COUNTIF(W$3:W$13,A$33)&gt;0,A$33&lt;&gt;B1054),A$33,IFERROR(IF(MATCH(A$33,Z$3:Z$13,0)=3,A$33," ")," "))</f>
        <v>C19</v>
      </c>
      <c r="B1120" s="8">
        <f>IF(A1120=" "," ",MAX(B1102:B1119)+1)</f>
        <v>8</v>
      </c>
      <c r="C1120" s="14"/>
      <c r="D1120" s="14"/>
      <c r="E1120" s="14"/>
      <c r="F1120" s="14"/>
      <c r="G1120" s="14"/>
      <c r="H1120" s="14"/>
      <c r="I1120" s="14"/>
      <c r="J1120" s="12"/>
      <c r="K1120" s="12"/>
      <c r="L1120" s="12"/>
      <c r="M1120" s="12"/>
      <c r="N1120" s="12"/>
      <c r="O1120" s="12"/>
      <c r="P1120" s="12"/>
      <c r="Q1120" s="8"/>
      <c r="R1120" s="12"/>
      <c r="S1120" s="12"/>
      <c r="T1120" s="21"/>
      <c r="U1120" s="34"/>
      <c r="V1120" s="34"/>
      <c r="W1120" s="34"/>
      <c r="X1120" s="34"/>
      <c r="Y1120" s="34"/>
      <c r="Z1120" s="34"/>
      <c r="AA1120" s="34"/>
      <c r="AB1120" s="34"/>
      <c r="AC1120" s="34"/>
      <c r="AD1120" s="34"/>
      <c r="AE1120" s="34"/>
      <c r="AF1120" s="34"/>
      <c r="AG1120" s="34"/>
      <c r="AH1120" s="34"/>
      <c r="AI1120" s="34"/>
      <c r="AJ1120" s="34"/>
      <c r="AK1120" s="34"/>
      <c r="AL1120" s="34"/>
      <c r="AM1120" s="34"/>
      <c r="AN1120" s="34"/>
      <c r="AO1120" s="34"/>
      <c r="AP1120" s="34"/>
      <c r="AQ1120" s="34"/>
      <c r="AR1120" s="34"/>
      <c r="AS1120" s="34"/>
      <c r="AT1120" s="34"/>
      <c r="AU1120" s="34"/>
      <c r="AV1120" s="34"/>
      <c r="AW1120" s="34"/>
      <c r="AX1120" s="34"/>
      <c r="AY1120" s="34"/>
      <c r="AZ1120" s="34"/>
      <c r="BA1120" s="34"/>
      <c r="BB1120" s="34"/>
      <c r="BC1120" s="34"/>
      <c r="BD1120" s="34"/>
      <c r="BE1120" s="34"/>
      <c r="BF1120" s="34"/>
      <c r="BG1120" s="34"/>
      <c r="BH1120" s="34"/>
      <c r="BI1120" s="34"/>
      <c r="BJ1120" s="34"/>
      <c r="BK1120" s="34"/>
      <c r="BL1120" s="34"/>
      <c r="BM1120" s="34"/>
      <c r="BN1120" s="34"/>
      <c r="BO1120" s="34"/>
      <c r="BP1120" s="34"/>
      <c r="BQ1120" s="34"/>
      <c r="BR1120" s="34"/>
      <c r="BS1120" s="34"/>
      <c r="BT1120" s="34"/>
      <c r="BU1120" s="34"/>
      <c r="BV1120" s="34"/>
      <c r="BW1120" s="34"/>
      <c r="BX1120" s="34"/>
      <c r="BY1120" s="34"/>
      <c r="BZ1120" s="34"/>
      <c r="CA1120" s="34"/>
      <c r="CB1120" s="34"/>
      <c r="CC1120" s="34"/>
      <c r="CD1120" s="34"/>
      <c r="CE1120" s="34"/>
      <c r="CF1120" s="34"/>
      <c r="CG1120" s="34"/>
      <c r="CH1120" s="34"/>
      <c r="CI1120" s="8"/>
    </row>
    <row r="1121" spans="1:87" x14ac:dyDescent="0.2">
      <c r="A1121" s="8" t="str">
        <f>IF(AND(COUNTIF(W$3:W$13,A$34)&gt;0,A$34&lt;&gt;B1054),A$34,IFERROR(IF(MATCH(A$34,Z$3:Z$13,0)=3,A$34," ")," "))</f>
        <v>C20</v>
      </c>
      <c r="B1121" s="8">
        <f>IF(A1121=" "," ",MAX(B1102:B1120)+1)</f>
        <v>9</v>
      </c>
      <c r="C1121" s="8"/>
      <c r="D1121" s="8"/>
      <c r="E1121" s="8"/>
      <c r="F1121" s="8"/>
      <c r="G1121" s="8"/>
      <c r="H1121" s="8"/>
      <c r="I1121" s="8"/>
      <c r="J1121" s="8"/>
      <c r="K1121" s="8"/>
      <c r="L1121" s="8"/>
      <c r="M1121" s="8"/>
      <c r="N1121" s="8"/>
      <c r="O1121" s="8"/>
      <c r="P1121" s="8"/>
      <c r="Q1121" s="8"/>
      <c r="R1121" s="8"/>
      <c r="S1121" s="8"/>
      <c r="U1121" s="34"/>
      <c r="V1121" s="34"/>
      <c r="W1121" s="34"/>
      <c r="X1121" s="34"/>
      <c r="Y1121" s="34"/>
      <c r="Z1121" s="34"/>
      <c r="AA1121" s="34"/>
      <c r="AB1121" s="34"/>
      <c r="AC1121" s="34"/>
      <c r="AD1121" s="34"/>
      <c r="AE1121" s="34"/>
      <c r="AF1121" s="34"/>
      <c r="AG1121" s="34"/>
      <c r="AH1121" s="34"/>
      <c r="AI1121" s="34"/>
      <c r="AJ1121" s="34"/>
      <c r="AK1121" s="34"/>
      <c r="AL1121" s="34"/>
      <c r="AM1121" s="34"/>
      <c r="AN1121" s="34"/>
      <c r="AO1121" s="34"/>
      <c r="AP1121" s="34"/>
      <c r="AQ1121" s="34"/>
      <c r="AR1121" s="34"/>
      <c r="AS1121" s="34"/>
      <c r="AT1121" s="34"/>
      <c r="AU1121" s="34"/>
      <c r="AV1121" s="34"/>
      <c r="AW1121" s="34"/>
      <c r="AX1121" s="34"/>
      <c r="AY1121" s="34"/>
      <c r="AZ1121" s="34"/>
      <c r="BA1121" s="34"/>
      <c r="BB1121" s="34"/>
      <c r="BC1121" s="34"/>
      <c r="BD1121" s="34"/>
      <c r="BE1121" s="34"/>
      <c r="BF1121" s="34"/>
      <c r="BG1121" s="34"/>
      <c r="BH1121" s="34"/>
      <c r="BI1121" s="34"/>
      <c r="BJ1121" s="34"/>
      <c r="BK1121" s="34"/>
      <c r="BL1121" s="34"/>
      <c r="BM1121" s="34"/>
      <c r="BN1121" s="34"/>
      <c r="BO1121" s="34"/>
      <c r="BP1121" s="34"/>
      <c r="BQ1121" s="34"/>
      <c r="BR1121" s="34"/>
      <c r="BS1121" s="34"/>
      <c r="BT1121" s="34"/>
      <c r="BU1121" s="34"/>
      <c r="BV1121" s="34"/>
      <c r="BW1121" s="34"/>
      <c r="BX1121" s="34"/>
      <c r="BY1121" s="34"/>
      <c r="BZ1121" s="34"/>
      <c r="CA1121" s="34"/>
      <c r="CB1121" s="34"/>
      <c r="CC1121" s="34"/>
      <c r="CD1121" s="34"/>
      <c r="CE1121" s="34"/>
      <c r="CF1121" s="34"/>
      <c r="CG1121" s="34"/>
      <c r="CH1121" s="34"/>
      <c r="CI1121" s="8"/>
    </row>
    <row r="1122" spans="1:87" x14ac:dyDescent="0.2">
      <c r="A1122" s="8" t="str">
        <f>IF(AND(COUNTIF(W$3:W$13,A$35)&gt;0,A$35&lt;&gt;B1054),A$35,IFERROR(IF(MATCH(A$35,Z$3:Z$13,0)=3,A$35," ")," "))</f>
        <v>C21</v>
      </c>
      <c r="B1122" s="8">
        <f>IF(A1122=" "," ",MAX(B1102:B1121)+1)</f>
        <v>10</v>
      </c>
      <c r="C1122" s="8"/>
      <c r="D1122" s="8"/>
      <c r="E1122" s="8"/>
      <c r="F1122" s="8"/>
      <c r="G1122" s="8"/>
      <c r="H1122" s="8"/>
      <c r="I1122" s="8"/>
      <c r="J1122" s="8"/>
      <c r="K1122" s="8"/>
      <c r="L1122" s="8"/>
      <c r="M1122" s="8"/>
      <c r="N1122" s="8"/>
      <c r="O1122" s="8"/>
      <c r="P1122" s="8"/>
      <c r="Q1122" s="8"/>
      <c r="R1122" s="8"/>
      <c r="S1122" s="8"/>
      <c r="U1122" s="34"/>
      <c r="V1122" s="34"/>
      <c r="W1122" s="34"/>
      <c r="X1122" s="34"/>
      <c r="Y1122" s="34"/>
      <c r="Z1122" s="34"/>
      <c r="AA1122" s="34"/>
      <c r="AB1122" s="34"/>
      <c r="AC1122" s="34"/>
      <c r="AD1122" s="34"/>
      <c r="AE1122" s="34"/>
      <c r="AF1122" s="34"/>
      <c r="AG1122" s="34"/>
      <c r="AH1122" s="34"/>
      <c r="AI1122" s="34"/>
      <c r="AJ1122" s="34"/>
      <c r="AK1122" s="34"/>
      <c r="AL1122" s="34"/>
      <c r="AM1122" s="34"/>
      <c r="AN1122" s="34"/>
      <c r="AO1122" s="34"/>
      <c r="AP1122" s="34"/>
      <c r="AQ1122" s="34"/>
      <c r="AR1122" s="34"/>
      <c r="AS1122" s="34"/>
      <c r="AT1122" s="34"/>
      <c r="AU1122" s="34"/>
      <c r="AV1122" s="34"/>
      <c r="AW1122" s="34"/>
      <c r="AX1122" s="34"/>
      <c r="AY1122" s="34"/>
      <c r="AZ1122" s="34"/>
      <c r="BA1122" s="34"/>
      <c r="BB1122" s="34"/>
      <c r="BC1122" s="34"/>
      <c r="BD1122" s="34"/>
      <c r="BE1122" s="34"/>
      <c r="BF1122" s="34"/>
      <c r="BG1122" s="34"/>
      <c r="BH1122" s="34"/>
      <c r="BI1122" s="34"/>
      <c r="BJ1122" s="34"/>
      <c r="BK1122" s="34"/>
      <c r="BL1122" s="34"/>
      <c r="BM1122" s="34"/>
      <c r="BN1122" s="34"/>
      <c r="BO1122" s="34"/>
      <c r="BP1122" s="34"/>
      <c r="BQ1122" s="34"/>
      <c r="BR1122" s="34"/>
      <c r="BS1122" s="34"/>
      <c r="BT1122" s="34"/>
      <c r="BU1122" s="34"/>
      <c r="BV1122" s="34"/>
      <c r="BW1122" s="34"/>
      <c r="BX1122" s="34"/>
      <c r="BY1122" s="34"/>
      <c r="BZ1122" s="34"/>
      <c r="CA1122" s="34"/>
      <c r="CB1122" s="34"/>
      <c r="CC1122" s="34"/>
      <c r="CD1122" s="34"/>
      <c r="CE1122" s="34"/>
      <c r="CF1122" s="34"/>
      <c r="CG1122" s="34"/>
      <c r="CH1122" s="34"/>
      <c r="CI1122" s="8"/>
    </row>
    <row r="1123" spans="1:87" x14ac:dyDescent="0.2">
      <c r="A1123" s="8" t="str">
        <f>IF(AND(COUNTIF(W$3:W$13,A$36)&gt;0,A$36&lt;&gt;B1054),A$36,IFERROR(IF(MATCH(A$36,Z$3:Z$13,0)=3,A$36," ")," "))</f>
        <v>C22</v>
      </c>
      <c r="B1123" s="8">
        <f>IF(A1123=" "," ",MAX(B1102:B1122)+1)</f>
        <v>11</v>
      </c>
      <c r="C1123" s="8"/>
      <c r="D1123" s="8"/>
      <c r="E1123" s="8"/>
      <c r="F1123" s="8"/>
      <c r="G1123" s="8"/>
      <c r="H1123" s="8"/>
      <c r="I1123" s="8"/>
      <c r="J1123" s="8"/>
      <c r="K1123" s="8"/>
      <c r="L1123" s="8"/>
      <c r="M1123" s="8"/>
      <c r="N1123" s="8"/>
      <c r="O1123" s="8"/>
      <c r="P1123" s="8"/>
      <c r="Q1123" s="8"/>
      <c r="R1123" s="8"/>
      <c r="S1123" s="8"/>
      <c r="U1123" s="34"/>
      <c r="V1123" s="34"/>
      <c r="W1123" s="34"/>
      <c r="X1123" s="34"/>
      <c r="Y1123" s="34"/>
      <c r="Z1123" s="34"/>
      <c r="AA1123" s="34"/>
      <c r="AB1123" s="34"/>
      <c r="AC1123" s="34"/>
      <c r="AD1123" s="34"/>
      <c r="AE1123" s="34"/>
      <c r="AF1123" s="34"/>
      <c r="AG1123" s="34"/>
      <c r="AH1123" s="34"/>
      <c r="AI1123" s="34"/>
      <c r="AJ1123" s="34"/>
      <c r="AK1123" s="34"/>
      <c r="AL1123" s="34"/>
      <c r="AM1123" s="34"/>
      <c r="AN1123" s="34"/>
      <c r="AO1123" s="34"/>
      <c r="AP1123" s="34"/>
      <c r="AQ1123" s="34"/>
      <c r="AR1123" s="34"/>
      <c r="AS1123" s="34"/>
      <c r="AT1123" s="34"/>
      <c r="AU1123" s="34"/>
      <c r="AV1123" s="34"/>
      <c r="AW1123" s="34"/>
      <c r="AX1123" s="34"/>
      <c r="AY1123" s="34"/>
      <c r="AZ1123" s="34"/>
      <c r="BA1123" s="34"/>
      <c r="BB1123" s="34"/>
      <c r="BC1123" s="34"/>
      <c r="BD1123" s="34"/>
      <c r="BE1123" s="34"/>
      <c r="BF1123" s="34"/>
      <c r="BG1123" s="34"/>
      <c r="BH1123" s="34"/>
      <c r="BI1123" s="34"/>
      <c r="BJ1123" s="34"/>
      <c r="BK1123" s="34"/>
      <c r="BL1123" s="34"/>
      <c r="BM1123" s="34"/>
      <c r="BN1123" s="34"/>
      <c r="BO1123" s="34"/>
      <c r="BP1123" s="34"/>
      <c r="BQ1123" s="34"/>
      <c r="BR1123" s="34"/>
      <c r="BS1123" s="34"/>
      <c r="BT1123" s="34"/>
      <c r="BU1123" s="34"/>
      <c r="BV1123" s="34"/>
      <c r="BW1123" s="34"/>
      <c r="BX1123" s="34"/>
      <c r="BY1123" s="34"/>
      <c r="BZ1123" s="34"/>
      <c r="CA1123" s="34"/>
      <c r="CB1123" s="34"/>
      <c r="CC1123" s="34"/>
      <c r="CD1123" s="34"/>
      <c r="CE1123" s="34"/>
      <c r="CF1123" s="34"/>
      <c r="CG1123" s="34"/>
      <c r="CH1123" s="34"/>
      <c r="CI1123" s="8"/>
    </row>
    <row r="1124" spans="1:87" x14ac:dyDescent="0.2">
      <c r="A1124" s="11" t="s">
        <v>17</v>
      </c>
      <c r="B1124" s="11"/>
      <c r="C1124" s="27" t="s">
        <v>18</v>
      </c>
      <c r="D1124" s="27" t="s">
        <v>2</v>
      </c>
      <c r="E1124" s="27" t="s">
        <v>6</v>
      </c>
      <c r="F1124" s="27" t="s">
        <v>15</v>
      </c>
      <c r="G1124" s="27" t="s">
        <v>36</v>
      </c>
      <c r="H1124" s="27" t="s">
        <v>37</v>
      </c>
      <c r="I1124" s="27" t="s">
        <v>38</v>
      </c>
      <c r="J1124" s="27" t="s">
        <v>39</v>
      </c>
      <c r="K1124" s="27" t="s">
        <v>40</v>
      </c>
      <c r="L1124" s="27" t="s">
        <v>41</v>
      </c>
      <c r="M1124" s="27" t="s">
        <v>42</v>
      </c>
      <c r="N1124" s="27" t="s">
        <v>43</v>
      </c>
      <c r="O1124" s="27" t="s">
        <v>9</v>
      </c>
      <c r="P1124" s="27" t="s">
        <v>12</v>
      </c>
      <c r="Q1124" s="27" t="s">
        <v>19</v>
      </c>
      <c r="R1124" s="27" t="s">
        <v>55</v>
      </c>
      <c r="S1124" s="27" t="s">
        <v>26</v>
      </c>
      <c r="T1124" s="19" t="s">
        <v>25</v>
      </c>
      <c r="U1124" s="33" t="s">
        <v>27</v>
      </c>
      <c r="V1124" s="33" t="s">
        <v>9</v>
      </c>
      <c r="W1124" s="33" t="s">
        <v>23</v>
      </c>
      <c r="X1124" s="33" t="s">
        <v>12</v>
      </c>
      <c r="Y1124" s="33" t="s">
        <v>26</v>
      </c>
      <c r="Z1124" s="33" t="s">
        <v>25</v>
      </c>
      <c r="AA1124" s="33" t="s">
        <v>27</v>
      </c>
      <c r="AB1124" s="33" t="s">
        <v>9</v>
      </c>
      <c r="AC1124" s="33" t="s">
        <v>23</v>
      </c>
      <c r="AD1124" s="33" t="s">
        <v>12</v>
      </c>
      <c r="AE1124" s="33" t="s">
        <v>26</v>
      </c>
      <c r="AF1124" s="33" t="s">
        <v>25</v>
      </c>
      <c r="AG1124" s="33" t="s">
        <v>27</v>
      </c>
      <c r="AH1124" s="33" t="s">
        <v>9</v>
      </c>
      <c r="AI1124" s="33" t="s">
        <v>23</v>
      </c>
      <c r="AJ1124" s="33" t="s">
        <v>12</v>
      </c>
      <c r="AK1124" s="33" t="s">
        <v>26</v>
      </c>
      <c r="AL1124" s="33" t="s">
        <v>25</v>
      </c>
      <c r="AM1124" s="33" t="s">
        <v>27</v>
      </c>
      <c r="AN1124" s="33" t="s">
        <v>9</v>
      </c>
      <c r="AO1124" s="33" t="s">
        <v>23</v>
      </c>
      <c r="AP1124" s="33" t="s">
        <v>12</v>
      </c>
      <c r="AQ1124" s="33" t="s">
        <v>26</v>
      </c>
      <c r="AR1124" s="33" t="s">
        <v>25</v>
      </c>
      <c r="AS1124" s="33" t="s">
        <v>27</v>
      </c>
      <c r="AT1124" s="33" t="s">
        <v>9</v>
      </c>
      <c r="AU1124" s="33" t="s">
        <v>23</v>
      </c>
      <c r="AV1124" s="33" t="s">
        <v>12</v>
      </c>
      <c r="AW1124" s="33" t="s">
        <v>26</v>
      </c>
      <c r="AX1124" s="33" t="s">
        <v>25</v>
      </c>
      <c r="AY1124" s="33" t="s">
        <v>27</v>
      </c>
      <c r="AZ1124" s="33" t="s">
        <v>9</v>
      </c>
      <c r="BA1124" s="33" t="s">
        <v>23</v>
      </c>
      <c r="BB1124" s="33" t="s">
        <v>12</v>
      </c>
      <c r="BC1124" s="33" t="s">
        <v>26</v>
      </c>
      <c r="BD1124" s="33" t="s">
        <v>25</v>
      </c>
      <c r="BE1124" s="33" t="s">
        <v>27</v>
      </c>
      <c r="BF1124" s="33" t="s">
        <v>9</v>
      </c>
      <c r="BG1124" s="33" t="s">
        <v>23</v>
      </c>
      <c r="BH1124" s="33" t="s">
        <v>12</v>
      </c>
      <c r="BI1124" s="33" t="s">
        <v>26</v>
      </c>
      <c r="BJ1124" s="33" t="s">
        <v>25</v>
      </c>
      <c r="BK1124" s="33" t="s">
        <v>27</v>
      </c>
      <c r="BL1124" s="33" t="s">
        <v>9</v>
      </c>
      <c r="BM1124" s="33" t="s">
        <v>23</v>
      </c>
      <c r="BN1124" s="33" t="s">
        <v>12</v>
      </c>
      <c r="BO1124" s="33" t="s">
        <v>26</v>
      </c>
      <c r="BP1124" s="33" t="s">
        <v>25</v>
      </c>
      <c r="BQ1124" s="33" t="s">
        <v>27</v>
      </c>
      <c r="BR1124" s="33" t="s">
        <v>9</v>
      </c>
      <c r="BS1124" s="33" t="s">
        <v>23</v>
      </c>
      <c r="BT1124" s="33" t="s">
        <v>12</v>
      </c>
      <c r="BU1124" s="33" t="s">
        <v>26</v>
      </c>
      <c r="BV1124" s="33" t="s">
        <v>25</v>
      </c>
      <c r="BW1124" s="33" t="s">
        <v>27</v>
      </c>
      <c r="BX1124" s="33" t="s">
        <v>9</v>
      </c>
      <c r="BY1124" s="33" t="s">
        <v>23</v>
      </c>
      <c r="BZ1124" s="33" t="s">
        <v>12</v>
      </c>
      <c r="CA1124" s="33" t="s">
        <v>26</v>
      </c>
      <c r="CB1124" s="33" t="s">
        <v>25</v>
      </c>
      <c r="CC1124" s="33" t="s">
        <v>27</v>
      </c>
      <c r="CD1124" s="33" t="s">
        <v>9</v>
      </c>
      <c r="CE1124" s="33" t="s">
        <v>23</v>
      </c>
      <c r="CF1124" s="33" t="s">
        <v>12</v>
      </c>
      <c r="CG1124" s="33" t="s">
        <v>26</v>
      </c>
      <c r="CH1124" s="33" t="s">
        <v>25</v>
      </c>
      <c r="CI1124" s="8"/>
    </row>
    <row r="1125" spans="1:87" x14ac:dyDescent="0.2">
      <c r="A1125" s="8" t="str">
        <f>IF(AND(COUNTIF(W$3:W$13,A$15)&gt;0,A$15&lt;&gt;B1054),A$15,IFERROR(IF(MATCH(A$15,Z$3:Z$13,0)=4,A$15," ")," "))</f>
        <v xml:space="preserve"> </v>
      </c>
      <c r="B1125" s="8" t="str">
        <f>IF(A1125=" "," ",1)</f>
        <v xml:space="preserve"> </v>
      </c>
      <c r="C1125" s="8" t="str">
        <f>IFERROR(INDEX(A1125:A1146,MATCH(SMALL(B1125:B1146,1),B1125:B1146,0),1)," ")</f>
        <v>C3</v>
      </c>
      <c r="D1125" s="8">
        <f>IFERROR(VLOOKUP($C1125,$A$15:$O$36,2,FALSE)," ")</f>
        <v>2</v>
      </c>
      <c r="E1125" s="8">
        <f>IFERROR(VLOOKUP($C1125,$A$15:$O$36,3,FALSE)," ")</f>
        <v>5</v>
      </c>
      <c r="F1125" s="8">
        <f>IFERROR(VLOOKUP($C1125,$A$15:$O$36,4,FALSE)," ")</f>
        <v>6</v>
      </c>
      <c r="G1125" s="8">
        <f>IFERROR(VLOOKUP($C1125,$A$15:$O$36,5,FALSE)," ")</f>
        <v>0</v>
      </c>
      <c r="H1125" s="8">
        <f>IFERROR(VLOOKUP($C1125,$A$15:$O$36,6,FALSE)," ")</f>
        <v>0</v>
      </c>
      <c r="I1125" s="8">
        <f>IFERROR(VLOOKUP($C1125,$A$15:$O$36,7,FALSE)," ")</f>
        <v>0</v>
      </c>
      <c r="J1125" s="8">
        <f>IFERROR(VLOOKUP($C1125,$A$15:$O$36,8,FALSE)," ")</f>
        <v>0</v>
      </c>
      <c r="K1125" s="8">
        <f>IFERROR(VLOOKUP($C1125,$A$15:$O$36,9,FALSE)," ")</f>
        <v>0</v>
      </c>
      <c r="L1125" s="8">
        <f>IFERROR(VLOOKUP($C1125,$A$15:$O$36,10,FALSE)," ")</f>
        <v>0</v>
      </c>
      <c r="M1125" s="8">
        <f>IFERROR(VLOOKUP($C1125,$A$15:$O$36,11,FALSE)," ")</f>
        <v>0</v>
      </c>
      <c r="N1125" s="8">
        <f>IFERROR(VLOOKUP($C1125,$A$15:$O$36,12,FALSE)," ")</f>
        <v>0</v>
      </c>
      <c r="O1125" s="8">
        <f>IFERROR(VLOOKUP($C1125,$A$15:$O$36,15,FALSE)," ")</f>
        <v>2000</v>
      </c>
      <c r="P1125" s="8" t="e">
        <f t="array" ref="P1125:P1135">MMULT(MINVERSE(D1125:N1135),O1125:O1135)</f>
        <v>#NUM!</v>
      </c>
      <c r="Q1125" s="8" t="e">
        <f t="shared" ref="Q1125" si="4753">IF(COUNTIF(P1125:P1135,"&lt;"&amp;-0.001)=0,IF(ABS(P1125)&lt;0.001,0,P1125)," ")</f>
        <v>#NUM!</v>
      </c>
      <c r="R1125" s="8" t="str">
        <f>IFERROR(VLOOKUP(B1054,A$15:L$36,2,FALSE)*Q1125+VLOOKUP(B1054,A$15:L$36,3,FALSE)*Q1126+VLOOKUP(B1054,A$15:L$36,4,FALSE)*Q1127+VLOOKUP(B1054,A$15:L$36,5,FALSE)*Q1128+VLOOKUP(B1054,A$15:L$36,6,FALSE)*Q1129+VLOOKUP(B1054,A$15:L$36,7,FALSE)*Q1130+VLOOKUP(B1054,A$15:L$36,8,FALSE)*Q1131+VLOOKUP(B1054,A$15:L$36,9,FALSE)*Q1132+VLOOKUP(B1054,A$15:L$36,10,FALSE)*Q1133+VLOOKUP(B1054,A$15:L$36,11,FALSE)*Q1134+VLOOKUP(B1054,A$15:L$36,12,FALSE)*Q1135," ")</f>
        <v xml:space="preserve"> </v>
      </c>
      <c r="S1125" s="8" t="str">
        <f>IFERROR(IF(R1125-VLOOKUP(B1054,A$15:O$36,15,FALSE)&lt;0,R1125-VLOOKUP(B1054,A$15:O$36,15,FALSE)," ")," ")</f>
        <v xml:space="preserve"> </v>
      </c>
      <c r="T1125" s="18" t="str">
        <f>IFERROR(IF(R1125-VLOOKUP(B1054,A$15:O$36,15,FALSE)&gt;0,R1125-VLOOKUP(B1054,A$15:O$36,15,FALSE)," ")," ")</f>
        <v xml:space="preserve"> </v>
      </c>
      <c r="U1125" s="34">
        <f t="shared" ref="U1125" si="4754">$M$2</f>
        <v>100.00000000000001</v>
      </c>
      <c r="V1125" s="34">
        <v>-1</v>
      </c>
      <c r="W1125" s="34">
        <f t="shared" ref="W1125" si="4755">-SUMPRODUCT($M$3:$M$12,$N$3:$N$12)</f>
        <v>-105000</v>
      </c>
      <c r="X1125" s="34" t="e">
        <f t="shared" ref="X1125" si="4756">IF(U1125&lt;&gt;U1126,MMULT(MINVERSE(U1125:V1126),W1125:W1126)," ")</f>
        <v>#NUM!</v>
      </c>
      <c r="Y1125" s="34" t="str">
        <f t="shared" ref="Y1125" si="4757">IFERROR(IF(X1125-VLOOKUP(U$38,$A$2:$N$12,14,FALSE)&lt;0,X1125-VLOOKUP(U$38,$A$2:$N$12,14,FALSE)," ")," ")</f>
        <v xml:space="preserve"> </v>
      </c>
      <c r="Z1125" s="34" t="str">
        <f t="shared" ref="Z1125" si="4758">IFERROR(IF(X1125-VLOOKUP(U$38,$A$2:$N$12,14,FALSE)&gt;0,X1125-VLOOKUP(U$38,$A$2:$N$12,14,FALSE)," ")," ")</f>
        <v xml:space="preserve"> </v>
      </c>
      <c r="AA1125" s="34">
        <f t="shared" ref="AA1125" si="4759">$M$3</f>
        <v>0</v>
      </c>
      <c r="AB1125" s="34">
        <v>-1</v>
      </c>
      <c r="AC1125" s="34">
        <f t="shared" ref="AC1125" si="4760">-SUMPRODUCT($M$2:$M$2,$N$2:$N$2)-SUMPRODUCT($M$4:$M$12,$N$4:$N$12)</f>
        <v>-120000</v>
      </c>
      <c r="AD1125" s="34" t="e">
        <f t="shared" ref="AD1125" si="4761">IF(AA1125&lt;&gt;AA1126,MMULT(MINVERSE(AA1125:AB1126),AC1125:AC1126)," ")</f>
        <v>#NUM!</v>
      </c>
      <c r="AE1125" s="34" t="str">
        <f t="shared" ref="AE1125" si="4762">IFERROR(IF(AD1125-VLOOKUP(AA$38,$A$2:$N$12,14,FALSE)&lt;0,AD1125-VLOOKUP(AA$38,$A$2:$N$12,14,FALSE)," ")," ")</f>
        <v xml:space="preserve"> </v>
      </c>
      <c r="AF1125" s="34" t="str">
        <f t="shared" ref="AF1125" si="4763">IFERROR(IF(AD1125-VLOOKUP(AA$38,$A$2:$N$12,14,FALSE)&gt;0,AD1125-VLOOKUP(AA$38,$A$2:$N$12,14,FALSE)," ")," ")</f>
        <v xml:space="preserve"> </v>
      </c>
      <c r="AG1125" s="34">
        <f t="shared" ref="AG1125" si="4764">$M$4</f>
        <v>300</v>
      </c>
      <c r="AH1125" s="34">
        <v>-1</v>
      </c>
      <c r="AI1125" s="34">
        <f t="shared" ref="AI1125" si="4765">-SUMPRODUCT($M$2:$M$3,$N$2:$N$3)-SUMPRODUCT($M$5:$M$12,$N$5:$N$12)</f>
        <v>-15000.000000000002</v>
      </c>
      <c r="AJ1125" s="34" t="e">
        <f t="shared" ref="AJ1125" si="4766">IF(AG1125&lt;&gt;AG1126,MMULT(MINVERSE(AG1125:AH1126),AI1125:AI1126)," ")</f>
        <v>#NUM!</v>
      </c>
      <c r="AK1125" s="34" t="str">
        <f t="shared" ref="AK1125" si="4767">IFERROR(IF(AJ1125-VLOOKUP(AG$38,$A$2:$N$12,14,FALSE)&lt;0,AJ1125-VLOOKUP(AG$38,$A$2:$N$12,14,FALSE)," ")," ")</f>
        <v xml:space="preserve"> </v>
      </c>
      <c r="AL1125" s="34" t="str">
        <f t="shared" ref="AL1125" si="4768">IFERROR(IF(AJ1125-VLOOKUP(AG$38,$A$2:$N$12,14,FALSE)&gt;0,AJ1125-VLOOKUP(AG$38,$A$2:$N$12,14,FALSE)," ")," ")</f>
        <v xml:space="preserve"> </v>
      </c>
      <c r="AM1125" s="34">
        <f t="shared" ref="AM1125" si="4769">$M$5</f>
        <v>0</v>
      </c>
      <c r="AN1125" s="34">
        <v>-1</v>
      </c>
      <c r="AO1125" s="34">
        <f t="shared" ref="AO1125" si="4770">-SUMPRODUCT($M$2:$M$4,$N$2:$N$4)-SUMPRODUCT($M$6:$M$12,$N$6:$N$12)</f>
        <v>-120000</v>
      </c>
      <c r="AP1125" s="34" t="e">
        <f t="shared" ref="AP1125" si="4771">IF(AM1125&lt;&gt;AM1126,MMULT(MINVERSE(AM1125:AN1126),AO1125:AO1126)," ")</f>
        <v>#NUM!</v>
      </c>
      <c r="AQ1125" s="34" t="str">
        <f t="shared" ref="AQ1125" si="4772">IFERROR(IF(AP1125-VLOOKUP(AM$38,$A$2:$N$12,14,FALSE)&lt;0,AP1125-VLOOKUP(AM$38,$A$2:$N$12,14,FALSE)," ")," ")</f>
        <v xml:space="preserve"> </v>
      </c>
      <c r="AR1125" s="34" t="str">
        <f t="shared" ref="AR1125" si="4773">IFERROR(IF(AP1125-VLOOKUP(AM$38,$A$2:$N$12,14,FALSE)&gt;0,AP1125-VLOOKUP(AM$38,$A$2:$N$12,14,FALSE)," ")," ")</f>
        <v xml:space="preserve"> </v>
      </c>
      <c r="AS1125" s="34">
        <f t="shared" ref="AS1125" si="4774">$M$6</f>
        <v>0</v>
      </c>
      <c r="AT1125" s="34">
        <v>-1</v>
      </c>
      <c r="AU1125" s="34">
        <f t="shared" ref="AU1125" si="4775">-SUMPRODUCT($M$2:$M$5,$N$2:$N$5)-SUMPRODUCT($M$7:$M$12,$N$7:$N$12)</f>
        <v>-120000</v>
      </c>
      <c r="AV1125" s="34" t="e">
        <f t="shared" ref="AV1125" si="4776">IF(AS1125&lt;&gt;AS1126,MMULT(MINVERSE(AS1125:AT1126),AU1125:AU1126)," ")</f>
        <v>#NUM!</v>
      </c>
      <c r="AW1125" s="34" t="str">
        <f t="shared" ref="AW1125" si="4777">IFERROR(IF(AV1125-VLOOKUP(AS$38,$A$2:$N$12,14,FALSE)&lt;0,AV1125-VLOOKUP(AS$38,$A$2:$N$12,14,FALSE)," ")," ")</f>
        <v xml:space="preserve"> </v>
      </c>
      <c r="AX1125" s="34" t="str">
        <f t="shared" ref="AX1125" si="4778">IFERROR(IF(AV1125-VLOOKUP(AS$38,$A$2:$N$12,14,FALSE)&gt;0,AV1125-VLOOKUP(AS$38,$A$2:$N$12,14,FALSE)," ")," ")</f>
        <v xml:space="preserve"> </v>
      </c>
      <c r="AY1125" s="34">
        <f t="shared" ref="AY1125" si="4779">$M$7</f>
        <v>0</v>
      </c>
      <c r="AZ1125" s="34">
        <v>-1</v>
      </c>
      <c r="BA1125" s="34">
        <f t="shared" ref="BA1125" si="4780">-SUMPRODUCT($M$2:$M$6,$N$2:$N$6)-SUMPRODUCT($M$8:$M$12,$N$8:$N$12)</f>
        <v>-120000</v>
      </c>
      <c r="BB1125" s="34" t="e">
        <f t="shared" ref="BB1125" si="4781">IF(AY1125&lt;&gt;AY1126,MMULT(MINVERSE(AY1125:AZ1126),BA1125:BA1126)," ")</f>
        <v>#NUM!</v>
      </c>
      <c r="BC1125" s="34" t="str">
        <f t="shared" ref="BC1125" si="4782">IFERROR(IF(BB1125-VLOOKUP(AY$38,$A$2:$N$12,14,FALSE)&lt;0,BB1125-VLOOKUP(AY$38,$A$2:$N$12,14,FALSE)," ")," ")</f>
        <v xml:space="preserve"> </v>
      </c>
      <c r="BD1125" s="34" t="str">
        <f t="shared" ref="BD1125" si="4783">IFERROR(IF(BB1125-VLOOKUP(AY$38,$A$2:$N$12,14,FALSE)&gt;0,BB1125-VLOOKUP(AY$38,$A$2:$N$12,14,FALSE)," ")," ")</f>
        <v xml:space="preserve"> </v>
      </c>
      <c r="BE1125" s="34">
        <f t="shared" ref="BE1125" si="4784">$M$8</f>
        <v>0</v>
      </c>
      <c r="BF1125" s="34">
        <v>-1</v>
      </c>
      <c r="BG1125" s="34">
        <f t="shared" ref="BG1125" si="4785">-SUMPRODUCT($M$2:$M$7,$N$2:$N$7)-SUMPRODUCT($M$9:$M$12,$N$9:$N$12)</f>
        <v>-120000</v>
      </c>
      <c r="BH1125" s="34" t="e">
        <f t="shared" ref="BH1125" si="4786">IF(BE1125&lt;&gt;BE1126,MMULT(MINVERSE(BE1125:BF1126),BG1125:BG1126)," ")</f>
        <v>#NUM!</v>
      </c>
      <c r="BI1125" s="34" t="str">
        <f t="shared" ref="BI1125" si="4787">IFERROR(IF(BH1125-VLOOKUP(BE$38,$A$2:$N$12,14,FALSE)&lt;0,BH1125-VLOOKUP(BE$38,$A$2:$N$12,14,FALSE)," ")," ")</f>
        <v xml:space="preserve"> </v>
      </c>
      <c r="BJ1125" s="34" t="str">
        <f t="shared" ref="BJ1125" si="4788">IFERROR(IF(BH1125-VLOOKUP(BE$38,$A$2:$N$12,14,FALSE)&gt;0,BH1125-VLOOKUP(BE$38,$A$2:$N$12,14,FALSE)," ")," ")</f>
        <v xml:space="preserve"> </v>
      </c>
      <c r="BK1125" s="34">
        <f t="shared" ref="BK1125" si="4789">$M$9</f>
        <v>0</v>
      </c>
      <c r="BL1125" s="34">
        <v>-1</v>
      </c>
      <c r="BM1125" s="34">
        <f t="shared" ref="BM1125" si="4790">-SUMPRODUCT($M$2:$M$8,$N$2:$N$8)-SUMPRODUCT($M$10:$M$12,$N$10:$N$12)</f>
        <v>-120000</v>
      </c>
      <c r="BN1125" s="34" t="e">
        <f t="shared" ref="BN1125" si="4791">IF(BK1125&lt;&gt;BK1126,MMULT(MINVERSE(BK1125:BL1126),BM1125:BM1126)," ")</f>
        <v>#NUM!</v>
      </c>
      <c r="BO1125" s="34" t="str">
        <f t="shared" ref="BO1125" si="4792">IFERROR(IF(BN1125-VLOOKUP(BK$38,$A$2:$N$12,14,FALSE)&lt;0,BN1125-VLOOKUP(BK$38,$A$2:$N$12,14,FALSE)," ")," ")</f>
        <v xml:space="preserve"> </v>
      </c>
      <c r="BP1125" s="34" t="str">
        <f t="shared" ref="BP1125" si="4793">IFERROR(IF(BN1125-VLOOKUP(BK$38,$A$2:$N$12,14,FALSE)&gt;0,BN1125-VLOOKUP(BK$38,$A$2:$N$12,14,FALSE)," ")," ")</f>
        <v xml:space="preserve"> </v>
      </c>
      <c r="BQ1125" s="34">
        <f t="shared" ref="BQ1125" si="4794">$M$10</f>
        <v>0</v>
      </c>
      <c r="BR1125" s="34">
        <v>-1</v>
      </c>
      <c r="BS1125" s="34">
        <f t="shared" ref="BS1125" si="4795">-SUMPRODUCT($M$2:$M$9,$N$2:$N$9)-SUMPRODUCT($M$11:$M$12,$N$11:$N$12)</f>
        <v>-120000</v>
      </c>
      <c r="BT1125" s="34" t="e">
        <f t="shared" ref="BT1125" si="4796">IF(BQ1125&lt;&gt;BQ1126,MMULT(MINVERSE(BQ1125:BR1126),BS1125:BS1126)," ")</f>
        <v>#NUM!</v>
      </c>
      <c r="BU1125" s="34" t="str">
        <f t="shared" ref="BU1125" si="4797">IFERROR(IF(BT1125-VLOOKUP(BQ$38,$A$2:$N$12,14,FALSE)&lt;0,BT1125-VLOOKUP(BQ$38,$A$2:$N$12,14,FALSE)," ")," ")</f>
        <v xml:space="preserve"> </v>
      </c>
      <c r="BV1125" s="34" t="str">
        <f t="shared" ref="BV1125" si="4798">IFERROR(IF(BT1125-VLOOKUP(BQ$38,$A$2:$N$12,14,FALSE)&gt;0,BT1125-VLOOKUP(BQ$38,$A$2:$N$12,14,FALSE)," ")," ")</f>
        <v xml:space="preserve"> </v>
      </c>
      <c r="BW1125" s="34">
        <f t="shared" ref="BW1125" si="4799">$M$11</f>
        <v>0</v>
      </c>
      <c r="BX1125" s="34">
        <v>-1</v>
      </c>
      <c r="BY1125" s="34">
        <f t="shared" ref="BY1125" si="4800">-SUMPRODUCT($M$2:$M$10,$N$2:$N$10)-SUMPRODUCT($M$12,$N$12)</f>
        <v>-120000</v>
      </c>
      <c r="BZ1125" s="34" t="e">
        <f t="shared" ref="BZ1125" si="4801">IF(BW1125&lt;&gt;BW1126,MMULT(MINVERSE(BW1125:BX1126),BY1125:BY1126)," ")</f>
        <v>#NUM!</v>
      </c>
      <c r="CA1125" s="34" t="str">
        <f t="shared" ref="CA1125" si="4802">IFERROR(IF(BZ1125-VLOOKUP(BW$38,$A$2:$N$12,14,FALSE)&lt;0,BZ1125-VLOOKUP(BW$38,$A$2:$N$12,14,FALSE)," ")," ")</f>
        <v xml:space="preserve"> </v>
      </c>
      <c r="CB1125" s="34" t="str">
        <f t="shared" ref="CB1125" si="4803">IFERROR(IF(BZ1125-VLOOKUP(BW$38,$A$2:$N$12,14,FALSE)&gt;0,BZ1125-VLOOKUP(BW$38,$A$2:$N$12,14,FALSE)," ")," ")</f>
        <v xml:space="preserve"> </v>
      </c>
      <c r="CC1125" s="34">
        <f t="shared" ref="CC1125" si="4804">$M$12</f>
        <v>0</v>
      </c>
      <c r="CD1125" s="34">
        <v>-1</v>
      </c>
      <c r="CE1125" s="34">
        <f t="shared" ref="CE1125" si="4805">-SUMPRODUCT($M$2:$M$11,$N$2:$N$11)</f>
        <v>-120000</v>
      </c>
      <c r="CF1125" s="34" t="e">
        <f t="shared" ref="CF1125" si="4806">IF(CC1125&lt;&gt;CC1126,MMULT(MINVERSE(CC1125:CD1126),CE1125:CE1126)," ")</f>
        <v>#NUM!</v>
      </c>
      <c r="CG1125" s="34" t="str">
        <f t="shared" ref="CG1125" si="4807">IFERROR(IF(CF1125-VLOOKUP(CC$38,$A$2:$N$12,14,FALSE)&lt;0,CF1125-VLOOKUP(CC$38,$A$2:$N$12,14,FALSE)," ")," ")</f>
        <v xml:space="preserve"> </v>
      </c>
      <c r="CH1125" s="34" t="str">
        <f t="shared" ref="CH1125" si="4808">IFERROR(IF(CF1125-VLOOKUP(CC$38,$A$2:$N$12,14,FALSE)&gt;0,CF1125-VLOOKUP(CC$38,$A$2:$N$12,14,FALSE)," ")," ")</f>
        <v xml:space="preserve"> </v>
      </c>
      <c r="CI1125" s="8"/>
    </row>
    <row r="1126" spans="1:87" x14ac:dyDescent="0.2">
      <c r="A1126" s="8" t="str">
        <f>IF(AND(COUNTIF(W$3:W$13,A$16)&gt;0,A$16&lt;&gt;B1054),A$16,IFERROR(IF(MATCH(A$16,Z$3:Z$13,0)=4,A$16," ")," "))</f>
        <v xml:space="preserve"> </v>
      </c>
      <c r="B1126" s="8" t="str">
        <f>IF(A1126=" "," ",MAX(B1125:B1125)+1)</f>
        <v xml:space="preserve"> </v>
      </c>
      <c r="C1126" s="8" t="str">
        <f>IFERROR(INDEX(A1125:A1146,MATCH(SMALL(B1125:B1146,2),B1125:B1146,0),1)," ")</f>
        <v>C4</v>
      </c>
      <c r="D1126" s="8">
        <f t="shared" ref="D1126:D1135" si="4809">IFERROR(VLOOKUP($C1126,$A$15:$O$36,2,FALSE)," ")</f>
        <v>1</v>
      </c>
      <c r="E1126" s="8">
        <f t="shared" ref="E1126:E1135" si="4810">IFERROR(VLOOKUP($C1126,$A$15:$O$36,3,FALSE)," ")</f>
        <v>0</v>
      </c>
      <c r="F1126" s="8">
        <f t="shared" ref="F1126:F1135" si="4811">IFERROR(VLOOKUP($C1126,$A$15:$O$36,4,FALSE)," ")</f>
        <v>1</v>
      </c>
      <c r="G1126" s="8">
        <f t="shared" ref="G1126:G1135" si="4812">IFERROR(VLOOKUP($C1126,$A$15:$O$36,5,FALSE)," ")</f>
        <v>0</v>
      </c>
      <c r="H1126" s="8">
        <f t="shared" ref="H1126:H1135" si="4813">IFERROR(VLOOKUP($C1126,$A$15:$O$36,6,FALSE)," ")</f>
        <v>0</v>
      </c>
      <c r="I1126" s="8">
        <f t="shared" ref="I1126:I1135" si="4814">IFERROR(VLOOKUP($C1126,$A$15:$O$36,7,FALSE)," ")</f>
        <v>0</v>
      </c>
      <c r="J1126" s="8">
        <f t="shared" ref="J1126:J1135" si="4815">IFERROR(VLOOKUP($C1126,$A$15:$O$36,8,FALSE)," ")</f>
        <v>0</v>
      </c>
      <c r="K1126" s="8">
        <f t="shared" ref="K1126:K1135" si="4816">IFERROR(VLOOKUP($C1126,$A$15:$O$36,9,FALSE)," ")</f>
        <v>0</v>
      </c>
      <c r="L1126" s="8">
        <f t="shared" ref="L1126:L1135" si="4817">IFERROR(VLOOKUP($C1126,$A$15:$O$36,10,FALSE)," ")</f>
        <v>0</v>
      </c>
      <c r="M1126" s="8">
        <f t="shared" ref="M1126:M1135" si="4818">IFERROR(VLOOKUP($C1126,$A$15:$O$36,11,FALSE)," ")</f>
        <v>0</v>
      </c>
      <c r="N1126" s="8">
        <f t="shared" ref="N1126:N1135" si="4819">IFERROR(VLOOKUP($C1126,$A$15:$O$36,12,FALSE)," ")</f>
        <v>0</v>
      </c>
      <c r="O1126" s="8">
        <f t="shared" ref="O1126:O1135" si="4820">IFERROR(VLOOKUP($C1126,$A$15:$O$36,15,FALSE)," ")</f>
        <v>400</v>
      </c>
      <c r="P1126" s="8" t="e">
        <v>#NUM!</v>
      </c>
      <c r="Q1126" s="8" t="e">
        <f t="shared" ref="Q1126" si="4821">IF(COUNTIF(P1125:P1135,"&lt;"&amp;-0.001)=0,IF(ABS(P1126)&lt;0.001,0,P1126)," ")</f>
        <v>#NUM!</v>
      </c>
      <c r="R1126" s="8"/>
      <c r="S1126" s="8"/>
      <c r="U1126" s="34" t="e">
        <f t="shared" ref="U1126" si="4822">$Q1125</f>
        <v>#NUM!</v>
      </c>
      <c r="V1126" s="34">
        <v>-1</v>
      </c>
      <c r="W1126" s="34" t="e">
        <f t="shared" ref="W1126" si="4823">-SUMPRODUCT($Q1126:$Q1135,$N$3:$N$12)</f>
        <v>#NUM!</v>
      </c>
      <c r="X1126" s="34"/>
      <c r="Y1126" s="34"/>
      <c r="Z1126" s="34"/>
      <c r="AA1126" s="34" t="e">
        <f t="shared" ref="AA1126" si="4824">$Q1126</f>
        <v>#NUM!</v>
      </c>
      <c r="AB1126" s="34">
        <v>-1</v>
      </c>
      <c r="AC1126" s="34" t="e">
        <f t="shared" ref="AC1126" si="4825">-SUMPRODUCT($Q1125:$Q1125,$N$2:$N$2)-SUMPRODUCT($Q1127:$Q1135,$N$4:$N$12)</f>
        <v>#NUM!</v>
      </c>
      <c r="AD1126" s="34"/>
      <c r="AE1126" s="34"/>
      <c r="AF1126" s="34"/>
      <c r="AG1126" s="34" t="e">
        <f t="shared" ref="AG1126" si="4826">$Q1127</f>
        <v>#NUM!</v>
      </c>
      <c r="AH1126" s="34">
        <v>-1</v>
      </c>
      <c r="AI1126" s="34" t="e">
        <f t="shared" ref="AI1126" si="4827">-SUMPRODUCT($Q1125:$Q1126,$N$2:$N$3)-SUMPRODUCT($Q1128:$Q1135,$N$5:$N$12)</f>
        <v>#NUM!</v>
      </c>
      <c r="AJ1126" s="34"/>
      <c r="AK1126" s="34"/>
      <c r="AL1126" s="34"/>
      <c r="AM1126" s="34" t="e">
        <f t="shared" ref="AM1126" si="4828">$Q1128</f>
        <v>#NUM!</v>
      </c>
      <c r="AN1126" s="34">
        <v>-1</v>
      </c>
      <c r="AO1126" s="34" t="e">
        <f t="shared" ref="AO1126" si="4829">-SUMPRODUCT($Q1125:$Q1127,$N$2:$N$4)-SUMPRODUCT($Q1129:$Q1135,$N$6:$N$12)</f>
        <v>#NUM!</v>
      </c>
      <c r="AP1126" s="34"/>
      <c r="AQ1126" s="34"/>
      <c r="AR1126" s="34"/>
      <c r="AS1126" s="34" t="e">
        <f t="shared" ref="AS1126" si="4830">$Q1129</f>
        <v>#NUM!</v>
      </c>
      <c r="AT1126" s="34">
        <v>-1</v>
      </c>
      <c r="AU1126" s="34" t="e">
        <f t="shared" ref="AU1126" si="4831">-SUMPRODUCT($Q1125:$Q1128,$N$2:$N$5)-SUMPRODUCT($Q1130:$Q1135,$N$7:$N$12)</f>
        <v>#NUM!</v>
      </c>
      <c r="AV1126" s="34"/>
      <c r="AW1126" s="34"/>
      <c r="AX1126" s="34"/>
      <c r="AY1126" s="34" t="e">
        <f t="shared" ref="AY1126" si="4832">$Q1130</f>
        <v>#NUM!</v>
      </c>
      <c r="AZ1126" s="34">
        <v>-1</v>
      </c>
      <c r="BA1126" s="34" t="e">
        <f t="shared" ref="BA1126" si="4833">-SUMPRODUCT($Q1125:$Q1129,$N$2:$N$6)-SUMPRODUCT($Q1131:$Q1135,$N$8:$N$12)</f>
        <v>#NUM!</v>
      </c>
      <c r="BB1126" s="34"/>
      <c r="BC1126" s="34"/>
      <c r="BD1126" s="34"/>
      <c r="BE1126" s="34" t="e">
        <f t="shared" ref="BE1126" si="4834">$Q1131</f>
        <v>#NUM!</v>
      </c>
      <c r="BF1126" s="34">
        <v>-1</v>
      </c>
      <c r="BG1126" s="34" t="e">
        <f t="shared" ref="BG1126" si="4835">-SUMPRODUCT($Q1125:$Q1130,$N$2:$N$7)-SUMPRODUCT($Q1132:$Q1135,$N$9:$N$12)</f>
        <v>#NUM!</v>
      </c>
      <c r="BH1126" s="34"/>
      <c r="BI1126" s="34"/>
      <c r="BJ1126" s="34"/>
      <c r="BK1126" s="34" t="e">
        <f t="shared" ref="BK1126" si="4836">$Q1132</f>
        <v>#NUM!</v>
      </c>
      <c r="BL1126" s="34">
        <v>-1</v>
      </c>
      <c r="BM1126" s="34" t="e">
        <f t="shared" ref="BM1126" si="4837">-SUMPRODUCT($Q1125:$Q1131,$N$2:$N$8)-SUMPRODUCT($Q1133:$Q1135,$N$10:$N$12)</f>
        <v>#NUM!</v>
      </c>
      <c r="BN1126" s="34"/>
      <c r="BO1126" s="34"/>
      <c r="BP1126" s="34"/>
      <c r="BQ1126" s="34" t="e">
        <f t="shared" ref="BQ1126" si="4838">$Q1133</f>
        <v>#NUM!</v>
      </c>
      <c r="BR1126" s="34">
        <v>-1</v>
      </c>
      <c r="BS1126" s="34" t="e">
        <f t="shared" ref="BS1126" si="4839">-SUMPRODUCT($Q1125:$Q1132,$N$2:$N$9)-SUMPRODUCT($Q1134:$Q1135,$N$11:$N$12)</f>
        <v>#NUM!</v>
      </c>
      <c r="BT1126" s="34"/>
      <c r="BU1126" s="34"/>
      <c r="BV1126" s="34"/>
      <c r="BW1126" s="34" t="e">
        <f t="shared" ref="BW1126" si="4840">$Q1134</f>
        <v>#NUM!</v>
      </c>
      <c r="BX1126" s="34">
        <v>-1</v>
      </c>
      <c r="BY1126" s="34" t="e">
        <f t="shared" ref="BY1126" si="4841">-SUMPRODUCT($Q1125:$Q1133,$N$2:$N$10)-SUMPRODUCT($Q1135,$N$12)</f>
        <v>#NUM!</v>
      </c>
      <c r="BZ1126" s="34"/>
      <c r="CA1126" s="34"/>
      <c r="CB1126" s="34"/>
      <c r="CC1126" s="34" t="e">
        <f t="shared" ref="CC1126" si="4842">$Q1135</f>
        <v>#NUM!</v>
      </c>
      <c r="CD1126" s="34">
        <v>-1</v>
      </c>
      <c r="CE1126" s="34" t="e">
        <f t="shared" ref="CE1126" si="4843">-SUMPRODUCT($Q1125:$Q1134,$N$2:$N$11)</f>
        <v>#NUM!</v>
      </c>
      <c r="CF1126" s="34"/>
      <c r="CG1126" s="34"/>
      <c r="CH1126" s="34"/>
      <c r="CI1126" s="8"/>
    </row>
    <row r="1127" spans="1:87" x14ac:dyDescent="0.2">
      <c r="A1127" s="8" t="str">
        <f>IF(AND(COUNTIF(W$3:W$13,A$17)&gt;0,A$17&lt;&gt;B1054),A$17,IFERROR(IF(MATCH(A$17,Z$3:Z$13,0)=4,A$17," ")," "))</f>
        <v>C3</v>
      </c>
      <c r="B1127" s="8">
        <f>IF(A1127=" "," ",MAX(B1125:B1126)+1)</f>
        <v>1</v>
      </c>
      <c r="C1127" s="8" t="str">
        <f>IFERROR(INDEX(A1125:A1146,MATCH(SMALL(B1125:B1146,3),B1125:B1146,0),1)," ")</f>
        <v>C6</v>
      </c>
      <c r="D1127" s="8">
        <f t="shared" si="4809"/>
        <v>0</v>
      </c>
      <c r="E1127" s="8">
        <f t="shared" si="4810"/>
        <v>0</v>
      </c>
      <c r="F1127" s="8">
        <f t="shared" si="4811"/>
        <v>0</v>
      </c>
      <c r="G1127" s="8">
        <f t="shared" si="4812"/>
        <v>0</v>
      </c>
      <c r="H1127" s="8">
        <f t="shared" si="4813"/>
        <v>0</v>
      </c>
      <c r="I1127" s="8">
        <f t="shared" si="4814"/>
        <v>0</v>
      </c>
      <c r="J1127" s="8">
        <f t="shared" si="4815"/>
        <v>0</v>
      </c>
      <c r="K1127" s="8">
        <f t="shared" si="4816"/>
        <v>0</v>
      </c>
      <c r="L1127" s="8">
        <f t="shared" si="4817"/>
        <v>0</v>
      </c>
      <c r="M1127" s="8">
        <f t="shared" si="4818"/>
        <v>0</v>
      </c>
      <c r="N1127" s="8">
        <f t="shared" si="4819"/>
        <v>0</v>
      </c>
      <c r="O1127" s="8">
        <f t="shared" si="4820"/>
        <v>0</v>
      </c>
      <c r="P1127" s="8" t="e">
        <v>#NUM!</v>
      </c>
      <c r="Q1127" s="8" t="e">
        <f t="shared" ref="Q1127" si="4844">IF(COUNTIF(P1125:P1135,"&lt;"&amp;-0.001)=0,IF(ABS(P1127)&lt;0.001,0,P1127)," ")</f>
        <v>#NUM!</v>
      </c>
      <c r="R1127" s="8"/>
      <c r="S1127" s="8"/>
      <c r="U1127" s="34"/>
      <c r="V1127" s="34"/>
      <c r="W1127" s="34"/>
      <c r="X1127" s="34"/>
      <c r="Y1127" s="34"/>
      <c r="Z1127" s="34"/>
      <c r="AA1127" s="34"/>
      <c r="AB1127" s="34"/>
      <c r="AC1127" s="34"/>
      <c r="AD1127" s="34"/>
      <c r="AE1127" s="34"/>
      <c r="AF1127" s="34"/>
      <c r="AG1127" s="34"/>
      <c r="AH1127" s="34"/>
      <c r="AI1127" s="34"/>
      <c r="AJ1127" s="34"/>
      <c r="AK1127" s="34"/>
      <c r="AL1127" s="34"/>
      <c r="AM1127" s="34"/>
      <c r="AN1127" s="34"/>
      <c r="AO1127" s="34"/>
      <c r="AP1127" s="34"/>
      <c r="AQ1127" s="34"/>
      <c r="AR1127" s="34"/>
      <c r="AS1127" s="34"/>
      <c r="AT1127" s="34"/>
      <c r="AU1127" s="34"/>
      <c r="AV1127" s="34"/>
      <c r="AW1127" s="34"/>
      <c r="AX1127" s="34"/>
      <c r="AY1127" s="34"/>
      <c r="AZ1127" s="34"/>
      <c r="BA1127" s="34"/>
      <c r="BB1127" s="34"/>
      <c r="BC1127" s="34"/>
      <c r="BD1127" s="34"/>
      <c r="BE1127" s="34"/>
      <c r="BF1127" s="34"/>
      <c r="BG1127" s="34"/>
      <c r="BH1127" s="34"/>
      <c r="BI1127" s="34"/>
      <c r="BJ1127" s="34"/>
      <c r="BK1127" s="34"/>
      <c r="BL1127" s="34"/>
      <c r="BM1127" s="34"/>
      <c r="BN1127" s="34"/>
      <c r="BO1127" s="34"/>
      <c r="BP1127" s="34"/>
      <c r="BQ1127" s="34"/>
      <c r="BR1127" s="34"/>
      <c r="BS1127" s="34"/>
      <c r="BT1127" s="34"/>
      <c r="BU1127" s="34"/>
      <c r="BV1127" s="34"/>
      <c r="BW1127" s="34"/>
      <c r="BX1127" s="34"/>
      <c r="BY1127" s="34"/>
      <c r="BZ1127" s="34"/>
      <c r="CA1127" s="34"/>
      <c r="CB1127" s="34"/>
      <c r="CC1127" s="34"/>
      <c r="CD1127" s="34"/>
      <c r="CE1127" s="34"/>
      <c r="CF1127" s="34"/>
      <c r="CG1127" s="34"/>
      <c r="CH1127" s="34"/>
      <c r="CI1127" s="8"/>
    </row>
    <row r="1128" spans="1:87" x14ac:dyDescent="0.2">
      <c r="A1128" s="8" t="str">
        <f>IF(AND(COUNTIF(W$3:W$13,A$18)&gt;0,A$18&lt;&gt;B1054),A$18,IFERROR(IF(MATCH(A$18,Z$3:Z$13,0)=4,A$18," ")," "))</f>
        <v>C4</v>
      </c>
      <c r="B1128" s="8">
        <f>IF(A1128=" "," ",MAX(B1125:B1127)+1)</f>
        <v>2</v>
      </c>
      <c r="C1128" s="8" t="str">
        <f>IFERROR(INDEX(A1125:A1146,MATCH(SMALL(B1125:B1146,4),B1125:B1146,0),1)," ")</f>
        <v>C13</v>
      </c>
      <c r="D1128" s="8">
        <f t="shared" si="4809"/>
        <v>0</v>
      </c>
      <c r="E1128" s="8">
        <f t="shared" si="4810"/>
        <v>1</v>
      </c>
      <c r="F1128" s="8">
        <f t="shared" si="4811"/>
        <v>0</v>
      </c>
      <c r="G1128" s="8">
        <f t="shared" si="4812"/>
        <v>0</v>
      </c>
      <c r="H1128" s="8">
        <f t="shared" si="4813"/>
        <v>0</v>
      </c>
      <c r="I1128" s="8">
        <f t="shared" si="4814"/>
        <v>0</v>
      </c>
      <c r="J1128" s="8">
        <f t="shared" si="4815"/>
        <v>0</v>
      </c>
      <c r="K1128" s="8">
        <f t="shared" si="4816"/>
        <v>0</v>
      </c>
      <c r="L1128" s="8">
        <f t="shared" si="4817"/>
        <v>0</v>
      </c>
      <c r="M1128" s="8">
        <f t="shared" si="4818"/>
        <v>0</v>
      </c>
      <c r="N1128" s="8">
        <f t="shared" si="4819"/>
        <v>0</v>
      </c>
      <c r="O1128" s="8">
        <f t="shared" si="4820"/>
        <v>0</v>
      </c>
      <c r="P1128" s="8" t="e">
        <v>#NUM!</v>
      </c>
      <c r="Q1128" s="8" t="e">
        <f t="shared" ref="Q1128" si="4845">IF(COUNTIF(P1125:P1135,"&lt;"&amp;-0.001)=0,IF(ABS(P1128)&lt;0.001,0,P1128)," ")</f>
        <v>#NUM!</v>
      </c>
      <c r="R1128" s="8"/>
      <c r="S1128" s="8"/>
      <c r="U1128" s="34"/>
      <c r="V1128" s="34"/>
      <c r="W1128" s="34"/>
      <c r="X1128" s="34"/>
      <c r="Y1128" s="34"/>
      <c r="Z1128" s="34"/>
      <c r="AA1128" s="34"/>
      <c r="AB1128" s="34"/>
      <c r="AC1128" s="34"/>
      <c r="AD1128" s="34"/>
      <c r="AE1128" s="34"/>
      <c r="AF1128" s="34"/>
      <c r="AG1128" s="34"/>
      <c r="AH1128" s="34"/>
      <c r="AI1128" s="34"/>
      <c r="AJ1128" s="34"/>
      <c r="AK1128" s="34"/>
      <c r="AL1128" s="34"/>
      <c r="AM1128" s="34"/>
      <c r="AN1128" s="34"/>
      <c r="AO1128" s="34"/>
      <c r="AP1128" s="34"/>
      <c r="AQ1128" s="34"/>
      <c r="AR1128" s="34"/>
      <c r="AS1128" s="34"/>
      <c r="AT1128" s="34"/>
      <c r="AU1128" s="34"/>
      <c r="AV1128" s="34"/>
      <c r="AW1128" s="34"/>
      <c r="AX1128" s="34"/>
      <c r="AY1128" s="34"/>
      <c r="AZ1128" s="34"/>
      <c r="BA1128" s="34"/>
      <c r="BB1128" s="34"/>
      <c r="BC1128" s="34"/>
      <c r="BD1128" s="34"/>
      <c r="BE1128" s="34"/>
      <c r="BF1128" s="34"/>
      <c r="BG1128" s="34"/>
      <c r="BH1128" s="34"/>
      <c r="BI1128" s="34"/>
      <c r="BJ1128" s="34"/>
      <c r="BK1128" s="34"/>
      <c r="BL1128" s="34"/>
      <c r="BM1128" s="34"/>
      <c r="BN1128" s="34"/>
      <c r="BO1128" s="34"/>
      <c r="BP1128" s="34"/>
      <c r="BQ1128" s="34"/>
      <c r="BR1128" s="34"/>
      <c r="BS1128" s="34"/>
      <c r="BT1128" s="34"/>
      <c r="BU1128" s="34"/>
      <c r="BV1128" s="34"/>
      <c r="BW1128" s="34"/>
      <c r="BX1128" s="34"/>
      <c r="BY1128" s="34"/>
      <c r="BZ1128" s="34"/>
      <c r="CA1128" s="34"/>
      <c r="CB1128" s="34"/>
      <c r="CC1128" s="34"/>
      <c r="CD1128" s="34"/>
      <c r="CE1128" s="34"/>
      <c r="CF1128" s="34"/>
      <c r="CG1128" s="34"/>
      <c r="CH1128" s="34"/>
      <c r="CI1128" s="8"/>
    </row>
    <row r="1129" spans="1:87" x14ac:dyDescent="0.2">
      <c r="A1129" s="8" t="str">
        <f>IF(AND(COUNTIF(W$3:W$13,A$19)&gt;0,A$19&lt;&gt;B1054),A$19,IFERROR(IF(MATCH(A$19,Z$3:Z$13,0)=4,A$19," ")," "))</f>
        <v xml:space="preserve"> </v>
      </c>
      <c r="B1129" s="8" t="str">
        <f>IF(A1129=" "," ",MAX(B1125:B1128)+1)</f>
        <v xml:space="preserve"> </v>
      </c>
      <c r="C1129" s="8" t="str">
        <f>IFERROR(INDEX(A1125:A1146,MATCH(SMALL(B1125:B1146,5),B1125:B1146,0),1)," ")</f>
        <v>C15</v>
      </c>
      <c r="D1129" s="8">
        <f t="shared" si="4809"/>
        <v>0</v>
      </c>
      <c r="E1129" s="8">
        <f t="shared" si="4810"/>
        <v>0</v>
      </c>
      <c r="F1129" s="8">
        <f t="shared" si="4811"/>
        <v>0</v>
      </c>
      <c r="G1129" s="8">
        <f t="shared" si="4812"/>
        <v>1</v>
      </c>
      <c r="H1129" s="8">
        <f t="shared" si="4813"/>
        <v>0</v>
      </c>
      <c r="I1129" s="8">
        <f t="shared" si="4814"/>
        <v>0</v>
      </c>
      <c r="J1129" s="8">
        <f t="shared" si="4815"/>
        <v>0</v>
      </c>
      <c r="K1129" s="8">
        <f t="shared" si="4816"/>
        <v>0</v>
      </c>
      <c r="L1129" s="8">
        <f t="shared" si="4817"/>
        <v>0</v>
      </c>
      <c r="M1129" s="8">
        <f t="shared" si="4818"/>
        <v>0</v>
      </c>
      <c r="N1129" s="8">
        <f t="shared" si="4819"/>
        <v>0</v>
      </c>
      <c r="O1129" s="8">
        <f t="shared" si="4820"/>
        <v>0</v>
      </c>
      <c r="P1129" s="8" t="e">
        <v>#NUM!</v>
      </c>
      <c r="Q1129" s="8" t="e">
        <f t="shared" ref="Q1129" si="4846">IF(COUNTIF(P1125:P1135,"&lt;"&amp;-0.001)=0,IF(ABS(P1129)&lt;0.001,0,P1129)," ")</f>
        <v>#NUM!</v>
      </c>
      <c r="R1129" s="8"/>
      <c r="S1129" s="8"/>
      <c r="U1129" s="34"/>
      <c r="V1129" s="34"/>
      <c r="W1129" s="34"/>
      <c r="X1129" s="34"/>
      <c r="Y1129" s="34"/>
      <c r="Z1129" s="34"/>
      <c r="AA1129" s="34"/>
      <c r="AB1129" s="34"/>
      <c r="AC1129" s="34"/>
      <c r="AD1129" s="34"/>
      <c r="AE1129" s="34"/>
      <c r="AF1129" s="34"/>
      <c r="AG1129" s="34"/>
      <c r="AH1129" s="34"/>
      <c r="AI1129" s="34"/>
      <c r="AJ1129" s="34"/>
      <c r="AK1129" s="34"/>
      <c r="AL1129" s="34"/>
      <c r="AM1129" s="34"/>
      <c r="AN1129" s="34"/>
      <c r="AO1129" s="34"/>
      <c r="AP1129" s="34"/>
      <c r="AQ1129" s="34"/>
      <c r="AR1129" s="34"/>
      <c r="AS1129" s="34"/>
      <c r="AT1129" s="34"/>
      <c r="AU1129" s="34"/>
      <c r="AV1129" s="34"/>
      <c r="AW1129" s="34"/>
      <c r="AX1129" s="34"/>
      <c r="AY1129" s="34"/>
      <c r="AZ1129" s="34"/>
      <c r="BA1129" s="34"/>
      <c r="BB1129" s="34"/>
      <c r="BC1129" s="34"/>
      <c r="BD1129" s="34"/>
      <c r="BE1129" s="34"/>
      <c r="BF1129" s="34"/>
      <c r="BG1129" s="34"/>
      <c r="BH1129" s="34"/>
      <c r="BI1129" s="34"/>
      <c r="BJ1129" s="34"/>
      <c r="BK1129" s="34"/>
      <c r="BL1129" s="34"/>
      <c r="BM1129" s="34"/>
      <c r="BN1129" s="34"/>
      <c r="BO1129" s="34"/>
      <c r="BP1129" s="34"/>
      <c r="BQ1129" s="34"/>
      <c r="BR1129" s="34"/>
      <c r="BS1129" s="34"/>
      <c r="BT1129" s="34"/>
      <c r="BU1129" s="34"/>
      <c r="BV1129" s="34"/>
      <c r="BW1129" s="34"/>
      <c r="BX1129" s="34"/>
      <c r="BY1129" s="34"/>
      <c r="BZ1129" s="34"/>
      <c r="CA1129" s="34"/>
      <c r="CB1129" s="34"/>
      <c r="CC1129" s="34"/>
      <c r="CD1129" s="34"/>
      <c r="CE1129" s="34"/>
      <c r="CF1129" s="34"/>
      <c r="CG1129" s="34"/>
      <c r="CH1129" s="34"/>
      <c r="CI1129" s="8"/>
    </row>
    <row r="1130" spans="1:87" x14ac:dyDescent="0.2">
      <c r="A1130" s="8" t="str">
        <f>IF(AND(COUNTIF(W$3:W$13,A$20)&gt;0,A$20&lt;&gt;B1054),A$20,IFERROR(IF(MATCH(A$20,Z$3:Z$13,0)=4,A$20," ")," "))</f>
        <v>C6</v>
      </c>
      <c r="B1130" s="8">
        <f>IF(A1130=" "," ",MAX(B1125:B1129)+1)</f>
        <v>3</v>
      </c>
      <c r="C1130" s="8" t="str">
        <f>IFERROR(INDEX(A1125:A1146,MATCH(SMALL(B1125:B1146,6),B1125:B1146,0),1)," ")</f>
        <v>C17</v>
      </c>
      <c r="D1130" s="8">
        <f t="shared" si="4809"/>
        <v>0</v>
      </c>
      <c r="E1130" s="8">
        <f t="shared" si="4810"/>
        <v>0</v>
      </c>
      <c r="F1130" s="8">
        <f t="shared" si="4811"/>
        <v>0</v>
      </c>
      <c r="G1130" s="8">
        <f t="shared" si="4812"/>
        <v>0</v>
      </c>
      <c r="H1130" s="8">
        <f t="shared" si="4813"/>
        <v>0</v>
      </c>
      <c r="I1130" s="8">
        <f t="shared" si="4814"/>
        <v>1</v>
      </c>
      <c r="J1130" s="8">
        <f t="shared" si="4815"/>
        <v>0</v>
      </c>
      <c r="K1130" s="8">
        <f t="shared" si="4816"/>
        <v>0</v>
      </c>
      <c r="L1130" s="8">
        <f t="shared" si="4817"/>
        <v>0</v>
      </c>
      <c r="M1130" s="8">
        <f t="shared" si="4818"/>
        <v>0</v>
      </c>
      <c r="N1130" s="8">
        <f t="shared" si="4819"/>
        <v>0</v>
      </c>
      <c r="O1130" s="8">
        <f t="shared" si="4820"/>
        <v>0</v>
      </c>
      <c r="P1130" s="8" t="e">
        <v>#NUM!</v>
      </c>
      <c r="Q1130" s="8" t="e">
        <f t="shared" ref="Q1130" si="4847">IF(COUNTIF(P1125:P1135,"&lt;"&amp;-0.001)=0,IF(ABS(P1130)&lt;0.001,0,P1130)," ")</f>
        <v>#NUM!</v>
      </c>
      <c r="R1130" s="8"/>
      <c r="S1130" s="8"/>
      <c r="U1130" s="34"/>
      <c r="V1130" s="34"/>
      <c r="W1130" s="34"/>
      <c r="X1130" s="34"/>
      <c r="Y1130" s="34"/>
      <c r="Z1130" s="34"/>
      <c r="AA1130" s="34"/>
      <c r="AB1130" s="34"/>
      <c r="AC1130" s="34"/>
      <c r="AD1130" s="34"/>
      <c r="AE1130" s="34"/>
      <c r="AF1130" s="34"/>
      <c r="AG1130" s="34"/>
      <c r="AH1130" s="34"/>
      <c r="AI1130" s="34"/>
      <c r="AJ1130" s="34"/>
      <c r="AK1130" s="34"/>
      <c r="AL1130" s="34"/>
      <c r="AM1130" s="34"/>
      <c r="AN1130" s="34"/>
      <c r="AO1130" s="34"/>
      <c r="AP1130" s="34"/>
      <c r="AQ1130" s="34"/>
      <c r="AR1130" s="34"/>
      <c r="AS1130" s="34"/>
      <c r="AT1130" s="34"/>
      <c r="AU1130" s="34"/>
      <c r="AV1130" s="34"/>
      <c r="AW1130" s="34"/>
      <c r="AX1130" s="34"/>
      <c r="AY1130" s="34"/>
      <c r="AZ1130" s="34"/>
      <c r="BA1130" s="34"/>
      <c r="BB1130" s="34"/>
      <c r="BC1130" s="34"/>
      <c r="BD1130" s="34"/>
      <c r="BE1130" s="34"/>
      <c r="BF1130" s="34"/>
      <c r="BG1130" s="34"/>
      <c r="BH1130" s="34"/>
      <c r="BI1130" s="34"/>
      <c r="BJ1130" s="34"/>
      <c r="BK1130" s="34"/>
      <c r="BL1130" s="34"/>
      <c r="BM1130" s="34"/>
      <c r="BN1130" s="34"/>
      <c r="BO1130" s="34"/>
      <c r="BP1130" s="34"/>
      <c r="BQ1130" s="34"/>
      <c r="BR1130" s="34"/>
      <c r="BS1130" s="34"/>
      <c r="BT1130" s="34"/>
      <c r="BU1130" s="34"/>
      <c r="BV1130" s="34"/>
      <c r="BW1130" s="34"/>
      <c r="BX1130" s="34"/>
      <c r="BY1130" s="34"/>
      <c r="BZ1130" s="34"/>
      <c r="CA1130" s="34"/>
      <c r="CB1130" s="34"/>
      <c r="CC1130" s="34"/>
      <c r="CD1130" s="34"/>
      <c r="CE1130" s="34"/>
      <c r="CF1130" s="34"/>
      <c r="CG1130" s="34"/>
      <c r="CH1130" s="34"/>
      <c r="CI1130" s="8"/>
    </row>
    <row r="1131" spans="1:87" x14ac:dyDescent="0.2">
      <c r="A1131" s="8" t="str">
        <f>IF(AND(COUNTIF(W$3:W$13,A$21)&gt;0,A$21&lt;&gt;B1054),A$21,IFERROR(IF(MATCH(A$21,Z$3:Z$13,0)=4,A$21," ")," "))</f>
        <v xml:space="preserve"> </v>
      </c>
      <c r="B1131" s="8" t="str">
        <f>IF(A1131=" "," ",MAX(B1125:B1130)+1)</f>
        <v xml:space="preserve"> </v>
      </c>
      <c r="C1131" s="8" t="str">
        <f>IFERROR(INDEX(A1125:A1146,MATCH(SMALL(B1125:B1146,7),B1125:B1146,0),1)," ")</f>
        <v>C18</v>
      </c>
      <c r="D1131" s="8">
        <f t="shared" si="4809"/>
        <v>0</v>
      </c>
      <c r="E1131" s="8">
        <f t="shared" si="4810"/>
        <v>0</v>
      </c>
      <c r="F1131" s="8">
        <f t="shared" si="4811"/>
        <v>0</v>
      </c>
      <c r="G1131" s="8">
        <f t="shared" si="4812"/>
        <v>0</v>
      </c>
      <c r="H1131" s="8">
        <f t="shared" si="4813"/>
        <v>0</v>
      </c>
      <c r="I1131" s="8">
        <f t="shared" si="4814"/>
        <v>0</v>
      </c>
      <c r="J1131" s="8">
        <f t="shared" si="4815"/>
        <v>1</v>
      </c>
      <c r="K1131" s="8">
        <f t="shared" si="4816"/>
        <v>0</v>
      </c>
      <c r="L1131" s="8">
        <f t="shared" si="4817"/>
        <v>0</v>
      </c>
      <c r="M1131" s="8">
        <f t="shared" si="4818"/>
        <v>0</v>
      </c>
      <c r="N1131" s="8">
        <f t="shared" si="4819"/>
        <v>0</v>
      </c>
      <c r="O1131" s="8">
        <f t="shared" si="4820"/>
        <v>0</v>
      </c>
      <c r="P1131" s="8" t="e">
        <v>#NUM!</v>
      </c>
      <c r="Q1131" s="8" t="e">
        <f t="shared" ref="Q1131" si="4848">IF(COUNTIF(P1125:P1135,"&lt;"&amp;-0.001)=0,IF(ABS(P1131)&lt;0.001,0,P1131)," ")</f>
        <v>#NUM!</v>
      </c>
      <c r="R1131" s="8"/>
      <c r="S1131" s="8"/>
      <c r="U1131" s="34"/>
      <c r="V1131" s="34"/>
      <c r="W1131" s="34"/>
      <c r="X1131" s="34"/>
      <c r="Y1131" s="34"/>
      <c r="Z1131" s="34"/>
      <c r="AA1131" s="34"/>
      <c r="AB1131" s="34"/>
      <c r="AC1131" s="34"/>
      <c r="AD1131" s="34"/>
      <c r="AE1131" s="34"/>
      <c r="AF1131" s="34"/>
      <c r="AG1131" s="34"/>
      <c r="AH1131" s="34"/>
      <c r="AI1131" s="34"/>
      <c r="AJ1131" s="34"/>
      <c r="AK1131" s="34"/>
      <c r="AL1131" s="34"/>
      <c r="AM1131" s="34"/>
      <c r="AN1131" s="34"/>
      <c r="AO1131" s="34"/>
      <c r="AP1131" s="34"/>
      <c r="AQ1131" s="34"/>
      <c r="AR1131" s="34"/>
      <c r="AS1131" s="34"/>
      <c r="AT1131" s="34"/>
      <c r="AU1131" s="34"/>
      <c r="AV1131" s="34"/>
      <c r="AW1131" s="34"/>
      <c r="AX1131" s="34"/>
      <c r="AY1131" s="34"/>
      <c r="AZ1131" s="34"/>
      <c r="BA1131" s="34"/>
      <c r="BB1131" s="34"/>
      <c r="BC1131" s="34"/>
      <c r="BD1131" s="34"/>
      <c r="BE1131" s="34"/>
      <c r="BF1131" s="34"/>
      <c r="BG1131" s="34"/>
      <c r="BH1131" s="34"/>
      <c r="BI1131" s="34"/>
      <c r="BJ1131" s="34"/>
      <c r="BK1131" s="34"/>
      <c r="BL1131" s="34"/>
      <c r="BM1131" s="34"/>
      <c r="BN1131" s="34"/>
      <c r="BO1131" s="34"/>
      <c r="BP1131" s="34"/>
      <c r="BQ1131" s="34"/>
      <c r="BR1131" s="34"/>
      <c r="BS1131" s="34"/>
      <c r="BT1131" s="34"/>
      <c r="BU1131" s="34"/>
      <c r="BV1131" s="34"/>
      <c r="BW1131" s="34"/>
      <c r="BX1131" s="34"/>
      <c r="BY1131" s="34"/>
      <c r="BZ1131" s="34"/>
      <c r="CA1131" s="34"/>
      <c r="CB1131" s="34"/>
      <c r="CC1131" s="34"/>
      <c r="CD1131" s="34"/>
      <c r="CE1131" s="34"/>
      <c r="CF1131" s="34"/>
      <c r="CG1131" s="34"/>
      <c r="CH1131" s="34"/>
      <c r="CI1131" s="8"/>
    </row>
    <row r="1132" spans="1:87" x14ac:dyDescent="0.2">
      <c r="A1132" s="8" t="str">
        <f>IF(AND(COUNTIF(W$3:W$13,A$22)&gt;0,A$22&lt;&gt;B1054),A$22,IFERROR(IF(MATCH(A$22,Z$3:Z$13,0)=4,A$22," ")," "))</f>
        <v xml:space="preserve"> </v>
      </c>
      <c r="B1132" s="8" t="str">
        <f>IF(A1132=" "," ",MAX(B1125:B1131)+1)</f>
        <v xml:space="preserve"> </v>
      </c>
      <c r="C1132" s="8" t="str">
        <f>IFERROR(INDEX(A1125:A1146,MATCH(SMALL(B1125:B1146,8),B1125:B1146,0),1)," ")</f>
        <v>C19</v>
      </c>
      <c r="D1132" s="8">
        <f t="shared" si="4809"/>
        <v>0</v>
      </c>
      <c r="E1132" s="8">
        <f t="shared" si="4810"/>
        <v>0</v>
      </c>
      <c r="F1132" s="8">
        <f t="shared" si="4811"/>
        <v>0</v>
      </c>
      <c r="G1132" s="8">
        <f t="shared" si="4812"/>
        <v>0</v>
      </c>
      <c r="H1132" s="8">
        <f t="shared" si="4813"/>
        <v>0</v>
      </c>
      <c r="I1132" s="8">
        <f t="shared" si="4814"/>
        <v>0</v>
      </c>
      <c r="J1132" s="8">
        <f t="shared" si="4815"/>
        <v>0</v>
      </c>
      <c r="K1132" s="8">
        <f t="shared" si="4816"/>
        <v>1</v>
      </c>
      <c r="L1132" s="8">
        <f t="shared" si="4817"/>
        <v>0</v>
      </c>
      <c r="M1132" s="8">
        <f t="shared" si="4818"/>
        <v>0</v>
      </c>
      <c r="N1132" s="8">
        <f t="shared" si="4819"/>
        <v>0</v>
      </c>
      <c r="O1132" s="8">
        <f t="shared" si="4820"/>
        <v>0</v>
      </c>
      <c r="P1132" s="8" t="e">
        <v>#NUM!</v>
      </c>
      <c r="Q1132" s="8" t="e">
        <f t="shared" ref="Q1132" si="4849">IF(COUNTIF(P1125:P1135,"&lt;"&amp;-0.001)=0,IF(ABS(P1132)&lt;0.001,0,P1132)," ")</f>
        <v>#NUM!</v>
      </c>
      <c r="R1132" s="8"/>
      <c r="S1132" s="8"/>
      <c r="U1132" s="34"/>
      <c r="V1132" s="34"/>
      <c r="W1132" s="34"/>
      <c r="X1132" s="34"/>
      <c r="Y1132" s="34"/>
      <c r="Z1132" s="34"/>
      <c r="AA1132" s="34"/>
      <c r="AB1132" s="34"/>
      <c r="AC1132" s="34"/>
      <c r="AD1132" s="34"/>
      <c r="AE1132" s="34"/>
      <c r="AF1132" s="34"/>
      <c r="AG1132" s="34"/>
      <c r="AH1132" s="34"/>
      <c r="AI1132" s="34"/>
      <c r="AJ1132" s="34"/>
      <c r="AK1132" s="34"/>
      <c r="AL1132" s="34"/>
      <c r="AM1132" s="34"/>
      <c r="AN1132" s="34"/>
      <c r="AO1132" s="34"/>
      <c r="AP1132" s="34"/>
      <c r="AQ1132" s="34"/>
      <c r="AR1132" s="34"/>
      <c r="AS1132" s="34"/>
      <c r="AT1132" s="34"/>
      <c r="AU1132" s="34"/>
      <c r="AV1132" s="34"/>
      <c r="AW1132" s="34"/>
      <c r="AX1132" s="34"/>
      <c r="AY1132" s="34"/>
      <c r="AZ1132" s="34"/>
      <c r="BA1132" s="34"/>
      <c r="BB1132" s="34"/>
      <c r="BC1132" s="34"/>
      <c r="BD1132" s="34"/>
      <c r="BE1132" s="34"/>
      <c r="BF1132" s="34"/>
      <c r="BG1132" s="34"/>
      <c r="BH1132" s="34"/>
      <c r="BI1132" s="34"/>
      <c r="BJ1132" s="34"/>
      <c r="BK1132" s="34"/>
      <c r="BL1132" s="34"/>
      <c r="BM1132" s="34"/>
      <c r="BN1132" s="34"/>
      <c r="BO1132" s="34"/>
      <c r="BP1132" s="34"/>
      <c r="BQ1132" s="34"/>
      <c r="BR1132" s="34"/>
      <c r="BS1132" s="34"/>
      <c r="BT1132" s="34"/>
      <c r="BU1132" s="34"/>
      <c r="BV1132" s="34"/>
      <c r="BW1132" s="34"/>
      <c r="BX1132" s="34"/>
      <c r="BY1132" s="34"/>
      <c r="BZ1132" s="34"/>
      <c r="CA1132" s="34"/>
      <c r="CB1132" s="34"/>
      <c r="CC1132" s="34"/>
      <c r="CD1132" s="34"/>
      <c r="CE1132" s="34"/>
      <c r="CF1132" s="34"/>
      <c r="CG1132" s="34"/>
      <c r="CH1132" s="34"/>
      <c r="CI1132" s="8"/>
    </row>
    <row r="1133" spans="1:87" x14ac:dyDescent="0.2">
      <c r="A1133" s="8" t="str">
        <f>IF(AND(COUNTIF(W$3:W$13,A$23)&gt;0,A$23&lt;&gt;B1054),A$23,IFERROR(IF(MATCH(A$23,Z$3:Z$13,0)=4,A$23," ")," "))</f>
        <v xml:space="preserve"> </v>
      </c>
      <c r="B1133" s="8" t="str">
        <f>IF(A1133=" "," ",MAX(B1125:B1132)+1)</f>
        <v xml:space="preserve"> </v>
      </c>
      <c r="C1133" s="8" t="str">
        <f>IFERROR(INDEX(A1125:A1146,MATCH(SMALL(B1125:B1146,9),B1125:B1146,0),1)," ")</f>
        <v>C20</v>
      </c>
      <c r="D1133" s="8">
        <f t="shared" si="4809"/>
        <v>0</v>
      </c>
      <c r="E1133" s="8">
        <f t="shared" si="4810"/>
        <v>0</v>
      </c>
      <c r="F1133" s="8">
        <f t="shared" si="4811"/>
        <v>0</v>
      </c>
      <c r="G1133" s="8">
        <f t="shared" si="4812"/>
        <v>0</v>
      </c>
      <c r="H1133" s="8">
        <f t="shared" si="4813"/>
        <v>0</v>
      </c>
      <c r="I1133" s="8">
        <f t="shared" si="4814"/>
        <v>0</v>
      </c>
      <c r="J1133" s="8">
        <f t="shared" si="4815"/>
        <v>0</v>
      </c>
      <c r="K1133" s="8">
        <f t="shared" si="4816"/>
        <v>0</v>
      </c>
      <c r="L1133" s="8">
        <f t="shared" si="4817"/>
        <v>1</v>
      </c>
      <c r="M1133" s="8">
        <f t="shared" si="4818"/>
        <v>0</v>
      </c>
      <c r="N1133" s="8">
        <f t="shared" si="4819"/>
        <v>0</v>
      </c>
      <c r="O1133" s="8">
        <f t="shared" si="4820"/>
        <v>0</v>
      </c>
      <c r="P1133" s="6" t="e">
        <v>#NUM!</v>
      </c>
      <c r="Q1133" s="8" t="e">
        <f t="shared" ref="Q1133" si="4850">IF(COUNTIF(P1125:P1135,"&lt;"&amp;-0.001)=0,IF(ABS(P1133)&lt;0.001,0,P1133)," ")</f>
        <v>#NUM!</v>
      </c>
      <c r="R1133" s="8"/>
      <c r="S1133" s="8"/>
      <c r="U1133" s="34"/>
      <c r="V1133" s="34"/>
      <c r="W1133" s="34"/>
      <c r="X1133" s="34"/>
      <c r="Y1133" s="34"/>
      <c r="Z1133" s="34"/>
      <c r="AA1133" s="34"/>
      <c r="AB1133" s="34"/>
      <c r="AC1133" s="34"/>
      <c r="AD1133" s="34"/>
      <c r="AE1133" s="34"/>
      <c r="AF1133" s="34"/>
      <c r="AG1133" s="34"/>
      <c r="AH1133" s="34"/>
      <c r="AI1133" s="34"/>
      <c r="AJ1133" s="34"/>
      <c r="AK1133" s="34"/>
      <c r="AL1133" s="34"/>
      <c r="AM1133" s="34"/>
      <c r="AN1133" s="34"/>
      <c r="AO1133" s="34"/>
      <c r="AP1133" s="34"/>
      <c r="AQ1133" s="34"/>
      <c r="AR1133" s="34"/>
      <c r="AS1133" s="34"/>
      <c r="AT1133" s="34"/>
      <c r="AU1133" s="34"/>
      <c r="AV1133" s="34"/>
      <c r="AW1133" s="34"/>
      <c r="AX1133" s="34"/>
      <c r="AY1133" s="34"/>
      <c r="AZ1133" s="34"/>
      <c r="BA1133" s="34"/>
      <c r="BB1133" s="34"/>
      <c r="BC1133" s="34"/>
      <c r="BD1133" s="34"/>
      <c r="BE1133" s="34"/>
      <c r="BF1133" s="34"/>
      <c r="BG1133" s="34"/>
      <c r="BH1133" s="34"/>
      <c r="BI1133" s="34"/>
      <c r="BJ1133" s="34"/>
      <c r="BK1133" s="34"/>
      <c r="BL1133" s="34"/>
      <c r="BM1133" s="34"/>
      <c r="BN1133" s="34"/>
      <c r="BO1133" s="34"/>
      <c r="BP1133" s="34"/>
      <c r="BQ1133" s="34"/>
      <c r="BR1133" s="34"/>
      <c r="BS1133" s="34"/>
      <c r="BT1133" s="34"/>
      <c r="BU1133" s="34"/>
      <c r="BV1133" s="34"/>
      <c r="BW1133" s="34"/>
      <c r="BX1133" s="34"/>
      <c r="BY1133" s="34"/>
      <c r="BZ1133" s="34"/>
      <c r="CA1133" s="34"/>
      <c r="CB1133" s="34"/>
      <c r="CC1133" s="34"/>
      <c r="CD1133" s="34"/>
      <c r="CE1133" s="34"/>
      <c r="CF1133" s="34"/>
      <c r="CG1133" s="34"/>
      <c r="CH1133" s="34"/>
      <c r="CI1133" s="8"/>
    </row>
    <row r="1134" spans="1:87" x14ac:dyDescent="0.2">
      <c r="A1134" s="8" t="str">
        <f>IF(AND(COUNTIF(W$3:W$13,A$24)&gt;0,A$24&lt;&gt;B1054),A$24,IFERROR(IF(MATCH(A$24,Z$3:Z$13,0)=4,A$24," ")," "))</f>
        <v xml:space="preserve"> </v>
      </c>
      <c r="B1134" s="8" t="str">
        <f>IF(A1134=" "," ",MAX(B1125:B1133)+1)</f>
        <v xml:space="preserve"> </v>
      </c>
      <c r="C1134" s="8" t="str">
        <f>IFERROR(INDEX(A1125:A1146,MATCH(SMALL(B1125:B1146,10),B1125:B1146,0),1)," ")</f>
        <v>C21</v>
      </c>
      <c r="D1134" s="8">
        <f t="shared" si="4809"/>
        <v>0</v>
      </c>
      <c r="E1134" s="8">
        <f t="shared" si="4810"/>
        <v>0</v>
      </c>
      <c r="F1134" s="8">
        <f t="shared" si="4811"/>
        <v>0</v>
      </c>
      <c r="G1134" s="8">
        <f t="shared" si="4812"/>
        <v>0</v>
      </c>
      <c r="H1134" s="8">
        <f t="shared" si="4813"/>
        <v>0</v>
      </c>
      <c r="I1134" s="8">
        <f t="shared" si="4814"/>
        <v>0</v>
      </c>
      <c r="J1134" s="8">
        <f t="shared" si="4815"/>
        <v>0</v>
      </c>
      <c r="K1134" s="8">
        <f t="shared" si="4816"/>
        <v>0</v>
      </c>
      <c r="L1134" s="8">
        <f t="shared" si="4817"/>
        <v>0</v>
      </c>
      <c r="M1134" s="8">
        <f t="shared" si="4818"/>
        <v>1</v>
      </c>
      <c r="N1134" s="8">
        <f t="shared" si="4819"/>
        <v>0</v>
      </c>
      <c r="O1134" s="8">
        <f t="shared" si="4820"/>
        <v>0</v>
      </c>
      <c r="P1134" s="8" t="e">
        <v>#NUM!</v>
      </c>
      <c r="Q1134" s="8" t="e">
        <f t="shared" ref="Q1134" si="4851">IF(COUNTIF(P1125:P1135,"&lt;"&amp;-0.001)=0,IF(ABS(P1134)&lt;0.001,0,P1134)," ")</f>
        <v>#NUM!</v>
      </c>
      <c r="R1134" s="8"/>
      <c r="S1134" s="8"/>
      <c r="U1134" s="34"/>
      <c r="V1134" s="34"/>
      <c r="W1134" s="34"/>
      <c r="X1134" s="34"/>
      <c r="Y1134" s="34"/>
      <c r="Z1134" s="34"/>
      <c r="AA1134" s="34"/>
      <c r="AB1134" s="34"/>
      <c r="AC1134" s="34"/>
      <c r="AD1134" s="34"/>
      <c r="AE1134" s="34"/>
      <c r="AF1134" s="34"/>
      <c r="AG1134" s="34"/>
      <c r="AH1134" s="34"/>
      <c r="AI1134" s="34"/>
      <c r="AJ1134" s="34"/>
      <c r="AK1134" s="34"/>
      <c r="AL1134" s="34"/>
      <c r="AM1134" s="34"/>
      <c r="AN1134" s="34"/>
      <c r="AO1134" s="34"/>
      <c r="AP1134" s="34"/>
      <c r="AQ1134" s="34"/>
      <c r="AR1134" s="34"/>
      <c r="AS1134" s="34"/>
      <c r="AT1134" s="34"/>
      <c r="AU1134" s="34"/>
      <c r="AV1134" s="34"/>
      <c r="AW1134" s="34"/>
      <c r="AX1134" s="34"/>
      <c r="AY1134" s="34"/>
      <c r="AZ1134" s="34"/>
      <c r="BA1134" s="34"/>
      <c r="BB1134" s="34"/>
      <c r="BC1134" s="34"/>
      <c r="BD1134" s="34"/>
      <c r="BE1134" s="34"/>
      <c r="BF1134" s="34"/>
      <c r="BG1134" s="34"/>
      <c r="BH1134" s="34"/>
      <c r="BI1134" s="34"/>
      <c r="BJ1134" s="34"/>
      <c r="BK1134" s="34"/>
      <c r="BL1134" s="34"/>
      <c r="BM1134" s="34"/>
      <c r="BN1134" s="34"/>
      <c r="BO1134" s="34"/>
      <c r="BP1134" s="34"/>
      <c r="BQ1134" s="34"/>
      <c r="BR1134" s="34"/>
      <c r="BS1134" s="34"/>
      <c r="BT1134" s="34"/>
      <c r="BU1134" s="34"/>
      <c r="BV1134" s="34"/>
      <c r="BW1134" s="34"/>
      <c r="BX1134" s="34"/>
      <c r="BY1134" s="34"/>
      <c r="BZ1134" s="34"/>
      <c r="CA1134" s="34"/>
      <c r="CB1134" s="34"/>
      <c r="CC1134" s="34"/>
      <c r="CD1134" s="34"/>
      <c r="CE1134" s="34"/>
      <c r="CF1134" s="34"/>
      <c r="CG1134" s="34"/>
      <c r="CH1134" s="34"/>
      <c r="CI1134" s="8"/>
    </row>
    <row r="1135" spans="1:87" x14ac:dyDescent="0.2">
      <c r="A1135" s="8" t="str">
        <f>IF(AND(COUNTIF(W$3:W$13,A$25)&gt;0,A$25&lt;&gt;B1054),A$25,IFERROR(IF(MATCH(A$25,Z$3:Z$13,0)=4,A$25," ")," "))</f>
        <v xml:space="preserve"> </v>
      </c>
      <c r="B1135" s="8" t="str">
        <f>IF(A1135=" "," ",MAX(B1125:B1134)+1)</f>
        <v xml:space="preserve"> </v>
      </c>
      <c r="C1135" s="8" t="str">
        <f>IFERROR(INDEX(A1125:A1146,MATCH(SMALL(B1125:B1146,11),B1125:B1146,0),1)," ")</f>
        <v>C22</v>
      </c>
      <c r="D1135" s="8">
        <f t="shared" si="4809"/>
        <v>0</v>
      </c>
      <c r="E1135" s="8">
        <f t="shared" si="4810"/>
        <v>0</v>
      </c>
      <c r="F1135" s="8">
        <f t="shared" si="4811"/>
        <v>0</v>
      </c>
      <c r="G1135" s="8">
        <f t="shared" si="4812"/>
        <v>0</v>
      </c>
      <c r="H1135" s="8">
        <f t="shared" si="4813"/>
        <v>0</v>
      </c>
      <c r="I1135" s="8">
        <f t="shared" si="4814"/>
        <v>0</v>
      </c>
      <c r="J1135" s="8">
        <f t="shared" si="4815"/>
        <v>0</v>
      </c>
      <c r="K1135" s="8">
        <f t="shared" si="4816"/>
        <v>0</v>
      </c>
      <c r="L1135" s="8">
        <f t="shared" si="4817"/>
        <v>0</v>
      </c>
      <c r="M1135" s="8">
        <f t="shared" si="4818"/>
        <v>0</v>
      </c>
      <c r="N1135" s="8">
        <f t="shared" si="4819"/>
        <v>1</v>
      </c>
      <c r="O1135" s="8">
        <f t="shared" si="4820"/>
        <v>0</v>
      </c>
      <c r="P1135" s="8" t="e">
        <v>#NUM!</v>
      </c>
      <c r="Q1135" s="8" t="e">
        <f t="shared" ref="Q1135" si="4852">IF(COUNTIF(P1125:P1135,"&lt;"&amp;-0.001)=0,IF(ABS(P1135)&lt;0.001,0,P1135)," ")</f>
        <v>#NUM!</v>
      </c>
      <c r="R1135" s="8"/>
      <c r="S1135" s="8"/>
      <c r="U1135" s="34"/>
      <c r="V1135" s="34"/>
      <c r="W1135" s="34"/>
      <c r="X1135" s="34"/>
      <c r="Y1135" s="34"/>
      <c r="Z1135" s="34"/>
      <c r="AA1135" s="34"/>
      <c r="AB1135" s="34"/>
      <c r="AC1135" s="34"/>
      <c r="AD1135" s="34"/>
      <c r="AE1135" s="34"/>
      <c r="AF1135" s="34"/>
      <c r="AG1135" s="34"/>
      <c r="AH1135" s="34"/>
      <c r="AI1135" s="34"/>
      <c r="AJ1135" s="34"/>
      <c r="AK1135" s="34"/>
      <c r="AL1135" s="34"/>
      <c r="AM1135" s="34"/>
      <c r="AN1135" s="34"/>
      <c r="AO1135" s="34"/>
      <c r="AP1135" s="34"/>
      <c r="AQ1135" s="34"/>
      <c r="AR1135" s="34"/>
      <c r="AS1135" s="34"/>
      <c r="AT1135" s="34"/>
      <c r="AU1135" s="34"/>
      <c r="AV1135" s="34"/>
      <c r="AW1135" s="34"/>
      <c r="AX1135" s="34"/>
      <c r="AY1135" s="34"/>
      <c r="AZ1135" s="34"/>
      <c r="BA1135" s="34"/>
      <c r="BB1135" s="34"/>
      <c r="BC1135" s="34"/>
      <c r="BD1135" s="34"/>
      <c r="BE1135" s="34"/>
      <c r="BF1135" s="34"/>
      <c r="BG1135" s="34"/>
      <c r="BH1135" s="34"/>
      <c r="BI1135" s="34"/>
      <c r="BJ1135" s="34"/>
      <c r="BK1135" s="34"/>
      <c r="BL1135" s="34"/>
      <c r="BM1135" s="34"/>
      <c r="BN1135" s="34"/>
      <c r="BO1135" s="34"/>
      <c r="BP1135" s="34"/>
      <c r="BQ1135" s="34"/>
      <c r="BR1135" s="34"/>
      <c r="BS1135" s="34"/>
      <c r="BT1135" s="34"/>
      <c r="BU1135" s="34"/>
      <c r="BV1135" s="34"/>
      <c r="BW1135" s="34"/>
      <c r="BX1135" s="34"/>
      <c r="BY1135" s="34"/>
      <c r="BZ1135" s="34"/>
      <c r="CA1135" s="34"/>
      <c r="CB1135" s="34"/>
      <c r="CC1135" s="34"/>
      <c r="CD1135" s="34"/>
      <c r="CE1135" s="34"/>
      <c r="CF1135" s="34"/>
      <c r="CG1135" s="34"/>
      <c r="CH1135" s="34"/>
      <c r="CI1135" s="8"/>
    </row>
    <row r="1136" spans="1:87" x14ac:dyDescent="0.2">
      <c r="A1136" s="8" t="str">
        <f>IF(AND(COUNTIF(W$3:W$13,A$26)&gt;0,A$26&lt;&gt;B1054),A$26,IFERROR(IF(MATCH(A$26,Z$3:Z$13,0)=4,A$26," ")," "))</f>
        <v xml:space="preserve"> </v>
      </c>
      <c r="B1136" s="8" t="str">
        <f>IF(A1136=" "," ",MAX(B1125:B1135)+1)</f>
        <v xml:space="preserve"> </v>
      </c>
      <c r="C1136" s="8"/>
      <c r="D1136" s="8"/>
      <c r="E1136" s="8"/>
      <c r="F1136" s="8"/>
      <c r="G1136" s="8"/>
      <c r="H1136" s="8"/>
      <c r="I1136" s="8"/>
      <c r="J1136" s="8"/>
      <c r="K1136" s="8"/>
      <c r="L1136" s="8"/>
      <c r="M1136" s="8"/>
      <c r="N1136" s="8"/>
      <c r="O1136" s="8"/>
      <c r="P1136" s="8"/>
      <c r="Q1136" s="8"/>
      <c r="R1136" s="8"/>
      <c r="S1136" s="8"/>
      <c r="U1136" s="34"/>
      <c r="V1136" s="34"/>
      <c r="W1136" s="34"/>
      <c r="X1136" s="34"/>
      <c r="Y1136" s="34"/>
      <c r="Z1136" s="34"/>
      <c r="AA1136" s="34"/>
      <c r="AB1136" s="34"/>
      <c r="AC1136" s="34"/>
      <c r="AD1136" s="34"/>
      <c r="AE1136" s="34"/>
      <c r="AF1136" s="34"/>
      <c r="AG1136" s="34"/>
      <c r="AH1136" s="34"/>
      <c r="AI1136" s="34"/>
      <c r="AJ1136" s="34"/>
      <c r="AK1136" s="34"/>
      <c r="AL1136" s="34"/>
      <c r="AM1136" s="34"/>
      <c r="AN1136" s="34"/>
      <c r="AO1136" s="34"/>
      <c r="AP1136" s="34"/>
      <c r="AQ1136" s="34"/>
      <c r="AR1136" s="34"/>
      <c r="AS1136" s="34"/>
      <c r="AT1136" s="34"/>
      <c r="AU1136" s="34"/>
      <c r="AV1136" s="34"/>
      <c r="AW1136" s="34"/>
      <c r="AX1136" s="34"/>
      <c r="AY1136" s="34"/>
      <c r="AZ1136" s="34"/>
      <c r="BA1136" s="34"/>
      <c r="BB1136" s="34"/>
      <c r="BC1136" s="34"/>
      <c r="BD1136" s="34"/>
      <c r="BE1136" s="34"/>
      <c r="BF1136" s="34"/>
      <c r="BG1136" s="34"/>
      <c r="BH1136" s="34"/>
      <c r="BI1136" s="34"/>
      <c r="BJ1136" s="34"/>
      <c r="BK1136" s="34"/>
      <c r="BL1136" s="34"/>
      <c r="BM1136" s="34"/>
      <c r="BN1136" s="34"/>
      <c r="BO1136" s="34"/>
      <c r="BP1136" s="34"/>
      <c r="BQ1136" s="34"/>
      <c r="BR1136" s="34"/>
      <c r="BS1136" s="34"/>
      <c r="BT1136" s="34"/>
      <c r="BU1136" s="34"/>
      <c r="BV1136" s="34"/>
      <c r="BW1136" s="34"/>
      <c r="BX1136" s="34"/>
      <c r="BY1136" s="34"/>
      <c r="BZ1136" s="34"/>
      <c r="CA1136" s="34"/>
      <c r="CB1136" s="34"/>
      <c r="CC1136" s="34"/>
      <c r="CD1136" s="34"/>
      <c r="CE1136" s="34"/>
      <c r="CF1136" s="34"/>
      <c r="CG1136" s="34"/>
      <c r="CH1136" s="34"/>
      <c r="CI1136" s="8"/>
    </row>
    <row r="1137" spans="1:87" x14ac:dyDescent="0.2">
      <c r="A1137" s="8" t="str">
        <f>IF(AND(COUNTIF(W$3:W$13,A$27)&gt;0,A$27&lt;&gt;B1054),A$27,IFERROR(IF(MATCH(A$27,Z$3:Z$13,0)=4,A$27," ")," "))</f>
        <v>C13</v>
      </c>
      <c r="B1137" s="8">
        <f>IF(A1137=" "," ",MAX(B1125:B1136)+1)</f>
        <v>4</v>
      </c>
      <c r="C1137" s="8"/>
      <c r="D1137" s="8"/>
      <c r="E1137" s="8"/>
      <c r="F1137" s="8"/>
      <c r="G1137" s="8"/>
      <c r="H1137" s="8"/>
      <c r="I1137" s="8"/>
      <c r="J1137" s="8"/>
      <c r="K1137" s="8"/>
      <c r="L1137" s="8"/>
      <c r="M1137" s="8"/>
      <c r="N1137" s="8"/>
      <c r="O1137" s="8"/>
      <c r="P1137" s="8"/>
      <c r="Q1137" s="8"/>
      <c r="R1137" s="8"/>
      <c r="S1137" s="8"/>
      <c r="U1137" s="34"/>
      <c r="V1137" s="34"/>
      <c r="W1137" s="34"/>
      <c r="X1137" s="34"/>
      <c r="Y1137" s="34"/>
      <c r="Z1137" s="34"/>
      <c r="AA1137" s="34"/>
      <c r="AB1137" s="34"/>
      <c r="AC1137" s="34"/>
      <c r="AD1137" s="34"/>
      <c r="AE1137" s="34"/>
      <c r="AF1137" s="34"/>
      <c r="AG1137" s="34"/>
      <c r="AH1137" s="34"/>
      <c r="AI1137" s="34"/>
      <c r="AJ1137" s="34"/>
      <c r="AK1137" s="34"/>
      <c r="AL1137" s="34"/>
      <c r="AM1137" s="34"/>
      <c r="AN1137" s="34"/>
      <c r="AO1137" s="34"/>
      <c r="AP1137" s="34"/>
      <c r="AQ1137" s="34"/>
      <c r="AR1137" s="34"/>
      <c r="AS1137" s="34"/>
      <c r="AT1137" s="34"/>
      <c r="AU1137" s="34"/>
      <c r="AV1137" s="34"/>
      <c r="AW1137" s="34"/>
      <c r="AX1137" s="34"/>
      <c r="AY1137" s="34"/>
      <c r="AZ1137" s="34"/>
      <c r="BA1137" s="34"/>
      <c r="BB1137" s="34"/>
      <c r="BC1137" s="34"/>
      <c r="BD1137" s="34"/>
      <c r="BE1137" s="34"/>
      <c r="BF1137" s="34"/>
      <c r="BG1137" s="34"/>
      <c r="BH1137" s="34"/>
      <c r="BI1137" s="34"/>
      <c r="BJ1137" s="34"/>
      <c r="BK1137" s="34"/>
      <c r="BL1137" s="34"/>
      <c r="BM1137" s="34"/>
      <c r="BN1137" s="34"/>
      <c r="BO1137" s="34"/>
      <c r="BP1137" s="34"/>
      <c r="BQ1137" s="34"/>
      <c r="BR1137" s="34"/>
      <c r="BS1137" s="34"/>
      <c r="BT1137" s="34"/>
      <c r="BU1137" s="34"/>
      <c r="BV1137" s="34"/>
      <c r="BW1137" s="34"/>
      <c r="BX1137" s="34"/>
      <c r="BY1137" s="34"/>
      <c r="BZ1137" s="34"/>
      <c r="CA1137" s="34"/>
      <c r="CB1137" s="34"/>
      <c r="CC1137" s="34"/>
      <c r="CD1137" s="34"/>
      <c r="CE1137" s="34"/>
      <c r="CF1137" s="34"/>
      <c r="CG1137" s="34"/>
      <c r="CH1137" s="34"/>
      <c r="CI1137" s="8"/>
    </row>
    <row r="1138" spans="1:87" x14ac:dyDescent="0.2">
      <c r="A1138" s="8" t="str">
        <f>IF(AND(COUNTIF(W$3:W$13,A$28)&gt;0,A$28&lt;&gt;B1054),A$28,IFERROR(IF(MATCH(A$28,Z$3:Z$13,0)=4,A$28," ")," "))</f>
        <v xml:space="preserve"> </v>
      </c>
      <c r="B1138" s="8" t="str">
        <f>IF(A1138=" "," ",MAX(B1125:B1137)+1)</f>
        <v xml:space="preserve"> </v>
      </c>
      <c r="C1138" s="8"/>
      <c r="D1138" s="8"/>
      <c r="E1138" s="8"/>
      <c r="F1138" s="8"/>
      <c r="G1138" s="8"/>
      <c r="H1138" s="8"/>
      <c r="I1138" s="8"/>
      <c r="J1138" s="8"/>
      <c r="K1138" s="8"/>
      <c r="L1138" s="8"/>
      <c r="M1138" s="8"/>
      <c r="N1138" s="8"/>
      <c r="O1138" s="8"/>
      <c r="P1138" s="8"/>
      <c r="Q1138" s="8"/>
      <c r="R1138" s="8"/>
      <c r="S1138" s="8"/>
      <c r="U1138" s="34"/>
      <c r="V1138" s="34"/>
      <c r="W1138" s="34"/>
      <c r="X1138" s="34"/>
      <c r="Y1138" s="34"/>
      <c r="Z1138" s="34"/>
      <c r="AA1138" s="34"/>
      <c r="AB1138" s="34"/>
      <c r="AC1138" s="34"/>
      <c r="AD1138" s="34"/>
      <c r="AE1138" s="34"/>
      <c r="AF1138" s="34"/>
      <c r="AG1138" s="34"/>
      <c r="AH1138" s="34"/>
      <c r="AI1138" s="34"/>
      <c r="AJ1138" s="34"/>
      <c r="AK1138" s="34"/>
      <c r="AL1138" s="34"/>
      <c r="AM1138" s="34"/>
      <c r="AN1138" s="34"/>
      <c r="AO1138" s="34"/>
      <c r="AP1138" s="34"/>
      <c r="AQ1138" s="34"/>
      <c r="AR1138" s="34"/>
      <c r="AS1138" s="34"/>
      <c r="AT1138" s="34"/>
      <c r="AU1138" s="34"/>
      <c r="AV1138" s="34"/>
      <c r="AW1138" s="34"/>
      <c r="AX1138" s="34"/>
      <c r="AY1138" s="34"/>
      <c r="AZ1138" s="34"/>
      <c r="BA1138" s="34"/>
      <c r="BB1138" s="34"/>
      <c r="BC1138" s="34"/>
      <c r="BD1138" s="34"/>
      <c r="BE1138" s="34"/>
      <c r="BF1138" s="34"/>
      <c r="BG1138" s="34"/>
      <c r="BH1138" s="34"/>
      <c r="BI1138" s="34"/>
      <c r="BJ1138" s="34"/>
      <c r="BK1138" s="34"/>
      <c r="BL1138" s="34"/>
      <c r="BM1138" s="34"/>
      <c r="BN1138" s="34"/>
      <c r="BO1138" s="34"/>
      <c r="BP1138" s="34"/>
      <c r="BQ1138" s="34"/>
      <c r="BR1138" s="34"/>
      <c r="BS1138" s="34"/>
      <c r="BT1138" s="34"/>
      <c r="BU1138" s="34"/>
      <c r="BV1138" s="34"/>
      <c r="BW1138" s="34"/>
      <c r="BX1138" s="34"/>
      <c r="BY1138" s="34"/>
      <c r="BZ1138" s="34"/>
      <c r="CA1138" s="34"/>
      <c r="CB1138" s="34"/>
      <c r="CC1138" s="34"/>
      <c r="CD1138" s="34"/>
      <c r="CE1138" s="34"/>
      <c r="CF1138" s="34"/>
      <c r="CG1138" s="34"/>
      <c r="CH1138" s="34"/>
      <c r="CI1138" s="8"/>
    </row>
    <row r="1139" spans="1:87" x14ac:dyDescent="0.2">
      <c r="A1139" s="8" t="str">
        <f>IF(AND(COUNTIF(W$3:W$13,A$29)&gt;0,A$29&lt;&gt;B1054),A$29,IFERROR(IF(MATCH(A$29,Z$3:Z$13,0)=4,A$29," ")," "))</f>
        <v>C15</v>
      </c>
      <c r="B1139" s="8">
        <f>IF(A1139=" "," ",MAX(B1125:B1138)+1)</f>
        <v>5</v>
      </c>
      <c r="C1139" s="8"/>
      <c r="D1139" s="8"/>
      <c r="E1139" s="8"/>
      <c r="F1139" s="8"/>
      <c r="G1139" s="8"/>
      <c r="H1139" s="8"/>
      <c r="I1139" s="8"/>
      <c r="J1139" s="8"/>
      <c r="K1139" s="8"/>
      <c r="L1139" s="8"/>
      <c r="M1139" s="8"/>
      <c r="N1139" s="8"/>
      <c r="O1139" s="8"/>
      <c r="P1139" s="8"/>
      <c r="Q1139" s="8"/>
      <c r="R1139" s="8"/>
      <c r="S1139" s="8"/>
      <c r="U1139" s="34"/>
      <c r="V1139" s="34"/>
      <c r="W1139" s="34"/>
      <c r="X1139" s="34"/>
      <c r="Y1139" s="34"/>
      <c r="Z1139" s="34"/>
      <c r="AA1139" s="34"/>
      <c r="AB1139" s="34"/>
      <c r="AC1139" s="34"/>
      <c r="AD1139" s="34"/>
      <c r="AE1139" s="34"/>
      <c r="AF1139" s="34"/>
      <c r="AG1139" s="34"/>
      <c r="AH1139" s="34"/>
      <c r="AI1139" s="34"/>
      <c r="AJ1139" s="34"/>
      <c r="AK1139" s="34"/>
      <c r="AL1139" s="34"/>
      <c r="AM1139" s="34"/>
      <c r="AN1139" s="34"/>
      <c r="AO1139" s="34"/>
      <c r="AP1139" s="34"/>
      <c r="AQ1139" s="34"/>
      <c r="AR1139" s="34"/>
      <c r="AS1139" s="34"/>
      <c r="AT1139" s="34"/>
      <c r="AU1139" s="34"/>
      <c r="AV1139" s="34"/>
      <c r="AW1139" s="34"/>
      <c r="AX1139" s="34"/>
      <c r="AY1139" s="34"/>
      <c r="AZ1139" s="34"/>
      <c r="BA1139" s="34"/>
      <c r="BB1139" s="34"/>
      <c r="BC1139" s="34"/>
      <c r="BD1139" s="34"/>
      <c r="BE1139" s="34"/>
      <c r="BF1139" s="34"/>
      <c r="BG1139" s="34"/>
      <c r="BH1139" s="34"/>
      <c r="BI1139" s="34"/>
      <c r="BJ1139" s="34"/>
      <c r="BK1139" s="34"/>
      <c r="BL1139" s="34"/>
      <c r="BM1139" s="34"/>
      <c r="BN1139" s="34"/>
      <c r="BO1139" s="34"/>
      <c r="BP1139" s="34"/>
      <c r="BQ1139" s="34"/>
      <c r="BR1139" s="34"/>
      <c r="BS1139" s="34"/>
      <c r="BT1139" s="34"/>
      <c r="BU1139" s="34"/>
      <c r="BV1139" s="34"/>
      <c r="BW1139" s="34"/>
      <c r="BX1139" s="34"/>
      <c r="BY1139" s="34"/>
      <c r="BZ1139" s="34"/>
      <c r="CA1139" s="34"/>
      <c r="CB1139" s="34"/>
      <c r="CC1139" s="34"/>
      <c r="CD1139" s="34"/>
      <c r="CE1139" s="34"/>
      <c r="CF1139" s="34"/>
      <c r="CG1139" s="34"/>
      <c r="CH1139" s="34"/>
      <c r="CI1139" s="8"/>
    </row>
    <row r="1140" spans="1:87" x14ac:dyDescent="0.2">
      <c r="A1140" s="8" t="str">
        <f>IF(AND(COUNTIF(W$3:W$13,A$30)&gt;0,A$30&lt;&gt;B1054),A$30,IFERROR(IF(MATCH(A$30,Z$3:Z$13,0)=4,A$30," ")," "))</f>
        <v xml:space="preserve"> </v>
      </c>
      <c r="B1140" s="8" t="str">
        <f>IF(A1140=" "," ",MAX(B1125:B1139)+1)</f>
        <v xml:space="preserve"> </v>
      </c>
      <c r="C1140" s="8"/>
      <c r="D1140" s="8"/>
      <c r="E1140" s="8"/>
      <c r="F1140" s="8"/>
      <c r="G1140" s="8"/>
      <c r="H1140" s="8"/>
      <c r="I1140" s="8"/>
      <c r="J1140" s="8"/>
      <c r="K1140" s="8"/>
      <c r="L1140" s="8"/>
      <c r="M1140" s="8"/>
      <c r="N1140" s="8"/>
      <c r="O1140" s="8"/>
      <c r="P1140" s="8"/>
      <c r="Q1140" s="8"/>
      <c r="R1140" s="8"/>
      <c r="S1140" s="8"/>
      <c r="U1140" s="34"/>
      <c r="V1140" s="34"/>
      <c r="W1140" s="34"/>
      <c r="X1140" s="34"/>
      <c r="Y1140" s="34"/>
      <c r="Z1140" s="34"/>
      <c r="AA1140" s="34"/>
      <c r="AB1140" s="34"/>
      <c r="AC1140" s="34"/>
      <c r="AD1140" s="34"/>
      <c r="AE1140" s="34"/>
      <c r="AF1140" s="34"/>
      <c r="AG1140" s="34"/>
      <c r="AH1140" s="34"/>
      <c r="AI1140" s="34"/>
      <c r="AJ1140" s="34"/>
      <c r="AK1140" s="34"/>
      <c r="AL1140" s="34"/>
      <c r="AM1140" s="34"/>
      <c r="AN1140" s="34"/>
      <c r="AO1140" s="34"/>
      <c r="AP1140" s="34"/>
      <c r="AQ1140" s="34"/>
      <c r="AR1140" s="34"/>
      <c r="AS1140" s="34"/>
      <c r="AT1140" s="34"/>
      <c r="AU1140" s="34"/>
      <c r="AV1140" s="34"/>
      <c r="AW1140" s="34"/>
      <c r="AX1140" s="34"/>
      <c r="AY1140" s="34"/>
      <c r="AZ1140" s="34"/>
      <c r="BA1140" s="34"/>
      <c r="BB1140" s="34"/>
      <c r="BC1140" s="34"/>
      <c r="BD1140" s="34"/>
      <c r="BE1140" s="34"/>
      <c r="BF1140" s="34"/>
      <c r="BG1140" s="34"/>
      <c r="BH1140" s="34"/>
      <c r="BI1140" s="34"/>
      <c r="BJ1140" s="34"/>
      <c r="BK1140" s="34"/>
      <c r="BL1140" s="34"/>
      <c r="BM1140" s="34"/>
      <c r="BN1140" s="34"/>
      <c r="BO1140" s="34"/>
      <c r="BP1140" s="34"/>
      <c r="BQ1140" s="34"/>
      <c r="BR1140" s="34"/>
      <c r="BS1140" s="34"/>
      <c r="BT1140" s="34"/>
      <c r="BU1140" s="34"/>
      <c r="BV1140" s="34"/>
      <c r="BW1140" s="34"/>
      <c r="BX1140" s="34"/>
      <c r="BY1140" s="34"/>
      <c r="BZ1140" s="34"/>
      <c r="CA1140" s="34"/>
      <c r="CB1140" s="34"/>
      <c r="CC1140" s="34"/>
      <c r="CD1140" s="34"/>
      <c r="CE1140" s="34"/>
      <c r="CF1140" s="34"/>
      <c r="CG1140" s="34"/>
      <c r="CH1140" s="34"/>
      <c r="CI1140" s="8"/>
    </row>
    <row r="1141" spans="1:87" x14ac:dyDescent="0.2">
      <c r="A1141" s="8" t="str">
        <f>IF(AND(COUNTIF(W$3:W$13,A$31)&gt;0,A$31&lt;&gt;B1054),A$31,IFERROR(IF(MATCH(A$31,Z$3:Z$13,0)=4,A$31," ")," "))</f>
        <v>C17</v>
      </c>
      <c r="B1141" s="8">
        <f>IF(A1141=" "," ",MAX(B1125:B1140)+1)</f>
        <v>6</v>
      </c>
      <c r="C1141" s="8"/>
      <c r="D1141" s="8"/>
      <c r="E1141" s="8"/>
      <c r="F1141" s="8"/>
      <c r="G1141" s="8"/>
      <c r="H1141" s="8"/>
      <c r="I1141" s="8"/>
      <c r="J1141" s="8"/>
      <c r="K1141" s="8"/>
      <c r="L1141" s="8"/>
      <c r="M1141" s="8"/>
      <c r="N1141" s="8"/>
      <c r="O1141" s="8"/>
      <c r="P1141" s="8"/>
      <c r="Q1141" s="8"/>
      <c r="R1141" s="8"/>
      <c r="S1141" s="8"/>
      <c r="U1141" s="34"/>
      <c r="V1141" s="34"/>
      <c r="W1141" s="34"/>
      <c r="X1141" s="34"/>
      <c r="Y1141" s="34"/>
      <c r="Z1141" s="34"/>
      <c r="AA1141" s="34"/>
      <c r="AB1141" s="34"/>
      <c r="AC1141" s="34"/>
      <c r="AD1141" s="34"/>
      <c r="AE1141" s="34"/>
      <c r="AF1141" s="34"/>
      <c r="AG1141" s="34"/>
      <c r="AH1141" s="34"/>
      <c r="AI1141" s="34"/>
      <c r="AJ1141" s="34"/>
      <c r="AK1141" s="34"/>
      <c r="AL1141" s="34"/>
      <c r="AM1141" s="34"/>
      <c r="AN1141" s="34"/>
      <c r="AO1141" s="34"/>
      <c r="AP1141" s="34"/>
      <c r="AQ1141" s="34"/>
      <c r="AR1141" s="34"/>
      <c r="AS1141" s="34"/>
      <c r="AT1141" s="34"/>
      <c r="AU1141" s="34"/>
      <c r="AV1141" s="34"/>
      <c r="AW1141" s="34"/>
      <c r="AX1141" s="34"/>
      <c r="AY1141" s="34"/>
      <c r="AZ1141" s="34"/>
      <c r="BA1141" s="34"/>
      <c r="BB1141" s="34"/>
      <c r="BC1141" s="34"/>
      <c r="BD1141" s="34"/>
      <c r="BE1141" s="34"/>
      <c r="BF1141" s="34"/>
      <c r="BG1141" s="34"/>
      <c r="BH1141" s="34"/>
      <c r="BI1141" s="34"/>
      <c r="BJ1141" s="34"/>
      <c r="BK1141" s="34"/>
      <c r="BL1141" s="34"/>
      <c r="BM1141" s="34"/>
      <c r="BN1141" s="34"/>
      <c r="BO1141" s="34"/>
      <c r="BP1141" s="34"/>
      <c r="BQ1141" s="34"/>
      <c r="BR1141" s="34"/>
      <c r="BS1141" s="34"/>
      <c r="BT1141" s="34"/>
      <c r="BU1141" s="34"/>
      <c r="BV1141" s="34"/>
      <c r="BW1141" s="34"/>
      <c r="BX1141" s="34"/>
      <c r="BY1141" s="34"/>
      <c r="BZ1141" s="34"/>
      <c r="CA1141" s="34"/>
      <c r="CB1141" s="34"/>
      <c r="CC1141" s="34"/>
      <c r="CD1141" s="34"/>
      <c r="CE1141" s="34"/>
      <c r="CF1141" s="34"/>
      <c r="CG1141" s="34"/>
      <c r="CH1141" s="34"/>
      <c r="CI1141" s="8"/>
    </row>
    <row r="1142" spans="1:87" x14ac:dyDescent="0.2">
      <c r="A1142" s="8" t="str">
        <f>IF(AND(COUNTIF(W$3:W$13,A$32)&gt;0,A$32&lt;&gt;B1054),A$32,IFERROR(IF(MATCH(A$32,Z$3:Z$13,0)=4,A$32," ")," "))</f>
        <v>C18</v>
      </c>
      <c r="B1142" s="8">
        <f>IF(A1142=" "," ",MAX(B1125:B1141)+1)</f>
        <v>7</v>
      </c>
      <c r="C1142" s="8"/>
      <c r="D1142" s="8"/>
      <c r="E1142" s="8"/>
      <c r="F1142" s="8"/>
      <c r="G1142" s="8"/>
      <c r="H1142" s="8"/>
      <c r="I1142" s="8"/>
      <c r="J1142" s="8"/>
      <c r="K1142" s="8"/>
      <c r="L1142" s="8"/>
      <c r="M1142" s="8"/>
      <c r="N1142" s="8"/>
      <c r="O1142" s="8"/>
      <c r="P1142" s="8"/>
      <c r="Q1142" s="8"/>
      <c r="R1142" s="8"/>
      <c r="S1142" s="8"/>
      <c r="U1142" s="34"/>
      <c r="V1142" s="34"/>
      <c r="W1142" s="34"/>
      <c r="X1142" s="34"/>
      <c r="Y1142" s="34"/>
      <c r="Z1142" s="34"/>
      <c r="AA1142" s="34"/>
      <c r="AB1142" s="34"/>
      <c r="AC1142" s="34"/>
      <c r="AD1142" s="34"/>
      <c r="AE1142" s="34"/>
      <c r="AF1142" s="34"/>
      <c r="AG1142" s="34"/>
      <c r="AH1142" s="34"/>
      <c r="AI1142" s="34"/>
      <c r="AJ1142" s="34"/>
      <c r="AK1142" s="34"/>
      <c r="AL1142" s="34"/>
      <c r="AM1142" s="34"/>
      <c r="AN1142" s="34"/>
      <c r="AO1142" s="34"/>
      <c r="AP1142" s="34"/>
      <c r="AQ1142" s="34"/>
      <c r="AR1142" s="34"/>
      <c r="AS1142" s="34"/>
      <c r="AT1142" s="34"/>
      <c r="AU1142" s="34"/>
      <c r="AV1142" s="34"/>
      <c r="AW1142" s="34"/>
      <c r="AX1142" s="34"/>
      <c r="AY1142" s="34"/>
      <c r="AZ1142" s="34"/>
      <c r="BA1142" s="34"/>
      <c r="BB1142" s="34"/>
      <c r="BC1142" s="34"/>
      <c r="BD1142" s="34"/>
      <c r="BE1142" s="34"/>
      <c r="BF1142" s="34"/>
      <c r="BG1142" s="34"/>
      <c r="BH1142" s="34"/>
      <c r="BI1142" s="34"/>
      <c r="BJ1142" s="34"/>
      <c r="BK1142" s="34"/>
      <c r="BL1142" s="34"/>
      <c r="BM1142" s="34"/>
      <c r="BN1142" s="34"/>
      <c r="BO1142" s="34"/>
      <c r="BP1142" s="34"/>
      <c r="BQ1142" s="34"/>
      <c r="BR1142" s="34"/>
      <c r="BS1142" s="34"/>
      <c r="BT1142" s="34"/>
      <c r="BU1142" s="34"/>
      <c r="BV1142" s="34"/>
      <c r="BW1142" s="34"/>
      <c r="BX1142" s="34"/>
      <c r="BY1142" s="34"/>
      <c r="BZ1142" s="34"/>
      <c r="CA1142" s="34"/>
      <c r="CB1142" s="34"/>
      <c r="CC1142" s="34"/>
      <c r="CD1142" s="34"/>
      <c r="CE1142" s="34"/>
      <c r="CF1142" s="34"/>
      <c r="CG1142" s="34"/>
      <c r="CH1142" s="34"/>
      <c r="CI1142" s="8"/>
    </row>
    <row r="1143" spans="1:87" x14ac:dyDescent="0.2">
      <c r="A1143" s="8" t="str">
        <f>IF(AND(COUNTIF(W$3:W$13,A$33)&gt;0,A$33&lt;&gt;B1054),A$33,IFERROR(IF(MATCH(A$33,Z$3:Z$13,0)=4,A$33," ")," "))</f>
        <v>C19</v>
      </c>
      <c r="B1143" s="8">
        <f>IF(A1143=" "," ",MAX(B1125:B1142)+1)</f>
        <v>8</v>
      </c>
      <c r="C1143" s="8"/>
      <c r="D1143" s="8"/>
      <c r="E1143" s="8"/>
      <c r="F1143" s="8"/>
      <c r="G1143" s="8"/>
      <c r="H1143" s="8"/>
      <c r="I1143" s="8"/>
      <c r="J1143" s="8"/>
      <c r="K1143" s="8"/>
      <c r="L1143" s="8"/>
      <c r="M1143" s="8"/>
      <c r="N1143" s="8"/>
      <c r="O1143" s="8"/>
      <c r="P1143" s="8"/>
      <c r="Q1143" s="8"/>
      <c r="R1143" s="8"/>
      <c r="S1143" s="8"/>
      <c r="U1143" s="34"/>
      <c r="V1143" s="34"/>
      <c r="W1143" s="34"/>
      <c r="X1143" s="34"/>
      <c r="Y1143" s="34"/>
      <c r="Z1143" s="34"/>
      <c r="AA1143" s="34"/>
      <c r="AB1143" s="34"/>
      <c r="AC1143" s="34"/>
      <c r="AD1143" s="34"/>
      <c r="AE1143" s="34"/>
      <c r="AF1143" s="34"/>
      <c r="AG1143" s="34"/>
      <c r="AH1143" s="34"/>
      <c r="AI1143" s="34"/>
      <c r="AJ1143" s="34"/>
      <c r="AK1143" s="34"/>
      <c r="AL1143" s="34"/>
      <c r="AM1143" s="34"/>
      <c r="AN1143" s="34"/>
      <c r="AO1143" s="34"/>
      <c r="AP1143" s="34"/>
      <c r="AQ1143" s="34"/>
      <c r="AR1143" s="34"/>
      <c r="AS1143" s="34"/>
      <c r="AT1143" s="34"/>
      <c r="AU1143" s="34"/>
      <c r="AV1143" s="34"/>
      <c r="AW1143" s="34"/>
      <c r="AX1143" s="34"/>
      <c r="AY1143" s="34"/>
      <c r="AZ1143" s="34"/>
      <c r="BA1143" s="34"/>
      <c r="BB1143" s="34"/>
      <c r="BC1143" s="34"/>
      <c r="BD1143" s="34"/>
      <c r="BE1143" s="34"/>
      <c r="BF1143" s="34"/>
      <c r="BG1143" s="34"/>
      <c r="BH1143" s="34"/>
      <c r="BI1143" s="34"/>
      <c r="BJ1143" s="34"/>
      <c r="BK1143" s="34"/>
      <c r="BL1143" s="34"/>
      <c r="BM1143" s="34"/>
      <c r="BN1143" s="34"/>
      <c r="BO1143" s="34"/>
      <c r="BP1143" s="34"/>
      <c r="BQ1143" s="34"/>
      <c r="BR1143" s="34"/>
      <c r="BS1143" s="34"/>
      <c r="BT1143" s="34"/>
      <c r="BU1143" s="34"/>
      <c r="BV1143" s="34"/>
      <c r="BW1143" s="34"/>
      <c r="BX1143" s="34"/>
      <c r="BY1143" s="34"/>
      <c r="BZ1143" s="34"/>
      <c r="CA1143" s="34"/>
      <c r="CB1143" s="34"/>
      <c r="CC1143" s="34"/>
      <c r="CD1143" s="34"/>
      <c r="CE1143" s="34"/>
      <c r="CF1143" s="34"/>
      <c r="CG1143" s="34"/>
      <c r="CH1143" s="34"/>
      <c r="CI1143" s="8"/>
    </row>
    <row r="1144" spans="1:87" x14ac:dyDescent="0.2">
      <c r="A1144" s="8" t="str">
        <f>IF(AND(COUNTIF(W$3:W$13,A$34)&gt;0,A$34&lt;&gt;B1054),A$34,IFERROR(IF(MATCH(A$34,Z$3:Z$13,0)=4,A$34," ")," "))</f>
        <v>C20</v>
      </c>
      <c r="B1144" s="8">
        <f>IF(A1144=" "," ",MAX(B1125:B1143)+1)</f>
        <v>9</v>
      </c>
      <c r="C1144" s="8"/>
      <c r="D1144" s="8"/>
      <c r="E1144" s="8"/>
      <c r="F1144" s="8"/>
      <c r="G1144" s="8"/>
      <c r="H1144" s="8"/>
      <c r="I1144" s="8"/>
      <c r="J1144" s="8"/>
      <c r="K1144" s="8"/>
      <c r="L1144" s="8"/>
      <c r="M1144" s="8"/>
      <c r="N1144" s="8"/>
      <c r="O1144" s="8"/>
      <c r="P1144" s="8"/>
      <c r="Q1144" s="8"/>
      <c r="R1144" s="8"/>
      <c r="S1144" s="8"/>
      <c r="U1144" s="34"/>
      <c r="V1144" s="34"/>
      <c r="W1144" s="34"/>
      <c r="X1144" s="34"/>
      <c r="Y1144" s="34"/>
      <c r="Z1144" s="34"/>
      <c r="AA1144" s="34"/>
      <c r="AB1144" s="34"/>
      <c r="AC1144" s="34"/>
      <c r="AD1144" s="34"/>
      <c r="AE1144" s="34"/>
      <c r="AF1144" s="34"/>
      <c r="AG1144" s="34"/>
      <c r="AH1144" s="34"/>
      <c r="AI1144" s="34"/>
      <c r="AJ1144" s="34"/>
      <c r="AK1144" s="34"/>
      <c r="AL1144" s="34"/>
      <c r="AM1144" s="34"/>
      <c r="AN1144" s="34"/>
      <c r="AO1144" s="34"/>
      <c r="AP1144" s="34"/>
      <c r="AQ1144" s="34"/>
      <c r="AR1144" s="34"/>
      <c r="AS1144" s="34"/>
      <c r="AT1144" s="34"/>
      <c r="AU1144" s="34"/>
      <c r="AV1144" s="34"/>
      <c r="AW1144" s="34"/>
      <c r="AX1144" s="34"/>
      <c r="AY1144" s="34"/>
      <c r="AZ1144" s="34"/>
      <c r="BA1144" s="34"/>
      <c r="BB1144" s="34"/>
      <c r="BC1144" s="34"/>
      <c r="BD1144" s="34"/>
      <c r="BE1144" s="34"/>
      <c r="BF1144" s="34"/>
      <c r="BG1144" s="34"/>
      <c r="BH1144" s="34"/>
      <c r="BI1144" s="34"/>
      <c r="BJ1144" s="34"/>
      <c r="BK1144" s="34"/>
      <c r="BL1144" s="34"/>
      <c r="BM1144" s="34"/>
      <c r="BN1144" s="34"/>
      <c r="BO1144" s="34"/>
      <c r="BP1144" s="34"/>
      <c r="BQ1144" s="34"/>
      <c r="BR1144" s="34"/>
      <c r="BS1144" s="34"/>
      <c r="BT1144" s="34"/>
      <c r="BU1144" s="34"/>
      <c r="BV1144" s="34"/>
      <c r="BW1144" s="34"/>
      <c r="BX1144" s="34"/>
      <c r="BY1144" s="34"/>
      <c r="BZ1144" s="34"/>
      <c r="CA1144" s="34"/>
      <c r="CB1144" s="34"/>
      <c r="CC1144" s="34"/>
      <c r="CD1144" s="34"/>
      <c r="CE1144" s="34"/>
      <c r="CF1144" s="34"/>
      <c r="CG1144" s="34"/>
      <c r="CH1144" s="34"/>
      <c r="CI1144" s="8"/>
    </row>
    <row r="1145" spans="1:87" x14ac:dyDescent="0.2">
      <c r="A1145" s="8" t="str">
        <f>IF(AND(COUNTIF(W$3:W$13,A$35)&gt;0,A$35&lt;&gt;B1054),A$35,IFERROR(IF(MATCH(A$35,Z$3:Z$13,0)=4,A$35," ")," "))</f>
        <v>C21</v>
      </c>
      <c r="B1145" s="8">
        <f>IF(A1145=" "," ",MAX(B1125:B1144)+1)</f>
        <v>10</v>
      </c>
      <c r="C1145" s="8"/>
      <c r="D1145" s="8"/>
      <c r="E1145" s="8"/>
      <c r="F1145" s="8"/>
      <c r="G1145" s="8"/>
      <c r="H1145" s="8"/>
      <c r="I1145" s="8"/>
      <c r="J1145" s="8"/>
      <c r="K1145" s="8"/>
      <c r="L1145" s="8"/>
      <c r="M1145" s="8"/>
      <c r="N1145" s="8"/>
      <c r="O1145" s="8"/>
      <c r="P1145" s="8"/>
      <c r="Q1145" s="8"/>
      <c r="R1145" s="8"/>
      <c r="S1145" s="8"/>
      <c r="U1145" s="34"/>
      <c r="V1145" s="34"/>
      <c r="W1145" s="34"/>
      <c r="X1145" s="34"/>
      <c r="Y1145" s="34"/>
      <c r="Z1145" s="34"/>
      <c r="AA1145" s="34"/>
      <c r="AB1145" s="34"/>
      <c r="AC1145" s="34"/>
      <c r="AD1145" s="34"/>
      <c r="AE1145" s="34"/>
      <c r="AF1145" s="34"/>
      <c r="AG1145" s="34"/>
      <c r="AH1145" s="34"/>
      <c r="AI1145" s="34"/>
      <c r="AJ1145" s="34"/>
      <c r="AK1145" s="34"/>
      <c r="AL1145" s="34"/>
      <c r="AM1145" s="34"/>
      <c r="AN1145" s="34"/>
      <c r="AO1145" s="34"/>
      <c r="AP1145" s="34"/>
      <c r="AQ1145" s="34"/>
      <c r="AR1145" s="34"/>
      <c r="AS1145" s="34"/>
      <c r="AT1145" s="34"/>
      <c r="AU1145" s="34"/>
      <c r="AV1145" s="34"/>
      <c r="AW1145" s="34"/>
      <c r="AX1145" s="34"/>
      <c r="AY1145" s="34"/>
      <c r="AZ1145" s="34"/>
      <c r="BA1145" s="34"/>
      <c r="BB1145" s="34"/>
      <c r="BC1145" s="34"/>
      <c r="BD1145" s="34"/>
      <c r="BE1145" s="34"/>
      <c r="BF1145" s="34"/>
      <c r="BG1145" s="34"/>
      <c r="BH1145" s="34"/>
      <c r="BI1145" s="34"/>
      <c r="BJ1145" s="34"/>
      <c r="BK1145" s="34"/>
      <c r="BL1145" s="34"/>
      <c r="BM1145" s="34"/>
      <c r="BN1145" s="34"/>
      <c r="BO1145" s="34"/>
      <c r="BP1145" s="34"/>
      <c r="BQ1145" s="34"/>
      <c r="BR1145" s="34"/>
      <c r="BS1145" s="34"/>
      <c r="BT1145" s="34"/>
      <c r="BU1145" s="34"/>
      <c r="BV1145" s="34"/>
      <c r="BW1145" s="34"/>
      <c r="BX1145" s="34"/>
      <c r="BY1145" s="34"/>
      <c r="BZ1145" s="34"/>
      <c r="CA1145" s="34"/>
      <c r="CB1145" s="34"/>
      <c r="CC1145" s="34"/>
      <c r="CD1145" s="34"/>
      <c r="CE1145" s="34"/>
      <c r="CF1145" s="34"/>
      <c r="CG1145" s="34"/>
      <c r="CH1145" s="34"/>
      <c r="CI1145" s="8"/>
    </row>
    <row r="1146" spans="1:87" x14ac:dyDescent="0.2">
      <c r="A1146" s="8" t="str">
        <f>IF(AND(COUNTIF(W$3:W$13,A$36)&gt;0,A$36&lt;&gt;B1054),A$36,IFERROR(IF(MATCH(A$36,Z$3:Z$13,0)=4,A$36," ")," "))</f>
        <v>C22</v>
      </c>
      <c r="B1146" s="8">
        <f>IF(A1146=" "," ",MAX(B1125:B1145)+1)</f>
        <v>11</v>
      </c>
      <c r="C1146" s="8"/>
      <c r="D1146" s="8"/>
      <c r="E1146" s="8"/>
      <c r="F1146" s="8"/>
      <c r="G1146" s="8"/>
      <c r="H1146" s="8"/>
      <c r="I1146" s="8"/>
      <c r="J1146" s="8"/>
      <c r="K1146" s="8"/>
      <c r="L1146" s="8"/>
      <c r="M1146" s="8"/>
      <c r="N1146" s="8"/>
      <c r="O1146" s="8"/>
      <c r="P1146" s="8"/>
      <c r="Q1146" s="8"/>
      <c r="R1146" s="8"/>
      <c r="S1146" s="8"/>
      <c r="U1146" s="34"/>
      <c r="V1146" s="34"/>
      <c r="W1146" s="34"/>
      <c r="X1146" s="34"/>
      <c r="Y1146" s="34"/>
      <c r="Z1146" s="34"/>
      <c r="AA1146" s="34"/>
      <c r="AB1146" s="34"/>
      <c r="AC1146" s="34"/>
      <c r="AD1146" s="34"/>
      <c r="AE1146" s="34"/>
      <c r="AF1146" s="34"/>
      <c r="AG1146" s="34"/>
      <c r="AH1146" s="34"/>
      <c r="AI1146" s="34"/>
      <c r="AJ1146" s="34"/>
      <c r="AK1146" s="34"/>
      <c r="AL1146" s="34"/>
      <c r="AM1146" s="34"/>
      <c r="AN1146" s="34"/>
      <c r="AO1146" s="34"/>
      <c r="AP1146" s="34"/>
      <c r="AQ1146" s="34"/>
      <c r="AR1146" s="34"/>
      <c r="AS1146" s="34"/>
      <c r="AT1146" s="34"/>
      <c r="AU1146" s="34"/>
      <c r="AV1146" s="34"/>
      <c r="AW1146" s="34"/>
      <c r="AX1146" s="34"/>
      <c r="AY1146" s="34"/>
      <c r="AZ1146" s="34"/>
      <c r="BA1146" s="34"/>
      <c r="BB1146" s="34"/>
      <c r="BC1146" s="34"/>
      <c r="BD1146" s="34"/>
      <c r="BE1146" s="34"/>
      <c r="BF1146" s="34"/>
      <c r="BG1146" s="34"/>
      <c r="BH1146" s="34"/>
      <c r="BI1146" s="34"/>
      <c r="BJ1146" s="34"/>
      <c r="BK1146" s="34"/>
      <c r="BL1146" s="34"/>
      <c r="BM1146" s="34"/>
      <c r="BN1146" s="34"/>
      <c r="BO1146" s="34"/>
      <c r="BP1146" s="34"/>
      <c r="BQ1146" s="34"/>
      <c r="BR1146" s="34"/>
      <c r="BS1146" s="34"/>
      <c r="BT1146" s="34"/>
      <c r="BU1146" s="34"/>
      <c r="BV1146" s="34"/>
      <c r="BW1146" s="34"/>
      <c r="BX1146" s="34"/>
      <c r="BY1146" s="34"/>
      <c r="BZ1146" s="34"/>
      <c r="CA1146" s="34"/>
      <c r="CB1146" s="34"/>
      <c r="CC1146" s="34"/>
      <c r="CD1146" s="34"/>
      <c r="CE1146" s="34"/>
      <c r="CF1146" s="34"/>
      <c r="CG1146" s="34"/>
      <c r="CH1146" s="34"/>
      <c r="CI1146" s="8"/>
    </row>
    <row r="1147" spans="1:87" x14ac:dyDescent="0.2">
      <c r="A1147" s="11" t="s">
        <v>17</v>
      </c>
      <c r="B1147" s="11"/>
      <c r="C1147" s="27" t="s">
        <v>18</v>
      </c>
      <c r="D1147" s="27" t="s">
        <v>2</v>
      </c>
      <c r="E1147" s="27" t="s">
        <v>6</v>
      </c>
      <c r="F1147" s="27" t="s">
        <v>15</v>
      </c>
      <c r="G1147" s="27" t="s">
        <v>36</v>
      </c>
      <c r="H1147" s="27" t="s">
        <v>37</v>
      </c>
      <c r="I1147" s="27" t="s">
        <v>38</v>
      </c>
      <c r="J1147" s="27" t="s">
        <v>39</v>
      </c>
      <c r="K1147" s="27" t="s">
        <v>40</v>
      </c>
      <c r="L1147" s="27" t="s">
        <v>41</v>
      </c>
      <c r="M1147" s="27" t="s">
        <v>42</v>
      </c>
      <c r="N1147" s="27" t="s">
        <v>43</v>
      </c>
      <c r="O1147" s="27" t="s">
        <v>9</v>
      </c>
      <c r="P1147" s="27" t="s">
        <v>12</v>
      </c>
      <c r="Q1147" s="27" t="s">
        <v>19</v>
      </c>
      <c r="R1147" s="27" t="s">
        <v>55</v>
      </c>
      <c r="S1147" s="27" t="s">
        <v>26</v>
      </c>
      <c r="T1147" s="19" t="s">
        <v>25</v>
      </c>
      <c r="U1147" s="33" t="s">
        <v>27</v>
      </c>
      <c r="V1147" s="33" t="s">
        <v>9</v>
      </c>
      <c r="W1147" s="33" t="s">
        <v>23</v>
      </c>
      <c r="X1147" s="33" t="s">
        <v>12</v>
      </c>
      <c r="Y1147" s="33" t="s">
        <v>26</v>
      </c>
      <c r="Z1147" s="33" t="s">
        <v>25</v>
      </c>
      <c r="AA1147" s="33" t="s">
        <v>27</v>
      </c>
      <c r="AB1147" s="33" t="s">
        <v>9</v>
      </c>
      <c r="AC1147" s="33" t="s">
        <v>23</v>
      </c>
      <c r="AD1147" s="33" t="s">
        <v>12</v>
      </c>
      <c r="AE1147" s="33" t="s">
        <v>26</v>
      </c>
      <c r="AF1147" s="33" t="s">
        <v>25</v>
      </c>
      <c r="AG1147" s="33" t="s">
        <v>27</v>
      </c>
      <c r="AH1147" s="33" t="s">
        <v>9</v>
      </c>
      <c r="AI1147" s="33" t="s">
        <v>23</v>
      </c>
      <c r="AJ1147" s="33" t="s">
        <v>12</v>
      </c>
      <c r="AK1147" s="33" t="s">
        <v>26</v>
      </c>
      <c r="AL1147" s="33" t="s">
        <v>25</v>
      </c>
      <c r="AM1147" s="33" t="s">
        <v>27</v>
      </c>
      <c r="AN1147" s="33" t="s">
        <v>9</v>
      </c>
      <c r="AO1147" s="33" t="s">
        <v>23</v>
      </c>
      <c r="AP1147" s="33" t="s">
        <v>12</v>
      </c>
      <c r="AQ1147" s="33" t="s">
        <v>26</v>
      </c>
      <c r="AR1147" s="33" t="s">
        <v>25</v>
      </c>
      <c r="AS1147" s="33" t="s">
        <v>27</v>
      </c>
      <c r="AT1147" s="33" t="s">
        <v>9</v>
      </c>
      <c r="AU1147" s="33" t="s">
        <v>23</v>
      </c>
      <c r="AV1147" s="33" t="s">
        <v>12</v>
      </c>
      <c r="AW1147" s="33" t="s">
        <v>26</v>
      </c>
      <c r="AX1147" s="33" t="s">
        <v>25</v>
      </c>
      <c r="AY1147" s="33" t="s">
        <v>27</v>
      </c>
      <c r="AZ1147" s="33" t="s">
        <v>9</v>
      </c>
      <c r="BA1147" s="33" t="s">
        <v>23</v>
      </c>
      <c r="BB1147" s="33" t="s">
        <v>12</v>
      </c>
      <c r="BC1147" s="33" t="s">
        <v>26</v>
      </c>
      <c r="BD1147" s="33" t="s">
        <v>25</v>
      </c>
      <c r="BE1147" s="33" t="s">
        <v>27</v>
      </c>
      <c r="BF1147" s="33" t="s">
        <v>9</v>
      </c>
      <c r="BG1147" s="33" t="s">
        <v>23</v>
      </c>
      <c r="BH1147" s="33" t="s">
        <v>12</v>
      </c>
      <c r="BI1147" s="33" t="s">
        <v>26</v>
      </c>
      <c r="BJ1147" s="33" t="s">
        <v>25</v>
      </c>
      <c r="BK1147" s="33" t="s">
        <v>27</v>
      </c>
      <c r="BL1147" s="33" t="s">
        <v>9</v>
      </c>
      <c r="BM1147" s="33" t="s">
        <v>23</v>
      </c>
      <c r="BN1147" s="33" t="s">
        <v>12</v>
      </c>
      <c r="BO1147" s="33" t="s">
        <v>26</v>
      </c>
      <c r="BP1147" s="33" t="s">
        <v>25</v>
      </c>
      <c r="BQ1147" s="33" t="s">
        <v>27</v>
      </c>
      <c r="BR1147" s="33" t="s">
        <v>9</v>
      </c>
      <c r="BS1147" s="33" t="s">
        <v>23</v>
      </c>
      <c r="BT1147" s="33" t="s">
        <v>12</v>
      </c>
      <c r="BU1147" s="33" t="s">
        <v>26</v>
      </c>
      <c r="BV1147" s="33" t="s">
        <v>25</v>
      </c>
      <c r="BW1147" s="33" t="s">
        <v>27</v>
      </c>
      <c r="BX1147" s="33" t="s">
        <v>9</v>
      </c>
      <c r="BY1147" s="33" t="s">
        <v>23</v>
      </c>
      <c r="BZ1147" s="33" t="s">
        <v>12</v>
      </c>
      <c r="CA1147" s="33" t="s">
        <v>26</v>
      </c>
      <c r="CB1147" s="33" t="s">
        <v>25</v>
      </c>
      <c r="CC1147" s="33" t="s">
        <v>27</v>
      </c>
      <c r="CD1147" s="33" t="s">
        <v>9</v>
      </c>
      <c r="CE1147" s="33" t="s">
        <v>23</v>
      </c>
      <c r="CF1147" s="33" t="s">
        <v>12</v>
      </c>
      <c r="CG1147" s="33" t="s">
        <v>26</v>
      </c>
      <c r="CH1147" s="33" t="s">
        <v>25</v>
      </c>
      <c r="CI1147" s="8"/>
    </row>
    <row r="1148" spans="1:87" x14ac:dyDescent="0.2">
      <c r="A1148" s="8" t="str">
        <f>IF(AND(COUNTIF(W$3:W$13,A$15)&gt;0,A$15&lt;&gt;B1054),A$15,IFERROR(IF(MATCH(A$15,Z$3:Z$13,0)=5,A$15," ")," "))</f>
        <v xml:space="preserve"> </v>
      </c>
      <c r="B1148" s="8" t="str">
        <f>IF(A1148=" "," ",1)</f>
        <v xml:space="preserve"> </v>
      </c>
      <c r="C1148" s="8" t="str">
        <f>IFERROR(INDEX(A1148:A1169,MATCH(SMALL(B1148:B1169,1),B1148:B1169,0),1)," ")</f>
        <v>C3</v>
      </c>
      <c r="D1148" s="8">
        <f>IFERROR(VLOOKUP($C1148,$A$15:$O$36,2,FALSE)," ")</f>
        <v>2</v>
      </c>
      <c r="E1148" s="8">
        <f>IFERROR(VLOOKUP($C1148,$A$15:$O$36,3,FALSE)," ")</f>
        <v>5</v>
      </c>
      <c r="F1148" s="8">
        <f>IFERROR(VLOOKUP($C1148,$A$15:$O$36,4,FALSE)," ")</f>
        <v>6</v>
      </c>
      <c r="G1148" s="8">
        <f>IFERROR(VLOOKUP($C1148,$A$15:$O$36,5,FALSE)," ")</f>
        <v>0</v>
      </c>
      <c r="H1148" s="8">
        <f>IFERROR(VLOOKUP($C1148,$A$15:$O$36,6,FALSE)," ")</f>
        <v>0</v>
      </c>
      <c r="I1148" s="8">
        <f>IFERROR(VLOOKUP($C1148,$A$15:$O$36,7,FALSE)," ")</f>
        <v>0</v>
      </c>
      <c r="J1148" s="8">
        <f>IFERROR(VLOOKUP($C1148,$A$15:$O$36,8,FALSE)," ")</f>
        <v>0</v>
      </c>
      <c r="K1148" s="8">
        <f>IFERROR(VLOOKUP($C1148,$A$15:$O$36,9,FALSE)," ")</f>
        <v>0</v>
      </c>
      <c r="L1148" s="8">
        <f>IFERROR(VLOOKUP($C1148,$A$15:$O$36,10,FALSE)," ")</f>
        <v>0</v>
      </c>
      <c r="M1148" s="8">
        <f>IFERROR(VLOOKUP($C1148,$A$15:$O$36,11,FALSE)," ")</f>
        <v>0</v>
      </c>
      <c r="N1148" s="8">
        <f>IFERROR(VLOOKUP($C1148,$A$15:$O$36,12,FALSE)," ")</f>
        <v>0</v>
      </c>
      <c r="O1148" s="8">
        <f>IFERROR(VLOOKUP($C1148,$A$15:$O$36,15,FALSE)," ")</f>
        <v>2000</v>
      </c>
      <c r="P1148" s="8" t="e">
        <f t="array" ref="P1148:P1158">MMULT(MINVERSE(D1148:N1158),O1148:O1158)</f>
        <v>#NUM!</v>
      </c>
      <c r="Q1148" s="8" t="e">
        <f t="shared" ref="Q1148" si="4853">IF(COUNTIF(P1148:P1158,"&lt;"&amp;-0.001)=0,IF(ABS(P1148)&lt;0.001,0,P1148)," ")</f>
        <v>#NUM!</v>
      </c>
      <c r="R1148" s="8" t="str">
        <f>IFERROR(VLOOKUP(B1054,A$15:L$36,2,FALSE)*Q1148+VLOOKUP(B1054,A$15:L$36,3,FALSE)*Q1149+VLOOKUP(B1054,A$15:L$36,4,FALSE)*Q1150+VLOOKUP(B1054,A$15:L$36,5,FALSE)*Q1151+VLOOKUP(B1054,A$15:L$36,6,FALSE)*Q1152+VLOOKUP(B1054,A$15:L$36,7,FALSE)*Q1153+VLOOKUP(B1054,A$15:L$36,8,FALSE)*Q1154+VLOOKUP(B1054,A$15:L$36,9,FALSE)*Q1155+VLOOKUP(B1054,A$15:L$36,10,FALSE)*Q1156+VLOOKUP(B1054,A$15:L$36,11,FALSE)*Q1157+VLOOKUP(B1054,A$15:L$36,12,FALSE)*Q1158," ")</f>
        <v xml:space="preserve"> </v>
      </c>
      <c r="S1148" s="8" t="str">
        <f>IFERROR(IF(R1148-VLOOKUP(B1054,A$15:O$36,15,FALSE)&lt;0,R1148-VLOOKUP(B1054,A$15:O$36,15,FALSE)," ")," ")</f>
        <v xml:space="preserve"> </v>
      </c>
      <c r="T1148" s="18" t="str">
        <f>IFERROR(IF(R1148-VLOOKUP(B1054,A$15:O$36,15,FALSE)&gt;0,R1148-VLOOKUP(B1054,A$15:O$36,15,FALSE)," ")," ")</f>
        <v xml:space="preserve"> </v>
      </c>
      <c r="U1148" s="34">
        <f t="shared" ref="U1148" si="4854">$M$2</f>
        <v>100.00000000000001</v>
      </c>
      <c r="V1148" s="34">
        <v>-1</v>
      </c>
      <c r="W1148" s="34">
        <f t="shared" ref="W1148" si="4855">-SUMPRODUCT($M$3:$M$12,$N$3:$N$12)</f>
        <v>-105000</v>
      </c>
      <c r="X1148" s="34" t="e">
        <f t="shared" ref="X1148" si="4856">IF(U1148&lt;&gt;U1149,MMULT(MINVERSE(U1148:V1149),W1148:W1149)," ")</f>
        <v>#NUM!</v>
      </c>
      <c r="Y1148" s="34" t="str">
        <f t="shared" ref="Y1148" si="4857">IFERROR(IF(X1148-VLOOKUP(U$38,$A$2:$N$12,14,FALSE)&lt;0,X1148-VLOOKUP(U$38,$A$2:$N$12,14,FALSE)," ")," ")</f>
        <v xml:space="preserve"> </v>
      </c>
      <c r="Z1148" s="34" t="str">
        <f t="shared" ref="Z1148" si="4858">IFERROR(IF(X1148-VLOOKUP(U$38,$A$2:$N$12,14,FALSE)&gt;0,X1148-VLOOKUP(U$38,$A$2:$N$12,14,FALSE)," ")," ")</f>
        <v xml:space="preserve"> </v>
      </c>
      <c r="AA1148" s="34">
        <f t="shared" ref="AA1148" si="4859">$M$3</f>
        <v>0</v>
      </c>
      <c r="AB1148" s="34">
        <v>-1</v>
      </c>
      <c r="AC1148" s="34">
        <f t="shared" ref="AC1148" si="4860">-SUMPRODUCT($M$2:$M$2,$N$2:$N$2)-SUMPRODUCT($M$4:$M$12,$N$4:$N$12)</f>
        <v>-120000</v>
      </c>
      <c r="AD1148" s="34" t="e">
        <f t="shared" ref="AD1148" si="4861">IF(AA1148&lt;&gt;AA1149,MMULT(MINVERSE(AA1148:AB1149),AC1148:AC1149)," ")</f>
        <v>#NUM!</v>
      </c>
      <c r="AE1148" s="34" t="str">
        <f t="shared" ref="AE1148" si="4862">IFERROR(IF(AD1148-VLOOKUP(AA$38,$A$2:$N$12,14,FALSE)&lt;0,AD1148-VLOOKUP(AA$38,$A$2:$N$12,14,FALSE)," ")," ")</f>
        <v xml:space="preserve"> </v>
      </c>
      <c r="AF1148" s="34" t="str">
        <f t="shared" ref="AF1148" si="4863">IFERROR(IF(AD1148-VLOOKUP(AA$38,$A$2:$N$12,14,FALSE)&gt;0,AD1148-VLOOKUP(AA$38,$A$2:$N$12,14,FALSE)," ")," ")</f>
        <v xml:space="preserve"> </v>
      </c>
      <c r="AG1148" s="34">
        <f t="shared" ref="AG1148" si="4864">$M$4</f>
        <v>300</v>
      </c>
      <c r="AH1148" s="34">
        <v>-1</v>
      </c>
      <c r="AI1148" s="34">
        <f t="shared" ref="AI1148" si="4865">-SUMPRODUCT($M$2:$M$3,$N$2:$N$3)-SUMPRODUCT($M$5:$M$12,$N$5:$N$12)</f>
        <v>-15000.000000000002</v>
      </c>
      <c r="AJ1148" s="34" t="e">
        <f t="shared" ref="AJ1148" si="4866">IF(AG1148&lt;&gt;AG1149,MMULT(MINVERSE(AG1148:AH1149),AI1148:AI1149)," ")</f>
        <v>#NUM!</v>
      </c>
      <c r="AK1148" s="34" t="str">
        <f t="shared" ref="AK1148" si="4867">IFERROR(IF(AJ1148-VLOOKUP(AG$38,$A$2:$N$12,14,FALSE)&lt;0,AJ1148-VLOOKUP(AG$38,$A$2:$N$12,14,FALSE)," ")," ")</f>
        <v xml:space="preserve"> </v>
      </c>
      <c r="AL1148" s="34" t="str">
        <f t="shared" ref="AL1148" si="4868">IFERROR(IF(AJ1148-VLOOKUP(AG$38,$A$2:$N$12,14,FALSE)&gt;0,AJ1148-VLOOKUP(AG$38,$A$2:$N$12,14,FALSE)," ")," ")</f>
        <v xml:space="preserve"> </v>
      </c>
      <c r="AM1148" s="34">
        <f t="shared" ref="AM1148" si="4869">$M$5</f>
        <v>0</v>
      </c>
      <c r="AN1148" s="34">
        <v>-1</v>
      </c>
      <c r="AO1148" s="34">
        <f t="shared" ref="AO1148" si="4870">-SUMPRODUCT($M$2:$M$4,$N$2:$N$4)-SUMPRODUCT($M$6:$M$12,$N$6:$N$12)</f>
        <v>-120000</v>
      </c>
      <c r="AP1148" s="34" t="e">
        <f t="shared" ref="AP1148" si="4871">IF(AM1148&lt;&gt;AM1149,MMULT(MINVERSE(AM1148:AN1149),AO1148:AO1149)," ")</f>
        <v>#NUM!</v>
      </c>
      <c r="AQ1148" s="34" t="str">
        <f t="shared" ref="AQ1148" si="4872">IFERROR(IF(AP1148-VLOOKUP(AM$38,$A$2:$N$12,14,FALSE)&lt;0,AP1148-VLOOKUP(AM$38,$A$2:$N$12,14,FALSE)," ")," ")</f>
        <v xml:space="preserve"> </v>
      </c>
      <c r="AR1148" s="34" t="str">
        <f t="shared" ref="AR1148" si="4873">IFERROR(IF(AP1148-VLOOKUP(AM$38,$A$2:$N$12,14,FALSE)&gt;0,AP1148-VLOOKUP(AM$38,$A$2:$N$12,14,FALSE)," ")," ")</f>
        <v xml:space="preserve"> </v>
      </c>
      <c r="AS1148" s="34">
        <f t="shared" ref="AS1148" si="4874">$M$6</f>
        <v>0</v>
      </c>
      <c r="AT1148" s="34">
        <v>-1</v>
      </c>
      <c r="AU1148" s="34">
        <f t="shared" ref="AU1148" si="4875">-SUMPRODUCT($M$2:$M$5,$N$2:$N$5)-SUMPRODUCT($M$7:$M$12,$N$7:$N$12)</f>
        <v>-120000</v>
      </c>
      <c r="AV1148" s="34" t="e">
        <f t="shared" ref="AV1148" si="4876">IF(AS1148&lt;&gt;AS1149,MMULT(MINVERSE(AS1148:AT1149),AU1148:AU1149)," ")</f>
        <v>#NUM!</v>
      </c>
      <c r="AW1148" s="34" t="str">
        <f t="shared" ref="AW1148" si="4877">IFERROR(IF(AV1148-VLOOKUP(AS$38,$A$2:$N$12,14,FALSE)&lt;0,AV1148-VLOOKUP(AS$38,$A$2:$N$12,14,FALSE)," ")," ")</f>
        <v xml:space="preserve"> </v>
      </c>
      <c r="AX1148" s="34" t="str">
        <f t="shared" ref="AX1148" si="4878">IFERROR(IF(AV1148-VLOOKUP(AS$38,$A$2:$N$12,14,FALSE)&gt;0,AV1148-VLOOKUP(AS$38,$A$2:$N$12,14,FALSE)," ")," ")</f>
        <v xml:space="preserve"> </v>
      </c>
      <c r="AY1148" s="34">
        <f t="shared" ref="AY1148" si="4879">$M$7</f>
        <v>0</v>
      </c>
      <c r="AZ1148" s="34">
        <v>-1</v>
      </c>
      <c r="BA1148" s="34">
        <f t="shared" ref="BA1148" si="4880">-SUMPRODUCT($M$2:$M$6,$N$2:$N$6)-SUMPRODUCT($M$8:$M$12,$N$8:$N$12)</f>
        <v>-120000</v>
      </c>
      <c r="BB1148" s="34" t="e">
        <f t="shared" ref="BB1148" si="4881">IF(AY1148&lt;&gt;AY1149,MMULT(MINVERSE(AY1148:AZ1149),BA1148:BA1149)," ")</f>
        <v>#NUM!</v>
      </c>
      <c r="BC1148" s="34" t="str">
        <f t="shared" ref="BC1148" si="4882">IFERROR(IF(BB1148-VLOOKUP(AY$38,$A$2:$N$12,14,FALSE)&lt;0,BB1148-VLOOKUP(AY$38,$A$2:$N$12,14,FALSE)," ")," ")</f>
        <v xml:space="preserve"> </v>
      </c>
      <c r="BD1148" s="34" t="str">
        <f t="shared" ref="BD1148" si="4883">IFERROR(IF(BB1148-VLOOKUP(AY$38,$A$2:$N$12,14,FALSE)&gt;0,BB1148-VLOOKUP(AY$38,$A$2:$N$12,14,FALSE)," ")," ")</f>
        <v xml:space="preserve"> </v>
      </c>
      <c r="BE1148" s="34">
        <f t="shared" ref="BE1148" si="4884">$M$8</f>
        <v>0</v>
      </c>
      <c r="BF1148" s="34">
        <v>-1</v>
      </c>
      <c r="BG1148" s="34">
        <f t="shared" ref="BG1148" si="4885">-SUMPRODUCT($M$2:$M$7,$N$2:$N$7)-SUMPRODUCT($M$9:$M$12,$N$9:$N$12)</f>
        <v>-120000</v>
      </c>
      <c r="BH1148" s="34" t="e">
        <f t="shared" ref="BH1148" si="4886">IF(BE1148&lt;&gt;BE1149,MMULT(MINVERSE(BE1148:BF1149),BG1148:BG1149)," ")</f>
        <v>#NUM!</v>
      </c>
      <c r="BI1148" s="34" t="str">
        <f t="shared" ref="BI1148" si="4887">IFERROR(IF(BH1148-VLOOKUP(BE$38,$A$2:$N$12,14,FALSE)&lt;0,BH1148-VLOOKUP(BE$38,$A$2:$N$12,14,FALSE)," ")," ")</f>
        <v xml:space="preserve"> </v>
      </c>
      <c r="BJ1148" s="34" t="str">
        <f t="shared" ref="BJ1148" si="4888">IFERROR(IF(BH1148-VLOOKUP(BE$38,$A$2:$N$12,14,FALSE)&gt;0,BH1148-VLOOKUP(BE$38,$A$2:$N$12,14,FALSE)," ")," ")</f>
        <v xml:space="preserve"> </v>
      </c>
      <c r="BK1148" s="34">
        <f t="shared" ref="BK1148" si="4889">$M$9</f>
        <v>0</v>
      </c>
      <c r="BL1148" s="34">
        <v>-1</v>
      </c>
      <c r="BM1148" s="34">
        <f t="shared" ref="BM1148" si="4890">-SUMPRODUCT($M$2:$M$8,$N$2:$N$8)-SUMPRODUCT($M$10:$M$12,$N$10:$N$12)</f>
        <v>-120000</v>
      </c>
      <c r="BN1148" s="34" t="e">
        <f t="shared" ref="BN1148" si="4891">IF(BK1148&lt;&gt;BK1149,MMULT(MINVERSE(BK1148:BL1149),BM1148:BM1149)," ")</f>
        <v>#NUM!</v>
      </c>
      <c r="BO1148" s="34" t="str">
        <f t="shared" ref="BO1148" si="4892">IFERROR(IF(BN1148-VLOOKUP(BK$38,$A$2:$N$12,14,FALSE)&lt;0,BN1148-VLOOKUP(BK$38,$A$2:$N$12,14,FALSE)," ")," ")</f>
        <v xml:space="preserve"> </v>
      </c>
      <c r="BP1148" s="34" t="str">
        <f t="shared" ref="BP1148" si="4893">IFERROR(IF(BN1148-VLOOKUP(BK$38,$A$2:$N$12,14,FALSE)&gt;0,BN1148-VLOOKUP(BK$38,$A$2:$N$12,14,FALSE)," ")," ")</f>
        <v xml:space="preserve"> </v>
      </c>
      <c r="BQ1148" s="34">
        <f t="shared" ref="BQ1148" si="4894">$M$10</f>
        <v>0</v>
      </c>
      <c r="BR1148" s="34">
        <v>-1</v>
      </c>
      <c r="BS1148" s="34">
        <f t="shared" ref="BS1148" si="4895">-SUMPRODUCT($M$2:$M$9,$N$2:$N$9)-SUMPRODUCT($M$11:$M$12,$N$11:$N$12)</f>
        <v>-120000</v>
      </c>
      <c r="BT1148" s="34" t="e">
        <f t="shared" ref="BT1148" si="4896">IF(BQ1148&lt;&gt;BQ1149,MMULT(MINVERSE(BQ1148:BR1149),BS1148:BS1149)," ")</f>
        <v>#NUM!</v>
      </c>
      <c r="BU1148" s="34" t="str">
        <f t="shared" ref="BU1148" si="4897">IFERROR(IF(BT1148-VLOOKUP(BQ$38,$A$2:$N$12,14,FALSE)&lt;0,BT1148-VLOOKUP(BQ$38,$A$2:$N$12,14,FALSE)," ")," ")</f>
        <v xml:space="preserve"> </v>
      </c>
      <c r="BV1148" s="34" t="str">
        <f t="shared" ref="BV1148" si="4898">IFERROR(IF(BT1148-VLOOKUP(BQ$38,$A$2:$N$12,14,FALSE)&gt;0,BT1148-VLOOKUP(BQ$38,$A$2:$N$12,14,FALSE)," ")," ")</f>
        <v xml:space="preserve"> </v>
      </c>
      <c r="BW1148" s="34">
        <f t="shared" ref="BW1148" si="4899">$M$11</f>
        <v>0</v>
      </c>
      <c r="BX1148" s="34">
        <v>-1</v>
      </c>
      <c r="BY1148" s="34">
        <f t="shared" ref="BY1148" si="4900">-SUMPRODUCT($M$2:$M$10,$N$2:$N$10)-SUMPRODUCT($M$12,$N$12)</f>
        <v>-120000</v>
      </c>
      <c r="BZ1148" s="34" t="e">
        <f t="shared" ref="BZ1148" si="4901">IF(BW1148&lt;&gt;BW1149,MMULT(MINVERSE(BW1148:BX1149),BY1148:BY1149)," ")</f>
        <v>#NUM!</v>
      </c>
      <c r="CA1148" s="34" t="str">
        <f t="shared" ref="CA1148" si="4902">IFERROR(IF(BZ1148-VLOOKUP(BW$38,$A$2:$N$12,14,FALSE)&lt;0,BZ1148-VLOOKUP(BW$38,$A$2:$N$12,14,FALSE)," ")," ")</f>
        <v xml:space="preserve"> </v>
      </c>
      <c r="CB1148" s="34" t="str">
        <f t="shared" ref="CB1148" si="4903">IFERROR(IF(BZ1148-VLOOKUP(BW$38,$A$2:$N$12,14,FALSE)&gt;0,BZ1148-VLOOKUP(BW$38,$A$2:$N$12,14,FALSE)," ")," ")</f>
        <v xml:space="preserve"> </v>
      </c>
      <c r="CC1148" s="34">
        <f t="shared" ref="CC1148" si="4904">$M$12</f>
        <v>0</v>
      </c>
      <c r="CD1148" s="34">
        <v>-1</v>
      </c>
      <c r="CE1148" s="34">
        <f t="shared" ref="CE1148" si="4905">-SUMPRODUCT($M$2:$M$11,$N$2:$N$11)</f>
        <v>-120000</v>
      </c>
      <c r="CF1148" s="34" t="e">
        <f t="shared" ref="CF1148" si="4906">IF(CC1148&lt;&gt;CC1149,MMULT(MINVERSE(CC1148:CD1149),CE1148:CE1149)," ")</f>
        <v>#NUM!</v>
      </c>
      <c r="CG1148" s="34" t="str">
        <f t="shared" ref="CG1148" si="4907">IFERROR(IF(CF1148-VLOOKUP(CC$38,$A$2:$N$12,14,FALSE)&lt;0,CF1148-VLOOKUP(CC$38,$A$2:$N$12,14,FALSE)," ")," ")</f>
        <v xml:space="preserve"> </v>
      </c>
      <c r="CH1148" s="34" t="str">
        <f t="shared" ref="CH1148" si="4908">IFERROR(IF(CF1148-VLOOKUP(CC$38,$A$2:$N$12,14,FALSE)&gt;0,CF1148-VLOOKUP(CC$38,$A$2:$N$12,14,FALSE)," ")," ")</f>
        <v xml:space="preserve"> </v>
      </c>
      <c r="CI1148" s="8"/>
    </row>
    <row r="1149" spans="1:87" x14ac:dyDescent="0.2">
      <c r="A1149" s="8" t="str">
        <f>IF(AND(COUNTIF(W$3:W$13,A$16)&gt;0,A$16&lt;&gt;B1054),A$16,IFERROR(IF(MATCH(A$16,Z$3:Z$13,0)=5,A$16," ")," "))</f>
        <v xml:space="preserve"> </v>
      </c>
      <c r="B1149" s="8" t="str">
        <f>IF(A1149=" "," ",MAX(B1148:B1148)+1)</f>
        <v xml:space="preserve"> </v>
      </c>
      <c r="C1149" s="8" t="str">
        <f>IFERROR(INDEX(A1148:A1169,MATCH(SMALL(B1148:B1169,2),B1148:B1169,0),1)," ")</f>
        <v>C4</v>
      </c>
      <c r="D1149" s="8">
        <f t="shared" ref="D1149:D1158" si="4909">IFERROR(VLOOKUP($C1149,$A$15:$O$36,2,FALSE)," ")</f>
        <v>1</v>
      </c>
      <c r="E1149" s="8">
        <f t="shared" ref="E1149:E1158" si="4910">IFERROR(VLOOKUP($C1149,$A$15:$O$36,3,FALSE)," ")</f>
        <v>0</v>
      </c>
      <c r="F1149" s="8">
        <f t="shared" ref="F1149:F1158" si="4911">IFERROR(VLOOKUP($C1149,$A$15:$O$36,4,FALSE)," ")</f>
        <v>1</v>
      </c>
      <c r="G1149" s="8">
        <f t="shared" ref="G1149:G1158" si="4912">IFERROR(VLOOKUP($C1149,$A$15:$O$36,5,FALSE)," ")</f>
        <v>0</v>
      </c>
      <c r="H1149" s="8">
        <f t="shared" ref="H1149:H1158" si="4913">IFERROR(VLOOKUP($C1149,$A$15:$O$36,6,FALSE)," ")</f>
        <v>0</v>
      </c>
      <c r="I1149" s="8">
        <f t="shared" ref="I1149:I1158" si="4914">IFERROR(VLOOKUP($C1149,$A$15:$O$36,7,FALSE)," ")</f>
        <v>0</v>
      </c>
      <c r="J1149" s="8">
        <f t="shared" ref="J1149:J1158" si="4915">IFERROR(VLOOKUP($C1149,$A$15:$O$36,8,FALSE)," ")</f>
        <v>0</v>
      </c>
      <c r="K1149" s="8">
        <f t="shared" ref="K1149:K1158" si="4916">IFERROR(VLOOKUP($C1149,$A$15:$O$36,9,FALSE)," ")</f>
        <v>0</v>
      </c>
      <c r="L1149" s="8">
        <f t="shared" ref="L1149:L1158" si="4917">IFERROR(VLOOKUP($C1149,$A$15:$O$36,10,FALSE)," ")</f>
        <v>0</v>
      </c>
      <c r="M1149" s="8">
        <f t="shared" ref="M1149:M1158" si="4918">IFERROR(VLOOKUP($C1149,$A$15:$O$36,11,FALSE)," ")</f>
        <v>0</v>
      </c>
      <c r="N1149" s="8">
        <f t="shared" ref="N1149:N1158" si="4919">IFERROR(VLOOKUP($C1149,$A$15:$O$36,12,FALSE)," ")</f>
        <v>0</v>
      </c>
      <c r="O1149" s="8">
        <f t="shared" ref="O1149:O1158" si="4920">IFERROR(VLOOKUP($C1149,$A$15:$O$36,15,FALSE)," ")</f>
        <v>400</v>
      </c>
      <c r="P1149" s="8" t="e">
        <v>#NUM!</v>
      </c>
      <c r="Q1149" s="8" t="e">
        <f t="shared" ref="Q1149" si="4921">IF(COUNTIF(P1148:P1158,"&lt;"&amp;-0.001)=0,IF(ABS(P1149)&lt;0.001,0,P1149)," ")</f>
        <v>#NUM!</v>
      </c>
      <c r="R1149" s="8"/>
      <c r="S1149" s="8"/>
      <c r="U1149" s="34" t="e">
        <f t="shared" ref="U1149" si="4922">$Q1148</f>
        <v>#NUM!</v>
      </c>
      <c r="V1149" s="34">
        <v>-1</v>
      </c>
      <c r="W1149" s="34" t="e">
        <f t="shared" ref="W1149" si="4923">-SUMPRODUCT($Q1149:$Q1158,$N$3:$N$12)</f>
        <v>#NUM!</v>
      </c>
      <c r="X1149" s="34"/>
      <c r="Y1149" s="34"/>
      <c r="Z1149" s="34"/>
      <c r="AA1149" s="34" t="e">
        <f t="shared" ref="AA1149" si="4924">$Q1149</f>
        <v>#NUM!</v>
      </c>
      <c r="AB1149" s="34">
        <v>-1</v>
      </c>
      <c r="AC1149" s="34" t="e">
        <f t="shared" ref="AC1149" si="4925">-SUMPRODUCT($Q1148:$Q1148,$N$2:$N$2)-SUMPRODUCT($Q1150:$Q1158,$N$4:$N$12)</f>
        <v>#NUM!</v>
      </c>
      <c r="AD1149" s="34"/>
      <c r="AE1149" s="34"/>
      <c r="AF1149" s="34"/>
      <c r="AG1149" s="34" t="e">
        <f t="shared" ref="AG1149" si="4926">$Q1150</f>
        <v>#NUM!</v>
      </c>
      <c r="AH1149" s="34">
        <v>-1</v>
      </c>
      <c r="AI1149" s="34" t="e">
        <f t="shared" ref="AI1149" si="4927">-SUMPRODUCT($Q1148:$Q1149,$N$2:$N$3)-SUMPRODUCT($Q1151:$Q1158,$N$5:$N$12)</f>
        <v>#NUM!</v>
      </c>
      <c r="AJ1149" s="34"/>
      <c r="AK1149" s="34"/>
      <c r="AL1149" s="34"/>
      <c r="AM1149" s="34" t="e">
        <f t="shared" ref="AM1149" si="4928">$Q1151</f>
        <v>#NUM!</v>
      </c>
      <c r="AN1149" s="34">
        <v>-1</v>
      </c>
      <c r="AO1149" s="34" t="e">
        <f t="shared" ref="AO1149" si="4929">-SUMPRODUCT($Q1148:$Q1150,$N$2:$N$4)-SUMPRODUCT($Q1152:$Q1158,$N$6:$N$12)</f>
        <v>#NUM!</v>
      </c>
      <c r="AP1149" s="34"/>
      <c r="AQ1149" s="34"/>
      <c r="AR1149" s="34"/>
      <c r="AS1149" s="34" t="e">
        <f t="shared" ref="AS1149" si="4930">$Q1152</f>
        <v>#NUM!</v>
      </c>
      <c r="AT1149" s="34">
        <v>-1</v>
      </c>
      <c r="AU1149" s="34" t="e">
        <f t="shared" ref="AU1149" si="4931">-SUMPRODUCT($Q1148:$Q1151,$N$2:$N$5)-SUMPRODUCT($Q1153:$Q1158,$N$7:$N$12)</f>
        <v>#NUM!</v>
      </c>
      <c r="AV1149" s="34"/>
      <c r="AW1149" s="34"/>
      <c r="AX1149" s="34"/>
      <c r="AY1149" s="34" t="e">
        <f t="shared" ref="AY1149" si="4932">$Q1153</f>
        <v>#NUM!</v>
      </c>
      <c r="AZ1149" s="34">
        <v>-1</v>
      </c>
      <c r="BA1149" s="34" t="e">
        <f t="shared" ref="BA1149" si="4933">-SUMPRODUCT($Q1148:$Q1152,$N$2:$N$6)-SUMPRODUCT($Q1154:$Q1158,$N$8:$N$12)</f>
        <v>#NUM!</v>
      </c>
      <c r="BB1149" s="34"/>
      <c r="BC1149" s="34"/>
      <c r="BD1149" s="34"/>
      <c r="BE1149" s="34" t="e">
        <f t="shared" ref="BE1149" si="4934">$Q1154</f>
        <v>#NUM!</v>
      </c>
      <c r="BF1149" s="34">
        <v>-1</v>
      </c>
      <c r="BG1149" s="34" t="e">
        <f t="shared" ref="BG1149" si="4935">-SUMPRODUCT($Q1148:$Q1153,$N$2:$N$7)-SUMPRODUCT($Q1155:$Q1158,$N$9:$N$12)</f>
        <v>#NUM!</v>
      </c>
      <c r="BH1149" s="34"/>
      <c r="BI1149" s="34"/>
      <c r="BJ1149" s="34"/>
      <c r="BK1149" s="34" t="e">
        <f t="shared" ref="BK1149" si="4936">$Q1155</f>
        <v>#NUM!</v>
      </c>
      <c r="BL1149" s="34">
        <v>-1</v>
      </c>
      <c r="BM1149" s="34" t="e">
        <f t="shared" ref="BM1149" si="4937">-SUMPRODUCT($Q1148:$Q1154,$N$2:$N$8)-SUMPRODUCT($Q1156:$Q1158,$N$10:$N$12)</f>
        <v>#NUM!</v>
      </c>
      <c r="BN1149" s="34"/>
      <c r="BO1149" s="34"/>
      <c r="BP1149" s="34"/>
      <c r="BQ1149" s="34" t="e">
        <f t="shared" ref="BQ1149" si="4938">$Q1156</f>
        <v>#NUM!</v>
      </c>
      <c r="BR1149" s="34">
        <v>-1</v>
      </c>
      <c r="BS1149" s="34" t="e">
        <f t="shared" ref="BS1149" si="4939">-SUMPRODUCT($Q1148:$Q1155,$N$2:$N$9)-SUMPRODUCT($Q1157:$Q1158,$N$11:$N$12)</f>
        <v>#NUM!</v>
      </c>
      <c r="BT1149" s="34"/>
      <c r="BU1149" s="34"/>
      <c r="BV1149" s="34"/>
      <c r="BW1149" s="34" t="e">
        <f t="shared" ref="BW1149" si="4940">$Q1157</f>
        <v>#NUM!</v>
      </c>
      <c r="BX1149" s="34">
        <v>-1</v>
      </c>
      <c r="BY1149" s="34" t="e">
        <f t="shared" ref="BY1149" si="4941">-SUMPRODUCT($Q1148:$Q1156,$N$2:$N$10)-SUMPRODUCT($Q1158,$N$12)</f>
        <v>#NUM!</v>
      </c>
      <c r="BZ1149" s="34"/>
      <c r="CA1149" s="34"/>
      <c r="CB1149" s="34"/>
      <c r="CC1149" s="34" t="e">
        <f t="shared" ref="CC1149" si="4942">$Q1158</f>
        <v>#NUM!</v>
      </c>
      <c r="CD1149" s="34">
        <v>-1</v>
      </c>
      <c r="CE1149" s="34" t="e">
        <f t="shared" ref="CE1149" si="4943">-SUMPRODUCT($Q1148:$Q1157,$N$2:$N$11)</f>
        <v>#NUM!</v>
      </c>
      <c r="CF1149" s="34"/>
      <c r="CG1149" s="34"/>
      <c r="CH1149" s="34"/>
      <c r="CI1149" s="8"/>
    </row>
    <row r="1150" spans="1:87" x14ac:dyDescent="0.2">
      <c r="A1150" s="8" t="str">
        <f>IF(AND(COUNTIF(W$3:W$13,A$17)&gt;0,A$17&lt;&gt;B1054),A$17,IFERROR(IF(MATCH(A$17,Z$3:Z$13,0)=5,A$17," ")," "))</f>
        <v>C3</v>
      </c>
      <c r="B1150" s="8">
        <f>IF(A1150=" "," ",MAX(B1148:B1149)+1)</f>
        <v>1</v>
      </c>
      <c r="C1150" s="8" t="str">
        <f>IFERROR(INDEX(A1148:A1169,MATCH(SMALL(B1148:B1169,3),B1148:B1169,0),1)," ")</f>
        <v>C7</v>
      </c>
      <c r="D1150" s="8">
        <f t="shared" si="4909"/>
        <v>0</v>
      </c>
      <c r="E1150" s="8">
        <f t="shared" si="4910"/>
        <v>0</v>
      </c>
      <c r="F1150" s="8">
        <f t="shared" si="4911"/>
        <v>0</v>
      </c>
      <c r="G1150" s="8">
        <f t="shared" si="4912"/>
        <v>0</v>
      </c>
      <c r="H1150" s="8">
        <f t="shared" si="4913"/>
        <v>0</v>
      </c>
      <c r="I1150" s="8">
        <f t="shared" si="4914"/>
        <v>0</v>
      </c>
      <c r="J1150" s="8">
        <f t="shared" si="4915"/>
        <v>0</v>
      </c>
      <c r="K1150" s="8">
        <f t="shared" si="4916"/>
        <v>0</v>
      </c>
      <c r="L1150" s="8">
        <f t="shared" si="4917"/>
        <v>0</v>
      </c>
      <c r="M1150" s="8">
        <f t="shared" si="4918"/>
        <v>0</v>
      </c>
      <c r="N1150" s="8">
        <f t="shared" si="4919"/>
        <v>0</v>
      </c>
      <c r="O1150" s="8">
        <f t="shared" si="4920"/>
        <v>0</v>
      </c>
      <c r="P1150" s="8" t="e">
        <v>#NUM!</v>
      </c>
      <c r="Q1150" s="8" t="e">
        <f t="shared" ref="Q1150" si="4944">IF(COUNTIF(P1148:P1158,"&lt;"&amp;-0.001)=0,IF(ABS(P1150)&lt;0.001,0,P1150)," ")</f>
        <v>#NUM!</v>
      </c>
      <c r="R1150" s="8"/>
      <c r="S1150" s="8"/>
      <c r="U1150" s="34"/>
      <c r="V1150" s="34"/>
      <c r="W1150" s="34"/>
      <c r="X1150" s="34"/>
      <c r="Y1150" s="34"/>
      <c r="Z1150" s="34"/>
      <c r="AA1150" s="34"/>
      <c r="AB1150" s="34"/>
      <c r="AC1150" s="34"/>
      <c r="AD1150" s="34"/>
      <c r="AE1150" s="34"/>
      <c r="AF1150" s="34"/>
      <c r="AG1150" s="34"/>
      <c r="AH1150" s="34"/>
      <c r="AI1150" s="34"/>
      <c r="AJ1150" s="34"/>
      <c r="AK1150" s="34"/>
      <c r="AL1150" s="34"/>
      <c r="AM1150" s="34"/>
      <c r="AN1150" s="34"/>
      <c r="AO1150" s="34"/>
      <c r="AP1150" s="34"/>
      <c r="AQ1150" s="34"/>
      <c r="AR1150" s="34"/>
      <c r="AS1150" s="34"/>
      <c r="AT1150" s="34"/>
      <c r="AU1150" s="34"/>
      <c r="AV1150" s="34"/>
      <c r="AW1150" s="34"/>
      <c r="AX1150" s="34"/>
      <c r="AY1150" s="34"/>
      <c r="AZ1150" s="34"/>
      <c r="BA1150" s="34"/>
      <c r="BB1150" s="34"/>
      <c r="BC1150" s="34"/>
      <c r="BD1150" s="34"/>
      <c r="BE1150" s="34"/>
      <c r="BF1150" s="34"/>
      <c r="BG1150" s="34"/>
      <c r="BH1150" s="34"/>
      <c r="BI1150" s="34"/>
      <c r="BJ1150" s="34"/>
      <c r="BK1150" s="34"/>
      <c r="BL1150" s="34"/>
      <c r="BM1150" s="34"/>
      <c r="BN1150" s="34"/>
      <c r="BO1150" s="34"/>
      <c r="BP1150" s="34"/>
      <c r="BQ1150" s="34"/>
      <c r="BR1150" s="34"/>
      <c r="BS1150" s="34"/>
      <c r="BT1150" s="34"/>
      <c r="BU1150" s="34"/>
      <c r="BV1150" s="34"/>
      <c r="BW1150" s="34"/>
      <c r="BX1150" s="34"/>
      <c r="BY1150" s="34"/>
      <c r="BZ1150" s="34"/>
      <c r="CA1150" s="34"/>
      <c r="CB1150" s="34"/>
      <c r="CC1150" s="34"/>
      <c r="CD1150" s="34"/>
      <c r="CE1150" s="34"/>
      <c r="CF1150" s="34"/>
      <c r="CG1150" s="34"/>
      <c r="CH1150" s="34"/>
      <c r="CI1150" s="8"/>
    </row>
    <row r="1151" spans="1:87" x14ac:dyDescent="0.2">
      <c r="A1151" s="8" t="str">
        <f>IF(AND(COUNTIF(W$3:W$13,A$18)&gt;0,A$18&lt;&gt;B1054),A$18,IFERROR(IF(MATCH(A$18,Z$3:Z$13,0)=5,A$18," ")," "))</f>
        <v>C4</v>
      </c>
      <c r="B1151" s="8">
        <f>IF(A1151=" "," ",MAX(B1148:B1150)+1)</f>
        <v>2</v>
      </c>
      <c r="C1151" s="8" t="str">
        <f>IFERROR(INDEX(A1148:A1169,MATCH(SMALL(B1148:B1169,4),B1148:B1169,0),1)," ")</f>
        <v>C13</v>
      </c>
      <c r="D1151" s="8">
        <f t="shared" si="4909"/>
        <v>0</v>
      </c>
      <c r="E1151" s="8">
        <f t="shared" si="4910"/>
        <v>1</v>
      </c>
      <c r="F1151" s="8">
        <f t="shared" si="4911"/>
        <v>0</v>
      </c>
      <c r="G1151" s="8">
        <f t="shared" si="4912"/>
        <v>0</v>
      </c>
      <c r="H1151" s="8">
        <f t="shared" si="4913"/>
        <v>0</v>
      </c>
      <c r="I1151" s="8">
        <f t="shared" si="4914"/>
        <v>0</v>
      </c>
      <c r="J1151" s="8">
        <f t="shared" si="4915"/>
        <v>0</v>
      </c>
      <c r="K1151" s="8">
        <f t="shared" si="4916"/>
        <v>0</v>
      </c>
      <c r="L1151" s="8">
        <f t="shared" si="4917"/>
        <v>0</v>
      </c>
      <c r="M1151" s="8">
        <f t="shared" si="4918"/>
        <v>0</v>
      </c>
      <c r="N1151" s="8">
        <f t="shared" si="4919"/>
        <v>0</v>
      </c>
      <c r="O1151" s="8">
        <f t="shared" si="4920"/>
        <v>0</v>
      </c>
      <c r="P1151" s="8" t="e">
        <v>#NUM!</v>
      </c>
      <c r="Q1151" s="8" t="e">
        <f t="shared" ref="Q1151" si="4945">IF(COUNTIF(P1148:P1158,"&lt;"&amp;-0.001)=0,IF(ABS(P1151)&lt;0.001,0,P1151)," ")</f>
        <v>#NUM!</v>
      </c>
      <c r="R1151" s="8"/>
      <c r="S1151" s="8"/>
      <c r="U1151" s="34"/>
      <c r="V1151" s="34"/>
      <c r="W1151" s="34"/>
      <c r="X1151" s="34"/>
      <c r="Y1151" s="34"/>
      <c r="Z1151" s="34"/>
      <c r="AA1151" s="34"/>
      <c r="AB1151" s="34"/>
      <c r="AC1151" s="34"/>
      <c r="AD1151" s="34"/>
      <c r="AE1151" s="34"/>
      <c r="AF1151" s="34"/>
      <c r="AG1151" s="34"/>
      <c r="AH1151" s="34"/>
      <c r="AI1151" s="34"/>
      <c r="AJ1151" s="34"/>
      <c r="AK1151" s="34"/>
      <c r="AL1151" s="34"/>
      <c r="AM1151" s="34"/>
      <c r="AN1151" s="34"/>
      <c r="AO1151" s="34"/>
      <c r="AP1151" s="34"/>
      <c r="AQ1151" s="34"/>
      <c r="AR1151" s="34"/>
      <c r="AS1151" s="34"/>
      <c r="AT1151" s="34"/>
      <c r="AU1151" s="34"/>
      <c r="AV1151" s="34"/>
      <c r="AW1151" s="34"/>
      <c r="AX1151" s="34"/>
      <c r="AY1151" s="34"/>
      <c r="AZ1151" s="34"/>
      <c r="BA1151" s="34"/>
      <c r="BB1151" s="34"/>
      <c r="BC1151" s="34"/>
      <c r="BD1151" s="34"/>
      <c r="BE1151" s="34"/>
      <c r="BF1151" s="34"/>
      <c r="BG1151" s="34"/>
      <c r="BH1151" s="34"/>
      <c r="BI1151" s="34"/>
      <c r="BJ1151" s="34"/>
      <c r="BK1151" s="34"/>
      <c r="BL1151" s="34"/>
      <c r="BM1151" s="34"/>
      <c r="BN1151" s="34"/>
      <c r="BO1151" s="34"/>
      <c r="BP1151" s="34"/>
      <c r="BQ1151" s="34"/>
      <c r="BR1151" s="34"/>
      <c r="BS1151" s="34"/>
      <c r="BT1151" s="34"/>
      <c r="BU1151" s="34"/>
      <c r="BV1151" s="34"/>
      <c r="BW1151" s="34"/>
      <c r="BX1151" s="34"/>
      <c r="BY1151" s="34"/>
      <c r="BZ1151" s="34"/>
      <c r="CA1151" s="34"/>
      <c r="CB1151" s="34"/>
      <c r="CC1151" s="34"/>
      <c r="CD1151" s="34"/>
      <c r="CE1151" s="34"/>
      <c r="CF1151" s="34"/>
      <c r="CG1151" s="34"/>
      <c r="CH1151" s="34"/>
      <c r="CI1151" s="8"/>
    </row>
    <row r="1152" spans="1:87" x14ac:dyDescent="0.2">
      <c r="A1152" s="8" t="str">
        <f>IF(AND(COUNTIF(W$3:W$13,A$19)&gt;0,A$19&lt;&gt;B1054),A$19,IFERROR(IF(MATCH(A$19,Z$3:Z$13,0)=5,A$19," ")," "))</f>
        <v xml:space="preserve"> </v>
      </c>
      <c r="B1152" s="8" t="str">
        <f>IF(A1152=" "," ",MAX(B1148:B1151)+1)</f>
        <v xml:space="preserve"> </v>
      </c>
      <c r="C1152" s="8" t="str">
        <f>IFERROR(INDEX(A1148:A1169,MATCH(SMALL(B1148:B1169,5),B1148:B1169,0),1)," ")</f>
        <v>C15</v>
      </c>
      <c r="D1152" s="8">
        <f t="shared" si="4909"/>
        <v>0</v>
      </c>
      <c r="E1152" s="8">
        <f t="shared" si="4910"/>
        <v>0</v>
      </c>
      <c r="F1152" s="8">
        <f t="shared" si="4911"/>
        <v>0</v>
      </c>
      <c r="G1152" s="8">
        <f t="shared" si="4912"/>
        <v>1</v>
      </c>
      <c r="H1152" s="8">
        <f t="shared" si="4913"/>
        <v>0</v>
      </c>
      <c r="I1152" s="8">
        <f t="shared" si="4914"/>
        <v>0</v>
      </c>
      <c r="J1152" s="8">
        <f t="shared" si="4915"/>
        <v>0</v>
      </c>
      <c r="K1152" s="8">
        <f t="shared" si="4916"/>
        <v>0</v>
      </c>
      <c r="L1152" s="8">
        <f t="shared" si="4917"/>
        <v>0</v>
      </c>
      <c r="M1152" s="8">
        <f t="shared" si="4918"/>
        <v>0</v>
      </c>
      <c r="N1152" s="8">
        <f t="shared" si="4919"/>
        <v>0</v>
      </c>
      <c r="O1152" s="8">
        <f t="shared" si="4920"/>
        <v>0</v>
      </c>
      <c r="P1152" s="8" t="e">
        <v>#NUM!</v>
      </c>
      <c r="Q1152" s="8" t="e">
        <f t="shared" ref="Q1152" si="4946">IF(COUNTIF(P1148:P1158,"&lt;"&amp;-0.001)=0,IF(ABS(P1152)&lt;0.001,0,P1152)," ")</f>
        <v>#NUM!</v>
      </c>
      <c r="R1152" s="8"/>
      <c r="S1152" s="8"/>
      <c r="U1152" s="34"/>
      <c r="V1152" s="34"/>
      <c r="W1152" s="34"/>
      <c r="X1152" s="34"/>
      <c r="Y1152" s="34"/>
      <c r="Z1152" s="34"/>
      <c r="AA1152" s="34"/>
      <c r="AB1152" s="34"/>
      <c r="AC1152" s="34"/>
      <c r="AD1152" s="34"/>
      <c r="AE1152" s="34"/>
      <c r="AF1152" s="34"/>
      <c r="AG1152" s="34"/>
      <c r="AH1152" s="34"/>
      <c r="AI1152" s="34"/>
      <c r="AJ1152" s="34"/>
      <c r="AK1152" s="34"/>
      <c r="AL1152" s="34"/>
      <c r="AM1152" s="34"/>
      <c r="AN1152" s="34"/>
      <c r="AO1152" s="34"/>
      <c r="AP1152" s="34"/>
      <c r="AQ1152" s="34"/>
      <c r="AR1152" s="34"/>
      <c r="AS1152" s="34"/>
      <c r="AT1152" s="34"/>
      <c r="AU1152" s="34"/>
      <c r="AV1152" s="34"/>
      <c r="AW1152" s="34"/>
      <c r="AX1152" s="34"/>
      <c r="AY1152" s="34"/>
      <c r="AZ1152" s="34"/>
      <c r="BA1152" s="34"/>
      <c r="BB1152" s="34"/>
      <c r="BC1152" s="34"/>
      <c r="BD1152" s="34"/>
      <c r="BE1152" s="34"/>
      <c r="BF1152" s="34"/>
      <c r="BG1152" s="34"/>
      <c r="BH1152" s="34"/>
      <c r="BI1152" s="34"/>
      <c r="BJ1152" s="34"/>
      <c r="BK1152" s="34"/>
      <c r="BL1152" s="34"/>
      <c r="BM1152" s="34"/>
      <c r="BN1152" s="34"/>
      <c r="BO1152" s="34"/>
      <c r="BP1152" s="34"/>
      <c r="BQ1152" s="34"/>
      <c r="BR1152" s="34"/>
      <c r="BS1152" s="34"/>
      <c r="BT1152" s="34"/>
      <c r="BU1152" s="34"/>
      <c r="BV1152" s="34"/>
      <c r="BW1152" s="34"/>
      <c r="BX1152" s="34"/>
      <c r="BY1152" s="34"/>
      <c r="BZ1152" s="34"/>
      <c r="CA1152" s="34"/>
      <c r="CB1152" s="34"/>
      <c r="CC1152" s="34"/>
      <c r="CD1152" s="34"/>
      <c r="CE1152" s="34"/>
      <c r="CF1152" s="34"/>
      <c r="CG1152" s="34"/>
      <c r="CH1152" s="34"/>
      <c r="CI1152" s="8"/>
    </row>
    <row r="1153" spans="1:87" x14ac:dyDescent="0.2">
      <c r="A1153" s="8" t="str">
        <f>IF(AND(COUNTIF(W$3:W$13,A$20)&gt;0,A$20&lt;&gt;B1054),A$20,IFERROR(IF(MATCH(A$20,Z$3:Z$13,0)=5,A$20," ")," "))</f>
        <v xml:space="preserve"> </v>
      </c>
      <c r="B1153" s="8" t="str">
        <f>IF(A1153=" "," ",MAX(B1148:B1152)+1)</f>
        <v xml:space="preserve"> </v>
      </c>
      <c r="C1153" s="8" t="str">
        <f>IFERROR(INDEX(A1148:A1169,MATCH(SMALL(B1148:B1169,6),B1148:B1169,0),1)," ")</f>
        <v>C17</v>
      </c>
      <c r="D1153" s="8">
        <f t="shared" si="4909"/>
        <v>0</v>
      </c>
      <c r="E1153" s="8">
        <f t="shared" si="4910"/>
        <v>0</v>
      </c>
      <c r="F1153" s="8">
        <f t="shared" si="4911"/>
        <v>0</v>
      </c>
      <c r="G1153" s="8">
        <f t="shared" si="4912"/>
        <v>0</v>
      </c>
      <c r="H1153" s="8">
        <f t="shared" si="4913"/>
        <v>0</v>
      </c>
      <c r="I1153" s="8">
        <f t="shared" si="4914"/>
        <v>1</v>
      </c>
      <c r="J1153" s="8">
        <f t="shared" si="4915"/>
        <v>0</v>
      </c>
      <c r="K1153" s="8">
        <f t="shared" si="4916"/>
        <v>0</v>
      </c>
      <c r="L1153" s="8">
        <f t="shared" si="4917"/>
        <v>0</v>
      </c>
      <c r="M1153" s="8">
        <f t="shared" si="4918"/>
        <v>0</v>
      </c>
      <c r="N1153" s="8">
        <f t="shared" si="4919"/>
        <v>0</v>
      </c>
      <c r="O1153" s="8">
        <f t="shared" si="4920"/>
        <v>0</v>
      </c>
      <c r="P1153" s="8" t="e">
        <v>#NUM!</v>
      </c>
      <c r="Q1153" s="8" t="e">
        <f t="shared" ref="Q1153" si="4947">IF(COUNTIF(P1148:P1158,"&lt;"&amp;-0.001)=0,IF(ABS(P1153)&lt;0.001,0,P1153)," ")</f>
        <v>#NUM!</v>
      </c>
      <c r="R1153" s="8"/>
      <c r="S1153" s="8"/>
      <c r="U1153" s="34"/>
      <c r="V1153" s="34"/>
      <c r="W1153" s="34"/>
      <c r="X1153" s="34"/>
      <c r="Y1153" s="34"/>
      <c r="Z1153" s="34"/>
      <c r="AA1153" s="34"/>
      <c r="AB1153" s="34"/>
      <c r="AC1153" s="34"/>
      <c r="AD1153" s="34"/>
      <c r="AE1153" s="34"/>
      <c r="AF1153" s="34"/>
      <c r="AG1153" s="34"/>
      <c r="AH1153" s="34"/>
      <c r="AI1153" s="34"/>
      <c r="AJ1153" s="34"/>
      <c r="AK1153" s="34"/>
      <c r="AL1153" s="34"/>
      <c r="AM1153" s="34"/>
      <c r="AN1153" s="34"/>
      <c r="AO1153" s="34"/>
      <c r="AP1153" s="34"/>
      <c r="AQ1153" s="34"/>
      <c r="AR1153" s="34"/>
      <c r="AS1153" s="34"/>
      <c r="AT1153" s="34"/>
      <c r="AU1153" s="34"/>
      <c r="AV1153" s="34"/>
      <c r="AW1153" s="34"/>
      <c r="AX1153" s="34"/>
      <c r="AY1153" s="34"/>
      <c r="AZ1153" s="34"/>
      <c r="BA1153" s="34"/>
      <c r="BB1153" s="34"/>
      <c r="BC1153" s="34"/>
      <c r="BD1153" s="34"/>
      <c r="BE1153" s="34"/>
      <c r="BF1153" s="34"/>
      <c r="BG1153" s="34"/>
      <c r="BH1153" s="34"/>
      <c r="BI1153" s="34"/>
      <c r="BJ1153" s="34"/>
      <c r="BK1153" s="34"/>
      <c r="BL1153" s="34"/>
      <c r="BM1153" s="34"/>
      <c r="BN1153" s="34"/>
      <c r="BO1153" s="34"/>
      <c r="BP1153" s="34"/>
      <c r="BQ1153" s="34"/>
      <c r="BR1153" s="34"/>
      <c r="BS1153" s="34"/>
      <c r="BT1153" s="34"/>
      <c r="BU1153" s="34"/>
      <c r="BV1153" s="34"/>
      <c r="BW1153" s="34"/>
      <c r="BX1153" s="34"/>
      <c r="BY1153" s="34"/>
      <c r="BZ1153" s="34"/>
      <c r="CA1153" s="34"/>
      <c r="CB1153" s="34"/>
      <c r="CC1153" s="34"/>
      <c r="CD1153" s="34"/>
      <c r="CE1153" s="34"/>
      <c r="CF1153" s="34"/>
      <c r="CG1153" s="34"/>
      <c r="CH1153" s="34"/>
      <c r="CI1153" s="8"/>
    </row>
    <row r="1154" spans="1:87" x14ac:dyDescent="0.2">
      <c r="A1154" s="8" t="str">
        <f>IF(AND(COUNTIF(W$3:W$13,A$21)&gt;0,A$21&lt;&gt;B1054),A$21,IFERROR(IF(MATCH(A$21,Z$3:Z$13,0)=5,A$21," ")," "))</f>
        <v>C7</v>
      </c>
      <c r="B1154" s="8">
        <f>IF(A1154=" "," ",MAX(B1148:B1153)+1)</f>
        <v>3</v>
      </c>
      <c r="C1154" s="8" t="str">
        <f>IFERROR(INDEX(A1148:A1169,MATCH(SMALL(B1148:B1169,7),B1148:B1169,0),1)," ")</f>
        <v>C18</v>
      </c>
      <c r="D1154" s="8">
        <f t="shared" si="4909"/>
        <v>0</v>
      </c>
      <c r="E1154" s="8">
        <f t="shared" si="4910"/>
        <v>0</v>
      </c>
      <c r="F1154" s="8">
        <f t="shared" si="4911"/>
        <v>0</v>
      </c>
      <c r="G1154" s="8">
        <f t="shared" si="4912"/>
        <v>0</v>
      </c>
      <c r="H1154" s="8">
        <f t="shared" si="4913"/>
        <v>0</v>
      </c>
      <c r="I1154" s="8">
        <f t="shared" si="4914"/>
        <v>0</v>
      </c>
      <c r="J1154" s="8">
        <f t="shared" si="4915"/>
        <v>1</v>
      </c>
      <c r="K1154" s="8">
        <f t="shared" si="4916"/>
        <v>0</v>
      </c>
      <c r="L1154" s="8">
        <f t="shared" si="4917"/>
        <v>0</v>
      </c>
      <c r="M1154" s="8">
        <f t="shared" si="4918"/>
        <v>0</v>
      </c>
      <c r="N1154" s="8">
        <f t="shared" si="4919"/>
        <v>0</v>
      </c>
      <c r="O1154" s="8">
        <f t="shared" si="4920"/>
        <v>0</v>
      </c>
      <c r="P1154" s="8" t="e">
        <v>#NUM!</v>
      </c>
      <c r="Q1154" s="8" t="e">
        <f t="shared" ref="Q1154" si="4948">IF(COUNTIF(P1148:P1158,"&lt;"&amp;-0.001)=0,IF(ABS(P1154)&lt;0.001,0,P1154)," ")</f>
        <v>#NUM!</v>
      </c>
      <c r="R1154" s="8"/>
      <c r="S1154" s="8"/>
      <c r="U1154" s="34"/>
      <c r="V1154" s="34"/>
      <c r="W1154" s="34"/>
      <c r="X1154" s="34"/>
      <c r="Y1154" s="34"/>
      <c r="Z1154" s="34"/>
      <c r="AA1154" s="34"/>
      <c r="AB1154" s="34"/>
      <c r="AC1154" s="34"/>
      <c r="AD1154" s="34"/>
      <c r="AE1154" s="34"/>
      <c r="AF1154" s="34"/>
      <c r="AG1154" s="34"/>
      <c r="AH1154" s="34"/>
      <c r="AI1154" s="34"/>
      <c r="AJ1154" s="34"/>
      <c r="AK1154" s="34"/>
      <c r="AL1154" s="34"/>
      <c r="AM1154" s="34"/>
      <c r="AN1154" s="34"/>
      <c r="AO1154" s="34"/>
      <c r="AP1154" s="34"/>
      <c r="AQ1154" s="34"/>
      <c r="AR1154" s="34"/>
      <c r="AS1154" s="34"/>
      <c r="AT1154" s="34"/>
      <c r="AU1154" s="34"/>
      <c r="AV1154" s="34"/>
      <c r="AW1154" s="34"/>
      <c r="AX1154" s="34"/>
      <c r="AY1154" s="34"/>
      <c r="AZ1154" s="34"/>
      <c r="BA1154" s="34"/>
      <c r="BB1154" s="34"/>
      <c r="BC1154" s="34"/>
      <c r="BD1154" s="34"/>
      <c r="BE1154" s="34"/>
      <c r="BF1154" s="34"/>
      <c r="BG1154" s="34"/>
      <c r="BH1154" s="34"/>
      <c r="BI1154" s="34"/>
      <c r="BJ1154" s="34"/>
      <c r="BK1154" s="34"/>
      <c r="BL1154" s="34"/>
      <c r="BM1154" s="34"/>
      <c r="BN1154" s="34"/>
      <c r="BO1154" s="34"/>
      <c r="BP1154" s="34"/>
      <c r="BQ1154" s="34"/>
      <c r="BR1154" s="34"/>
      <c r="BS1154" s="34"/>
      <c r="BT1154" s="34"/>
      <c r="BU1154" s="34"/>
      <c r="BV1154" s="34"/>
      <c r="BW1154" s="34"/>
      <c r="BX1154" s="34"/>
      <c r="BY1154" s="34"/>
      <c r="BZ1154" s="34"/>
      <c r="CA1154" s="34"/>
      <c r="CB1154" s="34"/>
      <c r="CC1154" s="34"/>
      <c r="CD1154" s="34"/>
      <c r="CE1154" s="34"/>
      <c r="CF1154" s="34"/>
      <c r="CG1154" s="34"/>
      <c r="CH1154" s="34"/>
      <c r="CI1154" s="8"/>
    </row>
    <row r="1155" spans="1:87" x14ac:dyDescent="0.2">
      <c r="A1155" s="8" t="str">
        <f>IF(AND(COUNTIF(W$3:W$13,A$22)&gt;0,A$22&lt;&gt;B1054),A$22,IFERROR(IF(MATCH(A$22,Z$3:Z$13,0)=5,A$22," ")," "))</f>
        <v xml:space="preserve"> </v>
      </c>
      <c r="B1155" s="8" t="str">
        <f>IF(A1155=" "," ",MAX(B1148:B1154)+1)</f>
        <v xml:space="preserve"> </v>
      </c>
      <c r="C1155" s="8" t="str">
        <f>IFERROR(INDEX(A1148:A1169,MATCH(SMALL(B1148:B1169,8),B1148:B1169,0),1)," ")</f>
        <v>C19</v>
      </c>
      <c r="D1155" s="8">
        <f t="shared" si="4909"/>
        <v>0</v>
      </c>
      <c r="E1155" s="8">
        <f t="shared" si="4910"/>
        <v>0</v>
      </c>
      <c r="F1155" s="8">
        <f t="shared" si="4911"/>
        <v>0</v>
      </c>
      <c r="G1155" s="8">
        <f t="shared" si="4912"/>
        <v>0</v>
      </c>
      <c r="H1155" s="8">
        <f t="shared" si="4913"/>
        <v>0</v>
      </c>
      <c r="I1155" s="8">
        <f t="shared" si="4914"/>
        <v>0</v>
      </c>
      <c r="J1155" s="8">
        <f t="shared" si="4915"/>
        <v>0</v>
      </c>
      <c r="K1155" s="8">
        <f t="shared" si="4916"/>
        <v>1</v>
      </c>
      <c r="L1155" s="8">
        <f t="shared" si="4917"/>
        <v>0</v>
      </c>
      <c r="M1155" s="8">
        <f t="shared" si="4918"/>
        <v>0</v>
      </c>
      <c r="N1155" s="8">
        <f t="shared" si="4919"/>
        <v>0</v>
      </c>
      <c r="O1155" s="8">
        <f t="shared" si="4920"/>
        <v>0</v>
      </c>
      <c r="P1155" s="8" t="e">
        <v>#NUM!</v>
      </c>
      <c r="Q1155" s="8" t="e">
        <f t="shared" ref="Q1155" si="4949">IF(COUNTIF(P1148:P1158,"&lt;"&amp;-0.001)=0,IF(ABS(P1155)&lt;0.001,0,P1155)," ")</f>
        <v>#NUM!</v>
      </c>
      <c r="R1155" s="8"/>
      <c r="S1155" s="8"/>
      <c r="U1155" s="34"/>
      <c r="V1155" s="34"/>
      <c r="W1155" s="34"/>
      <c r="X1155" s="34"/>
      <c r="Y1155" s="34"/>
      <c r="Z1155" s="34"/>
      <c r="AA1155" s="34"/>
      <c r="AB1155" s="34"/>
      <c r="AC1155" s="34"/>
      <c r="AD1155" s="34"/>
      <c r="AE1155" s="34"/>
      <c r="AF1155" s="34"/>
      <c r="AG1155" s="34"/>
      <c r="AH1155" s="34"/>
      <c r="AI1155" s="34"/>
      <c r="AJ1155" s="34"/>
      <c r="AK1155" s="34"/>
      <c r="AL1155" s="34"/>
      <c r="AM1155" s="34"/>
      <c r="AN1155" s="34"/>
      <c r="AO1155" s="34"/>
      <c r="AP1155" s="34"/>
      <c r="AQ1155" s="34"/>
      <c r="AR1155" s="34"/>
      <c r="AS1155" s="34"/>
      <c r="AT1155" s="34"/>
      <c r="AU1155" s="34"/>
      <c r="AV1155" s="34"/>
      <c r="AW1155" s="34"/>
      <c r="AX1155" s="34"/>
      <c r="AY1155" s="34"/>
      <c r="AZ1155" s="34"/>
      <c r="BA1155" s="34"/>
      <c r="BB1155" s="34"/>
      <c r="BC1155" s="34"/>
      <c r="BD1155" s="34"/>
      <c r="BE1155" s="34"/>
      <c r="BF1155" s="34"/>
      <c r="BG1155" s="34"/>
      <c r="BH1155" s="34"/>
      <c r="BI1155" s="34"/>
      <c r="BJ1155" s="34"/>
      <c r="BK1155" s="34"/>
      <c r="BL1155" s="34"/>
      <c r="BM1155" s="34"/>
      <c r="BN1155" s="34"/>
      <c r="BO1155" s="34"/>
      <c r="BP1155" s="34"/>
      <c r="BQ1155" s="34"/>
      <c r="BR1155" s="34"/>
      <c r="BS1155" s="34"/>
      <c r="BT1155" s="34"/>
      <c r="BU1155" s="34"/>
      <c r="BV1155" s="34"/>
      <c r="BW1155" s="34"/>
      <c r="BX1155" s="34"/>
      <c r="BY1155" s="34"/>
      <c r="BZ1155" s="34"/>
      <c r="CA1155" s="34"/>
      <c r="CB1155" s="34"/>
      <c r="CC1155" s="34"/>
      <c r="CD1155" s="34"/>
      <c r="CE1155" s="34"/>
      <c r="CF1155" s="34"/>
      <c r="CG1155" s="34"/>
      <c r="CH1155" s="34"/>
      <c r="CI1155" s="8"/>
    </row>
    <row r="1156" spans="1:87" x14ac:dyDescent="0.2">
      <c r="A1156" s="8" t="str">
        <f>IF(AND(COUNTIF(W$3:W$13,A$23)&gt;0,A$23&lt;&gt;B1054),A$23,IFERROR(IF(MATCH(A$23,Z$3:Z$13,0)=5,A$23," ")," "))</f>
        <v xml:space="preserve"> </v>
      </c>
      <c r="B1156" s="8" t="str">
        <f>IF(A1156=" "," ",MAX(B1148:B1155)+1)</f>
        <v xml:space="preserve"> </v>
      </c>
      <c r="C1156" s="8" t="str">
        <f>IFERROR(INDEX(A1148:A1169,MATCH(SMALL(B1148:B1169,9),B1148:B1169,0),1)," ")</f>
        <v>C20</v>
      </c>
      <c r="D1156" s="8">
        <f t="shared" si="4909"/>
        <v>0</v>
      </c>
      <c r="E1156" s="8">
        <f t="shared" si="4910"/>
        <v>0</v>
      </c>
      <c r="F1156" s="8">
        <f t="shared" si="4911"/>
        <v>0</v>
      </c>
      <c r="G1156" s="8">
        <f t="shared" si="4912"/>
        <v>0</v>
      </c>
      <c r="H1156" s="8">
        <f t="shared" si="4913"/>
        <v>0</v>
      </c>
      <c r="I1156" s="8">
        <f t="shared" si="4914"/>
        <v>0</v>
      </c>
      <c r="J1156" s="8">
        <f t="shared" si="4915"/>
        <v>0</v>
      </c>
      <c r="K1156" s="8">
        <f t="shared" si="4916"/>
        <v>0</v>
      </c>
      <c r="L1156" s="8">
        <f t="shared" si="4917"/>
        <v>1</v>
      </c>
      <c r="M1156" s="8">
        <f t="shared" si="4918"/>
        <v>0</v>
      </c>
      <c r="N1156" s="8">
        <f t="shared" si="4919"/>
        <v>0</v>
      </c>
      <c r="O1156" s="8">
        <f t="shared" si="4920"/>
        <v>0</v>
      </c>
      <c r="P1156" s="6" t="e">
        <v>#NUM!</v>
      </c>
      <c r="Q1156" s="8" t="e">
        <f t="shared" ref="Q1156" si="4950">IF(COUNTIF(P1148:P1158,"&lt;"&amp;-0.001)=0,IF(ABS(P1156)&lt;0.001,0,P1156)," ")</f>
        <v>#NUM!</v>
      </c>
      <c r="R1156" s="8"/>
      <c r="S1156" s="8"/>
      <c r="U1156" s="34"/>
      <c r="V1156" s="34"/>
      <c r="W1156" s="34"/>
      <c r="X1156" s="34"/>
      <c r="Y1156" s="34"/>
      <c r="Z1156" s="34"/>
      <c r="AA1156" s="34"/>
      <c r="AB1156" s="34"/>
      <c r="AC1156" s="34"/>
      <c r="AD1156" s="34"/>
      <c r="AE1156" s="34"/>
      <c r="AF1156" s="34"/>
      <c r="AG1156" s="34"/>
      <c r="AH1156" s="34"/>
      <c r="AI1156" s="34"/>
      <c r="AJ1156" s="34"/>
      <c r="AK1156" s="34"/>
      <c r="AL1156" s="34"/>
      <c r="AM1156" s="34"/>
      <c r="AN1156" s="34"/>
      <c r="AO1156" s="34"/>
      <c r="AP1156" s="34"/>
      <c r="AQ1156" s="34"/>
      <c r="AR1156" s="34"/>
      <c r="AS1156" s="34"/>
      <c r="AT1156" s="34"/>
      <c r="AU1156" s="34"/>
      <c r="AV1156" s="34"/>
      <c r="AW1156" s="34"/>
      <c r="AX1156" s="34"/>
      <c r="AY1156" s="34"/>
      <c r="AZ1156" s="34"/>
      <c r="BA1156" s="34"/>
      <c r="BB1156" s="34"/>
      <c r="BC1156" s="34"/>
      <c r="BD1156" s="34"/>
      <c r="BE1156" s="34"/>
      <c r="BF1156" s="34"/>
      <c r="BG1156" s="34"/>
      <c r="BH1156" s="34"/>
      <c r="BI1156" s="34"/>
      <c r="BJ1156" s="34"/>
      <c r="BK1156" s="34"/>
      <c r="BL1156" s="34"/>
      <c r="BM1156" s="34"/>
      <c r="BN1156" s="34"/>
      <c r="BO1156" s="34"/>
      <c r="BP1156" s="34"/>
      <c r="BQ1156" s="34"/>
      <c r="BR1156" s="34"/>
      <c r="BS1156" s="34"/>
      <c r="BT1156" s="34"/>
      <c r="BU1156" s="34"/>
      <c r="BV1156" s="34"/>
      <c r="BW1156" s="34"/>
      <c r="BX1156" s="34"/>
      <c r="BY1156" s="34"/>
      <c r="BZ1156" s="34"/>
      <c r="CA1156" s="34"/>
      <c r="CB1156" s="34"/>
      <c r="CC1156" s="34"/>
      <c r="CD1156" s="34"/>
      <c r="CE1156" s="34"/>
      <c r="CF1156" s="34"/>
      <c r="CG1156" s="34"/>
      <c r="CH1156" s="34"/>
      <c r="CI1156" s="8"/>
    </row>
    <row r="1157" spans="1:87" x14ac:dyDescent="0.2">
      <c r="A1157" s="8" t="str">
        <f>IF(AND(COUNTIF(W$3:W$13,A$24)&gt;0,A$24&lt;&gt;B1054),A$24,IFERROR(IF(MATCH(A$24,Z$3:Z$13,0)=5,A$24," ")," "))</f>
        <v xml:space="preserve"> </v>
      </c>
      <c r="B1157" s="8" t="str">
        <f>IF(A1157=" "," ",MAX(B1148:B1156)+1)</f>
        <v xml:space="preserve"> </v>
      </c>
      <c r="C1157" s="8" t="str">
        <f>IFERROR(INDEX(A1148:A1169,MATCH(SMALL(B1148:B1169,10),B1148:B1169,0),1)," ")</f>
        <v>C21</v>
      </c>
      <c r="D1157" s="8">
        <f t="shared" si="4909"/>
        <v>0</v>
      </c>
      <c r="E1157" s="8">
        <f t="shared" si="4910"/>
        <v>0</v>
      </c>
      <c r="F1157" s="8">
        <f t="shared" si="4911"/>
        <v>0</v>
      </c>
      <c r="G1157" s="8">
        <f t="shared" si="4912"/>
        <v>0</v>
      </c>
      <c r="H1157" s="8">
        <f t="shared" si="4913"/>
        <v>0</v>
      </c>
      <c r="I1157" s="8">
        <f t="shared" si="4914"/>
        <v>0</v>
      </c>
      <c r="J1157" s="8">
        <f t="shared" si="4915"/>
        <v>0</v>
      </c>
      <c r="K1157" s="8">
        <f t="shared" si="4916"/>
        <v>0</v>
      </c>
      <c r="L1157" s="8">
        <f t="shared" si="4917"/>
        <v>0</v>
      </c>
      <c r="M1157" s="8">
        <f t="shared" si="4918"/>
        <v>1</v>
      </c>
      <c r="N1157" s="8">
        <f t="shared" si="4919"/>
        <v>0</v>
      </c>
      <c r="O1157" s="8">
        <f t="shared" si="4920"/>
        <v>0</v>
      </c>
      <c r="P1157" s="8" t="e">
        <v>#NUM!</v>
      </c>
      <c r="Q1157" s="8" t="e">
        <f t="shared" ref="Q1157" si="4951">IF(COUNTIF(P1148:P1158,"&lt;"&amp;-0.001)=0,IF(ABS(P1157)&lt;0.001,0,P1157)," ")</f>
        <v>#NUM!</v>
      </c>
      <c r="R1157" s="8"/>
      <c r="S1157" s="8"/>
      <c r="U1157" s="34"/>
      <c r="V1157" s="34"/>
      <c r="W1157" s="34"/>
      <c r="X1157" s="34"/>
      <c r="Y1157" s="34"/>
      <c r="Z1157" s="34"/>
      <c r="AA1157" s="34"/>
      <c r="AB1157" s="34"/>
      <c r="AC1157" s="34"/>
      <c r="AD1157" s="34"/>
      <c r="AE1157" s="34"/>
      <c r="AF1157" s="34"/>
      <c r="AG1157" s="34"/>
      <c r="AH1157" s="34"/>
      <c r="AI1157" s="34"/>
      <c r="AJ1157" s="34"/>
      <c r="AK1157" s="34"/>
      <c r="AL1157" s="34"/>
      <c r="AM1157" s="34"/>
      <c r="AN1157" s="34"/>
      <c r="AO1157" s="34"/>
      <c r="AP1157" s="34"/>
      <c r="AQ1157" s="34"/>
      <c r="AR1157" s="34"/>
      <c r="AS1157" s="34"/>
      <c r="AT1157" s="34"/>
      <c r="AU1157" s="34"/>
      <c r="AV1157" s="34"/>
      <c r="AW1157" s="34"/>
      <c r="AX1157" s="34"/>
      <c r="AY1157" s="34"/>
      <c r="AZ1157" s="34"/>
      <c r="BA1157" s="34"/>
      <c r="BB1157" s="34"/>
      <c r="BC1157" s="34"/>
      <c r="BD1157" s="34"/>
      <c r="BE1157" s="34"/>
      <c r="BF1157" s="34"/>
      <c r="BG1157" s="34"/>
      <c r="BH1157" s="34"/>
      <c r="BI1157" s="34"/>
      <c r="BJ1157" s="34"/>
      <c r="BK1157" s="34"/>
      <c r="BL1157" s="34"/>
      <c r="BM1157" s="34"/>
      <c r="BN1157" s="34"/>
      <c r="BO1157" s="34"/>
      <c r="BP1157" s="34"/>
      <c r="BQ1157" s="34"/>
      <c r="BR1157" s="34"/>
      <c r="BS1157" s="34"/>
      <c r="BT1157" s="34"/>
      <c r="BU1157" s="34"/>
      <c r="BV1157" s="34"/>
      <c r="BW1157" s="34"/>
      <c r="BX1157" s="34"/>
      <c r="BY1157" s="34"/>
      <c r="BZ1157" s="34"/>
      <c r="CA1157" s="34"/>
      <c r="CB1157" s="34"/>
      <c r="CC1157" s="34"/>
      <c r="CD1157" s="34"/>
      <c r="CE1157" s="34"/>
      <c r="CF1157" s="34"/>
      <c r="CG1157" s="34"/>
      <c r="CH1157" s="34"/>
      <c r="CI1157" s="8"/>
    </row>
    <row r="1158" spans="1:87" x14ac:dyDescent="0.2">
      <c r="A1158" s="8" t="str">
        <f>IF(AND(COUNTIF(W$3:W$13,A$25)&gt;0,A$25&lt;&gt;B1054),A$25,IFERROR(IF(MATCH(A$25,Z$3:Z$13,0)=5,A$25," ")," "))</f>
        <v xml:space="preserve"> </v>
      </c>
      <c r="B1158" s="8" t="str">
        <f>IF(A1158=" "," ",MAX(B1148:B1157)+1)</f>
        <v xml:space="preserve"> </v>
      </c>
      <c r="C1158" s="8" t="str">
        <f>IFERROR(INDEX(A1148:A1169,MATCH(SMALL(B1148:B1169,11),B1148:B1169,0),1)," ")</f>
        <v>C22</v>
      </c>
      <c r="D1158" s="8">
        <f t="shared" si="4909"/>
        <v>0</v>
      </c>
      <c r="E1158" s="8">
        <f t="shared" si="4910"/>
        <v>0</v>
      </c>
      <c r="F1158" s="8">
        <f t="shared" si="4911"/>
        <v>0</v>
      </c>
      <c r="G1158" s="8">
        <f t="shared" si="4912"/>
        <v>0</v>
      </c>
      <c r="H1158" s="8">
        <f t="shared" si="4913"/>
        <v>0</v>
      </c>
      <c r="I1158" s="8">
        <f t="shared" si="4914"/>
        <v>0</v>
      </c>
      <c r="J1158" s="8">
        <f t="shared" si="4915"/>
        <v>0</v>
      </c>
      <c r="K1158" s="8">
        <f t="shared" si="4916"/>
        <v>0</v>
      </c>
      <c r="L1158" s="8">
        <f t="shared" si="4917"/>
        <v>0</v>
      </c>
      <c r="M1158" s="8">
        <f t="shared" si="4918"/>
        <v>0</v>
      </c>
      <c r="N1158" s="8">
        <f t="shared" si="4919"/>
        <v>1</v>
      </c>
      <c r="O1158" s="8">
        <f t="shared" si="4920"/>
        <v>0</v>
      </c>
      <c r="P1158" s="8" t="e">
        <v>#NUM!</v>
      </c>
      <c r="Q1158" s="8" t="e">
        <f t="shared" ref="Q1158" si="4952">IF(COUNTIF(P1148:P1158,"&lt;"&amp;-0.001)=0,IF(ABS(P1158)&lt;0.001,0,P1158)," ")</f>
        <v>#NUM!</v>
      </c>
      <c r="R1158" s="8"/>
      <c r="S1158" s="8"/>
      <c r="U1158" s="34"/>
      <c r="V1158" s="34"/>
      <c r="W1158" s="34"/>
      <c r="X1158" s="34"/>
      <c r="Y1158" s="34"/>
      <c r="Z1158" s="34"/>
      <c r="AA1158" s="34"/>
      <c r="AB1158" s="34"/>
      <c r="AC1158" s="34"/>
      <c r="AD1158" s="34"/>
      <c r="AE1158" s="34"/>
      <c r="AF1158" s="34"/>
      <c r="AG1158" s="34"/>
      <c r="AH1158" s="34"/>
      <c r="AI1158" s="34"/>
      <c r="AJ1158" s="34"/>
      <c r="AK1158" s="34"/>
      <c r="AL1158" s="34"/>
      <c r="AM1158" s="34"/>
      <c r="AN1158" s="34"/>
      <c r="AO1158" s="34"/>
      <c r="AP1158" s="34"/>
      <c r="AQ1158" s="34"/>
      <c r="AR1158" s="34"/>
      <c r="AS1158" s="34"/>
      <c r="AT1158" s="34"/>
      <c r="AU1158" s="34"/>
      <c r="AV1158" s="34"/>
      <c r="AW1158" s="34"/>
      <c r="AX1158" s="34"/>
      <c r="AY1158" s="34"/>
      <c r="AZ1158" s="34"/>
      <c r="BA1158" s="34"/>
      <c r="BB1158" s="34"/>
      <c r="BC1158" s="34"/>
      <c r="BD1158" s="34"/>
      <c r="BE1158" s="34"/>
      <c r="BF1158" s="34"/>
      <c r="BG1158" s="34"/>
      <c r="BH1158" s="34"/>
      <c r="BI1158" s="34"/>
      <c r="BJ1158" s="34"/>
      <c r="BK1158" s="34"/>
      <c r="BL1158" s="34"/>
      <c r="BM1158" s="34"/>
      <c r="BN1158" s="34"/>
      <c r="BO1158" s="34"/>
      <c r="BP1158" s="34"/>
      <c r="BQ1158" s="34"/>
      <c r="BR1158" s="34"/>
      <c r="BS1158" s="34"/>
      <c r="BT1158" s="34"/>
      <c r="BU1158" s="34"/>
      <c r="BV1158" s="34"/>
      <c r="BW1158" s="34"/>
      <c r="BX1158" s="34"/>
      <c r="BY1158" s="34"/>
      <c r="BZ1158" s="34"/>
      <c r="CA1158" s="34"/>
      <c r="CB1158" s="34"/>
      <c r="CC1158" s="34"/>
      <c r="CD1158" s="34"/>
      <c r="CE1158" s="34"/>
      <c r="CF1158" s="34"/>
      <c r="CG1158" s="34"/>
      <c r="CH1158" s="34"/>
      <c r="CI1158" s="8"/>
    </row>
    <row r="1159" spans="1:87" x14ac:dyDescent="0.2">
      <c r="A1159" s="8" t="str">
        <f>IF(AND(COUNTIF(W$3:W$13,A$26)&gt;0,A$26&lt;&gt;B1054),A$26,IFERROR(IF(MATCH(A$26,Z$3:Z$13,0)=5,A$26," ")," "))</f>
        <v xml:space="preserve"> </v>
      </c>
      <c r="B1159" s="8" t="str">
        <f>IF(A1159=" "," ",MAX(B1148:B1158)+1)</f>
        <v xml:space="preserve"> </v>
      </c>
      <c r="C1159" s="8"/>
      <c r="D1159" s="8"/>
      <c r="E1159" s="8"/>
      <c r="F1159" s="8"/>
      <c r="G1159" s="8"/>
      <c r="H1159" s="8"/>
      <c r="I1159" s="8"/>
      <c r="J1159" s="8"/>
      <c r="K1159" s="8"/>
      <c r="L1159" s="8"/>
      <c r="M1159" s="8"/>
      <c r="N1159" s="8"/>
      <c r="O1159" s="8"/>
      <c r="P1159" s="8"/>
      <c r="Q1159" s="8"/>
      <c r="R1159" s="8"/>
      <c r="S1159" s="8"/>
      <c r="U1159" s="34"/>
      <c r="V1159" s="34"/>
      <c r="W1159" s="34"/>
      <c r="X1159" s="34"/>
      <c r="Y1159" s="34"/>
      <c r="Z1159" s="34"/>
      <c r="AA1159" s="34"/>
      <c r="AB1159" s="34"/>
      <c r="AC1159" s="34"/>
      <c r="AD1159" s="34"/>
      <c r="AE1159" s="34"/>
      <c r="AF1159" s="34"/>
      <c r="AG1159" s="34"/>
      <c r="AH1159" s="34"/>
      <c r="AI1159" s="34"/>
      <c r="AJ1159" s="34"/>
      <c r="AK1159" s="34"/>
      <c r="AL1159" s="34"/>
      <c r="AM1159" s="34"/>
      <c r="AN1159" s="34"/>
      <c r="AO1159" s="34"/>
      <c r="AP1159" s="34"/>
      <c r="AQ1159" s="34"/>
      <c r="AR1159" s="34"/>
      <c r="AS1159" s="34"/>
      <c r="AT1159" s="34"/>
      <c r="AU1159" s="34"/>
      <c r="AV1159" s="34"/>
      <c r="AW1159" s="34"/>
      <c r="AX1159" s="34"/>
      <c r="AY1159" s="34"/>
      <c r="AZ1159" s="34"/>
      <c r="BA1159" s="34"/>
      <c r="BB1159" s="34"/>
      <c r="BC1159" s="34"/>
      <c r="BD1159" s="34"/>
      <c r="BE1159" s="34"/>
      <c r="BF1159" s="34"/>
      <c r="BG1159" s="34"/>
      <c r="BH1159" s="34"/>
      <c r="BI1159" s="34"/>
      <c r="BJ1159" s="34"/>
      <c r="BK1159" s="34"/>
      <c r="BL1159" s="34"/>
      <c r="BM1159" s="34"/>
      <c r="BN1159" s="34"/>
      <c r="BO1159" s="34"/>
      <c r="BP1159" s="34"/>
      <c r="BQ1159" s="34"/>
      <c r="BR1159" s="34"/>
      <c r="BS1159" s="34"/>
      <c r="BT1159" s="34"/>
      <c r="BU1159" s="34"/>
      <c r="BV1159" s="34"/>
      <c r="BW1159" s="34"/>
      <c r="BX1159" s="34"/>
      <c r="BY1159" s="34"/>
      <c r="BZ1159" s="34"/>
      <c r="CA1159" s="34"/>
      <c r="CB1159" s="34"/>
      <c r="CC1159" s="34"/>
      <c r="CD1159" s="34"/>
      <c r="CE1159" s="34"/>
      <c r="CF1159" s="34"/>
      <c r="CG1159" s="34"/>
      <c r="CH1159" s="34"/>
      <c r="CI1159" s="8"/>
    </row>
    <row r="1160" spans="1:87" x14ac:dyDescent="0.2">
      <c r="A1160" s="8" t="str">
        <f>IF(AND(COUNTIF(W$3:W$13,A$27)&gt;0,A$27&lt;&gt;B1054),A$27,IFERROR(IF(MATCH(A$27,Z$3:Z$13,0)=5,A$27," ")," "))</f>
        <v>C13</v>
      </c>
      <c r="B1160" s="8">
        <f>IF(A1160=" "," ",MAX(B1148:B1159)+1)</f>
        <v>4</v>
      </c>
      <c r="C1160" s="8"/>
      <c r="D1160" s="8"/>
      <c r="E1160" s="8"/>
      <c r="F1160" s="8"/>
      <c r="G1160" s="8"/>
      <c r="H1160" s="8"/>
      <c r="I1160" s="8"/>
      <c r="J1160" s="8"/>
      <c r="K1160" s="8"/>
      <c r="L1160" s="8"/>
      <c r="M1160" s="8"/>
      <c r="N1160" s="8"/>
      <c r="O1160" s="8"/>
      <c r="P1160" s="8"/>
      <c r="Q1160" s="8"/>
      <c r="R1160" s="8"/>
      <c r="S1160" s="8"/>
      <c r="U1160" s="34"/>
      <c r="V1160" s="34"/>
      <c r="W1160" s="34"/>
      <c r="X1160" s="34"/>
      <c r="Y1160" s="34"/>
      <c r="Z1160" s="34"/>
      <c r="AA1160" s="34"/>
      <c r="AB1160" s="34"/>
      <c r="AC1160" s="34"/>
      <c r="AD1160" s="34"/>
      <c r="AE1160" s="34"/>
      <c r="AF1160" s="34"/>
      <c r="AG1160" s="34"/>
      <c r="AH1160" s="34"/>
      <c r="AI1160" s="34"/>
      <c r="AJ1160" s="34"/>
      <c r="AK1160" s="34"/>
      <c r="AL1160" s="34"/>
      <c r="AM1160" s="34"/>
      <c r="AN1160" s="34"/>
      <c r="AO1160" s="34"/>
      <c r="AP1160" s="34"/>
      <c r="AQ1160" s="34"/>
      <c r="AR1160" s="34"/>
      <c r="AS1160" s="34"/>
      <c r="AT1160" s="34"/>
      <c r="AU1160" s="34"/>
      <c r="AV1160" s="34"/>
      <c r="AW1160" s="34"/>
      <c r="AX1160" s="34"/>
      <c r="AY1160" s="34"/>
      <c r="AZ1160" s="34"/>
      <c r="BA1160" s="34"/>
      <c r="BB1160" s="34"/>
      <c r="BC1160" s="34"/>
      <c r="BD1160" s="34"/>
      <c r="BE1160" s="34"/>
      <c r="BF1160" s="34"/>
      <c r="BG1160" s="34"/>
      <c r="BH1160" s="34"/>
      <c r="BI1160" s="34"/>
      <c r="BJ1160" s="34"/>
      <c r="BK1160" s="34"/>
      <c r="BL1160" s="34"/>
      <c r="BM1160" s="34"/>
      <c r="BN1160" s="34"/>
      <c r="BO1160" s="34"/>
      <c r="BP1160" s="34"/>
      <c r="BQ1160" s="34"/>
      <c r="BR1160" s="34"/>
      <c r="BS1160" s="34"/>
      <c r="BT1160" s="34"/>
      <c r="BU1160" s="34"/>
      <c r="BV1160" s="34"/>
      <c r="BW1160" s="34"/>
      <c r="BX1160" s="34"/>
      <c r="BY1160" s="34"/>
      <c r="BZ1160" s="34"/>
      <c r="CA1160" s="34"/>
      <c r="CB1160" s="34"/>
      <c r="CC1160" s="34"/>
      <c r="CD1160" s="34"/>
      <c r="CE1160" s="34"/>
      <c r="CF1160" s="34"/>
      <c r="CG1160" s="34"/>
      <c r="CH1160" s="34"/>
      <c r="CI1160" s="8"/>
    </row>
    <row r="1161" spans="1:87" x14ac:dyDescent="0.2">
      <c r="A1161" s="8" t="str">
        <f>IF(AND(COUNTIF(W$3:W$13,A$28)&gt;0,A$28&lt;&gt;B1054),A$28,IFERROR(IF(MATCH(A$28,Z$3:Z$13,0)=5,A$28," ")," "))</f>
        <v xml:space="preserve"> </v>
      </c>
      <c r="B1161" s="8" t="str">
        <f>IF(A1161=" "," ",MAX(B1148:B1160)+1)</f>
        <v xml:space="preserve"> </v>
      </c>
      <c r="C1161" s="8"/>
      <c r="D1161" s="8"/>
      <c r="E1161" s="8"/>
      <c r="F1161" s="8"/>
      <c r="G1161" s="8"/>
      <c r="H1161" s="8"/>
      <c r="I1161" s="8"/>
      <c r="J1161" s="8"/>
      <c r="K1161" s="8"/>
      <c r="L1161" s="8"/>
      <c r="M1161" s="8"/>
      <c r="N1161" s="8"/>
      <c r="O1161" s="8"/>
      <c r="P1161" s="8"/>
      <c r="Q1161" s="8"/>
      <c r="R1161" s="8"/>
      <c r="S1161" s="8"/>
      <c r="U1161" s="34"/>
      <c r="V1161" s="34"/>
      <c r="W1161" s="34"/>
      <c r="X1161" s="34"/>
      <c r="Y1161" s="34"/>
      <c r="Z1161" s="34"/>
      <c r="AA1161" s="34"/>
      <c r="AB1161" s="34"/>
      <c r="AC1161" s="34"/>
      <c r="AD1161" s="34"/>
      <c r="AE1161" s="34"/>
      <c r="AF1161" s="34"/>
      <c r="AG1161" s="34"/>
      <c r="AH1161" s="34"/>
      <c r="AI1161" s="34"/>
      <c r="AJ1161" s="34"/>
      <c r="AK1161" s="34"/>
      <c r="AL1161" s="34"/>
      <c r="AM1161" s="34"/>
      <c r="AN1161" s="34"/>
      <c r="AO1161" s="34"/>
      <c r="AP1161" s="34"/>
      <c r="AQ1161" s="34"/>
      <c r="AR1161" s="34"/>
      <c r="AS1161" s="34"/>
      <c r="AT1161" s="34"/>
      <c r="AU1161" s="34"/>
      <c r="AV1161" s="34"/>
      <c r="AW1161" s="34"/>
      <c r="AX1161" s="34"/>
      <c r="AY1161" s="34"/>
      <c r="AZ1161" s="34"/>
      <c r="BA1161" s="34"/>
      <c r="BB1161" s="34"/>
      <c r="BC1161" s="34"/>
      <c r="BD1161" s="34"/>
      <c r="BE1161" s="34"/>
      <c r="BF1161" s="34"/>
      <c r="BG1161" s="34"/>
      <c r="BH1161" s="34"/>
      <c r="BI1161" s="34"/>
      <c r="BJ1161" s="34"/>
      <c r="BK1161" s="34"/>
      <c r="BL1161" s="34"/>
      <c r="BM1161" s="34"/>
      <c r="BN1161" s="34"/>
      <c r="BO1161" s="34"/>
      <c r="BP1161" s="34"/>
      <c r="BQ1161" s="34"/>
      <c r="BR1161" s="34"/>
      <c r="BS1161" s="34"/>
      <c r="BT1161" s="34"/>
      <c r="BU1161" s="34"/>
      <c r="BV1161" s="34"/>
      <c r="BW1161" s="34"/>
      <c r="BX1161" s="34"/>
      <c r="BY1161" s="34"/>
      <c r="BZ1161" s="34"/>
      <c r="CA1161" s="34"/>
      <c r="CB1161" s="34"/>
      <c r="CC1161" s="34"/>
      <c r="CD1161" s="34"/>
      <c r="CE1161" s="34"/>
      <c r="CF1161" s="34"/>
      <c r="CG1161" s="34"/>
      <c r="CH1161" s="34"/>
      <c r="CI1161" s="8"/>
    </row>
    <row r="1162" spans="1:87" x14ac:dyDescent="0.2">
      <c r="A1162" s="8" t="str">
        <f>IF(AND(COUNTIF(W$3:W$13,A$29)&gt;0,A$29&lt;&gt;B1054),A$29,IFERROR(IF(MATCH(A$29,Z$3:Z$13,0)=5,A$29," ")," "))</f>
        <v>C15</v>
      </c>
      <c r="B1162" s="8">
        <f>IF(A1162=" "," ",MAX(B1148:B1161)+1)</f>
        <v>5</v>
      </c>
      <c r="C1162" s="8"/>
      <c r="D1162" s="8"/>
      <c r="E1162" s="8"/>
      <c r="F1162" s="8"/>
      <c r="G1162" s="8"/>
      <c r="H1162" s="8"/>
      <c r="I1162" s="8"/>
      <c r="J1162" s="8"/>
      <c r="K1162" s="8"/>
      <c r="L1162" s="8"/>
      <c r="M1162" s="8"/>
      <c r="N1162" s="8"/>
      <c r="O1162" s="8"/>
      <c r="P1162" s="8"/>
      <c r="Q1162" s="8"/>
      <c r="R1162" s="8"/>
      <c r="S1162" s="8"/>
      <c r="U1162" s="34"/>
      <c r="V1162" s="34"/>
      <c r="W1162" s="34"/>
      <c r="X1162" s="34"/>
      <c r="Y1162" s="34"/>
      <c r="Z1162" s="34"/>
      <c r="AA1162" s="34"/>
      <c r="AB1162" s="34"/>
      <c r="AC1162" s="34"/>
      <c r="AD1162" s="34"/>
      <c r="AE1162" s="34"/>
      <c r="AF1162" s="34"/>
      <c r="AG1162" s="34"/>
      <c r="AH1162" s="34"/>
      <c r="AI1162" s="34"/>
      <c r="AJ1162" s="34"/>
      <c r="AK1162" s="34"/>
      <c r="AL1162" s="34"/>
      <c r="AM1162" s="34"/>
      <c r="AN1162" s="34"/>
      <c r="AO1162" s="34"/>
      <c r="AP1162" s="34"/>
      <c r="AQ1162" s="34"/>
      <c r="AR1162" s="34"/>
      <c r="AS1162" s="34"/>
      <c r="AT1162" s="34"/>
      <c r="AU1162" s="34"/>
      <c r="AV1162" s="34"/>
      <c r="AW1162" s="34"/>
      <c r="AX1162" s="34"/>
      <c r="AY1162" s="34"/>
      <c r="AZ1162" s="34"/>
      <c r="BA1162" s="34"/>
      <c r="BB1162" s="34"/>
      <c r="BC1162" s="34"/>
      <c r="BD1162" s="34"/>
      <c r="BE1162" s="34"/>
      <c r="BF1162" s="34"/>
      <c r="BG1162" s="34"/>
      <c r="BH1162" s="34"/>
      <c r="BI1162" s="34"/>
      <c r="BJ1162" s="34"/>
      <c r="BK1162" s="34"/>
      <c r="BL1162" s="34"/>
      <c r="BM1162" s="34"/>
      <c r="BN1162" s="34"/>
      <c r="BO1162" s="34"/>
      <c r="BP1162" s="34"/>
      <c r="BQ1162" s="34"/>
      <c r="BR1162" s="34"/>
      <c r="BS1162" s="34"/>
      <c r="BT1162" s="34"/>
      <c r="BU1162" s="34"/>
      <c r="BV1162" s="34"/>
      <c r="BW1162" s="34"/>
      <c r="BX1162" s="34"/>
      <c r="BY1162" s="34"/>
      <c r="BZ1162" s="34"/>
      <c r="CA1162" s="34"/>
      <c r="CB1162" s="34"/>
      <c r="CC1162" s="34"/>
      <c r="CD1162" s="34"/>
      <c r="CE1162" s="34"/>
      <c r="CF1162" s="34"/>
      <c r="CG1162" s="34"/>
      <c r="CH1162" s="34"/>
      <c r="CI1162" s="8"/>
    </row>
    <row r="1163" spans="1:87" x14ac:dyDescent="0.2">
      <c r="A1163" s="8" t="str">
        <f>IF(AND(COUNTIF(W$3:W$13,A$30)&gt;0,A$30&lt;&gt;B1054),A$30,IFERROR(IF(MATCH(A$30,Z$3:Z$13,0)=5,A$30," ")," "))</f>
        <v xml:space="preserve"> </v>
      </c>
      <c r="B1163" s="8" t="str">
        <f>IF(A1163=" "," ",MAX(B1148:B1162)+1)</f>
        <v xml:space="preserve"> </v>
      </c>
      <c r="C1163" s="8"/>
      <c r="D1163" s="8"/>
      <c r="E1163" s="8"/>
      <c r="F1163" s="8"/>
      <c r="G1163" s="8"/>
      <c r="H1163" s="8"/>
      <c r="I1163" s="8"/>
      <c r="J1163" s="8"/>
      <c r="K1163" s="8"/>
      <c r="L1163" s="8"/>
      <c r="M1163" s="8"/>
      <c r="N1163" s="8"/>
      <c r="O1163" s="8"/>
      <c r="P1163" s="8"/>
      <c r="Q1163" s="8"/>
      <c r="R1163" s="8"/>
      <c r="S1163" s="8"/>
      <c r="U1163" s="34"/>
      <c r="V1163" s="34"/>
      <c r="W1163" s="34"/>
      <c r="X1163" s="34"/>
      <c r="Y1163" s="34"/>
      <c r="Z1163" s="34"/>
      <c r="AA1163" s="34"/>
      <c r="AB1163" s="34"/>
      <c r="AC1163" s="34"/>
      <c r="AD1163" s="34"/>
      <c r="AE1163" s="34"/>
      <c r="AF1163" s="34"/>
      <c r="AG1163" s="34"/>
      <c r="AH1163" s="34"/>
      <c r="AI1163" s="34"/>
      <c r="AJ1163" s="34"/>
      <c r="AK1163" s="34"/>
      <c r="AL1163" s="34"/>
      <c r="AM1163" s="34"/>
      <c r="AN1163" s="34"/>
      <c r="AO1163" s="34"/>
      <c r="AP1163" s="34"/>
      <c r="AQ1163" s="34"/>
      <c r="AR1163" s="34"/>
      <c r="AS1163" s="34"/>
      <c r="AT1163" s="34"/>
      <c r="AU1163" s="34"/>
      <c r="AV1163" s="34"/>
      <c r="AW1163" s="34"/>
      <c r="AX1163" s="34"/>
      <c r="AY1163" s="34"/>
      <c r="AZ1163" s="34"/>
      <c r="BA1163" s="34"/>
      <c r="BB1163" s="34"/>
      <c r="BC1163" s="34"/>
      <c r="BD1163" s="34"/>
      <c r="BE1163" s="34"/>
      <c r="BF1163" s="34"/>
      <c r="BG1163" s="34"/>
      <c r="BH1163" s="34"/>
      <c r="BI1163" s="34"/>
      <c r="BJ1163" s="34"/>
      <c r="BK1163" s="34"/>
      <c r="BL1163" s="34"/>
      <c r="BM1163" s="34"/>
      <c r="BN1163" s="34"/>
      <c r="BO1163" s="34"/>
      <c r="BP1163" s="34"/>
      <c r="BQ1163" s="34"/>
      <c r="BR1163" s="34"/>
      <c r="BS1163" s="34"/>
      <c r="BT1163" s="34"/>
      <c r="BU1163" s="34"/>
      <c r="BV1163" s="34"/>
      <c r="BW1163" s="34"/>
      <c r="BX1163" s="34"/>
      <c r="BY1163" s="34"/>
      <c r="BZ1163" s="34"/>
      <c r="CA1163" s="34"/>
      <c r="CB1163" s="34"/>
      <c r="CC1163" s="34"/>
      <c r="CD1163" s="34"/>
      <c r="CE1163" s="34"/>
      <c r="CF1163" s="34"/>
      <c r="CG1163" s="34"/>
      <c r="CH1163" s="34"/>
      <c r="CI1163" s="8"/>
    </row>
    <row r="1164" spans="1:87" x14ac:dyDescent="0.2">
      <c r="A1164" s="8" t="str">
        <f>IF(AND(COUNTIF(W$3:W$13,A$31)&gt;0,A$31&lt;&gt;B1054),A$31,IFERROR(IF(MATCH(A$31,Z$3:Z$13,0)=5,A$31," ")," "))</f>
        <v>C17</v>
      </c>
      <c r="B1164" s="8">
        <f>IF(A1164=" "," ",MAX(B1148:B1163)+1)</f>
        <v>6</v>
      </c>
      <c r="C1164" s="8"/>
      <c r="D1164" s="8"/>
      <c r="E1164" s="8"/>
      <c r="F1164" s="8"/>
      <c r="G1164" s="8"/>
      <c r="H1164" s="8"/>
      <c r="I1164" s="8"/>
      <c r="J1164" s="8"/>
      <c r="K1164" s="8"/>
      <c r="L1164" s="8"/>
      <c r="M1164" s="8"/>
      <c r="N1164" s="8"/>
      <c r="O1164" s="8"/>
      <c r="P1164" s="8"/>
      <c r="Q1164" s="8"/>
      <c r="R1164" s="8"/>
      <c r="S1164" s="8"/>
      <c r="U1164" s="34"/>
      <c r="V1164" s="34"/>
      <c r="W1164" s="34"/>
      <c r="X1164" s="34"/>
      <c r="Y1164" s="34"/>
      <c r="Z1164" s="34"/>
      <c r="AA1164" s="34"/>
      <c r="AB1164" s="34"/>
      <c r="AC1164" s="34"/>
      <c r="AD1164" s="34"/>
      <c r="AE1164" s="34"/>
      <c r="AF1164" s="34"/>
      <c r="AG1164" s="34"/>
      <c r="AH1164" s="34"/>
      <c r="AI1164" s="34"/>
      <c r="AJ1164" s="34"/>
      <c r="AK1164" s="34"/>
      <c r="AL1164" s="34"/>
      <c r="AM1164" s="34"/>
      <c r="AN1164" s="34"/>
      <c r="AO1164" s="34"/>
      <c r="AP1164" s="34"/>
      <c r="AQ1164" s="34"/>
      <c r="AR1164" s="34"/>
      <c r="AS1164" s="34"/>
      <c r="AT1164" s="34"/>
      <c r="AU1164" s="34"/>
      <c r="AV1164" s="34"/>
      <c r="AW1164" s="34"/>
      <c r="AX1164" s="34"/>
      <c r="AY1164" s="34"/>
      <c r="AZ1164" s="34"/>
      <c r="BA1164" s="34"/>
      <c r="BB1164" s="34"/>
      <c r="BC1164" s="34"/>
      <c r="BD1164" s="34"/>
      <c r="BE1164" s="34"/>
      <c r="BF1164" s="34"/>
      <c r="BG1164" s="34"/>
      <c r="BH1164" s="34"/>
      <c r="BI1164" s="34"/>
      <c r="BJ1164" s="34"/>
      <c r="BK1164" s="34"/>
      <c r="BL1164" s="34"/>
      <c r="BM1164" s="34"/>
      <c r="BN1164" s="34"/>
      <c r="BO1164" s="34"/>
      <c r="BP1164" s="34"/>
      <c r="BQ1164" s="34"/>
      <c r="BR1164" s="34"/>
      <c r="BS1164" s="34"/>
      <c r="BT1164" s="34"/>
      <c r="BU1164" s="34"/>
      <c r="BV1164" s="34"/>
      <c r="BW1164" s="34"/>
      <c r="BX1164" s="34"/>
      <c r="BY1164" s="34"/>
      <c r="BZ1164" s="34"/>
      <c r="CA1164" s="34"/>
      <c r="CB1164" s="34"/>
      <c r="CC1164" s="34"/>
      <c r="CD1164" s="34"/>
      <c r="CE1164" s="34"/>
      <c r="CF1164" s="34"/>
      <c r="CG1164" s="34"/>
      <c r="CH1164" s="34"/>
      <c r="CI1164" s="8"/>
    </row>
    <row r="1165" spans="1:87" x14ac:dyDescent="0.2">
      <c r="A1165" s="8" t="str">
        <f>IF(AND(COUNTIF(W$3:W$13,A$32)&gt;0,A$32&lt;&gt;B1054),A$32,IFERROR(IF(MATCH(A$32,Z$3:Z$13,0)=5,A$32," ")," "))</f>
        <v>C18</v>
      </c>
      <c r="B1165" s="8">
        <f>IF(A1165=" "," ",MAX(B1148:B1164)+1)</f>
        <v>7</v>
      </c>
      <c r="C1165" s="8"/>
      <c r="D1165" s="8"/>
      <c r="E1165" s="8"/>
      <c r="F1165" s="8"/>
      <c r="G1165" s="8"/>
      <c r="H1165" s="8"/>
      <c r="I1165" s="8"/>
      <c r="J1165" s="8"/>
      <c r="K1165" s="8"/>
      <c r="L1165" s="8"/>
      <c r="M1165" s="8"/>
      <c r="N1165" s="8"/>
      <c r="O1165" s="8"/>
      <c r="P1165" s="8"/>
      <c r="Q1165" s="8"/>
      <c r="R1165" s="8"/>
      <c r="S1165" s="8"/>
      <c r="U1165" s="34"/>
      <c r="V1165" s="34"/>
      <c r="W1165" s="34"/>
      <c r="X1165" s="34"/>
      <c r="Y1165" s="34"/>
      <c r="Z1165" s="34"/>
      <c r="AA1165" s="34"/>
      <c r="AB1165" s="34"/>
      <c r="AC1165" s="34"/>
      <c r="AD1165" s="34"/>
      <c r="AE1165" s="34"/>
      <c r="AF1165" s="34"/>
      <c r="AG1165" s="34"/>
      <c r="AH1165" s="34"/>
      <c r="AI1165" s="34"/>
      <c r="AJ1165" s="34"/>
      <c r="AK1165" s="34"/>
      <c r="AL1165" s="34"/>
      <c r="AM1165" s="34"/>
      <c r="AN1165" s="34"/>
      <c r="AO1165" s="34"/>
      <c r="AP1165" s="34"/>
      <c r="AQ1165" s="34"/>
      <c r="AR1165" s="34"/>
      <c r="AS1165" s="34"/>
      <c r="AT1165" s="34"/>
      <c r="AU1165" s="34"/>
      <c r="AV1165" s="34"/>
      <c r="AW1165" s="34"/>
      <c r="AX1165" s="34"/>
      <c r="AY1165" s="34"/>
      <c r="AZ1165" s="34"/>
      <c r="BA1165" s="34"/>
      <c r="BB1165" s="34"/>
      <c r="BC1165" s="34"/>
      <c r="BD1165" s="34"/>
      <c r="BE1165" s="34"/>
      <c r="BF1165" s="34"/>
      <c r="BG1165" s="34"/>
      <c r="BH1165" s="34"/>
      <c r="BI1165" s="34"/>
      <c r="BJ1165" s="34"/>
      <c r="BK1165" s="34"/>
      <c r="BL1165" s="34"/>
      <c r="BM1165" s="34"/>
      <c r="BN1165" s="34"/>
      <c r="BO1165" s="34"/>
      <c r="BP1165" s="34"/>
      <c r="BQ1165" s="34"/>
      <c r="BR1165" s="34"/>
      <c r="BS1165" s="34"/>
      <c r="BT1165" s="34"/>
      <c r="BU1165" s="34"/>
      <c r="BV1165" s="34"/>
      <c r="BW1165" s="34"/>
      <c r="BX1165" s="34"/>
      <c r="BY1165" s="34"/>
      <c r="BZ1165" s="34"/>
      <c r="CA1165" s="34"/>
      <c r="CB1165" s="34"/>
      <c r="CC1165" s="34"/>
      <c r="CD1165" s="34"/>
      <c r="CE1165" s="34"/>
      <c r="CF1165" s="34"/>
      <c r="CG1165" s="34"/>
      <c r="CH1165" s="34"/>
      <c r="CI1165" s="8"/>
    </row>
    <row r="1166" spans="1:87" x14ac:dyDescent="0.2">
      <c r="A1166" s="8" t="str">
        <f>IF(AND(COUNTIF(W$3:W$13,A$33)&gt;0,A$33&lt;&gt;B1054),A$33,IFERROR(IF(MATCH(A$33,Z$3:Z$13,0)=5,A$33," ")," "))</f>
        <v>C19</v>
      </c>
      <c r="B1166" s="8">
        <f>IF(A1166=" "," ",MAX(B1148:B1165)+1)</f>
        <v>8</v>
      </c>
      <c r="C1166" s="8"/>
      <c r="D1166" s="8"/>
      <c r="E1166" s="8"/>
      <c r="F1166" s="8"/>
      <c r="G1166" s="8"/>
      <c r="H1166" s="8"/>
      <c r="I1166" s="8"/>
      <c r="J1166" s="8"/>
      <c r="K1166" s="8"/>
      <c r="L1166" s="8"/>
      <c r="M1166" s="8"/>
      <c r="N1166" s="8"/>
      <c r="O1166" s="8"/>
      <c r="P1166" s="8"/>
      <c r="Q1166" s="8"/>
      <c r="R1166" s="8"/>
      <c r="S1166" s="8"/>
      <c r="U1166" s="34"/>
      <c r="V1166" s="34"/>
      <c r="W1166" s="34"/>
      <c r="X1166" s="34"/>
      <c r="Y1166" s="34"/>
      <c r="Z1166" s="34"/>
      <c r="AA1166" s="34"/>
      <c r="AB1166" s="34"/>
      <c r="AC1166" s="34"/>
      <c r="AD1166" s="34"/>
      <c r="AE1166" s="34"/>
      <c r="AF1166" s="34"/>
      <c r="AG1166" s="34"/>
      <c r="AH1166" s="34"/>
      <c r="AI1166" s="34"/>
      <c r="AJ1166" s="34"/>
      <c r="AK1166" s="34"/>
      <c r="AL1166" s="34"/>
      <c r="AM1166" s="34"/>
      <c r="AN1166" s="34"/>
      <c r="AO1166" s="34"/>
      <c r="AP1166" s="34"/>
      <c r="AQ1166" s="34"/>
      <c r="AR1166" s="34"/>
      <c r="AS1166" s="34"/>
      <c r="AT1166" s="34"/>
      <c r="AU1166" s="34"/>
      <c r="AV1166" s="34"/>
      <c r="AW1166" s="34"/>
      <c r="AX1166" s="34"/>
      <c r="AY1166" s="34"/>
      <c r="AZ1166" s="34"/>
      <c r="BA1166" s="34"/>
      <c r="BB1166" s="34"/>
      <c r="BC1166" s="34"/>
      <c r="BD1166" s="34"/>
      <c r="BE1166" s="34"/>
      <c r="BF1166" s="34"/>
      <c r="BG1166" s="34"/>
      <c r="BH1166" s="34"/>
      <c r="BI1166" s="34"/>
      <c r="BJ1166" s="34"/>
      <c r="BK1166" s="34"/>
      <c r="BL1166" s="34"/>
      <c r="BM1166" s="34"/>
      <c r="BN1166" s="34"/>
      <c r="BO1166" s="34"/>
      <c r="BP1166" s="34"/>
      <c r="BQ1166" s="34"/>
      <c r="BR1166" s="34"/>
      <c r="BS1166" s="34"/>
      <c r="BT1166" s="34"/>
      <c r="BU1166" s="34"/>
      <c r="BV1166" s="34"/>
      <c r="BW1166" s="34"/>
      <c r="BX1166" s="34"/>
      <c r="BY1166" s="34"/>
      <c r="BZ1166" s="34"/>
      <c r="CA1166" s="34"/>
      <c r="CB1166" s="34"/>
      <c r="CC1166" s="34"/>
      <c r="CD1166" s="34"/>
      <c r="CE1166" s="34"/>
      <c r="CF1166" s="34"/>
      <c r="CG1166" s="34"/>
      <c r="CH1166" s="34"/>
      <c r="CI1166" s="8"/>
    </row>
    <row r="1167" spans="1:87" x14ac:dyDescent="0.2">
      <c r="A1167" s="8" t="str">
        <f>IF(AND(COUNTIF(W$3:W$13,A$34)&gt;0,A$34&lt;&gt;B1054),A$34,IFERROR(IF(MATCH(A$34,Z$3:Z$13,0)=5,A$34," ")," "))</f>
        <v>C20</v>
      </c>
      <c r="B1167" s="8">
        <f>IF(A1167=" "," ",MAX(B1148:B1166)+1)</f>
        <v>9</v>
      </c>
      <c r="C1167" s="8"/>
      <c r="D1167" s="8"/>
      <c r="E1167" s="8"/>
      <c r="F1167" s="8"/>
      <c r="G1167" s="8"/>
      <c r="H1167" s="8"/>
      <c r="I1167" s="8"/>
      <c r="J1167" s="8"/>
      <c r="K1167" s="8"/>
      <c r="L1167" s="8"/>
      <c r="M1167" s="8"/>
      <c r="N1167" s="8"/>
      <c r="O1167" s="8"/>
      <c r="P1167" s="8"/>
      <c r="Q1167" s="8"/>
      <c r="R1167" s="8"/>
      <c r="S1167" s="8"/>
      <c r="U1167" s="34"/>
      <c r="V1167" s="34"/>
      <c r="W1167" s="34"/>
      <c r="X1167" s="34"/>
      <c r="Y1167" s="34"/>
      <c r="Z1167" s="34"/>
      <c r="AA1167" s="34"/>
      <c r="AB1167" s="34"/>
      <c r="AC1167" s="34"/>
      <c r="AD1167" s="34"/>
      <c r="AE1167" s="34"/>
      <c r="AF1167" s="34"/>
      <c r="AG1167" s="34"/>
      <c r="AH1167" s="34"/>
      <c r="AI1167" s="34"/>
      <c r="AJ1167" s="34"/>
      <c r="AK1167" s="34"/>
      <c r="AL1167" s="34"/>
      <c r="AM1167" s="34"/>
      <c r="AN1167" s="34"/>
      <c r="AO1167" s="34"/>
      <c r="AP1167" s="34"/>
      <c r="AQ1167" s="34"/>
      <c r="AR1167" s="34"/>
      <c r="AS1167" s="34"/>
      <c r="AT1167" s="34"/>
      <c r="AU1167" s="34"/>
      <c r="AV1167" s="34"/>
      <c r="AW1167" s="34"/>
      <c r="AX1167" s="34"/>
      <c r="AY1167" s="34"/>
      <c r="AZ1167" s="34"/>
      <c r="BA1167" s="34"/>
      <c r="BB1167" s="34"/>
      <c r="BC1167" s="34"/>
      <c r="BD1167" s="34"/>
      <c r="BE1167" s="34"/>
      <c r="BF1167" s="34"/>
      <c r="BG1167" s="34"/>
      <c r="BH1167" s="34"/>
      <c r="BI1167" s="34"/>
      <c r="BJ1167" s="34"/>
      <c r="BK1167" s="34"/>
      <c r="BL1167" s="34"/>
      <c r="BM1167" s="34"/>
      <c r="BN1167" s="34"/>
      <c r="BO1167" s="34"/>
      <c r="BP1167" s="34"/>
      <c r="BQ1167" s="34"/>
      <c r="BR1167" s="34"/>
      <c r="BS1167" s="34"/>
      <c r="BT1167" s="34"/>
      <c r="BU1167" s="34"/>
      <c r="BV1167" s="34"/>
      <c r="BW1167" s="34"/>
      <c r="BX1167" s="34"/>
      <c r="BY1167" s="34"/>
      <c r="BZ1167" s="34"/>
      <c r="CA1167" s="34"/>
      <c r="CB1167" s="34"/>
      <c r="CC1167" s="34"/>
      <c r="CD1167" s="34"/>
      <c r="CE1167" s="34"/>
      <c r="CF1167" s="34"/>
      <c r="CG1167" s="34"/>
      <c r="CH1167" s="34"/>
      <c r="CI1167" s="8"/>
    </row>
    <row r="1168" spans="1:87" x14ac:dyDescent="0.2">
      <c r="A1168" s="8" t="str">
        <f>IF(AND(COUNTIF(W$3:W$13,A$35)&gt;0,A$35&lt;&gt;B1054),A$35,IFERROR(IF(MATCH(A$35,Z$3:Z$13,0)=5,A$35," ")," "))</f>
        <v>C21</v>
      </c>
      <c r="B1168" s="8">
        <f>IF(A1168=" "," ",MAX(B1148:B1167)+1)</f>
        <v>10</v>
      </c>
      <c r="C1168" s="8"/>
      <c r="D1168" s="8"/>
      <c r="E1168" s="8"/>
      <c r="F1168" s="8"/>
      <c r="G1168" s="8"/>
      <c r="H1168" s="8"/>
      <c r="I1168" s="8"/>
      <c r="J1168" s="8"/>
      <c r="K1168" s="8"/>
      <c r="L1168" s="8"/>
      <c r="M1168" s="8"/>
      <c r="N1168" s="8"/>
      <c r="O1168" s="8"/>
      <c r="P1168" s="8"/>
      <c r="Q1168" s="8"/>
      <c r="R1168" s="8"/>
      <c r="S1168" s="8"/>
      <c r="U1168" s="34"/>
      <c r="V1168" s="34"/>
      <c r="W1168" s="34"/>
      <c r="X1168" s="34"/>
      <c r="Y1168" s="34"/>
      <c r="Z1168" s="34"/>
      <c r="AA1168" s="34"/>
      <c r="AB1168" s="34"/>
      <c r="AC1168" s="34"/>
      <c r="AD1168" s="34"/>
      <c r="AE1168" s="34"/>
      <c r="AF1168" s="34"/>
      <c r="AG1168" s="34"/>
      <c r="AH1168" s="34"/>
      <c r="AI1168" s="34"/>
      <c r="AJ1168" s="34"/>
      <c r="AK1168" s="34"/>
      <c r="AL1168" s="34"/>
      <c r="AM1168" s="34"/>
      <c r="AN1168" s="34"/>
      <c r="AO1168" s="34"/>
      <c r="AP1168" s="34"/>
      <c r="AQ1168" s="34"/>
      <c r="AR1168" s="34"/>
      <c r="AS1168" s="34"/>
      <c r="AT1168" s="34"/>
      <c r="AU1168" s="34"/>
      <c r="AV1168" s="34"/>
      <c r="AW1168" s="34"/>
      <c r="AX1168" s="34"/>
      <c r="AY1168" s="34"/>
      <c r="AZ1168" s="34"/>
      <c r="BA1168" s="34"/>
      <c r="BB1168" s="34"/>
      <c r="BC1168" s="34"/>
      <c r="BD1168" s="34"/>
      <c r="BE1168" s="34"/>
      <c r="BF1168" s="34"/>
      <c r="BG1168" s="34"/>
      <c r="BH1168" s="34"/>
      <c r="BI1168" s="34"/>
      <c r="BJ1168" s="34"/>
      <c r="BK1168" s="34"/>
      <c r="BL1168" s="34"/>
      <c r="BM1168" s="34"/>
      <c r="BN1168" s="34"/>
      <c r="BO1168" s="34"/>
      <c r="BP1168" s="34"/>
      <c r="BQ1168" s="34"/>
      <c r="BR1168" s="34"/>
      <c r="BS1168" s="34"/>
      <c r="BT1168" s="34"/>
      <c r="BU1168" s="34"/>
      <c r="BV1168" s="34"/>
      <c r="BW1168" s="34"/>
      <c r="BX1168" s="34"/>
      <c r="BY1168" s="34"/>
      <c r="BZ1168" s="34"/>
      <c r="CA1168" s="34"/>
      <c r="CB1168" s="34"/>
      <c r="CC1168" s="34"/>
      <c r="CD1168" s="34"/>
      <c r="CE1168" s="34"/>
      <c r="CF1168" s="34"/>
      <c r="CG1168" s="34"/>
      <c r="CH1168" s="34"/>
      <c r="CI1168" s="8"/>
    </row>
    <row r="1169" spans="1:87" x14ac:dyDescent="0.2">
      <c r="A1169" s="8" t="str">
        <f>IF(AND(COUNTIF(W$3:W$13,A$36)&gt;0,A$36&lt;&gt;B1054),A$36,IFERROR(IF(MATCH(A$36,Z$3:Z$13,0)=5,A$36," ")," "))</f>
        <v>C22</v>
      </c>
      <c r="B1169" s="8">
        <f>IF(A1169=" "," ",MAX(B1148:B1168)+1)</f>
        <v>11</v>
      </c>
      <c r="C1169" s="8"/>
      <c r="D1169" s="8"/>
      <c r="E1169" s="8"/>
      <c r="F1169" s="8"/>
      <c r="G1169" s="8"/>
      <c r="H1169" s="8"/>
      <c r="I1169" s="8"/>
      <c r="J1169" s="8"/>
      <c r="K1169" s="8"/>
      <c r="L1169" s="8"/>
      <c r="M1169" s="8"/>
      <c r="N1169" s="8"/>
      <c r="O1169" s="8"/>
      <c r="P1169" s="8"/>
      <c r="Q1169" s="8"/>
      <c r="R1169" s="8"/>
      <c r="S1169" s="8"/>
      <c r="U1169" s="34"/>
      <c r="V1169" s="34"/>
      <c r="W1169" s="34"/>
      <c r="X1169" s="34"/>
      <c r="Y1169" s="34"/>
      <c r="Z1169" s="34"/>
      <c r="AA1169" s="34"/>
      <c r="AB1169" s="34"/>
      <c r="AC1169" s="34"/>
      <c r="AD1169" s="34"/>
      <c r="AE1169" s="34"/>
      <c r="AF1169" s="34"/>
      <c r="AG1169" s="34"/>
      <c r="AH1169" s="34"/>
      <c r="AI1169" s="34"/>
      <c r="AJ1169" s="34"/>
      <c r="AK1169" s="34"/>
      <c r="AL1169" s="34"/>
      <c r="AM1169" s="34"/>
      <c r="AN1169" s="34"/>
      <c r="AO1169" s="34"/>
      <c r="AP1169" s="34"/>
      <c r="AQ1169" s="34"/>
      <c r="AR1169" s="34"/>
      <c r="AS1169" s="34"/>
      <c r="AT1169" s="34"/>
      <c r="AU1169" s="34"/>
      <c r="AV1169" s="34"/>
      <c r="AW1169" s="34"/>
      <c r="AX1169" s="34"/>
      <c r="AY1169" s="34"/>
      <c r="AZ1169" s="34"/>
      <c r="BA1169" s="34"/>
      <c r="BB1169" s="34"/>
      <c r="BC1169" s="34"/>
      <c r="BD1169" s="34"/>
      <c r="BE1169" s="34"/>
      <c r="BF1169" s="34"/>
      <c r="BG1169" s="34"/>
      <c r="BH1169" s="34"/>
      <c r="BI1169" s="34"/>
      <c r="BJ1169" s="34"/>
      <c r="BK1169" s="34"/>
      <c r="BL1169" s="34"/>
      <c r="BM1169" s="34"/>
      <c r="BN1169" s="34"/>
      <c r="BO1169" s="34"/>
      <c r="BP1169" s="34"/>
      <c r="BQ1169" s="34"/>
      <c r="BR1169" s="34"/>
      <c r="BS1169" s="34"/>
      <c r="BT1169" s="34"/>
      <c r="BU1169" s="34"/>
      <c r="BV1169" s="34"/>
      <c r="BW1169" s="34"/>
      <c r="BX1169" s="34"/>
      <c r="BY1169" s="34"/>
      <c r="BZ1169" s="34"/>
      <c r="CA1169" s="34"/>
      <c r="CB1169" s="34"/>
      <c r="CC1169" s="34"/>
      <c r="CD1169" s="34"/>
      <c r="CE1169" s="34"/>
      <c r="CF1169" s="34"/>
      <c r="CG1169" s="34"/>
      <c r="CH1169" s="34"/>
      <c r="CI1169" s="8"/>
    </row>
    <row r="1170" spans="1:87" x14ac:dyDescent="0.2">
      <c r="A1170" s="11" t="s">
        <v>17</v>
      </c>
      <c r="B1170" s="11"/>
      <c r="C1170" s="27" t="s">
        <v>18</v>
      </c>
      <c r="D1170" s="27" t="s">
        <v>2</v>
      </c>
      <c r="E1170" s="27" t="s">
        <v>6</v>
      </c>
      <c r="F1170" s="27" t="s">
        <v>15</v>
      </c>
      <c r="G1170" s="27" t="s">
        <v>36</v>
      </c>
      <c r="H1170" s="27" t="s">
        <v>37</v>
      </c>
      <c r="I1170" s="27" t="s">
        <v>38</v>
      </c>
      <c r="J1170" s="27" t="s">
        <v>39</v>
      </c>
      <c r="K1170" s="27" t="s">
        <v>40</v>
      </c>
      <c r="L1170" s="27" t="s">
        <v>41</v>
      </c>
      <c r="M1170" s="27" t="s">
        <v>42</v>
      </c>
      <c r="N1170" s="27" t="s">
        <v>43</v>
      </c>
      <c r="O1170" s="27" t="s">
        <v>9</v>
      </c>
      <c r="P1170" s="27" t="s">
        <v>12</v>
      </c>
      <c r="Q1170" s="27" t="s">
        <v>19</v>
      </c>
      <c r="R1170" s="27" t="s">
        <v>55</v>
      </c>
      <c r="S1170" s="27" t="s">
        <v>26</v>
      </c>
      <c r="T1170" s="19" t="s">
        <v>25</v>
      </c>
      <c r="U1170" s="33" t="s">
        <v>27</v>
      </c>
      <c r="V1170" s="33" t="s">
        <v>9</v>
      </c>
      <c r="W1170" s="33" t="s">
        <v>23</v>
      </c>
      <c r="X1170" s="33" t="s">
        <v>12</v>
      </c>
      <c r="Y1170" s="33" t="s">
        <v>26</v>
      </c>
      <c r="Z1170" s="33" t="s">
        <v>25</v>
      </c>
      <c r="AA1170" s="33" t="s">
        <v>27</v>
      </c>
      <c r="AB1170" s="33" t="s">
        <v>9</v>
      </c>
      <c r="AC1170" s="33" t="s">
        <v>23</v>
      </c>
      <c r="AD1170" s="33" t="s">
        <v>12</v>
      </c>
      <c r="AE1170" s="33" t="s">
        <v>26</v>
      </c>
      <c r="AF1170" s="33" t="s">
        <v>25</v>
      </c>
      <c r="AG1170" s="33" t="s">
        <v>27</v>
      </c>
      <c r="AH1170" s="33" t="s">
        <v>9</v>
      </c>
      <c r="AI1170" s="33" t="s">
        <v>23</v>
      </c>
      <c r="AJ1170" s="33" t="s">
        <v>12</v>
      </c>
      <c r="AK1170" s="33" t="s">
        <v>26</v>
      </c>
      <c r="AL1170" s="33" t="s">
        <v>25</v>
      </c>
      <c r="AM1170" s="33" t="s">
        <v>27</v>
      </c>
      <c r="AN1170" s="33" t="s">
        <v>9</v>
      </c>
      <c r="AO1170" s="33" t="s">
        <v>23</v>
      </c>
      <c r="AP1170" s="33" t="s">
        <v>12</v>
      </c>
      <c r="AQ1170" s="33" t="s">
        <v>26</v>
      </c>
      <c r="AR1170" s="33" t="s">
        <v>25</v>
      </c>
      <c r="AS1170" s="33" t="s">
        <v>27</v>
      </c>
      <c r="AT1170" s="33" t="s">
        <v>9</v>
      </c>
      <c r="AU1170" s="33" t="s">
        <v>23</v>
      </c>
      <c r="AV1170" s="33" t="s">
        <v>12</v>
      </c>
      <c r="AW1170" s="33" t="s">
        <v>26</v>
      </c>
      <c r="AX1170" s="33" t="s">
        <v>25</v>
      </c>
      <c r="AY1170" s="33" t="s">
        <v>27</v>
      </c>
      <c r="AZ1170" s="33" t="s">
        <v>9</v>
      </c>
      <c r="BA1170" s="33" t="s">
        <v>23</v>
      </c>
      <c r="BB1170" s="33" t="s">
        <v>12</v>
      </c>
      <c r="BC1170" s="33" t="s">
        <v>26</v>
      </c>
      <c r="BD1170" s="33" t="s">
        <v>25</v>
      </c>
      <c r="BE1170" s="33" t="s">
        <v>27</v>
      </c>
      <c r="BF1170" s="33" t="s">
        <v>9</v>
      </c>
      <c r="BG1170" s="33" t="s">
        <v>23</v>
      </c>
      <c r="BH1170" s="33" t="s">
        <v>12</v>
      </c>
      <c r="BI1170" s="33" t="s">
        <v>26</v>
      </c>
      <c r="BJ1170" s="33" t="s">
        <v>25</v>
      </c>
      <c r="BK1170" s="33" t="s">
        <v>27</v>
      </c>
      <c r="BL1170" s="33" t="s">
        <v>9</v>
      </c>
      <c r="BM1170" s="33" t="s">
        <v>23</v>
      </c>
      <c r="BN1170" s="33" t="s">
        <v>12</v>
      </c>
      <c r="BO1170" s="33" t="s">
        <v>26</v>
      </c>
      <c r="BP1170" s="33" t="s">
        <v>25</v>
      </c>
      <c r="BQ1170" s="33" t="s">
        <v>27</v>
      </c>
      <c r="BR1170" s="33" t="s">
        <v>9</v>
      </c>
      <c r="BS1170" s="33" t="s">
        <v>23</v>
      </c>
      <c r="BT1170" s="33" t="s">
        <v>12</v>
      </c>
      <c r="BU1170" s="33" t="s">
        <v>26</v>
      </c>
      <c r="BV1170" s="33" t="s">
        <v>25</v>
      </c>
      <c r="BW1170" s="33" t="s">
        <v>27</v>
      </c>
      <c r="BX1170" s="33" t="s">
        <v>9</v>
      </c>
      <c r="BY1170" s="33" t="s">
        <v>23</v>
      </c>
      <c r="BZ1170" s="33" t="s">
        <v>12</v>
      </c>
      <c r="CA1170" s="33" t="s">
        <v>26</v>
      </c>
      <c r="CB1170" s="33" t="s">
        <v>25</v>
      </c>
      <c r="CC1170" s="33" t="s">
        <v>27</v>
      </c>
      <c r="CD1170" s="33" t="s">
        <v>9</v>
      </c>
      <c r="CE1170" s="33" t="s">
        <v>23</v>
      </c>
      <c r="CF1170" s="33" t="s">
        <v>12</v>
      </c>
      <c r="CG1170" s="33" t="s">
        <v>26</v>
      </c>
      <c r="CH1170" s="33" t="s">
        <v>25</v>
      </c>
      <c r="CI1170" s="8"/>
    </row>
    <row r="1171" spans="1:87" x14ac:dyDescent="0.2">
      <c r="A1171" s="8" t="str">
        <f>IF(AND(COUNTIF(W$3:W$13,A$15)&gt;0,A$15&lt;&gt;B1054),A$15,IFERROR(IF(MATCH(A$15,Z$3:Z$13,0)=6,A$15," ")," "))</f>
        <v xml:space="preserve"> </v>
      </c>
      <c r="B1171" s="8" t="str">
        <f>IF(A1171=" "," ",1)</f>
        <v xml:space="preserve"> </v>
      </c>
      <c r="C1171" s="8" t="str">
        <f>IFERROR(INDEX(A1171:A1192,MATCH(SMALL(B1171:B1192,1),B1171:B1192,0),1)," ")</f>
        <v>C3</v>
      </c>
      <c r="D1171" s="8">
        <f>IFERROR(VLOOKUP($C1171,$A$15:$O$36,2,FALSE)," ")</f>
        <v>2</v>
      </c>
      <c r="E1171" s="8">
        <f>IFERROR(VLOOKUP($C1171,$A$15:$O$36,3,FALSE)," ")</f>
        <v>5</v>
      </c>
      <c r="F1171" s="8">
        <f>IFERROR(VLOOKUP($C1171,$A$15:$O$36,4,FALSE)," ")</f>
        <v>6</v>
      </c>
      <c r="G1171" s="8">
        <f>IFERROR(VLOOKUP($C1171,$A$15:$O$36,5,FALSE)," ")</f>
        <v>0</v>
      </c>
      <c r="H1171" s="8">
        <f>IFERROR(VLOOKUP($C1171,$A$15:$O$36,6,FALSE)," ")</f>
        <v>0</v>
      </c>
      <c r="I1171" s="8">
        <f>IFERROR(VLOOKUP($C1171,$A$15:$O$36,7,FALSE)," ")</f>
        <v>0</v>
      </c>
      <c r="J1171" s="8">
        <f>IFERROR(VLOOKUP($C1171,$A$15:$O$36,8,FALSE)," ")</f>
        <v>0</v>
      </c>
      <c r="K1171" s="8">
        <f>IFERROR(VLOOKUP($C1171,$A$15:$O$36,9,FALSE)," ")</f>
        <v>0</v>
      </c>
      <c r="L1171" s="8">
        <f>IFERROR(VLOOKUP($C1171,$A$15:$O$36,10,FALSE)," ")</f>
        <v>0</v>
      </c>
      <c r="M1171" s="8">
        <f>IFERROR(VLOOKUP($C1171,$A$15:$O$36,11,FALSE)," ")</f>
        <v>0</v>
      </c>
      <c r="N1171" s="8">
        <f>IFERROR(VLOOKUP($C1171,$A$15:$O$36,12,FALSE)," ")</f>
        <v>0</v>
      </c>
      <c r="O1171" s="8">
        <f>IFERROR(VLOOKUP($C1171,$A$15:$O$36,15,FALSE)," ")</f>
        <v>2000</v>
      </c>
      <c r="P1171" s="8" t="e">
        <f t="array" ref="P1171:P1181">MMULT(MINVERSE(D1171:N1181),O1171:O1181)</f>
        <v>#NUM!</v>
      </c>
      <c r="Q1171" s="8" t="e">
        <f t="shared" ref="Q1171" si="4953">IF(COUNTIF(P1171:P1181,"&lt;"&amp;-0.001)=0,IF(ABS(P1171)&lt;0.001,0,P1171)," ")</f>
        <v>#NUM!</v>
      </c>
      <c r="R1171" s="8" t="str">
        <f>IFERROR(VLOOKUP(B1054,A$15:L$36,2,FALSE)*Q1171+VLOOKUP(B1054,A$15:L$36,3,FALSE)*Q1172+VLOOKUP(B1054,A$15:L$36,4,FALSE)*Q1173+VLOOKUP(B1054,A$15:L$36,5,FALSE)*Q1174+VLOOKUP(B1054,A$15:L$36,6,FALSE)*Q1175+VLOOKUP(B1054,A$15:L$36,7,FALSE)*Q1176+VLOOKUP(B1054,A$15:L$36,8,FALSE)*Q1177+VLOOKUP(B1054,A$15:L$36,9,FALSE)*Q1178+VLOOKUP(B1054,A$15:L$36,10,FALSE)*Q1179+VLOOKUP(B1054,A$15:L$36,11,FALSE)*Q1180+VLOOKUP(B1054,A$15:L$36,12,FALSE)*Q1181," ")</f>
        <v xml:space="preserve"> </v>
      </c>
      <c r="S1171" s="8" t="str">
        <f>IFERROR(IF(R1171-VLOOKUP(B1054,A$15:O$36,15,FALSE)&lt;0,R1171-VLOOKUP(B1054,A$15:O$36,15,FALSE)," ")," ")</f>
        <v xml:space="preserve"> </v>
      </c>
      <c r="T1171" s="18" t="str">
        <f>IFERROR(IF(R1171-VLOOKUP(B1054,A$15:O$36,15,FALSE)&gt;0,R1171-VLOOKUP(B1054,A$15:O$36,15,FALSE)," ")," ")</f>
        <v xml:space="preserve"> </v>
      </c>
      <c r="U1171" s="34">
        <f t="shared" ref="U1171" si="4954">$M$2</f>
        <v>100.00000000000001</v>
      </c>
      <c r="V1171" s="34">
        <v>-1</v>
      </c>
      <c r="W1171" s="34">
        <f t="shared" ref="W1171" si="4955">-SUMPRODUCT($M$3:$M$12,$N$3:$N$12)</f>
        <v>-105000</v>
      </c>
      <c r="X1171" s="34" t="e">
        <f t="shared" ref="X1171" si="4956">IF(U1171&lt;&gt;U1172,MMULT(MINVERSE(U1171:V1172),W1171:W1172)," ")</f>
        <v>#NUM!</v>
      </c>
      <c r="Y1171" s="34" t="str">
        <f t="shared" ref="Y1171" si="4957">IFERROR(IF(X1171-VLOOKUP(U$38,$A$2:$N$12,14,FALSE)&lt;0,X1171-VLOOKUP(U$38,$A$2:$N$12,14,FALSE)," ")," ")</f>
        <v xml:space="preserve"> </v>
      </c>
      <c r="Z1171" s="34" t="str">
        <f t="shared" ref="Z1171" si="4958">IFERROR(IF(X1171-VLOOKUP(U$38,$A$2:$N$12,14,FALSE)&gt;0,X1171-VLOOKUP(U$38,$A$2:$N$12,14,FALSE)," ")," ")</f>
        <v xml:space="preserve"> </v>
      </c>
      <c r="AA1171" s="34">
        <f t="shared" ref="AA1171" si="4959">$M$3</f>
        <v>0</v>
      </c>
      <c r="AB1171" s="34">
        <v>-1</v>
      </c>
      <c r="AC1171" s="34">
        <f t="shared" ref="AC1171" si="4960">-SUMPRODUCT($M$2:$M$2,$N$2:$N$2)-SUMPRODUCT($M$4:$M$12,$N$4:$N$12)</f>
        <v>-120000</v>
      </c>
      <c r="AD1171" s="34" t="e">
        <f t="shared" ref="AD1171" si="4961">IF(AA1171&lt;&gt;AA1172,MMULT(MINVERSE(AA1171:AB1172),AC1171:AC1172)," ")</f>
        <v>#NUM!</v>
      </c>
      <c r="AE1171" s="34" t="str">
        <f t="shared" ref="AE1171" si="4962">IFERROR(IF(AD1171-VLOOKUP(AA$38,$A$2:$N$12,14,FALSE)&lt;0,AD1171-VLOOKUP(AA$38,$A$2:$N$12,14,FALSE)," ")," ")</f>
        <v xml:space="preserve"> </v>
      </c>
      <c r="AF1171" s="34" t="str">
        <f t="shared" ref="AF1171" si="4963">IFERROR(IF(AD1171-VLOOKUP(AA$38,$A$2:$N$12,14,FALSE)&gt;0,AD1171-VLOOKUP(AA$38,$A$2:$N$12,14,FALSE)," ")," ")</f>
        <v xml:space="preserve"> </v>
      </c>
      <c r="AG1171" s="34">
        <f t="shared" ref="AG1171" si="4964">$M$4</f>
        <v>300</v>
      </c>
      <c r="AH1171" s="34">
        <v>-1</v>
      </c>
      <c r="AI1171" s="34">
        <f t="shared" ref="AI1171" si="4965">-SUMPRODUCT($M$2:$M$3,$N$2:$N$3)-SUMPRODUCT($M$5:$M$12,$N$5:$N$12)</f>
        <v>-15000.000000000002</v>
      </c>
      <c r="AJ1171" s="34" t="e">
        <f t="shared" ref="AJ1171" si="4966">IF(AG1171&lt;&gt;AG1172,MMULT(MINVERSE(AG1171:AH1172),AI1171:AI1172)," ")</f>
        <v>#NUM!</v>
      </c>
      <c r="AK1171" s="34" t="str">
        <f t="shared" ref="AK1171" si="4967">IFERROR(IF(AJ1171-VLOOKUP(AG$38,$A$2:$N$12,14,FALSE)&lt;0,AJ1171-VLOOKUP(AG$38,$A$2:$N$12,14,FALSE)," ")," ")</f>
        <v xml:space="preserve"> </v>
      </c>
      <c r="AL1171" s="34" t="str">
        <f t="shared" ref="AL1171" si="4968">IFERROR(IF(AJ1171-VLOOKUP(AG$38,$A$2:$N$12,14,FALSE)&gt;0,AJ1171-VLOOKUP(AG$38,$A$2:$N$12,14,FALSE)," ")," ")</f>
        <v xml:space="preserve"> </v>
      </c>
      <c r="AM1171" s="34">
        <f t="shared" ref="AM1171" si="4969">$M$5</f>
        <v>0</v>
      </c>
      <c r="AN1171" s="34">
        <v>-1</v>
      </c>
      <c r="AO1171" s="34">
        <f t="shared" ref="AO1171" si="4970">-SUMPRODUCT($M$2:$M$4,$N$2:$N$4)-SUMPRODUCT($M$6:$M$12,$N$6:$N$12)</f>
        <v>-120000</v>
      </c>
      <c r="AP1171" s="34" t="e">
        <f t="shared" ref="AP1171" si="4971">IF(AM1171&lt;&gt;AM1172,MMULT(MINVERSE(AM1171:AN1172),AO1171:AO1172)," ")</f>
        <v>#NUM!</v>
      </c>
      <c r="AQ1171" s="34" t="str">
        <f t="shared" ref="AQ1171" si="4972">IFERROR(IF(AP1171-VLOOKUP(AM$38,$A$2:$N$12,14,FALSE)&lt;0,AP1171-VLOOKUP(AM$38,$A$2:$N$12,14,FALSE)," ")," ")</f>
        <v xml:space="preserve"> </v>
      </c>
      <c r="AR1171" s="34" t="str">
        <f t="shared" ref="AR1171" si="4973">IFERROR(IF(AP1171-VLOOKUP(AM$38,$A$2:$N$12,14,FALSE)&gt;0,AP1171-VLOOKUP(AM$38,$A$2:$N$12,14,FALSE)," ")," ")</f>
        <v xml:space="preserve"> </v>
      </c>
      <c r="AS1171" s="34">
        <f t="shared" ref="AS1171" si="4974">$M$6</f>
        <v>0</v>
      </c>
      <c r="AT1171" s="34">
        <v>-1</v>
      </c>
      <c r="AU1171" s="34">
        <f t="shared" ref="AU1171" si="4975">-SUMPRODUCT($M$2:$M$5,$N$2:$N$5)-SUMPRODUCT($M$7:$M$12,$N$7:$N$12)</f>
        <v>-120000</v>
      </c>
      <c r="AV1171" s="34" t="e">
        <f t="shared" ref="AV1171" si="4976">IF(AS1171&lt;&gt;AS1172,MMULT(MINVERSE(AS1171:AT1172),AU1171:AU1172)," ")</f>
        <v>#NUM!</v>
      </c>
      <c r="AW1171" s="34" t="str">
        <f t="shared" ref="AW1171" si="4977">IFERROR(IF(AV1171-VLOOKUP(AS$38,$A$2:$N$12,14,FALSE)&lt;0,AV1171-VLOOKUP(AS$38,$A$2:$N$12,14,FALSE)," ")," ")</f>
        <v xml:space="preserve"> </v>
      </c>
      <c r="AX1171" s="34" t="str">
        <f t="shared" ref="AX1171" si="4978">IFERROR(IF(AV1171-VLOOKUP(AS$38,$A$2:$N$12,14,FALSE)&gt;0,AV1171-VLOOKUP(AS$38,$A$2:$N$12,14,FALSE)," ")," ")</f>
        <v xml:space="preserve"> </v>
      </c>
      <c r="AY1171" s="34">
        <f t="shared" ref="AY1171" si="4979">$M$7</f>
        <v>0</v>
      </c>
      <c r="AZ1171" s="34">
        <v>-1</v>
      </c>
      <c r="BA1171" s="34">
        <f t="shared" ref="BA1171" si="4980">-SUMPRODUCT($M$2:$M$6,$N$2:$N$6)-SUMPRODUCT($M$8:$M$12,$N$8:$N$12)</f>
        <v>-120000</v>
      </c>
      <c r="BB1171" s="34" t="e">
        <f t="shared" ref="BB1171" si="4981">IF(AY1171&lt;&gt;AY1172,MMULT(MINVERSE(AY1171:AZ1172),BA1171:BA1172)," ")</f>
        <v>#NUM!</v>
      </c>
      <c r="BC1171" s="34" t="str">
        <f t="shared" ref="BC1171" si="4982">IFERROR(IF(BB1171-VLOOKUP(AY$38,$A$2:$N$12,14,FALSE)&lt;0,BB1171-VLOOKUP(AY$38,$A$2:$N$12,14,FALSE)," ")," ")</f>
        <v xml:space="preserve"> </v>
      </c>
      <c r="BD1171" s="34" t="str">
        <f t="shared" ref="BD1171" si="4983">IFERROR(IF(BB1171-VLOOKUP(AY$38,$A$2:$N$12,14,FALSE)&gt;0,BB1171-VLOOKUP(AY$38,$A$2:$N$12,14,FALSE)," ")," ")</f>
        <v xml:space="preserve"> </v>
      </c>
      <c r="BE1171" s="34">
        <f t="shared" ref="BE1171" si="4984">$M$8</f>
        <v>0</v>
      </c>
      <c r="BF1171" s="34">
        <v>-1</v>
      </c>
      <c r="BG1171" s="34">
        <f t="shared" ref="BG1171" si="4985">-SUMPRODUCT($M$2:$M$7,$N$2:$N$7)-SUMPRODUCT($M$9:$M$12,$N$9:$N$12)</f>
        <v>-120000</v>
      </c>
      <c r="BH1171" s="34" t="e">
        <f t="shared" ref="BH1171" si="4986">IF(BE1171&lt;&gt;BE1172,MMULT(MINVERSE(BE1171:BF1172),BG1171:BG1172)," ")</f>
        <v>#NUM!</v>
      </c>
      <c r="BI1171" s="34" t="str">
        <f t="shared" ref="BI1171" si="4987">IFERROR(IF(BH1171-VLOOKUP(BE$38,$A$2:$N$12,14,FALSE)&lt;0,BH1171-VLOOKUP(BE$38,$A$2:$N$12,14,FALSE)," ")," ")</f>
        <v xml:space="preserve"> </v>
      </c>
      <c r="BJ1171" s="34" t="str">
        <f t="shared" ref="BJ1171" si="4988">IFERROR(IF(BH1171-VLOOKUP(BE$38,$A$2:$N$12,14,FALSE)&gt;0,BH1171-VLOOKUP(BE$38,$A$2:$N$12,14,FALSE)," ")," ")</f>
        <v xml:space="preserve"> </v>
      </c>
      <c r="BK1171" s="34">
        <f t="shared" ref="BK1171" si="4989">$M$9</f>
        <v>0</v>
      </c>
      <c r="BL1171" s="34">
        <v>-1</v>
      </c>
      <c r="BM1171" s="34">
        <f t="shared" ref="BM1171" si="4990">-SUMPRODUCT($M$2:$M$8,$N$2:$N$8)-SUMPRODUCT($M$10:$M$12,$N$10:$N$12)</f>
        <v>-120000</v>
      </c>
      <c r="BN1171" s="34" t="e">
        <f t="shared" ref="BN1171" si="4991">IF(BK1171&lt;&gt;BK1172,MMULT(MINVERSE(BK1171:BL1172),BM1171:BM1172)," ")</f>
        <v>#NUM!</v>
      </c>
      <c r="BO1171" s="34" t="str">
        <f t="shared" ref="BO1171" si="4992">IFERROR(IF(BN1171-VLOOKUP(BK$38,$A$2:$N$12,14,FALSE)&lt;0,BN1171-VLOOKUP(BK$38,$A$2:$N$12,14,FALSE)," ")," ")</f>
        <v xml:space="preserve"> </v>
      </c>
      <c r="BP1171" s="34" t="str">
        <f t="shared" ref="BP1171" si="4993">IFERROR(IF(BN1171-VLOOKUP(BK$38,$A$2:$N$12,14,FALSE)&gt;0,BN1171-VLOOKUP(BK$38,$A$2:$N$12,14,FALSE)," ")," ")</f>
        <v xml:space="preserve"> </v>
      </c>
      <c r="BQ1171" s="34">
        <f t="shared" ref="BQ1171" si="4994">$M$10</f>
        <v>0</v>
      </c>
      <c r="BR1171" s="34">
        <v>-1</v>
      </c>
      <c r="BS1171" s="34">
        <f t="shared" ref="BS1171" si="4995">-SUMPRODUCT($M$2:$M$9,$N$2:$N$9)-SUMPRODUCT($M$11:$M$12,$N$11:$N$12)</f>
        <v>-120000</v>
      </c>
      <c r="BT1171" s="34" t="e">
        <f t="shared" ref="BT1171" si="4996">IF(BQ1171&lt;&gt;BQ1172,MMULT(MINVERSE(BQ1171:BR1172),BS1171:BS1172)," ")</f>
        <v>#NUM!</v>
      </c>
      <c r="BU1171" s="34" t="str">
        <f t="shared" ref="BU1171" si="4997">IFERROR(IF(BT1171-VLOOKUP(BQ$38,$A$2:$N$12,14,FALSE)&lt;0,BT1171-VLOOKUP(BQ$38,$A$2:$N$12,14,FALSE)," ")," ")</f>
        <v xml:space="preserve"> </v>
      </c>
      <c r="BV1171" s="34" t="str">
        <f t="shared" ref="BV1171" si="4998">IFERROR(IF(BT1171-VLOOKUP(BQ$38,$A$2:$N$12,14,FALSE)&gt;0,BT1171-VLOOKUP(BQ$38,$A$2:$N$12,14,FALSE)," ")," ")</f>
        <v xml:space="preserve"> </v>
      </c>
      <c r="BW1171" s="34">
        <f t="shared" ref="BW1171" si="4999">$M$11</f>
        <v>0</v>
      </c>
      <c r="BX1171" s="34">
        <v>-1</v>
      </c>
      <c r="BY1171" s="34">
        <f t="shared" ref="BY1171" si="5000">-SUMPRODUCT($M$2:$M$10,$N$2:$N$10)-SUMPRODUCT($M$12,$N$12)</f>
        <v>-120000</v>
      </c>
      <c r="BZ1171" s="34" t="e">
        <f t="shared" ref="BZ1171" si="5001">IF(BW1171&lt;&gt;BW1172,MMULT(MINVERSE(BW1171:BX1172),BY1171:BY1172)," ")</f>
        <v>#NUM!</v>
      </c>
      <c r="CA1171" s="34" t="str">
        <f t="shared" ref="CA1171" si="5002">IFERROR(IF(BZ1171-VLOOKUP(BW$38,$A$2:$N$12,14,FALSE)&lt;0,BZ1171-VLOOKUP(BW$38,$A$2:$N$12,14,FALSE)," ")," ")</f>
        <v xml:space="preserve"> </v>
      </c>
      <c r="CB1171" s="34" t="str">
        <f t="shared" ref="CB1171" si="5003">IFERROR(IF(BZ1171-VLOOKUP(BW$38,$A$2:$N$12,14,FALSE)&gt;0,BZ1171-VLOOKUP(BW$38,$A$2:$N$12,14,FALSE)," ")," ")</f>
        <v xml:space="preserve"> </v>
      </c>
      <c r="CC1171" s="34">
        <f t="shared" ref="CC1171" si="5004">$M$12</f>
        <v>0</v>
      </c>
      <c r="CD1171" s="34">
        <v>-1</v>
      </c>
      <c r="CE1171" s="34">
        <f t="shared" ref="CE1171" si="5005">-SUMPRODUCT($M$2:$M$11,$N$2:$N$11)</f>
        <v>-120000</v>
      </c>
      <c r="CF1171" s="34" t="e">
        <f t="shared" ref="CF1171" si="5006">IF(CC1171&lt;&gt;CC1172,MMULT(MINVERSE(CC1171:CD1172),CE1171:CE1172)," ")</f>
        <v>#NUM!</v>
      </c>
      <c r="CG1171" s="34" t="str">
        <f t="shared" ref="CG1171" si="5007">IFERROR(IF(CF1171-VLOOKUP(CC$38,$A$2:$N$12,14,FALSE)&lt;0,CF1171-VLOOKUP(CC$38,$A$2:$N$12,14,FALSE)," ")," ")</f>
        <v xml:space="preserve"> </v>
      </c>
      <c r="CH1171" s="34" t="str">
        <f t="shared" ref="CH1171" si="5008">IFERROR(IF(CF1171-VLOOKUP(CC$38,$A$2:$N$12,14,FALSE)&gt;0,CF1171-VLOOKUP(CC$38,$A$2:$N$12,14,FALSE)," ")," ")</f>
        <v xml:space="preserve"> </v>
      </c>
      <c r="CI1171" s="8"/>
    </row>
    <row r="1172" spans="1:87" x14ac:dyDescent="0.2">
      <c r="A1172" s="8" t="str">
        <f>IF(AND(COUNTIF(W$3:W$13,A$16)&gt;0,A$16&lt;&gt;B1054),A$16,IFERROR(IF(MATCH(A$16,Z$3:Z$13,0)=6,A$16," ")," "))</f>
        <v xml:space="preserve"> </v>
      </c>
      <c r="B1172" s="8" t="str">
        <f>IF(A1172=" "," ",MAX(B1171:B1171)+1)</f>
        <v xml:space="preserve"> </v>
      </c>
      <c r="C1172" s="8" t="str">
        <f>IFERROR(INDEX(A1171:A1192,MATCH(SMALL(B1171:B1192,2),B1171:B1192,0),1)," ")</f>
        <v>C4</v>
      </c>
      <c r="D1172" s="8">
        <f t="shared" ref="D1172:D1181" si="5009">IFERROR(VLOOKUP($C1172,$A$15:$O$36,2,FALSE)," ")</f>
        <v>1</v>
      </c>
      <c r="E1172" s="8">
        <f t="shared" ref="E1172:E1181" si="5010">IFERROR(VLOOKUP($C1172,$A$15:$O$36,3,FALSE)," ")</f>
        <v>0</v>
      </c>
      <c r="F1172" s="8">
        <f t="shared" ref="F1172:F1181" si="5011">IFERROR(VLOOKUP($C1172,$A$15:$O$36,4,FALSE)," ")</f>
        <v>1</v>
      </c>
      <c r="G1172" s="8">
        <f t="shared" ref="G1172:G1181" si="5012">IFERROR(VLOOKUP($C1172,$A$15:$O$36,5,FALSE)," ")</f>
        <v>0</v>
      </c>
      <c r="H1172" s="8">
        <f t="shared" ref="H1172:H1181" si="5013">IFERROR(VLOOKUP($C1172,$A$15:$O$36,6,FALSE)," ")</f>
        <v>0</v>
      </c>
      <c r="I1172" s="8">
        <f t="shared" ref="I1172:I1181" si="5014">IFERROR(VLOOKUP($C1172,$A$15:$O$36,7,FALSE)," ")</f>
        <v>0</v>
      </c>
      <c r="J1172" s="8">
        <f t="shared" ref="J1172:J1181" si="5015">IFERROR(VLOOKUP($C1172,$A$15:$O$36,8,FALSE)," ")</f>
        <v>0</v>
      </c>
      <c r="K1172" s="8">
        <f t="shared" ref="K1172:K1181" si="5016">IFERROR(VLOOKUP($C1172,$A$15:$O$36,9,FALSE)," ")</f>
        <v>0</v>
      </c>
      <c r="L1172" s="8">
        <f t="shared" ref="L1172:L1181" si="5017">IFERROR(VLOOKUP($C1172,$A$15:$O$36,10,FALSE)," ")</f>
        <v>0</v>
      </c>
      <c r="M1172" s="8">
        <f t="shared" ref="M1172:M1181" si="5018">IFERROR(VLOOKUP($C1172,$A$15:$O$36,11,FALSE)," ")</f>
        <v>0</v>
      </c>
      <c r="N1172" s="8">
        <f t="shared" ref="N1172:N1181" si="5019">IFERROR(VLOOKUP($C1172,$A$15:$O$36,12,FALSE)," ")</f>
        <v>0</v>
      </c>
      <c r="O1172" s="8">
        <f t="shared" ref="O1172:O1181" si="5020">IFERROR(VLOOKUP($C1172,$A$15:$O$36,15,FALSE)," ")</f>
        <v>400</v>
      </c>
      <c r="P1172" s="8" t="e">
        <v>#NUM!</v>
      </c>
      <c r="Q1172" s="8" t="e">
        <f t="shared" ref="Q1172" si="5021">IF(COUNTIF(P1171:P1181,"&lt;"&amp;-0.001)=0,IF(ABS(P1172)&lt;0.001,0,P1172)," ")</f>
        <v>#NUM!</v>
      </c>
      <c r="R1172" s="8"/>
      <c r="S1172" s="8"/>
      <c r="U1172" s="34" t="e">
        <f t="shared" ref="U1172" si="5022">$Q1171</f>
        <v>#NUM!</v>
      </c>
      <c r="V1172" s="34">
        <v>-1</v>
      </c>
      <c r="W1172" s="34" t="e">
        <f t="shared" ref="W1172" si="5023">-SUMPRODUCT($Q1172:$Q1181,$N$3:$N$12)</f>
        <v>#NUM!</v>
      </c>
      <c r="X1172" s="34"/>
      <c r="Y1172" s="34"/>
      <c r="Z1172" s="34"/>
      <c r="AA1172" s="34" t="e">
        <f t="shared" ref="AA1172" si="5024">$Q1172</f>
        <v>#NUM!</v>
      </c>
      <c r="AB1172" s="34">
        <v>-1</v>
      </c>
      <c r="AC1172" s="34" t="e">
        <f t="shared" ref="AC1172" si="5025">-SUMPRODUCT($Q1171:$Q1171,$N$2:$N$2)-SUMPRODUCT($Q1173:$Q1181,$N$4:$N$12)</f>
        <v>#NUM!</v>
      </c>
      <c r="AD1172" s="34"/>
      <c r="AE1172" s="34"/>
      <c r="AF1172" s="34"/>
      <c r="AG1172" s="34" t="e">
        <f t="shared" ref="AG1172" si="5026">$Q1173</f>
        <v>#NUM!</v>
      </c>
      <c r="AH1172" s="34">
        <v>-1</v>
      </c>
      <c r="AI1172" s="34" t="e">
        <f t="shared" ref="AI1172" si="5027">-SUMPRODUCT($Q1171:$Q1172,$N$2:$N$3)-SUMPRODUCT($Q1174:$Q1181,$N$5:$N$12)</f>
        <v>#NUM!</v>
      </c>
      <c r="AJ1172" s="34"/>
      <c r="AK1172" s="34"/>
      <c r="AL1172" s="34"/>
      <c r="AM1172" s="34" t="e">
        <f t="shared" ref="AM1172" si="5028">$Q1174</f>
        <v>#NUM!</v>
      </c>
      <c r="AN1172" s="34">
        <v>-1</v>
      </c>
      <c r="AO1172" s="34" t="e">
        <f t="shared" ref="AO1172" si="5029">-SUMPRODUCT($Q1171:$Q1173,$N$2:$N$4)-SUMPRODUCT($Q1175:$Q1181,$N$6:$N$12)</f>
        <v>#NUM!</v>
      </c>
      <c r="AP1172" s="34"/>
      <c r="AQ1172" s="34"/>
      <c r="AR1172" s="34"/>
      <c r="AS1172" s="34" t="e">
        <f t="shared" ref="AS1172" si="5030">$Q1175</f>
        <v>#NUM!</v>
      </c>
      <c r="AT1172" s="34">
        <v>-1</v>
      </c>
      <c r="AU1172" s="34" t="e">
        <f t="shared" ref="AU1172" si="5031">-SUMPRODUCT($Q1171:$Q1174,$N$2:$N$5)-SUMPRODUCT($Q1176:$Q1181,$N$7:$N$12)</f>
        <v>#NUM!</v>
      </c>
      <c r="AV1172" s="34"/>
      <c r="AW1172" s="34"/>
      <c r="AX1172" s="34"/>
      <c r="AY1172" s="34" t="e">
        <f t="shared" ref="AY1172" si="5032">$Q1176</f>
        <v>#NUM!</v>
      </c>
      <c r="AZ1172" s="34">
        <v>-1</v>
      </c>
      <c r="BA1172" s="34" t="e">
        <f t="shared" ref="BA1172" si="5033">-SUMPRODUCT($Q1171:$Q1175,$N$2:$N$6)-SUMPRODUCT($Q1177:$Q1181,$N$8:$N$12)</f>
        <v>#NUM!</v>
      </c>
      <c r="BB1172" s="34"/>
      <c r="BC1172" s="34"/>
      <c r="BD1172" s="34"/>
      <c r="BE1172" s="34" t="e">
        <f t="shared" ref="BE1172" si="5034">$Q1177</f>
        <v>#NUM!</v>
      </c>
      <c r="BF1172" s="34">
        <v>-1</v>
      </c>
      <c r="BG1172" s="34" t="e">
        <f t="shared" ref="BG1172" si="5035">-SUMPRODUCT($Q1171:$Q1176,$N$2:$N$7)-SUMPRODUCT($Q1178:$Q1181,$N$9:$N$12)</f>
        <v>#NUM!</v>
      </c>
      <c r="BH1172" s="34"/>
      <c r="BI1172" s="34"/>
      <c r="BJ1172" s="34"/>
      <c r="BK1172" s="34" t="e">
        <f t="shared" ref="BK1172" si="5036">$Q1178</f>
        <v>#NUM!</v>
      </c>
      <c r="BL1172" s="34">
        <v>-1</v>
      </c>
      <c r="BM1172" s="34" t="e">
        <f t="shared" ref="BM1172" si="5037">-SUMPRODUCT($Q1171:$Q1177,$N$2:$N$8)-SUMPRODUCT($Q1179:$Q1181,$N$10:$N$12)</f>
        <v>#NUM!</v>
      </c>
      <c r="BN1172" s="34"/>
      <c r="BO1172" s="34"/>
      <c r="BP1172" s="34"/>
      <c r="BQ1172" s="34" t="e">
        <f t="shared" ref="BQ1172" si="5038">$Q1179</f>
        <v>#NUM!</v>
      </c>
      <c r="BR1172" s="34">
        <v>-1</v>
      </c>
      <c r="BS1172" s="34" t="e">
        <f t="shared" ref="BS1172" si="5039">-SUMPRODUCT($Q1171:$Q1178,$N$2:$N$9)-SUMPRODUCT($Q1180:$Q1181,$N$11:$N$12)</f>
        <v>#NUM!</v>
      </c>
      <c r="BT1172" s="34"/>
      <c r="BU1172" s="34"/>
      <c r="BV1172" s="34"/>
      <c r="BW1172" s="34" t="e">
        <f t="shared" ref="BW1172" si="5040">$Q1180</f>
        <v>#NUM!</v>
      </c>
      <c r="BX1172" s="34">
        <v>-1</v>
      </c>
      <c r="BY1172" s="34" t="e">
        <f t="shared" ref="BY1172" si="5041">-SUMPRODUCT($Q1171:$Q1179,$N$2:$N$10)-SUMPRODUCT($Q1181,$N$12)</f>
        <v>#NUM!</v>
      </c>
      <c r="BZ1172" s="34"/>
      <c r="CA1172" s="34"/>
      <c r="CB1172" s="34"/>
      <c r="CC1172" s="34" t="e">
        <f t="shared" ref="CC1172" si="5042">$Q1181</f>
        <v>#NUM!</v>
      </c>
      <c r="CD1172" s="34">
        <v>-1</v>
      </c>
      <c r="CE1172" s="34" t="e">
        <f t="shared" ref="CE1172" si="5043">-SUMPRODUCT($Q1171:$Q1180,$N$2:$N$11)</f>
        <v>#NUM!</v>
      </c>
      <c r="CF1172" s="34"/>
      <c r="CG1172" s="34"/>
      <c r="CH1172" s="34"/>
      <c r="CI1172" s="8"/>
    </row>
    <row r="1173" spans="1:87" x14ac:dyDescent="0.2">
      <c r="A1173" s="8" t="str">
        <f>IF(AND(COUNTIF(W$3:W$13,A$17)&gt;0,A$17&lt;&gt;B1054),A$17,IFERROR(IF(MATCH(A$17,Z$3:Z$13,0)=6,A$17," ")," "))</f>
        <v>C3</v>
      </c>
      <c r="B1173" s="8">
        <f>IF(A1173=" "," ",MAX(B1171:B1172)+1)</f>
        <v>1</v>
      </c>
      <c r="C1173" s="8" t="str">
        <f>IFERROR(INDEX(A1171:A1192,MATCH(SMALL(B1171:B1192,3),B1171:B1192,0),1)," ")</f>
        <v>C8</v>
      </c>
      <c r="D1173" s="8">
        <f t="shared" si="5009"/>
        <v>0</v>
      </c>
      <c r="E1173" s="8">
        <f t="shared" si="5010"/>
        <v>0</v>
      </c>
      <c r="F1173" s="8">
        <f t="shared" si="5011"/>
        <v>0</v>
      </c>
      <c r="G1173" s="8">
        <f t="shared" si="5012"/>
        <v>0</v>
      </c>
      <c r="H1173" s="8">
        <f t="shared" si="5013"/>
        <v>0</v>
      </c>
      <c r="I1173" s="8">
        <f t="shared" si="5014"/>
        <v>0</v>
      </c>
      <c r="J1173" s="8">
        <f t="shared" si="5015"/>
        <v>0</v>
      </c>
      <c r="K1173" s="8">
        <f t="shared" si="5016"/>
        <v>0</v>
      </c>
      <c r="L1173" s="8">
        <f t="shared" si="5017"/>
        <v>0</v>
      </c>
      <c r="M1173" s="8">
        <f t="shared" si="5018"/>
        <v>0</v>
      </c>
      <c r="N1173" s="8">
        <f t="shared" si="5019"/>
        <v>0</v>
      </c>
      <c r="O1173" s="8">
        <f t="shared" si="5020"/>
        <v>0</v>
      </c>
      <c r="P1173" s="8" t="e">
        <v>#NUM!</v>
      </c>
      <c r="Q1173" s="8" t="e">
        <f t="shared" ref="Q1173" si="5044">IF(COUNTIF(P1171:P1181,"&lt;"&amp;-0.001)=0,IF(ABS(P1173)&lt;0.001,0,P1173)," ")</f>
        <v>#NUM!</v>
      </c>
      <c r="R1173" s="8"/>
      <c r="S1173" s="8"/>
      <c r="U1173" s="34"/>
      <c r="V1173" s="34"/>
      <c r="W1173" s="34"/>
      <c r="X1173" s="34"/>
      <c r="Y1173" s="34"/>
      <c r="Z1173" s="34"/>
      <c r="AA1173" s="34"/>
      <c r="AB1173" s="34"/>
      <c r="AC1173" s="34"/>
      <c r="AD1173" s="34"/>
      <c r="AE1173" s="34"/>
      <c r="AF1173" s="34"/>
      <c r="AG1173" s="34"/>
      <c r="AH1173" s="34"/>
      <c r="AI1173" s="34"/>
      <c r="AJ1173" s="34"/>
      <c r="AK1173" s="34"/>
      <c r="AL1173" s="34"/>
      <c r="AM1173" s="34"/>
      <c r="AN1173" s="34"/>
      <c r="AO1173" s="34"/>
      <c r="AP1173" s="34"/>
      <c r="AQ1173" s="34"/>
      <c r="AR1173" s="34"/>
      <c r="AS1173" s="34"/>
      <c r="AT1173" s="34"/>
      <c r="AU1173" s="34"/>
      <c r="AV1173" s="34"/>
      <c r="AW1173" s="34"/>
      <c r="AX1173" s="34"/>
      <c r="AY1173" s="34"/>
      <c r="AZ1173" s="34"/>
      <c r="BA1173" s="34"/>
      <c r="BB1173" s="34"/>
      <c r="BC1173" s="34"/>
      <c r="BD1173" s="34"/>
      <c r="BE1173" s="34"/>
      <c r="BF1173" s="34"/>
      <c r="BG1173" s="34"/>
      <c r="BH1173" s="34"/>
      <c r="BI1173" s="34"/>
      <c r="BJ1173" s="34"/>
      <c r="BK1173" s="34"/>
      <c r="BL1173" s="34"/>
      <c r="BM1173" s="34"/>
      <c r="BN1173" s="34"/>
      <c r="BO1173" s="34"/>
      <c r="BP1173" s="34"/>
      <c r="BQ1173" s="34"/>
      <c r="BR1173" s="34"/>
      <c r="BS1173" s="34"/>
      <c r="BT1173" s="34"/>
      <c r="BU1173" s="34"/>
      <c r="BV1173" s="34"/>
      <c r="BW1173" s="34"/>
      <c r="BX1173" s="34"/>
      <c r="BY1173" s="34"/>
      <c r="BZ1173" s="34"/>
      <c r="CA1173" s="34"/>
      <c r="CB1173" s="34"/>
      <c r="CC1173" s="34"/>
      <c r="CD1173" s="34"/>
      <c r="CE1173" s="34"/>
      <c r="CF1173" s="34"/>
      <c r="CG1173" s="34"/>
      <c r="CH1173" s="34"/>
      <c r="CI1173" s="8"/>
    </row>
    <row r="1174" spans="1:87" x14ac:dyDescent="0.2">
      <c r="A1174" s="8" t="str">
        <f>IF(AND(COUNTIF(W$3:W$13,A$18)&gt;0,A$18&lt;&gt;B1054),A$18,IFERROR(IF(MATCH(A$18,Z$3:Z$13,0)=6,A$18," ")," "))</f>
        <v>C4</v>
      </c>
      <c r="B1174" s="8">
        <f>IF(A1174=" "," ",MAX(B1171:B1173)+1)</f>
        <v>2</v>
      </c>
      <c r="C1174" s="8" t="str">
        <f>IFERROR(INDEX(A1171:A1192,MATCH(SMALL(B1171:B1192,4),B1171:B1192,0),1)," ")</f>
        <v>C13</v>
      </c>
      <c r="D1174" s="8">
        <f t="shared" si="5009"/>
        <v>0</v>
      </c>
      <c r="E1174" s="8">
        <f t="shared" si="5010"/>
        <v>1</v>
      </c>
      <c r="F1174" s="8">
        <f t="shared" si="5011"/>
        <v>0</v>
      </c>
      <c r="G1174" s="8">
        <f t="shared" si="5012"/>
        <v>0</v>
      </c>
      <c r="H1174" s="8">
        <f t="shared" si="5013"/>
        <v>0</v>
      </c>
      <c r="I1174" s="8">
        <f t="shared" si="5014"/>
        <v>0</v>
      </c>
      <c r="J1174" s="8">
        <f t="shared" si="5015"/>
        <v>0</v>
      </c>
      <c r="K1174" s="8">
        <f t="shared" si="5016"/>
        <v>0</v>
      </c>
      <c r="L1174" s="8">
        <f t="shared" si="5017"/>
        <v>0</v>
      </c>
      <c r="M1174" s="8">
        <f t="shared" si="5018"/>
        <v>0</v>
      </c>
      <c r="N1174" s="8">
        <f t="shared" si="5019"/>
        <v>0</v>
      </c>
      <c r="O1174" s="8">
        <f t="shared" si="5020"/>
        <v>0</v>
      </c>
      <c r="P1174" s="8" t="e">
        <v>#NUM!</v>
      </c>
      <c r="Q1174" s="8" t="e">
        <f t="shared" ref="Q1174" si="5045">IF(COUNTIF(P1171:P1181,"&lt;"&amp;-0.001)=0,IF(ABS(P1174)&lt;0.001,0,P1174)," ")</f>
        <v>#NUM!</v>
      </c>
      <c r="R1174" s="8"/>
      <c r="S1174" s="8"/>
      <c r="U1174" s="34"/>
      <c r="V1174" s="34"/>
      <c r="W1174" s="34"/>
      <c r="X1174" s="34"/>
      <c r="Y1174" s="34"/>
      <c r="Z1174" s="34"/>
      <c r="AA1174" s="34"/>
      <c r="AB1174" s="34"/>
      <c r="AC1174" s="34"/>
      <c r="AD1174" s="34"/>
      <c r="AE1174" s="34"/>
      <c r="AF1174" s="34"/>
      <c r="AG1174" s="34"/>
      <c r="AH1174" s="34"/>
      <c r="AI1174" s="34"/>
      <c r="AJ1174" s="34"/>
      <c r="AK1174" s="34"/>
      <c r="AL1174" s="34"/>
      <c r="AM1174" s="34"/>
      <c r="AN1174" s="34"/>
      <c r="AO1174" s="34"/>
      <c r="AP1174" s="34"/>
      <c r="AQ1174" s="34"/>
      <c r="AR1174" s="34"/>
      <c r="AS1174" s="34"/>
      <c r="AT1174" s="34"/>
      <c r="AU1174" s="34"/>
      <c r="AV1174" s="34"/>
      <c r="AW1174" s="34"/>
      <c r="AX1174" s="34"/>
      <c r="AY1174" s="34"/>
      <c r="AZ1174" s="34"/>
      <c r="BA1174" s="34"/>
      <c r="BB1174" s="34"/>
      <c r="BC1174" s="34"/>
      <c r="BD1174" s="34"/>
      <c r="BE1174" s="34"/>
      <c r="BF1174" s="34"/>
      <c r="BG1174" s="34"/>
      <c r="BH1174" s="34"/>
      <c r="BI1174" s="34"/>
      <c r="BJ1174" s="34"/>
      <c r="BK1174" s="34"/>
      <c r="BL1174" s="34"/>
      <c r="BM1174" s="34"/>
      <c r="BN1174" s="34"/>
      <c r="BO1174" s="34"/>
      <c r="BP1174" s="34"/>
      <c r="BQ1174" s="34"/>
      <c r="BR1174" s="34"/>
      <c r="BS1174" s="34"/>
      <c r="BT1174" s="34"/>
      <c r="BU1174" s="34"/>
      <c r="BV1174" s="34"/>
      <c r="BW1174" s="34"/>
      <c r="BX1174" s="34"/>
      <c r="BY1174" s="34"/>
      <c r="BZ1174" s="34"/>
      <c r="CA1174" s="34"/>
      <c r="CB1174" s="34"/>
      <c r="CC1174" s="34"/>
      <c r="CD1174" s="34"/>
      <c r="CE1174" s="34"/>
      <c r="CF1174" s="34"/>
      <c r="CG1174" s="34"/>
      <c r="CH1174" s="34"/>
      <c r="CI1174" s="8"/>
    </row>
    <row r="1175" spans="1:87" x14ac:dyDescent="0.2">
      <c r="A1175" s="8" t="str">
        <f>IF(AND(COUNTIF(W$3:W$13,A$19)&gt;0,A$19&lt;&gt;B1054),A$19,IFERROR(IF(MATCH(A$19,Z$3:Z$13,0)=6,A$19," ")," "))</f>
        <v xml:space="preserve"> </v>
      </c>
      <c r="B1175" s="8" t="str">
        <f>IF(A1175=" "," ",MAX(B1171:B1174)+1)</f>
        <v xml:space="preserve"> </v>
      </c>
      <c r="C1175" s="8" t="str">
        <f>IFERROR(INDEX(A1171:A1192,MATCH(SMALL(B1171:B1192,5),B1171:B1192,0),1)," ")</f>
        <v>C15</v>
      </c>
      <c r="D1175" s="8">
        <f t="shared" si="5009"/>
        <v>0</v>
      </c>
      <c r="E1175" s="8">
        <f t="shared" si="5010"/>
        <v>0</v>
      </c>
      <c r="F1175" s="8">
        <f t="shared" si="5011"/>
        <v>0</v>
      </c>
      <c r="G1175" s="8">
        <f t="shared" si="5012"/>
        <v>1</v>
      </c>
      <c r="H1175" s="8">
        <f t="shared" si="5013"/>
        <v>0</v>
      </c>
      <c r="I1175" s="8">
        <f t="shared" si="5014"/>
        <v>0</v>
      </c>
      <c r="J1175" s="8">
        <f t="shared" si="5015"/>
        <v>0</v>
      </c>
      <c r="K1175" s="8">
        <f t="shared" si="5016"/>
        <v>0</v>
      </c>
      <c r="L1175" s="8">
        <f t="shared" si="5017"/>
        <v>0</v>
      </c>
      <c r="M1175" s="8">
        <f t="shared" si="5018"/>
        <v>0</v>
      </c>
      <c r="N1175" s="8">
        <f t="shared" si="5019"/>
        <v>0</v>
      </c>
      <c r="O1175" s="8">
        <f t="shared" si="5020"/>
        <v>0</v>
      </c>
      <c r="P1175" s="8" t="e">
        <v>#NUM!</v>
      </c>
      <c r="Q1175" s="8" t="e">
        <f t="shared" ref="Q1175" si="5046">IF(COUNTIF(P1171:P1181,"&lt;"&amp;-0.001)=0,IF(ABS(P1175)&lt;0.001,0,P1175)," ")</f>
        <v>#NUM!</v>
      </c>
      <c r="R1175" s="8"/>
      <c r="S1175" s="8"/>
      <c r="U1175" s="34"/>
      <c r="V1175" s="34"/>
      <c r="W1175" s="34"/>
      <c r="X1175" s="34"/>
      <c r="Y1175" s="34"/>
      <c r="Z1175" s="34"/>
      <c r="AA1175" s="34"/>
      <c r="AB1175" s="34"/>
      <c r="AC1175" s="34"/>
      <c r="AD1175" s="34"/>
      <c r="AE1175" s="34"/>
      <c r="AF1175" s="34"/>
      <c r="AG1175" s="34"/>
      <c r="AH1175" s="34"/>
      <c r="AI1175" s="34"/>
      <c r="AJ1175" s="34"/>
      <c r="AK1175" s="34"/>
      <c r="AL1175" s="34"/>
      <c r="AM1175" s="34"/>
      <c r="AN1175" s="34"/>
      <c r="AO1175" s="34"/>
      <c r="AP1175" s="34"/>
      <c r="AQ1175" s="34"/>
      <c r="AR1175" s="34"/>
      <c r="AS1175" s="34"/>
      <c r="AT1175" s="34"/>
      <c r="AU1175" s="34"/>
      <c r="AV1175" s="34"/>
      <c r="AW1175" s="34"/>
      <c r="AX1175" s="34"/>
      <c r="AY1175" s="34"/>
      <c r="AZ1175" s="34"/>
      <c r="BA1175" s="34"/>
      <c r="BB1175" s="34"/>
      <c r="BC1175" s="34"/>
      <c r="BD1175" s="34"/>
      <c r="BE1175" s="34"/>
      <c r="BF1175" s="34"/>
      <c r="BG1175" s="34"/>
      <c r="BH1175" s="34"/>
      <c r="BI1175" s="34"/>
      <c r="BJ1175" s="34"/>
      <c r="BK1175" s="34"/>
      <c r="BL1175" s="34"/>
      <c r="BM1175" s="34"/>
      <c r="BN1175" s="34"/>
      <c r="BO1175" s="34"/>
      <c r="BP1175" s="34"/>
      <c r="BQ1175" s="34"/>
      <c r="BR1175" s="34"/>
      <c r="BS1175" s="34"/>
      <c r="BT1175" s="34"/>
      <c r="BU1175" s="34"/>
      <c r="BV1175" s="34"/>
      <c r="BW1175" s="34"/>
      <c r="BX1175" s="34"/>
      <c r="BY1175" s="34"/>
      <c r="BZ1175" s="34"/>
      <c r="CA1175" s="34"/>
      <c r="CB1175" s="34"/>
      <c r="CC1175" s="34"/>
      <c r="CD1175" s="34"/>
      <c r="CE1175" s="34"/>
      <c r="CF1175" s="34"/>
      <c r="CG1175" s="34"/>
      <c r="CH1175" s="34"/>
      <c r="CI1175" s="8"/>
    </row>
    <row r="1176" spans="1:87" x14ac:dyDescent="0.2">
      <c r="A1176" s="8" t="str">
        <f>IF(AND(COUNTIF(W$3:W$13,A$20)&gt;0,A$20&lt;&gt;B1054),A$20,IFERROR(IF(MATCH(A$20,Z$3:Z$13,0)=6,A$20," ")," "))</f>
        <v xml:space="preserve"> </v>
      </c>
      <c r="B1176" s="8" t="str">
        <f>IF(A1176=" "," ",MAX(B1171:B1175)+1)</f>
        <v xml:space="preserve"> </v>
      </c>
      <c r="C1176" s="8" t="str">
        <f>IFERROR(INDEX(A1171:A1192,MATCH(SMALL(B1171:B1192,6),B1171:B1192,0),1)," ")</f>
        <v>C17</v>
      </c>
      <c r="D1176" s="8">
        <f t="shared" si="5009"/>
        <v>0</v>
      </c>
      <c r="E1176" s="8">
        <f t="shared" si="5010"/>
        <v>0</v>
      </c>
      <c r="F1176" s="8">
        <f t="shared" si="5011"/>
        <v>0</v>
      </c>
      <c r="G1176" s="8">
        <f t="shared" si="5012"/>
        <v>0</v>
      </c>
      <c r="H1176" s="8">
        <f t="shared" si="5013"/>
        <v>0</v>
      </c>
      <c r="I1176" s="8">
        <f t="shared" si="5014"/>
        <v>1</v>
      </c>
      <c r="J1176" s="8">
        <f t="shared" si="5015"/>
        <v>0</v>
      </c>
      <c r="K1176" s="8">
        <f t="shared" si="5016"/>
        <v>0</v>
      </c>
      <c r="L1176" s="8">
        <f t="shared" si="5017"/>
        <v>0</v>
      </c>
      <c r="M1176" s="8">
        <f t="shared" si="5018"/>
        <v>0</v>
      </c>
      <c r="N1176" s="8">
        <f t="shared" si="5019"/>
        <v>0</v>
      </c>
      <c r="O1176" s="8">
        <f t="shared" si="5020"/>
        <v>0</v>
      </c>
      <c r="P1176" s="8" t="e">
        <v>#NUM!</v>
      </c>
      <c r="Q1176" s="8" t="e">
        <f t="shared" ref="Q1176" si="5047">IF(COUNTIF(P1171:P1181,"&lt;"&amp;-0.001)=0,IF(ABS(P1176)&lt;0.001,0,P1176)," ")</f>
        <v>#NUM!</v>
      </c>
      <c r="R1176" s="8"/>
      <c r="S1176" s="8"/>
      <c r="U1176" s="34"/>
      <c r="V1176" s="34"/>
      <c r="W1176" s="34"/>
      <c r="X1176" s="34"/>
      <c r="Y1176" s="34"/>
      <c r="Z1176" s="34"/>
      <c r="AA1176" s="34"/>
      <c r="AB1176" s="34"/>
      <c r="AC1176" s="34"/>
      <c r="AD1176" s="34"/>
      <c r="AE1176" s="34"/>
      <c r="AF1176" s="34"/>
      <c r="AG1176" s="34"/>
      <c r="AH1176" s="34"/>
      <c r="AI1176" s="34"/>
      <c r="AJ1176" s="34"/>
      <c r="AK1176" s="34"/>
      <c r="AL1176" s="34"/>
      <c r="AM1176" s="34"/>
      <c r="AN1176" s="34"/>
      <c r="AO1176" s="34"/>
      <c r="AP1176" s="34"/>
      <c r="AQ1176" s="34"/>
      <c r="AR1176" s="34"/>
      <c r="AS1176" s="34"/>
      <c r="AT1176" s="34"/>
      <c r="AU1176" s="34"/>
      <c r="AV1176" s="34"/>
      <c r="AW1176" s="34"/>
      <c r="AX1176" s="34"/>
      <c r="AY1176" s="34"/>
      <c r="AZ1176" s="34"/>
      <c r="BA1176" s="34"/>
      <c r="BB1176" s="34"/>
      <c r="BC1176" s="34"/>
      <c r="BD1176" s="34"/>
      <c r="BE1176" s="34"/>
      <c r="BF1176" s="34"/>
      <c r="BG1176" s="34"/>
      <c r="BH1176" s="34"/>
      <c r="BI1176" s="34"/>
      <c r="BJ1176" s="34"/>
      <c r="BK1176" s="34"/>
      <c r="BL1176" s="34"/>
      <c r="BM1176" s="34"/>
      <c r="BN1176" s="34"/>
      <c r="BO1176" s="34"/>
      <c r="BP1176" s="34"/>
      <c r="BQ1176" s="34"/>
      <c r="BR1176" s="34"/>
      <c r="BS1176" s="34"/>
      <c r="BT1176" s="34"/>
      <c r="BU1176" s="34"/>
      <c r="BV1176" s="34"/>
      <c r="BW1176" s="34"/>
      <c r="BX1176" s="34"/>
      <c r="BY1176" s="34"/>
      <c r="BZ1176" s="34"/>
      <c r="CA1176" s="34"/>
      <c r="CB1176" s="34"/>
      <c r="CC1176" s="34"/>
      <c r="CD1176" s="34"/>
      <c r="CE1176" s="34"/>
      <c r="CF1176" s="34"/>
      <c r="CG1176" s="34"/>
      <c r="CH1176" s="34"/>
      <c r="CI1176" s="8"/>
    </row>
    <row r="1177" spans="1:87" x14ac:dyDescent="0.2">
      <c r="A1177" s="8" t="str">
        <f>IF(AND(COUNTIF(W$3:W$13,A$21)&gt;0,A$21&lt;&gt;B1054),A$21,IFERROR(IF(MATCH(A$21,Z$3:Z$13,0)=6,A$21," ")," "))</f>
        <v xml:space="preserve"> </v>
      </c>
      <c r="B1177" s="8" t="str">
        <f>IF(A1177=" "," ",MAX(B1171:B1176)+1)</f>
        <v xml:space="preserve"> </v>
      </c>
      <c r="C1177" s="8" t="str">
        <f>IFERROR(INDEX(A1171:A1192,MATCH(SMALL(B1171:B1192,7),B1171:B1192,0),1)," ")</f>
        <v>C18</v>
      </c>
      <c r="D1177" s="8">
        <f t="shared" si="5009"/>
        <v>0</v>
      </c>
      <c r="E1177" s="8">
        <f t="shared" si="5010"/>
        <v>0</v>
      </c>
      <c r="F1177" s="8">
        <f t="shared" si="5011"/>
        <v>0</v>
      </c>
      <c r="G1177" s="8">
        <f t="shared" si="5012"/>
        <v>0</v>
      </c>
      <c r="H1177" s="8">
        <f t="shared" si="5013"/>
        <v>0</v>
      </c>
      <c r="I1177" s="8">
        <f t="shared" si="5014"/>
        <v>0</v>
      </c>
      <c r="J1177" s="8">
        <f t="shared" si="5015"/>
        <v>1</v>
      </c>
      <c r="K1177" s="8">
        <f t="shared" si="5016"/>
        <v>0</v>
      </c>
      <c r="L1177" s="8">
        <f t="shared" si="5017"/>
        <v>0</v>
      </c>
      <c r="M1177" s="8">
        <f t="shared" si="5018"/>
        <v>0</v>
      </c>
      <c r="N1177" s="8">
        <f t="shared" si="5019"/>
        <v>0</v>
      </c>
      <c r="O1177" s="8">
        <f t="shared" si="5020"/>
        <v>0</v>
      </c>
      <c r="P1177" s="8" t="e">
        <v>#NUM!</v>
      </c>
      <c r="Q1177" s="8" t="e">
        <f t="shared" ref="Q1177" si="5048">IF(COUNTIF(P1171:P1181,"&lt;"&amp;-0.001)=0,IF(ABS(P1177)&lt;0.001,0,P1177)," ")</f>
        <v>#NUM!</v>
      </c>
      <c r="R1177" s="8"/>
      <c r="S1177" s="8"/>
      <c r="U1177" s="34"/>
      <c r="V1177" s="34"/>
      <c r="W1177" s="34"/>
      <c r="X1177" s="34"/>
      <c r="Y1177" s="34"/>
      <c r="Z1177" s="34"/>
      <c r="AA1177" s="34"/>
      <c r="AB1177" s="34"/>
      <c r="AC1177" s="34"/>
      <c r="AD1177" s="34"/>
      <c r="AE1177" s="34"/>
      <c r="AF1177" s="34"/>
      <c r="AG1177" s="34"/>
      <c r="AH1177" s="34"/>
      <c r="AI1177" s="34"/>
      <c r="AJ1177" s="34"/>
      <c r="AK1177" s="34"/>
      <c r="AL1177" s="34"/>
      <c r="AM1177" s="34"/>
      <c r="AN1177" s="34"/>
      <c r="AO1177" s="34"/>
      <c r="AP1177" s="34"/>
      <c r="AQ1177" s="34"/>
      <c r="AR1177" s="34"/>
      <c r="AS1177" s="34"/>
      <c r="AT1177" s="34"/>
      <c r="AU1177" s="34"/>
      <c r="AV1177" s="34"/>
      <c r="AW1177" s="34"/>
      <c r="AX1177" s="34"/>
      <c r="AY1177" s="34"/>
      <c r="AZ1177" s="34"/>
      <c r="BA1177" s="34"/>
      <c r="BB1177" s="34"/>
      <c r="BC1177" s="34"/>
      <c r="BD1177" s="34"/>
      <c r="BE1177" s="34"/>
      <c r="BF1177" s="34"/>
      <c r="BG1177" s="34"/>
      <c r="BH1177" s="34"/>
      <c r="BI1177" s="34"/>
      <c r="BJ1177" s="34"/>
      <c r="BK1177" s="34"/>
      <c r="BL1177" s="34"/>
      <c r="BM1177" s="34"/>
      <c r="BN1177" s="34"/>
      <c r="BO1177" s="34"/>
      <c r="BP1177" s="34"/>
      <c r="BQ1177" s="34"/>
      <c r="BR1177" s="34"/>
      <c r="BS1177" s="34"/>
      <c r="BT1177" s="34"/>
      <c r="BU1177" s="34"/>
      <c r="BV1177" s="34"/>
      <c r="BW1177" s="34"/>
      <c r="BX1177" s="34"/>
      <c r="BY1177" s="34"/>
      <c r="BZ1177" s="34"/>
      <c r="CA1177" s="34"/>
      <c r="CB1177" s="34"/>
      <c r="CC1177" s="34"/>
      <c r="CD1177" s="34"/>
      <c r="CE1177" s="34"/>
      <c r="CF1177" s="34"/>
      <c r="CG1177" s="34"/>
      <c r="CH1177" s="34"/>
      <c r="CI1177" s="8"/>
    </row>
    <row r="1178" spans="1:87" x14ac:dyDescent="0.2">
      <c r="A1178" s="8" t="str">
        <f>IF(AND(COUNTIF(W$3:W$13,A$22)&gt;0,A$22&lt;&gt;B1054),A$22,IFERROR(IF(MATCH(A$22,Z$3:Z$13,0)=6,A$22," ")," "))</f>
        <v>C8</v>
      </c>
      <c r="B1178" s="8">
        <f>IF(A1178=" "," ",MAX(B1171:B1177)+1)</f>
        <v>3</v>
      </c>
      <c r="C1178" s="8" t="str">
        <f>IFERROR(INDEX(A1171:A1192,MATCH(SMALL(B1171:B1192,8),B1171:B1192,0),1)," ")</f>
        <v>C19</v>
      </c>
      <c r="D1178" s="8">
        <f t="shared" si="5009"/>
        <v>0</v>
      </c>
      <c r="E1178" s="8">
        <f t="shared" si="5010"/>
        <v>0</v>
      </c>
      <c r="F1178" s="8">
        <f t="shared" si="5011"/>
        <v>0</v>
      </c>
      <c r="G1178" s="8">
        <f t="shared" si="5012"/>
        <v>0</v>
      </c>
      <c r="H1178" s="8">
        <f t="shared" si="5013"/>
        <v>0</v>
      </c>
      <c r="I1178" s="8">
        <f t="shared" si="5014"/>
        <v>0</v>
      </c>
      <c r="J1178" s="8">
        <f t="shared" si="5015"/>
        <v>0</v>
      </c>
      <c r="K1178" s="8">
        <f t="shared" si="5016"/>
        <v>1</v>
      </c>
      <c r="L1178" s="8">
        <f t="shared" si="5017"/>
        <v>0</v>
      </c>
      <c r="M1178" s="8">
        <f t="shared" si="5018"/>
        <v>0</v>
      </c>
      <c r="N1178" s="8">
        <f t="shared" si="5019"/>
        <v>0</v>
      </c>
      <c r="O1178" s="8">
        <f t="shared" si="5020"/>
        <v>0</v>
      </c>
      <c r="P1178" s="8" t="e">
        <v>#NUM!</v>
      </c>
      <c r="Q1178" s="8" t="e">
        <f t="shared" ref="Q1178" si="5049">IF(COUNTIF(P1171:P1181,"&lt;"&amp;-0.001)=0,IF(ABS(P1178)&lt;0.001,0,P1178)," ")</f>
        <v>#NUM!</v>
      </c>
      <c r="R1178" s="8"/>
      <c r="S1178" s="8"/>
      <c r="U1178" s="34"/>
      <c r="V1178" s="34"/>
      <c r="W1178" s="34"/>
      <c r="X1178" s="34"/>
      <c r="Y1178" s="34"/>
      <c r="Z1178" s="34"/>
      <c r="AA1178" s="34"/>
      <c r="AB1178" s="34"/>
      <c r="AC1178" s="34"/>
      <c r="AD1178" s="34"/>
      <c r="AE1178" s="34"/>
      <c r="AF1178" s="34"/>
      <c r="AG1178" s="34"/>
      <c r="AH1178" s="34"/>
      <c r="AI1178" s="34"/>
      <c r="AJ1178" s="34"/>
      <c r="AK1178" s="34"/>
      <c r="AL1178" s="34"/>
      <c r="AM1178" s="34"/>
      <c r="AN1178" s="34"/>
      <c r="AO1178" s="34"/>
      <c r="AP1178" s="34"/>
      <c r="AQ1178" s="34"/>
      <c r="AR1178" s="34"/>
      <c r="AS1178" s="34"/>
      <c r="AT1178" s="34"/>
      <c r="AU1178" s="34"/>
      <c r="AV1178" s="34"/>
      <c r="AW1178" s="34"/>
      <c r="AX1178" s="34"/>
      <c r="AY1178" s="34"/>
      <c r="AZ1178" s="34"/>
      <c r="BA1178" s="34"/>
      <c r="BB1178" s="34"/>
      <c r="BC1178" s="34"/>
      <c r="BD1178" s="34"/>
      <c r="BE1178" s="34"/>
      <c r="BF1178" s="34"/>
      <c r="BG1178" s="34"/>
      <c r="BH1178" s="34"/>
      <c r="BI1178" s="34"/>
      <c r="BJ1178" s="34"/>
      <c r="BK1178" s="34"/>
      <c r="BL1178" s="34"/>
      <c r="BM1178" s="34"/>
      <c r="BN1178" s="34"/>
      <c r="BO1178" s="34"/>
      <c r="BP1178" s="34"/>
      <c r="BQ1178" s="34"/>
      <c r="BR1178" s="34"/>
      <c r="BS1178" s="34"/>
      <c r="BT1178" s="34"/>
      <c r="BU1178" s="34"/>
      <c r="BV1178" s="34"/>
      <c r="BW1178" s="34"/>
      <c r="BX1178" s="34"/>
      <c r="BY1178" s="34"/>
      <c r="BZ1178" s="34"/>
      <c r="CA1178" s="34"/>
      <c r="CB1178" s="34"/>
      <c r="CC1178" s="34"/>
      <c r="CD1178" s="34"/>
      <c r="CE1178" s="34"/>
      <c r="CF1178" s="34"/>
      <c r="CG1178" s="34"/>
      <c r="CH1178" s="34"/>
      <c r="CI1178" s="8"/>
    </row>
    <row r="1179" spans="1:87" x14ac:dyDescent="0.2">
      <c r="A1179" s="8" t="str">
        <f>IF(AND(COUNTIF(W$3:W$13,A$23)&gt;0,A$23&lt;&gt;B1054),A$23,IFERROR(IF(MATCH(A$23,Z$3:Z$13,0)=6,A$23," ")," "))</f>
        <v xml:space="preserve"> </v>
      </c>
      <c r="B1179" s="8" t="str">
        <f>IF(A1179=" "," ",MAX(B1171:B1178)+1)</f>
        <v xml:space="preserve"> </v>
      </c>
      <c r="C1179" s="8" t="str">
        <f>IFERROR(INDEX(A1171:A1192,MATCH(SMALL(B1171:B1192,9),B1171:B1192,0),1)," ")</f>
        <v>C20</v>
      </c>
      <c r="D1179" s="8">
        <f t="shared" si="5009"/>
        <v>0</v>
      </c>
      <c r="E1179" s="8">
        <f t="shared" si="5010"/>
        <v>0</v>
      </c>
      <c r="F1179" s="8">
        <f t="shared" si="5011"/>
        <v>0</v>
      </c>
      <c r="G1179" s="8">
        <f t="shared" si="5012"/>
        <v>0</v>
      </c>
      <c r="H1179" s="8">
        <f t="shared" si="5013"/>
        <v>0</v>
      </c>
      <c r="I1179" s="8">
        <f t="shared" si="5014"/>
        <v>0</v>
      </c>
      <c r="J1179" s="8">
        <f t="shared" si="5015"/>
        <v>0</v>
      </c>
      <c r="K1179" s="8">
        <f t="shared" si="5016"/>
        <v>0</v>
      </c>
      <c r="L1179" s="8">
        <f t="shared" si="5017"/>
        <v>1</v>
      </c>
      <c r="M1179" s="8">
        <f t="shared" si="5018"/>
        <v>0</v>
      </c>
      <c r="N1179" s="8">
        <f t="shared" si="5019"/>
        <v>0</v>
      </c>
      <c r="O1179" s="8">
        <f t="shared" si="5020"/>
        <v>0</v>
      </c>
      <c r="P1179" s="6" t="e">
        <v>#NUM!</v>
      </c>
      <c r="Q1179" s="8" t="e">
        <f t="shared" ref="Q1179" si="5050">IF(COUNTIF(P1171:P1181,"&lt;"&amp;-0.001)=0,IF(ABS(P1179)&lt;0.001,0,P1179)," ")</f>
        <v>#NUM!</v>
      </c>
      <c r="R1179" s="8"/>
      <c r="S1179" s="8"/>
      <c r="U1179" s="34"/>
      <c r="V1179" s="34"/>
      <c r="W1179" s="34"/>
      <c r="X1179" s="34"/>
      <c r="Y1179" s="34"/>
      <c r="Z1179" s="34"/>
      <c r="AA1179" s="34"/>
      <c r="AB1179" s="34"/>
      <c r="AC1179" s="34"/>
      <c r="AD1179" s="34"/>
      <c r="AE1179" s="34"/>
      <c r="AF1179" s="34"/>
      <c r="AG1179" s="34"/>
      <c r="AH1179" s="34"/>
      <c r="AI1179" s="34"/>
      <c r="AJ1179" s="34"/>
      <c r="AK1179" s="34"/>
      <c r="AL1179" s="34"/>
      <c r="AM1179" s="34"/>
      <c r="AN1179" s="34"/>
      <c r="AO1179" s="34"/>
      <c r="AP1179" s="34"/>
      <c r="AQ1179" s="34"/>
      <c r="AR1179" s="34"/>
      <c r="AS1179" s="34"/>
      <c r="AT1179" s="34"/>
      <c r="AU1179" s="34"/>
      <c r="AV1179" s="34"/>
      <c r="AW1179" s="34"/>
      <c r="AX1179" s="34"/>
      <c r="AY1179" s="34"/>
      <c r="AZ1179" s="34"/>
      <c r="BA1179" s="34"/>
      <c r="BB1179" s="34"/>
      <c r="BC1179" s="34"/>
      <c r="BD1179" s="34"/>
      <c r="BE1179" s="34"/>
      <c r="BF1179" s="34"/>
      <c r="BG1179" s="34"/>
      <c r="BH1179" s="34"/>
      <c r="BI1179" s="34"/>
      <c r="BJ1179" s="34"/>
      <c r="BK1179" s="34"/>
      <c r="BL1179" s="34"/>
      <c r="BM1179" s="34"/>
      <c r="BN1179" s="34"/>
      <c r="BO1179" s="34"/>
      <c r="BP1179" s="34"/>
      <c r="BQ1179" s="34"/>
      <c r="BR1179" s="34"/>
      <c r="BS1179" s="34"/>
      <c r="BT1179" s="34"/>
      <c r="BU1179" s="34"/>
      <c r="BV1179" s="34"/>
      <c r="BW1179" s="34"/>
      <c r="BX1179" s="34"/>
      <c r="BY1179" s="34"/>
      <c r="BZ1179" s="34"/>
      <c r="CA1179" s="34"/>
      <c r="CB1179" s="34"/>
      <c r="CC1179" s="34"/>
      <c r="CD1179" s="34"/>
      <c r="CE1179" s="34"/>
      <c r="CF1179" s="34"/>
      <c r="CG1179" s="34"/>
      <c r="CH1179" s="34"/>
      <c r="CI1179" s="8"/>
    </row>
    <row r="1180" spans="1:87" x14ac:dyDescent="0.2">
      <c r="A1180" s="8" t="str">
        <f>IF(AND(COUNTIF(W$3:W$13,A$24)&gt;0,A$24&lt;&gt;B1054),A$24,IFERROR(IF(MATCH(A$24,Z$3:Z$13,0)=6,A$24," ")," "))</f>
        <v xml:space="preserve"> </v>
      </c>
      <c r="B1180" s="8" t="str">
        <f>IF(A1180=" "," ",MAX(B1171:B1179)+1)</f>
        <v xml:space="preserve"> </v>
      </c>
      <c r="C1180" s="8" t="str">
        <f>IFERROR(INDEX(A1171:A1192,MATCH(SMALL(B1171:B1192,10),B1171:B1192,0),1)," ")</f>
        <v>C21</v>
      </c>
      <c r="D1180" s="8">
        <f t="shared" si="5009"/>
        <v>0</v>
      </c>
      <c r="E1180" s="8">
        <f t="shared" si="5010"/>
        <v>0</v>
      </c>
      <c r="F1180" s="8">
        <f t="shared" si="5011"/>
        <v>0</v>
      </c>
      <c r="G1180" s="8">
        <f t="shared" si="5012"/>
        <v>0</v>
      </c>
      <c r="H1180" s="8">
        <f t="shared" si="5013"/>
        <v>0</v>
      </c>
      <c r="I1180" s="8">
        <f t="shared" si="5014"/>
        <v>0</v>
      </c>
      <c r="J1180" s="8">
        <f t="shared" si="5015"/>
        <v>0</v>
      </c>
      <c r="K1180" s="8">
        <f t="shared" si="5016"/>
        <v>0</v>
      </c>
      <c r="L1180" s="8">
        <f t="shared" si="5017"/>
        <v>0</v>
      </c>
      <c r="M1180" s="8">
        <f t="shared" si="5018"/>
        <v>1</v>
      </c>
      <c r="N1180" s="8">
        <f t="shared" si="5019"/>
        <v>0</v>
      </c>
      <c r="O1180" s="8">
        <f t="shared" si="5020"/>
        <v>0</v>
      </c>
      <c r="P1180" s="8" t="e">
        <v>#NUM!</v>
      </c>
      <c r="Q1180" s="8" t="e">
        <f t="shared" ref="Q1180" si="5051">IF(COUNTIF(P1171:P1181,"&lt;"&amp;-0.001)=0,IF(ABS(P1180)&lt;0.001,0,P1180)," ")</f>
        <v>#NUM!</v>
      </c>
      <c r="R1180" s="8"/>
      <c r="S1180" s="8"/>
      <c r="U1180" s="34"/>
      <c r="V1180" s="34"/>
      <c r="W1180" s="34"/>
      <c r="X1180" s="34"/>
      <c r="Y1180" s="34"/>
      <c r="Z1180" s="34"/>
      <c r="AA1180" s="34"/>
      <c r="AB1180" s="34"/>
      <c r="AC1180" s="34"/>
      <c r="AD1180" s="34"/>
      <c r="AE1180" s="34"/>
      <c r="AF1180" s="34"/>
      <c r="AG1180" s="34"/>
      <c r="AH1180" s="34"/>
      <c r="AI1180" s="34"/>
      <c r="AJ1180" s="34"/>
      <c r="AK1180" s="34"/>
      <c r="AL1180" s="34"/>
      <c r="AM1180" s="34"/>
      <c r="AN1180" s="34"/>
      <c r="AO1180" s="34"/>
      <c r="AP1180" s="34"/>
      <c r="AQ1180" s="34"/>
      <c r="AR1180" s="34"/>
      <c r="AS1180" s="34"/>
      <c r="AT1180" s="34"/>
      <c r="AU1180" s="34"/>
      <c r="AV1180" s="34"/>
      <c r="AW1180" s="34"/>
      <c r="AX1180" s="34"/>
      <c r="AY1180" s="34"/>
      <c r="AZ1180" s="34"/>
      <c r="BA1180" s="34"/>
      <c r="BB1180" s="34"/>
      <c r="BC1180" s="34"/>
      <c r="BD1180" s="34"/>
      <c r="BE1180" s="34"/>
      <c r="BF1180" s="34"/>
      <c r="BG1180" s="34"/>
      <c r="BH1180" s="34"/>
      <c r="BI1180" s="34"/>
      <c r="BJ1180" s="34"/>
      <c r="BK1180" s="34"/>
      <c r="BL1180" s="34"/>
      <c r="BM1180" s="34"/>
      <c r="BN1180" s="34"/>
      <c r="BO1180" s="34"/>
      <c r="BP1180" s="34"/>
      <c r="BQ1180" s="34"/>
      <c r="BR1180" s="34"/>
      <c r="BS1180" s="34"/>
      <c r="BT1180" s="34"/>
      <c r="BU1180" s="34"/>
      <c r="BV1180" s="34"/>
      <c r="BW1180" s="34"/>
      <c r="BX1180" s="34"/>
      <c r="BY1180" s="34"/>
      <c r="BZ1180" s="34"/>
      <c r="CA1180" s="34"/>
      <c r="CB1180" s="34"/>
      <c r="CC1180" s="34"/>
      <c r="CD1180" s="34"/>
      <c r="CE1180" s="34"/>
      <c r="CF1180" s="34"/>
      <c r="CG1180" s="34"/>
      <c r="CH1180" s="34"/>
      <c r="CI1180" s="8"/>
    </row>
    <row r="1181" spans="1:87" x14ac:dyDescent="0.2">
      <c r="A1181" s="8" t="str">
        <f>IF(AND(COUNTIF(W$3:W$13,A$25)&gt;0,A$25&lt;&gt;B1054),A$25,IFERROR(IF(MATCH(A$25,Z$3:Z$13,0)=6,A$25," ")," "))</f>
        <v xml:space="preserve"> </v>
      </c>
      <c r="B1181" s="8" t="str">
        <f>IF(A1181=" "," ",MAX(B1171:B1180)+1)</f>
        <v xml:space="preserve"> </v>
      </c>
      <c r="C1181" s="8" t="str">
        <f>IFERROR(INDEX(A1171:A1192,MATCH(SMALL(B1171:B1192,11),B1171:B1192,0),1)," ")</f>
        <v>C22</v>
      </c>
      <c r="D1181" s="8">
        <f t="shared" si="5009"/>
        <v>0</v>
      </c>
      <c r="E1181" s="8">
        <f t="shared" si="5010"/>
        <v>0</v>
      </c>
      <c r="F1181" s="8">
        <f t="shared" si="5011"/>
        <v>0</v>
      </c>
      <c r="G1181" s="8">
        <f t="shared" si="5012"/>
        <v>0</v>
      </c>
      <c r="H1181" s="8">
        <f t="shared" si="5013"/>
        <v>0</v>
      </c>
      <c r="I1181" s="8">
        <f t="shared" si="5014"/>
        <v>0</v>
      </c>
      <c r="J1181" s="8">
        <f t="shared" si="5015"/>
        <v>0</v>
      </c>
      <c r="K1181" s="8">
        <f t="shared" si="5016"/>
        <v>0</v>
      </c>
      <c r="L1181" s="8">
        <f t="shared" si="5017"/>
        <v>0</v>
      </c>
      <c r="M1181" s="8">
        <f t="shared" si="5018"/>
        <v>0</v>
      </c>
      <c r="N1181" s="8">
        <f t="shared" si="5019"/>
        <v>1</v>
      </c>
      <c r="O1181" s="8">
        <f t="shared" si="5020"/>
        <v>0</v>
      </c>
      <c r="P1181" s="8" t="e">
        <v>#NUM!</v>
      </c>
      <c r="Q1181" s="8" t="e">
        <f t="shared" ref="Q1181" si="5052">IF(COUNTIF(P1171:P1181,"&lt;"&amp;-0.001)=0,IF(ABS(P1181)&lt;0.001,0,P1181)," ")</f>
        <v>#NUM!</v>
      </c>
      <c r="R1181" s="8"/>
      <c r="S1181" s="8"/>
      <c r="U1181" s="34"/>
      <c r="V1181" s="34"/>
      <c r="W1181" s="34"/>
      <c r="X1181" s="34"/>
      <c r="Y1181" s="34"/>
      <c r="Z1181" s="34"/>
      <c r="AA1181" s="34"/>
      <c r="AB1181" s="34"/>
      <c r="AC1181" s="34"/>
      <c r="AD1181" s="34"/>
      <c r="AE1181" s="34"/>
      <c r="AF1181" s="34"/>
      <c r="AG1181" s="34"/>
      <c r="AH1181" s="34"/>
      <c r="AI1181" s="34"/>
      <c r="AJ1181" s="34"/>
      <c r="AK1181" s="34"/>
      <c r="AL1181" s="34"/>
      <c r="AM1181" s="34"/>
      <c r="AN1181" s="34"/>
      <c r="AO1181" s="34"/>
      <c r="AP1181" s="34"/>
      <c r="AQ1181" s="34"/>
      <c r="AR1181" s="34"/>
      <c r="AS1181" s="34"/>
      <c r="AT1181" s="34"/>
      <c r="AU1181" s="34"/>
      <c r="AV1181" s="34"/>
      <c r="AW1181" s="34"/>
      <c r="AX1181" s="34"/>
      <c r="AY1181" s="34"/>
      <c r="AZ1181" s="34"/>
      <c r="BA1181" s="34"/>
      <c r="BB1181" s="34"/>
      <c r="BC1181" s="34"/>
      <c r="BD1181" s="34"/>
      <c r="BE1181" s="34"/>
      <c r="BF1181" s="34"/>
      <c r="BG1181" s="34"/>
      <c r="BH1181" s="34"/>
      <c r="BI1181" s="34"/>
      <c r="BJ1181" s="34"/>
      <c r="BK1181" s="34"/>
      <c r="BL1181" s="34"/>
      <c r="BM1181" s="34"/>
      <c r="BN1181" s="34"/>
      <c r="BO1181" s="34"/>
      <c r="BP1181" s="34"/>
      <c r="BQ1181" s="34"/>
      <c r="BR1181" s="34"/>
      <c r="BS1181" s="34"/>
      <c r="BT1181" s="34"/>
      <c r="BU1181" s="34"/>
      <c r="BV1181" s="34"/>
      <c r="BW1181" s="34"/>
      <c r="BX1181" s="34"/>
      <c r="BY1181" s="34"/>
      <c r="BZ1181" s="34"/>
      <c r="CA1181" s="34"/>
      <c r="CB1181" s="34"/>
      <c r="CC1181" s="34"/>
      <c r="CD1181" s="34"/>
      <c r="CE1181" s="34"/>
      <c r="CF1181" s="34"/>
      <c r="CG1181" s="34"/>
      <c r="CH1181" s="34"/>
      <c r="CI1181" s="8"/>
    </row>
    <row r="1182" spans="1:87" x14ac:dyDescent="0.2">
      <c r="A1182" s="8" t="str">
        <f>IF(AND(COUNTIF(W$3:W$13,A$26)&gt;0,A$26&lt;&gt;B1054),A$26,IFERROR(IF(MATCH(A$26,Z$3:Z$13,0)=6,A$26," ")," "))</f>
        <v xml:space="preserve"> </v>
      </c>
      <c r="B1182" s="8" t="str">
        <f>IF(A1182=" "," ",MAX(B1171:B1181)+1)</f>
        <v xml:space="preserve"> </v>
      </c>
      <c r="C1182" s="8"/>
      <c r="D1182" s="8"/>
      <c r="E1182" s="8"/>
      <c r="F1182" s="8"/>
      <c r="G1182" s="8"/>
      <c r="H1182" s="8"/>
      <c r="I1182" s="8"/>
      <c r="J1182" s="8"/>
      <c r="K1182" s="8"/>
      <c r="L1182" s="8"/>
      <c r="M1182" s="8"/>
      <c r="N1182" s="8"/>
      <c r="O1182" s="8"/>
      <c r="P1182" s="8"/>
      <c r="Q1182" s="8"/>
      <c r="R1182" s="8"/>
      <c r="S1182" s="8"/>
      <c r="U1182" s="34"/>
      <c r="V1182" s="34"/>
      <c r="W1182" s="34"/>
      <c r="X1182" s="34"/>
      <c r="Y1182" s="34"/>
      <c r="Z1182" s="34"/>
      <c r="AA1182" s="34"/>
      <c r="AB1182" s="34"/>
      <c r="AC1182" s="34"/>
      <c r="AD1182" s="34"/>
      <c r="AE1182" s="34"/>
      <c r="AF1182" s="34"/>
      <c r="AG1182" s="34"/>
      <c r="AH1182" s="34"/>
      <c r="AI1182" s="34"/>
      <c r="AJ1182" s="34"/>
      <c r="AK1182" s="34"/>
      <c r="AL1182" s="34"/>
      <c r="AM1182" s="34"/>
      <c r="AN1182" s="34"/>
      <c r="AO1182" s="34"/>
      <c r="AP1182" s="34"/>
      <c r="AQ1182" s="34"/>
      <c r="AR1182" s="34"/>
      <c r="AS1182" s="34"/>
      <c r="AT1182" s="34"/>
      <c r="AU1182" s="34"/>
      <c r="AV1182" s="34"/>
      <c r="AW1182" s="34"/>
      <c r="AX1182" s="34"/>
      <c r="AY1182" s="34"/>
      <c r="AZ1182" s="34"/>
      <c r="BA1182" s="34"/>
      <c r="BB1182" s="34"/>
      <c r="BC1182" s="34"/>
      <c r="BD1182" s="34"/>
      <c r="BE1182" s="34"/>
      <c r="BF1182" s="34"/>
      <c r="BG1182" s="34"/>
      <c r="BH1182" s="34"/>
      <c r="BI1182" s="34"/>
      <c r="BJ1182" s="34"/>
      <c r="BK1182" s="34"/>
      <c r="BL1182" s="34"/>
      <c r="BM1182" s="34"/>
      <c r="BN1182" s="34"/>
      <c r="BO1182" s="34"/>
      <c r="BP1182" s="34"/>
      <c r="BQ1182" s="34"/>
      <c r="BR1182" s="34"/>
      <c r="BS1182" s="34"/>
      <c r="BT1182" s="34"/>
      <c r="BU1182" s="34"/>
      <c r="BV1182" s="34"/>
      <c r="BW1182" s="34"/>
      <c r="BX1182" s="34"/>
      <c r="BY1182" s="34"/>
      <c r="BZ1182" s="34"/>
      <c r="CA1182" s="34"/>
      <c r="CB1182" s="34"/>
      <c r="CC1182" s="34"/>
      <c r="CD1182" s="34"/>
      <c r="CE1182" s="34"/>
      <c r="CF1182" s="34"/>
      <c r="CG1182" s="34"/>
      <c r="CH1182" s="34"/>
      <c r="CI1182" s="8"/>
    </row>
    <row r="1183" spans="1:87" x14ac:dyDescent="0.2">
      <c r="A1183" s="8" t="str">
        <f>IF(AND(COUNTIF(W$3:W$13,A$27)&gt;0,A$27&lt;&gt;B1054),A$27,IFERROR(IF(MATCH(A$27,Z$3:Z$13,0)=6,A$27," ")," "))</f>
        <v>C13</v>
      </c>
      <c r="B1183" s="8">
        <f>IF(A1183=" "," ",MAX(B1171:B1182)+1)</f>
        <v>4</v>
      </c>
      <c r="C1183" s="8"/>
      <c r="D1183" s="8"/>
      <c r="E1183" s="8"/>
      <c r="F1183" s="8"/>
      <c r="G1183" s="8"/>
      <c r="H1183" s="8"/>
      <c r="I1183" s="8"/>
      <c r="J1183" s="8"/>
      <c r="K1183" s="8"/>
      <c r="L1183" s="8"/>
      <c r="M1183" s="8"/>
      <c r="N1183" s="8"/>
      <c r="O1183" s="8"/>
      <c r="P1183" s="8"/>
      <c r="Q1183" s="8"/>
      <c r="R1183" s="8"/>
      <c r="S1183" s="8"/>
      <c r="U1183" s="34"/>
      <c r="V1183" s="34"/>
      <c r="W1183" s="34"/>
      <c r="X1183" s="34"/>
      <c r="Y1183" s="34"/>
      <c r="Z1183" s="34"/>
      <c r="AA1183" s="34"/>
      <c r="AB1183" s="34"/>
      <c r="AC1183" s="34"/>
      <c r="AD1183" s="34"/>
      <c r="AE1183" s="34"/>
      <c r="AF1183" s="34"/>
      <c r="AG1183" s="34"/>
      <c r="AH1183" s="34"/>
      <c r="AI1183" s="34"/>
      <c r="AJ1183" s="34"/>
      <c r="AK1183" s="34"/>
      <c r="AL1183" s="34"/>
      <c r="AM1183" s="34"/>
      <c r="AN1183" s="34"/>
      <c r="AO1183" s="34"/>
      <c r="AP1183" s="34"/>
      <c r="AQ1183" s="34"/>
      <c r="AR1183" s="34"/>
      <c r="AS1183" s="34"/>
      <c r="AT1183" s="34"/>
      <c r="AU1183" s="34"/>
      <c r="AV1183" s="34"/>
      <c r="AW1183" s="34"/>
      <c r="AX1183" s="34"/>
      <c r="AY1183" s="34"/>
      <c r="AZ1183" s="34"/>
      <c r="BA1183" s="34"/>
      <c r="BB1183" s="34"/>
      <c r="BC1183" s="34"/>
      <c r="BD1183" s="34"/>
      <c r="BE1183" s="34"/>
      <c r="BF1183" s="34"/>
      <c r="BG1183" s="34"/>
      <c r="BH1183" s="34"/>
      <c r="BI1183" s="34"/>
      <c r="BJ1183" s="34"/>
      <c r="BK1183" s="34"/>
      <c r="BL1183" s="34"/>
      <c r="BM1183" s="34"/>
      <c r="BN1183" s="34"/>
      <c r="BO1183" s="34"/>
      <c r="BP1183" s="34"/>
      <c r="BQ1183" s="34"/>
      <c r="BR1183" s="34"/>
      <c r="BS1183" s="34"/>
      <c r="BT1183" s="34"/>
      <c r="BU1183" s="34"/>
      <c r="BV1183" s="34"/>
      <c r="BW1183" s="34"/>
      <c r="BX1183" s="34"/>
      <c r="BY1183" s="34"/>
      <c r="BZ1183" s="34"/>
      <c r="CA1183" s="34"/>
      <c r="CB1183" s="34"/>
      <c r="CC1183" s="34"/>
      <c r="CD1183" s="34"/>
      <c r="CE1183" s="34"/>
      <c r="CF1183" s="34"/>
      <c r="CG1183" s="34"/>
      <c r="CH1183" s="34"/>
      <c r="CI1183" s="8"/>
    </row>
    <row r="1184" spans="1:87" x14ac:dyDescent="0.2">
      <c r="A1184" s="8" t="str">
        <f>IF(AND(COUNTIF(W$3:W$13,A$28)&gt;0,A$28&lt;&gt;B1054),A$28,IFERROR(IF(MATCH(A$28,Z$3:Z$13,0)=6,A$28," ")," "))</f>
        <v xml:space="preserve"> </v>
      </c>
      <c r="B1184" s="8" t="str">
        <f>IF(A1184=" "," ",MAX(B1171:B1183)+1)</f>
        <v xml:space="preserve"> </v>
      </c>
      <c r="C1184" s="8"/>
      <c r="D1184" s="8"/>
      <c r="E1184" s="8"/>
      <c r="F1184" s="8"/>
      <c r="G1184" s="8"/>
      <c r="H1184" s="8"/>
      <c r="I1184" s="8"/>
      <c r="J1184" s="8"/>
      <c r="K1184" s="8"/>
      <c r="L1184" s="8"/>
      <c r="M1184" s="8"/>
      <c r="N1184" s="8"/>
      <c r="O1184" s="8"/>
      <c r="P1184" s="8"/>
      <c r="Q1184" s="8"/>
      <c r="R1184" s="8"/>
      <c r="S1184" s="8"/>
      <c r="U1184" s="34"/>
      <c r="V1184" s="34"/>
      <c r="W1184" s="34"/>
      <c r="X1184" s="34"/>
      <c r="Y1184" s="34"/>
      <c r="Z1184" s="34"/>
      <c r="AA1184" s="34"/>
      <c r="AB1184" s="34"/>
      <c r="AC1184" s="34"/>
      <c r="AD1184" s="34"/>
      <c r="AE1184" s="34"/>
      <c r="AF1184" s="34"/>
      <c r="AG1184" s="34"/>
      <c r="AH1184" s="34"/>
      <c r="AI1184" s="34"/>
      <c r="AJ1184" s="34"/>
      <c r="AK1184" s="34"/>
      <c r="AL1184" s="34"/>
      <c r="AM1184" s="34"/>
      <c r="AN1184" s="34"/>
      <c r="AO1184" s="34"/>
      <c r="AP1184" s="34"/>
      <c r="AQ1184" s="34"/>
      <c r="AR1184" s="34"/>
      <c r="AS1184" s="34"/>
      <c r="AT1184" s="34"/>
      <c r="AU1184" s="34"/>
      <c r="AV1184" s="34"/>
      <c r="AW1184" s="34"/>
      <c r="AX1184" s="34"/>
      <c r="AY1184" s="34"/>
      <c r="AZ1184" s="34"/>
      <c r="BA1184" s="34"/>
      <c r="BB1184" s="34"/>
      <c r="BC1184" s="34"/>
      <c r="BD1184" s="34"/>
      <c r="BE1184" s="34"/>
      <c r="BF1184" s="34"/>
      <c r="BG1184" s="34"/>
      <c r="BH1184" s="34"/>
      <c r="BI1184" s="34"/>
      <c r="BJ1184" s="34"/>
      <c r="BK1184" s="34"/>
      <c r="BL1184" s="34"/>
      <c r="BM1184" s="34"/>
      <c r="BN1184" s="34"/>
      <c r="BO1184" s="34"/>
      <c r="BP1184" s="34"/>
      <c r="BQ1184" s="34"/>
      <c r="BR1184" s="34"/>
      <c r="BS1184" s="34"/>
      <c r="BT1184" s="34"/>
      <c r="BU1184" s="34"/>
      <c r="BV1184" s="34"/>
      <c r="BW1184" s="34"/>
      <c r="BX1184" s="34"/>
      <c r="BY1184" s="34"/>
      <c r="BZ1184" s="34"/>
      <c r="CA1184" s="34"/>
      <c r="CB1184" s="34"/>
      <c r="CC1184" s="34"/>
      <c r="CD1184" s="34"/>
      <c r="CE1184" s="34"/>
      <c r="CF1184" s="34"/>
      <c r="CG1184" s="34"/>
      <c r="CH1184" s="34"/>
      <c r="CI1184" s="8"/>
    </row>
    <row r="1185" spans="1:87" x14ac:dyDescent="0.2">
      <c r="A1185" s="8" t="str">
        <f>IF(AND(COUNTIF(W$3:W$13,A$29)&gt;0,A$29&lt;&gt;B1054),A$29,IFERROR(IF(MATCH(A$29,Z$3:Z$13,0)=6,A$29," ")," "))</f>
        <v>C15</v>
      </c>
      <c r="B1185" s="8">
        <f>IF(A1185=" "," ",MAX(B1171:B1184)+1)</f>
        <v>5</v>
      </c>
      <c r="C1185" s="8"/>
      <c r="D1185" s="8"/>
      <c r="E1185" s="8"/>
      <c r="F1185" s="8"/>
      <c r="G1185" s="8"/>
      <c r="H1185" s="8"/>
      <c r="I1185" s="8"/>
      <c r="J1185" s="8"/>
      <c r="K1185" s="8"/>
      <c r="L1185" s="8"/>
      <c r="M1185" s="8"/>
      <c r="N1185" s="8"/>
      <c r="O1185" s="8"/>
      <c r="P1185" s="8"/>
      <c r="Q1185" s="8"/>
      <c r="R1185" s="8"/>
      <c r="S1185" s="8"/>
      <c r="U1185" s="34"/>
      <c r="V1185" s="34"/>
      <c r="W1185" s="34"/>
      <c r="X1185" s="34"/>
      <c r="Y1185" s="34"/>
      <c r="Z1185" s="34"/>
      <c r="AA1185" s="34"/>
      <c r="AB1185" s="34"/>
      <c r="AC1185" s="34"/>
      <c r="AD1185" s="34"/>
      <c r="AE1185" s="34"/>
      <c r="AF1185" s="34"/>
      <c r="AG1185" s="34"/>
      <c r="AH1185" s="34"/>
      <c r="AI1185" s="34"/>
      <c r="AJ1185" s="34"/>
      <c r="AK1185" s="34"/>
      <c r="AL1185" s="34"/>
      <c r="AM1185" s="34"/>
      <c r="AN1185" s="34"/>
      <c r="AO1185" s="34"/>
      <c r="AP1185" s="34"/>
      <c r="AQ1185" s="34"/>
      <c r="AR1185" s="34"/>
      <c r="AS1185" s="34"/>
      <c r="AT1185" s="34"/>
      <c r="AU1185" s="34"/>
      <c r="AV1185" s="34"/>
      <c r="AW1185" s="34"/>
      <c r="AX1185" s="34"/>
      <c r="AY1185" s="34"/>
      <c r="AZ1185" s="34"/>
      <c r="BA1185" s="34"/>
      <c r="BB1185" s="34"/>
      <c r="BC1185" s="34"/>
      <c r="BD1185" s="34"/>
      <c r="BE1185" s="34"/>
      <c r="BF1185" s="34"/>
      <c r="BG1185" s="34"/>
      <c r="BH1185" s="34"/>
      <c r="BI1185" s="34"/>
      <c r="BJ1185" s="34"/>
      <c r="BK1185" s="34"/>
      <c r="BL1185" s="34"/>
      <c r="BM1185" s="34"/>
      <c r="BN1185" s="34"/>
      <c r="BO1185" s="34"/>
      <c r="BP1185" s="34"/>
      <c r="BQ1185" s="34"/>
      <c r="BR1185" s="34"/>
      <c r="BS1185" s="34"/>
      <c r="BT1185" s="34"/>
      <c r="BU1185" s="34"/>
      <c r="BV1185" s="34"/>
      <c r="BW1185" s="34"/>
      <c r="BX1185" s="34"/>
      <c r="BY1185" s="34"/>
      <c r="BZ1185" s="34"/>
      <c r="CA1185" s="34"/>
      <c r="CB1185" s="34"/>
      <c r="CC1185" s="34"/>
      <c r="CD1185" s="34"/>
      <c r="CE1185" s="34"/>
      <c r="CF1185" s="34"/>
      <c r="CG1185" s="34"/>
      <c r="CH1185" s="34"/>
      <c r="CI1185" s="8"/>
    </row>
    <row r="1186" spans="1:87" x14ac:dyDescent="0.2">
      <c r="A1186" s="8" t="str">
        <f>IF(AND(COUNTIF(W$3:W$13,A$30)&gt;0,A$30&lt;&gt;B1054),A$30,IFERROR(IF(MATCH(A$30,Z$3:Z$13,0)=6,A$30," ")," "))</f>
        <v xml:space="preserve"> </v>
      </c>
      <c r="B1186" s="8" t="str">
        <f>IF(A1186=" "," ",MAX(B1171:B1185)+1)</f>
        <v xml:space="preserve"> </v>
      </c>
      <c r="C1186" s="8"/>
      <c r="D1186" s="8"/>
      <c r="E1186" s="8"/>
      <c r="F1186" s="8"/>
      <c r="G1186" s="8"/>
      <c r="H1186" s="8"/>
      <c r="I1186" s="8"/>
      <c r="J1186" s="8"/>
      <c r="K1186" s="8"/>
      <c r="L1186" s="8"/>
      <c r="M1186" s="8"/>
      <c r="N1186" s="8"/>
      <c r="O1186" s="8"/>
      <c r="P1186" s="8"/>
      <c r="Q1186" s="8"/>
      <c r="R1186" s="8"/>
      <c r="S1186" s="8"/>
      <c r="U1186" s="34"/>
      <c r="V1186" s="34"/>
      <c r="W1186" s="34"/>
      <c r="X1186" s="34"/>
      <c r="Y1186" s="34"/>
      <c r="Z1186" s="34"/>
      <c r="AA1186" s="34"/>
      <c r="AB1186" s="34"/>
      <c r="AC1186" s="34"/>
      <c r="AD1186" s="34"/>
      <c r="AE1186" s="34"/>
      <c r="AF1186" s="34"/>
      <c r="AG1186" s="34"/>
      <c r="AH1186" s="34"/>
      <c r="AI1186" s="34"/>
      <c r="AJ1186" s="34"/>
      <c r="AK1186" s="34"/>
      <c r="AL1186" s="34"/>
      <c r="AM1186" s="34"/>
      <c r="AN1186" s="34"/>
      <c r="AO1186" s="34"/>
      <c r="AP1186" s="34"/>
      <c r="AQ1186" s="34"/>
      <c r="AR1186" s="34"/>
      <c r="AS1186" s="34"/>
      <c r="AT1186" s="34"/>
      <c r="AU1186" s="34"/>
      <c r="AV1186" s="34"/>
      <c r="AW1186" s="34"/>
      <c r="AX1186" s="34"/>
      <c r="AY1186" s="34"/>
      <c r="AZ1186" s="34"/>
      <c r="BA1186" s="34"/>
      <c r="BB1186" s="34"/>
      <c r="BC1186" s="34"/>
      <c r="BD1186" s="34"/>
      <c r="BE1186" s="34"/>
      <c r="BF1186" s="34"/>
      <c r="BG1186" s="34"/>
      <c r="BH1186" s="34"/>
      <c r="BI1186" s="34"/>
      <c r="BJ1186" s="34"/>
      <c r="BK1186" s="34"/>
      <c r="BL1186" s="34"/>
      <c r="BM1186" s="34"/>
      <c r="BN1186" s="34"/>
      <c r="BO1186" s="34"/>
      <c r="BP1186" s="34"/>
      <c r="BQ1186" s="34"/>
      <c r="BR1186" s="34"/>
      <c r="BS1186" s="34"/>
      <c r="BT1186" s="34"/>
      <c r="BU1186" s="34"/>
      <c r="BV1186" s="34"/>
      <c r="BW1186" s="34"/>
      <c r="BX1186" s="34"/>
      <c r="BY1186" s="34"/>
      <c r="BZ1186" s="34"/>
      <c r="CA1186" s="34"/>
      <c r="CB1186" s="34"/>
      <c r="CC1186" s="34"/>
      <c r="CD1186" s="34"/>
      <c r="CE1186" s="34"/>
      <c r="CF1186" s="34"/>
      <c r="CG1186" s="34"/>
      <c r="CH1186" s="34"/>
      <c r="CI1186" s="8"/>
    </row>
    <row r="1187" spans="1:87" x14ac:dyDescent="0.2">
      <c r="A1187" s="8" t="str">
        <f>IF(AND(COUNTIF(W$3:W$13,A$31)&gt;0,A$31&lt;&gt;B1054),A$31,IFERROR(IF(MATCH(A$31,Z$3:Z$13,0)=6,A$31," ")," "))</f>
        <v>C17</v>
      </c>
      <c r="B1187" s="8">
        <f>IF(A1187=" "," ",MAX(B1171:B1186)+1)</f>
        <v>6</v>
      </c>
      <c r="C1187" s="8"/>
      <c r="D1187" s="8"/>
      <c r="E1187" s="8"/>
      <c r="F1187" s="8"/>
      <c r="G1187" s="8"/>
      <c r="H1187" s="8"/>
      <c r="I1187" s="8"/>
      <c r="J1187" s="8"/>
      <c r="K1187" s="8"/>
      <c r="L1187" s="8"/>
      <c r="M1187" s="8"/>
      <c r="N1187" s="8"/>
      <c r="O1187" s="8"/>
      <c r="P1187" s="8"/>
      <c r="Q1187" s="8"/>
      <c r="R1187" s="8"/>
      <c r="S1187" s="8"/>
      <c r="U1187" s="34"/>
      <c r="V1187" s="34"/>
      <c r="W1187" s="34"/>
      <c r="X1187" s="34"/>
      <c r="Y1187" s="34"/>
      <c r="Z1187" s="34"/>
      <c r="AA1187" s="34"/>
      <c r="AB1187" s="34"/>
      <c r="AC1187" s="34"/>
      <c r="AD1187" s="34"/>
      <c r="AE1187" s="34"/>
      <c r="AF1187" s="34"/>
      <c r="AG1187" s="34"/>
      <c r="AH1187" s="34"/>
      <c r="AI1187" s="34"/>
      <c r="AJ1187" s="34"/>
      <c r="AK1187" s="34"/>
      <c r="AL1187" s="34"/>
      <c r="AM1187" s="34"/>
      <c r="AN1187" s="34"/>
      <c r="AO1187" s="34"/>
      <c r="AP1187" s="34"/>
      <c r="AQ1187" s="34"/>
      <c r="AR1187" s="34"/>
      <c r="AS1187" s="34"/>
      <c r="AT1187" s="34"/>
      <c r="AU1187" s="34"/>
      <c r="AV1187" s="34"/>
      <c r="AW1187" s="34"/>
      <c r="AX1187" s="34"/>
      <c r="AY1187" s="34"/>
      <c r="AZ1187" s="34"/>
      <c r="BA1187" s="34"/>
      <c r="BB1187" s="34"/>
      <c r="BC1187" s="34"/>
      <c r="BD1187" s="34"/>
      <c r="BE1187" s="34"/>
      <c r="BF1187" s="34"/>
      <c r="BG1187" s="34"/>
      <c r="BH1187" s="34"/>
      <c r="BI1187" s="34"/>
      <c r="BJ1187" s="34"/>
      <c r="BK1187" s="34"/>
      <c r="BL1187" s="34"/>
      <c r="BM1187" s="34"/>
      <c r="BN1187" s="34"/>
      <c r="BO1187" s="34"/>
      <c r="BP1187" s="34"/>
      <c r="BQ1187" s="34"/>
      <c r="BR1187" s="34"/>
      <c r="BS1187" s="34"/>
      <c r="BT1187" s="34"/>
      <c r="BU1187" s="34"/>
      <c r="BV1187" s="34"/>
      <c r="BW1187" s="34"/>
      <c r="BX1187" s="34"/>
      <c r="BY1187" s="34"/>
      <c r="BZ1187" s="34"/>
      <c r="CA1187" s="34"/>
      <c r="CB1187" s="34"/>
      <c r="CC1187" s="34"/>
      <c r="CD1187" s="34"/>
      <c r="CE1187" s="34"/>
      <c r="CF1187" s="34"/>
      <c r="CG1187" s="34"/>
      <c r="CH1187" s="34"/>
      <c r="CI1187" s="8"/>
    </row>
    <row r="1188" spans="1:87" x14ac:dyDescent="0.2">
      <c r="A1188" s="8" t="str">
        <f>IF(AND(COUNTIF(W$3:W$13,A$32)&gt;0,A$32&lt;&gt;B1054),A$32,IFERROR(IF(MATCH(A$32,Z$3:Z$13,0)=6,A$32," ")," "))</f>
        <v>C18</v>
      </c>
      <c r="B1188" s="8">
        <f>IF(A1188=" "," ",MAX(B1171:B1187)+1)</f>
        <v>7</v>
      </c>
      <c r="C1188" s="8"/>
      <c r="D1188" s="8"/>
      <c r="E1188" s="8"/>
      <c r="F1188" s="8"/>
      <c r="G1188" s="8"/>
      <c r="H1188" s="8"/>
      <c r="I1188" s="8"/>
      <c r="J1188" s="8"/>
      <c r="K1188" s="8"/>
      <c r="L1188" s="8"/>
      <c r="M1188" s="8"/>
      <c r="N1188" s="8"/>
      <c r="O1188" s="8"/>
      <c r="P1188" s="8"/>
      <c r="Q1188" s="8"/>
      <c r="R1188" s="8"/>
      <c r="S1188" s="8"/>
      <c r="U1188" s="34"/>
      <c r="V1188" s="34"/>
      <c r="W1188" s="34"/>
      <c r="X1188" s="34"/>
      <c r="Y1188" s="34"/>
      <c r="Z1188" s="34"/>
      <c r="AA1188" s="34"/>
      <c r="AB1188" s="34"/>
      <c r="AC1188" s="34"/>
      <c r="AD1188" s="34"/>
      <c r="AE1188" s="34"/>
      <c r="AF1188" s="34"/>
      <c r="AG1188" s="34"/>
      <c r="AH1188" s="34"/>
      <c r="AI1188" s="34"/>
      <c r="AJ1188" s="34"/>
      <c r="AK1188" s="34"/>
      <c r="AL1188" s="34"/>
      <c r="AM1188" s="34"/>
      <c r="AN1188" s="34"/>
      <c r="AO1188" s="34"/>
      <c r="AP1188" s="34"/>
      <c r="AQ1188" s="34"/>
      <c r="AR1188" s="34"/>
      <c r="AS1188" s="34"/>
      <c r="AT1188" s="34"/>
      <c r="AU1188" s="34"/>
      <c r="AV1188" s="34"/>
      <c r="AW1188" s="34"/>
      <c r="AX1188" s="34"/>
      <c r="AY1188" s="34"/>
      <c r="AZ1188" s="34"/>
      <c r="BA1188" s="34"/>
      <c r="BB1188" s="34"/>
      <c r="BC1188" s="34"/>
      <c r="BD1188" s="34"/>
      <c r="BE1188" s="34"/>
      <c r="BF1188" s="34"/>
      <c r="BG1188" s="34"/>
      <c r="BH1188" s="34"/>
      <c r="BI1188" s="34"/>
      <c r="BJ1188" s="34"/>
      <c r="BK1188" s="34"/>
      <c r="BL1188" s="34"/>
      <c r="BM1188" s="34"/>
      <c r="BN1188" s="34"/>
      <c r="BO1188" s="34"/>
      <c r="BP1188" s="34"/>
      <c r="BQ1188" s="34"/>
      <c r="BR1188" s="34"/>
      <c r="BS1188" s="34"/>
      <c r="BT1188" s="34"/>
      <c r="BU1188" s="34"/>
      <c r="BV1188" s="34"/>
      <c r="BW1188" s="34"/>
      <c r="BX1188" s="34"/>
      <c r="BY1188" s="34"/>
      <c r="BZ1188" s="34"/>
      <c r="CA1188" s="34"/>
      <c r="CB1188" s="34"/>
      <c r="CC1188" s="34"/>
      <c r="CD1188" s="34"/>
      <c r="CE1188" s="34"/>
      <c r="CF1188" s="34"/>
      <c r="CG1188" s="34"/>
      <c r="CH1188" s="34"/>
      <c r="CI1188" s="8"/>
    </row>
    <row r="1189" spans="1:87" x14ac:dyDescent="0.2">
      <c r="A1189" s="8" t="str">
        <f>IF(AND(COUNTIF(W$3:W$13,A$33)&gt;0,A$33&lt;&gt;B1054),A$33,IFERROR(IF(MATCH(A$33,Z$3:Z$13,0)=6,A$33," ")," "))</f>
        <v>C19</v>
      </c>
      <c r="B1189" s="8">
        <f>IF(A1189=" "," ",MAX(B1171:B1188)+1)</f>
        <v>8</v>
      </c>
      <c r="C1189" s="8"/>
      <c r="D1189" s="8"/>
      <c r="E1189" s="8"/>
      <c r="F1189" s="8"/>
      <c r="G1189" s="8"/>
      <c r="H1189" s="8"/>
      <c r="I1189" s="8"/>
      <c r="J1189" s="8"/>
      <c r="K1189" s="8"/>
      <c r="L1189" s="8"/>
      <c r="M1189" s="8"/>
      <c r="N1189" s="8"/>
      <c r="O1189" s="8"/>
      <c r="P1189" s="8"/>
      <c r="Q1189" s="8"/>
      <c r="R1189" s="8"/>
      <c r="S1189" s="8"/>
      <c r="U1189" s="34"/>
      <c r="V1189" s="34"/>
      <c r="W1189" s="34"/>
      <c r="X1189" s="34"/>
      <c r="Y1189" s="34"/>
      <c r="Z1189" s="34"/>
      <c r="AA1189" s="34"/>
      <c r="AB1189" s="34"/>
      <c r="AC1189" s="34"/>
      <c r="AD1189" s="34"/>
      <c r="AE1189" s="34"/>
      <c r="AF1189" s="34"/>
      <c r="AG1189" s="34"/>
      <c r="AH1189" s="34"/>
      <c r="AI1189" s="34"/>
      <c r="AJ1189" s="34"/>
      <c r="AK1189" s="34"/>
      <c r="AL1189" s="34"/>
      <c r="AM1189" s="34"/>
      <c r="AN1189" s="34"/>
      <c r="AO1189" s="34"/>
      <c r="AP1189" s="34"/>
      <c r="AQ1189" s="34"/>
      <c r="AR1189" s="34"/>
      <c r="AS1189" s="34"/>
      <c r="AT1189" s="34"/>
      <c r="AU1189" s="34"/>
      <c r="AV1189" s="34"/>
      <c r="AW1189" s="34"/>
      <c r="AX1189" s="34"/>
      <c r="AY1189" s="34"/>
      <c r="AZ1189" s="34"/>
      <c r="BA1189" s="34"/>
      <c r="BB1189" s="34"/>
      <c r="BC1189" s="34"/>
      <c r="BD1189" s="34"/>
      <c r="BE1189" s="34"/>
      <c r="BF1189" s="34"/>
      <c r="BG1189" s="34"/>
      <c r="BH1189" s="34"/>
      <c r="BI1189" s="34"/>
      <c r="BJ1189" s="34"/>
      <c r="BK1189" s="34"/>
      <c r="BL1189" s="34"/>
      <c r="BM1189" s="34"/>
      <c r="BN1189" s="34"/>
      <c r="BO1189" s="34"/>
      <c r="BP1189" s="34"/>
      <c r="BQ1189" s="34"/>
      <c r="BR1189" s="34"/>
      <c r="BS1189" s="34"/>
      <c r="BT1189" s="34"/>
      <c r="BU1189" s="34"/>
      <c r="BV1189" s="34"/>
      <c r="BW1189" s="34"/>
      <c r="BX1189" s="34"/>
      <c r="BY1189" s="34"/>
      <c r="BZ1189" s="34"/>
      <c r="CA1189" s="34"/>
      <c r="CB1189" s="34"/>
      <c r="CC1189" s="34"/>
      <c r="CD1189" s="34"/>
      <c r="CE1189" s="34"/>
      <c r="CF1189" s="34"/>
      <c r="CG1189" s="34"/>
      <c r="CH1189" s="34"/>
      <c r="CI1189" s="8"/>
    </row>
    <row r="1190" spans="1:87" x14ac:dyDescent="0.2">
      <c r="A1190" s="8" t="str">
        <f>IF(AND(COUNTIF(W$3:W$13,A$34)&gt;0,A$34&lt;&gt;B1054),A$34,IFERROR(IF(MATCH(A$34,Z$3:Z$13,0)=6,A$34," ")," "))</f>
        <v>C20</v>
      </c>
      <c r="B1190" s="8">
        <f>IF(A1190=" "," ",MAX(B1171:B1189)+1)</f>
        <v>9</v>
      </c>
      <c r="C1190" s="8"/>
      <c r="D1190" s="8"/>
      <c r="E1190" s="8"/>
      <c r="F1190" s="8"/>
      <c r="G1190" s="8"/>
      <c r="H1190" s="8"/>
      <c r="I1190" s="8"/>
      <c r="J1190" s="8"/>
      <c r="K1190" s="8"/>
      <c r="L1190" s="8"/>
      <c r="M1190" s="8"/>
      <c r="N1190" s="8"/>
      <c r="O1190" s="8"/>
      <c r="P1190" s="8"/>
      <c r="Q1190" s="8"/>
      <c r="R1190" s="8"/>
      <c r="S1190" s="8"/>
      <c r="U1190" s="34"/>
      <c r="V1190" s="34"/>
      <c r="W1190" s="34"/>
      <c r="X1190" s="34"/>
      <c r="Y1190" s="34"/>
      <c r="Z1190" s="34"/>
      <c r="AA1190" s="34"/>
      <c r="AB1190" s="34"/>
      <c r="AC1190" s="34"/>
      <c r="AD1190" s="34"/>
      <c r="AE1190" s="34"/>
      <c r="AF1190" s="34"/>
      <c r="AG1190" s="34"/>
      <c r="AH1190" s="34"/>
      <c r="AI1190" s="34"/>
      <c r="AJ1190" s="34"/>
      <c r="AK1190" s="34"/>
      <c r="AL1190" s="34"/>
      <c r="AM1190" s="34"/>
      <c r="AN1190" s="34"/>
      <c r="AO1190" s="34"/>
      <c r="AP1190" s="34"/>
      <c r="AQ1190" s="34"/>
      <c r="AR1190" s="34"/>
      <c r="AS1190" s="34"/>
      <c r="AT1190" s="34"/>
      <c r="AU1190" s="34"/>
      <c r="AV1190" s="34"/>
      <c r="AW1190" s="34"/>
      <c r="AX1190" s="34"/>
      <c r="AY1190" s="34"/>
      <c r="AZ1190" s="34"/>
      <c r="BA1190" s="34"/>
      <c r="BB1190" s="34"/>
      <c r="BC1190" s="34"/>
      <c r="BD1190" s="34"/>
      <c r="BE1190" s="34"/>
      <c r="BF1190" s="34"/>
      <c r="BG1190" s="34"/>
      <c r="BH1190" s="34"/>
      <c r="BI1190" s="34"/>
      <c r="BJ1190" s="34"/>
      <c r="BK1190" s="34"/>
      <c r="BL1190" s="34"/>
      <c r="BM1190" s="34"/>
      <c r="BN1190" s="34"/>
      <c r="BO1190" s="34"/>
      <c r="BP1190" s="34"/>
      <c r="BQ1190" s="34"/>
      <c r="BR1190" s="34"/>
      <c r="BS1190" s="34"/>
      <c r="BT1190" s="34"/>
      <c r="BU1190" s="34"/>
      <c r="BV1190" s="34"/>
      <c r="BW1190" s="34"/>
      <c r="BX1190" s="34"/>
      <c r="BY1190" s="34"/>
      <c r="BZ1190" s="34"/>
      <c r="CA1190" s="34"/>
      <c r="CB1190" s="34"/>
      <c r="CC1190" s="34"/>
      <c r="CD1190" s="34"/>
      <c r="CE1190" s="34"/>
      <c r="CF1190" s="34"/>
      <c r="CG1190" s="34"/>
      <c r="CH1190" s="34"/>
      <c r="CI1190" s="8"/>
    </row>
    <row r="1191" spans="1:87" x14ac:dyDescent="0.2">
      <c r="A1191" s="8" t="str">
        <f>IF(AND(COUNTIF(W$3:W$13,A$35)&gt;0,A$35&lt;&gt;B1054),A$35,IFERROR(IF(MATCH(A$35,Z$3:Z$13,0)=6,A$35," ")," "))</f>
        <v>C21</v>
      </c>
      <c r="B1191" s="8">
        <f>IF(A1191=" "," ",MAX(B1171:B1190)+1)</f>
        <v>10</v>
      </c>
      <c r="C1191" s="8"/>
      <c r="D1191" s="8"/>
      <c r="E1191" s="8"/>
      <c r="F1191" s="8"/>
      <c r="G1191" s="8"/>
      <c r="H1191" s="8"/>
      <c r="I1191" s="8"/>
      <c r="J1191" s="8"/>
      <c r="K1191" s="8"/>
      <c r="L1191" s="8"/>
      <c r="M1191" s="8"/>
      <c r="N1191" s="8"/>
      <c r="O1191" s="8"/>
      <c r="P1191" s="8"/>
      <c r="Q1191" s="8"/>
      <c r="R1191" s="8"/>
      <c r="S1191" s="8"/>
      <c r="U1191" s="34"/>
      <c r="V1191" s="34"/>
      <c r="W1191" s="34"/>
      <c r="X1191" s="34"/>
      <c r="Y1191" s="34"/>
      <c r="Z1191" s="34"/>
      <c r="AA1191" s="34"/>
      <c r="AB1191" s="34"/>
      <c r="AC1191" s="34"/>
      <c r="AD1191" s="34"/>
      <c r="AE1191" s="34"/>
      <c r="AF1191" s="34"/>
      <c r="AG1191" s="34"/>
      <c r="AH1191" s="34"/>
      <c r="AI1191" s="34"/>
      <c r="AJ1191" s="34"/>
      <c r="AK1191" s="34"/>
      <c r="AL1191" s="34"/>
      <c r="AM1191" s="34"/>
      <c r="AN1191" s="34"/>
      <c r="AO1191" s="34"/>
      <c r="AP1191" s="34"/>
      <c r="AQ1191" s="34"/>
      <c r="AR1191" s="34"/>
      <c r="AS1191" s="34"/>
      <c r="AT1191" s="34"/>
      <c r="AU1191" s="34"/>
      <c r="AV1191" s="34"/>
      <c r="AW1191" s="34"/>
      <c r="AX1191" s="34"/>
      <c r="AY1191" s="34"/>
      <c r="AZ1191" s="34"/>
      <c r="BA1191" s="34"/>
      <c r="BB1191" s="34"/>
      <c r="BC1191" s="34"/>
      <c r="BD1191" s="34"/>
      <c r="BE1191" s="34"/>
      <c r="BF1191" s="34"/>
      <c r="BG1191" s="34"/>
      <c r="BH1191" s="34"/>
      <c r="BI1191" s="34"/>
      <c r="BJ1191" s="34"/>
      <c r="BK1191" s="34"/>
      <c r="BL1191" s="34"/>
      <c r="BM1191" s="34"/>
      <c r="BN1191" s="34"/>
      <c r="BO1191" s="34"/>
      <c r="BP1191" s="34"/>
      <c r="BQ1191" s="34"/>
      <c r="BR1191" s="34"/>
      <c r="BS1191" s="34"/>
      <c r="BT1191" s="34"/>
      <c r="BU1191" s="34"/>
      <c r="BV1191" s="34"/>
      <c r="BW1191" s="34"/>
      <c r="BX1191" s="34"/>
      <c r="BY1191" s="34"/>
      <c r="BZ1191" s="34"/>
      <c r="CA1191" s="34"/>
      <c r="CB1191" s="34"/>
      <c r="CC1191" s="34"/>
      <c r="CD1191" s="34"/>
      <c r="CE1191" s="34"/>
      <c r="CF1191" s="34"/>
      <c r="CG1191" s="34"/>
      <c r="CH1191" s="34"/>
      <c r="CI1191" s="8"/>
    </row>
    <row r="1192" spans="1:87" x14ac:dyDescent="0.2">
      <c r="A1192" s="8" t="str">
        <f>IF(AND(COUNTIF(W$3:W$13,A$36)&gt;0,A$36&lt;&gt;B1054),A$36,IFERROR(IF(MATCH(A$36,Z$3:Z$13,0)=6,A$36," ")," "))</f>
        <v>C22</v>
      </c>
      <c r="B1192" s="8">
        <f>IF(A1192=" "," ",MAX(B1171:B1191)+1)</f>
        <v>11</v>
      </c>
      <c r="C1192" s="8"/>
      <c r="D1192" s="8"/>
      <c r="E1192" s="8"/>
      <c r="F1192" s="8"/>
      <c r="G1192" s="8"/>
      <c r="H1192" s="8"/>
      <c r="I1192" s="8"/>
      <c r="J1192" s="8"/>
      <c r="K1192" s="8"/>
      <c r="L1192" s="8"/>
      <c r="M1192" s="8"/>
      <c r="N1192" s="8"/>
      <c r="O1192" s="8"/>
      <c r="P1192" s="8"/>
      <c r="Q1192" s="8"/>
      <c r="R1192" s="8"/>
      <c r="S1192" s="8"/>
      <c r="U1192" s="34"/>
      <c r="V1192" s="34"/>
      <c r="W1192" s="34"/>
      <c r="X1192" s="34"/>
      <c r="Y1192" s="34"/>
      <c r="Z1192" s="34"/>
      <c r="AA1192" s="34"/>
      <c r="AB1192" s="34"/>
      <c r="AC1192" s="34"/>
      <c r="AD1192" s="34"/>
      <c r="AE1192" s="34"/>
      <c r="AF1192" s="34"/>
      <c r="AG1192" s="34"/>
      <c r="AH1192" s="34"/>
      <c r="AI1192" s="34"/>
      <c r="AJ1192" s="34"/>
      <c r="AK1192" s="34"/>
      <c r="AL1192" s="34"/>
      <c r="AM1192" s="34"/>
      <c r="AN1192" s="34"/>
      <c r="AO1192" s="34"/>
      <c r="AP1192" s="34"/>
      <c r="AQ1192" s="34"/>
      <c r="AR1192" s="34"/>
      <c r="AS1192" s="34"/>
      <c r="AT1192" s="34"/>
      <c r="AU1192" s="34"/>
      <c r="AV1192" s="34"/>
      <c r="AW1192" s="34"/>
      <c r="AX1192" s="34"/>
      <c r="AY1192" s="34"/>
      <c r="AZ1192" s="34"/>
      <c r="BA1192" s="34"/>
      <c r="BB1192" s="34"/>
      <c r="BC1192" s="34"/>
      <c r="BD1192" s="34"/>
      <c r="BE1192" s="34"/>
      <c r="BF1192" s="34"/>
      <c r="BG1192" s="34"/>
      <c r="BH1192" s="34"/>
      <c r="BI1192" s="34"/>
      <c r="BJ1192" s="34"/>
      <c r="BK1192" s="34"/>
      <c r="BL1192" s="34"/>
      <c r="BM1192" s="34"/>
      <c r="BN1192" s="34"/>
      <c r="BO1192" s="34"/>
      <c r="BP1192" s="34"/>
      <c r="BQ1192" s="34"/>
      <c r="BR1192" s="34"/>
      <c r="BS1192" s="34"/>
      <c r="BT1192" s="34"/>
      <c r="BU1192" s="34"/>
      <c r="BV1192" s="34"/>
      <c r="BW1192" s="34"/>
      <c r="BX1192" s="34"/>
      <c r="BY1192" s="34"/>
      <c r="BZ1192" s="34"/>
      <c r="CA1192" s="34"/>
      <c r="CB1192" s="34"/>
      <c r="CC1192" s="34"/>
      <c r="CD1192" s="34"/>
      <c r="CE1192" s="34"/>
      <c r="CF1192" s="34"/>
      <c r="CG1192" s="34"/>
      <c r="CH1192" s="34"/>
      <c r="CI1192" s="8"/>
    </row>
    <row r="1193" spans="1:87" x14ac:dyDescent="0.2">
      <c r="A1193" s="11" t="s">
        <v>17</v>
      </c>
      <c r="B1193" s="11"/>
      <c r="C1193" s="27" t="s">
        <v>18</v>
      </c>
      <c r="D1193" s="27" t="s">
        <v>2</v>
      </c>
      <c r="E1193" s="27" t="s">
        <v>6</v>
      </c>
      <c r="F1193" s="27" t="s">
        <v>15</v>
      </c>
      <c r="G1193" s="27" t="s">
        <v>36</v>
      </c>
      <c r="H1193" s="27" t="s">
        <v>37</v>
      </c>
      <c r="I1193" s="27" t="s">
        <v>38</v>
      </c>
      <c r="J1193" s="27" t="s">
        <v>39</v>
      </c>
      <c r="K1193" s="27" t="s">
        <v>40</v>
      </c>
      <c r="L1193" s="27" t="s">
        <v>41</v>
      </c>
      <c r="M1193" s="27" t="s">
        <v>42</v>
      </c>
      <c r="N1193" s="27" t="s">
        <v>43</v>
      </c>
      <c r="O1193" s="27" t="s">
        <v>9</v>
      </c>
      <c r="P1193" s="27" t="s">
        <v>12</v>
      </c>
      <c r="Q1193" s="27" t="s">
        <v>19</v>
      </c>
      <c r="R1193" s="27" t="s">
        <v>55</v>
      </c>
      <c r="S1193" s="27" t="s">
        <v>26</v>
      </c>
      <c r="T1193" s="19" t="s">
        <v>25</v>
      </c>
      <c r="U1193" s="33" t="s">
        <v>27</v>
      </c>
      <c r="V1193" s="33" t="s">
        <v>9</v>
      </c>
      <c r="W1193" s="33" t="s">
        <v>23</v>
      </c>
      <c r="X1193" s="33" t="s">
        <v>12</v>
      </c>
      <c r="Y1193" s="33" t="s">
        <v>26</v>
      </c>
      <c r="Z1193" s="33" t="s">
        <v>25</v>
      </c>
      <c r="AA1193" s="33" t="s">
        <v>27</v>
      </c>
      <c r="AB1193" s="33" t="s">
        <v>9</v>
      </c>
      <c r="AC1193" s="33" t="s">
        <v>23</v>
      </c>
      <c r="AD1193" s="33" t="s">
        <v>12</v>
      </c>
      <c r="AE1193" s="33" t="s">
        <v>26</v>
      </c>
      <c r="AF1193" s="33" t="s">
        <v>25</v>
      </c>
      <c r="AG1193" s="33" t="s">
        <v>27</v>
      </c>
      <c r="AH1193" s="33" t="s">
        <v>9</v>
      </c>
      <c r="AI1193" s="33" t="s">
        <v>23</v>
      </c>
      <c r="AJ1193" s="33" t="s">
        <v>12</v>
      </c>
      <c r="AK1193" s="33" t="s">
        <v>26</v>
      </c>
      <c r="AL1193" s="33" t="s">
        <v>25</v>
      </c>
      <c r="AM1193" s="33" t="s">
        <v>27</v>
      </c>
      <c r="AN1193" s="33" t="s">
        <v>9</v>
      </c>
      <c r="AO1193" s="33" t="s">
        <v>23</v>
      </c>
      <c r="AP1193" s="33" t="s">
        <v>12</v>
      </c>
      <c r="AQ1193" s="33" t="s">
        <v>26</v>
      </c>
      <c r="AR1193" s="33" t="s">
        <v>25</v>
      </c>
      <c r="AS1193" s="33" t="s">
        <v>27</v>
      </c>
      <c r="AT1193" s="33" t="s">
        <v>9</v>
      </c>
      <c r="AU1193" s="33" t="s">
        <v>23</v>
      </c>
      <c r="AV1193" s="33" t="s">
        <v>12</v>
      </c>
      <c r="AW1193" s="33" t="s">
        <v>26</v>
      </c>
      <c r="AX1193" s="33" t="s">
        <v>25</v>
      </c>
      <c r="AY1193" s="33" t="s">
        <v>27</v>
      </c>
      <c r="AZ1193" s="33" t="s">
        <v>9</v>
      </c>
      <c r="BA1193" s="33" t="s">
        <v>23</v>
      </c>
      <c r="BB1193" s="33" t="s">
        <v>12</v>
      </c>
      <c r="BC1193" s="33" t="s">
        <v>26</v>
      </c>
      <c r="BD1193" s="33" t="s">
        <v>25</v>
      </c>
      <c r="BE1193" s="33" t="s">
        <v>27</v>
      </c>
      <c r="BF1193" s="33" t="s">
        <v>9</v>
      </c>
      <c r="BG1193" s="33" t="s">
        <v>23</v>
      </c>
      <c r="BH1193" s="33" t="s">
        <v>12</v>
      </c>
      <c r="BI1193" s="33" t="s">
        <v>26</v>
      </c>
      <c r="BJ1193" s="33" t="s">
        <v>25</v>
      </c>
      <c r="BK1193" s="33" t="s">
        <v>27</v>
      </c>
      <c r="BL1193" s="33" t="s">
        <v>9</v>
      </c>
      <c r="BM1193" s="33" t="s">
        <v>23</v>
      </c>
      <c r="BN1193" s="33" t="s">
        <v>12</v>
      </c>
      <c r="BO1193" s="33" t="s">
        <v>26</v>
      </c>
      <c r="BP1193" s="33" t="s">
        <v>25</v>
      </c>
      <c r="BQ1193" s="33" t="s">
        <v>27</v>
      </c>
      <c r="BR1193" s="33" t="s">
        <v>9</v>
      </c>
      <c r="BS1193" s="33" t="s">
        <v>23</v>
      </c>
      <c r="BT1193" s="33" t="s">
        <v>12</v>
      </c>
      <c r="BU1193" s="33" t="s">
        <v>26</v>
      </c>
      <c r="BV1193" s="33" t="s">
        <v>25</v>
      </c>
      <c r="BW1193" s="33" t="s">
        <v>27</v>
      </c>
      <c r="BX1193" s="33" t="s">
        <v>9</v>
      </c>
      <c r="BY1193" s="33" t="s">
        <v>23</v>
      </c>
      <c r="BZ1193" s="33" t="s">
        <v>12</v>
      </c>
      <c r="CA1193" s="33" t="s">
        <v>26</v>
      </c>
      <c r="CB1193" s="33" t="s">
        <v>25</v>
      </c>
      <c r="CC1193" s="33" t="s">
        <v>27</v>
      </c>
      <c r="CD1193" s="33" t="s">
        <v>9</v>
      </c>
      <c r="CE1193" s="33" t="s">
        <v>23</v>
      </c>
      <c r="CF1193" s="33" t="s">
        <v>12</v>
      </c>
      <c r="CG1193" s="33" t="s">
        <v>26</v>
      </c>
      <c r="CH1193" s="33" t="s">
        <v>25</v>
      </c>
      <c r="CI1193" s="8"/>
    </row>
    <row r="1194" spans="1:87" x14ac:dyDescent="0.2">
      <c r="A1194" s="8" t="str">
        <f>IF(AND(COUNTIF(W$3:W$13,A$15)&gt;0,A$15&lt;&gt;B1054),A$15,IFERROR(IF(MATCH(A$15,Z$3:Z$13,0)=7,A$15," ")," "))</f>
        <v xml:space="preserve"> </v>
      </c>
      <c r="B1194" s="8" t="str">
        <f>IF(A1194=" "," ",1)</f>
        <v xml:space="preserve"> </v>
      </c>
      <c r="C1194" s="8" t="str">
        <f>IFERROR(INDEX(A1194:A1215,MATCH(SMALL(B1194:B1215,1),B1194:B1215,0),1)," ")</f>
        <v>C3</v>
      </c>
      <c r="D1194" s="8">
        <f>IFERROR(VLOOKUP($C1194,$A$15:$O$36,2,FALSE)," ")</f>
        <v>2</v>
      </c>
      <c r="E1194" s="8">
        <f>IFERROR(VLOOKUP($C1194,$A$15:$O$36,3,FALSE)," ")</f>
        <v>5</v>
      </c>
      <c r="F1194" s="8">
        <f>IFERROR(VLOOKUP($C1194,$A$15:$O$36,4,FALSE)," ")</f>
        <v>6</v>
      </c>
      <c r="G1194" s="8">
        <f>IFERROR(VLOOKUP($C1194,$A$15:$O$36,5,FALSE)," ")</f>
        <v>0</v>
      </c>
      <c r="H1194" s="8">
        <f>IFERROR(VLOOKUP($C1194,$A$15:$O$36,6,FALSE)," ")</f>
        <v>0</v>
      </c>
      <c r="I1194" s="8">
        <f>IFERROR(VLOOKUP($C1194,$A$15:$O$36,7,FALSE)," ")</f>
        <v>0</v>
      </c>
      <c r="J1194" s="8">
        <f>IFERROR(VLOOKUP($C1194,$A$15:$O$36,8,FALSE)," ")</f>
        <v>0</v>
      </c>
      <c r="K1194" s="8">
        <f>IFERROR(VLOOKUP($C1194,$A$15:$O$36,9,FALSE)," ")</f>
        <v>0</v>
      </c>
      <c r="L1194" s="8">
        <f>IFERROR(VLOOKUP($C1194,$A$15:$O$36,10,FALSE)," ")</f>
        <v>0</v>
      </c>
      <c r="M1194" s="8">
        <f>IFERROR(VLOOKUP($C1194,$A$15:$O$36,11,FALSE)," ")</f>
        <v>0</v>
      </c>
      <c r="N1194" s="8">
        <f>IFERROR(VLOOKUP($C1194,$A$15:$O$36,12,FALSE)," ")</f>
        <v>0</v>
      </c>
      <c r="O1194" s="8">
        <f>IFERROR(VLOOKUP($C1194,$A$15:$O$36,15,FALSE)," ")</f>
        <v>2000</v>
      </c>
      <c r="P1194" s="8" t="e">
        <f t="array" ref="P1194:P1204">MMULT(MINVERSE(D1194:N1204),O1194:O1204)</f>
        <v>#NUM!</v>
      </c>
      <c r="Q1194" s="8" t="e">
        <f t="shared" ref="Q1194" si="5053">IF(COUNTIF(P1194:P1204,"&lt;"&amp;-0.001)=0,IF(ABS(P1194)&lt;0.001,0,P1194)," ")</f>
        <v>#NUM!</v>
      </c>
      <c r="R1194" s="8" t="str">
        <f>IFERROR(VLOOKUP(B1054,A$15:L$36,2,FALSE)*Q1194+VLOOKUP(B1054,A$15:L$36,3,FALSE)*Q1195+VLOOKUP(B1054,A$15:L$36,4,FALSE)*Q1196+VLOOKUP(B1054,A$15:L$36,5,FALSE)*Q1197+VLOOKUP(B1054,A$15:L$36,6,FALSE)*Q1198+VLOOKUP(B1054,A$15:L$36,7,FALSE)*Q1199+VLOOKUP(B1054,A$15:L$36,8,FALSE)*Q1200+VLOOKUP(B1054,A$15:L$36,9,FALSE)*Q1201+VLOOKUP(B1054,A$15:L$36,10,FALSE)*Q1202+VLOOKUP(B1054,A$15:L$36,11,FALSE)*Q1203+VLOOKUP(B1054,A$15:L$36,12,FALSE)*Q1204," ")</f>
        <v xml:space="preserve"> </v>
      </c>
      <c r="S1194" s="8" t="str">
        <f>IFERROR(IF(R1194-VLOOKUP(B1054,A$15:O$36,15,FALSE)&lt;0,R1194-VLOOKUP(B1054,A$15:O$36,15,FALSE)," ")," ")</f>
        <v xml:space="preserve"> </v>
      </c>
      <c r="T1194" s="18" t="str">
        <f>IFERROR(IF(R1194-VLOOKUP(B1054,A$15:O$36,15,FALSE)&gt;0,R1194-VLOOKUP(B1054,A$15:O$36,15,FALSE)," ")," ")</f>
        <v xml:space="preserve"> </v>
      </c>
      <c r="U1194" s="34">
        <f t="shared" ref="U1194" si="5054">$M$2</f>
        <v>100.00000000000001</v>
      </c>
      <c r="V1194" s="34">
        <v>-1</v>
      </c>
      <c r="W1194" s="34">
        <f t="shared" ref="W1194" si="5055">-SUMPRODUCT($M$3:$M$12,$N$3:$N$12)</f>
        <v>-105000</v>
      </c>
      <c r="X1194" s="34" t="e">
        <f t="shared" ref="X1194" si="5056">IF(U1194&lt;&gt;U1195,MMULT(MINVERSE(U1194:V1195),W1194:W1195)," ")</f>
        <v>#NUM!</v>
      </c>
      <c r="Y1194" s="34" t="str">
        <f t="shared" ref="Y1194" si="5057">IFERROR(IF(X1194-VLOOKUP(U$38,$A$2:$N$12,14,FALSE)&lt;0,X1194-VLOOKUP(U$38,$A$2:$N$12,14,FALSE)," ")," ")</f>
        <v xml:space="preserve"> </v>
      </c>
      <c r="Z1194" s="34" t="str">
        <f t="shared" ref="Z1194" si="5058">IFERROR(IF(X1194-VLOOKUP(U$38,$A$2:$N$12,14,FALSE)&gt;0,X1194-VLOOKUP(U$38,$A$2:$N$12,14,FALSE)," ")," ")</f>
        <v xml:space="preserve"> </v>
      </c>
      <c r="AA1194" s="34">
        <f t="shared" ref="AA1194" si="5059">$M$3</f>
        <v>0</v>
      </c>
      <c r="AB1194" s="34">
        <v>-1</v>
      </c>
      <c r="AC1194" s="34">
        <f t="shared" ref="AC1194" si="5060">-SUMPRODUCT($M$2:$M$2,$N$2:$N$2)-SUMPRODUCT($M$4:$M$12,$N$4:$N$12)</f>
        <v>-120000</v>
      </c>
      <c r="AD1194" s="34" t="e">
        <f t="shared" ref="AD1194" si="5061">IF(AA1194&lt;&gt;AA1195,MMULT(MINVERSE(AA1194:AB1195),AC1194:AC1195)," ")</f>
        <v>#NUM!</v>
      </c>
      <c r="AE1194" s="34" t="str">
        <f t="shared" ref="AE1194" si="5062">IFERROR(IF(AD1194-VLOOKUP(AA$38,$A$2:$N$12,14,FALSE)&lt;0,AD1194-VLOOKUP(AA$38,$A$2:$N$12,14,FALSE)," ")," ")</f>
        <v xml:space="preserve"> </v>
      </c>
      <c r="AF1194" s="34" t="str">
        <f t="shared" ref="AF1194" si="5063">IFERROR(IF(AD1194-VLOOKUP(AA$38,$A$2:$N$12,14,FALSE)&gt;0,AD1194-VLOOKUP(AA$38,$A$2:$N$12,14,FALSE)," ")," ")</f>
        <v xml:space="preserve"> </v>
      </c>
      <c r="AG1194" s="34">
        <f t="shared" ref="AG1194" si="5064">$M$4</f>
        <v>300</v>
      </c>
      <c r="AH1194" s="34">
        <v>-1</v>
      </c>
      <c r="AI1194" s="34">
        <f t="shared" ref="AI1194" si="5065">-SUMPRODUCT($M$2:$M$3,$N$2:$N$3)-SUMPRODUCT($M$5:$M$12,$N$5:$N$12)</f>
        <v>-15000.000000000002</v>
      </c>
      <c r="AJ1194" s="34" t="e">
        <f t="shared" ref="AJ1194" si="5066">IF(AG1194&lt;&gt;AG1195,MMULT(MINVERSE(AG1194:AH1195),AI1194:AI1195)," ")</f>
        <v>#NUM!</v>
      </c>
      <c r="AK1194" s="34" t="str">
        <f t="shared" ref="AK1194" si="5067">IFERROR(IF(AJ1194-VLOOKUP(AG$38,$A$2:$N$12,14,FALSE)&lt;0,AJ1194-VLOOKUP(AG$38,$A$2:$N$12,14,FALSE)," ")," ")</f>
        <v xml:space="preserve"> </v>
      </c>
      <c r="AL1194" s="34" t="str">
        <f t="shared" ref="AL1194" si="5068">IFERROR(IF(AJ1194-VLOOKUP(AG$38,$A$2:$N$12,14,FALSE)&gt;0,AJ1194-VLOOKUP(AG$38,$A$2:$N$12,14,FALSE)," ")," ")</f>
        <v xml:space="preserve"> </v>
      </c>
      <c r="AM1194" s="34">
        <f t="shared" ref="AM1194" si="5069">$M$5</f>
        <v>0</v>
      </c>
      <c r="AN1194" s="34">
        <v>-1</v>
      </c>
      <c r="AO1194" s="34">
        <f t="shared" ref="AO1194" si="5070">-SUMPRODUCT($M$2:$M$4,$N$2:$N$4)-SUMPRODUCT($M$6:$M$12,$N$6:$N$12)</f>
        <v>-120000</v>
      </c>
      <c r="AP1194" s="34" t="e">
        <f t="shared" ref="AP1194" si="5071">IF(AM1194&lt;&gt;AM1195,MMULT(MINVERSE(AM1194:AN1195),AO1194:AO1195)," ")</f>
        <v>#NUM!</v>
      </c>
      <c r="AQ1194" s="34" t="str">
        <f t="shared" ref="AQ1194" si="5072">IFERROR(IF(AP1194-VLOOKUP(AM$38,$A$2:$N$12,14,FALSE)&lt;0,AP1194-VLOOKUP(AM$38,$A$2:$N$12,14,FALSE)," ")," ")</f>
        <v xml:space="preserve"> </v>
      </c>
      <c r="AR1194" s="34" t="str">
        <f t="shared" ref="AR1194" si="5073">IFERROR(IF(AP1194-VLOOKUP(AM$38,$A$2:$N$12,14,FALSE)&gt;0,AP1194-VLOOKUP(AM$38,$A$2:$N$12,14,FALSE)," ")," ")</f>
        <v xml:space="preserve"> </v>
      </c>
      <c r="AS1194" s="34">
        <f t="shared" ref="AS1194" si="5074">$M$6</f>
        <v>0</v>
      </c>
      <c r="AT1194" s="34">
        <v>-1</v>
      </c>
      <c r="AU1194" s="34">
        <f t="shared" ref="AU1194" si="5075">-SUMPRODUCT($M$2:$M$5,$N$2:$N$5)-SUMPRODUCT($M$7:$M$12,$N$7:$N$12)</f>
        <v>-120000</v>
      </c>
      <c r="AV1194" s="34" t="e">
        <f t="shared" ref="AV1194" si="5076">IF(AS1194&lt;&gt;AS1195,MMULT(MINVERSE(AS1194:AT1195),AU1194:AU1195)," ")</f>
        <v>#NUM!</v>
      </c>
      <c r="AW1194" s="34" t="str">
        <f t="shared" ref="AW1194" si="5077">IFERROR(IF(AV1194-VLOOKUP(AS$38,$A$2:$N$12,14,FALSE)&lt;0,AV1194-VLOOKUP(AS$38,$A$2:$N$12,14,FALSE)," ")," ")</f>
        <v xml:space="preserve"> </v>
      </c>
      <c r="AX1194" s="34" t="str">
        <f t="shared" ref="AX1194" si="5078">IFERROR(IF(AV1194-VLOOKUP(AS$38,$A$2:$N$12,14,FALSE)&gt;0,AV1194-VLOOKUP(AS$38,$A$2:$N$12,14,FALSE)," ")," ")</f>
        <v xml:space="preserve"> </v>
      </c>
      <c r="AY1194" s="34">
        <f t="shared" ref="AY1194" si="5079">$M$7</f>
        <v>0</v>
      </c>
      <c r="AZ1194" s="34">
        <v>-1</v>
      </c>
      <c r="BA1194" s="34">
        <f t="shared" ref="BA1194" si="5080">-SUMPRODUCT($M$2:$M$6,$N$2:$N$6)-SUMPRODUCT($M$8:$M$12,$N$8:$N$12)</f>
        <v>-120000</v>
      </c>
      <c r="BB1194" s="34" t="e">
        <f t="shared" ref="BB1194" si="5081">IF(AY1194&lt;&gt;AY1195,MMULT(MINVERSE(AY1194:AZ1195),BA1194:BA1195)," ")</f>
        <v>#NUM!</v>
      </c>
      <c r="BC1194" s="34" t="str">
        <f t="shared" ref="BC1194" si="5082">IFERROR(IF(BB1194-VLOOKUP(AY$38,$A$2:$N$12,14,FALSE)&lt;0,BB1194-VLOOKUP(AY$38,$A$2:$N$12,14,FALSE)," ")," ")</f>
        <v xml:space="preserve"> </v>
      </c>
      <c r="BD1194" s="34" t="str">
        <f t="shared" ref="BD1194" si="5083">IFERROR(IF(BB1194-VLOOKUP(AY$38,$A$2:$N$12,14,FALSE)&gt;0,BB1194-VLOOKUP(AY$38,$A$2:$N$12,14,FALSE)," ")," ")</f>
        <v xml:space="preserve"> </v>
      </c>
      <c r="BE1194" s="34">
        <f t="shared" ref="BE1194" si="5084">$M$8</f>
        <v>0</v>
      </c>
      <c r="BF1194" s="34">
        <v>-1</v>
      </c>
      <c r="BG1194" s="34">
        <f t="shared" ref="BG1194" si="5085">-SUMPRODUCT($M$2:$M$7,$N$2:$N$7)-SUMPRODUCT($M$9:$M$12,$N$9:$N$12)</f>
        <v>-120000</v>
      </c>
      <c r="BH1194" s="34" t="e">
        <f t="shared" ref="BH1194" si="5086">IF(BE1194&lt;&gt;BE1195,MMULT(MINVERSE(BE1194:BF1195),BG1194:BG1195)," ")</f>
        <v>#NUM!</v>
      </c>
      <c r="BI1194" s="34" t="str">
        <f t="shared" ref="BI1194" si="5087">IFERROR(IF(BH1194-VLOOKUP(BE$38,$A$2:$N$12,14,FALSE)&lt;0,BH1194-VLOOKUP(BE$38,$A$2:$N$12,14,FALSE)," ")," ")</f>
        <v xml:space="preserve"> </v>
      </c>
      <c r="BJ1194" s="34" t="str">
        <f t="shared" ref="BJ1194" si="5088">IFERROR(IF(BH1194-VLOOKUP(BE$38,$A$2:$N$12,14,FALSE)&gt;0,BH1194-VLOOKUP(BE$38,$A$2:$N$12,14,FALSE)," ")," ")</f>
        <v xml:space="preserve"> </v>
      </c>
      <c r="BK1194" s="34">
        <f t="shared" ref="BK1194" si="5089">$M$9</f>
        <v>0</v>
      </c>
      <c r="BL1194" s="34">
        <v>-1</v>
      </c>
      <c r="BM1194" s="34">
        <f t="shared" ref="BM1194" si="5090">-SUMPRODUCT($M$2:$M$8,$N$2:$N$8)-SUMPRODUCT($M$10:$M$12,$N$10:$N$12)</f>
        <v>-120000</v>
      </c>
      <c r="BN1194" s="34" t="e">
        <f t="shared" ref="BN1194" si="5091">IF(BK1194&lt;&gt;BK1195,MMULT(MINVERSE(BK1194:BL1195),BM1194:BM1195)," ")</f>
        <v>#NUM!</v>
      </c>
      <c r="BO1194" s="34" t="str">
        <f t="shared" ref="BO1194" si="5092">IFERROR(IF(BN1194-VLOOKUP(BK$38,$A$2:$N$12,14,FALSE)&lt;0,BN1194-VLOOKUP(BK$38,$A$2:$N$12,14,FALSE)," ")," ")</f>
        <v xml:space="preserve"> </v>
      </c>
      <c r="BP1194" s="34" t="str">
        <f t="shared" ref="BP1194" si="5093">IFERROR(IF(BN1194-VLOOKUP(BK$38,$A$2:$N$12,14,FALSE)&gt;0,BN1194-VLOOKUP(BK$38,$A$2:$N$12,14,FALSE)," ")," ")</f>
        <v xml:space="preserve"> </v>
      </c>
      <c r="BQ1194" s="34">
        <f t="shared" ref="BQ1194" si="5094">$M$10</f>
        <v>0</v>
      </c>
      <c r="BR1194" s="34">
        <v>-1</v>
      </c>
      <c r="BS1194" s="34">
        <f t="shared" ref="BS1194" si="5095">-SUMPRODUCT($M$2:$M$9,$N$2:$N$9)-SUMPRODUCT($M$11:$M$12,$N$11:$N$12)</f>
        <v>-120000</v>
      </c>
      <c r="BT1194" s="34" t="e">
        <f t="shared" ref="BT1194" si="5096">IF(BQ1194&lt;&gt;BQ1195,MMULT(MINVERSE(BQ1194:BR1195),BS1194:BS1195)," ")</f>
        <v>#NUM!</v>
      </c>
      <c r="BU1194" s="34" t="str">
        <f t="shared" ref="BU1194" si="5097">IFERROR(IF(BT1194-VLOOKUP(BQ$38,$A$2:$N$12,14,FALSE)&lt;0,BT1194-VLOOKUP(BQ$38,$A$2:$N$12,14,FALSE)," ")," ")</f>
        <v xml:space="preserve"> </v>
      </c>
      <c r="BV1194" s="34" t="str">
        <f t="shared" ref="BV1194" si="5098">IFERROR(IF(BT1194-VLOOKUP(BQ$38,$A$2:$N$12,14,FALSE)&gt;0,BT1194-VLOOKUP(BQ$38,$A$2:$N$12,14,FALSE)," ")," ")</f>
        <v xml:space="preserve"> </v>
      </c>
      <c r="BW1194" s="34">
        <f t="shared" ref="BW1194" si="5099">$M$11</f>
        <v>0</v>
      </c>
      <c r="BX1194" s="34">
        <v>-1</v>
      </c>
      <c r="BY1194" s="34">
        <f t="shared" ref="BY1194" si="5100">-SUMPRODUCT($M$2:$M$10,$N$2:$N$10)-SUMPRODUCT($M$12,$N$12)</f>
        <v>-120000</v>
      </c>
      <c r="BZ1194" s="34" t="e">
        <f t="shared" ref="BZ1194" si="5101">IF(BW1194&lt;&gt;BW1195,MMULT(MINVERSE(BW1194:BX1195),BY1194:BY1195)," ")</f>
        <v>#NUM!</v>
      </c>
      <c r="CA1194" s="34" t="str">
        <f t="shared" ref="CA1194" si="5102">IFERROR(IF(BZ1194-VLOOKUP(BW$38,$A$2:$N$12,14,FALSE)&lt;0,BZ1194-VLOOKUP(BW$38,$A$2:$N$12,14,FALSE)," ")," ")</f>
        <v xml:space="preserve"> </v>
      </c>
      <c r="CB1194" s="34" t="str">
        <f t="shared" ref="CB1194" si="5103">IFERROR(IF(BZ1194-VLOOKUP(BW$38,$A$2:$N$12,14,FALSE)&gt;0,BZ1194-VLOOKUP(BW$38,$A$2:$N$12,14,FALSE)," ")," ")</f>
        <v xml:space="preserve"> </v>
      </c>
      <c r="CC1194" s="34">
        <f t="shared" ref="CC1194" si="5104">$M$12</f>
        <v>0</v>
      </c>
      <c r="CD1194" s="34">
        <v>-1</v>
      </c>
      <c r="CE1194" s="34">
        <f t="shared" ref="CE1194" si="5105">-SUMPRODUCT($M$2:$M$11,$N$2:$N$11)</f>
        <v>-120000</v>
      </c>
      <c r="CF1194" s="34" t="e">
        <f t="shared" ref="CF1194" si="5106">IF(CC1194&lt;&gt;CC1195,MMULT(MINVERSE(CC1194:CD1195),CE1194:CE1195)," ")</f>
        <v>#NUM!</v>
      </c>
      <c r="CG1194" s="34" t="str">
        <f t="shared" ref="CG1194" si="5107">IFERROR(IF(CF1194-VLOOKUP(CC$38,$A$2:$N$12,14,FALSE)&lt;0,CF1194-VLOOKUP(CC$38,$A$2:$N$12,14,FALSE)," ")," ")</f>
        <v xml:space="preserve"> </v>
      </c>
      <c r="CH1194" s="34" t="str">
        <f t="shared" ref="CH1194" si="5108">IFERROR(IF(CF1194-VLOOKUP(CC$38,$A$2:$N$12,14,FALSE)&gt;0,CF1194-VLOOKUP(CC$38,$A$2:$N$12,14,FALSE)," ")," ")</f>
        <v xml:space="preserve"> </v>
      </c>
      <c r="CI1194" s="8"/>
    </row>
    <row r="1195" spans="1:87" x14ac:dyDescent="0.2">
      <c r="A1195" s="8" t="str">
        <f>IF(AND(COUNTIF(W$3:W$13,A$16)&gt;0,A$16&lt;&gt;B1654),A$16,IFERROR(IF(MATCH(A$16,Z$3:Z$13,0)=7,A$16," ")," "))</f>
        <v xml:space="preserve"> </v>
      </c>
      <c r="B1195" s="8" t="str">
        <f>IF(A1195=" "," ",MAX(B1194:B1194)+1)</f>
        <v xml:space="preserve"> </v>
      </c>
      <c r="C1195" s="8" t="str">
        <f>IFERROR(INDEX(A1194:A1215,MATCH(SMALL(B1194:B1215,2),B1194:B1215,0),1)," ")</f>
        <v>C4</v>
      </c>
      <c r="D1195" s="8">
        <f t="shared" ref="D1195:D1204" si="5109">IFERROR(VLOOKUP($C1195,$A$15:$O$36,2,FALSE)," ")</f>
        <v>1</v>
      </c>
      <c r="E1195" s="8">
        <f t="shared" ref="E1195:E1204" si="5110">IFERROR(VLOOKUP($C1195,$A$15:$O$36,3,FALSE)," ")</f>
        <v>0</v>
      </c>
      <c r="F1195" s="8">
        <f t="shared" ref="F1195:F1204" si="5111">IFERROR(VLOOKUP($C1195,$A$15:$O$36,4,FALSE)," ")</f>
        <v>1</v>
      </c>
      <c r="G1195" s="8">
        <f t="shared" ref="G1195:G1204" si="5112">IFERROR(VLOOKUP($C1195,$A$15:$O$36,5,FALSE)," ")</f>
        <v>0</v>
      </c>
      <c r="H1195" s="8">
        <f t="shared" ref="H1195:H1204" si="5113">IFERROR(VLOOKUP($C1195,$A$15:$O$36,6,FALSE)," ")</f>
        <v>0</v>
      </c>
      <c r="I1195" s="8">
        <f t="shared" ref="I1195:I1204" si="5114">IFERROR(VLOOKUP($C1195,$A$15:$O$36,7,FALSE)," ")</f>
        <v>0</v>
      </c>
      <c r="J1195" s="8">
        <f t="shared" ref="J1195:J1204" si="5115">IFERROR(VLOOKUP($C1195,$A$15:$O$36,8,FALSE)," ")</f>
        <v>0</v>
      </c>
      <c r="K1195" s="8">
        <f t="shared" ref="K1195:K1204" si="5116">IFERROR(VLOOKUP($C1195,$A$15:$O$36,9,FALSE)," ")</f>
        <v>0</v>
      </c>
      <c r="L1195" s="8">
        <f t="shared" ref="L1195:L1204" si="5117">IFERROR(VLOOKUP($C1195,$A$15:$O$36,10,FALSE)," ")</f>
        <v>0</v>
      </c>
      <c r="M1195" s="8">
        <f t="shared" ref="M1195:M1204" si="5118">IFERROR(VLOOKUP($C1195,$A$15:$O$36,11,FALSE)," ")</f>
        <v>0</v>
      </c>
      <c r="N1195" s="8">
        <f t="shared" ref="N1195:N1204" si="5119">IFERROR(VLOOKUP($C1195,$A$15:$O$36,12,FALSE)," ")</f>
        <v>0</v>
      </c>
      <c r="O1195" s="8">
        <f t="shared" ref="O1195:O1204" si="5120">IFERROR(VLOOKUP($C1195,$A$15:$O$36,15,FALSE)," ")</f>
        <v>400</v>
      </c>
      <c r="P1195" s="8" t="e">
        <v>#NUM!</v>
      </c>
      <c r="Q1195" s="8" t="e">
        <f t="shared" ref="Q1195" si="5121">IF(COUNTIF(P1194:P1204,"&lt;"&amp;-0.001)=0,IF(ABS(P1195)&lt;0.001,0,P1195)," ")</f>
        <v>#NUM!</v>
      </c>
      <c r="R1195" s="8"/>
      <c r="S1195" s="8"/>
      <c r="U1195" s="34" t="e">
        <f t="shared" ref="U1195" si="5122">$Q1194</f>
        <v>#NUM!</v>
      </c>
      <c r="V1195" s="34">
        <v>-1</v>
      </c>
      <c r="W1195" s="34" t="e">
        <f t="shared" ref="W1195" si="5123">-SUMPRODUCT($Q1195:$Q1204,$N$3:$N$12)</f>
        <v>#NUM!</v>
      </c>
      <c r="X1195" s="34"/>
      <c r="Y1195" s="34"/>
      <c r="Z1195" s="34"/>
      <c r="AA1195" s="34" t="e">
        <f t="shared" ref="AA1195" si="5124">$Q1195</f>
        <v>#NUM!</v>
      </c>
      <c r="AB1195" s="34">
        <v>-1</v>
      </c>
      <c r="AC1195" s="34" t="e">
        <f t="shared" ref="AC1195" si="5125">-SUMPRODUCT($Q1194:$Q1194,$N$2:$N$2)-SUMPRODUCT($Q1196:$Q1204,$N$4:$N$12)</f>
        <v>#NUM!</v>
      </c>
      <c r="AD1195" s="34"/>
      <c r="AE1195" s="34"/>
      <c r="AF1195" s="34"/>
      <c r="AG1195" s="34" t="e">
        <f t="shared" ref="AG1195" si="5126">$Q1196</f>
        <v>#NUM!</v>
      </c>
      <c r="AH1195" s="34">
        <v>-1</v>
      </c>
      <c r="AI1195" s="34" t="e">
        <f t="shared" ref="AI1195" si="5127">-SUMPRODUCT($Q1194:$Q1195,$N$2:$N$3)-SUMPRODUCT($Q1197:$Q1204,$N$5:$N$12)</f>
        <v>#NUM!</v>
      </c>
      <c r="AJ1195" s="34"/>
      <c r="AK1195" s="34"/>
      <c r="AL1195" s="34"/>
      <c r="AM1195" s="34" t="e">
        <f t="shared" ref="AM1195" si="5128">$Q1197</f>
        <v>#NUM!</v>
      </c>
      <c r="AN1195" s="34">
        <v>-1</v>
      </c>
      <c r="AO1195" s="34" t="e">
        <f t="shared" ref="AO1195" si="5129">-SUMPRODUCT($Q1194:$Q1196,$N$2:$N$4)-SUMPRODUCT($Q1198:$Q1204,$N$6:$N$12)</f>
        <v>#NUM!</v>
      </c>
      <c r="AP1195" s="34"/>
      <c r="AQ1195" s="34"/>
      <c r="AR1195" s="34"/>
      <c r="AS1195" s="34" t="e">
        <f t="shared" ref="AS1195" si="5130">$Q1198</f>
        <v>#NUM!</v>
      </c>
      <c r="AT1195" s="34">
        <v>-1</v>
      </c>
      <c r="AU1195" s="34" t="e">
        <f t="shared" ref="AU1195" si="5131">-SUMPRODUCT($Q1194:$Q1197,$N$2:$N$5)-SUMPRODUCT($Q1199:$Q1204,$N$7:$N$12)</f>
        <v>#NUM!</v>
      </c>
      <c r="AV1195" s="34"/>
      <c r="AW1195" s="34"/>
      <c r="AX1195" s="34"/>
      <c r="AY1195" s="34" t="e">
        <f t="shared" ref="AY1195" si="5132">$Q1199</f>
        <v>#NUM!</v>
      </c>
      <c r="AZ1195" s="34">
        <v>-1</v>
      </c>
      <c r="BA1195" s="34" t="e">
        <f t="shared" ref="BA1195" si="5133">-SUMPRODUCT($Q1194:$Q1198,$N$2:$N$6)-SUMPRODUCT($Q1200:$Q1204,$N$8:$N$12)</f>
        <v>#NUM!</v>
      </c>
      <c r="BB1195" s="34"/>
      <c r="BC1195" s="34"/>
      <c r="BD1195" s="34"/>
      <c r="BE1195" s="34" t="e">
        <f t="shared" ref="BE1195" si="5134">$Q1200</f>
        <v>#NUM!</v>
      </c>
      <c r="BF1195" s="34">
        <v>-1</v>
      </c>
      <c r="BG1195" s="34" t="e">
        <f t="shared" ref="BG1195" si="5135">-SUMPRODUCT($Q1194:$Q1199,$N$2:$N$7)-SUMPRODUCT($Q1201:$Q1204,$N$9:$N$12)</f>
        <v>#NUM!</v>
      </c>
      <c r="BH1195" s="34"/>
      <c r="BI1195" s="34"/>
      <c r="BJ1195" s="34"/>
      <c r="BK1195" s="34" t="e">
        <f t="shared" ref="BK1195" si="5136">$Q1201</f>
        <v>#NUM!</v>
      </c>
      <c r="BL1195" s="34">
        <v>-1</v>
      </c>
      <c r="BM1195" s="34" t="e">
        <f t="shared" ref="BM1195" si="5137">-SUMPRODUCT($Q1194:$Q1200,$N$2:$N$8)-SUMPRODUCT($Q1202:$Q1204,$N$10:$N$12)</f>
        <v>#NUM!</v>
      </c>
      <c r="BN1195" s="34"/>
      <c r="BO1195" s="34"/>
      <c r="BP1195" s="34"/>
      <c r="BQ1195" s="34" t="e">
        <f t="shared" ref="BQ1195" si="5138">$Q1202</f>
        <v>#NUM!</v>
      </c>
      <c r="BR1195" s="34">
        <v>-1</v>
      </c>
      <c r="BS1195" s="34" t="e">
        <f t="shared" ref="BS1195" si="5139">-SUMPRODUCT($Q1194:$Q1201,$N$2:$N$9)-SUMPRODUCT($Q1203:$Q1204,$N$11:$N$12)</f>
        <v>#NUM!</v>
      </c>
      <c r="BT1195" s="34"/>
      <c r="BU1195" s="34"/>
      <c r="BV1195" s="34"/>
      <c r="BW1195" s="34" t="e">
        <f t="shared" ref="BW1195" si="5140">$Q1203</f>
        <v>#NUM!</v>
      </c>
      <c r="BX1195" s="34">
        <v>-1</v>
      </c>
      <c r="BY1195" s="34" t="e">
        <f t="shared" ref="BY1195" si="5141">-SUMPRODUCT($Q1194:$Q1202,$N$2:$N$10)-SUMPRODUCT($Q1204,$N$12)</f>
        <v>#NUM!</v>
      </c>
      <c r="BZ1195" s="34"/>
      <c r="CA1195" s="34"/>
      <c r="CB1195" s="34"/>
      <c r="CC1195" s="34" t="e">
        <f t="shared" ref="CC1195" si="5142">$Q1204</f>
        <v>#NUM!</v>
      </c>
      <c r="CD1195" s="34">
        <v>-1</v>
      </c>
      <c r="CE1195" s="34" t="e">
        <f t="shared" ref="CE1195" si="5143">-SUMPRODUCT($Q1194:$Q1203,$N$2:$N$11)</f>
        <v>#NUM!</v>
      </c>
      <c r="CF1195" s="34"/>
      <c r="CG1195" s="34"/>
      <c r="CH1195" s="34"/>
      <c r="CI1195" s="8"/>
    </row>
    <row r="1196" spans="1:87" x14ac:dyDescent="0.2">
      <c r="A1196" s="8" t="str">
        <f>IF(AND(COUNTIF(W$3:W$13,A$17)&gt;0,A$17&lt;&gt;B1054),A$17,IFERROR(IF(MATCH(A$17,Z$3:Z$13,0)=7,A$17," ")," "))</f>
        <v>C3</v>
      </c>
      <c r="B1196" s="8">
        <f>IF(A1196=" "," ",MAX(B1194:B1195)+1)</f>
        <v>1</v>
      </c>
      <c r="C1196" s="8" t="str">
        <f>IFERROR(INDEX(A1194:A1215,MATCH(SMALL(B1194:B1215,3),B1194:B1215,0),1)," ")</f>
        <v>C9</v>
      </c>
      <c r="D1196" s="8">
        <f t="shared" si="5109"/>
        <v>0</v>
      </c>
      <c r="E1196" s="8">
        <f t="shared" si="5110"/>
        <v>0</v>
      </c>
      <c r="F1196" s="8">
        <f t="shared" si="5111"/>
        <v>0</v>
      </c>
      <c r="G1196" s="8">
        <f t="shared" si="5112"/>
        <v>0</v>
      </c>
      <c r="H1196" s="8">
        <f t="shared" si="5113"/>
        <v>0</v>
      </c>
      <c r="I1196" s="8">
        <f t="shared" si="5114"/>
        <v>0</v>
      </c>
      <c r="J1196" s="8">
        <f t="shared" si="5115"/>
        <v>0</v>
      </c>
      <c r="K1196" s="8">
        <f t="shared" si="5116"/>
        <v>0</v>
      </c>
      <c r="L1196" s="8">
        <f t="shared" si="5117"/>
        <v>0</v>
      </c>
      <c r="M1196" s="8">
        <f t="shared" si="5118"/>
        <v>0</v>
      </c>
      <c r="N1196" s="8">
        <f t="shared" si="5119"/>
        <v>0</v>
      </c>
      <c r="O1196" s="8">
        <f t="shared" si="5120"/>
        <v>0</v>
      </c>
      <c r="P1196" s="8" t="e">
        <v>#NUM!</v>
      </c>
      <c r="Q1196" s="8" t="e">
        <f t="shared" ref="Q1196" si="5144">IF(COUNTIF(P1194:P1204,"&lt;"&amp;-0.001)=0,IF(ABS(P1196)&lt;0.001,0,P1196)," ")</f>
        <v>#NUM!</v>
      </c>
      <c r="R1196" s="8"/>
      <c r="S1196" s="8"/>
      <c r="U1196" s="34"/>
      <c r="V1196" s="34"/>
      <c r="W1196" s="34"/>
      <c r="X1196" s="34"/>
      <c r="Y1196" s="34"/>
      <c r="Z1196" s="34"/>
      <c r="AA1196" s="34"/>
      <c r="AB1196" s="34"/>
      <c r="AC1196" s="34"/>
      <c r="AD1196" s="34"/>
      <c r="AE1196" s="34"/>
      <c r="AF1196" s="34"/>
      <c r="AG1196" s="34"/>
      <c r="AH1196" s="34"/>
      <c r="AI1196" s="34"/>
      <c r="AJ1196" s="34"/>
      <c r="AK1196" s="34"/>
      <c r="AL1196" s="34"/>
      <c r="AM1196" s="34"/>
      <c r="AN1196" s="34"/>
      <c r="AO1196" s="34"/>
      <c r="AP1196" s="34"/>
      <c r="AQ1196" s="34"/>
      <c r="AR1196" s="34"/>
      <c r="AS1196" s="34"/>
      <c r="AT1196" s="34"/>
      <c r="AU1196" s="34"/>
      <c r="AV1196" s="34"/>
      <c r="AW1196" s="34"/>
      <c r="AX1196" s="34"/>
      <c r="AY1196" s="34"/>
      <c r="AZ1196" s="34"/>
      <c r="BA1196" s="34"/>
      <c r="BB1196" s="34"/>
      <c r="BC1196" s="34"/>
      <c r="BD1196" s="34"/>
      <c r="BE1196" s="34"/>
      <c r="BF1196" s="34"/>
      <c r="BG1196" s="34"/>
      <c r="BH1196" s="34"/>
      <c r="BI1196" s="34"/>
      <c r="BJ1196" s="34"/>
      <c r="BK1196" s="34"/>
      <c r="BL1196" s="34"/>
      <c r="BM1196" s="34"/>
      <c r="BN1196" s="34"/>
      <c r="BO1196" s="34"/>
      <c r="BP1196" s="34"/>
      <c r="BQ1196" s="34"/>
      <c r="BR1196" s="34"/>
      <c r="BS1196" s="34"/>
      <c r="BT1196" s="34"/>
      <c r="BU1196" s="34"/>
      <c r="BV1196" s="34"/>
      <c r="BW1196" s="34"/>
      <c r="BX1196" s="34"/>
      <c r="BY1196" s="34"/>
      <c r="BZ1196" s="34"/>
      <c r="CA1196" s="34"/>
      <c r="CB1196" s="34"/>
      <c r="CC1196" s="34"/>
      <c r="CD1196" s="34"/>
      <c r="CE1196" s="34"/>
      <c r="CF1196" s="34"/>
      <c r="CG1196" s="34"/>
      <c r="CH1196" s="34"/>
      <c r="CI1196" s="8"/>
    </row>
    <row r="1197" spans="1:87" x14ac:dyDescent="0.2">
      <c r="A1197" s="8" t="str">
        <f>IF(AND(COUNTIF(W$3:W$13,A$18)&gt;0,A$18&lt;&gt;B1054),A$18,IFERROR(IF(MATCH(A$18,Z$3:Z$13,0)=7,A$18," ")," "))</f>
        <v>C4</v>
      </c>
      <c r="B1197" s="8">
        <f>IF(A1197=" "," ",MAX(B1194:B1196)+1)</f>
        <v>2</v>
      </c>
      <c r="C1197" s="8" t="str">
        <f>IFERROR(INDEX(A1194:A1215,MATCH(SMALL(B1194:B1215,4),B1194:B1215,0),1)," ")</f>
        <v>C13</v>
      </c>
      <c r="D1197" s="8">
        <f t="shared" si="5109"/>
        <v>0</v>
      </c>
      <c r="E1197" s="8">
        <f t="shared" si="5110"/>
        <v>1</v>
      </c>
      <c r="F1197" s="8">
        <f t="shared" si="5111"/>
        <v>0</v>
      </c>
      <c r="G1197" s="8">
        <f t="shared" si="5112"/>
        <v>0</v>
      </c>
      <c r="H1197" s="8">
        <f t="shared" si="5113"/>
        <v>0</v>
      </c>
      <c r="I1197" s="8">
        <f t="shared" si="5114"/>
        <v>0</v>
      </c>
      <c r="J1197" s="8">
        <f t="shared" si="5115"/>
        <v>0</v>
      </c>
      <c r="K1197" s="8">
        <f t="shared" si="5116"/>
        <v>0</v>
      </c>
      <c r="L1197" s="8">
        <f t="shared" si="5117"/>
        <v>0</v>
      </c>
      <c r="M1197" s="8">
        <f t="shared" si="5118"/>
        <v>0</v>
      </c>
      <c r="N1197" s="8">
        <f t="shared" si="5119"/>
        <v>0</v>
      </c>
      <c r="O1197" s="8">
        <f t="shared" si="5120"/>
        <v>0</v>
      </c>
      <c r="P1197" s="8" t="e">
        <v>#NUM!</v>
      </c>
      <c r="Q1197" s="8" t="e">
        <f t="shared" ref="Q1197" si="5145">IF(COUNTIF(P1194:P1204,"&lt;"&amp;-0.001)=0,IF(ABS(P1197)&lt;0.001,0,P1197)," ")</f>
        <v>#NUM!</v>
      </c>
      <c r="R1197" s="8"/>
      <c r="S1197" s="8"/>
      <c r="U1197" s="34"/>
      <c r="V1197" s="34"/>
      <c r="W1197" s="34"/>
      <c r="X1197" s="34"/>
      <c r="Y1197" s="34"/>
      <c r="Z1197" s="34"/>
      <c r="AA1197" s="34"/>
      <c r="AB1197" s="34"/>
      <c r="AC1197" s="34"/>
      <c r="AD1197" s="34"/>
      <c r="AE1197" s="34"/>
      <c r="AF1197" s="34"/>
      <c r="AG1197" s="34"/>
      <c r="AH1197" s="34"/>
      <c r="AI1197" s="34"/>
      <c r="AJ1197" s="34"/>
      <c r="AK1197" s="34"/>
      <c r="AL1197" s="34"/>
      <c r="AM1197" s="34"/>
      <c r="AN1197" s="34"/>
      <c r="AO1197" s="34"/>
      <c r="AP1197" s="34"/>
      <c r="AQ1197" s="34"/>
      <c r="AR1197" s="34"/>
      <c r="AS1197" s="34"/>
      <c r="AT1197" s="34"/>
      <c r="AU1197" s="34"/>
      <c r="AV1197" s="34"/>
      <c r="AW1197" s="34"/>
      <c r="AX1197" s="34"/>
      <c r="AY1197" s="34"/>
      <c r="AZ1197" s="34"/>
      <c r="BA1197" s="34"/>
      <c r="BB1197" s="34"/>
      <c r="BC1197" s="34"/>
      <c r="BD1197" s="34"/>
      <c r="BE1197" s="34"/>
      <c r="BF1197" s="34"/>
      <c r="BG1197" s="34"/>
      <c r="BH1197" s="34"/>
      <c r="BI1197" s="34"/>
      <c r="BJ1197" s="34"/>
      <c r="BK1197" s="34"/>
      <c r="BL1197" s="34"/>
      <c r="BM1197" s="34"/>
      <c r="BN1197" s="34"/>
      <c r="BO1197" s="34"/>
      <c r="BP1197" s="34"/>
      <c r="BQ1197" s="34"/>
      <c r="BR1197" s="34"/>
      <c r="BS1197" s="34"/>
      <c r="BT1197" s="34"/>
      <c r="BU1197" s="34"/>
      <c r="BV1197" s="34"/>
      <c r="BW1197" s="34"/>
      <c r="BX1197" s="34"/>
      <c r="BY1197" s="34"/>
      <c r="BZ1197" s="34"/>
      <c r="CA1197" s="34"/>
      <c r="CB1197" s="34"/>
      <c r="CC1197" s="34"/>
      <c r="CD1197" s="34"/>
      <c r="CE1197" s="34"/>
      <c r="CF1197" s="34"/>
      <c r="CG1197" s="34"/>
      <c r="CH1197" s="34"/>
      <c r="CI1197" s="8"/>
    </row>
    <row r="1198" spans="1:87" x14ac:dyDescent="0.2">
      <c r="A1198" s="8" t="str">
        <f>IF(AND(COUNTIF(W$3:W$13,A$19)&gt;0,A$19&lt;&gt;B1054),A$19,IFERROR(IF(MATCH(A$19,Z$3:Z$13,0)=7,A$19," ")," "))</f>
        <v xml:space="preserve"> </v>
      </c>
      <c r="B1198" s="8" t="str">
        <f>IF(A1198=" "," ",MAX(B1194:B1197)+1)</f>
        <v xml:space="preserve"> </v>
      </c>
      <c r="C1198" s="8" t="str">
        <f>IFERROR(INDEX(A1194:A1215,MATCH(SMALL(B1194:B1215,5),B1194:B1215,0),1)," ")</f>
        <v>C15</v>
      </c>
      <c r="D1198" s="8">
        <f t="shared" si="5109"/>
        <v>0</v>
      </c>
      <c r="E1198" s="8">
        <f t="shared" si="5110"/>
        <v>0</v>
      </c>
      <c r="F1198" s="8">
        <f t="shared" si="5111"/>
        <v>0</v>
      </c>
      <c r="G1198" s="8">
        <f t="shared" si="5112"/>
        <v>1</v>
      </c>
      <c r="H1198" s="8">
        <f t="shared" si="5113"/>
        <v>0</v>
      </c>
      <c r="I1198" s="8">
        <f t="shared" si="5114"/>
        <v>0</v>
      </c>
      <c r="J1198" s="8">
        <f t="shared" si="5115"/>
        <v>0</v>
      </c>
      <c r="K1198" s="8">
        <f t="shared" si="5116"/>
        <v>0</v>
      </c>
      <c r="L1198" s="8">
        <f t="shared" si="5117"/>
        <v>0</v>
      </c>
      <c r="M1198" s="8">
        <f t="shared" si="5118"/>
        <v>0</v>
      </c>
      <c r="N1198" s="8">
        <f t="shared" si="5119"/>
        <v>0</v>
      </c>
      <c r="O1198" s="8">
        <f t="shared" si="5120"/>
        <v>0</v>
      </c>
      <c r="P1198" s="8" t="e">
        <v>#NUM!</v>
      </c>
      <c r="Q1198" s="8" t="e">
        <f t="shared" ref="Q1198" si="5146">IF(COUNTIF(P1194:P1204,"&lt;"&amp;-0.001)=0,IF(ABS(P1198)&lt;0.001,0,P1198)," ")</f>
        <v>#NUM!</v>
      </c>
      <c r="R1198" s="8"/>
      <c r="S1198" s="8"/>
      <c r="U1198" s="34"/>
      <c r="V1198" s="34"/>
      <c r="W1198" s="34"/>
      <c r="X1198" s="34"/>
      <c r="Y1198" s="34"/>
      <c r="Z1198" s="34"/>
      <c r="AA1198" s="34"/>
      <c r="AB1198" s="34"/>
      <c r="AC1198" s="34"/>
      <c r="AD1198" s="34"/>
      <c r="AE1198" s="34"/>
      <c r="AF1198" s="34"/>
      <c r="AG1198" s="34"/>
      <c r="AH1198" s="34"/>
      <c r="AI1198" s="34"/>
      <c r="AJ1198" s="34"/>
      <c r="AK1198" s="34"/>
      <c r="AL1198" s="34"/>
      <c r="AM1198" s="34"/>
      <c r="AN1198" s="34"/>
      <c r="AO1198" s="34"/>
      <c r="AP1198" s="34"/>
      <c r="AQ1198" s="34"/>
      <c r="AR1198" s="34"/>
      <c r="AS1198" s="34"/>
      <c r="AT1198" s="34"/>
      <c r="AU1198" s="34"/>
      <c r="AV1198" s="34"/>
      <c r="AW1198" s="34"/>
      <c r="AX1198" s="34"/>
      <c r="AY1198" s="34"/>
      <c r="AZ1198" s="34"/>
      <c r="BA1198" s="34"/>
      <c r="BB1198" s="34"/>
      <c r="BC1198" s="34"/>
      <c r="BD1198" s="34"/>
      <c r="BE1198" s="34"/>
      <c r="BF1198" s="34"/>
      <c r="BG1198" s="34"/>
      <c r="BH1198" s="34"/>
      <c r="BI1198" s="34"/>
      <c r="BJ1198" s="34"/>
      <c r="BK1198" s="34"/>
      <c r="BL1198" s="34"/>
      <c r="BM1198" s="34"/>
      <c r="BN1198" s="34"/>
      <c r="BO1198" s="34"/>
      <c r="BP1198" s="34"/>
      <c r="BQ1198" s="34"/>
      <c r="BR1198" s="34"/>
      <c r="BS1198" s="34"/>
      <c r="BT1198" s="34"/>
      <c r="BU1198" s="34"/>
      <c r="BV1198" s="34"/>
      <c r="BW1198" s="34"/>
      <c r="BX1198" s="34"/>
      <c r="BY1198" s="34"/>
      <c r="BZ1198" s="34"/>
      <c r="CA1198" s="34"/>
      <c r="CB1198" s="34"/>
      <c r="CC1198" s="34"/>
      <c r="CD1198" s="34"/>
      <c r="CE1198" s="34"/>
      <c r="CF1198" s="34"/>
      <c r="CG1198" s="34"/>
      <c r="CH1198" s="34"/>
      <c r="CI1198" s="8"/>
    </row>
    <row r="1199" spans="1:87" x14ac:dyDescent="0.2">
      <c r="A1199" s="8" t="str">
        <f>IF(AND(COUNTIF(W$3:W$13,A$20)&gt;0,A$20&lt;&gt;B1054),A$20,IFERROR(IF(MATCH(A$20,Z$3:Z$13,0)=7,A$20," ")," "))</f>
        <v xml:space="preserve"> </v>
      </c>
      <c r="B1199" s="8" t="str">
        <f>IF(A1199=" "," ",MAX(B1194:B1198)+1)</f>
        <v xml:space="preserve"> </v>
      </c>
      <c r="C1199" s="8" t="str">
        <f>IFERROR(INDEX(A1194:A1215,MATCH(SMALL(B1194:B1215,6),B1194:B1215,0),1)," ")</f>
        <v>C17</v>
      </c>
      <c r="D1199" s="8">
        <f t="shared" si="5109"/>
        <v>0</v>
      </c>
      <c r="E1199" s="8">
        <f t="shared" si="5110"/>
        <v>0</v>
      </c>
      <c r="F1199" s="8">
        <f t="shared" si="5111"/>
        <v>0</v>
      </c>
      <c r="G1199" s="8">
        <f t="shared" si="5112"/>
        <v>0</v>
      </c>
      <c r="H1199" s="8">
        <f t="shared" si="5113"/>
        <v>0</v>
      </c>
      <c r="I1199" s="8">
        <f t="shared" si="5114"/>
        <v>1</v>
      </c>
      <c r="J1199" s="8">
        <f t="shared" si="5115"/>
        <v>0</v>
      </c>
      <c r="K1199" s="8">
        <f t="shared" si="5116"/>
        <v>0</v>
      </c>
      <c r="L1199" s="8">
        <f t="shared" si="5117"/>
        <v>0</v>
      </c>
      <c r="M1199" s="8">
        <f t="shared" si="5118"/>
        <v>0</v>
      </c>
      <c r="N1199" s="8">
        <f t="shared" si="5119"/>
        <v>0</v>
      </c>
      <c r="O1199" s="8">
        <f t="shared" si="5120"/>
        <v>0</v>
      </c>
      <c r="P1199" s="8" t="e">
        <v>#NUM!</v>
      </c>
      <c r="Q1199" s="8" t="e">
        <f t="shared" ref="Q1199" si="5147">IF(COUNTIF(P1194:P1204,"&lt;"&amp;-0.001)=0,IF(ABS(P1199)&lt;0.001,0,P1199)," ")</f>
        <v>#NUM!</v>
      </c>
      <c r="R1199" s="8"/>
      <c r="S1199" s="8"/>
      <c r="U1199" s="34"/>
      <c r="V1199" s="34"/>
      <c r="W1199" s="34"/>
      <c r="X1199" s="34"/>
      <c r="Y1199" s="34"/>
      <c r="Z1199" s="34"/>
      <c r="AA1199" s="34"/>
      <c r="AB1199" s="34"/>
      <c r="AC1199" s="34"/>
      <c r="AD1199" s="34"/>
      <c r="AE1199" s="34"/>
      <c r="AF1199" s="34"/>
      <c r="AG1199" s="34"/>
      <c r="AH1199" s="34"/>
      <c r="AI1199" s="34"/>
      <c r="AJ1199" s="34"/>
      <c r="AK1199" s="34"/>
      <c r="AL1199" s="34"/>
      <c r="AM1199" s="34"/>
      <c r="AN1199" s="34"/>
      <c r="AO1199" s="34"/>
      <c r="AP1199" s="34"/>
      <c r="AQ1199" s="34"/>
      <c r="AR1199" s="34"/>
      <c r="AS1199" s="34"/>
      <c r="AT1199" s="34"/>
      <c r="AU1199" s="34"/>
      <c r="AV1199" s="34"/>
      <c r="AW1199" s="34"/>
      <c r="AX1199" s="34"/>
      <c r="AY1199" s="34"/>
      <c r="AZ1199" s="34"/>
      <c r="BA1199" s="34"/>
      <c r="BB1199" s="34"/>
      <c r="BC1199" s="34"/>
      <c r="BD1199" s="34"/>
      <c r="BE1199" s="34"/>
      <c r="BF1199" s="34"/>
      <c r="BG1199" s="34"/>
      <c r="BH1199" s="34"/>
      <c r="BI1199" s="34"/>
      <c r="BJ1199" s="34"/>
      <c r="BK1199" s="34"/>
      <c r="BL1199" s="34"/>
      <c r="BM1199" s="34"/>
      <c r="BN1199" s="34"/>
      <c r="BO1199" s="34"/>
      <c r="BP1199" s="34"/>
      <c r="BQ1199" s="34"/>
      <c r="BR1199" s="34"/>
      <c r="BS1199" s="34"/>
      <c r="BT1199" s="34"/>
      <c r="BU1199" s="34"/>
      <c r="BV1199" s="34"/>
      <c r="BW1199" s="34"/>
      <c r="BX1199" s="34"/>
      <c r="BY1199" s="34"/>
      <c r="BZ1199" s="34"/>
      <c r="CA1199" s="34"/>
      <c r="CB1199" s="34"/>
      <c r="CC1199" s="34"/>
      <c r="CD1199" s="34"/>
      <c r="CE1199" s="34"/>
      <c r="CF1199" s="34"/>
      <c r="CG1199" s="34"/>
      <c r="CH1199" s="34"/>
      <c r="CI1199" s="8"/>
    </row>
    <row r="1200" spans="1:87" x14ac:dyDescent="0.2">
      <c r="A1200" s="8" t="str">
        <f>IF(AND(COUNTIF(W$3:W$13,A$21)&gt;0,A$21&lt;&gt;B1054),A$21,IFERROR(IF(MATCH(A$21,Z$3:Z$13,0)=7,A$21," ")," "))</f>
        <v xml:space="preserve"> </v>
      </c>
      <c r="B1200" s="8" t="str">
        <f>IF(A1200=" "," ",MAX(B1194:B1199)+1)</f>
        <v xml:space="preserve"> </v>
      </c>
      <c r="C1200" s="8" t="str">
        <f>IFERROR(INDEX(A1194:A1215,MATCH(SMALL(B1194:B1215,7),B1194:B1215,0),1)," ")</f>
        <v>C18</v>
      </c>
      <c r="D1200" s="8">
        <f t="shared" si="5109"/>
        <v>0</v>
      </c>
      <c r="E1200" s="8">
        <f t="shared" si="5110"/>
        <v>0</v>
      </c>
      <c r="F1200" s="8">
        <f t="shared" si="5111"/>
        <v>0</v>
      </c>
      <c r="G1200" s="8">
        <f t="shared" si="5112"/>
        <v>0</v>
      </c>
      <c r="H1200" s="8">
        <f t="shared" si="5113"/>
        <v>0</v>
      </c>
      <c r="I1200" s="8">
        <f t="shared" si="5114"/>
        <v>0</v>
      </c>
      <c r="J1200" s="8">
        <f t="shared" si="5115"/>
        <v>1</v>
      </c>
      <c r="K1200" s="8">
        <f t="shared" si="5116"/>
        <v>0</v>
      </c>
      <c r="L1200" s="8">
        <f t="shared" si="5117"/>
        <v>0</v>
      </c>
      <c r="M1200" s="8">
        <f t="shared" si="5118"/>
        <v>0</v>
      </c>
      <c r="N1200" s="8">
        <f t="shared" si="5119"/>
        <v>0</v>
      </c>
      <c r="O1200" s="8">
        <f t="shared" si="5120"/>
        <v>0</v>
      </c>
      <c r="P1200" s="8" t="e">
        <v>#NUM!</v>
      </c>
      <c r="Q1200" s="8" t="e">
        <f t="shared" ref="Q1200" si="5148">IF(COUNTIF(P1194:P1204,"&lt;"&amp;-0.001)=0,IF(ABS(P1200)&lt;0.001,0,P1200)," ")</f>
        <v>#NUM!</v>
      </c>
      <c r="R1200" s="8"/>
      <c r="S1200" s="8"/>
      <c r="U1200" s="34"/>
      <c r="V1200" s="34"/>
      <c r="W1200" s="34"/>
      <c r="X1200" s="34"/>
      <c r="Y1200" s="34"/>
      <c r="Z1200" s="34"/>
      <c r="AA1200" s="34"/>
      <c r="AB1200" s="34"/>
      <c r="AC1200" s="34"/>
      <c r="AD1200" s="34"/>
      <c r="AE1200" s="34"/>
      <c r="AF1200" s="34"/>
      <c r="AG1200" s="34"/>
      <c r="AH1200" s="34"/>
      <c r="AI1200" s="34"/>
      <c r="AJ1200" s="34"/>
      <c r="AK1200" s="34"/>
      <c r="AL1200" s="34"/>
      <c r="AM1200" s="34"/>
      <c r="AN1200" s="34"/>
      <c r="AO1200" s="34"/>
      <c r="AP1200" s="34"/>
      <c r="AQ1200" s="34"/>
      <c r="AR1200" s="34"/>
      <c r="AS1200" s="34"/>
      <c r="AT1200" s="34"/>
      <c r="AU1200" s="34"/>
      <c r="AV1200" s="34"/>
      <c r="AW1200" s="34"/>
      <c r="AX1200" s="34"/>
      <c r="AY1200" s="34"/>
      <c r="AZ1200" s="34"/>
      <c r="BA1200" s="34"/>
      <c r="BB1200" s="34"/>
      <c r="BC1200" s="34"/>
      <c r="BD1200" s="34"/>
      <c r="BE1200" s="34"/>
      <c r="BF1200" s="34"/>
      <c r="BG1200" s="34"/>
      <c r="BH1200" s="34"/>
      <c r="BI1200" s="34"/>
      <c r="BJ1200" s="34"/>
      <c r="BK1200" s="34"/>
      <c r="BL1200" s="34"/>
      <c r="BM1200" s="34"/>
      <c r="BN1200" s="34"/>
      <c r="BO1200" s="34"/>
      <c r="BP1200" s="34"/>
      <c r="BQ1200" s="34"/>
      <c r="BR1200" s="34"/>
      <c r="BS1200" s="34"/>
      <c r="BT1200" s="34"/>
      <c r="BU1200" s="34"/>
      <c r="BV1200" s="34"/>
      <c r="BW1200" s="34"/>
      <c r="BX1200" s="34"/>
      <c r="BY1200" s="34"/>
      <c r="BZ1200" s="34"/>
      <c r="CA1200" s="34"/>
      <c r="CB1200" s="34"/>
      <c r="CC1200" s="34"/>
      <c r="CD1200" s="34"/>
      <c r="CE1200" s="34"/>
      <c r="CF1200" s="34"/>
      <c r="CG1200" s="34"/>
      <c r="CH1200" s="34"/>
      <c r="CI1200" s="8"/>
    </row>
    <row r="1201" spans="1:87" x14ac:dyDescent="0.2">
      <c r="A1201" s="8" t="str">
        <f>IF(AND(COUNTIF(W$3:W$13,A$22)&gt;0,A$22&lt;&gt;B1054),A$22,IFERROR(IF(MATCH(A$22,Z$3:Z$13,0)=7,A$22," ")," "))</f>
        <v xml:space="preserve"> </v>
      </c>
      <c r="B1201" s="8" t="str">
        <f>IF(A1201=" "," ",MAX(B1194:B1200)+1)</f>
        <v xml:space="preserve"> </v>
      </c>
      <c r="C1201" s="8" t="str">
        <f>IFERROR(INDEX(A1194:A1215,MATCH(SMALL(B1194:B1215,8),B1194:B1215,0),1)," ")</f>
        <v>C19</v>
      </c>
      <c r="D1201" s="8">
        <f t="shared" si="5109"/>
        <v>0</v>
      </c>
      <c r="E1201" s="8">
        <f t="shared" si="5110"/>
        <v>0</v>
      </c>
      <c r="F1201" s="8">
        <f t="shared" si="5111"/>
        <v>0</v>
      </c>
      <c r="G1201" s="8">
        <f t="shared" si="5112"/>
        <v>0</v>
      </c>
      <c r="H1201" s="8">
        <f t="shared" si="5113"/>
        <v>0</v>
      </c>
      <c r="I1201" s="8">
        <f t="shared" si="5114"/>
        <v>0</v>
      </c>
      <c r="J1201" s="8">
        <f t="shared" si="5115"/>
        <v>0</v>
      </c>
      <c r="K1201" s="8">
        <f t="shared" si="5116"/>
        <v>1</v>
      </c>
      <c r="L1201" s="8">
        <f t="shared" si="5117"/>
        <v>0</v>
      </c>
      <c r="M1201" s="8">
        <f t="shared" si="5118"/>
        <v>0</v>
      </c>
      <c r="N1201" s="8">
        <f t="shared" si="5119"/>
        <v>0</v>
      </c>
      <c r="O1201" s="8">
        <f t="shared" si="5120"/>
        <v>0</v>
      </c>
      <c r="P1201" s="8" t="e">
        <v>#NUM!</v>
      </c>
      <c r="Q1201" s="8" t="e">
        <f t="shared" ref="Q1201" si="5149">IF(COUNTIF(P1194:P1204,"&lt;"&amp;-0.001)=0,IF(ABS(P1201)&lt;0.001,0,P1201)," ")</f>
        <v>#NUM!</v>
      </c>
      <c r="R1201" s="8"/>
      <c r="S1201" s="8"/>
      <c r="U1201" s="34"/>
      <c r="V1201" s="34"/>
      <c r="W1201" s="34"/>
      <c r="X1201" s="34"/>
      <c r="Y1201" s="34"/>
      <c r="Z1201" s="34"/>
      <c r="AA1201" s="34"/>
      <c r="AB1201" s="34"/>
      <c r="AC1201" s="34"/>
      <c r="AD1201" s="34"/>
      <c r="AE1201" s="34"/>
      <c r="AF1201" s="34"/>
      <c r="AG1201" s="34"/>
      <c r="AH1201" s="34"/>
      <c r="AI1201" s="34"/>
      <c r="AJ1201" s="34"/>
      <c r="AK1201" s="34"/>
      <c r="AL1201" s="34"/>
      <c r="AM1201" s="34"/>
      <c r="AN1201" s="34"/>
      <c r="AO1201" s="34"/>
      <c r="AP1201" s="34"/>
      <c r="AQ1201" s="34"/>
      <c r="AR1201" s="34"/>
      <c r="AS1201" s="34"/>
      <c r="AT1201" s="34"/>
      <c r="AU1201" s="34"/>
      <c r="AV1201" s="34"/>
      <c r="AW1201" s="34"/>
      <c r="AX1201" s="34"/>
      <c r="AY1201" s="34"/>
      <c r="AZ1201" s="34"/>
      <c r="BA1201" s="34"/>
      <c r="BB1201" s="34"/>
      <c r="BC1201" s="34"/>
      <c r="BD1201" s="34"/>
      <c r="BE1201" s="34"/>
      <c r="BF1201" s="34"/>
      <c r="BG1201" s="34"/>
      <c r="BH1201" s="34"/>
      <c r="BI1201" s="34"/>
      <c r="BJ1201" s="34"/>
      <c r="BK1201" s="34"/>
      <c r="BL1201" s="34"/>
      <c r="BM1201" s="34"/>
      <c r="BN1201" s="34"/>
      <c r="BO1201" s="34"/>
      <c r="BP1201" s="34"/>
      <c r="BQ1201" s="34"/>
      <c r="BR1201" s="34"/>
      <c r="BS1201" s="34"/>
      <c r="BT1201" s="34"/>
      <c r="BU1201" s="34"/>
      <c r="BV1201" s="34"/>
      <c r="BW1201" s="34"/>
      <c r="BX1201" s="34"/>
      <c r="BY1201" s="34"/>
      <c r="BZ1201" s="34"/>
      <c r="CA1201" s="34"/>
      <c r="CB1201" s="34"/>
      <c r="CC1201" s="34"/>
      <c r="CD1201" s="34"/>
      <c r="CE1201" s="34"/>
      <c r="CF1201" s="34"/>
      <c r="CG1201" s="34"/>
      <c r="CH1201" s="34"/>
      <c r="CI1201" s="8"/>
    </row>
    <row r="1202" spans="1:87" x14ac:dyDescent="0.2">
      <c r="A1202" s="8" t="str">
        <f>IF(AND(COUNTIF(W$3:W$13,A$23)&gt;0,A$23&lt;&gt;B1054),A$23,IFERROR(IF(MATCH(A$23,Z$3:Z$13,0)=7,A$23," ")," "))</f>
        <v>C9</v>
      </c>
      <c r="B1202" s="8">
        <f>IF(A1202=" "," ",MAX(B1194:B1201)+1)</f>
        <v>3</v>
      </c>
      <c r="C1202" s="8" t="str">
        <f>IFERROR(INDEX(A1194:A1215,MATCH(SMALL(B1194:B1215,9),B1194:B1215,0),1)," ")</f>
        <v>C20</v>
      </c>
      <c r="D1202" s="8">
        <f t="shared" si="5109"/>
        <v>0</v>
      </c>
      <c r="E1202" s="8">
        <f t="shared" si="5110"/>
        <v>0</v>
      </c>
      <c r="F1202" s="8">
        <f t="shared" si="5111"/>
        <v>0</v>
      </c>
      <c r="G1202" s="8">
        <f t="shared" si="5112"/>
        <v>0</v>
      </c>
      <c r="H1202" s="8">
        <f t="shared" si="5113"/>
        <v>0</v>
      </c>
      <c r="I1202" s="8">
        <f t="shared" si="5114"/>
        <v>0</v>
      </c>
      <c r="J1202" s="8">
        <f t="shared" si="5115"/>
        <v>0</v>
      </c>
      <c r="K1202" s="8">
        <f t="shared" si="5116"/>
        <v>0</v>
      </c>
      <c r="L1202" s="8">
        <f t="shared" si="5117"/>
        <v>1</v>
      </c>
      <c r="M1202" s="8">
        <f t="shared" si="5118"/>
        <v>0</v>
      </c>
      <c r="N1202" s="8">
        <f t="shared" si="5119"/>
        <v>0</v>
      </c>
      <c r="O1202" s="8">
        <f t="shared" si="5120"/>
        <v>0</v>
      </c>
      <c r="P1202" s="6" t="e">
        <v>#NUM!</v>
      </c>
      <c r="Q1202" s="8" t="e">
        <f t="shared" ref="Q1202" si="5150">IF(COUNTIF(P1194:P1204,"&lt;"&amp;-0.001)=0,IF(ABS(P1202)&lt;0.001,0,P1202)," ")</f>
        <v>#NUM!</v>
      </c>
      <c r="R1202" s="8"/>
      <c r="S1202" s="8"/>
      <c r="U1202" s="34"/>
      <c r="V1202" s="34"/>
      <c r="W1202" s="34"/>
      <c r="X1202" s="34"/>
      <c r="Y1202" s="34"/>
      <c r="Z1202" s="34"/>
      <c r="AA1202" s="34"/>
      <c r="AB1202" s="34"/>
      <c r="AC1202" s="34"/>
      <c r="AD1202" s="34"/>
      <c r="AE1202" s="34"/>
      <c r="AF1202" s="34"/>
      <c r="AG1202" s="34"/>
      <c r="AH1202" s="34"/>
      <c r="AI1202" s="34"/>
      <c r="AJ1202" s="34"/>
      <c r="AK1202" s="34"/>
      <c r="AL1202" s="34"/>
      <c r="AM1202" s="34"/>
      <c r="AN1202" s="34"/>
      <c r="AO1202" s="34"/>
      <c r="AP1202" s="34"/>
      <c r="AQ1202" s="34"/>
      <c r="AR1202" s="34"/>
      <c r="AS1202" s="34"/>
      <c r="AT1202" s="34"/>
      <c r="AU1202" s="34"/>
      <c r="AV1202" s="34"/>
      <c r="AW1202" s="34"/>
      <c r="AX1202" s="34"/>
      <c r="AY1202" s="34"/>
      <c r="AZ1202" s="34"/>
      <c r="BA1202" s="34"/>
      <c r="BB1202" s="34"/>
      <c r="BC1202" s="34"/>
      <c r="BD1202" s="34"/>
      <c r="BE1202" s="34"/>
      <c r="BF1202" s="34"/>
      <c r="BG1202" s="34"/>
      <c r="BH1202" s="34"/>
      <c r="BI1202" s="34"/>
      <c r="BJ1202" s="34"/>
      <c r="BK1202" s="34"/>
      <c r="BL1202" s="34"/>
      <c r="BM1202" s="34"/>
      <c r="BN1202" s="34"/>
      <c r="BO1202" s="34"/>
      <c r="BP1202" s="34"/>
      <c r="BQ1202" s="34"/>
      <c r="BR1202" s="34"/>
      <c r="BS1202" s="34"/>
      <c r="BT1202" s="34"/>
      <c r="BU1202" s="34"/>
      <c r="BV1202" s="34"/>
      <c r="BW1202" s="34"/>
      <c r="BX1202" s="34"/>
      <c r="BY1202" s="34"/>
      <c r="BZ1202" s="34"/>
      <c r="CA1202" s="34"/>
      <c r="CB1202" s="34"/>
      <c r="CC1202" s="34"/>
      <c r="CD1202" s="34"/>
      <c r="CE1202" s="34"/>
      <c r="CF1202" s="34"/>
      <c r="CG1202" s="34"/>
      <c r="CH1202" s="34"/>
      <c r="CI1202" s="8"/>
    </row>
    <row r="1203" spans="1:87" x14ac:dyDescent="0.2">
      <c r="A1203" s="8" t="str">
        <f>IF(AND(COUNTIF(W$3:W$13,A$24)&gt;0,A$24&lt;&gt;B1054),A$24,IFERROR(IF(MATCH(A$24,Z$3:Z$13,0)=7,A$24," ")," "))</f>
        <v xml:space="preserve"> </v>
      </c>
      <c r="B1203" s="8" t="str">
        <f>IF(A1203=" "," ",MAX(B1194:B1202)+1)</f>
        <v xml:space="preserve"> </v>
      </c>
      <c r="C1203" s="8" t="str">
        <f>IFERROR(INDEX(A1194:A1215,MATCH(SMALL(B1194:B1215,10),B1194:B1215,0),1)," ")</f>
        <v>C21</v>
      </c>
      <c r="D1203" s="8">
        <f t="shared" si="5109"/>
        <v>0</v>
      </c>
      <c r="E1203" s="8">
        <f t="shared" si="5110"/>
        <v>0</v>
      </c>
      <c r="F1203" s="8">
        <f t="shared" si="5111"/>
        <v>0</v>
      </c>
      <c r="G1203" s="8">
        <f t="shared" si="5112"/>
        <v>0</v>
      </c>
      <c r="H1203" s="8">
        <f t="shared" si="5113"/>
        <v>0</v>
      </c>
      <c r="I1203" s="8">
        <f t="shared" si="5114"/>
        <v>0</v>
      </c>
      <c r="J1203" s="8">
        <f t="shared" si="5115"/>
        <v>0</v>
      </c>
      <c r="K1203" s="8">
        <f t="shared" si="5116"/>
        <v>0</v>
      </c>
      <c r="L1203" s="8">
        <f t="shared" si="5117"/>
        <v>0</v>
      </c>
      <c r="M1203" s="8">
        <f t="shared" si="5118"/>
        <v>1</v>
      </c>
      <c r="N1203" s="8">
        <f t="shared" si="5119"/>
        <v>0</v>
      </c>
      <c r="O1203" s="8">
        <f t="shared" si="5120"/>
        <v>0</v>
      </c>
      <c r="P1203" s="8" t="e">
        <v>#NUM!</v>
      </c>
      <c r="Q1203" s="8" t="e">
        <f t="shared" ref="Q1203" si="5151">IF(COUNTIF(P1194:P1204,"&lt;"&amp;-0.001)=0,IF(ABS(P1203)&lt;0.001,0,P1203)," ")</f>
        <v>#NUM!</v>
      </c>
      <c r="R1203" s="8"/>
      <c r="S1203" s="8"/>
      <c r="U1203" s="34"/>
      <c r="V1203" s="34"/>
      <c r="W1203" s="34"/>
      <c r="X1203" s="34"/>
      <c r="Y1203" s="34"/>
      <c r="Z1203" s="34"/>
      <c r="AA1203" s="34"/>
      <c r="AB1203" s="34"/>
      <c r="AC1203" s="34"/>
      <c r="AD1203" s="34"/>
      <c r="AE1203" s="34"/>
      <c r="AF1203" s="34"/>
      <c r="AG1203" s="34"/>
      <c r="AH1203" s="34"/>
      <c r="AI1203" s="34"/>
      <c r="AJ1203" s="34"/>
      <c r="AK1203" s="34"/>
      <c r="AL1203" s="34"/>
      <c r="AM1203" s="34"/>
      <c r="AN1203" s="34"/>
      <c r="AO1203" s="34"/>
      <c r="AP1203" s="34"/>
      <c r="AQ1203" s="34"/>
      <c r="AR1203" s="34"/>
      <c r="AS1203" s="34"/>
      <c r="AT1203" s="34"/>
      <c r="AU1203" s="34"/>
      <c r="AV1203" s="34"/>
      <c r="AW1203" s="34"/>
      <c r="AX1203" s="34"/>
      <c r="AY1203" s="34"/>
      <c r="AZ1203" s="34"/>
      <c r="BA1203" s="34"/>
      <c r="BB1203" s="34"/>
      <c r="BC1203" s="34"/>
      <c r="BD1203" s="34"/>
      <c r="BE1203" s="34"/>
      <c r="BF1203" s="34"/>
      <c r="BG1203" s="34"/>
      <c r="BH1203" s="34"/>
      <c r="BI1203" s="34"/>
      <c r="BJ1203" s="34"/>
      <c r="BK1203" s="34"/>
      <c r="BL1203" s="34"/>
      <c r="BM1203" s="34"/>
      <c r="BN1203" s="34"/>
      <c r="BO1203" s="34"/>
      <c r="BP1203" s="34"/>
      <c r="BQ1203" s="34"/>
      <c r="BR1203" s="34"/>
      <c r="BS1203" s="34"/>
      <c r="BT1203" s="34"/>
      <c r="BU1203" s="34"/>
      <c r="BV1203" s="34"/>
      <c r="BW1203" s="34"/>
      <c r="BX1203" s="34"/>
      <c r="BY1203" s="34"/>
      <c r="BZ1203" s="34"/>
      <c r="CA1203" s="34"/>
      <c r="CB1203" s="34"/>
      <c r="CC1203" s="34"/>
      <c r="CD1203" s="34"/>
      <c r="CE1203" s="34"/>
      <c r="CF1203" s="34"/>
      <c r="CG1203" s="34"/>
      <c r="CH1203" s="34"/>
      <c r="CI1203" s="8"/>
    </row>
    <row r="1204" spans="1:87" x14ac:dyDescent="0.2">
      <c r="A1204" s="8" t="str">
        <f>IF(AND(COUNTIF(W$3:W$13,A$25)&gt;0,A$25&lt;&gt;B1054),A$25,IFERROR(IF(MATCH(A$25,Z$3:Z$13,0)=7,A$25," ")," "))</f>
        <v xml:space="preserve"> </v>
      </c>
      <c r="B1204" s="8" t="str">
        <f>IF(A1204=" "," ",MAX(B1194:B1203)+1)</f>
        <v xml:space="preserve"> </v>
      </c>
      <c r="C1204" s="8" t="str">
        <f>IFERROR(INDEX(A1194:A1215,MATCH(SMALL(B1194:B1215,11),B1194:B1215,0),1)," ")</f>
        <v>C22</v>
      </c>
      <c r="D1204" s="8">
        <f t="shared" si="5109"/>
        <v>0</v>
      </c>
      <c r="E1204" s="8">
        <f t="shared" si="5110"/>
        <v>0</v>
      </c>
      <c r="F1204" s="8">
        <f t="shared" si="5111"/>
        <v>0</v>
      </c>
      <c r="G1204" s="8">
        <f t="shared" si="5112"/>
        <v>0</v>
      </c>
      <c r="H1204" s="8">
        <f t="shared" si="5113"/>
        <v>0</v>
      </c>
      <c r="I1204" s="8">
        <f t="shared" si="5114"/>
        <v>0</v>
      </c>
      <c r="J1204" s="8">
        <f t="shared" si="5115"/>
        <v>0</v>
      </c>
      <c r="K1204" s="8">
        <f t="shared" si="5116"/>
        <v>0</v>
      </c>
      <c r="L1204" s="8">
        <f t="shared" si="5117"/>
        <v>0</v>
      </c>
      <c r="M1204" s="8">
        <f t="shared" si="5118"/>
        <v>0</v>
      </c>
      <c r="N1204" s="8">
        <f t="shared" si="5119"/>
        <v>1</v>
      </c>
      <c r="O1204" s="8">
        <f t="shared" si="5120"/>
        <v>0</v>
      </c>
      <c r="P1204" s="8" t="e">
        <v>#NUM!</v>
      </c>
      <c r="Q1204" s="8" t="e">
        <f t="shared" ref="Q1204" si="5152">IF(COUNTIF(P1194:P1204,"&lt;"&amp;-0.001)=0,IF(ABS(P1204)&lt;0.001,0,P1204)," ")</f>
        <v>#NUM!</v>
      </c>
      <c r="R1204" s="8"/>
      <c r="S1204" s="8"/>
      <c r="U1204" s="34"/>
      <c r="V1204" s="34"/>
      <c r="W1204" s="34"/>
      <c r="X1204" s="34"/>
      <c r="Y1204" s="34"/>
      <c r="Z1204" s="34"/>
      <c r="AA1204" s="34"/>
      <c r="AB1204" s="34"/>
      <c r="AC1204" s="34"/>
      <c r="AD1204" s="34"/>
      <c r="AE1204" s="34"/>
      <c r="AF1204" s="34"/>
      <c r="AG1204" s="34"/>
      <c r="AH1204" s="34"/>
      <c r="AI1204" s="34"/>
      <c r="AJ1204" s="34"/>
      <c r="AK1204" s="34"/>
      <c r="AL1204" s="34"/>
      <c r="AM1204" s="34"/>
      <c r="AN1204" s="34"/>
      <c r="AO1204" s="34"/>
      <c r="AP1204" s="34"/>
      <c r="AQ1204" s="34"/>
      <c r="AR1204" s="34"/>
      <c r="AS1204" s="34"/>
      <c r="AT1204" s="34"/>
      <c r="AU1204" s="34"/>
      <c r="AV1204" s="34"/>
      <c r="AW1204" s="34"/>
      <c r="AX1204" s="34"/>
      <c r="AY1204" s="34"/>
      <c r="AZ1204" s="34"/>
      <c r="BA1204" s="34"/>
      <c r="BB1204" s="34"/>
      <c r="BC1204" s="34"/>
      <c r="BD1204" s="34"/>
      <c r="BE1204" s="34"/>
      <c r="BF1204" s="34"/>
      <c r="BG1204" s="34"/>
      <c r="BH1204" s="34"/>
      <c r="BI1204" s="34"/>
      <c r="BJ1204" s="34"/>
      <c r="BK1204" s="34"/>
      <c r="BL1204" s="34"/>
      <c r="BM1204" s="34"/>
      <c r="BN1204" s="34"/>
      <c r="BO1204" s="34"/>
      <c r="BP1204" s="34"/>
      <c r="BQ1204" s="34"/>
      <c r="BR1204" s="34"/>
      <c r="BS1204" s="34"/>
      <c r="BT1204" s="34"/>
      <c r="BU1204" s="34"/>
      <c r="BV1204" s="34"/>
      <c r="BW1204" s="34"/>
      <c r="BX1204" s="34"/>
      <c r="BY1204" s="34"/>
      <c r="BZ1204" s="34"/>
      <c r="CA1204" s="34"/>
      <c r="CB1204" s="34"/>
      <c r="CC1204" s="34"/>
      <c r="CD1204" s="34"/>
      <c r="CE1204" s="34"/>
      <c r="CF1204" s="34"/>
      <c r="CG1204" s="34"/>
      <c r="CH1204" s="34"/>
      <c r="CI1204" s="8"/>
    </row>
    <row r="1205" spans="1:87" x14ac:dyDescent="0.2">
      <c r="A1205" s="8" t="str">
        <f>IF(AND(COUNTIF(W$3:W$13,A$26)&gt;0,A$26&lt;&gt;B1054),A$26,IFERROR(IF(MATCH(A$26,Z$3:Z$13,0)=7,A$26," ")," "))</f>
        <v xml:space="preserve"> </v>
      </c>
      <c r="B1205" s="8" t="str">
        <f>IF(A1205=" "," ",MAX(B1194:B1204)+1)</f>
        <v xml:space="preserve"> </v>
      </c>
      <c r="C1205" s="8"/>
      <c r="D1205" s="8"/>
      <c r="E1205" s="8"/>
      <c r="F1205" s="8"/>
      <c r="G1205" s="8"/>
      <c r="H1205" s="8"/>
      <c r="I1205" s="8"/>
      <c r="J1205" s="8"/>
      <c r="K1205" s="8"/>
      <c r="L1205" s="8"/>
      <c r="M1205" s="8"/>
      <c r="N1205" s="8"/>
      <c r="O1205" s="8"/>
      <c r="P1205" s="8"/>
      <c r="Q1205" s="8"/>
      <c r="R1205" s="8"/>
      <c r="S1205" s="8"/>
      <c r="U1205" s="34"/>
      <c r="V1205" s="34"/>
      <c r="W1205" s="34"/>
      <c r="X1205" s="34"/>
      <c r="Y1205" s="34"/>
      <c r="Z1205" s="34"/>
      <c r="AA1205" s="34"/>
      <c r="AB1205" s="34"/>
      <c r="AC1205" s="34"/>
      <c r="AD1205" s="34"/>
      <c r="AE1205" s="34"/>
      <c r="AF1205" s="34"/>
      <c r="AG1205" s="34"/>
      <c r="AH1205" s="34"/>
      <c r="AI1205" s="34"/>
      <c r="AJ1205" s="34"/>
      <c r="AK1205" s="34"/>
      <c r="AL1205" s="34"/>
      <c r="AM1205" s="34"/>
      <c r="AN1205" s="34"/>
      <c r="AO1205" s="34"/>
      <c r="AP1205" s="34"/>
      <c r="AQ1205" s="34"/>
      <c r="AR1205" s="34"/>
      <c r="AS1205" s="34"/>
      <c r="AT1205" s="34"/>
      <c r="AU1205" s="34"/>
      <c r="AV1205" s="34"/>
      <c r="AW1205" s="34"/>
      <c r="AX1205" s="34"/>
      <c r="AY1205" s="34"/>
      <c r="AZ1205" s="34"/>
      <c r="BA1205" s="34"/>
      <c r="BB1205" s="34"/>
      <c r="BC1205" s="34"/>
      <c r="BD1205" s="34"/>
      <c r="BE1205" s="34"/>
      <c r="BF1205" s="34"/>
      <c r="BG1205" s="34"/>
      <c r="BH1205" s="34"/>
      <c r="BI1205" s="34"/>
      <c r="BJ1205" s="34"/>
      <c r="BK1205" s="34"/>
      <c r="BL1205" s="34"/>
      <c r="BM1205" s="34"/>
      <c r="BN1205" s="34"/>
      <c r="BO1205" s="34"/>
      <c r="BP1205" s="34"/>
      <c r="BQ1205" s="34"/>
      <c r="BR1205" s="34"/>
      <c r="BS1205" s="34"/>
      <c r="BT1205" s="34"/>
      <c r="BU1205" s="34"/>
      <c r="BV1205" s="34"/>
      <c r="BW1205" s="34"/>
      <c r="BX1205" s="34"/>
      <c r="BY1205" s="34"/>
      <c r="BZ1205" s="34"/>
      <c r="CA1205" s="34"/>
      <c r="CB1205" s="34"/>
      <c r="CC1205" s="34"/>
      <c r="CD1205" s="34"/>
      <c r="CE1205" s="34"/>
      <c r="CF1205" s="34"/>
      <c r="CG1205" s="34"/>
      <c r="CH1205" s="34"/>
      <c r="CI1205" s="8"/>
    </row>
    <row r="1206" spans="1:87" x14ac:dyDescent="0.2">
      <c r="A1206" s="8" t="str">
        <f>IF(AND(COUNTIF(W$3:W$13,A$27)&gt;0,A$27&lt;&gt;B1054),A$27,IFERROR(IF(MATCH(A$27,Z$3:Z$13,0)=7,A$27," ")," "))</f>
        <v>C13</v>
      </c>
      <c r="B1206" s="8">
        <f>IF(A1206=" "," ",MAX(B1194:B1205)+1)</f>
        <v>4</v>
      </c>
      <c r="C1206" s="8"/>
      <c r="D1206" s="8"/>
      <c r="E1206" s="8"/>
      <c r="F1206" s="8"/>
      <c r="G1206" s="8"/>
      <c r="H1206" s="8"/>
      <c r="I1206" s="8"/>
      <c r="J1206" s="8"/>
      <c r="K1206" s="8"/>
      <c r="L1206" s="8"/>
      <c r="M1206" s="8"/>
      <c r="N1206" s="8"/>
      <c r="O1206" s="8"/>
      <c r="P1206" s="8"/>
      <c r="Q1206" s="8"/>
      <c r="R1206" s="8"/>
      <c r="S1206" s="8"/>
      <c r="U1206" s="34"/>
      <c r="V1206" s="34"/>
      <c r="W1206" s="34"/>
      <c r="X1206" s="34"/>
      <c r="Y1206" s="34"/>
      <c r="Z1206" s="34"/>
      <c r="AA1206" s="34"/>
      <c r="AB1206" s="34"/>
      <c r="AC1206" s="34"/>
      <c r="AD1206" s="34"/>
      <c r="AE1206" s="34"/>
      <c r="AF1206" s="34"/>
      <c r="AG1206" s="34"/>
      <c r="AH1206" s="34"/>
      <c r="AI1206" s="34"/>
      <c r="AJ1206" s="34"/>
      <c r="AK1206" s="34"/>
      <c r="AL1206" s="34"/>
      <c r="AM1206" s="34"/>
      <c r="AN1206" s="34"/>
      <c r="AO1206" s="34"/>
      <c r="AP1206" s="34"/>
      <c r="AQ1206" s="34"/>
      <c r="AR1206" s="34"/>
      <c r="AS1206" s="34"/>
      <c r="AT1206" s="34"/>
      <c r="AU1206" s="34"/>
      <c r="AV1206" s="34"/>
      <c r="AW1206" s="34"/>
      <c r="AX1206" s="34"/>
      <c r="AY1206" s="34"/>
      <c r="AZ1206" s="34"/>
      <c r="BA1206" s="34"/>
      <c r="BB1206" s="34"/>
      <c r="BC1206" s="34"/>
      <c r="BD1206" s="34"/>
      <c r="BE1206" s="34"/>
      <c r="BF1206" s="34"/>
      <c r="BG1206" s="34"/>
      <c r="BH1206" s="34"/>
      <c r="BI1206" s="34"/>
      <c r="BJ1206" s="34"/>
      <c r="BK1206" s="34"/>
      <c r="BL1206" s="34"/>
      <c r="BM1206" s="34"/>
      <c r="BN1206" s="34"/>
      <c r="BO1206" s="34"/>
      <c r="BP1206" s="34"/>
      <c r="BQ1206" s="34"/>
      <c r="BR1206" s="34"/>
      <c r="BS1206" s="34"/>
      <c r="BT1206" s="34"/>
      <c r="BU1206" s="34"/>
      <c r="BV1206" s="34"/>
      <c r="BW1206" s="34"/>
      <c r="BX1206" s="34"/>
      <c r="BY1206" s="34"/>
      <c r="BZ1206" s="34"/>
      <c r="CA1206" s="34"/>
      <c r="CB1206" s="34"/>
      <c r="CC1206" s="34"/>
      <c r="CD1206" s="34"/>
      <c r="CE1206" s="34"/>
      <c r="CF1206" s="34"/>
      <c r="CG1206" s="34"/>
      <c r="CH1206" s="34"/>
      <c r="CI1206" s="8"/>
    </row>
    <row r="1207" spans="1:87" x14ac:dyDescent="0.2">
      <c r="A1207" s="8" t="str">
        <f>IF(AND(COUNTIF(W$3:W$13,A$28)&gt;0,A$28&lt;&gt;B1054),A$28,IFERROR(IF(MATCH(A$28,Z$3:Z$13,0)=7,A$28," ")," "))</f>
        <v xml:space="preserve"> </v>
      </c>
      <c r="B1207" s="8" t="str">
        <f>IF(A1207=" "," ",MAX(B1194:B1206)+1)</f>
        <v xml:space="preserve"> </v>
      </c>
      <c r="C1207" s="8"/>
      <c r="D1207" s="8"/>
      <c r="E1207" s="8"/>
      <c r="F1207" s="8"/>
      <c r="G1207" s="8"/>
      <c r="H1207" s="8"/>
      <c r="I1207" s="8"/>
      <c r="J1207" s="8"/>
      <c r="K1207" s="8"/>
      <c r="L1207" s="8"/>
      <c r="M1207" s="8"/>
      <c r="N1207" s="8"/>
      <c r="O1207" s="8"/>
      <c r="P1207" s="8"/>
      <c r="Q1207" s="8"/>
      <c r="R1207" s="8"/>
      <c r="S1207" s="8"/>
      <c r="U1207" s="34"/>
      <c r="V1207" s="34"/>
      <c r="W1207" s="34"/>
      <c r="X1207" s="34"/>
      <c r="Y1207" s="34"/>
      <c r="Z1207" s="34"/>
      <c r="AA1207" s="34"/>
      <c r="AB1207" s="34"/>
      <c r="AC1207" s="34"/>
      <c r="AD1207" s="34"/>
      <c r="AE1207" s="34"/>
      <c r="AF1207" s="34"/>
      <c r="AG1207" s="34"/>
      <c r="AH1207" s="34"/>
      <c r="AI1207" s="34"/>
      <c r="AJ1207" s="34"/>
      <c r="AK1207" s="34"/>
      <c r="AL1207" s="34"/>
      <c r="AM1207" s="34"/>
      <c r="AN1207" s="34"/>
      <c r="AO1207" s="34"/>
      <c r="AP1207" s="34"/>
      <c r="AQ1207" s="34"/>
      <c r="AR1207" s="34"/>
      <c r="AS1207" s="34"/>
      <c r="AT1207" s="34"/>
      <c r="AU1207" s="34"/>
      <c r="AV1207" s="34"/>
      <c r="AW1207" s="34"/>
      <c r="AX1207" s="34"/>
      <c r="AY1207" s="34"/>
      <c r="AZ1207" s="34"/>
      <c r="BA1207" s="34"/>
      <c r="BB1207" s="34"/>
      <c r="BC1207" s="34"/>
      <c r="BD1207" s="34"/>
      <c r="BE1207" s="34"/>
      <c r="BF1207" s="34"/>
      <c r="BG1207" s="34"/>
      <c r="BH1207" s="34"/>
      <c r="BI1207" s="34"/>
      <c r="BJ1207" s="34"/>
      <c r="BK1207" s="34"/>
      <c r="BL1207" s="34"/>
      <c r="BM1207" s="34"/>
      <c r="BN1207" s="34"/>
      <c r="BO1207" s="34"/>
      <c r="BP1207" s="34"/>
      <c r="BQ1207" s="34"/>
      <c r="BR1207" s="34"/>
      <c r="BS1207" s="34"/>
      <c r="BT1207" s="34"/>
      <c r="BU1207" s="34"/>
      <c r="BV1207" s="34"/>
      <c r="BW1207" s="34"/>
      <c r="BX1207" s="34"/>
      <c r="BY1207" s="34"/>
      <c r="BZ1207" s="34"/>
      <c r="CA1207" s="34"/>
      <c r="CB1207" s="34"/>
      <c r="CC1207" s="34"/>
      <c r="CD1207" s="34"/>
      <c r="CE1207" s="34"/>
      <c r="CF1207" s="34"/>
      <c r="CG1207" s="34"/>
      <c r="CH1207" s="34"/>
      <c r="CI1207" s="8"/>
    </row>
    <row r="1208" spans="1:87" x14ac:dyDescent="0.2">
      <c r="A1208" s="8" t="str">
        <f>IF(AND(COUNTIF(W$3:W$13,A$29)&gt;0,A$29&lt;&gt;B1054),A$29,IFERROR(IF(MATCH(A$29,Z$3:Z$13,0)=7,A$29," ")," "))</f>
        <v>C15</v>
      </c>
      <c r="B1208" s="8">
        <f>IF(A1208=" "," ",MAX(B1194:B1207)+1)</f>
        <v>5</v>
      </c>
      <c r="C1208" s="8"/>
      <c r="D1208" s="8"/>
      <c r="E1208" s="8"/>
      <c r="F1208" s="8"/>
      <c r="G1208" s="8"/>
      <c r="H1208" s="8"/>
      <c r="I1208" s="8"/>
      <c r="J1208" s="8"/>
      <c r="K1208" s="8"/>
      <c r="L1208" s="8"/>
      <c r="M1208" s="8"/>
      <c r="N1208" s="8"/>
      <c r="O1208" s="8"/>
      <c r="P1208" s="8"/>
      <c r="Q1208" s="8"/>
      <c r="R1208" s="8"/>
      <c r="S1208" s="8"/>
      <c r="U1208" s="34"/>
      <c r="V1208" s="34"/>
      <c r="W1208" s="34"/>
      <c r="X1208" s="34"/>
      <c r="Y1208" s="34"/>
      <c r="Z1208" s="34"/>
      <c r="AA1208" s="34"/>
      <c r="AB1208" s="34"/>
      <c r="AC1208" s="34"/>
      <c r="AD1208" s="34"/>
      <c r="AE1208" s="34"/>
      <c r="AF1208" s="34"/>
      <c r="AG1208" s="34"/>
      <c r="AH1208" s="34"/>
      <c r="AI1208" s="34"/>
      <c r="AJ1208" s="34"/>
      <c r="AK1208" s="34"/>
      <c r="AL1208" s="34"/>
      <c r="AM1208" s="34"/>
      <c r="AN1208" s="34"/>
      <c r="AO1208" s="34"/>
      <c r="AP1208" s="34"/>
      <c r="AQ1208" s="34"/>
      <c r="AR1208" s="34"/>
      <c r="AS1208" s="34"/>
      <c r="AT1208" s="34"/>
      <c r="AU1208" s="34"/>
      <c r="AV1208" s="34"/>
      <c r="AW1208" s="34"/>
      <c r="AX1208" s="34"/>
      <c r="AY1208" s="34"/>
      <c r="AZ1208" s="34"/>
      <c r="BA1208" s="34"/>
      <c r="BB1208" s="34"/>
      <c r="BC1208" s="34"/>
      <c r="BD1208" s="34"/>
      <c r="BE1208" s="34"/>
      <c r="BF1208" s="34"/>
      <c r="BG1208" s="34"/>
      <c r="BH1208" s="34"/>
      <c r="BI1208" s="34"/>
      <c r="BJ1208" s="34"/>
      <c r="BK1208" s="34"/>
      <c r="BL1208" s="34"/>
      <c r="BM1208" s="34"/>
      <c r="BN1208" s="34"/>
      <c r="BO1208" s="34"/>
      <c r="BP1208" s="34"/>
      <c r="BQ1208" s="34"/>
      <c r="BR1208" s="34"/>
      <c r="BS1208" s="34"/>
      <c r="BT1208" s="34"/>
      <c r="BU1208" s="34"/>
      <c r="BV1208" s="34"/>
      <c r="BW1208" s="34"/>
      <c r="BX1208" s="34"/>
      <c r="BY1208" s="34"/>
      <c r="BZ1208" s="34"/>
      <c r="CA1208" s="34"/>
      <c r="CB1208" s="34"/>
      <c r="CC1208" s="34"/>
      <c r="CD1208" s="34"/>
      <c r="CE1208" s="34"/>
      <c r="CF1208" s="34"/>
      <c r="CG1208" s="34"/>
      <c r="CH1208" s="34"/>
      <c r="CI1208" s="8"/>
    </row>
    <row r="1209" spans="1:87" x14ac:dyDescent="0.2">
      <c r="A1209" s="8" t="str">
        <f>IF(AND(COUNTIF(W$3:W$13,A$30)&gt;0,A$30&lt;&gt;B1054),A$30,IFERROR(IF(MATCH(A$30,Z$3:Z$13,0)=7,A$30," ")," "))</f>
        <v xml:space="preserve"> </v>
      </c>
      <c r="B1209" s="8" t="str">
        <f>IF(A1209=" "," ",MAX(B1194:B1208)+1)</f>
        <v xml:space="preserve"> </v>
      </c>
      <c r="C1209" s="8"/>
      <c r="D1209" s="8"/>
      <c r="E1209" s="8"/>
      <c r="F1209" s="8"/>
      <c r="G1209" s="8"/>
      <c r="H1209" s="8"/>
      <c r="I1209" s="8"/>
      <c r="J1209" s="8"/>
      <c r="K1209" s="8"/>
      <c r="L1209" s="8"/>
      <c r="M1209" s="8"/>
      <c r="N1209" s="8"/>
      <c r="O1209" s="8"/>
      <c r="P1209" s="8"/>
      <c r="Q1209" s="8"/>
      <c r="R1209" s="8"/>
      <c r="S1209" s="8"/>
      <c r="U1209" s="34"/>
      <c r="V1209" s="34"/>
      <c r="W1209" s="34"/>
      <c r="X1209" s="34"/>
      <c r="Y1209" s="34"/>
      <c r="Z1209" s="34"/>
      <c r="AA1209" s="34"/>
      <c r="AB1209" s="34"/>
      <c r="AC1209" s="34"/>
      <c r="AD1209" s="34"/>
      <c r="AE1209" s="34"/>
      <c r="AF1209" s="34"/>
      <c r="AG1209" s="34"/>
      <c r="AH1209" s="34"/>
      <c r="AI1209" s="34"/>
      <c r="AJ1209" s="34"/>
      <c r="AK1209" s="34"/>
      <c r="AL1209" s="34"/>
      <c r="AM1209" s="34"/>
      <c r="AN1209" s="34"/>
      <c r="AO1209" s="34"/>
      <c r="AP1209" s="34"/>
      <c r="AQ1209" s="34"/>
      <c r="AR1209" s="34"/>
      <c r="AS1209" s="34"/>
      <c r="AT1209" s="34"/>
      <c r="AU1209" s="34"/>
      <c r="AV1209" s="34"/>
      <c r="AW1209" s="34"/>
      <c r="AX1209" s="34"/>
      <c r="AY1209" s="34"/>
      <c r="AZ1209" s="34"/>
      <c r="BA1209" s="34"/>
      <c r="BB1209" s="34"/>
      <c r="BC1209" s="34"/>
      <c r="BD1209" s="34"/>
      <c r="BE1209" s="34"/>
      <c r="BF1209" s="34"/>
      <c r="BG1209" s="34"/>
      <c r="BH1209" s="34"/>
      <c r="BI1209" s="34"/>
      <c r="BJ1209" s="34"/>
      <c r="BK1209" s="34"/>
      <c r="BL1209" s="34"/>
      <c r="BM1209" s="34"/>
      <c r="BN1209" s="34"/>
      <c r="BO1209" s="34"/>
      <c r="BP1209" s="34"/>
      <c r="BQ1209" s="34"/>
      <c r="BR1209" s="34"/>
      <c r="BS1209" s="34"/>
      <c r="BT1209" s="34"/>
      <c r="BU1209" s="34"/>
      <c r="BV1209" s="34"/>
      <c r="BW1209" s="34"/>
      <c r="BX1209" s="34"/>
      <c r="BY1209" s="34"/>
      <c r="BZ1209" s="34"/>
      <c r="CA1209" s="34"/>
      <c r="CB1209" s="34"/>
      <c r="CC1209" s="34"/>
      <c r="CD1209" s="34"/>
      <c r="CE1209" s="34"/>
      <c r="CF1209" s="34"/>
      <c r="CG1209" s="34"/>
      <c r="CH1209" s="34"/>
      <c r="CI1209" s="8"/>
    </row>
    <row r="1210" spans="1:87" x14ac:dyDescent="0.2">
      <c r="A1210" s="8" t="str">
        <f>IF(AND(COUNTIF(W$3:W$13,A$31)&gt;0,A$31&lt;&gt;B1054),A$31,IFERROR(IF(MATCH(A$31,Z$3:Z$13,0)=7,A$31," ")," "))</f>
        <v>C17</v>
      </c>
      <c r="B1210" s="8">
        <f>IF(A1210=" "," ",MAX(B1194:B1209)+1)</f>
        <v>6</v>
      </c>
      <c r="C1210" s="8"/>
      <c r="D1210" s="8"/>
      <c r="E1210" s="8"/>
      <c r="F1210" s="8"/>
      <c r="G1210" s="8"/>
      <c r="H1210" s="8"/>
      <c r="I1210" s="8"/>
      <c r="J1210" s="8"/>
      <c r="K1210" s="8"/>
      <c r="L1210" s="8"/>
      <c r="M1210" s="8"/>
      <c r="N1210" s="8"/>
      <c r="O1210" s="8"/>
      <c r="P1210" s="8"/>
      <c r="Q1210" s="8"/>
      <c r="R1210" s="8"/>
      <c r="S1210" s="8"/>
      <c r="U1210" s="34"/>
      <c r="V1210" s="34"/>
      <c r="W1210" s="34"/>
      <c r="X1210" s="34"/>
      <c r="Y1210" s="34"/>
      <c r="Z1210" s="34"/>
      <c r="AA1210" s="34"/>
      <c r="AB1210" s="34"/>
      <c r="AC1210" s="34"/>
      <c r="AD1210" s="34"/>
      <c r="AE1210" s="34"/>
      <c r="AF1210" s="34"/>
      <c r="AG1210" s="34"/>
      <c r="AH1210" s="34"/>
      <c r="AI1210" s="34"/>
      <c r="AJ1210" s="34"/>
      <c r="AK1210" s="34"/>
      <c r="AL1210" s="34"/>
      <c r="AM1210" s="34"/>
      <c r="AN1210" s="34"/>
      <c r="AO1210" s="34"/>
      <c r="AP1210" s="34"/>
      <c r="AQ1210" s="34"/>
      <c r="AR1210" s="34"/>
      <c r="AS1210" s="34"/>
      <c r="AT1210" s="34"/>
      <c r="AU1210" s="34"/>
      <c r="AV1210" s="34"/>
      <c r="AW1210" s="34"/>
      <c r="AX1210" s="34"/>
      <c r="AY1210" s="34"/>
      <c r="AZ1210" s="34"/>
      <c r="BA1210" s="34"/>
      <c r="BB1210" s="34"/>
      <c r="BC1210" s="34"/>
      <c r="BD1210" s="34"/>
      <c r="BE1210" s="34"/>
      <c r="BF1210" s="34"/>
      <c r="BG1210" s="34"/>
      <c r="BH1210" s="34"/>
      <c r="BI1210" s="34"/>
      <c r="BJ1210" s="34"/>
      <c r="BK1210" s="34"/>
      <c r="BL1210" s="34"/>
      <c r="BM1210" s="34"/>
      <c r="BN1210" s="34"/>
      <c r="BO1210" s="34"/>
      <c r="BP1210" s="34"/>
      <c r="BQ1210" s="34"/>
      <c r="BR1210" s="34"/>
      <c r="BS1210" s="34"/>
      <c r="BT1210" s="34"/>
      <c r="BU1210" s="34"/>
      <c r="BV1210" s="34"/>
      <c r="BW1210" s="34"/>
      <c r="BX1210" s="34"/>
      <c r="BY1210" s="34"/>
      <c r="BZ1210" s="34"/>
      <c r="CA1210" s="34"/>
      <c r="CB1210" s="34"/>
      <c r="CC1210" s="34"/>
      <c r="CD1210" s="34"/>
      <c r="CE1210" s="34"/>
      <c r="CF1210" s="34"/>
      <c r="CG1210" s="34"/>
      <c r="CH1210" s="34"/>
      <c r="CI1210" s="8"/>
    </row>
    <row r="1211" spans="1:87" x14ac:dyDescent="0.2">
      <c r="A1211" s="8" t="str">
        <f>IF(AND(COUNTIF(W$3:W$13,A$32)&gt;0,A$32&lt;&gt;B1054),A$32,IFERROR(IF(MATCH(A$32,Z$3:Z$13,0)=7,A$32," ")," "))</f>
        <v>C18</v>
      </c>
      <c r="B1211" s="8">
        <f>IF(A1211=" "," ",MAX(B1194:B1210)+1)</f>
        <v>7</v>
      </c>
      <c r="C1211" s="8"/>
      <c r="D1211" s="8"/>
      <c r="E1211" s="8"/>
      <c r="F1211" s="8"/>
      <c r="G1211" s="8"/>
      <c r="H1211" s="8"/>
      <c r="I1211" s="8"/>
      <c r="J1211" s="8"/>
      <c r="K1211" s="8"/>
      <c r="L1211" s="8"/>
      <c r="M1211" s="8"/>
      <c r="N1211" s="8"/>
      <c r="O1211" s="8"/>
      <c r="P1211" s="8"/>
      <c r="Q1211" s="8"/>
      <c r="R1211" s="8"/>
      <c r="S1211" s="8"/>
      <c r="U1211" s="34"/>
      <c r="V1211" s="34"/>
      <c r="W1211" s="34"/>
      <c r="X1211" s="34"/>
      <c r="Y1211" s="34"/>
      <c r="Z1211" s="34"/>
      <c r="AA1211" s="34"/>
      <c r="AB1211" s="34"/>
      <c r="AC1211" s="34"/>
      <c r="AD1211" s="34"/>
      <c r="AE1211" s="34"/>
      <c r="AF1211" s="34"/>
      <c r="AG1211" s="34"/>
      <c r="AH1211" s="34"/>
      <c r="AI1211" s="34"/>
      <c r="AJ1211" s="34"/>
      <c r="AK1211" s="34"/>
      <c r="AL1211" s="34"/>
      <c r="AM1211" s="34"/>
      <c r="AN1211" s="34"/>
      <c r="AO1211" s="34"/>
      <c r="AP1211" s="34"/>
      <c r="AQ1211" s="34"/>
      <c r="AR1211" s="34"/>
      <c r="AS1211" s="34"/>
      <c r="AT1211" s="34"/>
      <c r="AU1211" s="34"/>
      <c r="AV1211" s="34"/>
      <c r="AW1211" s="34"/>
      <c r="AX1211" s="34"/>
      <c r="AY1211" s="34"/>
      <c r="AZ1211" s="34"/>
      <c r="BA1211" s="34"/>
      <c r="BB1211" s="34"/>
      <c r="BC1211" s="34"/>
      <c r="BD1211" s="34"/>
      <c r="BE1211" s="34"/>
      <c r="BF1211" s="34"/>
      <c r="BG1211" s="34"/>
      <c r="BH1211" s="34"/>
      <c r="BI1211" s="34"/>
      <c r="BJ1211" s="34"/>
      <c r="BK1211" s="34"/>
      <c r="BL1211" s="34"/>
      <c r="BM1211" s="34"/>
      <c r="BN1211" s="34"/>
      <c r="BO1211" s="34"/>
      <c r="BP1211" s="34"/>
      <c r="BQ1211" s="34"/>
      <c r="BR1211" s="34"/>
      <c r="BS1211" s="34"/>
      <c r="BT1211" s="34"/>
      <c r="BU1211" s="34"/>
      <c r="BV1211" s="34"/>
      <c r="BW1211" s="34"/>
      <c r="BX1211" s="34"/>
      <c r="BY1211" s="34"/>
      <c r="BZ1211" s="34"/>
      <c r="CA1211" s="34"/>
      <c r="CB1211" s="34"/>
      <c r="CC1211" s="34"/>
      <c r="CD1211" s="34"/>
      <c r="CE1211" s="34"/>
      <c r="CF1211" s="34"/>
      <c r="CG1211" s="34"/>
      <c r="CH1211" s="34"/>
      <c r="CI1211" s="8"/>
    </row>
    <row r="1212" spans="1:87" x14ac:dyDescent="0.2">
      <c r="A1212" s="8" t="str">
        <f>IF(AND(COUNTIF(W$3:W$13,A$33)&gt;0,A$33&lt;&gt;B1054),A$33,IFERROR(IF(MATCH(A$33,Z$3:Z$13,0)=7,A$33," ")," "))</f>
        <v>C19</v>
      </c>
      <c r="B1212" s="8">
        <f>IF(A1212=" "," ",MAX(B1194:B1211)+1)</f>
        <v>8</v>
      </c>
      <c r="C1212" s="8"/>
      <c r="D1212" s="8"/>
      <c r="E1212" s="8"/>
      <c r="F1212" s="8"/>
      <c r="G1212" s="8"/>
      <c r="H1212" s="8"/>
      <c r="I1212" s="8"/>
      <c r="J1212" s="8"/>
      <c r="K1212" s="8"/>
      <c r="L1212" s="8"/>
      <c r="M1212" s="8"/>
      <c r="N1212" s="8"/>
      <c r="O1212" s="8"/>
      <c r="P1212" s="8"/>
      <c r="Q1212" s="8"/>
      <c r="R1212" s="8"/>
      <c r="S1212" s="8"/>
      <c r="U1212" s="34"/>
      <c r="V1212" s="34"/>
      <c r="W1212" s="34"/>
      <c r="X1212" s="34"/>
      <c r="Y1212" s="34"/>
      <c r="Z1212" s="34"/>
      <c r="AA1212" s="34"/>
      <c r="AB1212" s="34"/>
      <c r="AC1212" s="34"/>
      <c r="AD1212" s="34"/>
      <c r="AE1212" s="34"/>
      <c r="AF1212" s="34"/>
      <c r="AG1212" s="34"/>
      <c r="AH1212" s="34"/>
      <c r="AI1212" s="34"/>
      <c r="AJ1212" s="34"/>
      <c r="AK1212" s="34"/>
      <c r="AL1212" s="34"/>
      <c r="AM1212" s="34"/>
      <c r="AN1212" s="34"/>
      <c r="AO1212" s="34"/>
      <c r="AP1212" s="34"/>
      <c r="AQ1212" s="34"/>
      <c r="AR1212" s="34"/>
      <c r="AS1212" s="34"/>
      <c r="AT1212" s="34"/>
      <c r="AU1212" s="34"/>
      <c r="AV1212" s="34"/>
      <c r="AW1212" s="34"/>
      <c r="AX1212" s="34"/>
      <c r="AY1212" s="34"/>
      <c r="AZ1212" s="34"/>
      <c r="BA1212" s="34"/>
      <c r="BB1212" s="34"/>
      <c r="BC1212" s="34"/>
      <c r="BD1212" s="34"/>
      <c r="BE1212" s="34"/>
      <c r="BF1212" s="34"/>
      <c r="BG1212" s="34"/>
      <c r="BH1212" s="34"/>
      <c r="BI1212" s="34"/>
      <c r="BJ1212" s="34"/>
      <c r="BK1212" s="34"/>
      <c r="BL1212" s="34"/>
      <c r="BM1212" s="34"/>
      <c r="BN1212" s="34"/>
      <c r="BO1212" s="34"/>
      <c r="BP1212" s="34"/>
      <c r="BQ1212" s="34"/>
      <c r="BR1212" s="34"/>
      <c r="BS1212" s="34"/>
      <c r="BT1212" s="34"/>
      <c r="BU1212" s="34"/>
      <c r="BV1212" s="34"/>
      <c r="BW1212" s="34"/>
      <c r="BX1212" s="34"/>
      <c r="BY1212" s="34"/>
      <c r="BZ1212" s="34"/>
      <c r="CA1212" s="34"/>
      <c r="CB1212" s="34"/>
      <c r="CC1212" s="34"/>
      <c r="CD1212" s="34"/>
      <c r="CE1212" s="34"/>
      <c r="CF1212" s="34"/>
      <c r="CG1212" s="34"/>
      <c r="CH1212" s="34"/>
      <c r="CI1212" s="8"/>
    </row>
    <row r="1213" spans="1:87" x14ac:dyDescent="0.2">
      <c r="A1213" s="8" t="str">
        <f>IF(AND(COUNTIF(W$3:W$13,A$34)&gt;0,A$34&lt;&gt;B1054),A$34,IFERROR(IF(MATCH(A$34,Z$3:Z$13,0)=7,A$34," ")," "))</f>
        <v>C20</v>
      </c>
      <c r="B1213" s="8">
        <f>IF(A1213=" "," ",MAX(B1194:B1212)+1)</f>
        <v>9</v>
      </c>
      <c r="C1213" s="8"/>
      <c r="D1213" s="8"/>
      <c r="E1213" s="8"/>
      <c r="F1213" s="8"/>
      <c r="G1213" s="8"/>
      <c r="H1213" s="8"/>
      <c r="I1213" s="8"/>
      <c r="J1213" s="8"/>
      <c r="K1213" s="8"/>
      <c r="L1213" s="8"/>
      <c r="M1213" s="8"/>
      <c r="N1213" s="8"/>
      <c r="O1213" s="8"/>
      <c r="P1213" s="8"/>
      <c r="Q1213" s="8"/>
      <c r="R1213" s="8"/>
      <c r="S1213" s="8"/>
      <c r="U1213" s="34"/>
      <c r="V1213" s="34"/>
      <c r="W1213" s="34"/>
      <c r="X1213" s="34"/>
      <c r="Y1213" s="34"/>
      <c r="Z1213" s="34"/>
      <c r="AA1213" s="34"/>
      <c r="AB1213" s="34"/>
      <c r="AC1213" s="34"/>
      <c r="AD1213" s="34"/>
      <c r="AE1213" s="34"/>
      <c r="AF1213" s="34"/>
      <c r="AG1213" s="34"/>
      <c r="AH1213" s="34"/>
      <c r="AI1213" s="34"/>
      <c r="AJ1213" s="34"/>
      <c r="AK1213" s="34"/>
      <c r="AL1213" s="34"/>
      <c r="AM1213" s="34"/>
      <c r="AN1213" s="34"/>
      <c r="AO1213" s="34"/>
      <c r="AP1213" s="34"/>
      <c r="AQ1213" s="34"/>
      <c r="AR1213" s="34"/>
      <c r="AS1213" s="34"/>
      <c r="AT1213" s="34"/>
      <c r="AU1213" s="34"/>
      <c r="AV1213" s="34"/>
      <c r="AW1213" s="34"/>
      <c r="AX1213" s="34"/>
      <c r="AY1213" s="34"/>
      <c r="AZ1213" s="34"/>
      <c r="BA1213" s="34"/>
      <c r="BB1213" s="34"/>
      <c r="BC1213" s="34"/>
      <c r="BD1213" s="34"/>
      <c r="BE1213" s="34"/>
      <c r="BF1213" s="34"/>
      <c r="BG1213" s="34"/>
      <c r="BH1213" s="34"/>
      <c r="BI1213" s="34"/>
      <c r="BJ1213" s="34"/>
      <c r="BK1213" s="34"/>
      <c r="BL1213" s="34"/>
      <c r="BM1213" s="34"/>
      <c r="BN1213" s="34"/>
      <c r="BO1213" s="34"/>
      <c r="BP1213" s="34"/>
      <c r="BQ1213" s="34"/>
      <c r="BR1213" s="34"/>
      <c r="BS1213" s="34"/>
      <c r="BT1213" s="34"/>
      <c r="BU1213" s="34"/>
      <c r="BV1213" s="34"/>
      <c r="BW1213" s="34"/>
      <c r="BX1213" s="34"/>
      <c r="BY1213" s="34"/>
      <c r="BZ1213" s="34"/>
      <c r="CA1213" s="34"/>
      <c r="CB1213" s="34"/>
      <c r="CC1213" s="34"/>
      <c r="CD1213" s="34"/>
      <c r="CE1213" s="34"/>
      <c r="CF1213" s="34"/>
      <c r="CG1213" s="34"/>
      <c r="CH1213" s="34"/>
      <c r="CI1213" s="8"/>
    </row>
    <row r="1214" spans="1:87" x14ac:dyDescent="0.2">
      <c r="A1214" s="8" t="str">
        <f>IF(AND(COUNTIF(W$3:W$13,A$35)&gt;0,A$35&lt;&gt;B1054),A$35,IFERROR(IF(MATCH(A$35,Z$3:Z$13,0)=7,A$35," ")," "))</f>
        <v>C21</v>
      </c>
      <c r="B1214" s="8">
        <f>IF(A1214=" "," ",MAX(B1194:B1213)+1)</f>
        <v>10</v>
      </c>
      <c r="C1214" s="8"/>
      <c r="D1214" s="8"/>
      <c r="E1214" s="8"/>
      <c r="F1214" s="8"/>
      <c r="G1214" s="8"/>
      <c r="H1214" s="8"/>
      <c r="I1214" s="8"/>
      <c r="J1214" s="8"/>
      <c r="K1214" s="8"/>
      <c r="L1214" s="8"/>
      <c r="M1214" s="8"/>
      <c r="N1214" s="8"/>
      <c r="O1214" s="8"/>
      <c r="P1214" s="8"/>
      <c r="Q1214" s="8"/>
      <c r="R1214" s="8"/>
      <c r="S1214" s="8"/>
      <c r="U1214" s="34"/>
      <c r="V1214" s="34"/>
      <c r="W1214" s="34"/>
      <c r="X1214" s="34"/>
      <c r="Y1214" s="34"/>
      <c r="Z1214" s="34"/>
      <c r="AA1214" s="34"/>
      <c r="AB1214" s="34"/>
      <c r="AC1214" s="34"/>
      <c r="AD1214" s="34"/>
      <c r="AE1214" s="34"/>
      <c r="AF1214" s="34"/>
      <c r="AG1214" s="34"/>
      <c r="AH1214" s="34"/>
      <c r="AI1214" s="34"/>
      <c r="AJ1214" s="34"/>
      <c r="AK1214" s="34"/>
      <c r="AL1214" s="34"/>
      <c r="AM1214" s="34"/>
      <c r="AN1214" s="34"/>
      <c r="AO1214" s="34"/>
      <c r="AP1214" s="34"/>
      <c r="AQ1214" s="34"/>
      <c r="AR1214" s="34"/>
      <c r="AS1214" s="34"/>
      <c r="AT1214" s="34"/>
      <c r="AU1214" s="34"/>
      <c r="AV1214" s="34"/>
      <c r="AW1214" s="34"/>
      <c r="AX1214" s="34"/>
      <c r="AY1214" s="34"/>
      <c r="AZ1214" s="34"/>
      <c r="BA1214" s="34"/>
      <c r="BB1214" s="34"/>
      <c r="BC1214" s="34"/>
      <c r="BD1214" s="34"/>
      <c r="BE1214" s="34"/>
      <c r="BF1214" s="34"/>
      <c r="BG1214" s="34"/>
      <c r="BH1214" s="34"/>
      <c r="BI1214" s="34"/>
      <c r="BJ1214" s="34"/>
      <c r="BK1214" s="34"/>
      <c r="BL1214" s="34"/>
      <c r="BM1214" s="34"/>
      <c r="BN1214" s="34"/>
      <c r="BO1214" s="34"/>
      <c r="BP1214" s="34"/>
      <c r="BQ1214" s="34"/>
      <c r="BR1214" s="34"/>
      <c r="BS1214" s="34"/>
      <c r="BT1214" s="34"/>
      <c r="BU1214" s="34"/>
      <c r="BV1214" s="34"/>
      <c r="BW1214" s="34"/>
      <c r="BX1214" s="34"/>
      <c r="BY1214" s="34"/>
      <c r="BZ1214" s="34"/>
      <c r="CA1214" s="34"/>
      <c r="CB1214" s="34"/>
      <c r="CC1214" s="34"/>
      <c r="CD1214" s="34"/>
      <c r="CE1214" s="34"/>
      <c r="CF1214" s="34"/>
      <c r="CG1214" s="34"/>
      <c r="CH1214" s="34"/>
      <c r="CI1214" s="8"/>
    </row>
    <row r="1215" spans="1:87" x14ac:dyDescent="0.2">
      <c r="A1215" s="8" t="str">
        <f>IF(AND(COUNTIF(W$3:W$13,A$36)&gt;0,A$36&lt;&gt;B1054),A$36,IFERROR(IF(MATCH(A$36,Z$3:Z$13,0)=7,A$36," ")," "))</f>
        <v>C22</v>
      </c>
      <c r="B1215" s="8">
        <f>IF(A1215=" "," ",MAX(B1194:B1214)+1)</f>
        <v>11</v>
      </c>
      <c r="C1215" s="8"/>
      <c r="D1215" s="8"/>
      <c r="E1215" s="8"/>
      <c r="F1215" s="8"/>
      <c r="G1215" s="8"/>
      <c r="H1215" s="8"/>
      <c r="I1215" s="8"/>
      <c r="J1215" s="8"/>
      <c r="K1215" s="8"/>
      <c r="L1215" s="8"/>
      <c r="M1215" s="8"/>
      <c r="N1215" s="8"/>
      <c r="O1215" s="8"/>
      <c r="P1215" s="8"/>
      <c r="Q1215" s="8"/>
      <c r="R1215" s="8"/>
      <c r="S1215" s="8"/>
      <c r="U1215" s="34"/>
      <c r="V1215" s="34"/>
      <c r="W1215" s="34"/>
      <c r="X1215" s="34"/>
      <c r="Y1215" s="34"/>
      <c r="Z1215" s="34"/>
      <c r="AA1215" s="34"/>
      <c r="AB1215" s="34"/>
      <c r="AC1215" s="34"/>
      <c r="AD1215" s="34"/>
      <c r="AE1215" s="34"/>
      <c r="AF1215" s="34"/>
      <c r="AG1215" s="34"/>
      <c r="AH1215" s="34"/>
      <c r="AI1215" s="34"/>
      <c r="AJ1215" s="34"/>
      <c r="AK1215" s="34"/>
      <c r="AL1215" s="34"/>
      <c r="AM1215" s="34"/>
      <c r="AN1215" s="34"/>
      <c r="AO1215" s="34"/>
      <c r="AP1215" s="34"/>
      <c r="AQ1215" s="34"/>
      <c r="AR1215" s="34"/>
      <c r="AS1215" s="34"/>
      <c r="AT1215" s="34"/>
      <c r="AU1215" s="34"/>
      <c r="AV1215" s="34"/>
      <c r="AW1215" s="34"/>
      <c r="AX1215" s="34"/>
      <c r="AY1215" s="34"/>
      <c r="AZ1215" s="34"/>
      <c r="BA1215" s="34"/>
      <c r="BB1215" s="34"/>
      <c r="BC1215" s="34"/>
      <c r="BD1215" s="34"/>
      <c r="BE1215" s="34"/>
      <c r="BF1215" s="34"/>
      <c r="BG1215" s="34"/>
      <c r="BH1215" s="34"/>
      <c r="BI1215" s="34"/>
      <c r="BJ1215" s="34"/>
      <c r="BK1215" s="34"/>
      <c r="BL1215" s="34"/>
      <c r="BM1215" s="34"/>
      <c r="BN1215" s="34"/>
      <c r="BO1215" s="34"/>
      <c r="BP1215" s="34"/>
      <c r="BQ1215" s="34"/>
      <c r="BR1215" s="34"/>
      <c r="BS1215" s="34"/>
      <c r="BT1215" s="34"/>
      <c r="BU1215" s="34"/>
      <c r="BV1215" s="34"/>
      <c r="BW1215" s="34"/>
      <c r="BX1215" s="34"/>
      <c r="BY1215" s="34"/>
      <c r="BZ1215" s="34"/>
      <c r="CA1215" s="34"/>
      <c r="CB1215" s="34"/>
      <c r="CC1215" s="34"/>
      <c r="CD1215" s="34"/>
      <c r="CE1215" s="34"/>
      <c r="CF1215" s="34"/>
      <c r="CG1215" s="34"/>
      <c r="CH1215" s="34"/>
      <c r="CI1215" s="8"/>
    </row>
    <row r="1216" spans="1:87" x14ac:dyDescent="0.2">
      <c r="A1216" s="11" t="s">
        <v>17</v>
      </c>
      <c r="B1216" s="11"/>
      <c r="C1216" s="27" t="s">
        <v>18</v>
      </c>
      <c r="D1216" s="27" t="s">
        <v>2</v>
      </c>
      <c r="E1216" s="27" t="s">
        <v>6</v>
      </c>
      <c r="F1216" s="27" t="s">
        <v>15</v>
      </c>
      <c r="G1216" s="27" t="s">
        <v>36</v>
      </c>
      <c r="H1216" s="27" t="s">
        <v>37</v>
      </c>
      <c r="I1216" s="27" t="s">
        <v>38</v>
      </c>
      <c r="J1216" s="27" t="s">
        <v>39</v>
      </c>
      <c r="K1216" s="27" t="s">
        <v>40</v>
      </c>
      <c r="L1216" s="27" t="s">
        <v>41</v>
      </c>
      <c r="M1216" s="27" t="s">
        <v>42</v>
      </c>
      <c r="N1216" s="27" t="s">
        <v>43</v>
      </c>
      <c r="O1216" s="27" t="s">
        <v>9</v>
      </c>
      <c r="P1216" s="27" t="s">
        <v>12</v>
      </c>
      <c r="Q1216" s="27" t="s">
        <v>19</v>
      </c>
      <c r="R1216" s="27" t="s">
        <v>55</v>
      </c>
      <c r="S1216" s="27" t="s">
        <v>26</v>
      </c>
      <c r="T1216" s="19" t="s">
        <v>25</v>
      </c>
      <c r="U1216" s="33" t="s">
        <v>27</v>
      </c>
      <c r="V1216" s="33" t="s">
        <v>9</v>
      </c>
      <c r="W1216" s="33" t="s">
        <v>23</v>
      </c>
      <c r="X1216" s="33" t="s">
        <v>12</v>
      </c>
      <c r="Y1216" s="33" t="s">
        <v>26</v>
      </c>
      <c r="Z1216" s="33" t="s">
        <v>25</v>
      </c>
      <c r="AA1216" s="33" t="s">
        <v>27</v>
      </c>
      <c r="AB1216" s="33" t="s">
        <v>9</v>
      </c>
      <c r="AC1216" s="33" t="s">
        <v>23</v>
      </c>
      <c r="AD1216" s="33" t="s">
        <v>12</v>
      </c>
      <c r="AE1216" s="33" t="s">
        <v>26</v>
      </c>
      <c r="AF1216" s="33" t="s">
        <v>25</v>
      </c>
      <c r="AG1216" s="33" t="s">
        <v>27</v>
      </c>
      <c r="AH1216" s="33" t="s">
        <v>9</v>
      </c>
      <c r="AI1216" s="33" t="s">
        <v>23</v>
      </c>
      <c r="AJ1216" s="33" t="s">
        <v>12</v>
      </c>
      <c r="AK1216" s="33" t="s">
        <v>26</v>
      </c>
      <c r="AL1216" s="33" t="s">
        <v>25</v>
      </c>
      <c r="AM1216" s="33" t="s">
        <v>27</v>
      </c>
      <c r="AN1216" s="33" t="s">
        <v>9</v>
      </c>
      <c r="AO1216" s="33" t="s">
        <v>23</v>
      </c>
      <c r="AP1216" s="33" t="s">
        <v>12</v>
      </c>
      <c r="AQ1216" s="33" t="s">
        <v>26</v>
      </c>
      <c r="AR1216" s="33" t="s">
        <v>25</v>
      </c>
      <c r="AS1216" s="33" t="s">
        <v>27</v>
      </c>
      <c r="AT1216" s="33" t="s">
        <v>9</v>
      </c>
      <c r="AU1216" s="33" t="s">
        <v>23</v>
      </c>
      <c r="AV1216" s="33" t="s">
        <v>12</v>
      </c>
      <c r="AW1216" s="33" t="s">
        <v>26</v>
      </c>
      <c r="AX1216" s="33" t="s">
        <v>25</v>
      </c>
      <c r="AY1216" s="33" t="s">
        <v>27</v>
      </c>
      <c r="AZ1216" s="33" t="s">
        <v>9</v>
      </c>
      <c r="BA1216" s="33" t="s">
        <v>23</v>
      </c>
      <c r="BB1216" s="33" t="s">
        <v>12</v>
      </c>
      <c r="BC1216" s="33" t="s">
        <v>26</v>
      </c>
      <c r="BD1216" s="33" t="s">
        <v>25</v>
      </c>
      <c r="BE1216" s="33" t="s">
        <v>27</v>
      </c>
      <c r="BF1216" s="33" t="s">
        <v>9</v>
      </c>
      <c r="BG1216" s="33" t="s">
        <v>23</v>
      </c>
      <c r="BH1216" s="33" t="s">
        <v>12</v>
      </c>
      <c r="BI1216" s="33" t="s">
        <v>26</v>
      </c>
      <c r="BJ1216" s="33" t="s">
        <v>25</v>
      </c>
      <c r="BK1216" s="33" t="s">
        <v>27</v>
      </c>
      <c r="BL1216" s="33" t="s">
        <v>9</v>
      </c>
      <c r="BM1216" s="33" t="s">
        <v>23</v>
      </c>
      <c r="BN1216" s="33" t="s">
        <v>12</v>
      </c>
      <c r="BO1216" s="33" t="s">
        <v>26</v>
      </c>
      <c r="BP1216" s="33" t="s">
        <v>25</v>
      </c>
      <c r="BQ1216" s="33" t="s">
        <v>27</v>
      </c>
      <c r="BR1216" s="33" t="s">
        <v>9</v>
      </c>
      <c r="BS1216" s="33" t="s">
        <v>23</v>
      </c>
      <c r="BT1216" s="33" t="s">
        <v>12</v>
      </c>
      <c r="BU1216" s="33" t="s">
        <v>26</v>
      </c>
      <c r="BV1216" s="33" t="s">
        <v>25</v>
      </c>
      <c r="BW1216" s="33" t="s">
        <v>27</v>
      </c>
      <c r="BX1216" s="33" t="s">
        <v>9</v>
      </c>
      <c r="BY1216" s="33" t="s">
        <v>23</v>
      </c>
      <c r="BZ1216" s="33" t="s">
        <v>12</v>
      </c>
      <c r="CA1216" s="33" t="s">
        <v>26</v>
      </c>
      <c r="CB1216" s="33" t="s">
        <v>25</v>
      </c>
      <c r="CC1216" s="33" t="s">
        <v>27</v>
      </c>
      <c r="CD1216" s="33" t="s">
        <v>9</v>
      </c>
      <c r="CE1216" s="33" t="s">
        <v>23</v>
      </c>
      <c r="CF1216" s="33" t="s">
        <v>12</v>
      </c>
      <c r="CG1216" s="33" t="s">
        <v>26</v>
      </c>
      <c r="CH1216" s="33" t="s">
        <v>25</v>
      </c>
      <c r="CI1216" s="8"/>
    </row>
    <row r="1217" spans="1:87" x14ac:dyDescent="0.2">
      <c r="A1217" s="8" t="str">
        <f>IF(AND(COUNTIF(W$3:W$13,A$15)&gt;0,A$15&lt;&gt;B1054),A$15,IFERROR(IF(MATCH(A$15,Z$3:Z$13,0)=8,A$15," ")," "))</f>
        <v xml:space="preserve"> </v>
      </c>
      <c r="B1217" s="8" t="str">
        <f>IF(A1217=" "," ",1)</f>
        <v xml:space="preserve"> </v>
      </c>
      <c r="C1217" s="8" t="str">
        <f>IFERROR(INDEX(A1217:A1238,MATCH(SMALL(B1217:B1238,1),B1217:B1238,0),1)," ")</f>
        <v>C3</v>
      </c>
      <c r="D1217" s="8">
        <f>IFERROR(VLOOKUP($C1217,$A$15:$O$36,2,FALSE)," ")</f>
        <v>2</v>
      </c>
      <c r="E1217" s="8">
        <f>IFERROR(VLOOKUP($C1217,$A$15:$O$36,3,FALSE)," ")</f>
        <v>5</v>
      </c>
      <c r="F1217" s="8">
        <f>IFERROR(VLOOKUP($C1217,$A$15:$O$36,4,FALSE)," ")</f>
        <v>6</v>
      </c>
      <c r="G1217" s="8">
        <f>IFERROR(VLOOKUP($C1217,$A$15:$O$36,5,FALSE)," ")</f>
        <v>0</v>
      </c>
      <c r="H1217" s="8">
        <f>IFERROR(VLOOKUP($C1217,$A$15:$O$36,6,FALSE)," ")</f>
        <v>0</v>
      </c>
      <c r="I1217" s="8">
        <f>IFERROR(VLOOKUP($C1217,$A$15:$O$36,7,FALSE)," ")</f>
        <v>0</v>
      </c>
      <c r="J1217" s="8">
        <f>IFERROR(VLOOKUP($C1217,$A$15:$O$36,8,FALSE)," ")</f>
        <v>0</v>
      </c>
      <c r="K1217" s="8">
        <f>IFERROR(VLOOKUP($C1217,$A$15:$O$36,9,FALSE)," ")</f>
        <v>0</v>
      </c>
      <c r="L1217" s="8">
        <f>IFERROR(VLOOKUP($C1217,$A$15:$O$36,10,FALSE)," ")</f>
        <v>0</v>
      </c>
      <c r="M1217" s="8">
        <f>IFERROR(VLOOKUP($C1217,$A$15:$O$36,11,FALSE)," ")</f>
        <v>0</v>
      </c>
      <c r="N1217" s="8">
        <f>IFERROR(VLOOKUP($C1217,$A$15:$O$36,12,FALSE)," ")</f>
        <v>0</v>
      </c>
      <c r="O1217" s="8">
        <f>IFERROR(VLOOKUP($C1217,$A$15:$O$36,15,FALSE)," ")</f>
        <v>2000</v>
      </c>
      <c r="P1217" s="8" t="e">
        <f t="array" ref="P1217:P1227">MMULT(MINVERSE(D1217:N1227),O1217:O1227)</f>
        <v>#NUM!</v>
      </c>
      <c r="Q1217" s="8" t="e">
        <f t="shared" ref="Q1217" si="5153">IF(COUNTIF(P1217:P1227,"&lt;"&amp;-0.001)=0,IF(ABS(P1217)&lt;0.001,0,P1217)," ")</f>
        <v>#NUM!</v>
      </c>
      <c r="R1217" s="8" t="str">
        <f>IFERROR(VLOOKUP(B1054,A$15:L$36,2,FALSE)*Q1217+VLOOKUP(B1054,A$15:L$36,3,FALSE)*Q1218+VLOOKUP(B1054,A$15:L$36,4,FALSE)*Q1219+VLOOKUP(B1054,A$15:L$36,5,FALSE)*Q1220+VLOOKUP(B1054,A$15:L$36,6,FALSE)*Q1221+VLOOKUP(B1054,A$15:L$36,7,FALSE)*Q1222+VLOOKUP(B1054,A$15:L$36,8,FALSE)*Q1223+VLOOKUP(B1054,A$15:L$36,9,FALSE)*Q1224+VLOOKUP(B1054,A$15:L$36,10,FALSE)*Q1225+VLOOKUP(B1054,A$15:L$36,11,FALSE)*Q1226+VLOOKUP(B1054,A$15:L$36,12,FALSE)*Q1227," ")</f>
        <v xml:space="preserve"> </v>
      </c>
      <c r="S1217" s="8" t="str">
        <f>IFERROR(IF(R1217-VLOOKUP(B1054,A$15:O$36,15,FALSE)&lt;0,R1217-VLOOKUP(B1054,A$15:O$36,15,FALSE)," ")," ")</f>
        <v xml:space="preserve"> </v>
      </c>
      <c r="T1217" s="18" t="str">
        <f>IFERROR(IF(R1217-VLOOKUP(B1054,A$15:O$36,15,FALSE)&gt;0,R1217-VLOOKUP(B1054,A$15:O$36,15,FALSE)," ")," ")</f>
        <v xml:space="preserve"> </v>
      </c>
      <c r="U1217" s="34">
        <f t="shared" ref="U1217" si="5154">$M$2</f>
        <v>100.00000000000001</v>
      </c>
      <c r="V1217" s="34">
        <v>-1</v>
      </c>
      <c r="W1217" s="34">
        <f t="shared" ref="W1217" si="5155">-SUMPRODUCT($M$3:$M$12,$N$3:$N$12)</f>
        <v>-105000</v>
      </c>
      <c r="X1217" s="34" t="e">
        <f t="shared" ref="X1217" si="5156">IF(U1217&lt;&gt;U1218,MMULT(MINVERSE(U1217:V1218),W1217:W1218)," ")</f>
        <v>#NUM!</v>
      </c>
      <c r="Y1217" s="34" t="str">
        <f t="shared" ref="Y1217" si="5157">IFERROR(IF(X1217-VLOOKUP(U$38,$A$2:$N$12,14,FALSE)&lt;0,X1217-VLOOKUP(U$38,$A$2:$N$12,14,FALSE)," ")," ")</f>
        <v xml:space="preserve"> </v>
      </c>
      <c r="Z1217" s="34" t="str">
        <f t="shared" ref="Z1217" si="5158">IFERROR(IF(X1217-VLOOKUP(U$38,$A$2:$N$12,14,FALSE)&gt;0,X1217-VLOOKUP(U$38,$A$2:$N$12,14,FALSE)," ")," ")</f>
        <v xml:space="preserve"> </v>
      </c>
      <c r="AA1217" s="34">
        <f t="shared" ref="AA1217" si="5159">$M$3</f>
        <v>0</v>
      </c>
      <c r="AB1217" s="34">
        <v>-1</v>
      </c>
      <c r="AC1217" s="34">
        <f t="shared" ref="AC1217" si="5160">-SUMPRODUCT($M$2:$M$2,$N$2:$N$2)-SUMPRODUCT($M$4:$M$12,$N$4:$N$12)</f>
        <v>-120000</v>
      </c>
      <c r="AD1217" s="34" t="e">
        <f t="shared" ref="AD1217" si="5161">IF(AA1217&lt;&gt;AA1218,MMULT(MINVERSE(AA1217:AB1218),AC1217:AC1218)," ")</f>
        <v>#NUM!</v>
      </c>
      <c r="AE1217" s="34" t="str">
        <f t="shared" ref="AE1217" si="5162">IFERROR(IF(AD1217-VLOOKUP(AA$38,$A$2:$N$12,14,FALSE)&lt;0,AD1217-VLOOKUP(AA$38,$A$2:$N$12,14,FALSE)," ")," ")</f>
        <v xml:space="preserve"> </v>
      </c>
      <c r="AF1217" s="34" t="str">
        <f t="shared" ref="AF1217" si="5163">IFERROR(IF(AD1217-VLOOKUP(AA$38,$A$2:$N$12,14,FALSE)&gt;0,AD1217-VLOOKUP(AA$38,$A$2:$N$12,14,FALSE)," ")," ")</f>
        <v xml:space="preserve"> </v>
      </c>
      <c r="AG1217" s="34">
        <f t="shared" ref="AG1217" si="5164">$M$4</f>
        <v>300</v>
      </c>
      <c r="AH1217" s="34">
        <v>-1</v>
      </c>
      <c r="AI1217" s="34">
        <f t="shared" ref="AI1217" si="5165">-SUMPRODUCT($M$2:$M$3,$N$2:$N$3)-SUMPRODUCT($M$5:$M$12,$N$5:$N$12)</f>
        <v>-15000.000000000002</v>
      </c>
      <c r="AJ1217" s="34" t="e">
        <f t="shared" ref="AJ1217" si="5166">IF(AG1217&lt;&gt;AG1218,MMULT(MINVERSE(AG1217:AH1218),AI1217:AI1218)," ")</f>
        <v>#NUM!</v>
      </c>
      <c r="AK1217" s="34" t="str">
        <f t="shared" ref="AK1217" si="5167">IFERROR(IF(AJ1217-VLOOKUP(AG$38,$A$2:$N$12,14,FALSE)&lt;0,AJ1217-VLOOKUP(AG$38,$A$2:$N$12,14,FALSE)," ")," ")</f>
        <v xml:space="preserve"> </v>
      </c>
      <c r="AL1217" s="34" t="str">
        <f t="shared" ref="AL1217" si="5168">IFERROR(IF(AJ1217-VLOOKUP(AG$38,$A$2:$N$12,14,FALSE)&gt;0,AJ1217-VLOOKUP(AG$38,$A$2:$N$12,14,FALSE)," ")," ")</f>
        <v xml:space="preserve"> </v>
      </c>
      <c r="AM1217" s="34">
        <f t="shared" ref="AM1217" si="5169">$M$5</f>
        <v>0</v>
      </c>
      <c r="AN1217" s="34">
        <v>-1</v>
      </c>
      <c r="AO1217" s="34">
        <f t="shared" ref="AO1217" si="5170">-SUMPRODUCT($M$2:$M$4,$N$2:$N$4)-SUMPRODUCT($M$6:$M$12,$N$6:$N$12)</f>
        <v>-120000</v>
      </c>
      <c r="AP1217" s="34" t="e">
        <f t="shared" ref="AP1217" si="5171">IF(AM1217&lt;&gt;AM1218,MMULT(MINVERSE(AM1217:AN1218),AO1217:AO1218)," ")</f>
        <v>#NUM!</v>
      </c>
      <c r="AQ1217" s="34" t="str">
        <f t="shared" ref="AQ1217" si="5172">IFERROR(IF(AP1217-VLOOKUP(AM$38,$A$2:$N$12,14,FALSE)&lt;0,AP1217-VLOOKUP(AM$38,$A$2:$N$12,14,FALSE)," ")," ")</f>
        <v xml:space="preserve"> </v>
      </c>
      <c r="AR1217" s="34" t="str">
        <f t="shared" ref="AR1217" si="5173">IFERROR(IF(AP1217-VLOOKUP(AM$38,$A$2:$N$12,14,FALSE)&gt;0,AP1217-VLOOKUP(AM$38,$A$2:$N$12,14,FALSE)," ")," ")</f>
        <v xml:space="preserve"> </v>
      </c>
      <c r="AS1217" s="34">
        <f t="shared" ref="AS1217" si="5174">$M$6</f>
        <v>0</v>
      </c>
      <c r="AT1217" s="34">
        <v>-1</v>
      </c>
      <c r="AU1217" s="34">
        <f t="shared" ref="AU1217" si="5175">-SUMPRODUCT($M$2:$M$5,$N$2:$N$5)-SUMPRODUCT($M$7:$M$12,$N$7:$N$12)</f>
        <v>-120000</v>
      </c>
      <c r="AV1217" s="34" t="e">
        <f t="shared" ref="AV1217" si="5176">IF(AS1217&lt;&gt;AS1218,MMULT(MINVERSE(AS1217:AT1218),AU1217:AU1218)," ")</f>
        <v>#NUM!</v>
      </c>
      <c r="AW1217" s="34" t="str">
        <f t="shared" ref="AW1217" si="5177">IFERROR(IF(AV1217-VLOOKUP(AS$38,$A$2:$N$12,14,FALSE)&lt;0,AV1217-VLOOKUP(AS$38,$A$2:$N$12,14,FALSE)," ")," ")</f>
        <v xml:space="preserve"> </v>
      </c>
      <c r="AX1217" s="34" t="str">
        <f t="shared" ref="AX1217" si="5178">IFERROR(IF(AV1217-VLOOKUP(AS$38,$A$2:$N$12,14,FALSE)&gt;0,AV1217-VLOOKUP(AS$38,$A$2:$N$12,14,FALSE)," ")," ")</f>
        <v xml:space="preserve"> </v>
      </c>
      <c r="AY1217" s="34">
        <f t="shared" ref="AY1217" si="5179">$M$7</f>
        <v>0</v>
      </c>
      <c r="AZ1217" s="34">
        <v>-1</v>
      </c>
      <c r="BA1217" s="34">
        <f t="shared" ref="BA1217" si="5180">-SUMPRODUCT($M$2:$M$6,$N$2:$N$6)-SUMPRODUCT($M$8:$M$12,$N$8:$N$12)</f>
        <v>-120000</v>
      </c>
      <c r="BB1217" s="34" t="e">
        <f t="shared" ref="BB1217" si="5181">IF(AY1217&lt;&gt;AY1218,MMULT(MINVERSE(AY1217:AZ1218),BA1217:BA1218)," ")</f>
        <v>#NUM!</v>
      </c>
      <c r="BC1217" s="34" t="str">
        <f t="shared" ref="BC1217" si="5182">IFERROR(IF(BB1217-VLOOKUP(AY$38,$A$2:$N$12,14,FALSE)&lt;0,BB1217-VLOOKUP(AY$38,$A$2:$N$12,14,FALSE)," ")," ")</f>
        <v xml:space="preserve"> </v>
      </c>
      <c r="BD1217" s="34" t="str">
        <f t="shared" ref="BD1217" si="5183">IFERROR(IF(BB1217-VLOOKUP(AY$38,$A$2:$N$12,14,FALSE)&gt;0,BB1217-VLOOKUP(AY$38,$A$2:$N$12,14,FALSE)," ")," ")</f>
        <v xml:space="preserve"> </v>
      </c>
      <c r="BE1217" s="34">
        <f t="shared" ref="BE1217" si="5184">$M$8</f>
        <v>0</v>
      </c>
      <c r="BF1217" s="34">
        <v>-1</v>
      </c>
      <c r="BG1217" s="34">
        <f t="shared" ref="BG1217" si="5185">-SUMPRODUCT($M$2:$M$7,$N$2:$N$7)-SUMPRODUCT($M$9:$M$12,$N$9:$N$12)</f>
        <v>-120000</v>
      </c>
      <c r="BH1217" s="34" t="e">
        <f t="shared" ref="BH1217" si="5186">IF(BE1217&lt;&gt;BE1218,MMULT(MINVERSE(BE1217:BF1218),BG1217:BG1218)," ")</f>
        <v>#NUM!</v>
      </c>
      <c r="BI1217" s="34" t="str">
        <f t="shared" ref="BI1217" si="5187">IFERROR(IF(BH1217-VLOOKUP(BE$38,$A$2:$N$12,14,FALSE)&lt;0,BH1217-VLOOKUP(BE$38,$A$2:$N$12,14,FALSE)," ")," ")</f>
        <v xml:space="preserve"> </v>
      </c>
      <c r="BJ1217" s="34" t="str">
        <f t="shared" ref="BJ1217" si="5188">IFERROR(IF(BH1217-VLOOKUP(BE$38,$A$2:$N$12,14,FALSE)&gt;0,BH1217-VLOOKUP(BE$38,$A$2:$N$12,14,FALSE)," ")," ")</f>
        <v xml:space="preserve"> </v>
      </c>
      <c r="BK1217" s="34">
        <f t="shared" ref="BK1217" si="5189">$M$9</f>
        <v>0</v>
      </c>
      <c r="BL1217" s="34">
        <v>-1</v>
      </c>
      <c r="BM1217" s="34">
        <f t="shared" ref="BM1217" si="5190">-SUMPRODUCT($M$2:$M$8,$N$2:$N$8)-SUMPRODUCT($M$10:$M$12,$N$10:$N$12)</f>
        <v>-120000</v>
      </c>
      <c r="BN1217" s="34" t="e">
        <f t="shared" ref="BN1217" si="5191">IF(BK1217&lt;&gt;BK1218,MMULT(MINVERSE(BK1217:BL1218),BM1217:BM1218)," ")</f>
        <v>#NUM!</v>
      </c>
      <c r="BO1217" s="34" t="str">
        <f t="shared" ref="BO1217" si="5192">IFERROR(IF(BN1217-VLOOKUP(BK$38,$A$2:$N$12,14,FALSE)&lt;0,BN1217-VLOOKUP(BK$38,$A$2:$N$12,14,FALSE)," ")," ")</f>
        <v xml:space="preserve"> </v>
      </c>
      <c r="BP1217" s="34" t="str">
        <f t="shared" ref="BP1217" si="5193">IFERROR(IF(BN1217-VLOOKUP(BK$38,$A$2:$N$12,14,FALSE)&gt;0,BN1217-VLOOKUP(BK$38,$A$2:$N$12,14,FALSE)," ")," ")</f>
        <v xml:space="preserve"> </v>
      </c>
      <c r="BQ1217" s="34">
        <f t="shared" ref="BQ1217" si="5194">$M$10</f>
        <v>0</v>
      </c>
      <c r="BR1217" s="34">
        <v>-1</v>
      </c>
      <c r="BS1217" s="34">
        <f t="shared" ref="BS1217" si="5195">-SUMPRODUCT($M$2:$M$9,$N$2:$N$9)-SUMPRODUCT($M$11:$M$12,$N$11:$N$12)</f>
        <v>-120000</v>
      </c>
      <c r="BT1217" s="34" t="e">
        <f t="shared" ref="BT1217" si="5196">IF(BQ1217&lt;&gt;BQ1218,MMULT(MINVERSE(BQ1217:BR1218),BS1217:BS1218)," ")</f>
        <v>#NUM!</v>
      </c>
      <c r="BU1217" s="34" t="str">
        <f t="shared" ref="BU1217" si="5197">IFERROR(IF(BT1217-VLOOKUP(BQ$38,$A$2:$N$12,14,FALSE)&lt;0,BT1217-VLOOKUP(BQ$38,$A$2:$N$12,14,FALSE)," ")," ")</f>
        <v xml:space="preserve"> </v>
      </c>
      <c r="BV1217" s="34" t="str">
        <f t="shared" ref="BV1217" si="5198">IFERROR(IF(BT1217-VLOOKUP(BQ$38,$A$2:$N$12,14,FALSE)&gt;0,BT1217-VLOOKUP(BQ$38,$A$2:$N$12,14,FALSE)," ")," ")</f>
        <v xml:space="preserve"> </v>
      </c>
      <c r="BW1217" s="34">
        <f t="shared" ref="BW1217" si="5199">$M$11</f>
        <v>0</v>
      </c>
      <c r="BX1217" s="34">
        <v>-1</v>
      </c>
      <c r="BY1217" s="34">
        <f t="shared" ref="BY1217" si="5200">-SUMPRODUCT($M$2:$M$10,$N$2:$N$10)-SUMPRODUCT($M$12,$N$12)</f>
        <v>-120000</v>
      </c>
      <c r="BZ1217" s="34" t="e">
        <f t="shared" ref="BZ1217" si="5201">IF(BW1217&lt;&gt;BW1218,MMULT(MINVERSE(BW1217:BX1218),BY1217:BY1218)," ")</f>
        <v>#NUM!</v>
      </c>
      <c r="CA1217" s="34" t="str">
        <f t="shared" ref="CA1217" si="5202">IFERROR(IF(BZ1217-VLOOKUP(BW$38,$A$2:$N$12,14,FALSE)&lt;0,BZ1217-VLOOKUP(BW$38,$A$2:$N$12,14,FALSE)," ")," ")</f>
        <v xml:space="preserve"> </v>
      </c>
      <c r="CB1217" s="34" t="str">
        <f t="shared" ref="CB1217" si="5203">IFERROR(IF(BZ1217-VLOOKUP(BW$38,$A$2:$N$12,14,FALSE)&gt;0,BZ1217-VLOOKUP(BW$38,$A$2:$N$12,14,FALSE)," ")," ")</f>
        <v xml:space="preserve"> </v>
      </c>
      <c r="CC1217" s="34">
        <f t="shared" ref="CC1217" si="5204">$M$12</f>
        <v>0</v>
      </c>
      <c r="CD1217" s="34">
        <v>-1</v>
      </c>
      <c r="CE1217" s="34">
        <f t="shared" ref="CE1217" si="5205">-SUMPRODUCT($M$2:$M$11,$N$2:$N$11)</f>
        <v>-120000</v>
      </c>
      <c r="CF1217" s="34" t="e">
        <f t="shared" ref="CF1217" si="5206">IF(CC1217&lt;&gt;CC1218,MMULT(MINVERSE(CC1217:CD1218),CE1217:CE1218)," ")</f>
        <v>#NUM!</v>
      </c>
      <c r="CG1217" s="34" t="str">
        <f t="shared" ref="CG1217" si="5207">IFERROR(IF(CF1217-VLOOKUP(CC$38,$A$2:$N$12,14,FALSE)&lt;0,CF1217-VLOOKUP(CC$38,$A$2:$N$12,14,FALSE)," ")," ")</f>
        <v xml:space="preserve"> </v>
      </c>
      <c r="CH1217" s="34" t="str">
        <f t="shared" ref="CH1217" si="5208">IFERROR(IF(CF1217-VLOOKUP(CC$38,$A$2:$N$12,14,FALSE)&gt;0,CF1217-VLOOKUP(CC$38,$A$2:$N$12,14,FALSE)," ")," ")</f>
        <v xml:space="preserve"> </v>
      </c>
      <c r="CI1217" s="8"/>
    </row>
    <row r="1218" spans="1:87" x14ac:dyDescent="0.2">
      <c r="A1218" s="8" t="str">
        <f>IF(AND(COUNTIF(W$3:W$13,A$16)&gt;0,A$16&lt;&gt;B1054),A$16,IFERROR(IF(MATCH(A$16,Z$3:Z$13,0)=8,A$16," ")," "))</f>
        <v xml:space="preserve"> </v>
      </c>
      <c r="B1218" s="8" t="str">
        <f>IF(A1218=" "," ",MAX(B1217:B1217)+1)</f>
        <v xml:space="preserve"> </v>
      </c>
      <c r="C1218" s="8" t="str">
        <f>IFERROR(INDEX(A1217:A1238,MATCH(SMALL(B1217:B1238,2),B1217:B1238,0),1)," ")</f>
        <v>C4</v>
      </c>
      <c r="D1218" s="8">
        <f t="shared" ref="D1218:D1227" si="5209">IFERROR(VLOOKUP($C1218,$A$15:$O$36,2,FALSE)," ")</f>
        <v>1</v>
      </c>
      <c r="E1218" s="8">
        <f t="shared" ref="E1218:E1227" si="5210">IFERROR(VLOOKUP($C1218,$A$15:$O$36,3,FALSE)," ")</f>
        <v>0</v>
      </c>
      <c r="F1218" s="8">
        <f t="shared" ref="F1218:F1227" si="5211">IFERROR(VLOOKUP($C1218,$A$15:$O$36,4,FALSE)," ")</f>
        <v>1</v>
      </c>
      <c r="G1218" s="8">
        <f t="shared" ref="G1218:G1227" si="5212">IFERROR(VLOOKUP($C1218,$A$15:$O$36,5,FALSE)," ")</f>
        <v>0</v>
      </c>
      <c r="H1218" s="8">
        <f t="shared" ref="H1218:H1227" si="5213">IFERROR(VLOOKUP($C1218,$A$15:$O$36,6,FALSE)," ")</f>
        <v>0</v>
      </c>
      <c r="I1218" s="8">
        <f t="shared" ref="I1218:I1227" si="5214">IFERROR(VLOOKUP($C1218,$A$15:$O$36,7,FALSE)," ")</f>
        <v>0</v>
      </c>
      <c r="J1218" s="8">
        <f t="shared" ref="J1218:J1227" si="5215">IFERROR(VLOOKUP($C1218,$A$15:$O$36,8,FALSE)," ")</f>
        <v>0</v>
      </c>
      <c r="K1218" s="8">
        <f t="shared" ref="K1218:K1227" si="5216">IFERROR(VLOOKUP($C1218,$A$15:$O$36,9,FALSE)," ")</f>
        <v>0</v>
      </c>
      <c r="L1218" s="8">
        <f t="shared" ref="L1218:L1227" si="5217">IFERROR(VLOOKUP($C1218,$A$15:$O$36,10,FALSE)," ")</f>
        <v>0</v>
      </c>
      <c r="M1218" s="8">
        <f t="shared" ref="M1218:M1227" si="5218">IFERROR(VLOOKUP($C1218,$A$15:$O$36,11,FALSE)," ")</f>
        <v>0</v>
      </c>
      <c r="N1218" s="8">
        <f t="shared" ref="N1218:N1227" si="5219">IFERROR(VLOOKUP($C1218,$A$15:$O$36,12,FALSE)," ")</f>
        <v>0</v>
      </c>
      <c r="O1218" s="8">
        <f t="shared" ref="O1218:O1227" si="5220">IFERROR(VLOOKUP($C1218,$A$15:$O$36,15,FALSE)," ")</f>
        <v>400</v>
      </c>
      <c r="P1218" s="8" t="e">
        <v>#NUM!</v>
      </c>
      <c r="Q1218" s="8" t="e">
        <f t="shared" ref="Q1218" si="5221">IF(COUNTIF(P1217:P1227,"&lt;"&amp;-0.001)=0,IF(ABS(P1218)&lt;0.001,0,P1218)," ")</f>
        <v>#NUM!</v>
      </c>
      <c r="R1218" s="8"/>
      <c r="S1218" s="8"/>
      <c r="U1218" s="34" t="e">
        <f t="shared" ref="U1218" si="5222">$Q1217</f>
        <v>#NUM!</v>
      </c>
      <c r="V1218" s="34">
        <v>-1</v>
      </c>
      <c r="W1218" s="34" t="e">
        <f t="shared" ref="W1218" si="5223">-SUMPRODUCT($Q1218:$Q1227,$N$3:$N$12)</f>
        <v>#NUM!</v>
      </c>
      <c r="X1218" s="34"/>
      <c r="Y1218" s="34"/>
      <c r="Z1218" s="34"/>
      <c r="AA1218" s="34" t="e">
        <f t="shared" ref="AA1218" si="5224">$Q1218</f>
        <v>#NUM!</v>
      </c>
      <c r="AB1218" s="34">
        <v>-1</v>
      </c>
      <c r="AC1218" s="34" t="e">
        <f t="shared" ref="AC1218" si="5225">-SUMPRODUCT($Q1217:$Q1217,$N$2:$N$2)-SUMPRODUCT($Q1219:$Q1227,$N$4:$N$12)</f>
        <v>#NUM!</v>
      </c>
      <c r="AD1218" s="34"/>
      <c r="AE1218" s="34"/>
      <c r="AF1218" s="34"/>
      <c r="AG1218" s="34" t="e">
        <f t="shared" ref="AG1218" si="5226">$Q1219</f>
        <v>#NUM!</v>
      </c>
      <c r="AH1218" s="34">
        <v>-1</v>
      </c>
      <c r="AI1218" s="34" t="e">
        <f t="shared" ref="AI1218" si="5227">-SUMPRODUCT($Q1217:$Q1218,$N$2:$N$3)-SUMPRODUCT($Q1220:$Q1227,$N$5:$N$12)</f>
        <v>#NUM!</v>
      </c>
      <c r="AJ1218" s="34"/>
      <c r="AK1218" s="34"/>
      <c r="AL1218" s="34"/>
      <c r="AM1218" s="34" t="e">
        <f t="shared" ref="AM1218" si="5228">$Q1220</f>
        <v>#NUM!</v>
      </c>
      <c r="AN1218" s="34">
        <v>-1</v>
      </c>
      <c r="AO1218" s="34" t="e">
        <f t="shared" ref="AO1218" si="5229">-SUMPRODUCT($Q1217:$Q1219,$N$2:$N$4)-SUMPRODUCT($Q1221:$Q1227,$N$6:$N$12)</f>
        <v>#NUM!</v>
      </c>
      <c r="AP1218" s="34"/>
      <c r="AQ1218" s="34"/>
      <c r="AR1218" s="34"/>
      <c r="AS1218" s="34" t="e">
        <f t="shared" ref="AS1218" si="5230">$Q1221</f>
        <v>#NUM!</v>
      </c>
      <c r="AT1218" s="34">
        <v>-1</v>
      </c>
      <c r="AU1218" s="34" t="e">
        <f t="shared" ref="AU1218" si="5231">-SUMPRODUCT($Q1217:$Q1220,$N$2:$N$5)-SUMPRODUCT($Q1222:$Q1227,$N$7:$N$12)</f>
        <v>#NUM!</v>
      </c>
      <c r="AV1218" s="34"/>
      <c r="AW1218" s="34"/>
      <c r="AX1218" s="34"/>
      <c r="AY1218" s="34" t="e">
        <f t="shared" ref="AY1218" si="5232">$Q1222</f>
        <v>#NUM!</v>
      </c>
      <c r="AZ1218" s="34">
        <v>-1</v>
      </c>
      <c r="BA1218" s="34" t="e">
        <f t="shared" ref="BA1218" si="5233">-SUMPRODUCT($Q1217:$Q1221,$N$2:$N$6)-SUMPRODUCT($Q1223:$Q1227,$N$8:$N$12)</f>
        <v>#NUM!</v>
      </c>
      <c r="BB1218" s="34"/>
      <c r="BC1218" s="34"/>
      <c r="BD1218" s="34"/>
      <c r="BE1218" s="34" t="e">
        <f t="shared" ref="BE1218" si="5234">$Q1223</f>
        <v>#NUM!</v>
      </c>
      <c r="BF1218" s="34">
        <v>-1</v>
      </c>
      <c r="BG1218" s="34" t="e">
        <f t="shared" ref="BG1218" si="5235">-SUMPRODUCT($Q1217:$Q1222,$N$2:$N$7)-SUMPRODUCT($Q1224:$Q1227,$N$9:$N$12)</f>
        <v>#NUM!</v>
      </c>
      <c r="BH1218" s="34"/>
      <c r="BI1218" s="34"/>
      <c r="BJ1218" s="34"/>
      <c r="BK1218" s="34" t="e">
        <f t="shared" ref="BK1218" si="5236">$Q1224</f>
        <v>#NUM!</v>
      </c>
      <c r="BL1218" s="34">
        <v>-1</v>
      </c>
      <c r="BM1218" s="34" t="e">
        <f t="shared" ref="BM1218" si="5237">-SUMPRODUCT($Q1217:$Q1223,$N$2:$N$8)-SUMPRODUCT($Q1225:$Q1227,$N$10:$N$12)</f>
        <v>#NUM!</v>
      </c>
      <c r="BN1218" s="34"/>
      <c r="BO1218" s="34"/>
      <c r="BP1218" s="34"/>
      <c r="BQ1218" s="34" t="e">
        <f t="shared" ref="BQ1218" si="5238">$Q1225</f>
        <v>#NUM!</v>
      </c>
      <c r="BR1218" s="34">
        <v>-1</v>
      </c>
      <c r="BS1218" s="34" t="e">
        <f t="shared" ref="BS1218" si="5239">-SUMPRODUCT($Q1217:$Q1224,$N$2:$N$9)-SUMPRODUCT($Q1226:$Q1227,$N$11:$N$12)</f>
        <v>#NUM!</v>
      </c>
      <c r="BT1218" s="34"/>
      <c r="BU1218" s="34"/>
      <c r="BV1218" s="34"/>
      <c r="BW1218" s="34" t="e">
        <f t="shared" ref="BW1218" si="5240">$Q1226</f>
        <v>#NUM!</v>
      </c>
      <c r="BX1218" s="34">
        <v>-1</v>
      </c>
      <c r="BY1218" s="34" t="e">
        <f t="shared" ref="BY1218" si="5241">-SUMPRODUCT($Q1217:$Q1225,$N$2:$N$10)-SUMPRODUCT($Q1227,$N$12)</f>
        <v>#NUM!</v>
      </c>
      <c r="BZ1218" s="34"/>
      <c r="CA1218" s="34"/>
      <c r="CB1218" s="34"/>
      <c r="CC1218" s="34" t="e">
        <f t="shared" ref="CC1218" si="5242">$Q1227</f>
        <v>#NUM!</v>
      </c>
      <c r="CD1218" s="34">
        <v>-1</v>
      </c>
      <c r="CE1218" s="34" t="e">
        <f t="shared" ref="CE1218" si="5243">-SUMPRODUCT($Q1217:$Q1226,$N$2:$N$11)</f>
        <v>#NUM!</v>
      </c>
      <c r="CF1218" s="34"/>
      <c r="CG1218" s="34"/>
      <c r="CH1218" s="34"/>
      <c r="CI1218" s="8"/>
    </row>
    <row r="1219" spans="1:87" x14ac:dyDescent="0.2">
      <c r="A1219" s="8" t="str">
        <f>IF(AND(COUNTIF(W$3:W$13,A$17)&gt;0,A$17&lt;&gt;B1054),A$17,IFERROR(IF(MATCH(A$17,Z$3:Z$13,0)=8,A$17," ")," "))</f>
        <v>C3</v>
      </c>
      <c r="B1219" s="8">
        <f>IF(A1219=" "," ",MAX(B1217:B1218)+1)</f>
        <v>1</v>
      </c>
      <c r="C1219" s="8" t="str">
        <f>IFERROR(INDEX(A1217:A1238,MATCH(SMALL(B1217:B1238,3),B1217:B1238,0),1)," ")</f>
        <v>C10</v>
      </c>
      <c r="D1219" s="8">
        <f t="shared" si="5209"/>
        <v>0</v>
      </c>
      <c r="E1219" s="8">
        <f t="shared" si="5210"/>
        <v>0</v>
      </c>
      <c r="F1219" s="8">
        <f t="shared" si="5211"/>
        <v>0</v>
      </c>
      <c r="G1219" s="8">
        <f t="shared" si="5212"/>
        <v>0</v>
      </c>
      <c r="H1219" s="8">
        <f t="shared" si="5213"/>
        <v>0</v>
      </c>
      <c r="I1219" s="8">
        <f t="shared" si="5214"/>
        <v>0</v>
      </c>
      <c r="J1219" s="8">
        <f t="shared" si="5215"/>
        <v>0</v>
      </c>
      <c r="K1219" s="8">
        <f t="shared" si="5216"/>
        <v>0</v>
      </c>
      <c r="L1219" s="8">
        <f t="shared" si="5217"/>
        <v>0</v>
      </c>
      <c r="M1219" s="8">
        <f t="shared" si="5218"/>
        <v>0</v>
      </c>
      <c r="N1219" s="8">
        <f t="shared" si="5219"/>
        <v>0</v>
      </c>
      <c r="O1219" s="8">
        <f t="shared" si="5220"/>
        <v>0</v>
      </c>
      <c r="P1219" s="8" t="e">
        <v>#NUM!</v>
      </c>
      <c r="Q1219" s="8" t="e">
        <f t="shared" ref="Q1219" si="5244">IF(COUNTIF(P1217:P1227,"&lt;"&amp;-0.001)=0,IF(ABS(P1219)&lt;0.001,0,P1219)," ")</f>
        <v>#NUM!</v>
      </c>
      <c r="R1219" s="8"/>
      <c r="S1219" s="8"/>
      <c r="U1219" s="34"/>
      <c r="V1219" s="34"/>
      <c r="W1219" s="34"/>
      <c r="X1219" s="34"/>
      <c r="Y1219" s="34"/>
      <c r="Z1219" s="34"/>
      <c r="AA1219" s="34"/>
      <c r="AB1219" s="34"/>
      <c r="AC1219" s="34"/>
      <c r="AD1219" s="34"/>
      <c r="AE1219" s="34"/>
      <c r="AF1219" s="34"/>
      <c r="AG1219" s="34"/>
      <c r="AH1219" s="34"/>
      <c r="AI1219" s="34"/>
      <c r="AJ1219" s="34"/>
      <c r="AK1219" s="34"/>
      <c r="AL1219" s="34"/>
      <c r="AM1219" s="34"/>
      <c r="AN1219" s="34"/>
      <c r="AO1219" s="34"/>
      <c r="AP1219" s="34"/>
      <c r="AQ1219" s="34"/>
      <c r="AR1219" s="34"/>
      <c r="AS1219" s="34"/>
      <c r="AT1219" s="34"/>
      <c r="AU1219" s="34"/>
      <c r="AV1219" s="34"/>
      <c r="AW1219" s="34"/>
      <c r="AX1219" s="34"/>
      <c r="AY1219" s="34"/>
      <c r="AZ1219" s="34"/>
      <c r="BA1219" s="34"/>
      <c r="BB1219" s="34"/>
      <c r="BC1219" s="34"/>
      <c r="BD1219" s="34"/>
      <c r="BE1219" s="34"/>
      <c r="BF1219" s="34"/>
      <c r="BG1219" s="34"/>
      <c r="BH1219" s="34"/>
      <c r="BI1219" s="34"/>
      <c r="BJ1219" s="34"/>
      <c r="BK1219" s="34"/>
      <c r="BL1219" s="34"/>
      <c r="BM1219" s="34"/>
      <c r="BN1219" s="34"/>
      <c r="BO1219" s="34"/>
      <c r="BP1219" s="34"/>
      <c r="BQ1219" s="34"/>
      <c r="BR1219" s="34"/>
      <c r="BS1219" s="34"/>
      <c r="BT1219" s="34"/>
      <c r="BU1219" s="34"/>
      <c r="BV1219" s="34"/>
      <c r="BW1219" s="34"/>
      <c r="BX1219" s="34"/>
      <c r="BY1219" s="34"/>
      <c r="BZ1219" s="34"/>
      <c r="CA1219" s="34"/>
      <c r="CB1219" s="34"/>
      <c r="CC1219" s="34"/>
      <c r="CD1219" s="34"/>
      <c r="CE1219" s="34"/>
      <c r="CF1219" s="34"/>
      <c r="CG1219" s="34"/>
      <c r="CH1219" s="34"/>
      <c r="CI1219" s="8"/>
    </row>
    <row r="1220" spans="1:87" x14ac:dyDescent="0.2">
      <c r="A1220" s="8" t="str">
        <f>IF(AND(COUNTIF(W$3:W$13,A$18)&gt;0,A$18&lt;&gt;B1054),A$18,IFERROR(IF(MATCH(A$18,Z$3:Z$13,0)=8,A$18," ")," "))</f>
        <v>C4</v>
      </c>
      <c r="B1220" s="8">
        <f>IF(A1220=" "," ",MAX(B1217:B1219)+1)</f>
        <v>2</v>
      </c>
      <c r="C1220" s="8" t="str">
        <f>IFERROR(INDEX(A1217:A1238,MATCH(SMALL(B1217:B1238,4),B1217:B1238,0),1)," ")</f>
        <v>C13</v>
      </c>
      <c r="D1220" s="8">
        <f t="shared" si="5209"/>
        <v>0</v>
      </c>
      <c r="E1220" s="8">
        <f t="shared" si="5210"/>
        <v>1</v>
      </c>
      <c r="F1220" s="8">
        <f t="shared" si="5211"/>
        <v>0</v>
      </c>
      <c r="G1220" s="8">
        <f t="shared" si="5212"/>
        <v>0</v>
      </c>
      <c r="H1220" s="8">
        <f t="shared" si="5213"/>
        <v>0</v>
      </c>
      <c r="I1220" s="8">
        <f t="shared" si="5214"/>
        <v>0</v>
      </c>
      <c r="J1220" s="8">
        <f t="shared" si="5215"/>
        <v>0</v>
      </c>
      <c r="K1220" s="8">
        <f t="shared" si="5216"/>
        <v>0</v>
      </c>
      <c r="L1220" s="8">
        <f t="shared" si="5217"/>
        <v>0</v>
      </c>
      <c r="M1220" s="8">
        <f t="shared" si="5218"/>
        <v>0</v>
      </c>
      <c r="N1220" s="8">
        <f t="shared" si="5219"/>
        <v>0</v>
      </c>
      <c r="O1220" s="8">
        <f t="shared" si="5220"/>
        <v>0</v>
      </c>
      <c r="P1220" s="8" t="e">
        <v>#NUM!</v>
      </c>
      <c r="Q1220" s="8" t="e">
        <f t="shared" ref="Q1220" si="5245">IF(COUNTIF(P1217:P1227,"&lt;"&amp;-0.001)=0,IF(ABS(P1220)&lt;0.001,0,P1220)," ")</f>
        <v>#NUM!</v>
      </c>
      <c r="R1220" s="8"/>
      <c r="S1220" s="8"/>
      <c r="U1220" s="34"/>
      <c r="V1220" s="34"/>
      <c r="W1220" s="34"/>
      <c r="X1220" s="34"/>
      <c r="Y1220" s="34"/>
      <c r="Z1220" s="34"/>
      <c r="AA1220" s="34"/>
      <c r="AB1220" s="34"/>
      <c r="AC1220" s="34"/>
      <c r="AD1220" s="34"/>
      <c r="AE1220" s="34"/>
      <c r="AF1220" s="34"/>
      <c r="AG1220" s="34"/>
      <c r="AH1220" s="34"/>
      <c r="AI1220" s="34"/>
      <c r="AJ1220" s="34"/>
      <c r="AK1220" s="34"/>
      <c r="AL1220" s="34"/>
      <c r="AM1220" s="34"/>
      <c r="AN1220" s="34"/>
      <c r="AO1220" s="34"/>
      <c r="AP1220" s="34"/>
      <c r="AQ1220" s="34"/>
      <c r="AR1220" s="34"/>
      <c r="AS1220" s="34"/>
      <c r="AT1220" s="34"/>
      <c r="AU1220" s="34"/>
      <c r="AV1220" s="34"/>
      <c r="AW1220" s="34"/>
      <c r="AX1220" s="34"/>
      <c r="AY1220" s="34"/>
      <c r="AZ1220" s="34"/>
      <c r="BA1220" s="34"/>
      <c r="BB1220" s="34"/>
      <c r="BC1220" s="34"/>
      <c r="BD1220" s="34"/>
      <c r="BE1220" s="34"/>
      <c r="BF1220" s="34"/>
      <c r="BG1220" s="34"/>
      <c r="BH1220" s="34"/>
      <c r="BI1220" s="34"/>
      <c r="BJ1220" s="34"/>
      <c r="BK1220" s="34"/>
      <c r="BL1220" s="34"/>
      <c r="BM1220" s="34"/>
      <c r="BN1220" s="34"/>
      <c r="BO1220" s="34"/>
      <c r="BP1220" s="34"/>
      <c r="BQ1220" s="34"/>
      <c r="BR1220" s="34"/>
      <c r="BS1220" s="34"/>
      <c r="BT1220" s="34"/>
      <c r="BU1220" s="34"/>
      <c r="BV1220" s="34"/>
      <c r="BW1220" s="34"/>
      <c r="BX1220" s="34"/>
      <c r="BY1220" s="34"/>
      <c r="BZ1220" s="34"/>
      <c r="CA1220" s="34"/>
      <c r="CB1220" s="34"/>
      <c r="CC1220" s="34"/>
      <c r="CD1220" s="34"/>
      <c r="CE1220" s="34"/>
      <c r="CF1220" s="34"/>
      <c r="CG1220" s="34"/>
      <c r="CH1220" s="34"/>
      <c r="CI1220" s="8"/>
    </row>
    <row r="1221" spans="1:87" x14ac:dyDescent="0.2">
      <c r="A1221" s="8" t="str">
        <f>IF(AND(COUNTIF(W$3:W$13,A$19)&gt;0,A$19&lt;&gt;B1054),A$19,IFERROR(IF(MATCH(A$19,Z$3:Z$13,0)=8,A$19," ")," "))</f>
        <v xml:space="preserve"> </v>
      </c>
      <c r="B1221" s="8" t="str">
        <f>IF(A1221=" "," ",MAX(B1217:B1220)+1)</f>
        <v xml:space="preserve"> </v>
      </c>
      <c r="C1221" s="8" t="str">
        <f>IFERROR(INDEX(A1217:A1238,MATCH(SMALL(B1217:B1238,5),B1217:B1238,0),1)," ")</f>
        <v>C15</v>
      </c>
      <c r="D1221" s="8">
        <f t="shared" si="5209"/>
        <v>0</v>
      </c>
      <c r="E1221" s="8">
        <f t="shared" si="5210"/>
        <v>0</v>
      </c>
      <c r="F1221" s="8">
        <f t="shared" si="5211"/>
        <v>0</v>
      </c>
      <c r="G1221" s="8">
        <f t="shared" si="5212"/>
        <v>1</v>
      </c>
      <c r="H1221" s="8">
        <f t="shared" si="5213"/>
        <v>0</v>
      </c>
      <c r="I1221" s="8">
        <f t="shared" si="5214"/>
        <v>0</v>
      </c>
      <c r="J1221" s="8">
        <f t="shared" si="5215"/>
        <v>0</v>
      </c>
      <c r="K1221" s="8">
        <f t="shared" si="5216"/>
        <v>0</v>
      </c>
      <c r="L1221" s="8">
        <f t="shared" si="5217"/>
        <v>0</v>
      </c>
      <c r="M1221" s="8">
        <f t="shared" si="5218"/>
        <v>0</v>
      </c>
      <c r="N1221" s="8">
        <f t="shared" si="5219"/>
        <v>0</v>
      </c>
      <c r="O1221" s="8">
        <f t="shared" si="5220"/>
        <v>0</v>
      </c>
      <c r="P1221" s="8" t="e">
        <v>#NUM!</v>
      </c>
      <c r="Q1221" s="8" t="e">
        <f t="shared" ref="Q1221" si="5246">IF(COUNTIF(P1217:P1227,"&lt;"&amp;-0.001)=0,IF(ABS(P1221)&lt;0.001,0,P1221)," ")</f>
        <v>#NUM!</v>
      </c>
      <c r="R1221" s="8"/>
      <c r="S1221" s="8"/>
      <c r="U1221" s="34"/>
      <c r="V1221" s="34"/>
      <c r="W1221" s="34"/>
      <c r="X1221" s="34"/>
      <c r="Y1221" s="34"/>
      <c r="Z1221" s="34"/>
      <c r="AA1221" s="34"/>
      <c r="AB1221" s="34"/>
      <c r="AC1221" s="34"/>
      <c r="AD1221" s="34"/>
      <c r="AE1221" s="34"/>
      <c r="AF1221" s="34"/>
      <c r="AG1221" s="34"/>
      <c r="AH1221" s="34"/>
      <c r="AI1221" s="34"/>
      <c r="AJ1221" s="34"/>
      <c r="AK1221" s="34"/>
      <c r="AL1221" s="34"/>
      <c r="AM1221" s="34"/>
      <c r="AN1221" s="34"/>
      <c r="AO1221" s="34"/>
      <c r="AP1221" s="34"/>
      <c r="AQ1221" s="34"/>
      <c r="AR1221" s="34"/>
      <c r="AS1221" s="34"/>
      <c r="AT1221" s="34"/>
      <c r="AU1221" s="34"/>
      <c r="AV1221" s="34"/>
      <c r="AW1221" s="34"/>
      <c r="AX1221" s="34"/>
      <c r="AY1221" s="34"/>
      <c r="AZ1221" s="34"/>
      <c r="BA1221" s="34"/>
      <c r="BB1221" s="34"/>
      <c r="BC1221" s="34"/>
      <c r="BD1221" s="34"/>
      <c r="BE1221" s="34"/>
      <c r="BF1221" s="34"/>
      <c r="BG1221" s="34"/>
      <c r="BH1221" s="34"/>
      <c r="BI1221" s="34"/>
      <c r="BJ1221" s="34"/>
      <c r="BK1221" s="34"/>
      <c r="BL1221" s="34"/>
      <c r="BM1221" s="34"/>
      <c r="BN1221" s="34"/>
      <c r="BO1221" s="34"/>
      <c r="BP1221" s="34"/>
      <c r="BQ1221" s="34"/>
      <c r="BR1221" s="34"/>
      <c r="BS1221" s="34"/>
      <c r="BT1221" s="34"/>
      <c r="BU1221" s="34"/>
      <c r="BV1221" s="34"/>
      <c r="BW1221" s="34"/>
      <c r="BX1221" s="34"/>
      <c r="BY1221" s="34"/>
      <c r="BZ1221" s="34"/>
      <c r="CA1221" s="34"/>
      <c r="CB1221" s="34"/>
      <c r="CC1221" s="34"/>
      <c r="CD1221" s="34"/>
      <c r="CE1221" s="34"/>
      <c r="CF1221" s="34"/>
      <c r="CG1221" s="34"/>
      <c r="CH1221" s="34"/>
      <c r="CI1221" s="8"/>
    </row>
    <row r="1222" spans="1:87" x14ac:dyDescent="0.2">
      <c r="A1222" s="8" t="str">
        <f>IF(AND(COUNTIF(W$3:W$13,A$20)&gt;0,A$20&lt;&gt;B1054),A$20,IFERROR(IF(MATCH(A$20,Z$3:Z$13,0)=8,A$20," ")," "))</f>
        <v xml:space="preserve"> </v>
      </c>
      <c r="B1222" s="8" t="str">
        <f>IF(A1222=" "," ",MAX(B1217:B1221)+1)</f>
        <v xml:space="preserve"> </v>
      </c>
      <c r="C1222" s="8" t="str">
        <f>IFERROR(INDEX(A1217:A1238,MATCH(SMALL(B1217:B1238,6),B1217:B1238,0),1)," ")</f>
        <v>C17</v>
      </c>
      <c r="D1222" s="8">
        <f t="shared" si="5209"/>
        <v>0</v>
      </c>
      <c r="E1222" s="8">
        <f t="shared" si="5210"/>
        <v>0</v>
      </c>
      <c r="F1222" s="8">
        <f t="shared" si="5211"/>
        <v>0</v>
      </c>
      <c r="G1222" s="8">
        <f t="shared" si="5212"/>
        <v>0</v>
      </c>
      <c r="H1222" s="8">
        <f t="shared" si="5213"/>
        <v>0</v>
      </c>
      <c r="I1222" s="8">
        <f t="shared" si="5214"/>
        <v>1</v>
      </c>
      <c r="J1222" s="8">
        <f t="shared" si="5215"/>
        <v>0</v>
      </c>
      <c r="K1222" s="8">
        <f t="shared" si="5216"/>
        <v>0</v>
      </c>
      <c r="L1222" s="8">
        <f t="shared" si="5217"/>
        <v>0</v>
      </c>
      <c r="M1222" s="8">
        <f t="shared" si="5218"/>
        <v>0</v>
      </c>
      <c r="N1222" s="8">
        <f t="shared" si="5219"/>
        <v>0</v>
      </c>
      <c r="O1222" s="8">
        <f t="shared" si="5220"/>
        <v>0</v>
      </c>
      <c r="P1222" s="8" t="e">
        <v>#NUM!</v>
      </c>
      <c r="Q1222" s="8" t="e">
        <f t="shared" ref="Q1222" si="5247">IF(COUNTIF(P1217:P1227,"&lt;"&amp;-0.001)=0,IF(ABS(P1222)&lt;0.001,0,P1222)," ")</f>
        <v>#NUM!</v>
      </c>
      <c r="R1222" s="8"/>
      <c r="S1222" s="8"/>
      <c r="U1222" s="34"/>
      <c r="V1222" s="34"/>
      <c r="W1222" s="34"/>
      <c r="X1222" s="34"/>
      <c r="Y1222" s="34"/>
      <c r="Z1222" s="34"/>
      <c r="AA1222" s="34"/>
      <c r="AB1222" s="34"/>
      <c r="AC1222" s="34"/>
      <c r="AD1222" s="34"/>
      <c r="AE1222" s="34"/>
      <c r="AF1222" s="34"/>
      <c r="AG1222" s="34"/>
      <c r="AH1222" s="34"/>
      <c r="AI1222" s="34"/>
      <c r="AJ1222" s="34"/>
      <c r="AK1222" s="34"/>
      <c r="AL1222" s="34"/>
      <c r="AM1222" s="34"/>
      <c r="AN1222" s="34"/>
      <c r="AO1222" s="34"/>
      <c r="AP1222" s="34"/>
      <c r="AQ1222" s="34"/>
      <c r="AR1222" s="34"/>
      <c r="AS1222" s="34"/>
      <c r="AT1222" s="34"/>
      <c r="AU1222" s="34"/>
      <c r="AV1222" s="34"/>
      <c r="AW1222" s="34"/>
      <c r="AX1222" s="34"/>
      <c r="AY1222" s="34"/>
      <c r="AZ1222" s="34"/>
      <c r="BA1222" s="34"/>
      <c r="BB1222" s="34"/>
      <c r="BC1222" s="34"/>
      <c r="BD1222" s="34"/>
      <c r="BE1222" s="34"/>
      <c r="BF1222" s="34"/>
      <c r="BG1222" s="34"/>
      <c r="BH1222" s="34"/>
      <c r="BI1222" s="34"/>
      <c r="BJ1222" s="34"/>
      <c r="BK1222" s="34"/>
      <c r="BL1222" s="34"/>
      <c r="BM1222" s="34"/>
      <c r="BN1222" s="34"/>
      <c r="BO1222" s="34"/>
      <c r="BP1222" s="34"/>
      <c r="BQ1222" s="34"/>
      <c r="BR1222" s="34"/>
      <c r="BS1222" s="34"/>
      <c r="BT1222" s="34"/>
      <c r="BU1222" s="34"/>
      <c r="BV1222" s="34"/>
      <c r="BW1222" s="34"/>
      <c r="BX1222" s="34"/>
      <c r="BY1222" s="34"/>
      <c r="BZ1222" s="34"/>
      <c r="CA1222" s="34"/>
      <c r="CB1222" s="34"/>
      <c r="CC1222" s="34"/>
      <c r="CD1222" s="34"/>
      <c r="CE1222" s="34"/>
      <c r="CF1222" s="34"/>
      <c r="CG1222" s="34"/>
      <c r="CH1222" s="34"/>
      <c r="CI1222" s="8"/>
    </row>
    <row r="1223" spans="1:87" x14ac:dyDescent="0.2">
      <c r="A1223" s="8" t="str">
        <f>IF(AND(COUNTIF(W$3:W$13,A$21)&gt;0,A$21&lt;&gt;B1054),A$21,IFERROR(IF(MATCH(A$21,Z$3:Z$13,0)=8,A$21," ")," "))</f>
        <v xml:space="preserve"> </v>
      </c>
      <c r="B1223" s="8" t="str">
        <f>IF(A1223=" "," ",MAX(B1217:B1222)+1)</f>
        <v xml:space="preserve"> </v>
      </c>
      <c r="C1223" s="8" t="str">
        <f>IFERROR(INDEX(A1217:A1238,MATCH(SMALL(B1217:B1238,7),B1217:B1238,0),1)," ")</f>
        <v>C18</v>
      </c>
      <c r="D1223" s="8">
        <f t="shared" si="5209"/>
        <v>0</v>
      </c>
      <c r="E1223" s="8">
        <f t="shared" si="5210"/>
        <v>0</v>
      </c>
      <c r="F1223" s="8">
        <f t="shared" si="5211"/>
        <v>0</v>
      </c>
      <c r="G1223" s="8">
        <f t="shared" si="5212"/>
        <v>0</v>
      </c>
      <c r="H1223" s="8">
        <f t="shared" si="5213"/>
        <v>0</v>
      </c>
      <c r="I1223" s="8">
        <f t="shared" si="5214"/>
        <v>0</v>
      </c>
      <c r="J1223" s="8">
        <f t="shared" si="5215"/>
        <v>1</v>
      </c>
      <c r="K1223" s="8">
        <f t="shared" si="5216"/>
        <v>0</v>
      </c>
      <c r="L1223" s="8">
        <f t="shared" si="5217"/>
        <v>0</v>
      </c>
      <c r="M1223" s="8">
        <f t="shared" si="5218"/>
        <v>0</v>
      </c>
      <c r="N1223" s="8">
        <f t="shared" si="5219"/>
        <v>0</v>
      </c>
      <c r="O1223" s="8">
        <f t="shared" si="5220"/>
        <v>0</v>
      </c>
      <c r="P1223" s="8" t="e">
        <v>#NUM!</v>
      </c>
      <c r="Q1223" s="8" t="e">
        <f t="shared" ref="Q1223" si="5248">IF(COUNTIF(P1217:P1227,"&lt;"&amp;-0.001)=0,IF(ABS(P1223)&lt;0.001,0,P1223)," ")</f>
        <v>#NUM!</v>
      </c>
      <c r="R1223" s="8"/>
      <c r="S1223" s="8"/>
      <c r="U1223" s="34"/>
      <c r="V1223" s="34"/>
      <c r="W1223" s="34"/>
      <c r="X1223" s="34"/>
      <c r="Y1223" s="34"/>
      <c r="Z1223" s="34"/>
      <c r="AA1223" s="34"/>
      <c r="AB1223" s="34"/>
      <c r="AC1223" s="34"/>
      <c r="AD1223" s="34"/>
      <c r="AE1223" s="34"/>
      <c r="AF1223" s="34"/>
      <c r="AG1223" s="34"/>
      <c r="AH1223" s="34"/>
      <c r="AI1223" s="34"/>
      <c r="AJ1223" s="34"/>
      <c r="AK1223" s="34"/>
      <c r="AL1223" s="34"/>
      <c r="AM1223" s="34"/>
      <c r="AN1223" s="34"/>
      <c r="AO1223" s="34"/>
      <c r="AP1223" s="34"/>
      <c r="AQ1223" s="34"/>
      <c r="AR1223" s="34"/>
      <c r="AS1223" s="34"/>
      <c r="AT1223" s="34"/>
      <c r="AU1223" s="34"/>
      <c r="AV1223" s="34"/>
      <c r="AW1223" s="34"/>
      <c r="AX1223" s="34"/>
      <c r="AY1223" s="34"/>
      <c r="AZ1223" s="34"/>
      <c r="BA1223" s="34"/>
      <c r="BB1223" s="34"/>
      <c r="BC1223" s="34"/>
      <c r="BD1223" s="34"/>
      <c r="BE1223" s="34"/>
      <c r="BF1223" s="34"/>
      <c r="BG1223" s="34"/>
      <c r="BH1223" s="34"/>
      <c r="BI1223" s="34"/>
      <c r="BJ1223" s="34"/>
      <c r="BK1223" s="34"/>
      <c r="BL1223" s="34"/>
      <c r="BM1223" s="34"/>
      <c r="BN1223" s="34"/>
      <c r="BO1223" s="34"/>
      <c r="BP1223" s="34"/>
      <c r="BQ1223" s="34"/>
      <c r="BR1223" s="34"/>
      <c r="BS1223" s="34"/>
      <c r="BT1223" s="34"/>
      <c r="BU1223" s="34"/>
      <c r="BV1223" s="34"/>
      <c r="BW1223" s="34"/>
      <c r="BX1223" s="34"/>
      <c r="BY1223" s="34"/>
      <c r="BZ1223" s="34"/>
      <c r="CA1223" s="34"/>
      <c r="CB1223" s="34"/>
      <c r="CC1223" s="34"/>
      <c r="CD1223" s="34"/>
      <c r="CE1223" s="34"/>
      <c r="CF1223" s="34"/>
      <c r="CG1223" s="34"/>
      <c r="CH1223" s="34"/>
      <c r="CI1223" s="8"/>
    </row>
    <row r="1224" spans="1:87" x14ac:dyDescent="0.2">
      <c r="A1224" s="8" t="str">
        <f>IF(AND(COUNTIF(W$3:W$13,A$22)&gt;0,A$22&lt;&gt;B1054),A$22,IFERROR(IF(MATCH(A$22,Z$3:Z$13,0)=8,A$22," ")," "))</f>
        <v xml:space="preserve"> </v>
      </c>
      <c r="B1224" s="8" t="str">
        <f>IF(A1224=" "," ",MAX(B1217:B1223)+1)</f>
        <v xml:space="preserve"> </v>
      </c>
      <c r="C1224" s="8" t="str">
        <f>IFERROR(INDEX(A1217:A1238,MATCH(SMALL(B1217:B1238,8),B1217:B1238,0),1)," ")</f>
        <v>C19</v>
      </c>
      <c r="D1224" s="8">
        <f t="shared" si="5209"/>
        <v>0</v>
      </c>
      <c r="E1224" s="8">
        <f t="shared" si="5210"/>
        <v>0</v>
      </c>
      <c r="F1224" s="8">
        <f t="shared" si="5211"/>
        <v>0</v>
      </c>
      <c r="G1224" s="8">
        <f t="shared" si="5212"/>
        <v>0</v>
      </c>
      <c r="H1224" s="8">
        <f t="shared" si="5213"/>
        <v>0</v>
      </c>
      <c r="I1224" s="8">
        <f t="shared" si="5214"/>
        <v>0</v>
      </c>
      <c r="J1224" s="8">
        <f t="shared" si="5215"/>
        <v>0</v>
      </c>
      <c r="K1224" s="8">
        <f t="shared" si="5216"/>
        <v>1</v>
      </c>
      <c r="L1224" s="8">
        <f t="shared" si="5217"/>
        <v>0</v>
      </c>
      <c r="M1224" s="8">
        <f t="shared" si="5218"/>
        <v>0</v>
      </c>
      <c r="N1224" s="8">
        <f t="shared" si="5219"/>
        <v>0</v>
      </c>
      <c r="O1224" s="8">
        <f t="shared" si="5220"/>
        <v>0</v>
      </c>
      <c r="P1224" s="8" t="e">
        <v>#NUM!</v>
      </c>
      <c r="Q1224" s="8" t="e">
        <f t="shared" ref="Q1224" si="5249">IF(COUNTIF(P1217:P1227,"&lt;"&amp;-0.001)=0,IF(ABS(P1224)&lt;0.001,0,P1224)," ")</f>
        <v>#NUM!</v>
      </c>
      <c r="R1224" s="8"/>
      <c r="S1224" s="8"/>
      <c r="U1224" s="34"/>
      <c r="V1224" s="34"/>
      <c r="W1224" s="34"/>
      <c r="X1224" s="34"/>
      <c r="Y1224" s="34"/>
      <c r="Z1224" s="34"/>
      <c r="AA1224" s="34"/>
      <c r="AB1224" s="34"/>
      <c r="AC1224" s="34"/>
      <c r="AD1224" s="34"/>
      <c r="AE1224" s="34"/>
      <c r="AF1224" s="34"/>
      <c r="AG1224" s="34"/>
      <c r="AH1224" s="34"/>
      <c r="AI1224" s="34"/>
      <c r="AJ1224" s="34"/>
      <c r="AK1224" s="34"/>
      <c r="AL1224" s="34"/>
      <c r="AM1224" s="34"/>
      <c r="AN1224" s="34"/>
      <c r="AO1224" s="34"/>
      <c r="AP1224" s="34"/>
      <c r="AQ1224" s="34"/>
      <c r="AR1224" s="34"/>
      <c r="AS1224" s="34"/>
      <c r="AT1224" s="34"/>
      <c r="AU1224" s="34"/>
      <c r="AV1224" s="34"/>
      <c r="AW1224" s="34"/>
      <c r="AX1224" s="34"/>
      <c r="AY1224" s="34"/>
      <c r="AZ1224" s="34"/>
      <c r="BA1224" s="34"/>
      <c r="BB1224" s="34"/>
      <c r="BC1224" s="34"/>
      <c r="BD1224" s="34"/>
      <c r="BE1224" s="34"/>
      <c r="BF1224" s="34"/>
      <c r="BG1224" s="34"/>
      <c r="BH1224" s="34"/>
      <c r="BI1224" s="34"/>
      <c r="BJ1224" s="34"/>
      <c r="BK1224" s="34"/>
      <c r="BL1224" s="34"/>
      <c r="BM1224" s="34"/>
      <c r="BN1224" s="34"/>
      <c r="BO1224" s="34"/>
      <c r="BP1224" s="34"/>
      <c r="BQ1224" s="34"/>
      <c r="BR1224" s="34"/>
      <c r="BS1224" s="34"/>
      <c r="BT1224" s="34"/>
      <c r="BU1224" s="34"/>
      <c r="BV1224" s="34"/>
      <c r="BW1224" s="34"/>
      <c r="BX1224" s="34"/>
      <c r="BY1224" s="34"/>
      <c r="BZ1224" s="34"/>
      <c r="CA1224" s="34"/>
      <c r="CB1224" s="34"/>
      <c r="CC1224" s="34"/>
      <c r="CD1224" s="34"/>
      <c r="CE1224" s="34"/>
      <c r="CF1224" s="34"/>
      <c r="CG1224" s="34"/>
      <c r="CH1224" s="34"/>
      <c r="CI1224" s="8"/>
    </row>
    <row r="1225" spans="1:87" x14ac:dyDescent="0.2">
      <c r="A1225" s="8" t="str">
        <f>IF(AND(COUNTIF(W$3:W$13,A$23)&gt;0,A$23&lt;&gt;B1054),A$23,IFERROR(IF(MATCH(A$23,Z$3:Z$13,0)=8,A$23," ")," "))</f>
        <v xml:space="preserve"> </v>
      </c>
      <c r="B1225" s="8" t="str">
        <f>IF(A1225=" "," ",MAX(B1217:B1224)+1)</f>
        <v xml:space="preserve"> </v>
      </c>
      <c r="C1225" s="8" t="str">
        <f>IFERROR(INDEX(A1217:A1238,MATCH(SMALL(B1217:B1238,9),B1217:B1238,0),1)," ")</f>
        <v>C20</v>
      </c>
      <c r="D1225" s="8">
        <f t="shared" si="5209"/>
        <v>0</v>
      </c>
      <c r="E1225" s="8">
        <f t="shared" si="5210"/>
        <v>0</v>
      </c>
      <c r="F1225" s="8">
        <f t="shared" si="5211"/>
        <v>0</v>
      </c>
      <c r="G1225" s="8">
        <f t="shared" si="5212"/>
        <v>0</v>
      </c>
      <c r="H1225" s="8">
        <f t="shared" si="5213"/>
        <v>0</v>
      </c>
      <c r="I1225" s="8">
        <f t="shared" si="5214"/>
        <v>0</v>
      </c>
      <c r="J1225" s="8">
        <f t="shared" si="5215"/>
        <v>0</v>
      </c>
      <c r="K1225" s="8">
        <f t="shared" si="5216"/>
        <v>0</v>
      </c>
      <c r="L1225" s="8">
        <f t="shared" si="5217"/>
        <v>1</v>
      </c>
      <c r="M1225" s="8">
        <f t="shared" si="5218"/>
        <v>0</v>
      </c>
      <c r="N1225" s="8">
        <f t="shared" si="5219"/>
        <v>0</v>
      </c>
      <c r="O1225" s="8">
        <f t="shared" si="5220"/>
        <v>0</v>
      </c>
      <c r="P1225" s="6" t="e">
        <v>#NUM!</v>
      </c>
      <c r="Q1225" s="8" t="e">
        <f t="shared" ref="Q1225" si="5250">IF(COUNTIF(P1217:P1227,"&lt;"&amp;-0.001)=0,IF(ABS(P1225)&lt;0.001,0,P1225)," ")</f>
        <v>#NUM!</v>
      </c>
      <c r="R1225" s="8"/>
      <c r="S1225" s="8"/>
      <c r="U1225" s="34"/>
      <c r="V1225" s="34"/>
      <c r="W1225" s="34"/>
      <c r="X1225" s="34"/>
      <c r="Y1225" s="34"/>
      <c r="Z1225" s="34"/>
      <c r="AA1225" s="34"/>
      <c r="AB1225" s="34"/>
      <c r="AC1225" s="34"/>
      <c r="AD1225" s="34"/>
      <c r="AE1225" s="34"/>
      <c r="AF1225" s="34"/>
      <c r="AG1225" s="34"/>
      <c r="AH1225" s="34"/>
      <c r="AI1225" s="34"/>
      <c r="AJ1225" s="34"/>
      <c r="AK1225" s="34"/>
      <c r="AL1225" s="34"/>
      <c r="AM1225" s="34"/>
      <c r="AN1225" s="34"/>
      <c r="AO1225" s="34"/>
      <c r="AP1225" s="34"/>
      <c r="AQ1225" s="34"/>
      <c r="AR1225" s="34"/>
      <c r="AS1225" s="34"/>
      <c r="AT1225" s="34"/>
      <c r="AU1225" s="34"/>
      <c r="AV1225" s="34"/>
      <c r="AW1225" s="34"/>
      <c r="AX1225" s="34"/>
      <c r="AY1225" s="34"/>
      <c r="AZ1225" s="34"/>
      <c r="BA1225" s="34"/>
      <c r="BB1225" s="34"/>
      <c r="BC1225" s="34"/>
      <c r="BD1225" s="34"/>
      <c r="BE1225" s="34"/>
      <c r="BF1225" s="34"/>
      <c r="BG1225" s="34"/>
      <c r="BH1225" s="34"/>
      <c r="BI1225" s="34"/>
      <c r="BJ1225" s="34"/>
      <c r="BK1225" s="34"/>
      <c r="BL1225" s="34"/>
      <c r="BM1225" s="34"/>
      <c r="BN1225" s="34"/>
      <c r="BO1225" s="34"/>
      <c r="BP1225" s="34"/>
      <c r="BQ1225" s="34"/>
      <c r="BR1225" s="34"/>
      <c r="BS1225" s="34"/>
      <c r="BT1225" s="34"/>
      <c r="BU1225" s="34"/>
      <c r="BV1225" s="34"/>
      <c r="BW1225" s="34"/>
      <c r="BX1225" s="34"/>
      <c r="BY1225" s="34"/>
      <c r="BZ1225" s="34"/>
      <c r="CA1225" s="34"/>
      <c r="CB1225" s="34"/>
      <c r="CC1225" s="34"/>
      <c r="CD1225" s="34"/>
      <c r="CE1225" s="34"/>
      <c r="CF1225" s="34"/>
      <c r="CG1225" s="34"/>
      <c r="CH1225" s="34"/>
      <c r="CI1225" s="8"/>
    </row>
    <row r="1226" spans="1:87" x14ac:dyDescent="0.2">
      <c r="A1226" s="8" t="str">
        <f>IF(AND(COUNTIF(W$3:W$13,A$24)&gt;0,A$24&lt;&gt;B1054),A$24,IFERROR(IF(MATCH(A$24,Z$3:Z$13,0)=8,A$24," ")," "))</f>
        <v>C10</v>
      </c>
      <c r="B1226" s="8">
        <f>IF(A1226=" "," ",MAX(B1217:B1225)+1)</f>
        <v>3</v>
      </c>
      <c r="C1226" s="8" t="str">
        <f>IFERROR(INDEX(A1217:A1238,MATCH(SMALL(B1217:B1238,10),B1217:B1238,0),1)," ")</f>
        <v>C21</v>
      </c>
      <c r="D1226" s="8">
        <f t="shared" si="5209"/>
        <v>0</v>
      </c>
      <c r="E1226" s="8">
        <f t="shared" si="5210"/>
        <v>0</v>
      </c>
      <c r="F1226" s="8">
        <f t="shared" si="5211"/>
        <v>0</v>
      </c>
      <c r="G1226" s="8">
        <f t="shared" si="5212"/>
        <v>0</v>
      </c>
      <c r="H1226" s="8">
        <f t="shared" si="5213"/>
        <v>0</v>
      </c>
      <c r="I1226" s="8">
        <f t="shared" si="5214"/>
        <v>0</v>
      </c>
      <c r="J1226" s="8">
        <f t="shared" si="5215"/>
        <v>0</v>
      </c>
      <c r="K1226" s="8">
        <f t="shared" si="5216"/>
        <v>0</v>
      </c>
      <c r="L1226" s="8">
        <f t="shared" si="5217"/>
        <v>0</v>
      </c>
      <c r="M1226" s="8">
        <f t="shared" si="5218"/>
        <v>1</v>
      </c>
      <c r="N1226" s="8">
        <f t="shared" si="5219"/>
        <v>0</v>
      </c>
      <c r="O1226" s="8">
        <f t="shared" si="5220"/>
        <v>0</v>
      </c>
      <c r="P1226" s="8" t="e">
        <v>#NUM!</v>
      </c>
      <c r="Q1226" s="8" t="e">
        <f t="shared" ref="Q1226" si="5251">IF(COUNTIF(P1217:P1227,"&lt;"&amp;-0.001)=0,IF(ABS(P1226)&lt;0.001,0,P1226)," ")</f>
        <v>#NUM!</v>
      </c>
      <c r="R1226" s="8"/>
      <c r="S1226" s="8"/>
      <c r="U1226" s="34"/>
      <c r="V1226" s="34"/>
      <c r="W1226" s="34"/>
      <c r="X1226" s="34"/>
      <c r="Y1226" s="34"/>
      <c r="Z1226" s="34"/>
      <c r="AA1226" s="34"/>
      <c r="AB1226" s="34"/>
      <c r="AC1226" s="34"/>
      <c r="AD1226" s="34"/>
      <c r="AE1226" s="34"/>
      <c r="AF1226" s="34"/>
      <c r="AG1226" s="34"/>
      <c r="AH1226" s="34"/>
      <c r="AI1226" s="34"/>
      <c r="AJ1226" s="34"/>
      <c r="AK1226" s="34"/>
      <c r="AL1226" s="34"/>
      <c r="AM1226" s="34"/>
      <c r="AN1226" s="34"/>
      <c r="AO1226" s="34"/>
      <c r="AP1226" s="34"/>
      <c r="AQ1226" s="34"/>
      <c r="AR1226" s="34"/>
      <c r="AS1226" s="34"/>
      <c r="AT1226" s="34"/>
      <c r="AU1226" s="34"/>
      <c r="AV1226" s="34"/>
      <c r="AW1226" s="34"/>
      <c r="AX1226" s="34"/>
      <c r="AY1226" s="34"/>
      <c r="AZ1226" s="34"/>
      <c r="BA1226" s="34"/>
      <c r="BB1226" s="34"/>
      <c r="BC1226" s="34"/>
      <c r="BD1226" s="34"/>
      <c r="BE1226" s="34"/>
      <c r="BF1226" s="34"/>
      <c r="BG1226" s="34"/>
      <c r="BH1226" s="34"/>
      <c r="BI1226" s="34"/>
      <c r="BJ1226" s="34"/>
      <c r="BK1226" s="34"/>
      <c r="BL1226" s="34"/>
      <c r="BM1226" s="34"/>
      <c r="BN1226" s="34"/>
      <c r="BO1226" s="34"/>
      <c r="BP1226" s="34"/>
      <c r="BQ1226" s="34"/>
      <c r="BR1226" s="34"/>
      <c r="BS1226" s="34"/>
      <c r="BT1226" s="34"/>
      <c r="BU1226" s="34"/>
      <c r="BV1226" s="34"/>
      <c r="BW1226" s="34"/>
      <c r="BX1226" s="34"/>
      <c r="BY1226" s="34"/>
      <c r="BZ1226" s="34"/>
      <c r="CA1226" s="34"/>
      <c r="CB1226" s="34"/>
      <c r="CC1226" s="34"/>
      <c r="CD1226" s="34"/>
      <c r="CE1226" s="34"/>
      <c r="CF1226" s="34"/>
      <c r="CG1226" s="34"/>
      <c r="CH1226" s="34"/>
      <c r="CI1226" s="8"/>
    </row>
    <row r="1227" spans="1:87" x14ac:dyDescent="0.2">
      <c r="A1227" s="8" t="str">
        <f>IF(AND(COUNTIF(W$3:W$13,A$25)&gt;0,A$25&lt;&gt;B1054),A$25,IFERROR(IF(MATCH(A$25,Z$3:Z$13,0)=8,A$25," ")," "))</f>
        <v xml:space="preserve"> </v>
      </c>
      <c r="B1227" s="8" t="str">
        <f>IF(A1227=" "," ",MAX(B1217:B1226)+1)</f>
        <v xml:space="preserve"> </v>
      </c>
      <c r="C1227" s="8" t="str">
        <f>IFERROR(INDEX(A1217:A1238,MATCH(SMALL(B1217:B1238,11),B1217:B1238,0),1)," ")</f>
        <v>C22</v>
      </c>
      <c r="D1227" s="8">
        <f t="shared" si="5209"/>
        <v>0</v>
      </c>
      <c r="E1227" s="8">
        <f t="shared" si="5210"/>
        <v>0</v>
      </c>
      <c r="F1227" s="8">
        <f t="shared" si="5211"/>
        <v>0</v>
      </c>
      <c r="G1227" s="8">
        <f t="shared" si="5212"/>
        <v>0</v>
      </c>
      <c r="H1227" s="8">
        <f t="shared" si="5213"/>
        <v>0</v>
      </c>
      <c r="I1227" s="8">
        <f t="shared" si="5214"/>
        <v>0</v>
      </c>
      <c r="J1227" s="8">
        <f t="shared" si="5215"/>
        <v>0</v>
      </c>
      <c r="K1227" s="8">
        <f t="shared" si="5216"/>
        <v>0</v>
      </c>
      <c r="L1227" s="8">
        <f t="shared" si="5217"/>
        <v>0</v>
      </c>
      <c r="M1227" s="8">
        <f t="shared" si="5218"/>
        <v>0</v>
      </c>
      <c r="N1227" s="8">
        <f t="shared" si="5219"/>
        <v>1</v>
      </c>
      <c r="O1227" s="8">
        <f t="shared" si="5220"/>
        <v>0</v>
      </c>
      <c r="P1227" s="8" t="e">
        <v>#NUM!</v>
      </c>
      <c r="Q1227" s="8" t="e">
        <f t="shared" ref="Q1227" si="5252">IF(COUNTIF(P1217:P1227,"&lt;"&amp;-0.001)=0,IF(ABS(P1227)&lt;0.001,0,P1227)," ")</f>
        <v>#NUM!</v>
      </c>
      <c r="R1227" s="8"/>
      <c r="S1227" s="8"/>
      <c r="U1227" s="34"/>
      <c r="V1227" s="34"/>
      <c r="W1227" s="34"/>
      <c r="X1227" s="34"/>
      <c r="Y1227" s="34"/>
      <c r="Z1227" s="34"/>
      <c r="AA1227" s="34"/>
      <c r="AB1227" s="34"/>
      <c r="AC1227" s="34"/>
      <c r="AD1227" s="34"/>
      <c r="AE1227" s="34"/>
      <c r="AF1227" s="34"/>
      <c r="AG1227" s="34"/>
      <c r="AH1227" s="34"/>
      <c r="AI1227" s="34"/>
      <c r="AJ1227" s="34"/>
      <c r="AK1227" s="34"/>
      <c r="AL1227" s="34"/>
      <c r="AM1227" s="34"/>
      <c r="AN1227" s="34"/>
      <c r="AO1227" s="34"/>
      <c r="AP1227" s="34"/>
      <c r="AQ1227" s="34"/>
      <c r="AR1227" s="34"/>
      <c r="AS1227" s="34"/>
      <c r="AT1227" s="34"/>
      <c r="AU1227" s="34"/>
      <c r="AV1227" s="34"/>
      <c r="AW1227" s="34"/>
      <c r="AX1227" s="34"/>
      <c r="AY1227" s="34"/>
      <c r="AZ1227" s="34"/>
      <c r="BA1227" s="34"/>
      <c r="BB1227" s="34"/>
      <c r="BC1227" s="34"/>
      <c r="BD1227" s="34"/>
      <c r="BE1227" s="34"/>
      <c r="BF1227" s="34"/>
      <c r="BG1227" s="34"/>
      <c r="BH1227" s="34"/>
      <c r="BI1227" s="34"/>
      <c r="BJ1227" s="34"/>
      <c r="BK1227" s="34"/>
      <c r="BL1227" s="34"/>
      <c r="BM1227" s="34"/>
      <c r="BN1227" s="34"/>
      <c r="BO1227" s="34"/>
      <c r="BP1227" s="34"/>
      <c r="BQ1227" s="34"/>
      <c r="BR1227" s="34"/>
      <c r="BS1227" s="34"/>
      <c r="BT1227" s="34"/>
      <c r="BU1227" s="34"/>
      <c r="BV1227" s="34"/>
      <c r="BW1227" s="34"/>
      <c r="BX1227" s="34"/>
      <c r="BY1227" s="34"/>
      <c r="BZ1227" s="34"/>
      <c r="CA1227" s="34"/>
      <c r="CB1227" s="34"/>
      <c r="CC1227" s="34"/>
      <c r="CD1227" s="34"/>
      <c r="CE1227" s="34"/>
      <c r="CF1227" s="34"/>
      <c r="CG1227" s="34"/>
      <c r="CH1227" s="34"/>
      <c r="CI1227" s="8"/>
    </row>
    <row r="1228" spans="1:87" x14ac:dyDescent="0.2">
      <c r="A1228" s="8" t="str">
        <f>IF(AND(COUNTIF(W$3:W$13,A$26)&gt;0,A$26&lt;&gt;B1054),A$26,IFERROR(IF(MATCH(A$26,Z$3:Z$13,0)=8,A$26," ")," "))</f>
        <v xml:space="preserve"> </v>
      </c>
      <c r="B1228" s="8" t="str">
        <f>IF(A1228=" "," ",MAX(B1217:B1227)+1)</f>
        <v xml:space="preserve"> </v>
      </c>
      <c r="C1228" s="8"/>
      <c r="D1228" s="8"/>
      <c r="E1228" s="8"/>
      <c r="F1228" s="8"/>
      <c r="G1228" s="8"/>
      <c r="H1228" s="8"/>
      <c r="I1228" s="8"/>
      <c r="J1228" s="8"/>
      <c r="K1228" s="8"/>
      <c r="L1228" s="8"/>
      <c r="M1228" s="8"/>
      <c r="N1228" s="8"/>
      <c r="O1228" s="8"/>
      <c r="P1228" s="8"/>
      <c r="Q1228" s="8"/>
      <c r="R1228" s="8"/>
      <c r="S1228" s="8"/>
      <c r="U1228" s="34"/>
      <c r="V1228" s="34"/>
      <c r="W1228" s="34"/>
      <c r="X1228" s="34"/>
      <c r="Y1228" s="34"/>
      <c r="Z1228" s="34"/>
      <c r="AA1228" s="34"/>
      <c r="AB1228" s="34"/>
      <c r="AC1228" s="34"/>
      <c r="AD1228" s="34"/>
      <c r="AE1228" s="34"/>
      <c r="AF1228" s="34"/>
      <c r="AG1228" s="34"/>
      <c r="AH1228" s="34"/>
      <c r="AI1228" s="34"/>
      <c r="AJ1228" s="34"/>
      <c r="AK1228" s="34"/>
      <c r="AL1228" s="34"/>
      <c r="AM1228" s="34"/>
      <c r="AN1228" s="34"/>
      <c r="AO1228" s="34"/>
      <c r="AP1228" s="34"/>
      <c r="AQ1228" s="34"/>
      <c r="AR1228" s="34"/>
      <c r="AS1228" s="34"/>
      <c r="AT1228" s="34"/>
      <c r="AU1228" s="34"/>
      <c r="AV1228" s="34"/>
      <c r="AW1228" s="34"/>
      <c r="AX1228" s="34"/>
      <c r="AY1228" s="34"/>
      <c r="AZ1228" s="34"/>
      <c r="BA1228" s="34"/>
      <c r="BB1228" s="34"/>
      <c r="BC1228" s="34"/>
      <c r="BD1228" s="34"/>
      <c r="BE1228" s="34"/>
      <c r="BF1228" s="34"/>
      <c r="BG1228" s="34"/>
      <c r="BH1228" s="34"/>
      <c r="BI1228" s="34"/>
      <c r="BJ1228" s="34"/>
      <c r="BK1228" s="34"/>
      <c r="BL1228" s="34"/>
      <c r="BM1228" s="34"/>
      <c r="BN1228" s="34"/>
      <c r="BO1228" s="34"/>
      <c r="BP1228" s="34"/>
      <c r="BQ1228" s="34"/>
      <c r="BR1228" s="34"/>
      <c r="BS1228" s="34"/>
      <c r="BT1228" s="34"/>
      <c r="BU1228" s="34"/>
      <c r="BV1228" s="34"/>
      <c r="BW1228" s="34"/>
      <c r="BX1228" s="34"/>
      <c r="BY1228" s="34"/>
      <c r="BZ1228" s="34"/>
      <c r="CA1228" s="34"/>
      <c r="CB1228" s="34"/>
      <c r="CC1228" s="34"/>
      <c r="CD1228" s="34"/>
      <c r="CE1228" s="34"/>
      <c r="CF1228" s="34"/>
      <c r="CG1228" s="34"/>
      <c r="CH1228" s="34"/>
      <c r="CI1228" s="8"/>
    </row>
    <row r="1229" spans="1:87" x14ac:dyDescent="0.2">
      <c r="A1229" s="8" t="str">
        <f>IF(AND(COUNTIF(W$3:W$13,A$27)&gt;0,A$27&lt;&gt;B1054),A$27,IFERROR(IF(MATCH(A$27,Z$3:Z$13,0)=8,A$27," ")," "))</f>
        <v>C13</v>
      </c>
      <c r="B1229" s="8">
        <f>IF(A1229=" "," ",MAX(B1217:B1228)+1)</f>
        <v>4</v>
      </c>
      <c r="C1229" s="8"/>
      <c r="D1229" s="8"/>
      <c r="E1229" s="8"/>
      <c r="F1229" s="8"/>
      <c r="G1229" s="8"/>
      <c r="H1229" s="8"/>
      <c r="I1229" s="8"/>
      <c r="J1229" s="8"/>
      <c r="K1229" s="8"/>
      <c r="L1229" s="8"/>
      <c r="M1229" s="8"/>
      <c r="N1229" s="8"/>
      <c r="O1229" s="8"/>
      <c r="P1229" s="8"/>
      <c r="Q1229" s="8"/>
      <c r="R1229" s="8"/>
      <c r="S1229" s="8"/>
      <c r="U1229" s="34"/>
      <c r="V1229" s="34"/>
      <c r="W1229" s="34"/>
      <c r="X1229" s="34"/>
      <c r="Y1229" s="34"/>
      <c r="Z1229" s="34"/>
      <c r="AA1229" s="34"/>
      <c r="AB1229" s="34"/>
      <c r="AC1229" s="34"/>
      <c r="AD1229" s="34"/>
      <c r="AE1229" s="34"/>
      <c r="AF1229" s="34"/>
      <c r="AG1229" s="34"/>
      <c r="AH1229" s="34"/>
      <c r="AI1229" s="34"/>
      <c r="AJ1229" s="34"/>
      <c r="AK1229" s="34"/>
      <c r="AL1229" s="34"/>
      <c r="AM1229" s="34"/>
      <c r="AN1229" s="34"/>
      <c r="AO1229" s="34"/>
      <c r="AP1229" s="34"/>
      <c r="AQ1229" s="34"/>
      <c r="AR1229" s="34"/>
      <c r="AS1229" s="34"/>
      <c r="AT1229" s="34"/>
      <c r="AU1229" s="34"/>
      <c r="AV1229" s="34"/>
      <c r="AW1229" s="34"/>
      <c r="AX1229" s="34"/>
      <c r="AY1229" s="34"/>
      <c r="AZ1229" s="34"/>
      <c r="BA1229" s="34"/>
      <c r="BB1229" s="34"/>
      <c r="BC1229" s="34"/>
      <c r="BD1229" s="34"/>
      <c r="BE1229" s="34"/>
      <c r="BF1229" s="34"/>
      <c r="BG1229" s="34"/>
      <c r="BH1229" s="34"/>
      <c r="BI1229" s="34"/>
      <c r="BJ1229" s="34"/>
      <c r="BK1229" s="34"/>
      <c r="BL1229" s="34"/>
      <c r="BM1229" s="34"/>
      <c r="BN1229" s="34"/>
      <c r="BO1229" s="34"/>
      <c r="BP1229" s="34"/>
      <c r="BQ1229" s="34"/>
      <c r="BR1229" s="34"/>
      <c r="BS1229" s="34"/>
      <c r="BT1229" s="34"/>
      <c r="BU1229" s="34"/>
      <c r="BV1229" s="34"/>
      <c r="BW1229" s="34"/>
      <c r="BX1229" s="34"/>
      <c r="BY1229" s="34"/>
      <c r="BZ1229" s="34"/>
      <c r="CA1229" s="34"/>
      <c r="CB1229" s="34"/>
      <c r="CC1229" s="34"/>
      <c r="CD1229" s="34"/>
      <c r="CE1229" s="34"/>
      <c r="CF1229" s="34"/>
      <c r="CG1229" s="34"/>
      <c r="CH1229" s="34"/>
      <c r="CI1229" s="8"/>
    </row>
    <row r="1230" spans="1:87" x14ac:dyDescent="0.2">
      <c r="A1230" s="8" t="str">
        <f>IF(AND(COUNTIF(W$3:W$13,A$28)&gt;0,A$28&lt;&gt;B1054),A$28,IFERROR(IF(MATCH(A$28,Z$3:Z$13,0)=8,A$28," ")," "))</f>
        <v xml:space="preserve"> </v>
      </c>
      <c r="B1230" s="8" t="str">
        <f>IF(A1230=" "," ",MAX(B1217:B1229)+1)</f>
        <v xml:space="preserve"> </v>
      </c>
      <c r="C1230" s="8"/>
      <c r="D1230" s="8"/>
      <c r="E1230" s="8"/>
      <c r="F1230" s="8"/>
      <c r="G1230" s="8"/>
      <c r="H1230" s="8"/>
      <c r="I1230" s="8"/>
      <c r="J1230" s="8"/>
      <c r="K1230" s="8"/>
      <c r="L1230" s="8"/>
      <c r="M1230" s="8"/>
      <c r="N1230" s="8"/>
      <c r="O1230" s="8"/>
      <c r="P1230" s="8"/>
      <c r="Q1230" s="8"/>
      <c r="R1230" s="8"/>
      <c r="S1230" s="8"/>
      <c r="U1230" s="34"/>
      <c r="V1230" s="34"/>
      <c r="W1230" s="34"/>
      <c r="X1230" s="34"/>
      <c r="Y1230" s="34"/>
      <c r="Z1230" s="34"/>
      <c r="AA1230" s="34"/>
      <c r="AB1230" s="34"/>
      <c r="AC1230" s="34"/>
      <c r="AD1230" s="34"/>
      <c r="AE1230" s="34"/>
      <c r="AF1230" s="34"/>
      <c r="AG1230" s="34"/>
      <c r="AH1230" s="34"/>
      <c r="AI1230" s="34"/>
      <c r="AJ1230" s="34"/>
      <c r="AK1230" s="34"/>
      <c r="AL1230" s="34"/>
      <c r="AM1230" s="34"/>
      <c r="AN1230" s="34"/>
      <c r="AO1230" s="34"/>
      <c r="AP1230" s="34"/>
      <c r="AQ1230" s="34"/>
      <c r="AR1230" s="34"/>
      <c r="AS1230" s="34"/>
      <c r="AT1230" s="34"/>
      <c r="AU1230" s="34"/>
      <c r="AV1230" s="34"/>
      <c r="AW1230" s="34"/>
      <c r="AX1230" s="34"/>
      <c r="AY1230" s="34"/>
      <c r="AZ1230" s="34"/>
      <c r="BA1230" s="34"/>
      <c r="BB1230" s="34"/>
      <c r="BC1230" s="34"/>
      <c r="BD1230" s="34"/>
      <c r="BE1230" s="34"/>
      <c r="BF1230" s="34"/>
      <c r="BG1230" s="34"/>
      <c r="BH1230" s="34"/>
      <c r="BI1230" s="34"/>
      <c r="BJ1230" s="34"/>
      <c r="BK1230" s="34"/>
      <c r="BL1230" s="34"/>
      <c r="BM1230" s="34"/>
      <c r="BN1230" s="34"/>
      <c r="BO1230" s="34"/>
      <c r="BP1230" s="34"/>
      <c r="BQ1230" s="34"/>
      <c r="BR1230" s="34"/>
      <c r="BS1230" s="34"/>
      <c r="BT1230" s="34"/>
      <c r="BU1230" s="34"/>
      <c r="BV1230" s="34"/>
      <c r="BW1230" s="34"/>
      <c r="BX1230" s="34"/>
      <c r="BY1230" s="34"/>
      <c r="BZ1230" s="34"/>
      <c r="CA1230" s="34"/>
      <c r="CB1230" s="34"/>
      <c r="CC1230" s="34"/>
      <c r="CD1230" s="34"/>
      <c r="CE1230" s="34"/>
      <c r="CF1230" s="34"/>
      <c r="CG1230" s="34"/>
      <c r="CH1230" s="34"/>
      <c r="CI1230" s="8"/>
    </row>
    <row r="1231" spans="1:87" x14ac:dyDescent="0.2">
      <c r="A1231" s="8" t="str">
        <f>IF(AND(COUNTIF(W$3:W$13,A$29)&gt;0,A$29&lt;&gt;B1054),A$29,IFERROR(IF(MATCH(A$29,Z$3:Z$13,0)=8,A$29," ")," "))</f>
        <v>C15</v>
      </c>
      <c r="B1231" s="8">
        <f>IF(A1231=" "," ",MAX(B1217:B1230)+1)</f>
        <v>5</v>
      </c>
      <c r="C1231" s="8"/>
      <c r="D1231" s="8"/>
      <c r="E1231" s="8"/>
      <c r="F1231" s="8"/>
      <c r="G1231" s="8"/>
      <c r="H1231" s="8"/>
      <c r="I1231" s="8"/>
      <c r="J1231" s="8"/>
      <c r="K1231" s="8"/>
      <c r="L1231" s="8"/>
      <c r="M1231" s="8"/>
      <c r="N1231" s="8"/>
      <c r="O1231" s="8"/>
      <c r="P1231" s="8"/>
      <c r="Q1231" s="8"/>
      <c r="R1231" s="8"/>
      <c r="S1231" s="8"/>
      <c r="U1231" s="34"/>
      <c r="V1231" s="34"/>
      <c r="W1231" s="34"/>
      <c r="X1231" s="34"/>
      <c r="Y1231" s="34"/>
      <c r="Z1231" s="34"/>
      <c r="AA1231" s="34"/>
      <c r="AB1231" s="34"/>
      <c r="AC1231" s="34"/>
      <c r="AD1231" s="34"/>
      <c r="AE1231" s="34"/>
      <c r="AF1231" s="34"/>
      <c r="AG1231" s="34"/>
      <c r="AH1231" s="34"/>
      <c r="AI1231" s="34"/>
      <c r="AJ1231" s="34"/>
      <c r="AK1231" s="34"/>
      <c r="AL1231" s="34"/>
      <c r="AM1231" s="34"/>
      <c r="AN1231" s="34"/>
      <c r="AO1231" s="34"/>
      <c r="AP1231" s="34"/>
      <c r="AQ1231" s="34"/>
      <c r="AR1231" s="34"/>
      <c r="AS1231" s="34"/>
      <c r="AT1231" s="34"/>
      <c r="AU1231" s="34"/>
      <c r="AV1231" s="34"/>
      <c r="AW1231" s="34"/>
      <c r="AX1231" s="34"/>
      <c r="AY1231" s="34"/>
      <c r="AZ1231" s="34"/>
      <c r="BA1231" s="34"/>
      <c r="BB1231" s="34"/>
      <c r="BC1231" s="34"/>
      <c r="BD1231" s="34"/>
      <c r="BE1231" s="34"/>
      <c r="BF1231" s="34"/>
      <c r="BG1231" s="34"/>
      <c r="BH1231" s="34"/>
      <c r="BI1231" s="34"/>
      <c r="BJ1231" s="34"/>
      <c r="BK1231" s="34"/>
      <c r="BL1231" s="34"/>
      <c r="BM1231" s="34"/>
      <c r="BN1231" s="34"/>
      <c r="BO1231" s="34"/>
      <c r="BP1231" s="34"/>
      <c r="BQ1231" s="34"/>
      <c r="BR1231" s="34"/>
      <c r="BS1231" s="34"/>
      <c r="BT1231" s="34"/>
      <c r="BU1231" s="34"/>
      <c r="BV1231" s="34"/>
      <c r="BW1231" s="34"/>
      <c r="BX1231" s="34"/>
      <c r="BY1231" s="34"/>
      <c r="BZ1231" s="34"/>
      <c r="CA1231" s="34"/>
      <c r="CB1231" s="34"/>
      <c r="CC1231" s="34"/>
      <c r="CD1231" s="34"/>
      <c r="CE1231" s="34"/>
      <c r="CF1231" s="34"/>
      <c r="CG1231" s="34"/>
      <c r="CH1231" s="34"/>
      <c r="CI1231" s="8"/>
    </row>
    <row r="1232" spans="1:87" x14ac:dyDescent="0.2">
      <c r="A1232" s="8" t="str">
        <f>IF(AND(COUNTIF(W$3:W$13,A$30)&gt;0,A$30&lt;&gt;B1054),A$30,IFERROR(IF(MATCH(A$30,Z$3:Z$13,0)=8,A$30," ")," "))</f>
        <v xml:space="preserve"> </v>
      </c>
      <c r="B1232" s="8" t="str">
        <f>IF(A1232=" "," ",MAX(B1217:B1231)+1)</f>
        <v xml:space="preserve"> </v>
      </c>
      <c r="C1232" s="8"/>
      <c r="D1232" s="8"/>
      <c r="E1232" s="8"/>
      <c r="F1232" s="8"/>
      <c r="G1232" s="8"/>
      <c r="H1232" s="8"/>
      <c r="I1232" s="8"/>
      <c r="J1232" s="8"/>
      <c r="K1232" s="8"/>
      <c r="L1232" s="8"/>
      <c r="M1232" s="8"/>
      <c r="N1232" s="8"/>
      <c r="O1232" s="8"/>
      <c r="P1232" s="8"/>
      <c r="Q1232" s="8"/>
      <c r="R1232" s="8"/>
      <c r="S1232" s="8"/>
      <c r="U1232" s="34"/>
      <c r="V1232" s="34"/>
      <c r="W1232" s="34"/>
      <c r="X1232" s="34"/>
      <c r="Y1232" s="34"/>
      <c r="Z1232" s="34"/>
      <c r="AA1232" s="34"/>
      <c r="AB1232" s="34"/>
      <c r="AC1232" s="34"/>
      <c r="AD1232" s="34"/>
      <c r="AE1232" s="34"/>
      <c r="AF1232" s="34"/>
      <c r="AG1232" s="34"/>
      <c r="AH1232" s="34"/>
      <c r="AI1232" s="34"/>
      <c r="AJ1232" s="34"/>
      <c r="AK1232" s="34"/>
      <c r="AL1232" s="34"/>
      <c r="AM1232" s="34"/>
      <c r="AN1232" s="34"/>
      <c r="AO1232" s="34"/>
      <c r="AP1232" s="34"/>
      <c r="AQ1232" s="34"/>
      <c r="AR1232" s="34"/>
      <c r="AS1232" s="34"/>
      <c r="AT1232" s="34"/>
      <c r="AU1232" s="34"/>
      <c r="AV1232" s="34"/>
      <c r="AW1232" s="34"/>
      <c r="AX1232" s="34"/>
      <c r="AY1232" s="34"/>
      <c r="AZ1232" s="34"/>
      <c r="BA1232" s="34"/>
      <c r="BB1232" s="34"/>
      <c r="BC1232" s="34"/>
      <c r="BD1232" s="34"/>
      <c r="BE1232" s="34"/>
      <c r="BF1232" s="34"/>
      <c r="BG1232" s="34"/>
      <c r="BH1232" s="34"/>
      <c r="BI1232" s="34"/>
      <c r="BJ1232" s="34"/>
      <c r="BK1232" s="34"/>
      <c r="BL1232" s="34"/>
      <c r="BM1232" s="34"/>
      <c r="BN1232" s="34"/>
      <c r="BO1232" s="34"/>
      <c r="BP1232" s="34"/>
      <c r="BQ1232" s="34"/>
      <c r="BR1232" s="34"/>
      <c r="BS1232" s="34"/>
      <c r="BT1232" s="34"/>
      <c r="BU1232" s="34"/>
      <c r="BV1232" s="34"/>
      <c r="BW1232" s="34"/>
      <c r="BX1232" s="34"/>
      <c r="BY1232" s="34"/>
      <c r="BZ1232" s="34"/>
      <c r="CA1232" s="34"/>
      <c r="CB1232" s="34"/>
      <c r="CC1232" s="34"/>
      <c r="CD1232" s="34"/>
      <c r="CE1232" s="34"/>
      <c r="CF1232" s="34"/>
      <c r="CG1232" s="34"/>
      <c r="CH1232" s="34"/>
      <c r="CI1232" s="8"/>
    </row>
    <row r="1233" spans="1:87" x14ac:dyDescent="0.2">
      <c r="A1233" s="8" t="str">
        <f>IF(AND(COUNTIF(W$3:W$13,A$31)&gt;0,A$31&lt;&gt;B1054),A$31,IFERROR(IF(MATCH(A$31,Z$3:Z$13,0)=8,A$31," ")," "))</f>
        <v>C17</v>
      </c>
      <c r="B1233" s="8">
        <f>IF(A1233=" "," ",MAX(B1217:B1232)+1)</f>
        <v>6</v>
      </c>
      <c r="C1233" s="8"/>
      <c r="D1233" s="8"/>
      <c r="E1233" s="8"/>
      <c r="F1233" s="8"/>
      <c r="G1233" s="8"/>
      <c r="H1233" s="8"/>
      <c r="I1233" s="8"/>
      <c r="J1233" s="8"/>
      <c r="K1233" s="8"/>
      <c r="L1233" s="8"/>
      <c r="M1233" s="8"/>
      <c r="N1233" s="8"/>
      <c r="O1233" s="8"/>
      <c r="P1233" s="8"/>
      <c r="Q1233" s="8"/>
      <c r="R1233" s="8"/>
      <c r="S1233" s="8"/>
      <c r="U1233" s="34"/>
      <c r="V1233" s="34"/>
      <c r="W1233" s="34"/>
      <c r="X1233" s="34"/>
      <c r="Y1233" s="34"/>
      <c r="Z1233" s="34"/>
      <c r="AA1233" s="34"/>
      <c r="AB1233" s="34"/>
      <c r="AC1233" s="34"/>
      <c r="AD1233" s="34"/>
      <c r="AE1233" s="34"/>
      <c r="AF1233" s="34"/>
      <c r="AG1233" s="34"/>
      <c r="AH1233" s="34"/>
      <c r="AI1233" s="34"/>
      <c r="AJ1233" s="34"/>
      <c r="AK1233" s="34"/>
      <c r="AL1233" s="34"/>
      <c r="AM1233" s="34"/>
      <c r="AN1233" s="34"/>
      <c r="AO1233" s="34"/>
      <c r="AP1233" s="34"/>
      <c r="AQ1233" s="34"/>
      <c r="AR1233" s="34"/>
      <c r="AS1233" s="34"/>
      <c r="AT1233" s="34"/>
      <c r="AU1233" s="34"/>
      <c r="AV1233" s="34"/>
      <c r="AW1233" s="34"/>
      <c r="AX1233" s="34"/>
      <c r="AY1233" s="34"/>
      <c r="AZ1233" s="34"/>
      <c r="BA1233" s="34"/>
      <c r="BB1233" s="34"/>
      <c r="BC1233" s="34"/>
      <c r="BD1233" s="34"/>
      <c r="BE1233" s="34"/>
      <c r="BF1233" s="34"/>
      <c r="BG1233" s="34"/>
      <c r="BH1233" s="34"/>
      <c r="BI1233" s="34"/>
      <c r="BJ1233" s="34"/>
      <c r="BK1233" s="34"/>
      <c r="BL1233" s="34"/>
      <c r="BM1233" s="34"/>
      <c r="BN1233" s="34"/>
      <c r="BO1233" s="34"/>
      <c r="BP1233" s="34"/>
      <c r="BQ1233" s="34"/>
      <c r="BR1233" s="34"/>
      <c r="BS1233" s="34"/>
      <c r="BT1233" s="34"/>
      <c r="BU1233" s="34"/>
      <c r="BV1233" s="34"/>
      <c r="BW1233" s="34"/>
      <c r="BX1233" s="34"/>
      <c r="BY1233" s="34"/>
      <c r="BZ1233" s="34"/>
      <c r="CA1233" s="34"/>
      <c r="CB1233" s="34"/>
      <c r="CC1233" s="34"/>
      <c r="CD1233" s="34"/>
      <c r="CE1233" s="34"/>
      <c r="CF1233" s="34"/>
      <c r="CG1233" s="34"/>
      <c r="CH1233" s="34"/>
      <c r="CI1233" s="8"/>
    </row>
    <row r="1234" spans="1:87" x14ac:dyDescent="0.2">
      <c r="A1234" s="8" t="str">
        <f>IF(AND(COUNTIF(W$3:W$13,A$32)&gt;0,A$32&lt;&gt;B1054),A$32,IFERROR(IF(MATCH(A$32,Z$3:Z$13,0)=8,A$32," ")," "))</f>
        <v>C18</v>
      </c>
      <c r="B1234" s="8">
        <f>IF(A1234=" "," ",MAX(B1217:B1233)+1)</f>
        <v>7</v>
      </c>
      <c r="C1234" s="8"/>
      <c r="D1234" s="8"/>
      <c r="E1234" s="8"/>
      <c r="F1234" s="8"/>
      <c r="G1234" s="8"/>
      <c r="H1234" s="8"/>
      <c r="I1234" s="8"/>
      <c r="J1234" s="8"/>
      <c r="K1234" s="8"/>
      <c r="L1234" s="8"/>
      <c r="M1234" s="8"/>
      <c r="N1234" s="8"/>
      <c r="O1234" s="8"/>
      <c r="P1234" s="8"/>
      <c r="Q1234" s="8"/>
      <c r="R1234" s="8"/>
      <c r="S1234" s="8"/>
      <c r="U1234" s="34"/>
      <c r="V1234" s="34"/>
      <c r="W1234" s="34"/>
      <c r="X1234" s="34"/>
      <c r="Y1234" s="34"/>
      <c r="Z1234" s="34"/>
      <c r="AA1234" s="34"/>
      <c r="AB1234" s="34"/>
      <c r="AC1234" s="34"/>
      <c r="AD1234" s="34"/>
      <c r="AE1234" s="34"/>
      <c r="AF1234" s="34"/>
      <c r="AG1234" s="34"/>
      <c r="AH1234" s="34"/>
      <c r="AI1234" s="34"/>
      <c r="AJ1234" s="34"/>
      <c r="AK1234" s="34"/>
      <c r="AL1234" s="34"/>
      <c r="AM1234" s="34"/>
      <c r="AN1234" s="34"/>
      <c r="AO1234" s="34"/>
      <c r="AP1234" s="34"/>
      <c r="AQ1234" s="34"/>
      <c r="AR1234" s="34"/>
      <c r="AS1234" s="34"/>
      <c r="AT1234" s="34"/>
      <c r="AU1234" s="34"/>
      <c r="AV1234" s="34"/>
      <c r="AW1234" s="34"/>
      <c r="AX1234" s="34"/>
      <c r="AY1234" s="34"/>
      <c r="AZ1234" s="34"/>
      <c r="BA1234" s="34"/>
      <c r="BB1234" s="34"/>
      <c r="BC1234" s="34"/>
      <c r="BD1234" s="34"/>
      <c r="BE1234" s="34"/>
      <c r="BF1234" s="34"/>
      <c r="BG1234" s="34"/>
      <c r="BH1234" s="34"/>
      <c r="BI1234" s="34"/>
      <c r="BJ1234" s="34"/>
      <c r="BK1234" s="34"/>
      <c r="BL1234" s="34"/>
      <c r="BM1234" s="34"/>
      <c r="BN1234" s="34"/>
      <c r="BO1234" s="34"/>
      <c r="BP1234" s="34"/>
      <c r="BQ1234" s="34"/>
      <c r="BR1234" s="34"/>
      <c r="BS1234" s="34"/>
      <c r="BT1234" s="34"/>
      <c r="BU1234" s="34"/>
      <c r="BV1234" s="34"/>
      <c r="BW1234" s="34"/>
      <c r="BX1234" s="34"/>
      <c r="BY1234" s="34"/>
      <c r="BZ1234" s="34"/>
      <c r="CA1234" s="34"/>
      <c r="CB1234" s="34"/>
      <c r="CC1234" s="34"/>
      <c r="CD1234" s="34"/>
      <c r="CE1234" s="34"/>
      <c r="CF1234" s="34"/>
      <c r="CG1234" s="34"/>
      <c r="CH1234" s="34"/>
      <c r="CI1234" s="8"/>
    </row>
    <row r="1235" spans="1:87" x14ac:dyDescent="0.2">
      <c r="A1235" s="8" t="str">
        <f>IF(AND(COUNTIF(W$3:W$13,A$33)&gt;0,A$33&lt;&gt;B1054),A$33,IFERROR(IF(MATCH(A$33,Z$3:Z$13,0)=8,A$33," ")," "))</f>
        <v>C19</v>
      </c>
      <c r="B1235" s="8">
        <f>IF(A1235=" "," ",MAX(B1217:B1234)+1)</f>
        <v>8</v>
      </c>
      <c r="C1235" s="8"/>
      <c r="D1235" s="8"/>
      <c r="E1235" s="8"/>
      <c r="F1235" s="8"/>
      <c r="G1235" s="8"/>
      <c r="H1235" s="8"/>
      <c r="I1235" s="8"/>
      <c r="J1235" s="8"/>
      <c r="K1235" s="8"/>
      <c r="L1235" s="8"/>
      <c r="M1235" s="8"/>
      <c r="N1235" s="8"/>
      <c r="O1235" s="8"/>
      <c r="P1235" s="8"/>
      <c r="Q1235" s="8"/>
      <c r="R1235" s="8"/>
      <c r="S1235" s="8"/>
      <c r="U1235" s="34"/>
      <c r="V1235" s="34"/>
      <c r="W1235" s="34"/>
      <c r="X1235" s="34"/>
      <c r="Y1235" s="34"/>
      <c r="Z1235" s="34"/>
      <c r="AA1235" s="34"/>
      <c r="AB1235" s="34"/>
      <c r="AC1235" s="34"/>
      <c r="AD1235" s="34"/>
      <c r="AE1235" s="34"/>
      <c r="AF1235" s="34"/>
      <c r="AG1235" s="34"/>
      <c r="AH1235" s="34"/>
      <c r="AI1235" s="34"/>
      <c r="AJ1235" s="34"/>
      <c r="AK1235" s="34"/>
      <c r="AL1235" s="34"/>
      <c r="AM1235" s="34"/>
      <c r="AN1235" s="34"/>
      <c r="AO1235" s="34"/>
      <c r="AP1235" s="34"/>
      <c r="AQ1235" s="34"/>
      <c r="AR1235" s="34"/>
      <c r="AS1235" s="34"/>
      <c r="AT1235" s="34"/>
      <c r="AU1235" s="34"/>
      <c r="AV1235" s="34"/>
      <c r="AW1235" s="34"/>
      <c r="AX1235" s="34"/>
      <c r="AY1235" s="34"/>
      <c r="AZ1235" s="34"/>
      <c r="BA1235" s="34"/>
      <c r="BB1235" s="34"/>
      <c r="BC1235" s="34"/>
      <c r="BD1235" s="34"/>
      <c r="BE1235" s="34"/>
      <c r="BF1235" s="34"/>
      <c r="BG1235" s="34"/>
      <c r="BH1235" s="34"/>
      <c r="BI1235" s="34"/>
      <c r="BJ1235" s="34"/>
      <c r="BK1235" s="34"/>
      <c r="BL1235" s="34"/>
      <c r="BM1235" s="34"/>
      <c r="BN1235" s="34"/>
      <c r="BO1235" s="34"/>
      <c r="BP1235" s="34"/>
      <c r="BQ1235" s="34"/>
      <c r="BR1235" s="34"/>
      <c r="BS1235" s="34"/>
      <c r="BT1235" s="34"/>
      <c r="BU1235" s="34"/>
      <c r="BV1235" s="34"/>
      <c r="BW1235" s="34"/>
      <c r="BX1235" s="34"/>
      <c r="BY1235" s="34"/>
      <c r="BZ1235" s="34"/>
      <c r="CA1235" s="34"/>
      <c r="CB1235" s="34"/>
      <c r="CC1235" s="34"/>
      <c r="CD1235" s="34"/>
      <c r="CE1235" s="34"/>
      <c r="CF1235" s="34"/>
      <c r="CG1235" s="34"/>
      <c r="CH1235" s="34"/>
      <c r="CI1235" s="8"/>
    </row>
    <row r="1236" spans="1:87" x14ac:dyDescent="0.2">
      <c r="A1236" s="8" t="str">
        <f>IF(AND(COUNTIF(W$3:W$13,A$34)&gt;0,A$34&lt;&gt;B1054),A$34,IFERROR(IF(MATCH(A$34,Z$3:Z$13,0)=8,A$34," ")," "))</f>
        <v>C20</v>
      </c>
      <c r="B1236" s="8">
        <f>IF(A1236=" "," ",MAX(B1217:B1235)+1)</f>
        <v>9</v>
      </c>
      <c r="C1236" s="8"/>
      <c r="D1236" s="8"/>
      <c r="E1236" s="8"/>
      <c r="F1236" s="8"/>
      <c r="G1236" s="8"/>
      <c r="H1236" s="8"/>
      <c r="I1236" s="8"/>
      <c r="J1236" s="8"/>
      <c r="K1236" s="8"/>
      <c r="L1236" s="8"/>
      <c r="M1236" s="8"/>
      <c r="N1236" s="8"/>
      <c r="O1236" s="8"/>
      <c r="P1236" s="8"/>
      <c r="Q1236" s="8"/>
      <c r="R1236" s="8"/>
      <c r="S1236" s="8"/>
      <c r="U1236" s="34"/>
      <c r="V1236" s="34"/>
      <c r="W1236" s="34"/>
      <c r="X1236" s="34"/>
      <c r="Y1236" s="34"/>
      <c r="Z1236" s="34"/>
      <c r="AA1236" s="34"/>
      <c r="AB1236" s="34"/>
      <c r="AC1236" s="34"/>
      <c r="AD1236" s="34"/>
      <c r="AE1236" s="34"/>
      <c r="AF1236" s="34"/>
      <c r="AG1236" s="34"/>
      <c r="AH1236" s="34"/>
      <c r="AI1236" s="34"/>
      <c r="AJ1236" s="34"/>
      <c r="AK1236" s="34"/>
      <c r="AL1236" s="34"/>
      <c r="AM1236" s="34"/>
      <c r="AN1236" s="34"/>
      <c r="AO1236" s="34"/>
      <c r="AP1236" s="34"/>
      <c r="AQ1236" s="34"/>
      <c r="AR1236" s="34"/>
      <c r="AS1236" s="34"/>
      <c r="AT1236" s="34"/>
      <c r="AU1236" s="34"/>
      <c r="AV1236" s="34"/>
      <c r="AW1236" s="34"/>
      <c r="AX1236" s="34"/>
      <c r="AY1236" s="34"/>
      <c r="AZ1236" s="34"/>
      <c r="BA1236" s="34"/>
      <c r="BB1236" s="34"/>
      <c r="BC1236" s="34"/>
      <c r="BD1236" s="34"/>
      <c r="BE1236" s="34"/>
      <c r="BF1236" s="34"/>
      <c r="BG1236" s="34"/>
      <c r="BH1236" s="34"/>
      <c r="BI1236" s="34"/>
      <c r="BJ1236" s="34"/>
      <c r="BK1236" s="34"/>
      <c r="BL1236" s="34"/>
      <c r="BM1236" s="34"/>
      <c r="BN1236" s="34"/>
      <c r="BO1236" s="34"/>
      <c r="BP1236" s="34"/>
      <c r="BQ1236" s="34"/>
      <c r="BR1236" s="34"/>
      <c r="BS1236" s="34"/>
      <c r="BT1236" s="34"/>
      <c r="BU1236" s="34"/>
      <c r="BV1236" s="34"/>
      <c r="BW1236" s="34"/>
      <c r="BX1236" s="34"/>
      <c r="BY1236" s="34"/>
      <c r="BZ1236" s="34"/>
      <c r="CA1236" s="34"/>
      <c r="CB1236" s="34"/>
      <c r="CC1236" s="34"/>
      <c r="CD1236" s="34"/>
      <c r="CE1236" s="34"/>
      <c r="CF1236" s="34"/>
      <c r="CG1236" s="34"/>
      <c r="CH1236" s="34"/>
      <c r="CI1236" s="8"/>
    </row>
    <row r="1237" spans="1:87" x14ac:dyDescent="0.2">
      <c r="A1237" s="8" t="str">
        <f>IF(AND(COUNTIF(W$3:W$13,A$35)&gt;0,A$35&lt;&gt;B1054),A$35,IFERROR(IF(MATCH(A$35,Z$3:Z$13,0)=8,A$35," ")," "))</f>
        <v>C21</v>
      </c>
      <c r="B1237" s="8">
        <f>IF(A1237=" "," ",MAX(B1217:B1236)+1)</f>
        <v>10</v>
      </c>
      <c r="C1237" s="8"/>
      <c r="D1237" s="8"/>
      <c r="E1237" s="8"/>
      <c r="F1237" s="8"/>
      <c r="G1237" s="8"/>
      <c r="H1237" s="8"/>
      <c r="I1237" s="8"/>
      <c r="J1237" s="8"/>
      <c r="K1237" s="8"/>
      <c r="L1237" s="8"/>
      <c r="M1237" s="8"/>
      <c r="N1237" s="8"/>
      <c r="O1237" s="8"/>
      <c r="P1237" s="8"/>
      <c r="Q1237" s="8"/>
      <c r="R1237" s="8"/>
      <c r="S1237" s="8"/>
      <c r="U1237" s="34"/>
      <c r="V1237" s="34"/>
      <c r="W1237" s="34"/>
      <c r="X1237" s="34"/>
      <c r="Y1237" s="34"/>
      <c r="Z1237" s="34"/>
      <c r="AA1237" s="34"/>
      <c r="AB1237" s="34"/>
      <c r="AC1237" s="34"/>
      <c r="AD1237" s="34"/>
      <c r="AE1237" s="34"/>
      <c r="AF1237" s="34"/>
      <c r="AG1237" s="34"/>
      <c r="AH1237" s="34"/>
      <c r="AI1237" s="34"/>
      <c r="AJ1237" s="34"/>
      <c r="AK1237" s="34"/>
      <c r="AL1237" s="34"/>
      <c r="AM1237" s="34"/>
      <c r="AN1237" s="34"/>
      <c r="AO1237" s="34"/>
      <c r="AP1237" s="34"/>
      <c r="AQ1237" s="34"/>
      <c r="AR1237" s="34"/>
      <c r="AS1237" s="34"/>
      <c r="AT1237" s="34"/>
      <c r="AU1237" s="34"/>
      <c r="AV1237" s="34"/>
      <c r="AW1237" s="34"/>
      <c r="AX1237" s="34"/>
      <c r="AY1237" s="34"/>
      <c r="AZ1237" s="34"/>
      <c r="BA1237" s="34"/>
      <c r="BB1237" s="34"/>
      <c r="BC1237" s="34"/>
      <c r="BD1237" s="34"/>
      <c r="BE1237" s="34"/>
      <c r="BF1237" s="34"/>
      <c r="BG1237" s="34"/>
      <c r="BH1237" s="34"/>
      <c r="BI1237" s="34"/>
      <c r="BJ1237" s="34"/>
      <c r="BK1237" s="34"/>
      <c r="BL1237" s="34"/>
      <c r="BM1237" s="34"/>
      <c r="BN1237" s="34"/>
      <c r="BO1237" s="34"/>
      <c r="BP1237" s="34"/>
      <c r="BQ1237" s="34"/>
      <c r="BR1237" s="34"/>
      <c r="BS1237" s="34"/>
      <c r="BT1237" s="34"/>
      <c r="BU1237" s="34"/>
      <c r="BV1237" s="34"/>
      <c r="BW1237" s="34"/>
      <c r="BX1237" s="34"/>
      <c r="BY1237" s="34"/>
      <c r="BZ1237" s="34"/>
      <c r="CA1237" s="34"/>
      <c r="CB1237" s="34"/>
      <c r="CC1237" s="34"/>
      <c r="CD1237" s="34"/>
      <c r="CE1237" s="34"/>
      <c r="CF1237" s="34"/>
      <c r="CG1237" s="34"/>
      <c r="CH1237" s="34"/>
      <c r="CI1237" s="8"/>
    </row>
    <row r="1238" spans="1:87" x14ac:dyDescent="0.2">
      <c r="A1238" s="8" t="str">
        <f>IF(AND(COUNTIF(W$3:W$13,A$36)&gt;0,A$36&lt;&gt;B1054),A$36,IFERROR(IF(MATCH(A$36,Z$3:Z$13,0)=8,A$36," ")," "))</f>
        <v>C22</v>
      </c>
      <c r="B1238" s="8">
        <f>IF(A1238=" "," ",MAX(B1217:B1237)+1)</f>
        <v>11</v>
      </c>
      <c r="C1238" s="8"/>
      <c r="D1238" s="8"/>
      <c r="E1238" s="8"/>
      <c r="F1238" s="8"/>
      <c r="G1238" s="8"/>
      <c r="H1238" s="8"/>
      <c r="I1238" s="8"/>
      <c r="J1238" s="8"/>
      <c r="K1238" s="8"/>
      <c r="L1238" s="8"/>
      <c r="M1238" s="8"/>
      <c r="N1238" s="8"/>
      <c r="O1238" s="8"/>
      <c r="P1238" s="8"/>
      <c r="Q1238" s="8"/>
      <c r="R1238" s="8"/>
      <c r="S1238" s="8"/>
      <c r="U1238" s="34"/>
      <c r="V1238" s="34"/>
      <c r="W1238" s="34"/>
      <c r="X1238" s="34"/>
      <c r="Y1238" s="34"/>
      <c r="Z1238" s="34"/>
      <c r="AA1238" s="34"/>
      <c r="AB1238" s="34"/>
      <c r="AC1238" s="34"/>
      <c r="AD1238" s="34"/>
      <c r="AE1238" s="34"/>
      <c r="AF1238" s="34"/>
      <c r="AG1238" s="34"/>
      <c r="AH1238" s="34"/>
      <c r="AI1238" s="34"/>
      <c r="AJ1238" s="34"/>
      <c r="AK1238" s="34"/>
      <c r="AL1238" s="34"/>
      <c r="AM1238" s="34"/>
      <c r="AN1238" s="34"/>
      <c r="AO1238" s="34"/>
      <c r="AP1238" s="34"/>
      <c r="AQ1238" s="34"/>
      <c r="AR1238" s="34"/>
      <c r="AS1238" s="34"/>
      <c r="AT1238" s="34"/>
      <c r="AU1238" s="34"/>
      <c r="AV1238" s="34"/>
      <c r="AW1238" s="34"/>
      <c r="AX1238" s="34"/>
      <c r="AY1238" s="34"/>
      <c r="AZ1238" s="34"/>
      <c r="BA1238" s="34"/>
      <c r="BB1238" s="34"/>
      <c r="BC1238" s="34"/>
      <c r="BD1238" s="34"/>
      <c r="BE1238" s="34"/>
      <c r="BF1238" s="34"/>
      <c r="BG1238" s="34"/>
      <c r="BH1238" s="34"/>
      <c r="BI1238" s="34"/>
      <c r="BJ1238" s="34"/>
      <c r="BK1238" s="34"/>
      <c r="BL1238" s="34"/>
      <c r="BM1238" s="34"/>
      <c r="BN1238" s="34"/>
      <c r="BO1238" s="34"/>
      <c r="BP1238" s="34"/>
      <c r="BQ1238" s="34"/>
      <c r="BR1238" s="34"/>
      <c r="BS1238" s="34"/>
      <c r="BT1238" s="34"/>
      <c r="BU1238" s="34"/>
      <c r="BV1238" s="34"/>
      <c r="BW1238" s="34"/>
      <c r="BX1238" s="34"/>
      <c r="BY1238" s="34"/>
      <c r="BZ1238" s="34"/>
      <c r="CA1238" s="34"/>
      <c r="CB1238" s="34"/>
      <c r="CC1238" s="34"/>
      <c r="CD1238" s="34"/>
      <c r="CE1238" s="34"/>
      <c r="CF1238" s="34"/>
      <c r="CG1238" s="34"/>
      <c r="CH1238" s="34"/>
      <c r="CI1238" s="8"/>
    </row>
    <row r="1239" spans="1:87" x14ac:dyDescent="0.2">
      <c r="A1239" s="11" t="s">
        <v>17</v>
      </c>
      <c r="B1239" s="11"/>
      <c r="C1239" s="27" t="s">
        <v>18</v>
      </c>
      <c r="D1239" s="27" t="s">
        <v>2</v>
      </c>
      <c r="E1239" s="27" t="s">
        <v>6</v>
      </c>
      <c r="F1239" s="27" t="s">
        <v>15</v>
      </c>
      <c r="G1239" s="27" t="s">
        <v>36</v>
      </c>
      <c r="H1239" s="27" t="s">
        <v>37</v>
      </c>
      <c r="I1239" s="27" t="s">
        <v>38</v>
      </c>
      <c r="J1239" s="27" t="s">
        <v>39</v>
      </c>
      <c r="K1239" s="27" t="s">
        <v>40</v>
      </c>
      <c r="L1239" s="27" t="s">
        <v>41</v>
      </c>
      <c r="M1239" s="27" t="s">
        <v>42</v>
      </c>
      <c r="N1239" s="27" t="s">
        <v>43</v>
      </c>
      <c r="O1239" s="27" t="s">
        <v>9</v>
      </c>
      <c r="P1239" s="27" t="s">
        <v>12</v>
      </c>
      <c r="Q1239" s="27" t="s">
        <v>19</v>
      </c>
      <c r="R1239" s="27" t="s">
        <v>55</v>
      </c>
      <c r="S1239" s="27" t="s">
        <v>26</v>
      </c>
      <c r="T1239" s="19" t="s">
        <v>25</v>
      </c>
      <c r="U1239" s="33" t="s">
        <v>27</v>
      </c>
      <c r="V1239" s="33" t="s">
        <v>9</v>
      </c>
      <c r="W1239" s="33" t="s">
        <v>23</v>
      </c>
      <c r="X1239" s="33" t="s">
        <v>12</v>
      </c>
      <c r="Y1239" s="33" t="s">
        <v>26</v>
      </c>
      <c r="Z1239" s="33" t="s">
        <v>25</v>
      </c>
      <c r="AA1239" s="33" t="s">
        <v>27</v>
      </c>
      <c r="AB1239" s="33" t="s">
        <v>9</v>
      </c>
      <c r="AC1239" s="33" t="s">
        <v>23</v>
      </c>
      <c r="AD1239" s="33" t="s">
        <v>12</v>
      </c>
      <c r="AE1239" s="33" t="s">
        <v>26</v>
      </c>
      <c r="AF1239" s="33" t="s">
        <v>25</v>
      </c>
      <c r="AG1239" s="33" t="s">
        <v>27</v>
      </c>
      <c r="AH1239" s="33" t="s">
        <v>9</v>
      </c>
      <c r="AI1239" s="33" t="s">
        <v>23</v>
      </c>
      <c r="AJ1239" s="33" t="s">
        <v>12</v>
      </c>
      <c r="AK1239" s="33" t="s">
        <v>26</v>
      </c>
      <c r="AL1239" s="33" t="s">
        <v>25</v>
      </c>
      <c r="AM1239" s="33" t="s">
        <v>27</v>
      </c>
      <c r="AN1239" s="33" t="s">
        <v>9</v>
      </c>
      <c r="AO1239" s="33" t="s">
        <v>23</v>
      </c>
      <c r="AP1239" s="33" t="s">
        <v>12</v>
      </c>
      <c r="AQ1239" s="33" t="s">
        <v>26</v>
      </c>
      <c r="AR1239" s="33" t="s">
        <v>25</v>
      </c>
      <c r="AS1239" s="33" t="s">
        <v>27</v>
      </c>
      <c r="AT1239" s="33" t="s">
        <v>9</v>
      </c>
      <c r="AU1239" s="33" t="s">
        <v>23</v>
      </c>
      <c r="AV1239" s="33" t="s">
        <v>12</v>
      </c>
      <c r="AW1239" s="33" t="s">
        <v>26</v>
      </c>
      <c r="AX1239" s="33" t="s">
        <v>25</v>
      </c>
      <c r="AY1239" s="33" t="s">
        <v>27</v>
      </c>
      <c r="AZ1239" s="33" t="s">
        <v>9</v>
      </c>
      <c r="BA1239" s="33" t="s">
        <v>23</v>
      </c>
      <c r="BB1239" s="33" t="s">
        <v>12</v>
      </c>
      <c r="BC1239" s="33" t="s">
        <v>26</v>
      </c>
      <c r="BD1239" s="33" t="s">
        <v>25</v>
      </c>
      <c r="BE1239" s="33" t="s">
        <v>27</v>
      </c>
      <c r="BF1239" s="33" t="s">
        <v>9</v>
      </c>
      <c r="BG1239" s="33" t="s">
        <v>23</v>
      </c>
      <c r="BH1239" s="33" t="s">
        <v>12</v>
      </c>
      <c r="BI1239" s="33" t="s">
        <v>26</v>
      </c>
      <c r="BJ1239" s="33" t="s">
        <v>25</v>
      </c>
      <c r="BK1239" s="33" t="s">
        <v>27</v>
      </c>
      <c r="BL1239" s="33" t="s">
        <v>9</v>
      </c>
      <c r="BM1239" s="33" t="s">
        <v>23</v>
      </c>
      <c r="BN1239" s="33" t="s">
        <v>12</v>
      </c>
      <c r="BO1239" s="33" t="s">
        <v>26</v>
      </c>
      <c r="BP1239" s="33" t="s">
        <v>25</v>
      </c>
      <c r="BQ1239" s="33" t="s">
        <v>27</v>
      </c>
      <c r="BR1239" s="33" t="s">
        <v>9</v>
      </c>
      <c r="BS1239" s="33" t="s">
        <v>23</v>
      </c>
      <c r="BT1239" s="33" t="s">
        <v>12</v>
      </c>
      <c r="BU1239" s="33" t="s">
        <v>26</v>
      </c>
      <c r="BV1239" s="33" t="s">
        <v>25</v>
      </c>
      <c r="BW1239" s="33" t="s">
        <v>27</v>
      </c>
      <c r="BX1239" s="33" t="s">
        <v>9</v>
      </c>
      <c r="BY1239" s="33" t="s">
        <v>23</v>
      </c>
      <c r="BZ1239" s="33" t="s">
        <v>12</v>
      </c>
      <c r="CA1239" s="33" t="s">
        <v>26</v>
      </c>
      <c r="CB1239" s="33" t="s">
        <v>25</v>
      </c>
      <c r="CC1239" s="33" t="s">
        <v>27</v>
      </c>
      <c r="CD1239" s="33" t="s">
        <v>9</v>
      </c>
      <c r="CE1239" s="33" t="s">
        <v>23</v>
      </c>
      <c r="CF1239" s="33" t="s">
        <v>12</v>
      </c>
      <c r="CG1239" s="33" t="s">
        <v>26</v>
      </c>
      <c r="CH1239" s="33" t="s">
        <v>25</v>
      </c>
      <c r="CI1239" s="8"/>
    </row>
    <row r="1240" spans="1:87" x14ac:dyDescent="0.2">
      <c r="A1240" s="8" t="str">
        <f>IF(AND(COUNTIF(W$3:W$13,A$15)&gt;0,A$15&lt;&gt;B1054),A$15,IFERROR(IF(MATCH(A$15,Z$3:Z$13,0)=9,A$15," ")," "))</f>
        <v xml:space="preserve"> </v>
      </c>
      <c r="B1240" s="8" t="str">
        <f>IF(A1240=" "," ",1)</f>
        <v xml:space="preserve"> </v>
      </c>
      <c r="C1240" s="8" t="str">
        <f>IFERROR(INDEX(A1240:A1261,MATCH(SMALL(B1240:B1261,1),B1240:B1261,0),1)," ")</f>
        <v>C3</v>
      </c>
      <c r="D1240" s="8">
        <f>IFERROR(VLOOKUP($C1240,$A$15:$O$36,2,FALSE)," ")</f>
        <v>2</v>
      </c>
      <c r="E1240" s="8">
        <f>IFERROR(VLOOKUP($C1240,$A$15:$O$36,3,FALSE)," ")</f>
        <v>5</v>
      </c>
      <c r="F1240" s="8">
        <f>IFERROR(VLOOKUP($C1240,$A$15:$O$36,4,FALSE)," ")</f>
        <v>6</v>
      </c>
      <c r="G1240" s="8">
        <f>IFERROR(VLOOKUP($C1240,$A$15:$O$36,5,FALSE)," ")</f>
        <v>0</v>
      </c>
      <c r="H1240" s="8">
        <f>IFERROR(VLOOKUP($C1240,$A$15:$O$36,6,FALSE)," ")</f>
        <v>0</v>
      </c>
      <c r="I1240" s="8">
        <f>IFERROR(VLOOKUP($C1240,$A$15:$O$36,7,FALSE)," ")</f>
        <v>0</v>
      </c>
      <c r="J1240" s="8">
        <f>IFERROR(VLOOKUP($C1240,$A$15:$O$36,8,FALSE)," ")</f>
        <v>0</v>
      </c>
      <c r="K1240" s="8">
        <f>IFERROR(VLOOKUP($C1240,$A$15:$O$36,9,FALSE)," ")</f>
        <v>0</v>
      </c>
      <c r="L1240" s="8">
        <f>IFERROR(VLOOKUP($C1240,$A$15:$O$36,10,FALSE)," ")</f>
        <v>0</v>
      </c>
      <c r="M1240" s="8">
        <f>IFERROR(VLOOKUP($C1240,$A$15:$O$36,11,FALSE)," ")</f>
        <v>0</v>
      </c>
      <c r="N1240" s="8">
        <f>IFERROR(VLOOKUP($C1240,$A$15:$O$36,12,FALSE)," ")</f>
        <v>0</v>
      </c>
      <c r="O1240" s="8">
        <f>IFERROR(VLOOKUP($C1240,$A$15:$O$36,15,FALSE)," ")</f>
        <v>2000</v>
      </c>
      <c r="P1240" s="8" t="e">
        <f t="array" ref="P1240:P1250">MMULT(MINVERSE(D1240:N1250),O1240:O1250)</f>
        <v>#NUM!</v>
      </c>
      <c r="Q1240" s="8" t="e">
        <f t="shared" ref="Q1240" si="5253">IF(COUNTIF(P1240:P1250,"&lt;"&amp;-0.001)=0,IF(ABS(P1240)&lt;0.001,0,P1240)," ")</f>
        <v>#NUM!</v>
      </c>
      <c r="R1240" s="8" t="str">
        <f>IFERROR(VLOOKUP(B1054,A$15:L$36,2,FALSE)*Q1240+VLOOKUP(B1054,A$15:L$36,3,FALSE)*Q1241+VLOOKUP(B1054,A$15:L$36,4,FALSE)*Q1242+VLOOKUP(B1054,A$15:L$36,5,FALSE)*Q1243+VLOOKUP(B1054,A$15:L$36,6,FALSE)*Q1244+VLOOKUP(B1054,A$15:L$36,7,FALSE)*Q1245+VLOOKUP(B1054,A$15:L$36,8,FALSE)*Q1246+VLOOKUP(B1054,A$15:L$36,9,FALSE)*Q1247+VLOOKUP(B1054,A$15:L$36,10,FALSE)*Q1248+VLOOKUP(B1054,A$15:L$36,11,FALSE)*Q1249+VLOOKUP(B1054,A$15:L$36,12,FALSE)*Q1250," ")</f>
        <v xml:space="preserve"> </v>
      </c>
      <c r="S1240" s="8" t="str">
        <f>IFERROR(IF(R1240-VLOOKUP(B1054,A$15:O$36,15,FALSE)&lt;0,R1240-VLOOKUP(B1054,A$15:O$36,15,FALSE)," ")," ")</f>
        <v xml:space="preserve"> </v>
      </c>
      <c r="T1240" s="18" t="str">
        <f>IFERROR(IF(R1240-VLOOKUP(B1054,A$15:O$36,15,FALSE)&gt;0,R1240-VLOOKUP(B1054,A$15:O$36,15,FALSE)," ")," ")</f>
        <v xml:space="preserve"> </v>
      </c>
      <c r="U1240" s="34">
        <f t="shared" ref="U1240" si="5254">$M$2</f>
        <v>100.00000000000001</v>
      </c>
      <c r="V1240" s="34">
        <v>-1</v>
      </c>
      <c r="W1240" s="34">
        <f t="shared" ref="W1240" si="5255">-SUMPRODUCT($M$3:$M$12,$N$3:$N$12)</f>
        <v>-105000</v>
      </c>
      <c r="X1240" s="34" t="e">
        <f t="shared" ref="X1240" si="5256">IF(U1240&lt;&gt;U1241,MMULT(MINVERSE(U1240:V1241),W1240:W1241)," ")</f>
        <v>#NUM!</v>
      </c>
      <c r="Y1240" s="34" t="str">
        <f t="shared" ref="Y1240" si="5257">IFERROR(IF(X1240-VLOOKUP(U$38,$A$2:$N$12,14,FALSE)&lt;0,X1240-VLOOKUP(U$38,$A$2:$N$12,14,FALSE)," ")," ")</f>
        <v xml:space="preserve"> </v>
      </c>
      <c r="Z1240" s="34" t="str">
        <f t="shared" ref="Z1240" si="5258">IFERROR(IF(X1240-VLOOKUP(U$38,$A$2:$N$12,14,FALSE)&gt;0,X1240-VLOOKUP(U$38,$A$2:$N$12,14,FALSE)," ")," ")</f>
        <v xml:space="preserve"> </v>
      </c>
      <c r="AA1240" s="34">
        <f t="shared" ref="AA1240" si="5259">$M$3</f>
        <v>0</v>
      </c>
      <c r="AB1240" s="34">
        <v>-1</v>
      </c>
      <c r="AC1240" s="34">
        <f t="shared" ref="AC1240" si="5260">-SUMPRODUCT($M$2:$M$2,$N$2:$N$2)-SUMPRODUCT($M$4:$M$12,$N$4:$N$12)</f>
        <v>-120000</v>
      </c>
      <c r="AD1240" s="34" t="e">
        <f t="shared" ref="AD1240" si="5261">IF(AA1240&lt;&gt;AA1241,MMULT(MINVERSE(AA1240:AB1241),AC1240:AC1241)," ")</f>
        <v>#NUM!</v>
      </c>
      <c r="AE1240" s="34" t="str">
        <f t="shared" ref="AE1240" si="5262">IFERROR(IF(AD1240-VLOOKUP(AA$38,$A$2:$N$12,14,FALSE)&lt;0,AD1240-VLOOKUP(AA$38,$A$2:$N$12,14,FALSE)," ")," ")</f>
        <v xml:space="preserve"> </v>
      </c>
      <c r="AF1240" s="34" t="str">
        <f t="shared" ref="AF1240" si="5263">IFERROR(IF(AD1240-VLOOKUP(AA$38,$A$2:$N$12,14,FALSE)&gt;0,AD1240-VLOOKUP(AA$38,$A$2:$N$12,14,FALSE)," ")," ")</f>
        <v xml:space="preserve"> </v>
      </c>
      <c r="AG1240" s="34">
        <f t="shared" ref="AG1240" si="5264">$M$4</f>
        <v>300</v>
      </c>
      <c r="AH1240" s="34">
        <v>-1</v>
      </c>
      <c r="AI1240" s="34">
        <f t="shared" ref="AI1240" si="5265">-SUMPRODUCT($M$2:$M$3,$N$2:$N$3)-SUMPRODUCT($M$5:$M$12,$N$5:$N$12)</f>
        <v>-15000.000000000002</v>
      </c>
      <c r="AJ1240" s="34" t="e">
        <f t="shared" ref="AJ1240" si="5266">IF(AG1240&lt;&gt;AG1241,MMULT(MINVERSE(AG1240:AH1241),AI1240:AI1241)," ")</f>
        <v>#NUM!</v>
      </c>
      <c r="AK1240" s="34" t="str">
        <f t="shared" ref="AK1240" si="5267">IFERROR(IF(AJ1240-VLOOKUP(AG$38,$A$2:$N$12,14,FALSE)&lt;0,AJ1240-VLOOKUP(AG$38,$A$2:$N$12,14,FALSE)," ")," ")</f>
        <v xml:space="preserve"> </v>
      </c>
      <c r="AL1240" s="34" t="str">
        <f t="shared" ref="AL1240" si="5268">IFERROR(IF(AJ1240-VLOOKUP(AG$38,$A$2:$N$12,14,FALSE)&gt;0,AJ1240-VLOOKUP(AG$38,$A$2:$N$12,14,FALSE)," ")," ")</f>
        <v xml:space="preserve"> </v>
      </c>
      <c r="AM1240" s="34">
        <f t="shared" ref="AM1240" si="5269">$M$5</f>
        <v>0</v>
      </c>
      <c r="AN1240" s="34">
        <v>-1</v>
      </c>
      <c r="AO1240" s="34">
        <f t="shared" ref="AO1240" si="5270">-SUMPRODUCT($M$2:$M$4,$N$2:$N$4)-SUMPRODUCT($M$6:$M$12,$N$6:$N$12)</f>
        <v>-120000</v>
      </c>
      <c r="AP1240" s="34" t="e">
        <f t="shared" ref="AP1240" si="5271">IF(AM1240&lt;&gt;AM1241,MMULT(MINVERSE(AM1240:AN1241),AO1240:AO1241)," ")</f>
        <v>#NUM!</v>
      </c>
      <c r="AQ1240" s="34" t="str">
        <f t="shared" ref="AQ1240" si="5272">IFERROR(IF(AP1240-VLOOKUP(AM$38,$A$2:$N$12,14,FALSE)&lt;0,AP1240-VLOOKUP(AM$38,$A$2:$N$12,14,FALSE)," ")," ")</f>
        <v xml:space="preserve"> </v>
      </c>
      <c r="AR1240" s="34" t="str">
        <f t="shared" ref="AR1240" si="5273">IFERROR(IF(AP1240-VLOOKUP(AM$38,$A$2:$N$12,14,FALSE)&gt;0,AP1240-VLOOKUP(AM$38,$A$2:$N$12,14,FALSE)," ")," ")</f>
        <v xml:space="preserve"> </v>
      </c>
      <c r="AS1240" s="34">
        <f t="shared" ref="AS1240" si="5274">$M$6</f>
        <v>0</v>
      </c>
      <c r="AT1240" s="34">
        <v>-1</v>
      </c>
      <c r="AU1240" s="34">
        <f t="shared" ref="AU1240" si="5275">-SUMPRODUCT($M$2:$M$5,$N$2:$N$5)-SUMPRODUCT($M$7:$M$12,$N$7:$N$12)</f>
        <v>-120000</v>
      </c>
      <c r="AV1240" s="34" t="e">
        <f t="shared" ref="AV1240" si="5276">IF(AS1240&lt;&gt;AS1241,MMULT(MINVERSE(AS1240:AT1241),AU1240:AU1241)," ")</f>
        <v>#NUM!</v>
      </c>
      <c r="AW1240" s="34" t="str">
        <f t="shared" ref="AW1240" si="5277">IFERROR(IF(AV1240-VLOOKUP(AS$38,$A$2:$N$12,14,FALSE)&lt;0,AV1240-VLOOKUP(AS$38,$A$2:$N$12,14,FALSE)," ")," ")</f>
        <v xml:space="preserve"> </v>
      </c>
      <c r="AX1240" s="34" t="str">
        <f t="shared" ref="AX1240" si="5278">IFERROR(IF(AV1240-VLOOKUP(AS$38,$A$2:$N$12,14,FALSE)&gt;0,AV1240-VLOOKUP(AS$38,$A$2:$N$12,14,FALSE)," ")," ")</f>
        <v xml:space="preserve"> </v>
      </c>
      <c r="AY1240" s="34">
        <f t="shared" ref="AY1240" si="5279">$M$7</f>
        <v>0</v>
      </c>
      <c r="AZ1240" s="34">
        <v>-1</v>
      </c>
      <c r="BA1240" s="34">
        <f t="shared" ref="BA1240" si="5280">-SUMPRODUCT($M$2:$M$6,$N$2:$N$6)-SUMPRODUCT($M$8:$M$12,$N$8:$N$12)</f>
        <v>-120000</v>
      </c>
      <c r="BB1240" s="34" t="e">
        <f t="shared" ref="BB1240" si="5281">IF(AY1240&lt;&gt;AY1241,MMULT(MINVERSE(AY1240:AZ1241),BA1240:BA1241)," ")</f>
        <v>#NUM!</v>
      </c>
      <c r="BC1240" s="34" t="str">
        <f t="shared" ref="BC1240" si="5282">IFERROR(IF(BB1240-VLOOKUP(AY$38,$A$2:$N$12,14,FALSE)&lt;0,BB1240-VLOOKUP(AY$38,$A$2:$N$12,14,FALSE)," ")," ")</f>
        <v xml:space="preserve"> </v>
      </c>
      <c r="BD1240" s="34" t="str">
        <f t="shared" ref="BD1240" si="5283">IFERROR(IF(BB1240-VLOOKUP(AY$38,$A$2:$N$12,14,FALSE)&gt;0,BB1240-VLOOKUP(AY$38,$A$2:$N$12,14,FALSE)," ")," ")</f>
        <v xml:space="preserve"> </v>
      </c>
      <c r="BE1240" s="34">
        <f t="shared" ref="BE1240" si="5284">$M$8</f>
        <v>0</v>
      </c>
      <c r="BF1240" s="34">
        <v>-1</v>
      </c>
      <c r="BG1240" s="34">
        <f t="shared" ref="BG1240" si="5285">-SUMPRODUCT($M$2:$M$7,$N$2:$N$7)-SUMPRODUCT($M$9:$M$12,$N$9:$N$12)</f>
        <v>-120000</v>
      </c>
      <c r="BH1240" s="34" t="e">
        <f t="shared" ref="BH1240" si="5286">IF(BE1240&lt;&gt;BE1241,MMULT(MINVERSE(BE1240:BF1241),BG1240:BG1241)," ")</f>
        <v>#NUM!</v>
      </c>
      <c r="BI1240" s="34" t="str">
        <f t="shared" ref="BI1240" si="5287">IFERROR(IF(BH1240-VLOOKUP(BE$38,$A$2:$N$12,14,FALSE)&lt;0,BH1240-VLOOKUP(BE$38,$A$2:$N$12,14,FALSE)," ")," ")</f>
        <v xml:space="preserve"> </v>
      </c>
      <c r="BJ1240" s="34" t="str">
        <f t="shared" ref="BJ1240" si="5288">IFERROR(IF(BH1240-VLOOKUP(BE$38,$A$2:$N$12,14,FALSE)&gt;0,BH1240-VLOOKUP(BE$38,$A$2:$N$12,14,FALSE)," ")," ")</f>
        <v xml:space="preserve"> </v>
      </c>
      <c r="BK1240" s="34">
        <f t="shared" ref="BK1240" si="5289">$M$9</f>
        <v>0</v>
      </c>
      <c r="BL1240" s="34">
        <v>-1</v>
      </c>
      <c r="BM1240" s="34">
        <f t="shared" ref="BM1240" si="5290">-SUMPRODUCT($M$2:$M$8,$N$2:$N$8)-SUMPRODUCT($M$10:$M$12,$N$10:$N$12)</f>
        <v>-120000</v>
      </c>
      <c r="BN1240" s="34" t="e">
        <f t="shared" ref="BN1240" si="5291">IF(BK1240&lt;&gt;BK1241,MMULT(MINVERSE(BK1240:BL1241),BM1240:BM1241)," ")</f>
        <v>#NUM!</v>
      </c>
      <c r="BO1240" s="34" t="str">
        <f t="shared" ref="BO1240" si="5292">IFERROR(IF(BN1240-VLOOKUP(BK$38,$A$2:$N$12,14,FALSE)&lt;0,BN1240-VLOOKUP(BK$38,$A$2:$N$12,14,FALSE)," ")," ")</f>
        <v xml:space="preserve"> </v>
      </c>
      <c r="BP1240" s="34" t="str">
        <f t="shared" ref="BP1240" si="5293">IFERROR(IF(BN1240-VLOOKUP(BK$38,$A$2:$N$12,14,FALSE)&gt;0,BN1240-VLOOKUP(BK$38,$A$2:$N$12,14,FALSE)," ")," ")</f>
        <v xml:space="preserve"> </v>
      </c>
      <c r="BQ1240" s="34">
        <f t="shared" ref="BQ1240" si="5294">$M$10</f>
        <v>0</v>
      </c>
      <c r="BR1240" s="34">
        <v>-1</v>
      </c>
      <c r="BS1240" s="34">
        <f t="shared" ref="BS1240" si="5295">-SUMPRODUCT($M$2:$M$9,$N$2:$N$9)-SUMPRODUCT($M$11:$M$12,$N$11:$N$12)</f>
        <v>-120000</v>
      </c>
      <c r="BT1240" s="34" t="e">
        <f t="shared" ref="BT1240" si="5296">IF(BQ1240&lt;&gt;BQ1241,MMULT(MINVERSE(BQ1240:BR1241),BS1240:BS1241)," ")</f>
        <v>#NUM!</v>
      </c>
      <c r="BU1240" s="34" t="str">
        <f t="shared" ref="BU1240" si="5297">IFERROR(IF(BT1240-VLOOKUP(BQ$38,$A$2:$N$12,14,FALSE)&lt;0,BT1240-VLOOKUP(BQ$38,$A$2:$N$12,14,FALSE)," ")," ")</f>
        <v xml:space="preserve"> </v>
      </c>
      <c r="BV1240" s="34" t="str">
        <f t="shared" ref="BV1240" si="5298">IFERROR(IF(BT1240-VLOOKUP(BQ$38,$A$2:$N$12,14,FALSE)&gt;0,BT1240-VLOOKUP(BQ$38,$A$2:$N$12,14,FALSE)," ")," ")</f>
        <v xml:space="preserve"> </v>
      </c>
      <c r="BW1240" s="34">
        <f t="shared" ref="BW1240" si="5299">$M$11</f>
        <v>0</v>
      </c>
      <c r="BX1240" s="34">
        <v>-1</v>
      </c>
      <c r="BY1240" s="34">
        <f t="shared" ref="BY1240" si="5300">-SUMPRODUCT($M$2:$M$10,$N$2:$N$10)-SUMPRODUCT($M$12,$N$12)</f>
        <v>-120000</v>
      </c>
      <c r="BZ1240" s="34" t="e">
        <f t="shared" ref="BZ1240" si="5301">IF(BW1240&lt;&gt;BW1241,MMULT(MINVERSE(BW1240:BX1241),BY1240:BY1241)," ")</f>
        <v>#NUM!</v>
      </c>
      <c r="CA1240" s="34" t="str">
        <f t="shared" ref="CA1240" si="5302">IFERROR(IF(BZ1240-VLOOKUP(BW$38,$A$2:$N$12,14,FALSE)&lt;0,BZ1240-VLOOKUP(BW$38,$A$2:$N$12,14,FALSE)," ")," ")</f>
        <v xml:space="preserve"> </v>
      </c>
      <c r="CB1240" s="34" t="str">
        <f t="shared" ref="CB1240" si="5303">IFERROR(IF(BZ1240-VLOOKUP(BW$38,$A$2:$N$12,14,FALSE)&gt;0,BZ1240-VLOOKUP(BW$38,$A$2:$N$12,14,FALSE)," ")," ")</f>
        <v xml:space="preserve"> </v>
      </c>
      <c r="CC1240" s="34">
        <f t="shared" ref="CC1240" si="5304">$M$12</f>
        <v>0</v>
      </c>
      <c r="CD1240" s="34">
        <v>-1</v>
      </c>
      <c r="CE1240" s="34">
        <f t="shared" ref="CE1240" si="5305">-SUMPRODUCT($M$2:$M$11,$N$2:$N$11)</f>
        <v>-120000</v>
      </c>
      <c r="CF1240" s="34" t="e">
        <f t="shared" ref="CF1240" si="5306">IF(CC1240&lt;&gt;CC1241,MMULT(MINVERSE(CC1240:CD1241),CE1240:CE1241)," ")</f>
        <v>#NUM!</v>
      </c>
      <c r="CG1240" s="34" t="str">
        <f t="shared" ref="CG1240" si="5307">IFERROR(IF(CF1240-VLOOKUP(CC$38,$A$2:$N$12,14,FALSE)&lt;0,CF1240-VLOOKUP(CC$38,$A$2:$N$12,14,FALSE)," ")," ")</f>
        <v xml:space="preserve"> </v>
      </c>
      <c r="CH1240" s="34" t="str">
        <f t="shared" ref="CH1240" si="5308">IFERROR(IF(CF1240-VLOOKUP(CC$38,$A$2:$N$12,14,FALSE)&gt;0,CF1240-VLOOKUP(CC$38,$A$2:$N$12,14,FALSE)," ")," ")</f>
        <v xml:space="preserve"> </v>
      </c>
      <c r="CI1240" s="8"/>
    </row>
    <row r="1241" spans="1:87" x14ac:dyDescent="0.2">
      <c r="A1241" s="8" t="str">
        <f>IF(AND(COUNTIF(W$3:W$13,A$16)&gt;0,A$16&lt;&gt;B1054),A$16,IFERROR(IF(MATCH(A$16,Z$3:Z$13,0)=9,A$16," ")," "))</f>
        <v xml:space="preserve"> </v>
      </c>
      <c r="B1241" s="8" t="str">
        <f>IF(A1241=" "," ",MAX(B1240:B1240)+1)</f>
        <v xml:space="preserve"> </v>
      </c>
      <c r="C1241" s="8" t="str">
        <f>IFERROR(INDEX(A1240:A1261,MATCH(SMALL(B1240:B1261,2),B1240:B1261,0),1)," ")</f>
        <v>C4</v>
      </c>
      <c r="D1241" s="8">
        <f t="shared" ref="D1241:D1250" si="5309">IFERROR(VLOOKUP($C1241,$A$15:$O$36,2,FALSE)," ")</f>
        <v>1</v>
      </c>
      <c r="E1241" s="8">
        <f t="shared" ref="E1241:E1250" si="5310">IFERROR(VLOOKUP($C1241,$A$15:$O$36,3,FALSE)," ")</f>
        <v>0</v>
      </c>
      <c r="F1241" s="8">
        <f t="shared" ref="F1241:F1250" si="5311">IFERROR(VLOOKUP($C1241,$A$15:$O$36,4,FALSE)," ")</f>
        <v>1</v>
      </c>
      <c r="G1241" s="8">
        <f t="shared" ref="G1241:G1250" si="5312">IFERROR(VLOOKUP($C1241,$A$15:$O$36,5,FALSE)," ")</f>
        <v>0</v>
      </c>
      <c r="H1241" s="8">
        <f t="shared" ref="H1241:H1250" si="5313">IFERROR(VLOOKUP($C1241,$A$15:$O$36,6,FALSE)," ")</f>
        <v>0</v>
      </c>
      <c r="I1241" s="8">
        <f t="shared" ref="I1241:I1250" si="5314">IFERROR(VLOOKUP($C1241,$A$15:$O$36,7,FALSE)," ")</f>
        <v>0</v>
      </c>
      <c r="J1241" s="8">
        <f t="shared" ref="J1241:J1250" si="5315">IFERROR(VLOOKUP($C1241,$A$15:$O$36,8,FALSE)," ")</f>
        <v>0</v>
      </c>
      <c r="K1241" s="8">
        <f t="shared" ref="K1241:K1250" si="5316">IFERROR(VLOOKUP($C1241,$A$15:$O$36,9,FALSE)," ")</f>
        <v>0</v>
      </c>
      <c r="L1241" s="8">
        <f t="shared" ref="L1241:L1250" si="5317">IFERROR(VLOOKUP($C1241,$A$15:$O$36,10,FALSE)," ")</f>
        <v>0</v>
      </c>
      <c r="M1241" s="8">
        <f t="shared" ref="M1241:M1250" si="5318">IFERROR(VLOOKUP($C1241,$A$15:$O$36,11,FALSE)," ")</f>
        <v>0</v>
      </c>
      <c r="N1241" s="8">
        <f t="shared" ref="N1241:N1250" si="5319">IFERROR(VLOOKUP($C1241,$A$15:$O$36,12,FALSE)," ")</f>
        <v>0</v>
      </c>
      <c r="O1241" s="8">
        <f t="shared" ref="O1241:O1250" si="5320">IFERROR(VLOOKUP($C1241,$A$15:$O$36,15,FALSE)," ")</f>
        <v>400</v>
      </c>
      <c r="P1241" s="8" t="e">
        <v>#NUM!</v>
      </c>
      <c r="Q1241" s="8" t="e">
        <f t="shared" ref="Q1241" si="5321">IF(COUNTIF(P1240:P1250,"&lt;"&amp;-0.001)=0,IF(ABS(P1241)&lt;0.001,0,P1241)," ")</f>
        <v>#NUM!</v>
      </c>
      <c r="R1241" s="8"/>
      <c r="S1241" s="8"/>
      <c r="U1241" s="34" t="e">
        <f t="shared" ref="U1241" si="5322">$Q1240</f>
        <v>#NUM!</v>
      </c>
      <c r="V1241" s="34">
        <v>-1</v>
      </c>
      <c r="W1241" s="34" t="e">
        <f t="shared" ref="W1241" si="5323">-SUMPRODUCT($Q1241:$Q1250,$N$3:$N$12)</f>
        <v>#NUM!</v>
      </c>
      <c r="X1241" s="34"/>
      <c r="Y1241" s="34"/>
      <c r="Z1241" s="34"/>
      <c r="AA1241" s="34" t="e">
        <f t="shared" ref="AA1241" si="5324">$Q1241</f>
        <v>#NUM!</v>
      </c>
      <c r="AB1241" s="34">
        <v>-1</v>
      </c>
      <c r="AC1241" s="34" t="e">
        <f t="shared" ref="AC1241" si="5325">-SUMPRODUCT($Q1240:$Q1240,$N$2:$N$2)-SUMPRODUCT($Q1242:$Q1250,$N$4:$N$12)</f>
        <v>#NUM!</v>
      </c>
      <c r="AD1241" s="34"/>
      <c r="AE1241" s="34"/>
      <c r="AF1241" s="34"/>
      <c r="AG1241" s="34" t="e">
        <f t="shared" ref="AG1241" si="5326">$Q1242</f>
        <v>#NUM!</v>
      </c>
      <c r="AH1241" s="34">
        <v>-1</v>
      </c>
      <c r="AI1241" s="34" t="e">
        <f t="shared" ref="AI1241" si="5327">-SUMPRODUCT($Q1240:$Q1241,$N$2:$N$3)-SUMPRODUCT($Q1243:$Q1250,$N$5:$N$12)</f>
        <v>#NUM!</v>
      </c>
      <c r="AJ1241" s="34"/>
      <c r="AK1241" s="34"/>
      <c r="AL1241" s="34"/>
      <c r="AM1241" s="34" t="e">
        <f t="shared" ref="AM1241" si="5328">$Q1243</f>
        <v>#NUM!</v>
      </c>
      <c r="AN1241" s="34">
        <v>-1</v>
      </c>
      <c r="AO1241" s="34" t="e">
        <f t="shared" ref="AO1241" si="5329">-SUMPRODUCT($Q1240:$Q1242,$N$2:$N$4)-SUMPRODUCT($Q1244:$Q1250,$N$6:$N$12)</f>
        <v>#NUM!</v>
      </c>
      <c r="AP1241" s="34"/>
      <c r="AQ1241" s="34"/>
      <c r="AR1241" s="34"/>
      <c r="AS1241" s="34" t="e">
        <f t="shared" ref="AS1241" si="5330">$Q1244</f>
        <v>#NUM!</v>
      </c>
      <c r="AT1241" s="34">
        <v>-1</v>
      </c>
      <c r="AU1241" s="34" t="e">
        <f t="shared" ref="AU1241" si="5331">-SUMPRODUCT($Q1240:$Q1243,$N$2:$N$5)-SUMPRODUCT($Q1245:$Q1250,$N$7:$N$12)</f>
        <v>#NUM!</v>
      </c>
      <c r="AV1241" s="34"/>
      <c r="AW1241" s="34"/>
      <c r="AX1241" s="34"/>
      <c r="AY1241" s="34" t="e">
        <f t="shared" ref="AY1241" si="5332">$Q1245</f>
        <v>#NUM!</v>
      </c>
      <c r="AZ1241" s="34">
        <v>-1</v>
      </c>
      <c r="BA1241" s="34" t="e">
        <f t="shared" ref="BA1241" si="5333">-SUMPRODUCT($Q1240:$Q1244,$N$2:$N$6)-SUMPRODUCT($Q1246:$Q1250,$N$8:$N$12)</f>
        <v>#NUM!</v>
      </c>
      <c r="BB1241" s="34"/>
      <c r="BC1241" s="34"/>
      <c r="BD1241" s="34"/>
      <c r="BE1241" s="34" t="e">
        <f t="shared" ref="BE1241" si="5334">$Q1246</f>
        <v>#NUM!</v>
      </c>
      <c r="BF1241" s="34">
        <v>-1</v>
      </c>
      <c r="BG1241" s="34" t="e">
        <f t="shared" ref="BG1241" si="5335">-SUMPRODUCT($Q1240:$Q1245,$N$2:$N$7)-SUMPRODUCT($Q1247:$Q1250,$N$9:$N$12)</f>
        <v>#NUM!</v>
      </c>
      <c r="BH1241" s="34"/>
      <c r="BI1241" s="34"/>
      <c r="BJ1241" s="34"/>
      <c r="BK1241" s="34" t="e">
        <f t="shared" ref="BK1241" si="5336">$Q1247</f>
        <v>#NUM!</v>
      </c>
      <c r="BL1241" s="34">
        <v>-1</v>
      </c>
      <c r="BM1241" s="34" t="e">
        <f t="shared" ref="BM1241" si="5337">-SUMPRODUCT($Q1240:$Q1246,$N$2:$N$8)-SUMPRODUCT($Q1248:$Q1250,$N$10:$N$12)</f>
        <v>#NUM!</v>
      </c>
      <c r="BN1241" s="34"/>
      <c r="BO1241" s="34"/>
      <c r="BP1241" s="34"/>
      <c r="BQ1241" s="34" t="e">
        <f t="shared" ref="BQ1241" si="5338">$Q1248</f>
        <v>#NUM!</v>
      </c>
      <c r="BR1241" s="34">
        <v>-1</v>
      </c>
      <c r="BS1241" s="34" t="e">
        <f t="shared" ref="BS1241" si="5339">-SUMPRODUCT($Q1240:$Q1247,$N$2:$N$9)-SUMPRODUCT($Q1249:$Q1250,$N$11:$N$12)</f>
        <v>#NUM!</v>
      </c>
      <c r="BT1241" s="34"/>
      <c r="BU1241" s="34"/>
      <c r="BV1241" s="34"/>
      <c r="BW1241" s="34" t="e">
        <f t="shared" ref="BW1241" si="5340">$Q1249</f>
        <v>#NUM!</v>
      </c>
      <c r="BX1241" s="34">
        <v>-1</v>
      </c>
      <c r="BY1241" s="34" t="e">
        <f t="shared" ref="BY1241" si="5341">-SUMPRODUCT($Q1240:$Q1248,$N$2:$N$10)-SUMPRODUCT($Q1250,$N$12)</f>
        <v>#NUM!</v>
      </c>
      <c r="BZ1241" s="34"/>
      <c r="CA1241" s="34"/>
      <c r="CB1241" s="34"/>
      <c r="CC1241" s="34" t="e">
        <f t="shared" ref="CC1241" si="5342">$Q1250</f>
        <v>#NUM!</v>
      </c>
      <c r="CD1241" s="34">
        <v>-1</v>
      </c>
      <c r="CE1241" s="34" t="e">
        <f t="shared" ref="CE1241" si="5343">-SUMPRODUCT($Q1240:$Q1249,$N$2:$N$11)</f>
        <v>#NUM!</v>
      </c>
      <c r="CF1241" s="34"/>
      <c r="CG1241" s="34"/>
      <c r="CH1241" s="34"/>
      <c r="CI1241" s="8"/>
    </row>
    <row r="1242" spans="1:87" x14ac:dyDescent="0.2">
      <c r="A1242" s="8" t="str">
        <f>IF(AND(COUNTIF(W$3:W$13,A$17)&gt;0,A$17&lt;&gt;B1054),A$17,IFERROR(IF(MATCH(A$17,Z$3:Z$13,0)=9,A$17," ")," "))</f>
        <v>C3</v>
      </c>
      <c r="B1242" s="8">
        <f>IF(A1242=" "," ",MAX(B1240:B1241)+1)</f>
        <v>1</v>
      </c>
      <c r="C1242" s="8" t="str">
        <f>IFERROR(INDEX(A1240:A1261,MATCH(SMALL(B1240:B1261,3),B1240:B1261,0),1)," ")</f>
        <v>C11</v>
      </c>
      <c r="D1242" s="8">
        <f t="shared" si="5309"/>
        <v>0</v>
      </c>
      <c r="E1242" s="8">
        <f t="shared" si="5310"/>
        <v>0</v>
      </c>
      <c r="F1242" s="8">
        <f t="shared" si="5311"/>
        <v>0</v>
      </c>
      <c r="G1242" s="8">
        <f t="shared" si="5312"/>
        <v>0</v>
      </c>
      <c r="H1242" s="8">
        <f t="shared" si="5313"/>
        <v>0</v>
      </c>
      <c r="I1242" s="8">
        <f t="shared" si="5314"/>
        <v>0</v>
      </c>
      <c r="J1242" s="8">
        <f t="shared" si="5315"/>
        <v>0</v>
      </c>
      <c r="K1242" s="8">
        <f t="shared" si="5316"/>
        <v>0</v>
      </c>
      <c r="L1242" s="8">
        <f t="shared" si="5317"/>
        <v>0</v>
      </c>
      <c r="M1242" s="8">
        <f t="shared" si="5318"/>
        <v>0</v>
      </c>
      <c r="N1242" s="8">
        <f t="shared" si="5319"/>
        <v>0</v>
      </c>
      <c r="O1242" s="8">
        <f t="shared" si="5320"/>
        <v>0</v>
      </c>
      <c r="P1242" s="8" t="e">
        <v>#NUM!</v>
      </c>
      <c r="Q1242" s="8" t="e">
        <f t="shared" ref="Q1242" si="5344">IF(COUNTIF(P1240:P1250,"&lt;"&amp;-0.001)=0,IF(ABS(P1242)&lt;0.001,0,P1242)," ")</f>
        <v>#NUM!</v>
      </c>
      <c r="R1242" s="8"/>
      <c r="S1242" s="8"/>
      <c r="U1242" s="34"/>
      <c r="V1242" s="34"/>
      <c r="W1242" s="34"/>
      <c r="X1242" s="34"/>
      <c r="Y1242" s="34"/>
      <c r="Z1242" s="34"/>
      <c r="AA1242" s="34"/>
      <c r="AB1242" s="34"/>
      <c r="AC1242" s="34"/>
      <c r="AD1242" s="34"/>
      <c r="AE1242" s="34"/>
      <c r="AF1242" s="34"/>
      <c r="AG1242" s="34"/>
      <c r="AH1242" s="34"/>
      <c r="AI1242" s="34"/>
      <c r="AJ1242" s="34"/>
      <c r="AK1242" s="34"/>
      <c r="AL1242" s="34"/>
      <c r="AM1242" s="34"/>
      <c r="AN1242" s="34"/>
      <c r="AO1242" s="34"/>
      <c r="AP1242" s="34"/>
      <c r="AQ1242" s="34"/>
      <c r="AR1242" s="34"/>
      <c r="AS1242" s="34"/>
      <c r="AT1242" s="34"/>
      <c r="AU1242" s="34"/>
      <c r="AV1242" s="34"/>
      <c r="AW1242" s="34"/>
      <c r="AX1242" s="34"/>
      <c r="AY1242" s="34"/>
      <c r="AZ1242" s="34"/>
      <c r="BA1242" s="34"/>
      <c r="BB1242" s="34"/>
      <c r="BC1242" s="34"/>
      <c r="BD1242" s="34"/>
      <c r="BE1242" s="34"/>
      <c r="BF1242" s="34"/>
      <c r="BG1242" s="34"/>
      <c r="BH1242" s="34"/>
      <c r="BI1242" s="34"/>
      <c r="BJ1242" s="34"/>
      <c r="BK1242" s="34"/>
      <c r="BL1242" s="34"/>
      <c r="BM1242" s="34"/>
      <c r="BN1242" s="34"/>
      <c r="BO1242" s="34"/>
      <c r="BP1242" s="34"/>
      <c r="BQ1242" s="34"/>
      <c r="BR1242" s="34"/>
      <c r="BS1242" s="34"/>
      <c r="BT1242" s="34"/>
      <c r="BU1242" s="34"/>
      <c r="BV1242" s="34"/>
      <c r="BW1242" s="34"/>
      <c r="BX1242" s="34"/>
      <c r="BY1242" s="34"/>
      <c r="BZ1242" s="34"/>
      <c r="CA1242" s="34"/>
      <c r="CB1242" s="34"/>
      <c r="CC1242" s="34"/>
      <c r="CD1242" s="34"/>
      <c r="CE1242" s="34"/>
      <c r="CF1242" s="34"/>
      <c r="CG1242" s="34"/>
      <c r="CH1242" s="34"/>
      <c r="CI1242" s="8"/>
    </row>
    <row r="1243" spans="1:87" x14ac:dyDescent="0.2">
      <c r="A1243" s="8" t="str">
        <f>IF(AND(COUNTIF(W$3:W$13,A$18)&gt;0,A$18&lt;&gt;B1054),A$18,IFERROR(IF(MATCH(A$18,Z$3:Z$13,0)=9,A$18," ")," "))</f>
        <v>C4</v>
      </c>
      <c r="B1243" s="8">
        <f>IF(A1243=" "," ",MAX(B1240:B1242)+1)</f>
        <v>2</v>
      </c>
      <c r="C1243" s="8" t="str">
        <f>IFERROR(INDEX(A1240:A1261,MATCH(SMALL(B1240:B1261,4),B1240:B1261,0),1)," ")</f>
        <v>C13</v>
      </c>
      <c r="D1243" s="8">
        <f t="shared" si="5309"/>
        <v>0</v>
      </c>
      <c r="E1243" s="8">
        <f t="shared" si="5310"/>
        <v>1</v>
      </c>
      <c r="F1243" s="8">
        <f t="shared" si="5311"/>
        <v>0</v>
      </c>
      <c r="G1243" s="8">
        <f t="shared" si="5312"/>
        <v>0</v>
      </c>
      <c r="H1243" s="8">
        <f t="shared" si="5313"/>
        <v>0</v>
      </c>
      <c r="I1243" s="8">
        <f t="shared" si="5314"/>
        <v>0</v>
      </c>
      <c r="J1243" s="8">
        <f t="shared" si="5315"/>
        <v>0</v>
      </c>
      <c r="K1243" s="8">
        <f t="shared" si="5316"/>
        <v>0</v>
      </c>
      <c r="L1243" s="8">
        <f t="shared" si="5317"/>
        <v>0</v>
      </c>
      <c r="M1243" s="8">
        <f t="shared" si="5318"/>
        <v>0</v>
      </c>
      <c r="N1243" s="8">
        <f t="shared" si="5319"/>
        <v>0</v>
      </c>
      <c r="O1243" s="8">
        <f t="shared" si="5320"/>
        <v>0</v>
      </c>
      <c r="P1243" s="8" t="e">
        <v>#NUM!</v>
      </c>
      <c r="Q1243" s="8" t="e">
        <f t="shared" ref="Q1243" si="5345">IF(COUNTIF(P1240:P1250,"&lt;"&amp;-0.001)=0,IF(ABS(P1243)&lt;0.001,0,P1243)," ")</f>
        <v>#NUM!</v>
      </c>
      <c r="R1243" s="8"/>
      <c r="S1243" s="8"/>
      <c r="U1243" s="34"/>
      <c r="V1243" s="34"/>
      <c r="W1243" s="34"/>
      <c r="X1243" s="34"/>
      <c r="Y1243" s="34"/>
      <c r="Z1243" s="34"/>
      <c r="AA1243" s="34"/>
      <c r="AB1243" s="34"/>
      <c r="AC1243" s="34"/>
      <c r="AD1243" s="34"/>
      <c r="AE1243" s="34"/>
      <c r="AF1243" s="34"/>
      <c r="AG1243" s="34"/>
      <c r="AH1243" s="34"/>
      <c r="AI1243" s="34"/>
      <c r="AJ1243" s="34"/>
      <c r="AK1243" s="34"/>
      <c r="AL1243" s="34"/>
      <c r="AM1243" s="34"/>
      <c r="AN1243" s="34"/>
      <c r="AO1243" s="34"/>
      <c r="AP1243" s="34"/>
      <c r="AQ1243" s="34"/>
      <c r="AR1243" s="34"/>
      <c r="AS1243" s="34"/>
      <c r="AT1243" s="34"/>
      <c r="AU1243" s="34"/>
      <c r="AV1243" s="34"/>
      <c r="AW1243" s="34"/>
      <c r="AX1243" s="34"/>
      <c r="AY1243" s="34"/>
      <c r="AZ1243" s="34"/>
      <c r="BA1243" s="34"/>
      <c r="BB1243" s="34"/>
      <c r="BC1243" s="34"/>
      <c r="BD1243" s="34"/>
      <c r="BE1243" s="34"/>
      <c r="BF1243" s="34"/>
      <c r="BG1243" s="34"/>
      <c r="BH1243" s="34"/>
      <c r="BI1243" s="34"/>
      <c r="BJ1243" s="34"/>
      <c r="BK1243" s="34"/>
      <c r="BL1243" s="34"/>
      <c r="BM1243" s="34"/>
      <c r="BN1243" s="34"/>
      <c r="BO1243" s="34"/>
      <c r="BP1243" s="34"/>
      <c r="BQ1243" s="34"/>
      <c r="BR1243" s="34"/>
      <c r="BS1243" s="34"/>
      <c r="BT1243" s="34"/>
      <c r="BU1243" s="34"/>
      <c r="BV1243" s="34"/>
      <c r="BW1243" s="34"/>
      <c r="BX1243" s="34"/>
      <c r="BY1243" s="34"/>
      <c r="BZ1243" s="34"/>
      <c r="CA1243" s="34"/>
      <c r="CB1243" s="34"/>
      <c r="CC1243" s="34"/>
      <c r="CD1243" s="34"/>
      <c r="CE1243" s="34"/>
      <c r="CF1243" s="34"/>
      <c r="CG1243" s="34"/>
      <c r="CH1243" s="34"/>
      <c r="CI1243" s="8"/>
    </row>
    <row r="1244" spans="1:87" x14ac:dyDescent="0.2">
      <c r="A1244" s="8" t="str">
        <f>IF(AND(COUNTIF(W$3:W$13,A$19)&gt;0,A$19&lt;&gt;B1054),A$19,IFERROR(IF(MATCH(A$19,Z$3:Z$13,0)=9,A$19," ")," "))</f>
        <v xml:space="preserve"> </v>
      </c>
      <c r="B1244" s="8" t="str">
        <f>IF(A1244=" "," ",MAX(B1240:B1243)+1)</f>
        <v xml:space="preserve"> </v>
      </c>
      <c r="C1244" s="8" t="str">
        <f>IFERROR(INDEX(A1240:A1261,MATCH(SMALL(B1240:B1261,5),B1240:B1261,0),1)," ")</f>
        <v>C15</v>
      </c>
      <c r="D1244" s="8">
        <f t="shared" si="5309"/>
        <v>0</v>
      </c>
      <c r="E1244" s="8">
        <f t="shared" si="5310"/>
        <v>0</v>
      </c>
      <c r="F1244" s="8">
        <f t="shared" si="5311"/>
        <v>0</v>
      </c>
      <c r="G1244" s="8">
        <f t="shared" si="5312"/>
        <v>1</v>
      </c>
      <c r="H1244" s="8">
        <f t="shared" si="5313"/>
        <v>0</v>
      </c>
      <c r="I1244" s="8">
        <f t="shared" si="5314"/>
        <v>0</v>
      </c>
      <c r="J1244" s="8">
        <f t="shared" si="5315"/>
        <v>0</v>
      </c>
      <c r="K1244" s="8">
        <f t="shared" si="5316"/>
        <v>0</v>
      </c>
      <c r="L1244" s="8">
        <f t="shared" si="5317"/>
        <v>0</v>
      </c>
      <c r="M1244" s="8">
        <f t="shared" si="5318"/>
        <v>0</v>
      </c>
      <c r="N1244" s="8">
        <f t="shared" si="5319"/>
        <v>0</v>
      </c>
      <c r="O1244" s="8">
        <f t="shared" si="5320"/>
        <v>0</v>
      </c>
      <c r="P1244" s="8" t="e">
        <v>#NUM!</v>
      </c>
      <c r="Q1244" s="8" t="e">
        <f t="shared" ref="Q1244" si="5346">IF(COUNTIF(P1240:P1250,"&lt;"&amp;-0.001)=0,IF(ABS(P1244)&lt;0.001,0,P1244)," ")</f>
        <v>#NUM!</v>
      </c>
      <c r="R1244" s="8"/>
      <c r="S1244" s="8"/>
      <c r="U1244" s="34"/>
      <c r="V1244" s="34"/>
      <c r="W1244" s="34"/>
      <c r="X1244" s="34"/>
      <c r="Y1244" s="34"/>
      <c r="Z1244" s="34"/>
      <c r="AA1244" s="34"/>
      <c r="AB1244" s="34"/>
      <c r="AC1244" s="34"/>
      <c r="AD1244" s="34"/>
      <c r="AE1244" s="34"/>
      <c r="AF1244" s="34"/>
      <c r="AG1244" s="34"/>
      <c r="AH1244" s="34"/>
      <c r="AI1244" s="34"/>
      <c r="AJ1244" s="34"/>
      <c r="AK1244" s="34"/>
      <c r="AL1244" s="34"/>
      <c r="AM1244" s="34"/>
      <c r="AN1244" s="34"/>
      <c r="AO1244" s="34"/>
      <c r="AP1244" s="34"/>
      <c r="AQ1244" s="34"/>
      <c r="AR1244" s="34"/>
      <c r="AS1244" s="34"/>
      <c r="AT1244" s="34"/>
      <c r="AU1244" s="34"/>
      <c r="AV1244" s="34"/>
      <c r="AW1244" s="34"/>
      <c r="AX1244" s="34"/>
      <c r="AY1244" s="34"/>
      <c r="AZ1244" s="34"/>
      <c r="BA1244" s="34"/>
      <c r="BB1244" s="34"/>
      <c r="BC1244" s="34"/>
      <c r="BD1244" s="34"/>
      <c r="BE1244" s="34"/>
      <c r="BF1244" s="34"/>
      <c r="BG1244" s="34"/>
      <c r="BH1244" s="34"/>
      <c r="BI1244" s="34"/>
      <c r="BJ1244" s="34"/>
      <c r="BK1244" s="34"/>
      <c r="BL1244" s="34"/>
      <c r="BM1244" s="34"/>
      <c r="BN1244" s="34"/>
      <c r="BO1244" s="34"/>
      <c r="BP1244" s="34"/>
      <c r="BQ1244" s="34"/>
      <c r="BR1244" s="34"/>
      <c r="BS1244" s="34"/>
      <c r="BT1244" s="34"/>
      <c r="BU1244" s="34"/>
      <c r="BV1244" s="34"/>
      <c r="BW1244" s="34"/>
      <c r="BX1244" s="34"/>
      <c r="BY1244" s="34"/>
      <c r="BZ1244" s="34"/>
      <c r="CA1244" s="34"/>
      <c r="CB1244" s="34"/>
      <c r="CC1244" s="34"/>
      <c r="CD1244" s="34"/>
      <c r="CE1244" s="34"/>
      <c r="CF1244" s="34"/>
      <c r="CG1244" s="34"/>
      <c r="CH1244" s="34"/>
      <c r="CI1244" s="8"/>
    </row>
    <row r="1245" spans="1:87" x14ac:dyDescent="0.2">
      <c r="A1245" s="8" t="str">
        <f>IF(AND(COUNTIF(W$3:W$13,A$20)&gt;0,A$20&lt;&gt;B1054),A$20,IFERROR(IF(MATCH(A$20,Z$3:Z$13,0)=9,A$20," ")," "))</f>
        <v xml:space="preserve"> </v>
      </c>
      <c r="B1245" s="8" t="str">
        <f>IF(A1245=" "," ",MAX(B1240:B1244)+1)</f>
        <v xml:space="preserve"> </v>
      </c>
      <c r="C1245" s="8" t="str">
        <f>IFERROR(INDEX(A1240:A1261,MATCH(SMALL(B1240:B1261,6),B1240:B1261,0),1)," ")</f>
        <v>C17</v>
      </c>
      <c r="D1245" s="8">
        <f t="shared" si="5309"/>
        <v>0</v>
      </c>
      <c r="E1245" s="8">
        <f t="shared" si="5310"/>
        <v>0</v>
      </c>
      <c r="F1245" s="8">
        <f t="shared" si="5311"/>
        <v>0</v>
      </c>
      <c r="G1245" s="8">
        <f t="shared" si="5312"/>
        <v>0</v>
      </c>
      <c r="H1245" s="8">
        <f t="shared" si="5313"/>
        <v>0</v>
      </c>
      <c r="I1245" s="8">
        <f t="shared" si="5314"/>
        <v>1</v>
      </c>
      <c r="J1245" s="8">
        <f t="shared" si="5315"/>
        <v>0</v>
      </c>
      <c r="K1245" s="8">
        <f t="shared" si="5316"/>
        <v>0</v>
      </c>
      <c r="L1245" s="8">
        <f t="shared" si="5317"/>
        <v>0</v>
      </c>
      <c r="M1245" s="8">
        <f t="shared" si="5318"/>
        <v>0</v>
      </c>
      <c r="N1245" s="8">
        <f t="shared" si="5319"/>
        <v>0</v>
      </c>
      <c r="O1245" s="8">
        <f t="shared" si="5320"/>
        <v>0</v>
      </c>
      <c r="P1245" s="8" t="e">
        <v>#NUM!</v>
      </c>
      <c r="Q1245" s="8" t="e">
        <f t="shared" ref="Q1245" si="5347">IF(COUNTIF(P1240:P1250,"&lt;"&amp;-0.001)=0,IF(ABS(P1245)&lt;0.001,0,P1245)," ")</f>
        <v>#NUM!</v>
      </c>
      <c r="R1245" s="8"/>
      <c r="S1245" s="8"/>
      <c r="U1245" s="34"/>
      <c r="V1245" s="34"/>
      <c r="W1245" s="34"/>
      <c r="X1245" s="34"/>
      <c r="Y1245" s="34"/>
      <c r="Z1245" s="34"/>
      <c r="AA1245" s="34"/>
      <c r="AB1245" s="34"/>
      <c r="AC1245" s="34"/>
      <c r="AD1245" s="34"/>
      <c r="AE1245" s="34"/>
      <c r="AF1245" s="34"/>
      <c r="AG1245" s="34"/>
      <c r="AH1245" s="34"/>
      <c r="AI1245" s="34"/>
      <c r="AJ1245" s="34"/>
      <c r="AK1245" s="34"/>
      <c r="AL1245" s="34"/>
      <c r="AM1245" s="34"/>
      <c r="AN1245" s="34"/>
      <c r="AO1245" s="34"/>
      <c r="AP1245" s="34"/>
      <c r="AQ1245" s="34"/>
      <c r="AR1245" s="34"/>
      <c r="AS1245" s="34"/>
      <c r="AT1245" s="34"/>
      <c r="AU1245" s="34"/>
      <c r="AV1245" s="34"/>
      <c r="AW1245" s="34"/>
      <c r="AX1245" s="34"/>
      <c r="AY1245" s="34"/>
      <c r="AZ1245" s="34"/>
      <c r="BA1245" s="34"/>
      <c r="BB1245" s="34"/>
      <c r="BC1245" s="34"/>
      <c r="BD1245" s="34"/>
      <c r="BE1245" s="34"/>
      <c r="BF1245" s="34"/>
      <c r="BG1245" s="34"/>
      <c r="BH1245" s="34"/>
      <c r="BI1245" s="34"/>
      <c r="BJ1245" s="34"/>
      <c r="BK1245" s="34"/>
      <c r="BL1245" s="34"/>
      <c r="BM1245" s="34"/>
      <c r="BN1245" s="34"/>
      <c r="BO1245" s="34"/>
      <c r="BP1245" s="34"/>
      <c r="BQ1245" s="34"/>
      <c r="BR1245" s="34"/>
      <c r="BS1245" s="34"/>
      <c r="BT1245" s="34"/>
      <c r="BU1245" s="34"/>
      <c r="BV1245" s="34"/>
      <c r="BW1245" s="34"/>
      <c r="BX1245" s="34"/>
      <c r="BY1245" s="34"/>
      <c r="BZ1245" s="34"/>
      <c r="CA1245" s="34"/>
      <c r="CB1245" s="34"/>
      <c r="CC1245" s="34"/>
      <c r="CD1245" s="34"/>
      <c r="CE1245" s="34"/>
      <c r="CF1245" s="34"/>
      <c r="CG1245" s="34"/>
      <c r="CH1245" s="34"/>
      <c r="CI1245" s="8"/>
    </row>
    <row r="1246" spans="1:87" x14ac:dyDescent="0.2">
      <c r="A1246" s="8" t="str">
        <f>IF(AND(COUNTIF(W$3:W$13,A$21)&gt;0,A$21&lt;&gt;B1054),A$21,IFERROR(IF(MATCH(A$21,Z$3:Z$13,0)=9,A$21," ")," "))</f>
        <v xml:space="preserve"> </v>
      </c>
      <c r="B1246" s="8" t="str">
        <f>IF(A1246=" "," ",MAX(B1240:B1245)+1)</f>
        <v xml:space="preserve"> </v>
      </c>
      <c r="C1246" s="8" t="str">
        <f>IFERROR(INDEX(A1240:A1261,MATCH(SMALL(B1240:B1261,7),B1240:B1261,0),1)," ")</f>
        <v>C18</v>
      </c>
      <c r="D1246" s="8">
        <f t="shared" si="5309"/>
        <v>0</v>
      </c>
      <c r="E1246" s="8">
        <f t="shared" si="5310"/>
        <v>0</v>
      </c>
      <c r="F1246" s="8">
        <f t="shared" si="5311"/>
        <v>0</v>
      </c>
      <c r="G1246" s="8">
        <f t="shared" si="5312"/>
        <v>0</v>
      </c>
      <c r="H1246" s="8">
        <f t="shared" si="5313"/>
        <v>0</v>
      </c>
      <c r="I1246" s="8">
        <f t="shared" si="5314"/>
        <v>0</v>
      </c>
      <c r="J1246" s="8">
        <f t="shared" si="5315"/>
        <v>1</v>
      </c>
      <c r="K1246" s="8">
        <f t="shared" si="5316"/>
        <v>0</v>
      </c>
      <c r="L1246" s="8">
        <f t="shared" si="5317"/>
        <v>0</v>
      </c>
      <c r="M1246" s="8">
        <f t="shared" si="5318"/>
        <v>0</v>
      </c>
      <c r="N1246" s="8">
        <f t="shared" si="5319"/>
        <v>0</v>
      </c>
      <c r="O1246" s="8">
        <f t="shared" si="5320"/>
        <v>0</v>
      </c>
      <c r="P1246" s="8" t="e">
        <v>#NUM!</v>
      </c>
      <c r="Q1246" s="8" t="e">
        <f t="shared" ref="Q1246" si="5348">IF(COUNTIF(P1240:P1250,"&lt;"&amp;-0.001)=0,IF(ABS(P1246)&lt;0.001,0,P1246)," ")</f>
        <v>#NUM!</v>
      </c>
      <c r="R1246" s="8"/>
      <c r="S1246" s="8"/>
      <c r="U1246" s="34"/>
      <c r="V1246" s="34"/>
      <c r="W1246" s="34"/>
      <c r="X1246" s="34"/>
      <c r="Y1246" s="34"/>
      <c r="Z1246" s="34"/>
      <c r="AA1246" s="34"/>
      <c r="AB1246" s="34"/>
      <c r="AC1246" s="34"/>
      <c r="AD1246" s="34"/>
      <c r="AE1246" s="34"/>
      <c r="AF1246" s="34"/>
      <c r="AG1246" s="34"/>
      <c r="AH1246" s="34"/>
      <c r="AI1246" s="34"/>
      <c r="AJ1246" s="34"/>
      <c r="AK1246" s="34"/>
      <c r="AL1246" s="34"/>
      <c r="AM1246" s="34"/>
      <c r="AN1246" s="34"/>
      <c r="AO1246" s="34"/>
      <c r="AP1246" s="34"/>
      <c r="AQ1246" s="34"/>
      <c r="AR1246" s="34"/>
      <c r="AS1246" s="34"/>
      <c r="AT1246" s="34"/>
      <c r="AU1246" s="34"/>
      <c r="AV1246" s="34"/>
      <c r="AW1246" s="34"/>
      <c r="AX1246" s="34"/>
      <c r="AY1246" s="34"/>
      <c r="AZ1246" s="34"/>
      <c r="BA1246" s="34"/>
      <c r="BB1246" s="34"/>
      <c r="BC1246" s="34"/>
      <c r="BD1246" s="34"/>
      <c r="BE1246" s="34"/>
      <c r="BF1246" s="34"/>
      <c r="BG1246" s="34"/>
      <c r="BH1246" s="34"/>
      <c r="BI1246" s="34"/>
      <c r="BJ1246" s="34"/>
      <c r="BK1246" s="34"/>
      <c r="BL1246" s="34"/>
      <c r="BM1246" s="34"/>
      <c r="BN1246" s="34"/>
      <c r="BO1246" s="34"/>
      <c r="BP1246" s="34"/>
      <c r="BQ1246" s="34"/>
      <c r="BR1246" s="34"/>
      <c r="BS1246" s="34"/>
      <c r="BT1246" s="34"/>
      <c r="BU1246" s="34"/>
      <c r="BV1246" s="34"/>
      <c r="BW1246" s="34"/>
      <c r="BX1246" s="34"/>
      <c r="BY1246" s="34"/>
      <c r="BZ1246" s="34"/>
      <c r="CA1246" s="34"/>
      <c r="CB1246" s="34"/>
      <c r="CC1246" s="34"/>
      <c r="CD1246" s="34"/>
      <c r="CE1246" s="34"/>
      <c r="CF1246" s="34"/>
      <c r="CG1246" s="34"/>
      <c r="CH1246" s="34"/>
      <c r="CI1246" s="8"/>
    </row>
    <row r="1247" spans="1:87" x14ac:dyDescent="0.2">
      <c r="A1247" s="8" t="str">
        <f>IF(AND(COUNTIF(W$3:W$13,A$22)&gt;0,A$22&lt;&gt;B1054),A$22,IFERROR(IF(MATCH(A$22,Z$3:Z$13,0)=9,A$22," ")," "))</f>
        <v xml:space="preserve"> </v>
      </c>
      <c r="B1247" s="8" t="str">
        <f>IF(A1247=" "," ",MAX(B1240:B1246)+1)</f>
        <v xml:space="preserve"> </v>
      </c>
      <c r="C1247" s="8" t="str">
        <f>IFERROR(INDEX(A1240:A1261,MATCH(SMALL(B1240:B1261,8),B1240:B1261,0),1)," ")</f>
        <v>C19</v>
      </c>
      <c r="D1247" s="8">
        <f t="shared" si="5309"/>
        <v>0</v>
      </c>
      <c r="E1247" s="8">
        <f t="shared" si="5310"/>
        <v>0</v>
      </c>
      <c r="F1247" s="8">
        <f t="shared" si="5311"/>
        <v>0</v>
      </c>
      <c r="G1247" s="8">
        <f t="shared" si="5312"/>
        <v>0</v>
      </c>
      <c r="H1247" s="8">
        <f t="shared" si="5313"/>
        <v>0</v>
      </c>
      <c r="I1247" s="8">
        <f t="shared" si="5314"/>
        <v>0</v>
      </c>
      <c r="J1247" s="8">
        <f t="shared" si="5315"/>
        <v>0</v>
      </c>
      <c r="K1247" s="8">
        <f t="shared" si="5316"/>
        <v>1</v>
      </c>
      <c r="L1247" s="8">
        <f t="shared" si="5317"/>
        <v>0</v>
      </c>
      <c r="M1247" s="8">
        <f t="shared" si="5318"/>
        <v>0</v>
      </c>
      <c r="N1247" s="8">
        <f t="shared" si="5319"/>
        <v>0</v>
      </c>
      <c r="O1247" s="8">
        <f t="shared" si="5320"/>
        <v>0</v>
      </c>
      <c r="P1247" s="8" t="e">
        <v>#NUM!</v>
      </c>
      <c r="Q1247" s="8" t="e">
        <f t="shared" ref="Q1247" si="5349">IF(COUNTIF(P1240:P1250,"&lt;"&amp;-0.001)=0,IF(ABS(P1247)&lt;0.001,0,P1247)," ")</f>
        <v>#NUM!</v>
      </c>
      <c r="R1247" s="8"/>
      <c r="S1247" s="8"/>
      <c r="U1247" s="34"/>
      <c r="V1247" s="34"/>
      <c r="W1247" s="34"/>
      <c r="X1247" s="34"/>
      <c r="Y1247" s="34"/>
      <c r="Z1247" s="34"/>
      <c r="AA1247" s="34"/>
      <c r="AB1247" s="34"/>
      <c r="AC1247" s="34"/>
      <c r="AD1247" s="34"/>
      <c r="AE1247" s="34"/>
      <c r="AF1247" s="34"/>
      <c r="AG1247" s="34"/>
      <c r="AH1247" s="34"/>
      <c r="AI1247" s="34"/>
      <c r="AJ1247" s="34"/>
      <c r="AK1247" s="34"/>
      <c r="AL1247" s="34"/>
      <c r="AM1247" s="34"/>
      <c r="AN1247" s="34"/>
      <c r="AO1247" s="34"/>
      <c r="AP1247" s="34"/>
      <c r="AQ1247" s="34"/>
      <c r="AR1247" s="34"/>
      <c r="AS1247" s="34"/>
      <c r="AT1247" s="34"/>
      <c r="AU1247" s="34"/>
      <c r="AV1247" s="34"/>
      <c r="AW1247" s="34"/>
      <c r="AX1247" s="34"/>
      <c r="AY1247" s="34"/>
      <c r="AZ1247" s="34"/>
      <c r="BA1247" s="34"/>
      <c r="BB1247" s="34"/>
      <c r="BC1247" s="34"/>
      <c r="BD1247" s="34"/>
      <c r="BE1247" s="34"/>
      <c r="BF1247" s="34"/>
      <c r="BG1247" s="34"/>
      <c r="BH1247" s="34"/>
      <c r="BI1247" s="34"/>
      <c r="BJ1247" s="34"/>
      <c r="BK1247" s="34"/>
      <c r="BL1247" s="34"/>
      <c r="BM1247" s="34"/>
      <c r="BN1247" s="34"/>
      <c r="BO1247" s="34"/>
      <c r="BP1247" s="34"/>
      <c r="BQ1247" s="34"/>
      <c r="BR1247" s="34"/>
      <c r="BS1247" s="34"/>
      <c r="BT1247" s="34"/>
      <c r="BU1247" s="34"/>
      <c r="BV1247" s="34"/>
      <c r="BW1247" s="34"/>
      <c r="BX1247" s="34"/>
      <c r="BY1247" s="34"/>
      <c r="BZ1247" s="34"/>
      <c r="CA1247" s="34"/>
      <c r="CB1247" s="34"/>
      <c r="CC1247" s="34"/>
      <c r="CD1247" s="34"/>
      <c r="CE1247" s="34"/>
      <c r="CF1247" s="34"/>
      <c r="CG1247" s="34"/>
      <c r="CH1247" s="34"/>
      <c r="CI1247" s="8"/>
    </row>
    <row r="1248" spans="1:87" x14ac:dyDescent="0.2">
      <c r="A1248" s="8" t="str">
        <f>IF(AND(COUNTIF(W$3:W$13,A$23)&gt;0,A$23&lt;&gt;B1054),A$23,IFERROR(IF(MATCH(A$23,Z$3:Z$13,0)=9,A$23," ")," "))</f>
        <v xml:space="preserve"> </v>
      </c>
      <c r="B1248" s="8" t="str">
        <f>IF(A1248=" "," ",MAX(B1240:B1247)+1)</f>
        <v xml:space="preserve"> </v>
      </c>
      <c r="C1248" s="8" t="str">
        <f>IFERROR(INDEX(A1240:A1261,MATCH(SMALL(B1240:B1261,9),B1240:B1261,0),1)," ")</f>
        <v>C20</v>
      </c>
      <c r="D1248" s="8">
        <f t="shared" si="5309"/>
        <v>0</v>
      </c>
      <c r="E1248" s="8">
        <f t="shared" si="5310"/>
        <v>0</v>
      </c>
      <c r="F1248" s="8">
        <f t="shared" si="5311"/>
        <v>0</v>
      </c>
      <c r="G1248" s="8">
        <f t="shared" si="5312"/>
        <v>0</v>
      </c>
      <c r="H1248" s="8">
        <f t="shared" si="5313"/>
        <v>0</v>
      </c>
      <c r="I1248" s="8">
        <f t="shared" si="5314"/>
        <v>0</v>
      </c>
      <c r="J1248" s="8">
        <f t="shared" si="5315"/>
        <v>0</v>
      </c>
      <c r="K1248" s="8">
        <f t="shared" si="5316"/>
        <v>0</v>
      </c>
      <c r="L1248" s="8">
        <f t="shared" si="5317"/>
        <v>1</v>
      </c>
      <c r="M1248" s="8">
        <f t="shared" si="5318"/>
        <v>0</v>
      </c>
      <c r="N1248" s="8">
        <f t="shared" si="5319"/>
        <v>0</v>
      </c>
      <c r="O1248" s="8">
        <f t="shared" si="5320"/>
        <v>0</v>
      </c>
      <c r="P1248" s="6" t="e">
        <v>#NUM!</v>
      </c>
      <c r="Q1248" s="8" t="e">
        <f t="shared" ref="Q1248" si="5350">IF(COUNTIF(P1240:P1250,"&lt;"&amp;-0.001)=0,IF(ABS(P1248)&lt;0.001,0,P1248)," ")</f>
        <v>#NUM!</v>
      </c>
      <c r="R1248" s="8"/>
      <c r="S1248" s="8"/>
      <c r="U1248" s="34"/>
      <c r="V1248" s="34"/>
      <c r="W1248" s="34"/>
      <c r="X1248" s="34"/>
      <c r="Y1248" s="34"/>
      <c r="Z1248" s="34"/>
      <c r="AA1248" s="34"/>
      <c r="AB1248" s="34"/>
      <c r="AC1248" s="34"/>
      <c r="AD1248" s="34"/>
      <c r="AE1248" s="34"/>
      <c r="AF1248" s="34"/>
      <c r="AG1248" s="34"/>
      <c r="AH1248" s="34"/>
      <c r="AI1248" s="34"/>
      <c r="AJ1248" s="34"/>
      <c r="AK1248" s="34"/>
      <c r="AL1248" s="34"/>
      <c r="AM1248" s="34"/>
      <c r="AN1248" s="34"/>
      <c r="AO1248" s="34"/>
      <c r="AP1248" s="34"/>
      <c r="AQ1248" s="34"/>
      <c r="AR1248" s="34"/>
      <c r="AS1248" s="34"/>
      <c r="AT1248" s="34"/>
      <c r="AU1248" s="34"/>
      <c r="AV1248" s="34"/>
      <c r="AW1248" s="34"/>
      <c r="AX1248" s="34"/>
      <c r="AY1248" s="34"/>
      <c r="AZ1248" s="34"/>
      <c r="BA1248" s="34"/>
      <c r="BB1248" s="34"/>
      <c r="BC1248" s="34"/>
      <c r="BD1248" s="34"/>
      <c r="BE1248" s="34"/>
      <c r="BF1248" s="34"/>
      <c r="BG1248" s="34"/>
      <c r="BH1248" s="34"/>
      <c r="BI1248" s="34"/>
      <c r="BJ1248" s="34"/>
      <c r="BK1248" s="34"/>
      <c r="BL1248" s="34"/>
      <c r="BM1248" s="34"/>
      <c r="BN1248" s="34"/>
      <c r="BO1248" s="34"/>
      <c r="BP1248" s="34"/>
      <c r="BQ1248" s="34"/>
      <c r="BR1248" s="34"/>
      <c r="BS1248" s="34"/>
      <c r="BT1248" s="34"/>
      <c r="BU1248" s="34"/>
      <c r="BV1248" s="34"/>
      <c r="BW1248" s="34"/>
      <c r="BX1248" s="34"/>
      <c r="BY1248" s="34"/>
      <c r="BZ1248" s="34"/>
      <c r="CA1248" s="34"/>
      <c r="CB1248" s="34"/>
      <c r="CC1248" s="34"/>
      <c r="CD1248" s="34"/>
      <c r="CE1248" s="34"/>
      <c r="CF1248" s="34"/>
      <c r="CG1248" s="34"/>
      <c r="CH1248" s="34"/>
      <c r="CI1248" s="8"/>
    </row>
    <row r="1249" spans="1:87" x14ac:dyDescent="0.2">
      <c r="A1249" s="8" t="str">
        <f>IF(AND(COUNTIF(W$3:W$13,A$24)&gt;0,A$24&lt;&gt;B1054),A$24,IFERROR(IF(MATCH(A$24,Z$3:Z$13,0)=9,A$24," ")," "))</f>
        <v xml:space="preserve"> </v>
      </c>
      <c r="B1249" s="8" t="str">
        <f>IF(A1249=" "," ",MAX(B1240:B1248)+1)</f>
        <v xml:space="preserve"> </v>
      </c>
      <c r="C1249" s="8" t="str">
        <f>IFERROR(INDEX(A1240:A1261,MATCH(SMALL(B1240:B1261,10),B1240:B1261,0),1)," ")</f>
        <v>C21</v>
      </c>
      <c r="D1249" s="8">
        <f t="shared" si="5309"/>
        <v>0</v>
      </c>
      <c r="E1249" s="8">
        <f t="shared" si="5310"/>
        <v>0</v>
      </c>
      <c r="F1249" s="8">
        <f t="shared" si="5311"/>
        <v>0</v>
      </c>
      <c r="G1249" s="8">
        <f t="shared" si="5312"/>
        <v>0</v>
      </c>
      <c r="H1249" s="8">
        <f t="shared" si="5313"/>
        <v>0</v>
      </c>
      <c r="I1249" s="8">
        <f t="shared" si="5314"/>
        <v>0</v>
      </c>
      <c r="J1249" s="8">
        <f t="shared" si="5315"/>
        <v>0</v>
      </c>
      <c r="K1249" s="8">
        <f t="shared" si="5316"/>
        <v>0</v>
      </c>
      <c r="L1249" s="8">
        <f t="shared" si="5317"/>
        <v>0</v>
      </c>
      <c r="M1249" s="8">
        <f t="shared" si="5318"/>
        <v>1</v>
      </c>
      <c r="N1249" s="8">
        <f t="shared" si="5319"/>
        <v>0</v>
      </c>
      <c r="O1249" s="8">
        <f t="shared" si="5320"/>
        <v>0</v>
      </c>
      <c r="P1249" s="8" t="e">
        <v>#NUM!</v>
      </c>
      <c r="Q1249" s="8" t="e">
        <f t="shared" ref="Q1249" si="5351">IF(COUNTIF(P1240:P1250,"&lt;"&amp;-0.001)=0,IF(ABS(P1249)&lt;0.001,0,P1249)," ")</f>
        <v>#NUM!</v>
      </c>
      <c r="R1249" s="8"/>
      <c r="S1249" s="8"/>
      <c r="U1249" s="34"/>
      <c r="V1249" s="34"/>
      <c r="W1249" s="34"/>
      <c r="X1249" s="34"/>
      <c r="Y1249" s="34"/>
      <c r="Z1249" s="34"/>
      <c r="AA1249" s="34"/>
      <c r="AB1249" s="34"/>
      <c r="AC1249" s="34"/>
      <c r="AD1249" s="34"/>
      <c r="AE1249" s="34"/>
      <c r="AF1249" s="34"/>
      <c r="AG1249" s="34"/>
      <c r="AH1249" s="34"/>
      <c r="AI1249" s="34"/>
      <c r="AJ1249" s="34"/>
      <c r="AK1249" s="34"/>
      <c r="AL1249" s="34"/>
      <c r="AM1249" s="34"/>
      <c r="AN1249" s="34"/>
      <c r="AO1249" s="34"/>
      <c r="AP1249" s="34"/>
      <c r="AQ1249" s="34"/>
      <c r="AR1249" s="34"/>
      <c r="AS1249" s="34"/>
      <c r="AT1249" s="34"/>
      <c r="AU1249" s="34"/>
      <c r="AV1249" s="34"/>
      <c r="AW1249" s="34"/>
      <c r="AX1249" s="34"/>
      <c r="AY1249" s="34"/>
      <c r="AZ1249" s="34"/>
      <c r="BA1249" s="34"/>
      <c r="BB1249" s="34"/>
      <c r="BC1249" s="34"/>
      <c r="BD1249" s="34"/>
      <c r="BE1249" s="34"/>
      <c r="BF1249" s="34"/>
      <c r="BG1249" s="34"/>
      <c r="BH1249" s="34"/>
      <c r="BI1249" s="34"/>
      <c r="BJ1249" s="34"/>
      <c r="BK1249" s="34"/>
      <c r="BL1249" s="34"/>
      <c r="BM1249" s="34"/>
      <c r="BN1249" s="34"/>
      <c r="BO1249" s="34"/>
      <c r="BP1249" s="34"/>
      <c r="BQ1249" s="34"/>
      <c r="BR1249" s="34"/>
      <c r="BS1249" s="34"/>
      <c r="BT1249" s="34"/>
      <c r="BU1249" s="34"/>
      <c r="BV1249" s="34"/>
      <c r="BW1249" s="34"/>
      <c r="BX1249" s="34"/>
      <c r="BY1249" s="34"/>
      <c r="BZ1249" s="34"/>
      <c r="CA1249" s="34"/>
      <c r="CB1249" s="34"/>
      <c r="CC1249" s="34"/>
      <c r="CD1249" s="34"/>
      <c r="CE1249" s="34"/>
      <c r="CF1249" s="34"/>
      <c r="CG1249" s="34"/>
      <c r="CH1249" s="34"/>
      <c r="CI1249" s="8"/>
    </row>
    <row r="1250" spans="1:87" x14ac:dyDescent="0.2">
      <c r="A1250" s="8" t="str">
        <f>IF(AND(COUNTIF(W$3:W$13,A$25)&gt;0,A$25&lt;&gt;B1054),A$25,IFERROR(IF(MATCH(A$25,Z$3:Z$13,0)=9,A$25," ")," "))</f>
        <v>C11</v>
      </c>
      <c r="B1250" s="8">
        <f>IF(A1250=" "," ",MAX(B1240:B1249)+1)</f>
        <v>3</v>
      </c>
      <c r="C1250" s="8" t="str">
        <f>IFERROR(INDEX(A1240:A1261,MATCH(SMALL(B1240:B1261,11),B1240:B1261,0),1)," ")</f>
        <v>C22</v>
      </c>
      <c r="D1250" s="8">
        <f t="shared" si="5309"/>
        <v>0</v>
      </c>
      <c r="E1250" s="8">
        <f t="shared" si="5310"/>
        <v>0</v>
      </c>
      <c r="F1250" s="8">
        <f t="shared" si="5311"/>
        <v>0</v>
      </c>
      <c r="G1250" s="8">
        <f t="shared" si="5312"/>
        <v>0</v>
      </c>
      <c r="H1250" s="8">
        <f t="shared" si="5313"/>
        <v>0</v>
      </c>
      <c r="I1250" s="8">
        <f t="shared" si="5314"/>
        <v>0</v>
      </c>
      <c r="J1250" s="8">
        <f t="shared" si="5315"/>
        <v>0</v>
      </c>
      <c r="K1250" s="8">
        <f t="shared" si="5316"/>
        <v>0</v>
      </c>
      <c r="L1250" s="8">
        <f t="shared" si="5317"/>
        <v>0</v>
      </c>
      <c r="M1250" s="8">
        <f t="shared" si="5318"/>
        <v>0</v>
      </c>
      <c r="N1250" s="8">
        <f t="shared" si="5319"/>
        <v>1</v>
      </c>
      <c r="O1250" s="8">
        <f t="shared" si="5320"/>
        <v>0</v>
      </c>
      <c r="P1250" s="8" t="e">
        <v>#NUM!</v>
      </c>
      <c r="Q1250" s="8" t="e">
        <f t="shared" ref="Q1250" si="5352">IF(COUNTIF(P1240:P1250,"&lt;"&amp;-0.001)=0,IF(ABS(P1250)&lt;0.001,0,P1250)," ")</f>
        <v>#NUM!</v>
      </c>
      <c r="R1250" s="8"/>
      <c r="S1250" s="8"/>
      <c r="U1250" s="34"/>
      <c r="V1250" s="34"/>
      <c r="W1250" s="34"/>
      <c r="X1250" s="34"/>
      <c r="Y1250" s="34"/>
      <c r="Z1250" s="34"/>
      <c r="AA1250" s="34"/>
      <c r="AB1250" s="34"/>
      <c r="AC1250" s="34"/>
      <c r="AD1250" s="34"/>
      <c r="AE1250" s="34"/>
      <c r="AF1250" s="34"/>
      <c r="AG1250" s="34"/>
      <c r="AH1250" s="34"/>
      <c r="AI1250" s="34"/>
      <c r="AJ1250" s="34"/>
      <c r="AK1250" s="34"/>
      <c r="AL1250" s="34"/>
      <c r="AM1250" s="34"/>
      <c r="AN1250" s="34"/>
      <c r="AO1250" s="34"/>
      <c r="AP1250" s="34"/>
      <c r="AQ1250" s="34"/>
      <c r="AR1250" s="34"/>
      <c r="AS1250" s="34"/>
      <c r="AT1250" s="34"/>
      <c r="AU1250" s="34"/>
      <c r="AV1250" s="34"/>
      <c r="AW1250" s="34"/>
      <c r="AX1250" s="34"/>
      <c r="AY1250" s="34"/>
      <c r="AZ1250" s="34"/>
      <c r="BA1250" s="34"/>
      <c r="BB1250" s="34"/>
      <c r="BC1250" s="34"/>
      <c r="BD1250" s="34"/>
      <c r="BE1250" s="34"/>
      <c r="BF1250" s="34"/>
      <c r="BG1250" s="34"/>
      <c r="BH1250" s="34"/>
      <c r="BI1250" s="34"/>
      <c r="BJ1250" s="34"/>
      <c r="BK1250" s="34"/>
      <c r="BL1250" s="34"/>
      <c r="BM1250" s="34"/>
      <c r="BN1250" s="34"/>
      <c r="BO1250" s="34"/>
      <c r="BP1250" s="34"/>
      <c r="BQ1250" s="34"/>
      <c r="BR1250" s="34"/>
      <c r="BS1250" s="34"/>
      <c r="BT1250" s="34"/>
      <c r="BU1250" s="34"/>
      <c r="BV1250" s="34"/>
      <c r="BW1250" s="34"/>
      <c r="BX1250" s="34"/>
      <c r="BY1250" s="34"/>
      <c r="BZ1250" s="34"/>
      <c r="CA1250" s="34"/>
      <c r="CB1250" s="34"/>
      <c r="CC1250" s="34"/>
      <c r="CD1250" s="34"/>
      <c r="CE1250" s="34"/>
      <c r="CF1250" s="34"/>
      <c r="CG1250" s="34"/>
      <c r="CH1250" s="34"/>
      <c r="CI1250" s="8"/>
    </row>
    <row r="1251" spans="1:87" x14ac:dyDescent="0.2">
      <c r="A1251" s="8" t="str">
        <f>IF(AND(COUNTIF(W$3:W$13,A$26)&gt;0,A$26&lt;&gt;B1054),A$26,IFERROR(IF(MATCH(A$26,Z$3:Z$13,0)=9,A$26," ")," "))</f>
        <v xml:space="preserve"> </v>
      </c>
      <c r="B1251" s="8" t="str">
        <f>IF(A1251=" "," ",MAX(B1240:B1250)+1)</f>
        <v xml:space="preserve"> </v>
      </c>
      <c r="C1251" s="8"/>
      <c r="D1251" s="8"/>
      <c r="E1251" s="8"/>
      <c r="F1251" s="8"/>
      <c r="G1251" s="8"/>
      <c r="H1251" s="8"/>
      <c r="I1251" s="8"/>
      <c r="J1251" s="8"/>
      <c r="K1251" s="8"/>
      <c r="L1251" s="8"/>
      <c r="M1251" s="8"/>
      <c r="N1251" s="8"/>
      <c r="O1251" s="8"/>
      <c r="P1251" s="8"/>
      <c r="Q1251" s="8"/>
      <c r="R1251" s="8"/>
      <c r="S1251" s="8"/>
      <c r="U1251" s="34"/>
      <c r="V1251" s="34"/>
      <c r="W1251" s="34"/>
      <c r="X1251" s="34"/>
      <c r="Y1251" s="34"/>
      <c r="Z1251" s="34"/>
      <c r="AA1251" s="34"/>
      <c r="AB1251" s="34"/>
      <c r="AC1251" s="34"/>
      <c r="AD1251" s="34"/>
      <c r="AE1251" s="34"/>
      <c r="AF1251" s="34"/>
      <c r="AG1251" s="34"/>
      <c r="AH1251" s="34"/>
      <c r="AI1251" s="34"/>
      <c r="AJ1251" s="34"/>
      <c r="AK1251" s="34"/>
      <c r="AL1251" s="34"/>
      <c r="AM1251" s="34"/>
      <c r="AN1251" s="34"/>
      <c r="AO1251" s="34"/>
      <c r="AP1251" s="34"/>
      <c r="AQ1251" s="34"/>
      <c r="AR1251" s="34"/>
      <c r="AS1251" s="34"/>
      <c r="AT1251" s="34"/>
      <c r="AU1251" s="34"/>
      <c r="AV1251" s="34"/>
      <c r="AW1251" s="34"/>
      <c r="AX1251" s="34"/>
      <c r="AY1251" s="34"/>
      <c r="AZ1251" s="34"/>
      <c r="BA1251" s="34"/>
      <c r="BB1251" s="34"/>
      <c r="BC1251" s="34"/>
      <c r="BD1251" s="34"/>
      <c r="BE1251" s="34"/>
      <c r="BF1251" s="34"/>
      <c r="BG1251" s="34"/>
      <c r="BH1251" s="34"/>
      <c r="BI1251" s="34"/>
      <c r="BJ1251" s="34"/>
      <c r="BK1251" s="34"/>
      <c r="BL1251" s="34"/>
      <c r="BM1251" s="34"/>
      <c r="BN1251" s="34"/>
      <c r="BO1251" s="34"/>
      <c r="BP1251" s="34"/>
      <c r="BQ1251" s="34"/>
      <c r="BR1251" s="34"/>
      <c r="BS1251" s="34"/>
      <c r="BT1251" s="34"/>
      <c r="BU1251" s="34"/>
      <c r="BV1251" s="34"/>
      <c r="BW1251" s="34"/>
      <c r="BX1251" s="34"/>
      <c r="BY1251" s="34"/>
      <c r="BZ1251" s="34"/>
      <c r="CA1251" s="34"/>
      <c r="CB1251" s="34"/>
      <c r="CC1251" s="34"/>
      <c r="CD1251" s="34"/>
      <c r="CE1251" s="34"/>
      <c r="CF1251" s="34"/>
      <c r="CG1251" s="34"/>
      <c r="CH1251" s="34"/>
      <c r="CI1251" s="8"/>
    </row>
    <row r="1252" spans="1:87" x14ac:dyDescent="0.2">
      <c r="A1252" s="8" t="str">
        <f>IF(AND(COUNTIF(W$3:W$13,A$27)&gt;0,A$27&lt;&gt;B1054),A$27,IFERROR(IF(MATCH(A$27,Z$3:Z$13,0)=9,A$27," ")," "))</f>
        <v>C13</v>
      </c>
      <c r="B1252" s="8">
        <f>IF(A1252=" "," ",MAX(B1240:B1251)+1)</f>
        <v>4</v>
      </c>
      <c r="C1252" s="8"/>
      <c r="D1252" s="8"/>
      <c r="E1252" s="8"/>
      <c r="F1252" s="8"/>
      <c r="G1252" s="8"/>
      <c r="H1252" s="8"/>
      <c r="I1252" s="8"/>
      <c r="J1252" s="8"/>
      <c r="K1252" s="8"/>
      <c r="L1252" s="8"/>
      <c r="M1252" s="8"/>
      <c r="N1252" s="8"/>
      <c r="O1252" s="8"/>
      <c r="P1252" s="8"/>
      <c r="Q1252" s="8"/>
      <c r="R1252" s="8"/>
      <c r="S1252" s="8"/>
      <c r="U1252" s="34"/>
      <c r="V1252" s="34"/>
      <c r="W1252" s="34"/>
      <c r="X1252" s="34"/>
      <c r="Y1252" s="34"/>
      <c r="Z1252" s="34"/>
      <c r="AA1252" s="34"/>
      <c r="AB1252" s="34"/>
      <c r="AC1252" s="34"/>
      <c r="AD1252" s="34"/>
      <c r="AE1252" s="34"/>
      <c r="AF1252" s="34"/>
      <c r="AG1252" s="34"/>
      <c r="AH1252" s="34"/>
      <c r="AI1252" s="34"/>
      <c r="AJ1252" s="34"/>
      <c r="AK1252" s="34"/>
      <c r="AL1252" s="34"/>
      <c r="AM1252" s="34"/>
      <c r="AN1252" s="34"/>
      <c r="AO1252" s="34"/>
      <c r="AP1252" s="34"/>
      <c r="AQ1252" s="34"/>
      <c r="AR1252" s="34"/>
      <c r="AS1252" s="34"/>
      <c r="AT1252" s="34"/>
      <c r="AU1252" s="34"/>
      <c r="AV1252" s="34"/>
      <c r="AW1252" s="34"/>
      <c r="AX1252" s="34"/>
      <c r="AY1252" s="34"/>
      <c r="AZ1252" s="34"/>
      <c r="BA1252" s="34"/>
      <c r="BB1252" s="34"/>
      <c r="BC1252" s="34"/>
      <c r="BD1252" s="34"/>
      <c r="BE1252" s="34"/>
      <c r="BF1252" s="34"/>
      <c r="BG1252" s="34"/>
      <c r="BH1252" s="34"/>
      <c r="BI1252" s="34"/>
      <c r="BJ1252" s="34"/>
      <c r="BK1252" s="34"/>
      <c r="BL1252" s="34"/>
      <c r="BM1252" s="34"/>
      <c r="BN1252" s="34"/>
      <c r="BO1252" s="34"/>
      <c r="BP1252" s="34"/>
      <c r="BQ1252" s="34"/>
      <c r="BR1252" s="34"/>
      <c r="BS1252" s="34"/>
      <c r="BT1252" s="34"/>
      <c r="BU1252" s="34"/>
      <c r="BV1252" s="34"/>
      <c r="BW1252" s="34"/>
      <c r="BX1252" s="34"/>
      <c r="BY1252" s="34"/>
      <c r="BZ1252" s="34"/>
      <c r="CA1252" s="34"/>
      <c r="CB1252" s="34"/>
      <c r="CC1252" s="34"/>
      <c r="CD1252" s="34"/>
      <c r="CE1252" s="34"/>
      <c r="CF1252" s="34"/>
      <c r="CG1252" s="34"/>
      <c r="CH1252" s="34"/>
      <c r="CI1252" s="8"/>
    </row>
    <row r="1253" spans="1:87" x14ac:dyDescent="0.2">
      <c r="A1253" s="8" t="str">
        <f>IF(AND(COUNTIF(W$3:W$13,A$28)&gt;0,A$28&lt;&gt;B1054),A$28,IFERROR(IF(MATCH(A$28,Z$3:Z$13,0)=9,A$28," ")," "))</f>
        <v xml:space="preserve"> </v>
      </c>
      <c r="B1253" s="8" t="str">
        <f>IF(A1253=" "," ",MAX(B1240:B1252)+1)</f>
        <v xml:space="preserve"> </v>
      </c>
      <c r="C1253" s="8"/>
      <c r="D1253" s="8"/>
      <c r="E1253" s="8"/>
      <c r="F1253" s="8"/>
      <c r="G1253" s="8"/>
      <c r="H1253" s="8"/>
      <c r="I1253" s="8"/>
      <c r="J1253" s="8"/>
      <c r="K1253" s="8"/>
      <c r="L1253" s="8"/>
      <c r="M1253" s="8"/>
      <c r="N1253" s="8"/>
      <c r="O1253" s="8"/>
      <c r="P1253" s="8"/>
      <c r="Q1253" s="8"/>
      <c r="R1253" s="8"/>
      <c r="S1253" s="8"/>
      <c r="U1253" s="34"/>
      <c r="V1253" s="34"/>
      <c r="W1253" s="34"/>
      <c r="X1253" s="34"/>
      <c r="Y1253" s="34"/>
      <c r="Z1253" s="34"/>
      <c r="AA1253" s="34"/>
      <c r="AB1253" s="34"/>
      <c r="AC1253" s="34"/>
      <c r="AD1253" s="34"/>
      <c r="AE1253" s="34"/>
      <c r="AF1253" s="34"/>
      <c r="AG1253" s="34"/>
      <c r="AH1253" s="34"/>
      <c r="AI1253" s="34"/>
      <c r="AJ1253" s="34"/>
      <c r="AK1253" s="34"/>
      <c r="AL1253" s="34"/>
      <c r="AM1253" s="34"/>
      <c r="AN1253" s="34"/>
      <c r="AO1253" s="34"/>
      <c r="AP1253" s="34"/>
      <c r="AQ1253" s="34"/>
      <c r="AR1253" s="34"/>
      <c r="AS1253" s="34"/>
      <c r="AT1253" s="34"/>
      <c r="AU1253" s="34"/>
      <c r="AV1253" s="34"/>
      <c r="AW1253" s="34"/>
      <c r="AX1253" s="34"/>
      <c r="AY1253" s="34"/>
      <c r="AZ1253" s="34"/>
      <c r="BA1253" s="34"/>
      <c r="BB1253" s="34"/>
      <c r="BC1253" s="34"/>
      <c r="BD1253" s="34"/>
      <c r="BE1253" s="34"/>
      <c r="BF1253" s="34"/>
      <c r="BG1253" s="34"/>
      <c r="BH1253" s="34"/>
      <c r="BI1253" s="34"/>
      <c r="BJ1253" s="34"/>
      <c r="BK1253" s="34"/>
      <c r="BL1253" s="34"/>
      <c r="BM1253" s="34"/>
      <c r="BN1253" s="34"/>
      <c r="BO1253" s="34"/>
      <c r="BP1253" s="34"/>
      <c r="BQ1253" s="34"/>
      <c r="BR1253" s="34"/>
      <c r="BS1253" s="34"/>
      <c r="BT1253" s="34"/>
      <c r="BU1253" s="34"/>
      <c r="BV1253" s="34"/>
      <c r="BW1253" s="34"/>
      <c r="BX1253" s="34"/>
      <c r="BY1253" s="34"/>
      <c r="BZ1253" s="34"/>
      <c r="CA1253" s="34"/>
      <c r="CB1253" s="34"/>
      <c r="CC1253" s="34"/>
      <c r="CD1253" s="34"/>
      <c r="CE1253" s="34"/>
      <c r="CF1253" s="34"/>
      <c r="CG1253" s="34"/>
      <c r="CH1253" s="34"/>
      <c r="CI1253" s="8"/>
    </row>
    <row r="1254" spans="1:87" x14ac:dyDescent="0.2">
      <c r="A1254" s="8" t="str">
        <f>IF(AND(COUNTIF(W$3:W$13,A$29)&gt;0,A$29&lt;&gt;B1054),A$29,IFERROR(IF(MATCH(A$29,Z$3:Z$13,0)=9,A$29," ")," "))</f>
        <v>C15</v>
      </c>
      <c r="B1254" s="8">
        <f>IF(A1254=" "," ",MAX(B1240:B1253)+1)</f>
        <v>5</v>
      </c>
      <c r="C1254" s="8"/>
      <c r="D1254" s="8"/>
      <c r="E1254" s="8"/>
      <c r="F1254" s="8"/>
      <c r="G1254" s="8"/>
      <c r="H1254" s="8"/>
      <c r="I1254" s="8"/>
      <c r="J1254" s="8"/>
      <c r="K1254" s="8"/>
      <c r="L1254" s="8"/>
      <c r="M1254" s="8"/>
      <c r="N1254" s="8"/>
      <c r="O1254" s="8"/>
      <c r="P1254" s="8"/>
      <c r="Q1254" s="8"/>
      <c r="R1254" s="8"/>
      <c r="S1254" s="8"/>
      <c r="U1254" s="34"/>
      <c r="V1254" s="34"/>
      <c r="W1254" s="34"/>
      <c r="X1254" s="34"/>
      <c r="Y1254" s="34"/>
      <c r="Z1254" s="34"/>
      <c r="AA1254" s="34"/>
      <c r="AB1254" s="34"/>
      <c r="AC1254" s="34"/>
      <c r="AD1254" s="34"/>
      <c r="AE1254" s="34"/>
      <c r="AF1254" s="34"/>
      <c r="AG1254" s="34"/>
      <c r="AH1254" s="34"/>
      <c r="AI1254" s="34"/>
      <c r="AJ1254" s="34"/>
      <c r="AK1254" s="34"/>
      <c r="AL1254" s="34"/>
      <c r="AM1254" s="34"/>
      <c r="AN1254" s="34"/>
      <c r="AO1254" s="34"/>
      <c r="AP1254" s="34"/>
      <c r="AQ1254" s="34"/>
      <c r="AR1254" s="34"/>
      <c r="AS1254" s="34"/>
      <c r="AT1254" s="34"/>
      <c r="AU1254" s="34"/>
      <c r="AV1254" s="34"/>
      <c r="AW1254" s="34"/>
      <c r="AX1254" s="34"/>
      <c r="AY1254" s="34"/>
      <c r="AZ1254" s="34"/>
      <c r="BA1254" s="34"/>
      <c r="BB1254" s="34"/>
      <c r="BC1254" s="34"/>
      <c r="BD1254" s="34"/>
      <c r="BE1254" s="34"/>
      <c r="BF1254" s="34"/>
      <c r="BG1254" s="34"/>
      <c r="BH1254" s="34"/>
      <c r="BI1254" s="34"/>
      <c r="BJ1254" s="34"/>
      <c r="BK1254" s="34"/>
      <c r="BL1254" s="34"/>
      <c r="BM1254" s="34"/>
      <c r="BN1254" s="34"/>
      <c r="BO1254" s="34"/>
      <c r="BP1254" s="34"/>
      <c r="BQ1254" s="34"/>
      <c r="BR1254" s="34"/>
      <c r="BS1254" s="34"/>
      <c r="BT1254" s="34"/>
      <c r="BU1254" s="34"/>
      <c r="BV1254" s="34"/>
      <c r="BW1254" s="34"/>
      <c r="BX1254" s="34"/>
      <c r="BY1254" s="34"/>
      <c r="BZ1254" s="34"/>
      <c r="CA1254" s="34"/>
      <c r="CB1254" s="34"/>
      <c r="CC1254" s="34"/>
      <c r="CD1254" s="34"/>
      <c r="CE1254" s="34"/>
      <c r="CF1254" s="34"/>
      <c r="CG1254" s="34"/>
      <c r="CH1254" s="34"/>
      <c r="CI1254" s="8"/>
    </row>
    <row r="1255" spans="1:87" x14ac:dyDescent="0.2">
      <c r="A1255" s="8" t="str">
        <f>IF(AND(COUNTIF(W$3:W$13,A$30)&gt;0,A$30&lt;&gt;B1054),A$30,IFERROR(IF(MATCH(A$30,Z$3:Z$13,0)=9,A$30," ")," "))</f>
        <v xml:space="preserve"> </v>
      </c>
      <c r="B1255" s="8" t="str">
        <f>IF(A1255=" "," ",MAX(B1240:B1254)+1)</f>
        <v xml:space="preserve"> </v>
      </c>
      <c r="C1255" s="8"/>
      <c r="D1255" s="8"/>
      <c r="E1255" s="8"/>
      <c r="F1255" s="8"/>
      <c r="G1255" s="8"/>
      <c r="H1255" s="8"/>
      <c r="I1255" s="8"/>
      <c r="J1255" s="8"/>
      <c r="K1255" s="8"/>
      <c r="L1255" s="8"/>
      <c r="M1255" s="8"/>
      <c r="N1255" s="8"/>
      <c r="O1255" s="8"/>
      <c r="P1255" s="8"/>
      <c r="Q1255" s="8"/>
      <c r="R1255" s="8"/>
      <c r="S1255" s="8"/>
      <c r="U1255" s="34"/>
      <c r="V1255" s="34"/>
      <c r="W1255" s="34"/>
      <c r="X1255" s="34"/>
      <c r="Y1255" s="34"/>
      <c r="Z1255" s="34"/>
      <c r="AA1255" s="34"/>
      <c r="AB1255" s="34"/>
      <c r="AC1255" s="34"/>
      <c r="AD1255" s="34"/>
      <c r="AE1255" s="34"/>
      <c r="AF1255" s="34"/>
      <c r="AG1255" s="34"/>
      <c r="AH1255" s="34"/>
      <c r="AI1255" s="34"/>
      <c r="AJ1255" s="34"/>
      <c r="AK1255" s="34"/>
      <c r="AL1255" s="34"/>
      <c r="AM1255" s="34"/>
      <c r="AN1255" s="34"/>
      <c r="AO1255" s="34"/>
      <c r="AP1255" s="34"/>
      <c r="AQ1255" s="34"/>
      <c r="AR1255" s="34"/>
      <c r="AS1255" s="34"/>
      <c r="AT1255" s="34"/>
      <c r="AU1255" s="34"/>
      <c r="AV1255" s="34"/>
      <c r="AW1255" s="34"/>
      <c r="AX1255" s="34"/>
      <c r="AY1255" s="34"/>
      <c r="AZ1255" s="34"/>
      <c r="BA1255" s="34"/>
      <c r="BB1255" s="34"/>
      <c r="BC1255" s="34"/>
      <c r="BD1255" s="34"/>
      <c r="BE1255" s="34"/>
      <c r="BF1255" s="34"/>
      <c r="BG1255" s="34"/>
      <c r="BH1255" s="34"/>
      <c r="BI1255" s="34"/>
      <c r="BJ1255" s="34"/>
      <c r="BK1255" s="34"/>
      <c r="BL1255" s="34"/>
      <c r="BM1255" s="34"/>
      <c r="BN1255" s="34"/>
      <c r="BO1255" s="34"/>
      <c r="BP1255" s="34"/>
      <c r="BQ1255" s="34"/>
      <c r="BR1255" s="34"/>
      <c r="BS1255" s="34"/>
      <c r="BT1255" s="34"/>
      <c r="BU1255" s="34"/>
      <c r="BV1255" s="34"/>
      <c r="BW1255" s="34"/>
      <c r="BX1255" s="34"/>
      <c r="BY1255" s="34"/>
      <c r="BZ1255" s="34"/>
      <c r="CA1255" s="34"/>
      <c r="CB1255" s="34"/>
      <c r="CC1255" s="34"/>
      <c r="CD1255" s="34"/>
      <c r="CE1255" s="34"/>
      <c r="CF1255" s="34"/>
      <c r="CG1255" s="34"/>
      <c r="CH1255" s="34"/>
      <c r="CI1255" s="8"/>
    </row>
    <row r="1256" spans="1:87" x14ac:dyDescent="0.2">
      <c r="A1256" s="8" t="str">
        <f>IF(AND(COUNTIF(W$3:W$13,A$31)&gt;0,A$31&lt;&gt;B1054),A$31,IFERROR(IF(MATCH(A$31,Z$3:Z$13,0)=9,A$31," ")," "))</f>
        <v>C17</v>
      </c>
      <c r="B1256" s="8">
        <f>IF(A1256=" "," ",MAX(B1240:B1255)+1)</f>
        <v>6</v>
      </c>
      <c r="C1256" s="8"/>
      <c r="D1256" s="8"/>
      <c r="E1256" s="8"/>
      <c r="F1256" s="8"/>
      <c r="G1256" s="8"/>
      <c r="H1256" s="8"/>
      <c r="I1256" s="8"/>
      <c r="J1256" s="8"/>
      <c r="K1256" s="8"/>
      <c r="L1256" s="8"/>
      <c r="M1256" s="8"/>
      <c r="N1256" s="8"/>
      <c r="O1256" s="8"/>
      <c r="P1256" s="8"/>
      <c r="Q1256" s="8"/>
      <c r="R1256" s="8"/>
      <c r="S1256" s="8"/>
      <c r="U1256" s="34"/>
      <c r="V1256" s="34"/>
      <c r="W1256" s="34"/>
      <c r="X1256" s="34"/>
      <c r="Y1256" s="34"/>
      <c r="Z1256" s="34"/>
      <c r="AA1256" s="34"/>
      <c r="AB1256" s="34"/>
      <c r="AC1256" s="34"/>
      <c r="AD1256" s="34"/>
      <c r="AE1256" s="34"/>
      <c r="AF1256" s="34"/>
      <c r="AG1256" s="34"/>
      <c r="AH1256" s="34"/>
      <c r="AI1256" s="34"/>
      <c r="AJ1256" s="34"/>
      <c r="AK1256" s="34"/>
      <c r="AL1256" s="34"/>
      <c r="AM1256" s="34"/>
      <c r="AN1256" s="34"/>
      <c r="AO1256" s="34"/>
      <c r="AP1256" s="34"/>
      <c r="AQ1256" s="34"/>
      <c r="AR1256" s="34"/>
      <c r="AS1256" s="34"/>
      <c r="AT1256" s="34"/>
      <c r="AU1256" s="34"/>
      <c r="AV1256" s="34"/>
      <c r="AW1256" s="34"/>
      <c r="AX1256" s="34"/>
      <c r="AY1256" s="34"/>
      <c r="AZ1256" s="34"/>
      <c r="BA1256" s="34"/>
      <c r="BB1256" s="34"/>
      <c r="BC1256" s="34"/>
      <c r="BD1256" s="34"/>
      <c r="BE1256" s="34"/>
      <c r="BF1256" s="34"/>
      <c r="BG1256" s="34"/>
      <c r="BH1256" s="34"/>
      <c r="BI1256" s="34"/>
      <c r="BJ1256" s="34"/>
      <c r="BK1256" s="34"/>
      <c r="BL1256" s="34"/>
      <c r="BM1256" s="34"/>
      <c r="BN1256" s="34"/>
      <c r="BO1256" s="34"/>
      <c r="BP1256" s="34"/>
      <c r="BQ1256" s="34"/>
      <c r="BR1256" s="34"/>
      <c r="BS1256" s="34"/>
      <c r="BT1256" s="34"/>
      <c r="BU1256" s="34"/>
      <c r="BV1256" s="34"/>
      <c r="BW1256" s="34"/>
      <c r="BX1256" s="34"/>
      <c r="BY1256" s="34"/>
      <c r="BZ1256" s="34"/>
      <c r="CA1256" s="34"/>
      <c r="CB1256" s="34"/>
      <c r="CC1256" s="34"/>
      <c r="CD1256" s="34"/>
      <c r="CE1256" s="34"/>
      <c r="CF1256" s="34"/>
      <c r="CG1256" s="34"/>
      <c r="CH1256" s="34"/>
      <c r="CI1256" s="8"/>
    </row>
    <row r="1257" spans="1:87" x14ac:dyDescent="0.2">
      <c r="A1257" s="8" t="str">
        <f>IF(AND(COUNTIF(W$3:W$13,A$32)&gt;0,A$32&lt;&gt;B1054),A$32,IFERROR(IF(MATCH(A$32,Z$3:Z$13,0)=9,A$32," ")," "))</f>
        <v>C18</v>
      </c>
      <c r="B1257" s="8">
        <f>IF(A1257=" "," ",MAX(B1240:B1256)+1)</f>
        <v>7</v>
      </c>
      <c r="C1257" s="8"/>
      <c r="D1257" s="8"/>
      <c r="E1257" s="8"/>
      <c r="F1257" s="8"/>
      <c r="G1257" s="8"/>
      <c r="H1257" s="8"/>
      <c r="I1257" s="8"/>
      <c r="J1257" s="8"/>
      <c r="K1257" s="8"/>
      <c r="L1257" s="8"/>
      <c r="M1257" s="8"/>
      <c r="N1257" s="8"/>
      <c r="O1257" s="8"/>
      <c r="P1257" s="8"/>
      <c r="Q1257" s="8"/>
      <c r="R1257" s="8"/>
      <c r="S1257" s="8"/>
      <c r="U1257" s="34"/>
      <c r="V1257" s="34"/>
      <c r="W1257" s="34"/>
      <c r="X1257" s="34"/>
      <c r="Y1257" s="34"/>
      <c r="Z1257" s="34"/>
      <c r="AA1257" s="34"/>
      <c r="AB1257" s="34"/>
      <c r="AC1257" s="34"/>
      <c r="AD1257" s="34"/>
      <c r="AE1257" s="34"/>
      <c r="AF1257" s="34"/>
      <c r="AG1257" s="34"/>
      <c r="AH1257" s="34"/>
      <c r="AI1257" s="34"/>
      <c r="AJ1257" s="34"/>
      <c r="AK1257" s="34"/>
      <c r="AL1257" s="34"/>
      <c r="AM1257" s="34"/>
      <c r="AN1257" s="34"/>
      <c r="AO1257" s="34"/>
      <c r="AP1257" s="34"/>
      <c r="AQ1257" s="34"/>
      <c r="AR1257" s="34"/>
      <c r="AS1257" s="34"/>
      <c r="AT1257" s="34"/>
      <c r="AU1257" s="34"/>
      <c r="AV1257" s="34"/>
      <c r="AW1257" s="34"/>
      <c r="AX1257" s="34"/>
      <c r="AY1257" s="34"/>
      <c r="AZ1257" s="34"/>
      <c r="BA1257" s="34"/>
      <c r="BB1257" s="34"/>
      <c r="BC1257" s="34"/>
      <c r="BD1257" s="34"/>
      <c r="BE1257" s="34"/>
      <c r="BF1257" s="34"/>
      <c r="BG1257" s="34"/>
      <c r="BH1257" s="34"/>
      <c r="BI1257" s="34"/>
      <c r="BJ1257" s="34"/>
      <c r="BK1257" s="34"/>
      <c r="BL1257" s="34"/>
      <c r="BM1257" s="34"/>
      <c r="BN1257" s="34"/>
      <c r="BO1257" s="34"/>
      <c r="BP1257" s="34"/>
      <c r="BQ1257" s="34"/>
      <c r="BR1257" s="34"/>
      <c r="BS1257" s="34"/>
      <c r="BT1257" s="34"/>
      <c r="BU1257" s="34"/>
      <c r="BV1257" s="34"/>
      <c r="BW1257" s="34"/>
      <c r="BX1257" s="34"/>
      <c r="BY1257" s="34"/>
      <c r="BZ1257" s="34"/>
      <c r="CA1257" s="34"/>
      <c r="CB1257" s="34"/>
      <c r="CC1257" s="34"/>
      <c r="CD1257" s="34"/>
      <c r="CE1257" s="34"/>
      <c r="CF1257" s="34"/>
      <c r="CG1257" s="34"/>
      <c r="CH1257" s="34"/>
      <c r="CI1257" s="8"/>
    </row>
    <row r="1258" spans="1:87" x14ac:dyDescent="0.2">
      <c r="A1258" s="8" t="str">
        <f>IF(AND(COUNTIF(W$3:W$13,A$33)&gt;0,A$33&lt;&gt;B1054),A$33,IFERROR(IF(MATCH(A$33,Z$3:Z$13,0)=9,A$33," ")," "))</f>
        <v>C19</v>
      </c>
      <c r="B1258" s="8">
        <f>IF(A1258=" "," ",MAX(B1240:B1257)+1)</f>
        <v>8</v>
      </c>
      <c r="C1258" s="8"/>
      <c r="D1258" s="8"/>
      <c r="E1258" s="8"/>
      <c r="F1258" s="8"/>
      <c r="G1258" s="8"/>
      <c r="H1258" s="8"/>
      <c r="I1258" s="8"/>
      <c r="J1258" s="8"/>
      <c r="K1258" s="8"/>
      <c r="L1258" s="8"/>
      <c r="M1258" s="8"/>
      <c r="N1258" s="8"/>
      <c r="O1258" s="8"/>
      <c r="P1258" s="8"/>
      <c r="Q1258" s="8"/>
      <c r="R1258" s="8"/>
      <c r="S1258" s="8"/>
      <c r="U1258" s="34"/>
      <c r="V1258" s="34"/>
      <c r="W1258" s="34"/>
      <c r="X1258" s="34"/>
      <c r="Y1258" s="34"/>
      <c r="Z1258" s="34"/>
      <c r="AA1258" s="34"/>
      <c r="AB1258" s="34"/>
      <c r="AC1258" s="34"/>
      <c r="AD1258" s="34"/>
      <c r="AE1258" s="34"/>
      <c r="AF1258" s="34"/>
      <c r="AG1258" s="34"/>
      <c r="AH1258" s="34"/>
      <c r="AI1258" s="34"/>
      <c r="AJ1258" s="34"/>
      <c r="AK1258" s="34"/>
      <c r="AL1258" s="34"/>
      <c r="AM1258" s="34"/>
      <c r="AN1258" s="34"/>
      <c r="AO1258" s="34"/>
      <c r="AP1258" s="34"/>
      <c r="AQ1258" s="34"/>
      <c r="AR1258" s="34"/>
      <c r="AS1258" s="34"/>
      <c r="AT1258" s="34"/>
      <c r="AU1258" s="34"/>
      <c r="AV1258" s="34"/>
      <c r="AW1258" s="34"/>
      <c r="AX1258" s="34"/>
      <c r="AY1258" s="34"/>
      <c r="AZ1258" s="34"/>
      <c r="BA1258" s="34"/>
      <c r="BB1258" s="34"/>
      <c r="BC1258" s="34"/>
      <c r="BD1258" s="34"/>
      <c r="BE1258" s="34"/>
      <c r="BF1258" s="34"/>
      <c r="BG1258" s="34"/>
      <c r="BH1258" s="34"/>
      <c r="BI1258" s="34"/>
      <c r="BJ1258" s="34"/>
      <c r="BK1258" s="34"/>
      <c r="BL1258" s="34"/>
      <c r="BM1258" s="34"/>
      <c r="BN1258" s="34"/>
      <c r="BO1258" s="34"/>
      <c r="BP1258" s="34"/>
      <c r="BQ1258" s="34"/>
      <c r="BR1258" s="34"/>
      <c r="BS1258" s="34"/>
      <c r="BT1258" s="34"/>
      <c r="BU1258" s="34"/>
      <c r="BV1258" s="34"/>
      <c r="BW1258" s="34"/>
      <c r="BX1258" s="34"/>
      <c r="BY1258" s="34"/>
      <c r="BZ1258" s="34"/>
      <c r="CA1258" s="34"/>
      <c r="CB1258" s="34"/>
      <c r="CC1258" s="34"/>
      <c r="CD1258" s="34"/>
      <c r="CE1258" s="34"/>
      <c r="CF1258" s="34"/>
      <c r="CG1258" s="34"/>
      <c r="CH1258" s="34"/>
      <c r="CI1258" s="8"/>
    </row>
    <row r="1259" spans="1:87" x14ac:dyDescent="0.2">
      <c r="A1259" s="8" t="str">
        <f>IF(AND(COUNTIF(W$3:W$13,A$34)&gt;0,A$34&lt;&gt;B1054),A$34,IFERROR(IF(MATCH(A$34,Z$3:Z$13,0)=9,A$34," ")," "))</f>
        <v>C20</v>
      </c>
      <c r="B1259" s="8">
        <f>IF(A1259=" "," ",MAX(B1240:B1258)+1)</f>
        <v>9</v>
      </c>
      <c r="C1259" s="8"/>
      <c r="D1259" s="8"/>
      <c r="E1259" s="8"/>
      <c r="F1259" s="8"/>
      <c r="G1259" s="8"/>
      <c r="H1259" s="8"/>
      <c r="I1259" s="8"/>
      <c r="J1259" s="8"/>
      <c r="K1259" s="8"/>
      <c r="L1259" s="8"/>
      <c r="M1259" s="8"/>
      <c r="N1259" s="8"/>
      <c r="O1259" s="8"/>
      <c r="P1259" s="8"/>
      <c r="Q1259" s="8"/>
      <c r="R1259" s="8"/>
      <c r="S1259" s="8"/>
      <c r="U1259" s="34"/>
      <c r="V1259" s="34"/>
      <c r="W1259" s="34"/>
      <c r="X1259" s="34"/>
      <c r="Y1259" s="34"/>
      <c r="Z1259" s="34"/>
      <c r="AA1259" s="34"/>
      <c r="AB1259" s="34"/>
      <c r="AC1259" s="34"/>
      <c r="AD1259" s="34"/>
      <c r="AE1259" s="34"/>
      <c r="AF1259" s="34"/>
      <c r="AG1259" s="34"/>
      <c r="AH1259" s="34"/>
      <c r="AI1259" s="34"/>
      <c r="AJ1259" s="34"/>
      <c r="AK1259" s="34"/>
      <c r="AL1259" s="34"/>
      <c r="AM1259" s="34"/>
      <c r="AN1259" s="34"/>
      <c r="AO1259" s="34"/>
      <c r="AP1259" s="34"/>
      <c r="AQ1259" s="34"/>
      <c r="AR1259" s="34"/>
      <c r="AS1259" s="34"/>
      <c r="AT1259" s="34"/>
      <c r="AU1259" s="34"/>
      <c r="AV1259" s="34"/>
      <c r="AW1259" s="34"/>
      <c r="AX1259" s="34"/>
      <c r="AY1259" s="34"/>
      <c r="AZ1259" s="34"/>
      <c r="BA1259" s="34"/>
      <c r="BB1259" s="34"/>
      <c r="BC1259" s="34"/>
      <c r="BD1259" s="34"/>
      <c r="BE1259" s="34"/>
      <c r="BF1259" s="34"/>
      <c r="BG1259" s="34"/>
      <c r="BH1259" s="34"/>
      <c r="BI1259" s="34"/>
      <c r="BJ1259" s="34"/>
      <c r="BK1259" s="34"/>
      <c r="BL1259" s="34"/>
      <c r="BM1259" s="34"/>
      <c r="BN1259" s="34"/>
      <c r="BO1259" s="34"/>
      <c r="BP1259" s="34"/>
      <c r="BQ1259" s="34"/>
      <c r="BR1259" s="34"/>
      <c r="BS1259" s="34"/>
      <c r="BT1259" s="34"/>
      <c r="BU1259" s="34"/>
      <c r="BV1259" s="34"/>
      <c r="BW1259" s="34"/>
      <c r="BX1259" s="34"/>
      <c r="BY1259" s="34"/>
      <c r="BZ1259" s="34"/>
      <c r="CA1259" s="34"/>
      <c r="CB1259" s="34"/>
      <c r="CC1259" s="34"/>
      <c r="CD1259" s="34"/>
      <c r="CE1259" s="34"/>
      <c r="CF1259" s="34"/>
      <c r="CG1259" s="34"/>
      <c r="CH1259" s="34"/>
      <c r="CI1259" s="8"/>
    </row>
    <row r="1260" spans="1:87" x14ac:dyDescent="0.2">
      <c r="A1260" s="8" t="str">
        <f>IF(AND(COUNTIF(W$3:W$13,A$35)&gt;0,A$35&lt;&gt;B1054),A$35,IFERROR(IF(MATCH(A$35,Z$3:Z$13,0)=9,A$35," ")," "))</f>
        <v>C21</v>
      </c>
      <c r="B1260" s="8">
        <f>IF(A1260=" "," ",MAX(B1240:B1259)+1)</f>
        <v>10</v>
      </c>
      <c r="C1260" s="8"/>
      <c r="D1260" s="8"/>
      <c r="E1260" s="8"/>
      <c r="F1260" s="8"/>
      <c r="G1260" s="8"/>
      <c r="H1260" s="8"/>
      <c r="I1260" s="8"/>
      <c r="J1260" s="8"/>
      <c r="K1260" s="8"/>
      <c r="L1260" s="8"/>
      <c r="M1260" s="8"/>
      <c r="N1260" s="8"/>
      <c r="O1260" s="8"/>
      <c r="P1260" s="8"/>
      <c r="Q1260" s="8"/>
      <c r="R1260" s="8"/>
      <c r="S1260" s="8"/>
      <c r="U1260" s="34"/>
      <c r="V1260" s="34"/>
      <c r="W1260" s="34"/>
      <c r="X1260" s="34"/>
      <c r="Y1260" s="34"/>
      <c r="Z1260" s="34"/>
      <c r="AA1260" s="34"/>
      <c r="AB1260" s="34"/>
      <c r="AC1260" s="34"/>
      <c r="AD1260" s="34"/>
      <c r="AE1260" s="34"/>
      <c r="AF1260" s="34"/>
      <c r="AG1260" s="34"/>
      <c r="AH1260" s="34"/>
      <c r="AI1260" s="34"/>
      <c r="AJ1260" s="34"/>
      <c r="AK1260" s="34"/>
      <c r="AL1260" s="34"/>
      <c r="AM1260" s="34"/>
      <c r="AN1260" s="34"/>
      <c r="AO1260" s="34"/>
      <c r="AP1260" s="34"/>
      <c r="AQ1260" s="34"/>
      <c r="AR1260" s="34"/>
      <c r="AS1260" s="34"/>
      <c r="AT1260" s="34"/>
      <c r="AU1260" s="34"/>
      <c r="AV1260" s="34"/>
      <c r="AW1260" s="34"/>
      <c r="AX1260" s="34"/>
      <c r="AY1260" s="34"/>
      <c r="AZ1260" s="34"/>
      <c r="BA1260" s="34"/>
      <c r="BB1260" s="34"/>
      <c r="BC1260" s="34"/>
      <c r="BD1260" s="34"/>
      <c r="BE1260" s="34"/>
      <c r="BF1260" s="34"/>
      <c r="BG1260" s="34"/>
      <c r="BH1260" s="34"/>
      <c r="BI1260" s="34"/>
      <c r="BJ1260" s="34"/>
      <c r="BK1260" s="34"/>
      <c r="BL1260" s="34"/>
      <c r="BM1260" s="34"/>
      <c r="BN1260" s="34"/>
      <c r="BO1260" s="34"/>
      <c r="BP1260" s="34"/>
      <c r="BQ1260" s="34"/>
      <c r="BR1260" s="34"/>
      <c r="BS1260" s="34"/>
      <c r="BT1260" s="34"/>
      <c r="BU1260" s="34"/>
      <c r="BV1260" s="34"/>
      <c r="BW1260" s="34"/>
      <c r="BX1260" s="34"/>
      <c r="BY1260" s="34"/>
      <c r="BZ1260" s="34"/>
      <c r="CA1260" s="34"/>
      <c r="CB1260" s="34"/>
      <c r="CC1260" s="34"/>
      <c r="CD1260" s="34"/>
      <c r="CE1260" s="34"/>
      <c r="CF1260" s="34"/>
      <c r="CG1260" s="34"/>
      <c r="CH1260" s="34"/>
      <c r="CI1260" s="8"/>
    </row>
    <row r="1261" spans="1:87" x14ac:dyDescent="0.2">
      <c r="A1261" s="8" t="str">
        <f>IF(AND(COUNTIF(W$3:W$13,A$36)&gt;0,A$36&lt;&gt;B1054),A$36,IFERROR(IF(MATCH(A$36,Z$3:Z$13,0)=9,A$36," ")," "))</f>
        <v>C22</v>
      </c>
      <c r="B1261" s="8">
        <f>IF(A1261=" "," ",MAX(B1240:B1260)+1)</f>
        <v>11</v>
      </c>
      <c r="C1261" s="8"/>
      <c r="D1261" s="8"/>
      <c r="E1261" s="8"/>
      <c r="F1261" s="8"/>
      <c r="G1261" s="8"/>
      <c r="H1261" s="8"/>
      <c r="I1261" s="8"/>
      <c r="J1261" s="8"/>
      <c r="K1261" s="8"/>
      <c r="L1261" s="8"/>
      <c r="M1261" s="8"/>
      <c r="N1261" s="8"/>
      <c r="O1261" s="8"/>
      <c r="P1261" s="8"/>
      <c r="Q1261" s="8"/>
      <c r="R1261" s="8"/>
      <c r="S1261" s="8"/>
      <c r="U1261" s="34"/>
      <c r="V1261" s="34"/>
      <c r="W1261" s="34"/>
      <c r="X1261" s="34"/>
      <c r="Y1261" s="34"/>
      <c r="Z1261" s="34"/>
      <c r="AA1261" s="34"/>
      <c r="AB1261" s="34"/>
      <c r="AC1261" s="34"/>
      <c r="AD1261" s="34"/>
      <c r="AE1261" s="34"/>
      <c r="AF1261" s="34"/>
      <c r="AG1261" s="34"/>
      <c r="AH1261" s="34"/>
      <c r="AI1261" s="34"/>
      <c r="AJ1261" s="34"/>
      <c r="AK1261" s="34"/>
      <c r="AL1261" s="34"/>
      <c r="AM1261" s="34"/>
      <c r="AN1261" s="34"/>
      <c r="AO1261" s="34"/>
      <c r="AP1261" s="34"/>
      <c r="AQ1261" s="34"/>
      <c r="AR1261" s="34"/>
      <c r="AS1261" s="34"/>
      <c r="AT1261" s="34"/>
      <c r="AU1261" s="34"/>
      <c r="AV1261" s="34"/>
      <c r="AW1261" s="34"/>
      <c r="AX1261" s="34"/>
      <c r="AY1261" s="34"/>
      <c r="AZ1261" s="34"/>
      <c r="BA1261" s="34"/>
      <c r="BB1261" s="34"/>
      <c r="BC1261" s="34"/>
      <c r="BD1261" s="34"/>
      <c r="BE1261" s="34"/>
      <c r="BF1261" s="34"/>
      <c r="BG1261" s="34"/>
      <c r="BH1261" s="34"/>
      <c r="BI1261" s="34"/>
      <c r="BJ1261" s="34"/>
      <c r="BK1261" s="34"/>
      <c r="BL1261" s="34"/>
      <c r="BM1261" s="34"/>
      <c r="BN1261" s="34"/>
      <c r="BO1261" s="34"/>
      <c r="BP1261" s="34"/>
      <c r="BQ1261" s="34"/>
      <c r="BR1261" s="34"/>
      <c r="BS1261" s="34"/>
      <c r="BT1261" s="34"/>
      <c r="BU1261" s="34"/>
      <c r="BV1261" s="34"/>
      <c r="BW1261" s="34"/>
      <c r="BX1261" s="34"/>
      <c r="BY1261" s="34"/>
      <c r="BZ1261" s="34"/>
      <c r="CA1261" s="34"/>
      <c r="CB1261" s="34"/>
      <c r="CC1261" s="34"/>
      <c r="CD1261" s="34"/>
      <c r="CE1261" s="34"/>
      <c r="CF1261" s="34"/>
      <c r="CG1261" s="34"/>
      <c r="CH1261" s="34"/>
      <c r="CI1261" s="8"/>
    </row>
    <row r="1262" spans="1:87" x14ac:dyDescent="0.2">
      <c r="A1262" s="11" t="s">
        <v>17</v>
      </c>
      <c r="B1262" s="11"/>
      <c r="C1262" s="27" t="s">
        <v>18</v>
      </c>
      <c r="D1262" s="27" t="s">
        <v>2</v>
      </c>
      <c r="E1262" s="27" t="s">
        <v>6</v>
      </c>
      <c r="F1262" s="27" t="s">
        <v>15</v>
      </c>
      <c r="G1262" s="27" t="s">
        <v>36</v>
      </c>
      <c r="H1262" s="27" t="s">
        <v>37</v>
      </c>
      <c r="I1262" s="27" t="s">
        <v>38</v>
      </c>
      <c r="J1262" s="27" t="s">
        <v>39</v>
      </c>
      <c r="K1262" s="27" t="s">
        <v>40</v>
      </c>
      <c r="L1262" s="27" t="s">
        <v>41</v>
      </c>
      <c r="M1262" s="27" t="s">
        <v>42</v>
      </c>
      <c r="N1262" s="27" t="s">
        <v>43</v>
      </c>
      <c r="O1262" s="27" t="s">
        <v>9</v>
      </c>
      <c r="P1262" s="27" t="s">
        <v>12</v>
      </c>
      <c r="Q1262" s="27" t="s">
        <v>19</v>
      </c>
      <c r="R1262" s="27" t="s">
        <v>55</v>
      </c>
      <c r="S1262" s="27" t="s">
        <v>26</v>
      </c>
      <c r="T1262" s="19" t="s">
        <v>25</v>
      </c>
      <c r="U1262" s="33" t="s">
        <v>27</v>
      </c>
      <c r="V1262" s="33" t="s">
        <v>9</v>
      </c>
      <c r="W1262" s="33" t="s">
        <v>23</v>
      </c>
      <c r="X1262" s="33" t="s">
        <v>12</v>
      </c>
      <c r="Y1262" s="33" t="s">
        <v>26</v>
      </c>
      <c r="Z1262" s="33" t="s">
        <v>25</v>
      </c>
      <c r="AA1262" s="33" t="s">
        <v>27</v>
      </c>
      <c r="AB1262" s="33" t="s">
        <v>9</v>
      </c>
      <c r="AC1262" s="33" t="s">
        <v>23</v>
      </c>
      <c r="AD1262" s="33" t="s">
        <v>12</v>
      </c>
      <c r="AE1262" s="33" t="s">
        <v>26</v>
      </c>
      <c r="AF1262" s="33" t="s">
        <v>25</v>
      </c>
      <c r="AG1262" s="33" t="s">
        <v>27</v>
      </c>
      <c r="AH1262" s="33" t="s">
        <v>9</v>
      </c>
      <c r="AI1262" s="33" t="s">
        <v>23</v>
      </c>
      <c r="AJ1262" s="33" t="s">
        <v>12</v>
      </c>
      <c r="AK1262" s="33" t="s">
        <v>26</v>
      </c>
      <c r="AL1262" s="33" t="s">
        <v>25</v>
      </c>
      <c r="AM1262" s="33" t="s">
        <v>27</v>
      </c>
      <c r="AN1262" s="33" t="s">
        <v>9</v>
      </c>
      <c r="AO1262" s="33" t="s">
        <v>23</v>
      </c>
      <c r="AP1262" s="33" t="s">
        <v>12</v>
      </c>
      <c r="AQ1262" s="33" t="s">
        <v>26</v>
      </c>
      <c r="AR1262" s="33" t="s">
        <v>25</v>
      </c>
      <c r="AS1262" s="33" t="s">
        <v>27</v>
      </c>
      <c r="AT1262" s="33" t="s">
        <v>9</v>
      </c>
      <c r="AU1262" s="33" t="s">
        <v>23</v>
      </c>
      <c r="AV1262" s="33" t="s">
        <v>12</v>
      </c>
      <c r="AW1262" s="33" t="s">
        <v>26</v>
      </c>
      <c r="AX1262" s="33" t="s">
        <v>25</v>
      </c>
      <c r="AY1262" s="33" t="s">
        <v>27</v>
      </c>
      <c r="AZ1262" s="33" t="s">
        <v>9</v>
      </c>
      <c r="BA1262" s="33" t="s">
        <v>23</v>
      </c>
      <c r="BB1262" s="33" t="s">
        <v>12</v>
      </c>
      <c r="BC1262" s="33" t="s">
        <v>26</v>
      </c>
      <c r="BD1262" s="33" t="s">
        <v>25</v>
      </c>
      <c r="BE1262" s="33" t="s">
        <v>27</v>
      </c>
      <c r="BF1262" s="33" t="s">
        <v>9</v>
      </c>
      <c r="BG1262" s="33" t="s">
        <v>23</v>
      </c>
      <c r="BH1262" s="33" t="s">
        <v>12</v>
      </c>
      <c r="BI1262" s="33" t="s">
        <v>26</v>
      </c>
      <c r="BJ1262" s="33" t="s">
        <v>25</v>
      </c>
      <c r="BK1262" s="33" t="s">
        <v>27</v>
      </c>
      <c r="BL1262" s="33" t="s">
        <v>9</v>
      </c>
      <c r="BM1262" s="33" t="s">
        <v>23</v>
      </c>
      <c r="BN1262" s="33" t="s">
        <v>12</v>
      </c>
      <c r="BO1262" s="33" t="s">
        <v>26</v>
      </c>
      <c r="BP1262" s="33" t="s">
        <v>25</v>
      </c>
      <c r="BQ1262" s="33" t="s">
        <v>27</v>
      </c>
      <c r="BR1262" s="33" t="s">
        <v>9</v>
      </c>
      <c r="BS1262" s="33" t="s">
        <v>23</v>
      </c>
      <c r="BT1262" s="33" t="s">
        <v>12</v>
      </c>
      <c r="BU1262" s="33" t="s">
        <v>26</v>
      </c>
      <c r="BV1262" s="33" t="s">
        <v>25</v>
      </c>
      <c r="BW1262" s="33" t="s">
        <v>27</v>
      </c>
      <c r="BX1262" s="33" t="s">
        <v>9</v>
      </c>
      <c r="BY1262" s="33" t="s">
        <v>23</v>
      </c>
      <c r="BZ1262" s="33" t="s">
        <v>12</v>
      </c>
      <c r="CA1262" s="33" t="s">
        <v>26</v>
      </c>
      <c r="CB1262" s="33" t="s">
        <v>25</v>
      </c>
      <c r="CC1262" s="33" t="s">
        <v>27</v>
      </c>
      <c r="CD1262" s="33" t="s">
        <v>9</v>
      </c>
      <c r="CE1262" s="33" t="s">
        <v>23</v>
      </c>
      <c r="CF1262" s="33" t="s">
        <v>12</v>
      </c>
      <c r="CG1262" s="33" t="s">
        <v>26</v>
      </c>
      <c r="CH1262" s="33" t="s">
        <v>25</v>
      </c>
      <c r="CI1262" s="8"/>
    </row>
    <row r="1263" spans="1:87" x14ac:dyDescent="0.2">
      <c r="A1263" s="8" t="str">
        <f>IF(AND(COUNTIF(W$3:W$13,A$15)&gt;0,A$15&lt;&gt;B1054),A$15,IFERROR(IF(MATCH(A$15,Z$3:Z$13,0)=10,A$15," ")," "))</f>
        <v xml:space="preserve"> </v>
      </c>
      <c r="B1263" s="8" t="str">
        <f>IF(A1263=" "," ",1)</f>
        <v xml:space="preserve"> </v>
      </c>
      <c r="C1263" s="8" t="str">
        <f>IFERROR(INDEX(A1263:A1284,MATCH(SMALL(B1263:B1284,1),B1263:B1284,0),1)," ")</f>
        <v>C3</v>
      </c>
      <c r="D1263" s="8">
        <f>IFERROR(VLOOKUP($C1263,$A$15:$O$36,2,FALSE)," ")</f>
        <v>2</v>
      </c>
      <c r="E1263" s="8">
        <f>IFERROR(VLOOKUP($C1263,$A$15:$O$36,3,FALSE)," ")</f>
        <v>5</v>
      </c>
      <c r="F1263" s="8">
        <f>IFERROR(VLOOKUP($C1263,$A$15:$O$36,4,FALSE)," ")</f>
        <v>6</v>
      </c>
      <c r="G1263" s="8">
        <f>IFERROR(VLOOKUP($C1263,$A$15:$O$36,5,FALSE)," ")</f>
        <v>0</v>
      </c>
      <c r="H1263" s="8">
        <f>IFERROR(VLOOKUP($C1263,$A$15:$O$36,6,FALSE)," ")</f>
        <v>0</v>
      </c>
      <c r="I1263" s="8">
        <f>IFERROR(VLOOKUP($C1263,$A$15:$O$36,7,FALSE)," ")</f>
        <v>0</v>
      </c>
      <c r="J1263" s="8">
        <f>IFERROR(VLOOKUP($C1263,$A$15:$O$36,8,FALSE)," ")</f>
        <v>0</v>
      </c>
      <c r="K1263" s="8">
        <f>IFERROR(VLOOKUP($C1263,$A$15:$O$36,9,FALSE)," ")</f>
        <v>0</v>
      </c>
      <c r="L1263" s="8">
        <f>IFERROR(VLOOKUP($C1263,$A$15:$O$36,10,FALSE)," ")</f>
        <v>0</v>
      </c>
      <c r="M1263" s="8">
        <f>IFERROR(VLOOKUP($C1263,$A$15:$O$36,11,FALSE)," ")</f>
        <v>0</v>
      </c>
      <c r="N1263" s="8">
        <f>IFERROR(VLOOKUP($C1263,$A$15:$O$36,12,FALSE)," ")</f>
        <v>0</v>
      </c>
      <c r="O1263" s="8">
        <f>IFERROR(VLOOKUP($C1263,$A$15:$O$36,15,FALSE)," ")</f>
        <v>2000</v>
      </c>
      <c r="P1263" s="8" t="e">
        <f t="array" ref="P1263:P1273">MMULT(MINVERSE(D1263:N1273),O1263:O1273)</f>
        <v>#NUM!</v>
      </c>
      <c r="Q1263" s="8" t="e">
        <f t="shared" ref="Q1263" si="5353">IF(COUNTIF(P1263:P1273,"&lt;"&amp;-0.001)=0,IF(ABS(P1263)&lt;0.001,0,P1263)," ")</f>
        <v>#NUM!</v>
      </c>
      <c r="R1263" s="8" t="str">
        <f>IFERROR(VLOOKUP(B1054,A$15:L$36,2,FALSE)*Q1263+VLOOKUP(B1054,A$15:L$36,3,FALSE)*Q1264+VLOOKUP(B1054,A$15:L$36,4,FALSE)*Q1265+VLOOKUP(B1054,A$15:L$36,5,FALSE)*Q1266+VLOOKUP(B1054,A$15:L$36,6,FALSE)*Q1267+VLOOKUP(B1054,A$15:L$36,7,FALSE)*Q1268+VLOOKUP(B1054,A$15:L$36,8,FALSE)*Q1269+VLOOKUP(B1054,A$15:L$36,9,FALSE)*Q1270+VLOOKUP(B1054,A$15:L$36,10,FALSE)*Q1271+VLOOKUP(B1054,A$15:L$36,11,FALSE)*Q1272+VLOOKUP(B1054,A$15:L$36,12,FALSE)*Q1273," ")</f>
        <v xml:space="preserve"> </v>
      </c>
      <c r="S1263" s="8" t="str">
        <f>IFERROR(IF(R1263-VLOOKUP(B1054,A$15:O$36,15,FALSE)&lt;0,R1263-VLOOKUP(B1054,A$15:O$36,15,FALSE)," ")," ")</f>
        <v xml:space="preserve"> </v>
      </c>
      <c r="T1263" s="18" t="str">
        <f>IFERROR(IF(R1263-VLOOKUP(B1054,A$15:O$36,15,FALSE)&gt;0,R1263-VLOOKUP(B1054,A$15:O$36,15,FALSE)," ")," ")</f>
        <v xml:space="preserve"> </v>
      </c>
      <c r="U1263" s="34">
        <f t="shared" ref="U1263" si="5354">$M$2</f>
        <v>100.00000000000001</v>
      </c>
      <c r="V1263" s="34">
        <v>-1</v>
      </c>
      <c r="W1263" s="34">
        <f t="shared" ref="W1263" si="5355">-SUMPRODUCT($M$3:$M$12,$N$3:$N$12)</f>
        <v>-105000</v>
      </c>
      <c r="X1263" s="34" t="e">
        <f t="shared" ref="X1263" si="5356">IF(U1263&lt;&gt;U1264,MMULT(MINVERSE(U1263:V1264),W1263:W1264)," ")</f>
        <v>#NUM!</v>
      </c>
      <c r="Y1263" s="34" t="str">
        <f t="shared" ref="Y1263" si="5357">IFERROR(IF(X1263-VLOOKUP(U$38,$A$2:$N$12,14,FALSE)&lt;0,X1263-VLOOKUP(U$38,$A$2:$N$12,14,FALSE)," ")," ")</f>
        <v xml:space="preserve"> </v>
      </c>
      <c r="Z1263" s="34" t="str">
        <f t="shared" ref="Z1263" si="5358">IFERROR(IF(X1263-VLOOKUP(U$38,$A$2:$N$12,14,FALSE)&gt;0,X1263-VLOOKUP(U$38,$A$2:$N$12,14,FALSE)," ")," ")</f>
        <v xml:space="preserve"> </v>
      </c>
      <c r="AA1263" s="34">
        <f t="shared" ref="AA1263" si="5359">$M$3</f>
        <v>0</v>
      </c>
      <c r="AB1263" s="34">
        <v>-1</v>
      </c>
      <c r="AC1263" s="34">
        <f t="shared" ref="AC1263" si="5360">-SUMPRODUCT($M$2:$M$2,$N$2:$N$2)-SUMPRODUCT($M$4:$M$12,$N$4:$N$12)</f>
        <v>-120000</v>
      </c>
      <c r="AD1263" s="34" t="e">
        <f t="shared" ref="AD1263" si="5361">IF(AA1263&lt;&gt;AA1264,MMULT(MINVERSE(AA1263:AB1264),AC1263:AC1264)," ")</f>
        <v>#NUM!</v>
      </c>
      <c r="AE1263" s="34" t="str">
        <f t="shared" ref="AE1263" si="5362">IFERROR(IF(AD1263-VLOOKUP(AA$38,$A$2:$N$12,14,FALSE)&lt;0,AD1263-VLOOKUP(AA$38,$A$2:$N$12,14,FALSE)," ")," ")</f>
        <v xml:space="preserve"> </v>
      </c>
      <c r="AF1263" s="34" t="str">
        <f t="shared" ref="AF1263" si="5363">IFERROR(IF(AD1263-VLOOKUP(AA$38,$A$2:$N$12,14,FALSE)&gt;0,AD1263-VLOOKUP(AA$38,$A$2:$N$12,14,FALSE)," ")," ")</f>
        <v xml:space="preserve"> </v>
      </c>
      <c r="AG1263" s="34">
        <f t="shared" ref="AG1263" si="5364">$M$4</f>
        <v>300</v>
      </c>
      <c r="AH1263" s="34">
        <v>-1</v>
      </c>
      <c r="AI1263" s="34">
        <f t="shared" ref="AI1263" si="5365">-SUMPRODUCT($M$2:$M$3,$N$2:$N$3)-SUMPRODUCT($M$5:$M$12,$N$5:$N$12)</f>
        <v>-15000.000000000002</v>
      </c>
      <c r="AJ1263" s="34" t="e">
        <f t="shared" ref="AJ1263" si="5366">IF(AG1263&lt;&gt;AG1264,MMULT(MINVERSE(AG1263:AH1264),AI1263:AI1264)," ")</f>
        <v>#NUM!</v>
      </c>
      <c r="AK1263" s="34" t="str">
        <f t="shared" ref="AK1263" si="5367">IFERROR(IF(AJ1263-VLOOKUP(AG$38,$A$2:$N$12,14,FALSE)&lt;0,AJ1263-VLOOKUP(AG$38,$A$2:$N$12,14,FALSE)," ")," ")</f>
        <v xml:space="preserve"> </v>
      </c>
      <c r="AL1263" s="34" t="str">
        <f t="shared" ref="AL1263" si="5368">IFERROR(IF(AJ1263-VLOOKUP(AG$38,$A$2:$N$12,14,FALSE)&gt;0,AJ1263-VLOOKUP(AG$38,$A$2:$N$12,14,FALSE)," ")," ")</f>
        <v xml:space="preserve"> </v>
      </c>
      <c r="AM1263" s="34">
        <f t="shared" ref="AM1263" si="5369">$M$5</f>
        <v>0</v>
      </c>
      <c r="AN1263" s="34">
        <v>-1</v>
      </c>
      <c r="AO1263" s="34">
        <f t="shared" ref="AO1263" si="5370">-SUMPRODUCT($M$2:$M$4,$N$2:$N$4)-SUMPRODUCT($M$6:$M$12,$N$6:$N$12)</f>
        <v>-120000</v>
      </c>
      <c r="AP1263" s="34" t="e">
        <f t="shared" ref="AP1263" si="5371">IF(AM1263&lt;&gt;AM1264,MMULT(MINVERSE(AM1263:AN1264),AO1263:AO1264)," ")</f>
        <v>#NUM!</v>
      </c>
      <c r="AQ1263" s="34" t="str">
        <f t="shared" ref="AQ1263" si="5372">IFERROR(IF(AP1263-VLOOKUP(AM$38,$A$2:$N$12,14,FALSE)&lt;0,AP1263-VLOOKUP(AM$38,$A$2:$N$12,14,FALSE)," ")," ")</f>
        <v xml:space="preserve"> </v>
      </c>
      <c r="AR1263" s="34" t="str">
        <f t="shared" ref="AR1263" si="5373">IFERROR(IF(AP1263-VLOOKUP(AM$38,$A$2:$N$12,14,FALSE)&gt;0,AP1263-VLOOKUP(AM$38,$A$2:$N$12,14,FALSE)," ")," ")</f>
        <v xml:space="preserve"> </v>
      </c>
      <c r="AS1263" s="34">
        <f t="shared" ref="AS1263" si="5374">$M$6</f>
        <v>0</v>
      </c>
      <c r="AT1263" s="34">
        <v>-1</v>
      </c>
      <c r="AU1263" s="34">
        <f t="shared" ref="AU1263" si="5375">-SUMPRODUCT($M$2:$M$5,$N$2:$N$5)-SUMPRODUCT($M$7:$M$12,$N$7:$N$12)</f>
        <v>-120000</v>
      </c>
      <c r="AV1263" s="34" t="e">
        <f t="shared" ref="AV1263" si="5376">IF(AS1263&lt;&gt;AS1264,MMULT(MINVERSE(AS1263:AT1264),AU1263:AU1264)," ")</f>
        <v>#NUM!</v>
      </c>
      <c r="AW1263" s="34" t="str">
        <f t="shared" ref="AW1263" si="5377">IFERROR(IF(AV1263-VLOOKUP(AS$38,$A$2:$N$12,14,FALSE)&lt;0,AV1263-VLOOKUP(AS$38,$A$2:$N$12,14,FALSE)," ")," ")</f>
        <v xml:space="preserve"> </v>
      </c>
      <c r="AX1263" s="34" t="str">
        <f t="shared" ref="AX1263" si="5378">IFERROR(IF(AV1263-VLOOKUP(AS$38,$A$2:$N$12,14,FALSE)&gt;0,AV1263-VLOOKUP(AS$38,$A$2:$N$12,14,FALSE)," ")," ")</f>
        <v xml:space="preserve"> </v>
      </c>
      <c r="AY1263" s="34">
        <f t="shared" ref="AY1263" si="5379">$M$7</f>
        <v>0</v>
      </c>
      <c r="AZ1263" s="34">
        <v>-1</v>
      </c>
      <c r="BA1263" s="34">
        <f t="shared" ref="BA1263" si="5380">-SUMPRODUCT($M$2:$M$6,$N$2:$N$6)-SUMPRODUCT($M$8:$M$12,$N$8:$N$12)</f>
        <v>-120000</v>
      </c>
      <c r="BB1263" s="34" t="e">
        <f t="shared" ref="BB1263" si="5381">IF(AY1263&lt;&gt;AY1264,MMULT(MINVERSE(AY1263:AZ1264),BA1263:BA1264)," ")</f>
        <v>#NUM!</v>
      </c>
      <c r="BC1263" s="34" t="str">
        <f t="shared" ref="BC1263" si="5382">IFERROR(IF(BB1263-VLOOKUP(AY$38,$A$2:$N$12,14,FALSE)&lt;0,BB1263-VLOOKUP(AY$38,$A$2:$N$12,14,FALSE)," ")," ")</f>
        <v xml:space="preserve"> </v>
      </c>
      <c r="BD1263" s="34" t="str">
        <f t="shared" ref="BD1263" si="5383">IFERROR(IF(BB1263-VLOOKUP(AY$38,$A$2:$N$12,14,FALSE)&gt;0,BB1263-VLOOKUP(AY$38,$A$2:$N$12,14,FALSE)," ")," ")</f>
        <v xml:space="preserve"> </v>
      </c>
      <c r="BE1263" s="34">
        <f t="shared" ref="BE1263" si="5384">$M$8</f>
        <v>0</v>
      </c>
      <c r="BF1263" s="34">
        <v>-1</v>
      </c>
      <c r="BG1263" s="34">
        <f t="shared" ref="BG1263" si="5385">-SUMPRODUCT($M$2:$M$7,$N$2:$N$7)-SUMPRODUCT($M$9:$M$12,$N$9:$N$12)</f>
        <v>-120000</v>
      </c>
      <c r="BH1263" s="34" t="e">
        <f t="shared" ref="BH1263" si="5386">IF(BE1263&lt;&gt;BE1264,MMULT(MINVERSE(BE1263:BF1264),BG1263:BG1264)," ")</f>
        <v>#NUM!</v>
      </c>
      <c r="BI1263" s="34" t="str">
        <f t="shared" ref="BI1263" si="5387">IFERROR(IF(BH1263-VLOOKUP(BE$38,$A$2:$N$12,14,FALSE)&lt;0,BH1263-VLOOKUP(BE$38,$A$2:$N$12,14,FALSE)," ")," ")</f>
        <v xml:space="preserve"> </v>
      </c>
      <c r="BJ1263" s="34" t="str">
        <f t="shared" ref="BJ1263" si="5388">IFERROR(IF(BH1263-VLOOKUP(BE$38,$A$2:$N$12,14,FALSE)&gt;0,BH1263-VLOOKUP(BE$38,$A$2:$N$12,14,FALSE)," ")," ")</f>
        <v xml:space="preserve"> </v>
      </c>
      <c r="BK1263" s="34">
        <f t="shared" ref="BK1263" si="5389">$M$9</f>
        <v>0</v>
      </c>
      <c r="BL1263" s="34">
        <v>-1</v>
      </c>
      <c r="BM1263" s="34">
        <f t="shared" ref="BM1263" si="5390">-SUMPRODUCT($M$2:$M$8,$N$2:$N$8)-SUMPRODUCT($M$10:$M$12,$N$10:$N$12)</f>
        <v>-120000</v>
      </c>
      <c r="BN1263" s="34" t="e">
        <f t="shared" ref="BN1263" si="5391">IF(BK1263&lt;&gt;BK1264,MMULT(MINVERSE(BK1263:BL1264),BM1263:BM1264)," ")</f>
        <v>#NUM!</v>
      </c>
      <c r="BO1263" s="34" t="str">
        <f t="shared" ref="BO1263" si="5392">IFERROR(IF(BN1263-VLOOKUP(BK$38,$A$2:$N$12,14,FALSE)&lt;0,BN1263-VLOOKUP(BK$38,$A$2:$N$12,14,FALSE)," ")," ")</f>
        <v xml:space="preserve"> </v>
      </c>
      <c r="BP1263" s="34" t="str">
        <f t="shared" ref="BP1263" si="5393">IFERROR(IF(BN1263-VLOOKUP(BK$38,$A$2:$N$12,14,FALSE)&gt;0,BN1263-VLOOKUP(BK$38,$A$2:$N$12,14,FALSE)," ")," ")</f>
        <v xml:space="preserve"> </v>
      </c>
      <c r="BQ1263" s="34">
        <f t="shared" ref="BQ1263" si="5394">$M$10</f>
        <v>0</v>
      </c>
      <c r="BR1263" s="34">
        <v>-1</v>
      </c>
      <c r="BS1263" s="34">
        <f t="shared" ref="BS1263" si="5395">-SUMPRODUCT($M$2:$M$9,$N$2:$N$9)-SUMPRODUCT($M$11:$M$12,$N$11:$N$12)</f>
        <v>-120000</v>
      </c>
      <c r="BT1263" s="34" t="e">
        <f t="shared" ref="BT1263" si="5396">IF(BQ1263&lt;&gt;BQ1264,MMULT(MINVERSE(BQ1263:BR1264),BS1263:BS1264)," ")</f>
        <v>#NUM!</v>
      </c>
      <c r="BU1263" s="34" t="str">
        <f t="shared" ref="BU1263" si="5397">IFERROR(IF(BT1263-VLOOKUP(BQ$38,$A$2:$N$12,14,FALSE)&lt;0,BT1263-VLOOKUP(BQ$38,$A$2:$N$12,14,FALSE)," ")," ")</f>
        <v xml:space="preserve"> </v>
      </c>
      <c r="BV1263" s="34" t="str">
        <f t="shared" ref="BV1263" si="5398">IFERROR(IF(BT1263-VLOOKUP(BQ$38,$A$2:$N$12,14,FALSE)&gt;0,BT1263-VLOOKUP(BQ$38,$A$2:$N$12,14,FALSE)," ")," ")</f>
        <v xml:space="preserve"> </v>
      </c>
      <c r="BW1263" s="34">
        <f t="shared" ref="BW1263" si="5399">$M$11</f>
        <v>0</v>
      </c>
      <c r="BX1263" s="34">
        <v>-1</v>
      </c>
      <c r="BY1263" s="34">
        <f t="shared" ref="BY1263" si="5400">-SUMPRODUCT($M$2:$M$10,$N$2:$N$10)-SUMPRODUCT($M$12,$N$12)</f>
        <v>-120000</v>
      </c>
      <c r="BZ1263" s="34" t="e">
        <f t="shared" ref="BZ1263" si="5401">IF(BW1263&lt;&gt;BW1264,MMULT(MINVERSE(BW1263:BX1264),BY1263:BY1264)," ")</f>
        <v>#NUM!</v>
      </c>
      <c r="CA1263" s="34" t="str">
        <f t="shared" ref="CA1263" si="5402">IFERROR(IF(BZ1263-VLOOKUP(BW$38,$A$2:$N$12,14,FALSE)&lt;0,BZ1263-VLOOKUP(BW$38,$A$2:$N$12,14,FALSE)," ")," ")</f>
        <v xml:space="preserve"> </v>
      </c>
      <c r="CB1263" s="34" t="str">
        <f t="shared" ref="CB1263" si="5403">IFERROR(IF(BZ1263-VLOOKUP(BW$38,$A$2:$N$12,14,FALSE)&gt;0,BZ1263-VLOOKUP(BW$38,$A$2:$N$12,14,FALSE)," ")," ")</f>
        <v xml:space="preserve"> </v>
      </c>
      <c r="CC1263" s="34">
        <f t="shared" ref="CC1263" si="5404">$M$12</f>
        <v>0</v>
      </c>
      <c r="CD1263" s="34">
        <v>-1</v>
      </c>
      <c r="CE1263" s="34">
        <f t="shared" ref="CE1263" si="5405">-SUMPRODUCT($M$2:$M$11,$N$2:$N$11)</f>
        <v>-120000</v>
      </c>
      <c r="CF1263" s="34" t="e">
        <f t="shared" ref="CF1263" si="5406">IF(CC1263&lt;&gt;CC1264,MMULT(MINVERSE(CC1263:CD1264),CE1263:CE1264)," ")</f>
        <v>#NUM!</v>
      </c>
      <c r="CG1263" s="34" t="str">
        <f t="shared" ref="CG1263" si="5407">IFERROR(IF(CF1263-VLOOKUP(CC$38,$A$2:$N$12,14,FALSE)&lt;0,CF1263-VLOOKUP(CC$38,$A$2:$N$12,14,FALSE)," ")," ")</f>
        <v xml:space="preserve"> </v>
      </c>
      <c r="CH1263" s="34" t="str">
        <f t="shared" ref="CH1263" si="5408">IFERROR(IF(CF1263-VLOOKUP(CC$38,$A$2:$N$12,14,FALSE)&gt;0,CF1263-VLOOKUP(CC$38,$A$2:$N$12,14,FALSE)," ")," ")</f>
        <v xml:space="preserve"> </v>
      </c>
      <c r="CI1263" s="8"/>
    </row>
    <row r="1264" spans="1:87" x14ac:dyDescent="0.2">
      <c r="A1264" s="8" t="str">
        <f>IF(AND(COUNTIF(W$3:W$13,A$16)&gt;0,A$16&lt;&gt;B1054),A$16,IFERROR(IF(MATCH(A$16,Z$3:Z$13,0)=10,A$16," ")," "))</f>
        <v xml:space="preserve"> </v>
      </c>
      <c r="B1264" s="8" t="str">
        <f>IF(A1264=" "," ",MAX(B1263:B1263)+1)</f>
        <v xml:space="preserve"> </v>
      </c>
      <c r="C1264" s="8" t="str">
        <f>IFERROR(INDEX(A1263:A1284,MATCH(SMALL(B1263:B1284,2),B1263:B1284,0),1)," ")</f>
        <v>C4</v>
      </c>
      <c r="D1264" s="8">
        <f t="shared" ref="D1264:D1273" si="5409">IFERROR(VLOOKUP($C1264,$A$15:$O$36,2,FALSE)," ")</f>
        <v>1</v>
      </c>
      <c r="E1264" s="8">
        <f t="shared" ref="E1264:E1273" si="5410">IFERROR(VLOOKUP($C1264,$A$15:$O$36,3,FALSE)," ")</f>
        <v>0</v>
      </c>
      <c r="F1264" s="8">
        <f t="shared" ref="F1264:F1273" si="5411">IFERROR(VLOOKUP($C1264,$A$15:$O$36,4,FALSE)," ")</f>
        <v>1</v>
      </c>
      <c r="G1264" s="8">
        <f t="shared" ref="G1264:G1273" si="5412">IFERROR(VLOOKUP($C1264,$A$15:$O$36,5,FALSE)," ")</f>
        <v>0</v>
      </c>
      <c r="H1264" s="8">
        <f t="shared" ref="H1264:H1273" si="5413">IFERROR(VLOOKUP($C1264,$A$15:$O$36,6,FALSE)," ")</f>
        <v>0</v>
      </c>
      <c r="I1264" s="8">
        <f t="shared" ref="I1264:I1273" si="5414">IFERROR(VLOOKUP($C1264,$A$15:$O$36,7,FALSE)," ")</f>
        <v>0</v>
      </c>
      <c r="J1264" s="8">
        <f t="shared" ref="J1264:J1273" si="5415">IFERROR(VLOOKUP($C1264,$A$15:$O$36,8,FALSE)," ")</f>
        <v>0</v>
      </c>
      <c r="K1264" s="8">
        <f t="shared" ref="K1264:K1273" si="5416">IFERROR(VLOOKUP($C1264,$A$15:$O$36,9,FALSE)," ")</f>
        <v>0</v>
      </c>
      <c r="L1264" s="8">
        <f t="shared" ref="L1264:L1273" si="5417">IFERROR(VLOOKUP($C1264,$A$15:$O$36,10,FALSE)," ")</f>
        <v>0</v>
      </c>
      <c r="M1264" s="8">
        <f t="shared" ref="M1264:M1273" si="5418">IFERROR(VLOOKUP($C1264,$A$15:$O$36,11,FALSE)," ")</f>
        <v>0</v>
      </c>
      <c r="N1264" s="8">
        <f t="shared" ref="N1264:N1273" si="5419">IFERROR(VLOOKUP($C1264,$A$15:$O$36,12,FALSE)," ")</f>
        <v>0</v>
      </c>
      <c r="O1264" s="8">
        <f t="shared" ref="O1264:O1273" si="5420">IFERROR(VLOOKUP($C1264,$A$15:$O$36,15,FALSE)," ")</f>
        <v>400</v>
      </c>
      <c r="P1264" s="8" t="e">
        <v>#NUM!</v>
      </c>
      <c r="Q1264" s="8" t="e">
        <f t="shared" ref="Q1264" si="5421">IF(COUNTIF(P1263:P1273,"&lt;"&amp;-0.001)=0,IF(ABS(P1264)&lt;0.001,0,P1264)," ")</f>
        <v>#NUM!</v>
      </c>
      <c r="R1264" s="8"/>
      <c r="S1264" s="8"/>
      <c r="U1264" s="34" t="e">
        <f t="shared" ref="U1264" si="5422">$Q1263</f>
        <v>#NUM!</v>
      </c>
      <c r="V1264" s="34">
        <v>-1</v>
      </c>
      <c r="W1264" s="34" t="e">
        <f t="shared" ref="W1264" si="5423">-SUMPRODUCT($Q1264:$Q1273,$N$3:$N$12)</f>
        <v>#NUM!</v>
      </c>
      <c r="X1264" s="34"/>
      <c r="Y1264" s="34"/>
      <c r="Z1264" s="34"/>
      <c r="AA1264" s="34" t="e">
        <f t="shared" ref="AA1264" si="5424">$Q1264</f>
        <v>#NUM!</v>
      </c>
      <c r="AB1264" s="34">
        <v>-1</v>
      </c>
      <c r="AC1264" s="34" t="e">
        <f t="shared" ref="AC1264" si="5425">-SUMPRODUCT($Q1263:$Q1263,$N$2:$N$2)-SUMPRODUCT($Q1265:$Q1273,$N$4:$N$12)</f>
        <v>#NUM!</v>
      </c>
      <c r="AD1264" s="34"/>
      <c r="AE1264" s="34"/>
      <c r="AF1264" s="34"/>
      <c r="AG1264" s="34" t="e">
        <f t="shared" ref="AG1264" si="5426">$Q1265</f>
        <v>#NUM!</v>
      </c>
      <c r="AH1264" s="34">
        <v>-1</v>
      </c>
      <c r="AI1264" s="34" t="e">
        <f t="shared" ref="AI1264" si="5427">-SUMPRODUCT($Q1263:$Q1264,$N$2:$N$3)-SUMPRODUCT($Q1266:$Q1273,$N$5:$N$12)</f>
        <v>#NUM!</v>
      </c>
      <c r="AJ1264" s="34"/>
      <c r="AK1264" s="34"/>
      <c r="AL1264" s="34"/>
      <c r="AM1264" s="34" t="e">
        <f t="shared" ref="AM1264" si="5428">$Q1266</f>
        <v>#NUM!</v>
      </c>
      <c r="AN1264" s="34">
        <v>-1</v>
      </c>
      <c r="AO1264" s="34" t="e">
        <f t="shared" ref="AO1264" si="5429">-SUMPRODUCT($Q1263:$Q1265,$N$2:$N$4)-SUMPRODUCT($Q1267:$Q1273,$N$6:$N$12)</f>
        <v>#NUM!</v>
      </c>
      <c r="AP1264" s="34"/>
      <c r="AQ1264" s="34"/>
      <c r="AR1264" s="34"/>
      <c r="AS1264" s="34" t="e">
        <f t="shared" ref="AS1264" si="5430">$Q1267</f>
        <v>#NUM!</v>
      </c>
      <c r="AT1264" s="34">
        <v>-1</v>
      </c>
      <c r="AU1264" s="34" t="e">
        <f t="shared" ref="AU1264" si="5431">-SUMPRODUCT($Q1263:$Q1266,$N$2:$N$5)-SUMPRODUCT($Q1268:$Q1273,$N$7:$N$12)</f>
        <v>#NUM!</v>
      </c>
      <c r="AV1264" s="34"/>
      <c r="AW1264" s="34"/>
      <c r="AX1264" s="34"/>
      <c r="AY1264" s="34" t="e">
        <f t="shared" ref="AY1264" si="5432">$Q1268</f>
        <v>#NUM!</v>
      </c>
      <c r="AZ1264" s="34">
        <v>-1</v>
      </c>
      <c r="BA1264" s="34" t="e">
        <f t="shared" ref="BA1264" si="5433">-SUMPRODUCT($Q1263:$Q1267,$N$2:$N$6)-SUMPRODUCT($Q1269:$Q1273,$N$8:$N$12)</f>
        <v>#NUM!</v>
      </c>
      <c r="BB1264" s="34"/>
      <c r="BC1264" s="34"/>
      <c r="BD1264" s="34"/>
      <c r="BE1264" s="34" t="e">
        <f t="shared" ref="BE1264" si="5434">$Q1269</f>
        <v>#NUM!</v>
      </c>
      <c r="BF1264" s="34">
        <v>-1</v>
      </c>
      <c r="BG1264" s="34" t="e">
        <f t="shared" ref="BG1264" si="5435">-SUMPRODUCT($Q1263:$Q1268,$N$2:$N$7)-SUMPRODUCT($Q1270:$Q1273,$N$9:$N$12)</f>
        <v>#NUM!</v>
      </c>
      <c r="BH1264" s="34"/>
      <c r="BI1264" s="34"/>
      <c r="BJ1264" s="34"/>
      <c r="BK1264" s="34" t="e">
        <f t="shared" ref="BK1264" si="5436">$Q1270</f>
        <v>#NUM!</v>
      </c>
      <c r="BL1264" s="34">
        <v>-1</v>
      </c>
      <c r="BM1264" s="34" t="e">
        <f t="shared" ref="BM1264" si="5437">-SUMPRODUCT($Q1263:$Q1269,$N$2:$N$8)-SUMPRODUCT($Q1271:$Q1273,$N$10:$N$12)</f>
        <v>#NUM!</v>
      </c>
      <c r="BN1264" s="34"/>
      <c r="BO1264" s="34"/>
      <c r="BP1264" s="34"/>
      <c r="BQ1264" s="34" t="e">
        <f t="shared" ref="BQ1264" si="5438">$Q1271</f>
        <v>#NUM!</v>
      </c>
      <c r="BR1264" s="34">
        <v>-1</v>
      </c>
      <c r="BS1264" s="34" t="e">
        <f t="shared" ref="BS1264" si="5439">-SUMPRODUCT($Q1263:$Q1270,$N$2:$N$9)-SUMPRODUCT($Q1272:$Q1273,$N$11:$N$12)</f>
        <v>#NUM!</v>
      </c>
      <c r="BT1264" s="34"/>
      <c r="BU1264" s="34"/>
      <c r="BV1264" s="34"/>
      <c r="BW1264" s="34" t="e">
        <f t="shared" ref="BW1264" si="5440">$Q1272</f>
        <v>#NUM!</v>
      </c>
      <c r="BX1264" s="34">
        <v>-1</v>
      </c>
      <c r="BY1264" s="34" t="e">
        <f t="shared" ref="BY1264" si="5441">-SUMPRODUCT($Q1263:$Q1271,$N$2:$N$10)-SUMPRODUCT($Q1273,$N$12)</f>
        <v>#NUM!</v>
      </c>
      <c r="BZ1264" s="34"/>
      <c r="CA1264" s="34"/>
      <c r="CB1264" s="34"/>
      <c r="CC1264" s="34" t="e">
        <f t="shared" ref="CC1264" si="5442">$Q1273</f>
        <v>#NUM!</v>
      </c>
      <c r="CD1264" s="34">
        <v>-1</v>
      </c>
      <c r="CE1264" s="34" t="e">
        <f t="shared" ref="CE1264" si="5443">-SUMPRODUCT($Q1263:$Q1272,$N$2:$N$11)</f>
        <v>#NUM!</v>
      </c>
      <c r="CF1264" s="34"/>
      <c r="CG1264" s="34"/>
      <c r="CH1264" s="34"/>
      <c r="CI1264" s="8"/>
    </row>
    <row r="1265" spans="1:87" x14ac:dyDescent="0.2">
      <c r="A1265" s="8" t="str">
        <f>IF(AND(COUNTIF(W$3:W$13,A$17)&gt;0,A$17&lt;&gt;B1054),A$17,IFERROR(IF(MATCH(A$17,Z$3:Z$13,0)=10,A$17," ")," "))</f>
        <v>C3</v>
      </c>
      <c r="B1265" s="8">
        <f>IF(A1265=" "," ",MAX(B1263:B1264)+1)</f>
        <v>1</v>
      </c>
      <c r="C1265" s="8" t="str">
        <f>IFERROR(INDEX(A1263:A1284,MATCH(SMALL(B1263:B1284,3),B1263:B1284,0),1)," ")</f>
        <v>C12</v>
      </c>
      <c r="D1265" s="8">
        <f t="shared" si="5409"/>
        <v>1</v>
      </c>
      <c r="E1265" s="8">
        <f t="shared" si="5410"/>
        <v>0</v>
      </c>
      <c r="F1265" s="8">
        <f t="shared" si="5411"/>
        <v>0</v>
      </c>
      <c r="G1265" s="8">
        <f t="shared" si="5412"/>
        <v>0</v>
      </c>
      <c r="H1265" s="8">
        <f t="shared" si="5413"/>
        <v>0</v>
      </c>
      <c r="I1265" s="8">
        <f t="shared" si="5414"/>
        <v>0</v>
      </c>
      <c r="J1265" s="8">
        <f t="shared" si="5415"/>
        <v>0</v>
      </c>
      <c r="K1265" s="8">
        <f t="shared" si="5416"/>
        <v>0</v>
      </c>
      <c r="L1265" s="8">
        <f t="shared" si="5417"/>
        <v>0</v>
      </c>
      <c r="M1265" s="8">
        <f t="shared" si="5418"/>
        <v>0</v>
      </c>
      <c r="N1265" s="8">
        <f t="shared" si="5419"/>
        <v>0</v>
      </c>
      <c r="O1265" s="8">
        <f t="shared" si="5420"/>
        <v>0</v>
      </c>
      <c r="P1265" s="8" t="e">
        <v>#NUM!</v>
      </c>
      <c r="Q1265" s="8" t="e">
        <f t="shared" ref="Q1265" si="5444">IF(COUNTIF(P1263:P1273,"&lt;"&amp;-0.001)=0,IF(ABS(P1265)&lt;0.001,0,P1265)," ")</f>
        <v>#NUM!</v>
      </c>
      <c r="R1265" s="8"/>
      <c r="S1265" s="8"/>
      <c r="U1265" s="34"/>
      <c r="V1265" s="34"/>
      <c r="W1265" s="34"/>
      <c r="X1265" s="34"/>
      <c r="Y1265" s="34"/>
      <c r="Z1265" s="34"/>
      <c r="AA1265" s="34"/>
      <c r="AB1265" s="34"/>
      <c r="AC1265" s="34"/>
      <c r="AD1265" s="34"/>
      <c r="AE1265" s="34"/>
      <c r="AF1265" s="34"/>
      <c r="AG1265" s="34"/>
      <c r="AH1265" s="34"/>
      <c r="AI1265" s="34"/>
      <c r="AJ1265" s="34"/>
      <c r="AK1265" s="34"/>
      <c r="AL1265" s="34"/>
      <c r="AM1265" s="34"/>
      <c r="AN1265" s="34"/>
      <c r="AO1265" s="34"/>
      <c r="AP1265" s="34"/>
      <c r="AQ1265" s="34"/>
      <c r="AR1265" s="34"/>
      <c r="AS1265" s="34"/>
      <c r="AT1265" s="34"/>
      <c r="AU1265" s="34"/>
      <c r="AV1265" s="34"/>
      <c r="AW1265" s="34"/>
      <c r="AX1265" s="34"/>
      <c r="AY1265" s="34"/>
      <c r="AZ1265" s="34"/>
      <c r="BA1265" s="34"/>
      <c r="BB1265" s="34"/>
      <c r="BC1265" s="34"/>
      <c r="BD1265" s="34"/>
      <c r="BE1265" s="34"/>
      <c r="BF1265" s="34"/>
      <c r="BG1265" s="34"/>
      <c r="BH1265" s="34"/>
      <c r="BI1265" s="34"/>
      <c r="BJ1265" s="34"/>
      <c r="BK1265" s="34"/>
      <c r="BL1265" s="34"/>
      <c r="BM1265" s="34"/>
      <c r="BN1265" s="34"/>
      <c r="BO1265" s="34"/>
      <c r="BP1265" s="34"/>
      <c r="BQ1265" s="34"/>
      <c r="BR1265" s="34"/>
      <c r="BS1265" s="34"/>
      <c r="BT1265" s="34"/>
      <c r="BU1265" s="34"/>
      <c r="BV1265" s="34"/>
      <c r="BW1265" s="34"/>
      <c r="BX1265" s="34"/>
      <c r="BY1265" s="34"/>
      <c r="BZ1265" s="34"/>
      <c r="CA1265" s="34"/>
      <c r="CB1265" s="34"/>
      <c r="CC1265" s="34"/>
      <c r="CD1265" s="34"/>
      <c r="CE1265" s="34"/>
      <c r="CF1265" s="34"/>
      <c r="CG1265" s="34"/>
      <c r="CH1265" s="34"/>
      <c r="CI1265" s="8"/>
    </row>
    <row r="1266" spans="1:87" x14ac:dyDescent="0.2">
      <c r="A1266" s="8" t="str">
        <f>IF(AND(COUNTIF(W$3:W$13,A$18)&gt;0,A$18&lt;&gt;B1054),A$18,IFERROR(IF(MATCH(A$18,Z$3:Z$13,0)=10,A$18," ")," "))</f>
        <v>C4</v>
      </c>
      <c r="B1266" s="8">
        <f>IF(A1266=" "," ",MAX(B1263:B1265)+1)</f>
        <v>2</v>
      </c>
      <c r="C1266" s="8" t="str">
        <f>IFERROR(INDEX(A1263:A1284,MATCH(SMALL(B1263:B1284,4),B1263:B1284,0),1)," ")</f>
        <v>C13</v>
      </c>
      <c r="D1266" s="8">
        <f t="shared" si="5409"/>
        <v>0</v>
      </c>
      <c r="E1266" s="8">
        <f t="shared" si="5410"/>
        <v>1</v>
      </c>
      <c r="F1266" s="8">
        <f t="shared" si="5411"/>
        <v>0</v>
      </c>
      <c r="G1266" s="8">
        <f t="shared" si="5412"/>
        <v>0</v>
      </c>
      <c r="H1266" s="8">
        <f t="shared" si="5413"/>
        <v>0</v>
      </c>
      <c r="I1266" s="8">
        <f t="shared" si="5414"/>
        <v>0</v>
      </c>
      <c r="J1266" s="8">
        <f t="shared" si="5415"/>
        <v>0</v>
      </c>
      <c r="K1266" s="8">
        <f t="shared" si="5416"/>
        <v>0</v>
      </c>
      <c r="L1266" s="8">
        <f t="shared" si="5417"/>
        <v>0</v>
      </c>
      <c r="M1266" s="8">
        <f t="shared" si="5418"/>
        <v>0</v>
      </c>
      <c r="N1266" s="8">
        <f t="shared" si="5419"/>
        <v>0</v>
      </c>
      <c r="O1266" s="8">
        <f t="shared" si="5420"/>
        <v>0</v>
      </c>
      <c r="P1266" s="8" t="e">
        <v>#NUM!</v>
      </c>
      <c r="Q1266" s="8" t="e">
        <f t="shared" ref="Q1266" si="5445">IF(COUNTIF(P1263:P1273,"&lt;"&amp;-0.001)=0,IF(ABS(P1266)&lt;0.001,0,P1266)," ")</f>
        <v>#NUM!</v>
      </c>
      <c r="R1266" s="8"/>
      <c r="S1266" s="8"/>
      <c r="U1266" s="34"/>
      <c r="V1266" s="34"/>
      <c r="W1266" s="34"/>
      <c r="X1266" s="34"/>
      <c r="Y1266" s="34"/>
      <c r="Z1266" s="34"/>
      <c r="AA1266" s="34"/>
      <c r="AB1266" s="34"/>
      <c r="AC1266" s="34"/>
      <c r="AD1266" s="34"/>
      <c r="AE1266" s="34"/>
      <c r="AF1266" s="34"/>
      <c r="AG1266" s="34"/>
      <c r="AH1266" s="34"/>
      <c r="AI1266" s="34"/>
      <c r="AJ1266" s="34"/>
      <c r="AK1266" s="34"/>
      <c r="AL1266" s="34"/>
      <c r="AM1266" s="34"/>
      <c r="AN1266" s="34"/>
      <c r="AO1266" s="34"/>
      <c r="AP1266" s="34"/>
      <c r="AQ1266" s="34"/>
      <c r="AR1266" s="34"/>
      <c r="AS1266" s="34"/>
      <c r="AT1266" s="34"/>
      <c r="AU1266" s="34"/>
      <c r="AV1266" s="34"/>
      <c r="AW1266" s="34"/>
      <c r="AX1266" s="34"/>
      <c r="AY1266" s="34"/>
      <c r="AZ1266" s="34"/>
      <c r="BA1266" s="34"/>
      <c r="BB1266" s="34"/>
      <c r="BC1266" s="34"/>
      <c r="BD1266" s="34"/>
      <c r="BE1266" s="34"/>
      <c r="BF1266" s="34"/>
      <c r="BG1266" s="34"/>
      <c r="BH1266" s="34"/>
      <c r="BI1266" s="34"/>
      <c r="BJ1266" s="34"/>
      <c r="BK1266" s="34"/>
      <c r="BL1266" s="34"/>
      <c r="BM1266" s="34"/>
      <c r="BN1266" s="34"/>
      <c r="BO1266" s="34"/>
      <c r="BP1266" s="34"/>
      <c r="BQ1266" s="34"/>
      <c r="BR1266" s="34"/>
      <c r="BS1266" s="34"/>
      <c r="BT1266" s="34"/>
      <c r="BU1266" s="34"/>
      <c r="BV1266" s="34"/>
      <c r="BW1266" s="34"/>
      <c r="BX1266" s="34"/>
      <c r="BY1266" s="34"/>
      <c r="BZ1266" s="34"/>
      <c r="CA1266" s="34"/>
      <c r="CB1266" s="34"/>
      <c r="CC1266" s="34"/>
      <c r="CD1266" s="34"/>
      <c r="CE1266" s="34"/>
      <c r="CF1266" s="34"/>
      <c r="CG1266" s="34"/>
      <c r="CH1266" s="34"/>
      <c r="CI1266" s="8"/>
    </row>
    <row r="1267" spans="1:87" x14ac:dyDescent="0.2">
      <c r="A1267" s="8" t="str">
        <f>IF(AND(COUNTIF(W$3:W$13,A$19)&gt;0,A$19&lt;&gt;B1054),A$19,IFERROR(IF(MATCH(A$19,Z$3:Z$13,0)=10,A$19," ")," "))</f>
        <v xml:space="preserve"> </v>
      </c>
      <c r="B1267" s="8" t="str">
        <f>IF(A1267=" "," ",MAX(B1263:B1266)+1)</f>
        <v xml:space="preserve"> </v>
      </c>
      <c r="C1267" s="8" t="str">
        <f>IFERROR(INDEX(A1263:A1284,MATCH(SMALL(B1263:B1284,5),B1263:B1284,0),1)," ")</f>
        <v>C15</v>
      </c>
      <c r="D1267" s="8">
        <f t="shared" si="5409"/>
        <v>0</v>
      </c>
      <c r="E1267" s="8">
        <f t="shared" si="5410"/>
        <v>0</v>
      </c>
      <c r="F1267" s="8">
        <f t="shared" si="5411"/>
        <v>0</v>
      </c>
      <c r="G1267" s="8">
        <f t="shared" si="5412"/>
        <v>1</v>
      </c>
      <c r="H1267" s="8">
        <f t="shared" si="5413"/>
        <v>0</v>
      </c>
      <c r="I1267" s="8">
        <f t="shared" si="5414"/>
        <v>0</v>
      </c>
      <c r="J1267" s="8">
        <f t="shared" si="5415"/>
        <v>0</v>
      </c>
      <c r="K1267" s="8">
        <f t="shared" si="5416"/>
        <v>0</v>
      </c>
      <c r="L1267" s="8">
        <f t="shared" si="5417"/>
        <v>0</v>
      </c>
      <c r="M1267" s="8">
        <f t="shared" si="5418"/>
        <v>0</v>
      </c>
      <c r="N1267" s="8">
        <f t="shared" si="5419"/>
        <v>0</v>
      </c>
      <c r="O1267" s="8">
        <f t="shared" si="5420"/>
        <v>0</v>
      </c>
      <c r="P1267" s="8" t="e">
        <v>#NUM!</v>
      </c>
      <c r="Q1267" s="8" t="e">
        <f t="shared" ref="Q1267" si="5446">IF(COUNTIF(P1263:P1273,"&lt;"&amp;-0.001)=0,IF(ABS(P1267)&lt;0.001,0,P1267)," ")</f>
        <v>#NUM!</v>
      </c>
      <c r="R1267" s="8"/>
      <c r="S1267" s="8"/>
      <c r="U1267" s="34"/>
      <c r="V1267" s="34"/>
      <c r="W1267" s="34"/>
      <c r="X1267" s="34"/>
      <c r="Y1267" s="34"/>
      <c r="Z1267" s="34"/>
      <c r="AA1267" s="34"/>
      <c r="AB1267" s="34"/>
      <c r="AC1267" s="34"/>
      <c r="AD1267" s="34"/>
      <c r="AE1267" s="34"/>
      <c r="AF1267" s="34"/>
      <c r="AG1267" s="34"/>
      <c r="AH1267" s="34"/>
      <c r="AI1267" s="34"/>
      <c r="AJ1267" s="34"/>
      <c r="AK1267" s="34"/>
      <c r="AL1267" s="34"/>
      <c r="AM1267" s="34"/>
      <c r="AN1267" s="34"/>
      <c r="AO1267" s="34"/>
      <c r="AP1267" s="34"/>
      <c r="AQ1267" s="34"/>
      <c r="AR1267" s="34"/>
      <c r="AS1267" s="34"/>
      <c r="AT1267" s="34"/>
      <c r="AU1267" s="34"/>
      <c r="AV1267" s="34"/>
      <c r="AW1267" s="34"/>
      <c r="AX1267" s="34"/>
      <c r="AY1267" s="34"/>
      <c r="AZ1267" s="34"/>
      <c r="BA1267" s="34"/>
      <c r="BB1267" s="34"/>
      <c r="BC1267" s="34"/>
      <c r="BD1267" s="34"/>
      <c r="BE1267" s="34"/>
      <c r="BF1267" s="34"/>
      <c r="BG1267" s="34"/>
      <c r="BH1267" s="34"/>
      <c r="BI1267" s="34"/>
      <c r="BJ1267" s="34"/>
      <c r="BK1267" s="34"/>
      <c r="BL1267" s="34"/>
      <c r="BM1267" s="34"/>
      <c r="BN1267" s="34"/>
      <c r="BO1267" s="34"/>
      <c r="BP1267" s="34"/>
      <c r="BQ1267" s="34"/>
      <c r="BR1267" s="34"/>
      <c r="BS1267" s="34"/>
      <c r="BT1267" s="34"/>
      <c r="BU1267" s="34"/>
      <c r="BV1267" s="34"/>
      <c r="BW1267" s="34"/>
      <c r="BX1267" s="34"/>
      <c r="BY1267" s="34"/>
      <c r="BZ1267" s="34"/>
      <c r="CA1267" s="34"/>
      <c r="CB1267" s="34"/>
      <c r="CC1267" s="34"/>
      <c r="CD1267" s="34"/>
      <c r="CE1267" s="34"/>
      <c r="CF1267" s="34"/>
      <c r="CG1267" s="34"/>
      <c r="CH1267" s="34"/>
      <c r="CI1267" s="8"/>
    </row>
    <row r="1268" spans="1:87" x14ac:dyDescent="0.2">
      <c r="A1268" s="8" t="str">
        <f>IF(AND(COUNTIF(W$3:W$13,A$20)&gt;0,A$20&lt;&gt;B1054),A$20,IFERROR(IF(MATCH(A$20,Z$3:Z$13,0)=10,A$20," ")," "))</f>
        <v xml:space="preserve"> </v>
      </c>
      <c r="B1268" s="8" t="str">
        <f>IF(A1268=" "," ",MAX(B1263:B1267)+1)</f>
        <v xml:space="preserve"> </v>
      </c>
      <c r="C1268" s="8" t="str">
        <f>IFERROR(INDEX(A1263:A1284,MATCH(SMALL(B1263:B1284,6),B1263:B1284,0),1)," ")</f>
        <v>C17</v>
      </c>
      <c r="D1268" s="8">
        <f t="shared" si="5409"/>
        <v>0</v>
      </c>
      <c r="E1268" s="8">
        <f t="shared" si="5410"/>
        <v>0</v>
      </c>
      <c r="F1268" s="8">
        <f t="shared" si="5411"/>
        <v>0</v>
      </c>
      <c r="G1268" s="8">
        <f t="shared" si="5412"/>
        <v>0</v>
      </c>
      <c r="H1268" s="8">
        <f t="shared" si="5413"/>
        <v>0</v>
      </c>
      <c r="I1268" s="8">
        <f t="shared" si="5414"/>
        <v>1</v>
      </c>
      <c r="J1268" s="8">
        <f t="shared" si="5415"/>
        <v>0</v>
      </c>
      <c r="K1268" s="8">
        <f t="shared" si="5416"/>
        <v>0</v>
      </c>
      <c r="L1268" s="8">
        <f t="shared" si="5417"/>
        <v>0</v>
      </c>
      <c r="M1268" s="8">
        <f t="shared" si="5418"/>
        <v>0</v>
      </c>
      <c r="N1268" s="8">
        <f t="shared" si="5419"/>
        <v>0</v>
      </c>
      <c r="O1268" s="8">
        <f t="shared" si="5420"/>
        <v>0</v>
      </c>
      <c r="P1268" s="8" t="e">
        <v>#NUM!</v>
      </c>
      <c r="Q1268" s="8" t="e">
        <f t="shared" ref="Q1268" si="5447">IF(COUNTIF(P1263:P1273,"&lt;"&amp;-0.001)=0,IF(ABS(P1268)&lt;0.001,0,P1268)," ")</f>
        <v>#NUM!</v>
      </c>
      <c r="R1268" s="8"/>
      <c r="S1268" s="8"/>
      <c r="U1268" s="34"/>
      <c r="V1268" s="34"/>
      <c r="W1268" s="34"/>
      <c r="X1268" s="34"/>
      <c r="Y1268" s="34"/>
      <c r="Z1268" s="34"/>
      <c r="AA1268" s="34"/>
      <c r="AB1268" s="34"/>
      <c r="AC1268" s="34"/>
      <c r="AD1268" s="34"/>
      <c r="AE1268" s="34"/>
      <c r="AF1268" s="34"/>
      <c r="AG1268" s="34"/>
      <c r="AH1268" s="34"/>
      <c r="AI1268" s="34"/>
      <c r="AJ1268" s="34"/>
      <c r="AK1268" s="34"/>
      <c r="AL1268" s="34"/>
      <c r="AM1268" s="34"/>
      <c r="AN1268" s="34"/>
      <c r="AO1268" s="34"/>
      <c r="AP1268" s="34"/>
      <c r="AQ1268" s="34"/>
      <c r="AR1268" s="34"/>
      <c r="AS1268" s="34"/>
      <c r="AT1268" s="34"/>
      <c r="AU1268" s="34"/>
      <c r="AV1268" s="34"/>
      <c r="AW1268" s="34"/>
      <c r="AX1268" s="34"/>
      <c r="AY1268" s="34"/>
      <c r="AZ1268" s="34"/>
      <c r="BA1268" s="34"/>
      <c r="BB1268" s="34"/>
      <c r="BC1268" s="34"/>
      <c r="BD1268" s="34"/>
      <c r="BE1268" s="34"/>
      <c r="BF1268" s="34"/>
      <c r="BG1268" s="34"/>
      <c r="BH1268" s="34"/>
      <c r="BI1268" s="34"/>
      <c r="BJ1268" s="34"/>
      <c r="BK1268" s="34"/>
      <c r="BL1268" s="34"/>
      <c r="BM1268" s="34"/>
      <c r="BN1268" s="34"/>
      <c r="BO1268" s="34"/>
      <c r="BP1268" s="34"/>
      <c r="BQ1268" s="34"/>
      <c r="BR1268" s="34"/>
      <c r="BS1268" s="34"/>
      <c r="BT1268" s="34"/>
      <c r="BU1268" s="34"/>
      <c r="BV1268" s="34"/>
      <c r="BW1268" s="34"/>
      <c r="BX1268" s="34"/>
      <c r="BY1268" s="34"/>
      <c r="BZ1268" s="34"/>
      <c r="CA1268" s="34"/>
      <c r="CB1268" s="34"/>
      <c r="CC1268" s="34"/>
      <c r="CD1268" s="34"/>
      <c r="CE1268" s="34"/>
      <c r="CF1268" s="34"/>
      <c r="CG1268" s="34"/>
      <c r="CH1268" s="34"/>
      <c r="CI1268" s="8"/>
    </row>
    <row r="1269" spans="1:87" x14ac:dyDescent="0.2">
      <c r="A1269" s="8" t="str">
        <f>IF(AND(COUNTIF(W$3:W$13,A$21)&gt;0,A$21&lt;&gt;B1054),A$21,IFERROR(IF(MATCH(A$21,Z$3:Z$13,0)=10,A$21," ")," "))</f>
        <v xml:space="preserve"> </v>
      </c>
      <c r="B1269" s="8" t="str">
        <f>IF(A1269=" "," ",MAX(B1263:B1268)+1)</f>
        <v xml:space="preserve"> </v>
      </c>
      <c r="C1269" s="8" t="str">
        <f>IFERROR(INDEX(A1263:A1284,MATCH(SMALL(B1263:B1284,7),B1263:B1284,0),1)," ")</f>
        <v>C18</v>
      </c>
      <c r="D1269" s="8">
        <f t="shared" si="5409"/>
        <v>0</v>
      </c>
      <c r="E1269" s="8">
        <f t="shared" si="5410"/>
        <v>0</v>
      </c>
      <c r="F1269" s="8">
        <f t="shared" si="5411"/>
        <v>0</v>
      </c>
      <c r="G1269" s="8">
        <f t="shared" si="5412"/>
        <v>0</v>
      </c>
      <c r="H1269" s="8">
        <f t="shared" si="5413"/>
        <v>0</v>
      </c>
      <c r="I1269" s="8">
        <f t="shared" si="5414"/>
        <v>0</v>
      </c>
      <c r="J1269" s="8">
        <f t="shared" si="5415"/>
        <v>1</v>
      </c>
      <c r="K1269" s="8">
        <f t="shared" si="5416"/>
        <v>0</v>
      </c>
      <c r="L1269" s="8">
        <f t="shared" si="5417"/>
        <v>0</v>
      </c>
      <c r="M1269" s="8">
        <f t="shared" si="5418"/>
        <v>0</v>
      </c>
      <c r="N1269" s="8">
        <f t="shared" si="5419"/>
        <v>0</v>
      </c>
      <c r="O1269" s="8">
        <f t="shared" si="5420"/>
        <v>0</v>
      </c>
      <c r="P1269" s="8" t="e">
        <v>#NUM!</v>
      </c>
      <c r="Q1269" s="8" t="e">
        <f t="shared" ref="Q1269" si="5448">IF(COUNTIF(P1263:P1273,"&lt;"&amp;-0.001)=0,IF(ABS(P1269)&lt;0.001,0,P1269)," ")</f>
        <v>#NUM!</v>
      </c>
      <c r="R1269" s="8"/>
      <c r="S1269" s="8"/>
      <c r="U1269" s="34"/>
      <c r="V1269" s="34"/>
      <c r="W1269" s="34"/>
      <c r="X1269" s="34"/>
      <c r="Y1269" s="34"/>
      <c r="Z1269" s="34"/>
      <c r="AA1269" s="34"/>
      <c r="AB1269" s="34"/>
      <c r="AC1269" s="34"/>
      <c r="AD1269" s="34"/>
      <c r="AE1269" s="34"/>
      <c r="AF1269" s="34"/>
      <c r="AG1269" s="34"/>
      <c r="AH1269" s="34"/>
      <c r="AI1269" s="34"/>
      <c r="AJ1269" s="34"/>
      <c r="AK1269" s="34"/>
      <c r="AL1269" s="34"/>
      <c r="AM1269" s="34"/>
      <c r="AN1269" s="34"/>
      <c r="AO1269" s="34"/>
      <c r="AP1269" s="34"/>
      <c r="AQ1269" s="34"/>
      <c r="AR1269" s="34"/>
      <c r="AS1269" s="34"/>
      <c r="AT1269" s="34"/>
      <c r="AU1269" s="34"/>
      <c r="AV1269" s="34"/>
      <c r="AW1269" s="34"/>
      <c r="AX1269" s="34"/>
      <c r="AY1269" s="34"/>
      <c r="AZ1269" s="34"/>
      <c r="BA1269" s="34"/>
      <c r="BB1269" s="34"/>
      <c r="BC1269" s="34"/>
      <c r="BD1269" s="34"/>
      <c r="BE1269" s="34"/>
      <c r="BF1269" s="34"/>
      <c r="BG1269" s="34"/>
      <c r="BH1269" s="34"/>
      <c r="BI1269" s="34"/>
      <c r="BJ1269" s="34"/>
      <c r="BK1269" s="34"/>
      <c r="BL1269" s="34"/>
      <c r="BM1269" s="34"/>
      <c r="BN1269" s="34"/>
      <c r="BO1269" s="34"/>
      <c r="BP1269" s="34"/>
      <c r="BQ1269" s="34"/>
      <c r="BR1269" s="34"/>
      <c r="BS1269" s="34"/>
      <c r="BT1269" s="34"/>
      <c r="BU1269" s="34"/>
      <c r="BV1269" s="34"/>
      <c r="BW1269" s="34"/>
      <c r="BX1269" s="34"/>
      <c r="BY1269" s="34"/>
      <c r="BZ1269" s="34"/>
      <c r="CA1269" s="34"/>
      <c r="CB1269" s="34"/>
      <c r="CC1269" s="34"/>
      <c r="CD1269" s="34"/>
      <c r="CE1269" s="34"/>
      <c r="CF1269" s="34"/>
      <c r="CG1269" s="34"/>
      <c r="CH1269" s="34"/>
      <c r="CI1269" s="8"/>
    </row>
    <row r="1270" spans="1:87" x14ac:dyDescent="0.2">
      <c r="A1270" s="8" t="str">
        <f>IF(AND(COUNTIF(W$3:W$13,A$22)&gt;0,A$22&lt;&gt;B1054),A$22,IFERROR(IF(MATCH(A$22,Z$3:Z$13,0)=10,A$22," ")," "))</f>
        <v xml:space="preserve"> </v>
      </c>
      <c r="B1270" s="8" t="str">
        <f>IF(A1270=" "," ",MAX(B1263:B1269)+1)</f>
        <v xml:space="preserve"> </v>
      </c>
      <c r="C1270" s="8" t="str">
        <f>IFERROR(INDEX(A1263:A1284,MATCH(SMALL(B1263:B1284,8),B1263:B1284,0),1)," ")</f>
        <v>C19</v>
      </c>
      <c r="D1270" s="8">
        <f t="shared" si="5409"/>
        <v>0</v>
      </c>
      <c r="E1270" s="8">
        <f t="shared" si="5410"/>
        <v>0</v>
      </c>
      <c r="F1270" s="8">
        <f t="shared" si="5411"/>
        <v>0</v>
      </c>
      <c r="G1270" s="8">
        <f t="shared" si="5412"/>
        <v>0</v>
      </c>
      <c r="H1270" s="8">
        <f t="shared" si="5413"/>
        <v>0</v>
      </c>
      <c r="I1270" s="8">
        <f t="shared" si="5414"/>
        <v>0</v>
      </c>
      <c r="J1270" s="8">
        <f t="shared" si="5415"/>
        <v>0</v>
      </c>
      <c r="K1270" s="8">
        <f t="shared" si="5416"/>
        <v>1</v>
      </c>
      <c r="L1270" s="8">
        <f t="shared" si="5417"/>
        <v>0</v>
      </c>
      <c r="M1270" s="8">
        <f t="shared" si="5418"/>
        <v>0</v>
      </c>
      <c r="N1270" s="8">
        <f t="shared" si="5419"/>
        <v>0</v>
      </c>
      <c r="O1270" s="8">
        <f t="shared" si="5420"/>
        <v>0</v>
      </c>
      <c r="P1270" s="8" t="e">
        <v>#NUM!</v>
      </c>
      <c r="Q1270" s="8" t="e">
        <f t="shared" ref="Q1270" si="5449">IF(COUNTIF(P1263:P1273,"&lt;"&amp;-0.001)=0,IF(ABS(P1270)&lt;0.001,0,P1270)," ")</f>
        <v>#NUM!</v>
      </c>
      <c r="R1270" s="8"/>
      <c r="S1270" s="8"/>
      <c r="U1270" s="34"/>
      <c r="V1270" s="34"/>
      <c r="W1270" s="34"/>
      <c r="X1270" s="34"/>
      <c r="Y1270" s="34"/>
      <c r="Z1270" s="34"/>
      <c r="AA1270" s="34"/>
      <c r="AB1270" s="34"/>
      <c r="AC1270" s="34"/>
      <c r="AD1270" s="34"/>
      <c r="AE1270" s="34"/>
      <c r="AF1270" s="34"/>
      <c r="AG1270" s="34"/>
      <c r="AH1270" s="34"/>
      <c r="AI1270" s="34"/>
      <c r="AJ1270" s="34"/>
      <c r="AK1270" s="34"/>
      <c r="AL1270" s="34"/>
      <c r="AM1270" s="34"/>
      <c r="AN1270" s="34"/>
      <c r="AO1270" s="34"/>
      <c r="AP1270" s="34"/>
      <c r="AQ1270" s="34"/>
      <c r="AR1270" s="34"/>
      <c r="AS1270" s="34"/>
      <c r="AT1270" s="34"/>
      <c r="AU1270" s="34"/>
      <c r="AV1270" s="34"/>
      <c r="AW1270" s="34"/>
      <c r="AX1270" s="34"/>
      <c r="AY1270" s="34"/>
      <c r="AZ1270" s="34"/>
      <c r="BA1270" s="34"/>
      <c r="BB1270" s="34"/>
      <c r="BC1270" s="34"/>
      <c r="BD1270" s="34"/>
      <c r="BE1270" s="34"/>
      <c r="BF1270" s="34"/>
      <c r="BG1270" s="34"/>
      <c r="BH1270" s="34"/>
      <c r="BI1270" s="34"/>
      <c r="BJ1270" s="34"/>
      <c r="BK1270" s="34"/>
      <c r="BL1270" s="34"/>
      <c r="BM1270" s="34"/>
      <c r="BN1270" s="34"/>
      <c r="BO1270" s="34"/>
      <c r="BP1270" s="34"/>
      <c r="BQ1270" s="34"/>
      <c r="BR1270" s="34"/>
      <c r="BS1270" s="34"/>
      <c r="BT1270" s="34"/>
      <c r="BU1270" s="34"/>
      <c r="BV1270" s="34"/>
      <c r="BW1270" s="34"/>
      <c r="BX1270" s="34"/>
      <c r="BY1270" s="34"/>
      <c r="BZ1270" s="34"/>
      <c r="CA1270" s="34"/>
      <c r="CB1270" s="34"/>
      <c r="CC1270" s="34"/>
      <c r="CD1270" s="34"/>
      <c r="CE1270" s="34"/>
      <c r="CF1270" s="34"/>
      <c r="CG1270" s="34"/>
      <c r="CH1270" s="34"/>
      <c r="CI1270" s="8"/>
    </row>
    <row r="1271" spans="1:87" x14ac:dyDescent="0.2">
      <c r="A1271" s="8" t="str">
        <f>IF(AND(COUNTIF(W$3:W$13,A$23)&gt;0,A$23&lt;&gt;B1054),A$23,IFERROR(IF(MATCH(A$23,Z$3:Z$13,0)=10,A$23," ")," "))</f>
        <v xml:space="preserve"> </v>
      </c>
      <c r="B1271" s="8" t="str">
        <f>IF(A1271=" "," ",MAX(B1263:B1270)+1)</f>
        <v xml:space="preserve"> </v>
      </c>
      <c r="C1271" s="8" t="str">
        <f>IFERROR(INDEX(A1263:A1284,MATCH(SMALL(B1263:B1284,9),B1263:B1284,0),1)," ")</f>
        <v>C20</v>
      </c>
      <c r="D1271" s="8">
        <f t="shared" si="5409"/>
        <v>0</v>
      </c>
      <c r="E1271" s="8">
        <f t="shared" si="5410"/>
        <v>0</v>
      </c>
      <c r="F1271" s="8">
        <f t="shared" si="5411"/>
        <v>0</v>
      </c>
      <c r="G1271" s="8">
        <f t="shared" si="5412"/>
        <v>0</v>
      </c>
      <c r="H1271" s="8">
        <f t="shared" si="5413"/>
        <v>0</v>
      </c>
      <c r="I1271" s="8">
        <f t="shared" si="5414"/>
        <v>0</v>
      </c>
      <c r="J1271" s="8">
        <f t="shared" si="5415"/>
        <v>0</v>
      </c>
      <c r="K1271" s="8">
        <f t="shared" si="5416"/>
        <v>0</v>
      </c>
      <c r="L1271" s="8">
        <f t="shared" si="5417"/>
        <v>1</v>
      </c>
      <c r="M1271" s="8">
        <f t="shared" si="5418"/>
        <v>0</v>
      </c>
      <c r="N1271" s="8">
        <f t="shared" si="5419"/>
        <v>0</v>
      </c>
      <c r="O1271" s="8">
        <f t="shared" si="5420"/>
        <v>0</v>
      </c>
      <c r="P1271" s="6" t="e">
        <v>#NUM!</v>
      </c>
      <c r="Q1271" s="8" t="e">
        <f t="shared" ref="Q1271" si="5450">IF(COUNTIF(P1263:P1273,"&lt;"&amp;-0.001)=0,IF(ABS(P1271)&lt;0.001,0,P1271)," ")</f>
        <v>#NUM!</v>
      </c>
      <c r="R1271" s="8"/>
      <c r="S1271" s="8"/>
      <c r="U1271" s="34"/>
      <c r="V1271" s="34"/>
      <c r="W1271" s="34"/>
      <c r="X1271" s="34"/>
      <c r="Y1271" s="34"/>
      <c r="Z1271" s="34"/>
      <c r="AA1271" s="34"/>
      <c r="AB1271" s="34"/>
      <c r="AC1271" s="34"/>
      <c r="AD1271" s="34"/>
      <c r="AE1271" s="34"/>
      <c r="AF1271" s="34"/>
      <c r="AG1271" s="34"/>
      <c r="AH1271" s="34"/>
      <c r="AI1271" s="34"/>
      <c r="AJ1271" s="34"/>
      <c r="AK1271" s="34"/>
      <c r="AL1271" s="34"/>
      <c r="AM1271" s="34"/>
      <c r="AN1271" s="34"/>
      <c r="AO1271" s="34"/>
      <c r="AP1271" s="34"/>
      <c r="AQ1271" s="34"/>
      <c r="AR1271" s="34"/>
      <c r="AS1271" s="34"/>
      <c r="AT1271" s="34"/>
      <c r="AU1271" s="34"/>
      <c r="AV1271" s="34"/>
      <c r="AW1271" s="34"/>
      <c r="AX1271" s="34"/>
      <c r="AY1271" s="34"/>
      <c r="AZ1271" s="34"/>
      <c r="BA1271" s="34"/>
      <c r="BB1271" s="34"/>
      <c r="BC1271" s="34"/>
      <c r="BD1271" s="34"/>
      <c r="BE1271" s="34"/>
      <c r="BF1271" s="34"/>
      <c r="BG1271" s="34"/>
      <c r="BH1271" s="34"/>
      <c r="BI1271" s="34"/>
      <c r="BJ1271" s="34"/>
      <c r="BK1271" s="34"/>
      <c r="BL1271" s="34"/>
      <c r="BM1271" s="34"/>
      <c r="BN1271" s="34"/>
      <c r="BO1271" s="34"/>
      <c r="BP1271" s="34"/>
      <c r="BQ1271" s="34"/>
      <c r="BR1271" s="34"/>
      <c r="BS1271" s="34"/>
      <c r="BT1271" s="34"/>
      <c r="BU1271" s="34"/>
      <c r="BV1271" s="34"/>
      <c r="BW1271" s="34"/>
      <c r="BX1271" s="34"/>
      <c r="BY1271" s="34"/>
      <c r="BZ1271" s="34"/>
      <c r="CA1271" s="34"/>
      <c r="CB1271" s="34"/>
      <c r="CC1271" s="34"/>
      <c r="CD1271" s="34"/>
      <c r="CE1271" s="34"/>
      <c r="CF1271" s="34"/>
      <c r="CG1271" s="34"/>
      <c r="CH1271" s="34"/>
      <c r="CI1271" s="8"/>
    </row>
    <row r="1272" spans="1:87" x14ac:dyDescent="0.2">
      <c r="A1272" s="8" t="str">
        <f>IF(AND(COUNTIF(W$3:W$13,A$24)&gt;0,A$24&lt;&gt;B1054),A$24,IFERROR(IF(MATCH(A$24,Z$3:Z$13,0)=10,A$24," ")," "))</f>
        <v xml:space="preserve"> </v>
      </c>
      <c r="B1272" s="8" t="str">
        <f>IF(A1272=" "," ",MAX(B1263:B1271)+1)</f>
        <v xml:space="preserve"> </v>
      </c>
      <c r="C1272" s="8" t="str">
        <f>IFERROR(INDEX(A1263:A1284,MATCH(SMALL(B1263:B1284,10),B1263:B1284,0),1)," ")</f>
        <v>C21</v>
      </c>
      <c r="D1272" s="8">
        <f t="shared" si="5409"/>
        <v>0</v>
      </c>
      <c r="E1272" s="8">
        <f t="shared" si="5410"/>
        <v>0</v>
      </c>
      <c r="F1272" s="8">
        <f t="shared" si="5411"/>
        <v>0</v>
      </c>
      <c r="G1272" s="8">
        <f t="shared" si="5412"/>
        <v>0</v>
      </c>
      <c r="H1272" s="8">
        <f t="shared" si="5413"/>
        <v>0</v>
      </c>
      <c r="I1272" s="8">
        <f t="shared" si="5414"/>
        <v>0</v>
      </c>
      <c r="J1272" s="8">
        <f t="shared" si="5415"/>
        <v>0</v>
      </c>
      <c r="K1272" s="8">
        <f t="shared" si="5416"/>
        <v>0</v>
      </c>
      <c r="L1272" s="8">
        <f t="shared" si="5417"/>
        <v>0</v>
      </c>
      <c r="M1272" s="8">
        <f t="shared" si="5418"/>
        <v>1</v>
      </c>
      <c r="N1272" s="8">
        <f t="shared" si="5419"/>
        <v>0</v>
      </c>
      <c r="O1272" s="8">
        <f t="shared" si="5420"/>
        <v>0</v>
      </c>
      <c r="P1272" s="8" t="e">
        <v>#NUM!</v>
      </c>
      <c r="Q1272" s="8" t="e">
        <f t="shared" ref="Q1272" si="5451">IF(COUNTIF(P1263:P1273,"&lt;"&amp;-0.001)=0,IF(ABS(P1272)&lt;0.001,0,P1272)," ")</f>
        <v>#NUM!</v>
      </c>
      <c r="R1272" s="8"/>
      <c r="S1272" s="8"/>
      <c r="U1272" s="34"/>
      <c r="V1272" s="34"/>
      <c r="W1272" s="34"/>
      <c r="X1272" s="34"/>
      <c r="Y1272" s="34"/>
      <c r="Z1272" s="34"/>
      <c r="AA1272" s="34"/>
      <c r="AB1272" s="34"/>
      <c r="AC1272" s="34"/>
      <c r="AD1272" s="34"/>
      <c r="AE1272" s="34"/>
      <c r="AF1272" s="34"/>
      <c r="AG1272" s="34"/>
      <c r="AH1272" s="34"/>
      <c r="AI1272" s="34"/>
      <c r="AJ1272" s="34"/>
      <c r="AK1272" s="34"/>
      <c r="AL1272" s="34"/>
      <c r="AM1272" s="34"/>
      <c r="AN1272" s="34"/>
      <c r="AO1272" s="34"/>
      <c r="AP1272" s="34"/>
      <c r="AQ1272" s="34"/>
      <c r="AR1272" s="34"/>
      <c r="AS1272" s="34"/>
      <c r="AT1272" s="34"/>
      <c r="AU1272" s="34"/>
      <c r="AV1272" s="34"/>
      <c r="AW1272" s="34"/>
      <c r="AX1272" s="34"/>
      <c r="AY1272" s="34"/>
      <c r="AZ1272" s="34"/>
      <c r="BA1272" s="34"/>
      <c r="BB1272" s="34"/>
      <c r="BC1272" s="34"/>
      <c r="BD1272" s="34"/>
      <c r="BE1272" s="34"/>
      <c r="BF1272" s="34"/>
      <c r="BG1272" s="34"/>
      <c r="BH1272" s="34"/>
      <c r="BI1272" s="34"/>
      <c r="BJ1272" s="34"/>
      <c r="BK1272" s="34"/>
      <c r="BL1272" s="34"/>
      <c r="BM1272" s="34"/>
      <c r="BN1272" s="34"/>
      <c r="BO1272" s="34"/>
      <c r="BP1272" s="34"/>
      <c r="BQ1272" s="34"/>
      <c r="BR1272" s="34"/>
      <c r="BS1272" s="34"/>
      <c r="BT1272" s="34"/>
      <c r="BU1272" s="34"/>
      <c r="BV1272" s="34"/>
      <c r="BW1272" s="34"/>
      <c r="BX1272" s="34"/>
      <c r="BY1272" s="34"/>
      <c r="BZ1272" s="34"/>
      <c r="CA1272" s="34"/>
      <c r="CB1272" s="34"/>
      <c r="CC1272" s="34"/>
      <c r="CD1272" s="34"/>
      <c r="CE1272" s="34"/>
      <c r="CF1272" s="34"/>
      <c r="CG1272" s="34"/>
      <c r="CH1272" s="34"/>
      <c r="CI1272" s="8"/>
    </row>
    <row r="1273" spans="1:87" x14ac:dyDescent="0.2">
      <c r="A1273" s="8" t="str">
        <f>IF(AND(COUNTIF(W$3:W$13,A$25)&gt;0,A$25&lt;&gt;B1054),A$25,IFERROR(IF(MATCH(A$25,Z$3:Z$13,0)=10,A$25," ")," "))</f>
        <v xml:space="preserve"> </v>
      </c>
      <c r="B1273" s="8" t="str">
        <f>IF(A1273=" "," ",MAX(B1263:B1272)+1)</f>
        <v xml:space="preserve"> </v>
      </c>
      <c r="C1273" s="8" t="str">
        <f>IFERROR(INDEX(A1263:A1284,MATCH(SMALL(B1263:B1284,11),B1263:B1284,0),1)," ")</f>
        <v>C22</v>
      </c>
      <c r="D1273" s="8">
        <f t="shared" si="5409"/>
        <v>0</v>
      </c>
      <c r="E1273" s="8">
        <f t="shared" si="5410"/>
        <v>0</v>
      </c>
      <c r="F1273" s="8">
        <f t="shared" si="5411"/>
        <v>0</v>
      </c>
      <c r="G1273" s="8">
        <f t="shared" si="5412"/>
        <v>0</v>
      </c>
      <c r="H1273" s="8">
        <f t="shared" si="5413"/>
        <v>0</v>
      </c>
      <c r="I1273" s="8">
        <f t="shared" si="5414"/>
        <v>0</v>
      </c>
      <c r="J1273" s="8">
        <f t="shared" si="5415"/>
        <v>0</v>
      </c>
      <c r="K1273" s="8">
        <f t="shared" si="5416"/>
        <v>0</v>
      </c>
      <c r="L1273" s="8">
        <f t="shared" si="5417"/>
        <v>0</v>
      </c>
      <c r="M1273" s="8">
        <f t="shared" si="5418"/>
        <v>0</v>
      </c>
      <c r="N1273" s="8">
        <f t="shared" si="5419"/>
        <v>1</v>
      </c>
      <c r="O1273" s="8">
        <f t="shared" si="5420"/>
        <v>0</v>
      </c>
      <c r="P1273" s="8" t="e">
        <v>#NUM!</v>
      </c>
      <c r="Q1273" s="8" t="e">
        <f t="shared" ref="Q1273" si="5452">IF(COUNTIF(P1263:P1273,"&lt;"&amp;-0.001)=0,IF(ABS(P1273)&lt;0.001,0,P1273)," ")</f>
        <v>#NUM!</v>
      </c>
      <c r="R1273" s="8"/>
      <c r="S1273" s="8"/>
      <c r="U1273" s="34"/>
      <c r="V1273" s="34"/>
      <c r="W1273" s="34"/>
      <c r="X1273" s="34"/>
      <c r="Y1273" s="34"/>
      <c r="Z1273" s="34"/>
      <c r="AA1273" s="34"/>
      <c r="AB1273" s="34"/>
      <c r="AC1273" s="34"/>
      <c r="AD1273" s="34"/>
      <c r="AE1273" s="34"/>
      <c r="AF1273" s="34"/>
      <c r="AG1273" s="34"/>
      <c r="AH1273" s="34"/>
      <c r="AI1273" s="34"/>
      <c r="AJ1273" s="34"/>
      <c r="AK1273" s="34"/>
      <c r="AL1273" s="34"/>
      <c r="AM1273" s="34"/>
      <c r="AN1273" s="34"/>
      <c r="AO1273" s="34"/>
      <c r="AP1273" s="34"/>
      <c r="AQ1273" s="34"/>
      <c r="AR1273" s="34"/>
      <c r="AS1273" s="34"/>
      <c r="AT1273" s="34"/>
      <c r="AU1273" s="34"/>
      <c r="AV1273" s="34"/>
      <c r="AW1273" s="34"/>
      <c r="AX1273" s="34"/>
      <c r="AY1273" s="34"/>
      <c r="AZ1273" s="34"/>
      <c r="BA1273" s="34"/>
      <c r="BB1273" s="34"/>
      <c r="BC1273" s="34"/>
      <c r="BD1273" s="34"/>
      <c r="BE1273" s="34"/>
      <c r="BF1273" s="34"/>
      <c r="BG1273" s="34"/>
      <c r="BH1273" s="34"/>
      <c r="BI1273" s="34"/>
      <c r="BJ1273" s="34"/>
      <c r="BK1273" s="34"/>
      <c r="BL1273" s="34"/>
      <c r="BM1273" s="34"/>
      <c r="BN1273" s="34"/>
      <c r="BO1273" s="34"/>
      <c r="BP1273" s="34"/>
      <c r="BQ1273" s="34"/>
      <c r="BR1273" s="34"/>
      <c r="BS1273" s="34"/>
      <c r="BT1273" s="34"/>
      <c r="BU1273" s="34"/>
      <c r="BV1273" s="34"/>
      <c r="BW1273" s="34"/>
      <c r="BX1273" s="34"/>
      <c r="BY1273" s="34"/>
      <c r="BZ1273" s="34"/>
      <c r="CA1273" s="34"/>
      <c r="CB1273" s="34"/>
      <c r="CC1273" s="34"/>
      <c r="CD1273" s="34"/>
      <c r="CE1273" s="34"/>
      <c r="CF1273" s="34"/>
      <c r="CG1273" s="34"/>
      <c r="CH1273" s="34"/>
      <c r="CI1273" s="8"/>
    </row>
    <row r="1274" spans="1:87" x14ac:dyDescent="0.2">
      <c r="A1274" s="8" t="str">
        <f>IF(AND(COUNTIF(W$3:W$13,A$26)&gt;0,A$26&lt;&gt;B1054),A$26,IFERROR(IF(MATCH(A$26,Z$3:Z$13,0)=10,A$26," ")," "))</f>
        <v>C12</v>
      </c>
      <c r="B1274" s="8">
        <f>IF(A1274=" "," ",MAX(B1263:B1273)+1)</f>
        <v>3</v>
      </c>
      <c r="C1274" s="8"/>
      <c r="D1274" s="8"/>
      <c r="E1274" s="8"/>
      <c r="F1274" s="8"/>
      <c r="G1274" s="8"/>
      <c r="H1274" s="8"/>
      <c r="I1274" s="8"/>
      <c r="J1274" s="8"/>
      <c r="K1274" s="8"/>
      <c r="L1274" s="8"/>
      <c r="M1274" s="8"/>
      <c r="N1274" s="8"/>
      <c r="O1274" s="8"/>
      <c r="P1274" s="8"/>
      <c r="Q1274" s="8"/>
      <c r="R1274" s="8"/>
      <c r="S1274" s="8"/>
      <c r="U1274" s="34"/>
      <c r="V1274" s="34"/>
      <c r="W1274" s="34"/>
      <c r="X1274" s="34"/>
      <c r="Y1274" s="34"/>
      <c r="Z1274" s="34"/>
      <c r="AA1274" s="34"/>
      <c r="AB1274" s="34"/>
      <c r="AC1274" s="34"/>
      <c r="AD1274" s="34"/>
      <c r="AE1274" s="34"/>
      <c r="AF1274" s="34"/>
      <c r="AG1274" s="34"/>
      <c r="AH1274" s="34"/>
      <c r="AI1274" s="34"/>
      <c r="AJ1274" s="34"/>
      <c r="AK1274" s="34"/>
      <c r="AL1274" s="34"/>
      <c r="AM1274" s="34"/>
      <c r="AN1274" s="34"/>
      <c r="AO1274" s="34"/>
      <c r="AP1274" s="34"/>
      <c r="AQ1274" s="34"/>
      <c r="AR1274" s="34"/>
      <c r="AS1274" s="34"/>
      <c r="AT1274" s="34"/>
      <c r="AU1274" s="34"/>
      <c r="AV1274" s="34"/>
      <c r="AW1274" s="34"/>
      <c r="AX1274" s="34"/>
      <c r="AY1274" s="34"/>
      <c r="AZ1274" s="34"/>
      <c r="BA1274" s="34"/>
      <c r="BB1274" s="34"/>
      <c r="BC1274" s="34"/>
      <c r="BD1274" s="34"/>
      <c r="BE1274" s="34"/>
      <c r="BF1274" s="34"/>
      <c r="BG1274" s="34"/>
      <c r="BH1274" s="34"/>
      <c r="BI1274" s="34"/>
      <c r="BJ1274" s="34"/>
      <c r="BK1274" s="34"/>
      <c r="BL1274" s="34"/>
      <c r="BM1274" s="34"/>
      <c r="BN1274" s="34"/>
      <c r="BO1274" s="34"/>
      <c r="BP1274" s="34"/>
      <c r="BQ1274" s="34"/>
      <c r="BR1274" s="34"/>
      <c r="BS1274" s="34"/>
      <c r="BT1274" s="34"/>
      <c r="BU1274" s="34"/>
      <c r="BV1274" s="34"/>
      <c r="BW1274" s="34"/>
      <c r="BX1274" s="34"/>
      <c r="BY1274" s="34"/>
      <c r="BZ1274" s="34"/>
      <c r="CA1274" s="34"/>
      <c r="CB1274" s="34"/>
      <c r="CC1274" s="34"/>
      <c r="CD1274" s="34"/>
      <c r="CE1274" s="34"/>
      <c r="CF1274" s="34"/>
      <c r="CG1274" s="34"/>
      <c r="CH1274" s="34"/>
      <c r="CI1274" s="8"/>
    </row>
    <row r="1275" spans="1:87" x14ac:dyDescent="0.2">
      <c r="A1275" s="8" t="str">
        <f>IF(AND(COUNTIF(W$3:W$13,A$27)&gt;0,A$27&lt;&gt;B1054),A$27,IFERROR(IF(MATCH(A$27,Z$3:Z$13,0)=10,A$27," ")," "))</f>
        <v>C13</v>
      </c>
      <c r="B1275" s="8">
        <f>IF(A1275=" "," ",MAX(B1263:B1274)+1)</f>
        <v>4</v>
      </c>
      <c r="C1275" s="8"/>
      <c r="D1275" s="8"/>
      <c r="E1275" s="8"/>
      <c r="F1275" s="8"/>
      <c r="G1275" s="8"/>
      <c r="H1275" s="8"/>
      <c r="I1275" s="8"/>
      <c r="J1275" s="8"/>
      <c r="K1275" s="8"/>
      <c r="L1275" s="8"/>
      <c r="M1275" s="8"/>
      <c r="N1275" s="8"/>
      <c r="O1275" s="8"/>
      <c r="P1275" s="8"/>
      <c r="Q1275" s="8"/>
      <c r="R1275" s="8"/>
      <c r="S1275" s="8"/>
      <c r="U1275" s="34"/>
      <c r="V1275" s="34"/>
      <c r="W1275" s="34"/>
      <c r="X1275" s="34"/>
      <c r="Y1275" s="34"/>
      <c r="Z1275" s="34"/>
      <c r="AA1275" s="34"/>
      <c r="AB1275" s="34"/>
      <c r="AC1275" s="34"/>
      <c r="AD1275" s="34"/>
      <c r="AE1275" s="34"/>
      <c r="AF1275" s="34"/>
      <c r="AG1275" s="34"/>
      <c r="AH1275" s="34"/>
      <c r="AI1275" s="34"/>
      <c r="AJ1275" s="34"/>
      <c r="AK1275" s="34"/>
      <c r="AL1275" s="34"/>
      <c r="AM1275" s="34"/>
      <c r="AN1275" s="34"/>
      <c r="AO1275" s="34"/>
      <c r="AP1275" s="34"/>
      <c r="AQ1275" s="34"/>
      <c r="AR1275" s="34"/>
      <c r="AS1275" s="34"/>
      <c r="AT1275" s="34"/>
      <c r="AU1275" s="34"/>
      <c r="AV1275" s="34"/>
      <c r="AW1275" s="34"/>
      <c r="AX1275" s="34"/>
      <c r="AY1275" s="34"/>
      <c r="AZ1275" s="34"/>
      <c r="BA1275" s="34"/>
      <c r="BB1275" s="34"/>
      <c r="BC1275" s="34"/>
      <c r="BD1275" s="34"/>
      <c r="BE1275" s="34"/>
      <c r="BF1275" s="34"/>
      <c r="BG1275" s="34"/>
      <c r="BH1275" s="34"/>
      <c r="BI1275" s="34"/>
      <c r="BJ1275" s="34"/>
      <c r="BK1275" s="34"/>
      <c r="BL1275" s="34"/>
      <c r="BM1275" s="34"/>
      <c r="BN1275" s="34"/>
      <c r="BO1275" s="34"/>
      <c r="BP1275" s="34"/>
      <c r="BQ1275" s="34"/>
      <c r="BR1275" s="34"/>
      <c r="BS1275" s="34"/>
      <c r="BT1275" s="34"/>
      <c r="BU1275" s="34"/>
      <c r="BV1275" s="34"/>
      <c r="BW1275" s="34"/>
      <c r="BX1275" s="34"/>
      <c r="BY1275" s="34"/>
      <c r="BZ1275" s="34"/>
      <c r="CA1275" s="34"/>
      <c r="CB1275" s="34"/>
      <c r="CC1275" s="34"/>
      <c r="CD1275" s="34"/>
      <c r="CE1275" s="34"/>
      <c r="CF1275" s="34"/>
      <c r="CG1275" s="34"/>
      <c r="CH1275" s="34"/>
      <c r="CI1275" s="8"/>
    </row>
    <row r="1276" spans="1:87" x14ac:dyDescent="0.2">
      <c r="A1276" s="8" t="str">
        <f>IF(AND(COUNTIF(W$3:W$13,A$28)&gt;0,A$28&lt;&gt;B1054),A$28,IFERROR(IF(MATCH(A$28,Z$3:Z$13,0)=10,A$28," ")," "))</f>
        <v xml:space="preserve"> </v>
      </c>
      <c r="B1276" s="8" t="str">
        <f>IF(A1276=" "," ",MAX(B1263:B1275)+1)</f>
        <v xml:space="preserve"> </v>
      </c>
      <c r="C1276" s="8"/>
      <c r="D1276" s="8"/>
      <c r="E1276" s="8"/>
      <c r="F1276" s="8"/>
      <c r="G1276" s="8"/>
      <c r="H1276" s="8"/>
      <c r="I1276" s="8"/>
      <c r="J1276" s="8"/>
      <c r="K1276" s="8"/>
      <c r="L1276" s="8"/>
      <c r="M1276" s="8"/>
      <c r="N1276" s="8"/>
      <c r="O1276" s="8"/>
      <c r="P1276" s="8"/>
      <c r="Q1276" s="8"/>
      <c r="R1276" s="8"/>
      <c r="S1276" s="8"/>
      <c r="U1276" s="34"/>
      <c r="V1276" s="34"/>
      <c r="W1276" s="34"/>
      <c r="X1276" s="34"/>
      <c r="Y1276" s="34"/>
      <c r="Z1276" s="34"/>
      <c r="AA1276" s="34"/>
      <c r="AB1276" s="34"/>
      <c r="AC1276" s="34"/>
      <c r="AD1276" s="34"/>
      <c r="AE1276" s="34"/>
      <c r="AF1276" s="34"/>
      <c r="AG1276" s="34"/>
      <c r="AH1276" s="34"/>
      <c r="AI1276" s="34"/>
      <c r="AJ1276" s="34"/>
      <c r="AK1276" s="34"/>
      <c r="AL1276" s="34"/>
      <c r="AM1276" s="34"/>
      <c r="AN1276" s="34"/>
      <c r="AO1276" s="34"/>
      <c r="AP1276" s="34"/>
      <c r="AQ1276" s="34"/>
      <c r="AR1276" s="34"/>
      <c r="AS1276" s="34"/>
      <c r="AT1276" s="34"/>
      <c r="AU1276" s="34"/>
      <c r="AV1276" s="34"/>
      <c r="AW1276" s="34"/>
      <c r="AX1276" s="34"/>
      <c r="AY1276" s="34"/>
      <c r="AZ1276" s="34"/>
      <c r="BA1276" s="34"/>
      <c r="BB1276" s="34"/>
      <c r="BC1276" s="34"/>
      <c r="BD1276" s="34"/>
      <c r="BE1276" s="34"/>
      <c r="BF1276" s="34"/>
      <c r="BG1276" s="34"/>
      <c r="BH1276" s="34"/>
      <c r="BI1276" s="34"/>
      <c r="BJ1276" s="34"/>
      <c r="BK1276" s="34"/>
      <c r="BL1276" s="34"/>
      <c r="BM1276" s="34"/>
      <c r="BN1276" s="34"/>
      <c r="BO1276" s="34"/>
      <c r="BP1276" s="34"/>
      <c r="BQ1276" s="34"/>
      <c r="BR1276" s="34"/>
      <c r="BS1276" s="34"/>
      <c r="BT1276" s="34"/>
      <c r="BU1276" s="34"/>
      <c r="BV1276" s="34"/>
      <c r="BW1276" s="34"/>
      <c r="BX1276" s="34"/>
      <c r="BY1276" s="34"/>
      <c r="BZ1276" s="34"/>
      <c r="CA1276" s="34"/>
      <c r="CB1276" s="34"/>
      <c r="CC1276" s="34"/>
      <c r="CD1276" s="34"/>
      <c r="CE1276" s="34"/>
      <c r="CF1276" s="34"/>
      <c r="CG1276" s="34"/>
      <c r="CH1276" s="34"/>
      <c r="CI1276" s="8"/>
    </row>
    <row r="1277" spans="1:87" x14ac:dyDescent="0.2">
      <c r="A1277" s="8" t="str">
        <f>IF(AND(COUNTIF(W$3:W$13,A$29)&gt;0,A$29&lt;&gt;B1054),A$29,IFERROR(IF(MATCH(A$29,Z$3:Z$13,0)=10,A$29," ")," "))</f>
        <v>C15</v>
      </c>
      <c r="B1277" s="8">
        <f>IF(A1277=" "," ",MAX(B1263:B1276)+1)</f>
        <v>5</v>
      </c>
      <c r="C1277" s="8"/>
      <c r="D1277" s="8"/>
      <c r="E1277" s="8"/>
      <c r="F1277" s="8"/>
      <c r="G1277" s="8"/>
      <c r="H1277" s="8"/>
      <c r="I1277" s="8"/>
      <c r="J1277" s="8"/>
      <c r="K1277" s="8"/>
      <c r="L1277" s="8"/>
      <c r="M1277" s="8"/>
      <c r="N1277" s="8"/>
      <c r="O1277" s="8"/>
      <c r="P1277" s="8"/>
      <c r="Q1277" s="8"/>
      <c r="R1277" s="8"/>
      <c r="S1277" s="8"/>
      <c r="U1277" s="34"/>
      <c r="V1277" s="34"/>
      <c r="W1277" s="34"/>
      <c r="X1277" s="34"/>
      <c r="Y1277" s="34"/>
      <c r="Z1277" s="34"/>
      <c r="AA1277" s="34"/>
      <c r="AB1277" s="34"/>
      <c r="AC1277" s="34"/>
      <c r="AD1277" s="34"/>
      <c r="AE1277" s="34"/>
      <c r="AF1277" s="34"/>
      <c r="AG1277" s="34"/>
      <c r="AH1277" s="34"/>
      <c r="AI1277" s="34"/>
      <c r="AJ1277" s="34"/>
      <c r="AK1277" s="34"/>
      <c r="AL1277" s="34"/>
      <c r="AM1277" s="34"/>
      <c r="AN1277" s="34"/>
      <c r="AO1277" s="34"/>
      <c r="AP1277" s="34"/>
      <c r="AQ1277" s="34"/>
      <c r="AR1277" s="34"/>
      <c r="AS1277" s="34"/>
      <c r="AT1277" s="34"/>
      <c r="AU1277" s="34"/>
      <c r="AV1277" s="34"/>
      <c r="AW1277" s="34"/>
      <c r="AX1277" s="34"/>
      <c r="AY1277" s="34"/>
      <c r="AZ1277" s="34"/>
      <c r="BA1277" s="34"/>
      <c r="BB1277" s="34"/>
      <c r="BC1277" s="34"/>
      <c r="BD1277" s="34"/>
      <c r="BE1277" s="34"/>
      <c r="BF1277" s="34"/>
      <c r="BG1277" s="34"/>
      <c r="BH1277" s="34"/>
      <c r="BI1277" s="34"/>
      <c r="BJ1277" s="34"/>
      <c r="BK1277" s="34"/>
      <c r="BL1277" s="34"/>
      <c r="BM1277" s="34"/>
      <c r="BN1277" s="34"/>
      <c r="BO1277" s="34"/>
      <c r="BP1277" s="34"/>
      <c r="BQ1277" s="34"/>
      <c r="BR1277" s="34"/>
      <c r="BS1277" s="34"/>
      <c r="BT1277" s="34"/>
      <c r="BU1277" s="34"/>
      <c r="BV1277" s="34"/>
      <c r="BW1277" s="34"/>
      <c r="BX1277" s="34"/>
      <c r="BY1277" s="34"/>
      <c r="BZ1277" s="34"/>
      <c r="CA1277" s="34"/>
      <c r="CB1277" s="34"/>
      <c r="CC1277" s="34"/>
      <c r="CD1277" s="34"/>
      <c r="CE1277" s="34"/>
      <c r="CF1277" s="34"/>
      <c r="CG1277" s="34"/>
      <c r="CH1277" s="34"/>
      <c r="CI1277" s="8"/>
    </row>
    <row r="1278" spans="1:87" x14ac:dyDescent="0.2">
      <c r="A1278" s="8" t="str">
        <f>IF(AND(COUNTIF(W$3:W$13,A$30)&gt;0,A$30&lt;&gt;B1054),A$30,IFERROR(IF(MATCH(A$30,Z$3:Z$13,0)=10,A$30," ")," "))</f>
        <v xml:space="preserve"> </v>
      </c>
      <c r="B1278" s="8" t="str">
        <f>IF(A1278=" "," ",MAX(B1263:B1277)+1)</f>
        <v xml:space="preserve"> </v>
      </c>
      <c r="C1278" s="8"/>
      <c r="D1278" s="8"/>
      <c r="E1278" s="8"/>
      <c r="F1278" s="8"/>
      <c r="G1278" s="8"/>
      <c r="H1278" s="8"/>
      <c r="I1278" s="8"/>
      <c r="J1278" s="8"/>
      <c r="K1278" s="8"/>
      <c r="L1278" s="8"/>
      <c r="M1278" s="8"/>
      <c r="N1278" s="8"/>
      <c r="O1278" s="8"/>
      <c r="P1278" s="8"/>
      <c r="Q1278" s="8"/>
      <c r="R1278" s="8"/>
      <c r="S1278" s="8"/>
      <c r="U1278" s="34"/>
      <c r="V1278" s="34"/>
      <c r="W1278" s="34"/>
      <c r="X1278" s="34"/>
      <c r="Y1278" s="34"/>
      <c r="Z1278" s="34"/>
      <c r="AA1278" s="34"/>
      <c r="AB1278" s="34"/>
      <c r="AC1278" s="34"/>
      <c r="AD1278" s="34"/>
      <c r="AE1278" s="34"/>
      <c r="AF1278" s="34"/>
      <c r="AG1278" s="34"/>
      <c r="AH1278" s="34"/>
      <c r="AI1278" s="34"/>
      <c r="AJ1278" s="34"/>
      <c r="AK1278" s="34"/>
      <c r="AL1278" s="34"/>
      <c r="AM1278" s="34"/>
      <c r="AN1278" s="34"/>
      <c r="AO1278" s="34"/>
      <c r="AP1278" s="34"/>
      <c r="AQ1278" s="34"/>
      <c r="AR1278" s="34"/>
      <c r="AS1278" s="34"/>
      <c r="AT1278" s="34"/>
      <c r="AU1278" s="34"/>
      <c r="AV1278" s="34"/>
      <c r="AW1278" s="34"/>
      <c r="AX1278" s="34"/>
      <c r="AY1278" s="34"/>
      <c r="AZ1278" s="34"/>
      <c r="BA1278" s="34"/>
      <c r="BB1278" s="34"/>
      <c r="BC1278" s="34"/>
      <c r="BD1278" s="34"/>
      <c r="BE1278" s="34"/>
      <c r="BF1278" s="34"/>
      <c r="BG1278" s="34"/>
      <c r="BH1278" s="34"/>
      <c r="BI1278" s="34"/>
      <c r="BJ1278" s="34"/>
      <c r="BK1278" s="34"/>
      <c r="BL1278" s="34"/>
      <c r="BM1278" s="34"/>
      <c r="BN1278" s="34"/>
      <c r="BO1278" s="34"/>
      <c r="BP1278" s="34"/>
      <c r="BQ1278" s="34"/>
      <c r="BR1278" s="34"/>
      <c r="BS1278" s="34"/>
      <c r="BT1278" s="34"/>
      <c r="BU1278" s="34"/>
      <c r="BV1278" s="34"/>
      <c r="BW1278" s="34"/>
      <c r="BX1278" s="34"/>
      <c r="BY1278" s="34"/>
      <c r="BZ1278" s="34"/>
      <c r="CA1278" s="34"/>
      <c r="CB1278" s="34"/>
      <c r="CC1278" s="34"/>
      <c r="CD1278" s="34"/>
      <c r="CE1278" s="34"/>
      <c r="CF1278" s="34"/>
      <c r="CG1278" s="34"/>
      <c r="CH1278" s="34"/>
      <c r="CI1278" s="8"/>
    </row>
    <row r="1279" spans="1:87" x14ac:dyDescent="0.2">
      <c r="A1279" s="8" t="str">
        <f>IF(AND(COUNTIF(W$3:W$13,A$31)&gt;0,A$31&lt;&gt;B1054),A$31,IFERROR(IF(MATCH(A$31,Z$3:Z$13,0)=10,A$31," ")," "))</f>
        <v>C17</v>
      </c>
      <c r="B1279" s="8">
        <f>IF(A1279=" "," ",MAX(B1263:B1278)+1)</f>
        <v>6</v>
      </c>
      <c r="C1279" s="8"/>
      <c r="D1279" s="8"/>
      <c r="E1279" s="8"/>
      <c r="F1279" s="8"/>
      <c r="G1279" s="8"/>
      <c r="H1279" s="8"/>
      <c r="I1279" s="8"/>
      <c r="J1279" s="8"/>
      <c r="K1279" s="8"/>
      <c r="L1279" s="8"/>
      <c r="M1279" s="8"/>
      <c r="N1279" s="8"/>
      <c r="O1279" s="8"/>
      <c r="P1279" s="8"/>
      <c r="Q1279" s="8"/>
      <c r="R1279" s="8"/>
      <c r="S1279" s="8"/>
      <c r="U1279" s="34"/>
      <c r="V1279" s="34"/>
      <c r="W1279" s="34"/>
      <c r="X1279" s="34"/>
      <c r="Y1279" s="34"/>
      <c r="Z1279" s="34"/>
      <c r="AA1279" s="34"/>
      <c r="AB1279" s="34"/>
      <c r="AC1279" s="34"/>
      <c r="AD1279" s="34"/>
      <c r="AE1279" s="34"/>
      <c r="AF1279" s="34"/>
      <c r="AG1279" s="34"/>
      <c r="AH1279" s="34"/>
      <c r="AI1279" s="34"/>
      <c r="AJ1279" s="34"/>
      <c r="AK1279" s="34"/>
      <c r="AL1279" s="34"/>
      <c r="AM1279" s="34"/>
      <c r="AN1279" s="34"/>
      <c r="AO1279" s="34"/>
      <c r="AP1279" s="34"/>
      <c r="AQ1279" s="34"/>
      <c r="AR1279" s="34"/>
      <c r="AS1279" s="34"/>
      <c r="AT1279" s="34"/>
      <c r="AU1279" s="34"/>
      <c r="AV1279" s="34"/>
      <c r="AW1279" s="34"/>
      <c r="AX1279" s="34"/>
      <c r="AY1279" s="34"/>
      <c r="AZ1279" s="34"/>
      <c r="BA1279" s="34"/>
      <c r="BB1279" s="34"/>
      <c r="BC1279" s="34"/>
      <c r="BD1279" s="34"/>
      <c r="BE1279" s="34"/>
      <c r="BF1279" s="34"/>
      <c r="BG1279" s="34"/>
      <c r="BH1279" s="34"/>
      <c r="BI1279" s="34"/>
      <c r="BJ1279" s="34"/>
      <c r="BK1279" s="34"/>
      <c r="BL1279" s="34"/>
      <c r="BM1279" s="34"/>
      <c r="BN1279" s="34"/>
      <c r="BO1279" s="34"/>
      <c r="BP1279" s="34"/>
      <c r="BQ1279" s="34"/>
      <c r="BR1279" s="34"/>
      <c r="BS1279" s="34"/>
      <c r="BT1279" s="34"/>
      <c r="BU1279" s="34"/>
      <c r="BV1279" s="34"/>
      <c r="BW1279" s="34"/>
      <c r="BX1279" s="34"/>
      <c r="BY1279" s="34"/>
      <c r="BZ1279" s="34"/>
      <c r="CA1279" s="34"/>
      <c r="CB1279" s="34"/>
      <c r="CC1279" s="34"/>
      <c r="CD1279" s="34"/>
      <c r="CE1279" s="34"/>
      <c r="CF1279" s="34"/>
      <c r="CG1279" s="34"/>
      <c r="CH1279" s="34"/>
      <c r="CI1279" s="8"/>
    </row>
    <row r="1280" spans="1:87" x14ac:dyDescent="0.2">
      <c r="A1280" s="8" t="str">
        <f>IF(AND(COUNTIF(W$3:W$13,A$32)&gt;0,A$32&lt;&gt;B1054),A$32,IFERROR(IF(MATCH(A$32,Z$3:Z$13,0)=10,A$32," ")," "))</f>
        <v>C18</v>
      </c>
      <c r="B1280" s="8">
        <f>IF(A1280=" "," ",MAX(B1263:B1279)+1)</f>
        <v>7</v>
      </c>
      <c r="C1280" s="8"/>
      <c r="D1280" s="8"/>
      <c r="E1280" s="8"/>
      <c r="F1280" s="8"/>
      <c r="G1280" s="8"/>
      <c r="H1280" s="8"/>
      <c r="I1280" s="8"/>
      <c r="J1280" s="8"/>
      <c r="K1280" s="8"/>
      <c r="L1280" s="8"/>
      <c r="M1280" s="8"/>
      <c r="N1280" s="8"/>
      <c r="O1280" s="8"/>
      <c r="P1280" s="8"/>
      <c r="Q1280" s="8"/>
      <c r="R1280" s="8"/>
      <c r="S1280" s="8"/>
      <c r="U1280" s="34"/>
      <c r="V1280" s="34"/>
      <c r="W1280" s="34"/>
      <c r="X1280" s="34"/>
      <c r="Y1280" s="34"/>
      <c r="Z1280" s="34"/>
      <c r="AA1280" s="34"/>
      <c r="AB1280" s="34"/>
      <c r="AC1280" s="34"/>
      <c r="AD1280" s="34"/>
      <c r="AE1280" s="34"/>
      <c r="AF1280" s="34"/>
      <c r="AG1280" s="34"/>
      <c r="AH1280" s="34"/>
      <c r="AI1280" s="34"/>
      <c r="AJ1280" s="34"/>
      <c r="AK1280" s="34"/>
      <c r="AL1280" s="34"/>
      <c r="AM1280" s="34"/>
      <c r="AN1280" s="34"/>
      <c r="AO1280" s="34"/>
      <c r="AP1280" s="34"/>
      <c r="AQ1280" s="34"/>
      <c r="AR1280" s="34"/>
      <c r="AS1280" s="34"/>
      <c r="AT1280" s="34"/>
      <c r="AU1280" s="34"/>
      <c r="AV1280" s="34"/>
      <c r="AW1280" s="34"/>
      <c r="AX1280" s="34"/>
      <c r="AY1280" s="34"/>
      <c r="AZ1280" s="34"/>
      <c r="BA1280" s="34"/>
      <c r="BB1280" s="34"/>
      <c r="BC1280" s="34"/>
      <c r="BD1280" s="34"/>
      <c r="BE1280" s="34"/>
      <c r="BF1280" s="34"/>
      <c r="BG1280" s="34"/>
      <c r="BH1280" s="34"/>
      <c r="BI1280" s="34"/>
      <c r="BJ1280" s="34"/>
      <c r="BK1280" s="34"/>
      <c r="BL1280" s="34"/>
      <c r="BM1280" s="34"/>
      <c r="BN1280" s="34"/>
      <c r="BO1280" s="34"/>
      <c r="BP1280" s="34"/>
      <c r="BQ1280" s="34"/>
      <c r="BR1280" s="34"/>
      <c r="BS1280" s="34"/>
      <c r="BT1280" s="34"/>
      <c r="BU1280" s="34"/>
      <c r="BV1280" s="34"/>
      <c r="BW1280" s="34"/>
      <c r="BX1280" s="34"/>
      <c r="BY1280" s="34"/>
      <c r="BZ1280" s="34"/>
      <c r="CA1280" s="34"/>
      <c r="CB1280" s="34"/>
      <c r="CC1280" s="34"/>
      <c r="CD1280" s="34"/>
      <c r="CE1280" s="34"/>
      <c r="CF1280" s="34"/>
      <c r="CG1280" s="34"/>
      <c r="CH1280" s="34"/>
      <c r="CI1280" s="8"/>
    </row>
    <row r="1281" spans="1:87" x14ac:dyDescent="0.2">
      <c r="A1281" s="8" t="str">
        <f>IF(AND(COUNTIF(W$3:W$13,A$33)&gt;0,A$33&lt;&gt;B1054),A$33,IFERROR(IF(MATCH(A$33,Z$3:Z$13,0)=10,A$33," ")," "))</f>
        <v>C19</v>
      </c>
      <c r="B1281" s="8">
        <f>IF(A1281=" "," ",MAX(B1263:B1280)+1)</f>
        <v>8</v>
      </c>
      <c r="C1281" s="8"/>
      <c r="D1281" s="8"/>
      <c r="E1281" s="8"/>
      <c r="F1281" s="8"/>
      <c r="G1281" s="8"/>
      <c r="H1281" s="8"/>
      <c r="I1281" s="8"/>
      <c r="J1281" s="8"/>
      <c r="K1281" s="8"/>
      <c r="L1281" s="8"/>
      <c r="M1281" s="8"/>
      <c r="N1281" s="8"/>
      <c r="O1281" s="8"/>
      <c r="P1281" s="8"/>
      <c r="Q1281" s="8"/>
      <c r="R1281" s="8"/>
      <c r="S1281" s="8"/>
      <c r="U1281" s="34"/>
      <c r="V1281" s="34"/>
      <c r="W1281" s="34"/>
      <c r="X1281" s="34"/>
      <c r="Y1281" s="34"/>
      <c r="Z1281" s="34"/>
      <c r="AA1281" s="34"/>
      <c r="AB1281" s="34"/>
      <c r="AC1281" s="34"/>
      <c r="AD1281" s="34"/>
      <c r="AE1281" s="34"/>
      <c r="AF1281" s="34"/>
      <c r="AG1281" s="34"/>
      <c r="AH1281" s="34"/>
      <c r="AI1281" s="34"/>
      <c r="AJ1281" s="34"/>
      <c r="AK1281" s="34"/>
      <c r="AL1281" s="34"/>
      <c r="AM1281" s="34"/>
      <c r="AN1281" s="34"/>
      <c r="AO1281" s="34"/>
      <c r="AP1281" s="34"/>
      <c r="AQ1281" s="34"/>
      <c r="AR1281" s="34"/>
      <c r="AS1281" s="34"/>
      <c r="AT1281" s="34"/>
      <c r="AU1281" s="34"/>
      <c r="AV1281" s="34"/>
      <c r="AW1281" s="34"/>
      <c r="AX1281" s="34"/>
      <c r="AY1281" s="34"/>
      <c r="AZ1281" s="34"/>
      <c r="BA1281" s="34"/>
      <c r="BB1281" s="34"/>
      <c r="BC1281" s="34"/>
      <c r="BD1281" s="34"/>
      <c r="BE1281" s="34"/>
      <c r="BF1281" s="34"/>
      <c r="BG1281" s="34"/>
      <c r="BH1281" s="34"/>
      <c r="BI1281" s="34"/>
      <c r="BJ1281" s="34"/>
      <c r="BK1281" s="34"/>
      <c r="BL1281" s="34"/>
      <c r="BM1281" s="34"/>
      <c r="BN1281" s="34"/>
      <c r="BO1281" s="34"/>
      <c r="BP1281" s="34"/>
      <c r="BQ1281" s="34"/>
      <c r="BR1281" s="34"/>
      <c r="BS1281" s="34"/>
      <c r="BT1281" s="34"/>
      <c r="BU1281" s="34"/>
      <c r="BV1281" s="34"/>
      <c r="BW1281" s="34"/>
      <c r="BX1281" s="34"/>
      <c r="BY1281" s="34"/>
      <c r="BZ1281" s="34"/>
      <c r="CA1281" s="34"/>
      <c r="CB1281" s="34"/>
      <c r="CC1281" s="34"/>
      <c r="CD1281" s="34"/>
      <c r="CE1281" s="34"/>
      <c r="CF1281" s="34"/>
      <c r="CG1281" s="34"/>
      <c r="CH1281" s="34"/>
      <c r="CI1281" s="8"/>
    </row>
    <row r="1282" spans="1:87" x14ac:dyDescent="0.2">
      <c r="A1282" s="8" t="str">
        <f>IF(AND(COUNTIF(W$3:W$13,A$34)&gt;0,A$34&lt;&gt;B1054),A$34,IFERROR(IF(MATCH(A$34,Z$3:Z$13,0)=10,A$34," ")," "))</f>
        <v>C20</v>
      </c>
      <c r="B1282" s="8">
        <f>IF(A1282=" "," ",MAX(B1263:B1281)+1)</f>
        <v>9</v>
      </c>
      <c r="C1282" s="8"/>
      <c r="D1282" s="8"/>
      <c r="E1282" s="8"/>
      <c r="F1282" s="8"/>
      <c r="G1282" s="8"/>
      <c r="H1282" s="8"/>
      <c r="I1282" s="8"/>
      <c r="J1282" s="8"/>
      <c r="K1282" s="8"/>
      <c r="L1282" s="8"/>
      <c r="M1282" s="8"/>
      <c r="N1282" s="8"/>
      <c r="O1282" s="8"/>
      <c r="P1282" s="8"/>
      <c r="Q1282" s="8"/>
      <c r="R1282" s="8"/>
      <c r="S1282" s="8"/>
      <c r="U1282" s="34"/>
      <c r="V1282" s="34"/>
      <c r="W1282" s="34"/>
      <c r="X1282" s="34"/>
      <c r="Y1282" s="34"/>
      <c r="Z1282" s="34"/>
      <c r="AA1282" s="34"/>
      <c r="AB1282" s="34"/>
      <c r="AC1282" s="34"/>
      <c r="AD1282" s="34"/>
      <c r="AE1282" s="34"/>
      <c r="AF1282" s="34"/>
      <c r="AG1282" s="34"/>
      <c r="AH1282" s="34"/>
      <c r="AI1282" s="34"/>
      <c r="AJ1282" s="34"/>
      <c r="AK1282" s="34"/>
      <c r="AL1282" s="34"/>
      <c r="AM1282" s="34"/>
      <c r="AN1282" s="34"/>
      <c r="AO1282" s="34"/>
      <c r="AP1282" s="34"/>
      <c r="AQ1282" s="34"/>
      <c r="AR1282" s="34"/>
      <c r="AS1282" s="34"/>
      <c r="AT1282" s="34"/>
      <c r="AU1282" s="34"/>
      <c r="AV1282" s="34"/>
      <c r="AW1282" s="34"/>
      <c r="AX1282" s="34"/>
      <c r="AY1282" s="34"/>
      <c r="AZ1282" s="34"/>
      <c r="BA1282" s="34"/>
      <c r="BB1282" s="34"/>
      <c r="BC1282" s="34"/>
      <c r="BD1282" s="34"/>
      <c r="BE1282" s="34"/>
      <c r="BF1282" s="34"/>
      <c r="BG1282" s="34"/>
      <c r="BH1282" s="34"/>
      <c r="BI1282" s="34"/>
      <c r="BJ1282" s="34"/>
      <c r="BK1282" s="34"/>
      <c r="BL1282" s="34"/>
      <c r="BM1282" s="34"/>
      <c r="BN1282" s="34"/>
      <c r="BO1282" s="34"/>
      <c r="BP1282" s="34"/>
      <c r="BQ1282" s="34"/>
      <c r="BR1282" s="34"/>
      <c r="BS1282" s="34"/>
      <c r="BT1282" s="34"/>
      <c r="BU1282" s="34"/>
      <c r="BV1282" s="34"/>
      <c r="BW1282" s="34"/>
      <c r="BX1282" s="34"/>
      <c r="BY1282" s="34"/>
      <c r="BZ1282" s="34"/>
      <c r="CA1282" s="34"/>
      <c r="CB1282" s="34"/>
      <c r="CC1282" s="34"/>
      <c r="CD1282" s="34"/>
      <c r="CE1282" s="34"/>
      <c r="CF1282" s="34"/>
      <c r="CG1282" s="34"/>
      <c r="CH1282" s="34"/>
      <c r="CI1282" s="8"/>
    </row>
    <row r="1283" spans="1:87" x14ac:dyDescent="0.2">
      <c r="A1283" s="8" t="str">
        <f>IF(AND(COUNTIF(W$3:W$13,A$35)&gt;0,A$35&lt;&gt;B1054),A$35,IFERROR(IF(MATCH(A$35,Z$3:Z$13,0)=10,A$35," ")," "))</f>
        <v>C21</v>
      </c>
      <c r="B1283" s="8">
        <f>IF(A1283=" "," ",MAX(B1263:B1282)+1)</f>
        <v>10</v>
      </c>
      <c r="C1283" s="8"/>
      <c r="D1283" s="8"/>
      <c r="E1283" s="8"/>
      <c r="F1283" s="8"/>
      <c r="G1283" s="8"/>
      <c r="H1283" s="8"/>
      <c r="I1283" s="8"/>
      <c r="J1283" s="8"/>
      <c r="K1283" s="8"/>
      <c r="L1283" s="8"/>
      <c r="M1283" s="8"/>
      <c r="N1283" s="8"/>
      <c r="O1283" s="8"/>
      <c r="P1283" s="8"/>
      <c r="Q1283" s="8"/>
      <c r="R1283" s="8"/>
      <c r="S1283" s="8"/>
      <c r="U1283" s="34"/>
      <c r="V1283" s="34"/>
      <c r="W1283" s="34"/>
      <c r="X1283" s="34"/>
      <c r="Y1283" s="34"/>
      <c r="Z1283" s="34"/>
      <c r="AA1283" s="34"/>
      <c r="AB1283" s="34"/>
      <c r="AC1283" s="34"/>
      <c r="AD1283" s="34"/>
      <c r="AE1283" s="34"/>
      <c r="AF1283" s="34"/>
      <c r="AG1283" s="34"/>
      <c r="AH1283" s="34"/>
      <c r="AI1283" s="34"/>
      <c r="AJ1283" s="34"/>
      <c r="AK1283" s="34"/>
      <c r="AL1283" s="34"/>
      <c r="AM1283" s="34"/>
      <c r="AN1283" s="34"/>
      <c r="AO1283" s="34"/>
      <c r="AP1283" s="34"/>
      <c r="AQ1283" s="34"/>
      <c r="AR1283" s="34"/>
      <c r="AS1283" s="34"/>
      <c r="AT1283" s="34"/>
      <c r="AU1283" s="34"/>
      <c r="AV1283" s="34"/>
      <c r="AW1283" s="34"/>
      <c r="AX1283" s="34"/>
      <c r="AY1283" s="34"/>
      <c r="AZ1283" s="34"/>
      <c r="BA1283" s="34"/>
      <c r="BB1283" s="34"/>
      <c r="BC1283" s="34"/>
      <c r="BD1283" s="34"/>
      <c r="BE1283" s="34"/>
      <c r="BF1283" s="34"/>
      <c r="BG1283" s="34"/>
      <c r="BH1283" s="34"/>
      <c r="BI1283" s="34"/>
      <c r="BJ1283" s="34"/>
      <c r="BK1283" s="34"/>
      <c r="BL1283" s="34"/>
      <c r="BM1283" s="34"/>
      <c r="BN1283" s="34"/>
      <c r="BO1283" s="34"/>
      <c r="BP1283" s="34"/>
      <c r="BQ1283" s="34"/>
      <c r="BR1283" s="34"/>
      <c r="BS1283" s="34"/>
      <c r="BT1283" s="34"/>
      <c r="BU1283" s="34"/>
      <c r="BV1283" s="34"/>
      <c r="BW1283" s="34"/>
      <c r="BX1283" s="34"/>
      <c r="BY1283" s="34"/>
      <c r="BZ1283" s="34"/>
      <c r="CA1283" s="34"/>
      <c r="CB1283" s="34"/>
      <c r="CC1283" s="34"/>
      <c r="CD1283" s="34"/>
      <c r="CE1283" s="34"/>
      <c r="CF1283" s="34"/>
      <c r="CG1283" s="34"/>
      <c r="CH1283" s="34"/>
      <c r="CI1283" s="8"/>
    </row>
    <row r="1284" spans="1:87" x14ac:dyDescent="0.2">
      <c r="A1284" s="8" t="str">
        <f>IF(AND(COUNTIF(W$3:W$13,A$36)&gt;0,A$36&lt;&gt;B1054),A$36,IFERROR(IF(MATCH(A$36,Z$3:Z$13,0)=10,A$36," ")," "))</f>
        <v>C22</v>
      </c>
      <c r="B1284" s="8">
        <f>IF(A1284=" "," ",MAX(B1263:B1283)+1)</f>
        <v>11</v>
      </c>
      <c r="C1284" s="8"/>
      <c r="D1284" s="8"/>
      <c r="E1284" s="8"/>
      <c r="F1284" s="8"/>
      <c r="G1284" s="8"/>
      <c r="H1284" s="8"/>
      <c r="I1284" s="8"/>
      <c r="J1284" s="8"/>
      <c r="K1284" s="8"/>
      <c r="L1284" s="8"/>
      <c r="M1284" s="8"/>
      <c r="N1284" s="8"/>
      <c r="O1284" s="8"/>
      <c r="P1284" s="8"/>
      <c r="Q1284" s="8"/>
      <c r="R1284" s="8"/>
      <c r="S1284" s="8"/>
      <c r="U1284" s="34"/>
      <c r="V1284" s="34"/>
      <c r="W1284" s="34"/>
      <c r="X1284" s="34"/>
      <c r="Y1284" s="34"/>
      <c r="Z1284" s="34"/>
      <c r="AA1284" s="34"/>
      <c r="AB1284" s="34"/>
      <c r="AC1284" s="34"/>
      <c r="AD1284" s="34"/>
      <c r="AE1284" s="34"/>
      <c r="AF1284" s="34"/>
      <c r="AG1284" s="34"/>
      <c r="AH1284" s="34"/>
      <c r="AI1284" s="34"/>
      <c r="AJ1284" s="34"/>
      <c r="AK1284" s="34"/>
      <c r="AL1284" s="34"/>
      <c r="AM1284" s="34"/>
      <c r="AN1284" s="34"/>
      <c r="AO1284" s="34"/>
      <c r="AP1284" s="34"/>
      <c r="AQ1284" s="34"/>
      <c r="AR1284" s="34"/>
      <c r="AS1284" s="34"/>
      <c r="AT1284" s="34"/>
      <c r="AU1284" s="34"/>
      <c r="AV1284" s="34"/>
      <c r="AW1284" s="34"/>
      <c r="AX1284" s="34"/>
      <c r="AY1284" s="34"/>
      <c r="AZ1284" s="34"/>
      <c r="BA1284" s="34"/>
      <c r="BB1284" s="34"/>
      <c r="BC1284" s="34"/>
      <c r="BD1284" s="34"/>
      <c r="BE1284" s="34"/>
      <c r="BF1284" s="34"/>
      <c r="BG1284" s="34"/>
      <c r="BH1284" s="34"/>
      <c r="BI1284" s="34"/>
      <c r="BJ1284" s="34"/>
      <c r="BK1284" s="34"/>
      <c r="BL1284" s="34"/>
      <c r="BM1284" s="34"/>
      <c r="BN1284" s="34"/>
      <c r="BO1284" s="34"/>
      <c r="BP1284" s="34"/>
      <c r="BQ1284" s="34"/>
      <c r="BR1284" s="34"/>
      <c r="BS1284" s="34"/>
      <c r="BT1284" s="34"/>
      <c r="BU1284" s="34"/>
      <c r="BV1284" s="34"/>
      <c r="BW1284" s="34"/>
      <c r="BX1284" s="34"/>
      <c r="BY1284" s="34"/>
      <c r="BZ1284" s="34"/>
      <c r="CA1284" s="34"/>
      <c r="CB1284" s="34"/>
      <c r="CC1284" s="34"/>
      <c r="CD1284" s="34"/>
      <c r="CE1284" s="34"/>
      <c r="CF1284" s="34"/>
      <c r="CG1284" s="34"/>
      <c r="CH1284" s="34"/>
      <c r="CI1284" s="8"/>
    </row>
    <row r="1285" spans="1:87" x14ac:dyDescent="0.2">
      <c r="A1285" s="11" t="s">
        <v>17</v>
      </c>
      <c r="B1285" s="11"/>
      <c r="C1285" s="27" t="s">
        <v>18</v>
      </c>
      <c r="D1285" s="27" t="s">
        <v>2</v>
      </c>
      <c r="E1285" s="27" t="s">
        <v>6</v>
      </c>
      <c r="F1285" s="27" t="s">
        <v>15</v>
      </c>
      <c r="G1285" s="27" t="s">
        <v>36</v>
      </c>
      <c r="H1285" s="27" t="s">
        <v>37</v>
      </c>
      <c r="I1285" s="27" t="s">
        <v>38</v>
      </c>
      <c r="J1285" s="27" t="s">
        <v>39</v>
      </c>
      <c r="K1285" s="27" t="s">
        <v>40</v>
      </c>
      <c r="L1285" s="27" t="s">
        <v>41</v>
      </c>
      <c r="M1285" s="27" t="s">
        <v>42</v>
      </c>
      <c r="N1285" s="27" t="s">
        <v>43</v>
      </c>
      <c r="O1285" s="27" t="s">
        <v>9</v>
      </c>
      <c r="P1285" s="27" t="s">
        <v>12</v>
      </c>
      <c r="Q1285" s="27" t="s">
        <v>19</v>
      </c>
      <c r="R1285" s="27" t="s">
        <v>55</v>
      </c>
      <c r="S1285" s="27" t="s">
        <v>26</v>
      </c>
      <c r="T1285" s="19" t="s">
        <v>25</v>
      </c>
      <c r="U1285" s="33" t="s">
        <v>27</v>
      </c>
      <c r="V1285" s="33" t="s">
        <v>9</v>
      </c>
      <c r="W1285" s="33" t="s">
        <v>23</v>
      </c>
      <c r="X1285" s="33" t="s">
        <v>12</v>
      </c>
      <c r="Y1285" s="33" t="s">
        <v>26</v>
      </c>
      <c r="Z1285" s="33" t="s">
        <v>25</v>
      </c>
      <c r="AA1285" s="33" t="s">
        <v>27</v>
      </c>
      <c r="AB1285" s="33" t="s">
        <v>9</v>
      </c>
      <c r="AC1285" s="33" t="s">
        <v>23</v>
      </c>
      <c r="AD1285" s="33" t="s">
        <v>12</v>
      </c>
      <c r="AE1285" s="33" t="s">
        <v>26</v>
      </c>
      <c r="AF1285" s="33" t="s">
        <v>25</v>
      </c>
      <c r="AG1285" s="33" t="s">
        <v>27</v>
      </c>
      <c r="AH1285" s="33" t="s">
        <v>9</v>
      </c>
      <c r="AI1285" s="33" t="s">
        <v>23</v>
      </c>
      <c r="AJ1285" s="33" t="s">
        <v>12</v>
      </c>
      <c r="AK1285" s="33" t="s">
        <v>26</v>
      </c>
      <c r="AL1285" s="33" t="s">
        <v>25</v>
      </c>
      <c r="AM1285" s="33" t="s">
        <v>27</v>
      </c>
      <c r="AN1285" s="33" t="s">
        <v>9</v>
      </c>
      <c r="AO1285" s="33" t="s">
        <v>23</v>
      </c>
      <c r="AP1285" s="33" t="s">
        <v>12</v>
      </c>
      <c r="AQ1285" s="33" t="s">
        <v>26</v>
      </c>
      <c r="AR1285" s="33" t="s">
        <v>25</v>
      </c>
      <c r="AS1285" s="33" t="s">
        <v>27</v>
      </c>
      <c r="AT1285" s="33" t="s">
        <v>9</v>
      </c>
      <c r="AU1285" s="33" t="s">
        <v>23</v>
      </c>
      <c r="AV1285" s="33" t="s">
        <v>12</v>
      </c>
      <c r="AW1285" s="33" t="s">
        <v>26</v>
      </c>
      <c r="AX1285" s="33" t="s">
        <v>25</v>
      </c>
      <c r="AY1285" s="33" t="s">
        <v>27</v>
      </c>
      <c r="AZ1285" s="33" t="s">
        <v>9</v>
      </c>
      <c r="BA1285" s="33" t="s">
        <v>23</v>
      </c>
      <c r="BB1285" s="33" t="s">
        <v>12</v>
      </c>
      <c r="BC1285" s="33" t="s">
        <v>26</v>
      </c>
      <c r="BD1285" s="33" t="s">
        <v>25</v>
      </c>
      <c r="BE1285" s="33" t="s">
        <v>27</v>
      </c>
      <c r="BF1285" s="33" t="s">
        <v>9</v>
      </c>
      <c r="BG1285" s="33" t="s">
        <v>23</v>
      </c>
      <c r="BH1285" s="33" t="s">
        <v>12</v>
      </c>
      <c r="BI1285" s="33" t="s">
        <v>26</v>
      </c>
      <c r="BJ1285" s="33" t="s">
        <v>25</v>
      </c>
      <c r="BK1285" s="33" t="s">
        <v>27</v>
      </c>
      <c r="BL1285" s="33" t="s">
        <v>9</v>
      </c>
      <c r="BM1285" s="33" t="s">
        <v>23</v>
      </c>
      <c r="BN1285" s="33" t="s">
        <v>12</v>
      </c>
      <c r="BO1285" s="33" t="s">
        <v>26</v>
      </c>
      <c r="BP1285" s="33" t="s">
        <v>25</v>
      </c>
      <c r="BQ1285" s="33" t="s">
        <v>27</v>
      </c>
      <c r="BR1285" s="33" t="s">
        <v>9</v>
      </c>
      <c r="BS1285" s="33" t="s">
        <v>23</v>
      </c>
      <c r="BT1285" s="33" t="s">
        <v>12</v>
      </c>
      <c r="BU1285" s="33" t="s">
        <v>26</v>
      </c>
      <c r="BV1285" s="33" t="s">
        <v>25</v>
      </c>
      <c r="BW1285" s="33" t="s">
        <v>27</v>
      </c>
      <c r="BX1285" s="33" t="s">
        <v>9</v>
      </c>
      <c r="BY1285" s="33" t="s">
        <v>23</v>
      </c>
      <c r="BZ1285" s="33" t="s">
        <v>12</v>
      </c>
      <c r="CA1285" s="33" t="s">
        <v>26</v>
      </c>
      <c r="CB1285" s="33" t="s">
        <v>25</v>
      </c>
      <c r="CC1285" s="33" t="s">
        <v>27</v>
      </c>
      <c r="CD1285" s="33" t="s">
        <v>9</v>
      </c>
      <c r="CE1285" s="33" t="s">
        <v>23</v>
      </c>
      <c r="CF1285" s="33" t="s">
        <v>12</v>
      </c>
      <c r="CG1285" s="33" t="s">
        <v>26</v>
      </c>
      <c r="CH1285" s="33" t="s">
        <v>25</v>
      </c>
      <c r="CI1285" s="8"/>
    </row>
    <row r="1286" spans="1:87" x14ac:dyDescent="0.2">
      <c r="A1286" s="8" t="str">
        <f>IF(AND(COUNTIF(W$3:W$13,A$15)&gt;0,A$15&lt;&gt;B1054),A$15,IFERROR(IF(MATCH(A$15,Z$3:Z$13,0)=11,A$15," ")," "))</f>
        <v xml:space="preserve"> </v>
      </c>
      <c r="B1286" s="8" t="str">
        <f>IF(A1286=" "," ",1)</f>
        <v xml:space="preserve"> </v>
      </c>
      <c r="C1286" s="8" t="str">
        <f>IFERROR(INDEX(A1286:A1307,MATCH(SMALL(B1286:B1307,1),B1286:B1307,0),1)," ")</f>
        <v>C3</v>
      </c>
      <c r="D1286" s="8">
        <f>IFERROR(VLOOKUP($C1286,$A$15:$O$36,2,FALSE)," ")</f>
        <v>2</v>
      </c>
      <c r="E1286" s="8">
        <f>IFERROR(VLOOKUP($C1286,$A$15:$O$36,3,FALSE)," ")</f>
        <v>5</v>
      </c>
      <c r="F1286" s="8">
        <f>IFERROR(VLOOKUP($C1286,$A$15:$O$36,4,FALSE)," ")</f>
        <v>6</v>
      </c>
      <c r="G1286" s="8">
        <f>IFERROR(VLOOKUP($C1286,$A$15:$O$36,5,FALSE)," ")</f>
        <v>0</v>
      </c>
      <c r="H1286" s="8">
        <f>IFERROR(VLOOKUP($C1286,$A$15:$O$36,6,FALSE)," ")</f>
        <v>0</v>
      </c>
      <c r="I1286" s="8">
        <f>IFERROR(VLOOKUP($C1286,$A$15:$O$36,7,FALSE)," ")</f>
        <v>0</v>
      </c>
      <c r="J1286" s="8">
        <f>IFERROR(VLOOKUP($C1286,$A$15:$O$36,8,FALSE)," ")</f>
        <v>0</v>
      </c>
      <c r="K1286" s="8">
        <f>IFERROR(VLOOKUP($C1286,$A$15:$O$36,9,FALSE)," ")</f>
        <v>0</v>
      </c>
      <c r="L1286" s="8">
        <f>IFERROR(VLOOKUP($C1286,$A$15:$O$36,10,FALSE)," ")</f>
        <v>0</v>
      </c>
      <c r="M1286" s="8">
        <f>IFERROR(VLOOKUP($C1286,$A$15:$O$36,11,FALSE)," ")</f>
        <v>0</v>
      </c>
      <c r="N1286" s="8">
        <f>IFERROR(VLOOKUP($C1286,$A$15:$O$36,12,FALSE)," ")</f>
        <v>0</v>
      </c>
      <c r="O1286" s="8">
        <f>IFERROR(VLOOKUP($C1286,$A$15:$O$36,15,FALSE)," ")</f>
        <v>2000</v>
      </c>
      <c r="P1286" s="8" t="e">
        <f t="array" ref="P1286:P1296">MMULT(MINVERSE(D1286:N1296),O1286:O1296)</f>
        <v>#NUM!</v>
      </c>
      <c r="Q1286" s="8" t="e">
        <f t="shared" ref="Q1286" si="5453">IF(COUNTIF(P1286:P1296,"&lt;"&amp;-0.001)=0,IF(ABS(P1286)&lt;0.001,0,P1286)," ")</f>
        <v>#NUM!</v>
      </c>
      <c r="R1286" s="8" t="str">
        <f>IFERROR(VLOOKUP(B1054,A$15:L$36,2,FALSE)*Q1286+VLOOKUP(B1054,A$15:L$36,3,FALSE)*Q1287+VLOOKUP(B1054,A$15:L$36,4,FALSE)*Q1288+VLOOKUP(B1054,A$15:L$36,5,FALSE)*Q1289+VLOOKUP(B1054,A$15:L$36,6,FALSE)*Q1290+VLOOKUP(B1054,A$15:L$36,7,FALSE)*Q1291+VLOOKUP(B1054,A$15:L$36,8,FALSE)*Q1292+VLOOKUP(B1054,A$15:L$36,9,FALSE)*Q1293+VLOOKUP(B1054,A$15:L$36,10,FALSE)*Q1294+VLOOKUP(B1054,A$15:L$36,11,FALSE)*Q1295+VLOOKUP(B1054,A$15:L$36,12,FALSE)*Q1296," ")</f>
        <v xml:space="preserve"> </v>
      </c>
      <c r="S1286" s="8" t="str">
        <f>IFERROR(IF(R1286-VLOOKUP(B1054,A$15:O$36,15,FALSE)&lt;0,R1286-VLOOKUP(B1054,A$15:O$36,15,FALSE)," ")," ")</f>
        <v xml:space="preserve"> </v>
      </c>
      <c r="T1286" s="18" t="str">
        <f>IFERROR(IF(R1286-VLOOKUP(B1054,A$15:O$36,15,FALSE)&gt;0,R1286-VLOOKUP(B1054,A$15:O$36,15,FALSE)," ")," ")</f>
        <v xml:space="preserve"> </v>
      </c>
      <c r="U1286" s="34">
        <f t="shared" ref="U1286" si="5454">$M$2</f>
        <v>100.00000000000001</v>
      </c>
      <c r="V1286" s="34">
        <v>-1</v>
      </c>
      <c r="W1286" s="34">
        <f t="shared" ref="W1286" si="5455">-SUMPRODUCT($M$3:$M$12,$N$3:$N$12)</f>
        <v>-105000</v>
      </c>
      <c r="X1286" s="34" t="e">
        <f t="shared" ref="X1286" si="5456">IF(U1286&lt;&gt;U1287,MMULT(MINVERSE(U1286:V1287),W1286:W1287)," ")</f>
        <v>#NUM!</v>
      </c>
      <c r="Y1286" s="34" t="str">
        <f t="shared" ref="Y1286" si="5457">IFERROR(IF(X1286-VLOOKUP(U$38,$A$2:$N$12,14,FALSE)&lt;0,X1286-VLOOKUP(U$38,$A$2:$N$12,14,FALSE)," ")," ")</f>
        <v xml:space="preserve"> </v>
      </c>
      <c r="Z1286" s="34" t="str">
        <f t="shared" ref="Z1286" si="5458">IFERROR(IF(X1286-VLOOKUP(U$38,$A$2:$N$12,14,FALSE)&gt;0,X1286-VLOOKUP(U$38,$A$2:$N$12,14,FALSE)," ")," ")</f>
        <v xml:space="preserve"> </v>
      </c>
      <c r="AA1286" s="34">
        <f t="shared" ref="AA1286" si="5459">$M$3</f>
        <v>0</v>
      </c>
      <c r="AB1286" s="34">
        <v>-1</v>
      </c>
      <c r="AC1286" s="34">
        <f t="shared" ref="AC1286" si="5460">-SUMPRODUCT($M$2:$M$2,$N$2:$N$2)-SUMPRODUCT($M$4:$M$12,$N$4:$N$12)</f>
        <v>-120000</v>
      </c>
      <c r="AD1286" s="34" t="e">
        <f t="shared" ref="AD1286" si="5461">IF(AA1286&lt;&gt;AA1287,MMULT(MINVERSE(AA1286:AB1287),AC1286:AC1287)," ")</f>
        <v>#NUM!</v>
      </c>
      <c r="AE1286" s="34" t="str">
        <f t="shared" ref="AE1286" si="5462">IFERROR(IF(AD1286-VLOOKUP(AA$38,$A$2:$N$12,14,FALSE)&lt;0,AD1286-VLOOKUP(AA$38,$A$2:$N$12,14,FALSE)," ")," ")</f>
        <v xml:space="preserve"> </v>
      </c>
      <c r="AF1286" s="34" t="str">
        <f t="shared" ref="AF1286" si="5463">IFERROR(IF(AD1286-VLOOKUP(AA$38,$A$2:$N$12,14,FALSE)&gt;0,AD1286-VLOOKUP(AA$38,$A$2:$N$12,14,FALSE)," ")," ")</f>
        <v xml:space="preserve"> </v>
      </c>
      <c r="AG1286" s="34">
        <f t="shared" ref="AG1286" si="5464">$M$4</f>
        <v>300</v>
      </c>
      <c r="AH1286" s="34">
        <v>-1</v>
      </c>
      <c r="AI1286" s="34">
        <f t="shared" ref="AI1286" si="5465">-SUMPRODUCT($M$2:$M$3,$N$2:$N$3)-SUMPRODUCT($M$5:$M$12,$N$5:$N$12)</f>
        <v>-15000.000000000002</v>
      </c>
      <c r="AJ1286" s="34" t="e">
        <f t="shared" ref="AJ1286" si="5466">IF(AG1286&lt;&gt;AG1287,MMULT(MINVERSE(AG1286:AH1287),AI1286:AI1287)," ")</f>
        <v>#NUM!</v>
      </c>
      <c r="AK1286" s="34" t="str">
        <f t="shared" ref="AK1286" si="5467">IFERROR(IF(AJ1286-VLOOKUP(AG$38,$A$2:$N$12,14,FALSE)&lt;0,AJ1286-VLOOKUP(AG$38,$A$2:$N$12,14,FALSE)," ")," ")</f>
        <v xml:space="preserve"> </v>
      </c>
      <c r="AL1286" s="34" t="str">
        <f t="shared" ref="AL1286" si="5468">IFERROR(IF(AJ1286-VLOOKUP(AG$38,$A$2:$N$12,14,FALSE)&gt;0,AJ1286-VLOOKUP(AG$38,$A$2:$N$12,14,FALSE)," ")," ")</f>
        <v xml:space="preserve"> </v>
      </c>
      <c r="AM1286" s="34">
        <f t="shared" ref="AM1286" si="5469">$M$5</f>
        <v>0</v>
      </c>
      <c r="AN1286" s="34">
        <v>-1</v>
      </c>
      <c r="AO1286" s="34">
        <f t="shared" ref="AO1286" si="5470">-SUMPRODUCT($M$2:$M$4,$N$2:$N$4)-SUMPRODUCT($M$6:$M$12,$N$6:$N$12)</f>
        <v>-120000</v>
      </c>
      <c r="AP1286" s="34" t="e">
        <f t="shared" ref="AP1286" si="5471">IF(AM1286&lt;&gt;AM1287,MMULT(MINVERSE(AM1286:AN1287),AO1286:AO1287)," ")</f>
        <v>#NUM!</v>
      </c>
      <c r="AQ1286" s="34" t="str">
        <f t="shared" ref="AQ1286" si="5472">IFERROR(IF(AP1286-VLOOKUP(AM$38,$A$2:$N$12,14,FALSE)&lt;0,AP1286-VLOOKUP(AM$38,$A$2:$N$12,14,FALSE)," ")," ")</f>
        <v xml:space="preserve"> </v>
      </c>
      <c r="AR1286" s="34" t="str">
        <f t="shared" ref="AR1286" si="5473">IFERROR(IF(AP1286-VLOOKUP(AM$38,$A$2:$N$12,14,FALSE)&gt;0,AP1286-VLOOKUP(AM$38,$A$2:$N$12,14,FALSE)," ")," ")</f>
        <v xml:space="preserve"> </v>
      </c>
      <c r="AS1286" s="34">
        <f t="shared" ref="AS1286" si="5474">$M$6</f>
        <v>0</v>
      </c>
      <c r="AT1286" s="34">
        <v>-1</v>
      </c>
      <c r="AU1286" s="34">
        <f t="shared" ref="AU1286" si="5475">-SUMPRODUCT($M$2:$M$5,$N$2:$N$5)-SUMPRODUCT($M$7:$M$12,$N$7:$N$12)</f>
        <v>-120000</v>
      </c>
      <c r="AV1286" s="34" t="e">
        <f t="shared" ref="AV1286" si="5476">IF(AS1286&lt;&gt;AS1287,MMULT(MINVERSE(AS1286:AT1287),AU1286:AU1287)," ")</f>
        <v>#NUM!</v>
      </c>
      <c r="AW1286" s="34" t="str">
        <f t="shared" ref="AW1286" si="5477">IFERROR(IF(AV1286-VLOOKUP(AS$38,$A$2:$N$12,14,FALSE)&lt;0,AV1286-VLOOKUP(AS$38,$A$2:$N$12,14,FALSE)," ")," ")</f>
        <v xml:space="preserve"> </v>
      </c>
      <c r="AX1286" s="34" t="str">
        <f t="shared" ref="AX1286" si="5478">IFERROR(IF(AV1286-VLOOKUP(AS$38,$A$2:$N$12,14,FALSE)&gt;0,AV1286-VLOOKUP(AS$38,$A$2:$N$12,14,FALSE)," ")," ")</f>
        <v xml:space="preserve"> </v>
      </c>
      <c r="AY1286" s="34">
        <f t="shared" ref="AY1286" si="5479">$M$7</f>
        <v>0</v>
      </c>
      <c r="AZ1286" s="34">
        <v>-1</v>
      </c>
      <c r="BA1286" s="34">
        <f t="shared" ref="BA1286" si="5480">-SUMPRODUCT($M$2:$M$6,$N$2:$N$6)-SUMPRODUCT($M$8:$M$12,$N$8:$N$12)</f>
        <v>-120000</v>
      </c>
      <c r="BB1286" s="34" t="e">
        <f t="shared" ref="BB1286" si="5481">IF(AY1286&lt;&gt;AY1287,MMULT(MINVERSE(AY1286:AZ1287),BA1286:BA1287)," ")</f>
        <v>#NUM!</v>
      </c>
      <c r="BC1286" s="34" t="str">
        <f t="shared" ref="BC1286" si="5482">IFERROR(IF(BB1286-VLOOKUP(AY$38,$A$2:$N$12,14,FALSE)&lt;0,BB1286-VLOOKUP(AY$38,$A$2:$N$12,14,FALSE)," ")," ")</f>
        <v xml:space="preserve"> </v>
      </c>
      <c r="BD1286" s="34" t="str">
        <f t="shared" ref="BD1286" si="5483">IFERROR(IF(BB1286-VLOOKUP(AY$38,$A$2:$N$12,14,FALSE)&gt;0,BB1286-VLOOKUP(AY$38,$A$2:$N$12,14,FALSE)," ")," ")</f>
        <v xml:space="preserve"> </v>
      </c>
      <c r="BE1286" s="34">
        <f t="shared" ref="BE1286" si="5484">$M$8</f>
        <v>0</v>
      </c>
      <c r="BF1286" s="34">
        <v>-1</v>
      </c>
      <c r="BG1286" s="34">
        <f t="shared" ref="BG1286" si="5485">-SUMPRODUCT($M$2:$M$7,$N$2:$N$7)-SUMPRODUCT($M$9:$M$12,$N$9:$N$12)</f>
        <v>-120000</v>
      </c>
      <c r="BH1286" s="34" t="e">
        <f t="shared" ref="BH1286" si="5486">IF(BE1286&lt;&gt;BE1287,MMULT(MINVERSE(BE1286:BF1287),BG1286:BG1287)," ")</f>
        <v>#NUM!</v>
      </c>
      <c r="BI1286" s="34" t="str">
        <f t="shared" ref="BI1286" si="5487">IFERROR(IF(BH1286-VLOOKUP(BE$38,$A$2:$N$12,14,FALSE)&lt;0,BH1286-VLOOKUP(BE$38,$A$2:$N$12,14,FALSE)," ")," ")</f>
        <v xml:space="preserve"> </v>
      </c>
      <c r="BJ1286" s="34" t="str">
        <f t="shared" ref="BJ1286" si="5488">IFERROR(IF(BH1286-VLOOKUP(BE$38,$A$2:$N$12,14,FALSE)&gt;0,BH1286-VLOOKUP(BE$38,$A$2:$N$12,14,FALSE)," ")," ")</f>
        <v xml:space="preserve"> </v>
      </c>
      <c r="BK1286" s="34">
        <f t="shared" ref="BK1286" si="5489">$M$9</f>
        <v>0</v>
      </c>
      <c r="BL1286" s="34">
        <v>-1</v>
      </c>
      <c r="BM1286" s="34">
        <f t="shared" ref="BM1286" si="5490">-SUMPRODUCT($M$2:$M$8,$N$2:$N$8)-SUMPRODUCT($M$10:$M$12,$N$10:$N$12)</f>
        <v>-120000</v>
      </c>
      <c r="BN1286" s="34" t="e">
        <f t="shared" ref="BN1286" si="5491">IF(BK1286&lt;&gt;BK1287,MMULT(MINVERSE(BK1286:BL1287),BM1286:BM1287)," ")</f>
        <v>#NUM!</v>
      </c>
      <c r="BO1286" s="34" t="str">
        <f t="shared" ref="BO1286" si="5492">IFERROR(IF(BN1286-VLOOKUP(BK$38,$A$2:$N$12,14,FALSE)&lt;0,BN1286-VLOOKUP(BK$38,$A$2:$N$12,14,FALSE)," ")," ")</f>
        <v xml:space="preserve"> </v>
      </c>
      <c r="BP1286" s="34" t="str">
        <f t="shared" ref="BP1286" si="5493">IFERROR(IF(BN1286-VLOOKUP(BK$38,$A$2:$N$12,14,FALSE)&gt;0,BN1286-VLOOKUP(BK$38,$A$2:$N$12,14,FALSE)," ")," ")</f>
        <v xml:space="preserve"> </v>
      </c>
      <c r="BQ1286" s="34">
        <f t="shared" ref="BQ1286" si="5494">$M$10</f>
        <v>0</v>
      </c>
      <c r="BR1286" s="34">
        <v>-1</v>
      </c>
      <c r="BS1286" s="34">
        <f t="shared" ref="BS1286" si="5495">-SUMPRODUCT($M$2:$M$9,$N$2:$N$9)-SUMPRODUCT($M$11:$M$12,$N$11:$N$12)</f>
        <v>-120000</v>
      </c>
      <c r="BT1286" s="34" t="e">
        <f t="shared" ref="BT1286" si="5496">IF(BQ1286&lt;&gt;BQ1287,MMULT(MINVERSE(BQ1286:BR1287),BS1286:BS1287)," ")</f>
        <v>#NUM!</v>
      </c>
      <c r="BU1286" s="34" t="str">
        <f t="shared" ref="BU1286" si="5497">IFERROR(IF(BT1286-VLOOKUP(BQ$38,$A$2:$N$12,14,FALSE)&lt;0,BT1286-VLOOKUP(BQ$38,$A$2:$N$12,14,FALSE)," ")," ")</f>
        <v xml:space="preserve"> </v>
      </c>
      <c r="BV1286" s="34" t="str">
        <f t="shared" ref="BV1286" si="5498">IFERROR(IF(BT1286-VLOOKUP(BQ$38,$A$2:$N$12,14,FALSE)&gt;0,BT1286-VLOOKUP(BQ$38,$A$2:$N$12,14,FALSE)," ")," ")</f>
        <v xml:space="preserve"> </v>
      </c>
      <c r="BW1286" s="34">
        <f t="shared" ref="BW1286" si="5499">$M$11</f>
        <v>0</v>
      </c>
      <c r="BX1286" s="34">
        <v>-1</v>
      </c>
      <c r="BY1286" s="34">
        <f t="shared" ref="BY1286" si="5500">-SUMPRODUCT($M$2:$M$10,$N$2:$N$10)-SUMPRODUCT($M$12,$N$12)</f>
        <v>-120000</v>
      </c>
      <c r="BZ1286" s="34" t="e">
        <f t="shared" ref="BZ1286" si="5501">IF(BW1286&lt;&gt;BW1287,MMULT(MINVERSE(BW1286:BX1287),BY1286:BY1287)," ")</f>
        <v>#NUM!</v>
      </c>
      <c r="CA1286" s="34" t="str">
        <f t="shared" ref="CA1286" si="5502">IFERROR(IF(BZ1286-VLOOKUP(BW$38,$A$2:$N$12,14,FALSE)&lt;0,BZ1286-VLOOKUP(BW$38,$A$2:$N$12,14,FALSE)," ")," ")</f>
        <v xml:space="preserve"> </v>
      </c>
      <c r="CB1286" s="34" t="str">
        <f t="shared" ref="CB1286" si="5503">IFERROR(IF(BZ1286-VLOOKUP(BW$38,$A$2:$N$12,14,FALSE)&gt;0,BZ1286-VLOOKUP(BW$38,$A$2:$N$12,14,FALSE)," ")," ")</f>
        <v xml:space="preserve"> </v>
      </c>
      <c r="CC1286" s="34">
        <f t="shared" ref="CC1286" si="5504">$M$12</f>
        <v>0</v>
      </c>
      <c r="CD1286" s="34">
        <v>-1</v>
      </c>
      <c r="CE1286" s="34">
        <f t="shared" ref="CE1286" si="5505">-SUMPRODUCT($M$2:$M$11,$N$2:$N$11)</f>
        <v>-120000</v>
      </c>
      <c r="CF1286" s="34" t="e">
        <f t="shared" ref="CF1286" si="5506">IF(CC1286&lt;&gt;CC1287,MMULT(MINVERSE(CC1286:CD1287),CE1286:CE1287)," ")</f>
        <v>#NUM!</v>
      </c>
      <c r="CG1286" s="34" t="str">
        <f t="shared" ref="CG1286" si="5507">IFERROR(IF(CF1286-VLOOKUP(CC$38,$A$2:$N$12,14,FALSE)&lt;0,CF1286-VLOOKUP(CC$38,$A$2:$N$12,14,FALSE)," ")," ")</f>
        <v xml:space="preserve"> </v>
      </c>
      <c r="CH1286" s="34" t="str">
        <f t="shared" ref="CH1286" si="5508">IFERROR(IF(CF1286-VLOOKUP(CC$38,$A$2:$N$12,14,FALSE)&gt;0,CF1286-VLOOKUP(CC$38,$A$2:$N$12,14,FALSE)," ")," ")</f>
        <v xml:space="preserve"> </v>
      </c>
      <c r="CI1286" s="8"/>
    </row>
    <row r="1287" spans="1:87" x14ac:dyDescent="0.2">
      <c r="A1287" s="8" t="str">
        <f>IF(AND(COUNTIF(W$3:W$13,A$16)&gt;0,A$16&lt;&gt;B1054),A$16,IFERROR(IF(MATCH(A$16,Z$3:Z$13,0)=11,A$16," ")," "))</f>
        <v xml:space="preserve"> </v>
      </c>
      <c r="B1287" s="8" t="str">
        <f>IF(A1287=" "," ",MAX(B1286:B1286)+1)</f>
        <v xml:space="preserve"> </v>
      </c>
      <c r="C1287" s="8" t="str">
        <f>IFERROR(INDEX(A1286:A1307,MATCH(SMALL(B1286:B1307,2),B1286:B1307,0),1)," ")</f>
        <v>C4</v>
      </c>
      <c r="D1287" s="8">
        <f t="shared" ref="D1287:D1296" si="5509">IFERROR(VLOOKUP($C1287,$A$15:$O$36,2,FALSE)," ")</f>
        <v>1</v>
      </c>
      <c r="E1287" s="8">
        <f t="shared" ref="E1287:E1296" si="5510">IFERROR(VLOOKUP($C1287,$A$15:$O$36,3,FALSE)," ")</f>
        <v>0</v>
      </c>
      <c r="F1287" s="8">
        <f t="shared" ref="F1287:F1296" si="5511">IFERROR(VLOOKUP($C1287,$A$15:$O$36,4,FALSE)," ")</f>
        <v>1</v>
      </c>
      <c r="G1287" s="8">
        <f t="shared" ref="G1287:G1296" si="5512">IFERROR(VLOOKUP($C1287,$A$15:$O$36,5,FALSE)," ")</f>
        <v>0</v>
      </c>
      <c r="H1287" s="8">
        <f t="shared" ref="H1287:H1296" si="5513">IFERROR(VLOOKUP($C1287,$A$15:$O$36,6,FALSE)," ")</f>
        <v>0</v>
      </c>
      <c r="I1287" s="8">
        <f t="shared" ref="I1287:I1296" si="5514">IFERROR(VLOOKUP($C1287,$A$15:$O$36,7,FALSE)," ")</f>
        <v>0</v>
      </c>
      <c r="J1287" s="8">
        <f t="shared" ref="J1287:J1296" si="5515">IFERROR(VLOOKUP($C1287,$A$15:$O$36,8,FALSE)," ")</f>
        <v>0</v>
      </c>
      <c r="K1287" s="8">
        <f t="shared" ref="K1287:K1296" si="5516">IFERROR(VLOOKUP($C1287,$A$15:$O$36,9,FALSE)," ")</f>
        <v>0</v>
      </c>
      <c r="L1287" s="8">
        <f t="shared" ref="L1287:L1296" si="5517">IFERROR(VLOOKUP($C1287,$A$15:$O$36,10,FALSE)," ")</f>
        <v>0</v>
      </c>
      <c r="M1287" s="8">
        <f t="shared" ref="M1287:M1296" si="5518">IFERROR(VLOOKUP($C1287,$A$15:$O$36,11,FALSE)," ")</f>
        <v>0</v>
      </c>
      <c r="N1287" s="8">
        <f t="shared" ref="N1287:N1296" si="5519">IFERROR(VLOOKUP($C1287,$A$15:$O$36,12,FALSE)," ")</f>
        <v>0</v>
      </c>
      <c r="O1287" s="8">
        <f t="shared" ref="O1287:O1296" si="5520">IFERROR(VLOOKUP($C1287,$A$15:$O$36,15,FALSE)," ")</f>
        <v>400</v>
      </c>
      <c r="P1287" s="8" t="e">
        <v>#NUM!</v>
      </c>
      <c r="Q1287" s="8" t="e">
        <f t="shared" ref="Q1287" si="5521">IF(COUNTIF(P1286:P1296,"&lt;"&amp;-0.001)=0,IF(ABS(P1287)&lt;0.001,0,P1287)," ")</f>
        <v>#NUM!</v>
      </c>
      <c r="R1287" s="8"/>
      <c r="S1287" s="8"/>
      <c r="U1287" s="34" t="e">
        <f t="shared" ref="U1287" si="5522">$Q1286</f>
        <v>#NUM!</v>
      </c>
      <c r="V1287" s="34">
        <v>-1</v>
      </c>
      <c r="W1287" s="34" t="e">
        <f t="shared" ref="W1287" si="5523">-SUMPRODUCT($Q1287:$Q1296,$N$3:$N$12)</f>
        <v>#NUM!</v>
      </c>
      <c r="X1287" s="34"/>
      <c r="Y1287" s="34"/>
      <c r="Z1287" s="34"/>
      <c r="AA1287" s="34" t="e">
        <f t="shared" ref="AA1287" si="5524">$Q1287</f>
        <v>#NUM!</v>
      </c>
      <c r="AB1287" s="34">
        <v>-1</v>
      </c>
      <c r="AC1287" s="34" t="e">
        <f t="shared" ref="AC1287" si="5525">-SUMPRODUCT($Q1286:$Q1286,$N$2:$N$2)-SUMPRODUCT($Q1288:$Q1296,$N$4:$N$12)</f>
        <v>#NUM!</v>
      </c>
      <c r="AD1287" s="34"/>
      <c r="AE1287" s="34"/>
      <c r="AF1287" s="34"/>
      <c r="AG1287" s="34" t="e">
        <f t="shared" ref="AG1287" si="5526">$Q1288</f>
        <v>#NUM!</v>
      </c>
      <c r="AH1287" s="34">
        <v>-1</v>
      </c>
      <c r="AI1287" s="34" t="e">
        <f t="shared" ref="AI1287" si="5527">-SUMPRODUCT($Q1286:$Q1287,$N$2:$N$3)-SUMPRODUCT($Q1289:$Q1296,$N$5:$N$12)</f>
        <v>#NUM!</v>
      </c>
      <c r="AJ1287" s="34"/>
      <c r="AK1287" s="34"/>
      <c r="AL1287" s="34"/>
      <c r="AM1287" s="34" t="e">
        <f t="shared" ref="AM1287" si="5528">$Q1289</f>
        <v>#NUM!</v>
      </c>
      <c r="AN1287" s="34">
        <v>-1</v>
      </c>
      <c r="AO1287" s="34" t="e">
        <f t="shared" ref="AO1287" si="5529">-SUMPRODUCT($Q1286:$Q1288,$N$2:$N$4)-SUMPRODUCT($Q1290:$Q1296,$N$6:$N$12)</f>
        <v>#NUM!</v>
      </c>
      <c r="AP1287" s="34"/>
      <c r="AQ1287" s="34"/>
      <c r="AR1287" s="34"/>
      <c r="AS1287" s="34" t="e">
        <f t="shared" ref="AS1287" si="5530">$Q1290</f>
        <v>#NUM!</v>
      </c>
      <c r="AT1287" s="34">
        <v>-1</v>
      </c>
      <c r="AU1287" s="34" t="e">
        <f t="shared" ref="AU1287" si="5531">-SUMPRODUCT($Q1286:$Q1289,$N$2:$N$5)-SUMPRODUCT($Q1291:$Q1296,$N$7:$N$12)</f>
        <v>#NUM!</v>
      </c>
      <c r="AV1287" s="34"/>
      <c r="AW1287" s="34"/>
      <c r="AX1287" s="34"/>
      <c r="AY1287" s="34" t="e">
        <f t="shared" ref="AY1287" si="5532">$Q1291</f>
        <v>#NUM!</v>
      </c>
      <c r="AZ1287" s="34">
        <v>-1</v>
      </c>
      <c r="BA1287" s="34" t="e">
        <f t="shared" ref="BA1287" si="5533">-SUMPRODUCT($Q1286:$Q1290,$N$2:$N$6)-SUMPRODUCT($Q1292:$Q1296,$N$8:$N$12)</f>
        <v>#NUM!</v>
      </c>
      <c r="BB1287" s="34"/>
      <c r="BC1287" s="34"/>
      <c r="BD1287" s="34"/>
      <c r="BE1287" s="34" t="e">
        <f t="shared" ref="BE1287" si="5534">$Q1292</f>
        <v>#NUM!</v>
      </c>
      <c r="BF1287" s="34">
        <v>-1</v>
      </c>
      <c r="BG1287" s="34" t="e">
        <f t="shared" ref="BG1287" si="5535">-SUMPRODUCT($Q1286:$Q1291,$N$2:$N$7)-SUMPRODUCT($Q1293:$Q1296,$N$9:$N$12)</f>
        <v>#NUM!</v>
      </c>
      <c r="BH1287" s="34"/>
      <c r="BI1287" s="34"/>
      <c r="BJ1287" s="34"/>
      <c r="BK1287" s="34" t="e">
        <f t="shared" ref="BK1287" si="5536">$Q1293</f>
        <v>#NUM!</v>
      </c>
      <c r="BL1287" s="34">
        <v>-1</v>
      </c>
      <c r="BM1287" s="34" t="e">
        <f t="shared" ref="BM1287" si="5537">-SUMPRODUCT($Q1286:$Q1292,$N$2:$N$8)-SUMPRODUCT($Q1294:$Q1296,$N$10:$N$12)</f>
        <v>#NUM!</v>
      </c>
      <c r="BN1287" s="34"/>
      <c r="BO1287" s="34"/>
      <c r="BP1287" s="34"/>
      <c r="BQ1287" s="34" t="e">
        <f t="shared" ref="BQ1287" si="5538">$Q1294</f>
        <v>#NUM!</v>
      </c>
      <c r="BR1287" s="34">
        <v>-1</v>
      </c>
      <c r="BS1287" s="34" t="e">
        <f t="shared" ref="BS1287" si="5539">-SUMPRODUCT($Q1286:$Q1293,$N$2:$N$9)-SUMPRODUCT($Q1295:$Q1296,$N$11:$N$12)</f>
        <v>#NUM!</v>
      </c>
      <c r="BT1287" s="34"/>
      <c r="BU1287" s="34"/>
      <c r="BV1287" s="34"/>
      <c r="BW1287" s="34" t="e">
        <f t="shared" ref="BW1287" si="5540">$Q1295</f>
        <v>#NUM!</v>
      </c>
      <c r="BX1287" s="34">
        <v>-1</v>
      </c>
      <c r="BY1287" s="34" t="e">
        <f t="shared" ref="BY1287" si="5541">-SUMPRODUCT($Q1286:$Q1294,$N$2:$N$10)-SUMPRODUCT($Q1296,$N$12)</f>
        <v>#NUM!</v>
      </c>
      <c r="BZ1287" s="34"/>
      <c r="CA1287" s="34"/>
      <c r="CB1287" s="34"/>
      <c r="CC1287" s="34" t="e">
        <f t="shared" ref="CC1287" si="5542">$Q1296</f>
        <v>#NUM!</v>
      </c>
      <c r="CD1287" s="34">
        <v>-1</v>
      </c>
      <c r="CE1287" s="34" t="e">
        <f t="shared" ref="CE1287" si="5543">-SUMPRODUCT($Q1286:$Q1295,$N$2:$N$11)</f>
        <v>#NUM!</v>
      </c>
      <c r="CF1287" s="34"/>
      <c r="CG1287" s="34"/>
      <c r="CH1287" s="34"/>
      <c r="CI1287" s="8"/>
    </row>
    <row r="1288" spans="1:87" x14ac:dyDescent="0.2">
      <c r="A1288" s="8" t="str">
        <f>IF(AND(COUNTIF(W$3:W$13,A$17)&gt;0,A$17&lt;&gt;B1054),A$17,IFERROR(IF(MATCH(A$17,Z$3:Z$13,0)=11,A$17," ")," "))</f>
        <v>C3</v>
      </c>
      <c r="B1288" s="8">
        <f>IF(A1288=" "," ",MAX(B1286:B1287)+1)</f>
        <v>1</v>
      </c>
      <c r="C1288" s="8" t="str">
        <f>IFERROR(INDEX(A1286:A1307,MATCH(SMALL(B1286:B1307,3),B1286:B1307,0),1)," ")</f>
        <v>C13</v>
      </c>
      <c r="D1288" s="8">
        <f t="shared" si="5509"/>
        <v>0</v>
      </c>
      <c r="E1288" s="8">
        <f t="shared" si="5510"/>
        <v>1</v>
      </c>
      <c r="F1288" s="8">
        <f t="shared" si="5511"/>
        <v>0</v>
      </c>
      <c r="G1288" s="8">
        <f t="shared" si="5512"/>
        <v>0</v>
      </c>
      <c r="H1288" s="8">
        <f t="shared" si="5513"/>
        <v>0</v>
      </c>
      <c r="I1288" s="8">
        <f t="shared" si="5514"/>
        <v>0</v>
      </c>
      <c r="J1288" s="8">
        <f t="shared" si="5515"/>
        <v>0</v>
      </c>
      <c r="K1288" s="8">
        <f t="shared" si="5516"/>
        <v>0</v>
      </c>
      <c r="L1288" s="8">
        <f t="shared" si="5517"/>
        <v>0</v>
      </c>
      <c r="M1288" s="8">
        <f t="shared" si="5518"/>
        <v>0</v>
      </c>
      <c r="N1288" s="8">
        <f t="shared" si="5519"/>
        <v>0</v>
      </c>
      <c r="O1288" s="8">
        <f t="shared" si="5520"/>
        <v>0</v>
      </c>
      <c r="P1288" s="8" t="e">
        <v>#NUM!</v>
      </c>
      <c r="Q1288" s="8" t="e">
        <f t="shared" ref="Q1288" si="5544">IF(COUNTIF(P1286:P1296,"&lt;"&amp;-0.001)=0,IF(ABS(P1288)&lt;0.001,0,P1288)," ")</f>
        <v>#NUM!</v>
      </c>
      <c r="R1288" s="8"/>
      <c r="S1288" s="8"/>
      <c r="U1288" s="34"/>
      <c r="V1288" s="34"/>
      <c r="W1288" s="34"/>
      <c r="X1288" s="34"/>
      <c r="Y1288" s="34"/>
      <c r="Z1288" s="34"/>
      <c r="AA1288" s="34"/>
      <c r="AB1288" s="34"/>
      <c r="AC1288" s="34"/>
      <c r="AD1288" s="34"/>
      <c r="AE1288" s="34"/>
      <c r="AF1288" s="34"/>
      <c r="AG1288" s="34"/>
      <c r="AH1288" s="34"/>
      <c r="AI1288" s="34"/>
      <c r="AJ1288" s="34"/>
      <c r="AK1288" s="34"/>
      <c r="AL1288" s="34"/>
      <c r="AM1288" s="34"/>
      <c r="AN1288" s="34"/>
      <c r="AO1288" s="34"/>
      <c r="AP1288" s="34"/>
      <c r="AQ1288" s="34"/>
      <c r="AR1288" s="34"/>
      <c r="AS1288" s="34"/>
      <c r="AT1288" s="34"/>
      <c r="AU1288" s="34"/>
      <c r="AV1288" s="34"/>
      <c r="AW1288" s="34"/>
      <c r="AX1288" s="34"/>
      <c r="AY1288" s="34"/>
      <c r="AZ1288" s="34"/>
      <c r="BA1288" s="34"/>
      <c r="BB1288" s="34"/>
      <c r="BC1288" s="34"/>
      <c r="BD1288" s="34"/>
      <c r="BE1288" s="34"/>
      <c r="BF1288" s="34"/>
      <c r="BG1288" s="34"/>
      <c r="BH1288" s="34"/>
      <c r="BI1288" s="34"/>
      <c r="BJ1288" s="34"/>
      <c r="BK1288" s="34"/>
      <c r="BL1288" s="34"/>
      <c r="BM1288" s="34"/>
      <c r="BN1288" s="34"/>
      <c r="BO1288" s="34"/>
      <c r="BP1288" s="34"/>
      <c r="BQ1288" s="34"/>
      <c r="BR1288" s="34"/>
      <c r="BS1288" s="34"/>
      <c r="BT1288" s="34"/>
      <c r="BU1288" s="34"/>
      <c r="BV1288" s="34"/>
      <c r="BW1288" s="34"/>
      <c r="BX1288" s="34"/>
      <c r="BY1288" s="34"/>
      <c r="BZ1288" s="34"/>
      <c r="CA1288" s="34"/>
      <c r="CB1288" s="34"/>
      <c r="CC1288" s="34"/>
      <c r="CD1288" s="34"/>
      <c r="CE1288" s="34"/>
      <c r="CF1288" s="34"/>
      <c r="CG1288" s="34"/>
      <c r="CH1288" s="34"/>
      <c r="CI1288" s="8"/>
    </row>
    <row r="1289" spans="1:87" x14ac:dyDescent="0.2">
      <c r="A1289" s="8" t="str">
        <f>IF(AND(COUNTIF(W$3:W$13,A$18)&gt;0,A$18&lt;&gt;B1054),A$18,IFERROR(IF(MATCH(A$18,Z$3:Z$13,0)=11,A$18," ")," "))</f>
        <v>C4</v>
      </c>
      <c r="B1289" s="8">
        <f>IF(A1289=" "," ",MAX(B1286:B1288)+1)</f>
        <v>2</v>
      </c>
      <c r="C1289" s="8" t="str">
        <f>IFERROR(INDEX(A1286:A1307,MATCH(SMALL(B1286:B1307,4),B1286:B1307,0),1)," ")</f>
        <v>C14</v>
      </c>
      <c r="D1289" s="8">
        <f t="shared" si="5509"/>
        <v>0</v>
      </c>
      <c r="E1289" s="8">
        <f t="shared" si="5510"/>
        <v>0</v>
      </c>
      <c r="F1289" s="8">
        <f t="shared" si="5511"/>
        <v>1</v>
      </c>
      <c r="G1289" s="8">
        <f t="shared" si="5512"/>
        <v>0</v>
      </c>
      <c r="H1289" s="8">
        <f t="shared" si="5513"/>
        <v>0</v>
      </c>
      <c r="I1289" s="8">
        <f t="shared" si="5514"/>
        <v>0</v>
      </c>
      <c r="J1289" s="8">
        <f t="shared" si="5515"/>
        <v>0</v>
      </c>
      <c r="K1289" s="8">
        <f t="shared" si="5516"/>
        <v>0</v>
      </c>
      <c r="L1289" s="8">
        <f t="shared" si="5517"/>
        <v>0</v>
      </c>
      <c r="M1289" s="8">
        <f t="shared" si="5518"/>
        <v>0</v>
      </c>
      <c r="N1289" s="8">
        <f t="shared" si="5519"/>
        <v>0</v>
      </c>
      <c r="O1289" s="8">
        <f t="shared" si="5520"/>
        <v>0</v>
      </c>
      <c r="P1289" s="8" t="e">
        <v>#NUM!</v>
      </c>
      <c r="Q1289" s="8" t="e">
        <f t="shared" ref="Q1289" si="5545">IF(COUNTIF(P1286:P1296,"&lt;"&amp;-0.001)=0,IF(ABS(P1289)&lt;0.001,0,P1289)," ")</f>
        <v>#NUM!</v>
      </c>
      <c r="R1289" s="8"/>
      <c r="S1289" s="8"/>
      <c r="U1289" s="34"/>
      <c r="V1289" s="34"/>
      <c r="W1289" s="34"/>
      <c r="X1289" s="34"/>
      <c r="Y1289" s="34"/>
      <c r="Z1289" s="34"/>
      <c r="AA1289" s="34"/>
      <c r="AB1289" s="34"/>
      <c r="AC1289" s="34"/>
      <c r="AD1289" s="34"/>
      <c r="AE1289" s="34"/>
      <c r="AF1289" s="34"/>
      <c r="AG1289" s="34"/>
      <c r="AH1289" s="34"/>
      <c r="AI1289" s="34"/>
      <c r="AJ1289" s="34"/>
      <c r="AK1289" s="34"/>
      <c r="AL1289" s="34"/>
      <c r="AM1289" s="34"/>
      <c r="AN1289" s="34"/>
      <c r="AO1289" s="34"/>
      <c r="AP1289" s="34"/>
      <c r="AQ1289" s="34"/>
      <c r="AR1289" s="34"/>
      <c r="AS1289" s="34"/>
      <c r="AT1289" s="34"/>
      <c r="AU1289" s="34"/>
      <c r="AV1289" s="34"/>
      <c r="AW1289" s="34"/>
      <c r="AX1289" s="34"/>
      <c r="AY1289" s="34"/>
      <c r="AZ1289" s="34"/>
      <c r="BA1289" s="34"/>
      <c r="BB1289" s="34"/>
      <c r="BC1289" s="34"/>
      <c r="BD1289" s="34"/>
      <c r="BE1289" s="34"/>
      <c r="BF1289" s="34"/>
      <c r="BG1289" s="34"/>
      <c r="BH1289" s="34"/>
      <c r="BI1289" s="34"/>
      <c r="BJ1289" s="34"/>
      <c r="BK1289" s="34"/>
      <c r="BL1289" s="34"/>
      <c r="BM1289" s="34"/>
      <c r="BN1289" s="34"/>
      <c r="BO1289" s="34"/>
      <c r="BP1289" s="34"/>
      <c r="BQ1289" s="34"/>
      <c r="BR1289" s="34"/>
      <c r="BS1289" s="34"/>
      <c r="BT1289" s="34"/>
      <c r="BU1289" s="34"/>
      <c r="BV1289" s="34"/>
      <c r="BW1289" s="34"/>
      <c r="BX1289" s="34"/>
      <c r="BY1289" s="34"/>
      <c r="BZ1289" s="34"/>
      <c r="CA1289" s="34"/>
      <c r="CB1289" s="34"/>
      <c r="CC1289" s="34"/>
      <c r="CD1289" s="34"/>
      <c r="CE1289" s="34"/>
      <c r="CF1289" s="34"/>
      <c r="CG1289" s="34"/>
      <c r="CH1289" s="34"/>
      <c r="CI1289" s="8"/>
    </row>
    <row r="1290" spans="1:87" x14ac:dyDescent="0.2">
      <c r="A1290" s="8" t="str">
        <f>IF(AND(COUNTIF(W$3:W$13,A$19)&gt;0,A$19&lt;&gt;B1054),A$19,IFERROR(IF(MATCH(A$19,Z$3:Z$13,0)=11,A$19," ")," "))</f>
        <v xml:space="preserve"> </v>
      </c>
      <c r="B1290" s="8" t="str">
        <f>IF(A1290=" "," ",MAX(B1286:B1289)+1)</f>
        <v xml:space="preserve"> </v>
      </c>
      <c r="C1290" s="8" t="str">
        <f>IFERROR(INDEX(A1286:A1307,MATCH(SMALL(B1286:B1307,5),B1286:B1307,0),1)," ")</f>
        <v>C15</v>
      </c>
      <c r="D1290" s="8">
        <f t="shared" si="5509"/>
        <v>0</v>
      </c>
      <c r="E1290" s="8">
        <f t="shared" si="5510"/>
        <v>0</v>
      </c>
      <c r="F1290" s="8">
        <f t="shared" si="5511"/>
        <v>0</v>
      </c>
      <c r="G1290" s="8">
        <f t="shared" si="5512"/>
        <v>1</v>
      </c>
      <c r="H1290" s="8">
        <f t="shared" si="5513"/>
        <v>0</v>
      </c>
      <c r="I1290" s="8">
        <f t="shared" si="5514"/>
        <v>0</v>
      </c>
      <c r="J1290" s="8">
        <f t="shared" si="5515"/>
        <v>0</v>
      </c>
      <c r="K1290" s="8">
        <f t="shared" si="5516"/>
        <v>0</v>
      </c>
      <c r="L1290" s="8">
        <f t="shared" si="5517"/>
        <v>0</v>
      </c>
      <c r="M1290" s="8">
        <f t="shared" si="5518"/>
        <v>0</v>
      </c>
      <c r="N1290" s="8">
        <f t="shared" si="5519"/>
        <v>0</v>
      </c>
      <c r="O1290" s="8">
        <f t="shared" si="5520"/>
        <v>0</v>
      </c>
      <c r="P1290" s="8" t="e">
        <v>#NUM!</v>
      </c>
      <c r="Q1290" s="8" t="e">
        <f t="shared" ref="Q1290" si="5546">IF(COUNTIF(P1286:P1296,"&lt;"&amp;-0.001)=0,IF(ABS(P1290)&lt;0.001,0,P1290)," ")</f>
        <v>#NUM!</v>
      </c>
      <c r="R1290" s="8"/>
      <c r="S1290" s="8"/>
      <c r="U1290" s="34"/>
      <c r="V1290" s="34"/>
      <c r="W1290" s="34"/>
      <c r="X1290" s="34"/>
      <c r="Y1290" s="34"/>
      <c r="Z1290" s="34"/>
      <c r="AA1290" s="34"/>
      <c r="AB1290" s="34"/>
      <c r="AC1290" s="34"/>
      <c r="AD1290" s="34"/>
      <c r="AE1290" s="34"/>
      <c r="AF1290" s="34"/>
      <c r="AG1290" s="34"/>
      <c r="AH1290" s="34"/>
      <c r="AI1290" s="34"/>
      <c r="AJ1290" s="34"/>
      <c r="AK1290" s="34"/>
      <c r="AL1290" s="34"/>
      <c r="AM1290" s="34"/>
      <c r="AN1290" s="34"/>
      <c r="AO1290" s="34"/>
      <c r="AP1290" s="34"/>
      <c r="AQ1290" s="34"/>
      <c r="AR1290" s="34"/>
      <c r="AS1290" s="34"/>
      <c r="AT1290" s="34"/>
      <c r="AU1290" s="34"/>
      <c r="AV1290" s="34"/>
      <c r="AW1290" s="34"/>
      <c r="AX1290" s="34"/>
      <c r="AY1290" s="34"/>
      <c r="AZ1290" s="34"/>
      <c r="BA1290" s="34"/>
      <c r="BB1290" s="34"/>
      <c r="BC1290" s="34"/>
      <c r="BD1290" s="34"/>
      <c r="BE1290" s="34"/>
      <c r="BF1290" s="34"/>
      <c r="BG1290" s="34"/>
      <c r="BH1290" s="34"/>
      <c r="BI1290" s="34"/>
      <c r="BJ1290" s="34"/>
      <c r="BK1290" s="34"/>
      <c r="BL1290" s="34"/>
      <c r="BM1290" s="34"/>
      <c r="BN1290" s="34"/>
      <c r="BO1290" s="34"/>
      <c r="BP1290" s="34"/>
      <c r="BQ1290" s="34"/>
      <c r="BR1290" s="34"/>
      <c r="BS1290" s="34"/>
      <c r="BT1290" s="34"/>
      <c r="BU1290" s="34"/>
      <c r="BV1290" s="34"/>
      <c r="BW1290" s="34"/>
      <c r="BX1290" s="34"/>
      <c r="BY1290" s="34"/>
      <c r="BZ1290" s="34"/>
      <c r="CA1290" s="34"/>
      <c r="CB1290" s="34"/>
      <c r="CC1290" s="34"/>
      <c r="CD1290" s="34"/>
      <c r="CE1290" s="34"/>
      <c r="CF1290" s="34"/>
      <c r="CG1290" s="34"/>
      <c r="CH1290" s="34"/>
      <c r="CI1290" s="8"/>
    </row>
    <row r="1291" spans="1:87" x14ac:dyDescent="0.2">
      <c r="A1291" s="8" t="str">
        <f>IF(AND(COUNTIF(W$3:W$13,A$20)&gt;0,A$20&lt;&gt;B1054),A$20,IFERROR(IF(MATCH(A$20,Z$3:Z$13,0)=11,A$20," ")," "))</f>
        <v xml:space="preserve"> </v>
      </c>
      <c r="B1291" s="8" t="str">
        <f>IF(A1291=" "," ",MAX(B1286:B1290)+1)</f>
        <v xml:space="preserve"> </v>
      </c>
      <c r="C1291" s="8" t="str">
        <f>IFERROR(INDEX(A1286:A1307,MATCH(SMALL(B1286:B1307,6),B1286:B1307,0),1)," ")</f>
        <v>C17</v>
      </c>
      <c r="D1291" s="8">
        <f t="shared" si="5509"/>
        <v>0</v>
      </c>
      <c r="E1291" s="8">
        <f t="shared" si="5510"/>
        <v>0</v>
      </c>
      <c r="F1291" s="8">
        <f t="shared" si="5511"/>
        <v>0</v>
      </c>
      <c r="G1291" s="8">
        <f t="shared" si="5512"/>
        <v>0</v>
      </c>
      <c r="H1291" s="8">
        <f t="shared" si="5513"/>
        <v>0</v>
      </c>
      <c r="I1291" s="8">
        <f t="shared" si="5514"/>
        <v>1</v>
      </c>
      <c r="J1291" s="8">
        <f t="shared" si="5515"/>
        <v>0</v>
      </c>
      <c r="K1291" s="8">
        <f t="shared" si="5516"/>
        <v>0</v>
      </c>
      <c r="L1291" s="8">
        <f t="shared" si="5517"/>
        <v>0</v>
      </c>
      <c r="M1291" s="8">
        <f t="shared" si="5518"/>
        <v>0</v>
      </c>
      <c r="N1291" s="8">
        <f t="shared" si="5519"/>
        <v>0</v>
      </c>
      <c r="O1291" s="8">
        <f t="shared" si="5520"/>
        <v>0</v>
      </c>
      <c r="P1291" s="8" t="e">
        <v>#NUM!</v>
      </c>
      <c r="Q1291" s="8" t="e">
        <f t="shared" ref="Q1291" si="5547">IF(COUNTIF(P1286:P1296,"&lt;"&amp;-0.001)=0,IF(ABS(P1291)&lt;0.001,0,P1291)," ")</f>
        <v>#NUM!</v>
      </c>
      <c r="R1291" s="8"/>
      <c r="S1291" s="8"/>
      <c r="U1291" s="34"/>
      <c r="V1291" s="34"/>
      <c r="W1291" s="34"/>
      <c r="X1291" s="34"/>
      <c r="Y1291" s="34"/>
      <c r="Z1291" s="34"/>
      <c r="AA1291" s="34"/>
      <c r="AB1291" s="34"/>
      <c r="AC1291" s="34"/>
      <c r="AD1291" s="34"/>
      <c r="AE1291" s="34"/>
      <c r="AF1291" s="34"/>
      <c r="AG1291" s="34"/>
      <c r="AH1291" s="34"/>
      <c r="AI1291" s="34"/>
      <c r="AJ1291" s="34"/>
      <c r="AK1291" s="34"/>
      <c r="AL1291" s="34"/>
      <c r="AM1291" s="34"/>
      <c r="AN1291" s="34"/>
      <c r="AO1291" s="34"/>
      <c r="AP1291" s="34"/>
      <c r="AQ1291" s="34"/>
      <c r="AR1291" s="34"/>
      <c r="AS1291" s="34"/>
      <c r="AT1291" s="34"/>
      <c r="AU1291" s="34"/>
      <c r="AV1291" s="34"/>
      <c r="AW1291" s="34"/>
      <c r="AX1291" s="34"/>
      <c r="AY1291" s="34"/>
      <c r="AZ1291" s="34"/>
      <c r="BA1291" s="34"/>
      <c r="BB1291" s="34"/>
      <c r="BC1291" s="34"/>
      <c r="BD1291" s="34"/>
      <c r="BE1291" s="34"/>
      <c r="BF1291" s="34"/>
      <c r="BG1291" s="34"/>
      <c r="BH1291" s="34"/>
      <c r="BI1291" s="34"/>
      <c r="BJ1291" s="34"/>
      <c r="BK1291" s="34"/>
      <c r="BL1291" s="34"/>
      <c r="BM1291" s="34"/>
      <c r="BN1291" s="34"/>
      <c r="BO1291" s="34"/>
      <c r="BP1291" s="34"/>
      <c r="BQ1291" s="34"/>
      <c r="BR1291" s="34"/>
      <c r="BS1291" s="34"/>
      <c r="BT1291" s="34"/>
      <c r="BU1291" s="34"/>
      <c r="BV1291" s="34"/>
      <c r="BW1291" s="34"/>
      <c r="BX1291" s="34"/>
      <c r="BY1291" s="34"/>
      <c r="BZ1291" s="34"/>
      <c r="CA1291" s="34"/>
      <c r="CB1291" s="34"/>
      <c r="CC1291" s="34"/>
      <c r="CD1291" s="34"/>
      <c r="CE1291" s="34"/>
      <c r="CF1291" s="34"/>
      <c r="CG1291" s="34"/>
      <c r="CH1291" s="34"/>
      <c r="CI1291" s="8"/>
    </row>
    <row r="1292" spans="1:87" x14ac:dyDescent="0.2">
      <c r="A1292" s="8" t="str">
        <f>IF(AND(COUNTIF(W$3:W$13,A$21)&gt;0,A$21&lt;&gt;B1054),A$21,IFERROR(IF(MATCH(A$21,Z$3:Z$13,0)=11,A$21," ")," "))</f>
        <v xml:space="preserve"> </v>
      </c>
      <c r="B1292" s="8" t="str">
        <f>IF(A1292=" "," ",MAX(B1286:B1291)+1)</f>
        <v xml:space="preserve"> </v>
      </c>
      <c r="C1292" s="8" t="str">
        <f>IFERROR(INDEX(A1286:A1307,MATCH(SMALL(B1286:B1307,7),B1286:B1307,0),1)," ")</f>
        <v>C18</v>
      </c>
      <c r="D1292" s="8">
        <f t="shared" si="5509"/>
        <v>0</v>
      </c>
      <c r="E1292" s="8">
        <f t="shared" si="5510"/>
        <v>0</v>
      </c>
      <c r="F1292" s="8">
        <f t="shared" si="5511"/>
        <v>0</v>
      </c>
      <c r="G1292" s="8">
        <f t="shared" si="5512"/>
        <v>0</v>
      </c>
      <c r="H1292" s="8">
        <f t="shared" si="5513"/>
        <v>0</v>
      </c>
      <c r="I1292" s="8">
        <f t="shared" si="5514"/>
        <v>0</v>
      </c>
      <c r="J1292" s="8">
        <f t="shared" si="5515"/>
        <v>1</v>
      </c>
      <c r="K1292" s="8">
        <f t="shared" si="5516"/>
        <v>0</v>
      </c>
      <c r="L1292" s="8">
        <f t="shared" si="5517"/>
        <v>0</v>
      </c>
      <c r="M1292" s="8">
        <f t="shared" si="5518"/>
        <v>0</v>
      </c>
      <c r="N1292" s="8">
        <f t="shared" si="5519"/>
        <v>0</v>
      </c>
      <c r="O1292" s="8">
        <f t="shared" si="5520"/>
        <v>0</v>
      </c>
      <c r="P1292" s="8" t="e">
        <v>#NUM!</v>
      </c>
      <c r="Q1292" s="8" t="e">
        <f t="shared" ref="Q1292" si="5548">IF(COUNTIF(P1286:P1296,"&lt;"&amp;-0.001)=0,IF(ABS(P1292)&lt;0.001,0,P1292)," ")</f>
        <v>#NUM!</v>
      </c>
      <c r="R1292" s="8"/>
      <c r="S1292" s="8"/>
      <c r="U1292" s="34"/>
      <c r="V1292" s="34"/>
      <c r="W1292" s="34"/>
      <c r="X1292" s="34"/>
      <c r="Y1292" s="34"/>
      <c r="Z1292" s="34"/>
      <c r="AA1292" s="34"/>
      <c r="AB1292" s="34"/>
      <c r="AC1292" s="34"/>
      <c r="AD1292" s="34"/>
      <c r="AE1292" s="34"/>
      <c r="AF1292" s="34"/>
      <c r="AG1292" s="34"/>
      <c r="AH1292" s="34"/>
      <c r="AI1292" s="34"/>
      <c r="AJ1292" s="34"/>
      <c r="AK1292" s="34"/>
      <c r="AL1292" s="34"/>
      <c r="AM1292" s="34"/>
      <c r="AN1292" s="34"/>
      <c r="AO1292" s="34"/>
      <c r="AP1292" s="34"/>
      <c r="AQ1292" s="34"/>
      <c r="AR1292" s="34"/>
      <c r="AS1292" s="34"/>
      <c r="AT1292" s="34"/>
      <c r="AU1292" s="34"/>
      <c r="AV1292" s="34"/>
      <c r="AW1292" s="34"/>
      <c r="AX1292" s="34"/>
      <c r="AY1292" s="34"/>
      <c r="AZ1292" s="34"/>
      <c r="BA1292" s="34"/>
      <c r="BB1292" s="34"/>
      <c r="BC1292" s="34"/>
      <c r="BD1292" s="34"/>
      <c r="BE1292" s="34"/>
      <c r="BF1292" s="34"/>
      <c r="BG1292" s="34"/>
      <c r="BH1292" s="34"/>
      <c r="BI1292" s="34"/>
      <c r="BJ1292" s="34"/>
      <c r="BK1292" s="34"/>
      <c r="BL1292" s="34"/>
      <c r="BM1292" s="34"/>
      <c r="BN1292" s="34"/>
      <c r="BO1292" s="34"/>
      <c r="BP1292" s="34"/>
      <c r="BQ1292" s="34"/>
      <c r="BR1292" s="34"/>
      <c r="BS1292" s="34"/>
      <c r="BT1292" s="34"/>
      <c r="BU1292" s="34"/>
      <c r="BV1292" s="34"/>
      <c r="BW1292" s="34"/>
      <c r="BX1292" s="34"/>
      <c r="BY1292" s="34"/>
      <c r="BZ1292" s="34"/>
      <c r="CA1292" s="34"/>
      <c r="CB1292" s="34"/>
      <c r="CC1292" s="34"/>
      <c r="CD1292" s="34"/>
      <c r="CE1292" s="34"/>
      <c r="CF1292" s="34"/>
      <c r="CG1292" s="34"/>
      <c r="CH1292" s="34"/>
      <c r="CI1292" s="8"/>
    </row>
    <row r="1293" spans="1:87" x14ac:dyDescent="0.2">
      <c r="A1293" s="8" t="str">
        <f>IF(AND(COUNTIF(W$3:W$13,A$22)&gt;0,A$22&lt;&gt;B1054),A$22,IFERROR(IF(MATCH(A$22,Z$3:Z$13,0)=11,A$22," ")," "))</f>
        <v xml:space="preserve"> </v>
      </c>
      <c r="B1293" s="8" t="str">
        <f>IF(A1293=" "," ",MAX(B1286:B1292)+1)</f>
        <v xml:space="preserve"> </v>
      </c>
      <c r="C1293" s="8" t="str">
        <f>IFERROR(INDEX(A1286:A1307,MATCH(SMALL(B1286:B1307,8),B1286:B1307,0),1)," ")</f>
        <v>C19</v>
      </c>
      <c r="D1293" s="8">
        <f t="shared" si="5509"/>
        <v>0</v>
      </c>
      <c r="E1293" s="8">
        <f t="shared" si="5510"/>
        <v>0</v>
      </c>
      <c r="F1293" s="8">
        <f t="shared" si="5511"/>
        <v>0</v>
      </c>
      <c r="G1293" s="8">
        <f t="shared" si="5512"/>
        <v>0</v>
      </c>
      <c r="H1293" s="8">
        <f t="shared" si="5513"/>
        <v>0</v>
      </c>
      <c r="I1293" s="8">
        <f t="shared" si="5514"/>
        <v>0</v>
      </c>
      <c r="J1293" s="8">
        <f t="shared" si="5515"/>
        <v>0</v>
      </c>
      <c r="K1293" s="8">
        <f t="shared" si="5516"/>
        <v>1</v>
      </c>
      <c r="L1293" s="8">
        <f t="shared" si="5517"/>
        <v>0</v>
      </c>
      <c r="M1293" s="8">
        <f t="shared" si="5518"/>
        <v>0</v>
      </c>
      <c r="N1293" s="8">
        <f t="shared" si="5519"/>
        <v>0</v>
      </c>
      <c r="O1293" s="8">
        <f t="shared" si="5520"/>
        <v>0</v>
      </c>
      <c r="P1293" s="8" t="e">
        <v>#NUM!</v>
      </c>
      <c r="Q1293" s="8" t="e">
        <f t="shared" ref="Q1293" si="5549">IF(COUNTIF(P1286:P1296,"&lt;"&amp;-0.001)=0,IF(ABS(P1293)&lt;0.001,0,P1293)," ")</f>
        <v>#NUM!</v>
      </c>
      <c r="R1293" s="8"/>
      <c r="S1293" s="8"/>
      <c r="U1293" s="34"/>
      <c r="V1293" s="34"/>
      <c r="W1293" s="34"/>
      <c r="X1293" s="34"/>
      <c r="Y1293" s="34"/>
      <c r="Z1293" s="34"/>
      <c r="AA1293" s="34"/>
      <c r="AB1293" s="34"/>
      <c r="AC1293" s="34"/>
      <c r="AD1293" s="34"/>
      <c r="AE1293" s="34"/>
      <c r="AF1293" s="34"/>
      <c r="AG1293" s="34"/>
      <c r="AH1293" s="34"/>
      <c r="AI1293" s="34"/>
      <c r="AJ1293" s="34"/>
      <c r="AK1293" s="34"/>
      <c r="AL1293" s="34"/>
      <c r="AM1293" s="34"/>
      <c r="AN1293" s="34"/>
      <c r="AO1293" s="34"/>
      <c r="AP1293" s="34"/>
      <c r="AQ1293" s="34"/>
      <c r="AR1293" s="34"/>
      <c r="AS1293" s="34"/>
      <c r="AT1293" s="34"/>
      <c r="AU1293" s="34"/>
      <c r="AV1293" s="34"/>
      <c r="AW1293" s="34"/>
      <c r="AX1293" s="34"/>
      <c r="AY1293" s="34"/>
      <c r="AZ1293" s="34"/>
      <c r="BA1293" s="34"/>
      <c r="BB1293" s="34"/>
      <c r="BC1293" s="34"/>
      <c r="BD1293" s="34"/>
      <c r="BE1293" s="34"/>
      <c r="BF1293" s="34"/>
      <c r="BG1293" s="34"/>
      <c r="BH1293" s="34"/>
      <c r="BI1293" s="34"/>
      <c r="BJ1293" s="34"/>
      <c r="BK1293" s="34"/>
      <c r="BL1293" s="34"/>
      <c r="BM1293" s="34"/>
      <c r="BN1293" s="34"/>
      <c r="BO1293" s="34"/>
      <c r="BP1293" s="34"/>
      <c r="BQ1293" s="34"/>
      <c r="BR1293" s="34"/>
      <c r="BS1293" s="34"/>
      <c r="BT1293" s="34"/>
      <c r="BU1293" s="34"/>
      <c r="BV1293" s="34"/>
      <c r="BW1293" s="34"/>
      <c r="BX1293" s="34"/>
      <c r="BY1293" s="34"/>
      <c r="BZ1293" s="34"/>
      <c r="CA1293" s="34"/>
      <c r="CB1293" s="34"/>
      <c r="CC1293" s="34"/>
      <c r="CD1293" s="34"/>
      <c r="CE1293" s="34"/>
      <c r="CF1293" s="34"/>
      <c r="CG1293" s="34"/>
      <c r="CH1293" s="34"/>
      <c r="CI1293" s="8"/>
    </row>
    <row r="1294" spans="1:87" x14ac:dyDescent="0.2">
      <c r="A1294" s="8" t="str">
        <f>IF(AND(COUNTIF(W$3:W$13,A$23)&gt;0,A$23&lt;&gt;B1054),A$23,IFERROR(IF(MATCH(A$23,Z$3:Z$13,0)=11,A$23," ")," "))</f>
        <v xml:space="preserve"> </v>
      </c>
      <c r="B1294" s="8" t="str">
        <f>IF(A1294=" "," ",MAX(B1286:B1293)+1)</f>
        <v xml:space="preserve"> </v>
      </c>
      <c r="C1294" s="8" t="str">
        <f>IFERROR(INDEX(A1286:A1307,MATCH(SMALL(B1286:B1307,9),B1286:B1307,0),1)," ")</f>
        <v>C20</v>
      </c>
      <c r="D1294" s="8">
        <f t="shared" si="5509"/>
        <v>0</v>
      </c>
      <c r="E1294" s="8">
        <f t="shared" si="5510"/>
        <v>0</v>
      </c>
      <c r="F1294" s="8">
        <f t="shared" si="5511"/>
        <v>0</v>
      </c>
      <c r="G1294" s="8">
        <f t="shared" si="5512"/>
        <v>0</v>
      </c>
      <c r="H1294" s="8">
        <f t="shared" si="5513"/>
        <v>0</v>
      </c>
      <c r="I1294" s="8">
        <f t="shared" si="5514"/>
        <v>0</v>
      </c>
      <c r="J1294" s="8">
        <f t="shared" si="5515"/>
        <v>0</v>
      </c>
      <c r="K1294" s="8">
        <f t="shared" si="5516"/>
        <v>0</v>
      </c>
      <c r="L1294" s="8">
        <f t="shared" si="5517"/>
        <v>1</v>
      </c>
      <c r="M1294" s="8">
        <f t="shared" si="5518"/>
        <v>0</v>
      </c>
      <c r="N1294" s="8">
        <f t="shared" si="5519"/>
        <v>0</v>
      </c>
      <c r="O1294" s="8">
        <f t="shared" si="5520"/>
        <v>0</v>
      </c>
      <c r="P1294" s="6" t="e">
        <v>#NUM!</v>
      </c>
      <c r="Q1294" s="8" t="e">
        <f t="shared" ref="Q1294" si="5550">IF(COUNTIF(P1286:P1296,"&lt;"&amp;-0.001)=0,IF(ABS(P1294)&lt;0.001,0,P1294)," ")</f>
        <v>#NUM!</v>
      </c>
      <c r="R1294" s="8"/>
      <c r="S1294" s="8"/>
      <c r="U1294" s="34"/>
      <c r="V1294" s="34"/>
      <c r="W1294" s="34"/>
      <c r="X1294" s="34"/>
      <c r="Y1294" s="34"/>
      <c r="Z1294" s="34"/>
      <c r="AA1294" s="34"/>
      <c r="AB1294" s="34"/>
      <c r="AC1294" s="34"/>
      <c r="AD1294" s="34"/>
      <c r="AE1294" s="34"/>
      <c r="AF1294" s="34"/>
      <c r="AG1294" s="34"/>
      <c r="AH1294" s="34"/>
      <c r="AI1294" s="34"/>
      <c r="AJ1294" s="34"/>
      <c r="AK1294" s="34"/>
      <c r="AL1294" s="34"/>
      <c r="AM1294" s="34"/>
      <c r="AN1294" s="34"/>
      <c r="AO1294" s="34"/>
      <c r="AP1294" s="34"/>
      <c r="AQ1294" s="34"/>
      <c r="AR1294" s="34"/>
      <c r="AS1294" s="34"/>
      <c r="AT1294" s="34"/>
      <c r="AU1294" s="34"/>
      <c r="AV1294" s="34"/>
      <c r="AW1294" s="34"/>
      <c r="AX1294" s="34"/>
      <c r="AY1294" s="34"/>
      <c r="AZ1294" s="34"/>
      <c r="BA1294" s="34"/>
      <c r="BB1294" s="34"/>
      <c r="BC1294" s="34"/>
      <c r="BD1294" s="34"/>
      <c r="BE1294" s="34"/>
      <c r="BF1294" s="34"/>
      <c r="BG1294" s="34"/>
      <c r="BH1294" s="34"/>
      <c r="BI1294" s="34"/>
      <c r="BJ1294" s="34"/>
      <c r="BK1294" s="34"/>
      <c r="BL1294" s="34"/>
      <c r="BM1294" s="34"/>
      <c r="BN1294" s="34"/>
      <c r="BO1294" s="34"/>
      <c r="BP1294" s="34"/>
      <c r="BQ1294" s="34"/>
      <c r="BR1294" s="34"/>
      <c r="BS1294" s="34"/>
      <c r="BT1294" s="34"/>
      <c r="BU1294" s="34"/>
      <c r="BV1294" s="34"/>
      <c r="BW1294" s="34"/>
      <c r="BX1294" s="34"/>
      <c r="BY1294" s="34"/>
      <c r="BZ1294" s="34"/>
      <c r="CA1294" s="34"/>
      <c r="CB1294" s="34"/>
      <c r="CC1294" s="34"/>
      <c r="CD1294" s="34"/>
      <c r="CE1294" s="34"/>
      <c r="CF1294" s="34"/>
      <c r="CG1294" s="34"/>
      <c r="CH1294" s="34"/>
      <c r="CI1294" s="8"/>
    </row>
    <row r="1295" spans="1:87" x14ac:dyDescent="0.2">
      <c r="A1295" s="8" t="str">
        <f>IF(AND(COUNTIF(W$3:W$13,A$24)&gt;0,A$24&lt;&gt;B1054),A$24,IFERROR(IF(MATCH(A$24,Z$3:Z$13,0)=11,A$24," ")," "))</f>
        <v xml:space="preserve"> </v>
      </c>
      <c r="B1295" s="8" t="str">
        <f>IF(A1295=" "," ",MAX(B1286:B1294)+1)</f>
        <v xml:space="preserve"> </v>
      </c>
      <c r="C1295" s="8" t="str">
        <f>IFERROR(INDEX(A1286:A1307,MATCH(SMALL(B1286:B1307,10),B1286:B1307,0),1)," ")</f>
        <v>C21</v>
      </c>
      <c r="D1295" s="8">
        <f t="shared" si="5509"/>
        <v>0</v>
      </c>
      <c r="E1295" s="8">
        <f t="shared" si="5510"/>
        <v>0</v>
      </c>
      <c r="F1295" s="8">
        <f t="shared" si="5511"/>
        <v>0</v>
      </c>
      <c r="G1295" s="8">
        <f t="shared" si="5512"/>
        <v>0</v>
      </c>
      <c r="H1295" s="8">
        <f t="shared" si="5513"/>
        <v>0</v>
      </c>
      <c r="I1295" s="8">
        <f t="shared" si="5514"/>
        <v>0</v>
      </c>
      <c r="J1295" s="8">
        <f t="shared" si="5515"/>
        <v>0</v>
      </c>
      <c r="K1295" s="8">
        <f t="shared" si="5516"/>
        <v>0</v>
      </c>
      <c r="L1295" s="8">
        <f t="shared" si="5517"/>
        <v>0</v>
      </c>
      <c r="M1295" s="8">
        <f t="shared" si="5518"/>
        <v>1</v>
      </c>
      <c r="N1295" s="8">
        <f t="shared" si="5519"/>
        <v>0</v>
      </c>
      <c r="O1295" s="8">
        <f t="shared" si="5520"/>
        <v>0</v>
      </c>
      <c r="P1295" s="8" t="e">
        <v>#NUM!</v>
      </c>
      <c r="Q1295" s="8" t="e">
        <f t="shared" ref="Q1295" si="5551">IF(COUNTIF(P1286:P1296,"&lt;"&amp;-0.001)=0,IF(ABS(P1295)&lt;0.001,0,P1295)," ")</f>
        <v>#NUM!</v>
      </c>
      <c r="R1295" s="8"/>
      <c r="S1295" s="8"/>
      <c r="U1295" s="34"/>
      <c r="V1295" s="34"/>
      <c r="W1295" s="34"/>
      <c r="X1295" s="34"/>
      <c r="Y1295" s="34"/>
      <c r="Z1295" s="34"/>
      <c r="AA1295" s="34"/>
      <c r="AB1295" s="34"/>
      <c r="AC1295" s="34"/>
      <c r="AD1295" s="34"/>
      <c r="AE1295" s="34"/>
      <c r="AF1295" s="34"/>
      <c r="AG1295" s="34"/>
      <c r="AH1295" s="34"/>
      <c r="AI1295" s="34"/>
      <c r="AJ1295" s="34"/>
      <c r="AK1295" s="34"/>
      <c r="AL1295" s="34"/>
      <c r="AM1295" s="34"/>
      <c r="AN1295" s="34"/>
      <c r="AO1295" s="34"/>
      <c r="AP1295" s="34"/>
      <c r="AQ1295" s="34"/>
      <c r="AR1295" s="34"/>
      <c r="AS1295" s="34"/>
      <c r="AT1295" s="34"/>
      <c r="AU1295" s="34"/>
      <c r="AV1295" s="34"/>
      <c r="AW1295" s="34"/>
      <c r="AX1295" s="34"/>
      <c r="AY1295" s="34"/>
      <c r="AZ1295" s="34"/>
      <c r="BA1295" s="34"/>
      <c r="BB1295" s="34"/>
      <c r="BC1295" s="34"/>
      <c r="BD1295" s="34"/>
      <c r="BE1295" s="34"/>
      <c r="BF1295" s="34"/>
      <c r="BG1295" s="34"/>
      <c r="BH1295" s="34"/>
      <c r="BI1295" s="34"/>
      <c r="BJ1295" s="34"/>
      <c r="BK1295" s="34"/>
      <c r="BL1295" s="34"/>
      <c r="BM1295" s="34"/>
      <c r="BN1295" s="34"/>
      <c r="BO1295" s="34"/>
      <c r="BP1295" s="34"/>
      <c r="BQ1295" s="34"/>
      <c r="BR1295" s="34"/>
      <c r="BS1295" s="34"/>
      <c r="BT1295" s="34"/>
      <c r="BU1295" s="34"/>
      <c r="BV1295" s="34"/>
      <c r="BW1295" s="34"/>
      <c r="BX1295" s="34"/>
      <c r="BY1295" s="34"/>
      <c r="BZ1295" s="34"/>
      <c r="CA1295" s="34"/>
      <c r="CB1295" s="34"/>
      <c r="CC1295" s="34"/>
      <c r="CD1295" s="34"/>
      <c r="CE1295" s="34"/>
      <c r="CF1295" s="34"/>
      <c r="CG1295" s="34"/>
      <c r="CH1295" s="34"/>
      <c r="CI1295" s="8"/>
    </row>
    <row r="1296" spans="1:87" x14ac:dyDescent="0.2">
      <c r="A1296" s="8" t="str">
        <f>IF(AND(COUNTIF(W$3:W$13,A$25)&gt;0,A$25&lt;&gt;B1054),A$25,IFERROR(IF(MATCH(A$25,Z$3:Z$13,0)=11,A$25," ")," "))</f>
        <v xml:space="preserve"> </v>
      </c>
      <c r="B1296" s="8" t="str">
        <f>IF(A1296=" "," ",MAX(B1286:B1295)+1)</f>
        <v xml:space="preserve"> </v>
      </c>
      <c r="C1296" s="8" t="str">
        <f>IFERROR(INDEX(A1286:A1307,MATCH(SMALL(B1286:B1307,11),B1286:B1307,0),1)," ")</f>
        <v>C22</v>
      </c>
      <c r="D1296" s="8">
        <f t="shared" si="5509"/>
        <v>0</v>
      </c>
      <c r="E1296" s="8">
        <f t="shared" si="5510"/>
        <v>0</v>
      </c>
      <c r="F1296" s="8">
        <f t="shared" si="5511"/>
        <v>0</v>
      </c>
      <c r="G1296" s="8">
        <f t="shared" si="5512"/>
        <v>0</v>
      </c>
      <c r="H1296" s="8">
        <f t="shared" si="5513"/>
        <v>0</v>
      </c>
      <c r="I1296" s="8">
        <f t="shared" si="5514"/>
        <v>0</v>
      </c>
      <c r="J1296" s="8">
        <f t="shared" si="5515"/>
        <v>0</v>
      </c>
      <c r="K1296" s="8">
        <f t="shared" si="5516"/>
        <v>0</v>
      </c>
      <c r="L1296" s="8">
        <f t="shared" si="5517"/>
        <v>0</v>
      </c>
      <c r="M1296" s="8">
        <f t="shared" si="5518"/>
        <v>0</v>
      </c>
      <c r="N1296" s="8">
        <f t="shared" si="5519"/>
        <v>1</v>
      </c>
      <c r="O1296" s="8">
        <f t="shared" si="5520"/>
        <v>0</v>
      </c>
      <c r="P1296" s="8" t="e">
        <v>#NUM!</v>
      </c>
      <c r="Q1296" s="8" t="e">
        <f t="shared" ref="Q1296" si="5552">IF(COUNTIF(P1286:P1296,"&lt;"&amp;-0.001)=0,IF(ABS(P1296)&lt;0.001,0,P1296)," ")</f>
        <v>#NUM!</v>
      </c>
      <c r="R1296" s="8"/>
      <c r="S1296" s="8"/>
      <c r="U1296" s="34"/>
      <c r="V1296" s="34"/>
      <c r="W1296" s="34"/>
      <c r="X1296" s="34"/>
      <c r="Y1296" s="34"/>
      <c r="Z1296" s="34"/>
      <c r="AA1296" s="34"/>
      <c r="AB1296" s="34"/>
      <c r="AC1296" s="34"/>
      <c r="AD1296" s="34"/>
      <c r="AE1296" s="34"/>
      <c r="AF1296" s="34"/>
      <c r="AG1296" s="34"/>
      <c r="AH1296" s="34"/>
      <c r="AI1296" s="34"/>
      <c r="AJ1296" s="34"/>
      <c r="AK1296" s="34"/>
      <c r="AL1296" s="34"/>
      <c r="AM1296" s="34"/>
      <c r="AN1296" s="34"/>
      <c r="AO1296" s="34"/>
      <c r="AP1296" s="34"/>
      <c r="AQ1296" s="34"/>
      <c r="AR1296" s="34"/>
      <c r="AS1296" s="34"/>
      <c r="AT1296" s="34"/>
      <c r="AU1296" s="34"/>
      <c r="AV1296" s="34"/>
      <c r="AW1296" s="34"/>
      <c r="AX1296" s="34"/>
      <c r="AY1296" s="34"/>
      <c r="AZ1296" s="34"/>
      <c r="BA1296" s="34"/>
      <c r="BB1296" s="34"/>
      <c r="BC1296" s="34"/>
      <c r="BD1296" s="34"/>
      <c r="BE1296" s="34"/>
      <c r="BF1296" s="34"/>
      <c r="BG1296" s="34"/>
      <c r="BH1296" s="34"/>
      <c r="BI1296" s="34"/>
      <c r="BJ1296" s="34"/>
      <c r="BK1296" s="34"/>
      <c r="BL1296" s="34"/>
      <c r="BM1296" s="34"/>
      <c r="BN1296" s="34"/>
      <c r="BO1296" s="34"/>
      <c r="BP1296" s="34"/>
      <c r="BQ1296" s="34"/>
      <c r="BR1296" s="34"/>
      <c r="BS1296" s="34"/>
      <c r="BT1296" s="34"/>
      <c r="BU1296" s="34"/>
      <c r="BV1296" s="34"/>
      <c r="BW1296" s="34"/>
      <c r="BX1296" s="34"/>
      <c r="BY1296" s="34"/>
      <c r="BZ1296" s="34"/>
      <c r="CA1296" s="34"/>
      <c r="CB1296" s="34"/>
      <c r="CC1296" s="34"/>
      <c r="CD1296" s="34"/>
      <c r="CE1296" s="34"/>
      <c r="CF1296" s="34"/>
      <c r="CG1296" s="34"/>
      <c r="CH1296" s="34"/>
      <c r="CI1296" s="8"/>
    </row>
    <row r="1297" spans="1:87" x14ac:dyDescent="0.2">
      <c r="A1297" s="8" t="str">
        <f>IF(AND(COUNTIF(W$3:W$13,A$26)&gt;0,A$26&lt;&gt;B1054),A$26,IFERROR(IF(MATCH(A$26,Z$3:Z$13,0)=11,A$26," ")," "))</f>
        <v xml:space="preserve"> </v>
      </c>
      <c r="B1297" s="8" t="str">
        <f>IF(A1297=" "," ",MAX(B1286:B1296)+1)</f>
        <v xml:space="preserve"> </v>
      </c>
      <c r="C1297" s="8"/>
      <c r="D1297" s="8"/>
      <c r="E1297" s="8"/>
      <c r="F1297" s="8"/>
      <c r="G1297" s="8"/>
      <c r="H1297" s="8"/>
      <c r="I1297" s="8"/>
      <c r="J1297" s="8"/>
      <c r="K1297" s="8"/>
      <c r="L1297" s="8"/>
      <c r="M1297" s="8"/>
      <c r="N1297" s="8"/>
      <c r="O1297" s="8"/>
      <c r="P1297" s="8"/>
      <c r="Q1297" s="8"/>
      <c r="R1297" s="8"/>
      <c r="S1297" s="8"/>
      <c r="U1297" s="34"/>
      <c r="V1297" s="34"/>
      <c r="W1297" s="34"/>
      <c r="X1297" s="34"/>
      <c r="Y1297" s="34"/>
      <c r="Z1297" s="34"/>
      <c r="AA1297" s="34"/>
      <c r="AB1297" s="34"/>
      <c r="AC1297" s="34"/>
      <c r="AD1297" s="34"/>
      <c r="AE1297" s="34"/>
      <c r="AF1297" s="34"/>
      <c r="AG1297" s="34"/>
      <c r="AH1297" s="34"/>
      <c r="AI1297" s="34"/>
      <c r="AJ1297" s="34"/>
      <c r="AK1297" s="34"/>
      <c r="AL1297" s="34"/>
      <c r="AM1297" s="34"/>
      <c r="AN1297" s="34"/>
      <c r="AO1297" s="34"/>
      <c r="AP1297" s="34"/>
      <c r="AQ1297" s="34"/>
      <c r="AR1297" s="34"/>
      <c r="AS1297" s="34"/>
      <c r="AT1297" s="34"/>
      <c r="AU1297" s="34"/>
      <c r="AV1297" s="34"/>
      <c r="AW1297" s="34"/>
      <c r="AX1297" s="34"/>
      <c r="AY1297" s="34"/>
      <c r="AZ1297" s="34"/>
      <c r="BA1297" s="34"/>
      <c r="BB1297" s="34"/>
      <c r="BC1297" s="34"/>
      <c r="BD1297" s="34"/>
      <c r="BE1297" s="34"/>
      <c r="BF1297" s="34"/>
      <c r="BG1297" s="34"/>
      <c r="BH1297" s="34"/>
      <c r="BI1297" s="34"/>
      <c r="BJ1297" s="34"/>
      <c r="BK1297" s="34"/>
      <c r="BL1297" s="34"/>
      <c r="BM1297" s="34"/>
      <c r="BN1297" s="34"/>
      <c r="BO1297" s="34"/>
      <c r="BP1297" s="34"/>
      <c r="BQ1297" s="34"/>
      <c r="BR1297" s="34"/>
      <c r="BS1297" s="34"/>
      <c r="BT1297" s="34"/>
      <c r="BU1297" s="34"/>
      <c r="BV1297" s="34"/>
      <c r="BW1297" s="34"/>
      <c r="BX1297" s="34"/>
      <c r="BY1297" s="34"/>
      <c r="BZ1297" s="34"/>
      <c r="CA1297" s="34"/>
      <c r="CB1297" s="34"/>
      <c r="CC1297" s="34"/>
      <c r="CD1297" s="34"/>
      <c r="CE1297" s="34"/>
      <c r="CF1297" s="34"/>
      <c r="CG1297" s="34"/>
      <c r="CH1297" s="34"/>
      <c r="CI1297" s="8"/>
    </row>
    <row r="1298" spans="1:87" x14ac:dyDescent="0.2">
      <c r="A1298" s="8" t="str">
        <f>IF(AND(COUNTIF(W$3:W$13,A$27)&gt;0,A$27&lt;&gt;B1054),A$27,IFERROR(IF(MATCH(A$27,Z$3:Z$13,0)=11,A$27," ")," "))</f>
        <v>C13</v>
      </c>
      <c r="B1298" s="8">
        <f>IF(A1298=" "," ",MAX(B1286:B1297)+1)</f>
        <v>3</v>
      </c>
      <c r="C1298" s="8"/>
      <c r="D1298" s="8"/>
      <c r="E1298" s="8"/>
      <c r="F1298" s="8"/>
      <c r="G1298" s="8"/>
      <c r="H1298" s="8"/>
      <c r="I1298" s="8"/>
      <c r="J1298" s="8"/>
      <c r="K1298" s="8"/>
      <c r="L1298" s="8"/>
      <c r="M1298" s="8"/>
      <c r="N1298" s="8"/>
      <c r="O1298" s="8"/>
      <c r="P1298" s="8"/>
      <c r="Q1298" s="8"/>
      <c r="R1298" s="8"/>
      <c r="S1298" s="8"/>
      <c r="U1298" s="34"/>
      <c r="V1298" s="34"/>
      <c r="W1298" s="34"/>
      <c r="X1298" s="34"/>
      <c r="Y1298" s="34"/>
      <c r="Z1298" s="34"/>
      <c r="AA1298" s="34"/>
      <c r="AB1298" s="34"/>
      <c r="AC1298" s="34"/>
      <c r="AD1298" s="34"/>
      <c r="AE1298" s="34"/>
      <c r="AF1298" s="34"/>
      <c r="AG1298" s="34"/>
      <c r="AH1298" s="34"/>
      <c r="AI1298" s="34"/>
      <c r="AJ1298" s="34"/>
      <c r="AK1298" s="34"/>
      <c r="AL1298" s="34"/>
      <c r="AM1298" s="34"/>
      <c r="AN1298" s="34"/>
      <c r="AO1298" s="34"/>
      <c r="AP1298" s="34"/>
      <c r="AQ1298" s="34"/>
      <c r="AR1298" s="34"/>
      <c r="AS1298" s="34"/>
      <c r="AT1298" s="34"/>
      <c r="AU1298" s="34"/>
      <c r="AV1298" s="34"/>
      <c r="AW1298" s="34"/>
      <c r="AX1298" s="34"/>
      <c r="AY1298" s="34"/>
      <c r="AZ1298" s="34"/>
      <c r="BA1298" s="34"/>
      <c r="BB1298" s="34"/>
      <c r="BC1298" s="34"/>
      <c r="BD1298" s="34"/>
      <c r="BE1298" s="34"/>
      <c r="BF1298" s="34"/>
      <c r="BG1298" s="34"/>
      <c r="BH1298" s="34"/>
      <c r="BI1298" s="34"/>
      <c r="BJ1298" s="34"/>
      <c r="BK1298" s="34"/>
      <c r="BL1298" s="34"/>
      <c r="BM1298" s="34"/>
      <c r="BN1298" s="34"/>
      <c r="BO1298" s="34"/>
      <c r="BP1298" s="34"/>
      <c r="BQ1298" s="34"/>
      <c r="BR1298" s="34"/>
      <c r="BS1298" s="34"/>
      <c r="BT1298" s="34"/>
      <c r="BU1298" s="34"/>
      <c r="BV1298" s="34"/>
      <c r="BW1298" s="34"/>
      <c r="BX1298" s="34"/>
      <c r="BY1298" s="34"/>
      <c r="BZ1298" s="34"/>
      <c r="CA1298" s="34"/>
      <c r="CB1298" s="34"/>
      <c r="CC1298" s="34"/>
      <c r="CD1298" s="34"/>
      <c r="CE1298" s="34"/>
      <c r="CF1298" s="34"/>
      <c r="CG1298" s="34"/>
      <c r="CH1298" s="34"/>
      <c r="CI1298" s="8"/>
    </row>
    <row r="1299" spans="1:87" x14ac:dyDescent="0.2">
      <c r="A1299" s="8" t="str">
        <f>IF(AND(COUNTIF(W$3:W$13,A$28)&gt;0,A$28&lt;&gt;B1054),A$28,IFERROR(IF(MATCH(A$28,Z$3:Z$13,0)=11,A$28," ")," "))</f>
        <v>C14</v>
      </c>
      <c r="B1299" s="8">
        <f>IF(A1299=" "," ",MAX(B1286:B1298)+1)</f>
        <v>4</v>
      </c>
      <c r="C1299" s="8"/>
      <c r="D1299" s="8"/>
      <c r="E1299" s="8"/>
      <c r="F1299" s="8"/>
      <c r="G1299" s="8"/>
      <c r="H1299" s="8"/>
      <c r="I1299" s="8"/>
      <c r="J1299" s="8"/>
      <c r="K1299" s="8"/>
      <c r="L1299" s="8"/>
      <c r="M1299" s="8"/>
      <c r="N1299" s="8"/>
      <c r="O1299" s="8"/>
      <c r="P1299" s="8"/>
      <c r="Q1299" s="8"/>
      <c r="R1299" s="8"/>
      <c r="S1299" s="8"/>
      <c r="U1299" s="34"/>
      <c r="V1299" s="34"/>
      <c r="W1299" s="34"/>
      <c r="X1299" s="34"/>
      <c r="Y1299" s="34"/>
      <c r="Z1299" s="34"/>
      <c r="AA1299" s="34"/>
      <c r="AB1299" s="34"/>
      <c r="AC1299" s="34"/>
      <c r="AD1299" s="34"/>
      <c r="AE1299" s="34"/>
      <c r="AF1299" s="34"/>
      <c r="AG1299" s="34"/>
      <c r="AH1299" s="34"/>
      <c r="AI1299" s="34"/>
      <c r="AJ1299" s="34"/>
      <c r="AK1299" s="34"/>
      <c r="AL1299" s="34"/>
      <c r="AM1299" s="34"/>
      <c r="AN1299" s="34"/>
      <c r="AO1299" s="34"/>
      <c r="AP1299" s="34"/>
      <c r="AQ1299" s="34"/>
      <c r="AR1299" s="34"/>
      <c r="AS1299" s="34"/>
      <c r="AT1299" s="34"/>
      <c r="AU1299" s="34"/>
      <c r="AV1299" s="34"/>
      <c r="AW1299" s="34"/>
      <c r="AX1299" s="34"/>
      <c r="AY1299" s="34"/>
      <c r="AZ1299" s="34"/>
      <c r="BA1299" s="34"/>
      <c r="BB1299" s="34"/>
      <c r="BC1299" s="34"/>
      <c r="BD1299" s="34"/>
      <c r="BE1299" s="34"/>
      <c r="BF1299" s="34"/>
      <c r="BG1299" s="34"/>
      <c r="BH1299" s="34"/>
      <c r="BI1299" s="34"/>
      <c r="BJ1299" s="34"/>
      <c r="BK1299" s="34"/>
      <c r="BL1299" s="34"/>
      <c r="BM1299" s="34"/>
      <c r="BN1299" s="34"/>
      <c r="BO1299" s="34"/>
      <c r="BP1299" s="34"/>
      <c r="BQ1299" s="34"/>
      <c r="BR1299" s="34"/>
      <c r="BS1299" s="34"/>
      <c r="BT1299" s="34"/>
      <c r="BU1299" s="34"/>
      <c r="BV1299" s="34"/>
      <c r="BW1299" s="34"/>
      <c r="BX1299" s="34"/>
      <c r="BY1299" s="34"/>
      <c r="BZ1299" s="34"/>
      <c r="CA1299" s="34"/>
      <c r="CB1299" s="34"/>
      <c r="CC1299" s="34"/>
      <c r="CD1299" s="34"/>
      <c r="CE1299" s="34"/>
      <c r="CF1299" s="34"/>
      <c r="CG1299" s="34"/>
      <c r="CH1299" s="34"/>
      <c r="CI1299" s="8"/>
    </row>
    <row r="1300" spans="1:87" x14ac:dyDescent="0.2">
      <c r="A1300" s="8" t="str">
        <f>IF(AND(COUNTIF(W$3:W$13,A$29)&gt;0,A$29&lt;&gt;B1054),A$29,IFERROR(IF(MATCH(A$29,Z$3:Z$13,0)=11,A$29," ")," "))</f>
        <v>C15</v>
      </c>
      <c r="B1300" s="8">
        <f>IF(A1300=" "," ",MAX(B1286:B1299)+1)</f>
        <v>5</v>
      </c>
      <c r="C1300" s="8"/>
      <c r="D1300" s="8"/>
      <c r="E1300" s="8"/>
      <c r="F1300" s="8"/>
      <c r="G1300" s="8"/>
      <c r="H1300" s="8"/>
      <c r="I1300" s="8"/>
      <c r="J1300" s="8"/>
      <c r="K1300" s="8"/>
      <c r="L1300" s="8"/>
      <c r="M1300" s="8"/>
      <c r="N1300" s="8"/>
      <c r="O1300" s="8"/>
      <c r="P1300" s="8"/>
      <c r="Q1300" s="8"/>
      <c r="R1300" s="8"/>
      <c r="S1300" s="8"/>
      <c r="U1300" s="34"/>
      <c r="V1300" s="34"/>
      <c r="W1300" s="34"/>
      <c r="X1300" s="34"/>
      <c r="Y1300" s="34"/>
      <c r="Z1300" s="34"/>
      <c r="AA1300" s="34"/>
      <c r="AB1300" s="34"/>
      <c r="AC1300" s="34"/>
      <c r="AD1300" s="34"/>
      <c r="AE1300" s="34"/>
      <c r="AF1300" s="34"/>
      <c r="AG1300" s="34"/>
      <c r="AH1300" s="34"/>
      <c r="AI1300" s="34"/>
      <c r="AJ1300" s="34"/>
      <c r="AK1300" s="34"/>
      <c r="AL1300" s="34"/>
      <c r="AM1300" s="34"/>
      <c r="AN1300" s="34"/>
      <c r="AO1300" s="34"/>
      <c r="AP1300" s="34"/>
      <c r="AQ1300" s="34"/>
      <c r="AR1300" s="34"/>
      <c r="AS1300" s="34"/>
      <c r="AT1300" s="34"/>
      <c r="AU1300" s="34"/>
      <c r="AV1300" s="34"/>
      <c r="AW1300" s="34"/>
      <c r="AX1300" s="34"/>
      <c r="AY1300" s="34"/>
      <c r="AZ1300" s="34"/>
      <c r="BA1300" s="34"/>
      <c r="BB1300" s="34"/>
      <c r="BC1300" s="34"/>
      <c r="BD1300" s="34"/>
      <c r="BE1300" s="34"/>
      <c r="BF1300" s="34"/>
      <c r="BG1300" s="34"/>
      <c r="BH1300" s="34"/>
      <c r="BI1300" s="34"/>
      <c r="BJ1300" s="34"/>
      <c r="BK1300" s="34"/>
      <c r="BL1300" s="34"/>
      <c r="BM1300" s="34"/>
      <c r="BN1300" s="34"/>
      <c r="BO1300" s="34"/>
      <c r="BP1300" s="34"/>
      <c r="BQ1300" s="34"/>
      <c r="BR1300" s="34"/>
      <c r="BS1300" s="34"/>
      <c r="BT1300" s="34"/>
      <c r="BU1300" s="34"/>
      <c r="BV1300" s="34"/>
      <c r="BW1300" s="34"/>
      <c r="BX1300" s="34"/>
      <c r="BY1300" s="34"/>
      <c r="BZ1300" s="34"/>
      <c r="CA1300" s="34"/>
      <c r="CB1300" s="34"/>
      <c r="CC1300" s="34"/>
      <c r="CD1300" s="34"/>
      <c r="CE1300" s="34"/>
      <c r="CF1300" s="34"/>
      <c r="CG1300" s="34"/>
      <c r="CH1300" s="34"/>
      <c r="CI1300" s="8"/>
    </row>
    <row r="1301" spans="1:87" x14ac:dyDescent="0.2">
      <c r="A1301" s="8" t="str">
        <f>IF(AND(COUNTIF(W$3:W$13,A$30)&gt;0,A$30&lt;&gt;B1054),A$30,IFERROR(IF(MATCH(A$30,Z$3:Z$13,0)=11,A$30," ")," "))</f>
        <v xml:space="preserve"> </v>
      </c>
      <c r="B1301" s="8" t="str">
        <f>IF(A1301=" "," ",MAX(B1286:B1300)+1)</f>
        <v xml:space="preserve"> </v>
      </c>
      <c r="C1301" s="8"/>
      <c r="D1301" s="8"/>
      <c r="E1301" s="8"/>
      <c r="F1301" s="8"/>
      <c r="G1301" s="8"/>
      <c r="H1301" s="8"/>
      <c r="I1301" s="8"/>
      <c r="J1301" s="8"/>
      <c r="K1301" s="8"/>
      <c r="L1301" s="8"/>
      <c r="M1301" s="8"/>
      <c r="N1301" s="8"/>
      <c r="O1301" s="8"/>
      <c r="P1301" s="8"/>
      <c r="Q1301" s="8"/>
      <c r="R1301" s="8"/>
      <c r="S1301" s="8"/>
      <c r="U1301" s="34"/>
      <c r="V1301" s="34"/>
      <c r="W1301" s="34"/>
      <c r="X1301" s="34"/>
      <c r="Y1301" s="34"/>
      <c r="Z1301" s="34"/>
      <c r="AA1301" s="34"/>
      <c r="AB1301" s="34"/>
      <c r="AC1301" s="34"/>
      <c r="AD1301" s="34"/>
      <c r="AE1301" s="34"/>
      <c r="AF1301" s="34"/>
      <c r="AG1301" s="34"/>
      <c r="AH1301" s="34"/>
      <c r="AI1301" s="34"/>
      <c r="AJ1301" s="34"/>
      <c r="AK1301" s="34"/>
      <c r="AL1301" s="34"/>
      <c r="AM1301" s="34"/>
      <c r="AN1301" s="34"/>
      <c r="AO1301" s="34"/>
      <c r="AP1301" s="34"/>
      <c r="AQ1301" s="34"/>
      <c r="AR1301" s="34"/>
      <c r="AS1301" s="34"/>
      <c r="AT1301" s="34"/>
      <c r="AU1301" s="34"/>
      <c r="AV1301" s="34"/>
      <c r="AW1301" s="34"/>
      <c r="AX1301" s="34"/>
      <c r="AY1301" s="34"/>
      <c r="AZ1301" s="34"/>
      <c r="BA1301" s="34"/>
      <c r="BB1301" s="34"/>
      <c r="BC1301" s="34"/>
      <c r="BD1301" s="34"/>
      <c r="BE1301" s="34"/>
      <c r="BF1301" s="34"/>
      <c r="BG1301" s="34"/>
      <c r="BH1301" s="34"/>
      <c r="BI1301" s="34"/>
      <c r="BJ1301" s="34"/>
      <c r="BK1301" s="34"/>
      <c r="BL1301" s="34"/>
      <c r="BM1301" s="34"/>
      <c r="BN1301" s="34"/>
      <c r="BO1301" s="34"/>
      <c r="BP1301" s="34"/>
      <c r="BQ1301" s="34"/>
      <c r="BR1301" s="34"/>
      <c r="BS1301" s="34"/>
      <c r="BT1301" s="34"/>
      <c r="BU1301" s="34"/>
      <c r="BV1301" s="34"/>
      <c r="BW1301" s="34"/>
      <c r="BX1301" s="34"/>
      <c r="BY1301" s="34"/>
      <c r="BZ1301" s="34"/>
      <c r="CA1301" s="34"/>
      <c r="CB1301" s="34"/>
      <c r="CC1301" s="34"/>
      <c r="CD1301" s="34"/>
      <c r="CE1301" s="34"/>
      <c r="CF1301" s="34"/>
      <c r="CG1301" s="34"/>
      <c r="CH1301" s="34"/>
      <c r="CI1301" s="8"/>
    </row>
    <row r="1302" spans="1:87" x14ac:dyDescent="0.2">
      <c r="A1302" s="8" t="str">
        <f>IF(AND(COUNTIF(W$3:W$13,A$31)&gt;0,A$31&lt;&gt;B1054),A$31,IFERROR(IF(MATCH(A$31,Z$3:Z$13,0)=11,A$31," ")," "))</f>
        <v>C17</v>
      </c>
      <c r="B1302" s="8">
        <f>IF(A1302=" "," ",MAX(B1286:B1301)+1)</f>
        <v>6</v>
      </c>
      <c r="C1302" s="8"/>
      <c r="D1302" s="8"/>
      <c r="E1302" s="8"/>
      <c r="F1302" s="8"/>
      <c r="G1302" s="8"/>
      <c r="H1302" s="8"/>
      <c r="I1302" s="8"/>
      <c r="J1302" s="8"/>
      <c r="K1302" s="8"/>
      <c r="L1302" s="8"/>
      <c r="M1302" s="8"/>
      <c r="N1302" s="8"/>
      <c r="O1302" s="8"/>
      <c r="P1302" s="8"/>
      <c r="Q1302" s="8"/>
      <c r="R1302" s="8"/>
      <c r="S1302" s="8"/>
      <c r="U1302" s="34"/>
      <c r="V1302" s="34"/>
      <c r="W1302" s="34"/>
      <c r="X1302" s="34"/>
      <c r="Y1302" s="34"/>
      <c r="Z1302" s="34"/>
      <c r="AA1302" s="34"/>
      <c r="AB1302" s="34"/>
      <c r="AC1302" s="34"/>
      <c r="AD1302" s="34"/>
      <c r="AE1302" s="34"/>
      <c r="AF1302" s="34"/>
      <c r="AG1302" s="34"/>
      <c r="AH1302" s="34"/>
      <c r="AI1302" s="34"/>
      <c r="AJ1302" s="34"/>
      <c r="AK1302" s="34"/>
      <c r="AL1302" s="34"/>
      <c r="AM1302" s="34"/>
      <c r="AN1302" s="34"/>
      <c r="AO1302" s="34"/>
      <c r="AP1302" s="34"/>
      <c r="AQ1302" s="34"/>
      <c r="AR1302" s="34"/>
      <c r="AS1302" s="34"/>
      <c r="AT1302" s="34"/>
      <c r="AU1302" s="34"/>
      <c r="AV1302" s="34"/>
      <c r="AW1302" s="34"/>
      <c r="AX1302" s="34"/>
      <c r="AY1302" s="34"/>
      <c r="AZ1302" s="34"/>
      <c r="BA1302" s="34"/>
      <c r="BB1302" s="34"/>
      <c r="BC1302" s="34"/>
      <c r="BD1302" s="34"/>
      <c r="BE1302" s="34"/>
      <c r="BF1302" s="34"/>
      <c r="BG1302" s="34"/>
      <c r="BH1302" s="34"/>
      <c r="BI1302" s="34"/>
      <c r="BJ1302" s="34"/>
      <c r="BK1302" s="34"/>
      <c r="BL1302" s="34"/>
      <c r="BM1302" s="34"/>
      <c r="BN1302" s="34"/>
      <c r="BO1302" s="34"/>
      <c r="BP1302" s="34"/>
      <c r="BQ1302" s="34"/>
      <c r="BR1302" s="34"/>
      <c r="BS1302" s="34"/>
      <c r="BT1302" s="34"/>
      <c r="BU1302" s="34"/>
      <c r="BV1302" s="34"/>
      <c r="BW1302" s="34"/>
      <c r="BX1302" s="34"/>
      <c r="BY1302" s="34"/>
      <c r="BZ1302" s="34"/>
      <c r="CA1302" s="34"/>
      <c r="CB1302" s="34"/>
      <c r="CC1302" s="34"/>
      <c r="CD1302" s="34"/>
      <c r="CE1302" s="34"/>
      <c r="CF1302" s="34"/>
      <c r="CG1302" s="34"/>
      <c r="CH1302" s="34"/>
      <c r="CI1302" s="8"/>
    </row>
    <row r="1303" spans="1:87" x14ac:dyDescent="0.2">
      <c r="A1303" s="8" t="str">
        <f>IF(AND(COUNTIF(W$3:W$13,A$32)&gt;0,A$32&lt;&gt;B1054),A$32,IFERROR(IF(MATCH(A$32,Z$3:Z$13,0)=11,A$32," ")," "))</f>
        <v>C18</v>
      </c>
      <c r="B1303" s="8">
        <f>IF(A1303=" "," ",MAX(B1286:B1302)+1)</f>
        <v>7</v>
      </c>
      <c r="C1303" s="8"/>
      <c r="D1303" s="8"/>
      <c r="E1303" s="8"/>
      <c r="F1303" s="8"/>
      <c r="G1303" s="8"/>
      <c r="H1303" s="8"/>
      <c r="I1303" s="8"/>
      <c r="J1303" s="8"/>
      <c r="K1303" s="8"/>
      <c r="L1303" s="8"/>
      <c r="M1303" s="8"/>
      <c r="N1303" s="8"/>
      <c r="O1303" s="8"/>
      <c r="P1303" s="8"/>
      <c r="Q1303" s="8"/>
      <c r="R1303" s="8"/>
      <c r="S1303" s="8"/>
      <c r="U1303" s="34"/>
      <c r="V1303" s="34"/>
      <c r="W1303" s="34"/>
      <c r="X1303" s="34"/>
      <c r="Y1303" s="34"/>
      <c r="Z1303" s="34"/>
      <c r="AA1303" s="34"/>
      <c r="AB1303" s="34"/>
      <c r="AC1303" s="34"/>
      <c r="AD1303" s="34"/>
      <c r="AE1303" s="34"/>
      <c r="AF1303" s="34"/>
      <c r="AG1303" s="34"/>
      <c r="AH1303" s="34"/>
      <c r="AI1303" s="34"/>
      <c r="AJ1303" s="34"/>
      <c r="AK1303" s="34"/>
      <c r="AL1303" s="34"/>
      <c r="AM1303" s="34"/>
      <c r="AN1303" s="34"/>
      <c r="AO1303" s="34"/>
      <c r="AP1303" s="34"/>
      <c r="AQ1303" s="34"/>
      <c r="AR1303" s="34"/>
      <c r="AS1303" s="34"/>
      <c r="AT1303" s="34"/>
      <c r="AU1303" s="34"/>
      <c r="AV1303" s="34"/>
      <c r="AW1303" s="34"/>
      <c r="AX1303" s="34"/>
      <c r="AY1303" s="34"/>
      <c r="AZ1303" s="34"/>
      <c r="BA1303" s="34"/>
      <c r="BB1303" s="34"/>
      <c r="BC1303" s="34"/>
      <c r="BD1303" s="34"/>
      <c r="BE1303" s="34"/>
      <c r="BF1303" s="34"/>
      <c r="BG1303" s="34"/>
      <c r="BH1303" s="34"/>
      <c r="BI1303" s="34"/>
      <c r="BJ1303" s="34"/>
      <c r="BK1303" s="34"/>
      <c r="BL1303" s="34"/>
      <c r="BM1303" s="34"/>
      <c r="BN1303" s="34"/>
      <c r="BO1303" s="34"/>
      <c r="BP1303" s="34"/>
      <c r="BQ1303" s="34"/>
      <c r="BR1303" s="34"/>
      <c r="BS1303" s="34"/>
      <c r="BT1303" s="34"/>
      <c r="BU1303" s="34"/>
      <c r="BV1303" s="34"/>
      <c r="BW1303" s="34"/>
      <c r="BX1303" s="34"/>
      <c r="BY1303" s="34"/>
      <c r="BZ1303" s="34"/>
      <c r="CA1303" s="34"/>
      <c r="CB1303" s="34"/>
      <c r="CC1303" s="34"/>
      <c r="CD1303" s="34"/>
      <c r="CE1303" s="34"/>
      <c r="CF1303" s="34"/>
      <c r="CG1303" s="34"/>
      <c r="CH1303" s="34"/>
      <c r="CI1303" s="8"/>
    </row>
    <row r="1304" spans="1:87" x14ac:dyDescent="0.2">
      <c r="A1304" s="8" t="str">
        <f>IF(AND(COUNTIF(W$3:W$13,A$33)&gt;0,A$33&lt;&gt;B1054),A$33,IFERROR(IF(MATCH(A$33,Z$3:Z$13,0)=11,A$33," ")," "))</f>
        <v>C19</v>
      </c>
      <c r="B1304" s="8">
        <f>IF(A1304=" "," ",MAX(B1286:B1303)+1)</f>
        <v>8</v>
      </c>
      <c r="C1304" s="8"/>
      <c r="D1304" s="8"/>
      <c r="E1304" s="8"/>
      <c r="F1304" s="8"/>
      <c r="G1304" s="8"/>
      <c r="H1304" s="8"/>
      <c r="I1304" s="8"/>
      <c r="J1304" s="8"/>
      <c r="K1304" s="8"/>
      <c r="L1304" s="8"/>
      <c r="M1304" s="8"/>
      <c r="N1304" s="8"/>
      <c r="O1304" s="8"/>
      <c r="P1304" s="8"/>
      <c r="Q1304" s="8"/>
      <c r="R1304" s="8"/>
      <c r="S1304" s="8"/>
      <c r="U1304" s="34"/>
      <c r="V1304" s="34"/>
      <c r="W1304" s="34"/>
      <c r="X1304" s="34"/>
      <c r="Y1304" s="34"/>
      <c r="Z1304" s="34"/>
      <c r="AA1304" s="34"/>
      <c r="AB1304" s="34"/>
      <c r="AC1304" s="34"/>
      <c r="AD1304" s="34"/>
      <c r="AE1304" s="34"/>
      <c r="AF1304" s="34"/>
      <c r="AG1304" s="34"/>
      <c r="AH1304" s="34"/>
      <c r="AI1304" s="34"/>
      <c r="AJ1304" s="34"/>
      <c r="AK1304" s="34"/>
      <c r="AL1304" s="34"/>
      <c r="AM1304" s="34"/>
      <c r="AN1304" s="34"/>
      <c r="AO1304" s="34"/>
      <c r="AP1304" s="34"/>
      <c r="AQ1304" s="34"/>
      <c r="AR1304" s="34"/>
      <c r="AS1304" s="34"/>
      <c r="AT1304" s="34"/>
      <c r="AU1304" s="34"/>
      <c r="AV1304" s="34"/>
      <c r="AW1304" s="34"/>
      <c r="AX1304" s="34"/>
      <c r="AY1304" s="34"/>
      <c r="AZ1304" s="34"/>
      <c r="BA1304" s="34"/>
      <c r="BB1304" s="34"/>
      <c r="BC1304" s="34"/>
      <c r="BD1304" s="34"/>
      <c r="BE1304" s="34"/>
      <c r="BF1304" s="34"/>
      <c r="BG1304" s="34"/>
      <c r="BH1304" s="34"/>
      <c r="BI1304" s="34"/>
      <c r="BJ1304" s="34"/>
      <c r="BK1304" s="34"/>
      <c r="BL1304" s="34"/>
      <c r="BM1304" s="34"/>
      <c r="BN1304" s="34"/>
      <c r="BO1304" s="34"/>
      <c r="BP1304" s="34"/>
      <c r="BQ1304" s="34"/>
      <c r="BR1304" s="34"/>
      <c r="BS1304" s="34"/>
      <c r="BT1304" s="34"/>
      <c r="BU1304" s="34"/>
      <c r="BV1304" s="34"/>
      <c r="BW1304" s="34"/>
      <c r="BX1304" s="34"/>
      <c r="BY1304" s="34"/>
      <c r="BZ1304" s="34"/>
      <c r="CA1304" s="34"/>
      <c r="CB1304" s="34"/>
      <c r="CC1304" s="34"/>
      <c r="CD1304" s="34"/>
      <c r="CE1304" s="34"/>
      <c r="CF1304" s="34"/>
      <c r="CG1304" s="34"/>
      <c r="CH1304" s="34"/>
      <c r="CI1304" s="8"/>
    </row>
    <row r="1305" spans="1:87" x14ac:dyDescent="0.2">
      <c r="A1305" s="8" t="str">
        <f>IF(AND(COUNTIF(W$3:W$13,A$34)&gt;0,A$34&lt;&gt;B1054),A$34,IFERROR(IF(MATCH(A$34,Z$3:Z$13,0)=11,A$34," ")," "))</f>
        <v>C20</v>
      </c>
      <c r="B1305" s="8">
        <f>IF(A1305=" "," ",MAX(B1286:B1304)+1)</f>
        <v>9</v>
      </c>
      <c r="C1305" s="8"/>
      <c r="D1305" s="8"/>
      <c r="E1305" s="8"/>
      <c r="F1305" s="8"/>
      <c r="G1305" s="8"/>
      <c r="H1305" s="8"/>
      <c r="I1305" s="8"/>
      <c r="J1305" s="8"/>
      <c r="K1305" s="8"/>
      <c r="L1305" s="8"/>
      <c r="M1305" s="8"/>
      <c r="N1305" s="8"/>
      <c r="O1305" s="8"/>
      <c r="P1305" s="8"/>
      <c r="Q1305" s="8"/>
      <c r="R1305" s="8"/>
      <c r="S1305" s="8"/>
      <c r="U1305" s="34"/>
      <c r="V1305" s="34"/>
      <c r="W1305" s="34"/>
      <c r="X1305" s="34"/>
      <c r="Y1305" s="34"/>
      <c r="Z1305" s="34"/>
      <c r="AA1305" s="34"/>
      <c r="AB1305" s="34"/>
      <c r="AC1305" s="34"/>
      <c r="AD1305" s="34"/>
      <c r="AE1305" s="34"/>
      <c r="AF1305" s="34"/>
      <c r="AG1305" s="34"/>
      <c r="AH1305" s="34"/>
      <c r="AI1305" s="34"/>
      <c r="AJ1305" s="34"/>
      <c r="AK1305" s="34"/>
      <c r="AL1305" s="34"/>
      <c r="AM1305" s="34"/>
      <c r="AN1305" s="34"/>
      <c r="AO1305" s="34"/>
      <c r="AP1305" s="34"/>
      <c r="AQ1305" s="34"/>
      <c r="AR1305" s="34"/>
      <c r="AS1305" s="34"/>
      <c r="AT1305" s="34"/>
      <c r="AU1305" s="34"/>
      <c r="AV1305" s="34"/>
      <c r="AW1305" s="34"/>
      <c r="AX1305" s="34"/>
      <c r="AY1305" s="34"/>
      <c r="AZ1305" s="34"/>
      <c r="BA1305" s="34"/>
      <c r="BB1305" s="34"/>
      <c r="BC1305" s="34"/>
      <c r="BD1305" s="34"/>
      <c r="BE1305" s="34"/>
      <c r="BF1305" s="34"/>
      <c r="BG1305" s="34"/>
      <c r="BH1305" s="34"/>
      <c r="BI1305" s="34"/>
      <c r="BJ1305" s="34"/>
      <c r="BK1305" s="34"/>
      <c r="BL1305" s="34"/>
      <c r="BM1305" s="34"/>
      <c r="BN1305" s="34"/>
      <c r="BO1305" s="34"/>
      <c r="BP1305" s="34"/>
      <c r="BQ1305" s="34"/>
      <c r="BR1305" s="34"/>
      <c r="BS1305" s="34"/>
      <c r="BT1305" s="34"/>
      <c r="BU1305" s="34"/>
      <c r="BV1305" s="34"/>
      <c r="BW1305" s="34"/>
      <c r="BX1305" s="34"/>
      <c r="BY1305" s="34"/>
      <c r="BZ1305" s="34"/>
      <c r="CA1305" s="34"/>
      <c r="CB1305" s="34"/>
      <c r="CC1305" s="34"/>
      <c r="CD1305" s="34"/>
      <c r="CE1305" s="34"/>
      <c r="CF1305" s="34"/>
      <c r="CG1305" s="34"/>
      <c r="CH1305" s="34"/>
      <c r="CI1305" s="8"/>
    </row>
    <row r="1306" spans="1:87" x14ac:dyDescent="0.2">
      <c r="A1306" s="8" t="str">
        <f>IF(AND(COUNTIF(W$3:W$13,A$35)&gt;0,A$35&lt;&gt;B1054),A$35,IFERROR(IF(MATCH(A$35,Z$3:Z$13,0)=11,A$35," ")," "))</f>
        <v>C21</v>
      </c>
      <c r="B1306" s="8">
        <f>IF(A1306=" "," ",MAX(B1286:B1305)+1)</f>
        <v>10</v>
      </c>
      <c r="C1306" s="8"/>
      <c r="D1306" s="8"/>
      <c r="E1306" s="8"/>
      <c r="F1306" s="8"/>
      <c r="G1306" s="8"/>
      <c r="H1306" s="8"/>
      <c r="I1306" s="8"/>
      <c r="J1306" s="8"/>
      <c r="K1306" s="8"/>
      <c r="L1306" s="8"/>
      <c r="M1306" s="8"/>
      <c r="N1306" s="8"/>
      <c r="O1306" s="8"/>
      <c r="P1306" s="8"/>
      <c r="Q1306" s="8"/>
      <c r="R1306" s="8"/>
      <c r="S1306" s="8"/>
      <c r="U1306" s="34"/>
      <c r="V1306" s="34"/>
      <c r="W1306" s="34"/>
      <c r="X1306" s="34"/>
      <c r="Y1306" s="34"/>
      <c r="Z1306" s="34"/>
      <c r="AA1306" s="34"/>
      <c r="AB1306" s="34"/>
      <c r="AC1306" s="34"/>
      <c r="AD1306" s="34"/>
      <c r="AE1306" s="34"/>
      <c r="AF1306" s="34"/>
      <c r="AG1306" s="34"/>
      <c r="AH1306" s="34"/>
      <c r="AI1306" s="34"/>
      <c r="AJ1306" s="34"/>
      <c r="AK1306" s="34"/>
      <c r="AL1306" s="34"/>
      <c r="AM1306" s="34"/>
      <c r="AN1306" s="34"/>
      <c r="AO1306" s="34"/>
      <c r="AP1306" s="34"/>
      <c r="AQ1306" s="34"/>
      <c r="AR1306" s="34"/>
      <c r="AS1306" s="34"/>
      <c r="AT1306" s="34"/>
      <c r="AU1306" s="34"/>
      <c r="AV1306" s="34"/>
      <c r="AW1306" s="34"/>
      <c r="AX1306" s="34"/>
      <c r="AY1306" s="34"/>
      <c r="AZ1306" s="34"/>
      <c r="BA1306" s="34"/>
      <c r="BB1306" s="34"/>
      <c r="BC1306" s="34"/>
      <c r="BD1306" s="34"/>
      <c r="BE1306" s="34"/>
      <c r="BF1306" s="34"/>
      <c r="BG1306" s="34"/>
      <c r="BH1306" s="34"/>
      <c r="BI1306" s="34"/>
      <c r="BJ1306" s="34"/>
      <c r="BK1306" s="34"/>
      <c r="BL1306" s="34"/>
      <c r="BM1306" s="34"/>
      <c r="BN1306" s="34"/>
      <c r="BO1306" s="34"/>
      <c r="BP1306" s="34"/>
      <c r="BQ1306" s="34"/>
      <c r="BR1306" s="34"/>
      <c r="BS1306" s="34"/>
      <c r="BT1306" s="34"/>
      <c r="BU1306" s="34"/>
      <c r="BV1306" s="34"/>
      <c r="BW1306" s="34"/>
      <c r="BX1306" s="34"/>
      <c r="BY1306" s="34"/>
      <c r="BZ1306" s="34"/>
      <c r="CA1306" s="34"/>
      <c r="CB1306" s="34"/>
      <c r="CC1306" s="34"/>
      <c r="CD1306" s="34"/>
      <c r="CE1306" s="34"/>
      <c r="CF1306" s="34"/>
      <c r="CG1306" s="34"/>
      <c r="CH1306" s="34"/>
      <c r="CI1306" s="8"/>
    </row>
    <row r="1307" spans="1:87" x14ac:dyDescent="0.2">
      <c r="A1307" s="8" t="str">
        <f>IF(AND(COUNTIF(W$3:W$13,A$36)&gt;0,A$36&lt;&gt;B1054),A$36,IFERROR(IF(MATCH(A$36,Z$3:Z$13,0)=11,A$36," ")," "))</f>
        <v>C22</v>
      </c>
      <c r="B1307" s="8">
        <f>IF(A1307=" "," ",MAX(B1286:B1306)+1)</f>
        <v>11</v>
      </c>
      <c r="C1307" s="8"/>
      <c r="D1307" s="8"/>
      <c r="E1307" s="8"/>
      <c r="F1307" s="8"/>
      <c r="G1307" s="8"/>
      <c r="H1307" s="8"/>
      <c r="I1307" s="8"/>
      <c r="J1307" s="8"/>
      <c r="K1307" s="8"/>
      <c r="L1307" s="8"/>
      <c r="M1307" s="8"/>
      <c r="N1307" s="8"/>
      <c r="O1307" s="8"/>
      <c r="P1307" s="8"/>
      <c r="Q1307" s="8"/>
      <c r="R1307" s="8"/>
      <c r="S1307" s="8"/>
      <c r="U1307" s="34"/>
      <c r="V1307" s="34"/>
      <c r="W1307" s="34"/>
      <c r="X1307" s="34"/>
      <c r="Y1307" s="34"/>
      <c r="Z1307" s="34"/>
      <c r="AA1307" s="34"/>
      <c r="AB1307" s="34"/>
      <c r="AC1307" s="34"/>
      <c r="AD1307" s="34"/>
      <c r="AE1307" s="34"/>
      <c r="AF1307" s="34"/>
      <c r="AG1307" s="34"/>
      <c r="AH1307" s="34"/>
      <c r="AI1307" s="34"/>
      <c r="AJ1307" s="34"/>
      <c r="AK1307" s="34"/>
      <c r="AL1307" s="34"/>
      <c r="AM1307" s="34"/>
      <c r="AN1307" s="34"/>
      <c r="AO1307" s="34"/>
      <c r="AP1307" s="34"/>
      <c r="AQ1307" s="34"/>
      <c r="AR1307" s="34"/>
      <c r="AS1307" s="34"/>
      <c r="AT1307" s="34"/>
      <c r="AU1307" s="34"/>
      <c r="AV1307" s="34"/>
      <c r="AW1307" s="34"/>
      <c r="AX1307" s="34"/>
      <c r="AY1307" s="34"/>
      <c r="AZ1307" s="34"/>
      <c r="BA1307" s="34"/>
      <c r="BB1307" s="34"/>
      <c r="BC1307" s="34"/>
      <c r="BD1307" s="34"/>
      <c r="BE1307" s="34"/>
      <c r="BF1307" s="34"/>
      <c r="BG1307" s="34"/>
      <c r="BH1307" s="34"/>
      <c r="BI1307" s="34"/>
      <c r="BJ1307" s="34"/>
      <c r="BK1307" s="34"/>
      <c r="BL1307" s="34"/>
      <c r="BM1307" s="34"/>
      <c r="BN1307" s="34"/>
      <c r="BO1307" s="34"/>
      <c r="BP1307" s="34"/>
      <c r="BQ1307" s="34"/>
      <c r="BR1307" s="34"/>
      <c r="BS1307" s="34"/>
      <c r="BT1307" s="34"/>
      <c r="BU1307" s="34"/>
      <c r="BV1307" s="34"/>
      <c r="BW1307" s="34"/>
      <c r="BX1307" s="34"/>
      <c r="BY1307" s="34"/>
      <c r="BZ1307" s="34"/>
      <c r="CA1307" s="34"/>
      <c r="CB1307" s="34"/>
      <c r="CC1307" s="34"/>
      <c r="CD1307" s="34"/>
      <c r="CE1307" s="34"/>
      <c r="CF1307" s="34"/>
      <c r="CG1307" s="34"/>
      <c r="CH1307" s="34"/>
      <c r="CI1307" s="8"/>
    </row>
    <row r="1308" spans="1:87" s="16" customFormat="1" x14ac:dyDescent="0.2">
      <c r="A1308" s="28"/>
      <c r="B1308" s="49" t="str">
        <f>W8</f>
        <v>C17</v>
      </c>
      <c r="C1308" s="49"/>
      <c r="D1308" s="49"/>
      <c r="E1308" s="49"/>
      <c r="F1308" s="49"/>
      <c r="G1308" s="49"/>
      <c r="H1308" s="49"/>
      <c r="I1308" s="49"/>
      <c r="J1308" s="49"/>
      <c r="K1308" s="49"/>
      <c r="L1308" s="49"/>
      <c r="M1308" s="49"/>
      <c r="N1308" s="49"/>
      <c r="O1308" s="49"/>
      <c r="P1308" s="49"/>
      <c r="Q1308" s="49"/>
      <c r="R1308" s="28" t="e">
        <f>(N$2*INDEX(Q1309:R1561,MATCH(T1308,R1309:R1561,0),1)+N$3*INDEX(Q1309:R1561,MATCH(T1308,R1309:R1561,0)+1,1)+N$4*INDEX(Q1309:R1561,MATCH(T1308,R1309:R1561,0)+2,1)+N$5*INDEX(Q1309:R1561,MATCH(T1308,R1309:R1561,0)+3,1)+N$6*INDEX(Q1309:R1561,MATCH(T1308,R1309:R1561,0)+4,1)+N$7*INDEX(Q1309:R1561,MATCH(T1308,R1309:R1561,0)+5,1)+N$8*INDEX(Q1309:R1561,MATCH(T1308,R1309:R1561,0)+6,1)+N$9*INDEX(Q1309:R1561,MATCH(T1308,R1309:R1561,0)+7,1)+N$10*INDEX(Q1309:R1561,MATCH(T1308,R1309:R1561,0)+8,1)+N$11*INDEX(Q1309:R1561,MATCH(T1308,R1309:R1561,0)+9,1)+N$12*INDEX(Q1309:R1561,MATCH(T1308,R1309:R1561,0)+10,1)-N$2*INDEX(Q1309:R1561,MATCH(S1308,R1309:R1561,0),1)-N$3*INDEX(Q1309:R1561,MATCH(S1308,R1309:R1561,0)+1,1)-N$4*INDEX(Q1309:R1561,MATCH(S1308,R1309:R1561,0)+2,1)-N$5*INDEX(Q1309:R1561,MATCH(S1308,R1309:R1561,0)+3,1)-N$6*INDEX(Q1309:R1561,MATCH(S1308,R1309:R1561,0)+4,1)-N$7*INDEX(Q1309:R1561,MATCH(S1308,R1309:R1561,0)+5,1)-N$8*INDEX(Q1309:R1561,MATCH(S1308,R1309:R1561,0)+6,1)-N$9*INDEX(Q1309:R1561,MATCH(S1308,R1309:R1561,0)+7,1)-N$10*INDEX(Q1309:R1561,MATCH(S1308,R1309:R1561,0)+8,1)-N$11*INDEX(Q1309:R1561,MATCH(S1308,R1309:R1561,0)+9,1)-N$12*INDEX(Q1309:R1561,MATCH(S1308,R1309:R1561,0)+10,1))/(T1308-S1308)</f>
        <v>#N/A</v>
      </c>
      <c r="S1308" s="28" t="e">
        <f>INDEX(R1310:T1561,MATCH(MAX(S1310:S1561),S1310:S1561,0),1)</f>
        <v>#N/A</v>
      </c>
      <c r="T1308" s="20" t="e">
        <f>INDEX(R1310:T1561,MATCH(MIN(T1310:T1561),T1310:T1561,0),1)</f>
        <v>#N/A</v>
      </c>
      <c r="U1308" s="50" t="str">
        <f t="shared" ref="U1308" si="5553">A$2</f>
        <v>X1</v>
      </c>
      <c r="V1308" s="49"/>
      <c r="W1308" s="49"/>
      <c r="X1308" s="49"/>
      <c r="Y1308" s="35" t="str">
        <f t="shared" ref="Y1308" si="5554">IF(INDEX($A$15:$N$36,MATCH($B1308,$A$15:$A$36,0),14)&lt;&gt;"=",IFERROR(INDEX(X1309:Z1561,MATCH(MAX(Y1309:Y1561),Y1309:Y1561,0),1)," ")," ")</f>
        <v xml:space="preserve"> </v>
      </c>
      <c r="Z1308" s="35" t="str">
        <f t="shared" ref="Z1308" si="5555">IF(INDEX($A$15:$N$36,MATCH($B1308,$A$15:$A$36,0),14)&lt;&gt;"=",IFERROR(INDEX(X1309:Z1561,MATCH(MIN(Z1309:Z1561),Z1309:Z1561,0),1)," ")," ")</f>
        <v xml:space="preserve"> </v>
      </c>
      <c r="AA1308" s="49" t="str">
        <f t="shared" ref="AA1308" si="5556">A$3</f>
        <v>X2</v>
      </c>
      <c r="AB1308" s="49"/>
      <c r="AC1308" s="49"/>
      <c r="AD1308" s="49"/>
      <c r="AE1308" s="35" t="str">
        <f t="shared" ref="AE1308" si="5557">IF(INDEX($A$15:$N$36,MATCH($B1308,$A$15:$A$36,0),14)&lt;&gt;"=",IFERROR(INDEX(AD1309:AF1561,MATCH(MAX(AE1309:AE1561),AE1309:AE1561,0),1)," ")," ")</f>
        <v xml:space="preserve"> </v>
      </c>
      <c r="AF1308" s="35" t="str">
        <f t="shared" ref="AF1308" si="5558">IF(INDEX($A$15:$N$36,MATCH($B1308,$A$15:$A$36,0),14)&lt;&gt;"=",IFERROR(INDEX(AD1309:AF1561,MATCH(MIN(AF1309:AF1561),AF1309:AF1561,0),1)," ")," ")</f>
        <v xml:space="preserve"> </v>
      </c>
      <c r="AG1308" s="49" t="str">
        <f t="shared" ref="AG1308" si="5559">A$4</f>
        <v>X3</v>
      </c>
      <c r="AH1308" s="49"/>
      <c r="AI1308" s="49"/>
      <c r="AJ1308" s="49"/>
      <c r="AK1308" s="35" t="str">
        <f t="shared" ref="AK1308" si="5560">IF(INDEX($A$15:$N$36,MATCH($B1308,$A$15:$A$36,0),14)&lt;&gt;"=",IFERROR(INDEX(AJ1309:AL1561,MATCH(MAX(AK1309:AK1561),AK1309:AK1561,0),1)," ")," ")</f>
        <v xml:space="preserve"> </v>
      </c>
      <c r="AL1308" s="35" t="str">
        <f t="shared" ref="AL1308" si="5561">IF(INDEX($A$15:$N$36,MATCH($B1308,$A$15:$A$36,0),14)&lt;&gt;"=",IFERROR(INDEX(AJ1309:AL1561,MATCH(MIN(AL1309:AL1561),AL1309:AL1561,0),1)," ")," ")</f>
        <v xml:space="preserve"> </v>
      </c>
      <c r="AM1308" s="49" t="str">
        <f t="shared" ref="AM1308" si="5562">A$5</f>
        <v>X4</v>
      </c>
      <c r="AN1308" s="49"/>
      <c r="AO1308" s="49"/>
      <c r="AP1308" s="49"/>
      <c r="AQ1308" s="35" t="str">
        <f t="shared" ref="AQ1308" si="5563">IF(INDEX($A$15:$N$36,MATCH($B1308,$A$15:$A$36,0),14)&lt;&gt;"=",IFERROR(INDEX(AP1309:AR1561,MATCH(MAX(AQ1309:AQ1561),AQ1309:AQ1561,0),1)," ")," ")</f>
        <v xml:space="preserve"> </v>
      </c>
      <c r="AR1308" s="35" t="str">
        <f t="shared" ref="AR1308" si="5564">IF(INDEX($A$15:$N$36,MATCH($B1308,$A$15:$A$36,0),14)&lt;&gt;"=",IFERROR(INDEX(AP1309:AR1561,MATCH(MIN(AR1309:AR1561),AR1309:AR1561,0),1)," ")," ")</f>
        <v xml:space="preserve"> </v>
      </c>
      <c r="AS1308" s="49" t="str">
        <f t="shared" ref="AS1308" si="5565">A$6</f>
        <v>X5</v>
      </c>
      <c r="AT1308" s="49"/>
      <c r="AU1308" s="49"/>
      <c r="AV1308" s="49"/>
      <c r="AW1308" s="35" t="str">
        <f t="shared" ref="AW1308" si="5566">IF(INDEX($A$15:$N$36,MATCH($B1308,$A$15:$A$36,0),14)&lt;&gt;"=",IFERROR(INDEX(AV1309:AX1561,MATCH(MAX(AW1309:AW1561),AW1309:AW1561,0),1)," ")," ")</f>
        <v xml:space="preserve"> </v>
      </c>
      <c r="AX1308" s="35" t="str">
        <f t="shared" ref="AX1308" si="5567">IF(INDEX($A$15:$N$36,MATCH($B1308,$A$15:$A$36,0),14)&lt;&gt;"=",IFERROR(INDEX(AV1309:AX1561,MATCH(MIN(AX1309:AX1561),AX1309:AX1561,0),1)," ")," ")</f>
        <v xml:space="preserve"> </v>
      </c>
      <c r="AY1308" s="49" t="str">
        <f t="shared" ref="AY1308" si="5568">A$7</f>
        <v>X6</v>
      </c>
      <c r="AZ1308" s="49"/>
      <c r="BA1308" s="49"/>
      <c r="BB1308" s="49"/>
      <c r="BC1308" s="35" t="str">
        <f t="shared" ref="BC1308" si="5569">IF(INDEX($A$15:$N$36,MATCH($B1308,$A$15:$A$36,0),14)&lt;&gt;"=",IFERROR(INDEX(BB1309:BD1561,MATCH(MAX(BC1309:BC1561),BC1309:BC1561,0),1)," ")," ")</f>
        <v xml:space="preserve"> </v>
      </c>
      <c r="BD1308" s="35" t="str">
        <f t="shared" ref="BD1308" si="5570">IF(INDEX($A$15:$N$36,MATCH($B1308,$A$15:$A$36,0),14)&lt;&gt;"=",IFERROR(INDEX(BB1309:BD1561,MATCH(MIN(BD1309:BD1561),BD1309:BD1561,0),1)," ")," ")</f>
        <v xml:space="preserve"> </v>
      </c>
      <c r="BE1308" s="49" t="str">
        <f t="shared" ref="BE1308" si="5571">A$8</f>
        <v>X7</v>
      </c>
      <c r="BF1308" s="49"/>
      <c r="BG1308" s="49"/>
      <c r="BH1308" s="49"/>
      <c r="BI1308" s="35" t="str">
        <f t="shared" ref="BI1308" si="5572">IF(INDEX($A$15:$N$36,MATCH($B1308,$A$15:$A$36,0),14)&lt;&gt;"=",IFERROR(INDEX(BH1309:BJ1561,MATCH(MAX(BI1309:BI1561),BI1309:BI1561,0),1)," ")," ")</f>
        <v xml:space="preserve"> </v>
      </c>
      <c r="BJ1308" s="35" t="str">
        <f t="shared" ref="BJ1308" si="5573">IF(INDEX($A$15:$N$36,MATCH($B1308,$A$15:$A$36,0),14)&lt;&gt;"=",IFERROR(INDEX(BH1309:BJ1561,MATCH(MIN(BJ1309:BJ1561),BJ1309:BJ1561,0),1)," ")," ")</f>
        <v xml:space="preserve"> </v>
      </c>
      <c r="BK1308" s="49" t="str">
        <f t="shared" ref="BK1308" si="5574">A$9</f>
        <v>X8</v>
      </c>
      <c r="BL1308" s="49"/>
      <c r="BM1308" s="49"/>
      <c r="BN1308" s="49"/>
      <c r="BO1308" s="35" t="str">
        <f t="shared" ref="BO1308" si="5575">IF(INDEX($A$15:$N$36,MATCH($B1308,$A$15:$A$36,0),14)&lt;&gt;"=",IFERROR(INDEX(BN1309:BP1561,MATCH(MAX(BO1309:BO1561),BO1309:BO1561,0),1)," ")," ")</f>
        <v xml:space="preserve"> </v>
      </c>
      <c r="BP1308" s="35" t="str">
        <f t="shared" ref="BP1308" si="5576">IF(INDEX($A$15:$N$36,MATCH($B1308,$A$15:$A$36,0),14)&lt;&gt;"=",IFERROR(INDEX(BN1309:BP1561,MATCH(MIN(BP1309:BP1561),BP1309:BP1561,0),1)," ")," ")</f>
        <v xml:space="preserve"> </v>
      </c>
      <c r="BQ1308" s="49" t="str">
        <f t="shared" ref="BQ1308" si="5577">A$10</f>
        <v>X9</v>
      </c>
      <c r="BR1308" s="49"/>
      <c r="BS1308" s="49"/>
      <c r="BT1308" s="49"/>
      <c r="BU1308" s="35" t="str">
        <f t="shared" ref="BU1308" si="5578">IF(INDEX($A$15:$N$36,MATCH($B1308,$A$15:$A$36,0),14)&lt;&gt;"=",IFERROR(INDEX(BT1309:BV1561,MATCH(MAX(BU1309:BU1561),BU1309:BU1561,0),1)," ")," ")</f>
        <v xml:space="preserve"> </v>
      </c>
      <c r="BV1308" s="35" t="str">
        <f t="shared" ref="BV1308" si="5579">IF(INDEX($A$15:$N$36,MATCH($B1308,$A$15:$A$36,0),14)&lt;&gt;"=",IFERROR(INDEX(BT1309:BV1561,MATCH(MIN(BV1309:BV1561),BV1309:BV1561,0),1)," ")," ")</f>
        <v xml:space="preserve"> </v>
      </c>
      <c r="BW1308" s="49" t="str">
        <f t="shared" ref="BW1308" si="5580">A$11</f>
        <v>X10</v>
      </c>
      <c r="BX1308" s="49"/>
      <c r="BY1308" s="49"/>
      <c r="BZ1308" s="49"/>
      <c r="CA1308" s="35" t="str">
        <f t="shared" ref="CA1308" si="5581">IF(INDEX($A$15:$N$36,MATCH($B1308,$A$15:$A$36,0),14)&lt;&gt;"=",IFERROR(INDEX(BZ1309:CB1561,MATCH(MAX(CA1309:CA1561),CA1309:CA1561,0),1)," ")," ")</f>
        <v xml:space="preserve"> </v>
      </c>
      <c r="CB1308" s="35" t="str">
        <f t="shared" ref="CB1308" si="5582">IF(INDEX($A$15:$N$36,MATCH($B1308,$A$15:$A$36,0),14)&lt;&gt;"=",IFERROR(INDEX(BZ1309:CB1561,MATCH(MIN(CB1309:CB1561),CB1309:CB1561,0),1)," ")," ")</f>
        <v xml:space="preserve"> </v>
      </c>
      <c r="CC1308" s="49" t="str">
        <f t="shared" ref="CC1308" si="5583">A$12</f>
        <v>X11</v>
      </c>
      <c r="CD1308" s="49"/>
      <c r="CE1308" s="49"/>
      <c r="CF1308" s="49"/>
      <c r="CG1308" s="35" t="str">
        <f t="shared" ref="CG1308" si="5584">IF(INDEX($A$15:$N$36,MATCH($B1308,$A$15:$A$36,0),14)&lt;&gt;"=",IFERROR(INDEX(CF1309:CH1561,MATCH(MAX(CG1309:CG1561),CG1309:CG1561,0),1)," ")," ")</f>
        <v xml:space="preserve"> </v>
      </c>
      <c r="CH1308" s="35" t="str">
        <f t="shared" ref="CH1308" si="5585">IF(INDEX($A$15:$N$36,MATCH($B1308,$A$15:$A$36,0),14)&lt;&gt;"=",IFERROR(INDEX(CF1309:CH1561,MATCH(MIN(CH1309:CH1561),CH1309:CH1561,0),1)," ")," ")</f>
        <v xml:space="preserve"> </v>
      </c>
    </row>
    <row r="1309" spans="1:87" x14ac:dyDescent="0.2">
      <c r="A1309" s="11" t="s">
        <v>17</v>
      </c>
      <c r="B1309" s="11"/>
      <c r="C1309" s="27" t="s">
        <v>18</v>
      </c>
      <c r="D1309" s="27" t="s">
        <v>2</v>
      </c>
      <c r="E1309" s="27" t="s">
        <v>6</v>
      </c>
      <c r="F1309" s="27" t="s">
        <v>15</v>
      </c>
      <c r="G1309" s="27" t="s">
        <v>36</v>
      </c>
      <c r="H1309" s="27" t="s">
        <v>37</v>
      </c>
      <c r="I1309" s="27" t="s">
        <v>38</v>
      </c>
      <c r="J1309" s="27" t="s">
        <v>39</v>
      </c>
      <c r="K1309" s="27" t="s">
        <v>40</v>
      </c>
      <c r="L1309" s="27" t="s">
        <v>41</v>
      </c>
      <c r="M1309" s="27" t="s">
        <v>42</v>
      </c>
      <c r="N1309" s="27" t="s">
        <v>43</v>
      </c>
      <c r="O1309" s="27" t="s">
        <v>9</v>
      </c>
      <c r="P1309" s="27" t="s">
        <v>12</v>
      </c>
      <c r="Q1309" s="27" t="s">
        <v>19</v>
      </c>
      <c r="R1309" s="27" t="s">
        <v>55</v>
      </c>
      <c r="S1309" s="27" t="s">
        <v>26</v>
      </c>
      <c r="T1309" s="19" t="s">
        <v>25</v>
      </c>
      <c r="U1309" s="33" t="s">
        <v>27</v>
      </c>
      <c r="V1309" s="33" t="s">
        <v>9</v>
      </c>
      <c r="W1309" s="33" t="s">
        <v>23</v>
      </c>
      <c r="X1309" s="33" t="s">
        <v>12</v>
      </c>
      <c r="Y1309" s="33" t="s">
        <v>26</v>
      </c>
      <c r="Z1309" s="33" t="s">
        <v>25</v>
      </c>
      <c r="AA1309" s="33" t="s">
        <v>27</v>
      </c>
      <c r="AB1309" s="33" t="s">
        <v>9</v>
      </c>
      <c r="AC1309" s="33" t="s">
        <v>23</v>
      </c>
      <c r="AD1309" s="33" t="s">
        <v>12</v>
      </c>
      <c r="AE1309" s="33" t="s">
        <v>26</v>
      </c>
      <c r="AF1309" s="33" t="s">
        <v>25</v>
      </c>
      <c r="AG1309" s="33" t="s">
        <v>27</v>
      </c>
      <c r="AH1309" s="33" t="s">
        <v>9</v>
      </c>
      <c r="AI1309" s="33" t="s">
        <v>23</v>
      </c>
      <c r="AJ1309" s="33" t="s">
        <v>12</v>
      </c>
      <c r="AK1309" s="33" t="s">
        <v>26</v>
      </c>
      <c r="AL1309" s="33" t="s">
        <v>25</v>
      </c>
      <c r="AM1309" s="33" t="s">
        <v>27</v>
      </c>
      <c r="AN1309" s="33" t="s">
        <v>9</v>
      </c>
      <c r="AO1309" s="33" t="s">
        <v>23</v>
      </c>
      <c r="AP1309" s="33" t="s">
        <v>12</v>
      </c>
      <c r="AQ1309" s="33" t="s">
        <v>26</v>
      </c>
      <c r="AR1309" s="33" t="s">
        <v>25</v>
      </c>
      <c r="AS1309" s="33" t="s">
        <v>27</v>
      </c>
      <c r="AT1309" s="33" t="s">
        <v>9</v>
      </c>
      <c r="AU1309" s="33" t="s">
        <v>23</v>
      </c>
      <c r="AV1309" s="33" t="s">
        <v>12</v>
      </c>
      <c r="AW1309" s="33" t="s">
        <v>26</v>
      </c>
      <c r="AX1309" s="33" t="s">
        <v>25</v>
      </c>
      <c r="AY1309" s="33" t="s">
        <v>27</v>
      </c>
      <c r="AZ1309" s="33" t="s">
        <v>9</v>
      </c>
      <c r="BA1309" s="33" t="s">
        <v>23</v>
      </c>
      <c r="BB1309" s="33" t="s">
        <v>12</v>
      </c>
      <c r="BC1309" s="33" t="s">
        <v>26</v>
      </c>
      <c r="BD1309" s="33" t="s">
        <v>25</v>
      </c>
      <c r="BE1309" s="33" t="s">
        <v>27</v>
      </c>
      <c r="BF1309" s="33" t="s">
        <v>9</v>
      </c>
      <c r="BG1309" s="33" t="s">
        <v>23</v>
      </c>
      <c r="BH1309" s="33" t="s">
        <v>12</v>
      </c>
      <c r="BI1309" s="33" t="s">
        <v>26</v>
      </c>
      <c r="BJ1309" s="33" t="s">
        <v>25</v>
      </c>
      <c r="BK1309" s="33" t="s">
        <v>27</v>
      </c>
      <c r="BL1309" s="33" t="s">
        <v>9</v>
      </c>
      <c r="BM1309" s="33" t="s">
        <v>23</v>
      </c>
      <c r="BN1309" s="33" t="s">
        <v>12</v>
      </c>
      <c r="BO1309" s="33" t="s">
        <v>26</v>
      </c>
      <c r="BP1309" s="33" t="s">
        <v>25</v>
      </c>
      <c r="BQ1309" s="33" t="s">
        <v>27</v>
      </c>
      <c r="BR1309" s="33" t="s">
        <v>9</v>
      </c>
      <c r="BS1309" s="33" t="s">
        <v>23</v>
      </c>
      <c r="BT1309" s="33" t="s">
        <v>12</v>
      </c>
      <c r="BU1309" s="33" t="s">
        <v>26</v>
      </c>
      <c r="BV1309" s="33" t="s">
        <v>25</v>
      </c>
      <c r="BW1309" s="33" t="s">
        <v>27</v>
      </c>
      <c r="BX1309" s="33" t="s">
        <v>9</v>
      </c>
      <c r="BY1309" s="33" t="s">
        <v>23</v>
      </c>
      <c r="BZ1309" s="33" t="s">
        <v>12</v>
      </c>
      <c r="CA1309" s="33" t="s">
        <v>26</v>
      </c>
      <c r="CB1309" s="33" t="s">
        <v>25</v>
      </c>
      <c r="CC1309" s="33" t="s">
        <v>27</v>
      </c>
      <c r="CD1309" s="33" t="s">
        <v>9</v>
      </c>
      <c r="CE1309" s="33" t="s">
        <v>23</v>
      </c>
      <c r="CF1309" s="33" t="s">
        <v>12</v>
      </c>
      <c r="CG1309" s="33" t="s">
        <v>26</v>
      </c>
      <c r="CH1309" s="33" t="s">
        <v>25</v>
      </c>
      <c r="CI1309" s="8"/>
    </row>
    <row r="1310" spans="1:87" x14ac:dyDescent="0.2">
      <c r="A1310" s="8" t="str">
        <f>IF(AND(COUNTIF(W$3:W$13,A$15)&gt;0,A$15&lt;&gt;B1308),A$15,IFERROR(IF(MATCH(A$15,Z$3:Z$13,0)=1,A$15," ")," "))</f>
        <v>C1</v>
      </c>
      <c r="B1310" s="8">
        <f>IF(A1310=" "," ",1)</f>
        <v>1</v>
      </c>
      <c r="C1310" s="8" t="str">
        <f>IFERROR(INDEX(A1310:A1331,MATCH(SMALL(B1310:B1331,1),B1310:B1331,0),1)," ")</f>
        <v>C1</v>
      </c>
      <c r="D1310" s="8">
        <f>IFERROR(VLOOKUP($C1310,$A$15:$O$36,2,FALSE)," ")</f>
        <v>1</v>
      </c>
      <c r="E1310" s="8">
        <f>IFERROR(VLOOKUP($C1310,$A$15:$O$36,3,FALSE)," ")</f>
        <v>1</v>
      </c>
      <c r="F1310" s="8">
        <f>IFERROR(VLOOKUP($C1310,$A$15:$O$36,4,FALSE)," ")</f>
        <v>1</v>
      </c>
      <c r="G1310" s="8">
        <f>IFERROR(VLOOKUP($C1310,$A$15:$O$36,5,FALSE)," ")</f>
        <v>0</v>
      </c>
      <c r="H1310" s="8">
        <f>IFERROR(VLOOKUP($C1310,$A$15:$O$36,6,FALSE)," ")</f>
        <v>0</v>
      </c>
      <c r="I1310" s="8">
        <f>IFERROR(VLOOKUP($C1310,$A$15:$O$36,7,FALSE)," ")</f>
        <v>0</v>
      </c>
      <c r="J1310" s="8">
        <f>IFERROR(VLOOKUP($C1310,$A$15:$O$36,8,FALSE)," ")</f>
        <v>0</v>
      </c>
      <c r="K1310" s="8">
        <f>IFERROR(VLOOKUP($C1310,$A$15:$O$36,9,FALSE)," ")</f>
        <v>0</v>
      </c>
      <c r="L1310" s="8">
        <f>IFERROR(VLOOKUP($C1310,$A$15:$O$36,10,FALSE)," ")</f>
        <v>0</v>
      </c>
      <c r="M1310" s="8">
        <f>IFERROR(VLOOKUP($C1310,$A$15:$O$36,11,FALSE)," ")</f>
        <v>0</v>
      </c>
      <c r="N1310" s="8">
        <f>IFERROR(VLOOKUP($C1310,$A$15:$O$36,12,FALSE)," ")</f>
        <v>0</v>
      </c>
      <c r="O1310" s="8">
        <f>IFERROR(VLOOKUP($C1310,$A$15:$O$36,15,FALSE)," ")</f>
        <v>550</v>
      </c>
      <c r="P1310" s="8" t="e">
        <f t="array" ref="P1310:P1320">MMULT(MINVERSE(D1310:N1320),O1310:O1320)</f>
        <v>#NUM!</v>
      </c>
      <c r="Q1310" s="8" t="e">
        <f t="shared" ref="Q1310" si="5586">IF(COUNTIF(P1310:P1320,"&lt;"&amp;-0.001)=0,IF(ABS(P1310)&lt;0.001,0,P1310)," ")</f>
        <v>#NUM!</v>
      </c>
      <c r="R1310" s="8" t="str">
        <f>IFERROR(VLOOKUP(B1308,A$15:L$36,2,FALSE)*Q1310+VLOOKUP(B1308,A$15:L$36,3,FALSE)*Q1311+VLOOKUP(B1308,A$15:L$36,4,FALSE)*Q1312+VLOOKUP(B1308,A$15:L$36,5,FALSE)*Q1313+VLOOKUP(B1308,A$15:L$36,6,FALSE)*Q1314+VLOOKUP(B1308,A$15:L$36,7,FALSE)*Q1315+VLOOKUP(B1308,A$15:L$36,8,FALSE)*Q1316+VLOOKUP(B1308,A$15:L$36,9,FALSE)*Q1317+VLOOKUP(B1308,A$15:L$36,10,FALSE)*Q1318+VLOOKUP(B1308,A$15:L$36,11,FALSE)*Q1319+VLOOKUP(B1308,A$15:L$36,12,FALSE)*Q1320," ")</f>
        <v xml:space="preserve"> </v>
      </c>
      <c r="S1310" s="8" t="str">
        <f>IFERROR(IF(R1310-VLOOKUP(B1308,A$15:O$36,15,FALSE)&lt;0,R1310-VLOOKUP(B1308,A$15:O$36,15,FALSE)," ")," ")</f>
        <v xml:space="preserve"> </v>
      </c>
      <c r="T1310" s="18" t="str">
        <f>IFERROR(IF(R1310-VLOOKUP(B1308,A$15:O$36,15,FALSE)&gt;0,R1310-VLOOKUP(B1308,A$15:O$36,15,FALSE)," ")," ")</f>
        <v xml:space="preserve"> </v>
      </c>
      <c r="U1310" s="34">
        <f t="shared" ref="U1310" si="5587">$M$2</f>
        <v>100.00000000000001</v>
      </c>
      <c r="V1310" s="34">
        <v>-1</v>
      </c>
      <c r="W1310" s="34">
        <f t="shared" ref="W1310" si="5588">-SUMPRODUCT($M$3:$M$12,$N$3:$N$12)</f>
        <v>-105000</v>
      </c>
      <c r="X1310" s="34" t="e">
        <f t="shared" ref="X1310" si="5589">IF(U1310&lt;&gt;U1311,MMULT(MINVERSE(U1310:V1311),W1310:W1311)," ")</f>
        <v>#NUM!</v>
      </c>
      <c r="Y1310" s="34" t="str">
        <f t="shared" ref="Y1310" si="5590">IFERROR(IF(X1310-VLOOKUP(U$38,$A$2:$N$12,14,FALSE)&lt;0,X1310-VLOOKUP(U$38,$A$2:$N$12,14,FALSE)," ")," ")</f>
        <v xml:space="preserve"> </v>
      </c>
      <c r="Z1310" s="34" t="str">
        <f t="shared" ref="Z1310" si="5591">IFERROR(IF(X1310-VLOOKUP(U$38,$A$2:$N$12,14,FALSE)&gt;0,X1310-VLOOKUP(U$38,$A$2:$N$12,14,FALSE)," ")," ")</f>
        <v xml:space="preserve"> </v>
      </c>
      <c r="AA1310" s="34">
        <f t="shared" ref="AA1310" si="5592">$M$3</f>
        <v>0</v>
      </c>
      <c r="AB1310" s="34">
        <v>-1</v>
      </c>
      <c r="AC1310" s="34">
        <f t="shared" ref="AC1310" si="5593">-SUMPRODUCT($M$2:$M$2,$N$2:$N$2)-SUMPRODUCT($M$4:$M$12,$N$4:$N$12)</f>
        <v>-120000</v>
      </c>
      <c r="AD1310" s="34" t="e">
        <f t="shared" ref="AD1310" si="5594">IF(AA1310&lt;&gt;AA1311,MMULT(MINVERSE(AA1310:AB1311),AC1310:AC1311)," ")</f>
        <v>#NUM!</v>
      </c>
      <c r="AE1310" s="34" t="str">
        <f t="shared" ref="AE1310" si="5595">IFERROR(IF(AD1310-VLOOKUP(AA$38,$A$2:$N$12,14,FALSE)&lt;0,AD1310-VLOOKUP(AA$38,$A$2:$N$12,14,FALSE)," ")," ")</f>
        <v xml:space="preserve"> </v>
      </c>
      <c r="AF1310" s="34" t="str">
        <f t="shared" ref="AF1310" si="5596">IFERROR(IF(AD1310-VLOOKUP(AA$38,$A$2:$N$12,14,FALSE)&gt;0,AD1310-VLOOKUP(AA$38,$A$2:$N$12,14,FALSE)," ")," ")</f>
        <v xml:space="preserve"> </v>
      </c>
      <c r="AG1310" s="34">
        <f t="shared" ref="AG1310" si="5597">$M$4</f>
        <v>300</v>
      </c>
      <c r="AH1310" s="34">
        <v>-1</v>
      </c>
      <c r="AI1310" s="34">
        <f t="shared" ref="AI1310" si="5598">-SUMPRODUCT($M$2:$M$3,$N$2:$N$3)-SUMPRODUCT($M$5:$M$12,$N$5:$N$12)</f>
        <v>-15000.000000000002</v>
      </c>
      <c r="AJ1310" s="34" t="e">
        <f t="shared" ref="AJ1310" si="5599">IF(AG1310&lt;&gt;AG1311,MMULT(MINVERSE(AG1310:AH1311),AI1310:AI1311)," ")</f>
        <v>#NUM!</v>
      </c>
      <c r="AK1310" s="34" t="str">
        <f t="shared" ref="AK1310" si="5600">IFERROR(IF(AJ1310-VLOOKUP(AG$38,$A$2:$N$12,14,FALSE)&lt;0,AJ1310-VLOOKUP(AG$38,$A$2:$N$12,14,FALSE)," ")," ")</f>
        <v xml:space="preserve"> </v>
      </c>
      <c r="AL1310" s="34" t="str">
        <f t="shared" ref="AL1310" si="5601">IFERROR(IF(AJ1310-VLOOKUP(AG$38,$A$2:$N$12,14,FALSE)&gt;0,AJ1310-VLOOKUP(AG$38,$A$2:$N$12,14,FALSE)," ")," ")</f>
        <v xml:space="preserve"> </v>
      </c>
      <c r="AM1310" s="34">
        <f t="shared" ref="AM1310" si="5602">$M$5</f>
        <v>0</v>
      </c>
      <c r="AN1310" s="34">
        <v>-1</v>
      </c>
      <c r="AO1310" s="34">
        <f t="shared" ref="AO1310" si="5603">-SUMPRODUCT($M$2:$M$4,$N$2:$N$4)-SUMPRODUCT($M$6:$M$12,$N$6:$N$12)</f>
        <v>-120000</v>
      </c>
      <c r="AP1310" s="34" t="e">
        <f t="shared" ref="AP1310" si="5604">IF(AM1310&lt;&gt;AM1311,MMULT(MINVERSE(AM1310:AN1311),AO1310:AO1311)," ")</f>
        <v>#NUM!</v>
      </c>
      <c r="AQ1310" s="34" t="str">
        <f t="shared" ref="AQ1310" si="5605">IFERROR(IF(AP1310-VLOOKUP(AM$38,$A$2:$N$12,14,FALSE)&lt;0,AP1310-VLOOKUP(AM$38,$A$2:$N$12,14,FALSE)," ")," ")</f>
        <v xml:space="preserve"> </v>
      </c>
      <c r="AR1310" s="34" t="str">
        <f t="shared" ref="AR1310" si="5606">IFERROR(IF(AP1310-VLOOKUP(AM$38,$A$2:$N$12,14,FALSE)&gt;0,AP1310-VLOOKUP(AM$38,$A$2:$N$12,14,FALSE)," ")," ")</f>
        <v xml:space="preserve"> </v>
      </c>
      <c r="AS1310" s="34">
        <f t="shared" ref="AS1310" si="5607">$M$6</f>
        <v>0</v>
      </c>
      <c r="AT1310" s="34">
        <v>-1</v>
      </c>
      <c r="AU1310" s="34">
        <f t="shared" ref="AU1310" si="5608">-SUMPRODUCT($M$2:$M$5,$N$2:$N$5)-SUMPRODUCT($M$7:$M$12,$N$7:$N$12)</f>
        <v>-120000</v>
      </c>
      <c r="AV1310" s="34" t="e">
        <f t="shared" ref="AV1310" si="5609">IF(AS1310&lt;&gt;AS1311,MMULT(MINVERSE(AS1310:AT1311),AU1310:AU1311)," ")</f>
        <v>#NUM!</v>
      </c>
      <c r="AW1310" s="34" t="str">
        <f t="shared" ref="AW1310" si="5610">IFERROR(IF(AV1310-VLOOKUP(AS$38,$A$2:$N$12,14,FALSE)&lt;0,AV1310-VLOOKUP(AS$38,$A$2:$N$12,14,FALSE)," ")," ")</f>
        <v xml:space="preserve"> </v>
      </c>
      <c r="AX1310" s="34" t="str">
        <f t="shared" ref="AX1310" si="5611">IFERROR(IF(AV1310-VLOOKUP(AS$38,$A$2:$N$12,14,FALSE)&gt;0,AV1310-VLOOKUP(AS$38,$A$2:$N$12,14,FALSE)," ")," ")</f>
        <v xml:space="preserve"> </v>
      </c>
      <c r="AY1310" s="34">
        <f t="shared" ref="AY1310" si="5612">$M$7</f>
        <v>0</v>
      </c>
      <c r="AZ1310" s="34">
        <v>-1</v>
      </c>
      <c r="BA1310" s="34">
        <f t="shared" ref="BA1310" si="5613">-SUMPRODUCT($M$2:$M$6,$N$2:$N$6)-SUMPRODUCT($M$8:$M$12,$N$8:$N$12)</f>
        <v>-120000</v>
      </c>
      <c r="BB1310" s="34" t="e">
        <f t="shared" ref="BB1310" si="5614">IF(AY1310&lt;&gt;AY1311,MMULT(MINVERSE(AY1310:AZ1311),BA1310:BA1311)," ")</f>
        <v>#NUM!</v>
      </c>
      <c r="BC1310" s="34" t="str">
        <f t="shared" ref="BC1310" si="5615">IFERROR(IF(BB1310-VLOOKUP(AY$38,$A$2:$N$12,14,FALSE)&lt;0,BB1310-VLOOKUP(AY$38,$A$2:$N$12,14,FALSE)," ")," ")</f>
        <v xml:space="preserve"> </v>
      </c>
      <c r="BD1310" s="34" t="str">
        <f t="shared" ref="BD1310" si="5616">IFERROR(IF(BB1310-VLOOKUP(AY$38,$A$2:$N$12,14,FALSE)&gt;0,BB1310-VLOOKUP(AY$38,$A$2:$N$12,14,FALSE)," ")," ")</f>
        <v xml:space="preserve"> </v>
      </c>
      <c r="BE1310" s="34">
        <f t="shared" ref="BE1310" si="5617">$M$8</f>
        <v>0</v>
      </c>
      <c r="BF1310" s="34">
        <v>-1</v>
      </c>
      <c r="BG1310" s="34">
        <f t="shared" ref="BG1310" si="5618">-SUMPRODUCT($M$2:$M$7,$N$2:$N$7)-SUMPRODUCT($M$9:$M$12,$N$9:$N$12)</f>
        <v>-120000</v>
      </c>
      <c r="BH1310" s="34" t="e">
        <f t="shared" ref="BH1310" si="5619">IF(BE1310&lt;&gt;BE1311,MMULT(MINVERSE(BE1310:BF1311),BG1310:BG1311)," ")</f>
        <v>#NUM!</v>
      </c>
      <c r="BI1310" s="34" t="str">
        <f t="shared" ref="BI1310" si="5620">IFERROR(IF(BH1310-VLOOKUP(BE$38,$A$2:$N$12,14,FALSE)&lt;0,BH1310-VLOOKUP(BE$38,$A$2:$N$12,14,FALSE)," ")," ")</f>
        <v xml:space="preserve"> </v>
      </c>
      <c r="BJ1310" s="34" t="str">
        <f t="shared" ref="BJ1310" si="5621">IFERROR(IF(BH1310-VLOOKUP(BE$38,$A$2:$N$12,14,FALSE)&gt;0,BH1310-VLOOKUP(BE$38,$A$2:$N$12,14,FALSE)," ")," ")</f>
        <v xml:space="preserve"> </v>
      </c>
      <c r="BK1310" s="34">
        <f t="shared" ref="BK1310" si="5622">$M$9</f>
        <v>0</v>
      </c>
      <c r="BL1310" s="34">
        <v>-1</v>
      </c>
      <c r="BM1310" s="34">
        <f t="shared" ref="BM1310" si="5623">-SUMPRODUCT($M$2:$M$8,$N$2:$N$8)-SUMPRODUCT($M$10:$M$12,$N$10:$N$12)</f>
        <v>-120000</v>
      </c>
      <c r="BN1310" s="34" t="e">
        <f t="shared" ref="BN1310" si="5624">IF(BK1310&lt;&gt;BK1311,MMULT(MINVERSE(BK1310:BL1311),BM1310:BM1311)," ")</f>
        <v>#NUM!</v>
      </c>
      <c r="BO1310" s="34" t="str">
        <f t="shared" ref="BO1310" si="5625">IFERROR(IF(BN1310-VLOOKUP(BK$38,$A$2:$N$12,14,FALSE)&lt;0,BN1310-VLOOKUP(BK$38,$A$2:$N$12,14,FALSE)," ")," ")</f>
        <v xml:space="preserve"> </v>
      </c>
      <c r="BP1310" s="34" t="str">
        <f t="shared" ref="BP1310" si="5626">IFERROR(IF(BN1310-VLOOKUP(BK$38,$A$2:$N$12,14,FALSE)&gt;0,BN1310-VLOOKUP(BK$38,$A$2:$N$12,14,FALSE)," ")," ")</f>
        <v xml:space="preserve"> </v>
      </c>
      <c r="BQ1310" s="34">
        <f t="shared" ref="BQ1310" si="5627">$M$10</f>
        <v>0</v>
      </c>
      <c r="BR1310" s="34">
        <v>-1</v>
      </c>
      <c r="BS1310" s="34">
        <f t="shared" ref="BS1310" si="5628">-SUMPRODUCT($M$2:$M$9,$N$2:$N$9)-SUMPRODUCT($M$11:$M$12,$N$11:$N$12)</f>
        <v>-120000</v>
      </c>
      <c r="BT1310" s="34" t="e">
        <f t="shared" ref="BT1310" si="5629">IF(BQ1310&lt;&gt;BQ1311,MMULT(MINVERSE(BQ1310:BR1311),BS1310:BS1311)," ")</f>
        <v>#NUM!</v>
      </c>
      <c r="BU1310" s="34" t="str">
        <f t="shared" ref="BU1310" si="5630">IFERROR(IF(BT1310-VLOOKUP(BQ$38,$A$2:$N$12,14,FALSE)&lt;0,BT1310-VLOOKUP(BQ$38,$A$2:$N$12,14,FALSE)," ")," ")</f>
        <v xml:space="preserve"> </v>
      </c>
      <c r="BV1310" s="34" t="str">
        <f t="shared" ref="BV1310" si="5631">IFERROR(IF(BT1310-VLOOKUP(BQ$38,$A$2:$N$12,14,FALSE)&gt;0,BT1310-VLOOKUP(BQ$38,$A$2:$N$12,14,FALSE)," ")," ")</f>
        <v xml:space="preserve"> </v>
      </c>
      <c r="BW1310" s="34">
        <f t="shared" ref="BW1310" si="5632">$M$11</f>
        <v>0</v>
      </c>
      <c r="BX1310" s="34">
        <v>-1</v>
      </c>
      <c r="BY1310" s="34">
        <f t="shared" ref="BY1310" si="5633">-SUMPRODUCT($M$2:$M$10,$N$2:$N$10)-SUMPRODUCT($M$12,$N$12)</f>
        <v>-120000</v>
      </c>
      <c r="BZ1310" s="34" t="e">
        <f t="shared" ref="BZ1310" si="5634">IF(BW1310&lt;&gt;BW1311,MMULT(MINVERSE(BW1310:BX1311),BY1310:BY1311)," ")</f>
        <v>#NUM!</v>
      </c>
      <c r="CA1310" s="34" t="str">
        <f t="shared" ref="CA1310" si="5635">IFERROR(IF(BZ1310-VLOOKUP(BW$38,$A$2:$N$12,14,FALSE)&lt;0,BZ1310-VLOOKUP(BW$38,$A$2:$N$12,14,FALSE)," ")," ")</f>
        <v xml:space="preserve"> </v>
      </c>
      <c r="CB1310" s="34" t="str">
        <f t="shared" ref="CB1310" si="5636">IFERROR(IF(BZ1310-VLOOKUP(BW$38,$A$2:$N$12,14,FALSE)&gt;0,BZ1310-VLOOKUP(BW$38,$A$2:$N$12,14,FALSE)," ")," ")</f>
        <v xml:space="preserve"> </v>
      </c>
      <c r="CC1310" s="34">
        <f t="shared" ref="CC1310" si="5637">$M$12</f>
        <v>0</v>
      </c>
      <c r="CD1310" s="34">
        <v>-1</v>
      </c>
      <c r="CE1310" s="34">
        <f t="shared" ref="CE1310" si="5638">-SUMPRODUCT($M$2:$M$11,$N$2:$N$11)</f>
        <v>-120000</v>
      </c>
      <c r="CF1310" s="34" t="e">
        <f t="shared" ref="CF1310" si="5639">IF(CC1310&lt;&gt;CC1311,MMULT(MINVERSE(CC1310:CD1311),CE1310:CE1311)," ")</f>
        <v>#NUM!</v>
      </c>
      <c r="CG1310" s="34" t="str">
        <f t="shared" ref="CG1310" si="5640">IFERROR(IF(CF1310-VLOOKUP(CC$38,$A$2:$N$12,14,FALSE)&lt;0,CF1310-VLOOKUP(CC$38,$A$2:$N$12,14,FALSE)," ")," ")</f>
        <v xml:space="preserve"> </v>
      </c>
      <c r="CH1310" s="34" t="str">
        <f t="shared" ref="CH1310" si="5641">IFERROR(IF(CF1310-VLOOKUP(CC$38,$A$2:$N$12,14,FALSE)&gt;0,CF1310-VLOOKUP(CC$38,$A$2:$N$12,14,FALSE)," ")," ")</f>
        <v xml:space="preserve"> </v>
      </c>
      <c r="CI1310" s="8"/>
    </row>
    <row r="1311" spans="1:87" x14ac:dyDescent="0.2">
      <c r="A1311" s="8" t="str">
        <f>IF(AND(COUNTIF(W$3:W$13,A$16)&gt;0,A$16&lt;&gt;B1308),A$16,IFERROR(IF(MATCH(A$16,Z$3:Z$13,0)=1,A$16," ")," "))</f>
        <v xml:space="preserve"> </v>
      </c>
      <c r="B1311" s="8" t="str">
        <f>IF(A1311=" "," ",MAX(B1310:B1310)+1)</f>
        <v xml:space="preserve"> </v>
      </c>
      <c r="C1311" s="8" t="str">
        <f>IFERROR(INDEX(A1310:A1331,MATCH(SMALL(B1310:B1331,2),B1310:B1331,0),1)," ")</f>
        <v>C3</v>
      </c>
      <c r="D1311" s="8">
        <f t="shared" ref="D1311:D1320" si="5642">IFERROR(VLOOKUP($C1311,$A$15:$O$36,2,FALSE)," ")</f>
        <v>2</v>
      </c>
      <c r="E1311" s="8">
        <f t="shared" ref="E1311:E1320" si="5643">IFERROR(VLOOKUP($C1311,$A$15:$O$36,3,FALSE)," ")</f>
        <v>5</v>
      </c>
      <c r="F1311" s="8">
        <f t="shared" ref="F1311:F1320" si="5644">IFERROR(VLOOKUP($C1311,$A$15:$O$36,4,FALSE)," ")</f>
        <v>6</v>
      </c>
      <c r="G1311" s="8">
        <f t="shared" ref="G1311:G1320" si="5645">IFERROR(VLOOKUP($C1311,$A$15:$O$36,5,FALSE)," ")</f>
        <v>0</v>
      </c>
      <c r="H1311" s="8">
        <f t="shared" ref="H1311:H1320" si="5646">IFERROR(VLOOKUP($C1311,$A$15:$O$36,6,FALSE)," ")</f>
        <v>0</v>
      </c>
      <c r="I1311" s="8">
        <f t="shared" ref="I1311:I1320" si="5647">IFERROR(VLOOKUP($C1311,$A$15:$O$36,7,FALSE)," ")</f>
        <v>0</v>
      </c>
      <c r="J1311" s="8">
        <f t="shared" ref="J1311:J1320" si="5648">IFERROR(VLOOKUP($C1311,$A$15:$O$36,8,FALSE)," ")</f>
        <v>0</v>
      </c>
      <c r="K1311" s="8">
        <f t="shared" ref="K1311:K1320" si="5649">IFERROR(VLOOKUP($C1311,$A$15:$O$36,9,FALSE)," ")</f>
        <v>0</v>
      </c>
      <c r="L1311" s="8">
        <f t="shared" ref="L1311:L1320" si="5650">IFERROR(VLOOKUP($C1311,$A$15:$O$36,10,FALSE)," ")</f>
        <v>0</v>
      </c>
      <c r="M1311" s="8">
        <f t="shared" ref="M1311:M1320" si="5651">IFERROR(VLOOKUP($C1311,$A$15:$O$36,11,FALSE)," ")</f>
        <v>0</v>
      </c>
      <c r="N1311" s="8">
        <f t="shared" ref="N1311:N1320" si="5652">IFERROR(VLOOKUP($C1311,$A$15:$O$36,12,FALSE)," ")</f>
        <v>0</v>
      </c>
      <c r="O1311" s="8">
        <f t="shared" ref="O1311:O1320" si="5653">IFERROR(VLOOKUP($C1311,$A$15:$O$36,15,FALSE)," ")</f>
        <v>2000</v>
      </c>
      <c r="P1311" s="8" t="e">
        <v>#NUM!</v>
      </c>
      <c r="Q1311" s="8" t="e">
        <f t="shared" ref="Q1311" si="5654">IF(COUNTIF(P1310:P1320,"&lt;"&amp;-0.001)=0,IF(ABS(P1311)&lt;0.001,0,P1311)," ")</f>
        <v>#NUM!</v>
      </c>
      <c r="R1311" s="8"/>
      <c r="S1311" s="8"/>
      <c r="U1311" s="34" t="e">
        <f t="shared" ref="U1311" si="5655">$Q1310</f>
        <v>#NUM!</v>
      </c>
      <c r="V1311" s="34">
        <v>-1</v>
      </c>
      <c r="W1311" s="34" t="e">
        <f t="shared" ref="W1311" si="5656">-SUMPRODUCT($Q1311:$Q1320,$N$3:$N$12)</f>
        <v>#NUM!</v>
      </c>
      <c r="X1311" s="34"/>
      <c r="Y1311" s="34"/>
      <c r="Z1311" s="34"/>
      <c r="AA1311" s="34" t="e">
        <f t="shared" ref="AA1311" si="5657">$Q1311</f>
        <v>#NUM!</v>
      </c>
      <c r="AB1311" s="34">
        <v>-1</v>
      </c>
      <c r="AC1311" s="34" t="e">
        <f t="shared" ref="AC1311" si="5658">-SUMPRODUCT($Q1310:$Q1310,$N$2:$N$2)-SUMPRODUCT($Q1312:$Q1320,$N$4:$N$12)</f>
        <v>#NUM!</v>
      </c>
      <c r="AD1311" s="34"/>
      <c r="AE1311" s="34"/>
      <c r="AF1311" s="34"/>
      <c r="AG1311" s="34" t="e">
        <f t="shared" ref="AG1311" si="5659">$Q1312</f>
        <v>#NUM!</v>
      </c>
      <c r="AH1311" s="34">
        <v>-1</v>
      </c>
      <c r="AI1311" s="34" t="e">
        <f t="shared" ref="AI1311" si="5660">-SUMPRODUCT($Q1310:$Q1311,$N$2:$N$3)-SUMPRODUCT($Q1313:$Q1320,$N$5:$N$12)</f>
        <v>#NUM!</v>
      </c>
      <c r="AJ1311" s="34"/>
      <c r="AK1311" s="34"/>
      <c r="AL1311" s="34"/>
      <c r="AM1311" s="34" t="e">
        <f t="shared" ref="AM1311" si="5661">$Q1313</f>
        <v>#NUM!</v>
      </c>
      <c r="AN1311" s="34">
        <v>-1</v>
      </c>
      <c r="AO1311" s="34" t="e">
        <f t="shared" ref="AO1311" si="5662">-SUMPRODUCT($Q1310:$Q1312,$N$2:$N$4)-SUMPRODUCT($Q1314:$Q1320,$N$6:$N$12)</f>
        <v>#NUM!</v>
      </c>
      <c r="AP1311" s="34"/>
      <c r="AQ1311" s="34"/>
      <c r="AR1311" s="34"/>
      <c r="AS1311" s="34" t="e">
        <f t="shared" ref="AS1311" si="5663">$Q1314</f>
        <v>#NUM!</v>
      </c>
      <c r="AT1311" s="34">
        <v>-1</v>
      </c>
      <c r="AU1311" s="34" t="e">
        <f t="shared" ref="AU1311" si="5664">-SUMPRODUCT($Q1310:$Q1313,$N$2:$N$5)-SUMPRODUCT($Q1315:$Q1320,$N$7:$N$12)</f>
        <v>#NUM!</v>
      </c>
      <c r="AV1311" s="34"/>
      <c r="AW1311" s="34"/>
      <c r="AX1311" s="34"/>
      <c r="AY1311" s="34" t="e">
        <f t="shared" ref="AY1311" si="5665">$Q1315</f>
        <v>#NUM!</v>
      </c>
      <c r="AZ1311" s="34">
        <v>-1</v>
      </c>
      <c r="BA1311" s="34" t="e">
        <f t="shared" ref="BA1311" si="5666">-SUMPRODUCT($Q1310:$Q1314,$N$2:$N$6)-SUMPRODUCT($Q1316:$Q1320,$N$8:$N$12)</f>
        <v>#NUM!</v>
      </c>
      <c r="BB1311" s="34"/>
      <c r="BC1311" s="34"/>
      <c r="BD1311" s="34"/>
      <c r="BE1311" s="34" t="e">
        <f t="shared" ref="BE1311" si="5667">$Q1316</f>
        <v>#NUM!</v>
      </c>
      <c r="BF1311" s="34">
        <v>-1</v>
      </c>
      <c r="BG1311" s="34" t="e">
        <f t="shared" ref="BG1311" si="5668">-SUMPRODUCT($Q1310:$Q1315,$N$2:$N$7)-SUMPRODUCT($Q1317:$Q1320,$N$9:$N$12)</f>
        <v>#NUM!</v>
      </c>
      <c r="BH1311" s="34"/>
      <c r="BI1311" s="34"/>
      <c r="BJ1311" s="34"/>
      <c r="BK1311" s="34" t="e">
        <f t="shared" ref="BK1311" si="5669">$Q1317</f>
        <v>#NUM!</v>
      </c>
      <c r="BL1311" s="34">
        <v>-1</v>
      </c>
      <c r="BM1311" s="34" t="e">
        <f t="shared" ref="BM1311" si="5670">-SUMPRODUCT($Q1310:$Q1316,$N$2:$N$8)-SUMPRODUCT($Q1318:$Q1320,$N$10:$N$12)</f>
        <v>#NUM!</v>
      </c>
      <c r="BN1311" s="34"/>
      <c r="BO1311" s="34"/>
      <c r="BP1311" s="34"/>
      <c r="BQ1311" s="34" t="e">
        <f t="shared" ref="BQ1311" si="5671">$Q1318</f>
        <v>#NUM!</v>
      </c>
      <c r="BR1311" s="34">
        <v>-1</v>
      </c>
      <c r="BS1311" s="34" t="e">
        <f t="shared" ref="BS1311" si="5672">-SUMPRODUCT($Q1310:$Q1317,$N$2:$N$9)-SUMPRODUCT($Q1319:$Q1320,$N$11:$N$12)</f>
        <v>#NUM!</v>
      </c>
      <c r="BT1311" s="34"/>
      <c r="BU1311" s="34"/>
      <c r="BV1311" s="34"/>
      <c r="BW1311" s="34" t="e">
        <f t="shared" ref="BW1311" si="5673">$Q1319</f>
        <v>#NUM!</v>
      </c>
      <c r="BX1311" s="34">
        <v>-1</v>
      </c>
      <c r="BY1311" s="34" t="e">
        <f t="shared" ref="BY1311" si="5674">-SUMPRODUCT($Q1310:$Q1318,$N$2:$N$10)-SUMPRODUCT($Q1320,$N$12)</f>
        <v>#NUM!</v>
      </c>
      <c r="BZ1311" s="34"/>
      <c r="CA1311" s="34"/>
      <c r="CB1311" s="34"/>
      <c r="CC1311" s="34" t="e">
        <f t="shared" ref="CC1311" si="5675">$Q1320</f>
        <v>#NUM!</v>
      </c>
      <c r="CD1311" s="34">
        <v>-1</v>
      </c>
      <c r="CE1311" s="34" t="e">
        <f t="shared" ref="CE1311" si="5676">-SUMPRODUCT($Q1310:$Q1319,$N$2:$N$11)</f>
        <v>#NUM!</v>
      </c>
      <c r="CF1311" s="34"/>
      <c r="CG1311" s="34"/>
      <c r="CH1311" s="34"/>
      <c r="CI1311" s="8"/>
    </row>
    <row r="1312" spans="1:87" x14ac:dyDescent="0.2">
      <c r="A1312" s="8" t="str">
        <f>IF(AND(COUNTIF(W$3:W$13,A$17)&gt;0,A$17&lt;&gt;B1308),A$17,IFERROR(IF(MATCH(A$17,Z$3:Z$13,0)=1,A$17," ")," "))</f>
        <v>C3</v>
      </c>
      <c r="B1312" s="8">
        <f>IF(A1312=" "," ",MAX(B1310:B1311)+1)</f>
        <v>2</v>
      </c>
      <c r="C1312" s="8" t="str">
        <f>IFERROR(INDEX(A1310:A1331,MATCH(SMALL(B1310:B1331,3),B1310:B1331,0),1)," ")</f>
        <v>C4</v>
      </c>
      <c r="D1312" s="8">
        <f t="shared" si="5642"/>
        <v>1</v>
      </c>
      <c r="E1312" s="8">
        <f t="shared" si="5643"/>
        <v>0</v>
      </c>
      <c r="F1312" s="8">
        <f t="shared" si="5644"/>
        <v>1</v>
      </c>
      <c r="G1312" s="8">
        <f t="shared" si="5645"/>
        <v>0</v>
      </c>
      <c r="H1312" s="8">
        <f t="shared" si="5646"/>
        <v>0</v>
      </c>
      <c r="I1312" s="8">
        <f t="shared" si="5647"/>
        <v>0</v>
      </c>
      <c r="J1312" s="8">
        <f t="shared" si="5648"/>
        <v>0</v>
      </c>
      <c r="K1312" s="8">
        <f t="shared" si="5649"/>
        <v>0</v>
      </c>
      <c r="L1312" s="8">
        <f t="shared" si="5650"/>
        <v>0</v>
      </c>
      <c r="M1312" s="8">
        <f t="shared" si="5651"/>
        <v>0</v>
      </c>
      <c r="N1312" s="8">
        <f t="shared" si="5652"/>
        <v>0</v>
      </c>
      <c r="O1312" s="8">
        <f t="shared" si="5653"/>
        <v>400</v>
      </c>
      <c r="P1312" s="8" t="e">
        <v>#NUM!</v>
      </c>
      <c r="Q1312" s="8" t="e">
        <f t="shared" ref="Q1312" si="5677">IF(COUNTIF(P1310:P1320,"&lt;"&amp;-0.001)=0,IF(ABS(P1312)&lt;0.001,0,P1312)," ")</f>
        <v>#NUM!</v>
      </c>
      <c r="R1312" s="8"/>
      <c r="S1312" s="8"/>
      <c r="U1312" s="34"/>
      <c r="V1312" s="34"/>
      <c r="W1312" s="34"/>
      <c r="X1312" s="34"/>
      <c r="Y1312" s="34"/>
      <c r="Z1312" s="34"/>
      <c r="AA1312" s="34"/>
      <c r="AB1312" s="34"/>
      <c r="AC1312" s="34"/>
      <c r="AD1312" s="34"/>
      <c r="AE1312" s="34"/>
      <c r="AF1312" s="34"/>
      <c r="AG1312" s="34"/>
      <c r="AH1312" s="34"/>
      <c r="AI1312" s="34"/>
      <c r="AJ1312" s="34"/>
      <c r="AK1312" s="34"/>
      <c r="AL1312" s="34"/>
      <c r="AM1312" s="34"/>
      <c r="AN1312" s="34"/>
      <c r="AO1312" s="34"/>
      <c r="AP1312" s="34"/>
      <c r="AQ1312" s="34"/>
      <c r="AR1312" s="34"/>
      <c r="AS1312" s="34"/>
      <c r="AT1312" s="34"/>
      <c r="AU1312" s="34"/>
      <c r="AV1312" s="34"/>
      <c r="AW1312" s="34"/>
      <c r="AX1312" s="34"/>
      <c r="AY1312" s="34"/>
      <c r="AZ1312" s="34"/>
      <c r="BA1312" s="34"/>
      <c r="BB1312" s="34"/>
      <c r="BC1312" s="34"/>
      <c r="BD1312" s="34"/>
      <c r="BE1312" s="34"/>
      <c r="BF1312" s="34"/>
      <c r="BG1312" s="34"/>
      <c r="BH1312" s="34"/>
      <c r="BI1312" s="34"/>
      <c r="BJ1312" s="34"/>
      <c r="BK1312" s="34"/>
      <c r="BL1312" s="34"/>
      <c r="BM1312" s="34"/>
      <c r="BN1312" s="34"/>
      <c r="BO1312" s="34"/>
      <c r="BP1312" s="34"/>
      <c r="BQ1312" s="34"/>
      <c r="BR1312" s="34"/>
      <c r="BS1312" s="34"/>
      <c r="BT1312" s="34"/>
      <c r="BU1312" s="34"/>
      <c r="BV1312" s="34"/>
      <c r="BW1312" s="34"/>
      <c r="BX1312" s="34"/>
      <c r="BY1312" s="34"/>
      <c r="BZ1312" s="34"/>
      <c r="CA1312" s="34"/>
      <c r="CB1312" s="34"/>
      <c r="CC1312" s="34"/>
      <c r="CD1312" s="34"/>
      <c r="CE1312" s="34"/>
      <c r="CF1312" s="34"/>
      <c r="CG1312" s="34"/>
      <c r="CH1312" s="34"/>
      <c r="CI1312" s="8"/>
    </row>
    <row r="1313" spans="1:87" x14ac:dyDescent="0.2">
      <c r="A1313" s="8" t="str">
        <f>IF(AND(COUNTIF(W$3:W$13,A$18)&gt;0,A$18&lt;&gt;B1308),A$18,IFERROR(IF(MATCH(A$18,Z$3:Z$13,0)=1,A$18," ")," "))</f>
        <v>C4</v>
      </c>
      <c r="B1313" s="8">
        <f>IF(A1313=" "," ",MAX(B1310:B1312)+1)</f>
        <v>3</v>
      </c>
      <c r="C1313" s="8" t="str">
        <f>IFERROR(INDEX(A1310:A1331,MATCH(SMALL(B1310:B1331,4),B1310:B1331,0),1)," ")</f>
        <v>C13</v>
      </c>
      <c r="D1313" s="8">
        <f t="shared" si="5642"/>
        <v>0</v>
      </c>
      <c r="E1313" s="8">
        <f t="shared" si="5643"/>
        <v>1</v>
      </c>
      <c r="F1313" s="8">
        <f t="shared" si="5644"/>
        <v>0</v>
      </c>
      <c r="G1313" s="8">
        <f t="shared" si="5645"/>
        <v>0</v>
      </c>
      <c r="H1313" s="8">
        <f t="shared" si="5646"/>
        <v>0</v>
      </c>
      <c r="I1313" s="8">
        <f t="shared" si="5647"/>
        <v>0</v>
      </c>
      <c r="J1313" s="8">
        <f t="shared" si="5648"/>
        <v>0</v>
      </c>
      <c r="K1313" s="8">
        <f t="shared" si="5649"/>
        <v>0</v>
      </c>
      <c r="L1313" s="8">
        <f t="shared" si="5650"/>
        <v>0</v>
      </c>
      <c r="M1313" s="8">
        <f t="shared" si="5651"/>
        <v>0</v>
      </c>
      <c r="N1313" s="8">
        <f t="shared" si="5652"/>
        <v>0</v>
      </c>
      <c r="O1313" s="8">
        <f t="shared" si="5653"/>
        <v>0</v>
      </c>
      <c r="P1313" s="8" t="e">
        <v>#NUM!</v>
      </c>
      <c r="Q1313" s="8" t="e">
        <f t="shared" ref="Q1313" si="5678">IF(COUNTIF(P1310:P1320,"&lt;"&amp;-0.001)=0,IF(ABS(P1313)&lt;0.001,0,P1313)," ")</f>
        <v>#NUM!</v>
      </c>
      <c r="R1313" s="8"/>
      <c r="S1313" s="8"/>
      <c r="U1313" s="34"/>
      <c r="V1313" s="34"/>
      <c r="W1313" s="34"/>
      <c r="X1313" s="34"/>
      <c r="Y1313" s="34"/>
      <c r="Z1313" s="34"/>
      <c r="AA1313" s="34"/>
      <c r="AB1313" s="34"/>
      <c r="AC1313" s="34"/>
      <c r="AD1313" s="34"/>
      <c r="AE1313" s="34"/>
      <c r="AF1313" s="34"/>
      <c r="AG1313" s="34"/>
      <c r="AH1313" s="34"/>
      <c r="AI1313" s="34"/>
      <c r="AJ1313" s="34"/>
      <c r="AK1313" s="34"/>
      <c r="AL1313" s="34"/>
      <c r="AM1313" s="34"/>
      <c r="AN1313" s="34"/>
      <c r="AO1313" s="34"/>
      <c r="AP1313" s="34"/>
      <c r="AQ1313" s="34"/>
      <c r="AR1313" s="34"/>
      <c r="AS1313" s="34"/>
      <c r="AT1313" s="34"/>
      <c r="AU1313" s="34"/>
      <c r="AV1313" s="34"/>
      <c r="AW1313" s="34"/>
      <c r="AX1313" s="34"/>
      <c r="AY1313" s="34"/>
      <c r="AZ1313" s="34"/>
      <c r="BA1313" s="34"/>
      <c r="BB1313" s="34"/>
      <c r="BC1313" s="34"/>
      <c r="BD1313" s="34"/>
      <c r="BE1313" s="34"/>
      <c r="BF1313" s="34"/>
      <c r="BG1313" s="34"/>
      <c r="BH1313" s="34"/>
      <c r="BI1313" s="34"/>
      <c r="BJ1313" s="34"/>
      <c r="BK1313" s="34"/>
      <c r="BL1313" s="34"/>
      <c r="BM1313" s="34"/>
      <c r="BN1313" s="34"/>
      <c r="BO1313" s="34"/>
      <c r="BP1313" s="34"/>
      <c r="BQ1313" s="34"/>
      <c r="BR1313" s="34"/>
      <c r="BS1313" s="34"/>
      <c r="BT1313" s="34"/>
      <c r="BU1313" s="34"/>
      <c r="BV1313" s="34"/>
      <c r="BW1313" s="34"/>
      <c r="BX1313" s="34"/>
      <c r="BY1313" s="34"/>
      <c r="BZ1313" s="34"/>
      <c r="CA1313" s="34"/>
      <c r="CB1313" s="34"/>
      <c r="CC1313" s="34"/>
      <c r="CD1313" s="34"/>
      <c r="CE1313" s="34"/>
      <c r="CF1313" s="34"/>
      <c r="CG1313" s="34"/>
      <c r="CH1313" s="34"/>
      <c r="CI1313" s="8"/>
    </row>
    <row r="1314" spans="1:87" x14ac:dyDescent="0.2">
      <c r="A1314" s="8" t="str">
        <f>IF(AND(COUNTIF(W$3:W$13,A$19)&gt;0,A$19&lt;&gt;B1308),A$19,IFERROR(IF(MATCH(A$19,Z$3:Z$13,0)=1,A$19," ")," "))</f>
        <v xml:space="preserve"> </v>
      </c>
      <c r="B1314" s="8" t="str">
        <f>IF(A1314=" "," ",MAX(B1310:B1313)+1)</f>
        <v xml:space="preserve"> </v>
      </c>
      <c r="C1314" s="8" t="str">
        <f>IFERROR(INDEX(A1310:A1331,MATCH(SMALL(B1310:B1331,5),B1310:B1331,0),1)," ")</f>
        <v>C15</v>
      </c>
      <c r="D1314" s="8">
        <f t="shared" si="5642"/>
        <v>0</v>
      </c>
      <c r="E1314" s="8">
        <f t="shared" si="5643"/>
        <v>0</v>
      </c>
      <c r="F1314" s="8">
        <f t="shared" si="5644"/>
        <v>0</v>
      </c>
      <c r="G1314" s="8">
        <f t="shared" si="5645"/>
        <v>1</v>
      </c>
      <c r="H1314" s="8">
        <f t="shared" si="5646"/>
        <v>0</v>
      </c>
      <c r="I1314" s="8">
        <f t="shared" si="5647"/>
        <v>0</v>
      </c>
      <c r="J1314" s="8">
        <f t="shared" si="5648"/>
        <v>0</v>
      </c>
      <c r="K1314" s="8">
        <f t="shared" si="5649"/>
        <v>0</v>
      </c>
      <c r="L1314" s="8">
        <f t="shared" si="5650"/>
        <v>0</v>
      </c>
      <c r="M1314" s="8">
        <f t="shared" si="5651"/>
        <v>0</v>
      </c>
      <c r="N1314" s="8">
        <f t="shared" si="5652"/>
        <v>0</v>
      </c>
      <c r="O1314" s="8">
        <f t="shared" si="5653"/>
        <v>0</v>
      </c>
      <c r="P1314" s="8" t="e">
        <v>#NUM!</v>
      </c>
      <c r="Q1314" s="8" t="e">
        <f t="shared" ref="Q1314" si="5679">IF(COUNTIF(P1310:P1320,"&lt;"&amp;-0.001)=0,IF(ABS(P1314)&lt;0.001,0,P1314)," ")</f>
        <v>#NUM!</v>
      </c>
      <c r="R1314" s="8"/>
      <c r="S1314" s="8"/>
      <c r="U1314" s="34"/>
      <c r="V1314" s="34"/>
      <c r="W1314" s="34"/>
      <c r="X1314" s="34"/>
      <c r="Y1314" s="34"/>
      <c r="Z1314" s="34"/>
      <c r="AA1314" s="34"/>
      <c r="AB1314" s="34"/>
      <c r="AC1314" s="34"/>
      <c r="AD1314" s="34"/>
      <c r="AE1314" s="34"/>
      <c r="AF1314" s="34"/>
      <c r="AG1314" s="34"/>
      <c r="AH1314" s="34"/>
      <c r="AI1314" s="34"/>
      <c r="AJ1314" s="34"/>
      <c r="AK1314" s="34"/>
      <c r="AL1314" s="34"/>
      <c r="AM1314" s="34"/>
      <c r="AN1314" s="34"/>
      <c r="AO1314" s="34"/>
      <c r="AP1314" s="34"/>
      <c r="AQ1314" s="34"/>
      <c r="AR1314" s="34"/>
      <c r="AS1314" s="34"/>
      <c r="AT1314" s="34"/>
      <c r="AU1314" s="34"/>
      <c r="AV1314" s="34"/>
      <c r="AW1314" s="34"/>
      <c r="AX1314" s="34"/>
      <c r="AY1314" s="34"/>
      <c r="AZ1314" s="34"/>
      <c r="BA1314" s="34"/>
      <c r="BB1314" s="34"/>
      <c r="BC1314" s="34"/>
      <c r="BD1314" s="34"/>
      <c r="BE1314" s="34"/>
      <c r="BF1314" s="34"/>
      <c r="BG1314" s="34"/>
      <c r="BH1314" s="34"/>
      <c r="BI1314" s="34"/>
      <c r="BJ1314" s="34"/>
      <c r="BK1314" s="34"/>
      <c r="BL1314" s="34"/>
      <c r="BM1314" s="34"/>
      <c r="BN1314" s="34"/>
      <c r="BO1314" s="34"/>
      <c r="BP1314" s="34"/>
      <c r="BQ1314" s="34"/>
      <c r="BR1314" s="34"/>
      <c r="BS1314" s="34"/>
      <c r="BT1314" s="34"/>
      <c r="BU1314" s="34"/>
      <c r="BV1314" s="34"/>
      <c r="BW1314" s="34"/>
      <c r="BX1314" s="34"/>
      <c r="BY1314" s="34"/>
      <c r="BZ1314" s="34"/>
      <c r="CA1314" s="34"/>
      <c r="CB1314" s="34"/>
      <c r="CC1314" s="34"/>
      <c r="CD1314" s="34"/>
      <c r="CE1314" s="34"/>
      <c r="CF1314" s="34"/>
      <c r="CG1314" s="34"/>
      <c r="CH1314" s="34"/>
      <c r="CI1314" s="8"/>
    </row>
    <row r="1315" spans="1:87" x14ac:dyDescent="0.2">
      <c r="A1315" s="8" t="str">
        <f>IF(AND(COUNTIF(W$3:W$13,A$20)&gt;0,A$20&lt;&gt;B1308),A$20,IFERROR(IF(MATCH(A$20,Z$3:Z$13,0)=1,A$20," ")," "))</f>
        <v xml:space="preserve"> </v>
      </c>
      <c r="B1315" s="8" t="str">
        <f>IF(A1315=" "," ",MAX(B1310:B1314)+1)</f>
        <v xml:space="preserve"> </v>
      </c>
      <c r="C1315" s="8" t="str">
        <f>IFERROR(INDEX(A1310:A1331,MATCH(SMALL(B1310:B1331,6),B1310:B1331,0),1)," ")</f>
        <v>C16</v>
      </c>
      <c r="D1315" s="8">
        <f t="shared" si="5642"/>
        <v>0</v>
      </c>
      <c r="E1315" s="8">
        <f t="shared" si="5643"/>
        <v>0</v>
      </c>
      <c r="F1315" s="8">
        <f t="shared" si="5644"/>
        <v>0</v>
      </c>
      <c r="G1315" s="8">
        <f t="shared" si="5645"/>
        <v>0</v>
      </c>
      <c r="H1315" s="8">
        <f t="shared" si="5646"/>
        <v>1</v>
      </c>
      <c r="I1315" s="8">
        <f t="shared" si="5647"/>
        <v>0</v>
      </c>
      <c r="J1315" s="8">
        <f t="shared" si="5648"/>
        <v>0</v>
      </c>
      <c r="K1315" s="8">
        <f t="shared" si="5649"/>
        <v>0</v>
      </c>
      <c r="L1315" s="8">
        <f t="shared" si="5650"/>
        <v>0</v>
      </c>
      <c r="M1315" s="8">
        <f t="shared" si="5651"/>
        <v>0</v>
      </c>
      <c r="N1315" s="8">
        <f t="shared" si="5652"/>
        <v>0</v>
      </c>
      <c r="O1315" s="8">
        <f t="shared" si="5653"/>
        <v>0</v>
      </c>
      <c r="P1315" s="8" t="e">
        <v>#NUM!</v>
      </c>
      <c r="Q1315" s="8" t="e">
        <f t="shared" ref="Q1315" si="5680">IF(COUNTIF(P1310:P1320,"&lt;"&amp;-0.001)=0,IF(ABS(P1315)&lt;0.001,0,P1315)," ")</f>
        <v>#NUM!</v>
      </c>
      <c r="R1315" s="8"/>
      <c r="S1315" s="8"/>
      <c r="U1315" s="34"/>
      <c r="V1315" s="34"/>
      <c r="W1315" s="34"/>
      <c r="X1315" s="34"/>
      <c r="Y1315" s="34"/>
      <c r="Z1315" s="34"/>
      <c r="AA1315" s="34"/>
      <c r="AB1315" s="34"/>
      <c r="AC1315" s="34"/>
      <c r="AD1315" s="34"/>
      <c r="AE1315" s="34"/>
      <c r="AF1315" s="34"/>
      <c r="AG1315" s="34"/>
      <c r="AH1315" s="34"/>
      <c r="AI1315" s="34"/>
      <c r="AJ1315" s="34"/>
      <c r="AK1315" s="34"/>
      <c r="AL1315" s="34"/>
      <c r="AM1315" s="34"/>
      <c r="AN1315" s="34"/>
      <c r="AO1315" s="34"/>
      <c r="AP1315" s="34"/>
      <c r="AQ1315" s="34"/>
      <c r="AR1315" s="34"/>
      <c r="AS1315" s="34"/>
      <c r="AT1315" s="34"/>
      <c r="AU1315" s="34"/>
      <c r="AV1315" s="34"/>
      <c r="AW1315" s="34"/>
      <c r="AX1315" s="34"/>
      <c r="AY1315" s="34"/>
      <c r="AZ1315" s="34"/>
      <c r="BA1315" s="34"/>
      <c r="BB1315" s="34"/>
      <c r="BC1315" s="34"/>
      <c r="BD1315" s="34"/>
      <c r="BE1315" s="34"/>
      <c r="BF1315" s="34"/>
      <c r="BG1315" s="34"/>
      <c r="BH1315" s="34"/>
      <c r="BI1315" s="34"/>
      <c r="BJ1315" s="34"/>
      <c r="BK1315" s="34"/>
      <c r="BL1315" s="34"/>
      <c r="BM1315" s="34"/>
      <c r="BN1315" s="34"/>
      <c r="BO1315" s="34"/>
      <c r="BP1315" s="34"/>
      <c r="BQ1315" s="34"/>
      <c r="BR1315" s="34"/>
      <c r="BS1315" s="34"/>
      <c r="BT1315" s="34"/>
      <c r="BU1315" s="34"/>
      <c r="BV1315" s="34"/>
      <c r="BW1315" s="34"/>
      <c r="BX1315" s="34"/>
      <c r="BY1315" s="34"/>
      <c r="BZ1315" s="34"/>
      <c r="CA1315" s="34"/>
      <c r="CB1315" s="34"/>
      <c r="CC1315" s="34"/>
      <c r="CD1315" s="34"/>
      <c r="CE1315" s="34"/>
      <c r="CF1315" s="34"/>
      <c r="CG1315" s="34"/>
      <c r="CH1315" s="34"/>
      <c r="CI1315" s="8"/>
    </row>
    <row r="1316" spans="1:87" x14ac:dyDescent="0.2">
      <c r="A1316" s="8" t="str">
        <f>IF(AND(COUNTIF(W$3:W$13,A$21)&gt;0,A$21&lt;&gt;B1308),A$21,IFERROR(IF(MATCH(A$21,Z$3:Z$13,0)=1,A$21," ")," "))</f>
        <v xml:space="preserve"> </v>
      </c>
      <c r="B1316" s="8" t="str">
        <f>IF(A1316=" "," ",MAX(B1310:B1315)+1)</f>
        <v xml:space="preserve"> </v>
      </c>
      <c r="C1316" s="8" t="str">
        <f>IFERROR(INDEX(A1310:A1331,MATCH(SMALL(B1310:B1331,7),B1310:B1331,0),1)," ")</f>
        <v>C18</v>
      </c>
      <c r="D1316" s="8">
        <f t="shared" si="5642"/>
        <v>0</v>
      </c>
      <c r="E1316" s="8">
        <f t="shared" si="5643"/>
        <v>0</v>
      </c>
      <c r="F1316" s="8">
        <f t="shared" si="5644"/>
        <v>0</v>
      </c>
      <c r="G1316" s="8">
        <f t="shared" si="5645"/>
        <v>0</v>
      </c>
      <c r="H1316" s="8">
        <f t="shared" si="5646"/>
        <v>0</v>
      </c>
      <c r="I1316" s="8">
        <f t="shared" si="5647"/>
        <v>0</v>
      </c>
      <c r="J1316" s="8">
        <f t="shared" si="5648"/>
        <v>1</v>
      </c>
      <c r="K1316" s="8">
        <f t="shared" si="5649"/>
        <v>0</v>
      </c>
      <c r="L1316" s="8">
        <f t="shared" si="5650"/>
        <v>0</v>
      </c>
      <c r="M1316" s="8">
        <f t="shared" si="5651"/>
        <v>0</v>
      </c>
      <c r="N1316" s="8">
        <f t="shared" si="5652"/>
        <v>0</v>
      </c>
      <c r="O1316" s="8">
        <f t="shared" si="5653"/>
        <v>0</v>
      </c>
      <c r="P1316" s="8" t="e">
        <v>#NUM!</v>
      </c>
      <c r="Q1316" s="8" t="e">
        <f t="shared" ref="Q1316" si="5681">IF(COUNTIF(P1310:P1320,"&lt;"&amp;-0.001)=0,IF(ABS(P1316)&lt;0.001,0,P1316)," ")</f>
        <v>#NUM!</v>
      </c>
      <c r="R1316" s="8"/>
      <c r="S1316" s="8"/>
      <c r="U1316" s="34"/>
      <c r="V1316" s="34"/>
      <c r="W1316" s="34"/>
      <c r="X1316" s="34"/>
      <c r="Y1316" s="34"/>
      <c r="Z1316" s="34"/>
      <c r="AA1316" s="34"/>
      <c r="AB1316" s="34"/>
      <c r="AC1316" s="34"/>
      <c r="AD1316" s="34"/>
      <c r="AE1316" s="34"/>
      <c r="AF1316" s="34"/>
      <c r="AG1316" s="34"/>
      <c r="AH1316" s="34"/>
      <c r="AI1316" s="34"/>
      <c r="AJ1316" s="34"/>
      <c r="AK1316" s="34"/>
      <c r="AL1316" s="34"/>
      <c r="AM1316" s="34"/>
      <c r="AN1316" s="34"/>
      <c r="AO1316" s="34"/>
      <c r="AP1316" s="34"/>
      <c r="AQ1316" s="34"/>
      <c r="AR1316" s="34"/>
      <c r="AS1316" s="34"/>
      <c r="AT1316" s="34"/>
      <c r="AU1316" s="34"/>
      <c r="AV1316" s="34"/>
      <c r="AW1316" s="34"/>
      <c r="AX1316" s="34"/>
      <c r="AY1316" s="34"/>
      <c r="AZ1316" s="34"/>
      <c r="BA1316" s="34"/>
      <c r="BB1316" s="34"/>
      <c r="BC1316" s="34"/>
      <c r="BD1316" s="34"/>
      <c r="BE1316" s="34"/>
      <c r="BF1316" s="34"/>
      <c r="BG1316" s="34"/>
      <c r="BH1316" s="34"/>
      <c r="BI1316" s="34"/>
      <c r="BJ1316" s="34"/>
      <c r="BK1316" s="34"/>
      <c r="BL1316" s="34"/>
      <c r="BM1316" s="34"/>
      <c r="BN1316" s="34"/>
      <c r="BO1316" s="34"/>
      <c r="BP1316" s="34"/>
      <c r="BQ1316" s="34"/>
      <c r="BR1316" s="34"/>
      <c r="BS1316" s="34"/>
      <c r="BT1316" s="34"/>
      <c r="BU1316" s="34"/>
      <c r="BV1316" s="34"/>
      <c r="BW1316" s="34"/>
      <c r="BX1316" s="34"/>
      <c r="BY1316" s="34"/>
      <c r="BZ1316" s="34"/>
      <c r="CA1316" s="34"/>
      <c r="CB1316" s="34"/>
      <c r="CC1316" s="34"/>
      <c r="CD1316" s="34"/>
      <c r="CE1316" s="34"/>
      <c r="CF1316" s="34"/>
      <c r="CG1316" s="34"/>
      <c r="CH1316" s="34"/>
      <c r="CI1316" s="8"/>
    </row>
    <row r="1317" spans="1:87" x14ac:dyDescent="0.2">
      <c r="A1317" s="8" t="str">
        <f>IF(AND(COUNTIF(W$3:W$13,A$22)&gt;0,A$22&lt;&gt;B1308),A$22,IFERROR(IF(MATCH(A$22,Z$3:Z$13,0)=1,A$22," ")," "))</f>
        <v xml:space="preserve"> </v>
      </c>
      <c r="B1317" s="8" t="str">
        <f>IF(A1317=" "," ",MAX(B1310:B1316)+1)</f>
        <v xml:space="preserve"> </v>
      </c>
      <c r="C1317" s="8" t="str">
        <f>IFERROR(INDEX(A1310:A1331,MATCH(SMALL(B1310:B1331,8),B1310:B1331,0),1)," ")</f>
        <v>C19</v>
      </c>
      <c r="D1317" s="8">
        <f t="shared" si="5642"/>
        <v>0</v>
      </c>
      <c r="E1317" s="8">
        <f t="shared" si="5643"/>
        <v>0</v>
      </c>
      <c r="F1317" s="8">
        <f t="shared" si="5644"/>
        <v>0</v>
      </c>
      <c r="G1317" s="8">
        <f t="shared" si="5645"/>
        <v>0</v>
      </c>
      <c r="H1317" s="8">
        <f t="shared" si="5646"/>
        <v>0</v>
      </c>
      <c r="I1317" s="8">
        <f t="shared" si="5647"/>
        <v>0</v>
      </c>
      <c r="J1317" s="8">
        <f t="shared" si="5648"/>
        <v>0</v>
      </c>
      <c r="K1317" s="8">
        <f t="shared" si="5649"/>
        <v>1</v>
      </c>
      <c r="L1317" s="8">
        <f t="shared" si="5650"/>
        <v>0</v>
      </c>
      <c r="M1317" s="8">
        <f t="shared" si="5651"/>
        <v>0</v>
      </c>
      <c r="N1317" s="8">
        <f t="shared" si="5652"/>
        <v>0</v>
      </c>
      <c r="O1317" s="8">
        <f t="shared" si="5653"/>
        <v>0</v>
      </c>
      <c r="P1317" s="8" t="e">
        <v>#NUM!</v>
      </c>
      <c r="Q1317" s="8" t="e">
        <f t="shared" ref="Q1317" si="5682">IF(COUNTIF(P1310:P1320,"&lt;"&amp;-0.001)=0,IF(ABS(P1317)&lt;0.001,0,P1317)," ")</f>
        <v>#NUM!</v>
      </c>
      <c r="R1317" s="8"/>
      <c r="S1317" s="8"/>
      <c r="U1317" s="34"/>
      <c r="V1317" s="34"/>
      <c r="W1317" s="34"/>
      <c r="X1317" s="34"/>
      <c r="Y1317" s="34"/>
      <c r="Z1317" s="34"/>
      <c r="AA1317" s="34"/>
      <c r="AB1317" s="34"/>
      <c r="AC1317" s="34"/>
      <c r="AD1317" s="34"/>
      <c r="AE1317" s="34"/>
      <c r="AF1317" s="34"/>
      <c r="AG1317" s="34"/>
      <c r="AH1317" s="34"/>
      <c r="AI1317" s="34"/>
      <c r="AJ1317" s="34"/>
      <c r="AK1317" s="34"/>
      <c r="AL1317" s="34"/>
      <c r="AM1317" s="34"/>
      <c r="AN1317" s="34"/>
      <c r="AO1317" s="34"/>
      <c r="AP1317" s="34"/>
      <c r="AQ1317" s="34"/>
      <c r="AR1317" s="34"/>
      <c r="AS1317" s="34"/>
      <c r="AT1317" s="34"/>
      <c r="AU1317" s="34"/>
      <c r="AV1317" s="34"/>
      <c r="AW1317" s="34"/>
      <c r="AX1317" s="34"/>
      <c r="AY1317" s="34"/>
      <c r="AZ1317" s="34"/>
      <c r="BA1317" s="34"/>
      <c r="BB1317" s="34"/>
      <c r="BC1317" s="34"/>
      <c r="BD1317" s="34"/>
      <c r="BE1317" s="34"/>
      <c r="BF1317" s="34"/>
      <c r="BG1317" s="34"/>
      <c r="BH1317" s="34"/>
      <c r="BI1317" s="34"/>
      <c r="BJ1317" s="34"/>
      <c r="BK1317" s="34"/>
      <c r="BL1317" s="34"/>
      <c r="BM1317" s="34"/>
      <c r="BN1317" s="34"/>
      <c r="BO1317" s="34"/>
      <c r="BP1317" s="34"/>
      <c r="BQ1317" s="34"/>
      <c r="BR1317" s="34"/>
      <c r="BS1317" s="34"/>
      <c r="BT1317" s="34"/>
      <c r="BU1317" s="34"/>
      <c r="BV1317" s="34"/>
      <c r="BW1317" s="34"/>
      <c r="BX1317" s="34"/>
      <c r="BY1317" s="34"/>
      <c r="BZ1317" s="34"/>
      <c r="CA1317" s="34"/>
      <c r="CB1317" s="34"/>
      <c r="CC1317" s="34"/>
      <c r="CD1317" s="34"/>
      <c r="CE1317" s="34"/>
      <c r="CF1317" s="34"/>
      <c r="CG1317" s="34"/>
      <c r="CH1317" s="34"/>
      <c r="CI1317" s="8"/>
    </row>
    <row r="1318" spans="1:87" x14ac:dyDescent="0.2">
      <c r="A1318" s="8" t="str">
        <f>IF(AND(COUNTIF(W$3:W$13,A$23)&gt;0,A$23&lt;&gt;B1308),A$23,IFERROR(IF(MATCH(A$23,Z$3:Z$13,0)=1,A$23," ")," "))</f>
        <v xml:space="preserve"> </v>
      </c>
      <c r="B1318" s="8" t="str">
        <f>IF(A1318=" "," ",MAX(B1310:B1317)+1)</f>
        <v xml:space="preserve"> </v>
      </c>
      <c r="C1318" s="8" t="str">
        <f>IFERROR(INDEX(A1310:A1331,MATCH(SMALL(B1310:B1331,9),B1310:B1331,0),1)," ")</f>
        <v>C20</v>
      </c>
      <c r="D1318" s="8">
        <f t="shared" si="5642"/>
        <v>0</v>
      </c>
      <c r="E1318" s="8">
        <f t="shared" si="5643"/>
        <v>0</v>
      </c>
      <c r="F1318" s="8">
        <f t="shared" si="5644"/>
        <v>0</v>
      </c>
      <c r="G1318" s="8">
        <f t="shared" si="5645"/>
        <v>0</v>
      </c>
      <c r="H1318" s="8">
        <f t="shared" si="5646"/>
        <v>0</v>
      </c>
      <c r="I1318" s="8">
        <f t="shared" si="5647"/>
        <v>0</v>
      </c>
      <c r="J1318" s="8">
        <f t="shared" si="5648"/>
        <v>0</v>
      </c>
      <c r="K1318" s="8">
        <f t="shared" si="5649"/>
        <v>0</v>
      </c>
      <c r="L1318" s="8">
        <f t="shared" si="5650"/>
        <v>1</v>
      </c>
      <c r="M1318" s="8">
        <f t="shared" si="5651"/>
        <v>0</v>
      </c>
      <c r="N1318" s="8">
        <f t="shared" si="5652"/>
        <v>0</v>
      </c>
      <c r="O1318" s="8">
        <f t="shared" si="5653"/>
        <v>0</v>
      </c>
      <c r="P1318" s="6" t="e">
        <v>#NUM!</v>
      </c>
      <c r="Q1318" s="8" t="e">
        <f t="shared" ref="Q1318" si="5683">IF(COUNTIF(P1310:P1320,"&lt;"&amp;-0.001)=0,IF(ABS(P1318)&lt;0.001,0,P1318)," ")</f>
        <v>#NUM!</v>
      </c>
      <c r="R1318" s="8"/>
      <c r="S1318" s="8"/>
      <c r="U1318" s="34"/>
      <c r="V1318" s="34"/>
      <c r="W1318" s="34"/>
      <c r="X1318" s="34"/>
      <c r="Y1318" s="34"/>
      <c r="Z1318" s="34"/>
      <c r="AA1318" s="34"/>
      <c r="AB1318" s="34"/>
      <c r="AC1318" s="34"/>
      <c r="AD1318" s="34"/>
      <c r="AE1318" s="34"/>
      <c r="AF1318" s="34"/>
      <c r="AG1318" s="34"/>
      <c r="AH1318" s="34"/>
      <c r="AI1318" s="34"/>
      <c r="AJ1318" s="34"/>
      <c r="AK1318" s="34"/>
      <c r="AL1318" s="34"/>
      <c r="AM1318" s="34"/>
      <c r="AN1318" s="34"/>
      <c r="AO1318" s="34"/>
      <c r="AP1318" s="34"/>
      <c r="AQ1318" s="34"/>
      <c r="AR1318" s="34"/>
      <c r="AS1318" s="34"/>
      <c r="AT1318" s="34"/>
      <c r="AU1318" s="34"/>
      <c r="AV1318" s="34"/>
      <c r="AW1318" s="34"/>
      <c r="AX1318" s="34"/>
      <c r="AY1318" s="34"/>
      <c r="AZ1318" s="34"/>
      <c r="BA1318" s="34"/>
      <c r="BB1318" s="34"/>
      <c r="BC1318" s="34"/>
      <c r="BD1318" s="34"/>
      <c r="BE1318" s="34"/>
      <c r="BF1318" s="34"/>
      <c r="BG1318" s="34"/>
      <c r="BH1318" s="34"/>
      <c r="BI1318" s="34"/>
      <c r="BJ1318" s="34"/>
      <c r="BK1318" s="34"/>
      <c r="BL1318" s="34"/>
      <c r="BM1318" s="34"/>
      <c r="BN1318" s="34"/>
      <c r="BO1318" s="34"/>
      <c r="BP1318" s="34"/>
      <c r="BQ1318" s="34"/>
      <c r="BR1318" s="34"/>
      <c r="BS1318" s="34"/>
      <c r="BT1318" s="34"/>
      <c r="BU1318" s="34"/>
      <c r="BV1318" s="34"/>
      <c r="BW1318" s="34"/>
      <c r="BX1318" s="34"/>
      <c r="BY1318" s="34"/>
      <c r="BZ1318" s="34"/>
      <c r="CA1318" s="34"/>
      <c r="CB1318" s="34"/>
      <c r="CC1318" s="34"/>
      <c r="CD1318" s="34"/>
      <c r="CE1318" s="34"/>
      <c r="CF1318" s="34"/>
      <c r="CG1318" s="34"/>
      <c r="CH1318" s="34"/>
      <c r="CI1318" s="8"/>
    </row>
    <row r="1319" spans="1:87" x14ac:dyDescent="0.2">
      <c r="A1319" s="8" t="str">
        <f>IF(AND(COUNTIF(W$3:W$13,A$24)&gt;0,A$24&lt;&gt;B1308),A$24,IFERROR(IF(MATCH(A$24,Z$3:Z$13,0)=1,A$24," ")," "))</f>
        <v xml:space="preserve"> </v>
      </c>
      <c r="B1319" s="8" t="str">
        <f>IF(A1319=" "," ",MAX(B1310:B1318)+1)</f>
        <v xml:space="preserve"> </v>
      </c>
      <c r="C1319" s="8" t="str">
        <f>IFERROR(INDEX(A1310:A1331,MATCH(SMALL(B1310:B1331,10),B1310:B1331,0),1)," ")</f>
        <v>C21</v>
      </c>
      <c r="D1319" s="8">
        <f t="shared" si="5642"/>
        <v>0</v>
      </c>
      <c r="E1319" s="8">
        <f t="shared" si="5643"/>
        <v>0</v>
      </c>
      <c r="F1319" s="8">
        <f t="shared" si="5644"/>
        <v>0</v>
      </c>
      <c r="G1319" s="8">
        <f t="shared" si="5645"/>
        <v>0</v>
      </c>
      <c r="H1319" s="8">
        <f t="shared" si="5646"/>
        <v>0</v>
      </c>
      <c r="I1319" s="8">
        <f t="shared" si="5647"/>
        <v>0</v>
      </c>
      <c r="J1319" s="8">
        <f t="shared" si="5648"/>
        <v>0</v>
      </c>
      <c r="K1319" s="8">
        <f t="shared" si="5649"/>
        <v>0</v>
      </c>
      <c r="L1319" s="8">
        <f t="shared" si="5650"/>
        <v>0</v>
      </c>
      <c r="M1319" s="8">
        <f t="shared" si="5651"/>
        <v>1</v>
      </c>
      <c r="N1319" s="8">
        <f t="shared" si="5652"/>
        <v>0</v>
      </c>
      <c r="O1319" s="8">
        <f t="shared" si="5653"/>
        <v>0</v>
      </c>
      <c r="P1319" s="8" t="e">
        <v>#NUM!</v>
      </c>
      <c r="Q1319" s="8" t="e">
        <f t="shared" ref="Q1319" si="5684">IF(COUNTIF(P1310:P1320,"&lt;"&amp;-0.001)=0,IF(ABS(P1319)&lt;0.001,0,P1319)," ")</f>
        <v>#NUM!</v>
      </c>
      <c r="R1319" s="8"/>
      <c r="S1319" s="8"/>
      <c r="U1319" s="34"/>
      <c r="V1319" s="34"/>
      <c r="W1319" s="34"/>
      <c r="X1319" s="34"/>
      <c r="Y1319" s="34"/>
      <c r="Z1319" s="34"/>
      <c r="AA1319" s="34"/>
      <c r="AB1319" s="34"/>
      <c r="AC1319" s="34"/>
      <c r="AD1319" s="34"/>
      <c r="AE1319" s="34"/>
      <c r="AF1319" s="34"/>
      <c r="AG1319" s="34"/>
      <c r="AH1319" s="34"/>
      <c r="AI1319" s="34"/>
      <c r="AJ1319" s="34"/>
      <c r="AK1319" s="34"/>
      <c r="AL1319" s="34"/>
      <c r="AM1319" s="34"/>
      <c r="AN1319" s="34"/>
      <c r="AO1319" s="34"/>
      <c r="AP1319" s="34"/>
      <c r="AQ1319" s="34"/>
      <c r="AR1319" s="34"/>
      <c r="AS1319" s="34"/>
      <c r="AT1319" s="34"/>
      <c r="AU1319" s="34"/>
      <c r="AV1319" s="34"/>
      <c r="AW1319" s="34"/>
      <c r="AX1319" s="34"/>
      <c r="AY1319" s="34"/>
      <c r="AZ1319" s="34"/>
      <c r="BA1319" s="34"/>
      <c r="BB1319" s="34"/>
      <c r="BC1319" s="34"/>
      <c r="BD1319" s="34"/>
      <c r="BE1319" s="34"/>
      <c r="BF1319" s="34"/>
      <c r="BG1319" s="34"/>
      <c r="BH1319" s="34"/>
      <c r="BI1319" s="34"/>
      <c r="BJ1319" s="34"/>
      <c r="BK1319" s="34"/>
      <c r="BL1319" s="34"/>
      <c r="BM1319" s="34"/>
      <c r="BN1319" s="34"/>
      <c r="BO1319" s="34"/>
      <c r="BP1319" s="34"/>
      <c r="BQ1319" s="34"/>
      <c r="BR1319" s="34"/>
      <c r="BS1319" s="34"/>
      <c r="BT1319" s="34"/>
      <c r="BU1319" s="34"/>
      <c r="BV1319" s="34"/>
      <c r="BW1319" s="34"/>
      <c r="BX1319" s="34"/>
      <c r="BY1319" s="34"/>
      <c r="BZ1319" s="34"/>
      <c r="CA1319" s="34"/>
      <c r="CB1319" s="34"/>
      <c r="CC1319" s="34"/>
      <c r="CD1319" s="34"/>
      <c r="CE1319" s="34"/>
      <c r="CF1319" s="34"/>
      <c r="CG1319" s="34"/>
      <c r="CH1319" s="34"/>
      <c r="CI1319" s="8"/>
    </row>
    <row r="1320" spans="1:87" x14ac:dyDescent="0.2">
      <c r="A1320" s="8" t="str">
        <f>IF(AND(COUNTIF(W$3:W$13,A$25)&gt;0,A$25&lt;&gt;B1308),A$25,IFERROR(IF(MATCH(A$25,Z$3:Z$13,0)=1,A$25," ")," "))</f>
        <v xml:space="preserve"> </v>
      </c>
      <c r="B1320" s="8" t="str">
        <f>IF(A1320=" "," ",MAX(B1310:B1319)+1)</f>
        <v xml:space="preserve"> </v>
      </c>
      <c r="C1320" s="8" t="str">
        <f>IFERROR(INDEX(A1310:A1331,MATCH(SMALL(B1310:B1331,11),B1310:B1331,0),1)," ")</f>
        <v>C22</v>
      </c>
      <c r="D1320" s="8">
        <f t="shared" si="5642"/>
        <v>0</v>
      </c>
      <c r="E1320" s="8">
        <f t="shared" si="5643"/>
        <v>0</v>
      </c>
      <c r="F1320" s="8">
        <f t="shared" si="5644"/>
        <v>0</v>
      </c>
      <c r="G1320" s="8">
        <f t="shared" si="5645"/>
        <v>0</v>
      </c>
      <c r="H1320" s="8">
        <f t="shared" si="5646"/>
        <v>0</v>
      </c>
      <c r="I1320" s="8">
        <f t="shared" si="5647"/>
        <v>0</v>
      </c>
      <c r="J1320" s="8">
        <f t="shared" si="5648"/>
        <v>0</v>
      </c>
      <c r="K1320" s="8">
        <f t="shared" si="5649"/>
        <v>0</v>
      </c>
      <c r="L1320" s="8">
        <f t="shared" si="5650"/>
        <v>0</v>
      </c>
      <c r="M1320" s="8">
        <f t="shared" si="5651"/>
        <v>0</v>
      </c>
      <c r="N1320" s="8">
        <f t="shared" si="5652"/>
        <v>1</v>
      </c>
      <c r="O1320" s="8">
        <f t="shared" si="5653"/>
        <v>0</v>
      </c>
      <c r="P1320" s="8" t="e">
        <v>#NUM!</v>
      </c>
      <c r="Q1320" s="8" t="e">
        <f t="shared" ref="Q1320" si="5685">IF(COUNTIF(P1310:P1320,"&lt;"&amp;-0.001)=0,IF(ABS(P1320)&lt;0.001,0,P1320)," ")</f>
        <v>#NUM!</v>
      </c>
      <c r="R1320" s="8"/>
      <c r="S1320" s="8"/>
      <c r="U1320" s="34"/>
      <c r="V1320" s="34"/>
      <c r="W1320" s="34"/>
      <c r="X1320" s="34"/>
      <c r="Y1320" s="34"/>
      <c r="Z1320" s="34"/>
      <c r="AA1320" s="34"/>
      <c r="AB1320" s="34"/>
      <c r="AC1320" s="34"/>
      <c r="AD1320" s="34"/>
      <c r="AE1320" s="34"/>
      <c r="AF1320" s="34"/>
      <c r="AG1320" s="34"/>
      <c r="AH1320" s="34"/>
      <c r="AI1320" s="34"/>
      <c r="AJ1320" s="34"/>
      <c r="AK1320" s="34"/>
      <c r="AL1320" s="34"/>
      <c r="AM1320" s="34"/>
      <c r="AN1320" s="34"/>
      <c r="AO1320" s="34"/>
      <c r="AP1320" s="34"/>
      <c r="AQ1320" s="34"/>
      <c r="AR1320" s="34"/>
      <c r="AS1320" s="34"/>
      <c r="AT1320" s="34"/>
      <c r="AU1320" s="34"/>
      <c r="AV1320" s="34"/>
      <c r="AW1320" s="34"/>
      <c r="AX1320" s="34"/>
      <c r="AY1320" s="34"/>
      <c r="AZ1320" s="34"/>
      <c r="BA1320" s="34"/>
      <c r="BB1320" s="34"/>
      <c r="BC1320" s="34"/>
      <c r="BD1320" s="34"/>
      <c r="BE1320" s="34"/>
      <c r="BF1320" s="34"/>
      <c r="BG1320" s="34"/>
      <c r="BH1320" s="34"/>
      <c r="BI1320" s="34"/>
      <c r="BJ1320" s="34"/>
      <c r="BK1320" s="34"/>
      <c r="BL1320" s="34"/>
      <c r="BM1320" s="34"/>
      <c r="BN1320" s="34"/>
      <c r="BO1320" s="34"/>
      <c r="BP1320" s="34"/>
      <c r="BQ1320" s="34"/>
      <c r="BR1320" s="34"/>
      <c r="BS1320" s="34"/>
      <c r="BT1320" s="34"/>
      <c r="BU1320" s="34"/>
      <c r="BV1320" s="34"/>
      <c r="BW1320" s="34"/>
      <c r="BX1320" s="34"/>
      <c r="BY1320" s="34"/>
      <c r="BZ1320" s="34"/>
      <c r="CA1320" s="34"/>
      <c r="CB1320" s="34"/>
      <c r="CC1320" s="34"/>
      <c r="CD1320" s="34"/>
      <c r="CE1320" s="34"/>
      <c r="CF1320" s="34"/>
      <c r="CG1320" s="34"/>
      <c r="CH1320" s="34"/>
      <c r="CI1320" s="8"/>
    </row>
    <row r="1321" spans="1:87" x14ac:dyDescent="0.2">
      <c r="A1321" s="8" t="str">
        <f>IF(AND(COUNTIF(W$3:W$13,A$26)&gt;0,A$26&lt;&gt;B1308),A$26,IFERROR(IF(MATCH(A$26,Z$3:Z$13,0)=1,A$26," ")," "))</f>
        <v xml:space="preserve"> </v>
      </c>
      <c r="B1321" s="8" t="str">
        <f>IF(A1321=" "," ",MAX(B1310:B1320)+1)</f>
        <v xml:space="preserve"> </v>
      </c>
      <c r="C1321" s="8"/>
      <c r="D1321" s="8"/>
      <c r="E1321" s="8"/>
      <c r="F1321" s="8"/>
      <c r="G1321" s="8"/>
      <c r="H1321" s="8"/>
      <c r="I1321" s="8"/>
      <c r="J1321" s="8"/>
      <c r="K1321" s="8"/>
      <c r="L1321" s="8"/>
      <c r="M1321" s="8"/>
      <c r="N1321" s="8"/>
      <c r="O1321" s="8"/>
      <c r="P1321" s="8"/>
      <c r="Q1321" s="8"/>
      <c r="R1321" s="8"/>
      <c r="S1321" s="8"/>
      <c r="U1321" s="34"/>
      <c r="V1321" s="34"/>
      <c r="W1321" s="34"/>
      <c r="X1321" s="34"/>
      <c r="Y1321" s="34"/>
      <c r="Z1321" s="34"/>
      <c r="AA1321" s="34"/>
      <c r="AB1321" s="34"/>
      <c r="AC1321" s="34"/>
      <c r="AD1321" s="34"/>
      <c r="AE1321" s="34"/>
      <c r="AF1321" s="34"/>
      <c r="AG1321" s="34"/>
      <c r="AH1321" s="34"/>
      <c r="AI1321" s="34"/>
      <c r="AJ1321" s="34"/>
      <c r="AK1321" s="34"/>
      <c r="AL1321" s="34"/>
      <c r="AM1321" s="34"/>
      <c r="AN1321" s="34"/>
      <c r="AO1321" s="34"/>
      <c r="AP1321" s="34"/>
      <c r="AQ1321" s="34"/>
      <c r="AR1321" s="34"/>
      <c r="AS1321" s="34"/>
      <c r="AT1321" s="34"/>
      <c r="AU1321" s="34"/>
      <c r="AV1321" s="34"/>
      <c r="AW1321" s="34"/>
      <c r="AX1321" s="34"/>
      <c r="AY1321" s="34"/>
      <c r="AZ1321" s="34"/>
      <c r="BA1321" s="34"/>
      <c r="BB1321" s="34"/>
      <c r="BC1321" s="34"/>
      <c r="BD1321" s="34"/>
      <c r="BE1321" s="34"/>
      <c r="BF1321" s="34"/>
      <c r="BG1321" s="34"/>
      <c r="BH1321" s="34"/>
      <c r="BI1321" s="34"/>
      <c r="BJ1321" s="34"/>
      <c r="BK1321" s="34"/>
      <c r="BL1321" s="34"/>
      <c r="BM1321" s="34"/>
      <c r="BN1321" s="34"/>
      <c r="BO1321" s="34"/>
      <c r="BP1321" s="34"/>
      <c r="BQ1321" s="34"/>
      <c r="BR1321" s="34"/>
      <c r="BS1321" s="34"/>
      <c r="BT1321" s="34"/>
      <c r="BU1321" s="34"/>
      <c r="BV1321" s="34"/>
      <c r="BW1321" s="34"/>
      <c r="BX1321" s="34"/>
      <c r="BY1321" s="34"/>
      <c r="BZ1321" s="34"/>
      <c r="CA1321" s="34"/>
      <c r="CB1321" s="34"/>
      <c r="CC1321" s="34"/>
      <c r="CD1321" s="34"/>
      <c r="CE1321" s="34"/>
      <c r="CF1321" s="34"/>
      <c r="CG1321" s="34"/>
      <c r="CH1321" s="34"/>
      <c r="CI1321" s="8"/>
    </row>
    <row r="1322" spans="1:87" x14ac:dyDescent="0.2">
      <c r="A1322" s="8" t="str">
        <f>IF(AND(COUNTIF(W$3:W$13,A$27)&gt;0,A$27&lt;&gt;B1308),A$27,IFERROR(IF(MATCH(A$27,Z$3:Z$13,0)=1,A$27," ")," "))</f>
        <v>C13</v>
      </c>
      <c r="B1322" s="8">
        <f>IF(A1322=" "," ",MAX(B1310:B1321)+1)</f>
        <v>4</v>
      </c>
      <c r="C1322" s="8"/>
      <c r="D1322" s="8"/>
      <c r="E1322" s="8"/>
      <c r="F1322" s="8"/>
      <c r="G1322" s="8"/>
      <c r="H1322" s="8"/>
      <c r="I1322" s="8"/>
      <c r="J1322" s="8"/>
      <c r="K1322" s="8"/>
      <c r="L1322" s="8"/>
      <c r="M1322" s="8"/>
      <c r="N1322" s="8"/>
      <c r="O1322" s="8"/>
      <c r="P1322" s="6"/>
      <c r="Q1322" s="8"/>
      <c r="R1322" s="8"/>
      <c r="S1322" s="8"/>
      <c r="U1322" s="34"/>
      <c r="V1322" s="34"/>
      <c r="W1322" s="34"/>
      <c r="X1322" s="34"/>
      <c r="Y1322" s="34"/>
      <c r="Z1322" s="34"/>
      <c r="AA1322" s="34"/>
      <c r="AB1322" s="34"/>
      <c r="AC1322" s="34"/>
      <c r="AD1322" s="34"/>
      <c r="AE1322" s="34"/>
      <c r="AF1322" s="34"/>
      <c r="AG1322" s="34"/>
      <c r="AH1322" s="34"/>
      <c r="AI1322" s="34"/>
      <c r="AJ1322" s="34"/>
      <c r="AK1322" s="34"/>
      <c r="AL1322" s="34"/>
      <c r="AM1322" s="34"/>
      <c r="AN1322" s="34"/>
      <c r="AO1322" s="34"/>
      <c r="AP1322" s="34"/>
      <c r="AQ1322" s="34"/>
      <c r="AR1322" s="34"/>
      <c r="AS1322" s="34"/>
      <c r="AT1322" s="34"/>
      <c r="AU1322" s="34"/>
      <c r="AV1322" s="34"/>
      <c r="AW1322" s="34"/>
      <c r="AX1322" s="34"/>
      <c r="AY1322" s="34"/>
      <c r="AZ1322" s="34"/>
      <c r="BA1322" s="34"/>
      <c r="BB1322" s="34"/>
      <c r="BC1322" s="34"/>
      <c r="BD1322" s="34"/>
      <c r="BE1322" s="34"/>
      <c r="BF1322" s="34"/>
      <c r="BG1322" s="34"/>
      <c r="BH1322" s="34"/>
      <c r="BI1322" s="34"/>
      <c r="BJ1322" s="34"/>
      <c r="BK1322" s="34"/>
      <c r="BL1322" s="34"/>
      <c r="BM1322" s="34"/>
      <c r="BN1322" s="34"/>
      <c r="BO1322" s="34"/>
      <c r="BP1322" s="34"/>
      <c r="BQ1322" s="34"/>
      <c r="BR1322" s="34"/>
      <c r="BS1322" s="34"/>
      <c r="BT1322" s="34"/>
      <c r="BU1322" s="34"/>
      <c r="BV1322" s="34"/>
      <c r="BW1322" s="34"/>
      <c r="BX1322" s="34"/>
      <c r="BY1322" s="34"/>
      <c r="BZ1322" s="34"/>
      <c r="CA1322" s="34"/>
      <c r="CB1322" s="34"/>
      <c r="CC1322" s="34"/>
      <c r="CD1322" s="34"/>
      <c r="CE1322" s="34"/>
      <c r="CF1322" s="34"/>
      <c r="CG1322" s="34"/>
      <c r="CH1322" s="34"/>
      <c r="CI1322" s="8"/>
    </row>
    <row r="1323" spans="1:87" x14ac:dyDescent="0.2">
      <c r="A1323" s="8" t="str">
        <f>IF(AND(COUNTIF(W$3:W$13,A$28)&gt;0,A$28&lt;&gt;B1308),A$28,IFERROR(IF(MATCH(A$28,Z$3:Z$13,0)=1,A$28," ")," "))</f>
        <v xml:space="preserve"> </v>
      </c>
      <c r="B1323" s="8" t="str">
        <f>IF(A1323=" "," ",MAX(B1310:B1322)+1)</f>
        <v xml:space="preserve"> </v>
      </c>
      <c r="C1323" s="8"/>
      <c r="D1323" s="8"/>
      <c r="E1323" s="8"/>
      <c r="F1323" s="8"/>
      <c r="G1323" s="8"/>
      <c r="H1323" s="8"/>
      <c r="I1323" s="8"/>
      <c r="J1323" s="8"/>
      <c r="K1323" s="8"/>
      <c r="L1323" s="8"/>
      <c r="M1323" s="8"/>
      <c r="N1323" s="8"/>
      <c r="O1323" s="8"/>
      <c r="P1323" s="8"/>
      <c r="Q1323" s="8"/>
      <c r="R1323" s="8"/>
      <c r="S1323" s="8"/>
      <c r="U1323" s="34"/>
      <c r="V1323" s="34"/>
      <c r="W1323" s="34"/>
      <c r="X1323" s="34"/>
      <c r="Y1323" s="34"/>
      <c r="Z1323" s="34"/>
      <c r="AA1323" s="34"/>
      <c r="AB1323" s="34"/>
      <c r="AC1323" s="34"/>
      <c r="AD1323" s="34"/>
      <c r="AE1323" s="34"/>
      <c r="AF1323" s="34"/>
      <c r="AG1323" s="34"/>
      <c r="AH1323" s="34"/>
      <c r="AI1323" s="34"/>
      <c r="AJ1323" s="34"/>
      <c r="AK1323" s="34"/>
      <c r="AL1323" s="34"/>
      <c r="AM1323" s="34"/>
      <c r="AN1323" s="34"/>
      <c r="AO1323" s="34"/>
      <c r="AP1323" s="34"/>
      <c r="AQ1323" s="34"/>
      <c r="AR1323" s="34"/>
      <c r="AS1323" s="34"/>
      <c r="AT1323" s="34"/>
      <c r="AU1323" s="34"/>
      <c r="AV1323" s="34"/>
      <c r="AW1323" s="34"/>
      <c r="AX1323" s="34"/>
      <c r="AY1323" s="34"/>
      <c r="AZ1323" s="34"/>
      <c r="BA1323" s="34"/>
      <c r="BB1323" s="34"/>
      <c r="BC1323" s="34"/>
      <c r="BD1323" s="34"/>
      <c r="BE1323" s="34"/>
      <c r="BF1323" s="34"/>
      <c r="BG1323" s="34"/>
      <c r="BH1323" s="34"/>
      <c r="BI1323" s="34"/>
      <c r="BJ1323" s="34"/>
      <c r="BK1323" s="34"/>
      <c r="BL1323" s="34"/>
      <c r="BM1323" s="34"/>
      <c r="BN1323" s="34"/>
      <c r="BO1323" s="34"/>
      <c r="BP1323" s="34"/>
      <c r="BQ1323" s="34"/>
      <c r="BR1323" s="34"/>
      <c r="BS1323" s="34"/>
      <c r="BT1323" s="34"/>
      <c r="BU1323" s="34"/>
      <c r="BV1323" s="34"/>
      <c r="BW1323" s="34"/>
      <c r="BX1323" s="34"/>
      <c r="BY1323" s="34"/>
      <c r="BZ1323" s="34"/>
      <c r="CA1323" s="34"/>
      <c r="CB1323" s="34"/>
      <c r="CC1323" s="34"/>
      <c r="CD1323" s="34"/>
      <c r="CE1323" s="34"/>
      <c r="CF1323" s="34"/>
      <c r="CG1323" s="34"/>
      <c r="CH1323" s="34"/>
      <c r="CI1323" s="8"/>
    </row>
    <row r="1324" spans="1:87" x14ac:dyDescent="0.2">
      <c r="A1324" s="8" t="str">
        <f>IF(AND(COUNTIF(W$3:W$13,A$29)&gt;0,A$29&lt;&gt;B1308),A$29,IFERROR(IF(MATCH(A$29,Z$3:Z$13,0)=1,A$29," ")," "))</f>
        <v>C15</v>
      </c>
      <c r="B1324" s="8">
        <f>IF(A1324=" "," ",MAX(B1310:B1323)+1)</f>
        <v>5</v>
      </c>
      <c r="C1324" s="8"/>
      <c r="D1324" s="8"/>
      <c r="E1324" s="8"/>
      <c r="F1324" s="8"/>
      <c r="G1324" s="8"/>
      <c r="H1324" s="8"/>
      <c r="I1324" s="8"/>
      <c r="J1324" s="8"/>
      <c r="K1324" s="8"/>
      <c r="L1324" s="8"/>
      <c r="M1324" s="8"/>
      <c r="N1324" s="8"/>
      <c r="O1324" s="8"/>
      <c r="P1324" s="8"/>
      <c r="Q1324" s="8"/>
      <c r="R1324" s="8"/>
      <c r="S1324" s="8"/>
      <c r="U1324" s="34"/>
      <c r="V1324" s="34"/>
      <c r="W1324" s="34"/>
      <c r="X1324" s="34"/>
      <c r="Y1324" s="34"/>
      <c r="Z1324" s="34"/>
      <c r="AA1324" s="34"/>
      <c r="AB1324" s="34"/>
      <c r="AC1324" s="34"/>
      <c r="AD1324" s="34"/>
      <c r="AE1324" s="34"/>
      <c r="AF1324" s="34"/>
      <c r="AG1324" s="34"/>
      <c r="AH1324" s="34"/>
      <c r="AI1324" s="34"/>
      <c r="AJ1324" s="34"/>
      <c r="AK1324" s="34"/>
      <c r="AL1324" s="34"/>
      <c r="AM1324" s="34"/>
      <c r="AN1324" s="34"/>
      <c r="AO1324" s="34"/>
      <c r="AP1324" s="34"/>
      <c r="AQ1324" s="34"/>
      <c r="AR1324" s="34"/>
      <c r="AS1324" s="34"/>
      <c r="AT1324" s="34"/>
      <c r="AU1324" s="34"/>
      <c r="AV1324" s="34"/>
      <c r="AW1324" s="34"/>
      <c r="AX1324" s="34"/>
      <c r="AY1324" s="34"/>
      <c r="AZ1324" s="34"/>
      <c r="BA1324" s="34"/>
      <c r="BB1324" s="34"/>
      <c r="BC1324" s="34"/>
      <c r="BD1324" s="34"/>
      <c r="BE1324" s="34"/>
      <c r="BF1324" s="34"/>
      <c r="BG1324" s="34"/>
      <c r="BH1324" s="34"/>
      <c r="BI1324" s="34"/>
      <c r="BJ1324" s="34"/>
      <c r="BK1324" s="34"/>
      <c r="BL1324" s="34"/>
      <c r="BM1324" s="34"/>
      <c r="BN1324" s="34"/>
      <c r="BO1324" s="34"/>
      <c r="BP1324" s="34"/>
      <c r="BQ1324" s="34"/>
      <c r="BR1324" s="34"/>
      <c r="BS1324" s="34"/>
      <c r="BT1324" s="34"/>
      <c r="BU1324" s="34"/>
      <c r="BV1324" s="34"/>
      <c r="BW1324" s="34"/>
      <c r="BX1324" s="34"/>
      <c r="BY1324" s="34"/>
      <c r="BZ1324" s="34"/>
      <c r="CA1324" s="34"/>
      <c r="CB1324" s="34"/>
      <c r="CC1324" s="34"/>
      <c r="CD1324" s="34"/>
      <c r="CE1324" s="34"/>
      <c r="CF1324" s="34"/>
      <c r="CG1324" s="34"/>
      <c r="CH1324" s="34"/>
      <c r="CI1324" s="8"/>
    </row>
    <row r="1325" spans="1:87" x14ac:dyDescent="0.2">
      <c r="A1325" s="8" t="str">
        <f>IF(AND(COUNTIF(W$3:W$13,A$30)&gt;0,A$30&lt;&gt;B1308),A$30,IFERROR(IF(MATCH(A$30,Z$3:Z$13,0)=1,A$30," ")," "))</f>
        <v>C16</v>
      </c>
      <c r="B1325" s="8">
        <f>IF(A1325=" "," ",MAX(B1310:B1324)+1)</f>
        <v>6</v>
      </c>
      <c r="C1325" s="8"/>
      <c r="D1325" s="8"/>
      <c r="E1325" s="8"/>
      <c r="F1325" s="8"/>
      <c r="G1325" s="8"/>
      <c r="H1325" s="8"/>
      <c r="I1325" s="8"/>
      <c r="J1325" s="8"/>
      <c r="K1325" s="8"/>
      <c r="L1325" s="8"/>
      <c r="M1325" s="8"/>
      <c r="N1325" s="8"/>
      <c r="O1325" s="8"/>
      <c r="P1325" s="8"/>
      <c r="Q1325" s="8"/>
      <c r="R1325" s="8"/>
      <c r="S1325" s="8"/>
      <c r="U1325" s="34"/>
      <c r="V1325" s="34"/>
      <c r="W1325" s="34"/>
      <c r="X1325" s="34"/>
      <c r="Y1325" s="34"/>
      <c r="Z1325" s="34"/>
      <c r="AA1325" s="34"/>
      <c r="AB1325" s="34"/>
      <c r="AC1325" s="34"/>
      <c r="AD1325" s="34"/>
      <c r="AE1325" s="34"/>
      <c r="AF1325" s="34"/>
      <c r="AG1325" s="34"/>
      <c r="AH1325" s="34"/>
      <c r="AI1325" s="34"/>
      <c r="AJ1325" s="34"/>
      <c r="AK1325" s="34"/>
      <c r="AL1325" s="34"/>
      <c r="AM1325" s="34"/>
      <c r="AN1325" s="34"/>
      <c r="AO1325" s="34"/>
      <c r="AP1325" s="34"/>
      <c r="AQ1325" s="34"/>
      <c r="AR1325" s="34"/>
      <c r="AS1325" s="34"/>
      <c r="AT1325" s="34"/>
      <c r="AU1325" s="34"/>
      <c r="AV1325" s="34"/>
      <c r="AW1325" s="34"/>
      <c r="AX1325" s="34"/>
      <c r="AY1325" s="34"/>
      <c r="AZ1325" s="34"/>
      <c r="BA1325" s="34"/>
      <c r="BB1325" s="34"/>
      <c r="BC1325" s="34"/>
      <c r="BD1325" s="34"/>
      <c r="BE1325" s="34"/>
      <c r="BF1325" s="34"/>
      <c r="BG1325" s="34"/>
      <c r="BH1325" s="34"/>
      <c r="BI1325" s="34"/>
      <c r="BJ1325" s="34"/>
      <c r="BK1325" s="34"/>
      <c r="BL1325" s="34"/>
      <c r="BM1325" s="34"/>
      <c r="BN1325" s="34"/>
      <c r="BO1325" s="34"/>
      <c r="BP1325" s="34"/>
      <c r="BQ1325" s="34"/>
      <c r="BR1325" s="34"/>
      <c r="BS1325" s="34"/>
      <c r="BT1325" s="34"/>
      <c r="BU1325" s="34"/>
      <c r="BV1325" s="34"/>
      <c r="BW1325" s="34"/>
      <c r="BX1325" s="34"/>
      <c r="BY1325" s="34"/>
      <c r="BZ1325" s="34"/>
      <c r="CA1325" s="34"/>
      <c r="CB1325" s="34"/>
      <c r="CC1325" s="34"/>
      <c r="CD1325" s="34"/>
      <c r="CE1325" s="34"/>
      <c r="CF1325" s="34"/>
      <c r="CG1325" s="34"/>
      <c r="CH1325" s="34"/>
      <c r="CI1325" s="8"/>
    </row>
    <row r="1326" spans="1:87" x14ac:dyDescent="0.2">
      <c r="A1326" s="8" t="str">
        <f>IF(AND(COUNTIF(W$3:W$13,A$31)&gt;0,A$31&lt;&gt;B1308),A$31,IFERROR(IF(MATCH(A$31,Z$3:Z$13,0)=1,A$31," ")," "))</f>
        <v xml:space="preserve"> </v>
      </c>
      <c r="B1326" s="8" t="str">
        <f>IF(A1326=" "," ",MAX(B1310:B1325)+1)</f>
        <v xml:space="preserve"> </v>
      </c>
      <c r="C1326" s="8"/>
      <c r="D1326" s="8"/>
      <c r="E1326" s="8"/>
      <c r="F1326" s="8"/>
      <c r="G1326" s="8"/>
      <c r="H1326" s="8"/>
      <c r="I1326" s="8"/>
      <c r="J1326" s="8"/>
      <c r="K1326" s="8"/>
      <c r="L1326" s="8"/>
      <c r="M1326" s="8"/>
      <c r="N1326" s="8"/>
      <c r="O1326" s="8"/>
      <c r="P1326" s="8"/>
      <c r="Q1326" s="8"/>
      <c r="R1326" s="8"/>
      <c r="S1326" s="8"/>
      <c r="U1326" s="34"/>
      <c r="V1326" s="34"/>
      <c r="W1326" s="34"/>
      <c r="X1326" s="34"/>
      <c r="Y1326" s="34"/>
      <c r="Z1326" s="34"/>
      <c r="AA1326" s="34"/>
      <c r="AB1326" s="34"/>
      <c r="AC1326" s="34"/>
      <c r="AD1326" s="34"/>
      <c r="AE1326" s="34"/>
      <c r="AF1326" s="34"/>
      <c r="AG1326" s="34"/>
      <c r="AH1326" s="34"/>
      <c r="AI1326" s="34"/>
      <c r="AJ1326" s="34"/>
      <c r="AK1326" s="34"/>
      <c r="AL1326" s="34"/>
      <c r="AM1326" s="34"/>
      <c r="AN1326" s="34"/>
      <c r="AO1326" s="34"/>
      <c r="AP1326" s="34"/>
      <c r="AQ1326" s="34"/>
      <c r="AR1326" s="34"/>
      <c r="AS1326" s="34"/>
      <c r="AT1326" s="34"/>
      <c r="AU1326" s="34"/>
      <c r="AV1326" s="34"/>
      <c r="AW1326" s="34"/>
      <c r="AX1326" s="34"/>
      <c r="AY1326" s="34"/>
      <c r="AZ1326" s="34"/>
      <c r="BA1326" s="34"/>
      <c r="BB1326" s="34"/>
      <c r="BC1326" s="34"/>
      <c r="BD1326" s="34"/>
      <c r="BE1326" s="34"/>
      <c r="BF1326" s="34"/>
      <c r="BG1326" s="34"/>
      <c r="BH1326" s="34"/>
      <c r="BI1326" s="34"/>
      <c r="BJ1326" s="34"/>
      <c r="BK1326" s="34"/>
      <c r="BL1326" s="34"/>
      <c r="BM1326" s="34"/>
      <c r="BN1326" s="34"/>
      <c r="BO1326" s="34"/>
      <c r="BP1326" s="34"/>
      <c r="BQ1326" s="34"/>
      <c r="BR1326" s="34"/>
      <c r="BS1326" s="34"/>
      <c r="BT1326" s="34"/>
      <c r="BU1326" s="34"/>
      <c r="BV1326" s="34"/>
      <c r="BW1326" s="34"/>
      <c r="BX1326" s="34"/>
      <c r="BY1326" s="34"/>
      <c r="BZ1326" s="34"/>
      <c r="CA1326" s="34"/>
      <c r="CB1326" s="34"/>
      <c r="CC1326" s="34"/>
      <c r="CD1326" s="34"/>
      <c r="CE1326" s="34"/>
      <c r="CF1326" s="34"/>
      <c r="CG1326" s="34"/>
      <c r="CH1326" s="34"/>
      <c r="CI1326" s="8"/>
    </row>
    <row r="1327" spans="1:87" x14ac:dyDescent="0.2">
      <c r="A1327" s="8" t="str">
        <f>IF(AND(COUNTIF(W$3:W$13,A$32)&gt;0,A$32&lt;&gt;B1308),A$32,IFERROR(IF(MATCH(A$32,Z$3:Z$13,0)=1,A$32," ")," "))</f>
        <v>C18</v>
      </c>
      <c r="B1327" s="8">
        <f>IF(A1327=" "," ",MAX(B1310:B1326)+1)</f>
        <v>7</v>
      </c>
      <c r="C1327" s="8"/>
      <c r="D1327" s="8"/>
      <c r="E1327" s="8"/>
      <c r="F1327" s="8"/>
      <c r="G1327" s="8"/>
      <c r="H1327" s="8"/>
      <c r="I1327" s="8"/>
      <c r="J1327" s="8"/>
      <c r="K1327" s="8"/>
      <c r="L1327" s="8"/>
      <c r="M1327" s="8"/>
      <c r="N1327" s="8"/>
      <c r="O1327" s="8"/>
      <c r="P1327" s="8"/>
      <c r="Q1327" s="8"/>
      <c r="R1327" s="8"/>
      <c r="S1327" s="8"/>
      <c r="U1327" s="34"/>
      <c r="V1327" s="34"/>
      <c r="W1327" s="34"/>
      <c r="X1327" s="34"/>
      <c r="Y1327" s="34"/>
      <c r="Z1327" s="34"/>
      <c r="AA1327" s="34"/>
      <c r="AB1327" s="34"/>
      <c r="AC1327" s="34"/>
      <c r="AD1327" s="34"/>
      <c r="AE1327" s="34"/>
      <c r="AF1327" s="34"/>
      <c r="AG1327" s="34"/>
      <c r="AH1327" s="34"/>
      <c r="AI1327" s="34"/>
      <c r="AJ1327" s="34"/>
      <c r="AK1327" s="34"/>
      <c r="AL1327" s="34"/>
      <c r="AM1327" s="34"/>
      <c r="AN1327" s="34"/>
      <c r="AO1327" s="34"/>
      <c r="AP1327" s="34"/>
      <c r="AQ1327" s="34"/>
      <c r="AR1327" s="34"/>
      <c r="AS1327" s="34"/>
      <c r="AT1327" s="34"/>
      <c r="AU1327" s="34"/>
      <c r="AV1327" s="34"/>
      <c r="AW1327" s="34"/>
      <c r="AX1327" s="34"/>
      <c r="AY1327" s="34"/>
      <c r="AZ1327" s="34"/>
      <c r="BA1327" s="34"/>
      <c r="BB1327" s="34"/>
      <c r="BC1327" s="34"/>
      <c r="BD1327" s="34"/>
      <c r="BE1327" s="34"/>
      <c r="BF1327" s="34"/>
      <c r="BG1327" s="34"/>
      <c r="BH1327" s="34"/>
      <c r="BI1327" s="34"/>
      <c r="BJ1327" s="34"/>
      <c r="BK1327" s="34"/>
      <c r="BL1327" s="34"/>
      <c r="BM1327" s="34"/>
      <c r="BN1327" s="34"/>
      <c r="BO1327" s="34"/>
      <c r="BP1327" s="34"/>
      <c r="BQ1327" s="34"/>
      <c r="BR1327" s="34"/>
      <c r="BS1327" s="34"/>
      <c r="BT1327" s="34"/>
      <c r="BU1327" s="34"/>
      <c r="BV1327" s="34"/>
      <c r="BW1327" s="34"/>
      <c r="BX1327" s="34"/>
      <c r="BY1327" s="34"/>
      <c r="BZ1327" s="34"/>
      <c r="CA1327" s="34"/>
      <c r="CB1327" s="34"/>
      <c r="CC1327" s="34"/>
      <c r="CD1327" s="34"/>
      <c r="CE1327" s="34"/>
      <c r="CF1327" s="34"/>
      <c r="CG1327" s="34"/>
      <c r="CH1327" s="34"/>
      <c r="CI1327" s="8"/>
    </row>
    <row r="1328" spans="1:87" x14ac:dyDescent="0.2">
      <c r="A1328" s="8" t="str">
        <f>IF(AND(COUNTIF(W$3:W$13,A$33)&gt;0,A$33&lt;&gt;B1308),A$33,IFERROR(IF(MATCH(A$33,Z$3:Z$13,0)=1,A$33," ")," "))</f>
        <v>C19</v>
      </c>
      <c r="B1328" s="8">
        <f>IF(A1328=" "," ",MAX(B1310:B1327)+1)</f>
        <v>8</v>
      </c>
      <c r="C1328" s="8"/>
      <c r="D1328" s="8"/>
      <c r="E1328" s="8"/>
      <c r="F1328" s="8"/>
      <c r="G1328" s="8"/>
      <c r="H1328" s="8"/>
      <c r="I1328" s="8"/>
      <c r="J1328" s="8"/>
      <c r="K1328" s="8"/>
      <c r="L1328" s="8"/>
      <c r="M1328" s="8"/>
      <c r="N1328" s="8"/>
      <c r="O1328" s="8"/>
      <c r="P1328" s="8"/>
      <c r="Q1328" s="8"/>
      <c r="R1328" s="8"/>
      <c r="S1328" s="8"/>
      <c r="U1328" s="34"/>
      <c r="V1328" s="34"/>
      <c r="W1328" s="34"/>
      <c r="X1328" s="34"/>
      <c r="Y1328" s="34"/>
      <c r="Z1328" s="34"/>
      <c r="AA1328" s="34"/>
      <c r="AB1328" s="34"/>
      <c r="AC1328" s="34"/>
      <c r="AD1328" s="34"/>
      <c r="AE1328" s="34"/>
      <c r="AF1328" s="34"/>
      <c r="AG1328" s="34"/>
      <c r="AH1328" s="34"/>
      <c r="AI1328" s="34"/>
      <c r="AJ1328" s="34"/>
      <c r="AK1328" s="34"/>
      <c r="AL1328" s="34"/>
      <c r="AM1328" s="34"/>
      <c r="AN1328" s="34"/>
      <c r="AO1328" s="34"/>
      <c r="AP1328" s="34"/>
      <c r="AQ1328" s="34"/>
      <c r="AR1328" s="34"/>
      <c r="AS1328" s="34"/>
      <c r="AT1328" s="34"/>
      <c r="AU1328" s="34"/>
      <c r="AV1328" s="34"/>
      <c r="AW1328" s="34"/>
      <c r="AX1328" s="34"/>
      <c r="AY1328" s="34"/>
      <c r="AZ1328" s="34"/>
      <c r="BA1328" s="34"/>
      <c r="BB1328" s="34"/>
      <c r="BC1328" s="34"/>
      <c r="BD1328" s="34"/>
      <c r="BE1328" s="34"/>
      <c r="BF1328" s="34"/>
      <c r="BG1328" s="34"/>
      <c r="BH1328" s="34"/>
      <c r="BI1328" s="34"/>
      <c r="BJ1328" s="34"/>
      <c r="BK1328" s="34"/>
      <c r="BL1328" s="34"/>
      <c r="BM1328" s="34"/>
      <c r="BN1328" s="34"/>
      <c r="BO1328" s="34"/>
      <c r="BP1328" s="34"/>
      <c r="BQ1328" s="34"/>
      <c r="BR1328" s="34"/>
      <c r="BS1328" s="34"/>
      <c r="BT1328" s="34"/>
      <c r="BU1328" s="34"/>
      <c r="BV1328" s="34"/>
      <c r="BW1328" s="34"/>
      <c r="BX1328" s="34"/>
      <c r="BY1328" s="34"/>
      <c r="BZ1328" s="34"/>
      <c r="CA1328" s="34"/>
      <c r="CB1328" s="34"/>
      <c r="CC1328" s="34"/>
      <c r="CD1328" s="34"/>
      <c r="CE1328" s="34"/>
      <c r="CF1328" s="34"/>
      <c r="CG1328" s="34"/>
      <c r="CH1328" s="34"/>
      <c r="CI1328" s="8"/>
    </row>
    <row r="1329" spans="1:87" x14ac:dyDescent="0.2">
      <c r="A1329" s="8" t="str">
        <f>IF(AND(COUNTIF(W$3:W$13,A$34)&gt;0,A$34&lt;&gt;B1308),A$34,IFERROR(IF(MATCH(A$34,Z$3:Z$13,0)=1,A$34," ")," "))</f>
        <v>C20</v>
      </c>
      <c r="B1329" s="8">
        <f>IF(A1329=" "," ",MAX(B1310:B1328)+1)</f>
        <v>9</v>
      </c>
      <c r="C1329" s="8"/>
      <c r="D1329" s="8"/>
      <c r="E1329" s="8"/>
      <c r="F1329" s="8"/>
      <c r="G1329" s="8"/>
      <c r="H1329" s="8"/>
      <c r="I1329" s="8"/>
      <c r="J1329" s="8"/>
      <c r="K1329" s="8"/>
      <c r="L1329" s="8"/>
      <c r="M1329" s="8"/>
      <c r="N1329" s="8"/>
      <c r="O1329" s="8"/>
      <c r="P1329" s="8"/>
      <c r="Q1329" s="8"/>
      <c r="R1329" s="8"/>
      <c r="S1329" s="8"/>
      <c r="U1329" s="34"/>
      <c r="V1329" s="34"/>
      <c r="W1329" s="34"/>
      <c r="X1329" s="34"/>
      <c r="Y1329" s="34"/>
      <c r="Z1329" s="34"/>
      <c r="AA1329" s="34"/>
      <c r="AB1329" s="34"/>
      <c r="AC1329" s="34"/>
      <c r="AD1329" s="34"/>
      <c r="AE1329" s="34"/>
      <c r="AF1329" s="34"/>
      <c r="AG1329" s="34"/>
      <c r="AH1329" s="34"/>
      <c r="AI1329" s="34"/>
      <c r="AJ1329" s="34"/>
      <c r="AK1329" s="34"/>
      <c r="AL1329" s="34"/>
      <c r="AM1329" s="34"/>
      <c r="AN1329" s="34"/>
      <c r="AO1329" s="34"/>
      <c r="AP1329" s="34"/>
      <c r="AQ1329" s="34"/>
      <c r="AR1329" s="34"/>
      <c r="AS1329" s="34"/>
      <c r="AT1329" s="34"/>
      <c r="AU1329" s="34"/>
      <c r="AV1329" s="34"/>
      <c r="AW1329" s="34"/>
      <c r="AX1329" s="34"/>
      <c r="AY1329" s="34"/>
      <c r="AZ1329" s="34"/>
      <c r="BA1329" s="34"/>
      <c r="BB1329" s="34"/>
      <c r="BC1329" s="34"/>
      <c r="BD1329" s="34"/>
      <c r="BE1329" s="34"/>
      <c r="BF1329" s="34"/>
      <c r="BG1329" s="34"/>
      <c r="BH1329" s="34"/>
      <c r="BI1329" s="34"/>
      <c r="BJ1329" s="34"/>
      <c r="BK1329" s="34"/>
      <c r="BL1329" s="34"/>
      <c r="BM1329" s="34"/>
      <c r="BN1329" s="34"/>
      <c r="BO1329" s="34"/>
      <c r="BP1329" s="34"/>
      <c r="BQ1329" s="34"/>
      <c r="BR1329" s="34"/>
      <c r="BS1329" s="34"/>
      <c r="BT1329" s="34"/>
      <c r="BU1329" s="34"/>
      <c r="BV1329" s="34"/>
      <c r="BW1329" s="34"/>
      <c r="BX1329" s="34"/>
      <c r="BY1329" s="34"/>
      <c r="BZ1329" s="34"/>
      <c r="CA1329" s="34"/>
      <c r="CB1329" s="34"/>
      <c r="CC1329" s="34"/>
      <c r="CD1329" s="34"/>
      <c r="CE1329" s="34"/>
      <c r="CF1329" s="34"/>
      <c r="CG1329" s="34"/>
      <c r="CH1329" s="34"/>
      <c r="CI1329" s="8"/>
    </row>
    <row r="1330" spans="1:87" x14ac:dyDescent="0.2">
      <c r="A1330" s="8" t="str">
        <f>IF(AND(COUNTIF(W$3:W$13,A$35)&gt;0,A$35&lt;&gt;B1308),A$35,IFERROR(IF(MATCH(A$35,Z$3:Z$13,0)=1,A$35," ")," "))</f>
        <v>C21</v>
      </c>
      <c r="B1330" s="8">
        <f>IF(A1330=" "," ",MAX(B1310:B1329)+1)</f>
        <v>10</v>
      </c>
      <c r="C1330" s="8"/>
      <c r="D1330" s="8"/>
      <c r="E1330" s="8"/>
      <c r="F1330" s="8"/>
      <c r="G1330" s="8"/>
      <c r="H1330" s="8"/>
      <c r="I1330" s="8"/>
      <c r="J1330" s="8"/>
      <c r="K1330" s="8"/>
      <c r="L1330" s="8"/>
      <c r="M1330" s="8"/>
      <c r="N1330" s="8"/>
      <c r="O1330" s="8"/>
      <c r="P1330" s="8"/>
      <c r="Q1330" s="8"/>
      <c r="R1330" s="8"/>
      <c r="S1330" s="8"/>
      <c r="U1330" s="34"/>
      <c r="V1330" s="34"/>
      <c r="W1330" s="34"/>
      <c r="X1330" s="34"/>
      <c r="Y1330" s="34"/>
      <c r="Z1330" s="34"/>
      <c r="AA1330" s="34"/>
      <c r="AB1330" s="34"/>
      <c r="AC1330" s="34"/>
      <c r="AD1330" s="34"/>
      <c r="AE1330" s="34"/>
      <c r="AF1330" s="34"/>
      <c r="AG1330" s="34"/>
      <c r="AH1330" s="34"/>
      <c r="AI1330" s="34"/>
      <c r="AJ1330" s="34"/>
      <c r="AK1330" s="34"/>
      <c r="AL1330" s="34"/>
      <c r="AM1330" s="34"/>
      <c r="AN1330" s="34"/>
      <c r="AO1330" s="34"/>
      <c r="AP1330" s="34"/>
      <c r="AQ1330" s="34"/>
      <c r="AR1330" s="34"/>
      <c r="AS1330" s="34"/>
      <c r="AT1330" s="34"/>
      <c r="AU1330" s="34"/>
      <c r="AV1330" s="34"/>
      <c r="AW1330" s="34"/>
      <c r="AX1330" s="34"/>
      <c r="AY1330" s="34"/>
      <c r="AZ1330" s="34"/>
      <c r="BA1330" s="34"/>
      <c r="BB1330" s="34"/>
      <c r="BC1330" s="34"/>
      <c r="BD1330" s="34"/>
      <c r="BE1330" s="34"/>
      <c r="BF1330" s="34"/>
      <c r="BG1330" s="34"/>
      <c r="BH1330" s="34"/>
      <c r="BI1330" s="34"/>
      <c r="BJ1330" s="34"/>
      <c r="BK1330" s="34"/>
      <c r="BL1330" s="34"/>
      <c r="BM1330" s="34"/>
      <c r="BN1330" s="34"/>
      <c r="BO1330" s="34"/>
      <c r="BP1330" s="34"/>
      <c r="BQ1330" s="34"/>
      <c r="BR1330" s="34"/>
      <c r="BS1330" s="34"/>
      <c r="BT1330" s="34"/>
      <c r="BU1330" s="34"/>
      <c r="BV1330" s="34"/>
      <c r="BW1330" s="34"/>
      <c r="BX1330" s="34"/>
      <c r="BY1330" s="34"/>
      <c r="BZ1330" s="34"/>
      <c r="CA1330" s="34"/>
      <c r="CB1330" s="34"/>
      <c r="CC1330" s="34"/>
      <c r="CD1330" s="34"/>
      <c r="CE1330" s="34"/>
      <c r="CF1330" s="34"/>
      <c r="CG1330" s="34"/>
      <c r="CH1330" s="34"/>
      <c r="CI1330" s="8"/>
    </row>
    <row r="1331" spans="1:87" x14ac:dyDescent="0.2">
      <c r="A1331" s="8" t="str">
        <f>IF(AND(COUNTIF(W$3:W$13,A$36)&gt;0,A$36&lt;&gt;B1308),A$36,IFERROR(IF(MATCH(A$36,Z$3:Z$13,0)=1,A$36," ")," "))</f>
        <v>C22</v>
      </c>
      <c r="B1331" s="8">
        <f>IF(A1331=" "," ",MAX(B1310:B1330)+1)</f>
        <v>11</v>
      </c>
      <c r="C1331" s="8"/>
      <c r="D1331" s="8"/>
      <c r="E1331" s="8"/>
      <c r="F1331" s="8"/>
      <c r="G1331" s="8"/>
      <c r="H1331" s="8"/>
      <c r="I1331" s="8"/>
      <c r="J1331" s="8"/>
      <c r="K1331" s="8"/>
      <c r="L1331" s="8"/>
      <c r="M1331" s="8"/>
      <c r="N1331" s="8"/>
      <c r="O1331" s="8"/>
      <c r="P1331" s="8"/>
      <c r="Q1331" s="8"/>
      <c r="R1331" s="8"/>
      <c r="S1331" s="8"/>
      <c r="U1331" s="34"/>
      <c r="V1331" s="34"/>
      <c r="W1331" s="34"/>
      <c r="X1331" s="34"/>
      <c r="Y1331" s="34"/>
      <c r="Z1331" s="34"/>
      <c r="AA1331" s="34"/>
      <c r="AB1331" s="34"/>
      <c r="AC1331" s="34"/>
      <c r="AD1331" s="34"/>
      <c r="AE1331" s="34"/>
      <c r="AF1331" s="34"/>
      <c r="AG1331" s="34"/>
      <c r="AH1331" s="34"/>
      <c r="AI1331" s="34"/>
      <c r="AJ1331" s="34"/>
      <c r="AK1331" s="34"/>
      <c r="AL1331" s="34"/>
      <c r="AM1331" s="34"/>
      <c r="AN1331" s="34"/>
      <c r="AO1331" s="34"/>
      <c r="AP1331" s="34"/>
      <c r="AQ1331" s="34"/>
      <c r="AR1331" s="34"/>
      <c r="AS1331" s="34"/>
      <c r="AT1331" s="34"/>
      <c r="AU1331" s="34"/>
      <c r="AV1331" s="34"/>
      <c r="AW1331" s="34"/>
      <c r="AX1331" s="34"/>
      <c r="AY1331" s="34"/>
      <c r="AZ1331" s="34"/>
      <c r="BA1331" s="34"/>
      <c r="BB1331" s="34"/>
      <c r="BC1331" s="34"/>
      <c r="BD1331" s="34"/>
      <c r="BE1331" s="34"/>
      <c r="BF1331" s="34"/>
      <c r="BG1331" s="34"/>
      <c r="BH1331" s="34"/>
      <c r="BI1331" s="34"/>
      <c r="BJ1331" s="34"/>
      <c r="BK1331" s="34"/>
      <c r="BL1331" s="34"/>
      <c r="BM1331" s="34"/>
      <c r="BN1331" s="34"/>
      <c r="BO1331" s="34"/>
      <c r="BP1331" s="34"/>
      <c r="BQ1331" s="34"/>
      <c r="BR1331" s="34"/>
      <c r="BS1331" s="34"/>
      <c r="BT1331" s="34"/>
      <c r="BU1331" s="34"/>
      <c r="BV1331" s="34"/>
      <c r="BW1331" s="34"/>
      <c r="BX1331" s="34"/>
      <c r="BY1331" s="34"/>
      <c r="BZ1331" s="34"/>
      <c r="CA1331" s="34"/>
      <c r="CB1331" s="34"/>
      <c r="CC1331" s="34"/>
      <c r="CD1331" s="34"/>
      <c r="CE1331" s="34"/>
      <c r="CF1331" s="34"/>
      <c r="CG1331" s="34"/>
      <c r="CH1331" s="34"/>
      <c r="CI1331" s="8"/>
    </row>
    <row r="1332" spans="1:87" x14ac:dyDescent="0.2">
      <c r="A1332" s="11" t="s">
        <v>17</v>
      </c>
      <c r="B1332" s="11"/>
      <c r="C1332" s="27" t="s">
        <v>18</v>
      </c>
      <c r="D1332" s="27" t="s">
        <v>2</v>
      </c>
      <c r="E1332" s="27" t="s">
        <v>6</v>
      </c>
      <c r="F1332" s="27" t="s">
        <v>15</v>
      </c>
      <c r="G1332" s="27" t="s">
        <v>36</v>
      </c>
      <c r="H1332" s="27" t="s">
        <v>37</v>
      </c>
      <c r="I1332" s="27" t="s">
        <v>38</v>
      </c>
      <c r="J1332" s="27" t="s">
        <v>39</v>
      </c>
      <c r="K1332" s="27" t="s">
        <v>40</v>
      </c>
      <c r="L1332" s="27" t="s">
        <v>41</v>
      </c>
      <c r="M1332" s="27" t="s">
        <v>42</v>
      </c>
      <c r="N1332" s="27" t="s">
        <v>43</v>
      </c>
      <c r="O1332" s="27" t="s">
        <v>9</v>
      </c>
      <c r="P1332" s="27" t="s">
        <v>12</v>
      </c>
      <c r="Q1332" s="27" t="s">
        <v>19</v>
      </c>
      <c r="R1332" s="27" t="s">
        <v>55</v>
      </c>
      <c r="S1332" s="27" t="s">
        <v>26</v>
      </c>
      <c r="T1332" s="19" t="s">
        <v>25</v>
      </c>
      <c r="U1332" s="33" t="s">
        <v>27</v>
      </c>
      <c r="V1332" s="33" t="s">
        <v>9</v>
      </c>
      <c r="W1332" s="33" t="s">
        <v>23</v>
      </c>
      <c r="X1332" s="33" t="s">
        <v>12</v>
      </c>
      <c r="Y1332" s="33" t="s">
        <v>26</v>
      </c>
      <c r="Z1332" s="33" t="s">
        <v>25</v>
      </c>
      <c r="AA1332" s="33" t="s">
        <v>27</v>
      </c>
      <c r="AB1332" s="33" t="s">
        <v>9</v>
      </c>
      <c r="AC1332" s="33" t="s">
        <v>23</v>
      </c>
      <c r="AD1332" s="33" t="s">
        <v>12</v>
      </c>
      <c r="AE1332" s="33" t="s">
        <v>26</v>
      </c>
      <c r="AF1332" s="33" t="s">
        <v>25</v>
      </c>
      <c r="AG1332" s="33" t="s">
        <v>27</v>
      </c>
      <c r="AH1332" s="33" t="s">
        <v>9</v>
      </c>
      <c r="AI1332" s="33" t="s">
        <v>23</v>
      </c>
      <c r="AJ1332" s="33" t="s">
        <v>12</v>
      </c>
      <c r="AK1332" s="33" t="s">
        <v>26</v>
      </c>
      <c r="AL1332" s="33" t="s">
        <v>25</v>
      </c>
      <c r="AM1332" s="33" t="s">
        <v>27</v>
      </c>
      <c r="AN1332" s="33" t="s">
        <v>9</v>
      </c>
      <c r="AO1332" s="33" t="s">
        <v>23</v>
      </c>
      <c r="AP1332" s="33" t="s">
        <v>12</v>
      </c>
      <c r="AQ1332" s="33" t="s">
        <v>26</v>
      </c>
      <c r="AR1332" s="33" t="s">
        <v>25</v>
      </c>
      <c r="AS1332" s="33" t="s">
        <v>27</v>
      </c>
      <c r="AT1332" s="33" t="s">
        <v>9</v>
      </c>
      <c r="AU1332" s="33" t="s">
        <v>23</v>
      </c>
      <c r="AV1332" s="33" t="s">
        <v>12</v>
      </c>
      <c r="AW1332" s="33" t="s">
        <v>26</v>
      </c>
      <c r="AX1332" s="33" t="s">
        <v>25</v>
      </c>
      <c r="AY1332" s="33" t="s">
        <v>27</v>
      </c>
      <c r="AZ1332" s="33" t="s">
        <v>9</v>
      </c>
      <c r="BA1332" s="33" t="s">
        <v>23</v>
      </c>
      <c r="BB1332" s="33" t="s">
        <v>12</v>
      </c>
      <c r="BC1332" s="33" t="s">
        <v>26</v>
      </c>
      <c r="BD1332" s="33" t="s">
        <v>25</v>
      </c>
      <c r="BE1332" s="33" t="s">
        <v>27</v>
      </c>
      <c r="BF1332" s="33" t="s">
        <v>9</v>
      </c>
      <c r="BG1332" s="33" t="s">
        <v>23</v>
      </c>
      <c r="BH1332" s="33" t="s">
        <v>12</v>
      </c>
      <c r="BI1332" s="33" t="s">
        <v>26</v>
      </c>
      <c r="BJ1332" s="33" t="s">
        <v>25</v>
      </c>
      <c r="BK1332" s="33" t="s">
        <v>27</v>
      </c>
      <c r="BL1332" s="33" t="s">
        <v>9</v>
      </c>
      <c r="BM1332" s="33" t="s">
        <v>23</v>
      </c>
      <c r="BN1332" s="33" t="s">
        <v>12</v>
      </c>
      <c r="BO1332" s="33" t="s">
        <v>26</v>
      </c>
      <c r="BP1332" s="33" t="s">
        <v>25</v>
      </c>
      <c r="BQ1332" s="33" t="s">
        <v>27</v>
      </c>
      <c r="BR1332" s="33" t="s">
        <v>9</v>
      </c>
      <c r="BS1332" s="33" t="s">
        <v>23</v>
      </c>
      <c r="BT1332" s="33" t="s">
        <v>12</v>
      </c>
      <c r="BU1332" s="33" t="s">
        <v>26</v>
      </c>
      <c r="BV1332" s="33" t="s">
        <v>25</v>
      </c>
      <c r="BW1332" s="33" t="s">
        <v>27</v>
      </c>
      <c r="BX1332" s="33" t="s">
        <v>9</v>
      </c>
      <c r="BY1332" s="33" t="s">
        <v>23</v>
      </c>
      <c r="BZ1332" s="33" t="s">
        <v>12</v>
      </c>
      <c r="CA1332" s="33" t="s">
        <v>26</v>
      </c>
      <c r="CB1332" s="33" t="s">
        <v>25</v>
      </c>
      <c r="CC1332" s="33" t="s">
        <v>27</v>
      </c>
      <c r="CD1332" s="33" t="s">
        <v>9</v>
      </c>
      <c r="CE1332" s="33" t="s">
        <v>23</v>
      </c>
      <c r="CF1332" s="33" t="s">
        <v>12</v>
      </c>
      <c r="CG1332" s="33" t="s">
        <v>26</v>
      </c>
      <c r="CH1332" s="33" t="s">
        <v>25</v>
      </c>
      <c r="CI1332" s="8"/>
    </row>
    <row r="1333" spans="1:87" x14ac:dyDescent="0.2">
      <c r="A1333" s="8" t="str">
        <f>IF(AND(COUNTIF(W$3:W$13,A$15)&gt;0,A$15&lt;&gt;B1308),A$15,IFERROR(IF(MATCH(A$15,Z$3:Z$13,0)=2,A$15," ")," "))</f>
        <v xml:space="preserve"> </v>
      </c>
      <c r="B1333" s="8" t="str">
        <f>IF(A1333=" "," ",1)</f>
        <v xml:space="preserve"> </v>
      </c>
      <c r="C1333" s="8" t="str">
        <f>IFERROR(INDEX(A1333:A1354,MATCH(SMALL(B1333:B1354,1),B1333:B1354,0),1)," ")</f>
        <v>C2</v>
      </c>
      <c r="D1333" s="8">
        <f>IFERROR(VLOOKUP($C1333,$A$15:$O$36,2,FALSE)," ")</f>
        <v>1</v>
      </c>
      <c r="E1333" s="8">
        <f>IFERROR(VLOOKUP($C1333,$A$15:$O$36,3,FALSE)," ")</f>
        <v>3</v>
      </c>
      <c r="F1333" s="8">
        <f>IFERROR(VLOOKUP($C1333,$A$15:$O$36,4,FALSE)," ")</f>
        <v>2</v>
      </c>
      <c r="G1333" s="8">
        <f>IFERROR(VLOOKUP($C1333,$A$15:$O$36,5,FALSE)," ")</f>
        <v>0</v>
      </c>
      <c r="H1333" s="8">
        <f>IFERROR(VLOOKUP($C1333,$A$15:$O$36,6,FALSE)," ")</f>
        <v>0</v>
      </c>
      <c r="I1333" s="8">
        <f>IFERROR(VLOOKUP($C1333,$A$15:$O$36,7,FALSE)," ")</f>
        <v>0</v>
      </c>
      <c r="J1333" s="8">
        <f>IFERROR(VLOOKUP($C1333,$A$15:$O$36,8,FALSE)," ")</f>
        <v>0</v>
      </c>
      <c r="K1333" s="8">
        <f>IFERROR(VLOOKUP($C1333,$A$15:$O$36,9,FALSE)," ")</f>
        <v>0</v>
      </c>
      <c r="L1333" s="8">
        <f>IFERROR(VLOOKUP($C1333,$A$15:$O$36,10,FALSE)," ")</f>
        <v>0</v>
      </c>
      <c r="M1333" s="8">
        <f>IFERROR(VLOOKUP($C1333,$A$15:$O$36,11,FALSE)," ")</f>
        <v>0</v>
      </c>
      <c r="N1333" s="8">
        <f>IFERROR(VLOOKUP($C1333,$A$15:$O$36,12,FALSE)," ")</f>
        <v>0</v>
      </c>
      <c r="O1333" s="8">
        <f>IFERROR(VLOOKUP($C1333,$A$15:$O$36,15,FALSE)," ")</f>
        <v>1000</v>
      </c>
      <c r="P1333" s="8" t="e">
        <f t="array" ref="P1333:P1343">MMULT(MINVERSE(D1333:N1343),O1333:O1343)</f>
        <v>#NUM!</v>
      </c>
      <c r="Q1333" s="8" t="e">
        <f t="shared" ref="Q1333" si="5686">IF(COUNTIF(P1333:P1343,"&lt;"&amp;-0.001)=0,IF(ABS(P1333)&lt;0.001,0,P1333)," ")</f>
        <v>#NUM!</v>
      </c>
      <c r="R1333" s="8" t="str">
        <f>IFERROR(VLOOKUP(B1308,A$15:L$36,2,FALSE)*Q1333+VLOOKUP(B1308,A$15:L$36,3,FALSE)*Q1334+VLOOKUP(B1308,A$15:L$36,4,FALSE)*Q1335+VLOOKUP(B1308,A$15:L$36,5,FALSE)*Q1336+VLOOKUP(B1308,A$15:L$36,6,FALSE)*Q1337+VLOOKUP(B1308,A$15:L$36,7,FALSE)*Q1338+VLOOKUP(B1308,A$15:L$36,8,FALSE)*Q1339+VLOOKUP(B1308,A$15:L$36,9,FALSE)*Q1340+VLOOKUP(B1308,A$15:L$36,10,FALSE)*Q1341+VLOOKUP(B1308,A$15:L$36,11,FALSE)*Q1342+VLOOKUP(B1308,A$15:L$36,12,FALSE)*Q1343," ")</f>
        <v xml:space="preserve"> </v>
      </c>
      <c r="S1333" s="8" t="str">
        <f>IFERROR(IF(R1333-VLOOKUP(B1308,A$15:O$36,15,FALSE)&lt;0,R1333-VLOOKUP(B1308,A$15:O$36,15,FALSE)," ")," ")</f>
        <v xml:space="preserve"> </v>
      </c>
      <c r="T1333" s="18" t="str">
        <f>IFERROR(IF(R1333-VLOOKUP(B1308,A$15:O$36,15,FALSE)&gt;0,R1333-VLOOKUP(B1308,A$15:O$36,15,FALSE)," ")," ")</f>
        <v xml:space="preserve"> </v>
      </c>
      <c r="U1333" s="34">
        <f t="shared" ref="U1333" si="5687">$M$2</f>
        <v>100.00000000000001</v>
      </c>
      <c r="V1333" s="34">
        <v>-1</v>
      </c>
      <c r="W1333" s="34">
        <f t="shared" ref="W1333" si="5688">-SUMPRODUCT($M$3:$M$12,$N$3:$N$12)</f>
        <v>-105000</v>
      </c>
      <c r="X1333" s="34" t="e">
        <f t="shared" ref="X1333" si="5689">IF(U1333&lt;&gt;U1334,MMULT(MINVERSE(U1333:V1334),W1333:W1334)," ")</f>
        <v>#NUM!</v>
      </c>
      <c r="Y1333" s="34" t="str">
        <f t="shared" ref="Y1333" si="5690">IFERROR(IF(X1333-VLOOKUP(U$38,$A$2:$N$12,14,FALSE)&lt;0,X1333-VLOOKUP(U$38,$A$2:$N$12,14,FALSE)," ")," ")</f>
        <v xml:space="preserve"> </v>
      </c>
      <c r="Z1333" s="34" t="str">
        <f t="shared" ref="Z1333" si="5691">IFERROR(IF(X1333-VLOOKUP(U$38,$A$2:$N$12,14,FALSE)&gt;0,X1333-VLOOKUP(U$38,$A$2:$N$12,14,FALSE)," ")," ")</f>
        <v xml:space="preserve"> </v>
      </c>
      <c r="AA1333" s="34">
        <f t="shared" ref="AA1333" si="5692">$M$3</f>
        <v>0</v>
      </c>
      <c r="AB1333" s="34">
        <v>-1</v>
      </c>
      <c r="AC1333" s="34">
        <f t="shared" ref="AC1333" si="5693">-SUMPRODUCT($M$2:$M$2,$N$2:$N$2)-SUMPRODUCT($M$4:$M$12,$N$4:$N$12)</f>
        <v>-120000</v>
      </c>
      <c r="AD1333" s="34" t="e">
        <f t="shared" ref="AD1333" si="5694">IF(AA1333&lt;&gt;AA1334,MMULT(MINVERSE(AA1333:AB1334),AC1333:AC1334)," ")</f>
        <v>#NUM!</v>
      </c>
      <c r="AE1333" s="34" t="str">
        <f t="shared" ref="AE1333" si="5695">IFERROR(IF(AD1333-VLOOKUP(AA$38,$A$2:$N$12,14,FALSE)&lt;0,AD1333-VLOOKUP(AA$38,$A$2:$N$12,14,FALSE)," ")," ")</f>
        <v xml:space="preserve"> </v>
      </c>
      <c r="AF1333" s="34" t="str">
        <f t="shared" ref="AF1333" si="5696">IFERROR(IF(AD1333-VLOOKUP(AA$38,$A$2:$N$12,14,FALSE)&gt;0,AD1333-VLOOKUP(AA$38,$A$2:$N$12,14,FALSE)," ")," ")</f>
        <v xml:space="preserve"> </v>
      </c>
      <c r="AG1333" s="34">
        <f t="shared" ref="AG1333" si="5697">$M$4</f>
        <v>300</v>
      </c>
      <c r="AH1333" s="34">
        <v>-1</v>
      </c>
      <c r="AI1333" s="34">
        <f t="shared" ref="AI1333" si="5698">-SUMPRODUCT($M$2:$M$3,$N$2:$N$3)-SUMPRODUCT($M$5:$M$12,$N$5:$N$12)</f>
        <v>-15000.000000000002</v>
      </c>
      <c r="AJ1333" s="34" t="e">
        <f t="shared" ref="AJ1333" si="5699">IF(AG1333&lt;&gt;AG1334,MMULT(MINVERSE(AG1333:AH1334),AI1333:AI1334)," ")</f>
        <v>#NUM!</v>
      </c>
      <c r="AK1333" s="34" t="str">
        <f t="shared" ref="AK1333" si="5700">IFERROR(IF(AJ1333-VLOOKUP(AG$38,$A$2:$N$12,14,FALSE)&lt;0,AJ1333-VLOOKUP(AG$38,$A$2:$N$12,14,FALSE)," ")," ")</f>
        <v xml:space="preserve"> </v>
      </c>
      <c r="AL1333" s="34" t="str">
        <f t="shared" ref="AL1333" si="5701">IFERROR(IF(AJ1333-VLOOKUP(AG$38,$A$2:$N$12,14,FALSE)&gt;0,AJ1333-VLOOKUP(AG$38,$A$2:$N$12,14,FALSE)," ")," ")</f>
        <v xml:space="preserve"> </v>
      </c>
      <c r="AM1333" s="34">
        <f t="shared" ref="AM1333" si="5702">$M$5</f>
        <v>0</v>
      </c>
      <c r="AN1333" s="34">
        <v>-1</v>
      </c>
      <c r="AO1333" s="34">
        <f t="shared" ref="AO1333" si="5703">-SUMPRODUCT($M$2:$M$4,$N$2:$N$4)-SUMPRODUCT($M$6:$M$12,$N$6:$N$12)</f>
        <v>-120000</v>
      </c>
      <c r="AP1333" s="34" t="e">
        <f t="shared" ref="AP1333" si="5704">IF(AM1333&lt;&gt;AM1334,MMULT(MINVERSE(AM1333:AN1334),AO1333:AO1334)," ")</f>
        <v>#NUM!</v>
      </c>
      <c r="AQ1333" s="34" t="str">
        <f t="shared" ref="AQ1333" si="5705">IFERROR(IF(AP1333-VLOOKUP(AM$38,$A$2:$N$12,14,FALSE)&lt;0,AP1333-VLOOKUP(AM$38,$A$2:$N$12,14,FALSE)," ")," ")</f>
        <v xml:space="preserve"> </v>
      </c>
      <c r="AR1333" s="34" t="str">
        <f t="shared" ref="AR1333" si="5706">IFERROR(IF(AP1333-VLOOKUP(AM$38,$A$2:$N$12,14,FALSE)&gt;0,AP1333-VLOOKUP(AM$38,$A$2:$N$12,14,FALSE)," ")," ")</f>
        <v xml:space="preserve"> </v>
      </c>
      <c r="AS1333" s="34">
        <f t="shared" ref="AS1333" si="5707">$M$6</f>
        <v>0</v>
      </c>
      <c r="AT1333" s="34">
        <v>-1</v>
      </c>
      <c r="AU1333" s="34">
        <f t="shared" ref="AU1333" si="5708">-SUMPRODUCT($M$2:$M$5,$N$2:$N$5)-SUMPRODUCT($M$7:$M$12,$N$7:$N$12)</f>
        <v>-120000</v>
      </c>
      <c r="AV1333" s="34" t="e">
        <f t="shared" ref="AV1333" si="5709">IF(AS1333&lt;&gt;AS1334,MMULT(MINVERSE(AS1333:AT1334),AU1333:AU1334)," ")</f>
        <v>#NUM!</v>
      </c>
      <c r="AW1333" s="34" t="str">
        <f t="shared" ref="AW1333" si="5710">IFERROR(IF(AV1333-VLOOKUP(AS$38,$A$2:$N$12,14,FALSE)&lt;0,AV1333-VLOOKUP(AS$38,$A$2:$N$12,14,FALSE)," ")," ")</f>
        <v xml:space="preserve"> </v>
      </c>
      <c r="AX1333" s="34" t="str">
        <f t="shared" ref="AX1333" si="5711">IFERROR(IF(AV1333-VLOOKUP(AS$38,$A$2:$N$12,14,FALSE)&gt;0,AV1333-VLOOKUP(AS$38,$A$2:$N$12,14,FALSE)," ")," ")</f>
        <v xml:space="preserve"> </v>
      </c>
      <c r="AY1333" s="34">
        <f t="shared" ref="AY1333" si="5712">$M$7</f>
        <v>0</v>
      </c>
      <c r="AZ1333" s="34">
        <v>-1</v>
      </c>
      <c r="BA1333" s="34">
        <f t="shared" ref="BA1333" si="5713">-SUMPRODUCT($M$2:$M$6,$N$2:$N$6)-SUMPRODUCT($M$8:$M$12,$N$8:$N$12)</f>
        <v>-120000</v>
      </c>
      <c r="BB1333" s="34" t="e">
        <f t="shared" ref="BB1333" si="5714">IF(AY1333&lt;&gt;AY1334,MMULT(MINVERSE(AY1333:AZ1334),BA1333:BA1334)," ")</f>
        <v>#NUM!</v>
      </c>
      <c r="BC1333" s="34" t="str">
        <f t="shared" ref="BC1333" si="5715">IFERROR(IF(BB1333-VLOOKUP(AY$38,$A$2:$N$12,14,FALSE)&lt;0,BB1333-VLOOKUP(AY$38,$A$2:$N$12,14,FALSE)," ")," ")</f>
        <v xml:space="preserve"> </v>
      </c>
      <c r="BD1333" s="34" t="str">
        <f t="shared" ref="BD1333" si="5716">IFERROR(IF(BB1333-VLOOKUP(AY$38,$A$2:$N$12,14,FALSE)&gt;0,BB1333-VLOOKUP(AY$38,$A$2:$N$12,14,FALSE)," ")," ")</f>
        <v xml:space="preserve"> </v>
      </c>
      <c r="BE1333" s="34">
        <f t="shared" ref="BE1333" si="5717">$M$8</f>
        <v>0</v>
      </c>
      <c r="BF1333" s="34">
        <v>-1</v>
      </c>
      <c r="BG1333" s="34">
        <f t="shared" ref="BG1333" si="5718">-SUMPRODUCT($M$2:$M$7,$N$2:$N$7)-SUMPRODUCT($M$9:$M$12,$N$9:$N$12)</f>
        <v>-120000</v>
      </c>
      <c r="BH1333" s="34" t="e">
        <f t="shared" ref="BH1333" si="5719">IF(BE1333&lt;&gt;BE1334,MMULT(MINVERSE(BE1333:BF1334),BG1333:BG1334)," ")</f>
        <v>#NUM!</v>
      </c>
      <c r="BI1333" s="34" t="str">
        <f t="shared" ref="BI1333" si="5720">IFERROR(IF(BH1333-VLOOKUP(BE$38,$A$2:$N$12,14,FALSE)&lt;0,BH1333-VLOOKUP(BE$38,$A$2:$N$12,14,FALSE)," ")," ")</f>
        <v xml:space="preserve"> </v>
      </c>
      <c r="BJ1333" s="34" t="str">
        <f t="shared" ref="BJ1333" si="5721">IFERROR(IF(BH1333-VLOOKUP(BE$38,$A$2:$N$12,14,FALSE)&gt;0,BH1333-VLOOKUP(BE$38,$A$2:$N$12,14,FALSE)," ")," ")</f>
        <v xml:space="preserve"> </v>
      </c>
      <c r="BK1333" s="34">
        <f t="shared" ref="BK1333" si="5722">$M$9</f>
        <v>0</v>
      </c>
      <c r="BL1333" s="34">
        <v>-1</v>
      </c>
      <c r="BM1333" s="34">
        <f t="shared" ref="BM1333" si="5723">-SUMPRODUCT($M$2:$M$8,$N$2:$N$8)-SUMPRODUCT($M$10:$M$12,$N$10:$N$12)</f>
        <v>-120000</v>
      </c>
      <c r="BN1333" s="34" t="e">
        <f t="shared" ref="BN1333" si="5724">IF(BK1333&lt;&gt;BK1334,MMULT(MINVERSE(BK1333:BL1334),BM1333:BM1334)," ")</f>
        <v>#NUM!</v>
      </c>
      <c r="BO1333" s="34" t="str">
        <f t="shared" ref="BO1333" si="5725">IFERROR(IF(BN1333-VLOOKUP(BK$38,$A$2:$N$12,14,FALSE)&lt;0,BN1333-VLOOKUP(BK$38,$A$2:$N$12,14,FALSE)," ")," ")</f>
        <v xml:space="preserve"> </v>
      </c>
      <c r="BP1333" s="34" t="str">
        <f t="shared" ref="BP1333" si="5726">IFERROR(IF(BN1333-VLOOKUP(BK$38,$A$2:$N$12,14,FALSE)&gt;0,BN1333-VLOOKUP(BK$38,$A$2:$N$12,14,FALSE)," ")," ")</f>
        <v xml:space="preserve"> </v>
      </c>
      <c r="BQ1333" s="34">
        <f t="shared" ref="BQ1333" si="5727">$M$10</f>
        <v>0</v>
      </c>
      <c r="BR1333" s="34">
        <v>-1</v>
      </c>
      <c r="BS1333" s="34">
        <f t="shared" ref="BS1333" si="5728">-SUMPRODUCT($M$2:$M$9,$N$2:$N$9)-SUMPRODUCT($M$11:$M$12,$N$11:$N$12)</f>
        <v>-120000</v>
      </c>
      <c r="BT1333" s="34" t="e">
        <f t="shared" ref="BT1333" si="5729">IF(BQ1333&lt;&gt;BQ1334,MMULT(MINVERSE(BQ1333:BR1334),BS1333:BS1334)," ")</f>
        <v>#NUM!</v>
      </c>
      <c r="BU1333" s="34" t="str">
        <f t="shared" ref="BU1333" si="5730">IFERROR(IF(BT1333-VLOOKUP(BQ$38,$A$2:$N$12,14,FALSE)&lt;0,BT1333-VLOOKUP(BQ$38,$A$2:$N$12,14,FALSE)," ")," ")</f>
        <v xml:space="preserve"> </v>
      </c>
      <c r="BV1333" s="34" t="str">
        <f t="shared" ref="BV1333" si="5731">IFERROR(IF(BT1333-VLOOKUP(BQ$38,$A$2:$N$12,14,FALSE)&gt;0,BT1333-VLOOKUP(BQ$38,$A$2:$N$12,14,FALSE)," ")," ")</f>
        <v xml:space="preserve"> </v>
      </c>
      <c r="BW1333" s="34">
        <f t="shared" ref="BW1333" si="5732">$M$11</f>
        <v>0</v>
      </c>
      <c r="BX1333" s="34">
        <v>-1</v>
      </c>
      <c r="BY1333" s="34">
        <f t="shared" ref="BY1333" si="5733">-SUMPRODUCT($M$2:$M$10,$N$2:$N$10)-SUMPRODUCT($M$12,$N$12)</f>
        <v>-120000</v>
      </c>
      <c r="BZ1333" s="34" t="e">
        <f t="shared" ref="BZ1333" si="5734">IF(BW1333&lt;&gt;BW1334,MMULT(MINVERSE(BW1333:BX1334),BY1333:BY1334)," ")</f>
        <v>#NUM!</v>
      </c>
      <c r="CA1333" s="34" t="str">
        <f t="shared" ref="CA1333" si="5735">IFERROR(IF(BZ1333-VLOOKUP(BW$38,$A$2:$N$12,14,FALSE)&lt;0,BZ1333-VLOOKUP(BW$38,$A$2:$N$12,14,FALSE)," ")," ")</f>
        <v xml:space="preserve"> </v>
      </c>
      <c r="CB1333" s="34" t="str">
        <f t="shared" ref="CB1333" si="5736">IFERROR(IF(BZ1333-VLOOKUP(BW$38,$A$2:$N$12,14,FALSE)&gt;0,BZ1333-VLOOKUP(BW$38,$A$2:$N$12,14,FALSE)," ")," ")</f>
        <v xml:space="preserve"> </v>
      </c>
      <c r="CC1333" s="34">
        <f t="shared" ref="CC1333" si="5737">$M$12</f>
        <v>0</v>
      </c>
      <c r="CD1333" s="34">
        <v>-1</v>
      </c>
      <c r="CE1333" s="34">
        <f t="shared" ref="CE1333" si="5738">-SUMPRODUCT($M$2:$M$11,$N$2:$N$11)</f>
        <v>-120000</v>
      </c>
      <c r="CF1333" s="34" t="e">
        <f t="shared" ref="CF1333" si="5739">IF(CC1333&lt;&gt;CC1334,MMULT(MINVERSE(CC1333:CD1334),CE1333:CE1334)," ")</f>
        <v>#NUM!</v>
      </c>
      <c r="CG1333" s="34" t="str">
        <f t="shared" ref="CG1333" si="5740">IFERROR(IF(CF1333-VLOOKUP(CC$38,$A$2:$N$12,14,FALSE)&lt;0,CF1333-VLOOKUP(CC$38,$A$2:$N$12,14,FALSE)," ")," ")</f>
        <v xml:space="preserve"> </v>
      </c>
      <c r="CH1333" s="34" t="str">
        <f t="shared" ref="CH1333" si="5741">IFERROR(IF(CF1333-VLOOKUP(CC$38,$A$2:$N$12,14,FALSE)&gt;0,CF1333-VLOOKUP(CC$38,$A$2:$N$12,14,FALSE)," ")," ")</f>
        <v xml:space="preserve"> </v>
      </c>
      <c r="CI1333" s="8"/>
    </row>
    <row r="1334" spans="1:87" x14ac:dyDescent="0.2">
      <c r="A1334" s="8" t="str">
        <f>IF(AND(COUNTIF(W$3:W$13,A$16)&gt;0,A$16&lt;&gt;B1308),A$16,IFERROR(IF(MATCH(A$16,Z$3:Z$13,0)=2,A$16," ")," "))</f>
        <v>C2</v>
      </c>
      <c r="B1334" s="8">
        <f>IF(A1334=" "," ",MAX(B1333:B1333)+1)</f>
        <v>1</v>
      </c>
      <c r="C1334" s="8" t="str">
        <f>IFERROR(INDEX(A1333:A1354,MATCH(SMALL(B1333:B1354,2),B1333:B1354,0),1)," ")</f>
        <v>C3</v>
      </c>
      <c r="D1334" s="8">
        <f t="shared" ref="D1334:D1343" si="5742">IFERROR(VLOOKUP($C1334,$A$15:$O$36,2,FALSE)," ")</f>
        <v>2</v>
      </c>
      <c r="E1334" s="8">
        <f t="shared" ref="E1334:E1343" si="5743">IFERROR(VLOOKUP($C1334,$A$15:$O$36,3,FALSE)," ")</f>
        <v>5</v>
      </c>
      <c r="F1334" s="8">
        <f t="shared" ref="F1334:F1343" si="5744">IFERROR(VLOOKUP($C1334,$A$15:$O$36,4,FALSE)," ")</f>
        <v>6</v>
      </c>
      <c r="G1334" s="8">
        <f t="shared" ref="G1334:G1343" si="5745">IFERROR(VLOOKUP($C1334,$A$15:$O$36,5,FALSE)," ")</f>
        <v>0</v>
      </c>
      <c r="H1334" s="8">
        <f t="shared" ref="H1334:H1343" si="5746">IFERROR(VLOOKUP($C1334,$A$15:$O$36,6,FALSE)," ")</f>
        <v>0</v>
      </c>
      <c r="I1334" s="8">
        <f t="shared" ref="I1334:I1343" si="5747">IFERROR(VLOOKUP($C1334,$A$15:$O$36,7,FALSE)," ")</f>
        <v>0</v>
      </c>
      <c r="J1334" s="8">
        <f t="shared" ref="J1334:J1343" si="5748">IFERROR(VLOOKUP($C1334,$A$15:$O$36,8,FALSE)," ")</f>
        <v>0</v>
      </c>
      <c r="K1334" s="8">
        <f t="shared" ref="K1334:K1343" si="5749">IFERROR(VLOOKUP($C1334,$A$15:$O$36,9,FALSE)," ")</f>
        <v>0</v>
      </c>
      <c r="L1334" s="8">
        <f t="shared" ref="L1334:L1343" si="5750">IFERROR(VLOOKUP($C1334,$A$15:$O$36,10,FALSE)," ")</f>
        <v>0</v>
      </c>
      <c r="M1334" s="8">
        <f t="shared" ref="M1334:M1343" si="5751">IFERROR(VLOOKUP($C1334,$A$15:$O$36,11,FALSE)," ")</f>
        <v>0</v>
      </c>
      <c r="N1334" s="8">
        <f t="shared" ref="N1334:N1343" si="5752">IFERROR(VLOOKUP($C1334,$A$15:$O$36,12,FALSE)," ")</f>
        <v>0</v>
      </c>
      <c r="O1334" s="8">
        <f t="shared" ref="O1334:O1343" si="5753">IFERROR(VLOOKUP($C1334,$A$15:$O$36,15,FALSE)," ")</f>
        <v>2000</v>
      </c>
      <c r="P1334" s="8" t="e">
        <v>#NUM!</v>
      </c>
      <c r="Q1334" s="8" t="e">
        <f t="shared" ref="Q1334" si="5754">IF(COUNTIF(P1333:P1343,"&lt;"&amp;-0.001)=0,IF(ABS(P1334)&lt;0.001,0,P1334)," ")</f>
        <v>#NUM!</v>
      </c>
      <c r="R1334" s="8"/>
      <c r="S1334" s="8"/>
      <c r="U1334" s="34" t="e">
        <f t="shared" ref="U1334" si="5755">$Q1333</f>
        <v>#NUM!</v>
      </c>
      <c r="V1334" s="34">
        <v>-1</v>
      </c>
      <c r="W1334" s="34" t="e">
        <f t="shared" ref="W1334" si="5756">-SUMPRODUCT($Q1334:$Q1343,$N$3:$N$12)</f>
        <v>#NUM!</v>
      </c>
      <c r="X1334" s="34"/>
      <c r="Y1334" s="34"/>
      <c r="Z1334" s="34"/>
      <c r="AA1334" s="34" t="e">
        <f t="shared" ref="AA1334" si="5757">$Q1334</f>
        <v>#NUM!</v>
      </c>
      <c r="AB1334" s="34">
        <v>-1</v>
      </c>
      <c r="AC1334" s="34" t="e">
        <f t="shared" ref="AC1334" si="5758">-SUMPRODUCT($Q1333:$Q1333,$N$2:$N$2)-SUMPRODUCT($Q1335:$Q1343,$N$4:$N$12)</f>
        <v>#NUM!</v>
      </c>
      <c r="AD1334" s="34"/>
      <c r="AE1334" s="34"/>
      <c r="AF1334" s="34"/>
      <c r="AG1334" s="34" t="e">
        <f t="shared" ref="AG1334" si="5759">$Q1335</f>
        <v>#NUM!</v>
      </c>
      <c r="AH1334" s="34">
        <v>-1</v>
      </c>
      <c r="AI1334" s="34" t="e">
        <f t="shared" ref="AI1334" si="5760">-SUMPRODUCT($Q1333:$Q1334,$N$2:$N$3)-SUMPRODUCT($Q1336:$Q1343,$N$5:$N$12)</f>
        <v>#NUM!</v>
      </c>
      <c r="AJ1334" s="34"/>
      <c r="AK1334" s="34"/>
      <c r="AL1334" s="34"/>
      <c r="AM1334" s="34" t="e">
        <f t="shared" ref="AM1334" si="5761">$Q1336</f>
        <v>#NUM!</v>
      </c>
      <c r="AN1334" s="34">
        <v>-1</v>
      </c>
      <c r="AO1334" s="34" t="e">
        <f t="shared" ref="AO1334" si="5762">-SUMPRODUCT($Q1333:$Q1335,$N$2:$N$4)-SUMPRODUCT($Q1337:$Q1343,$N$6:$N$12)</f>
        <v>#NUM!</v>
      </c>
      <c r="AP1334" s="34"/>
      <c r="AQ1334" s="34"/>
      <c r="AR1334" s="34"/>
      <c r="AS1334" s="34" t="e">
        <f t="shared" ref="AS1334" si="5763">$Q1337</f>
        <v>#NUM!</v>
      </c>
      <c r="AT1334" s="34">
        <v>-1</v>
      </c>
      <c r="AU1334" s="34" t="e">
        <f t="shared" ref="AU1334" si="5764">-SUMPRODUCT($Q1333:$Q1336,$N$2:$N$5)-SUMPRODUCT($Q1338:$Q1343,$N$7:$N$12)</f>
        <v>#NUM!</v>
      </c>
      <c r="AV1334" s="34"/>
      <c r="AW1334" s="34"/>
      <c r="AX1334" s="34"/>
      <c r="AY1334" s="34" t="e">
        <f t="shared" ref="AY1334" si="5765">$Q1338</f>
        <v>#NUM!</v>
      </c>
      <c r="AZ1334" s="34">
        <v>-1</v>
      </c>
      <c r="BA1334" s="34" t="e">
        <f t="shared" ref="BA1334" si="5766">-SUMPRODUCT($Q1333:$Q1337,$N$2:$N$6)-SUMPRODUCT($Q1339:$Q1343,$N$8:$N$12)</f>
        <v>#NUM!</v>
      </c>
      <c r="BB1334" s="34"/>
      <c r="BC1334" s="34"/>
      <c r="BD1334" s="34"/>
      <c r="BE1334" s="34" t="e">
        <f t="shared" ref="BE1334" si="5767">$Q1339</f>
        <v>#NUM!</v>
      </c>
      <c r="BF1334" s="34">
        <v>-1</v>
      </c>
      <c r="BG1334" s="34" t="e">
        <f t="shared" ref="BG1334" si="5768">-SUMPRODUCT($Q1333:$Q1338,$N$2:$N$7)-SUMPRODUCT($Q1340:$Q1343,$N$9:$N$12)</f>
        <v>#NUM!</v>
      </c>
      <c r="BH1334" s="34"/>
      <c r="BI1334" s="34"/>
      <c r="BJ1334" s="34"/>
      <c r="BK1334" s="34" t="e">
        <f t="shared" ref="BK1334" si="5769">$Q1340</f>
        <v>#NUM!</v>
      </c>
      <c r="BL1334" s="34">
        <v>-1</v>
      </c>
      <c r="BM1334" s="34" t="e">
        <f t="shared" ref="BM1334" si="5770">-SUMPRODUCT($Q1333:$Q1339,$N$2:$N$8)-SUMPRODUCT($Q1341:$Q1343,$N$10:$N$12)</f>
        <v>#NUM!</v>
      </c>
      <c r="BN1334" s="34"/>
      <c r="BO1334" s="34"/>
      <c r="BP1334" s="34"/>
      <c r="BQ1334" s="34" t="e">
        <f t="shared" ref="BQ1334" si="5771">$Q1341</f>
        <v>#NUM!</v>
      </c>
      <c r="BR1334" s="34">
        <v>-1</v>
      </c>
      <c r="BS1334" s="34" t="e">
        <f t="shared" ref="BS1334" si="5772">-SUMPRODUCT($Q1333:$Q1340,$N$2:$N$9)-SUMPRODUCT($Q1342:$Q1343,$N$11:$N$12)</f>
        <v>#NUM!</v>
      </c>
      <c r="BT1334" s="34"/>
      <c r="BU1334" s="34"/>
      <c r="BV1334" s="34"/>
      <c r="BW1334" s="34" t="e">
        <f t="shared" ref="BW1334" si="5773">$Q1342</f>
        <v>#NUM!</v>
      </c>
      <c r="BX1334" s="34">
        <v>-1</v>
      </c>
      <c r="BY1334" s="34" t="e">
        <f t="shared" ref="BY1334" si="5774">-SUMPRODUCT($Q1333:$Q1341,$N$2:$N$10)-SUMPRODUCT($Q1343,$N$12)</f>
        <v>#NUM!</v>
      </c>
      <c r="BZ1334" s="34"/>
      <c r="CA1334" s="34"/>
      <c r="CB1334" s="34"/>
      <c r="CC1334" s="34" t="e">
        <f t="shared" ref="CC1334" si="5775">$Q1343</f>
        <v>#NUM!</v>
      </c>
      <c r="CD1334" s="34">
        <v>-1</v>
      </c>
      <c r="CE1334" s="34" t="e">
        <f t="shared" ref="CE1334" si="5776">-SUMPRODUCT($Q1333:$Q1342,$N$2:$N$11)</f>
        <v>#NUM!</v>
      </c>
      <c r="CF1334" s="34"/>
      <c r="CG1334" s="34"/>
      <c r="CH1334" s="34"/>
      <c r="CI1334" s="8"/>
    </row>
    <row r="1335" spans="1:87" x14ac:dyDescent="0.2">
      <c r="A1335" s="8" t="str">
        <f>IF(AND(COUNTIF(W$3:W$13,A$17)&gt;0,A$17&lt;&gt;B1308),A$17,IFERROR(IF(MATCH(A$17,Z$3:Z$13,0)=2,A$17," ")," "))</f>
        <v>C3</v>
      </c>
      <c r="B1335" s="8">
        <f>IF(A1335=" "," ",MAX(B1333:B1334)+1)</f>
        <v>2</v>
      </c>
      <c r="C1335" s="8" t="str">
        <f>IFERROR(INDEX(A1333:A1354,MATCH(SMALL(B1333:B1354,3),B1333:B1354,0),1)," ")</f>
        <v>C4</v>
      </c>
      <c r="D1335" s="8">
        <f t="shared" si="5742"/>
        <v>1</v>
      </c>
      <c r="E1335" s="8">
        <f t="shared" si="5743"/>
        <v>0</v>
      </c>
      <c r="F1335" s="8">
        <f t="shared" si="5744"/>
        <v>1</v>
      </c>
      <c r="G1335" s="8">
        <f t="shared" si="5745"/>
        <v>0</v>
      </c>
      <c r="H1335" s="8">
        <f t="shared" si="5746"/>
        <v>0</v>
      </c>
      <c r="I1335" s="8">
        <f t="shared" si="5747"/>
        <v>0</v>
      </c>
      <c r="J1335" s="8">
        <f t="shared" si="5748"/>
        <v>0</v>
      </c>
      <c r="K1335" s="8">
        <f t="shared" si="5749"/>
        <v>0</v>
      </c>
      <c r="L1335" s="8">
        <f t="shared" si="5750"/>
        <v>0</v>
      </c>
      <c r="M1335" s="8">
        <f t="shared" si="5751"/>
        <v>0</v>
      </c>
      <c r="N1335" s="8">
        <f t="shared" si="5752"/>
        <v>0</v>
      </c>
      <c r="O1335" s="8">
        <f t="shared" si="5753"/>
        <v>400</v>
      </c>
      <c r="P1335" s="8" t="e">
        <v>#NUM!</v>
      </c>
      <c r="Q1335" s="8" t="e">
        <f t="shared" ref="Q1335" si="5777">IF(COUNTIF(P1333:P1343,"&lt;"&amp;-0.001)=0,IF(ABS(P1335)&lt;0.001,0,P1335)," ")</f>
        <v>#NUM!</v>
      </c>
      <c r="R1335" s="8"/>
      <c r="S1335" s="8"/>
      <c r="U1335" s="34"/>
      <c r="V1335" s="34"/>
      <c r="W1335" s="34"/>
      <c r="X1335" s="34"/>
      <c r="Y1335" s="34"/>
      <c r="Z1335" s="34"/>
      <c r="AA1335" s="34"/>
      <c r="AB1335" s="34"/>
      <c r="AC1335" s="34"/>
      <c r="AD1335" s="34"/>
      <c r="AE1335" s="34"/>
      <c r="AF1335" s="34"/>
      <c r="AG1335" s="34"/>
      <c r="AH1335" s="34"/>
      <c r="AI1335" s="34"/>
      <c r="AJ1335" s="34"/>
      <c r="AK1335" s="34"/>
      <c r="AL1335" s="34"/>
      <c r="AM1335" s="34"/>
      <c r="AN1335" s="34"/>
      <c r="AO1335" s="34"/>
      <c r="AP1335" s="34"/>
      <c r="AQ1335" s="34"/>
      <c r="AR1335" s="34"/>
      <c r="AS1335" s="34"/>
      <c r="AT1335" s="34"/>
      <c r="AU1335" s="34"/>
      <c r="AV1335" s="34"/>
      <c r="AW1335" s="34"/>
      <c r="AX1335" s="34"/>
      <c r="AY1335" s="34"/>
      <c r="AZ1335" s="34"/>
      <c r="BA1335" s="34"/>
      <c r="BB1335" s="34"/>
      <c r="BC1335" s="34"/>
      <c r="BD1335" s="34"/>
      <c r="BE1335" s="34"/>
      <c r="BF1335" s="34"/>
      <c r="BG1335" s="34"/>
      <c r="BH1335" s="34"/>
      <c r="BI1335" s="34"/>
      <c r="BJ1335" s="34"/>
      <c r="BK1335" s="34"/>
      <c r="BL1335" s="34"/>
      <c r="BM1335" s="34"/>
      <c r="BN1335" s="34"/>
      <c r="BO1335" s="34"/>
      <c r="BP1335" s="34"/>
      <c r="BQ1335" s="34"/>
      <c r="BR1335" s="34"/>
      <c r="BS1335" s="34"/>
      <c r="BT1335" s="34"/>
      <c r="BU1335" s="34"/>
      <c r="BV1335" s="34"/>
      <c r="BW1335" s="34"/>
      <c r="BX1335" s="34"/>
      <c r="BY1335" s="34"/>
      <c r="BZ1335" s="34"/>
      <c r="CA1335" s="34"/>
      <c r="CB1335" s="34"/>
      <c r="CC1335" s="34"/>
      <c r="CD1335" s="34"/>
      <c r="CE1335" s="34"/>
      <c r="CF1335" s="34"/>
      <c r="CG1335" s="34"/>
      <c r="CH1335" s="34"/>
      <c r="CI1335" s="8"/>
    </row>
    <row r="1336" spans="1:87" x14ac:dyDescent="0.2">
      <c r="A1336" s="8" t="str">
        <f>IF(AND(COUNTIF(W$3:W$13,A$18)&gt;0,A$18&lt;&gt;B1308),A$18,IFERROR(IF(MATCH(A$18,Z$3:Z$13,0)=2,A$18," ")," "))</f>
        <v>C4</v>
      </c>
      <c r="B1336" s="8">
        <f>IF(A1336=" "," ",MAX(B1333:B1335)+1)</f>
        <v>3</v>
      </c>
      <c r="C1336" s="8" t="str">
        <f>IFERROR(INDEX(A1333:A1354,MATCH(SMALL(B1333:B1354,4),B1333:B1354,0),1)," ")</f>
        <v>C13</v>
      </c>
      <c r="D1336" s="8">
        <f t="shared" si="5742"/>
        <v>0</v>
      </c>
      <c r="E1336" s="8">
        <f t="shared" si="5743"/>
        <v>1</v>
      </c>
      <c r="F1336" s="8">
        <f t="shared" si="5744"/>
        <v>0</v>
      </c>
      <c r="G1336" s="8">
        <f t="shared" si="5745"/>
        <v>0</v>
      </c>
      <c r="H1336" s="8">
        <f t="shared" si="5746"/>
        <v>0</v>
      </c>
      <c r="I1336" s="8">
        <f t="shared" si="5747"/>
        <v>0</v>
      </c>
      <c r="J1336" s="8">
        <f t="shared" si="5748"/>
        <v>0</v>
      </c>
      <c r="K1336" s="8">
        <f t="shared" si="5749"/>
        <v>0</v>
      </c>
      <c r="L1336" s="8">
        <f t="shared" si="5750"/>
        <v>0</v>
      </c>
      <c r="M1336" s="8">
        <f t="shared" si="5751"/>
        <v>0</v>
      </c>
      <c r="N1336" s="8">
        <f t="shared" si="5752"/>
        <v>0</v>
      </c>
      <c r="O1336" s="8">
        <f t="shared" si="5753"/>
        <v>0</v>
      </c>
      <c r="P1336" s="8" t="e">
        <v>#NUM!</v>
      </c>
      <c r="Q1336" s="8" t="e">
        <f t="shared" ref="Q1336" si="5778">IF(COUNTIF(P1333:P1343,"&lt;"&amp;-0.001)=0,IF(ABS(P1336)&lt;0.001,0,P1336)," ")</f>
        <v>#NUM!</v>
      </c>
      <c r="R1336" s="8"/>
      <c r="S1336" s="8"/>
      <c r="U1336" s="34"/>
      <c r="V1336" s="34"/>
      <c r="W1336" s="34"/>
      <c r="X1336" s="34"/>
      <c r="Y1336" s="34"/>
      <c r="Z1336" s="34"/>
      <c r="AA1336" s="34"/>
      <c r="AB1336" s="34"/>
      <c r="AC1336" s="34"/>
      <c r="AD1336" s="34"/>
      <c r="AE1336" s="34"/>
      <c r="AF1336" s="34"/>
      <c r="AG1336" s="34"/>
      <c r="AH1336" s="34"/>
      <c r="AI1336" s="34"/>
      <c r="AJ1336" s="34"/>
      <c r="AK1336" s="34"/>
      <c r="AL1336" s="34"/>
      <c r="AM1336" s="34"/>
      <c r="AN1336" s="34"/>
      <c r="AO1336" s="34"/>
      <c r="AP1336" s="34"/>
      <c r="AQ1336" s="34"/>
      <c r="AR1336" s="34"/>
      <c r="AS1336" s="34"/>
      <c r="AT1336" s="34"/>
      <c r="AU1336" s="34"/>
      <c r="AV1336" s="34"/>
      <c r="AW1336" s="34"/>
      <c r="AX1336" s="34"/>
      <c r="AY1336" s="34"/>
      <c r="AZ1336" s="34"/>
      <c r="BA1336" s="34"/>
      <c r="BB1336" s="34"/>
      <c r="BC1336" s="34"/>
      <c r="BD1336" s="34"/>
      <c r="BE1336" s="34"/>
      <c r="BF1336" s="34"/>
      <c r="BG1336" s="34"/>
      <c r="BH1336" s="34"/>
      <c r="BI1336" s="34"/>
      <c r="BJ1336" s="34"/>
      <c r="BK1336" s="34"/>
      <c r="BL1336" s="34"/>
      <c r="BM1336" s="34"/>
      <c r="BN1336" s="34"/>
      <c r="BO1336" s="34"/>
      <c r="BP1336" s="34"/>
      <c r="BQ1336" s="34"/>
      <c r="BR1336" s="34"/>
      <c r="BS1336" s="34"/>
      <c r="BT1336" s="34"/>
      <c r="BU1336" s="34"/>
      <c r="BV1336" s="34"/>
      <c r="BW1336" s="34"/>
      <c r="BX1336" s="34"/>
      <c r="BY1336" s="34"/>
      <c r="BZ1336" s="34"/>
      <c r="CA1336" s="34"/>
      <c r="CB1336" s="34"/>
      <c r="CC1336" s="34"/>
      <c r="CD1336" s="34"/>
      <c r="CE1336" s="34"/>
      <c r="CF1336" s="34"/>
      <c r="CG1336" s="34"/>
      <c r="CH1336" s="34"/>
      <c r="CI1336" s="8"/>
    </row>
    <row r="1337" spans="1:87" x14ac:dyDescent="0.2">
      <c r="A1337" s="8" t="str">
        <f>IF(AND(COUNTIF(W$3:W$13,A$19)&gt;0,A$19&lt;&gt;B1308),A$19,IFERROR(IF(MATCH(A$19,Z$3:Z$13,0)=2,A$19," ")," "))</f>
        <v xml:space="preserve"> </v>
      </c>
      <c r="B1337" s="8" t="str">
        <f>IF(A1337=" "," ",MAX(B1333:B1336)+1)</f>
        <v xml:space="preserve"> </v>
      </c>
      <c r="C1337" s="8" t="str">
        <f>IFERROR(INDEX(A1333:A1354,MATCH(SMALL(B1333:B1354,5),B1333:B1354,0),1)," ")</f>
        <v>C15</v>
      </c>
      <c r="D1337" s="8">
        <f t="shared" si="5742"/>
        <v>0</v>
      </c>
      <c r="E1337" s="8">
        <f t="shared" si="5743"/>
        <v>0</v>
      </c>
      <c r="F1337" s="8">
        <f t="shared" si="5744"/>
        <v>0</v>
      </c>
      <c r="G1337" s="8">
        <f t="shared" si="5745"/>
        <v>1</v>
      </c>
      <c r="H1337" s="8">
        <f t="shared" si="5746"/>
        <v>0</v>
      </c>
      <c r="I1337" s="8">
        <f t="shared" si="5747"/>
        <v>0</v>
      </c>
      <c r="J1337" s="8">
        <f t="shared" si="5748"/>
        <v>0</v>
      </c>
      <c r="K1337" s="8">
        <f t="shared" si="5749"/>
        <v>0</v>
      </c>
      <c r="L1337" s="8">
        <f t="shared" si="5750"/>
        <v>0</v>
      </c>
      <c r="M1337" s="8">
        <f t="shared" si="5751"/>
        <v>0</v>
      </c>
      <c r="N1337" s="8">
        <f t="shared" si="5752"/>
        <v>0</v>
      </c>
      <c r="O1337" s="8">
        <f t="shared" si="5753"/>
        <v>0</v>
      </c>
      <c r="P1337" s="8" t="e">
        <v>#NUM!</v>
      </c>
      <c r="Q1337" s="8" t="e">
        <f t="shared" ref="Q1337" si="5779">IF(COUNTIF(P1333:P1343,"&lt;"&amp;-0.001)=0,IF(ABS(P1337)&lt;0.001,0,P1337)," ")</f>
        <v>#NUM!</v>
      </c>
      <c r="R1337" s="8"/>
      <c r="S1337" s="8"/>
      <c r="U1337" s="34"/>
      <c r="V1337" s="34"/>
      <c r="W1337" s="34"/>
      <c r="X1337" s="34"/>
      <c r="Y1337" s="34"/>
      <c r="Z1337" s="34"/>
      <c r="AA1337" s="34"/>
      <c r="AB1337" s="34"/>
      <c r="AC1337" s="34"/>
      <c r="AD1337" s="34"/>
      <c r="AE1337" s="34"/>
      <c r="AF1337" s="34"/>
      <c r="AG1337" s="34"/>
      <c r="AH1337" s="34"/>
      <c r="AI1337" s="34"/>
      <c r="AJ1337" s="34"/>
      <c r="AK1337" s="34"/>
      <c r="AL1337" s="34"/>
      <c r="AM1337" s="34"/>
      <c r="AN1337" s="34"/>
      <c r="AO1337" s="34"/>
      <c r="AP1337" s="34"/>
      <c r="AQ1337" s="34"/>
      <c r="AR1337" s="34"/>
      <c r="AS1337" s="34"/>
      <c r="AT1337" s="34"/>
      <c r="AU1337" s="34"/>
      <c r="AV1337" s="34"/>
      <c r="AW1337" s="34"/>
      <c r="AX1337" s="34"/>
      <c r="AY1337" s="34"/>
      <c r="AZ1337" s="34"/>
      <c r="BA1337" s="34"/>
      <c r="BB1337" s="34"/>
      <c r="BC1337" s="34"/>
      <c r="BD1337" s="34"/>
      <c r="BE1337" s="34"/>
      <c r="BF1337" s="34"/>
      <c r="BG1337" s="34"/>
      <c r="BH1337" s="34"/>
      <c r="BI1337" s="34"/>
      <c r="BJ1337" s="34"/>
      <c r="BK1337" s="34"/>
      <c r="BL1337" s="34"/>
      <c r="BM1337" s="34"/>
      <c r="BN1337" s="34"/>
      <c r="BO1337" s="34"/>
      <c r="BP1337" s="34"/>
      <c r="BQ1337" s="34"/>
      <c r="BR1337" s="34"/>
      <c r="BS1337" s="34"/>
      <c r="BT1337" s="34"/>
      <c r="BU1337" s="34"/>
      <c r="BV1337" s="34"/>
      <c r="BW1337" s="34"/>
      <c r="BX1337" s="34"/>
      <c r="BY1337" s="34"/>
      <c r="BZ1337" s="34"/>
      <c r="CA1337" s="34"/>
      <c r="CB1337" s="34"/>
      <c r="CC1337" s="34"/>
      <c r="CD1337" s="34"/>
      <c r="CE1337" s="34"/>
      <c r="CF1337" s="34"/>
      <c r="CG1337" s="34"/>
      <c r="CH1337" s="34"/>
      <c r="CI1337" s="8"/>
    </row>
    <row r="1338" spans="1:87" x14ac:dyDescent="0.2">
      <c r="A1338" s="8" t="str">
        <f>IF(AND(COUNTIF(W$3:W$13,A$20)&gt;0,A$20&lt;&gt;B1308),A$20,IFERROR(IF(MATCH(A$20,Z$3:Z$13,0)=2,A$20," ")," "))</f>
        <v xml:space="preserve"> </v>
      </c>
      <c r="B1338" s="8" t="str">
        <f>IF(A1338=" "," ",MAX(B1333:B1337)+1)</f>
        <v xml:space="preserve"> </v>
      </c>
      <c r="C1338" s="8" t="str">
        <f>IFERROR(INDEX(A1333:A1354,MATCH(SMALL(B1333:B1354,6),B1333:B1354,0),1)," ")</f>
        <v>C16</v>
      </c>
      <c r="D1338" s="8">
        <f t="shared" si="5742"/>
        <v>0</v>
      </c>
      <c r="E1338" s="8">
        <f t="shared" si="5743"/>
        <v>0</v>
      </c>
      <c r="F1338" s="8">
        <f t="shared" si="5744"/>
        <v>0</v>
      </c>
      <c r="G1338" s="8">
        <f t="shared" si="5745"/>
        <v>0</v>
      </c>
      <c r="H1338" s="8">
        <f t="shared" si="5746"/>
        <v>1</v>
      </c>
      <c r="I1338" s="8">
        <f t="shared" si="5747"/>
        <v>0</v>
      </c>
      <c r="J1338" s="8">
        <f t="shared" si="5748"/>
        <v>0</v>
      </c>
      <c r="K1338" s="8">
        <f t="shared" si="5749"/>
        <v>0</v>
      </c>
      <c r="L1338" s="8">
        <f t="shared" si="5750"/>
        <v>0</v>
      </c>
      <c r="M1338" s="8">
        <f t="shared" si="5751"/>
        <v>0</v>
      </c>
      <c r="N1338" s="8">
        <f t="shared" si="5752"/>
        <v>0</v>
      </c>
      <c r="O1338" s="8">
        <f t="shared" si="5753"/>
        <v>0</v>
      </c>
      <c r="P1338" s="8" t="e">
        <v>#NUM!</v>
      </c>
      <c r="Q1338" s="8" t="e">
        <f t="shared" ref="Q1338" si="5780">IF(COUNTIF(P1333:P1343,"&lt;"&amp;-0.001)=0,IF(ABS(P1338)&lt;0.001,0,P1338)," ")</f>
        <v>#NUM!</v>
      </c>
      <c r="R1338" s="8"/>
      <c r="S1338" s="8"/>
      <c r="U1338" s="34"/>
      <c r="V1338" s="34"/>
      <c r="W1338" s="34"/>
      <c r="X1338" s="34"/>
      <c r="Y1338" s="34"/>
      <c r="Z1338" s="34"/>
      <c r="AA1338" s="34"/>
      <c r="AB1338" s="34"/>
      <c r="AC1338" s="34"/>
      <c r="AD1338" s="34"/>
      <c r="AE1338" s="34"/>
      <c r="AF1338" s="34"/>
      <c r="AG1338" s="34"/>
      <c r="AH1338" s="34"/>
      <c r="AI1338" s="34"/>
      <c r="AJ1338" s="34"/>
      <c r="AK1338" s="34"/>
      <c r="AL1338" s="34"/>
      <c r="AM1338" s="34"/>
      <c r="AN1338" s="34"/>
      <c r="AO1338" s="34"/>
      <c r="AP1338" s="34"/>
      <c r="AQ1338" s="34"/>
      <c r="AR1338" s="34"/>
      <c r="AS1338" s="34"/>
      <c r="AT1338" s="34"/>
      <c r="AU1338" s="34"/>
      <c r="AV1338" s="34"/>
      <c r="AW1338" s="34"/>
      <c r="AX1338" s="34"/>
      <c r="AY1338" s="34"/>
      <c r="AZ1338" s="34"/>
      <c r="BA1338" s="34"/>
      <c r="BB1338" s="34"/>
      <c r="BC1338" s="34"/>
      <c r="BD1338" s="34"/>
      <c r="BE1338" s="34"/>
      <c r="BF1338" s="34"/>
      <c r="BG1338" s="34"/>
      <c r="BH1338" s="34"/>
      <c r="BI1338" s="34"/>
      <c r="BJ1338" s="34"/>
      <c r="BK1338" s="34"/>
      <c r="BL1338" s="34"/>
      <c r="BM1338" s="34"/>
      <c r="BN1338" s="34"/>
      <c r="BO1338" s="34"/>
      <c r="BP1338" s="34"/>
      <c r="BQ1338" s="34"/>
      <c r="BR1338" s="34"/>
      <c r="BS1338" s="34"/>
      <c r="BT1338" s="34"/>
      <c r="BU1338" s="34"/>
      <c r="BV1338" s="34"/>
      <c r="BW1338" s="34"/>
      <c r="BX1338" s="34"/>
      <c r="BY1338" s="34"/>
      <c r="BZ1338" s="34"/>
      <c r="CA1338" s="34"/>
      <c r="CB1338" s="34"/>
      <c r="CC1338" s="34"/>
      <c r="CD1338" s="34"/>
      <c r="CE1338" s="34"/>
      <c r="CF1338" s="34"/>
      <c r="CG1338" s="34"/>
      <c r="CH1338" s="34"/>
      <c r="CI1338" s="8"/>
    </row>
    <row r="1339" spans="1:87" x14ac:dyDescent="0.2">
      <c r="A1339" s="8" t="str">
        <f>IF(AND(COUNTIF(W$3:W$13,A$21)&gt;0,A$21&lt;&gt;B1308),A$21,IFERROR(IF(MATCH(A$21,Z$3:Z$13,0)=2,A$21," ")," "))</f>
        <v xml:space="preserve"> </v>
      </c>
      <c r="B1339" s="8" t="str">
        <f>IF(A1339=" "," ",MAX(B1333:B1338)+1)</f>
        <v xml:space="preserve"> </v>
      </c>
      <c r="C1339" s="8" t="str">
        <f>IFERROR(INDEX(A1333:A1354,MATCH(SMALL(B1333:B1354,7),B1333:B1354,0),1)," ")</f>
        <v>C18</v>
      </c>
      <c r="D1339" s="8">
        <f t="shared" si="5742"/>
        <v>0</v>
      </c>
      <c r="E1339" s="8">
        <f t="shared" si="5743"/>
        <v>0</v>
      </c>
      <c r="F1339" s="8">
        <f t="shared" si="5744"/>
        <v>0</v>
      </c>
      <c r="G1339" s="8">
        <f t="shared" si="5745"/>
        <v>0</v>
      </c>
      <c r="H1339" s="8">
        <f t="shared" si="5746"/>
        <v>0</v>
      </c>
      <c r="I1339" s="8">
        <f t="shared" si="5747"/>
        <v>0</v>
      </c>
      <c r="J1339" s="8">
        <f t="shared" si="5748"/>
        <v>1</v>
      </c>
      <c r="K1339" s="8">
        <f t="shared" si="5749"/>
        <v>0</v>
      </c>
      <c r="L1339" s="8">
        <f t="shared" si="5750"/>
        <v>0</v>
      </c>
      <c r="M1339" s="8">
        <f t="shared" si="5751"/>
        <v>0</v>
      </c>
      <c r="N1339" s="8">
        <f t="shared" si="5752"/>
        <v>0</v>
      </c>
      <c r="O1339" s="8">
        <f t="shared" si="5753"/>
        <v>0</v>
      </c>
      <c r="P1339" s="8" t="e">
        <v>#NUM!</v>
      </c>
      <c r="Q1339" s="8" t="e">
        <f t="shared" ref="Q1339" si="5781">IF(COUNTIF(P1333:P1343,"&lt;"&amp;-0.001)=0,IF(ABS(P1339)&lt;0.001,0,P1339)," ")</f>
        <v>#NUM!</v>
      </c>
      <c r="R1339" s="8"/>
      <c r="S1339" s="8"/>
      <c r="U1339" s="34"/>
      <c r="V1339" s="34"/>
      <c r="W1339" s="34"/>
      <c r="X1339" s="34"/>
      <c r="Y1339" s="34"/>
      <c r="Z1339" s="34"/>
      <c r="AA1339" s="34"/>
      <c r="AB1339" s="34"/>
      <c r="AC1339" s="34"/>
      <c r="AD1339" s="34"/>
      <c r="AE1339" s="34"/>
      <c r="AF1339" s="34"/>
      <c r="AG1339" s="34"/>
      <c r="AH1339" s="34"/>
      <c r="AI1339" s="34"/>
      <c r="AJ1339" s="34"/>
      <c r="AK1339" s="34"/>
      <c r="AL1339" s="34"/>
      <c r="AM1339" s="34"/>
      <c r="AN1339" s="34"/>
      <c r="AO1339" s="34"/>
      <c r="AP1339" s="34"/>
      <c r="AQ1339" s="34"/>
      <c r="AR1339" s="34"/>
      <c r="AS1339" s="34"/>
      <c r="AT1339" s="34"/>
      <c r="AU1339" s="34"/>
      <c r="AV1339" s="34"/>
      <c r="AW1339" s="34"/>
      <c r="AX1339" s="34"/>
      <c r="AY1339" s="34"/>
      <c r="AZ1339" s="34"/>
      <c r="BA1339" s="34"/>
      <c r="BB1339" s="34"/>
      <c r="BC1339" s="34"/>
      <c r="BD1339" s="34"/>
      <c r="BE1339" s="34"/>
      <c r="BF1339" s="34"/>
      <c r="BG1339" s="34"/>
      <c r="BH1339" s="34"/>
      <c r="BI1339" s="34"/>
      <c r="BJ1339" s="34"/>
      <c r="BK1339" s="34"/>
      <c r="BL1339" s="34"/>
      <c r="BM1339" s="34"/>
      <c r="BN1339" s="34"/>
      <c r="BO1339" s="34"/>
      <c r="BP1339" s="34"/>
      <c r="BQ1339" s="34"/>
      <c r="BR1339" s="34"/>
      <c r="BS1339" s="34"/>
      <c r="BT1339" s="34"/>
      <c r="BU1339" s="34"/>
      <c r="BV1339" s="34"/>
      <c r="BW1339" s="34"/>
      <c r="BX1339" s="34"/>
      <c r="BY1339" s="34"/>
      <c r="BZ1339" s="34"/>
      <c r="CA1339" s="34"/>
      <c r="CB1339" s="34"/>
      <c r="CC1339" s="34"/>
      <c r="CD1339" s="34"/>
      <c r="CE1339" s="34"/>
      <c r="CF1339" s="34"/>
      <c r="CG1339" s="34"/>
      <c r="CH1339" s="34"/>
      <c r="CI1339" s="8"/>
    </row>
    <row r="1340" spans="1:87" x14ac:dyDescent="0.2">
      <c r="A1340" s="8" t="str">
        <f>IF(AND(COUNTIF(W$3:W$13,A$22)&gt;0,A$22&lt;&gt;B1308),A$22,IFERROR(IF(MATCH(A$22,Z$3:Z$13,0)=2,A$22," ")," "))</f>
        <v xml:space="preserve"> </v>
      </c>
      <c r="B1340" s="8" t="str">
        <f>IF(A1340=" "," ",MAX(B1333:B1339)+1)</f>
        <v xml:space="preserve"> </v>
      </c>
      <c r="C1340" s="8" t="str">
        <f>IFERROR(INDEX(A1333:A1354,MATCH(SMALL(B1333:B1354,8),B1333:B1354,0),1)," ")</f>
        <v>C19</v>
      </c>
      <c r="D1340" s="8">
        <f t="shared" si="5742"/>
        <v>0</v>
      </c>
      <c r="E1340" s="8">
        <f t="shared" si="5743"/>
        <v>0</v>
      </c>
      <c r="F1340" s="8">
        <f t="shared" si="5744"/>
        <v>0</v>
      </c>
      <c r="G1340" s="8">
        <f t="shared" si="5745"/>
        <v>0</v>
      </c>
      <c r="H1340" s="8">
        <f t="shared" si="5746"/>
        <v>0</v>
      </c>
      <c r="I1340" s="8">
        <f t="shared" si="5747"/>
        <v>0</v>
      </c>
      <c r="J1340" s="8">
        <f t="shared" si="5748"/>
        <v>0</v>
      </c>
      <c r="K1340" s="8">
        <f t="shared" si="5749"/>
        <v>1</v>
      </c>
      <c r="L1340" s="8">
        <f t="shared" si="5750"/>
        <v>0</v>
      </c>
      <c r="M1340" s="8">
        <f t="shared" si="5751"/>
        <v>0</v>
      </c>
      <c r="N1340" s="8">
        <f t="shared" si="5752"/>
        <v>0</v>
      </c>
      <c r="O1340" s="8">
        <f t="shared" si="5753"/>
        <v>0</v>
      </c>
      <c r="P1340" s="8" t="e">
        <v>#NUM!</v>
      </c>
      <c r="Q1340" s="8" t="e">
        <f t="shared" ref="Q1340" si="5782">IF(COUNTIF(P1333:P1343,"&lt;"&amp;-0.001)=0,IF(ABS(P1340)&lt;0.001,0,P1340)," ")</f>
        <v>#NUM!</v>
      </c>
      <c r="R1340" s="8"/>
      <c r="S1340" s="8"/>
      <c r="U1340" s="34"/>
      <c r="V1340" s="34"/>
      <c r="W1340" s="34"/>
      <c r="X1340" s="34"/>
      <c r="Y1340" s="34"/>
      <c r="Z1340" s="34"/>
      <c r="AA1340" s="34"/>
      <c r="AB1340" s="34"/>
      <c r="AC1340" s="34"/>
      <c r="AD1340" s="34"/>
      <c r="AE1340" s="34"/>
      <c r="AF1340" s="34"/>
      <c r="AG1340" s="34"/>
      <c r="AH1340" s="34"/>
      <c r="AI1340" s="34"/>
      <c r="AJ1340" s="34"/>
      <c r="AK1340" s="34"/>
      <c r="AL1340" s="34"/>
      <c r="AM1340" s="34"/>
      <c r="AN1340" s="34"/>
      <c r="AO1340" s="34"/>
      <c r="AP1340" s="34"/>
      <c r="AQ1340" s="34"/>
      <c r="AR1340" s="34"/>
      <c r="AS1340" s="34"/>
      <c r="AT1340" s="34"/>
      <c r="AU1340" s="34"/>
      <c r="AV1340" s="34"/>
      <c r="AW1340" s="34"/>
      <c r="AX1340" s="34"/>
      <c r="AY1340" s="34"/>
      <c r="AZ1340" s="34"/>
      <c r="BA1340" s="34"/>
      <c r="BB1340" s="34"/>
      <c r="BC1340" s="34"/>
      <c r="BD1340" s="34"/>
      <c r="BE1340" s="34"/>
      <c r="BF1340" s="34"/>
      <c r="BG1340" s="34"/>
      <c r="BH1340" s="34"/>
      <c r="BI1340" s="34"/>
      <c r="BJ1340" s="34"/>
      <c r="BK1340" s="34"/>
      <c r="BL1340" s="34"/>
      <c r="BM1340" s="34"/>
      <c r="BN1340" s="34"/>
      <c r="BO1340" s="34"/>
      <c r="BP1340" s="34"/>
      <c r="BQ1340" s="34"/>
      <c r="BR1340" s="34"/>
      <c r="BS1340" s="34"/>
      <c r="BT1340" s="34"/>
      <c r="BU1340" s="34"/>
      <c r="BV1340" s="34"/>
      <c r="BW1340" s="34"/>
      <c r="BX1340" s="34"/>
      <c r="BY1340" s="34"/>
      <c r="BZ1340" s="34"/>
      <c r="CA1340" s="34"/>
      <c r="CB1340" s="34"/>
      <c r="CC1340" s="34"/>
      <c r="CD1340" s="34"/>
      <c r="CE1340" s="34"/>
      <c r="CF1340" s="34"/>
      <c r="CG1340" s="34"/>
      <c r="CH1340" s="34"/>
      <c r="CI1340" s="8"/>
    </row>
    <row r="1341" spans="1:87" x14ac:dyDescent="0.2">
      <c r="A1341" s="8" t="str">
        <f>IF(AND(COUNTIF(W$3:W$13,A$23)&gt;0,A$23&lt;&gt;B1308),A$23,IFERROR(IF(MATCH(A$23,Z$3:Z$13,0)=2,A$23," ")," "))</f>
        <v xml:space="preserve"> </v>
      </c>
      <c r="B1341" s="8" t="str">
        <f>IF(A1341=" "," ",MAX(B1333:B1340)+1)</f>
        <v xml:space="preserve"> </v>
      </c>
      <c r="C1341" s="8" t="str">
        <f>IFERROR(INDEX(A1333:A1354,MATCH(SMALL(B1333:B1354,9),B1333:B1354,0),1)," ")</f>
        <v>C20</v>
      </c>
      <c r="D1341" s="8">
        <f t="shared" si="5742"/>
        <v>0</v>
      </c>
      <c r="E1341" s="8">
        <f t="shared" si="5743"/>
        <v>0</v>
      </c>
      <c r="F1341" s="8">
        <f t="shared" si="5744"/>
        <v>0</v>
      </c>
      <c r="G1341" s="8">
        <f t="shared" si="5745"/>
        <v>0</v>
      </c>
      <c r="H1341" s="8">
        <f t="shared" si="5746"/>
        <v>0</v>
      </c>
      <c r="I1341" s="8">
        <f t="shared" si="5747"/>
        <v>0</v>
      </c>
      <c r="J1341" s="8">
        <f t="shared" si="5748"/>
        <v>0</v>
      </c>
      <c r="K1341" s="8">
        <f t="shared" si="5749"/>
        <v>0</v>
      </c>
      <c r="L1341" s="8">
        <f t="shared" si="5750"/>
        <v>1</v>
      </c>
      <c r="M1341" s="8">
        <f t="shared" si="5751"/>
        <v>0</v>
      </c>
      <c r="N1341" s="8">
        <f t="shared" si="5752"/>
        <v>0</v>
      </c>
      <c r="O1341" s="8">
        <f t="shared" si="5753"/>
        <v>0</v>
      </c>
      <c r="P1341" s="6" t="e">
        <v>#NUM!</v>
      </c>
      <c r="Q1341" s="8" t="e">
        <f t="shared" ref="Q1341" si="5783">IF(COUNTIF(P1333:P1343,"&lt;"&amp;-0.001)=0,IF(ABS(P1341)&lt;0.001,0,P1341)," ")</f>
        <v>#NUM!</v>
      </c>
      <c r="R1341" s="12"/>
      <c r="S1341" s="12"/>
      <c r="T1341" s="21"/>
      <c r="U1341" s="34"/>
      <c r="V1341" s="34"/>
      <c r="W1341" s="34"/>
      <c r="X1341" s="34"/>
      <c r="Y1341" s="34"/>
      <c r="Z1341" s="34"/>
      <c r="AA1341" s="34"/>
      <c r="AB1341" s="34"/>
      <c r="AC1341" s="34"/>
      <c r="AD1341" s="34"/>
      <c r="AE1341" s="34"/>
      <c r="AF1341" s="34"/>
      <c r="AG1341" s="34"/>
      <c r="AH1341" s="34"/>
      <c r="AI1341" s="34"/>
      <c r="AJ1341" s="34"/>
      <c r="AK1341" s="34"/>
      <c r="AL1341" s="34"/>
      <c r="AM1341" s="34"/>
      <c r="AN1341" s="34"/>
      <c r="AO1341" s="34"/>
      <c r="AP1341" s="34"/>
      <c r="AQ1341" s="34"/>
      <c r="AR1341" s="34"/>
      <c r="AS1341" s="34"/>
      <c r="AT1341" s="34"/>
      <c r="AU1341" s="34"/>
      <c r="AV1341" s="34"/>
      <c r="AW1341" s="34"/>
      <c r="AX1341" s="34"/>
      <c r="AY1341" s="34"/>
      <c r="AZ1341" s="34"/>
      <c r="BA1341" s="34"/>
      <c r="BB1341" s="34"/>
      <c r="BC1341" s="34"/>
      <c r="BD1341" s="34"/>
      <c r="BE1341" s="34"/>
      <c r="BF1341" s="34"/>
      <c r="BG1341" s="34"/>
      <c r="BH1341" s="34"/>
      <c r="BI1341" s="34"/>
      <c r="BJ1341" s="34"/>
      <c r="BK1341" s="34"/>
      <c r="BL1341" s="34"/>
      <c r="BM1341" s="34"/>
      <c r="BN1341" s="34"/>
      <c r="BO1341" s="34"/>
      <c r="BP1341" s="34"/>
      <c r="BQ1341" s="34"/>
      <c r="BR1341" s="34"/>
      <c r="BS1341" s="34"/>
      <c r="BT1341" s="34"/>
      <c r="BU1341" s="34"/>
      <c r="BV1341" s="34"/>
      <c r="BW1341" s="34"/>
      <c r="BX1341" s="34"/>
      <c r="BY1341" s="34"/>
      <c r="BZ1341" s="34"/>
      <c r="CA1341" s="34"/>
      <c r="CB1341" s="34"/>
      <c r="CC1341" s="34"/>
      <c r="CD1341" s="34"/>
      <c r="CE1341" s="34"/>
      <c r="CF1341" s="34"/>
      <c r="CG1341" s="34"/>
      <c r="CH1341" s="34"/>
      <c r="CI1341" s="8"/>
    </row>
    <row r="1342" spans="1:87" x14ac:dyDescent="0.2">
      <c r="A1342" s="8" t="str">
        <f>IF(AND(COUNTIF(W$3:W$13,A$24)&gt;0,A$24&lt;&gt;B1308),A$24,IFERROR(IF(MATCH(A$24,Z$3:Z$13,0)=2,A$24," ")," "))</f>
        <v xml:space="preserve"> </v>
      </c>
      <c r="B1342" s="8" t="str">
        <f>IF(A1342=" "," ",MAX(B1333:B1341)+1)</f>
        <v xml:space="preserve"> </v>
      </c>
      <c r="C1342" s="8" t="str">
        <f>IFERROR(INDEX(A1333:A1354,MATCH(SMALL(B1333:B1354,10),B1333:B1354,0),1)," ")</f>
        <v>C21</v>
      </c>
      <c r="D1342" s="8">
        <f t="shared" si="5742"/>
        <v>0</v>
      </c>
      <c r="E1342" s="8">
        <f t="shared" si="5743"/>
        <v>0</v>
      </c>
      <c r="F1342" s="8">
        <f t="shared" si="5744"/>
        <v>0</v>
      </c>
      <c r="G1342" s="8">
        <f t="shared" si="5745"/>
        <v>0</v>
      </c>
      <c r="H1342" s="8">
        <f t="shared" si="5746"/>
        <v>0</v>
      </c>
      <c r="I1342" s="8">
        <f t="shared" si="5747"/>
        <v>0</v>
      </c>
      <c r="J1342" s="8">
        <f t="shared" si="5748"/>
        <v>0</v>
      </c>
      <c r="K1342" s="8">
        <f t="shared" si="5749"/>
        <v>0</v>
      </c>
      <c r="L1342" s="8">
        <f t="shared" si="5750"/>
        <v>0</v>
      </c>
      <c r="M1342" s="8">
        <f t="shared" si="5751"/>
        <v>1</v>
      </c>
      <c r="N1342" s="8">
        <f t="shared" si="5752"/>
        <v>0</v>
      </c>
      <c r="O1342" s="8">
        <f t="shared" si="5753"/>
        <v>0</v>
      </c>
      <c r="P1342" s="8" t="e">
        <v>#NUM!</v>
      </c>
      <c r="Q1342" s="8" t="e">
        <f t="shared" ref="Q1342" si="5784">IF(COUNTIF(P1333:P1343,"&lt;"&amp;-0.001)=0,IF(ABS(P1342)&lt;0.001,0,P1342)," ")</f>
        <v>#NUM!</v>
      </c>
      <c r="R1342" s="8"/>
      <c r="S1342" s="8"/>
      <c r="U1342" s="34"/>
      <c r="V1342" s="34"/>
      <c r="W1342" s="34"/>
      <c r="X1342" s="34"/>
      <c r="Y1342" s="34"/>
      <c r="Z1342" s="34"/>
      <c r="AA1342" s="34"/>
      <c r="AB1342" s="34"/>
      <c r="AC1342" s="34"/>
      <c r="AD1342" s="34"/>
      <c r="AE1342" s="34"/>
      <c r="AF1342" s="34"/>
      <c r="AG1342" s="34"/>
      <c r="AH1342" s="34"/>
      <c r="AI1342" s="34"/>
      <c r="AJ1342" s="34"/>
      <c r="AK1342" s="34"/>
      <c r="AL1342" s="34"/>
      <c r="AM1342" s="34"/>
      <c r="AN1342" s="34"/>
      <c r="AO1342" s="34"/>
      <c r="AP1342" s="34"/>
      <c r="AQ1342" s="34"/>
      <c r="AR1342" s="34"/>
      <c r="AS1342" s="34"/>
      <c r="AT1342" s="34"/>
      <c r="AU1342" s="34"/>
      <c r="AV1342" s="34"/>
      <c r="AW1342" s="34"/>
      <c r="AX1342" s="34"/>
      <c r="AY1342" s="34"/>
      <c r="AZ1342" s="34"/>
      <c r="BA1342" s="34"/>
      <c r="BB1342" s="34"/>
      <c r="BC1342" s="34"/>
      <c r="BD1342" s="34"/>
      <c r="BE1342" s="34"/>
      <c r="BF1342" s="34"/>
      <c r="BG1342" s="34"/>
      <c r="BH1342" s="34"/>
      <c r="BI1342" s="34"/>
      <c r="BJ1342" s="34"/>
      <c r="BK1342" s="34"/>
      <c r="BL1342" s="34"/>
      <c r="BM1342" s="34"/>
      <c r="BN1342" s="34"/>
      <c r="BO1342" s="34"/>
      <c r="BP1342" s="34"/>
      <c r="BQ1342" s="34"/>
      <c r="BR1342" s="34"/>
      <c r="BS1342" s="34"/>
      <c r="BT1342" s="34"/>
      <c r="BU1342" s="34"/>
      <c r="BV1342" s="34"/>
      <c r="BW1342" s="34"/>
      <c r="BX1342" s="34"/>
      <c r="BY1342" s="34"/>
      <c r="BZ1342" s="34"/>
      <c r="CA1342" s="34"/>
      <c r="CB1342" s="34"/>
      <c r="CC1342" s="34"/>
      <c r="CD1342" s="34"/>
      <c r="CE1342" s="34"/>
      <c r="CF1342" s="34"/>
      <c r="CG1342" s="34"/>
      <c r="CH1342" s="34"/>
      <c r="CI1342" s="8"/>
    </row>
    <row r="1343" spans="1:87" x14ac:dyDescent="0.2">
      <c r="A1343" s="8" t="str">
        <f>IF(AND(COUNTIF(W$3:W$13,A$25)&gt;0,A$25&lt;&gt;B1308),A$25,IFERROR(IF(MATCH(A$25,Z$3:Z$13,0)=2,A$25," ")," "))</f>
        <v xml:space="preserve"> </v>
      </c>
      <c r="B1343" s="8" t="str">
        <f>IF(A1343=" "," ",MAX(B1333:B1342)+1)</f>
        <v xml:space="preserve"> </v>
      </c>
      <c r="C1343" s="8" t="str">
        <f>IFERROR(INDEX(A1333:A1354,MATCH(SMALL(B1333:B1354,11),B1333:B1354,0),1)," ")</f>
        <v>C22</v>
      </c>
      <c r="D1343" s="8">
        <f t="shared" si="5742"/>
        <v>0</v>
      </c>
      <c r="E1343" s="8">
        <f t="shared" si="5743"/>
        <v>0</v>
      </c>
      <c r="F1343" s="8">
        <f t="shared" si="5744"/>
        <v>0</v>
      </c>
      <c r="G1343" s="8">
        <f t="shared" si="5745"/>
        <v>0</v>
      </c>
      <c r="H1343" s="8">
        <f t="shared" si="5746"/>
        <v>0</v>
      </c>
      <c r="I1343" s="8">
        <f t="shared" si="5747"/>
        <v>0</v>
      </c>
      <c r="J1343" s="8">
        <f t="shared" si="5748"/>
        <v>0</v>
      </c>
      <c r="K1343" s="8">
        <f t="shared" si="5749"/>
        <v>0</v>
      </c>
      <c r="L1343" s="8">
        <f t="shared" si="5750"/>
        <v>0</v>
      </c>
      <c r="M1343" s="8">
        <f t="shared" si="5751"/>
        <v>0</v>
      </c>
      <c r="N1343" s="8">
        <f t="shared" si="5752"/>
        <v>1</v>
      </c>
      <c r="O1343" s="8">
        <f t="shared" si="5753"/>
        <v>0</v>
      </c>
      <c r="P1343" s="8" t="e">
        <v>#NUM!</v>
      </c>
      <c r="Q1343" s="8" t="e">
        <f t="shared" ref="Q1343" si="5785">IF(COUNTIF(P1333:P1343,"&lt;"&amp;-0.001)=0,IF(ABS(P1343)&lt;0.001,0,P1343)," ")</f>
        <v>#NUM!</v>
      </c>
      <c r="R1343" s="8"/>
      <c r="S1343" s="8"/>
      <c r="U1343" s="34"/>
      <c r="V1343" s="34"/>
      <c r="W1343" s="34"/>
      <c r="X1343" s="34"/>
      <c r="Y1343" s="34"/>
      <c r="Z1343" s="34"/>
      <c r="AA1343" s="34"/>
      <c r="AB1343" s="34"/>
      <c r="AC1343" s="34"/>
      <c r="AD1343" s="34"/>
      <c r="AE1343" s="34"/>
      <c r="AF1343" s="34"/>
      <c r="AG1343" s="34"/>
      <c r="AH1343" s="34"/>
      <c r="AI1343" s="34"/>
      <c r="AJ1343" s="34"/>
      <c r="AK1343" s="34"/>
      <c r="AL1343" s="34"/>
      <c r="AM1343" s="34"/>
      <c r="AN1343" s="34"/>
      <c r="AO1343" s="34"/>
      <c r="AP1343" s="34"/>
      <c r="AQ1343" s="34"/>
      <c r="AR1343" s="34"/>
      <c r="AS1343" s="34"/>
      <c r="AT1343" s="34"/>
      <c r="AU1343" s="34"/>
      <c r="AV1343" s="34"/>
      <c r="AW1343" s="34"/>
      <c r="AX1343" s="34"/>
      <c r="AY1343" s="34"/>
      <c r="AZ1343" s="34"/>
      <c r="BA1343" s="34"/>
      <c r="BB1343" s="34"/>
      <c r="BC1343" s="34"/>
      <c r="BD1343" s="34"/>
      <c r="BE1343" s="34"/>
      <c r="BF1343" s="34"/>
      <c r="BG1343" s="34"/>
      <c r="BH1343" s="34"/>
      <c r="BI1343" s="34"/>
      <c r="BJ1343" s="34"/>
      <c r="BK1343" s="34"/>
      <c r="BL1343" s="34"/>
      <c r="BM1343" s="34"/>
      <c r="BN1343" s="34"/>
      <c r="BO1343" s="34"/>
      <c r="BP1343" s="34"/>
      <c r="BQ1343" s="34"/>
      <c r="BR1343" s="34"/>
      <c r="BS1343" s="34"/>
      <c r="BT1343" s="34"/>
      <c r="BU1343" s="34"/>
      <c r="BV1343" s="34"/>
      <c r="BW1343" s="34"/>
      <c r="BX1343" s="34"/>
      <c r="BY1343" s="34"/>
      <c r="BZ1343" s="34"/>
      <c r="CA1343" s="34"/>
      <c r="CB1343" s="34"/>
      <c r="CC1343" s="34"/>
      <c r="CD1343" s="34"/>
      <c r="CE1343" s="34"/>
      <c r="CF1343" s="34"/>
      <c r="CG1343" s="34"/>
      <c r="CH1343" s="34"/>
      <c r="CI1343" s="8"/>
    </row>
    <row r="1344" spans="1:87" x14ac:dyDescent="0.2">
      <c r="A1344" s="8" t="str">
        <f>IF(AND(COUNTIF(W$3:W$13,A$26)&gt;0,A$26&lt;&gt;B1308),A$26,IFERROR(IF(MATCH(A$26,Z$3:Z$13,0)=2,A$26," ")," "))</f>
        <v xml:space="preserve"> </v>
      </c>
      <c r="B1344" s="8" t="str">
        <f>IF(A1344=" "," ",MAX(B1333:B1343)+1)</f>
        <v xml:space="preserve"> </v>
      </c>
      <c r="C1344" s="8"/>
      <c r="D1344" s="8"/>
      <c r="E1344" s="8"/>
      <c r="F1344" s="8"/>
      <c r="G1344" s="8"/>
      <c r="H1344" s="8"/>
      <c r="I1344" s="8"/>
      <c r="J1344" s="8"/>
      <c r="K1344" s="8"/>
      <c r="L1344" s="8"/>
      <c r="M1344" s="8"/>
      <c r="N1344" s="8"/>
      <c r="O1344" s="8"/>
      <c r="P1344" s="8"/>
      <c r="Q1344" s="8"/>
      <c r="R1344" s="8"/>
      <c r="S1344" s="8"/>
      <c r="U1344" s="34"/>
      <c r="V1344" s="34"/>
      <c r="W1344" s="34"/>
      <c r="X1344" s="34"/>
      <c r="Y1344" s="34"/>
      <c r="Z1344" s="34"/>
      <c r="AA1344" s="34"/>
      <c r="AB1344" s="34"/>
      <c r="AC1344" s="34"/>
      <c r="AD1344" s="34"/>
      <c r="AE1344" s="34"/>
      <c r="AF1344" s="34"/>
      <c r="AG1344" s="34"/>
      <c r="AH1344" s="34"/>
      <c r="AI1344" s="34"/>
      <c r="AJ1344" s="34"/>
      <c r="AK1344" s="34"/>
      <c r="AL1344" s="34"/>
      <c r="AM1344" s="34"/>
      <c r="AN1344" s="34"/>
      <c r="AO1344" s="34"/>
      <c r="AP1344" s="34"/>
      <c r="AQ1344" s="34"/>
      <c r="AR1344" s="34"/>
      <c r="AS1344" s="34"/>
      <c r="AT1344" s="34"/>
      <c r="AU1344" s="34"/>
      <c r="AV1344" s="34"/>
      <c r="AW1344" s="34"/>
      <c r="AX1344" s="34"/>
      <c r="AY1344" s="34"/>
      <c r="AZ1344" s="34"/>
      <c r="BA1344" s="34"/>
      <c r="BB1344" s="34"/>
      <c r="BC1344" s="34"/>
      <c r="BD1344" s="34"/>
      <c r="BE1344" s="34"/>
      <c r="BF1344" s="34"/>
      <c r="BG1344" s="34"/>
      <c r="BH1344" s="34"/>
      <c r="BI1344" s="34"/>
      <c r="BJ1344" s="34"/>
      <c r="BK1344" s="34"/>
      <c r="BL1344" s="34"/>
      <c r="BM1344" s="34"/>
      <c r="BN1344" s="34"/>
      <c r="BO1344" s="34"/>
      <c r="BP1344" s="34"/>
      <c r="BQ1344" s="34"/>
      <c r="BR1344" s="34"/>
      <c r="BS1344" s="34"/>
      <c r="BT1344" s="34"/>
      <c r="BU1344" s="34"/>
      <c r="BV1344" s="34"/>
      <c r="BW1344" s="34"/>
      <c r="BX1344" s="34"/>
      <c r="BY1344" s="34"/>
      <c r="BZ1344" s="34"/>
      <c r="CA1344" s="34"/>
      <c r="CB1344" s="34"/>
      <c r="CC1344" s="34"/>
      <c r="CD1344" s="34"/>
      <c r="CE1344" s="34"/>
      <c r="CF1344" s="34"/>
      <c r="CG1344" s="34"/>
      <c r="CH1344" s="34"/>
      <c r="CI1344" s="8"/>
    </row>
    <row r="1345" spans="1:87" x14ac:dyDescent="0.2">
      <c r="A1345" s="8" t="str">
        <f>IF(AND(COUNTIF(W$3:W$13,A$27)&gt;0,A$27&lt;&gt;B1308),A$27,IFERROR(IF(MATCH(A$27,Z$3:Z$13,0)=2,A$27," ")," "))</f>
        <v>C13</v>
      </c>
      <c r="B1345" s="8">
        <f>IF(A1345=" "," ",MAX(B1333:B1344)+1)</f>
        <v>4</v>
      </c>
      <c r="C1345" s="8"/>
      <c r="D1345" s="8"/>
      <c r="E1345" s="8"/>
      <c r="F1345" s="8"/>
      <c r="G1345" s="8"/>
      <c r="H1345" s="8"/>
      <c r="I1345" s="8"/>
      <c r="J1345" s="8"/>
      <c r="K1345" s="8"/>
      <c r="L1345" s="8"/>
      <c r="M1345" s="8"/>
      <c r="N1345" s="8"/>
      <c r="O1345" s="8"/>
      <c r="P1345" s="8"/>
      <c r="Q1345" s="8"/>
      <c r="R1345" s="8"/>
      <c r="S1345" s="8"/>
      <c r="U1345" s="34"/>
      <c r="V1345" s="34"/>
      <c r="W1345" s="34"/>
      <c r="X1345" s="34"/>
      <c r="Y1345" s="34"/>
      <c r="Z1345" s="34"/>
      <c r="AA1345" s="34"/>
      <c r="AB1345" s="34"/>
      <c r="AC1345" s="34"/>
      <c r="AD1345" s="34"/>
      <c r="AE1345" s="34"/>
      <c r="AF1345" s="34"/>
      <c r="AG1345" s="34"/>
      <c r="AH1345" s="34"/>
      <c r="AI1345" s="34"/>
      <c r="AJ1345" s="34"/>
      <c r="AK1345" s="34"/>
      <c r="AL1345" s="34"/>
      <c r="AM1345" s="34"/>
      <c r="AN1345" s="34"/>
      <c r="AO1345" s="34"/>
      <c r="AP1345" s="34"/>
      <c r="AQ1345" s="34"/>
      <c r="AR1345" s="34"/>
      <c r="AS1345" s="34"/>
      <c r="AT1345" s="34"/>
      <c r="AU1345" s="34"/>
      <c r="AV1345" s="34"/>
      <c r="AW1345" s="34"/>
      <c r="AX1345" s="34"/>
      <c r="AY1345" s="34"/>
      <c r="AZ1345" s="34"/>
      <c r="BA1345" s="34"/>
      <c r="BB1345" s="34"/>
      <c r="BC1345" s="34"/>
      <c r="BD1345" s="34"/>
      <c r="BE1345" s="34"/>
      <c r="BF1345" s="34"/>
      <c r="BG1345" s="34"/>
      <c r="BH1345" s="34"/>
      <c r="BI1345" s="34"/>
      <c r="BJ1345" s="34"/>
      <c r="BK1345" s="34"/>
      <c r="BL1345" s="34"/>
      <c r="BM1345" s="34"/>
      <c r="BN1345" s="34"/>
      <c r="BO1345" s="34"/>
      <c r="BP1345" s="34"/>
      <c r="BQ1345" s="34"/>
      <c r="BR1345" s="34"/>
      <c r="BS1345" s="34"/>
      <c r="BT1345" s="34"/>
      <c r="BU1345" s="34"/>
      <c r="BV1345" s="34"/>
      <c r="BW1345" s="34"/>
      <c r="BX1345" s="34"/>
      <c r="BY1345" s="34"/>
      <c r="BZ1345" s="34"/>
      <c r="CA1345" s="34"/>
      <c r="CB1345" s="34"/>
      <c r="CC1345" s="34"/>
      <c r="CD1345" s="34"/>
      <c r="CE1345" s="34"/>
      <c r="CF1345" s="34"/>
      <c r="CG1345" s="34"/>
      <c r="CH1345" s="34"/>
      <c r="CI1345" s="8"/>
    </row>
    <row r="1346" spans="1:87" x14ac:dyDescent="0.2">
      <c r="A1346" s="8" t="str">
        <f>IF(AND(COUNTIF(W$3:W$13,A$28)&gt;0,A$28&lt;&gt;B1308),A$28,IFERROR(IF(MATCH(A$28,Z$3:Z$13,0)=2,A$28," ")," "))</f>
        <v xml:space="preserve"> </v>
      </c>
      <c r="B1346" s="8" t="str">
        <f>IF(A1346=" "," ",MAX(B1333:B1345)+1)</f>
        <v xml:space="preserve"> </v>
      </c>
      <c r="C1346" s="8"/>
      <c r="D1346" s="8"/>
      <c r="E1346" s="8"/>
      <c r="F1346" s="8"/>
      <c r="G1346" s="8"/>
      <c r="H1346" s="8"/>
      <c r="I1346" s="8"/>
      <c r="J1346" s="8"/>
      <c r="K1346" s="8"/>
      <c r="L1346" s="8"/>
      <c r="M1346" s="8"/>
      <c r="N1346" s="8"/>
      <c r="O1346" s="8"/>
      <c r="P1346" s="8"/>
      <c r="Q1346" s="8"/>
      <c r="R1346" s="8"/>
      <c r="S1346" s="8"/>
      <c r="U1346" s="34"/>
      <c r="V1346" s="34"/>
      <c r="W1346" s="34"/>
      <c r="X1346" s="34"/>
      <c r="Y1346" s="34"/>
      <c r="Z1346" s="34"/>
      <c r="AA1346" s="34"/>
      <c r="AB1346" s="34"/>
      <c r="AC1346" s="34"/>
      <c r="AD1346" s="34"/>
      <c r="AE1346" s="34"/>
      <c r="AF1346" s="34"/>
      <c r="AG1346" s="34"/>
      <c r="AH1346" s="34"/>
      <c r="AI1346" s="34"/>
      <c r="AJ1346" s="34"/>
      <c r="AK1346" s="34"/>
      <c r="AL1346" s="34"/>
      <c r="AM1346" s="34"/>
      <c r="AN1346" s="34"/>
      <c r="AO1346" s="34"/>
      <c r="AP1346" s="34"/>
      <c r="AQ1346" s="34"/>
      <c r="AR1346" s="34"/>
      <c r="AS1346" s="34"/>
      <c r="AT1346" s="34"/>
      <c r="AU1346" s="34"/>
      <c r="AV1346" s="34"/>
      <c r="AW1346" s="34"/>
      <c r="AX1346" s="34"/>
      <c r="AY1346" s="34"/>
      <c r="AZ1346" s="34"/>
      <c r="BA1346" s="34"/>
      <c r="BB1346" s="34"/>
      <c r="BC1346" s="34"/>
      <c r="BD1346" s="34"/>
      <c r="BE1346" s="34"/>
      <c r="BF1346" s="34"/>
      <c r="BG1346" s="34"/>
      <c r="BH1346" s="34"/>
      <c r="BI1346" s="34"/>
      <c r="BJ1346" s="34"/>
      <c r="BK1346" s="34"/>
      <c r="BL1346" s="34"/>
      <c r="BM1346" s="34"/>
      <c r="BN1346" s="34"/>
      <c r="BO1346" s="34"/>
      <c r="BP1346" s="34"/>
      <c r="BQ1346" s="34"/>
      <c r="BR1346" s="34"/>
      <c r="BS1346" s="34"/>
      <c r="BT1346" s="34"/>
      <c r="BU1346" s="34"/>
      <c r="BV1346" s="34"/>
      <c r="BW1346" s="34"/>
      <c r="BX1346" s="34"/>
      <c r="BY1346" s="34"/>
      <c r="BZ1346" s="34"/>
      <c r="CA1346" s="34"/>
      <c r="CB1346" s="34"/>
      <c r="CC1346" s="34"/>
      <c r="CD1346" s="34"/>
      <c r="CE1346" s="34"/>
      <c r="CF1346" s="34"/>
      <c r="CG1346" s="34"/>
      <c r="CH1346" s="34"/>
      <c r="CI1346" s="8"/>
    </row>
    <row r="1347" spans="1:87" x14ac:dyDescent="0.2">
      <c r="A1347" s="8" t="str">
        <f>IF(AND(COUNTIF(W$3:W$13,A$29)&gt;0,A$29&lt;&gt;B1308),A$29,IFERROR(IF(MATCH(A$29,Z$3:Z$13,0)=2,A$29," ")," "))</f>
        <v>C15</v>
      </c>
      <c r="B1347" s="8">
        <f>IF(A1347=" "," ",MAX(B1333:B1346)+1)</f>
        <v>5</v>
      </c>
      <c r="C1347" s="8"/>
      <c r="D1347" s="8"/>
      <c r="E1347" s="8"/>
      <c r="F1347" s="8"/>
      <c r="G1347" s="8"/>
      <c r="H1347" s="8"/>
      <c r="I1347" s="8"/>
      <c r="J1347" s="8"/>
      <c r="K1347" s="8"/>
      <c r="L1347" s="8"/>
      <c r="M1347" s="8"/>
      <c r="N1347" s="8"/>
      <c r="O1347" s="8"/>
      <c r="P1347" s="8"/>
      <c r="Q1347" s="8"/>
      <c r="R1347" s="8"/>
      <c r="S1347" s="8"/>
      <c r="U1347" s="34"/>
      <c r="V1347" s="34"/>
      <c r="W1347" s="34"/>
      <c r="X1347" s="34"/>
      <c r="Y1347" s="34"/>
      <c r="Z1347" s="34"/>
      <c r="AA1347" s="34"/>
      <c r="AB1347" s="34"/>
      <c r="AC1347" s="34"/>
      <c r="AD1347" s="34"/>
      <c r="AE1347" s="34"/>
      <c r="AF1347" s="34"/>
      <c r="AG1347" s="34"/>
      <c r="AH1347" s="34"/>
      <c r="AI1347" s="34"/>
      <c r="AJ1347" s="34"/>
      <c r="AK1347" s="34"/>
      <c r="AL1347" s="34"/>
      <c r="AM1347" s="34"/>
      <c r="AN1347" s="34"/>
      <c r="AO1347" s="34"/>
      <c r="AP1347" s="34"/>
      <c r="AQ1347" s="34"/>
      <c r="AR1347" s="34"/>
      <c r="AS1347" s="34"/>
      <c r="AT1347" s="34"/>
      <c r="AU1347" s="34"/>
      <c r="AV1347" s="34"/>
      <c r="AW1347" s="34"/>
      <c r="AX1347" s="34"/>
      <c r="AY1347" s="34"/>
      <c r="AZ1347" s="34"/>
      <c r="BA1347" s="34"/>
      <c r="BB1347" s="34"/>
      <c r="BC1347" s="34"/>
      <c r="BD1347" s="34"/>
      <c r="BE1347" s="34"/>
      <c r="BF1347" s="34"/>
      <c r="BG1347" s="34"/>
      <c r="BH1347" s="34"/>
      <c r="BI1347" s="34"/>
      <c r="BJ1347" s="34"/>
      <c r="BK1347" s="34"/>
      <c r="BL1347" s="34"/>
      <c r="BM1347" s="34"/>
      <c r="BN1347" s="34"/>
      <c r="BO1347" s="34"/>
      <c r="BP1347" s="34"/>
      <c r="BQ1347" s="34"/>
      <c r="BR1347" s="34"/>
      <c r="BS1347" s="34"/>
      <c r="BT1347" s="34"/>
      <c r="BU1347" s="34"/>
      <c r="BV1347" s="34"/>
      <c r="BW1347" s="34"/>
      <c r="BX1347" s="34"/>
      <c r="BY1347" s="34"/>
      <c r="BZ1347" s="34"/>
      <c r="CA1347" s="34"/>
      <c r="CB1347" s="34"/>
      <c r="CC1347" s="34"/>
      <c r="CD1347" s="34"/>
      <c r="CE1347" s="34"/>
      <c r="CF1347" s="34"/>
      <c r="CG1347" s="34"/>
      <c r="CH1347" s="34"/>
      <c r="CI1347" s="8"/>
    </row>
    <row r="1348" spans="1:87" x14ac:dyDescent="0.2">
      <c r="A1348" s="8" t="str">
        <f>IF(AND(COUNTIF(W$3:W$13,A$30)&gt;0,A$30&lt;&gt;B1308),A$30,IFERROR(IF(MATCH(A$30,Z$3:Z$13,0)=2,A$30," ")," "))</f>
        <v>C16</v>
      </c>
      <c r="B1348" s="8">
        <f>IF(A1348=" "," ",MAX(B1333:B1347)+1)</f>
        <v>6</v>
      </c>
      <c r="C1348" s="8"/>
      <c r="D1348" s="8"/>
      <c r="E1348" s="8"/>
      <c r="F1348" s="8"/>
      <c r="G1348" s="8"/>
      <c r="H1348" s="8"/>
      <c r="I1348" s="8"/>
      <c r="J1348" s="8"/>
      <c r="K1348" s="8"/>
      <c r="L1348" s="8"/>
      <c r="M1348" s="8"/>
      <c r="N1348" s="8"/>
      <c r="O1348" s="8"/>
      <c r="P1348" s="8"/>
      <c r="Q1348" s="8"/>
      <c r="R1348" s="8"/>
      <c r="S1348" s="8"/>
      <c r="U1348" s="34"/>
      <c r="V1348" s="34"/>
      <c r="W1348" s="34"/>
      <c r="X1348" s="34"/>
      <c r="Y1348" s="34"/>
      <c r="Z1348" s="34"/>
      <c r="AA1348" s="34"/>
      <c r="AB1348" s="34"/>
      <c r="AC1348" s="34"/>
      <c r="AD1348" s="34"/>
      <c r="AE1348" s="34"/>
      <c r="AF1348" s="34"/>
      <c r="AG1348" s="34"/>
      <c r="AH1348" s="34"/>
      <c r="AI1348" s="34"/>
      <c r="AJ1348" s="34"/>
      <c r="AK1348" s="34"/>
      <c r="AL1348" s="34"/>
      <c r="AM1348" s="34"/>
      <c r="AN1348" s="34"/>
      <c r="AO1348" s="34"/>
      <c r="AP1348" s="34"/>
      <c r="AQ1348" s="34"/>
      <c r="AR1348" s="34"/>
      <c r="AS1348" s="34"/>
      <c r="AT1348" s="34"/>
      <c r="AU1348" s="34"/>
      <c r="AV1348" s="34"/>
      <c r="AW1348" s="34"/>
      <c r="AX1348" s="34"/>
      <c r="AY1348" s="34"/>
      <c r="AZ1348" s="34"/>
      <c r="BA1348" s="34"/>
      <c r="BB1348" s="34"/>
      <c r="BC1348" s="34"/>
      <c r="BD1348" s="34"/>
      <c r="BE1348" s="34"/>
      <c r="BF1348" s="34"/>
      <c r="BG1348" s="34"/>
      <c r="BH1348" s="34"/>
      <c r="BI1348" s="34"/>
      <c r="BJ1348" s="34"/>
      <c r="BK1348" s="34"/>
      <c r="BL1348" s="34"/>
      <c r="BM1348" s="34"/>
      <c r="BN1348" s="34"/>
      <c r="BO1348" s="34"/>
      <c r="BP1348" s="34"/>
      <c r="BQ1348" s="34"/>
      <c r="BR1348" s="34"/>
      <c r="BS1348" s="34"/>
      <c r="BT1348" s="34"/>
      <c r="BU1348" s="34"/>
      <c r="BV1348" s="34"/>
      <c r="BW1348" s="34"/>
      <c r="BX1348" s="34"/>
      <c r="BY1348" s="34"/>
      <c r="BZ1348" s="34"/>
      <c r="CA1348" s="34"/>
      <c r="CB1348" s="34"/>
      <c r="CC1348" s="34"/>
      <c r="CD1348" s="34"/>
      <c r="CE1348" s="34"/>
      <c r="CF1348" s="34"/>
      <c r="CG1348" s="34"/>
      <c r="CH1348" s="34"/>
      <c r="CI1348" s="8"/>
    </row>
    <row r="1349" spans="1:87" x14ac:dyDescent="0.2">
      <c r="A1349" s="8" t="str">
        <f>IF(AND(COUNTIF(W$3:W$13,A$31)&gt;0,A$31&lt;&gt;B1308),A$31,IFERROR(IF(MATCH(A$31,Z$3:Z$13,0)=2,A$31," ")," "))</f>
        <v xml:space="preserve"> </v>
      </c>
      <c r="B1349" s="8" t="str">
        <f>IF(A1349=" "," ",MAX(B1333:B1348)+1)</f>
        <v xml:space="preserve"> </v>
      </c>
      <c r="C1349" s="8"/>
      <c r="D1349" s="8"/>
      <c r="E1349" s="8"/>
      <c r="F1349" s="8"/>
      <c r="G1349" s="8"/>
      <c r="H1349" s="8"/>
      <c r="I1349" s="8"/>
      <c r="J1349" s="8"/>
      <c r="K1349" s="8"/>
      <c r="L1349" s="8"/>
      <c r="M1349" s="8"/>
      <c r="N1349" s="8"/>
      <c r="O1349" s="8"/>
      <c r="P1349" s="8"/>
      <c r="Q1349" s="8"/>
      <c r="R1349" s="8"/>
      <c r="S1349" s="8"/>
      <c r="U1349" s="34"/>
      <c r="V1349" s="34"/>
      <c r="W1349" s="34"/>
      <c r="X1349" s="34"/>
      <c r="Y1349" s="34"/>
      <c r="Z1349" s="34"/>
      <c r="AA1349" s="34"/>
      <c r="AB1349" s="34"/>
      <c r="AC1349" s="34"/>
      <c r="AD1349" s="34"/>
      <c r="AE1349" s="34"/>
      <c r="AF1349" s="34"/>
      <c r="AG1349" s="34"/>
      <c r="AH1349" s="34"/>
      <c r="AI1349" s="34"/>
      <c r="AJ1349" s="34"/>
      <c r="AK1349" s="34"/>
      <c r="AL1349" s="34"/>
      <c r="AM1349" s="34"/>
      <c r="AN1349" s="34"/>
      <c r="AO1349" s="34"/>
      <c r="AP1349" s="34"/>
      <c r="AQ1349" s="34"/>
      <c r="AR1349" s="34"/>
      <c r="AS1349" s="34"/>
      <c r="AT1349" s="34"/>
      <c r="AU1349" s="34"/>
      <c r="AV1349" s="34"/>
      <c r="AW1349" s="34"/>
      <c r="AX1349" s="34"/>
      <c r="AY1349" s="34"/>
      <c r="AZ1349" s="34"/>
      <c r="BA1349" s="34"/>
      <c r="BB1349" s="34"/>
      <c r="BC1349" s="34"/>
      <c r="BD1349" s="34"/>
      <c r="BE1349" s="34"/>
      <c r="BF1349" s="34"/>
      <c r="BG1349" s="34"/>
      <c r="BH1349" s="34"/>
      <c r="BI1349" s="34"/>
      <c r="BJ1349" s="34"/>
      <c r="BK1349" s="34"/>
      <c r="BL1349" s="34"/>
      <c r="BM1349" s="34"/>
      <c r="BN1349" s="34"/>
      <c r="BO1349" s="34"/>
      <c r="BP1349" s="34"/>
      <c r="BQ1349" s="34"/>
      <c r="BR1349" s="34"/>
      <c r="BS1349" s="34"/>
      <c r="BT1349" s="34"/>
      <c r="BU1349" s="34"/>
      <c r="BV1349" s="34"/>
      <c r="BW1349" s="34"/>
      <c r="BX1349" s="34"/>
      <c r="BY1349" s="34"/>
      <c r="BZ1349" s="34"/>
      <c r="CA1349" s="34"/>
      <c r="CB1349" s="34"/>
      <c r="CC1349" s="34"/>
      <c r="CD1349" s="34"/>
      <c r="CE1349" s="34"/>
      <c r="CF1349" s="34"/>
      <c r="CG1349" s="34"/>
      <c r="CH1349" s="34"/>
      <c r="CI1349" s="8"/>
    </row>
    <row r="1350" spans="1:87" x14ac:dyDescent="0.2">
      <c r="A1350" s="8" t="str">
        <f>IF(AND(COUNTIF(W$3:W$13,A$32)&gt;0,A$32&lt;&gt;B1308),A$32,IFERROR(IF(MATCH(A$32,Z$3:Z$13,0)=2,A$32," ")," "))</f>
        <v>C18</v>
      </c>
      <c r="B1350" s="8">
        <f>IF(A1350=" "," ",MAX(B1333:B1349)+1)</f>
        <v>7</v>
      </c>
      <c r="C1350" s="8"/>
      <c r="D1350" s="8"/>
      <c r="E1350" s="8"/>
      <c r="F1350" s="8"/>
      <c r="G1350" s="8"/>
      <c r="H1350" s="8"/>
      <c r="I1350" s="8"/>
      <c r="J1350" s="8"/>
      <c r="K1350" s="8"/>
      <c r="L1350" s="8"/>
      <c r="M1350" s="8"/>
      <c r="N1350" s="8"/>
      <c r="O1350" s="8"/>
      <c r="P1350" s="8"/>
      <c r="Q1350" s="8"/>
      <c r="R1350" s="8"/>
      <c r="S1350" s="8"/>
      <c r="U1350" s="34"/>
      <c r="V1350" s="34"/>
      <c r="W1350" s="34"/>
      <c r="X1350" s="34"/>
      <c r="Y1350" s="34"/>
      <c r="Z1350" s="34"/>
      <c r="AA1350" s="34"/>
      <c r="AB1350" s="34"/>
      <c r="AC1350" s="34"/>
      <c r="AD1350" s="34"/>
      <c r="AE1350" s="34"/>
      <c r="AF1350" s="34"/>
      <c r="AG1350" s="34"/>
      <c r="AH1350" s="34"/>
      <c r="AI1350" s="34"/>
      <c r="AJ1350" s="34"/>
      <c r="AK1350" s="34"/>
      <c r="AL1350" s="34"/>
      <c r="AM1350" s="34"/>
      <c r="AN1350" s="34"/>
      <c r="AO1350" s="34"/>
      <c r="AP1350" s="34"/>
      <c r="AQ1350" s="34"/>
      <c r="AR1350" s="34"/>
      <c r="AS1350" s="34"/>
      <c r="AT1350" s="34"/>
      <c r="AU1350" s="34"/>
      <c r="AV1350" s="34"/>
      <c r="AW1350" s="34"/>
      <c r="AX1350" s="34"/>
      <c r="AY1350" s="34"/>
      <c r="AZ1350" s="34"/>
      <c r="BA1350" s="34"/>
      <c r="BB1350" s="34"/>
      <c r="BC1350" s="34"/>
      <c r="BD1350" s="34"/>
      <c r="BE1350" s="34"/>
      <c r="BF1350" s="34"/>
      <c r="BG1350" s="34"/>
      <c r="BH1350" s="34"/>
      <c r="BI1350" s="34"/>
      <c r="BJ1350" s="34"/>
      <c r="BK1350" s="34"/>
      <c r="BL1350" s="34"/>
      <c r="BM1350" s="34"/>
      <c r="BN1350" s="34"/>
      <c r="BO1350" s="34"/>
      <c r="BP1350" s="34"/>
      <c r="BQ1350" s="34"/>
      <c r="BR1350" s="34"/>
      <c r="BS1350" s="34"/>
      <c r="BT1350" s="34"/>
      <c r="BU1350" s="34"/>
      <c r="BV1350" s="34"/>
      <c r="BW1350" s="34"/>
      <c r="BX1350" s="34"/>
      <c r="BY1350" s="34"/>
      <c r="BZ1350" s="34"/>
      <c r="CA1350" s="34"/>
      <c r="CB1350" s="34"/>
      <c r="CC1350" s="34"/>
      <c r="CD1350" s="34"/>
      <c r="CE1350" s="34"/>
      <c r="CF1350" s="34"/>
      <c r="CG1350" s="34"/>
      <c r="CH1350" s="34"/>
      <c r="CI1350" s="8"/>
    </row>
    <row r="1351" spans="1:87" x14ac:dyDescent="0.2">
      <c r="A1351" s="8" t="str">
        <f>IF(AND(COUNTIF(W$3:W$13,A$33)&gt;0,A$33&lt;&gt;B1308),A$33,IFERROR(IF(MATCH(A$33,Z$3:Z$13,0)=2,A$33," ")," "))</f>
        <v>C19</v>
      </c>
      <c r="B1351" s="8">
        <f>IF(A1351=" "," ",MAX(B1333:B1350)+1)</f>
        <v>8</v>
      </c>
      <c r="C1351" s="8"/>
      <c r="D1351" s="8"/>
      <c r="E1351" s="8"/>
      <c r="F1351" s="8"/>
      <c r="G1351" s="8"/>
      <c r="H1351" s="8"/>
      <c r="I1351" s="8"/>
      <c r="J1351" s="8"/>
      <c r="K1351" s="8"/>
      <c r="L1351" s="8"/>
      <c r="M1351" s="8"/>
      <c r="N1351" s="8"/>
      <c r="O1351" s="8"/>
      <c r="P1351" s="8"/>
      <c r="Q1351" s="8"/>
      <c r="R1351" s="8"/>
      <c r="S1351" s="8"/>
      <c r="U1351" s="34"/>
      <c r="V1351" s="34"/>
      <c r="W1351" s="34"/>
      <c r="X1351" s="34"/>
      <c r="Y1351" s="34"/>
      <c r="Z1351" s="34"/>
      <c r="AA1351" s="34"/>
      <c r="AB1351" s="34"/>
      <c r="AC1351" s="34"/>
      <c r="AD1351" s="34"/>
      <c r="AE1351" s="34"/>
      <c r="AF1351" s="34"/>
      <c r="AG1351" s="34"/>
      <c r="AH1351" s="34"/>
      <c r="AI1351" s="34"/>
      <c r="AJ1351" s="34"/>
      <c r="AK1351" s="34"/>
      <c r="AL1351" s="34"/>
      <c r="AM1351" s="34"/>
      <c r="AN1351" s="34"/>
      <c r="AO1351" s="34"/>
      <c r="AP1351" s="34"/>
      <c r="AQ1351" s="34"/>
      <c r="AR1351" s="34"/>
      <c r="AS1351" s="34"/>
      <c r="AT1351" s="34"/>
      <c r="AU1351" s="34"/>
      <c r="AV1351" s="34"/>
      <c r="AW1351" s="34"/>
      <c r="AX1351" s="34"/>
      <c r="AY1351" s="34"/>
      <c r="AZ1351" s="34"/>
      <c r="BA1351" s="34"/>
      <c r="BB1351" s="34"/>
      <c r="BC1351" s="34"/>
      <c r="BD1351" s="34"/>
      <c r="BE1351" s="34"/>
      <c r="BF1351" s="34"/>
      <c r="BG1351" s="34"/>
      <c r="BH1351" s="34"/>
      <c r="BI1351" s="34"/>
      <c r="BJ1351" s="34"/>
      <c r="BK1351" s="34"/>
      <c r="BL1351" s="34"/>
      <c r="BM1351" s="34"/>
      <c r="BN1351" s="34"/>
      <c r="BO1351" s="34"/>
      <c r="BP1351" s="34"/>
      <c r="BQ1351" s="34"/>
      <c r="BR1351" s="34"/>
      <c r="BS1351" s="34"/>
      <c r="BT1351" s="34"/>
      <c r="BU1351" s="34"/>
      <c r="BV1351" s="34"/>
      <c r="BW1351" s="34"/>
      <c r="BX1351" s="34"/>
      <c r="BY1351" s="34"/>
      <c r="BZ1351" s="34"/>
      <c r="CA1351" s="34"/>
      <c r="CB1351" s="34"/>
      <c r="CC1351" s="34"/>
      <c r="CD1351" s="34"/>
      <c r="CE1351" s="34"/>
      <c r="CF1351" s="34"/>
      <c r="CG1351" s="34"/>
      <c r="CH1351" s="34"/>
      <c r="CI1351" s="8"/>
    </row>
    <row r="1352" spans="1:87" x14ac:dyDescent="0.2">
      <c r="A1352" s="8" t="str">
        <f>IF(AND(COUNTIF(W$3:W$13,A$34)&gt;0,A$34&lt;&gt;B1308),A$34,IFERROR(IF(MATCH(A$34,Z$3:Z$13,0)=2,A$34," ")," "))</f>
        <v>C20</v>
      </c>
      <c r="B1352" s="8">
        <f>IF(A1352=" "," ",MAX(B1333:B1351)+1)</f>
        <v>9</v>
      </c>
      <c r="C1352" s="8"/>
      <c r="D1352" s="8"/>
      <c r="E1352" s="8"/>
      <c r="F1352" s="8"/>
      <c r="G1352" s="8"/>
      <c r="H1352" s="8"/>
      <c r="I1352" s="8"/>
      <c r="J1352" s="8"/>
      <c r="K1352" s="8"/>
      <c r="L1352" s="8"/>
      <c r="M1352" s="8"/>
      <c r="N1352" s="8"/>
      <c r="O1352" s="8"/>
      <c r="P1352" s="8"/>
      <c r="Q1352" s="8"/>
      <c r="R1352" s="8"/>
      <c r="S1352" s="8"/>
      <c r="U1352" s="34"/>
      <c r="V1352" s="34"/>
      <c r="W1352" s="34"/>
      <c r="X1352" s="34"/>
      <c r="Y1352" s="34"/>
      <c r="Z1352" s="34"/>
      <c r="AA1352" s="34"/>
      <c r="AB1352" s="34"/>
      <c r="AC1352" s="34"/>
      <c r="AD1352" s="34"/>
      <c r="AE1352" s="34"/>
      <c r="AF1352" s="34"/>
      <c r="AG1352" s="34"/>
      <c r="AH1352" s="34"/>
      <c r="AI1352" s="34"/>
      <c r="AJ1352" s="34"/>
      <c r="AK1352" s="34"/>
      <c r="AL1352" s="34"/>
      <c r="AM1352" s="34"/>
      <c r="AN1352" s="34"/>
      <c r="AO1352" s="34"/>
      <c r="AP1352" s="34"/>
      <c r="AQ1352" s="34"/>
      <c r="AR1352" s="34"/>
      <c r="AS1352" s="34"/>
      <c r="AT1352" s="34"/>
      <c r="AU1352" s="34"/>
      <c r="AV1352" s="34"/>
      <c r="AW1352" s="34"/>
      <c r="AX1352" s="34"/>
      <c r="AY1352" s="34"/>
      <c r="AZ1352" s="34"/>
      <c r="BA1352" s="34"/>
      <c r="BB1352" s="34"/>
      <c r="BC1352" s="34"/>
      <c r="BD1352" s="34"/>
      <c r="BE1352" s="34"/>
      <c r="BF1352" s="34"/>
      <c r="BG1352" s="34"/>
      <c r="BH1352" s="34"/>
      <c r="BI1352" s="34"/>
      <c r="BJ1352" s="34"/>
      <c r="BK1352" s="34"/>
      <c r="BL1352" s="34"/>
      <c r="BM1352" s="34"/>
      <c r="BN1352" s="34"/>
      <c r="BO1352" s="34"/>
      <c r="BP1352" s="34"/>
      <c r="BQ1352" s="34"/>
      <c r="BR1352" s="34"/>
      <c r="BS1352" s="34"/>
      <c r="BT1352" s="34"/>
      <c r="BU1352" s="34"/>
      <c r="BV1352" s="34"/>
      <c r="BW1352" s="34"/>
      <c r="BX1352" s="34"/>
      <c r="BY1352" s="34"/>
      <c r="BZ1352" s="34"/>
      <c r="CA1352" s="34"/>
      <c r="CB1352" s="34"/>
      <c r="CC1352" s="34"/>
      <c r="CD1352" s="34"/>
      <c r="CE1352" s="34"/>
      <c r="CF1352" s="34"/>
      <c r="CG1352" s="34"/>
      <c r="CH1352" s="34"/>
      <c r="CI1352" s="8"/>
    </row>
    <row r="1353" spans="1:87" x14ac:dyDescent="0.2">
      <c r="A1353" s="8" t="str">
        <f>IF(AND(COUNTIF(W$3:W$13,A$35)&gt;0,A$35&lt;&gt;B1308),A$35,IFERROR(IF(MATCH(A$35,Z$3:Z$13,0)=2,A$35," ")," "))</f>
        <v>C21</v>
      </c>
      <c r="B1353" s="8">
        <f>IF(A1353=" "," ",MAX(B1333:B1352)+1)</f>
        <v>10</v>
      </c>
      <c r="C1353" s="8"/>
      <c r="D1353" s="8"/>
      <c r="E1353" s="8"/>
      <c r="F1353" s="8"/>
      <c r="G1353" s="8"/>
      <c r="H1353" s="8"/>
      <c r="I1353" s="8"/>
      <c r="J1353" s="8"/>
      <c r="K1353" s="8"/>
      <c r="L1353" s="8"/>
      <c r="M1353" s="8"/>
      <c r="N1353" s="8"/>
      <c r="O1353" s="8"/>
      <c r="P1353" s="8"/>
      <c r="Q1353" s="8"/>
      <c r="R1353" s="8"/>
      <c r="S1353" s="8"/>
      <c r="U1353" s="34"/>
      <c r="V1353" s="34"/>
      <c r="W1353" s="34"/>
      <c r="X1353" s="34"/>
      <c r="Y1353" s="34"/>
      <c r="Z1353" s="34"/>
      <c r="AA1353" s="34"/>
      <c r="AB1353" s="34"/>
      <c r="AC1353" s="34"/>
      <c r="AD1353" s="34"/>
      <c r="AE1353" s="34"/>
      <c r="AF1353" s="34"/>
      <c r="AG1353" s="34"/>
      <c r="AH1353" s="34"/>
      <c r="AI1353" s="34"/>
      <c r="AJ1353" s="34"/>
      <c r="AK1353" s="34"/>
      <c r="AL1353" s="34"/>
      <c r="AM1353" s="34"/>
      <c r="AN1353" s="34"/>
      <c r="AO1353" s="34"/>
      <c r="AP1353" s="34"/>
      <c r="AQ1353" s="34"/>
      <c r="AR1353" s="34"/>
      <c r="AS1353" s="34"/>
      <c r="AT1353" s="34"/>
      <c r="AU1353" s="34"/>
      <c r="AV1353" s="34"/>
      <c r="AW1353" s="34"/>
      <c r="AX1353" s="34"/>
      <c r="AY1353" s="34"/>
      <c r="AZ1353" s="34"/>
      <c r="BA1353" s="34"/>
      <c r="BB1353" s="34"/>
      <c r="BC1353" s="34"/>
      <c r="BD1353" s="34"/>
      <c r="BE1353" s="34"/>
      <c r="BF1353" s="34"/>
      <c r="BG1353" s="34"/>
      <c r="BH1353" s="34"/>
      <c r="BI1353" s="34"/>
      <c r="BJ1353" s="34"/>
      <c r="BK1353" s="34"/>
      <c r="BL1353" s="34"/>
      <c r="BM1353" s="34"/>
      <c r="BN1353" s="34"/>
      <c r="BO1353" s="34"/>
      <c r="BP1353" s="34"/>
      <c r="BQ1353" s="34"/>
      <c r="BR1353" s="34"/>
      <c r="BS1353" s="34"/>
      <c r="BT1353" s="34"/>
      <c r="BU1353" s="34"/>
      <c r="BV1353" s="34"/>
      <c r="BW1353" s="34"/>
      <c r="BX1353" s="34"/>
      <c r="BY1353" s="34"/>
      <c r="BZ1353" s="34"/>
      <c r="CA1353" s="34"/>
      <c r="CB1353" s="34"/>
      <c r="CC1353" s="34"/>
      <c r="CD1353" s="34"/>
      <c r="CE1353" s="34"/>
      <c r="CF1353" s="34"/>
      <c r="CG1353" s="34"/>
      <c r="CH1353" s="34"/>
      <c r="CI1353" s="8"/>
    </row>
    <row r="1354" spans="1:87" x14ac:dyDescent="0.2">
      <c r="A1354" s="8" t="str">
        <f>IF(AND(COUNTIF(W$3:W$13,A$36)&gt;0,A$36&lt;&gt;B1308),A$36,IFERROR(IF(MATCH(A$36,Z$3:Z$13,0)=2,A$36," ")," "))</f>
        <v>C22</v>
      </c>
      <c r="B1354" s="8">
        <f>IF(A1354=" "," ",MAX(B1333:B1353)+1)</f>
        <v>11</v>
      </c>
      <c r="C1354" s="8"/>
      <c r="D1354" s="8"/>
      <c r="E1354" s="8"/>
      <c r="F1354" s="8"/>
      <c r="G1354" s="8"/>
      <c r="H1354" s="8"/>
      <c r="I1354" s="8"/>
      <c r="J1354" s="8"/>
      <c r="K1354" s="8"/>
      <c r="L1354" s="8"/>
      <c r="M1354" s="8"/>
      <c r="N1354" s="8"/>
      <c r="O1354" s="8"/>
      <c r="P1354" s="8"/>
      <c r="Q1354" s="8"/>
      <c r="R1354" s="8"/>
      <c r="S1354" s="8"/>
      <c r="U1354" s="34"/>
      <c r="V1354" s="34"/>
      <c r="W1354" s="34"/>
      <c r="X1354" s="34"/>
      <c r="Y1354" s="34"/>
      <c r="Z1354" s="34"/>
      <c r="AA1354" s="34"/>
      <c r="AB1354" s="34"/>
      <c r="AC1354" s="34"/>
      <c r="AD1354" s="34"/>
      <c r="AE1354" s="34"/>
      <c r="AF1354" s="34"/>
      <c r="AG1354" s="34"/>
      <c r="AH1354" s="34"/>
      <c r="AI1354" s="34"/>
      <c r="AJ1354" s="34"/>
      <c r="AK1354" s="34"/>
      <c r="AL1354" s="34"/>
      <c r="AM1354" s="34"/>
      <c r="AN1354" s="34"/>
      <c r="AO1354" s="34"/>
      <c r="AP1354" s="34"/>
      <c r="AQ1354" s="34"/>
      <c r="AR1354" s="34"/>
      <c r="AS1354" s="34"/>
      <c r="AT1354" s="34"/>
      <c r="AU1354" s="34"/>
      <c r="AV1354" s="34"/>
      <c r="AW1354" s="34"/>
      <c r="AX1354" s="34"/>
      <c r="AY1354" s="34"/>
      <c r="AZ1354" s="34"/>
      <c r="BA1354" s="34"/>
      <c r="BB1354" s="34"/>
      <c r="BC1354" s="34"/>
      <c r="BD1354" s="34"/>
      <c r="BE1354" s="34"/>
      <c r="BF1354" s="34"/>
      <c r="BG1354" s="34"/>
      <c r="BH1354" s="34"/>
      <c r="BI1354" s="34"/>
      <c r="BJ1354" s="34"/>
      <c r="BK1354" s="34"/>
      <c r="BL1354" s="34"/>
      <c r="BM1354" s="34"/>
      <c r="BN1354" s="34"/>
      <c r="BO1354" s="34"/>
      <c r="BP1354" s="34"/>
      <c r="BQ1354" s="34"/>
      <c r="BR1354" s="34"/>
      <c r="BS1354" s="34"/>
      <c r="BT1354" s="34"/>
      <c r="BU1354" s="34"/>
      <c r="BV1354" s="34"/>
      <c r="BW1354" s="34"/>
      <c r="BX1354" s="34"/>
      <c r="BY1354" s="34"/>
      <c r="BZ1354" s="34"/>
      <c r="CA1354" s="34"/>
      <c r="CB1354" s="34"/>
      <c r="CC1354" s="34"/>
      <c r="CD1354" s="34"/>
      <c r="CE1354" s="34"/>
      <c r="CF1354" s="34"/>
      <c r="CG1354" s="34"/>
      <c r="CH1354" s="34"/>
      <c r="CI1354" s="8"/>
    </row>
    <row r="1355" spans="1:87" x14ac:dyDescent="0.2">
      <c r="A1355" s="11" t="s">
        <v>17</v>
      </c>
      <c r="B1355" s="11"/>
      <c r="C1355" s="27" t="s">
        <v>18</v>
      </c>
      <c r="D1355" s="27" t="s">
        <v>2</v>
      </c>
      <c r="E1355" s="27" t="s">
        <v>6</v>
      </c>
      <c r="F1355" s="27" t="s">
        <v>15</v>
      </c>
      <c r="G1355" s="27" t="s">
        <v>36</v>
      </c>
      <c r="H1355" s="27" t="s">
        <v>37</v>
      </c>
      <c r="I1355" s="27" t="s">
        <v>38</v>
      </c>
      <c r="J1355" s="27" t="s">
        <v>39</v>
      </c>
      <c r="K1355" s="27" t="s">
        <v>40</v>
      </c>
      <c r="L1355" s="27" t="s">
        <v>41</v>
      </c>
      <c r="M1355" s="27" t="s">
        <v>42</v>
      </c>
      <c r="N1355" s="27" t="s">
        <v>43</v>
      </c>
      <c r="O1355" s="27" t="s">
        <v>9</v>
      </c>
      <c r="P1355" s="27" t="s">
        <v>12</v>
      </c>
      <c r="Q1355" s="27" t="s">
        <v>19</v>
      </c>
      <c r="R1355" s="27" t="s">
        <v>55</v>
      </c>
      <c r="S1355" s="27" t="s">
        <v>26</v>
      </c>
      <c r="T1355" s="19" t="s">
        <v>25</v>
      </c>
      <c r="U1355" s="33" t="s">
        <v>27</v>
      </c>
      <c r="V1355" s="33" t="s">
        <v>9</v>
      </c>
      <c r="W1355" s="33" t="s">
        <v>23</v>
      </c>
      <c r="X1355" s="33" t="s">
        <v>12</v>
      </c>
      <c r="Y1355" s="33" t="s">
        <v>26</v>
      </c>
      <c r="Z1355" s="33" t="s">
        <v>25</v>
      </c>
      <c r="AA1355" s="33" t="s">
        <v>27</v>
      </c>
      <c r="AB1355" s="33" t="s">
        <v>9</v>
      </c>
      <c r="AC1355" s="33" t="s">
        <v>23</v>
      </c>
      <c r="AD1355" s="33" t="s">
        <v>12</v>
      </c>
      <c r="AE1355" s="33" t="s">
        <v>26</v>
      </c>
      <c r="AF1355" s="33" t="s">
        <v>25</v>
      </c>
      <c r="AG1355" s="33" t="s">
        <v>27</v>
      </c>
      <c r="AH1355" s="33" t="s">
        <v>9</v>
      </c>
      <c r="AI1355" s="33" t="s">
        <v>23</v>
      </c>
      <c r="AJ1355" s="33" t="s">
        <v>12</v>
      </c>
      <c r="AK1355" s="33" t="s">
        <v>26</v>
      </c>
      <c r="AL1355" s="33" t="s">
        <v>25</v>
      </c>
      <c r="AM1355" s="33" t="s">
        <v>27</v>
      </c>
      <c r="AN1355" s="33" t="s">
        <v>9</v>
      </c>
      <c r="AO1355" s="33" t="s">
        <v>23</v>
      </c>
      <c r="AP1355" s="33" t="s">
        <v>12</v>
      </c>
      <c r="AQ1355" s="33" t="s">
        <v>26</v>
      </c>
      <c r="AR1355" s="33" t="s">
        <v>25</v>
      </c>
      <c r="AS1355" s="33" t="s">
        <v>27</v>
      </c>
      <c r="AT1355" s="33" t="s">
        <v>9</v>
      </c>
      <c r="AU1355" s="33" t="s">
        <v>23</v>
      </c>
      <c r="AV1355" s="33" t="s">
        <v>12</v>
      </c>
      <c r="AW1355" s="33" t="s">
        <v>26</v>
      </c>
      <c r="AX1355" s="33" t="s">
        <v>25</v>
      </c>
      <c r="AY1355" s="33" t="s">
        <v>27</v>
      </c>
      <c r="AZ1355" s="33" t="s">
        <v>9</v>
      </c>
      <c r="BA1355" s="33" t="s">
        <v>23</v>
      </c>
      <c r="BB1355" s="33" t="s">
        <v>12</v>
      </c>
      <c r="BC1355" s="33" t="s">
        <v>26</v>
      </c>
      <c r="BD1355" s="33" t="s">
        <v>25</v>
      </c>
      <c r="BE1355" s="33" t="s">
        <v>27</v>
      </c>
      <c r="BF1355" s="33" t="s">
        <v>9</v>
      </c>
      <c r="BG1355" s="33" t="s">
        <v>23</v>
      </c>
      <c r="BH1355" s="33" t="s">
        <v>12</v>
      </c>
      <c r="BI1355" s="33" t="s">
        <v>26</v>
      </c>
      <c r="BJ1355" s="33" t="s">
        <v>25</v>
      </c>
      <c r="BK1355" s="33" t="s">
        <v>27</v>
      </c>
      <c r="BL1355" s="33" t="s">
        <v>9</v>
      </c>
      <c r="BM1355" s="33" t="s">
        <v>23</v>
      </c>
      <c r="BN1355" s="33" t="s">
        <v>12</v>
      </c>
      <c r="BO1355" s="33" t="s">
        <v>26</v>
      </c>
      <c r="BP1355" s="33" t="s">
        <v>25</v>
      </c>
      <c r="BQ1355" s="33" t="s">
        <v>27</v>
      </c>
      <c r="BR1355" s="33" t="s">
        <v>9</v>
      </c>
      <c r="BS1355" s="33" t="s">
        <v>23</v>
      </c>
      <c r="BT1355" s="33" t="s">
        <v>12</v>
      </c>
      <c r="BU1355" s="33" t="s">
        <v>26</v>
      </c>
      <c r="BV1355" s="33" t="s">
        <v>25</v>
      </c>
      <c r="BW1355" s="33" t="s">
        <v>27</v>
      </c>
      <c r="BX1355" s="33" t="s">
        <v>9</v>
      </c>
      <c r="BY1355" s="33" t="s">
        <v>23</v>
      </c>
      <c r="BZ1355" s="33" t="s">
        <v>12</v>
      </c>
      <c r="CA1355" s="33" t="s">
        <v>26</v>
      </c>
      <c r="CB1355" s="33" t="s">
        <v>25</v>
      </c>
      <c r="CC1355" s="33" t="s">
        <v>27</v>
      </c>
      <c r="CD1355" s="33" t="s">
        <v>9</v>
      </c>
      <c r="CE1355" s="33" t="s">
        <v>23</v>
      </c>
      <c r="CF1355" s="33" t="s">
        <v>12</v>
      </c>
      <c r="CG1355" s="33" t="s">
        <v>26</v>
      </c>
      <c r="CH1355" s="33" t="s">
        <v>25</v>
      </c>
      <c r="CI1355" s="8"/>
    </row>
    <row r="1356" spans="1:87" x14ac:dyDescent="0.2">
      <c r="A1356" s="8" t="str">
        <f>IF(AND(COUNTIF(W$3:W$13,A$15)&gt;0,A$15&lt;&gt;B1308),A$15,IFERROR(IF(MATCH(A$15,Z$3:Z$13,0)=3,A$15," ")," "))</f>
        <v xml:space="preserve"> </v>
      </c>
      <c r="B1356" s="8" t="str">
        <f>IF(A1356=" "," ",1)</f>
        <v xml:space="preserve"> </v>
      </c>
      <c r="C1356" s="8" t="str">
        <f>IFERROR(INDEX(A1356:A1377,MATCH(SMALL(B1356:B1377,1),B1356:B1377,0),1)," ")</f>
        <v>C3</v>
      </c>
      <c r="D1356" s="8">
        <f>IFERROR(VLOOKUP($C1356,$A$15:$O$36,2,FALSE)," ")</f>
        <v>2</v>
      </c>
      <c r="E1356" s="8">
        <f>IFERROR(VLOOKUP($C1356,$A$15:$O$36,3,FALSE)," ")</f>
        <v>5</v>
      </c>
      <c r="F1356" s="8">
        <f>IFERROR(VLOOKUP($C1356,$A$15:$O$36,4,FALSE)," ")</f>
        <v>6</v>
      </c>
      <c r="G1356" s="8">
        <f>IFERROR(VLOOKUP($C1356,$A$15:$O$36,5,FALSE)," ")</f>
        <v>0</v>
      </c>
      <c r="H1356" s="8">
        <f>IFERROR(VLOOKUP($C1356,$A$15:$O$36,6,FALSE)," ")</f>
        <v>0</v>
      </c>
      <c r="I1356" s="8">
        <f>IFERROR(VLOOKUP($C1356,$A$15:$O$36,7,FALSE)," ")</f>
        <v>0</v>
      </c>
      <c r="J1356" s="8">
        <f>IFERROR(VLOOKUP($C1356,$A$15:$O$36,8,FALSE)," ")</f>
        <v>0</v>
      </c>
      <c r="K1356" s="8">
        <f>IFERROR(VLOOKUP($C1356,$A$15:$O$36,9,FALSE)," ")</f>
        <v>0</v>
      </c>
      <c r="L1356" s="8">
        <f>IFERROR(VLOOKUP($C1356,$A$15:$O$36,10,FALSE)," ")</f>
        <v>0</v>
      </c>
      <c r="M1356" s="8">
        <f>IFERROR(VLOOKUP($C1356,$A$15:$O$36,11,FALSE)," ")</f>
        <v>0</v>
      </c>
      <c r="N1356" s="8">
        <f>IFERROR(VLOOKUP($C1356,$A$15:$O$36,12,FALSE)," ")</f>
        <v>0</v>
      </c>
      <c r="O1356" s="8">
        <f>IFERROR(VLOOKUP($C1356,$A$15:$O$36,15,FALSE)," ")</f>
        <v>2000</v>
      </c>
      <c r="P1356" s="8" t="e">
        <f t="array" ref="P1356:P1366">MMULT(MINVERSE(D1356:N1366),O1356:O1366)</f>
        <v>#NUM!</v>
      </c>
      <c r="Q1356" s="8" t="e">
        <f t="shared" ref="Q1356" si="5786">IF(COUNTIF(P1356:P1366,"&lt;"&amp;-0.001)=0,IF(ABS(P1356)&lt;0.001,0,P1356)," ")</f>
        <v>#NUM!</v>
      </c>
      <c r="R1356" s="8" t="str">
        <f>IFERROR(VLOOKUP(B1308,A$15:L$36,2,FALSE)*Q1356+VLOOKUP(B1308,A$15:L$36,3,FALSE)*Q1357+VLOOKUP(B1308,A$15:L$36,4,FALSE)*Q1358+VLOOKUP(B1308,A$15:L$36,5,FALSE)*Q1359+VLOOKUP(B1308,A$15:L$36,6,FALSE)*Q1360+VLOOKUP(B1308,A$15:L$36,7,FALSE)*Q1361+VLOOKUP(B1308,A$15:L$36,8,FALSE)*Q1362+VLOOKUP(B1308,A$15:L$36,9,FALSE)*Q1363+VLOOKUP(B1308,A$15:L$36,10,FALSE)*Q1364+VLOOKUP(B1308,A$15:L$36,11,FALSE)*Q1365+VLOOKUP(B1308,A$15:L$36,12,FALSE)*Q1366," ")</f>
        <v xml:space="preserve"> </v>
      </c>
      <c r="S1356" s="8" t="str">
        <f>IFERROR(IF(R1356-VLOOKUP(B1308,A$15:O$36,15,FALSE)&lt;0,R1356-VLOOKUP(B1308,A$15:O$36,15,FALSE)," ")," ")</f>
        <v xml:space="preserve"> </v>
      </c>
      <c r="T1356" s="18" t="str">
        <f>IFERROR(IF(R1356-VLOOKUP(B1308,A$15:O$36,15,FALSE)&gt;0,R1356-VLOOKUP(B1308,A$15:O$36,15,FALSE)," ")," ")</f>
        <v xml:space="preserve"> </v>
      </c>
      <c r="U1356" s="34">
        <f t="shared" ref="U1356" si="5787">$M$2</f>
        <v>100.00000000000001</v>
      </c>
      <c r="V1356" s="34">
        <v>-1</v>
      </c>
      <c r="W1356" s="34">
        <f t="shared" ref="W1356" si="5788">-SUMPRODUCT($M$3:$M$12,$N$3:$N$12)</f>
        <v>-105000</v>
      </c>
      <c r="X1356" s="34" t="e">
        <f t="shared" ref="X1356" si="5789">IF(U1356&lt;&gt;U1357,MMULT(MINVERSE(U1356:V1357),W1356:W1357)," ")</f>
        <v>#NUM!</v>
      </c>
      <c r="Y1356" s="34" t="str">
        <f t="shared" ref="Y1356" si="5790">IFERROR(IF(X1356-VLOOKUP(U$38,$A$2:$N$12,14,FALSE)&lt;0,X1356-VLOOKUP(U$38,$A$2:$N$12,14,FALSE)," ")," ")</f>
        <v xml:space="preserve"> </v>
      </c>
      <c r="Z1356" s="34" t="str">
        <f t="shared" ref="Z1356" si="5791">IFERROR(IF(X1356-VLOOKUP(U$38,$A$2:$N$12,14,FALSE)&gt;0,X1356-VLOOKUP(U$38,$A$2:$N$12,14,FALSE)," ")," ")</f>
        <v xml:space="preserve"> </v>
      </c>
      <c r="AA1356" s="34">
        <f t="shared" ref="AA1356" si="5792">$M$3</f>
        <v>0</v>
      </c>
      <c r="AB1356" s="34">
        <v>-1</v>
      </c>
      <c r="AC1356" s="34">
        <f t="shared" ref="AC1356" si="5793">-SUMPRODUCT($M$2:$M$2,$N$2:$N$2)-SUMPRODUCT($M$4:$M$12,$N$4:$N$12)</f>
        <v>-120000</v>
      </c>
      <c r="AD1356" s="34" t="e">
        <f t="shared" ref="AD1356" si="5794">IF(AA1356&lt;&gt;AA1357,MMULT(MINVERSE(AA1356:AB1357),AC1356:AC1357)," ")</f>
        <v>#NUM!</v>
      </c>
      <c r="AE1356" s="34" t="str">
        <f t="shared" ref="AE1356" si="5795">IFERROR(IF(AD1356-VLOOKUP(AA$38,$A$2:$N$12,14,FALSE)&lt;0,AD1356-VLOOKUP(AA$38,$A$2:$N$12,14,FALSE)," ")," ")</f>
        <v xml:space="preserve"> </v>
      </c>
      <c r="AF1356" s="34" t="str">
        <f t="shared" ref="AF1356" si="5796">IFERROR(IF(AD1356-VLOOKUP(AA$38,$A$2:$N$12,14,FALSE)&gt;0,AD1356-VLOOKUP(AA$38,$A$2:$N$12,14,FALSE)," ")," ")</f>
        <v xml:space="preserve"> </v>
      </c>
      <c r="AG1356" s="34">
        <f t="shared" ref="AG1356" si="5797">$M$4</f>
        <v>300</v>
      </c>
      <c r="AH1356" s="34">
        <v>-1</v>
      </c>
      <c r="AI1356" s="34">
        <f t="shared" ref="AI1356" si="5798">-SUMPRODUCT($M$2:$M$3,$N$2:$N$3)-SUMPRODUCT($M$5:$M$12,$N$5:$N$12)</f>
        <v>-15000.000000000002</v>
      </c>
      <c r="AJ1356" s="34" t="e">
        <f t="shared" ref="AJ1356" si="5799">IF(AG1356&lt;&gt;AG1357,MMULT(MINVERSE(AG1356:AH1357),AI1356:AI1357)," ")</f>
        <v>#NUM!</v>
      </c>
      <c r="AK1356" s="34" t="str">
        <f t="shared" ref="AK1356" si="5800">IFERROR(IF(AJ1356-VLOOKUP(AG$38,$A$2:$N$12,14,FALSE)&lt;0,AJ1356-VLOOKUP(AG$38,$A$2:$N$12,14,FALSE)," ")," ")</f>
        <v xml:space="preserve"> </v>
      </c>
      <c r="AL1356" s="34" t="str">
        <f t="shared" ref="AL1356" si="5801">IFERROR(IF(AJ1356-VLOOKUP(AG$38,$A$2:$N$12,14,FALSE)&gt;0,AJ1356-VLOOKUP(AG$38,$A$2:$N$12,14,FALSE)," ")," ")</f>
        <v xml:space="preserve"> </v>
      </c>
      <c r="AM1356" s="34">
        <f t="shared" ref="AM1356" si="5802">$M$5</f>
        <v>0</v>
      </c>
      <c r="AN1356" s="34">
        <v>-1</v>
      </c>
      <c r="AO1356" s="34">
        <f t="shared" ref="AO1356" si="5803">-SUMPRODUCT($M$2:$M$4,$N$2:$N$4)-SUMPRODUCT($M$6:$M$12,$N$6:$N$12)</f>
        <v>-120000</v>
      </c>
      <c r="AP1356" s="34" t="e">
        <f t="shared" ref="AP1356" si="5804">IF(AM1356&lt;&gt;AM1357,MMULT(MINVERSE(AM1356:AN1357),AO1356:AO1357)," ")</f>
        <v>#NUM!</v>
      </c>
      <c r="AQ1356" s="34" t="str">
        <f t="shared" ref="AQ1356" si="5805">IFERROR(IF(AP1356-VLOOKUP(AM$38,$A$2:$N$12,14,FALSE)&lt;0,AP1356-VLOOKUP(AM$38,$A$2:$N$12,14,FALSE)," ")," ")</f>
        <v xml:space="preserve"> </v>
      </c>
      <c r="AR1356" s="34" t="str">
        <f t="shared" ref="AR1356" si="5806">IFERROR(IF(AP1356-VLOOKUP(AM$38,$A$2:$N$12,14,FALSE)&gt;0,AP1356-VLOOKUP(AM$38,$A$2:$N$12,14,FALSE)," ")," ")</f>
        <v xml:space="preserve"> </v>
      </c>
      <c r="AS1356" s="34">
        <f t="shared" ref="AS1356" si="5807">$M$6</f>
        <v>0</v>
      </c>
      <c r="AT1356" s="34">
        <v>-1</v>
      </c>
      <c r="AU1356" s="34">
        <f t="shared" ref="AU1356" si="5808">-SUMPRODUCT($M$2:$M$5,$N$2:$N$5)-SUMPRODUCT($M$7:$M$12,$N$7:$N$12)</f>
        <v>-120000</v>
      </c>
      <c r="AV1356" s="34" t="e">
        <f t="shared" ref="AV1356" si="5809">IF(AS1356&lt;&gt;AS1357,MMULT(MINVERSE(AS1356:AT1357),AU1356:AU1357)," ")</f>
        <v>#NUM!</v>
      </c>
      <c r="AW1356" s="34" t="str">
        <f t="shared" ref="AW1356" si="5810">IFERROR(IF(AV1356-VLOOKUP(AS$38,$A$2:$N$12,14,FALSE)&lt;0,AV1356-VLOOKUP(AS$38,$A$2:$N$12,14,FALSE)," ")," ")</f>
        <v xml:space="preserve"> </v>
      </c>
      <c r="AX1356" s="34" t="str">
        <f t="shared" ref="AX1356" si="5811">IFERROR(IF(AV1356-VLOOKUP(AS$38,$A$2:$N$12,14,FALSE)&gt;0,AV1356-VLOOKUP(AS$38,$A$2:$N$12,14,FALSE)," ")," ")</f>
        <v xml:space="preserve"> </v>
      </c>
      <c r="AY1356" s="34">
        <f t="shared" ref="AY1356" si="5812">$M$7</f>
        <v>0</v>
      </c>
      <c r="AZ1356" s="34">
        <v>-1</v>
      </c>
      <c r="BA1356" s="34">
        <f t="shared" ref="BA1356" si="5813">-SUMPRODUCT($M$2:$M$6,$N$2:$N$6)-SUMPRODUCT($M$8:$M$12,$N$8:$N$12)</f>
        <v>-120000</v>
      </c>
      <c r="BB1356" s="34" t="e">
        <f t="shared" ref="BB1356" si="5814">IF(AY1356&lt;&gt;AY1357,MMULT(MINVERSE(AY1356:AZ1357),BA1356:BA1357)," ")</f>
        <v>#NUM!</v>
      </c>
      <c r="BC1356" s="34" t="str">
        <f t="shared" ref="BC1356" si="5815">IFERROR(IF(BB1356-VLOOKUP(AY$38,$A$2:$N$12,14,FALSE)&lt;0,BB1356-VLOOKUP(AY$38,$A$2:$N$12,14,FALSE)," ")," ")</f>
        <v xml:space="preserve"> </v>
      </c>
      <c r="BD1356" s="34" t="str">
        <f t="shared" ref="BD1356" si="5816">IFERROR(IF(BB1356-VLOOKUP(AY$38,$A$2:$N$12,14,FALSE)&gt;0,BB1356-VLOOKUP(AY$38,$A$2:$N$12,14,FALSE)," ")," ")</f>
        <v xml:space="preserve"> </v>
      </c>
      <c r="BE1356" s="34">
        <f t="shared" ref="BE1356" si="5817">$M$8</f>
        <v>0</v>
      </c>
      <c r="BF1356" s="34">
        <v>-1</v>
      </c>
      <c r="BG1356" s="34">
        <f t="shared" ref="BG1356" si="5818">-SUMPRODUCT($M$2:$M$7,$N$2:$N$7)-SUMPRODUCT($M$9:$M$12,$N$9:$N$12)</f>
        <v>-120000</v>
      </c>
      <c r="BH1356" s="34" t="e">
        <f t="shared" ref="BH1356" si="5819">IF(BE1356&lt;&gt;BE1357,MMULT(MINVERSE(BE1356:BF1357),BG1356:BG1357)," ")</f>
        <v>#NUM!</v>
      </c>
      <c r="BI1356" s="34" t="str">
        <f t="shared" ref="BI1356" si="5820">IFERROR(IF(BH1356-VLOOKUP(BE$38,$A$2:$N$12,14,FALSE)&lt;0,BH1356-VLOOKUP(BE$38,$A$2:$N$12,14,FALSE)," ")," ")</f>
        <v xml:space="preserve"> </v>
      </c>
      <c r="BJ1356" s="34" t="str">
        <f t="shared" ref="BJ1356" si="5821">IFERROR(IF(BH1356-VLOOKUP(BE$38,$A$2:$N$12,14,FALSE)&gt;0,BH1356-VLOOKUP(BE$38,$A$2:$N$12,14,FALSE)," ")," ")</f>
        <v xml:space="preserve"> </v>
      </c>
      <c r="BK1356" s="34">
        <f t="shared" ref="BK1356" si="5822">$M$9</f>
        <v>0</v>
      </c>
      <c r="BL1356" s="34">
        <v>-1</v>
      </c>
      <c r="BM1356" s="34">
        <f t="shared" ref="BM1356" si="5823">-SUMPRODUCT($M$2:$M$8,$N$2:$N$8)-SUMPRODUCT($M$10:$M$12,$N$10:$N$12)</f>
        <v>-120000</v>
      </c>
      <c r="BN1356" s="34" t="e">
        <f t="shared" ref="BN1356" si="5824">IF(BK1356&lt;&gt;BK1357,MMULT(MINVERSE(BK1356:BL1357),BM1356:BM1357)," ")</f>
        <v>#NUM!</v>
      </c>
      <c r="BO1356" s="34" t="str">
        <f t="shared" ref="BO1356" si="5825">IFERROR(IF(BN1356-VLOOKUP(BK$38,$A$2:$N$12,14,FALSE)&lt;0,BN1356-VLOOKUP(BK$38,$A$2:$N$12,14,FALSE)," ")," ")</f>
        <v xml:space="preserve"> </v>
      </c>
      <c r="BP1356" s="34" t="str">
        <f t="shared" ref="BP1356" si="5826">IFERROR(IF(BN1356-VLOOKUP(BK$38,$A$2:$N$12,14,FALSE)&gt;0,BN1356-VLOOKUP(BK$38,$A$2:$N$12,14,FALSE)," ")," ")</f>
        <v xml:space="preserve"> </v>
      </c>
      <c r="BQ1356" s="34">
        <f t="shared" ref="BQ1356" si="5827">$M$10</f>
        <v>0</v>
      </c>
      <c r="BR1356" s="34">
        <v>-1</v>
      </c>
      <c r="BS1356" s="34">
        <f t="shared" ref="BS1356" si="5828">-SUMPRODUCT($M$2:$M$9,$N$2:$N$9)-SUMPRODUCT($M$11:$M$12,$N$11:$N$12)</f>
        <v>-120000</v>
      </c>
      <c r="BT1356" s="34" t="e">
        <f t="shared" ref="BT1356" si="5829">IF(BQ1356&lt;&gt;BQ1357,MMULT(MINVERSE(BQ1356:BR1357),BS1356:BS1357)," ")</f>
        <v>#NUM!</v>
      </c>
      <c r="BU1356" s="34" t="str">
        <f t="shared" ref="BU1356" si="5830">IFERROR(IF(BT1356-VLOOKUP(BQ$38,$A$2:$N$12,14,FALSE)&lt;0,BT1356-VLOOKUP(BQ$38,$A$2:$N$12,14,FALSE)," ")," ")</f>
        <v xml:space="preserve"> </v>
      </c>
      <c r="BV1356" s="34" t="str">
        <f t="shared" ref="BV1356" si="5831">IFERROR(IF(BT1356-VLOOKUP(BQ$38,$A$2:$N$12,14,FALSE)&gt;0,BT1356-VLOOKUP(BQ$38,$A$2:$N$12,14,FALSE)," ")," ")</f>
        <v xml:space="preserve"> </v>
      </c>
      <c r="BW1356" s="34">
        <f t="shared" ref="BW1356" si="5832">$M$11</f>
        <v>0</v>
      </c>
      <c r="BX1356" s="34">
        <v>-1</v>
      </c>
      <c r="BY1356" s="34">
        <f t="shared" ref="BY1356" si="5833">-SUMPRODUCT($M$2:$M$10,$N$2:$N$10)-SUMPRODUCT($M$12,$N$12)</f>
        <v>-120000</v>
      </c>
      <c r="BZ1356" s="34" t="e">
        <f t="shared" ref="BZ1356" si="5834">IF(BW1356&lt;&gt;BW1357,MMULT(MINVERSE(BW1356:BX1357),BY1356:BY1357)," ")</f>
        <v>#NUM!</v>
      </c>
      <c r="CA1356" s="34" t="str">
        <f t="shared" ref="CA1356" si="5835">IFERROR(IF(BZ1356-VLOOKUP(BW$38,$A$2:$N$12,14,FALSE)&lt;0,BZ1356-VLOOKUP(BW$38,$A$2:$N$12,14,FALSE)," ")," ")</f>
        <v xml:space="preserve"> </v>
      </c>
      <c r="CB1356" s="34" t="str">
        <f t="shared" ref="CB1356" si="5836">IFERROR(IF(BZ1356-VLOOKUP(BW$38,$A$2:$N$12,14,FALSE)&gt;0,BZ1356-VLOOKUP(BW$38,$A$2:$N$12,14,FALSE)," ")," ")</f>
        <v xml:space="preserve"> </v>
      </c>
      <c r="CC1356" s="34">
        <f t="shared" ref="CC1356" si="5837">$M$12</f>
        <v>0</v>
      </c>
      <c r="CD1356" s="34">
        <v>-1</v>
      </c>
      <c r="CE1356" s="34">
        <f t="shared" ref="CE1356" si="5838">-SUMPRODUCT($M$2:$M$11,$N$2:$N$11)</f>
        <v>-120000</v>
      </c>
      <c r="CF1356" s="34" t="e">
        <f t="shared" ref="CF1356" si="5839">IF(CC1356&lt;&gt;CC1357,MMULT(MINVERSE(CC1356:CD1357),CE1356:CE1357)," ")</f>
        <v>#NUM!</v>
      </c>
      <c r="CG1356" s="34" t="str">
        <f t="shared" ref="CG1356" si="5840">IFERROR(IF(CF1356-VLOOKUP(CC$38,$A$2:$N$12,14,FALSE)&lt;0,CF1356-VLOOKUP(CC$38,$A$2:$N$12,14,FALSE)," ")," ")</f>
        <v xml:space="preserve"> </v>
      </c>
      <c r="CH1356" s="34" t="str">
        <f t="shared" ref="CH1356" si="5841">IFERROR(IF(CF1356-VLOOKUP(CC$38,$A$2:$N$12,14,FALSE)&gt;0,CF1356-VLOOKUP(CC$38,$A$2:$N$12,14,FALSE)," ")," ")</f>
        <v xml:space="preserve"> </v>
      </c>
      <c r="CI1356" s="8"/>
    </row>
    <row r="1357" spans="1:87" x14ac:dyDescent="0.2">
      <c r="A1357" s="8" t="str">
        <f>IF(AND(COUNTIF(W$3:W$13,A$16)&gt;0,A$16&lt;&gt;B1308),A$16,IFERROR(IF(MATCH(A$16,Z$3:Z$13,0)=3,A$16," ")," "))</f>
        <v xml:space="preserve"> </v>
      </c>
      <c r="B1357" s="8" t="str">
        <f>IF(A1357=" "," ",MAX(B1356:B1356)+1)</f>
        <v xml:space="preserve"> </v>
      </c>
      <c r="C1357" s="8" t="str">
        <f>IFERROR(INDEX(A1356:A1377,MATCH(SMALL(B1356:B1377,2),B1356:B1377,0),1)," ")</f>
        <v>C4</v>
      </c>
      <c r="D1357" s="8">
        <f t="shared" ref="D1357:D1366" si="5842">IFERROR(VLOOKUP($C1357,$A$15:$O$36,2,FALSE)," ")</f>
        <v>1</v>
      </c>
      <c r="E1357" s="8">
        <f t="shared" ref="E1357:E1366" si="5843">IFERROR(VLOOKUP($C1357,$A$15:$O$36,3,FALSE)," ")</f>
        <v>0</v>
      </c>
      <c r="F1357" s="8">
        <f t="shared" ref="F1357:F1366" si="5844">IFERROR(VLOOKUP($C1357,$A$15:$O$36,4,FALSE)," ")</f>
        <v>1</v>
      </c>
      <c r="G1357" s="8">
        <f t="shared" ref="G1357:G1366" si="5845">IFERROR(VLOOKUP($C1357,$A$15:$O$36,5,FALSE)," ")</f>
        <v>0</v>
      </c>
      <c r="H1357" s="8">
        <f t="shared" ref="H1357:H1366" si="5846">IFERROR(VLOOKUP($C1357,$A$15:$O$36,6,FALSE)," ")</f>
        <v>0</v>
      </c>
      <c r="I1357" s="8">
        <f t="shared" ref="I1357:I1366" si="5847">IFERROR(VLOOKUP($C1357,$A$15:$O$36,7,FALSE)," ")</f>
        <v>0</v>
      </c>
      <c r="J1357" s="8">
        <f t="shared" ref="J1357:J1366" si="5848">IFERROR(VLOOKUP($C1357,$A$15:$O$36,8,FALSE)," ")</f>
        <v>0</v>
      </c>
      <c r="K1357" s="8">
        <f t="shared" ref="K1357:K1366" si="5849">IFERROR(VLOOKUP($C1357,$A$15:$O$36,9,FALSE)," ")</f>
        <v>0</v>
      </c>
      <c r="L1357" s="8">
        <f t="shared" ref="L1357:L1366" si="5850">IFERROR(VLOOKUP($C1357,$A$15:$O$36,10,FALSE)," ")</f>
        <v>0</v>
      </c>
      <c r="M1357" s="8">
        <f t="shared" ref="M1357:M1366" si="5851">IFERROR(VLOOKUP($C1357,$A$15:$O$36,11,FALSE)," ")</f>
        <v>0</v>
      </c>
      <c r="N1357" s="8">
        <f t="shared" ref="N1357:N1366" si="5852">IFERROR(VLOOKUP($C1357,$A$15:$O$36,12,FALSE)," ")</f>
        <v>0</v>
      </c>
      <c r="O1357" s="8">
        <f t="shared" ref="O1357:O1366" si="5853">IFERROR(VLOOKUP($C1357,$A$15:$O$36,15,FALSE)," ")</f>
        <v>400</v>
      </c>
      <c r="P1357" s="8" t="e">
        <v>#NUM!</v>
      </c>
      <c r="Q1357" s="8" t="e">
        <f t="shared" ref="Q1357" si="5854">IF(COUNTIF(P1356:P1366,"&lt;"&amp;-0.001)=0,IF(ABS(P1357)&lt;0.001,0,P1357)," ")</f>
        <v>#NUM!</v>
      </c>
      <c r="R1357" s="8"/>
      <c r="S1357" s="8"/>
      <c r="U1357" s="34" t="e">
        <f t="shared" ref="U1357" si="5855">$Q1356</f>
        <v>#NUM!</v>
      </c>
      <c r="V1357" s="34">
        <v>-1</v>
      </c>
      <c r="W1357" s="34" t="e">
        <f t="shared" ref="W1357" si="5856">-SUMPRODUCT($Q1357:$Q1366,$N$3:$N$12)</f>
        <v>#NUM!</v>
      </c>
      <c r="X1357" s="34"/>
      <c r="Y1357" s="34"/>
      <c r="Z1357" s="34"/>
      <c r="AA1357" s="34" t="e">
        <f t="shared" ref="AA1357" si="5857">$Q1357</f>
        <v>#NUM!</v>
      </c>
      <c r="AB1357" s="34">
        <v>-1</v>
      </c>
      <c r="AC1357" s="34" t="e">
        <f t="shared" ref="AC1357" si="5858">-SUMPRODUCT($Q1356:$Q1356,$N$2:$N$2)-SUMPRODUCT($Q1358:$Q1366,$N$4:$N$12)</f>
        <v>#NUM!</v>
      </c>
      <c r="AD1357" s="34"/>
      <c r="AE1357" s="34"/>
      <c r="AF1357" s="34"/>
      <c r="AG1357" s="34" t="e">
        <f t="shared" ref="AG1357" si="5859">$Q1358</f>
        <v>#NUM!</v>
      </c>
      <c r="AH1357" s="34">
        <v>-1</v>
      </c>
      <c r="AI1357" s="34" t="e">
        <f t="shared" ref="AI1357" si="5860">-SUMPRODUCT($Q1356:$Q1357,$N$2:$N$3)-SUMPRODUCT($Q1359:$Q1366,$N$5:$N$12)</f>
        <v>#NUM!</v>
      </c>
      <c r="AJ1357" s="34"/>
      <c r="AK1357" s="34"/>
      <c r="AL1357" s="34"/>
      <c r="AM1357" s="34" t="e">
        <f t="shared" ref="AM1357" si="5861">$Q1359</f>
        <v>#NUM!</v>
      </c>
      <c r="AN1357" s="34">
        <v>-1</v>
      </c>
      <c r="AO1357" s="34" t="e">
        <f t="shared" ref="AO1357" si="5862">-SUMPRODUCT($Q1356:$Q1358,$N$2:$N$4)-SUMPRODUCT($Q1360:$Q1366,$N$6:$N$12)</f>
        <v>#NUM!</v>
      </c>
      <c r="AP1357" s="34"/>
      <c r="AQ1357" s="34"/>
      <c r="AR1357" s="34"/>
      <c r="AS1357" s="34" t="e">
        <f t="shared" ref="AS1357" si="5863">$Q1360</f>
        <v>#NUM!</v>
      </c>
      <c r="AT1357" s="34">
        <v>-1</v>
      </c>
      <c r="AU1357" s="34" t="e">
        <f t="shared" ref="AU1357" si="5864">-SUMPRODUCT($Q1356:$Q1359,$N$2:$N$5)-SUMPRODUCT($Q1361:$Q1366,$N$7:$N$12)</f>
        <v>#NUM!</v>
      </c>
      <c r="AV1357" s="34"/>
      <c r="AW1357" s="34"/>
      <c r="AX1357" s="34"/>
      <c r="AY1357" s="34" t="e">
        <f t="shared" ref="AY1357" si="5865">$Q1361</f>
        <v>#NUM!</v>
      </c>
      <c r="AZ1357" s="34">
        <v>-1</v>
      </c>
      <c r="BA1357" s="34" t="e">
        <f t="shared" ref="BA1357" si="5866">-SUMPRODUCT($Q1356:$Q1360,$N$2:$N$6)-SUMPRODUCT($Q1362:$Q1366,$N$8:$N$12)</f>
        <v>#NUM!</v>
      </c>
      <c r="BB1357" s="34"/>
      <c r="BC1357" s="34"/>
      <c r="BD1357" s="34"/>
      <c r="BE1357" s="34" t="e">
        <f t="shared" ref="BE1357" si="5867">$Q1362</f>
        <v>#NUM!</v>
      </c>
      <c r="BF1357" s="34">
        <v>-1</v>
      </c>
      <c r="BG1357" s="34" t="e">
        <f t="shared" ref="BG1357" si="5868">-SUMPRODUCT($Q1356:$Q1361,$N$2:$N$7)-SUMPRODUCT($Q1363:$Q1366,$N$9:$N$12)</f>
        <v>#NUM!</v>
      </c>
      <c r="BH1357" s="34"/>
      <c r="BI1357" s="34"/>
      <c r="BJ1357" s="34"/>
      <c r="BK1357" s="34" t="e">
        <f t="shared" ref="BK1357" si="5869">$Q1363</f>
        <v>#NUM!</v>
      </c>
      <c r="BL1357" s="34">
        <v>-1</v>
      </c>
      <c r="BM1357" s="34" t="e">
        <f t="shared" ref="BM1357" si="5870">-SUMPRODUCT($Q1356:$Q1362,$N$2:$N$8)-SUMPRODUCT($Q1364:$Q1366,$N$10:$N$12)</f>
        <v>#NUM!</v>
      </c>
      <c r="BN1357" s="34"/>
      <c r="BO1357" s="34"/>
      <c r="BP1357" s="34"/>
      <c r="BQ1357" s="34" t="e">
        <f t="shared" ref="BQ1357" si="5871">$Q1364</f>
        <v>#NUM!</v>
      </c>
      <c r="BR1357" s="34">
        <v>-1</v>
      </c>
      <c r="BS1357" s="34" t="e">
        <f t="shared" ref="BS1357" si="5872">-SUMPRODUCT($Q1356:$Q1363,$N$2:$N$9)-SUMPRODUCT($Q1365:$Q1366,$N$11:$N$12)</f>
        <v>#NUM!</v>
      </c>
      <c r="BT1357" s="34"/>
      <c r="BU1357" s="34"/>
      <c r="BV1357" s="34"/>
      <c r="BW1357" s="34" t="e">
        <f t="shared" ref="BW1357" si="5873">$Q1365</f>
        <v>#NUM!</v>
      </c>
      <c r="BX1357" s="34">
        <v>-1</v>
      </c>
      <c r="BY1357" s="34" t="e">
        <f t="shared" ref="BY1357" si="5874">-SUMPRODUCT($Q1356:$Q1364,$N$2:$N$10)-SUMPRODUCT($Q1366,$N$12)</f>
        <v>#NUM!</v>
      </c>
      <c r="BZ1357" s="34"/>
      <c r="CA1357" s="34"/>
      <c r="CB1357" s="34"/>
      <c r="CC1357" s="34" t="e">
        <f t="shared" ref="CC1357" si="5875">$Q1366</f>
        <v>#NUM!</v>
      </c>
      <c r="CD1357" s="34">
        <v>-1</v>
      </c>
      <c r="CE1357" s="34" t="e">
        <f t="shared" ref="CE1357" si="5876">-SUMPRODUCT($Q1356:$Q1365,$N$2:$N$11)</f>
        <v>#NUM!</v>
      </c>
      <c r="CF1357" s="34"/>
      <c r="CG1357" s="34"/>
      <c r="CH1357" s="34"/>
      <c r="CI1357" s="8"/>
    </row>
    <row r="1358" spans="1:87" x14ac:dyDescent="0.2">
      <c r="A1358" s="8" t="str">
        <f>IF(AND(COUNTIF(W$3:W$13,A$17)&gt;0,A$17&lt;&gt;B1308),A$17,IFERROR(IF(MATCH(A$17,Z$3:Z$13,0)=3,A$17," ")," "))</f>
        <v>C3</v>
      </c>
      <c r="B1358" s="8">
        <f>IF(A1358=" "," ",MAX(B1356:B1357)+1)</f>
        <v>1</v>
      </c>
      <c r="C1358" s="8" t="str">
        <f>IFERROR(INDEX(A1356:A1377,MATCH(SMALL(B1356:B1377,3),B1356:B1377,0),1)," ")</f>
        <v>C5</v>
      </c>
      <c r="D1358" s="8">
        <f t="shared" si="5842"/>
        <v>0</v>
      </c>
      <c r="E1358" s="8">
        <f t="shared" si="5843"/>
        <v>0</v>
      </c>
      <c r="F1358" s="8">
        <f t="shared" si="5844"/>
        <v>0</v>
      </c>
      <c r="G1358" s="8">
        <f t="shared" si="5845"/>
        <v>0</v>
      </c>
      <c r="H1358" s="8">
        <f t="shared" si="5846"/>
        <v>0</v>
      </c>
      <c r="I1358" s="8">
        <f t="shared" si="5847"/>
        <v>0</v>
      </c>
      <c r="J1358" s="8">
        <f t="shared" si="5848"/>
        <v>0</v>
      </c>
      <c r="K1358" s="8">
        <f t="shared" si="5849"/>
        <v>0</v>
      </c>
      <c r="L1358" s="8">
        <f t="shared" si="5850"/>
        <v>0</v>
      </c>
      <c r="M1358" s="8">
        <f t="shared" si="5851"/>
        <v>0</v>
      </c>
      <c r="N1358" s="8">
        <f t="shared" si="5852"/>
        <v>0</v>
      </c>
      <c r="O1358" s="8">
        <f t="shared" si="5853"/>
        <v>0</v>
      </c>
      <c r="P1358" s="8" t="e">
        <v>#NUM!</v>
      </c>
      <c r="Q1358" s="8" t="e">
        <f t="shared" ref="Q1358" si="5877">IF(COUNTIF(P1356:P1366,"&lt;"&amp;-0.001)=0,IF(ABS(P1358)&lt;0.001,0,P1358)," ")</f>
        <v>#NUM!</v>
      </c>
      <c r="R1358" s="8"/>
      <c r="S1358" s="8"/>
      <c r="U1358" s="34"/>
      <c r="V1358" s="34"/>
      <c r="W1358" s="34"/>
      <c r="X1358" s="34"/>
      <c r="Y1358" s="34"/>
      <c r="Z1358" s="34"/>
      <c r="AA1358" s="34"/>
      <c r="AB1358" s="34"/>
      <c r="AC1358" s="34"/>
      <c r="AD1358" s="34"/>
      <c r="AE1358" s="34"/>
      <c r="AF1358" s="34"/>
      <c r="AG1358" s="34"/>
      <c r="AH1358" s="34"/>
      <c r="AI1358" s="34"/>
      <c r="AJ1358" s="34"/>
      <c r="AK1358" s="34"/>
      <c r="AL1358" s="34"/>
      <c r="AM1358" s="34"/>
      <c r="AN1358" s="34"/>
      <c r="AO1358" s="34"/>
      <c r="AP1358" s="34"/>
      <c r="AQ1358" s="34"/>
      <c r="AR1358" s="34"/>
      <c r="AS1358" s="34"/>
      <c r="AT1358" s="34"/>
      <c r="AU1358" s="34"/>
      <c r="AV1358" s="34"/>
      <c r="AW1358" s="34"/>
      <c r="AX1358" s="34"/>
      <c r="AY1358" s="34"/>
      <c r="AZ1358" s="34"/>
      <c r="BA1358" s="34"/>
      <c r="BB1358" s="34"/>
      <c r="BC1358" s="34"/>
      <c r="BD1358" s="34"/>
      <c r="BE1358" s="34"/>
      <c r="BF1358" s="34"/>
      <c r="BG1358" s="34"/>
      <c r="BH1358" s="34"/>
      <c r="BI1358" s="34"/>
      <c r="BJ1358" s="34"/>
      <c r="BK1358" s="34"/>
      <c r="BL1358" s="34"/>
      <c r="BM1358" s="34"/>
      <c r="BN1358" s="34"/>
      <c r="BO1358" s="34"/>
      <c r="BP1358" s="34"/>
      <c r="BQ1358" s="34"/>
      <c r="BR1358" s="34"/>
      <c r="BS1358" s="34"/>
      <c r="BT1358" s="34"/>
      <c r="BU1358" s="34"/>
      <c r="BV1358" s="34"/>
      <c r="BW1358" s="34"/>
      <c r="BX1358" s="34"/>
      <c r="BY1358" s="34"/>
      <c r="BZ1358" s="34"/>
      <c r="CA1358" s="34"/>
      <c r="CB1358" s="34"/>
      <c r="CC1358" s="34"/>
      <c r="CD1358" s="34"/>
      <c r="CE1358" s="34"/>
      <c r="CF1358" s="34"/>
      <c r="CG1358" s="34"/>
      <c r="CH1358" s="34"/>
      <c r="CI1358" s="8"/>
    </row>
    <row r="1359" spans="1:87" x14ac:dyDescent="0.2">
      <c r="A1359" s="8" t="str">
        <f>IF(AND(COUNTIF(W$3:W$13,A$18)&gt;0,A$18&lt;&gt;B1308),A$18,IFERROR(IF(MATCH(A$18,Z$3:Z$13,0)=3,A$18," ")," "))</f>
        <v>C4</v>
      </c>
      <c r="B1359" s="8">
        <f>IF(A1359=" "," ",MAX(B1356:B1358)+1)</f>
        <v>2</v>
      </c>
      <c r="C1359" s="8" t="str">
        <f>IFERROR(INDEX(A1356:A1377,MATCH(SMALL(B1356:B1377,4),B1356:B1377,0),1)," ")</f>
        <v>C13</v>
      </c>
      <c r="D1359" s="8">
        <f t="shared" si="5842"/>
        <v>0</v>
      </c>
      <c r="E1359" s="8">
        <f t="shared" si="5843"/>
        <v>1</v>
      </c>
      <c r="F1359" s="8">
        <f t="shared" si="5844"/>
        <v>0</v>
      </c>
      <c r="G1359" s="8">
        <f t="shared" si="5845"/>
        <v>0</v>
      </c>
      <c r="H1359" s="8">
        <f t="shared" si="5846"/>
        <v>0</v>
      </c>
      <c r="I1359" s="8">
        <f t="shared" si="5847"/>
        <v>0</v>
      </c>
      <c r="J1359" s="8">
        <f t="shared" si="5848"/>
        <v>0</v>
      </c>
      <c r="K1359" s="8">
        <f t="shared" si="5849"/>
        <v>0</v>
      </c>
      <c r="L1359" s="8">
        <f t="shared" si="5850"/>
        <v>0</v>
      </c>
      <c r="M1359" s="8">
        <f t="shared" si="5851"/>
        <v>0</v>
      </c>
      <c r="N1359" s="8">
        <f t="shared" si="5852"/>
        <v>0</v>
      </c>
      <c r="O1359" s="8">
        <f t="shared" si="5853"/>
        <v>0</v>
      </c>
      <c r="P1359" s="8" t="e">
        <v>#NUM!</v>
      </c>
      <c r="Q1359" s="8" t="e">
        <f t="shared" ref="Q1359" si="5878">IF(COUNTIF(P1356:P1366,"&lt;"&amp;-0.001)=0,IF(ABS(P1359)&lt;0.001,0,P1359)," ")</f>
        <v>#NUM!</v>
      </c>
      <c r="R1359" s="8"/>
      <c r="S1359" s="8"/>
      <c r="U1359" s="34"/>
      <c r="V1359" s="34"/>
      <c r="W1359" s="34"/>
      <c r="X1359" s="34"/>
      <c r="Y1359" s="34"/>
      <c r="Z1359" s="34"/>
      <c r="AA1359" s="34"/>
      <c r="AB1359" s="34"/>
      <c r="AC1359" s="34"/>
      <c r="AD1359" s="34"/>
      <c r="AE1359" s="34"/>
      <c r="AF1359" s="34"/>
      <c r="AG1359" s="34"/>
      <c r="AH1359" s="34"/>
      <c r="AI1359" s="34"/>
      <c r="AJ1359" s="34"/>
      <c r="AK1359" s="34"/>
      <c r="AL1359" s="34"/>
      <c r="AM1359" s="34"/>
      <c r="AN1359" s="34"/>
      <c r="AO1359" s="34"/>
      <c r="AP1359" s="34"/>
      <c r="AQ1359" s="34"/>
      <c r="AR1359" s="34"/>
      <c r="AS1359" s="34"/>
      <c r="AT1359" s="34"/>
      <c r="AU1359" s="34"/>
      <c r="AV1359" s="34"/>
      <c r="AW1359" s="34"/>
      <c r="AX1359" s="34"/>
      <c r="AY1359" s="34"/>
      <c r="AZ1359" s="34"/>
      <c r="BA1359" s="34"/>
      <c r="BB1359" s="34"/>
      <c r="BC1359" s="34"/>
      <c r="BD1359" s="34"/>
      <c r="BE1359" s="34"/>
      <c r="BF1359" s="34"/>
      <c r="BG1359" s="34"/>
      <c r="BH1359" s="34"/>
      <c r="BI1359" s="34"/>
      <c r="BJ1359" s="34"/>
      <c r="BK1359" s="34"/>
      <c r="BL1359" s="34"/>
      <c r="BM1359" s="34"/>
      <c r="BN1359" s="34"/>
      <c r="BO1359" s="34"/>
      <c r="BP1359" s="34"/>
      <c r="BQ1359" s="34"/>
      <c r="BR1359" s="34"/>
      <c r="BS1359" s="34"/>
      <c r="BT1359" s="34"/>
      <c r="BU1359" s="34"/>
      <c r="BV1359" s="34"/>
      <c r="BW1359" s="34"/>
      <c r="BX1359" s="34"/>
      <c r="BY1359" s="34"/>
      <c r="BZ1359" s="34"/>
      <c r="CA1359" s="34"/>
      <c r="CB1359" s="34"/>
      <c r="CC1359" s="34"/>
      <c r="CD1359" s="34"/>
      <c r="CE1359" s="34"/>
      <c r="CF1359" s="34"/>
      <c r="CG1359" s="34"/>
      <c r="CH1359" s="34"/>
      <c r="CI1359" s="8"/>
    </row>
    <row r="1360" spans="1:87" x14ac:dyDescent="0.2">
      <c r="A1360" s="8" t="str">
        <f>IF(AND(COUNTIF(W$3:W$13,A$19)&gt;0,A$19&lt;&gt;B1308),A$19,IFERROR(IF(MATCH(A$19,Z$3:Z$13,0)=3,A$19," ")," "))</f>
        <v>C5</v>
      </c>
      <c r="B1360" s="8">
        <f>IF(A1360=" "," ",MAX(B1356:B1359)+1)</f>
        <v>3</v>
      </c>
      <c r="C1360" s="8" t="str">
        <f>IFERROR(INDEX(A1356:A1377,MATCH(SMALL(B1356:B1377,5),B1356:B1377,0),1)," ")</f>
        <v>C15</v>
      </c>
      <c r="D1360" s="8">
        <f t="shared" si="5842"/>
        <v>0</v>
      </c>
      <c r="E1360" s="8">
        <f t="shared" si="5843"/>
        <v>0</v>
      </c>
      <c r="F1360" s="8">
        <f t="shared" si="5844"/>
        <v>0</v>
      </c>
      <c r="G1360" s="8">
        <f t="shared" si="5845"/>
        <v>1</v>
      </c>
      <c r="H1360" s="8">
        <f t="shared" si="5846"/>
        <v>0</v>
      </c>
      <c r="I1360" s="8">
        <f t="shared" si="5847"/>
        <v>0</v>
      </c>
      <c r="J1360" s="8">
        <f t="shared" si="5848"/>
        <v>0</v>
      </c>
      <c r="K1360" s="8">
        <f t="shared" si="5849"/>
        <v>0</v>
      </c>
      <c r="L1360" s="8">
        <f t="shared" si="5850"/>
        <v>0</v>
      </c>
      <c r="M1360" s="8">
        <f t="shared" si="5851"/>
        <v>0</v>
      </c>
      <c r="N1360" s="8">
        <f t="shared" si="5852"/>
        <v>0</v>
      </c>
      <c r="O1360" s="8">
        <f t="shared" si="5853"/>
        <v>0</v>
      </c>
      <c r="P1360" s="8" t="e">
        <v>#NUM!</v>
      </c>
      <c r="Q1360" s="8" t="e">
        <f t="shared" ref="Q1360" si="5879">IF(COUNTIF(P1356:P1366,"&lt;"&amp;-0.001)=0,IF(ABS(P1360)&lt;0.001,0,P1360)," ")</f>
        <v>#NUM!</v>
      </c>
      <c r="R1360" s="8"/>
      <c r="S1360" s="8"/>
      <c r="U1360" s="34"/>
      <c r="V1360" s="34"/>
      <c r="W1360" s="34"/>
      <c r="X1360" s="34"/>
      <c r="Y1360" s="34"/>
      <c r="Z1360" s="34"/>
      <c r="AA1360" s="34"/>
      <c r="AB1360" s="34"/>
      <c r="AC1360" s="34"/>
      <c r="AD1360" s="34"/>
      <c r="AE1360" s="34"/>
      <c r="AF1360" s="34"/>
      <c r="AG1360" s="34"/>
      <c r="AH1360" s="34"/>
      <c r="AI1360" s="34"/>
      <c r="AJ1360" s="34"/>
      <c r="AK1360" s="34"/>
      <c r="AL1360" s="34"/>
      <c r="AM1360" s="34"/>
      <c r="AN1360" s="34"/>
      <c r="AO1360" s="34"/>
      <c r="AP1360" s="34"/>
      <c r="AQ1360" s="34"/>
      <c r="AR1360" s="34"/>
      <c r="AS1360" s="34"/>
      <c r="AT1360" s="34"/>
      <c r="AU1360" s="34"/>
      <c r="AV1360" s="34"/>
      <c r="AW1360" s="34"/>
      <c r="AX1360" s="34"/>
      <c r="AY1360" s="34"/>
      <c r="AZ1360" s="34"/>
      <c r="BA1360" s="34"/>
      <c r="BB1360" s="34"/>
      <c r="BC1360" s="34"/>
      <c r="BD1360" s="34"/>
      <c r="BE1360" s="34"/>
      <c r="BF1360" s="34"/>
      <c r="BG1360" s="34"/>
      <c r="BH1360" s="34"/>
      <c r="BI1360" s="34"/>
      <c r="BJ1360" s="34"/>
      <c r="BK1360" s="34"/>
      <c r="BL1360" s="34"/>
      <c r="BM1360" s="34"/>
      <c r="BN1360" s="34"/>
      <c r="BO1360" s="34"/>
      <c r="BP1360" s="34"/>
      <c r="BQ1360" s="34"/>
      <c r="BR1360" s="34"/>
      <c r="BS1360" s="34"/>
      <c r="BT1360" s="34"/>
      <c r="BU1360" s="34"/>
      <c r="BV1360" s="34"/>
      <c r="BW1360" s="34"/>
      <c r="BX1360" s="34"/>
      <c r="BY1360" s="34"/>
      <c r="BZ1360" s="34"/>
      <c r="CA1360" s="34"/>
      <c r="CB1360" s="34"/>
      <c r="CC1360" s="34"/>
      <c r="CD1360" s="34"/>
      <c r="CE1360" s="34"/>
      <c r="CF1360" s="34"/>
      <c r="CG1360" s="34"/>
      <c r="CH1360" s="34"/>
      <c r="CI1360" s="8"/>
    </row>
    <row r="1361" spans="1:87" x14ac:dyDescent="0.2">
      <c r="A1361" s="8" t="str">
        <f>IF(AND(COUNTIF(W$3:W$13,A$20)&gt;0,A$20&lt;&gt;B1308),A$20,IFERROR(IF(MATCH(A$20,Z$3:Z$13,0)=3,A$20," ")," "))</f>
        <v xml:space="preserve"> </v>
      </c>
      <c r="B1361" s="8" t="str">
        <f>IF(A1361=" "," ",MAX(B1356:B1360)+1)</f>
        <v xml:space="preserve"> </v>
      </c>
      <c r="C1361" s="8" t="str">
        <f>IFERROR(INDEX(A1356:A1377,MATCH(SMALL(B1356:B1377,6),B1356:B1377,0),1)," ")</f>
        <v>C16</v>
      </c>
      <c r="D1361" s="8">
        <f t="shared" si="5842"/>
        <v>0</v>
      </c>
      <c r="E1361" s="8">
        <f t="shared" si="5843"/>
        <v>0</v>
      </c>
      <c r="F1361" s="8">
        <f t="shared" si="5844"/>
        <v>0</v>
      </c>
      <c r="G1361" s="8">
        <f t="shared" si="5845"/>
        <v>0</v>
      </c>
      <c r="H1361" s="8">
        <f t="shared" si="5846"/>
        <v>1</v>
      </c>
      <c r="I1361" s="8">
        <f t="shared" si="5847"/>
        <v>0</v>
      </c>
      <c r="J1361" s="8">
        <f t="shared" si="5848"/>
        <v>0</v>
      </c>
      <c r="K1361" s="8">
        <f t="shared" si="5849"/>
        <v>0</v>
      </c>
      <c r="L1361" s="8">
        <f t="shared" si="5850"/>
        <v>0</v>
      </c>
      <c r="M1361" s="8">
        <f t="shared" si="5851"/>
        <v>0</v>
      </c>
      <c r="N1361" s="8">
        <f t="shared" si="5852"/>
        <v>0</v>
      </c>
      <c r="O1361" s="8">
        <f t="shared" si="5853"/>
        <v>0</v>
      </c>
      <c r="P1361" s="8" t="e">
        <v>#NUM!</v>
      </c>
      <c r="Q1361" s="8" t="e">
        <f t="shared" ref="Q1361" si="5880">IF(COUNTIF(P1356:P1366,"&lt;"&amp;-0.001)=0,IF(ABS(P1361)&lt;0.001,0,P1361)," ")</f>
        <v>#NUM!</v>
      </c>
      <c r="R1361" s="8"/>
      <c r="S1361" s="8"/>
      <c r="U1361" s="34"/>
      <c r="V1361" s="34"/>
      <c r="W1361" s="34"/>
      <c r="X1361" s="34"/>
      <c r="Y1361" s="34"/>
      <c r="Z1361" s="34"/>
      <c r="AA1361" s="34"/>
      <c r="AB1361" s="34"/>
      <c r="AC1361" s="34"/>
      <c r="AD1361" s="34"/>
      <c r="AE1361" s="34"/>
      <c r="AF1361" s="34"/>
      <c r="AG1361" s="34"/>
      <c r="AH1361" s="34"/>
      <c r="AI1361" s="34"/>
      <c r="AJ1361" s="34"/>
      <c r="AK1361" s="34"/>
      <c r="AL1361" s="34"/>
      <c r="AM1361" s="34"/>
      <c r="AN1361" s="34"/>
      <c r="AO1361" s="34"/>
      <c r="AP1361" s="34"/>
      <c r="AQ1361" s="34"/>
      <c r="AR1361" s="34"/>
      <c r="AS1361" s="34"/>
      <c r="AT1361" s="34"/>
      <c r="AU1361" s="34"/>
      <c r="AV1361" s="34"/>
      <c r="AW1361" s="34"/>
      <c r="AX1361" s="34"/>
      <c r="AY1361" s="34"/>
      <c r="AZ1361" s="34"/>
      <c r="BA1361" s="34"/>
      <c r="BB1361" s="34"/>
      <c r="BC1361" s="34"/>
      <c r="BD1361" s="34"/>
      <c r="BE1361" s="34"/>
      <c r="BF1361" s="34"/>
      <c r="BG1361" s="34"/>
      <c r="BH1361" s="34"/>
      <c r="BI1361" s="34"/>
      <c r="BJ1361" s="34"/>
      <c r="BK1361" s="34"/>
      <c r="BL1361" s="34"/>
      <c r="BM1361" s="34"/>
      <c r="BN1361" s="34"/>
      <c r="BO1361" s="34"/>
      <c r="BP1361" s="34"/>
      <c r="BQ1361" s="34"/>
      <c r="BR1361" s="34"/>
      <c r="BS1361" s="34"/>
      <c r="BT1361" s="34"/>
      <c r="BU1361" s="34"/>
      <c r="BV1361" s="34"/>
      <c r="BW1361" s="34"/>
      <c r="BX1361" s="34"/>
      <c r="BY1361" s="34"/>
      <c r="BZ1361" s="34"/>
      <c r="CA1361" s="34"/>
      <c r="CB1361" s="34"/>
      <c r="CC1361" s="34"/>
      <c r="CD1361" s="34"/>
      <c r="CE1361" s="34"/>
      <c r="CF1361" s="34"/>
      <c r="CG1361" s="34"/>
      <c r="CH1361" s="34"/>
      <c r="CI1361" s="8"/>
    </row>
    <row r="1362" spans="1:87" x14ac:dyDescent="0.2">
      <c r="A1362" s="8" t="str">
        <f>IF(AND(COUNTIF(W$3:W$13,A$21)&gt;0,A$21&lt;&gt;B1308),A$21,IFERROR(IF(MATCH(A$21,Z$3:Z$13,0)=3,A$21," ")," "))</f>
        <v xml:space="preserve"> </v>
      </c>
      <c r="B1362" s="8" t="str">
        <f>IF(A1362=" "," ",MAX(B1356:B1361)+1)</f>
        <v xml:space="preserve"> </v>
      </c>
      <c r="C1362" s="8" t="str">
        <f>IFERROR(INDEX(A1356:A1377,MATCH(SMALL(B1356:B1377,7),B1356:B1377,0),1)," ")</f>
        <v>C18</v>
      </c>
      <c r="D1362" s="8">
        <f t="shared" si="5842"/>
        <v>0</v>
      </c>
      <c r="E1362" s="8">
        <f t="shared" si="5843"/>
        <v>0</v>
      </c>
      <c r="F1362" s="8">
        <f t="shared" si="5844"/>
        <v>0</v>
      </c>
      <c r="G1362" s="8">
        <f t="shared" si="5845"/>
        <v>0</v>
      </c>
      <c r="H1362" s="8">
        <f t="shared" si="5846"/>
        <v>0</v>
      </c>
      <c r="I1362" s="8">
        <f t="shared" si="5847"/>
        <v>0</v>
      </c>
      <c r="J1362" s="8">
        <f t="shared" si="5848"/>
        <v>1</v>
      </c>
      <c r="K1362" s="8">
        <f t="shared" si="5849"/>
        <v>0</v>
      </c>
      <c r="L1362" s="8">
        <f t="shared" si="5850"/>
        <v>0</v>
      </c>
      <c r="M1362" s="8">
        <f t="shared" si="5851"/>
        <v>0</v>
      </c>
      <c r="N1362" s="8">
        <f t="shared" si="5852"/>
        <v>0</v>
      </c>
      <c r="O1362" s="8">
        <f t="shared" si="5853"/>
        <v>0</v>
      </c>
      <c r="P1362" s="8" t="e">
        <v>#NUM!</v>
      </c>
      <c r="Q1362" s="8" t="e">
        <f t="shared" ref="Q1362" si="5881">IF(COUNTIF(P1356:P1366,"&lt;"&amp;-0.001)=0,IF(ABS(P1362)&lt;0.001,0,P1362)," ")</f>
        <v>#NUM!</v>
      </c>
      <c r="R1362" s="8"/>
      <c r="S1362" s="8"/>
      <c r="U1362" s="34"/>
      <c r="V1362" s="34"/>
      <c r="W1362" s="34"/>
      <c r="X1362" s="34"/>
      <c r="Y1362" s="34"/>
      <c r="Z1362" s="34"/>
      <c r="AA1362" s="34"/>
      <c r="AB1362" s="34"/>
      <c r="AC1362" s="34"/>
      <c r="AD1362" s="34"/>
      <c r="AE1362" s="34"/>
      <c r="AF1362" s="34"/>
      <c r="AG1362" s="34"/>
      <c r="AH1362" s="34"/>
      <c r="AI1362" s="34"/>
      <c r="AJ1362" s="34"/>
      <c r="AK1362" s="34"/>
      <c r="AL1362" s="34"/>
      <c r="AM1362" s="34"/>
      <c r="AN1362" s="34"/>
      <c r="AO1362" s="34"/>
      <c r="AP1362" s="34"/>
      <c r="AQ1362" s="34"/>
      <c r="AR1362" s="34"/>
      <c r="AS1362" s="34"/>
      <c r="AT1362" s="34"/>
      <c r="AU1362" s="34"/>
      <c r="AV1362" s="34"/>
      <c r="AW1362" s="34"/>
      <c r="AX1362" s="34"/>
      <c r="AY1362" s="34"/>
      <c r="AZ1362" s="34"/>
      <c r="BA1362" s="34"/>
      <c r="BB1362" s="34"/>
      <c r="BC1362" s="34"/>
      <c r="BD1362" s="34"/>
      <c r="BE1362" s="34"/>
      <c r="BF1362" s="34"/>
      <c r="BG1362" s="34"/>
      <c r="BH1362" s="34"/>
      <c r="BI1362" s="34"/>
      <c r="BJ1362" s="34"/>
      <c r="BK1362" s="34"/>
      <c r="BL1362" s="34"/>
      <c r="BM1362" s="34"/>
      <c r="BN1362" s="34"/>
      <c r="BO1362" s="34"/>
      <c r="BP1362" s="34"/>
      <c r="BQ1362" s="34"/>
      <c r="BR1362" s="34"/>
      <c r="BS1362" s="34"/>
      <c r="BT1362" s="34"/>
      <c r="BU1362" s="34"/>
      <c r="BV1362" s="34"/>
      <c r="BW1362" s="34"/>
      <c r="BX1362" s="34"/>
      <c r="BY1362" s="34"/>
      <c r="BZ1362" s="34"/>
      <c r="CA1362" s="34"/>
      <c r="CB1362" s="34"/>
      <c r="CC1362" s="34"/>
      <c r="CD1362" s="34"/>
      <c r="CE1362" s="34"/>
      <c r="CF1362" s="34"/>
      <c r="CG1362" s="34"/>
      <c r="CH1362" s="34"/>
      <c r="CI1362" s="8"/>
    </row>
    <row r="1363" spans="1:87" x14ac:dyDescent="0.2">
      <c r="A1363" s="8" t="str">
        <f>IF(AND(COUNTIF(W$3:W$13,A$22)&gt;0,A$22&lt;&gt;B1308),A$22,IFERROR(IF(MATCH(A$22,Z$3:Z$13,0)=3,A$22," ")," "))</f>
        <v xml:space="preserve"> </v>
      </c>
      <c r="B1363" s="8" t="str">
        <f>IF(A1363=" "," ",MAX(B1356:B1362)+1)</f>
        <v xml:space="preserve"> </v>
      </c>
      <c r="C1363" s="8" t="str">
        <f>IFERROR(INDEX(A1356:A1377,MATCH(SMALL(B1356:B1377,8),B1356:B1377,0),1)," ")</f>
        <v>C19</v>
      </c>
      <c r="D1363" s="8">
        <f t="shared" si="5842"/>
        <v>0</v>
      </c>
      <c r="E1363" s="8">
        <f t="shared" si="5843"/>
        <v>0</v>
      </c>
      <c r="F1363" s="8">
        <f t="shared" si="5844"/>
        <v>0</v>
      </c>
      <c r="G1363" s="8">
        <f t="shared" si="5845"/>
        <v>0</v>
      </c>
      <c r="H1363" s="8">
        <f t="shared" si="5846"/>
        <v>0</v>
      </c>
      <c r="I1363" s="8">
        <f t="shared" si="5847"/>
        <v>0</v>
      </c>
      <c r="J1363" s="8">
        <f t="shared" si="5848"/>
        <v>0</v>
      </c>
      <c r="K1363" s="8">
        <f t="shared" si="5849"/>
        <v>1</v>
      </c>
      <c r="L1363" s="8">
        <f t="shared" si="5850"/>
        <v>0</v>
      </c>
      <c r="M1363" s="8">
        <f t="shared" si="5851"/>
        <v>0</v>
      </c>
      <c r="N1363" s="8">
        <f t="shared" si="5852"/>
        <v>0</v>
      </c>
      <c r="O1363" s="8">
        <f t="shared" si="5853"/>
        <v>0</v>
      </c>
      <c r="P1363" s="8" t="e">
        <v>#NUM!</v>
      </c>
      <c r="Q1363" s="8" t="e">
        <f t="shared" ref="Q1363" si="5882">IF(COUNTIF(P1356:P1366,"&lt;"&amp;-0.001)=0,IF(ABS(P1363)&lt;0.001,0,P1363)," ")</f>
        <v>#NUM!</v>
      </c>
      <c r="R1363" s="8"/>
      <c r="S1363" s="8"/>
      <c r="U1363" s="34"/>
      <c r="V1363" s="34"/>
      <c r="W1363" s="34"/>
      <c r="X1363" s="34"/>
      <c r="Y1363" s="34"/>
      <c r="Z1363" s="34"/>
      <c r="AA1363" s="34"/>
      <c r="AB1363" s="34"/>
      <c r="AC1363" s="34"/>
      <c r="AD1363" s="34"/>
      <c r="AE1363" s="34"/>
      <c r="AF1363" s="34"/>
      <c r="AG1363" s="34"/>
      <c r="AH1363" s="34"/>
      <c r="AI1363" s="34"/>
      <c r="AJ1363" s="34"/>
      <c r="AK1363" s="34"/>
      <c r="AL1363" s="34"/>
      <c r="AM1363" s="34"/>
      <c r="AN1363" s="34"/>
      <c r="AO1363" s="34"/>
      <c r="AP1363" s="34"/>
      <c r="AQ1363" s="34"/>
      <c r="AR1363" s="34"/>
      <c r="AS1363" s="34"/>
      <c r="AT1363" s="34"/>
      <c r="AU1363" s="34"/>
      <c r="AV1363" s="34"/>
      <c r="AW1363" s="34"/>
      <c r="AX1363" s="34"/>
      <c r="AY1363" s="34"/>
      <c r="AZ1363" s="34"/>
      <c r="BA1363" s="34"/>
      <c r="BB1363" s="34"/>
      <c r="BC1363" s="34"/>
      <c r="BD1363" s="34"/>
      <c r="BE1363" s="34"/>
      <c r="BF1363" s="34"/>
      <c r="BG1363" s="34"/>
      <c r="BH1363" s="34"/>
      <c r="BI1363" s="34"/>
      <c r="BJ1363" s="34"/>
      <c r="BK1363" s="34"/>
      <c r="BL1363" s="34"/>
      <c r="BM1363" s="34"/>
      <c r="BN1363" s="34"/>
      <c r="BO1363" s="34"/>
      <c r="BP1363" s="34"/>
      <c r="BQ1363" s="34"/>
      <c r="BR1363" s="34"/>
      <c r="BS1363" s="34"/>
      <c r="BT1363" s="34"/>
      <c r="BU1363" s="34"/>
      <c r="BV1363" s="34"/>
      <c r="BW1363" s="34"/>
      <c r="BX1363" s="34"/>
      <c r="BY1363" s="34"/>
      <c r="BZ1363" s="34"/>
      <c r="CA1363" s="34"/>
      <c r="CB1363" s="34"/>
      <c r="CC1363" s="34"/>
      <c r="CD1363" s="34"/>
      <c r="CE1363" s="34"/>
      <c r="CF1363" s="34"/>
      <c r="CG1363" s="34"/>
      <c r="CH1363" s="34"/>
      <c r="CI1363" s="8"/>
    </row>
    <row r="1364" spans="1:87" x14ac:dyDescent="0.2">
      <c r="A1364" s="8" t="str">
        <f>IF(AND(COUNTIF(W$3:W$13,A$23)&gt;0,A$23&lt;&gt;B1308),A$23,IFERROR(IF(MATCH(A$23,Z$3:Z$13,0)=3,A$23," ")," "))</f>
        <v xml:space="preserve"> </v>
      </c>
      <c r="B1364" s="8" t="str">
        <f>IF(A1364=" "," ",MAX(B1356:B1363)+1)</f>
        <v xml:space="preserve"> </v>
      </c>
      <c r="C1364" s="8" t="str">
        <f>IFERROR(INDEX(A1356:A1377,MATCH(SMALL(B1356:B1377,9),B1356:B1377,0),1)," ")</f>
        <v>C20</v>
      </c>
      <c r="D1364" s="8">
        <f t="shared" si="5842"/>
        <v>0</v>
      </c>
      <c r="E1364" s="8">
        <f t="shared" si="5843"/>
        <v>0</v>
      </c>
      <c r="F1364" s="8">
        <f t="shared" si="5844"/>
        <v>0</v>
      </c>
      <c r="G1364" s="8">
        <f t="shared" si="5845"/>
        <v>0</v>
      </c>
      <c r="H1364" s="8">
        <f t="shared" si="5846"/>
        <v>0</v>
      </c>
      <c r="I1364" s="8">
        <f t="shared" si="5847"/>
        <v>0</v>
      </c>
      <c r="J1364" s="8">
        <f t="shared" si="5848"/>
        <v>0</v>
      </c>
      <c r="K1364" s="8">
        <f t="shared" si="5849"/>
        <v>0</v>
      </c>
      <c r="L1364" s="8">
        <f t="shared" si="5850"/>
        <v>1</v>
      </c>
      <c r="M1364" s="8">
        <f t="shared" si="5851"/>
        <v>0</v>
      </c>
      <c r="N1364" s="8">
        <f t="shared" si="5852"/>
        <v>0</v>
      </c>
      <c r="O1364" s="8">
        <f t="shared" si="5853"/>
        <v>0</v>
      </c>
      <c r="P1364" s="6" t="e">
        <v>#NUM!</v>
      </c>
      <c r="Q1364" s="8" t="e">
        <f t="shared" ref="Q1364" si="5883">IF(COUNTIF(P1356:P1366,"&lt;"&amp;-0.001)=0,IF(ABS(P1364)&lt;0.001,0,P1364)," ")</f>
        <v>#NUM!</v>
      </c>
      <c r="R1364" s="8"/>
      <c r="S1364" s="8"/>
      <c r="U1364" s="34"/>
      <c r="V1364" s="34"/>
      <c r="W1364" s="34"/>
      <c r="X1364" s="34"/>
      <c r="Y1364" s="34"/>
      <c r="Z1364" s="34"/>
      <c r="AA1364" s="34"/>
      <c r="AB1364" s="34"/>
      <c r="AC1364" s="34"/>
      <c r="AD1364" s="34"/>
      <c r="AE1364" s="34"/>
      <c r="AF1364" s="34"/>
      <c r="AG1364" s="34"/>
      <c r="AH1364" s="34"/>
      <c r="AI1364" s="34"/>
      <c r="AJ1364" s="34"/>
      <c r="AK1364" s="34"/>
      <c r="AL1364" s="34"/>
      <c r="AM1364" s="34"/>
      <c r="AN1364" s="34"/>
      <c r="AO1364" s="34"/>
      <c r="AP1364" s="34"/>
      <c r="AQ1364" s="34"/>
      <c r="AR1364" s="34"/>
      <c r="AS1364" s="34"/>
      <c r="AT1364" s="34"/>
      <c r="AU1364" s="34"/>
      <c r="AV1364" s="34"/>
      <c r="AW1364" s="34"/>
      <c r="AX1364" s="34"/>
      <c r="AY1364" s="34"/>
      <c r="AZ1364" s="34"/>
      <c r="BA1364" s="34"/>
      <c r="BB1364" s="34"/>
      <c r="BC1364" s="34"/>
      <c r="BD1364" s="34"/>
      <c r="BE1364" s="34"/>
      <c r="BF1364" s="34"/>
      <c r="BG1364" s="34"/>
      <c r="BH1364" s="34"/>
      <c r="BI1364" s="34"/>
      <c r="BJ1364" s="34"/>
      <c r="BK1364" s="34"/>
      <c r="BL1364" s="34"/>
      <c r="BM1364" s="34"/>
      <c r="BN1364" s="34"/>
      <c r="BO1364" s="34"/>
      <c r="BP1364" s="34"/>
      <c r="BQ1364" s="34"/>
      <c r="BR1364" s="34"/>
      <c r="BS1364" s="34"/>
      <c r="BT1364" s="34"/>
      <c r="BU1364" s="34"/>
      <c r="BV1364" s="34"/>
      <c r="BW1364" s="34"/>
      <c r="BX1364" s="34"/>
      <c r="BY1364" s="34"/>
      <c r="BZ1364" s="34"/>
      <c r="CA1364" s="34"/>
      <c r="CB1364" s="34"/>
      <c r="CC1364" s="34"/>
      <c r="CD1364" s="34"/>
      <c r="CE1364" s="34"/>
      <c r="CF1364" s="34"/>
      <c r="CG1364" s="34"/>
      <c r="CH1364" s="34"/>
      <c r="CI1364" s="8"/>
    </row>
    <row r="1365" spans="1:87" x14ac:dyDescent="0.2">
      <c r="A1365" s="8" t="str">
        <f>IF(AND(COUNTIF(W$3:W$13,A$24)&gt;0,A$24&lt;&gt;B1308),A$24,IFERROR(IF(MATCH(A$24,Z$3:Z$13,0)=3,A$24," ")," "))</f>
        <v xml:space="preserve"> </v>
      </c>
      <c r="B1365" s="8" t="str">
        <f>IF(A1365=" "," ",MAX(B1356:B1364)+1)</f>
        <v xml:space="preserve"> </v>
      </c>
      <c r="C1365" s="8" t="str">
        <f>IFERROR(INDEX(A1356:A1377,MATCH(SMALL(B1356:B1377,10),B1356:B1377,0),1)," ")</f>
        <v>C21</v>
      </c>
      <c r="D1365" s="8">
        <f t="shared" si="5842"/>
        <v>0</v>
      </c>
      <c r="E1365" s="8">
        <f t="shared" si="5843"/>
        <v>0</v>
      </c>
      <c r="F1365" s="8">
        <f t="shared" si="5844"/>
        <v>0</v>
      </c>
      <c r="G1365" s="8">
        <f t="shared" si="5845"/>
        <v>0</v>
      </c>
      <c r="H1365" s="8">
        <f t="shared" si="5846"/>
        <v>0</v>
      </c>
      <c r="I1365" s="8">
        <f t="shared" si="5847"/>
        <v>0</v>
      </c>
      <c r="J1365" s="8">
        <f t="shared" si="5848"/>
        <v>0</v>
      </c>
      <c r="K1365" s="8">
        <f t="shared" si="5849"/>
        <v>0</v>
      </c>
      <c r="L1365" s="8">
        <f t="shared" si="5850"/>
        <v>0</v>
      </c>
      <c r="M1365" s="8">
        <f t="shared" si="5851"/>
        <v>1</v>
      </c>
      <c r="N1365" s="8">
        <f t="shared" si="5852"/>
        <v>0</v>
      </c>
      <c r="O1365" s="8">
        <f t="shared" si="5853"/>
        <v>0</v>
      </c>
      <c r="P1365" s="8" t="e">
        <v>#NUM!</v>
      </c>
      <c r="Q1365" s="8" t="e">
        <f t="shared" ref="Q1365" si="5884">IF(COUNTIF(P1356:P1366,"&lt;"&amp;-0.001)=0,IF(ABS(P1365)&lt;0.001,0,P1365)," ")</f>
        <v>#NUM!</v>
      </c>
      <c r="R1365" s="8"/>
      <c r="S1365" s="8"/>
      <c r="U1365" s="34"/>
      <c r="V1365" s="34"/>
      <c r="W1365" s="34"/>
      <c r="X1365" s="34"/>
      <c r="Y1365" s="34"/>
      <c r="Z1365" s="34"/>
      <c r="AA1365" s="34"/>
      <c r="AB1365" s="34"/>
      <c r="AC1365" s="34"/>
      <c r="AD1365" s="34"/>
      <c r="AE1365" s="34"/>
      <c r="AF1365" s="34"/>
      <c r="AG1365" s="34"/>
      <c r="AH1365" s="34"/>
      <c r="AI1365" s="34"/>
      <c r="AJ1365" s="34"/>
      <c r="AK1365" s="34"/>
      <c r="AL1365" s="34"/>
      <c r="AM1365" s="34"/>
      <c r="AN1365" s="34"/>
      <c r="AO1365" s="34"/>
      <c r="AP1365" s="34"/>
      <c r="AQ1365" s="34"/>
      <c r="AR1365" s="34"/>
      <c r="AS1365" s="34"/>
      <c r="AT1365" s="34"/>
      <c r="AU1365" s="34"/>
      <c r="AV1365" s="34"/>
      <c r="AW1365" s="34"/>
      <c r="AX1365" s="34"/>
      <c r="AY1365" s="34"/>
      <c r="AZ1365" s="34"/>
      <c r="BA1365" s="34"/>
      <c r="BB1365" s="34"/>
      <c r="BC1365" s="34"/>
      <c r="BD1365" s="34"/>
      <c r="BE1365" s="34"/>
      <c r="BF1365" s="34"/>
      <c r="BG1365" s="34"/>
      <c r="BH1365" s="34"/>
      <c r="BI1365" s="34"/>
      <c r="BJ1365" s="34"/>
      <c r="BK1365" s="34"/>
      <c r="BL1365" s="34"/>
      <c r="BM1365" s="34"/>
      <c r="BN1365" s="34"/>
      <c r="BO1365" s="34"/>
      <c r="BP1365" s="34"/>
      <c r="BQ1365" s="34"/>
      <c r="BR1365" s="34"/>
      <c r="BS1365" s="34"/>
      <c r="BT1365" s="34"/>
      <c r="BU1365" s="34"/>
      <c r="BV1365" s="34"/>
      <c r="BW1365" s="34"/>
      <c r="BX1365" s="34"/>
      <c r="BY1365" s="34"/>
      <c r="BZ1365" s="34"/>
      <c r="CA1365" s="34"/>
      <c r="CB1365" s="34"/>
      <c r="CC1365" s="34"/>
      <c r="CD1365" s="34"/>
      <c r="CE1365" s="34"/>
      <c r="CF1365" s="34"/>
      <c r="CG1365" s="34"/>
      <c r="CH1365" s="34"/>
      <c r="CI1365" s="8"/>
    </row>
    <row r="1366" spans="1:87" x14ac:dyDescent="0.2">
      <c r="A1366" s="8" t="str">
        <f>IF(AND(COUNTIF(W$3:W$13,A$25)&gt;0,A$25&lt;&gt;B1308),A$25,IFERROR(IF(MATCH(A$25,Z$3:Z$13,0)=3,A$25," ")," "))</f>
        <v xml:space="preserve"> </v>
      </c>
      <c r="B1366" s="8" t="str">
        <f>IF(A1366=" "," ",MAX(B1356:B1365)+1)</f>
        <v xml:space="preserve"> </v>
      </c>
      <c r="C1366" s="8" t="str">
        <f>IFERROR(INDEX(A1356:A1377,MATCH(SMALL(B1356:B1377,11),B1356:B1377,0),1)," ")</f>
        <v>C22</v>
      </c>
      <c r="D1366" s="8">
        <f t="shared" si="5842"/>
        <v>0</v>
      </c>
      <c r="E1366" s="8">
        <f t="shared" si="5843"/>
        <v>0</v>
      </c>
      <c r="F1366" s="8">
        <f t="shared" si="5844"/>
        <v>0</v>
      </c>
      <c r="G1366" s="8">
        <f t="shared" si="5845"/>
        <v>0</v>
      </c>
      <c r="H1366" s="8">
        <f t="shared" si="5846"/>
        <v>0</v>
      </c>
      <c r="I1366" s="8">
        <f t="shared" si="5847"/>
        <v>0</v>
      </c>
      <c r="J1366" s="8">
        <f t="shared" si="5848"/>
        <v>0</v>
      </c>
      <c r="K1366" s="8">
        <f t="shared" si="5849"/>
        <v>0</v>
      </c>
      <c r="L1366" s="8">
        <f t="shared" si="5850"/>
        <v>0</v>
      </c>
      <c r="M1366" s="8">
        <f t="shared" si="5851"/>
        <v>0</v>
      </c>
      <c r="N1366" s="8">
        <f t="shared" si="5852"/>
        <v>1</v>
      </c>
      <c r="O1366" s="8">
        <f t="shared" si="5853"/>
        <v>0</v>
      </c>
      <c r="P1366" s="8" t="e">
        <v>#NUM!</v>
      </c>
      <c r="Q1366" s="8" t="e">
        <f t="shared" ref="Q1366" si="5885">IF(COUNTIF(P1356:P1366,"&lt;"&amp;-0.001)=0,IF(ABS(P1366)&lt;0.001,0,P1366)," ")</f>
        <v>#NUM!</v>
      </c>
      <c r="R1366" s="8"/>
      <c r="S1366" s="8"/>
      <c r="U1366" s="34"/>
      <c r="V1366" s="34"/>
      <c r="W1366" s="34"/>
      <c r="X1366" s="34"/>
      <c r="Y1366" s="34"/>
      <c r="Z1366" s="34"/>
      <c r="AA1366" s="34"/>
      <c r="AB1366" s="34"/>
      <c r="AC1366" s="34"/>
      <c r="AD1366" s="34"/>
      <c r="AE1366" s="34"/>
      <c r="AF1366" s="34"/>
      <c r="AG1366" s="34"/>
      <c r="AH1366" s="34"/>
      <c r="AI1366" s="34"/>
      <c r="AJ1366" s="34"/>
      <c r="AK1366" s="34"/>
      <c r="AL1366" s="34"/>
      <c r="AM1366" s="34"/>
      <c r="AN1366" s="34"/>
      <c r="AO1366" s="34"/>
      <c r="AP1366" s="34"/>
      <c r="AQ1366" s="34"/>
      <c r="AR1366" s="34"/>
      <c r="AS1366" s="34"/>
      <c r="AT1366" s="34"/>
      <c r="AU1366" s="34"/>
      <c r="AV1366" s="34"/>
      <c r="AW1366" s="34"/>
      <c r="AX1366" s="34"/>
      <c r="AY1366" s="34"/>
      <c r="AZ1366" s="34"/>
      <c r="BA1366" s="34"/>
      <c r="BB1366" s="34"/>
      <c r="BC1366" s="34"/>
      <c r="BD1366" s="34"/>
      <c r="BE1366" s="34"/>
      <c r="BF1366" s="34"/>
      <c r="BG1366" s="34"/>
      <c r="BH1366" s="34"/>
      <c r="BI1366" s="34"/>
      <c r="BJ1366" s="34"/>
      <c r="BK1366" s="34"/>
      <c r="BL1366" s="34"/>
      <c r="BM1366" s="34"/>
      <c r="BN1366" s="34"/>
      <c r="BO1366" s="34"/>
      <c r="BP1366" s="34"/>
      <c r="BQ1366" s="34"/>
      <c r="BR1366" s="34"/>
      <c r="BS1366" s="34"/>
      <c r="BT1366" s="34"/>
      <c r="BU1366" s="34"/>
      <c r="BV1366" s="34"/>
      <c r="BW1366" s="34"/>
      <c r="BX1366" s="34"/>
      <c r="BY1366" s="34"/>
      <c r="BZ1366" s="34"/>
      <c r="CA1366" s="34"/>
      <c r="CB1366" s="34"/>
      <c r="CC1366" s="34"/>
      <c r="CD1366" s="34"/>
      <c r="CE1366" s="34"/>
      <c r="CF1366" s="34"/>
      <c r="CG1366" s="34"/>
      <c r="CH1366" s="34"/>
      <c r="CI1366" s="8"/>
    </row>
    <row r="1367" spans="1:87" x14ac:dyDescent="0.2">
      <c r="A1367" s="8" t="str">
        <f>IF(AND(COUNTIF(W$3:W$13,A$26)&gt;0,A$26&lt;&gt;B1308),A$26,IFERROR(IF(MATCH(A$26,Z$3:Z$13,0)=3,A$26," ")," "))</f>
        <v xml:space="preserve"> </v>
      </c>
      <c r="B1367" s="8" t="str">
        <f>IF(A1367=" "," ",MAX(B1356:B1366)+1)</f>
        <v xml:space="preserve"> </v>
      </c>
      <c r="C1367" s="8"/>
      <c r="D1367" s="8"/>
      <c r="E1367" s="8"/>
      <c r="F1367" s="8"/>
      <c r="G1367" s="8"/>
      <c r="H1367" s="8"/>
      <c r="I1367" s="8"/>
      <c r="J1367" s="8"/>
      <c r="K1367" s="8"/>
      <c r="L1367" s="8"/>
      <c r="M1367" s="8"/>
      <c r="N1367" s="8"/>
      <c r="O1367" s="8"/>
      <c r="P1367" s="8"/>
      <c r="Q1367" s="8"/>
      <c r="R1367" s="8"/>
      <c r="S1367" s="8"/>
      <c r="U1367" s="34"/>
      <c r="V1367" s="34"/>
      <c r="W1367" s="34"/>
      <c r="X1367" s="34"/>
      <c r="Y1367" s="34"/>
      <c r="Z1367" s="34"/>
      <c r="AA1367" s="34"/>
      <c r="AB1367" s="34"/>
      <c r="AC1367" s="34"/>
      <c r="AD1367" s="34"/>
      <c r="AE1367" s="34"/>
      <c r="AF1367" s="34"/>
      <c r="AG1367" s="34"/>
      <c r="AH1367" s="34"/>
      <c r="AI1367" s="34"/>
      <c r="AJ1367" s="34"/>
      <c r="AK1367" s="34"/>
      <c r="AL1367" s="34"/>
      <c r="AM1367" s="34"/>
      <c r="AN1367" s="34"/>
      <c r="AO1367" s="34"/>
      <c r="AP1367" s="34"/>
      <c r="AQ1367" s="34"/>
      <c r="AR1367" s="34"/>
      <c r="AS1367" s="34"/>
      <c r="AT1367" s="34"/>
      <c r="AU1367" s="34"/>
      <c r="AV1367" s="34"/>
      <c r="AW1367" s="34"/>
      <c r="AX1367" s="34"/>
      <c r="AY1367" s="34"/>
      <c r="AZ1367" s="34"/>
      <c r="BA1367" s="34"/>
      <c r="BB1367" s="34"/>
      <c r="BC1367" s="34"/>
      <c r="BD1367" s="34"/>
      <c r="BE1367" s="34"/>
      <c r="BF1367" s="34"/>
      <c r="BG1367" s="34"/>
      <c r="BH1367" s="34"/>
      <c r="BI1367" s="34"/>
      <c r="BJ1367" s="34"/>
      <c r="BK1367" s="34"/>
      <c r="BL1367" s="34"/>
      <c r="BM1367" s="34"/>
      <c r="BN1367" s="34"/>
      <c r="BO1367" s="34"/>
      <c r="BP1367" s="34"/>
      <c r="BQ1367" s="34"/>
      <c r="BR1367" s="34"/>
      <c r="BS1367" s="34"/>
      <c r="BT1367" s="34"/>
      <c r="BU1367" s="34"/>
      <c r="BV1367" s="34"/>
      <c r="BW1367" s="34"/>
      <c r="BX1367" s="34"/>
      <c r="BY1367" s="34"/>
      <c r="BZ1367" s="34"/>
      <c r="CA1367" s="34"/>
      <c r="CB1367" s="34"/>
      <c r="CC1367" s="34"/>
      <c r="CD1367" s="34"/>
      <c r="CE1367" s="34"/>
      <c r="CF1367" s="34"/>
      <c r="CG1367" s="34"/>
      <c r="CH1367" s="34"/>
      <c r="CI1367" s="8"/>
    </row>
    <row r="1368" spans="1:87" x14ac:dyDescent="0.2">
      <c r="A1368" s="8" t="str">
        <f>IF(AND(COUNTIF(W$3:W$13,A$27)&gt;0,A$27&lt;&gt;B1308),A$27,IFERROR(IF(MATCH(A$27,Z$3:Z$13,0)=3,A$27," ")," "))</f>
        <v>C13</v>
      </c>
      <c r="B1368" s="8">
        <f>IF(A1368=" "," ",MAX(B1356:B1367)+1)</f>
        <v>4</v>
      </c>
      <c r="C1368" s="8"/>
      <c r="D1368" s="8"/>
      <c r="E1368" s="8"/>
      <c r="F1368" s="8"/>
      <c r="G1368" s="8"/>
      <c r="H1368" s="8"/>
      <c r="I1368" s="8"/>
      <c r="J1368" s="8"/>
      <c r="K1368" s="8"/>
      <c r="L1368" s="8"/>
      <c r="M1368" s="8"/>
      <c r="N1368" s="8"/>
      <c r="O1368" s="8"/>
      <c r="P1368" s="8"/>
      <c r="Q1368" s="8"/>
      <c r="R1368" s="8"/>
      <c r="S1368" s="8"/>
      <c r="U1368" s="34"/>
      <c r="V1368" s="34"/>
      <c r="W1368" s="34"/>
      <c r="X1368" s="34"/>
      <c r="Y1368" s="34"/>
      <c r="Z1368" s="34"/>
      <c r="AA1368" s="34"/>
      <c r="AB1368" s="34"/>
      <c r="AC1368" s="34"/>
      <c r="AD1368" s="34"/>
      <c r="AE1368" s="34"/>
      <c r="AF1368" s="34"/>
      <c r="AG1368" s="34"/>
      <c r="AH1368" s="34"/>
      <c r="AI1368" s="34"/>
      <c r="AJ1368" s="34"/>
      <c r="AK1368" s="34"/>
      <c r="AL1368" s="34"/>
      <c r="AM1368" s="34"/>
      <c r="AN1368" s="34"/>
      <c r="AO1368" s="34"/>
      <c r="AP1368" s="34"/>
      <c r="AQ1368" s="34"/>
      <c r="AR1368" s="34"/>
      <c r="AS1368" s="34"/>
      <c r="AT1368" s="34"/>
      <c r="AU1368" s="34"/>
      <c r="AV1368" s="34"/>
      <c r="AW1368" s="34"/>
      <c r="AX1368" s="34"/>
      <c r="AY1368" s="34"/>
      <c r="AZ1368" s="34"/>
      <c r="BA1368" s="34"/>
      <c r="BB1368" s="34"/>
      <c r="BC1368" s="34"/>
      <c r="BD1368" s="34"/>
      <c r="BE1368" s="34"/>
      <c r="BF1368" s="34"/>
      <c r="BG1368" s="34"/>
      <c r="BH1368" s="34"/>
      <c r="BI1368" s="34"/>
      <c r="BJ1368" s="34"/>
      <c r="BK1368" s="34"/>
      <c r="BL1368" s="34"/>
      <c r="BM1368" s="34"/>
      <c r="BN1368" s="34"/>
      <c r="BO1368" s="34"/>
      <c r="BP1368" s="34"/>
      <c r="BQ1368" s="34"/>
      <c r="BR1368" s="34"/>
      <c r="BS1368" s="34"/>
      <c r="BT1368" s="34"/>
      <c r="BU1368" s="34"/>
      <c r="BV1368" s="34"/>
      <c r="BW1368" s="34"/>
      <c r="BX1368" s="34"/>
      <c r="BY1368" s="34"/>
      <c r="BZ1368" s="34"/>
      <c r="CA1368" s="34"/>
      <c r="CB1368" s="34"/>
      <c r="CC1368" s="34"/>
      <c r="CD1368" s="34"/>
      <c r="CE1368" s="34"/>
      <c r="CF1368" s="34"/>
      <c r="CG1368" s="34"/>
      <c r="CH1368" s="34"/>
      <c r="CI1368" s="8"/>
    </row>
    <row r="1369" spans="1:87" x14ac:dyDescent="0.2">
      <c r="A1369" s="8" t="str">
        <f>IF(AND(COUNTIF(W$3:W$13,A$28)&gt;0,A$28&lt;&gt;B1308),A$28,IFERROR(IF(MATCH(A$28,Z$3:Z$13,0)=3,A$28," ")," "))</f>
        <v xml:space="preserve"> </v>
      </c>
      <c r="B1369" s="8" t="str">
        <f>IF(A1369=" "," ",MAX(B1356:B1368)+1)</f>
        <v xml:space="preserve"> </v>
      </c>
      <c r="C1369" s="8"/>
      <c r="D1369" s="8"/>
      <c r="E1369" s="8"/>
      <c r="F1369" s="8"/>
      <c r="G1369" s="8"/>
      <c r="H1369" s="8"/>
      <c r="I1369" s="8"/>
      <c r="J1369" s="8"/>
      <c r="K1369" s="8"/>
      <c r="L1369" s="8"/>
      <c r="M1369" s="8"/>
      <c r="N1369" s="8"/>
      <c r="O1369" s="8"/>
      <c r="P1369" s="8"/>
      <c r="Q1369" s="8"/>
      <c r="R1369" s="8"/>
      <c r="S1369" s="8"/>
      <c r="U1369" s="34"/>
      <c r="V1369" s="34"/>
      <c r="W1369" s="34"/>
      <c r="X1369" s="34"/>
      <c r="Y1369" s="34"/>
      <c r="Z1369" s="34"/>
      <c r="AA1369" s="34"/>
      <c r="AB1369" s="34"/>
      <c r="AC1369" s="34"/>
      <c r="AD1369" s="34"/>
      <c r="AE1369" s="34"/>
      <c r="AF1369" s="34"/>
      <c r="AG1369" s="34"/>
      <c r="AH1369" s="34"/>
      <c r="AI1369" s="34"/>
      <c r="AJ1369" s="34"/>
      <c r="AK1369" s="34"/>
      <c r="AL1369" s="34"/>
      <c r="AM1369" s="34"/>
      <c r="AN1369" s="34"/>
      <c r="AO1369" s="34"/>
      <c r="AP1369" s="34"/>
      <c r="AQ1369" s="34"/>
      <c r="AR1369" s="34"/>
      <c r="AS1369" s="34"/>
      <c r="AT1369" s="34"/>
      <c r="AU1369" s="34"/>
      <c r="AV1369" s="34"/>
      <c r="AW1369" s="34"/>
      <c r="AX1369" s="34"/>
      <c r="AY1369" s="34"/>
      <c r="AZ1369" s="34"/>
      <c r="BA1369" s="34"/>
      <c r="BB1369" s="34"/>
      <c r="BC1369" s="34"/>
      <c r="BD1369" s="34"/>
      <c r="BE1369" s="34"/>
      <c r="BF1369" s="34"/>
      <c r="BG1369" s="34"/>
      <c r="BH1369" s="34"/>
      <c r="BI1369" s="34"/>
      <c r="BJ1369" s="34"/>
      <c r="BK1369" s="34"/>
      <c r="BL1369" s="34"/>
      <c r="BM1369" s="34"/>
      <c r="BN1369" s="34"/>
      <c r="BO1369" s="34"/>
      <c r="BP1369" s="34"/>
      <c r="BQ1369" s="34"/>
      <c r="BR1369" s="34"/>
      <c r="BS1369" s="34"/>
      <c r="BT1369" s="34"/>
      <c r="BU1369" s="34"/>
      <c r="BV1369" s="34"/>
      <c r="BW1369" s="34"/>
      <c r="BX1369" s="34"/>
      <c r="BY1369" s="34"/>
      <c r="BZ1369" s="34"/>
      <c r="CA1369" s="34"/>
      <c r="CB1369" s="34"/>
      <c r="CC1369" s="34"/>
      <c r="CD1369" s="34"/>
      <c r="CE1369" s="34"/>
      <c r="CF1369" s="34"/>
      <c r="CG1369" s="34"/>
      <c r="CH1369" s="34"/>
      <c r="CI1369" s="8"/>
    </row>
    <row r="1370" spans="1:87" x14ac:dyDescent="0.2">
      <c r="A1370" s="8" t="str">
        <f>IF(AND(COUNTIF(W$3:W$13,A$29)&gt;0,A$29&lt;&gt;B1308),A$29,IFERROR(IF(MATCH(A$29,Z$3:Z$13,0)=3,A$29," ")," "))</f>
        <v>C15</v>
      </c>
      <c r="B1370" s="8">
        <f>IF(A1370=" "," ",MAX(B1356:B1369)+1)</f>
        <v>5</v>
      </c>
      <c r="C1370" s="8"/>
      <c r="D1370" s="8"/>
      <c r="E1370" s="8"/>
      <c r="F1370" s="8"/>
      <c r="G1370" s="8"/>
      <c r="H1370" s="8"/>
      <c r="I1370" s="8"/>
      <c r="J1370" s="8"/>
      <c r="K1370" s="8"/>
      <c r="L1370" s="8"/>
      <c r="M1370" s="8"/>
      <c r="N1370" s="8"/>
      <c r="O1370" s="8"/>
      <c r="P1370" s="8"/>
      <c r="Q1370" s="8"/>
      <c r="R1370" s="8"/>
      <c r="S1370" s="8"/>
      <c r="U1370" s="34"/>
      <c r="V1370" s="34"/>
      <c r="W1370" s="34"/>
      <c r="X1370" s="34"/>
      <c r="Y1370" s="34"/>
      <c r="Z1370" s="34"/>
      <c r="AA1370" s="34"/>
      <c r="AB1370" s="34"/>
      <c r="AC1370" s="34"/>
      <c r="AD1370" s="34"/>
      <c r="AE1370" s="34"/>
      <c r="AF1370" s="34"/>
      <c r="AG1370" s="34"/>
      <c r="AH1370" s="34"/>
      <c r="AI1370" s="34"/>
      <c r="AJ1370" s="34"/>
      <c r="AK1370" s="34"/>
      <c r="AL1370" s="34"/>
      <c r="AM1370" s="34"/>
      <c r="AN1370" s="34"/>
      <c r="AO1370" s="34"/>
      <c r="AP1370" s="34"/>
      <c r="AQ1370" s="34"/>
      <c r="AR1370" s="34"/>
      <c r="AS1370" s="34"/>
      <c r="AT1370" s="34"/>
      <c r="AU1370" s="34"/>
      <c r="AV1370" s="34"/>
      <c r="AW1370" s="34"/>
      <c r="AX1370" s="34"/>
      <c r="AY1370" s="34"/>
      <c r="AZ1370" s="34"/>
      <c r="BA1370" s="34"/>
      <c r="BB1370" s="34"/>
      <c r="BC1370" s="34"/>
      <c r="BD1370" s="34"/>
      <c r="BE1370" s="34"/>
      <c r="BF1370" s="34"/>
      <c r="BG1370" s="34"/>
      <c r="BH1370" s="34"/>
      <c r="BI1370" s="34"/>
      <c r="BJ1370" s="34"/>
      <c r="BK1370" s="34"/>
      <c r="BL1370" s="34"/>
      <c r="BM1370" s="34"/>
      <c r="BN1370" s="34"/>
      <c r="BO1370" s="34"/>
      <c r="BP1370" s="34"/>
      <c r="BQ1370" s="34"/>
      <c r="BR1370" s="34"/>
      <c r="BS1370" s="34"/>
      <c r="BT1370" s="34"/>
      <c r="BU1370" s="34"/>
      <c r="BV1370" s="34"/>
      <c r="BW1370" s="34"/>
      <c r="BX1370" s="34"/>
      <c r="BY1370" s="34"/>
      <c r="BZ1370" s="34"/>
      <c r="CA1370" s="34"/>
      <c r="CB1370" s="34"/>
      <c r="CC1370" s="34"/>
      <c r="CD1370" s="34"/>
      <c r="CE1370" s="34"/>
      <c r="CF1370" s="34"/>
      <c r="CG1370" s="34"/>
      <c r="CH1370" s="34"/>
      <c r="CI1370" s="8"/>
    </row>
    <row r="1371" spans="1:87" x14ac:dyDescent="0.2">
      <c r="A1371" s="8" t="str">
        <f>IF(AND(COUNTIF(W$3:W$13,A$30)&gt;0,A$30&lt;&gt;B1308),A$30,IFERROR(IF(MATCH(A$30,Z$3:Z$13,0)=3,A$30," ")," "))</f>
        <v>C16</v>
      </c>
      <c r="B1371" s="8">
        <f>IF(A1371=" "," ",MAX(B1356:B1370)+1)</f>
        <v>6</v>
      </c>
      <c r="C1371" s="8"/>
      <c r="D1371" s="8"/>
      <c r="E1371" s="8"/>
      <c r="F1371" s="8"/>
      <c r="G1371" s="8"/>
      <c r="H1371" s="8"/>
      <c r="I1371" s="8"/>
      <c r="J1371" s="8"/>
      <c r="K1371" s="8"/>
      <c r="L1371" s="8"/>
      <c r="M1371" s="8"/>
      <c r="N1371" s="8"/>
      <c r="O1371" s="8"/>
      <c r="P1371" s="8"/>
      <c r="Q1371" s="8"/>
      <c r="R1371" s="8"/>
      <c r="S1371" s="8"/>
      <c r="U1371" s="34"/>
      <c r="V1371" s="34"/>
      <c r="W1371" s="34"/>
      <c r="X1371" s="34"/>
      <c r="Y1371" s="34"/>
      <c r="Z1371" s="34"/>
      <c r="AA1371" s="34"/>
      <c r="AB1371" s="34"/>
      <c r="AC1371" s="34"/>
      <c r="AD1371" s="34"/>
      <c r="AE1371" s="34"/>
      <c r="AF1371" s="34"/>
      <c r="AG1371" s="34"/>
      <c r="AH1371" s="34"/>
      <c r="AI1371" s="34"/>
      <c r="AJ1371" s="34"/>
      <c r="AK1371" s="34"/>
      <c r="AL1371" s="34"/>
      <c r="AM1371" s="34"/>
      <c r="AN1371" s="34"/>
      <c r="AO1371" s="34"/>
      <c r="AP1371" s="34"/>
      <c r="AQ1371" s="34"/>
      <c r="AR1371" s="34"/>
      <c r="AS1371" s="34"/>
      <c r="AT1371" s="34"/>
      <c r="AU1371" s="34"/>
      <c r="AV1371" s="34"/>
      <c r="AW1371" s="34"/>
      <c r="AX1371" s="34"/>
      <c r="AY1371" s="34"/>
      <c r="AZ1371" s="34"/>
      <c r="BA1371" s="34"/>
      <c r="BB1371" s="34"/>
      <c r="BC1371" s="34"/>
      <c r="BD1371" s="34"/>
      <c r="BE1371" s="34"/>
      <c r="BF1371" s="34"/>
      <c r="BG1371" s="34"/>
      <c r="BH1371" s="34"/>
      <c r="BI1371" s="34"/>
      <c r="BJ1371" s="34"/>
      <c r="BK1371" s="34"/>
      <c r="BL1371" s="34"/>
      <c r="BM1371" s="34"/>
      <c r="BN1371" s="34"/>
      <c r="BO1371" s="34"/>
      <c r="BP1371" s="34"/>
      <c r="BQ1371" s="34"/>
      <c r="BR1371" s="34"/>
      <c r="BS1371" s="34"/>
      <c r="BT1371" s="34"/>
      <c r="BU1371" s="34"/>
      <c r="BV1371" s="34"/>
      <c r="BW1371" s="34"/>
      <c r="BX1371" s="34"/>
      <c r="BY1371" s="34"/>
      <c r="BZ1371" s="34"/>
      <c r="CA1371" s="34"/>
      <c r="CB1371" s="34"/>
      <c r="CC1371" s="34"/>
      <c r="CD1371" s="34"/>
      <c r="CE1371" s="34"/>
      <c r="CF1371" s="34"/>
      <c r="CG1371" s="34"/>
      <c r="CH1371" s="34"/>
      <c r="CI1371" s="8"/>
    </row>
    <row r="1372" spans="1:87" x14ac:dyDescent="0.2">
      <c r="A1372" s="8" t="str">
        <f>IF(AND(COUNTIF(W$3:W$13,A$31)&gt;0,A$31&lt;&gt;B1308),A$31,IFERROR(IF(MATCH(A$31,Z$3:Z$13,0)=3,A$31," ")," "))</f>
        <v xml:space="preserve"> </v>
      </c>
      <c r="B1372" s="8" t="str">
        <f>IF(A1372=" "," ",MAX(B1356:B1371)+1)</f>
        <v xml:space="preserve"> </v>
      </c>
      <c r="C1372" s="8"/>
      <c r="D1372" s="8"/>
      <c r="E1372" s="8"/>
      <c r="F1372" s="8"/>
      <c r="G1372" s="8"/>
      <c r="H1372" s="8"/>
      <c r="I1372" s="8"/>
      <c r="J1372" s="8"/>
      <c r="K1372" s="8"/>
      <c r="L1372" s="8"/>
      <c r="M1372" s="8"/>
      <c r="N1372" s="8"/>
      <c r="O1372" s="8"/>
      <c r="P1372" s="8"/>
      <c r="Q1372" s="8"/>
      <c r="R1372" s="8"/>
      <c r="S1372" s="8"/>
      <c r="U1372" s="34"/>
      <c r="V1372" s="34"/>
      <c r="W1372" s="34"/>
      <c r="X1372" s="34"/>
      <c r="Y1372" s="34"/>
      <c r="Z1372" s="34"/>
      <c r="AA1372" s="34"/>
      <c r="AB1372" s="34"/>
      <c r="AC1372" s="34"/>
      <c r="AD1372" s="34"/>
      <c r="AE1372" s="34"/>
      <c r="AF1372" s="34"/>
      <c r="AG1372" s="34"/>
      <c r="AH1372" s="34"/>
      <c r="AI1372" s="34"/>
      <c r="AJ1372" s="34"/>
      <c r="AK1372" s="34"/>
      <c r="AL1372" s="34"/>
      <c r="AM1372" s="34"/>
      <c r="AN1372" s="34"/>
      <c r="AO1372" s="34"/>
      <c r="AP1372" s="34"/>
      <c r="AQ1372" s="34"/>
      <c r="AR1372" s="34"/>
      <c r="AS1372" s="34"/>
      <c r="AT1372" s="34"/>
      <c r="AU1372" s="34"/>
      <c r="AV1372" s="34"/>
      <c r="AW1372" s="34"/>
      <c r="AX1372" s="34"/>
      <c r="AY1372" s="34"/>
      <c r="AZ1372" s="34"/>
      <c r="BA1372" s="34"/>
      <c r="BB1372" s="34"/>
      <c r="BC1372" s="34"/>
      <c r="BD1372" s="34"/>
      <c r="BE1372" s="34"/>
      <c r="BF1372" s="34"/>
      <c r="BG1372" s="34"/>
      <c r="BH1372" s="34"/>
      <c r="BI1372" s="34"/>
      <c r="BJ1372" s="34"/>
      <c r="BK1372" s="34"/>
      <c r="BL1372" s="34"/>
      <c r="BM1372" s="34"/>
      <c r="BN1372" s="34"/>
      <c r="BO1372" s="34"/>
      <c r="BP1372" s="34"/>
      <c r="BQ1372" s="34"/>
      <c r="BR1372" s="34"/>
      <c r="BS1372" s="34"/>
      <c r="BT1372" s="34"/>
      <c r="BU1372" s="34"/>
      <c r="BV1372" s="34"/>
      <c r="BW1372" s="34"/>
      <c r="BX1372" s="34"/>
      <c r="BY1372" s="34"/>
      <c r="BZ1372" s="34"/>
      <c r="CA1372" s="34"/>
      <c r="CB1372" s="34"/>
      <c r="CC1372" s="34"/>
      <c r="CD1372" s="34"/>
      <c r="CE1372" s="34"/>
      <c r="CF1372" s="34"/>
      <c r="CG1372" s="34"/>
      <c r="CH1372" s="34"/>
      <c r="CI1372" s="8"/>
    </row>
    <row r="1373" spans="1:87" x14ac:dyDescent="0.2">
      <c r="A1373" s="8" t="str">
        <f>IF(AND(COUNTIF(W$3:W$13,A$32)&gt;0,A$32&lt;&gt;B1308),A$32,IFERROR(IF(MATCH(A$32,Z$3:Z$13,0)=3,A$32," ")," "))</f>
        <v>C18</v>
      </c>
      <c r="B1373" s="8">
        <f>IF(A1373=" "," ",MAX(B1356:B1372)+1)</f>
        <v>7</v>
      </c>
      <c r="C1373" s="8"/>
      <c r="D1373" s="8"/>
      <c r="E1373" s="8"/>
      <c r="F1373" s="8"/>
      <c r="G1373" s="8"/>
      <c r="H1373" s="8"/>
      <c r="I1373" s="8"/>
      <c r="J1373" s="8"/>
      <c r="K1373" s="8"/>
      <c r="L1373" s="8"/>
      <c r="M1373" s="8"/>
      <c r="N1373" s="8"/>
      <c r="O1373" s="8"/>
      <c r="P1373" s="8"/>
      <c r="Q1373" s="8"/>
      <c r="R1373" s="8"/>
      <c r="S1373" s="8"/>
      <c r="U1373" s="34"/>
      <c r="V1373" s="34"/>
      <c r="W1373" s="34"/>
      <c r="X1373" s="34"/>
      <c r="Y1373" s="34"/>
      <c r="Z1373" s="34"/>
      <c r="AA1373" s="34"/>
      <c r="AB1373" s="34"/>
      <c r="AC1373" s="34"/>
      <c r="AD1373" s="34"/>
      <c r="AE1373" s="34"/>
      <c r="AF1373" s="34"/>
      <c r="AG1373" s="34"/>
      <c r="AH1373" s="34"/>
      <c r="AI1373" s="34"/>
      <c r="AJ1373" s="34"/>
      <c r="AK1373" s="34"/>
      <c r="AL1373" s="34"/>
      <c r="AM1373" s="34"/>
      <c r="AN1373" s="34"/>
      <c r="AO1373" s="34"/>
      <c r="AP1373" s="34"/>
      <c r="AQ1373" s="34"/>
      <c r="AR1373" s="34"/>
      <c r="AS1373" s="34"/>
      <c r="AT1373" s="34"/>
      <c r="AU1373" s="34"/>
      <c r="AV1373" s="34"/>
      <c r="AW1373" s="34"/>
      <c r="AX1373" s="34"/>
      <c r="AY1373" s="34"/>
      <c r="AZ1373" s="34"/>
      <c r="BA1373" s="34"/>
      <c r="BB1373" s="34"/>
      <c r="BC1373" s="34"/>
      <c r="BD1373" s="34"/>
      <c r="BE1373" s="34"/>
      <c r="BF1373" s="34"/>
      <c r="BG1373" s="34"/>
      <c r="BH1373" s="34"/>
      <c r="BI1373" s="34"/>
      <c r="BJ1373" s="34"/>
      <c r="BK1373" s="34"/>
      <c r="BL1373" s="34"/>
      <c r="BM1373" s="34"/>
      <c r="BN1373" s="34"/>
      <c r="BO1373" s="34"/>
      <c r="BP1373" s="34"/>
      <c r="BQ1373" s="34"/>
      <c r="BR1373" s="34"/>
      <c r="BS1373" s="34"/>
      <c r="BT1373" s="34"/>
      <c r="BU1373" s="34"/>
      <c r="BV1373" s="34"/>
      <c r="BW1373" s="34"/>
      <c r="BX1373" s="34"/>
      <c r="BY1373" s="34"/>
      <c r="BZ1373" s="34"/>
      <c r="CA1373" s="34"/>
      <c r="CB1373" s="34"/>
      <c r="CC1373" s="34"/>
      <c r="CD1373" s="34"/>
      <c r="CE1373" s="34"/>
      <c r="CF1373" s="34"/>
      <c r="CG1373" s="34"/>
      <c r="CH1373" s="34"/>
      <c r="CI1373" s="8"/>
    </row>
    <row r="1374" spans="1:87" x14ac:dyDescent="0.2">
      <c r="A1374" s="8" t="str">
        <f>IF(AND(COUNTIF(W$3:W$13,A$33)&gt;0,A$33&lt;&gt;B1308),A$33,IFERROR(IF(MATCH(A$33,Z$3:Z$13,0)=3,A$33," ")," "))</f>
        <v>C19</v>
      </c>
      <c r="B1374" s="8">
        <f>IF(A1374=" "," ",MAX(B1356:B1373)+1)</f>
        <v>8</v>
      </c>
      <c r="C1374" s="14"/>
      <c r="D1374" s="14"/>
      <c r="E1374" s="14"/>
      <c r="F1374" s="14"/>
      <c r="G1374" s="14"/>
      <c r="H1374" s="14"/>
      <c r="I1374" s="14"/>
      <c r="J1374" s="12"/>
      <c r="K1374" s="12"/>
      <c r="L1374" s="12"/>
      <c r="M1374" s="12"/>
      <c r="N1374" s="12"/>
      <c r="O1374" s="12"/>
      <c r="P1374" s="12"/>
      <c r="Q1374" s="8"/>
      <c r="R1374" s="12"/>
      <c r="S1374" s="12"/>
      <c r="T1374" s="21"/>
      <c r="U1374" s="34"/>
      <c r="V1374" s="34"/>
      <c r="W1374" s="34"/>
      <c r="X1374" s="34"/>
      <c r="Y1374" s="34"/>
      <c r="Z1374" s="34"/>
      <c r="AA1374" s="34"/>
      <c r="AB1374" s="34"/>
      <c r="AC1374" s="34"/>
      <c r="AD1374" s="34"/>
      <c r="AE1374" s="34"/>
      <c r="AF1374" s="34"/>
      <c r="AG1374" s="34"/>
      <c r="AH1374" s="34"/>
      <c r="AI1374" s="34"/>
      <c r="AJ1374" s="34"/>
      <c r="AK1374" s="34"/>
      <c r="AL1374" s="34"/>
      <c r="AM1374" s="34"/>
      <c r="AN1374" s="34"/>
      <c r="AO1374" s="34"/>
      <c r="AP1374" s="34"/>
      <c r="AQ1374" s="34"/>
      <c r="AR1374" s="34"/>
      <c r="AS1374" s="34"/>
      <c r="AT1374" s="34"/>
      <c r="AU1374" s="34"/>
      <c r="AV1374" s="34"/>
      <c r="AW1374" s="34"/>
      <c r="AX1374" s="34"/>
      <c r="AY1374" s="34"/>
      <c r="AZ1374" s="34"/>
      <c r="BA1374" s="34"/>
      <c r="BB1374" s="34"/>
      <c r="BC1374" s="34"/>
      <c r="BD1374" s="34"/>
      <c r="BE1374" s="34"/>
      <c r="BF1374" s="34"/>
      <c r="BG1374" s="34"/>
      <c r="BH1374" s="34"/>
      <c r="BI1374" s="34"/>
      <c r="BJ1374" s="34"/>
      <c r="BK1374" s="34"/>
      <c r="BL1374" s="34"/>
      <c r="BM1374" s="34"/>
      <c r="BN1374" s="34"/>
      <c r="BO1374" s="34"/>
      <c r="BP1374" s="34"/>
      <c r="BQ1374" s="34"/>
      <c r="BR1374" s="34"/>
      <c r="BS1374" s="34"/>
      <c r="BT1374" s="34"/>
      <c r="BU1374" s="34"/>
      <c r="BV1374" s="34"/>
      <c r="BW1374" s="34"/>
      <c r="BX1374" s="34"/>
      <c r="BY1374" s="34"/>
      <c r="BZ1374" s="34"/>
      <c r="CA1374" s="34"/>
      <c r="CB1374" s="34"/>
      <c r="CC1374" s="34"/>
      <c r="CD1374" s="34"/>
      <c r="CE1374" s="34"/>
      <c r="CF1374" s="34"/>
      <c r="CG1374" s="34"/>
      <c r="CH1374" s="34"/>
      <c r="CI1374" s="8"/>
    </row>
    <row r="1375" spans="1:87" x14ac:dyDescent="0.2">
      <c r="A1375" s="8" t="str">
        <f>IF(AND(COUNTIF(W$3:W$13,A$34)&gt;0,A$34&lt;&gt;B1308),A$34,IFERROR(IF(MATCH(A$34,Z$3:Z$13,0)=3,A$34," ")," "))</f>
        <v>C20</v>
      </c>
      <c r="B1375" s="8">
        <f>IF(A1375=" "," ",MAX(B1356:B1374)+1)</f>
        <v>9</v>
      </c>
      <c r="C1375" s="8"/>
      <c r="D1375" s="8"/>
      <c r="E1375" s="8"/>
      <c r="F1375" s="8"/>
      <c r="G1375" s="8"/>
      <c r="H1375" s="8"/>
      <c r="I1375" s="8"/>
      <c r="J1375" s="8"/>
      <c r="K1375" s="8"/>
      <c r="L1375" s="8"/>
      <c r="M1375" s="8"/>
      <c r="N1375" s="8"/>
      <c r="O1375" s="8"/>
      <c r="P1375" s="8"/>
      <c r="Q1375" s="8"/>
      <c r="R1375" s="8"/>
      <c r="S1375" s="8"/>
      <c r="U1375" s="34"/>
      <c r="V1375" s="34"/>
      <c r="W1375" s="34"/>
      <c r="X1375" s="34"/>
      <c r="Y1375" s="34"/>
      <c r="Z1375" s="34"/>
      <c r="AA1375" s="34"/>
      <c r="AB1375" s="34"/>
      <c r="AC1375" s="34"/>
      <c r="AD1375" s="34"/>
      <c r="AE1375" s="34"/>
      <c r="AF1375" s="34"/>
      <c r="AG1375" s="34"/>
      <c r="AH1375" s="34"/>
      <c r="AI1375" s="34"/>
      <c r="AJ1375" s="34"/>
      <c r="AK1375" s="34"/>
      <c r="AL1375" s="34"/>
      <c r="AM1375" s="34"/>
      <c r="AN1375" s="34"/>
      <c r="AO1375" s="34"/>
      <c r="AP1375" s="34"/>
      <c r="AQ1375" s="34"/>
      <c r="AR1375" s="34"/>
      <c r="AS1375" s="34"/>
      <c r="AT1375" s="34"/>
      <c r="AU1375" s="34"/>
      <c r="AV1375" s="34"/>
      <c r="AW1375" s="34"/>
      <c r="AX1375" s="34"/>
      <c r="AY1375" s="34"/>
      <c r="AZ1375" s="34"/>
      <c r="BA1375" s="34"/>
      <c r="BB1375" s="34"/>
      <c r="BC1375" s="34"/>
      <c r="BD1375" s="34"/>
      <c r="BE1375" s="34"/>
      <c r="BF1375" s="34"/>
      <c r="BG1375" s="34"/>
      <c r="BH1375" s="34"/>
      <c r="BI1375" s="34"/>
      <c r="BJ1375" s="34"/>
      <c r="BK1375" s="34"/>
      <c r="BL1375" s="34"/>
      <c r="BM1375" s="34"/>
      <c r="BN1375" s="34"/>
      <c r="BO1375" s="34"/>
      <c r="BP1375" s="34"/>
      <c r="BQ1375" s="34"/>
      <c r="BR1375" s="34"/>
      <c r="BS1375" s="34"/>
      <c r="BT1375" s="34"/>
      <c r="BU1375" s="34"/>
      <c r="BV1375" s="34"/>
      <c r="BW1375" s="34"/>
      <c r="BX1375" s="34"/>
      <c r="BY1375" s="34"/>
      <c r="BZ1375" s="34"/>
      <c r="CA1375" s="34"/>
      <c r="CB1375" s="34"/>
      <c r="CC1375" s="34"/>
      <c r="CD1375" s="34"/>
      <c r="CE1375" s="34"/>
      <c r="CF1375" s="34"/>
      <c r="CG1375" s="34"/>
      <c r="CH1375" s="34"/>
      <c r="CI1375" s="8"/>
    </row>
    <row r="1376" spans="1:87" x14ac:dyDescent="0.2">
      <c r="A1376" s="8" t="str">
        <f>IF(AND(COUNTIF(W$3:W$13,A$35)&gt;0,A$35&lt;&gt;B1308),A$35,IFERROR(IF(MATCH(A$35,Z$3:Z$13,0)=3,A$35," ")," "))</f>
        <v>C21</v>
      </c>
      <c r="B1376" s="8">
        <f>IF(A1376=" "," ",MAX(B1356:B1375)+1)</f>
        <v>10</v>
      </c>
      <c r="C1376" s="8"/>
      <c r="D1376" s="8"/>
      <c r="E1376" s="8"/>
      <c r="F1376" s="8"/>
      <c r="G1376" s="8"/>
      <c r="H1376" s="8"/>
      <c r="I1376" s="8"/>
      <c r="J1376" s="8"/>
      <c r="K1376" s="8"/>
      <c r="L1376" s="8"/>
      <c r="M1376" s="8"/>
      <c r="N1376" s="8"/>
      <c r="O1376" s="8"/>
      <c r="P1376" s="8"/>
      <c r="Q1376" s="8"/>
      <c r="R1376" s="8"/>
      <c r="S1376" s="8"/>
      <c r="U1376" s="34"/>
      <c r="V1376" s="34"/>
      <c r="W1376" s="34"/>
      <c r="X1376" s="34"/>
      <c r="Y1376" s="34"/>
      <c r="Z1376" s="34"/>
      <c r="AA1376" s="34"/>
      <c r="AB1376" s="34"/>
      <c r="AC1376" s="34"/>
      <c r="AD1376" s="34"/>
      <c r="AE1376" s="34"/>
      <c r="AF1376" s="34"/>
      <c r="AG1376" s="34"/>
      <c r="AH1376" s="34"/>
      <c r="AI1376" s="34"/>
      <c r="AJ1376" s="34"/>
      <c r="AK1376" s="34"/>
      <c r="AL1376" s="34"/>
      <c r="AM1376" s="34"/>
      <c r="AN1376" s="34"/>
      <c r="AO1376" s="34"/>
      <c r="AP1376" s="34"/>
      <c r="AQ1376" s="34"/>
      <c r="AR1376" s="34"/>
      <c r="AS1376" s="34"/>
      <c r="AT1376" s="34"/>
      <c r="AU1376" s="34"/>
      <c r="AV1376" s="34"/>
      <c r="AW1376" s="34"/>
      <c r="AX1376" s="34"/>
      <c r="AY1376" s="34"/>
      <c r="AZ1376" s="34"/>
      <c r="BA1376" s="34"/>
      <c r="BB1376" s="34"/>
      <c r="BC1376" s="34"/>
      <c r="BD1376" s="34"/>
      <c r="BE1376" s="34"/>
      <c r="BF1376" s="34"/>
      <c r="BG1376" s="34"/>
      <c r="BH1376" s="34"/>
      <c r="BI1376" s="34"/>
      <c r="BJ1376" s="34"/>
      <c r="BK1376" s="34"/>
      <c r="BL1376" s="34"/>
      <c r="BM1376" s="34"/>
      <c r="BN1376" s="34"/>
      <c r="BO1376" s="34"/>
      <c r="BP1376" s="34"/>
      <c r="BQ1376" s="34"/>
      <c r="BR1376" s="34"/>
      <c r="BS1376" s="34"/>
      <c r="BT1376" s="34"/>
      <c r="BU1376" s="34"/>
      <c r="BV1376" s="34"/>
      <c r="BW1376" s="34"/>
      <c r="BX1376" s="34"/>
      <c r="BY1376" s="34"/>
      <c r="BZ1376" s="34"/>
      <c r="CA1376" s="34"/>
      <c r="CB1376" s="34"/>
      <c r="CC1376" s="34"/>
      <c r="CD1376" s="34"/>
      <c r="CE1376" s="34"/>
      <c r="CF1376" s="34"/>
      <c r="CG1376" s="34"/>
      <c r="CH1376" s="34"/>
      <c r="CI1376" s="8"/>
    </row>
    <row r="1377" spans="1:87" x14ac:dyDescent="0.2">
      <c r="A1377" s="8" t="str">
        <f>IF(AND(COUNTIF(W$3:W$13,A$36)&gt;0,A$36&lt;&gt;B1308),A$36,IFERROR(IF(MATCH(A$36,Z$3:Z$13,0)=3,A$36," ")," "))</f>
        <v>C22</v>
      </c>
      <c r="B1377" s="8">
        <f>IF(A1377=" "," ",MAX(B1356:B1376)+1)</f>
        <v>11</v>
      </c>
      <c r="C1377" s="8"/>
      <c r="D1377" s="8"/>
      <c r="E1377" s="8"/>
      <c r="F1377" s="8"/>
      <c r="G1377" s="8"/>
      <c r="H1377" s="8"/>
      <c r="I1377" s="8"/>
      <c r="J1377" s="8"/>
      <c r="K1377" s="8"/>
      <c r="L1377" s="8"/>
      <c r="M1377" s="8"/>
      <c r="N1377" s="8"/>
      <c r="O1377" s="8"/>
      <c r="P1377" s="8"/>
      <c r="Q1377" s="8"/>
      <c r="R1377" s="8"/>
      <c r="S1377" s="8"/>
      <c r="U1377" s="34"/>
      <c r="V1377" s="34"/>
      <c r="W1377" s="34"/>
      <c r="X1377" s="34"/>
      <c r="Y1377" s="34"/>
      <c r="Z1377" s="34"/>
      <c r="AA1377" s="34"/>
      <c r="AB1377" s="34"/>
      <c r="AC1377" s="34"/>
      <c r="AD1377" s="34"/>
      <c r="AE1377" s="34"/>
      <c r="AF1377" s="34"/>
      <c r="AG1377" s="34"/>
      <c r="AH1377" s="34"/>
      <c r="AI1377" s="34"/>
      <c r="AJ1377" s="34"/>
      <c r="AK1377" s="34"/>
      <c r="AL1377" s="34"/>
      <c r="AM1377" s="34"/>
      <c r="AN1377" s="34"/>
      <c r="AO1377" s="34"/>
      <c r="AP1377" s="34"/>
      <c r="AQ1377" s="34"/>
      <c r="AR1377" s="34"/>
      <c r="AS1377" s="34"/>
      <c r="AT1377" s="34"/>
      <c r="AU1377" s="34"/>
      <c r="AV1377" s="34"/>
      <c r="AW1377" s="34"/>
      <c r="AX1377" s="34"/>
      <c r="AY1377" s="34"/>
      <c r="AZ1377" s="34"/>
      <c r="BA1377" s="34"/>
      <c r="BB1377" s="34"/>
      <c r="BC1377" s="34"/>
      <c r="BD1377" s="34"/>
      <c r="BE1377" s="34"/>
      <c r="BF1377" s="34"/>
      <c r="BG1377" s="34"/>
      <c r="BH1377" s="34"/>
      <c r="BI1377" s="34"/>
      <c r="BJ1377" s="34"/>
      <c r="BK1377" s="34"/>
      <c r="BL1377" s="34"/>
      <c r="BM1377" s="34"/>
      <c r="BN1377" s="34"/>
      <c r="BO1377" s="34"/>
      <c r="BP1377" s="34"/>
      <c r="BQ1377" s="34"/>
      <c r="BR1377" s="34"/>
      <c r="BS1377" s="34"/>
      <c r="BT1377" s="34"/>
      <c r="BU1377" s="34"/>
      <c r="BV1377" s="34"/>
      <c r="BW1377" s="34"/>
      <c r="BX1377" s="34"/>
      <c r="BY1377" s="34"/>
      <c r="BZ1377" s="34"/>
      <c r="CA1377" s="34"/>
      <c r="CB1377" s="34"/>
      <c r="CC1377" s="34"/>
      <c r="CD1377" s="34"/>
      <c r="CE1377" s="34"/>
      <c r="CF1377" s="34"/>
      <c r="CG1377" s="34"/>
      <c r="CH1377" s="34"/>
      <c r="CI1377" s="8"/>
    </row>
    <row r="1378" spans="1:87" x14ac:dyDescent="0.2">
      <c r="A1378" s="11" t="s">
        <v>17</v>
      </c>
      <c r="B1378" s="11"/>
      <c r="C1378" s="27" t="s">
        <v>18</v>
      </c>
      <c r="D1378" s="27" t="s">
        <v>2</v>
      </c>
      <c r="E1378" s="27" t="s">
        <v>6</v>
      </c>
      <c r="F1378" s="27" t="s">
        <v>15</v>
      </c>
      <c r="G1378" s="27" t="s">
        <v>36</v>
      </c>
      <c r="H1378" s="27" t="s">
        <v>37</v>
      </c>
      <c r="I1378" s="27" t="s">
        <v>38</v>
      </c>
      <c r="J1378" s="27" t="s">
        <v>39</v>
      </c>
      <c r="K1378" s="27" t="s">
        <v>40</v>
      </c>
      <c r="L1378" s="27" t="s">
        <v>41</v>
      </c>
      <c r="M1378" s="27" t="s">
        <v>42</v>
      </c>
      <c r="N1378" s="27" t="s">
        <v>43</v>
      </c>
      <c r="O1378" s="27" t="s">
        <v>9</v>
      </c>
      <c r="P1378" s="27" t="s">
        <v>12</v>
      </c>
      <c r="Q1378" s="27" t="s">
        <v>19</v>
      </c>
      <c r="R1378" s="27" t="s">
        <v>55</v>
      </c>
      <c r="S1378" s="27" t="s">
        <v>26</v>
      </c>
      <c r="T1378" s="19" t="s">
        <v>25</v>
      </c>
      <c r="U1378" s="33" t="s">
        <v>27</v>
      </c>
      <c r="V1378" s="33" t="s">
        <v>9</v>
      </c>
      <c r="W1378" s="33" t="s">
        <v>23</v>
      </c>
      <c r="X1378" s="33" t="s">
        <v>12</v>
      </c>
      <c r="Y1378" s="33" t="s">
        <v>26</v>
      </c>
      <c r="Z1378" s="33" t="s">
        <v>25</v>
      </c>
      <c r="AA1378" s="33" t="s">
        <v>27</v>
      </c>
      <c r="AB1378" s="33" t="s">
        <v>9</v>
      </c>
      <c r="AC1378" s="33" t="s">
        <v>23</v>
      </c>
      <c r="AD1378" s="33" t="s">
        <v>12</v>
      </c>
      <c r="AE1378" s="33" t="s">
        <v>26</v>
      </c>
      <c r="AF1378" s="33" t="s">
        <v>25</v>
      </c>
      <c r="AG1378" s="33" t="s">
        <v>27</v>
      </c>
      <c r="AH1378" s="33" t="s">
        <v>9</v>
      </c>
      <c r="AI1378" s="33" t="s">
        <v>23</v>
      </c>
      <c r="AJ1378" s="33" t="s">
        <v>12</v>
      </c>
      <c r="AK1378" s="33" t="s">
        <v>26</v>
      </c>
      <c r="AL1378" s="33" t="s">
        <v>25</v>
      </c>
      <c r="AM1378" s="33" t="s">
        <v>27</v>
      </c>
      <c r="AN1378" s="33" t="s">
        <v>9</v>
      </c>
      <c r="AO1378" s="33" t="s">
        <v>23</v>
      </c>
      <c r="AP1378" s="33" t="s">
        <v>12</v>
      </c>
      <c r="AQ1378" s="33" t="s">
        <v>26</v>
      </c>
      <c r="AR1378" s="33" t="s">
        <v>25</v>
      </c>
      <c r="AS1378" s="33" t="s">
        <v>27</v>
      </c>
      <c r="AT1378" s="33" t="s">
        <v>9</v>
      </c>
      <c r="AU1378" s="33" t="s">
        <v>23</v>
      </c>
      <c r="AV1378" s="33" t="s">
        <v>12</v>
      </c>
      <c r="AW1378" s="33" t="s">
        <v>26</v>
      </c>
      <c r="AX1378" s="33" t="s">
        <v>25</v>
      </c>
      <c r="AY1378" s="33" t="s">
        <v>27</v>
      </c>
      <c r="AZ1378" s="33" t="s">
        <v>9</v>
      </c>
      <c r="BA1378" s="33" t="s">
        <v>23</v>
      </c>
      <c r="BB1378" s="33" t="s">
        <v>12</v>
      </c>
      <c r="BC1378" s="33" t="s">
        <v>26</v>
      </c>
      <c r="BD1378" s="33" t="s">
        <v>25</v>
      </c>
      <c r="BE1378" s="33" t="s">
        <v>27</v>
      </c>
      <c r="BF1378" s="33" t="s">
        <v>9</v>
      </c>
      <c r="BG1378" s="33" t="s">
        <v>23</v>
      </c>
      <c r="BH1378" s="33" t="s">
        <v>12</v>
      </c>
      <c r="BI1378" s="33" t="s">
        <v>26</v>
      </c>
      <c r="BJ1378" s="33" t="s">
        <v>25</v>
      </c>
      <c r="BK1378" s="33" t="s">
        <v>27</v>
      </c>
      <c r="BL1378" s="33" t="s">
        <v>9</v>
      </c>
      <c r="BM1378" s="33" t="s">
        <v>23</v>
      </c>
      <c r="BN1378" s="33" t="s">
        <v>12</v>
      </c>
      <c r="BO1378" s="33" t="s">
        <v>26</v>
      </c>
      <c r="BP1378" s="33" t="s">
        <v>25</v>
      </c>
      <c r="BQ1378" s="33" t="s">
        <v>27</v>
      </c>
      <c r="BR1378" s="33" t="s">
        <v>9</v>
      </c>
      <c r="BS1378" s="33" t="s">
        <v>23</v>
      </c>
      <c r="BT1378" s="33" t="s">
        <v>12</v>
      </c>
      <c r="BU1378" s="33" t="s">
        <v>26</v>
      </c>
      <c r="BV1378" s="33" t="s">
        <v>25</v>
      </c>
      <c r="BW1378" s="33" t="s">
        <v>27</v>
      </c>
      <c r="BX1378" s="33" t="s">
        <v>9</v>
      </c>
      <c r="BY1378" s="33" t="s">
        <v>23</v>
      </c>
      <c r="BZ1378" s="33" t="s">
        <v>12</v>
      </c>
      <c r="CA1378" s="33" t="s">
        <v>26</v>
      </c>
      <c r="CB1378" s="33" t="s">
        <v>25</v>
      </c>
      <c r="CC1378" s="33" t="s">
        <v>27</v>
      </c>
      <c r="CD1378" s="33" t="s">
        <v>9</v>
      </c>
      <c r="CE1378" s="33" t="s">
        <v>23</v>
      </c>
      <c r="CF1378" s="33" t="s">
        <v>12</v>
      </c>
      <c r="CG1378" s="33" t="s">
        <v>26</v>
      </c>
      <c r="CH1378" s="33" t="s">
        <v>25</v>
      </c>
      <c r="CI1378" s="8"/>
    </row>
    <row r="1379" spans="1:87" x14ac:dyDescent="0.2">
      <c r="A1379" s="8" t="str">
        <f>IF(AND(COUNTIF(W$3:W$13,A$15)&gt;0,A$15&lt;&gt;B1308),A$15,IFERROR(IF(MATCH(A$15,Z$3:Z$13,0)=4,A$15," ")," "))</f>
        <v xml:space="preserve"> </v>
      </c>
      <c r="B1379" s="8" t="str">
        <f>IF(A1379=" "," ",1)</f>
        <v xml:space="preserve"> </v>
      </c>
      <c r="C1379" s="8" t="str">
        <f>IFERROR(INDEX(A1379:A1400,MATCH(SMALL(B1379:B1400,1),B1379:B1400,0),1)," ")</f>
        <v>C3</v>
      </c>
      <c r="D1379" s="8">
        <f>IFERROR(VLOOKUP($C1379,$A$15:$O$36,2,FALSE)," ")</f>
        <v>2</v>
      </c>
      <c r="E1379" s="8">
        <f>IFERROR(VLOOKUP($C1379,$A$15:$O$36,3,FALSE)," ")</f>
        <v>5</v>
      </c>
      <c r="F1379" s="8">
        <f>IFERROR(VLOOKUP($C1379,$A$15:$O$36,4,FALSE)," ")</f>
        <v>6</v>
      </c>
      <c r="G1379" s="8">
        <f>IFERROR(VLOOKUP($C1379,$A$15:$O$36,5,FALSE)," ")</f>
        <v>0</v>
      </c>
      <c r="H1379" s="8">
        <f>IFERROR(VLOOKUP($C1379,$A$15:$O$36,6,FALSE)," ")</f>
        <v>0</v>
      </c>
      <c r="I1379" s="8">
        <f>IFERROR(VLOOKUP($C1379,$A$15:$O$36,7,FALSE)," ")</f>
        <v>0</v>
      </c>
      <c r="J1379" s="8">
        <f>IFERROR(VLOOKUP($C1379,$A$15:$O$36,8,FALSE)," ")</f>
        <v>0</v>
      </c>
      <c r="K1379" s="8">
        <f>IFERROR(VLOOKUP($C1379,$A$15:$O$36,9,FALSE)," ")</f>
        <v>0</v>
      </c>
      <c r="L1379" s="8">
        <f>IFERROR(VLOOKUP($C1379,$A$15:$O$36,10,FALSE)," ")</f>
        <v>0</v>
      </c>
      <c r="M1379" s="8">
        <f>IFERROR(VLOOKUP($C1379,$A$15:$O$36,11,FALSE)," ")</f>
        <v>0</v>
      </c>
      <c r="N1379" s="8">
        <f>IFERROR(VLOOKUP($C1379,$A$15:$O$36,12,FALSE)," ")</f>
        <v>0</v>
      </c>
      <c r="O1379" s="8">
        <f>IFERROR(VLOOKUP($C1379,$A$15:$O$36,15,FALSE)," ")</f>
        <v>2000</v>
      </c>
      <c r="P1379" s="8" t="e">
        <f t="array" ref="P1379:P1389">MMULT(MINVERSE(D1379:N1389),O1379:O1389)</f>
        <v>#NUM!</v>
      </c>
      <c r="Q1379" s="8" t="e">
        <f t="shared" ref="Q1379" si="5886">IF(COUNTIF(P1379:P1389,"&lt;"&amp;-0.001)=0,IF(ABS(P1379)&lt;0.001,0,P1379)," ")</f>
        <v>#NUM!</v>
      </c>
      <c r="R1379" s="8" t="str">
        <f>IFERROR(VLOOKUP(B1308,A$15:L$36,2,FALSE)*Q1379+VLOOKUP(B1308,A$15:L$36,3,FALSE)*Q1380+VLOOKUP(B1308,A$15:L$36,4,FALSE)*Q1381+VLOOKUP(B1308,A$15:L$36,5,FALSE)*Q1382+VLOOKUP(B1308,A$15:L$36,6,FALSE)*Q1383+VLOOKUP(B1308,A$15:L$36,7,FALSE)*Q1384+VLOOKUP(B1308,A$15:L$36,8,FALSE)*Q1385+VLOOKUP(B1308,A$15:L$36,9,FALSE)*Q1386+VLOOKUP(B1308,A$15:L$36,10,FALSE)*Q1387+VLOOKUP(B1308,A$15:L$36,11,FALSE)*Q1388+VLOOKUP(B1308,A$15:L$36,12,FALSE)*Q1389," ")</f>
        <v xml:space="preserve"> </v>
      </c>
      <c r="S1379" s="8" t="str">
        <f>IFERROR(IF(R1379-VLOOKUP(B1308,A$15:O$36,15,FALSE)&lt;0,R1379-VLOOKUP(B1308,A$15:O$36,15,FALSE)," ")," ")</f>
        <v xml:space="preserve"> </v>
      </c>
      <c r="T1379" s="18" t="str">
        <f>IFERROR(IF(R1379-VLOOKUP(B1308,A$15:O$36,15,FALSE)&gt;0,R1379-VLOOKUP(B1308,A$15:O$36,15,FALSE)," ")," ")</f>
        <v xml:space="preserve"> </v>
      </c>
      <c r="U1379" s="34">
        <f t="shared" ref="U1379" si="5887">$M$2</f>
        <v>100.00000000000001</v>
      </c>
      <c r="V1379" s="34">
        <v>-1</v>
      </c>
      <c r="W1379" s="34">
        <f t="shared" ref="W1379" si="5888">-SUMPRODUCT($M$3:$M$12,$N$3:$N$12)</f>
        <v>-105000</v>
      </c>
      <c r="X1379" s="34" t="e">
        <f t="shared" ref="X1379" si="5889">IF(U1379&lt;&gt;U1380,MMULT(MINVERSE(U1379:V1380),W1379:W1380)," ")</f>
        <v>#NUM!</v>
      </c>
      <c r="Y1379" s="34" t="str">
        <f t="shared" ref="Y1379" si="5890">IFERROR(IF(X1379-VLOOKUP(U$38,$A$2:$N$12,14,FALSE)&lt;0,X1379-VLOOKUP(U$38,$A$2:$N$12,14,FALSE)," ")," ")</f>
        <v xml:space="preserve"> </v>
      </c>
      <c r="Z1379" s="34" t="str">
        <f t="shared" ref="Z1379" si="5891">IFERROR(IF(X1379-VLOOKUP(U$38,$A$2:$N$12,14,FALSE)&gt;0,X1379-VLOOKUP(U$38,$A$2:$N$12,14,FALSE)," ")," ")</f>
        <v xml:space="preserve"> </v>
      </c>
      <c r="AA1379" s="34">
        <f t="shared" ref="AA1379" si="5892">$M$3</f>
        <v>0</v>
      </c>
      <c r="AB1379" s="34">
        <v>-1</v>
      </c>
      <c r="AC1379" s="34">
        <f t="shared" ref="AC1379" si="5893">-SUMPRODUCT($M$2:$M$2,$N$2:$N$2)-SUMPRODUCT($M$4:$M$12,$N$4:$N$12)</f>
        <v>-120000</v>
      </c>
      <c r="AD1379" s="34" t="e">
        <f t="shared" ref="AD1379" si="5894">IF(AA1379&lt;&gt;AA1380,MMULT(MINVERSE(AA1379:AB1380),AC1379:AC1380)," ")</f>
        <v>#NUM!</v>
      </c>
      <c r="AE1379" s="34" t="str">
        <f t="shared" ref="AE1379" si="5895">IFERROR(IF(AD1379-VLOOKUP(AA$38,$A$2:$N$12,14,FALSE)&lt;0,AD1379-VLOOKUP(AA$38,$A$2:$N$12,14,FALSE)," ")," ")</f>
        <v xml:space="preserve"> </v>
      </c>
      <c r="AF1379" s="34" t="str">
        <f t="shared" ref="AF1379" si="5896">IFERROR(IF(AD1379-VLOOKUP(AA$38,$A$2:$N$12,14,FALSE)&gt;0,AD1379-VLOOKUP(AA$38,$A$2:$N$12,14,FALSE)," ")," ")</f>
        <v xml:space="preserve"> </v>
      </c>
      <c r="AG1379" s="34">
        <f t="shared" ref="AG1379" si="5897">$M$4</f>
        <v>300</v>
      </c>
      <c r="AH1379" s="34">
        <v>-1</v>
      </c>
      <c r="AI1379" s="34">
        <f t="shared" ref="AI1379" si="5898">-SUMPRODUCT($M$2:$M$3,$N$2:$N$3)-SUMPRODUCT($M$5:$M$12,$N$5:$N$12)</f>
        <v>-15000.000000000002</v>
      </c>
      <c r="AJ1379" s="34" t="e">
        <f t="shared" ref="AJ1379" si="5899">IF(AG1379&lt;&gt;AG1380,MMULT(MINVERSE(AG1379:AH1380),AI1379:AI1380)," ")</f>
        <v>#NUM!</v>
      </c>
      <c r="AK1379" s="34" t="str">
        <f t="shared" ref="AK1379" si="5900">IFERROR(IF(AJ1379-VLOOKUP(AG$38,$A$2:$N$12,14,FALSE)&lt;0,AJ1379-VLOOKUP(AG$38,$A$2:$N$12,14,FALSE)," ")," ")</f>
        <v xml:space="preserve"> </v>
      </c>
      <c r="AL1379" s="34" t="str">
        <f t="shared" ref="AL1379" si="5901">IFERROR(IF(AJ1379-VLOOKUP(AG$38,$A$2:$N$12,14,FALSE)&gt;0,AJ1379-VLOOKUP(AG$38,$A$2:$N$12,14,FALSE)," ")," ")</f>
        <v xml:space="preserve"> </v>
      </c>
      <c r="AM1379" s="34">
        <f t="shared" ref="AM1379" si="5902">$M$5</f>
        <v>0</v>
      </c>
      <c r="AN1379" s="34">
        <v>-1</v>
      </c>
      <c r="AO1379" s="34">
        <f t="shared" ref="AO1379" si="5903">-SUMPRODUCT($M$2:$M$4,$N$2:$N$4)-SUMPRODUCT($M$6:$M$12,$N$6:$N$12)</f>
        <v>-120000</v>
      </c>
      <c r="AP1379" s="34" t="e">
        <f t="shared" ref="AP1379" si="5904">IF(AM1379&lt;&gt;AM1380,MMULT(MINVERSE(AM1379:AN1380),AO1379:AO1380)," ")</f>
        <v>#NUM!</v>
      </c>
      <c r="AQ1379" s="34" t="str">
        <f t="shared" ref="AQ1379" si="5905">IFERROR(IF(AP1379-VLOOKUP(AM$38,$A$2:$N$12,14,FALSE)&lt;0,AP1379-VLOOKUP(AM$38,$A$2:$N$12,14,FALSE)," ")," ")</f>
        <v xml:space="preserve"> </v>
      </c>
      <c r="AR1379" s="34" t="str">
        <f t="shared" ref="AR1379" si="5906">IFERROR(IF(AP1379-VLOOKUP(AM$38,$A$2:$N$12,14,FALSE)&gt;0,AP1379-VLOOKUP(AM$38,$A$2:$N$12,14,FALSE)," ")," ")</f>
        <v xml:space="preserve"> </v>
      </c>
      <c r="AS1379" s="34">
        <f t="shared" ref="AS1379" si="5907">$M$6</f>
        <v>0</v>
      </c>
      <c r="AT1379" s="34">
        <v>-1</v>
      </c>
      <c r="AU1379" s="34">
        <f t="shared" ref="AU1379" si="5908">-SUMPRODUCT($M$2:$M$5,$N$2:$N$5)-SUMPRODUCT($M$7:$M$12,$N$7:$N$12)</f>
        <v>-120000</v>
      </c>
      <c r="AV1379" s="34" t="e">
        <f t="shared" ref="AV1379" si="5909">IF(AS1379&lt;&gt;AS1380,MMULT(MINVERSE(AS1379:AT1380),AU1379:AU1380)," ")</f>
        <v>#NUM!</v>
      </c>
      <c r="AW1379" s="34" t="str">
        <f t="shared" ref="AW1379" si="5910">IFERROR(IF(AV1379-VLOOKUP(AS$38,$A$2:$N$12,14,FALSE)&lt;0,AV1379-VLOOKUP(AS$38,$A$2:$N$12,14,FALSE)," ")," ")</f>
        <v xml:space="preserve"> </v>
      </c>
      <c r="AX1379" s="34" t="str">
        <f t="shared" ref="AX1379" si="5911">IFERROR(IF(AV1379-VLOOKUP(AS$38,$A$2:$N$12,14,FALSE)&gt;0,AV1379-VLOOKUP(AS$38,$A$2:$N$12,14,FALSE)," ")," ")</f>
        <v xml:space="preserve"> </v>
      </c>
      <c r="AY1379" s="34">
        <f t="shared" ref="AY1379" si="5912">$M$7</f>
        <v>0</v>
      </c>
      <c r="AZ1379" s="34">
        <v>-1</v>
      </c>
      <c r="BA1379" s="34">
        <f t="shared" ref="BA1379" si="5913">-SUMPRODUCT($M$2:$M$6,$N$2:$N$6)-SUMPRODUCT($M$8:$M$12,$N$8:$N$12)</f>
        <v>-120000</v>
      </c>
      <c r="BB1379" s="34" t="e">
        <f t="shared" ref="BB1379" si="5914">IF(AY1379&lt;&gt;AY1380,MMULT(MINVERSE(AY1379:AZ1380),BA1379:BA1380)," ")</f>
        <v>#NUM!</v>
      </c>
      <c r="BC1379" s="34" t="str">
        <f t="shared" ref="BC1379" si="5915">IFERROR(IF(BB1379-VLOOKUP(AY$38,$A$2:$N$12,14,FALSE)&lt;0,BB1379-VLOOKUP(AY$38,$A$2:$N$12,14,FALSE)," ")," ")</f>
        <v xml:space="preserve"> </v>
      </c>
      <c r="BD1379" s="34" t="str">
        <f t="shared" ref="BD1379" si="5916">IFERROR(IF(BB1379-VLOOKUP(AY$38,$A$2:$N$12,14,FALSE)&gt;0,BB1379-VLOOKUP(AY$38,$A$2:$N$12,14,FALSE)," ")," ")</f>
        <v xml:space="preserve"> </v>
      </c>
      <c r="BE1379" s="34">
        <f t="shared" ref="BE1379" si="5917">$M$8</f>
        <v>0</v>
      </c>
      <c r="BF1379" s="34">
        <v>-1</v>
      </c>
      <c r="BG1379" s="34">
        <f t="shared" ref="BG1379" si="5918">-SUMPRODUCT($M$2:$M$7,$N$2:$N$7)-SUMPRODUCT($M$9:$M$12,$N$9:$N$12)</f>
        <v>-120000</v>
      </c>
      <c r="BH1379" s="34" t="e">
        <f t="shared" ref="BH1379" si="5919">IF(BE1379&lt;&gt;BE1380,MMULT(MINVERSE(BE1379:BF1380),BG1379:BG1380)," ")</f>
        <v>#NUM!</v>
      </c>
      <c r="BI1379" s="34" t="str">
        <f t="shared" ref="BI1379" si="5920">IFERROR(IF(BH1379-VLOOKUP(BE$38,$A$2:$N$12,14,FALSE)&lt;0,BH1379-VLOOKUP(BE$38,$A$2:$N$12,14,FALSE)," ")," ")</f>
        <v xml:space="preserve"> </v>
      </c>
      <c r="BJ1379" s="34" t="str">
        <f t="shared" ref="BJ1379" si="5921">IFERROR(IF(BH1379-VLOOKUP(BE$38,$A$2:$N$12,14,FALSE)&gt;0,BH1379-VLOOKUP(BE$38,$A$2:$N$12,14,FALSE)," ")," ")</f>
        <v xml:space="preserve"> </v>
      </c>
      <c r="BK1379" s="34">
        <f t="shared" ref="BK1379" si="5922">$M$9</f>
        <v>0</v>
      </c>
      <c r="BL1379" s="34">
        <v>-1</v>
      </c>
      <c r="BM1379" s="34">
        <f t="shared" ref="BM1379" si="5923">-SUMPRODUCT($M$2:$M$8,$N$2:$N$8)-SUMPRODUCT($M$10:$M$12,$N$10:$N$12)</f>
        <v>-120000</v>
      </c>
      <c r="BN1379" s="34" t="e">
        <f t="shared" ref="BN1379" si="5924">IF(BK1379&lt;&gt;BK1380,MMULT(MINVERSE(BK1379:BL1380),BM1379:BM1380)," ")</f>
        <v>#NUM!</v>
      </c>
      <c r="BO1379" s="34" t="str">
        <f t="shared" ref="BO1379" si="5925">IFERROR(IF(BN1379-VLOOKUP(BK$38,$A$2:$N$12,14,FALSE)&lt;0,BN1379-VLOOKUP(BK$38,$A$2:$N$12,14,FALSE)," ")," ")</f>
        <v xml:space="preserve"> </v>
      </c>
      <c r="BP1379" s="34" t="str">
        <f t="shared" ref="BP1379" si="5926">IFERROR(IF(BN1379-VLOOKUP(BK$38,$A$2:$N$12,14,FALSE)&gt;0,BN1379-VLOOKUP(BK$38,$A$2:$N$12,14,FALSE)," ")," ")</f>
        <v xml:space="preserve"> </v>
      </c>
      <c r="BQ1379" s="34">
        <f t="shared" ref="BQ1379" si="5927">$M$10</f>
        <v>0</v>
      </c>
      <c r="BR1379" s="34">
        <v>-1</v>
      </c>
      <c r="BS1379" s="34">
        <f t="shared" ref="BS1379" si="5928">-SUMPRODUCT($M$2:$M$9,$N$2:$N$9)-SUMPRODUCT($M$11:$M$12,$N$11:$N$12)</f>
        <v>-120000</v>
      </c>
      <c r="BT1379" s="34" t="e">
        <f t="shared" ref="BT1379" si="5929">IF(BQ1379&lt;&gt;BQ1380,MMULT(MINVERSE(BQ1379:BR1380),BS1379:BS1380)," ")</f>
        <v>#NUM!</v>
      </c>
      <c r="BU1379" s="34" t="str">
        <f t="shared" ref="BU1379" si="5930">IFERROR(IF(BT1379-VLOOKUP(BQ$38,$A$2:$N$12,14,FALSE)&lt;0,BT1379-VLOOKUP(BQ$38,$A$2:$N$12,14,FALSE)," ")," ")</f>
        <v xml:space="preserve"> </v>
      </c>
      <c r="BV1379" s="34" t="str">
        <f t="shared" ref="BV1379" si="5931">IFERROR(IF(BT1379-VLOOKUP(BQ$38,$A$2:$N$12,14,FALSE)&gt;0,BT1379-VLOOKUP(BQ$38,$A$2:$N$12,14,FALSE)," ")," ")</f>
        <v xml:space="preserve"> </v>
      </c>
      <c r="BW1379" s="34">
        <f t="shared" ref="BW1379" si="5932">$M$11</f>
        <v>0</v>
      </c>
      <c r="BX1379" s="34">
        <v>-1</v>
      </c>
      <c r="BY1379" s="34">
        <f t="shared" ref="BY1379" si="5933">-SUMPRODUCT($M$2:$M$10,$N$2:$N$10)-SUMPRODUCT($M$12,$N$12)</f>
        <v>-120000</v>
      </c>
      <c r="BZ1379" s="34" t="e">
        <f t="shared" ref="BZ1379" si="5934">IF(BW1379&lt;&gt;BW1380,MMULT(MINVERSE(BW1379:BX1380),BY1379:BY1380)," ")</f>
        <v>#NUM!</v>
      </c>
      <c r="CA1379" s="34" t="str">
        <f t="shared" ref="CA1379" si="5935">IFERROR(IF(BZ1379-VLOOKUP(BW$38,$A$2:$N$12,14,FALSE)&lt;0,BZ1379-VLOOKUP(BW$38,$A$2:$N$12,14,FALSE)," ")," ")</f>
        <v xml:space="preserve"> </v>
      </c>
      <c r="CB1379" s="34" t="str">
        <f t="shared" ref="CB1379" si="5936">IFERROR(IF(BZ1379-VLOOKUP(BW$38,$A$2:$N$12,14,FALSE)&gt;0,BZ1379-VLOOKUP(BW$38,$A$2:$N$12,14,FALSE)," ")," ")</f>
        <v xml:space="preserve"> </v>
      </c>
      <c r="CC1379" s="34">
        <f t="shared" ref="CC1379" si="5937">$M$12</f>
        <v>0</v>
      </c>
      <c r="CD1379" s="34">
        <v>-1</v>
      </c>
      <c r="CE1379" s="34">
        <f t="shared" ref="CE1379" si="5938">-SUMPRODUCT($M$2:$M$11,$N$2:$N$11)</f>
        <v>-120000</v>
      </c>
      <c r="CF1379" s="34" t="e">
        <f t="shared" ref="CF1379" si="5939">IF(CC1379&lt;&gt;CC1380,MMULT(MINVERSE(CC1379:CD1380),CE1379:CE1380)," ")</f>
        <v>#NUM!</v>
      </c>
      <c r="CG1379" s="34" t="str">
        <f t="shared" ref="CG1379" si="5940">IFERROR(IF(CF1379-VLOOKUP(CC$38,$A$2:$N$12,14,FALSE)&lt;0,CF1379-VLOOKUP(CC$38,$A$2:$N$12,14,FALSE)," ")," ")</f>
        <v xml:space="preserve"> </v>
      </c>
      <c r="CH1379" s="34" t="str">
        <f t="shared" ref="CH1379" si="5941">IFERROR(IF(CF1379-VLOOKUP(CC$38,$A$2:$N$12,14,FALSE)&gt;0,CF1379-VLOOKUP(CC$38,$A$2:$N$12,14,FALSE)," ")," ")</f>
        <v xml:space="preserve"> </v>
      </c>
      <c r="CI1379" s="8"/>
    </row>
    <row r="1380" spans="1:87" x14ac:dyDescent="0.2">
      <c r="A1380" s="8" t="str">
        <f>IF(AND(COUNTIF(W$3:W$13,A$16)&gt;0,A$16&lt;&gt;B1308),A$16,IFERROR(IF(MATCH(A$16,Z$3:Z$13,0)=4,A$16," ")," "))</f>
        <v xml:space="preserve"> </v>
      </c>
      <c r="B1380" s="8" t="str">
        <f>IF(A1380=" "," ",MAX(B1379:B1379)+1)</f>
        <v xml:space="preserve"> </v>
      </c>
      <c r="C1380" s="8" t="str">
        <f>IFERROR(INDEX(A1379:A1400,MATCH(SMALL(B1379:B1400,2),B1379:B1400,0),1)," ")</f>
        <v>C4</v>
      </c>
      <c r="D1380" s="8">
        <f t="shared" ref="D1380:D1389" si="5942">IFERROR(VLOOKUP($C1380,$A$15:$O$36,2,FALSE)," ")</f>
        <v>1</v>
      </c>
      <c r="E1380" s="8">
        <f t="shared" ref="E1380:E1389" si="5943">IFERROR(VLOOKUP($C1380,$A$15:$O$36,3,FALSE)," ")</f>
        <v>0</v>
      </c>
      <c r="F1380" s="8">
        <f t="shared" ref="F1380:F1389" si="5944">IFERROR(VLOOKUP($C1380,$A$15:$O$36,4,FALSE)," ")</f>
        <v>1</v>
      </c>
      <c r="G1380" s="8">
        <f t="shared" ref="G1380:G1389" si="5945">IFERROR(VLOOKUP($C1380,$A$15:$O$36,5,FALSE)," ")</f>
        <v>0</v>
      </c>
      <c r="H1380" s="8">
        <f t="shared" ref="H1380:H1389" si="5946">IFERROR(VLOOKUP($C1380,$A$15:$O$36,6,FALSE)," ")</f>
        <v>0</v>
      </c>
      <c r="I1380" s="8">
        <f t="shared" ref="I1380:I1389" si="5947">IFERROR(VLOOKUP($C1380,$A$15:$O$36,7,FALSE)," ")</f>
        <v>0</v>
      </c>
      <c r="J1380" s="8">
        <f t="shared" ref="J1380:J1389" si="5948">IFERROR(VLOOKUP($C1380,$A$15:$O$36,8,FALSE)," ")</f>
        <v>0</v>
      </c>
      <c r="K1380" s="8">
        <f t="shared" ref="K1380:K1389" si="5949">IFERROR(VLOOKUP($C1380,$A$15:$O$36,9,FALSE)," ")</f>
        <v>0</v>
      </c>
      <c r="L1380" s="8">
        <f t="shared" ref="L1380:L1389" si="5950">IFERROR(VLOOKUP($C1380,$A$15:$O$36,10,FALSE)," ")</f>
        <v>0</v>
      </c>
      <c r="M1380" s="8">
        <f t="shared" ref="M1380:M1389" si="5951">IFERROR(VLOOKUP($C1380,$A$15:$O$36,11,FALSE)," ")</f>
        <v>0</v>
      </c>
      <c r="N1380" s="8">
        <f t="shared" ref="N1380:N1389" si="5952">IFERROR(VLOOKUP($C1380,$A$15:$O$36,12,FALSE)," ")</f>
        <v>0</v>
      </c>
      <c r="O1380" s="8">
        <f t="shared" ref="O1380:O1389" si="5953">IFERROR(VLOOKUP($C1380,$A$15:$O$36,15,FALSE)," ")</f>
        <v>400</v>
      </c>
      <c r="P1380" s="8" t="e">
        <v>#NUM!</v>
      </c>
      <c r="Q1380" s="8" t="e">
        <f t="shared" ref="Q1380" si="5954">IF(COUNTIF(P1379:P1389,"&lt;"&amp;-0.001)=0,IF(ABS(P1380)&lt;0.001,0,P1380)," ")</f>
        <v>#NUM!</v>
      </c>
      <c r="R1380" s="8"/>
      <c r="S1380" s="8"/>
      <c r="U1380" s="34" t="e">
        <f t="shared" ref="U1380" si="5955">$Q1379</f>
        <v>#NUM!</v>
      </c>
      <c r="V1380" s="34">
        <v>-1</v>
      </c>
      <c r="W1380" s="34" t="e">
        <f t="shared" ref="W1380" si="5956">-SUMPRODUCT($Q1380:$Q1389,$N$3:$N$12)</f>
        <v>#NUM!</v>
      </c>
      <c r="X1380" s="34"/>
      <c r="Y1380" s="34"/>
      <c r="Z1380" s="34"/>
      <c r="AA1380" s="34" t="e">
        <f t="shared" ref="AA1380" si="5957">$Q1380</f>
        <v>#NUM!</v>
      </c>
      <c r="AB1380" s="34">
        <v>-1</v>
      </c>
      <c r="AC1380" s="34" t="e">
        <f t="shared" ref="AC1380" si="5958">-SUMPRODUCT($Q1379:$Q1379,$N$2:$N$2)-SUMPRODUCT($Q1381:$Q1389,$N$4:$N$12)</f>
        <v>#NUM!</v>
      </c>
      <c r="AD1380" s="34"/>
      <c r="AE1380" s="34"/>
      <c r="AF1380" s="34"/>
      <c r="AG1380" s="34" t="e">
        <f t="shared" ref="AG1380" si="5959">$Q1381</f>
        <v>#NUM!</v>
      </c>
      <c r="AH1380" s="34">
        <v>-1</v>
      </c>
      <c r="AI1380" s="34" t="e">
        <f t="shared" ref="AI1380" si="5960">-SUMPRODUCT($Q1379:$Q1380,$N$2:$N$3)-SUMPRODUCT($Q1382:$Q1389,$N$5:$N$12)</f>
        <v>#NUM!</v>
      </c>
      <c r="AJ1380" s="34"/>
      <c r="AK1380" s="34"/>
      <c r="AL1380" s="34"/>
      <c r="AM1380" s="34" t="e">
        <f t="shared" ref="AM1380" si="5961">$Q1382</f>
        <v>#NUM!</v>
      </c>
      <c r="AN1380" s="34">
        <v>-1</v>
      </c>
      <c r="AO1380" s="34" t="e">
        <f t="shared" ref="AO1380" si="5962">-SUMPRODUCT($Q1379:$Q1381,$N$2:$N$4)-SUMPRODUCT($Q1383:$Q1389,$N$6:$N$12)</f>
        <v>#NUM!</v>
      </c>
      <c r="AP1380" s="34"/>
      <c r="AQ1380" s="34"/>
      <c r="AR1380" s="34"/>
      <c r="AS1380" s="34" t="e">
        <f t="shared" ref="AS1380" si="5963">$Q1383</f>
        <v>#NUM!</v>
      </c>
      <c r="AT1380" s="34">
        <v>-1</v>
      </c>
      <c r="AU1380" s="34" t="e">
        <f t="shared" ref="AU1380" si="5964">-SUMPRODUCT($Q1379:$Q1382,$N$2:$N$5)-SUMPRODUCT($Q1384:$Q1389,$N$7:$N$12)</f>
        <v>#NUM!</v>
      </c>
      <c r="AV1380" s="34"/>
      <c r="AW1380" s="34"/>
      <c r="AX1380" s="34"/>
      <c r="AY1380" s="34" t="e">
        <f t="shared" ref="AY1380" si="5965">$Q1384</f>
        <v>#NUM!</v>
      </c>
      <c r="AZ1380" s="34">
        <v>-1</v>
      </c>
      <c r="BA1380" s="34" t="e">
        <f t="shared" ref="BA1380" si="5966">-SUMPRODUCT($Q1379:$Q1383,$N$2:$N$6)-SUMPRODUCT($Q1385:$Q1389,$N$8:$N$12)</f>
        <v>#NUM!</v>
      </c>
      <c r="BB1380" s="34"/>
      <c r="BC1380" s="34"/>
      <c r="BD1380" s="34"/>
      <c r="BE1380" s="34" t="e">
        <f t="shared" ref="BE1380" si="5967">$Q1385</f>
        <v>#NUM!</v>
      </c>
      <c r="BF1380" s="34">
        <v>-1</v>
      </c>
      <c r="BG1380" s="34" t="e">
        <f t="shared" ref="BG1380" si="5968">-SUMPRODUCT($Q1379:$Q1384,$N$2:$N$7)-SUMPRODUCT($Q1386:$Q1389,$N$9:$N$12)</f>
        <v>#NUM!</v>
      </c>
      <c r="BH1380" s="34"/>
      <c r="BI1380" s="34"/>
      <c r="BJ1380" s="34"/>
      <c r="BK1380" s="34" t="e">
        <f t="shared" ref="BK1380" si="5969">$Q1386</f>
        <v>#NUM!</v>
      </c>
      <c r="BL1380" s="34">
        <v>-1</v>
      </c>
      <c r="BM1380" s="34" t="e">
        <f t="shared" ref="BM1380" si="5970">-SUMPRODUCT($Q1379:$Q1385,$N$2:$N$8)-SUMPRODUCT($Q1387:$Q1389,$N$10:$N$12)</f>
        <v>#NUM!</v>
      </c>
      <c r="BN1380" s="34"/>
      <c r="BO1380" s="34"/>
      <c r="BP1380" s="34"/>
      <c r="BQ1380" s="34" t="e">
        <f t="shared" ref="BQ1380" si="5971">$Q1387</f>
        <v>#NUM!</v>
      </c>
      <c r="BR1380" s="34">
        <v>-1</v>
      </c>
      <c r="BS1380" s="34" t="e">
        <f t="shared" ref="BS1380" si="5972">-SUMPRODUCT($Q1379:$Q1386,$N$2:$N$9)-SUMPRODUCT($Q1388:$Q1389,$N$11:$N$12)</f>
        <v>#NUM!</v>
      </c>
      <c r="BT1380" s="34"/>
      <c r="BU1380" s="34"/>
      <c r="BV1380" s="34"/>
      <c r="BW1380" s="34" t="e">
        <f t="shared" ref="BW1380" si="5973">$Q1388</f>
        <v>#NUM!</v>
      </c>
      <c r="BX1380" s="34">
        <v>-1</v>
      </c>
      <c r="BY1380" s="34" t="e">
        <f t="shared" ref="BY1380" si="5974">-SUMPRODUCT($Q1379:$Q1387,$N$2:$N$10)-SUMPRODUCT($Q1389,$N$12)</f>
        <v>#NUM!</v>
      </c>
      <c r="BZ1380" s="34"/>
      <c r="CA1380" s="34"/>
      <c r="CB1380" s="34"/>
      <c r="CC1380" s="34" t="e">
        <f t="shared" ref="CC1380" si="5975">$Q1389</f>
        <v>#NUM!</v>
      </c>
      <c r="CD1380" s="34">
        <v>-1</v>
      </c>
      <c r="CE1380" s="34" t="e">
        <f t="shared" ref="CE1380" si="5976">-SUMPRODUCT($Q1379:$Q1388,$N$2:$N$11)</f>
        <v>#NUM!</v>
      </c>
      <c r="CF1380" s="34"/>
      <c r="CG1380" s="34"/>
      <c r="CH1380" s="34"/>
      <c r="CI1380" s="8"/>
    </row>
    <row r="1381" spans="1:87" x14ac:dyDescent="0.2">
      <c r="A1381" s="8" t="str">
        <f>IF(AND(COUNTIF(W$3:W$13,A$17)&gt;0,A$17&lt;&gt;B1308),A$17,IFERROR(IF(MATCH(A$17,Z$3:Z$13,0)=4,A$17," ")," "))</f>
        <v>C3</v>
      </c>
      <c r="B1381" s="8">
        <f>IF(A1381=" "," ",MAX(B1379:B1380)+1)</f>
        <v>1</v>
      </c>
      <c r="C1381" s="8" t="str">
        <f>IFERROR(INDEX(A1379:A1400,MATCH(SMALL(B1379:B1400,3),B1379:B1400,0),1)," ")</f>
        <v>C6</v>
      </c>
      <c r="D1381" s="8">
        <f t="shared" si="5942"/>
        <v>0</v>
      </c>
      <c r="E1381" s="8">
        <f t="shared" si="5943"/>
        <v>0</v>
      </c>
      <c r="F1381" s="8">
        <f t="shared" si="5944"/>
        <v>0</v>
      </c>
      <c r="G1381" s="8">
        <f t="shared" si="5945"/>
        <v>0</v>
      </c>
      <c r="H1381" s="8">
        <f t="shared" si="5946"/>
        <v>0</v>
      </c>
      <c r="I1381" s="8">
        <f t="shared" si="5947"/>
        <v>0</v>
      </c>
      <c r="J1381" s="8">
        <f t="shared" si="5948"/>
        <v>0</v>
      </c>
      <c r="K1381" s="8">
        <f t="shared" si="5949"/>
        <v>0</v>
      </c>
      <c r="L1381" s="8">
        <f t="shared" si="5950"/>
        <v>0</v>
      </c>
      <c r="M1381" s="8">
        <f t="shared" si="5951"/>
        <v>0</v>
      </c>
      <c r="N1381" s="8">
        <f t="shared" si="5952"/>
        <v>0</v>
      </c>
      <c r="O1381" s="8">
        <f t="shared" si="5953"/>
        <v>0</v>
      </c>
      <c r="P1381" s="8" t="e">
        <v>#NUM!</v>
      </c>
      <c r="Q1381" s="8" t="e">
        <f t="shared" ref="Q1381" si="5977">IF(COUNTIF(P1379:P1389,"&lt;"&amp;-0.001)=0,IF(ABS(P1381)&lt;0.001,0,P1381)," ")</f>
        <v>#NUM!</v>
      </c>
      <c r="R1381" s="8"/>
      <c r="S1381" s="8"/>
      <c r="U1381" s="34"/>
      <c r="V1381" s="34"/>
      <c r="W1381" s="34"/>
      <c r="X1381" s="34"/>
      <c r="Y1381" s="34"/>
      <c r="Z1381" s="34"/>
      <c r="AA1381" s="34"/>
      <c r="AB1381" s="34"/>
      <c r="AC1381" s="34"/>
      <c r="AD1381" s="34"/>
      <c r="AE1381" s="34"/>
      <c r="AF1381" s="34"/>
      <c r="AG1381" s="34"/>
      <c r="AH1381" s="34"/>
      <c r="AI1381" s="34"/>
      <c r="AJ1381" s="34"/>
      <c r="AK1381" s="34"/>
      <c r="AL1381" s="34"/>
      <c r="AM1381" s="34"/>
      <c r="AN1381" s="34"/>
      <c r="AO1381" s="34"/>
      <c r="AP1381" s="34"/>
      <c r="AQ1381" s="34"/>
      <c r="AR1381" s="34"/>
      <c r="AS1381" s="34"/>
      <c r="AT1381" s="34"/>
      <c r="AU1381" s="34"/>
      <c r="AV1381" s="34"/>
      <c r="AW1381" s="34"/>
      <c r="AX1381" s="34"/>
      <c r="AY1381" s="34"/>
      <c r="AZ1381" s="34"/>
      <c r="BA1381" s="34"/>
      <c r="BB1381" s="34"/>
      <c r="BC1381" s="34"/>
      <c r="BD1381" s="34"/>
      <c r="BE1381" s="34"/>
      <c r="BF1381" s="34"/>
      <c r="BG1381" s="34"/>
      <c r="BH1381" s="34"/>
      <c r="BI1381" s="34"/>
      <c r="BJ1381" s="34"/>
      <c r="BK1381" s="34"/>
      <c r="BL1381" s="34"/>
      <c r="BM1381" s="34"/>
      <c r="BN1381" s="34"/>
      <c r="BO1381" s="34"/>
      <c r="BP1381" s="34"/>
      <c r="BQ1381" s="34"/>
      <c r="BR1381" s="34"/>
      <c r="BS1381" s="34"/>
      <c r="BT1381" s="34"/>
      <c r="BU1381" s="34"/>
      <c r="BV1381" s="34"/>
      <c r="BW1381" s="34"/>
      <c r="BX1381" s="34"/>
      <c r="BY1381" s="34"/>
      <c r="BZ1381" s="34"/>
      <c r="CA1381" s="34"/>
      <c r="CB1381" s="34"/>
      <c r="CC1381" s="34"/>
      <c r="CD1381" s="34"/>
      <c r="CE1381" s="34"/>
      <c r="CF1381" s="34"/>
      <c r="CG1381" s="34"/>
      <c r="CH1381" s="34"/>
      <c r="CI1381" s="8"/>
    </row>
    <row r="1382" spans="1:87" x14ac:dyDescent="0.2">
      <c r="A1382" s="8" t="str">
        <f>IF(AND(COUNTIF(W$3:W$13,A$18)&gt;0,A$18&lt;&gt;B1308),A$18,IFERROR(IF(MATCH(A$18,Z$3:Z$13,0)=4,A$18," ")," "))</f>
        <v>C4</v>
      </c>
      <c r="B1382" s="8">
        <f>IF(A1382=" "," ",MAX(B1379:B1381)+1)</f>
        <v>2</v>
      </c>
      <c r="C1382" s="8" t="str">
        <f>IFERROR(INDEX(A1379:A1400,MATCH(SMALL(B1379:B1400,4),B1379:B1400,0),1)," ")</f>
        <v>C13</v>
      </c>
      <c r="D1382" s="8">
        <f t="shared" si="5942"/>
        <v>0</v>
      </c>
      <c r="E1382" s="8">
        <f t="shared" si="5943"/>
        <v>1</v>
      </c>
      <c r="F1382" s="8">
        <f t="shared" si="5944"/>
        <v>0</v>
      </c>
      <c r="G1382" s="8">
        <f t="shared" si="5945"/>
        <v>0</v>
      </c>
      <c r="H1382" s="8">
        <f t="shared" si="5946"/>
        <v>0</v>
      </c>
      <c r="I1382" s="8">
        <f t="shared" si="5947"/>
        <v>0</v>
      </c>
      <c r="J1382" s="8">
        <f t="shared" si="5948"/>
        <v>0</v>
      </c>
      <c r="K1382" s="8">
        <f t="shared" si="5949"/>
        <v>0</v>
      </c>
      <c r="L1382" s="8">
        <f t="shared" si="5950"/>
        <v>0</v>
      </c>
      <c r="M1382" s="8">
        <f t="shared" si="5951"/>
        <v>0</v>
      </c>
      <c r="N1382" s="8">
        <f t="shared" si="5952"/>
        <v>0</v>
      </c>
      <c r="O1382" s="8">
        <f t="shared" si="5953"/>
        <v>0</v>
      </c>
      <c r="P1382" s="8" t="e">
        <v>#NUM!</v>
      </c>
      <c r="Q1382" s="8" t="e">
        <f t="shared" ref="Q1382" si="5978">IF(COUNTIF(P1379:P1389,"&lt;"&amp;-0.001)=0,IF(ABS(P1382)&lt;0.001,0,P1382)," ")</f>
        <v>#NUM!</v>
      </c>
      <c r="R1382" s="8"/>
      <c r="S1382" s="8"/>
      <c r="U1382" s="34"/>
      <c r="V1382" s="34"/>
      <c r="W1382" s="34"/>
      <c r="X1382" s="34"/>
      <c r="Y1382" s="34"/>
      <c r="Z1382" s="34"/>
      <c r="AA1382" s="34"/>
      <c r="AB1382" s="34"/>
      <c r="AC1382" s="34"/>
      <c r="AD1382" s="34"/>
      <c r="AE1382" s="34"/>
      <c r="AF1382" s="34"/>
      <c r="AG1382" s="34"/>
      <c r="AH1382" s="34"/>
      <c r="AI1382" s="34"/>
      <c r="AJ1382" s="34"/>
      <c r="AK1382" s="34"/>
      <c r="AL1382" s="34"/>
      <c r="AM1382" s="34"/>
      <c r="AN1382" s="34"/>
      <c r="AO1382" s="34"/>
      <c r="AP1382" s="34"/>
      <c r="AQ1382" s="34"/>
      <c r="AR1382" s="34"/>
      <c r="AS1382" s="34"/>
      <c r="AT1382" s="34"/>
      <c r="AU1382" s="34"/>
      <c r="AV1382" s="34"/>
      <c r="AW1382" s="34"/>
      <c r="AX1382" s="34"/>
      <c r="AY1382" s="34"/>
      <c r="AZ1382" s="34"/>
      <c r="BA1382" s="34"/>
      <c r="BB1382" s="34"/>
      <c r="BC1382" s="34"/>
      <c r="BD1382" s="34"/>
      <c r="BE1382" s="34"/>
      <c r="BF1382" s="34"/>
      <c r="BG1382" s="34"/>
      <c r="BH1382" s="34"/>
      <c r="BI1382" s="34"/>
      <c r="BJ1382" s="34"/>
      <c r="BK1382" s="34"/>
      <c r="BL1382" s="34"/>
      <c r="BM1382" s="34"/>
      <c r="BN1382" s="34"/>
      <c r="BO1382" s="34"/>
      <c r="BP1382" s="34"/>
      <c r="BQ1382" s="34"/>
      <c r="BR1382" s="34"/>
      <c r="BS1382" s="34"/>
      <c r="BT1382" s="34"/>
      <c r="BU1382" s="34"/>
      <c r="BV1382" s="34"/>
      <c r="BW1382" s="34"/>
      <c r="BX1382" s="34"/>
      <c r="BY1382" s="34"/>
      <c r="BZ1382" s="34"/>
      <c r="CA1382" s="34"/>
      <c r="CB1382" s="34"/>
      <c r="CC1382" s="34"/>
      <c r="CD1382" s="34"/>
      <c r="CE1382" s="34"/>
      <c r="CF1382" s="34"/>
      <c r="CG1382" s="34"/>
      <c r="CH1382" s="34"/>
      <c r="CI1382" s="8"/>
    </row>
    <row r="1383" spans="1:87" x14ac:dyDescent="0.2">
      <c r="A1383" s="8" t="str">
        <f>IF(AND(COUNTIF(W$3:W$13,A$19)&gt;0,A$19&lt;&gt;B1308),A$19,IFERROR(IF(MATCH(A$19,Z$3:Z$13,0)=4,A$19," ")," "))</f>
        <v xml:space="preserve"> </v>
      </c>
      <c r="B1383" s="8" t="str">
        <f>IF(A1383=" "," ",MAX(B1379:B1382)+1)</f>
        <v xml:space="preserve"> </v>
      </c>
      <c r="C1383" s="8" t="str">
        <f>IFERROR(INDEX(A1379:A1400,MATCH(SMALL(B1379:B1400,5),B1379:B1400,0),1)," ")</f>
        <v>C15</v>
      </c>
      <c r="D1383" s="8">
        <f t="shared" si="5942"/>
        <v>0</v>
      </c>
      <c r="E1383" s="8">
        <f t="shared" si="5943"/>
        <v>0</v>
      </c>
      <c r="F1383" s="8">
        <f t="shared" si="5944"/>
        <v>0</v>
      </c>
      <c r="G1383" s="8">
        <f t="shared" si="5945"/>
        <v>1</v>
      </c>
      <c r="H1383" s="8">
        <f t="shared" si="5946"/>
        <v>0</v>
      </c>
      <c r="I1383" s="8">
        <f t="shared" si="5947"/>
        <v>0</v>
      </c>
      <c r="J1383" s="8">
        <f t="shared" si="5948"/>
        <v>0</v>
      </c>
      <c r="K1383" s="8">
        <f t="shared" si="5949"/>
        <v>0</v>
      </c>
      <c r="L1383" s="8">
        <f t="shared" si="5950"/>
        <v>0</v>
      </c>
      <c r="M1383" s="8">
        <f t="shared" si="5951"/>
        <v>0</v>
      </c>
      <c r="N1383" s="8">
        <f t="shared" si="5952"/>
        <v>0</v>
      </c>
      <c r="O1383" s="8">
        <f t="shared" si="5953"/>
        <v>0</v>
      </c>
      <c r="P1383" s="8" t="e">
        <v>#NUM!</v>
      </c>
      <c r="Q1383" s="8" t="e">
        <f t="shared" ref="Q1383" si="5979">IF(COUNTIF(P1379:P1389,"&lt;"&amp;-0.001)=0,IF(ABS(P1383)&lt;0.001,0,P1383)," ")</f>
        <v>#NUM!</v>
      </c>
      <c r="R1383" s="8"/>
      <c r="S1383" s="8"/>
      <c r="U1383" s="34"/>
      <c r="V1383" s="34"/>
      <c r="W1383" s="34"/>
      <c r="X1383" s="34"/>
      <c r="Y1383" s="34"/>
      <c r="Z1383" s="34"/>
      <c r="AA1383" s="34"/>
      <c r="AB1383" s="34"/>
      <c r="AC1383" s="34"/>
      <c r="AD1383" s="34"/>
      <c r="AE1383" s="34"/>
      <c r="AF1383" s="34"/>
      <c r="AG1383" s="34"/>
      <c r="AH1383" s="34"/>
      <c r="AI1383" s="34"/>
      <c r="AJ1383" s="34"/>
      <c r="AK1383" s="34"/>
      <c r="AL1383" s="34"/>
      <c r="AM1383" s="34"/>
      <c r="AN1383" s="34"/>
      <c r="AO1383" s="34"/>
      <c r="AP1383" s="34"/>
      <c r="AQ1383" s="34"/>
      <c r="AR1383" s="34"/>
      <c r="AS1383" s="34"/>
      <c r="AT1383" s="34"/>
      <c r="AU1383" s="34"/>
      <c r="AV1383" s="34"/>
      <c r="AW1383" s="34"/>
      <c r="AX1383" s="34"/>
      <c r="AY1383" s="34"/>
      <c r="AZ1383" s="34"/>
      <c r="BA1383" s="34"/>
      <c r="BB1383" s="34"/>
      <c r="BC1383" s="34"/>
      <c r="BD1383" s="34"/>
      <c r="BE1383" s="34"/>
      <c r="BF1383" s="34"/>
      <c r="BG1383" s="34"/>
      <c r="BH1383" s="34"/>
      <c r="BI1383" s="34"/>
      <c r="BJ1383" s="34"/>
      <c r="BK1383" s="34"/>
      <c r="BL1383" s="34"/>
      <c r="BM1383" s="34"/>
      <c r="BN1383" s="34"/>
      <c r="BO1383" s="34"/>
      <c r="BP1383" s="34"/>
      <c r="BQ1383" s="34"/>
      <c r="BR1383" s="34"/>
      <c r="BS1383" s="34"/>
      <c r="BT1383" s="34"/>
      <c r="BU1383" s="34"/>
      <c r="BV1383" s="34"/>
      <c r="BW1383" s="34"/>
      <c r="BX1383" s="34"/>
      <c r="BY1383" s="34"/>
      <c r="BZ1383" s="34"/>
      <c r="CA1383" s="34"/>
      <c r="CB1383" s="34"/>
      <c r="CC1383" s="34"/>
      <c r="CD1383" s="34"/>
      <c r="CE1383" s="34"/>
      <c r="CF1383" s="34"/>
      <c r="CG1383" s="34"/>
      <c r="CH1383" s="34"/>
      <c r="CI1383" s="8"/>
    </row>
    <row r="1384" spans="1:87" x14ac:dyDescent="0.2">
      <c r="A1384" s="8" t="str">
        <f>IF(AND(COUNTIF(W$3:W$13,A$20)&gt;0,A$20&lt;&gt;B1308),A$20,IFERROR(IF(MATCH(A$20,Z$3:Z$13,0)=4,A$20," ")," "))</f>
        <v>C6</v>
      </c>
      <c r="B1384" s="8">
        <f>IF(A1384=" "," ",MAX(B1379:B1383)+1)</f>
        <v>3</v>
      </c>
      <c r="C1384" s="8" t="str">
        <f>IFERROR(INDEX(A1379:A1400,MATCH(SMALL(B1379:B1400,6),B1379:B1400,0),1)," ")</f>
        <v>C16</v>
      </c>
      <c r="D1384" s="8">
        <f t="shared" si="5942"/>
        <v>0</v>
      </c>
      <c r="E1384" s="8">
        <f t="shared" si="5943"/>
        <v>0</v>
      </c>
      <c r="F1384" s="8">
        <f t="shared" si="5944"/>
        <v>0</v>
      </c>
      <c r="G1384" s="8">
        <f t="shared" si="5945"/>
        <v>0</v>
      </c>
      <c r="H1384" s="8">
        <f t="shared" si="5946"/>
        <v>1</v>
      </c>
      <c r="I1384" s="8">
        <f t="shared" si="5947"/>
        <v>0</v>
      </c>
      <c r="J1384" s="8">
        <f t="shared" si="5948"/>
        <v>0</v>
      </c>
      <c r="K1384" s="8">
        <f t="shared" si="5949"/>
        <v>0</v>
      </c>
      <c r="L1384" s="8">
        <f t="shared" si="5950"/>
        <v>0</v>
      </c>
      <c r="M1384" s="8">
        <f t="shared" si="5951"/>
        <v>0</v>
      </c>
      <c r="N1384" s="8">
        <f t="shared" si="5952"/>
        <v>0</v>
      </c>
      <c r="O1384" s="8">
        <f t="shared" si="5953"/>
        <v>0</v>
      </c>
      <c r="P1384" s="8" t="e">
        <v>#NUM!</v>
      </c>
      <c r="Q1384" s="8" t="e">
        <f t="shared" ref="Q1384" si="5980">IF(COUNTIF(P1379:P1389,"&lt;"&amp;-0.001)=0,IF(ABS(P1384)&lt;0.001,0,P1384)," ")</f>
        <v>#NUM!</v>
      </c>
      <c r="R1384" s="8"/>
      <c r="S1384" s="8"/>
      <c r="U1384" s="34"/>
      <c r="V1384" s="34"/>
      <c r="W1384" s="34"/>
      <c r="X1384" s="34"/>
      <c r="Y1384" s="34"/>
      <c r="Z1384" s="34"/>
      <c r="AA1384" s="34"/>
      <c r="AB1384" s="34"/>
      <c r="AC1384" s="34"/>
      <c r="AD1384" s="34"/>
      <c r="AE1384" s="34"/>
      <c r="AF1384" s="34"/>
      <c r="AG1384" s="34"/>
      <c r="AH1384" s="34"/>
      <c r="AI1384" s="34"/>
      <c r="AJ1384" s="34"/>
      <c r="AK1384" s="34"/>
      <c r="AL1384" s="34"/>
      <c r="AM1384" s="34"/>
      <c r="AN1384" s="34"/>
      <c r="AO1384" s="34"/>
      <c r="AP1384" s="34"/>
      <c r="AQ1384" s="34"/>
      <c r="AR1384" s="34"/>
      <c r="AS1384" s="34"/>
      <c r="AT1384" s="34"/>
      <c r="AU1384" s="34"/>
      <c r="AV1384" s="34"/>
      <c r="AW1384" s="34"/>
      <c r="AX1384" s="34"/>
      <c r="AY1384" s="34"/>
      <c r="AZ1384" s="34"/>
      <c r="BA1384" s="34"/>
      <c r="BB1384" s="34"/>
      <c r="BC1384" s="34"/>
      <c r="BD1384" s="34"/>
      <c r="BE1384" s="34"/>
      <c r="BF1384" s="34"/>
      <c r="BG1384" s="34"/>
      <c r="BH1384" s="34"/>
      <c r="BI1384" s="34"/>
      <c r="BJ1384" s="34"/>
      <c r="BK1384" s="34"/>
      <c r="BL1384" s="34"/>
      <c r="BM1384" s="34"/>
      <c r="BN1384" s="34"/>
      <c r="BO1384" s="34"/>
      <c r="BP1384" s="34"/>
      <c r="BQ1384" s="34"/>
      <c r="BR1384" s="34"/>
      <c r="BS1384" s="34"/>
      <c r="BT1384" s="34"/>
      <c r="BU1384" s="34"/>
      <c r="BV1384" s="34"/>
      <c r="BW1384" s="34"/>
      <c r="BX1384" s="34"/>
      <c r="BY1384" s="34"/>
      <c r="BZ1384" s="34"/>
      <c r="CA1384" s="34"/>
      <c r="CB1384" s="34"/>
      <c r="CC1384" s="34"/>
      <c r="CD1384" s="34"/>
      <c r="CE1384" s="34"/>
      <c r="CF1384" s="34"/>
      <c r="CG1384" s="34"/>
      <c r="CH1384" s="34"/>
      <c r="CI1384" s="8"/>
    </row>
    <row r="1385" spans="1:87" x14ac:dyDescent="0.2">
      <c r="A1385" s="8" t="str">
        <f>IF(AND(COUNTIF(W$3:W$13,A$21)&gt;0,A$21&lt;&gt;B1308),A$21,IFERROR(IF(MATCH(A$21,Z$3:Z$13,0)=4,A$21," ")," "))</f>
        <v xml:space="preserve"> </v>
      </c>
      <c r="B1385" s="8" t="str">
        <f>IF(A1385=" "," ",MAX(B1379:B1384)+1)</f>
        <v xml:space="preserve"> </v>
      </c>
      <c r="C1385" s="8" t="str">
        <f>IFERROR(INDEX(A1379:A1400,MATCH(SMALL(B1379:B1400,7),B1379:B1400,0),1)," ")</f>
        <v>C18</v>
      </c>
      <c r="D1385" s="8">
        <f t="shared" si="5942"/>
        <v>0</v>
      </c>
      <c r="E1385" s="8">
        <f t="shared" si="5943"/>
        <v>0</v>
      </c>
      <c r="F1385" s="8">
        <f t="shared" si="5944"/>
        <v>0</v>
      </c>
      <c r="G1385" s="8">
        <f t="shared" si="5945"/>
        <v>0</v>
      </c>
      <c r="H1385" s="8">
        <f t="shared" si="5946"/>
        <v>0</v>
      </c>
      <c r="I1385" s="8">
        <f t="shared" si="5947"/>
        <v>0</v>
      </c>
      <c r="J1385" s="8">
        <f t="shared" si="5948"/>
        <v>1</v>
      </c>
      <c r="K1385" s="8">
        <f t="shared" si="5949"/>
        <v>0</v>
      </c>
      <c r="L1385" s="8">
        <f t="shared" si="5950"/>
        <v>0</v>
      </c>
      <c r="M1385" s="8">
        <f t="shared" si="5951"/>
        <v>0</v>
      </c>
      <c r="N1385" s="8">
        <f t="shared" si="5952"/>
        <v>0</v>
      </c>
      <c r="O1385" s="8">
        <f t="shared" si="5953"/>
        <v>0</v>
      </c>
      <c r="P1385" s="8" t="e">
        <v>#NUM!</v>
      </c>
      <c r="Q1385" s="8" t="e">
        <f t="shared" ref="Q1385" si="5981">IF(COUNTIF(P1379:P1389,"&lt;"&amp;-0.001)=0,IF(ABS(P1385)&lt;0.001,0,P1385)," ")</f>
        <v>#NUM!</v>
      </c>
      <c r="R1385" s="8"/>
      <c r="S1385" s="8"/>
      <c r="U1385" s="34"/>
      <c r="V1385" s="34"/>
      <c r="W1385" s="34"/>
      <c r="X1385" s="34"/>
      <c r="Y1385" s="34"/>
      <c r="Z1385" s="34"/>
      <c r="AA1385" s="34"/>
      <c r="AB1385" s="34"/>
      <c r="AC1385" s="34"/>
      <c r="AD1385" s="34"/>
      <c r="AE1385" s="34"/>
      <c r="AF1385" s="34"/>
      <c r="AG1385" s="34"/>
      <c r="AH1385" s="34"/>
      <c r="AI1385" s="34"/>
      <c r="AJ1385" s="34"/>
      <c r="AK1385" s="34"/>
      <c r="AL1385" s="34"/>
      <c r="AM1385" s="34"/>
      <c r="AN1385" s="34"/>
      <c r="AO1385" s="34"/>
      <c r="AP1385" s="34"/>
      <c r="AQ1385" s="34"/>
      <c r="AR1385" s="34"/>
      <c r="AS1385" s="34"/>
      <c r="AT1385" s="34"/>
      <c r="AU1385" s="34"/>
      <c r="AV1385" s="34"/>
      <c r="AW1385" s="34"/>
      <c r="AX1385" s="34"/>
      <c r="AY1385" s="34"/>
      <c r="AZ1385" s="34"/>
      <c r="BA1385" s="34"/>
      <c r="BB1385" s="34"/>
      <c r="BC1385" s="34"/>
      <c r="BD1385" s="34"/>
      <c r="BE1385" s="34"/>
      <c r="BF1385" s="34"/>
      <c r="BG1385" s="34"/>
      <c r="BH1385" s="34"/>
      <c r="BI1385" s="34"/>
      <c r="BJ1385" s="34"/>
      <c r="BK1385" s="34"/>
      <c r="BL1385" s="34"/>
      <c r="BM1385" s="34"/>
      <c r="BN1385" s="34"/>
      <c r="BO1385" s="34"/>
      <c r="BP1385" s="34"/>
      <c r="BQ1385" s="34"/>
      <c r="BR1385" s="34"/>
      <c r="BS1385" s="34"/>
      <c r="BT1385" s="34"/>
      <c r="BU1385" s="34"/>
      <c r="BV1385" s="34"/>
      <c r="BW1385" s="34"/>
      <c r="BX1385" s="34"/>
      <c r="BY1385" s="34"/>
      <c r="BZ1385" s="34"/>
      <c r="CA1385" s="34"/>
      <c r="CB1385" s="34"/>
      <c r="CC1385" s="34"/>
      <c r="CD1385" s="34"/>
      <c r="CE1385" s="34"/>
      <c r="CF1385" s="34"/>
      <c r="CG1385" s="34"/>
      <c r="CH1385" s="34"/>
      <c r="CI1385" s="8"/>
    </row>
    <row r="1386" spans="1:87" x14ac:dyDescent="0.2">
      <c r="A1386" s="8" t="str">
        <f>IF(AND(COUNTIF(W$3:W$13,A$22)&gt;0,A$22&lt;&gt;B1308),A$22,IFERROR(IF(MATCH(A$22,Z$3:Z$13,0)=4,A$22," ")," "))</f>
        <v xml:space="preserve"> </v>
      </c>
      <c r="B1386" s="8" t="str">
        <f>IF(A1386=" "," ",MAX(B1379:B1385)+1)</f>
        <v xml:space="preserve"> </v>
      </c>
      <c r="C1386" s="8" t="str">
        <f>IFERROR(INDEX(A1379:A1400,MATCH(SMALL(B1379:B1400,8),B1379:B1400,0),1)," ")</f>
        <v>C19</v>
      </c>
      <c r="D1386" s="8">
        <f t="shared" si="5942"/>
        <v>0</v>
      </c>
      <c r="E1386" s="8">
        <f t="shared" si="5943"/>
        <v>0</v>
      </c>
      <c r="F1386" s="8">
        <f t="shared" si="5944"/>
        <v>0</v>
      </c>
      <c r="G1386" s="8">
        <f t="shared" si="5945"/>
        <v>0</v>
      </c>
      <c r="H1386" s="8">
        <f t="shared" si="5946"/>
        <v>0</v>
      </c>
      <c r="I1386" s="8">
        <f t="shared" si="5947"/>
        <v>0</v>
      </c>
      <c r="J1386" s="8">
        <f t="shared" si="5948"/>
        <v>0</v>
      </c>
      <c r="K1386" s="8">
        <f t="shared" si="5949"/>
        <v>1</v>
      </c>
      <c r="L1386" s="8">
        <f t="shared" si="5950"/>
        <v>0</v>
      </c>
      <c r="M1386" s="8">
        <f t="shared" si="5951"/>
        <v>0</v>
      </c>
      <c r="N1386" s="8">
        <f t="shared" si="5952"/>
        <v>0</v>
      </c>
      <c r="O1386" s="8">
        <f t="shared" si="5953"/>
        <v>0</v>
      </c>
      <c r="P1386" s="8" t="e">
        <v>#NUM!</v>
      </c>
      <c r="Q1386" s="8" t="e">
        <f t="shared" ref="Q1386" si="5982">IF(COUNTIF(P1379:P1389,"&lt;"&amp;-0.001)=0,IF(ABS(P1386)&lt;0.001,0,P1386)," ")</f>
        <v>#NUM!</v>
      </c>
      <c r="R1386" s="8"/>
      <c r="S1386" s="8"/>
      <c r="U1386" s="34"/>
      <c r="V1386" s="34"/>
      <c r="W1386" s="34"/>
      <c r="X1386" s="34"/>
      <c r="Y1386" s="34"/>
      <c r="Z1386" s="34"/>
      <c r="AA1386" s="34"/>
      <c r="AB1386" s="34"/>
      <c r="AC1386" s="34"/>
      <c r="AD1386" s="34"/>
      <c r="AE1386" s="34"/>
      <c r="AF1386" s="34"/>
      <c r="AG1386" s="34"/>
      <c r="AH1386" s="34"/>
      <c r="AI1386" s="34"/>
      <c r="AJ1386" s="34"/>
      <c r="AK1386" s="34"/>
      <c r="AL1386" s="34"/>
      <c r="AM1386" s="34"/>
      <c r="AN1386" s="34"/>
      <c r="AO1386" s="34"/>
      <c r="AP1386" s="34"/>
      <c r="AQ1386" s="34"/>
      <c r="AR1386" s="34"/>
      <c r="AS1386" s="34"/>
      <c r="AT1386" s="34"/>
      <c r="AU1386" s="34"/>
      <c r="AV1386" s="34"/>
      <c r="AW1386" s="34"/>
      <c r="AX1386" s="34"/>
      <c r="AY1386" s="34"/>
      <c r="AZ1386" s="34"/>
      <c r="BA1386" s="34"/>
      <c r="BB1386" s="34"/>
      <c r="BC1386" s="34"/>
      <c r="BD1386" s="34"/>
      <c r="BE1386" s="34"/>
      <c r="BF1386" s="34"/>
      <c r="BG1386" s="34"/>
      <c r="BH1386" s="34"/>
      <c r="BI1386" s="34"/>
      <c r="BJ1386" s="34"/>
      <c r="BK1386" s="34"/>
      <c r="BL1386" s="34"/>
      <c r="BM1386" s="34"/>
      <c r="BN1386" s="34"/>
      <c r="BO1386" s="34"/>
      <c r="BP1386" s="34"/>
      <c r="BQ1386" s="34"/>
      <c r="BR1386" s="34"/>
      <c r="BS1386" s="34"/>
      <c r="BT1386" s="34"/>
      <c r="BU1386" s="34"/>
      <c r="BV1386" s="34"/>
      <c r="BW1386" s="34"/>
      <c r="BX1386" s="34"/>
      <c r="BY1386" s="34"/>
      <c r="BZ1386" s="34"/>
      <c r="CA1386" s="34"/>
      <c r="CB1386" s="34"/>
      <c r="CC1386" s="34"/>
      <c r="CD1386" s="34"/>
      <c r="CE1386" s="34"/>
      <c r="CF1386" s="34"/>
      <c r="CG1386" s="34"/>
      <c r="CH1386" s="34"/>
      <c r="CI1386" s="8"/>
    </row>
    <row r="1387" spans="1:87" x14ac:dyDescent="0.2">
      <c r="A1387" s="8" t="str">
        <f>IF(AND(COUNTIF(W$3:W$13,A$23)&gt;0,A$23&lt;&gt;B1308),A$23,IFERROR(IF(MATCH(A$23,Z$3:Z$13,0)=4,A$23," ")," "))</f>
        <v xml:space="preserve"> </v>
      </c>
      <c r="B1387" s="8" t="str">
        <f>IF(A1387=" "," ",MAX(B1379:B1386)+1)</f>
        <v xml:space="preserve"> </v>
      </c>
      <c r="C1387" s="8" t="str">
        <f>IFERROR(INDEX(A1379:A1400,MATCH(SMALL(B1379:B1400,9),B1379:B1400,0),1)," ")</f>
        <v>C20</v>
      </c>
      <c r="D1387" s="8">
        <f t="shared" si="5942"/>
        <v>0</v>
      </c>
      <c r="E1387" s="8">
        <f t="shared" si="5943"/>
        <v>0</v>
      </c>
      <c r="F1387" s="8">
        <f t="shared" si="5944"/>
        <v>0</v>
      </c>
      <c r="G1387" s="8">
        <f t="shared" si="5945"/>
        <v>0</v>
      </c>
      <c r="H1387" s="8">
        <f t="shared" si="5946"/>
        <v>0</v>
      </c>
      <c r="I1387" s="8">
        <f t="shared" si="5947"/>
        <v>0</v>
      </c>
      <c r="J1387" s="8">
        <f t="shared" si="5948"/>
        <v>0</v>
      </c>
      <c r="K1387" s="8">
        <f t="shared" si="5949"/>
        <v>0</v>
      </c>
      <c r="L1387" s="8">
        <f t="shared" si="5950"/>
        <v>1</v>
      </c>
      <c r="M1387" s="8">
        <f t="shared" si="5951"/>
        <v>0</v>
      </c>
      <c r="N1387" s="8">
        <f t="shared" si="5952"/>
        <v>0</v>
      </c>
      <c r="O1387" s="8">
        <f t="shared" si="5953"/>
        <v>0</v>
      </c>
      <c r="P1387" s="6" t="e">
        <v>#NUM!</v>
      </c>
      <c r="Q1387" s="8" t="e">
        <f t="shared" ref="Q1387" si="5983">IF(COUNTIF(P1379:P1389,"&lt;"&amp;-0.001)=0,IF(ABS(P1387)&lt;0.001,0,P1387)," ")</f>
        <v>#NUM!</v>
      </c>
      <c r="R1387" s="8"/>
      <c r="S1387" s="8"/>
      <c r="U1387" s="34"/>
      <c r="V1387" s="34"/>
      <c r="W1387" s="34"/>
      <c r="X1387" s="34"/>
      <c r="Y1387" s="34"/>
      <c r="Z1387" s="34"/>
      <c r="AA1387" s="34"/>
      <c r="AB1387" s="34"/>
      <c r="AC1387" s="34"/>
      <c r="AD1387" s="34"/>
      <c r="AE1387" s="34"/>
      <c r="AF1387" s="34"/>
      <c r="AG1387" s="34"/>
      <c r="AH1387" s="34"/>
      <c r="AI1387" s="34"/>
      <c r="AJ1387" s="34"/>
      <c r="AK1387" s="34"/>
      <c r="AL1387" s="34"/>
      <c r="AM1387" s="34"/>
      <c r="AN1387" s="34"/>
      <c r="AO1387" s="34"/>
      <c r="AP1387" s="34"/>
      <c r="AQ1387" s="34"/>
      <c r="AR1387" s="34"/>
      <c r="AS1387" s="34"/>
      <c r="AT1387" s="34"/>
      <c r="AU1387" s="34"/>
      <c r="AV1387" s="34"/>
      <c r="AW1387" s="34"/>
      <c r="AX1387" s="34"/>
      <c r="AY1387" s="34"/>
      <c r="AZ1387" s="34"/>
      <c r="BA1387" s="34"/>
      <c r="BB1387" s="34"/>
      <c r="BC1387" s="34"/>
      <c r="BD1387" s="34"/>
      <c r="BE1387" s="34"/>
      <c r="BF1387" s="34"/>
      <c r="BG1387" s="34"/>
      <c r="BH1387" s="34"/>
      <c r="BI1387" s="34"/>
      <c r="BJ1387" s="34"/>
      <c r="BK1387" s="34"/>
      <c r="BL1387" s="34"/>
      <c r="BM1387" s="34"/>
      <c r="BN1387" s="34"/>
      <c r="BO1387" s="34"/>
      <c r="BP1387" s="34"/>
      <c r="BQ1387" s="34"/>
      <c r="BR1387" s="34"/>
      <c r="BS1387" s="34"/>
      <c r="BT1387" s="34"/>
      <c r="BU1387" s="34"/>
      <c r="BV1387" s="34"/>
      <c r="BW1387" s="34"/>
      <c r="BX1387" s="34"/>
      <c r="BY1387" s="34"/>
      <c r="BZ1387" s="34"/>
      <c r="CA1387" s="34"/>
      <c r="CB1387" s="34"/>
      <c r="CC1387" s="34"/>
      <c r="CD1387" s="34"/>
      <c r="CE1387" s="34"/>
      <c r="CF1387" s="34"/>
      <c r="CG1387" s="34"/>
      <c r="CH1387" s="34"/>
      <c r="CI1387" s="8"/>
    </row>
    <row r="1388" spans="1:87" x14ac:dyDescent="0.2">
      <c r="A1388" s="8" t="str">
        <f>IF(AND(COUNTIF(W$3:W$13,A$24)&gt;0,A$24&lt;&gt;B1308),A$24,IFERROR(IF(MATCH(A$24,Z$3:Z$13,0)=4,A$24," ")," "))</f>
        <v xml:space="preserve"> </v>
      </c>
      <c r="B1388" s="8" t="str">
        <f>IF(A1388=" "," ",MAX(B1379:B1387)+1)</f>
        <v xml:space="preserve"> </v>
      </c>
      <c r="C1388" s="8" t="str">
        <f>IFERROR(INDEX(A1379:A1400,MATCH(SMALL(B1379:B1400,10),B1379:B1400,0),1)," ")</f>
        <v>C21</v>
      </c>
      <c r="D1388" s="8">
        <f t="shared" si="5942"/>
        <v>0</v>
      </c>
      <c r="E1388" s="8">
        <f t="shared" si="5943"/>
        <v>0</v>
      </c>
      <c r="F1388" s="8">
        <f t="shared" si="5944"/>
        <v>0</v>
      </c>
      <c r="G1388" s="8">
        <f t="shared" si="5945"/>
        <v>0</v>
      </c>
      <c r="H1388" s="8">
        <f t="shared" si="5946"/>
        <v>0</v>
      </c>
      <c r="I1388" s="8">
        <f t="shared" si="5947"/>
        <v>0</v>
      </c>
      <c r="J1388" s="8">
        <f t="shared" si="5948"/>
        <v>0</v>
      </c>
      <c r="K1388" s="8">
        <f t="shared" si="5949"/>
        <v>0</v>
      </c>
      <c r="L1388" s="8">
        <f t="shared" si="5950"/>
        <v>0</v>
      </c>
      <c r="M1388" s="8">
        <f t="shared" si="5951"/>
        <v>1</v>
      </c>
      <c r="N1388" s="8">
        <f t="shared" si="5952"/>
        <v>0</v>
      </c>
      <c r="O1388" s="8">
        <f t="shared" si="5953"/>
        <v>0</v>
      </c>
      <c r="P1388" s="8" t="e">
        <v>#NUM!</v>
      </c>
      <c r="Q1388" s="8" t="e">
        <f t="shared" ref="Q1388" si="5984">IF(COUNTIF(P1379:P1389,"&lt;"&amp;-0.001)=0,IF(ABS(P1388)&lt;0.001,0,P1388)," ")</f>
        <v>#NUM!</v>
      </c>
      <c r="R1388" s="8"/>
      <c r="S1388" s="8"/>
      <c r="U1388" s="34"/>
      <c r="V1388" s="34"/>
      <c r="W1388" s="34"/>
      <c r="X1388" s="34"/>
      <c r="Y1388" s="34"/>
      <c r="Z1388" s="34"/>
      <c r="AA1388" s="34"/>
      <c r="AB1388" s="34"/>
      <c r="AC1388" s="34"/>
      <c r="AD1388" s="34"/>
      <c r="AE1388" s="34"/>
      <c r="AF1388" s="34"/>
      <c r="AG1388" s="34"/>
      <c r="AH1388" s="34"/>
      <c r="AI1388" s="34"/>
      <c r="AJ1388" s="34"/>
      <c r="AK1388" s="34"/>
      <c r="AL1388" s="34"/>
      <c r="AM1388" s="34"/>
      <c r="AN1388" s="34"/>
      <c r="AO1388" s="34"/>
      <c r="AP1388" s="34"/>
      <c r="AQ1388" s="34"/>
      <c r="AR1388" s="34"/>
      <c r="AS1388" s="34"/>
      <c r="AT1388" s="34"/>
      <c r="AU1388" s="34"/>
      <c r="AV1388" s="34"/>
      <c r="AW1388" s="34"/>
      <c r="AX1388" s="34"/>
      <c r="AY1388" s="34"/>
      <c r="AZ1388" s="34"/>
      <c r="BA1388" s="34"/>
      <c r="BB1388" s="34"/>
      <c r="BC1388" s="34"/>
      <c r="BD1388" s="34"/>
      <c r="BE1388" s="34"/>
      <c r="BF1388" s="34"/>
      <c r="BG1388" s="34"/>
      <c r="BH1388" s="34"/>
      <c r="BI1388" s="34"/>
      <c r="BJ1388" s="34"/>
      <c r="BK1388" s="34"/>
      <c r="BL1388" s="34"/>
      <c r="BM1388" s="34"/>
      <c r="BN1388" s="34"/>
      <c r="BO1388" s="34"/>
      <c r="BP1388" s="34"/>
      <c r="BQ1388" s="34"/>
      <c r="BR1388" s="34"/>
      <c r="BS1388" s="34"/>
      <c r="BT1388" s="34"/>
      <c r="BU1388" s="34"/>
      <c r="BV1388" s="34"/>
      <c r="BW1388" s="34"/>
      <c r="BX1388" s="34"/>
      <c r="BY1388" s="34"/>
      <c r="BZ1388" s="34"/>
      <c r="CA1388" s="34"/>
      <c r="CB1388" s="34"/>
      <c r="CC1388" s="34"/>
      <c r="CD1388" s="34"/>
      <c r="CE1388" s="34"/>
      <c r="CF1388" s="34"/>
      <c r="CG1388" s="34"/>
      <c r="CH1388" s="34"/>
      <c r="CI1388" s="8"/>
    </row>
    <row r="1389" spans="1:87" x14ac:dyDescent="0.2">
      <c r="A1389" s="8" t="str">
        <f>IF(AND(COUNTIF(W$3:W$13,A$25)&gt;0,A$25&lt;&gt;B1308),A$25,IFERROR(IF(MATCH(A$25,Z$3:Z$13,0)=4,A$25," ")," "))</f>
        <v xml:space="preserve"> </v>
      </c>
      <c r="B1389" s="8" t="str">
        <f>IF(A1389=" "," ",MAX(B1379:B1388)+1)</f>
        <v xml:space="preserve"> </v>
      </c>
      <c r="C1389" s="8" t="str">
        <f>IFERROR(INDEX(A1379:A1400,MATCH(SMALL(B1379:B1400,11),B1379:B1400,0),1)," ")</f>
        <v>C22</v>
      </c>
      <c r="D1389" s="8">
        <f t="shared" si="5942"/>
        <v>0</v>
      </c>
      <c r="E1389" s="8">
        <f t="shared" si="5943"/>
        <v>0</v>
      </c>
      <c r="F1389" s="8">
        <f t="shared" si="5944"/>
        <v>0</v>
      </c>
      <c r="G1389" s="8">
        <f t="shared" si="5945"/>
        <v>0</v>
      </c>
      <c r="H1389" s="8">
        <f t="shared" si="5946"/>
        <v>0</v>
      </c>
      <c r="I1389" s="8">
        <f t="shared" si="5947"/>
        <v>0</v>
      </c>
      <c r="J1389" s="8">
        <f t="shared" si="5948"/>
        <v>0</v>
      </c>
      <c r="K1389" s="8">
        <f t="shared" si="5949"/>
        <v>0</v>
      </c>
      <c r="L1389" s="8">
        <f t="shared" si="5950"/>
        <v>0</v>
      </c>
      <c r="M1389" s="8">
        <f t="shared" si="5951"/>
        <v>0</v>
      </c>
      <c r="N1389" s="8">
        <f t="shared" si="5952"/>
        <v>1</v>
      </c>
      <c r="O1389" s="8">
        <f t="shared" si="5953"/>
        <v>0</v>
      </c>
      <c r="P1389" s="8" t="e">
        <v>#NUM!</v>
      </c>
      <c r="Q1389" s="8" t="e">
        <f t="shared" ref="Q1389" si="5985">IF(COUNTIF(P1379:P1389,"&lt;"&amp;-0.001)=0,IF(ABS(P1389)&lt;0.001,0,P1389)," ")</f>
        <v>#NUM!</v>
      </c>
      <c r="R1389" s="8"/>
      <c r="S1389" s="8"/>
      <c r="U1389" s="34"/>
      <c r="V1389" s="34"/>
      <c r="W1389" s="34"/>
      <c r="X1389" s="34"/>
      <c r="Y1389" s="34"/>
      <c r="Z1389" s="34"/>
      <c r="AA1389" s="34"/>
      <c r="AB1389" s="34"/>
      <c r="AC1389" s="34"/>
      <c r="AD1389" s="34"/>
      <c r="AE1389" s="34"/>
      <c r="AF1389" s="34"/>
      <c r="AG1389" s="34"/>
      <c r="AH1389" s="34"/>
      <c r="AI1389" s="34"/>
      <c r="AJ1389" s="34"/>
      <c r="AK1389" s="34"/>
      <c r="AL1389" s="34"/>
      <c r="AM1389" s="34"/>
      <c r="AN1389" s="34"/>
      <c r="AO1389" s="34"/>
      <c r="AP1389" s="34"/>
      <c r="AQ1389" s="34"/>
      <c r="AR1389" s="34"/>
      <c r="AS1389" s="34"/>
      <c r="AT1389" s="34"/>
      <c r="AU1389" s="34"/>
      <c r="AV1389" s="34"/>
      <c r="AW1389" s="34"/>
      <c r="AX1389" s="34"/>
      <c r="AY1389" s="34"/>
      <c r="AZ1389" s="34"/>
      <c r="BA1389" s="34"/>
      <c r="BB1389" s="34"/>
      <c r="BC1389" s="34"/>
      <c r="BD1389" s="34"/>
      <c r="BE1389" s="34"/>
      <c r="BF1389" s="34"/>
      <c r="BG1389" s="34"/>
      <c r="BH1389" s="34"/>
      <c r="BI1389" s="34"/>
      <c r="BJ1389" s="34"/>
      <c r="BK1389" s="34"/>
      <c r="BL1389" s="34"/>
      <c r="BM1389" s="34"/>
      <c r="BN1389" s="34"/>
      <c r="BO1389" s="34"/>
      <c r="BP1389" s="34"/>
      <c r="BQ1389" s="34"/>
      <c r="BR1389" s="34"/>
      <c r="BS1389" s="34"/>
      <c r="BT1389" s="34"/>
      <c r="BU1389" s="34"/>
      <c r="BV1389" s="34"/>
      <c r="BW1389" s="34"/>
      <c r="BX1389" s="34"/>
      <c r="BY1389" s="34"/>
      <c r="BZ1389" s="34"/>
      <c r="CA1389" s="34"/>
      <c r="CB1389" s="34"/>
      <c r="CC1389" s="34"/>
      <c r="CD1389" s="34"/>
      <c r="CE1389" s="34"/>
      <c r="CF1389" s="34"/>
      <c r="CG1389" s="34"/>
      <c r="CH1389" s="34"/>
      <c r="CI1389" s="8"/>
    </row>
    <row r="1390" spans="1:87" x14ac:dyDescent="0.2">
      <c r="A1390" s="8" t="str">
        <f>IF(AND(COUNTIF(W$3:W$13,A$26)&gt;0,A$26&lt;&gt;B1308),A$26,IFERROR(IF(MATCH(A$26,Z$3:Z$13,0)=4,A$26," ")," "))</f>
        <v xml:space="preserve"> </v>
      </c>
      <c r="B1390" s="8" t="str">
        <f>IF(A1390=" "," ",MAX(B1379:B1389)+1)</f>
        <v xml:space="preserve"> </v>
      </c>
      <c r="C1390" s="8"/>
      <c r="D1390" s="8"/>
      <c r="E1390" s="8"/>
      <c r="F1390" s="8"/>
      <c r="G1390" s="8"/>
      <c r="H1390" s="8"/>
      <c r="I1390" s="8"/>
      <c r="J1390" s="8"/>
      <c r="K1390" s="8"/>
      <c r="L1390" s="8"/>
      <c r="M1390" s="8"/>
      <c r="N1390" s="8"/>
      <c r="O1390" s="8"/>
      <c r="P1390" s="8"/>
      <c r="Q1390" s="8"/>
      <c r="R1390" s="8"/>
      <c r="S1390" s="8"/>
      <c r="U1390" s="34"/>
      <c r="V1390" s="34"/>
      <c r="W1390" s="34"/>
      <c r="X1390" s="34"/>
      <c r="Y1390" s="34"/>
      <c r="Z1390" s="34"/>
      <c r="AA1390" s="34"/>
      <c r="AB1390" s="34"/>
      <c r="AC1390" s="34"/>
      <c r="AD1390" s="34"/>
      <c r="AE1390" s="34"/>
      <c r="AF1390" s="34"/>
      <c r="AG1390" s="34"/>
      <c r="AH1390" s="34"/>
      <c r="AI1390" s="34"/>
      <c r="AJ1390" s="34"/>
      <c r="AK1390" s="34"/>
      <c r="AL1390" s="34"/>
      <c r="AM1390" s="34"/>
      <c r="AN1390" s="34"/>
      <c r="AO1390" s="34"/>
      <c r="AP1390" s="34"/>
      <c r="AQ1390" s="34"/>
      <c r="AR1390" s="34"/>
      <c r="AS1390" s="34"/>
      <c r="AT1390" s="34"/>
      <c r="AU1390" s="34"/>
      <c r="AV1390" s="34"/>
      <c r="AW1390" s="34"/>
      <c r="AX1390" s="34"/>
      <c r="AY1390" s="34"/>
      <c r="AZ1390" s="34"/>
      <c r="BA1390" s="34"/>
      <c r="BB1390" s="34"/>
      <c r="BC1390" s="34"/>
      <c r="BD1390" s="34"/>
      <c r="BE1390" s="34"/>
      <c r="BF1390" s="34"/>
      <c r="BG1390" s="34"/>
      <c r="BH1390" s="34"/>
      <c r="BI1390" s="34"/>
      <c r="BJ1390" s="34"/>
      <c r="BK1390" s="34"/>
      <c r="BL1390" s="34"/>
      <c r="BM1390" s="34"/>
      <c r="BN1390" s="34"/>
      <c r="BO1390" s="34"/>
      <c r="BP1390" s="34"/>
      <c r="BQ1390" s="34"/>
      <c r="BR1390" s="34"/>
      <c r="BS1390" s="34"/>
      <c r="BT1390" s="34"/>
      <c r="BU1390" s="34"/>
      <c r="BV1390" s="34"/>
      <c r="BW1390" s="34"/>
      <c r="BX1390" s="34"/>
      <c r="BY1390" s="34"/>
      <c r="BZ1390" s="34"/>
      <c r="CA1390" s="34"/>
      <c r="CB1390" s="34"/>
      <c r="CC1390" s="34"/>
      <c r="CD1390" s="34"/>
      <c r="CE1390" s="34"/>
      <c r="CF1390" s="34"/>
      <c r="CG1390" s="34"/>
      <c r="CH1390" s="34"/>
      <c r="CI1390" s="8"/>
    </row>
    <row r="1391" spans="1:87" x14ac:dyDescent="0.2">
      <c r="A1391" s="8" t="str">
        <f>IF(AND(COUNTIF(W$3:W$13,A$27)&gt;0,A$27&lt;&gt;B1308),A$27,IFERROR(IF(MATCH(A$27,Z$3:Z$13,0)=4,A$27," ")," "))</f>
        <v>C13</v>
      </c>
      <c r="B1391" s="8">
        <f>IF(A1391=" "," ",MAX(B1379:B1390)+1)</f>
        <v>4</v>
      </c>
      <c r="C1391" s="8"/>
      <c r="D1391" s="8"/>
      <c r="E1391" s="8"/>
      <c r="F1391" s="8"/>
      <c r="G1391" s="8"/>
      <c r="H1391" s="8"/>
      <c r="I1391" s="8"/>
      <c r="J1391" s="8"/>
      <c r="K1391" s="8"/>
      <c r="L1391" s="8"/>
      <c r="M1391" s="8"/>
      <c r="N1391" s="8"/>
      <c r="O1391" s="8"/>
      <c r="P1391" s="8"/>
      <c r="Q1391" s="8"/>
      <c r="R1391" s="8"/>
      <c r="S1391" s="8"/>
      <c r="U1391" s="34"/>
      <c r="V1391" s="34"/>
      <c r="W1391" s="34"/>
      <c r="X1391" s="34"/>
      <c r="Y1391" s="34"/>
      <c r="Z1391" s="34"/>
      <c r="AA1391" s="34"/>
      <c r="AB1391" s="34"/>
      <c r="AC1391" s="34"/>
      <c r="AD1391" s="34"/>
      <c r="AE1391" s="34"/>
      <c r="AF1391" s="34"/>
      <c r="AG1391" s="34"/>
      <c r="AH1391" s="34"/>
      <c r="AI1391" s="34"/>
      <c r="AJ1391" s="34"/>
      <c r="AK1391" s="34"/>
      <c r="AL1391" s="34"/>
      <c r="AM1391" s="34"/>
      <c r="AN1391" s="34"/>
      <c r="AO1391" s="34"/>
      <c r="AP1391" s="34"/>
      <c r="AQ1391" s="34"/>
      <c r="AR1391" s="34"/>
      <c r="AS1391" s="34"/>
      <c r="AT1391" s="34"/>
      <c r="AU1391" s="34"/>
      <c r="AV1391" s="34"/>
      <c r="AW1391" s="34"/>
      <c r="AX1391" s="34"/>
      <c r="AY1391" s="34"/>
      <c r="AZ1391" s="34"/>
      <c r="BA1391" s="34"/>
      <c r="BB1391" s="34"/>
      <c r="BC1391" s="34"/>
      <c r="BD1391" s="34"/>
      <c r="BE1391" s="34"/>
      <c r="BF1391" s="34"/>
      <c r="BG1391" s="34"/>
      <c r="BH1391" s="34"/>
      <c r="BI1391" s="34"/>
      <c r="BJ1391" s="34"/>
      <c r="BK1391" s="34"/>
      <c r="BL1391" s="34"/>
      <c r="BM1391" s="34"/>
      <c r="BN1391" s="34"/>
      <c r="BO1391" s="34"/>
      <c r="BP1391" s="34"/>
      <c r="BQ1391" s="34"/>
      <c r="BR1391" s="34"/>
      <c r="BS1391" s="34"/>
      <c r="BT1391" s="34"/>
      <c r="BU1391" s="34"/>
      <c r="BV1391" s="34"/>
      <c r="BW1391" s="34"/>
      <c r="BX1391" s="34"/>
      <c r="BY1391" s="34"/>
      <c r="BZ1391" s="34"/>
      <c r="CA1391" s="34"/>
      <c r="CB1391" s="34"/>
      <c r="CC1391" s="34"/>
      <c r="CD1391" s="34"/>
      <c r="CE1391" s="34"/>
      <c r="CF1391" s="34"/>
      <c r="CG1391" s="34"/>
      <c r="CH1391" s="34"/>
      <c r="CI1391" s="8"/>
    </row>
    <row r="1392" spans="1:87" x14ac:dyDescent="0.2">
      <c r="A1392" s="8" t="str">
        <f>IF(AND(COUNTIF(W$3:W$13,A$28)&gt;0,A$28&lt;&gt;B1308),A$28,IFERROR(IF(MATCH(A$28,Z$3:Z$13,0)=4,A$28," ")," "))</f>
        <v xml:space="preserve"> </v>
      </c>
      <c r="B1392" s="8" t="str">
        <f>IF(A1392=" "," ",MAX(B1379:B1391)+1)</f>
        <v xml:space="preserve"> </v>
      </c>
      <c r="C1392" s="8"/>
      <c r="D1392" s="8"/>
      <c r="E1392" s="8"/>
      <c r="F1392" s="8"/>
      <c r="G1392" s="8"/>
      <c r="H1392" s="8"/>
      <c r="I1392" s="8"/>
      <c r="J1392" s="8"/>
      <c r="K1392" s="8"/>
      <c r="L1392" s="8"/>
      <c r="M1392" s="8"/>
      <c r="N1392" s="8"/>
      <c r="O1392" s="8"/>
      <c r="P1392" s="8"/>
      <c r="Q1392" s="8"/>
      <c r="R1392" s="8"/>
      <c r="S1392" s="8"/>
      <c r="U1392" s="34"/>
      <c r="V1392" s="34"/>
      <c r="W1392" s="34"/>
      <c r="X1392" s="34"/>
      <c r="Y1392" s="34"/>
      <c r="Z1392" s="34"/>
      <c r="AA1392" s="34"/>
      <c r="AB1392" s="34"/>
      <c r="AC1392" s="34"/>
      <c r="AD1392" s="34"/>
      <c r="AE1392" s="34"/>
      <c r="AF1392" s="34"/>
      <c r="AG1392" s="34"/>
      <c r="AH1392" s="34"/>
      <c r="AI1392" s="34"/>
      <c r="AJ1392" s="34"/>
      <c r="AK1392" s="34"/>
      <c r="AL1392" s="34"/>
      <c r="AM1392" s="34"/>
      <c r="AN1392" s="34"/>
      <c r="AO1392" s="34"/>
      <c r="AP1392" s="34"/>
      <c r="AQ1392" s="34"/>
      <c r="AR1392" s="34"/>
      <c r="AS1392" s="34"/>
      <c r="AT1392" s="34"/>
      <c r="AU1392" s="34"/>
      <c r="AV1392" s="34"/>
      <c r="AW1392" s="34"/>
      <c r="AX1392" s="34"/>
      <c r="AY1392" s="34"/>
      <c r="AZ1392" s="34"/>
      <c r="BA1392" s="34"/>
      <c r="BB1392" s="34"/>
      <c r="BC1392" s="34"/>
      <c r="BD1392" s="34"/>
      <c r="BE1392" s="34"/>
      <c r="BF1392" s="34"/>
      <c r="BG1392" s="34"/>
      <c r="BH1392" s="34"/>
      <c r="BI1392" s="34"/>
      <c r="BJ1392" s="34"/>
      <c r="BK1392" s="34"/>
      <c r="BL1392" s="34"/>
      <c r="BM1392" s="34"/>
      <c r="BN1392" s="34"/>
      <c r="BO1392" s="34"/>
      <c r="BP1392" s="34"/>
      <c r="BQ1392" s="34"/>
      <c r="BR1392" s="34"/>
      <c r="BS1392" s="34"/>
      <c r="BT1392" s="34"/>
      <c r="BU1392" s="34"/>
      <c r="BV1392" s="34"/>
      <c r="BW1392" s="34"/>
      <c r="BX1392" s="34"/>
      <c r="BY1392" s="34"/>
      <c r="BZ1392" s="34"/>
      <c r="CA1392" s="34"/>
      <c r="CB1392" s="34"/>
      <c r="CC1392" s="34"/>
      <c r="CD1392" s="34"/>
      <c r="CE1392" s="34"/>
      <c r="CF1392" s="34"/>
      <c r="CG1392" s="34"/>
      <c r="CH1392" s="34"/>
      <c r="CI1392" s="8"/>
    </row>
    <row r="1393" spans="1:87" x14ac:dyDescent="0.2">
      <c r="A1393" s="8" t="str">
        <f>IF(AND(COUNTIF(W$3:W$13,A$29)&gt;0,A$29&lt;&gt;B1308),A$29,IFERROR(IF(MATCH(A$29,Z$3:Z$13,0)=4,A$29," ")," "))</f>
        <v>C15</v>
      </c>
      <c r="B1393" s="8">
        <f>IF(A1393=" "," ",MAX(B1379:B1392)+1)</f>
        <v>5</v>
      </c>
      <c r="C1393" s="8"/>
      <c r="D1393" s="8"/>
      <c r="E1393" s="8"/>
      <c r="F1393" s="8"/>
      <c r="G1393" s="8"/>
      <c r="H1393" s="8"/>
      <c r="I1393" s="8"/>
      <c r="J1393" s="8"/>
      <c r="K1393" s="8"/>
      <c r="L1393" s="8"/>
      <c r="M1393" s="8"/>
      <c r="N1393" s="8"/>
      <c r="O1393" s="8"/>
      <c r="P1393" s="8"/>
      <c r="Q1393" s="8"/>
      <c r="R1393" s="8"/>
      <c r="S1393" s="8"/>
      <c r="U1393" s="34"/>
      <c r="V1393" s="34"/>
      <c r="W1393" s="34"/>
      <c r="X1393" s="34"/>
      <c r="Y1393" s="34"/>
      <c r="Z1393" s="34"/>
      <c r="AA1393" s="34"/>
      <c r="AB1393" s="34"/>
      <c r="AC1393" s="34"/>
      <c r="AD1393" s="34"/>
      <c r="AE1393" s="34"/>
      <c r="AF1393" s="34"/>
      <c r="AG1393" s="34"/>
      <c r="AH1393" s="34"/>
      <c r="AI1393" s="34"/>
      <c r="AJ1393" s="34"/>
      <c r="AK1393" s="34"/>
      <c r="AL1393" s="34"/>
      <c r="AM1393" s="34"/>
      <c r="AN1393" s="34"/>
      <c r="AO1393" s="34"/>
      <c r="AP1393" s="34"/>
      <c r="AQ1393" s="34"/>
      <c r="AR1393" s="34"/>
      <c r="AS1393" s="34"/>
      <c r="AT1393" s="34"/>
      <c r="AU1393" s="34"/>
      <c r="AV1393" s="34"/>
      <c r="AW1393" s="34"/>
      <c r="AX1393" s="34"/>
      <c r="AY1393" s="34"/>
      <c r="AZ1393" s="34"/>
      <c r="BA1393" s="34"/>
      <c r="BB1393" s="34"/>
      <c r="BC1393" s="34"/>
      <c r="BD1393" s="34"/>
      <c r="BE1393" s="34"/>
      <c r="BF1393" s="34"/>
      <c r="BG1393" s="34"/>
      <c r="BH1393" s="34"/>
      <c r="BI1393" s="34"/>
      <c r="BJ1393" s="34"/>
      <c r="BK1393" s="34"/>
      <c r="BL1393" s="34"/>
      <c r="BM1393" s="34"/>
      <c r="BN1393" s="34"/>
      <c r="BO1393" s="34"/>
      <c r="BP1393" s="34"/>
      <c r="BQ1393" s="34"/>
      <c r="BR1393" s="34"/>
      <c r="BS1393" s="34"/>
      <c r="BT1393" s="34"/>
      <c r="BU1393" s="34"/>
      <c r="BV1393" s="34"/>
      <c r="BW1393" s="34"/>
      <c r="BX1393" s="34"/>
      <c r="BY1393" s="34"/>
      <c r="BZ1393" s="34"/>
      <c r="CA1393" s="34"/>
      <c r="CB1393" s="34"/>
      <c r="CC1393" s="34"/>
      <c r="CD1393" s="34"/>
      <c r="CE1393" s="34"/>
      <c r="CF1393" s="34"/>
      <c r="CG1393" s="34"/>
      <c r="CH1393" s="34"/>
      <c r="CI1393" s="8"/>
    </row>
    <row r="1394" spans="1:87" x14ac:dyDescent="0.2">
      <c r="A1394" s="8" t="str">
        <f>IF(AND(COUNTIF(W$3:W$13,A$30)&gt;0,A$30&lt;&gt;B1308),A$30,IFERROR(IF(MATCH(A$30,Z$3:Z$13,0)=4,A$30," ")," "))</f>
        <v>C16</v>
      </c>
      <c r="B1394" s="8">
        <f>IF(A1394=" "," ",MAX(B1379:B1393)+1)</f>
        <v>6</v>
      </c>
      <c r="C1394" s="8"/>
      <c r="D1394" s="8"/>
      <c r="E1394" s="8"/>
      <c r="F1394" s="8"/>
      <c r="G1394" s="8"/>
      <c r="H1394" s="8"/>
      <c r="I1394" s="8"/>
      <c r="J1394" s="8"/>
      <c r="K1394" s="8"/>
      <c r="L1394" s="8"/>
      <c r="M1394" s="8"/>
      <c r="N1394" s="8"/>
      <c r="O1394" s="8"/>
      <c r="P1394" s="8"/>
      <c r="Q1394" s="8"/>
      <c r="R1394" s="8"/>
      <c r="S1394" s="8"/>
      <c r="U1394" s="34"/>
      <c r="V1394" s="34"/>
      <c r="W1394" s="34"/>
      <c r="X1394" s="34"/>
      <c r="Y1394" s="34"/>
      <c r="Z1394" s="34"/>
      <c r="AA1394" s="34"/>
      <c r="AB1394" s="34"/>
      <c r="AC1394" s="34"/>
      <c r="AD1394" s="34"/>
      <c r="AE1394" s="34"/>
      <c r="AF1394" s="34"/>
      <c r="AG1394" s="34"/>
      <c r="AH1394" s="34"/>
      <c r="AI1394" s="34"/>
      <c r="AJ1394" s="34"/>
      <c r="AK1394" s="34"/>
      <c r="AL1394" s="34"/>
      <c r="AM1394" s="34"/>
      <c r="AN1394" s="34"/>
      <c r="AO1394" s="34"/>
      <c r="AP1394" s="34"/>
      <c r="AQ1394" s="34"/>
      <c r="AR1394" s="34"/>
      <c r="AS1394" s="34"/>
      <c r="AT1394" s="34"/>
      <c r="AU1394" s="34"/>
      <c r="AV1394" s="34"/>
      <c r="AW1394" s="34"/>
      <c r="AX1394" s="34"/>
      <c r="AY1394" s="34"/>
      <c r="AZ1394" s="34"/>
      <c r="BA1394" s="34"/>
      <c r="BB1394" s="34"/>
      <c r="BC1394" s="34"/>
      <c r="BD1394" s="34"/>
      <c r="BE1394" s="34"/>
      <c r="BF1394" s="34"/>
      <c r="BG1394" s="34"/>
      <c r="BH1394" s="34"/>
      <c r="BI1394" s="34"/>
      <c r="BJ1394" s="34"/>
      <c r="BK1394" s="34"/>
      <c r="BL1394" s="34"/>
      <c r="BM1394" s="34"/>
      <c r="BN1394" s="34"/>
      <c r="BO1394" s="34"/>
      <c r="BP1394" s="34"/>
      <c r="BQ1394" s="34"/>
      <c r="BR1394" s="34"/>
      <c r="BS1394" s="34"/>
      <c r="BT1394" s="34"/>
      <c r="BU1394" s="34"/>
      <c r="BV1394" s="34"/>
      <c r="BW1394" s="34"/>
      <c r="BX1394" s="34"/>
      <c r="BY1394" s="34"/>
      <c r="BZ1394" s="34"/>
      <c r="CA1394" s="34"/>
      <c r="CB1394" s="34"/>
      <c r="CC1394" s="34"/>
      <c r="CD1394" s="34"/>
      <c r="CE1394" s="34"/>
      <c r="CF1394" s="34"/>
      <c r="CG1394" s="34"/>
      <c r="CH1394" s="34"/>
      <c r="CI1394" s="8"/>
    </row>
    <row r="1395" spans="1:87" x14ac:dyDescent="0.2">
      <c r="A1395" s="8" t="str">
        <f>IF(AND(COUNTIF(W$3:W$13,A$31)&gt;0,A$31&lt;&gt;B1308),A$31,IFERROR(IF(MATCH(A$31,Z$3:Z$13,0)=4,A$31," ")," "))</f>
        <v xml:space="preserve"> </v>
      </c>
      <c r="B1395" s="8" t="str">
        <f>IF(A1395=" "," ",MAX(B1379:B1394)+1)</f>
        <v xml:space="preserve"> </v>
      </c>
      <c r="C1395" s="8"/>
      <c r="D1395" s="8"/>
      <c r="E1395" s="8"/>
      <c r="F1395" s="8"/>
      <c r="G1395" s="8"/>
      <c r="H1395" s="8"/>
      <c r="I1395" s="8"/>
      <c r="J1395" s="8"/>
      <c r="K1395" s="8"/>
      <c r="L1395" s="8"/>
      <c r="M1395" s="8"/>
      <c r="N1395" s="8"/>
      <c r="O1395" s="8"/>
      <c r="P1395" s="8"/>
      <c r="Q1395" s="8"/>
      <c r="R1395" s="8"/>
      <c r="S1395" s="8"/>
      <c r="U1395" s="34"/>
      <c r="V1395" s="34"/>
      <c r="W1395" s="34"/>
      <c r="X1395" s="34"/>
      <c r="Y1395" s="34"/>
      <c r="Z1395" s="34"/>
      <c r="AA1395" s="34"/>
      <c r="AB1395" s="34"/>
      <c r="AC1395" s="34"/>
      <c r="AD1395" s="34"/>
      <c r="AE1395" s="34"/>
      <c r="AF1395" s="34"/>
      <c r="AG1395" s="34"/>
      <c r="AH1395" s="34"/>
      <c r="AI1395" s="34"/>
      <c r="AJ1395" s="34"/>
      <c r="AK1395" s="34"/>
      <c r="AL1395" s="34"/>
      <c r="AM1395" s="34"/>
      <c r="AN1395" s="34"/>
      <c r="AO1395" s="34"/>
      <c r="AP1395" s="34"/>
      <c r="AQ1395" s="34"/>
      <c r="AR1395" s="34"/>
      <c r="AS1395" s="34"/>
      <c r="AT1395" s="34"/>
      <c r="AU1395" s="34"/>
      <c r="AV1395" s="34"/>
      <c r="AW1395" s="34"/>
      <c r="AX1395" s="34"/>
      <c r="AY1395" s="34"/>
      <c r="AZ1395" s="34"/>
      <c r="BA1395" s="34"/>
      <c r="BB1395" s="34"/>
      <c r="BC1395" s="34"/>
      <c r="BD1395" s="34"/>
      <c r="BE1395" s="34"/>
      <c r="BF1395" s="34"/>
      <c r="BG1395" s="34"/>
      <c r="BH1395" s="34"/>
      <c r="BI1395" s="34"/>
      <c r="BJ1395" s="34"/>
      <c r="BK1395" s="34"/>
      <c r="BL1395" s="34"/>
      <c r="BM1395" s="34"/>
      <c r="BN1395" s="34"/>
      <c r="BO1395" s="34"/>
      <c r="BP1395" s="34"/>
      <c r="BQ1395" s="34"/>
      <c r="BR1395" s="34"/>
      <c r="BS1395" s="34"/>
      <c r="BT1395" s="34"/>
      <c r="BU1395" s="34"/>
      <c r="BV1395" s="34"/>
      <c r="BW1395" s="34"/>
      <c r="BX1395" s="34"/>
      <c r="BY1395" s="34"/>
      <c r="BZ1395" s="34"/>
      <c r="CA1395" s="34"/>
      <c r="CB1395" s="34"/>
      <c r="CC1395" s="34"/>
      <c r="CD1395" s="34"/>
      <c r="CE1395" s="34"/>
      <c r="CF1395" s="34"/>
      <c r="CG1395" s="34"/>
      <c r="CH1395" s="34"/>
      <c r="CI1395" s="8"/>
    </row>
    <row r="1396" spans="1:87" x14ac:dyDescent="0.2">
      <c r="A1396" s="8" t="str">
        <f>IF(AND(COUNTIF(W$3:W$13,A$32)&gt;0,A$32&lt;&gt;B1308),A$32,IFERROR(IF(MATCH(A$32,Z$3:Z$13,0)=4,A$32," ")," "))</f>
        <v>C18</v>
      </c>
      <c r="B1396" s="8">
        <f>IF(A1396=" "," ",MAX(B1379:B1395)+1)</f>
        <v>7</v>
      </c>
      <c r="C1396" s="8"/>
      <c r="D1396" s="8"/>
      <c r="E1396" s="8"/>
      <c r="F1396" s="8"/>
      <c r="G1396" s="8"/>
      <c r="H1396" s="8"/>
      <c r="I1396" s="8"/>
      <c r="J1396" s="8"/>
      <c r="K1396" s="8"/>
      <c r="L1396" s="8"/>
      <c r="M1396" s="8"/>
      <c r="N1396" s="8"/>
      <c r="O1396" s="8"/>
      <c r="P1396" s="8"/>
      <c r="Q1396" s="8"/>
      <c r="R1396" s="8"/>
      <c r="S1396" s="8"/>
      <c r="U1396" s="34"/>
      <c r="V1396" s="34"/>
      <c r="W1396" s="34"/>
      <c r="X1396" s="34"/>
      <c r="Y1396" s="34"/>
      <c r="Z1396" s="34"/>
      <c r="AA1396" s="34"/>
      <c r="AB1396" s="34"/>
      <c r="AC1396" s="34"/>
      <c r="AD1396" s="34"/>
      <c r="AE1396" s="34"/>
      <c r="AF1396" s="34"/>
      <c r="AG1396" s="34"/>
      <c r="AH1396" s="34"/>
      <c r="AI1396" s="34"/>
      <c r="AJ1396" s="34"/>
      <c r="AK1396" s="34"/>
      <c r="AL1396" s="34"/>
      <c r="AM1396" s="34"/>
      <c r="AN1396" s="34"/>
      <c r="AO1396" s="34"/>
      <c r="AP1396" s="34"/>
      <c r="AQ1396" s="34"/>
      <c r="AR1396" s="34"/>
      <c r="AS1396" s="34"/>
      <c r="AT1396" s="34"/>
      <c r="AU1396" s="34"/>
      <c r="AV1396" s="34"/>
      <c r="AW1396" s="34"/>
      <c r="AX1396" s="34"/>
      <c r="AY1396" s="34"/>
      <c r="AZ1396" s="34"/>
      <c r="BA1396" s="34"/>
      <c r="BB1396" s="34"/>
      <c r="BC1396" s="34"/>
      <c r="BD1396" s="34"/>
      <c r="BE1396" s="34"/>
      <c r="BF1396" s="34"/>
      <c r="BG1396" s="34"/>
      <c r="BH1396" s="34"/>
      <c r="BI1396" s="34"/>
      <c r="BJ1396" s="34"/>
      <c r="BK1396" s="34"/>
      <c r="BL1396" s="34"/>
      <c r="BM1396" s="34"/>
      <c r="BN1396" s="34"/>
      <c r="BO1396" s="34"/>
      <c r="BP1396" s="34"/>
      <c r="BQ1396" s="34"/>
      <c r="BR1396" s="34"/>
      <c r="BS1396" s="34"/>
      <c r="BT1396" s="34"/>
      <c r="BU1396" s="34"/>
      <c r="BV1396" s="34"/>
      <c r="BW1396" s="34"/>
      <c r="BX1396" s="34"/>
      <c r="BY1396" s="34"/>
      <c r="BZ1396" s="34"/>
      <c r="CA1396" s="34"/>
      <c r="CB1396" s="34"/>
      <c r="CC1396" s="34"/>
      <c r="CD1396" s="34"/>
      <c r="CE1396" s="34"/>
      <c r="CF1396" s="34"/>
      <c r="CG1396" s="34"/>
      <c r="CH1396" s="34"/>
      <c r="CI1396" s="8"/>
    </row>
    <row r="1397" spans="1:87" x14ac:dyDescent="0.2">
      <c r="A1397" s="8" t="str">
        <f>IF(AND(COUNTIF(W$3:W$13,A$33)&gt;0,A$33&lt;&gt;B1308),A$33,IFERROR(IF(MATCH(A$33,Z$3:Z$13,0)=4,A$33," ")," "))</f>
        <v>C19</v>
      </c>
      <c r="B1397" s="8">
        <f>IF(A1397=" "," ",MAX(B1379:B1396)+1)</f>
        <v>8</v>
      </c>
      <c r="C1397" s="8"/>
      <c r="D1397" s="8"/>
      <c r="E1397" s="8"/>
      <c r="F1397" s="8"/>
      <c r="G1397" s="8"/>
      <c r="H1397" s="8"/>
      <c r="I1397" s="8"/>
      <c r="J1397" s="8"/>
      <c r="K1397" s="8"/>
      <c r="L1397" s="8"/>
      <c r="M1397" s="8"/>
      <c r="N1397" s="8"/>
      <c r="O1397" s="8"/>
      <c r="P1397" s="8"/>
      <c r="Q1397" s="8"/>
      <c r="R1397" s="8"/>
      <c r="S1397" s="8"/>
      <c r="U1397" s="34"/>
      <c r="V1397" s="34"/>
      <c r="W1397" s="34"/>
      <c r="X1397" s="34"/>
      <c r="Y1397" s="34"/>
      <c r="Z1397" s="34"/>
      <c r="AA1397" s="34"/>
      <c r="AB1397" s="34"/>
      <c r="AC1397" s="34"/>
      <c r="AD1397" s="34"/>
      <c r="AE1397" s="34"/>
      <c r="AF1397" s="34"/>
      <c r="AG1397" s="34"/>
      <c r="AH1397" s="34"/>
      <c r="AI1397" s="34"/>
      <c r="AJ1397" s="34"/>
      <c r="AK1397" s="34"/>
      <c r="AL1397" s="34"/>
      <c r="AM1397" s="34"/>
      <c r="AN1397" s="34"/>
      <c r="AO1397" s="34"/>
      <c r="AP1397" s="34"/>
      <c r="AQ1397" s="34"/>
      <c r="AR1397" s="34"/>
      <c r="AS1397" s="34"/>
      <c r="AT1397" s="34"/>
      <c r="AU1397" s="34"/>
      <c r="AV1397" s="34"/>
      <c r="AW1397" s="34"/>
      <c r="AX1397" s="34"/>
      <c r="AY1397" s="34"/>
      <c r="AZ1397" s="34"/>
      <c r="BA1397" s="34"/>
      <c r="BB1397" s="34"/>
      <c r="BC1397" s="34"/>
      <c r="BD1397" s="34"/>
      <c r="BE1397" s="34"/>
      <c r="BF1397" s="34"/>
      <c r="BG1397" s="34"/>
      <c r="BH1397" s="34"/>
      <c r="BI1397" s="34"/>
      <c r="BJ1397" s="34"/>
      <c r="BK1397" s="34"/>
      <c r="BL1397" s="34"/>
      <c r="BM1397" s="34"/>
      <c r="BN1397" s="34"/>
      <c r="BO1397" s="34"/>
      <c r="BP1397" s="34"/>
      <c r="BQ1397" s="34"/>
      <c r="BR1397" s="34"/>
      <c r="BS1397" s="34"/>
      <c r="BT1397" s="34"/>
      <c r="BU1397" s="34"/>
      <c r="BV1397" s="34"/>
      <c r="BW1397" s="34"/>
      <c r="BX1397" s="34"/>
      <c r="BY1397" s="34"/>
      <c r="BZ1397" s="34"/>
      <c r="CA1397" s="34"/>
      <c r="CB1397" s="34"/>
      <c r="CC1397" s="34"/>
      <c r="CD1397" s="34"/>
      <c r="CE1397" s="34"/>
      <c r="CF1397" s="34"/>
      <c r="CG1397" s="34"/>
      <c r="CH1397" s="34"/>
      <c r="CI1397" s="8"/>
    </row>
    <row r="1398" spans="1:87" x14ac:dyDescent="0.2">
      <c r="A1398" s="8" t="str">
        <f>IF(AND(COUNTIF(W$3:W$13,A$34)&gt;0,A$34&lt;&gt;B1308),A$34,IFERROR(IF(MATCH(A$34,Z$3:Z$13,0)=4,A$34," ")," "))</f>
        <v>C20</v>
      </c>
      <c r="B1398" s="8">
        <f>IF(A1398=" "," ",MAX(B1379:B1397)+1)</f>
        <v>9</v>
      </c>
      <c r="C1398" s="8"/>
      <c r="D1398" s="8"/>
      <c r="E1398" s="8"/>
      <c r="F1398" s="8"/>
      <c r="G1398" s="8"/>
      <c r="H1398" s="8"/>
      <c r="I1398" s="8"/>
      <c r="J1398" s="8"/>
      <c r="K1398" s="8"/>
      <c r="L1398" s="8"/>
      <c r="M1398" s="8"/>
      <c r="N1398" s="8"/>
      <c r="O1398" s="8"/>
      <c r="P1398" s="8"/>
      <c r="Q1398" s="8"/>
      <c r="R1398" s="8"/>
      <c r="S1398" s="8"/>
      <c r="U1398" s="34"/>
      <c r="V1398" s="34"/>
      <c r="W1398" s="34"/>
      <c r="X1398" s="34"/>
      <c r="Y1398" s="34"/>
      <c r="Z1398" s="34"/>
      <c r="AA1398" s="34"/>
      <c r="AB1398" s="34"/>
      <c r="AC1398" s="34"/>
      <c r="AD1398" s="34"/>
      <c r="AE1398" s="34"/>
      <c r="AF1398" s="34"/>
      <c r="AG1398" s="34"/>
      <c r="AH1398" s="34"/>
      <c r="AI1398" s="34"/>
      <c r="AJ1398" s="34"/>
      <c r="AK1398" s="34"/>
      <c r="AL1398" s="34"/>
      <c r="AM1398" s="34"/>
      <c r="AN1398" s="34"/>
      <c r="AO1398" s="34"/>
      <c r="AP1398" s="34"/>
      <c r="AQ1398" s="34"/>
      <c r="AR1398" s="34"/>
      <c r="AS1398" s="34"/>
      <c r="AT1398" s="34"/>
      <c r="AU1398" s="34"/>
      <c r="AV1398" s="34"/>
      <c r="AW1398" s="34"/>
      <c r="AX1398" s="34"/>
      <c r="AY1398" s="34"/>
      <c r="AZ1398" s="34"/>
      <c r="BA1398" s="34"/>
      <c r="BB1398" s="34"/>
      <c r="BC1398" s="34"/>
      <c r="BD1398" s="34"/>
      <c r="BE1398" s="34"/>
      <c r="BF1398" s="34"/>
      <c r="BG1398" s="34"/>
      <c r="BH1398" s="34"/>
      <c r="BI1398" s="34"/>
      <c r="BJ1398" s="34"/>
      <c r="BK1398" s="34"/>
      <c r="BL1398" s="34"/>
      <c r="BM1398" s="34"/>
      <c r="BN1398" s="34"/>
      <c r="BO1398" s="34"/>
      <c r="BP1398" s="34"/>
      <c r="BQ1398" s="34"/>
      <c r="BR1398" s="34"/>
      <c r="BS1398" s="34"/>
      <c r="BT1398" s="34"/>
      <c r="BU1398" s="34"/>
      <c r="BV1398" s="34"/>
      <c r="BW1398" s="34"/>
      <c r="BX1398" s="34"/>
      <c r="BY1398" s="34"/>
      <c r="BZ1398" s="34"/>
      <c r="CA1398" s="34"/>
      <c r="CB1398" s="34"/>
      <c r="CC1398" s="34"/>
      <c r="CD1398" s="34"/>
      <c r="CE1398" s="34"/>
      <c r="CF1398" s="34"/>
      <c r="CG1398" s="34"/>
      <c r="CH1398" s="34"/>
      <c r="CI1398" s="8"/>
    </row>
    <row r="1399" spans="1:87" x14ac:dyDescent="0.2">
      <c r="A1399" s="8" t="str">
        <f>IF(AND(COUNTIF(W$3:W$13,A$35)&gt;0,A$35&lt;&gt;B1308),A$35,IFERROR(IF(MATCH(A$35,Z$3:Z$13,0)=4,A$35," ")," "))</f>
        <v>C21</v>
      </c>
      <c r="B1399" s="8">
        <f>IF(A1399=" "," ",MAX(B1379:B1398)+1)</f>
        <v>10</v>
      </c>
      <c r="C1399" s="8"/>
      <c r="D1399" s="8"/>
      <c r="E1399" s="8"/>
      <c r="F1399" s="8"/>
      <c r="G1399" s="8"/>
      <c r="H1399" s="8"/>
      <c r="I1399" s="8"/>
      <c r="J1399" s="8"/>
      <c r="K1399" s="8"/>
      <c r="L1399" s="8"/>
      <c r="M1399" s="8"/>
      <c r="N1399" s="8"/>
      <c r="O1399" s="8"/>
      <c r="P1399" s="8"/>
      <c r="Q1399" s="8"/>
      <c r="R1399" s="8"/>
      <c r="S1399" s="8"/>
      <c r="U1399" s="34"/>
      <c r="V1399" s="34"/>
      <c r="W1399" s="34"/>
      <c r="X1399" s="34"/>
      <c r="Y1399" s="34"/>
      <c r="Z1399" s="34"/>
      <c r="AA1399" s="34"/>
      <c r="AB1399" s="34"/>
      <c r="AC1399" s="34"/>
      <c r="AD1399" s="34"/>
      <c r="AE1399" s="34"/>
      <c r="AF1399" s="34"/>
      <c r="AG1399" s="34"/>
      <c r="AH1399" s="34"/>
      <c r="AI1399" s="34"/>
      <c r="AJ1399" s="34"/>
      <c r="AK1399" s="34"/>
      <c r="AL1399" s="34"/>
      <c r="AM1399" s="34"/>
      <c r="AN1399" s="34"/>
      <c r="AO1399" s="34"/>
      <c r="AP1399" s="34"/>
      <c r="AQ1399" s="34"/>
      <c r="AR1399" s="34"/>
      <c r="AS1399" s="34"/>
      <c r="AT1399" s="34"/>
      <c r="AU1399" s="34"/>
      <c r="AV1399" s="34"/>
      <c r="AW1399" s="34"/>
      <c r="AX1399" s="34"/>
      <c r="AY1399" s="34"/>
      <c r="AZ1399" s="34"/>
      <c r="BA1399" s="34"/>
      <c r="BB1399" s="34"/>
      <c r="BC1399" s="34"/>
      <c r="BD1399" s="34"/>
      <c r="BE1399" s="34"/>
      <c r="BF1399" s="34"/>
      <c r="BG1399" s="34"/>
      <c r="BH1399" s="34"/>
      <c r="BI1399" s="34"/>
      <c r="BJ1399" s="34"/>
      <c r="BK1399" s="34"/>
      <c r="BL1399" s="34"/>
      <c r="BM1399" s="34"/>
      <c r="BN1399" s="34"/>
      <c r="BO1399" s="34"/>
      <c r="BP1399" s="34"/>
      <c r="BQ1399" s="34"/>
      <c r="BR1399" s="34"/>
      <c r="BS1399" s="34"/>
      <c r="BT1399" s="34"/>
      <c r="BU1399" s="34"/>
      <c r="BV1399" s="34"/>
      <c r="BW1399" s="34"/>
      <c r="BX1399" s="34"/>
      <c r="BY1399" s="34"/>
      <c r="BZ1399" s="34"/>
      <c r="CA1399" s="34"/>
      <c r="CB1399" s="34"/>
      <c r="CC1399" s="34"/>
      <c r="CD1399" s="34"/>
      <c r="CE1399" s="34"/>
      <c r="CF1399" s="34"/>
      <c r="CG1399" s="34"/>
      <c r="CH1399" s="34"/>
      <c r="CI1399" s="8"/>
    </row>
    <row r="1400" spans="1:87" x14ac:dyDescent="0.2">
      <c r="A1400" s="8" t="str">
        <f>IF(AND(COUNTIF(W$3:W$13,A$36)&gt;0,A$36&lt;&gt;B1308),A$36,IFERROR(IF(MATCH(A$36,Z$3:Z$13,0)=4,A$36," ")," "))</f>
        <v>C22</v>
      </c>
      <c r="B1400" s="8">
        <f>IF(A1400=" "," ",MAX(B1379:B1399)+1)</f>
        <v>11</v>
      </c>
      <c r="C1400" s="8"/>
      <c r="D1400" s="8"/>
      <c r="E1400" s="8"/>
      <c r="F1400" s="8"/>
      <c r="G1400" s="8"/>
      <c r="H1400" s="8"/>
      <c r="I1400" s="8"/>
      <c r="J1400" s="8"/>
      <c r="K1400" s="8"/>
      <c r="L1400" s="8"/>
      <c r="M1400" s="8"/>
      <c r="N1400" s="8"/>
      <c r="O1400" s="8"/>
      <c r="P1400" s="8"/>
      <c r="Q1400" s="8"/>
      <c r="R1400" s="8"/>
      <c r="S1400" s="8"/>
      <c r="U1400" s="34"/>
      <c r="V1400" s="34"/>
      <c r="W1400" s="34"/>
      <c r="X1400" s="34"/>
      <c r="Y1400" s="34"/>
      <c r="Z1400" s="34"/>
      <c r="AA1400" s="34"/>
      <c r="AB1400" s="34"/>
      <c r="AC1400" s="34"/>
      <c r="AD1400" s="34"/>
      <c r="AE1400" s="34"/>
      <c r="AF1400" s="34"/>
      <c r="AG1400" s="34"/>
      <c r="AH1400" s="34"/>
      <c r="AI1400" s="34"/>
      <c r="AJ1400" s="34"/>
      <c r="AK1400" s="34"/>
      <c r="AL1400" s="34"/>
      <c r="AM1400" s="34"/>
      <c r="AN1400" s="34"/>
      <c r="AO1400" s="34"/>
      <c r="AP1400" s="34"/>
      <c r="AQ1400" s="34"/>
      <c r="AR1400" s="34"/>
      <c r="AS1400" s="34"/>
      <c r="AT1400" s="34"/>
      <c r="AU1400" s="34"/>
      <c r="AV1400" s="34"/>
      <c r="AW1400" s="34"/>
      <c r="AX1400" s="34"/>
      <c r="AY1400" s="34"/>
      <c r="AZ1400" s="34"/>
      <c r="BA1400" s="34"/>
      <c r="BB1400" s="34"/>
      <c r="BC1400" s="34"/>
      <c r="BD1400" s="34"/>
      <c r="BE1400" s="34"/>
      <c r="BF1400" s="34"/>
      <c r="BG1400" s="34"/>
      <c r="BH1400" s="34"/>
      <c r="BI1400" s="34"/>
      <c r="BJ1400" s="34"/>
      <c r="BK1400" s="34"/>
      <c r="BL1400" s="34"/>
      <c r="BM1400" s="34"/>
      <c r="BN1400" s="34"/>
      <c r="BO1400" s="34"/>
      <c r="BP1400" s="34"/>
      <c r="BQ1400" s="34"/>
      <c r="BR1400" s="34"/>
      <c r="BS1400" s="34"/>
      <c r="BT1400" s="34"/>
      <c r="BU1400" s="34"/>
      <c r="BV1400" s="34"/>
      <c r="BW1400" s="34"/>
      <c r="BX1400" s="34"/>
      <c r="BY1400" s="34"/>
      <c r="BZ1400" s="34"/>
      <c r="CA1400" s="34"/>
      <c r="CB1400" s="34"/>
      <c r="CC1400" s="34"/>
      <c r="CD1400" s="34"/>
      <c r="CE1400" s="34"/>
      <c r="CF1400" s="34"/>
      <c r="CG1400" s="34"/>
      <c r="CH1400" s="34"/>
      <c r="CI1400" s="8"/>
    </row>
    <row r="1401" spans="1:87" x14ac:dyDescent="0.2">
      <c r="A1401" s="11" t="s">
        <v>17</v>
      </c>
      <c r="B1401" s="11"/>
      <c r="C1401" s="27" t="s">
        <v>18</v>
      </c>
      <c r="D1401" s="27" t="s">
        <v>2</v>
      </c>
      <c r="E1401" s="27" t="s">
        <v>6</v>
      </c>
      <c r="F1401" s="27" t="s">
        <v>15</v>
      </c>
      <c r="G1401" s="27" t="s">
        <v>36</v>
      </c>
      <c r="H1401" s="27" t="s">
        <v>37</v>
      </c>
      <c r="I1401" s="27" t="s">
        <v>38</v>
      </c>
      <c r="J1401" s="27" t="s">
        <v>39</v>
      </c>
      <c r="K1401" s="27" t="s">
        <v>40</v>
      </c>
      <c r="L1401" s="27" t="s">
        <v>41</v>
      </c>
      <c r="M1401" s="27" t="s">
        <v>42</v>
      </c>
      <c r="N1401" s="27" t="s">
        <v>43</v>
      </c>
      <c r="O1401" s="27" t="s">
        <v>9</v>
      </c>
      <c r="P1401" s="27" t="s">
        <v>12</v>
      </c>
      <c r="Q1401" s="27" t="s">
        <v>19</v>
      </c>
      <c r="R1401" s="27" t="s">
        <v>55</v>
      </c>
      <c r="S1401" s="27" t="s">
        <v>26</v>
      </c>
      <c r="T1401" s="19" t="s">
        <v>25</v>
      </c>
      <c r="U1401" s="33" t="s">
        <v>27</v>
      </c>
      <c r="V1401" s="33" t="s">
        <v>9</v>
      </c>
      <c r="W1401" s="33" t="s">
        <v>23</v>
      </c>
      <c r="X1401" s="33" t="s">
        <v>12</v>
      </c>
      <c r="Y1401" s="33" t="s">
        <v>26</v>
      </c>
      <c r="Z1401" s="33" t="s">
        <v>25</v>
      </c>
      <c r="AA1401" s="33" t="s">
        <v>27</v>
      </c>
      <c r="AB1401" s="33" t="s">
        <v>9</v>
      </c>
      <c r="AC1401" s="33" t="s">
        <v>23</v>
      </c>
      <c r="AD1401" s="33" t="s">
        <v>12</v>
      </c>
      <c r="AE1401" s="33" t="s">
        <v>26</v>
      </c>
      <c r="AF1401" s="33" t="s">
        <v>25</v>
      </c>
      <c r="AG1401" s="33" t="s">
        <v>27</v>
      </c>
      <c r="AH1401" s="33" t="s">
        <v>9</v>
      </c>
      <c r="AI1401" s="33" t="s">
        <v>23</v>
      </c>
      <c r="AJ1401" s="33" t="s">
        <v>12</v>
      </c>
      <c r="AK1401" s="33" t="s">
        <v>26</v>
      </c>
      <c r="AL1401" s="33" t="s">
        <v>25</v>
      </c>
      <c r="AM1401" s="33" t="s">
        <v>27</v>
      </c>
      <c r="AN1401" s="33" t="s">
        <v>9</v>
      </c>
      <c r="AO1401" s="33" t="s">
        <v>23</v>
      </c>
      <c r="AP1401" s="33" t="s">
        <v>12</v>
      </c>
      <c r="AQ1401" s="33" t="s">
        <v>26</v>
      </c>
      <c r="AR1401" s="33" t="s">
        <v>25</v>
      </c>
      <c r="AS1401" s="33" t="s">
        <v>27</v>
      </c>
      <c r="AT1401" s="33" t="s">
        <v>9</v>
      </c>
      <c r="AU1401" s="33" t="s">
        <v>23</v>
      </c>
      <c r="AV1401" s="33" t="s">
        <v>12</v>
      </c>
      <c r="AW1401" s="33" t="s">
        <v>26</v>
      </c>
      <c r="AX1401" s="33" t="s">
        <v>25</v>
      </c>
      <c r="AY1401" s="33" t="s">
        <v>27</v>
      </c>
      <c r="AZ1401" s="33" t="s">
        <v>9</v>
      </c>
      <c r="BA1401" s="33" t="s">
        <v>23</v>
      </c>
      <c r="BB1401" s="33" t="s">
        <v>12</v>
      </c>
      <c r="BC1401" s="33" t="s">
        <v>26</v>
      </c>
      <c r="BD1401" s="33" t="s">
        <v>25</v>
      </c>
      <c r="BE1401" s="33" t="s">
        <v>27</v>
      </c>
      <c r="BF1401" s="33" t="s">
        <v>9</v>
      </c>
      <c r="BG1401" s="33" t="s">
        <v>23</v>
      </c>
      <c r="BH1401" s="33" t="s">
        <v>12</v>
      </c>
      <c r="BI1401" s="33" t="s">
        <v>26</v>
      </c>
      <c r="BJ1401" s="33" t="s">
        <v>25</v>
      </c>
      <c r="BK1401" s="33" t="s">
        <v>27</v>
      </c>
      <c r="BL1401" s="33" t="s">
        <v>9</v>
      </c>
      <c r="BM1401" s="33" t="s">
        <v>23</v>
      </c>
      <c r="BN1401" s="33" t="s">
        <v>12</v>
      </c>
      <c r="BO1401" s="33" t="s">
        <v>26</v>
      </c>
      <c r="BP1401" s="33" t="s">
        <v>25</v>
      </c>
      <c r="BQ1401" s="33" t="s">
        <v>27</v>
      </c>
      <c r="BR1401" s="33" t="s">
        <v>9</v>
      </c>
      <c r="BS1401" s="33" t="s">
        <v>23</v>
      </c>
      <c r="BT1401" s="33" t="s">
        <v>12</v>
      </c>
      <c r="BU1401" s="33" t="s">
        <v>26</v>
      </c>
      <c r="BV1401" s="33" t="s">
        <v>25</v>
      </c>
      <c r="BW1401" s="33" t="s">
        <v>27</v>
      </c>
      <c r="BX1401" s="33" t="s">
        <v>9</v>
      </c>
      <c r="BY1401" s="33" t="s">
        <v>23</v>
      </c>
      <c r="BZ1401" s="33" t="s">
        <v>12</v>
      </c>
      <c r="CA1401" s="33" t="s">
        <v>26</v>
      </c>
      <c r="CB1401" s="33" t="s">
        <v>25</v>
      </c>
      <c r="CC1401" s="33" t="s">
        <v>27</v>
      </c>
      <c r="CD1401" s="33" t="s">
        <v>9</v>
      </c>
      <c r="CE1401" s="33" t="s">
        <v>23</v>
      </c>
      <c r="CF1401" s="33" t="s">
        <v>12</v>
      </c>
      <c r="CG1401" s="33" t="s">
        <v>26</v>
      </c>
      <c r="CH1401" s="33" t="s">
        <v>25</v>
      </c>
      <c r="CI1401" s="8"/>
    </row>
    <row r="1402" spans="1:87" x14ac:dyDescent="0.2">
      <c r="A1402" s="8" t="str">
        <f>IF(AND(COUNTIF(W$3:W$13,A$15)&gt;0,A$15&lt;&gt;B1308),A$15,IFERROR(IF(MATCH(A$15,Z$3:Z$13,0)=5,A$15," ")," "))</f>
        <v xml:space="preserve"> </v>
      </c>
      <c r="B1402" s="8" t="str">
        <f>IF(A1402=" "," ",1)</f>
        <v xml:space="preserve"> </v>
      </c>
      <c r="C1402" s="8" t="str">
        <f>IFERROR(INDEX(A1402:A1423,MATCH(SMALL(B1402:B1423,1),B1402:B1423,0),1)," ")</f>
        <v>C3</v>
      </c>
      <c r="D1402" s="8">
        <f>IFERROR(VLOOKUP($C1402,$A$15:$O$36,2,FALSE)," ")</f>
        <v>2</v>
      </c>
      <c r="E1402" s="8">
        <f>IFERROR(VLOOKUP($C1402,$A$15:$O$36,3,FALSE)," ")</f>
        <v>5</v>
      </c>
      <c r="F1402" s="8">
        <f>IFERROR(VLOOKUP($C1402,$A$15:$O$36,4,FALSE)," ")</f>
        <v>6</v>
      </c>
      <c r="G1402" s="8">
        <f>IFERROR(VLOOKUP($C1402,$A$15:$O$36,5,FALSE)," ")</f>
        <v>0</v>
      </c>
      <c r="H1402" s="8">
        <f>IFERROR(VLOOKUP($C1402,$A$15:$O$36,6,FALSE)," ")</f>
        <v>0</v>
      </c>
      <c r="I1402" s="8">
        <f>IFERROR(VLOOKUP($C1402,$A$15:$O$36,7,FALSE)," ")</f>
        <v>0</v>
      </c>
      <c r="J1402" s="8">
        <f>IFERROR(VLOOKUP($C1402,$A$15:$O$36,8,FALSE)," ")</f>
        <v>0</v>
      </c>
      <c r="K1402" s="8">
        <f>IFERROR(VLOOKUP($C1402,$A$15:$O$36,9,FALSE)," ")</f>
        <v>0</v>
      </c>
      <c r="L1402" s="8">
        <f>IFERROR(VLOOKUP($C1402,$A$15:$O$36,10,FALSE)," ")</f>
        <v>0</v>
      </c>
      <c r="M1402" s="8">
        <f>IFERROR(VLOOKUP($C1402,$A$15:$O$36,11,FALSE)," ")</f>
        <v>0</v>
      </c>
      <c r="N1402" s="8">
        <f>IFERROR(VLOOKUP($C1402,$A$15:$O$36,12,FALSE)," ")</f>
        <v>0</v>
      </c>
      <c r="O1402" s="8">
        <f>IFERROR(VLOOKUP($C1402,$A$15:$O$36,15,FALSE)," ")</f>
        <v>2000</v>
      </c>
      <c r="P1402" s="8" t="e">
        <f t="array" ref="P1402:P1412">MMULT(MINVERSE(D1402:N1412),O1402:O1412)</f>
        <v>#NUM!</v>
      </c>
      <c r="Q1402" s="8" t="e">
        <f t="shared" ref="Q1402" si="5986">IF(COUNTIF(P1402:P1412,"&lt;"&amp;-0.001)=0,IF(ABS(P1402)&lt;0.001,0,P1402)," ")</f>
        <v>#NUM!</v>
      </c>
      <c r="R1402" s="8" t="str">
        <f>IFERROR(VLOOKUP(B1308,A$15:L$36,2,FALSE)*Q1402+VLOOKUP(B1308,A$15:L$36,3,FALSE)*Q1403+VLOOKUP(B1308,A$15:L$36,4,FALSE)*Q1404+VLOOKUP(B1308,A$15:L$36,5,FALSE)*Q1405+VLOOKUP(B1308,A$15:L$36,6,FALSE)*Q1406+VLOOKUP(B1308,A$15:L$36,7,FALSE)*Q1407+VLOOKUP(B1308,A$15:L$36,8,FALSE)*Q1408+VLOOKUP(B1308,A$15:L$36,9,FALSE)*Q1409+VLOOKUP(B1308,A$15:L$36,10,FALSE)*Q1410+VLOOKUP(B1308,A$15:L$36,11,FALSE)*Q1411+VLOOKUP(B1308,A$15:L$36,12,FALSE)*Q1412," ")</f>
        <v xml:space="preserve"> </v>
      </c>
      <c r="S1402" s="8" t="str">
        <f>IFERROR(IF(R1402-VLOOKUP(B1308,A$15:O$36,15,FALSE)&lt;0,R1402-VLOOKUP(B1308,A$15:O$36,15,FALSE)," ")," ")</f>
        <v xml:space="preserve"> </v>
      </c>
      <c r="T1402" s="18" t="str">
        <f>IFERROR(IF(R1402-VLOOKUP(B1308,A$15:O$36,15,FALSE)&gt;0,R1402-VLOOKUP(B1308,A$15:O$36,15,FALSE)," ")," ")</f>
        <v xml:space="preserve"> </v>
      </c>
      <c r="U1402" s="34">
        <f t="shared" ref="U1402" si="5987">$M$2</f>
        <v>100.00000000000001</v>
      </c>
      <c r="V1402" s="34">
        <v>-1</v>
      </c>
      <c r="W1402" s="34">
        <f t="shared" ref="W1402" si="5988">-SUMPRODUCT($M$3:$M$12,$N$3:$N$12)</f>
        <v>-105000</v>
      </c>
      <c r="X1402" s="34" t="e">
        <f t="shared" ref="X1402" si="5989">IF(U1402&lt;&gt;U1403,MMULT(MINVERSE(U1402:V1403),W1402:W1403)," ")</f>
        <v>#NUM!</v>
      </c>
      <c r="Y1402" s="34" t="str">
        <f t="shared" ref="Y1402" si="5990">IFERROR(IF(X1402-VLOOKUP(U$38,$A$2:$N$12,14,FALSE)&lt;0,X1402-VLOOKUP(U$38,$A$2:$N$12,14,FALSE)," ")," ")</f>
        <v xml:space="preserve"> </v>
      </c>
      <c r="Z1402" s="34" t="str">
        <f t="shared" ref="Z1402" si="5991">IFERROR(IF(X1402-VLOOKUP(U$38,$A$2:$N$12,14,FALSE)&gt;0,X1402-VLOOKUP(U$38,$A$2:$N$12,14,FALSE)," ")," ")</f>
        <v xml:space="preserve"> </v>
      </c>
      <c r="AA1402" s="34">
        <f t="shared" ref="AA1402" si="5992">$M$3</f>
        <v>0</v>
      </c>
      <c r="AB1402" s="34">
        <v>-1</v>
      </c>
      <c r="AC1402" s="34">
        <f t="shared" ref="AC1402" si="5993">-SUMPRODUCT($M$2:$M$2,$N$2:$N$2)-SUMPRODUCT($M$4:$M$12,$N$4:$N$12)</f>
        <v>-120000</v>
      </c>
      <c r="AD1402" s="34" t="e">
        <f t="shared" ref="AD1402" si="5994">IF(AA1402&lt;&gt;AA1403,MMULT(MINVERSE(AA1402:AB1403),AC1402:AC1403)," ")</f>
        <v>#NUM!</v>
      </c>
      <c r="AE1402" s="34" t="str">
        <f t="shared" ref="AE1402" si="5995">IFERROR(IF(AD1402-VLOOKUP(AA$38,$A$2:$N$12,14,FALSE)&lt;0,AD1402-VLOOKUP(AA$38,$A$2:$N$12,14,FALSE)," ")," ")</f>
        <v xml:space="preserve"> </v>
      </c>
      <c r="AF1402" s="34" t="str">
        <f t="shared" ref="AF1402" si="5996">IFERROR(IF(AD1402-VLOOKUP(AA$38,$A$2:$N$12,14,FALSE)&gt;0,AD1402-VLOOKUP(AA$38,$A$2:$N$12,14,FALSE)," ")," ")</f>
        <v xml:space="preserve"> </v>
      </c>
      <c r="AG1402" s="34">
        <f t="shared" ref="AG1402" si="5997">$M$4</f>
        <v>300</v>
      </c>
      <c r="AH1402" s="34">
        <v>-1</v>
      </c>
      <c r="AI1402" s="34">
        <f t="shared" ref="AI1402" si="5998">-SUMPRODUCT($M$2:$M$3,$N$2:$N$3)-SUMPRODUCT($M$5:$M$12,$N$5:$N$12)</f>
        <v>-15000.000000000002</v>
      </c>
      <c r="AJ1402" s="34" t="e">
        <f t="shared" ref="AJ1402" si="5999">IF(AG1402&lt;&gt;AG1403,MMULT(MINVERSE(AG1402:AH1403),AI1402:AI1403)," ")</f>
        <v>#NUM!</v>
      </c>
      <c r="AK1402" s="34" t="str">
        <f t="shared" ref="AK1402" si="6000">IFERROR(IF(AJ1402-VLOOKUP(AG$38,$A$2:$N$12,14,FALSE)&lt;0,AJ1402-VLOOKUP(AG$38,$A$2:$N$12,14,FALSE)," ")," ")</f>
        <v xml:space="preserve"> </v>
      </c>
      <c r="AL1402" s="34" t="str">
        <f t="shared" ref="AL1402" si="6001">IFERROR(IF(AJ1402-VLOOKUP(AG$38,$A$2:$N$12,14,FALSE)&gt;0,AJ1402-VLOOKUP(AG$38,$A$2:$N$12,14,FALSE)," ")," ")</f>
        <v xml:space="preserve"> </v>
      </c>
      <c r="AM1402" s="34">
        <f t="shared" ref="AM1402" si="6002">$M$5</f>
        <v>0</v>
      </c>
      <c r="AN1402" s="34">
        <v>-1</v>
      </c>
      <c r="AO1402" s="34">
        <f t="shared" ref="AO1402" si="6003">-SUMPRODUCT($M$2:$M$4,$N$2:$N$4)-SUMPRODUCT($M$6:$M$12,$N$6:$N$12)</f>
        <v>-120000</v>
      </c>
      <c r="AP1402" s="34" t="e">
        <f t="shared" ref="AP1402" si="6004">IF(AM1402&lt;&gt;AM1403,MMULT(MINVERSE(AM1402:AN1403),AO1402:AO1403)," ")</f>
        <v>#NUM!</v>
      </c>
      <c r="AQ1402" s="34" t="str">
        <f t="shared" ref="AQ1402" si="6005">IFERROR(IF(AP1402-VLOOKUP(AM$38,$A$2:$N$12,14,FALSE)&lt;0,AP1402-VLOOKUP(AM$38,$A$2:$N$12,14,FALSE)," ")," ")</f>
        <v xml:space="preserve"> </v>
      </c>
      <c r="AR1402" s="34" t="str">
        <f t="shared" ref="AR1402" si="6006">IFERROR(IF(AP1402-VLOOKUP(AM$38,$A$2:$N$12,14,FALSE)&gt;0,AP1402-VLOOKUP(AM$38,$A$2:$N$12,14,FALSE)," ")," ")</f>
        <v xml:space="preserve"> </v>
      </c>
      <c r="AS1402" s="34">
        <f t="shared" ref="AS1402" si="6007">$M$6</f>
        <v>0</v>
      </c>
      <c r="AT1402" s="34">
        <v>-1</v>
      </c>
      <c r="AU1402" s="34">
        <f t="shared" ref="AU1402" si="6008">-SUMPRODUCT($M$2:$M$5,$N$2:$N$5)-SUMPRODUCT($M$7:$M$12,$N$7:$N$12)</f>
        <v>-120000</v>
      </c>
      <c r="AV1402" s="34" t="e">
        <f t="shared" ref="AV1402" si="6009">IF(AS1402&lt;&gt;AS1403,MMULT(MINVERSE(AS1402:AT1403),AU1402:AU1403)," ")</f>
        <v>#NUM!</v>
      </c>
      <c r="AW1402" s="34" t="str">
        <f t="shared" ref="AW1402" si="6010">IFERROR(IF(AV1402-VLOOKUP(AS$38,$A$2:$N$12,14,FALSE)&lt;0,AV1402-VLOOKUP(AS$38,$A$2:$N$12,14,FALSE)," ")," ")</f>
        <v xml:space="preserve"> </v>
      </c>
      <c r="AX1402" s="34" t="str">
        <f t="shared" ref="AX1402" si="6011">IFERROR(IF(AV1402-VLOOKUP(AS$38,$A$2:$N$12,14,FALSE)&gt;0,AV1402-VLOOKUP(AS$38,$A$2:$N$12,14,FALSE)," ")," ")</f>
        <v xml:space="preserve"> </v>
      </c>
      <c r="AY1402" s="34">
        <f t="shared" ref="AY1402" si="6012">$M$7</f>
        <v>0</v>
      </c>
      <c r="AZ1402" s="34">
        <v>-1</v>
      </c>
      <c r="BA1402" s="34">
        <f t="shared" ref="BA1402" si="6013">-SUMPRODUCT($M$2:$M$6,$N$2:$N$6)-SUMPRODUCT($M$8:$M$12,$N$8:$N$12)</f>
        <v>-120000</v>
      </c>
      <c r="BB1402" s="34" t="e">
        <f t="shared" ref="BB1402" si="6014">IF(AY1402&lt;&gt;AY1403,MMULT(MINVERSE(AY1402:AZ1403),BA1402:BA1403)," ")</f>
        <v>#NUM!</v>
      </c>
      <c r="BC1402" s="34" t="str">
        <f t="shared" ref="BC1402" si="6015">IFERROR(IF(BB1402-VLOOKUP(AY$38,$A$2:$N$12,14,FALSE)&lt;0,BB1402-VLOOKUP(AY$38,$A$2:$N$12,14,FALSE)," ")," ")</f>
        <v xml:space="preserve"> </v>
      </c>
      <c r="BD1402" s="34" t="str">
        <f t="shared" ref="BD1402" si="6016">IFERROR(IF(BB1402-VLOOKUP(AY$38,$A$2:$N$12,14,FALSE)&gt;0,BB1402-VLOOKUP(AY$38,$A$2:$N$12,14,FALSE)," ")," ")</f>
        <v xml:space="preserve"> </v>
      </c>
      <c r="BE1402" s="34">
        <f t="shared" ref="BE1402" si="6017">$M$8</f>
        <v>0</v>
      </c>
      <c r="BF1402" s="34">
        <v>-1</v>
      </c>
      <c r="BG1402" s="34">
        <f t="shared" ref="BG1402" si="6018">-SUMPRODUCT($M$2:$M$7,$N$2:$N$7)-SUMPRODUCT($M$9:$M$12,$N$9:$N$12)</f>
        <v>-120000</v>
      </c>
      <c r="BH1402" s="34" t="e">
        <f t="shared" ref="BH1402" si="6019">IF(BE1402&lt;&gt;BE1403,MMULT(MINVERSE(BE1402:BF1403),BG1402:BG1403)," ")</f>
        <v>#NUM!</v>
      </c>
      <c r="BI1402" s="34" t="str">
        <f t="shared" ref="BI1402" si="6020">IFERROR(IF(BH1402-VLOOKUP(BE$38,$A$2:$N$12,14,FALSE)&lt;0,BH1402-VLOOKUP(BE$38,$A$2:$N$12,14,FALSE)," ")," ")</f>
        <v xml:space="preserve"> </v>
      </c>
      <c r="BJ1402" s="34" t="str">
        <f t="shared" ref="BJ1402" si="6021">IFERROR(IF(BH1402-VLOOKUP(BE$38,$A$2:$N$12,14,FALSE)&gt;0,BH1402-VLOOKUP(BE$38,$A$2:$N$12,14,FALSE)," ")," ")</f>
        <v xml:space="preserve"> </v>
      </c>
      <c r="BK1402" s="34">
        <f t="shared" ref="BK1402" si="6022">$M$9</f>
        <v>0</v>
      </c>
      <c r="BL1402" s="34">
        <v>-1</v>
      </c>
      <c r="BM1402" s="34">
        <f t="shared" ref="BM1402" si="6023">-SUMPRODUCT($M$2:$M$8,$N$2:$N$8)-SUMPRODUCT($M$10:$M$12,$N$10:$N$12)</f>
        <v>-120000</v>
      </c>
      <c r="BN1402" s="34" t="e">
        <f t="shared" ref="BN1402" si="6024">IF(BK1402&lt;&gt;BK1403,MMULT(MINVERSE(BK1402:BL1403),BM1402:BM1403)," ")</f>
        <v>#NUM!</v>
      </c>
      <c r="BO1402" s="34" t="str">
        <f t="shared" ref="BO1402" si="6025">IFERROR(IF(BN1402-VLOOKUP(BK$38,$A$2:$N$12,14,FALSE)&lt;0,BN1402-VLOOKUP(BK$38,$A$2:$N$12,14,FALSE)," ")," ")</f>
        <v xml:space="preserve"> </v>
      </c>
      <c r="BP1402" s="34" t="str">
        <f t="shared" ref="BP1402" si="6026">IFERROR(IF(BN1402-VLOOKUP(BK$38,$A$2:$N$12,14,FALSE)&gt;0,BN1402-VLOOKUP(BK$38,$A$2:$N$12,14,FALSE)," ")," ")</f>
        <v xml:space="preserve"> </v>
      </c>
      <c r="BQ1402" s="34">
        <f t="shared" ref="BQ1402" si="6027">$M$10</f>
        <v>0</v>
      </c>
      <c r="BR1402" s="34">
        <v>-1</v>
      </c>
      <c r="BS1402" s="34">
        <f t="shared" ref="BS1402" si="6028">-SUMPRODUCT($M$2:$M$9,$N$2:$N$9)-SUMPRODUCT($M$11:$M$12,$N$11:$N$12)</f>
        <v>-120000</v>
      </c>
      <c r="BT1402" s="34" t="e">
        <f t="shared" ref="BT1402" si="6029">IF(BQ1402&lt;&gt;BQ1403,MMULT(MINVERSE(BQ1402:BR1403),BS1402:BS1403)," ")</f>
        <v>#NUM!</v>
      </c>
      <c r="BU1402" s="34" t="str">
        <f t="shared" ref="BU1402" si="6030">IFERROR(IF(BT1402-VLOOKUP(BQ$38,$A$2:$N$12,14,FALSE)&lt;0,BT1402-VLOOKUP(BQ$38,$A$2:$N$12,14,FALSE)," ")," ")</f>
        <v xml:space="preserve"> </v>
      </c>
      <c r="BV1402" s="34" t="str">
        <f t="shared" ref="BV1402" si="6031">IFERROR(IF(BT1402-VLOOKUP(BQ$38,$A$2:$N$12,14,FALSE)&gt;0,BT1402-VLOOKUP(BQ$38,$A$2:$N$12,14,FALSE)," ")," ")</f>
        <v xml:space="preserve"> </v>
      </c>
      <c r="BW1402" s="34">
        <f t="shared" ref="BW1402" si="6032">$M$11</f>
        <v>0</v>
      </c>
      <c r="BX1402" s="34">
        <v>-1</v>
      </c>
      <c r="BY1402" s="34">
        <f t="shared" ref="BY1402" si="6033">-SUMPRODUCT($M$2:$M$10,$N$2:$N$10)-SUMPRODUCT($M$12,$N$12)</f>
        <v>-120000</v>
      </c>
      <c r="BZ1402" s="34" t="e">
        <f t="shared" ref="BZ1402" si="6034">IF(BW1402&lt;&gt;BW1403,MMULT(MINVERSE(BW1402:BX1403),BY1402:BY1403)," ")</f>
        <v>#NUM!</v>
      </c>
      <c r="CA1402" s="34" t="str">
        <f t="shared" ref="CA1402" si="6035">IFERROR(IF(BZ1402-VLOOKUP(BW$38,$A$2:$N$12,14,FALSE)&lt;0,BZ1402-VLOOKUP(BW$38,$A$2:$N$12,14,FALSE)," ")," ")</f>
        <v xml:space="preserve"> </v>
      </c>
      <c r="CB1402" s="34" t="str">
        <f t="shared" ref="CB1402" si="6036">IFERROR(IF(BZ1402-VLOOKUP(BW$38,$A$2:$N$12,14,FALSE)&gt;0,BZ1402-VLOOKUP(BW$38,$A$2:$N$12,14,FALSE)," ")," ")</f>
        <v xml:space="preserve"> </v>
      </c>
      <c r="CC1402" s="34">
        <f t="shared" ref="CC1402" si="6037">$M$12</f>
        <v>0</v>
      </c>
      <c r="CD1402" s="34">
        <v>-1</v>
      </c>
      <c r="CE1402" s="34">
        <f t="shared" ref="CE1402" si="6038">-SUMPRODUCT($M$2:$M$11,$N$2:$N$11)</f>
        <v>-120000</v>
      </c>
      <c r="CF1402" s="34" t="e">
        <f t="shared" ref="CF1402" si="6039">IF(CC1402&lt;&gt;CC1403,MMULT(MINVERSE(CC1402:CD1403),CE1402:CE1403)," ")</f>
        <v>#NUM!</v>
      </c>
      <c r="CG1402" s="34" t="str">
        <f t="shared" ref="CG1402" si="6040">IFERROR(IF(CF1402-VLOOKUP(CC$38,$A$2:$N$12,14,FALSE)&lt;0,CF1402-VLOOKUP(CC$38,$A$2:$N$12,14,FALSE)," ")," ")</f>
        <v xml:space="preserve"> </v>
      </c>
      <c r="CH1402" s="34" t="str">
        <f t="shared" ref="CH1402" si="6041">IFERROR(IF(CF1402-VLOOKUP(CC$38,$A$2:$N$12,14,FALSE)&gt;0,CF1402-VLOOKUP(CC$38,$A$2:$N$12,14,FALSE)," ")," ")</f>
        <v xml:space="preserve"> </v>
      </c>
      <c r="CI1402" s="8"/>
    </row>
    <row r="1403" spans="1:87" x14ac:dyDescent="0.2">
      <c r="A1403" s="8" t="str">
        <f>IF(AND(COUNTIF(W$3:W$13,A$16)&gt;0,A$16&lt;&gt;B1308),A$16,IFERROR(IF(MATCH(A$16,Z$3:Z$13,0)=5,A$16," ")," "))</f>
        <v xml:space="preserve"> </v>
      </c>
      <c r="B1403" s="8" t="str">
        <f>IF(A1403=" "," ",MAX(B1402:B1402)+1)</f>
        <v xml:space="preserve"> </v>
      </c>
      <c r="C1403" s="8" t="str">
        <f>IFERROR(INDEX(A1402:A1423,MATCH(SMALL(B1402:B1423,2),B1402:B1423,0),1)," ")</f>
        <v>C4</v>
      </c>
      <c r="D1403" s="8">
        <f t="shared" ref="D1403:D1412" si="6042">IFERROR(VLOOKUP($C1403,$A$15:$O$36,2,FALSE)," ")</f>
        <v>1</v>
      </c>
      <c r="E1403" s="8">
        <f t="shared" ref="E1403:E1412" si="6043">IFERROR(VLOOKUP($C1403,$A$15:$O$36,3,FALSE)," ")</f>
        <v>0</v>
      </c>
      <c r="F1403" s="8">
        <f t="shared" ref="F1403:F1412" si="6044">IFERROR(VLOOKUP($C1403,$A$15:$O$36,4,FALSE)," ")</f>
        <v>1</v>
      </c>
      <c r="G1403" s="8">
        <f t="shared" ref="G1403:G1412" si="6045">IFERROR(VLOOKUP($C1403,$A$15:$O$36,5,FALSE)," ")</f>
        <v>0</v>
      </c>
      <c r="H1403" s="8">
        <f t="shared" ref="H1403:H1412" si="6046">IFERROR(VLOOKUP($C1403,$A$15:$O$36,6,FALSE)," ")</f>
        <v>0</v>
      </c>
      <c r="I1403" s="8">
        <f t="shared" ref="I1403:I1412" si="6047">IFERROR(VLOOKUP($C1403,$A$15:$O$36,7,FALSE)," ")</f>
        <v>0</v>
      </c>
      <c r="J1403" s="8">
        <f t="shared" ref="J1403:J1412" si="6048">IFERROR(VLOOKUP($C1403,$A$15:$O$36,8,FALSE)," ")</f>
        <v>0</v>
      </c>
      <c r="K1403" s="8">
        <f t="shared" ref="K1403:K1412" si="6049">IFERROR(VLOOKUP($C1403,$A$15:$O$36,9,FALSE)," ")</f>
        <v>0</v>
      </c>
      <c r="L1403" s="8">
        <f t="shared" ref="L1403:L1412" si="6050">IFERROR(VLOOKUP($C1403,$A$15:$O$36,10,FALSE)," ")</f>
        <v>0</v>
      </c>
      <c r="M1403" s="8">
        <f t="shared" ref="M1403:M1412" si="6051">IFERROR(VLOOKUP($C1403,$A$15:$O$36,11,FALSE)," ")</f>
        <v>0</v>
      </c>
      <c r="N1403" s="8">
        <f t="shared" ref="N1403:N1412" si="6052">IFERROR(VLOOKUP($C1403,$A$15:$O$36,12,FALSE)," ")</f>
        <v>0</v>
      </c>
      <c r="O1403" s="8">
        <f t="shared" ref="O1403:O1412" si="6053">IFERROR(VLOOKUP($C1403,$A$15:$O$36,15,FALSE)," ")</f>
        <v>400</v>
      </c>
      <c r="P1403" s="8" t="e">
        <v>#NUM!</v>
      </c>
      <c r="Q1403" s="8" t="e">
        <f t="shared" ref="Q1403" si="6054">IF(COUNTIF(P1402:P1412,"&lt;"&amp;-0.001)=0,IF(ABS(P1403)&lt;0.001,0,P1403)," ")</f>
        <v>#NUM!</v>
      </c>
      <c r="R1403" s="8"/>
      <c r="S1403" s="8"/>
      <c r="U1403" s="34" t="e">
        <f t="shared" ref="U1403" si="6055">$Q1402</f>
        <v>#NUM!</v>
      </c>
      <c r="V1403" s="34">
        <v>-1</v>
      </c>
      <c r="W1403" s="34" t="e">
        <f t="shared" ref="W1403" si="6056">-SUMPRODUCT($Q1403:$Q1412,$N$3:$N$12)</f>
        <v>#NUM!</v>
      </c>
      <c r="X1403" s="34"/>
      <c r="Y1403" s="34"/>
      <c r="Z1403" s="34"/>
      <c r="AA1403" s="34" t="e">
        <f t="shared" ref="AA1403" si="6057">$Q1403</f>
        <v>#NUM!</v>
      </c>
      <c r="AB1403" s="34">
        <v>-1</v>
      </c>
      <c r="AC1403" s="34" t="e">
        <f t="shared" ref="AC1403" si="6058">-SUMPRODUCT($Q1402:$Q1402,$N$2:$N$2)-SUMPRODUCT($Q1404:$Q1412,$N$4:$N$12)</f>
        <v>#NUM!</v>
      </c>
      <c r="AD1403" s="34"/>
      <c r="AE1403" s="34"/>
      <c r="AF1403" s="34"/>
      <c r="AG1403" s="34" t="e">
        <f t="shared" ref="AG1403" si="6059">$Q1404</f>
        <v>#NUM!</v>
      </c>
      <c r="AH1403" s="34">
        <v>-1</v>
      </c>
      <c r="AI1403" s="34" t="e">
        <f t="shared" ref="AI1403" si="6060">-SUMPRODUCT($Q1402:$Q1403,$N$2:$N$3)-SUMPRODUCT($Q1405:$Q1412,$N$5:$N$12)</f>
        <v>#NUM!</v>
      </c>
      <c r="AJ1403" s="34"/>
      <c r="AK1403" s="34"/>
      <c r="AL1403" s="34"/>
      <c r="AM1403" s="34" t="e">
        <f t="shared" ref="AM1403" si="6061">$Q1405</f>
        <v>#NUM!</v>
      </c>
      <c r="AN1403" s="34">
        <v>-1</v>
      </c>
      <c r="AO1403" s="34" t="e">
        <f t="shared" ref="AO1403" si="6062">-SUMPRODUCT($Q1402:$Q1404,$N$2:$N$4)-SUMPRODUCT($Q1406:$Q1412,$N$6:$N$12)</f>
        <v>#NUM!</v>
      </c>
      <c r="AP1403" s="34"/>
      <c r="AQ1403" s="34"/>
      <c r="AR1403" s="34"/>
      <c r="AS1403" s="34" t="e">
        <f t="shared" ref="AS1403" si="6063">$Q1406</f>
        <v>#NUM!</v>
      </c>
      <c r="AT1403" s="34">
        <v>-1</v>
      </c>
      <c r="AU1403" s="34" t="e">
        <f t="shared" ref="AU1403" si="6064">-SUMPRODUCT($Q1402:$Q1405,$N$2:$N$5)-SUMPRODUCT($Q1407:$Q1412,$N$7:$N$12)</f>
        <v>#NUM!</v>
      </c>
      <c r="AV1403" s="34"/>
      <c r="AW1403" s="34"/>
      <c r="AX1403" s="34"/>
      <c r="AY1403" s="34" t="e">
        <f t="shared" ref="AY1403" si="6065">$Q1407</f>
        <v>#NUM!</v>
      </c>
      <c r="AZ1403" s="34">
        <v>-1</v>
      </c>
      <c r="BA1403" s="34" t="e">
        <f t="shared" ref="BA1403" si="6066">-SUMPRODUCT($Q1402:$Q1406,$N$2:$N$6)-SUMPRODUCT($Q1408:$Q1412,$N$8:$N$12)</f>
        <v>#NUM!</v>
      </c>
      <c r="BB1403" s="34"/>
      <c r="BC1403" s="34"/>
      <c r="BD1403" s="34"/>
      <c r="BE1403" s="34" t="e">
        <f t="shared" ref="BE1403" si="6067">$Q1408</f>
        <v>#NUM!</v>
      </c>
      <c r="BF1403" s="34">
        <v>-1</v>
      </c>
      <c r="BG1403" s="34" t="e">
        <f t="shared" ref="BG1403" si="6068">-SUMPRODUCT($Q1402:$Q1407,$N$2:$N$7)-SUMPRODUCT($Q1409:$Q1412,$N$9:$N$12)</f>
        <v>#NUM!</v>
      </c>
      <c r="BH1403" s="34"/>
      <c r="BI1403" s="34"/>
      <c r="BJ1403" s="34"/>
      <c r="BK1403" s="34" t="e">
        <f t="shared" ref="BK1403" si="6069">$Q1409</f>
        <v>#NUM!</v>
      </c>
      <c r="BL1403" s="34">
        <v>-1</v>
      </c>
      <c r="BM1403" s="34" t="e">
        <f t="shared" ref="BM1403" si="6070">-SUMPRODUCT($Q1402:$Q1408,$N$2:$N$8)-SUMPRODUCT($Q1410:$Q1412,$N$10:$N$12)</f>
        <v>#NUM!</v>
      </c>
      <c r="BN1403" s="34"/>
      <c r="BO1403" s="34"/>
      <c r="BP1403" s="34"/>
      <c r="BQ1403" s="34" t="e">
        <f t="shared" ref="BQ1403" si="6071">$Q1410</f>
        <v>#NUM!</v>
      </c>
      <c r="BR1403" s="34">
        <v>-1</v>
      </c>
      <c r="BS1403" s="34" t="e">
        <f t="shared" ref="BS1403" si="6072">-SUMPRODUCT($Q1402:$Q1409,$N$2:$N$9)-SUMPRODUCT($Q1411:$Q1412,$N$11:$N$12)</f>
        <v>#NUM!</v>
      </c>
      <c r="BT1403" s="34"/>
      <c r="BU1403" s="34"/>
      <c r="BV1403" s="34"/>
      <c r="BW1403" s="34" t="e">
        <f t="shared" ref="BW1403" si="6073">$Q1411</f>
        <v>#NUM!</v>
      </c>
      <c r="BX1403" s="34">
        <v>-1</v>
      </c>
      <c r="BY1403" s="34" t="e">
        <f t="shared" ref="BY1403" si="6074">-SUMPRODUCT($Q1402:$Q1410,$N$2:$N$10)-SUMPRODUCT($Q1412,$N$12)</f>
        <v>#NUM!</v>
      </c>
      <c r="BZ1403" s="34"/>
      <c r="CA1403" s="34"/>
      <c r="CB1403" s="34"/>
      <c r="CC1403" s="34" t="e">
        <f t="shared" ref="CC1403" si="6075">$Q1412</f>
        <v>#NUM!</v>
      </c>
      <c r="CD1403" s="34">
        <v>-1</v>
      </c>
      <c r="CE1403" s="34" t="e">
        <f t="shared" ref="CE1403" si="6076">-SUMPRODUCT($Q1402:$Q1411,$N$2:$N$11)</f>
        <v>#NUM!</v>
      </c>
      <c r="CF1403" s="34"/>
      <c r="CG1403" s="34"/>
      <c r="CH1403" s="34"/>
      <c r="CI1403" s="8"/>
    </row>
    <row r="1404" spans="1:87" x14ac:dyDescent="0.2">
      <c r="A1404" s="8" t="str">
        <f>IF(AND(COUNTIF(W$3:W$13,A$17)&gt;0,A$17&lt;&gt;B1308),A$17,IFERROR(IF(MATCH(A$17,Z$3:Z$13,0)=5,A$17," ")," "))</f>
        <v>C3</v>
      </c>
      <c r="B1404" s="8">
        <f>IF(A1404=" "," ",MAX(B1402:B1403)+1)</f>
        <v>1</v>
      </c>
      <c r="C1404" s="8" t="str">
        <f>IFERROR(INDEX(A1402:A1423,MATCH(SMALL(B1402:B1423,3),B1402:B1423,0),1)," ")</f>
        <v>C7</v>
      </c>
      <c r="D1404" s="8">
        <f t="shared" si="6042"/>
        <v>0</v>
      </c>
      <c r="E1404" s="8">
        <f t="shared" si="6043"/>
        <v>0</v>
      </c>
      <c r="F1404" s="8">
        <f t="shared" si="6044"/>
        <v>0</v>
      </c>
      <c r="G1404" s="8">
        <f t="shared" si="6045"/>
        <v>0</v>
      </c>
      <c r="H1404" s="8">
        <f t="shared" si="6046"/>
        <v>0</v>
      </c>
      <c r="I1404" s="8">
        <f t="shared" si="6047"/>
        <v>0</v>
      </c>
      <c r="J1404" s="8">
        <f t="shared" si="6048"/>
        <v>0</v>
      </c>
      <c r="K1404" s="8">
        <f t="shared" si="6049"/>
        <v>0</v>
      </c>
      <c r="L1404" s="8">
        <f t="shared" si="6050"/>
        <v>0</v>
      </c>
      <c r="M1404" s="8">
        <f t="shared" si="6051"/>
        <v>0</v>
      </c>
      <c r="N1404" s="8">
        <f t="shared" si="6052"/>
        <v>0</v>
      </c>
      <c r="O1404" s="8">
        <f t="shared" si="6053"/>
        <v>0</v>
      </c>
      <c r="P1404" s="8" t="e">
        <v>#NUM!</v>
      </c>
      <c r="Q1404" s="8" t="e">
        <f t="shared" ref="Q1404" si="6077">IF(COUNTIF(P1402:P1412,"&lt;"&amp;-0.001)=0,IF(ABS(P1404)&lt;0.001,0,P1404)," ")</f>
        <v>#NUM!</v>
      </c>
      <c r="R1404" s="8"/>
      <c r="S1404" s="8"/>
      <c r="U1404" s="34"/>
      <c r="V1404" s="34"/>
      <c r="W1404" s="34"/>
      <c r="X1404" s="34"/>
      <c r="Y1404" s="34"/>
      <c r="Z1404" s="34"/>
      <c r="AA1404" s="34"/>
      <c r="AB1404" s="34"/>
      <c r="AC1404" s="34"/>
      <c r="AD1404" s="34"/>
      <c r="AE1404" s="34"/>
      <c r="AF1404" s="34"/>
      <c r="AG1404" s="34"/>
      <c r="AH1404" s="34"/>
      <c r="AI1404" s="34"/>
      <c r="AJ1404" s="34"/>
      <c r="AK1404" s="34"/>
      <c r="AL1404" s="34"/>
      <c r="AM1404" s="34"/>
      <c r="AN1404" s="34"/>
      <c r="AO1404" s="34"/>
      <c r="AP1404" s="34"/>
      <c r="AQ1404" s="34"/>
      <c r="AR1404" s="34"/>
      <c r="AS1404" s="34"/>
      <c r="AT1404" s="34"/>
      <c r="AU1404" s="34"/>
      <c r="AV1404" s="34"/>
      <c r="AW1404" s="34"/>
      <c r="AX1404" s="34"/>
      <c r="AY1404" s="34"/>
      <c r="AZ1404" s="34"/>
      <c r="BA1404" s="34"/>
      <c r="BB1404" s="34"/>
      <c r="BC1404" s="34"/>
      <c r="BD1404" s="34"/>
      <c r="BE1404" s="34"/>
      <c r="BF1404" s="34"/>
      <c r="BG1404" s="34"/>
      <c r="BH1404" s="34"/>
      <c r="BI1404" s="34"/>
      <c r="BJ1404" s="34"/>
      <c r="BK1404" s="34"/>
      <c r="BL1404" s="34"/>
      <c r="BM1404" s="34"/>
      <c r="BN1404" s="34"/>
      <c r="BO1404" s="34"/>
      <c r="BP1404" s="34"/>
      <c r="BQ1404" s="34"/>
      <c r="BR1404" s="34"/>
      <c r="BS1404" s="34"/>
      <c r="BT1404" s="34"/>
      <c r="BU1404" s="34"/>
      <c r="BV1404" s="34"/>
      <c r="BW1404" s="34"/>
      <c r="BX1404" s="34"/>
      <c r="BY1404" s="34"/>
      <c r="BZ1404" s="34"/>
      <c r="CA1404" s="34"/>
      <c r="CB1404" s="34"/>
      <c r="CC1404" s="34"/>
      <c r="CD1404" s="34"/>
      <c r="CE1404" s="34"/>
      <c r="CF1404" s="34"/>
      <c r="CG1404" s="34"/>
      <c r="CH1404" s="34"/>
      <c r="CI1404" s="8"/>
    </row>
    <row r="1405" spans="1:87" x14ac:dyDescent="0.2">
      <c r="A1405" s="8" t="str">
        <f>IF(AND(COUNTIF(W$3:W$13,A$18)&gt;0,A$18&lt;&gt;B1308),A$18,IFERROR(IF(MATCH(A$18,Z$3:Z$13,0)=5,A$18," ")," "))</f>
        <v>C4</v>
      </c>
      <c r="B1405" s="8">
        <f>IF(A1405=" "," ",MAX(B1402:B1404)+1)</f>
        <v>2</v>
      </c>
      <c r="C1405" s="8" t="str">
        <f>IFERROR(INDEX(A1402:A1423,MATCH(SMALL(B1402:B1423,4),B1402:B1423,0),1)," ")</f>
        <v>C13</v>
      </c>
      <c r="D1405" s="8">
        <f t="shared" si="6042"/>
        <v>0</v>
      </c>
      <c r="E1405" s="8">
        <f t="shared" si="6043"/>
        <v>1</v>
      </c>
      <c r="F1405" s="8">
        <f t="shared" si="6044"/>
        <v>0</v>
      </c>
      <c r="G1405" s="8">
        <f t="shared" si="6045"/>
        <v>0</v>
      </c>
      <c r="H1405" s="8">
        <f t="shared" si="6046"/>
        <v>0</v>
      </c>
      <c r="I1405" s="8">
        <f t="shared" si="6047"/>
        <v>0</v>
      </c>
      <c r="J1405" s="8">
        <f t="shared" si="6048"/>
        <v>0</v>
      </c>
      <c r="K1405" s="8">
        <f t="shared" si="6049"/>
        <v>0</v>
      </c>
      <c r="L1405" s="8">
        <f t="shared" si="6050"/>
        <v>0</v>
      </c>
      <c r="M1405" s="8">
        <f t="shared" si="6051"/>
        <v>0</v>
      </c>
      <c r="N1405" s="8">
        <f t="shared" si="6052"/>
        <v>0</v>
      </c>
      <c r="O1405" s="8">
        <f t="shared" si="6053"/>
        <v>0</v>
      </c>
      <c r="P1405" s="8" t="e">
        <v>#NUM!</v>
      </c>
      <c r="Q1405" s="8" t="e">
        <f t="shared" ref="Q1405" si="6078">IF(COUNTIF(P1402:P1412,"&lt;"&amp;-0.001)=0,IF(ABS(P1405)&lt;0.001,0,P1405)," ")</f>
        <v>#NUM!</v>
      </c>
      <c r="R1405" s="8"/>
      <c r="S1405" s="8"/>
      <c r="U1405" s="34"/>
      <c r="V1405" s="34"/>
      <c r="W1405" s="34"/>
      <c r="X1405" s="34"/>
      <c r="Y1405" s="34"/>
      <c r="Z1405" s="34"/>
      <c r="AA1405" s="34"/>
      <c r="AB1405" s="34"/>
      <c r="AC1405" s="34"/>
      <c r="AD1405" s="34"/>
      <c r="AE1405" s="34"/>
      <c r="AF1405" s="34"/>
      <c r="AG1405" s="34"/>
      <c r="AH1405" s="34"/>
      <c r="AI1405" s="34"/>
      <c r="AJ1405" s="34"/>
      <c r="AK1405" s="34"/>
      <c r="AL1405" s="34"/>
      <c r="AM1405" s="34"/>
      <c r="AN1405" s="34"/>
      <c r="AO1405" s="34"/>
      <c r="AP1405" s="34"/>
      <c r="AQ1405" s="34"/>
      <c r="AR1405" s="34"/>
      <c r="AS1405" s="34"/>
      <c r="AT1405" s="34"/>
      <c r="AU1405" s="34"/>
      <c r="AV1405" s="34"/>
      <c r="AW1405" s="34"/>
      <c r="AX1405" s="34"/>
      <c r="AY1405" s="34"/>
      <c r="AZ1405" s="34"/>
      <c r="BA1405" s="34"/>
      <c r="BB1405" s="34"/>
      <c r="BC1405" s="34"/>
      <c r="BD1405" s="34"/>
      <c r="BE1405" s="34"/>
      <c r="BF1405" s="34"/>
      <c r="BG1405" s="34"/>
      <c r="BH1405" s="34"/>
      <c r="BI1405" s="34"/>
      <c r="BJ1405" s="34"/>
      <c r="BK1405" s="34"/>
      <c r="BL1405" s="34"/>
      <c r="BM1405" s="34"/>
      <c r="BN1405" s="34"/>
      <c r="BO1405" s="34"/>
      <c r="BP1405" s="34"/>
      <c r="BQ1405" s="34"/>
      <c r="BR1405" s="34"/>
      <c r="BS1405" s="34"/>
      <c r="BT1405" s="34"/>
      <c r="BU1405" s="34"/>
      <c r="BV1405" s="34"/>
      <c r="BW1405" s="34"/>
      <c r="BX1405" s="34"/>
      <c r="BY1405" s="34"/>
      <c r="BZ1405" s="34"/>
      <c r="CA1405" s="34"/>
      <c r="CB1405" s="34"/>
      <c r="CC1405" s="34"/>
      <c r="CD1405" s="34"/>
      <c r="CE1405" s="34"/>
      <c r="CF1405" s="34"/>
      <c r="CG1405" s="34"/>
      <c r="CH1405" s="34"/>
      <c r="CI1405" s="8"/>
    </row>
    <row r="1406" spans="1:87" x14ac:dyDescent="0.2">
      <c r="A1406" s="8" t="str">
        <f>IF(AND(COUNTIF(W$3:W$13,A$19)&gt;0,A$19&lt;&gt;B1308),A$19,IFERROR(IF(MATCH(A$19,Z$3:Z$13,0)=5,A$19," ")," "))</f>
        <v xml:space="preserve"> </v>
      </c>
      <c r="B1406" s="8" t="str">
        <f>IF(A1406=" "," ",MAX(B1402:B1405)+1)</f>
        <v xml:space="preserve"> </v>
      </c>
      <c r="C1406" s="8" t="str">
        <f>IFERROR(INDEX(A1402:A1423,MATCH(SMALL(B1402:B1423,5),B1402:B1423,0),1)," ")</f>
        <v>C15</v>
      </c>
      <c r="D1406" s="8">
        <f t="shared" si="6042"/>
        <v>0</v>
      </c>
      <c r="E1406" s="8">
        <f t="shared" si="6043"/>
        <v>0</v>
      </c>
      <c r="F1406" s="8">
        <f t="shared" si="6044"/>
        <v>0</v>
      </c>
      <c r="G1406" s="8">
        <f t="shared" si="6045"/>
        <v>1</v>
      </c>
      <c r="H1406" s="8">
        <f t="shared" si="6046"/>
        <v>0</v>
      </c>
      <c r="I1406" s="8">
        <f t="shared" si="6047"/>
        <v>0</v>
      </c>
      <c r="J1406" s="8">
        <f t="shared" si="6048"/>
        <v>0</v>
      </c>
      <c r="K1406" s="8">
        <f t="shared" si="6049"/>
        <v>0</v>
      </c>
      <c r="L1406" s="8">
        <f t="shared" si="6050"/>
        <v>0</v>
      </c>
      <c r="M1406" s="8">
        <f t="shared" si="6051"/>
        <v>0</v>
      </c>
      <c r="N1406" s="8">
        <f t="shared" si="6052"/>
        <v>0</v>
      </c>
      <c r="O1406" s="8">
        <f t="shared" si="6053"/>
        <v>0</v>
      </c>
      <c r="P1406" s="8" t="e">
        <v>#NUM!</v>
      </c>
      <c r="Q1406" s="8" t="e">
        <f t="shared" ref="Q1406" si="6079">IF(COUNTIF(P1402:P1412,"&lt;"&amp;-0.001)=0,IF(ABS(P1406)&lt;0.001,0,P1406)," ")</f>
        <v>#NUM!</v>
      </c>
      <c r="R1406" s="8"/>
      <c r="S1406" s="8"/>
      <c r="U1406" s="34"/>
      <c r="V1406" s="34"/>
      <c r="W1406" s="34"/>
      <c r="X1406" s="34"/>
      <c r="Y1406" s="34"/>
      <c r="Z1406" s="34"/>
      <c r="AA1406" s="34"/>
      <c r="AB1406" s="34"/>
      <c r="AC1406" s="34"/>
      <c r="AD1406" s="34"/>
      <c r="AE1406" s="34"/>
      <c r="AF1406" s="34"/>
      <c r="AG1406" s="34"/>
      <c r="AH1406" s="34"/>
      <c r="AI1406" s="34"/>
      <c r="AJ1406" s="34"/>
      <c r="AK1406" s="34"/>
      <c r="AL1406" s="34"/>
      <c r="AM1406" s="34"/>
      <c r="AN1406" s="34"/>
      <c r="AO1406" s="34"/>
      <c r="AP1406" s="34"/>
      <c r="AQ1406" s="34"/>
      <c r="AR1406" s="34"/>
      <c r="AS1406" s="34"/>
      <c r="AT1406" s="34"/>
      <c r="AU1406" s="34"/>
      <c r="AV1406" s="34"/>
      <c r="AW1406" s="34"/>
      <c r="AX1406" s="34"/>
      <c r="AY1406" s="34"/>
      <c r="AZ1406" s="34"/>
      <c r="BA1406" s="34"/>
      <c r="BB1406" s="34"/>
      <c r="BC1406" s="34"/>
      <c r="BD1406" s="34"/>
      <c r="BE1406" s="34"/>
      <c r="BF1406" s="34"/>
      <c r="BG1406" s="34"/>
      <c r="BH1406" s="34"/>
      <c r="BI1406" s="34"/>
      <c r="BJ1406" s="34"/>
      <c r="BK1406" s="34"/>
      <c r="BL1406" s="34"/>
      <c r="BM1406" s="34"/>
      <c r="BN1406" s="34"/>
      <c r="BO1406" s="34"/>
      <c r="BP1406" s="34"/>
      <c r="BQ1406" s="34"/>
      <c r="BR1406" s="34"/>
      <c r="BS1406" s="34"/>
      <c r="BT1406" s="34"/>
      <c r="BU1406" s="34"/>
      <c r="BV1406" s="34"/>
      <c r="BW1406" s="34"/>
      <c r="BX1406" s="34"/>
      <c r="BY1406" s="34"/>
      <c r="BZ1406" s="34"/>
      <c r="CA1406" s="34"/>
      <c r="CB1406" s="34"/>
      <c r="CC1406" s="34"/>
      <c r="CD1406" s="34"/>
      <c r="CE1406" s="34"/>
      <c r="CF1406" s="34"/>
      <c r="CG1406" s="34"/>
      <c r="CH1406" s="34"/>
      <c r="CI1406" s="8"/>
    </row>
    <row r="1407" spans="1:87" x14ac:dyDescent="0.2">
      <c r="A1407" s="8" t="str">
        <f>IF(AND(COUNTIF(W$3:W$13,A$20)&gt;0,A$20&lt;&gt;B1308),A$20,IFERROR(IF(MATCH(A$20,Z$3:Z$13,0)=5,A$20," ")," "))</f>
        <v xml:space="preserve"> </v>
      </c>
      <c r="B1407" s="8" t="str">
        <f>IF(A1407=" "," ",MAX(B1402:B1406)+1)</f>
        <v xml:space="preserve"> </v>
      </c>
      <c r="C1407" s="8" t="str">
        <f>IFERROR(INDEX(A1402:A1423,MATCH(SMALL(B1402:B1423,6),B1402:B1423,0),1)," ")</f>
        <v>C16</v>
      </c>
      <c r="D1407" s="8">
        <f t="shared" si="6042"/>
        <v>0</v>
      </c>
      <c r="E1407" s="8">
        <f t="shared" si="6043"/>
        <v>0</v>
      </c>
      <c r="F1407" s="8">
        <f t="shared" si="6044"/>
        <v>0</v>
      </c>
      <c r="G1407" s="8">
        <f t="shared" si="6045"/>
        <v>0</v>
      </c>
      <c r="H1407" s="8">
        <f t="shared" si="6046"/>
        <v>1</v>
      </c>
      <c r="I1407" s="8">
        <f t="shared" si="6047"/>
        <v>0</v>
      </c>
      <c r="J1407" s="8">
        <f t="shared" si="6048"/>
        <v>0</v>
      </c>
      <c r="K1407" s="8">
        <f t="shared" si="6049"/>
        <v>0</v>
      </c>
      <c r="L1407" s="8">
        <f t="shared" si="6050"/>
        <v>0</v>
      </c>
      <c r="M1407" s="8">
        <f t="shared" si="6051"/>
        <v>0</v>
      </c>
      <c r="N1407" s="8">
        <f t="shared" si="6052"/>
        <v>0</v>
      </c>
      <c r="O1407" s="8">
        <f t="shared" si="6053"/>
        <v>0</v>
      </c>
      <c r="P1407" s="8" t="e">
        <v>#NUM!</v>
      </c>
      <c r="Q1407" s="8" t="e">
        <f t="shared" ref="Q1407" si="6080">IF(COUNTIF(P1402:P1412,"&lt;"&amp;-0.001)=0,IF(ABS(P1407)&lt;0.001,0,P1407)," ")</f>
        <v>#NUM!</v>
      </c>
      <c r="R1407" s="8"/>
      <c r="S1407" s="8"/>
      <c r="U1407" s="34"/>
      <c r="V1407" s="34"/>
      <c r="W1407" s="34"/>
      <c r="X1407" s="34"/>
      <c r="Y1407" s="34"/>
      <c r="Z1407" s="34"/>
      <c r="AA1407" s="34"/>
      <c r="AB1407" s="34"/>
      <c r="AC1407" s="34"/>
      <c r="AD1407" s="34"/>
      <c r="AE1407" s="34"/>
      <c r="AF1407" s="34"/>
      <c r="AG1407" s="34"/>
      <c r="AH1407" s="34"/>
      <c r="AI1407" s="34"/>
      <c r="AJ1407" s="34"/>
      <c r="AK1407" s="34"/>
      <c r="AL1407" s="34"/>
      <c r="AM1407" s="34"/>
      <c r="AN1407" s="34"/>
      <c r="AO1407" s="34"/>
      <c r="AP1407" s="34"/>
      <c r="AQ1407" s="34"/>
      <c r="AR1407" s="34"/>
      <c r="AS1407" s="34"/>
      <c r="AT1407" s="34"/>
      <c r="AU1407" s="34"/>
      <c r="AV1407" s="34"/>
      <c r="AW1407" s="34"/>
      <c r="AX1407" s="34"/>
      <c r="AY1407" s="34"/>
      <c r="AZ1407" s="34"/>
      <c r="BA1407" s="34"/>
      <c r="BB1407" s="34"/>
      <c r="BC1407" s="34"/>
      <c r="BD1407" s="34"/>
      <c r="BE1407" s="34"/>
      <c r="BF1407" s="34"/>
      <c r="BG1407" s="34"/>
      <c r="BH1407" s="34"/>
      <c r="BI1407" s="34"/>
      <c r="BJ1407" s="34"/>
      <c r="BK1407" s="34"/>
      <c r="BL1407" s="34"/>
      <c r="BM1407" s="34"/>
      <c r="BN1407" s="34"/>
      <c r="BO1407" s="34"/>
      <c r="BP1407" s="34"/>
      <c r="BQ1407" s="34"/>
      <c r="BR1407" s="34"/>
      <c r="BS1407" s="34"/>
      <c r="BT1407" s="34"/>
      <c r="BU1407" s="34"/>
      <c r="BV1407" s="34"/>
      <c r="BW1407" s="34"/>
      <c r="BX1407" s="34"/>
      <c r="BY1407" s="34"/>
      <c r="BZ1407" s="34"/>
      <c r="CA1407" s="34"/>
      <c r="CB1407" s="34"/>
      <c r="CC1407" s="34"/>
      <c r="CD1407" s="34"/>
      <c r="CE1407" s="34"/>
      <c r="CF1407" s="34"/>
      <c r="CG1407" s="34"/>
      <c r="CH1407" s="34"/>
      <c r="CI1407" s="8"/>
    </row>
    <row r="1408" spans="1:87" x14ac:dyDescent="0.2">
      <c r="A1408" s="8" t="str">
        <f>IF(AND(COUNTIF(W$3:W$13,A$21)&gt;0,A$21&lt;&gt;B1308),A$21,IFERROR(IF(MATCH(A$21,Z$3:Z$13,0)=5,A$21," ")," "))</f>
        <v>C7</v>
      </c>
      <c r="B1408" s="8">
        <f>IF(A1408=" "," ",MAX(B1402:B1407)+1)</f>
        <v>3</v>
      </c>
      <c r="C1408" s="8" t="str">
        <f>IFERROR(INDEX(A1402:A1423,MATCH(SMALL(B1402:B1423,7),B1402:B1423,0),1)," ")</f>
        <v>C18</v>
      </c>
      <c r="D1408" s="8">
        <f t="shared" si="6042"/>
        <v>0</v>
      </c>
      <c r="E1408" s="8">
        <f t="shared" si="6043"/>
        <v>0</v>
      </c>
      <c r="F1408" s="8">
        <f t="shared" si="6044"/>
        <v>0</v>
      </c>
      <c r="G1408" s="8">
        <f t="shared" si="6045"/>
        <v>0</v>
      </c>
      <c r="H1408" s="8">
        <f t="shared" si="6046"/>
        <v>0</v>
      </c>
      <c r="I1408" s="8">
        <f t="shared" si="6047"/>
        <v>0</v>
      </c>
      <c r="J1408" s="8">
        <f t="shared" si="6048"/>
        <v>1</v>
      </c>
      <c r="K1408" s="8">
        <f t="shared" si="6049"/>
        <v>0</v>
      </c>
      <c r="L1408" s="8">
        <f t="shared" si="6050"/>
        <v>0</v>
      </c>
      <c r="M1408" s="8">
        <f t="shared" si="6051"/>
        <v>0</v>
      </c>
      <c r="N1408" s="8">
        <f t="shared" si="6052"/>
        <v>0</v>
      </c>
      <c r="O1408" s="8">
        <f t="shared" si="6053"/>
        <v>0</v>
      </c>
      <c r="P1408" s="8" t="e">
        <v>#NUM!</v>
      </c>
      <c r="Q1408" s="8" t="e">
        <f t="shared" ref="Q1408" si="6081">IF(COUNTIF(P1402:P1412,"&lt;"&amp;-0.001)=0,IF(ABS(P1408)&lt;0.001,0,P1408)," ")</f>
        <v>#NUM!</v>
      </c>
      <c r="R1408" s="8"/>
      <c r="S1408" s="8"/>
      <c r="U1408" s="34"/>
      <c r="V1408" s="34"/>
      <c r="W1408" s="34"/>
      <c r="X1408" s="34"/>
      <c r="Y1408" s="34"/>
      <c r="Z1408" s="34"/>
      <c r="AA1408" s="34"/>
      <c r="AB1408" s="34"/>
      <c r="AC1408" s="34"/>
      <c r="AD1408" s="34"/>
      <c r="AE1408" s="34"/>
      <c r="AF1408" s="34"/>
      <c r="AG1408" s="34"/>
      <c r="AH1408" s="34"/>
      <c r="AI1408" s="34"/>
      <c r="AJ1408" s="34"/>
      <c r="AK1408" s="34"/>
      <c r="AL1408" s="34"/>
      <c r="AM1408" s="34"/>
      <c r="AN1408" s="34"/>
      <c r="AO1408" s="34"/>
      <c r="AP1408" s="34"/>
      <c r="AQ1408" s="34"/>
      <c r="AR1408" s="34"/>
      <c r="AS1408" s="34"/>
      <c r="AT1408" s="34"/>
      <c r="AU1408" s="34"/>
      <c r="AV1408" s="34"/>
      <c r="AW1408" s="34"/>
      <c r="AX1408" s="34"/>
      <c r="AY1408" s="34"/>
      <c r="AZ1408" s="34"/>
      <c r="BA1408" s="34"/>
      <c r="BB1408" s="34"/>
      <c r="BC1408" s="34"/>
      <c r="BD1408" s="34"/>
      <c r="BE1408" s="34"/>
      <c r="BF1408" s="34"/>
      <c r="BG1408" s="34"/>
      <c r="BH1408" s="34"/>
      <c r="BI1408" s="34"/>
      <c r="BJ1408" s="34"/>
      <c r="BK1408" s="34"/>
      <c r="BL1408" s="34"/>
      <c r="BM1408" s="34"/>
      <c r="BN1408" s="34"/>
      <c r="BO1408" s="34"/>
      <c r="BP1408" s="34"/>
      <c r="BQ1408" s="34"/>
      <c r="BR1408" s="34"/>
      <c r="BS1408" s="34"/>
      <c r="BT1408" s="34"/>
      <c r="BU1408" s="34"/>
      <c r="BV1408" s="34"/>
      <c r="BW1408" s="34"/>
      <c r="BX1408" s="34"/>
      <c r="BY1408" s="34"/>
      <c r="BZ1408" s="34"/>
      <c r="CA1408" s="34"/>
      <c r="CB1408" s="34"/>
      <c r="CC1408" s="34"/>
      <c r="CD1408" s="34"/>
      <c r="CE1408" s="34"/>
      <c r="CF1408" s="34"/>
      <c r="CG1408" s="34"/>
      <c r="CH1408" s="34"/>
      <c r="CI1408" s="8"/>
    </row>
    <row r="1409" spans="1:87" x14ac:dyDescent="0.2">
      <c r="A1409" s="8" t="str">
        <f>IF(AND(COUNTIF(W$3:W$13,A$22)&gt;0,A$22&lt;&gt;B1308),A$22,IFERROR(IF(MATCH(A$22,Z$3:Z$13,0)=5,A$22," ")," "))</f>
        <v xml:space="preserve"> </v>
      </c>
      <c r="B1409" s="8" t="str">
        <f>IF(A1409=" "," ",MAX(B1402:B1408)+1)</f>
        <v xml:space="preserve"> </v>
      </c>
      <c r="C1409" s="8" t="str">
        <f>IFERROR(INDEX(A1402:A1423,MATCH(SMALL(B1402:B1423,8),B1402:B1423,0),1)," ")</f>
        <v>C19</v>
      </c>
      <c r="D1409" s="8">
        <f t="shared" si="6042"/>
        <v>0</v>
      </c>
      <c r="E1409" s="8">
        <f t="shared" si="6043"/>
        <v>0</v>
      </c>
      <c r="F1409" s="8">
        <f t="shared" si="6044"/>
        <v>0</v>
      </c>
      <c r="G1409" s="8">
        <f t="shared" si="6045"/>
        <v>0</v>
      </c>
      <c r="H1409" s="8">
        <f t="shared" si="6046"/>
        <v>0</v>
      </c>
      <c r="I1409" s="8">
        <f t="shared" si="6047"/>
        <v>0</v>
      </c>
      <c r="J1409" s="8">
        <f t="shared" si="6048"/>
        <v>0</v>
      </c>
      <c r="K1409" s="8">
        <f t="shared" si="6049"/>
        <v>1</v>
      </c>
      <c r="L1409" s="8">
        <f t="shared" si="6050"/>
        <v>0</v>
      </c>
      <c r="M1409" s="8">
        <f t="shared" si="6051"/>
        <v>0</v>
      </c>
      <c r="N1409" s="8">
        <f t="shared" si="6052"/>
        <v>0</v>
      </c>
      <c r="O1409" s="8">
        <f t="shared" si="6053"/>
        <v>0</v>
      </c>
      <c r="P1409" s="8" t="e">
        <v>#NUM!</v>
      </c>
      <c r="Q1409" s="8" t="e">
        <f t="shared" ref="Q1409" si="6082">IF(COUNTIF(P1402:P1412,"&lt;"&amp;-0.001)=0,IF(ABS(P1409)&lt;0.001,0,P1409)," ")</f>
        <v>#NUM!</v>
      </c>
      <c r="R1409" s="8"/>
      <c r="S1409" s="8"/>
      <c r="U1409" s="34"/>
      <c r="V1409" s="34"/>
      <c r="W1409" s="34"/>
      <c r="X1409" s="34"/>
      <c r="Y1409" s="34"/>
      <c r="Z1409" s="34"/>
      <c r="AA1409" s="34"/>
      <c r="AB1409" s="34"/>
      <c r="AC1409" s="34"/>
      <c r="AD1409" s="34"/>
      <c r="AE1409" s="34"/>
      <c r="AF1409" s="34"/>
      <c r="AG1409" s="34"/>
      <c r="AH1409" s="34"/>
      <c r="AI1409" s="34"/>
      <c r="AJ1409" s="34"/>
      <c r="AK1409" s="34"/>
      <c r="AL1409" s="34"/>
      <c r="AM1409" s="34"/>
      <c r="AN1409" s="34"/>
      <c r="AO1409" s="34"/>
      <c r="AP1409" s="34"/>
      <c r="AQ1409" s="34"/>
      <c r="AR1409" s="34"/>
      <c r="AS1409" s="34"/>
      <c r="AT1409" s="34"/>
      <c r="AU1409" s="34"/>
      <c r="AV1409" s="34"/>
      <c r="AW1409" s="34"/>
      <c r="AX1409" s="34"/>
      <c r="AY1409" s="34"/>
      <c r="AZ1409" s="34"/>
      <c r="BA1409" s="34"/>
      <c r="BB1409" s="34"/>
      <c r="BC1409" s="34"/>
      <c r="BD1409" s="34"/>
      <c r="BE1409" s="34"/>
      <c r="BF1409" s="34"/>
      <c r="BG1409" s="34"/>
      <c r="BH1409" s="34"/>
      <c r="BI1409" s="34"/>
      <c r="BJ1409" s="34"/>
      <c r="BK1409" s="34"/>
      <c r="BL1409" s="34"/>
      <c r="BM1409" s="34"/>
      <c r="BN1409" s="34"/>
      <c r="BO1409" s="34"/>
      <c r="BP1409" s="34"/>
      <c r="BQ1409" s="34"/>
      <c r="BR1409" s="34"/>
      <c r="BS1409" s="34"/>
      <c r="BT1409" s="34"/>
      <c r="BU1409" s="34"/>
      <c r="BV1409" s="34"/>
      <c r="BW1409" s="34"/>
      <c r="BX1409" s="34"/>
      <c r="BY1409" s="34"/>
      <c r="BZ1409" s="34"/>
      <c r="CA1409" s="34"/>
      <c r="CB1409" s="34"/>
      <c r="CC1409" s="34"/>
      <c r="CD1409" s="34"/>
      <c r="CE1409" s="34"/>
      <c r="CF1409" s="34"/>
      <c r="CG1409" s="34"/>
      <c r="CH1409" s="34"/>
      <c r="CI1409" s="8"/>
    </row>
    <row r="1410" spans="1:87" x14ac:dyDescent="0.2">
      <c r="A1410" s="8" t="str">
        <f>IF(AND(COUNTIF(W$3:W$13,A$23)&gt;0,A$23&lt;&gt;B1308),A$23,IFERROR(IF(MATCH(A$23,Z$3:Z$13,0)=5,A$23," ")," "))</f>
        <v xml:space="preserve"> </v>
      </c>
      <c r="B1410" s="8" t="str">
        <f>IF(A1410=" "," ",MAX(B1402:B1409)+1)</f>
        <v xml:space="preserve"> </v>
      </c>
      <c r="C1410" s="8" t="str">
        <f>IFERROR(INDEX(A1402:A1423,MATCH(SMALL(B1402:B1423,9),B1402:B1423,0),1)," ")</f>
        <v>C20</v>
      </c>
      <c r="D1410" s="8">
        <f t="shared" si="6042"/>
        <v>0</v>
      </c>
      <c r="E1410" s="8">
        <f t="shared" si="6043"/>
        <v>0</v>
      </c>
      <c r="F1410" s="8">
        <f t="shared" si="6044"/>
        <v>0</v>
      </c>
      <c r="G1410" s="8">
        <f t="shared" si="6045"/>
        <v>0</v>
      </c>
      <c r="H1410" s="8">
        <f t="shared" si="6046"/>
        <v>0</v>
      </c>
      <c r="I1410" s="8">
        <f t="shared" si="6047"/>
        <v>0</v>
      </c>
      <c r="J1410" s="8">
        <f t="shared" si="6048"/>
        <v>0</v>
      </c>
      <c r="K1410" s="8">
        <f t="shared" si="6049"/>
        <v>0</v>
      </c>
      <c r="L1410" s="8">
        <f t="shared" si="6050"/>
        <v>1</v>
      </c>
      <c r="M1410" s="8">
        <f t="shared" si="6051"/>
        <v>0</v>
      </c>
      <c r="N1410" s="8">
        <f t="shared" si="6052"/>
        <v>0</v>
      </c>
      <c r="O1410" s="8">
        <f t="shared" si="6053"/>
        <v>0</v>
      </c>
      <c r="P1410" s="6" t="e">
        <v>#NUM!</v>
      </c>
      <c r="Q1410" s="8" t="e">
        <f t="shared" ref="Q1410" si="6083">IF(COUNTIF(P1402:P1412,"&lt;"&amp;-0.001)=0,IF(ABS(P1410)&lt;0.001,0,P1410)," ")</f>
        <v>#NUM!</v>
      </c>
      <c r="R1410" s="8"/>
      <c r="S1410" s="8"/>
      <c r="U1410" s="34"/>
      <c r="V1410" s="34"/>
      <c r="W1410" s="34"/>
      <c r="X1410" s="34"/>
      <c r="Y1410" s="34"/>
      <c r="Z1410" s="34"/>
      <c r="AA1410" s="34"/>
      <c r="AB1410" s="34"/>
      <c r="AC1410" s="34"/>
      <c r="AD1410" s="34"/>
      <c r="AE1410" s="34"/>
      <c r="AF1410" s="34"/>
      <c r="AG1410" s="34"/>
      <c r="AH1410" s="34"/>
      <c r="AI1410" s="34"/>
      <c r="AJ1410" s="34"/>
      <c r="AK1410" s="34"/>
      <c r="AL1410" s="34"/>
      <c r="AM1410" s="34"/>
      <c r="AN1410" s="34"/>
      <c r="AO1410" s="34"/>
      <c r="AP1410" s="34"/>
      <c r="AQ1410" s="34"/>
      <c r="AR1410" s="34"/>
      <c r="AS1410" s="34"/>
      <c r="AT1410" s="34"/>
      <c r="AU1410" s="34"/>
      <c r="AV1410" s="34"/>
      <c r="AW1410" s="34"/>
      <c r="AX1410" s="34"/>
      <c r="AY1410" s="34"/>
      <c r="AZ1410" s="34"/>
      <c r="BA1410" s="34"/>
      <c r="BB1410" s="34"/>
      <c r="BC1410" s="34"/>
      <c r="BD1410" s="34"/>
      <c r="BE1410" s="34"/>
      <c r="BF1410" s="34"/>
      <c r="BG1410" s="34"/>
      <c r="BH1410" s="34"/>
      <c r="BI1410" s="34"/>
      <c r="BJ1410" s="34"/>
      <c r="BK1410" s="34"/>
      <c r="BL1410" s="34"/>
      <c r="BM1410" s="34"/>
      <c r="BN1410" s="34"/>
      <c r="BO1410" s="34"/>
      <c r="BP1410" s="34"/>
      <c r="BQ1410" s="34"/>
      <c r="BR1410" s="34"/>
      <c r="BS1410" s="34"/>
      <c r="BT1410" s="34"/>
      <c r="BU1410" s="34"/>
      <c r="BV1410" s="34"/>
      <c r="BW1410" s="34"/>
      <c r="BX1410" s="34"/>
      <c r="BY1410" s="34"/>
      <c r="BZ1410" s="34"/>
      <c r="CA1410" s="34"/>
      <c r="CB1410" s="34"/>
      <c r="CC1410" s="34"/>
      <c r="CD1410" s="34"/>
      <c r="CE1410" s="34"/>
      <c r="CF1410" s="34"/>
      <c r="CG1410" s="34"/>
      <c r="CH1410" s="34"/>
      <c r="CI1410" s="8"/>
    </row>
    <row r="1411" spans="1:87" x14ac:dyDescent="0.2">
      <c r="A1411" s="8" t="str">
        <f>IF(AND(COUNTIF(W$3:W$13,A$24)&gt;0,A$24&lt;&gt;B1308),A$24,IFERROR(IF(MATCH(A$24,Z$3:Z$13,0)=5,A$24," ")," "))</f>
        <v xml:space="preserve"> </v>
      </c>
      <c r="B1411" s="8" t="str">
        <f>IF(A1411=" "," ",MAX(B1402:B1410)+1)</f>
        <v xml:space="preserve"> </v>
      </c>
      <c r="C1411" s="8" t="str">
        <f>IFERROR(INDEX(A1402:A1423,MATCH(SMALL(B1402:B1423,10),B1402:B1423,0),1)," ")</f>
        <v>C21</v>
      </c>
      <c r="D1411" s="8">
        <f t="shared" si="6042"/>
        <v>0</v>
      </c>
      <c r="E1411" s="8">
        <f t="shared" si="6043"/>
        <v>0</v>
      </c>
      <c r="F1411" s="8">
        <f t="shared" si="6044"/>
        <v>0</v>
      </c>
      <c r="G1411" s="8">
        <f t="shared" si="6045"/>
        <v>0</v>
      </c>
      <c r="H1411" s="8">
        <f t="shared" si="6046"/>
        <v>0</v>
      </c>
      <c r="I1411" s="8">
        <f t="shared" si="6047"/>
        <v>0</v>
      </c>
      <c r="J1411" s="8">
        <f t="shared" si="6048"/>
        <v>0</v>
      </c>
      <c r="K1411" s="8">
        <f t="shared" si="6049"/>
        <v>0</v>
      </c>
      <c r="L1411" s="8">
        <f t="shared" si="6050"/>
        <v>0</v>
      </c>
      <c r="M1411" s="8">
        <f t="shared" si="6051"/>
        <v>1</v>
      </c>
      <c r="N1411" s="8">
        <f t="shared" si="6052"/>
        <v>0</v>
      </c>
      <c r="O1411" s="8">
        <f t="shared" si="6053"/>
        <v>0</v>
      </c>
      <c r="P1411" s="8" t="e">
        <v>#NUM!</v>
      </c>
      <c r="Q1411" s="8" t="e">
        <f t="shared" ref="Q1411" si="6084">IF(COUNTIF(P1402:P1412,"&lt;"&amp;-0.001)=0,IF(ABS(P1411)&lt;0.001,0,P1411)," ")</f>
        <v>#NUM!</v>
      </c>
      <c r="R1411" s="8"/>
      <c r="S1411" s="8"/>
      <c r="U1411" s="34"/>
      <c r="V1411" s="34"/>
      <c r="W1411" s="34"/>
      <c r="X1411" s="34"/>
      <c r="Y1411" s="34"/>
      <c r="Z1411" s="34"/>
      <c r="AA1411" s="34"/>
      <c r="AB1411" s="34"/>
      <c r="AC1411" s="34"/>
      <c r="AD1411" s="34"/>
      <c r="AE1411" s="34"/>
      <c r="AF1411" s="34"/>
      <c r="AG1411" s="34"/>
      <c r="AH1411" s="34"/>
      <c r="AI1411" s="34"/>
      <c r="AJ1411" s="34"/>
      <c r="AK1411" s="34"/>
      <c r="AL1411" s="34"/>
      <c r="AM1411" s="34"/>
      <c r="AN1411" s="34"/>
      <c r="AO1411" s="34"/>
      <c r="AP1411" s="34"/>
      <c r="AQ1411" s="34"/>
      <c r="AR1411" s="34"/>
      <c r="AS1411" s="34"/>
      <c r="AT1411" s="34"/>
      <c r="AU1411" s="34"/>
      <c r="AV1411" s="34"/>
      <c r="AW1411" s="34"/>
      <c r="AX1411" s="34"/>
      <c r="AY1411" s="34"/>
      <c r="AZ1411" s="34"/>
      <c r="BA1411" s="34"/>
      <c r="BB1411" s="34"/>
      <c r="BC1411" s="34"/>
      <c r="BD1411" s="34"/>
      <c r="BE1411" s="34"/>
      <c r="BF1411" s="34"/>
      <c r="BG1411" s="34"/>
      <c r="BH1411" s="34"/>
      <c r="BI1411" s="34"/>
      <c r="BJ1411" s="34"/>
      <c r="BK1411" s="34"/>
      <c r="BL1411" s="34"/>
      <c r="BM1411" s="34"/>
      <c r="BN1411" s="34"/>
      <c r="BO1411" s="34"/>
      <c r="BP1411" s="34"/>
      <c r="BQ1411" s="34"/>
      <c r="BR1411" s="34"/>
      <c r="BS1411" s="34"/>
      <c r="BT1411" s="34"/>
      <c r="BU1411" s="34"/>
      <c r="BV1411" s="34"/>
      <c r="BW1411" s="34"/>
      <c r="BX1411" s="34"/>
      <c r="BY1411" s="34"/>
      <c r="BZ1411" s="34"/>
      <c r="CA1411" s="34"/>
      <c r="CB1411" s="34"/>
      <c r="CC1411" s="34"/>
      <c r="CD1411" s="34"/>
      <c r="CE1411" s="34"/>
      <c r="CF1411" s="34"/>
      <c r="CG1411" s="34"/>
      <c r="CH1411" s="34"/>
      <c r="CI1411" s="8"/>
    </row>
    <row r="1412" spans="1:87" x14ac:dyDescent="0.2">
      <c r="A1412" s="8" t="str">
        <f>IF(AND(COUNTIF(W$3:W$13,A$25)&gt;0,A$25&lt;&gt;B1308),A$25,IFERROR(IF(MATCH(A$25,Z$3:Z$13,0)=5,A$25," ")," "))</f>
        <v xml:space="preserve"> </v>
      </c>
      <c r="B1412" s="8" t="str">
        <f>IF(A1412=" "," ",MAX(B1402:B1411)+1)</f>
        <v xml:space="preserve"> </v>
      </c>
      <c r="C1412" s="8" t="str">
        <f>IFERROR(INDEX(A1402:A1423,MATCH(SMALL(B1402:B1423,11),B1402:B1423,0),1)," ")</f>
        <v>C22</v>
      </c>
      <c r="D1412" s="8">
        <f t="shared" si="6042"/>
        <v>0</v>
      </c>
      <c r="E1412" s="8">
        <f t="shared" si="6043"/>
        <v>0</v>
      </c>
      <c r="F1412" s="8">
        <f t="shared" si="6044"/>
        <v>0</v>
      </c>
      <c r="G1412" s="8">
        <f t="shared" si="6045"/>
        <v>0</v>
      </c>
      <c r="H1412" s="8">
        <f t="shared" si="6046"/>
        <v>0</v>
      </c>
      <c r="I1412" s="8">
        <f t="shared" si="6047"/>
        <v>0</v>
      </c>
      <c r="J1412" s="8">
        <f t="shared" si="6048"/>
        <v>0</v>
      </c>
      <c r="K1412" s="8">
        <f t="shared" si="6049"/>
        <v>0</v>
      </c>
      <c r="L1412" s="8">
        <f t="shared" si="6050"/>
        <v>0</v>
      </c>
      <c r="M1412" s="8">
        <f t="shared" si="6051"/>
        <v>0</v>
      </c>
      <c r="N1412" s="8">
        <f t="shared" si="6052"/>
        <v>1</v>
      </c>
      <c r="O1412" s="8">
        <f t="shared" si="6053"/>
        <v>0</v>
      </c>
      <c r="P1412" s="8" t="e">
        <v>#NUM!</v>
      </c>
      <c r="Q1412" s="8" t="e">
        <f t="shared" ref="Q1412" si="6085">IF(COUNTIF(P1402:P1412,"&lt;"&amp;-0.001)=0,IF(ABS(P1412)&lt;0.001,0,P1412)," ")</f>
        <v>#NUM!</v>
      </c>
      <c r="R1412" s="8"/>
      <c r="S1412" s="8"/>
      <c r="U1412" s="34"/>
      <c r="V1412" s="34"/>
      <c r="W1412" s="34"/>
      <c r="X1412" s="34"/>
      <c r="Y1412" s="34"/>
      <c r="Z1412" s="34"/>
      <c r="AA1412" s="34"/>
      <c r="AB1412" s="34"/>
      <c r="AC1412" s="34"/>
      <c r="AD1412" s="34"/>
      <c r="AE1412" s="34"/>
      <c r="AF1412" s="34"/>
      <c r="AG1412" s="34"/>
      <c r="AH1412" s="34"/>
      <c r="AI1412" s="34"/>
      <c r="AJ1412" s="34"/>
      <c r="AK1412" s="34"/>
      <c r="AL1412" s="34"/>
      <c r="AM1412" s="34"/>
      <c r="AN1412" s="34"/>
      <c r="AO1412" s="34"/>
      <c r="AP1412" s="34"/>
      <c r="AQ1412" s="34"/>
      <c r="AR1412" s="34"/>
      <c r="AS1412" s="34"/>
      <c r="AT1412" s="34"/>
      <c r="AU1412" s="34"/>
      <c r="AV1412" s="34"/>
      <c r="AW1412" s="34"/>
      <c r="AX1412" s="34"/>
      <c r="AY1412" s="34"/>
      <c r="AZ1412" s="34"/>
      <c r="BA1412" s="34"/>
      <c r="BB1412" s="34"/>
      <c r="BC1412" s="34"/>
      <c r="BD1412" s="34"/>
      <c r="BE1412" s="34"/>
      <c r="BF1412" s="34"/>
      <c r="BG1412" s="34"/>
      <c r="BH1412" s="34"/>
      <c r="BI1412" s="34"/>
      <c r="BJ1412" s="34"/>
      <c r="BK1412" s="34"/>
      <c r="BL1412" s="34"/>
      <c r="BM1412" s="34"/>
      <c r="BN1412" s="34"/>
      <c r="BO1412" s="34"/>
      <c r="BP1412" s="34"/>
      <c r="BQ1412" s="34"/>
      <c r="BR1412" s="34"/>
      <c r="BS1412" s="34"/>
      <c r="BT1412" s="34"/>
      <c r="BU1412" s="34"/>
      <c r="BV1412" s="34"/>
      <c r="BW1412" s="34"/>
      <c r="BX1412" s="34"/>
      <c r="BY1412" s="34"/>
      <c r="BZ1412" s="34"/>
      <c r="CA1412" s="34"/>
      <c r="CB1412" s="34"/>
      <c r="CC1412" s="34"/>
      <c r="CD1412" s="34"/>
      <c r="CE1412" s="34"/>
      <c r="CF1412" s="34"/>
      <c r="CG1412" s="34"/>
      <c r="CH1412" s="34"/>
      <c r="CI1412" s="8"/>
    </row>
    <row r="1413" spans="1:87" x14ac:dyDescent="0.2">
      <c r="A1413" s="8" t="str">
        <f>IF(AND(COUNTIF(W$3:W$13,A$26)&gt;0,A$26&lt;&gt;B1308),A$26,IFERROR(IF(MATCH(A$26,Z$3:Z$13,0)=5,A$26," ")," "))</f>
        <v xml:space="preserve"> </v>
      </c>
      <c r="B1413" s="8" t="str">
        <f>IF(A1413=" "," ",MAX(B1402:B1412)+1)</f>
        <v xml:space="preserve"> </v>
      </c>
      <c r="C1413" s="8"/>
      <c r="D1413" s="8"/>
      <c r="E1413" s="8"/>
      <c r="F1413" s="8"/>
      <c r="G1413" s="8"/>
      <c r="H1413" s="8"/>
      <c r="I1413" s="8"/>
      <c r="J1413" s="8"/>
      <c r="K1413" s="8"/>
      <c r="L1413" s="8"/>
      <c r="M1413" s="8"/>
      <c r="N1413" s="8"/>
      <c r="O1413" s="8"/>
      <c r="P1413" s="8"/>
      <c r="Q1413" s="8"/>
      <c r="R1413" s="8"/>
      <c r="S1413" s="8"/>
      <c r="U1413" s="34"/>
      <c r="V1413" s="34"/>
      <c r="W1413" s="34"/>
      <c r="X1413" s="34"/>
      <c r="Y1413" s="34"/>
      <c r="Z1413" s="34"/>
      <c r="AA1413" s="34"/>
      <c r="AB1413" s="34"/>
      <c r="AC1413" s="34"/>
      <c r="AD1413" s="34"/>
      <c r="AE1413" s="34"/>
      <c r="AF1413" s="34"/>
      <c r="AG1413" s="34"/>
      <c r="AH1413" s="34"/>
      <c r="AI1413" s="34"/>
      <c r="AJ1413" s="34"/>
      <c r="AK1413" s="34"/>
      <c r="AL1413" s="34"/>
      <c r="AM1413" s="34"/>
      <c r="AN1413" s="34"/>
      <c r="AO1413" s="34"/>
      <c r="AP1413" s="34"/>
      <c r="AQ1413" s="34"/>
      <c r="AR1413" s="34"/>
      <c r="AS1413" s="34"/>
      <c r="AT1413" s="34"/>
      <c r="AU1413" s="34"/>
      <c r="AV1413" s="34"/>
      <c r="AW1413" s="34"/>
      <c r="AX1413" s="34"/>
      <c r="AY1413" s="34"/>
      <c r="AZ1413" s="34"/>
      <c r="BA1413" s="34"/>
      <c r="BB1413" s="34"/>
      <c r="BC1413" s="34"/>
      <c r="BD1413" s="34"/>
      <c r="BE1413" s="34"/>
      <c r="BF1413" s="34"/>
      <c r="BG1413" s="34"/>
      <c r="BH1413" s="34"/>
      <c r="BI1413" s="34"/>
      <c r="BJ1413" s="34"/>
      <c r="BK1413" s="34"/>
      <c r="BL1413" s="34"/>
      <c r="BM1413" s="34"/>
      <c r="BN1413" s="34"/>
      <c r="BO1413" s="34"/>
      <c r="BP1413" s="34"/>
      <c r="BQ1413" s="34"/>
      <c r="BR1413" s="34"/>
      <c r="BS1413" s="34"/>
      <c r="BT1413" s="34"/>
      <c r="BU1413" s="34"/>
      <c r="BV1413" s="34"/>
      <c r="BW1413" s="34"/>
      <c r="BX1413" s="34"/>
      <c r="BY1413" s="34"/>
      <c r="BZ1413" s="34"/>
      <c r="CA1413" s="34"/>
      <c r="CB1413" s="34"/>
      <c r="CC1413" s="34"/>
      <c r="CD1413" s="34"/>
      <c r="CE1413" s="34"/>
      <c r="CF1413" s="34"/>
      <c r="CG1413" s="34"/>
      <c r="CH1413" s="34"/>
      <c r="CI1413" s="8"/>
    </row>
    <row r="1414" spans="1:87" x14ac:dyDescent="0.2">
      <c r="A1414" s="8" t="str">
        <f>IF(AND(COUNTIF(W$3:W$13,A$27)&gt;0,A$27&lt;&gt;B1308),A$27,IFERROR(IF(MATCH(A$27,Z$3:Z$13,0)=5,A$27," ")," "))</f>
        <v>C13</v>
      </c>
      <c r="B1414" s="8">
        <f>IF(A1414=" "," ",MAX(B1402:B1413)+1)</f>
        <v>4</v>
      </c>
      <c r="C1414" s="8"/>
      <c r="D1414" s="8"/>
      <c r="E1414" s="8"/>
      <c r="F1414" s="8"/>
      <c r="G1414" s="8"/>
      <c r="H1414" s="8"/>
      <c r="I1414" s="8"/>
      <c r="J1414" s="8"/>
      <c r="K1414" s="8"/>
      <c r="L1414" s="8"/>
      <c r="M1414" s="8"/>
      <c r="N1414" s="8"/>
      <c r="O1414" s="8"/>
      <c r="P1414" s="8"/>
      <c r="Q1414" s="8"/>
      <c r="R1414" s="8"/>
      <c r="S1414" s="8"/>
      <c r="U1414" s="34"/>
      <c r="V1414" s="34"/>
      <c r="W1414" s="34"/>
      <c r="X1414" s="34"/>
      <c r="Y1414" s="34"/>
      <c r="Z1414" s="34"/>
      <c r="AA1414" s="34"/>
      <c r="AB1414" s="34"/>
      <c r="AC1414" s="34"/>
      <c r="AD1414" s="34"/>
      <c r="AE1414" s="34"/>
      <c r="AF1414" s="34"/>
      <c r="AG1414" s="34"/>
      <c r="AH1414" s="34"/>
      <c r="AI1414" s="34"/>
      <c r="AJ1414" s="34"/>
      <c r="AK1414" s="34"/>
      <c r="AL1414" s="34"/>
      <c r="AM1414" s="34"/>
      <c r="AN1414" s="34"/>
      <c r="AO1414" s="34"/>
      <c r="AP1414" s="34"/>
      <c r="AQ1414" s="34"/>
      <c r="AR1414" s="34"/>
      <c r="AS1414" s="34"/>
      <c r="AT1414" s="34"/>
      <c r="AU1414" s="34"/>
      <c r="AV1414" s="34"/>
      <c r="AW1414" s="34"/>
      <c r="AX1414" s="34"/>
      <c r="AY1414" s="34"/>
      <c r="AZ1414" s="34"/>
      <c r="BA1414" s="34"/>
      <c r="BB1414" s="34"/>
      <c r="BC1414" s="34"/>
      <c r="BD1414" s="34"/>
      <c r="BE1414" s="34"/>
      <c r="BF1414" s="34"/>
      <c r="BG1414" s="34"/>
      <c r="BH1414" s="34"/>
      <c r="BI1414" s="34"/>
      <c r="BJ1414" s="34"/>
      <c r="BK1414" s="34"/>
      <c r="BL1414" s="34"/>
      <c r="BM1414" s="34"/>
      <c r="BN1414" s="34"/>
      <c r="BO1414" s="34"/>
      <c r="BP1414" s="34"/>
      <c r="BQ1414" s="34"/>
      <c r="BR1414" s="34"/>
      <c r="BS1414" s="34"/>
      <c r="BT1414" s="34"/>
      <c r="BU1414" s="34"/>
      <c r="BV1414" s="34"/>
      <c r="BW1414" s="34"/>
      <c r="BX1414" s="34"/>
      <c r="BY1414" s="34"/>
      <c r="BZ1414" s="34"/>
      <c r="CA1414" s="34"/>
      <c r="CB1414" s="34"/>
      <c r="CC1414" s="34"/>
      <c r="CD1414" s="34"/>
      <c r="CE1414" s="34"/>
      <c r="CF1414" s="34"/>
      <c r="CG1414" s="34"/>
      <c r="CH1414" s="34"/>
      <c r="CI1414" s="8"/>
    </row>
    <row r="1415" spans="1:87" x14ac:dyDescent="0.2">
      <c r="A1415" s="8" t="str">
        <f>IF(AND(COUNTIF(W$3:W$13,A$28)&gt;0,A$28&lt;&gt;B1308),A$28,IFERROR(IF(MATCH(A$28,Z$3:Z$13,0)=5,A$28," ")," "))</f>
        <v xml:space="preserve"> </v>
      </c>
      <c r="B1415" s="8" t="str">
        <f>IF(A1415=" "," ",MAX(B1402:B1414)+1)</f>
        <v xml:space="preserve"> </v>
      </c>
      <c r="C1415" s="8"/>
      <c r="D1415" s="8"/>
      <c r="E1415" s="8"/>
      <c r="F1415" s="8"/>
      <c r="G1415" s="8"/>
      <c r="H1415" s="8"/>
      <c r="I1415" s="8"/>
      <c r="J1415" s="8"/>
      <c r="K1415" s="8"/>
      <c r="L1415" s="8"/>
      <c r="M1415" s="8"/>
      <c r="N1415" s="8"/>
      <c r="O1415" s="8"/>
      <c r="P1415" s="8"/>
      <c r="Q1415" s="8"/>
      <c r="R1415" s="8"/>
      <c r="S1415" s="8"/>
      <c r="U1415" s="34"/>
      <c r="V1415" s="34"/>
      <c r="W1415" s="34"/>
      <c r="X1415" s="34"/>
      <c r="Y1415" s="34"/>
      <c r="Z1415" s="34"/>
      <c r="AA1415" s="34"/>
      <c r="AB1415" s="34"/>
      <c r="AC1415" s="34"/>
      <c r="AD1415" s="34"/>
      <c r="AE1415" s="34"/>
      <c r="AF1415" s="34"/>
      <c r="AG1415" s="34"/>
      <c r="AH1415" s="34"/>
      <c r="AI1415" s="34"/>
      <c r="AJ1415" s="34"/>
      <c r="AK1415" s="34"/>
      <c r="AL1415" s="34"/>
      <c r="AM1415" s="34"/>
      <c r="AN1415" s="34"/>
      <c r="AO1415" s="34"/>
      <c r="AP1415" s="34"/>
      <c r="AQ1415" s="34"/>
      <c r="AR1415" s="34"/>
      <c r="AS1415" s="34"/>
      <c r="AT1415" s="34"/>
      <c r="AU1415" s="34"/>
      <c r="AV1415" s="34"/>
      <c r="AW1415" s="34"/>
      <c r="AX1415" s="34"/>
      <c r="AY1415" s="34"/>
      <c r="AZ1415" s="34"/>
      <c r="BA1415" s="34"/>
      <c r="BB1415" s="34"/>
      <c r="BC1415" s="34"/>
      <c r="BD1415" s="34"/>
      <c r="BE1415" s="34"/>
      <c r="BF1415" s="34"/>
      <c r="BG1415" s="34"/>
      <c r="BH1415" s="34"/>
      <c r="BI1415" s="34"/>
      <c r="BJ1415" s="34"/>
      <c r="BK1415" s="34"/>
      <c r="BL1415" s="34"/>
      <c r="BM1415" s="34"/>
      <c r="BN1415" s="34"/>
      <c r="BO1415" s="34"/>
      <c r="BP1415" s="34"/>
      <c r="BQ1415" s="34"/>
      <c r="BR1415" s="34"/>
      <c r="BS1415" s="34"/>
      <c r="BT1415" s="34"/>
      <c r="BU1415" s="34"/>
      <c r="BV1415" s="34"/>
      <c r="BW1415" s="34"/>
      <c r="BX1415" s="34"/>
      <c r="BY1415" s="34"/>
      <c r="BZ1415" s="34"/>
      <c r="CA1415" s="34"/>
      <c r="CB1415" s="34"/>
      <c r="CC1415" s="34"/>
      <c r="CD1415" s="34"/>
      <c r="CE1415" s="34"/>
      <c r="CF1415" s="34"/>
      <c r="CG1415" s="34"/>
      <c r="CH1415" s="34"/>
      <c r="CI1415" s="8"/>
    </row>
    <row r="1416" spans="1:87" x14ac:dyDescent="0.2">
      <c r="A1416" s="8" t="str">
        <f>IF(AND(COUNTIF(W$3:W$13,A$29)&gt;0,A$29&lt;&gt;B1308),A$29,IFERROR(IF(MATCH(A$29,Z$3:Z$13,0)=5,A$29," ")," "))</f>
        <v>C15</v>
      </c>
      <c r="B1416" s="8">
        <f>IF(A1416=" "," ",MAX(B1402:B1415)+1)</f>
        <v>5</v>
      </c>
      <c r="C1416" s="8"/>
      <c r="D1416" s="8"/>
      <c r="E1416" s="8"/>
      <c r="F1416" s="8"/>
      <c r="G1416" s="8"/>
      <c r="H1416" s="8"/>
      <c r="I1416" s="8"/>
      <c r="J1416" s="8"/>
      <c r="K1416" s="8"/>
      <c r="L1416" s="8"/>
      <c r="M1416" s="8"/>
      <c r="N1416" s="8"/>
      <c r="O1416" s="8"/>
      <c r="P1416" s="8"/>
      <c r="Q1416" s="8"/>
      <c r="R1416" s="8"/>
      <c r="S1416" s="8"/>
      <c r="U1416" s="34"/>
      <c r="V1416" s="34"/>
      <c r="W1416" s="34"/>
      <c r="X1416" s="34"/>
      <c r="Y1416" s="34"/>
      <c r="Z1416" s="34"/>
      <c r="AA1416" s="34"/>
      <c r="AB1416" s="34"/>
      <c r="AC1416" s="34"/>
      <c r="AD1416" s="34"/>
      <c r="AE1416" s="34"/>
      <c r="AF1416" s="34"/>
      <c r="AG1416" s="34"/>
      <c r="AH1416" s="34"/>
      <c r="AI1416" s="34"/>
      <c r="AJ1416" s="34"/>
      <c r="AK1416" s="34"/>
      <c r="AL1416" s="34"/>
      <c r="AM1416" s="34"/>
      <c r="AN1416" s="34"/>
      <c r="AO1416" s="34"/>
      <c r="AP1416" s="34"/>
      <c r="AQ1416" s="34"/>
      <c r="AR1416" s="34"/>
      <c r="AS1416" s="34"/>
      <c r="AT1416" s="34"/>
      <c r="AU1416" s="34"/>
      <c r="AV1416" s="34"/>
      <c r="AW1416" s="34"/>
      <c r="AX1416" s="34"/>
      <c r="AY1416" s="34"/>
      <c r="AZ1416" s="34"/>
      <c r="BA1416" s="34"/>
      <c r="BB1416" s="34"/>
      <c r="BC1416" s="34"/>
      <c r="BD1416" s="34"/>
      <c r="BE1416" s="34"/>
      <c r="BF1416" s="34"/>
      <c r="BG1416" s="34"/>
      <c r="BH1416" s="34"/>
      <c r="BI1416" s="34"/>
      <c r="BJ1416" s="34"/>
      <c r="BK1416" s="34"/>
      <c r="BL1416" s="34"/>
      <c r="BM1416" s="34"/>
      <c r="BN1416" s="34"/>
      <c r="BO1416" s="34"/>
      <c r="BP1416" s="34"/>
      <c r="BQ1416" s="34"/>
      <c r="BR1416" s="34"/>
      <c r="BS1416" s="34"/>
      <c r="BT1416" s="34"/>
      <c r="BU1416" s="34"/>
      <c r="BV1416" s="34"/>
      <c r="BW1416" s="34"/>
      <c r="BX1416" s="34"/>
      <c r="BY1416" s="34"/>
      <c r="BZ1416" s="34"/>
      <c r="CA1416" s="34"/>
      <c r="CB1416" s="34"/>
      <c r="CC1416" s="34"/>
      <c r="CD1416" s="34"/>
      <c r="CE1416" s="34"/>
      <c r="CF1416" s="34"/>
      <c r="CG1416" s="34"/>
      <c r="CH1416" s="34"/>
      <c r="CI1416" s="8"/>
    </row>
    <row r="1417" spans="1:87" x14ac:dyDescent="0.2">
      <c r="A1417" s="8" t="str">
        <f>IF(AND(COUNTIF(W$3:W$13,A$30)&gt;0,A$30&lt;&gt;B1308),A$30,IFERROR(IF(MATCH(A$30,Z$3:Z$13,0)=5,A$30," ")," "))</f>
        <v>C16</v>
      </c>
      <c r="B1417" s="8">
        <f>IF(A1417=" "," ",MAX(B1402:B1416)+1)</f>
        <v>6</v>
      </c>
      <c r="C1417" s="8"/>
      <c r="D1417" s="8"/>
      <c r="E1417" s="8"/>
      <c r="F1417" s="8"/>
      <c r="G1417" s="8"/>
      <c r="H1417" s="8"/>
      <c r="I1417" s="8"/>
      <c r="J1417" s="8"/>
      <c r="K1417" s="8"/>
      <c r="L1417" s="8"/>
      <c r="M1417" s="8"/>
      <c r="N1417" s="8"/>
      <c r="O1417" s="8"/>
      <c r="P1417" s="8"/>
      <c r="Q1417" s="8"/>
      <c r="R1417" s="8"/>
      <c r="S1417" s="8"/>
      <c r="U1417" s="34"/>
      <c r="V1417" s="34"/>
      <c r="W1417" s="34"/>
      <c r="X1417" s="34"/>
      <c r="Y1417" s="34"/>
      <c r="Z1417" s="34"/>
      <c r="AA1417" s="34"/>
      <c r="AB1417" s="34"/>
      <c r="AC1417" s="34"/>
      <c r="AD1417" s="34"/>
      <c r="AE1417" s="34"/>
      <c r="AF1417" s="34"/>
      <c r="AG1417" s="34"/>
      <c r="AH1417" s="34"/>
      <c r="AI1417" s="34"/>
      <c r="AJ1417" s="34"/>
      <c r="AK1417" s="34"/>
      <c r="AL1417" s="34"/>
      <c r="AM1417" s="34"/>
      <c r="AN1417" s="34"/>
      <c r="AO1417" s="34"/>
      <c r="AP1417" s="34"/>
      <c r="AQ1417" s="34"/>
      <c r="AR1417" s="34"/>
      <c r="AS1417" s="34"/>
      <c r="AT1417" s="34"/>
      <c r="AU1417" s="34"/>
      <c r="AV1417" s="34"/>
      <c r="AW1417" s="34"/>
      <c r="AX1417" s="34"/>
      <c r="AY1417" s="34"/>
      <c r="AZ1417" s="34"/>
      <c r="BA1417" s="34"/>
      <c r="BB1417" s="34"/>
      <c r="BC1417" s="34"/>
      <c r="BD1417" s="34"/>
      <c r="BE1417" s="34"/>
      <c r="BF1417" s="34"/>
      <c r="BG1417" s="34"/>
      <c r="BH1417" s="34"/>
      <c r="BI1417" s="34"/>
      <c r="BJ1417" s="34"/>
      <c r="BK1417" s="34"/>
      <c r="BL1417" s="34"/>
      <c r="BM1417" s="34"/>
      <c r="BN1417" s="34"/>
      <c r="BO1417" s="34"/>
      <c r="BP1417" s="34"/>
      <c r="BQ1417" s="34"/>
      <c r="BR1417" s="34"/>
      <c r="BS1417" s="34"/>
      <c r="BT1417" s="34"/>
      <c r="BU1417" s="34"/>
      <c r="BV1417" s="34"/>
      <c r="BW1417" s="34"/>
      <c r="BX1417" s="34"/>
      <c r="BY1417" s="34"/>
      <c r="BZ1417" s="34"/>
      <c r="CA1417" s="34"/>
      <c r="CB1417" s="34"/>
      <c r="CC1417" s="34"/>
      <c r="CD1417" s="34"/>
      <c r="CE1417" s="34"/>
      <c r="CF1417" s="34"/>
      <c r="CG1417" s="34"/>
      <c r="CH1417" s="34"/>
      <c r="CI1417" s="8"/>
    </row>
    <row r="1418" spans="1:87" x14ac:dyDescent="0.2">
      <c r="A1418" s="8" t="str">
        <f>IF(AND(COUNTIF(W$3:W$13,A$31)&gt;0,A$31&lt;&gt;B1308),A$31,IFERROR(IF(MATCH(A$31,Z$3:Z$13,0)=5,A$31," ")," "))</f>
        <v xml:space="preserve"> </v>
      </c>
      <c r="B1418" s="8" t="str">
        <f>IF(A1418=" "," ",MAX(B1402:B1417)+1)</f>
        <v xml:space="preserve"> </v>
      </c>
      <c r="C1418" s="8"/>
      <c r="D1418" s="8"/>
      <c r="E1418" s="8"/>
      <c r="F1418" s="8"/>
      <c r="G1418" s="8"/>
      <c r="H1418" s="8"/>
      <c r="I1418" s="8"/>
      <c r="J1418" s="8"/>
      <c r="K1418" s="8"/>
      <c r="L1418" s="8"/>
      <c r="M1418" s="8"/>
      <c r="N1418" s="8"/>
      <c r="O1418" s="8"/>
      <c r="P1418" s="8"/>
      <c r="Q1418" s="8"/>
      <c r="R1418" s="8"/>
      <c r="S1418" s="8"/>
      <c r="U1418" s="34"/>
      <c r="V1418" s="34"/>
      <c r="W1418" s="34"/>
      <c r="X1418" s="34"/>
      <c r="Y1418" s="34"/>
      <c r="Z1418" s="34"/>
      <c r="AA1418" s="34"/>
      <c r="AB1418" s="34"/>
      <c r="AC1418" s="34"/>
      <c r="AD1418" s="34"/>
      <c r="AE1418" s="34"/>
      <c r="AF1418" s="34"/>
      <c r="AG1418" s="34"/>
      <c r="AH1418" s="34"/>
      <c r="AI1418" s="34"/>
      <c r="AJ1418" s="34"/>
      <c r="AK1418" s="34"/>
      <c r="AL1418" s="34"/>
      <c r="AM1418" s="34"/>
      <c r="AN1418" s="34"/>
      <c r="AO1418" s="34"/>
      <c r="AP1418" s="34"/>
      <c r="AQ1418" s="34"/>
      <c r="AR1418" s="34"/>
      <c r="AS1418" s="34"/>
      <c r="AT1418" s="34"/>
      <c r="AU1418" s="34"/>
      <c r="AV1418" s="34"/>
      <c r="AW1418" s="34"/>
      <c r="AX1418" s="34"/>
      <c r="AY1418" s="34"/>
      <c r="AZ1418" s="34"/>
      <c r="BA1418" s="34"/>
      <c r="BB1418" s="34"/>
      <c r="BC1418" s="34"/>
      <c r="BD1418" s="34"/>
      <c r="BE1418" s="34"/>
      <c r="BF1418" s="34"/>
      <c r="BG1418" s="34"/>
      <c r="BH1418" s="34"/>
      <c r="BI1418" s="34"/>
      <c r="BJ1418" s="34"/>
      <c r="BK1418" s="34"/>
      <c r="BL1418" s="34"/>
      <c r="BM1418" s="34"/>
      <c r="BN1418" s="34"/>
      <c r="BO1418" s="34"/>
      <c r="BP1418" s="34"/>
      <c r="BQ1418" s="34"/>
      <c r="BR1418" s="34"/>
      <c r="BS1418" s="34"/>
      <c r="BT1418" s="34"/>
      <c r="BU1418" s="34"/>
      <c r="BV1418" s="34"/>
      <c r="BW1418" s="34"/>
      <c r="BX1418" s="34"/>
      <c r="BY1418" s="34"/>
      <c r="BZ1418" s="34"/>
      <c r="CA1418" s="34"/>
      <c r="CB1418" s="34"/>
      <c r="CC1418" s="34"/>
      <c r="CD1418" s="34"/>
      <c r="CE1418" s="34"/>
      <c r="CF1418" s="34"/>
      <c r="CG1418" s="34"/>
      <c r="CH1418" s="34"/>
      <c r="CI1418" s="8"/>
    </row>
    <row r="1419" spans="1:87" x14ac:dyDescent="0.2">
      <c r="A1419" s="8" t="str">
        <f>IF(AND(COUNTIF(W$3:W$13,A$32)&gt;0,A$32&lt;&gt;B1308),A$32,IFERROR(IF(MATCH(A$32,Z$3:Z$13,0)=5,A$32," ")," "))</f>
        <v>C18</v>
      </c>
      <c r="B1419" s="8">
        <f>IF(A1419=" "," ",MAX(B1402:B1418)+1)</f>
        <v>7</v>
      </c>
      <c r="C1419" s="8"/>
      <c r="D1419" s="8"/>
      <c r="E1419" s="8"/>
      <c r="F1419" s="8"/>
      <c r="G1419" s="8"/>
      <c r="H1419" s="8"/>
      <c r="I1419" s="8"/>
      <c r="J1419" s="8"/>
      <c r="K1419" s="8"/>
      <c r="L1419" s="8"/>
      <c r="M1419" s="8"/>
      <c r="N1419" s="8"/>
      <c r="O1419" s="8"/>
      <c r="P1419" s="8"/>
      <c r="Q1419" s="8"/>
      <c r="R1419" s="8"/>
      <c r="S1419" s="8"/>
      <c r="U1419" s="34"/>
      <c r="V1419" s="34"/>
      <c r="W1419" s="34"/>
      <c r="X1419" s="34"/>
      <c r="Y1419" s="34"/>
      <c r="Z1419" s="34"/>
      <c r="AA1419" s="34"/>
      <c r="AB1419" s="34"/>
      <c r="AC1419" s="34"/>
      <c r="AD1419" s="34"/>
      <c r="AE1419" s="34"/>
      <c r="AF1419" s="34"/>
      <c r="AG1419" s="34"/>
      <c r="AH1419" s="34"/>
      <c r="AI1419" s="34"/>
      <c r="AJ1419" s="34"/>
      <c r="AK1419" s="34"/>
      <c r="AL1419" s="34"/>
      <c r="AM1419" s="34"/>
      <c r="AN1419" s="34"/>
      <c r="AO1419" s="34"/>
      <c r="AP1419" s="34"/>
      <c r="AQ1419" s="34"/>
      <c r="AR1419" s="34"/>
      <c r="AS1419" s="34"/>
      <c r="AT1419" s="34"/>
      <c r="AU1419" s="34"/>
      <c r="AV1419" s="34"/>
      <c r="AW1419" s="34"/>
      <c r="AX1419" s="34"/>
      <c r="AY1419" s="34"/>
      <c r="AZ1419" s="34"/>
      <c r="BA1419" s="34"/>
      <c r="BB1419" s="34"/>
      <c r="BC1419" s="34"/>
      <c r="BD1419" s="34"/>
      <c r="BE1419" s="34"/>
      <c r="BF1419" s="34"/>
      <c r="BG1419" s="34"/>
      <c r="BH1419" s="34"/>
      <c r="BI1419" s="34"/>
      <c r="BJ1419" s="34"/>
      <c r="BK1419" s="34"/>
      <c r="BL1419" s="34"/>
      <c r="BM1419" s="34"/>
      <c r="BN1419" s="34"/>
      <c r="BO1419" s="34"/>
      <c r="BP1419" s="34"/>
      <c r="BQ1419" s="34"/>
      <c r="BR1419" s="34"/>
      <c r="BS1419" s="34"/>
      <c r="BT1419" s="34"/>
      <c r="BU1419" s="34"/>
      <c r="BV1419" s="34"/>
      <c r="BW1419" s="34"/>
      <c r="BX1419" s="34"/>
      <c r="BY1419" s="34"/>
      <c r="BZ1419" s="34"/>
      <c r="CA1419" s="34"/>
      <c r="CB1419" s="34"/>
      <c r="CC1419" s="34"/>
      <c r="CD1419" s="34"/>
      <c r="CE1419" s="34"/>
      <c r="CF1419" s="34"/>
      <c r="CG1419" s="34"/>
      <c r="CH1419" s="34"/>
      <c r="CI1419" s="8"/>
    </row>
    <row r="1420" spans="1:87" x14ac:dyDescent="0.2">
      <c r="A1420" s="8" t="str">
        <f>IF(AND(COUNTIF(W$3:W$13,A$33)&gt;0,A$33&lt;&gt;B1308),A$33,IFERROR(IF(MATCH(A$33,Z$3:Z$13,0)=5,A$33," ")," "))</f>
        <v>C19</v>
      </c>
      <c r="B1420" s="8">
        <f>IF(A1420=" "," ",MAX(B1402:B1419)+1)</f>
        <v>8</v>
      </c>
      <c r="C1420" s="8"/>
      <c r="D1420" s="8"/>
      <c r="E1420" s="8"/>
      <c r="F1420" s="8"/>
      <c r="G1420" s="8"/>
      <c r="H1420" s="8"/>
      <c r="I1420" s="8"/>
      <c r="J1420" s="8"/>
      <c r="K1420" s="8"/>
      <c r="L1420" s="8"/>
      <c r="M1420" s="8"/>
      <c r="N1420" s="8"/>
      <c r="O1420" s="8"/>
      <c r="P1420" s="8"/>
      <c r="Q1420" s="8"/>
      <c r="R1420" s="8"/>
      <c r="S1420" s="8"/>
      <c r="U1420" s="34"/>
      <c r="V1420" s="34"/>
      <c r="W1420" s="34"/>
      <c r="X1420" s="34"/>
      <c r="Y1420" s="34"/>
      <c r="Z1420" s="34"/>
      <c r="AA1420" s="34"/>
      <c r="AB1420" s="34"/>
      <c r="AC1420" s="34"/>
      <c r="AD1420" s="34"/>
      <c r="AE1420" s="34"/>
      <c r="AF1420" s="34"/>
      <c r="AG1420" s="34"/>
      <c r="AH1420" s="34"/>
      <c r="AI1420" s="34"/>
      <c r="AJ1420" s="34"/>
      <c r="AK1420" s="34"/>
      <c r="AL1420" s="34"/>
      <c r="AM1420" s="34"/>
      <c r="AN1420" s="34"/>
      <c r="AO1420" s="34"/>
      <c r="AP1420" s="34"/>
      <c r="AQ1420" s="34"/>
      <c r="AR1420" s="34"/>
      <c r="AS1420" s="34"/>
      <c r="AT1420" s="34"/>
      <c r="AU1420" s="34"/>
      <c r="AV1420" s="34"/>
      <c r="AW1420" s="34"/>
      <c r="AX1420" s="34"/>
      <c r="AY1420" s="34"/>
      <c r="AZ1420" s="34"/>
      <c r="BA1420" s="34"/>
      <c r="BB1420" s="34"/>
      <c r="BC1420" s="34"/>
      <c r="BD1420" s="34"/>
      <c r="BE1420" s="34"/>
      <c r="BF1420" s="34"/>
      <c r="BG1420" s="34"/>
      <c r="BH1420" s="34"/>
      <c r="BI1420" s="34"/>
      <c r="BJ1420" s="34"/>
      <c r="BK1420" s="34"/>
      <c r="BL1420" s="34"/>
      <c r="BM1420" s="34"/>
      <c r="BN1420" s="34"/>
      <c r="BO1420" s="34"/>
      <c r="BP1420" s="34"/>
      <c r="BQ1420" s="34"/>
      <c r="BR1420" s="34"/>
      <c r="BS1420" s="34"/>
      <c r="BT1420" s="34"/>
      <c r="BU1420" s="34"/>
      <c r="BV1420" s="34"/>
      <c r="BW1420" s="34"/>
      <c r="BX1420" s="34"/>
      <c r="BY1420" s="34"/>
      <c r="BZ1420" s="34"/>
      <c r="CA1420" s="34"/>
      <c r="CB1420" s="34"/>
      <c r="CC1420" s="34"/>
      <c r="CD1420" s="34"/>
      <c r="CE1420" s="34"/>
      <c r="CF1420" s="34"/>
      <c r="CG1420" s="34"/>
      <c r="CH1420" s="34"/>
      <c r="CI1420" s="8"/>
    </row>
    <row r="1421" spans="1:87" x14ac:dyDescent="0.2">
      <c r="A1421" s="8" t="str">
        <f>IF(AND(COUNTIF(W$3:W$13,A$34)&gt;0,A$34&lt;&gt;B1308),A$34,IFERROR(IF(MATCH(A$34,Z$3:Z$13,0)=5,A$34," ")," "))</f>
        <v>C20</v>
      </c>
      <c r="B1421" s="8">
        <f>IF(A1421=" "," ",MAX(B1402:B1420)+1)</f>
        <v>9</v>
      </c>
      <c r="C1421" s="8"/>
      <c r="D1421" s="8"/>
      <c r="E1421" s="8"/>
      <c r="F1421" s="8"/>
      <c r="G1421" s="8"/>
      <c r="H1421" s="8"/>
      <c r="I1421" s="8"/>
      <c r="J1421" s="8"/>
      <c r="K1421" s="8"/>
      <c r="L1421" s="8"/>
      <c r="M1421" s="8"/>
      <c r="N1421" s="8"/>
      <c r="O1421" s="8"/>
      <c r="P1421" s="8"/>
      <c r="Q1421" s="8"/>
      <c r="R1421" s="8"/>
      <c r="S1421" s="8"/>
      <c r="U1421" s="34"/>
      <c r="V1421" s="34"/>
      <c r="W1421" s="34"/>
      <c r="X1421" s="34"/>
      <c r="Y1421" s="34"/>
      <c r="Z1421" s="34"/>
      <c r="AA1421" s="34"/>
      <c r="AB1421" s="34"/>
      <c r="AC1421" s="34"/>
      <c r="AD1421" s="34"/>
      <c r="AE1421" s="34"/>
      <c r="AF1421" s="34"/>
      <c r="AG1421" s="34"/>
      <c r="AH1421" s="34"/>
      <c r="AI1421" s="34"/>
      <c r="AJ1421" s="34"/>
      <c r="AK1421" s="34"/>
      <c r="AL1421" s="34"/>
      <c r="AM1421" s="34"/>
      <c r="AN1421" s="34"/>
      <c r="AO1421" s="34"/>
      <c r="AP1421" s="34"/>
      <c r="AQ1421" s="34"/>
      <c r="AR1421" s="34"/>
      <c r="AS1421" s="34"/>
      <c r="AT1421" s="34"/>
      <c r="AU1421" s="34"/>
      <c r="AV1421" s="34"/>
      <c r="AW1421" s="34"/>
      <c r="AX1421" s="34"/>
      <c r="AY1421" s="34"/>
      <c r="AZ1421" s="34"/>
      <c r="BA1421" s="34"/>
      <c r="BB1421" s="34"/>
      <c r="BC1421" s="34"/>
      <c r="BD1421" s="34"/>
      <c r="BE1421" s="34"/>
      <c r="BF1421" s="34"/>
      <c r="BG1421" s="34"/>
      <c r="BH1421" s="34"/>
      <c r="BI1421" s="34"/>
      <c r="BJ1421" s="34"/>
      <c r="BK1421" s="34"/>
      <c r="BL1421" s="34"/>
      <c r="BM1421" s="34"/>
      <c r="BN1421" s="34"/>
      <c r="BO1421" s="34"/>
      <c r="BP1421" s="34"/>
      <c r="BQ1421" s="34"/>
      <c r="BR1421" s="34"/>
      <c r="BS1421" s="34"/>
      <c r="BT1421" s="34"/>
      <c r="BU1421" s="34"/>
      <c r="BV1421" s="34"/>
      <c r="BW1421" s="34"/>
      <c r="BX1421" s="34"/>
      <c r="BY1421" s="34"/>
      <c r="BZ1421" s="34"/>
      <c r="CA1421" s="34"/>
      <c r="CB1421" s="34"/>
      <c r="CC1421" s="34"/>
      <c r="CD1421" s="34"/>
      <c r="CE1421" s="34"/>
      <c r="CF1421" s="34"/>
      <c r="CG1421" s="34"/>
      <c r="CH1421" s="34"/>
      <c r="CI1421" s="8"/>
    </row>
    <row r="1422" spans="1:87" x14ac:dyDescent="0.2">
      <c r="A1422" s="8" t="str">
        <f>IF(AND(COUNTIF(W$3:W$13,A$35)&gt;0,A$35&lt;&gt;B1308),A$35,IFERROR(IF(MATCH(A$35,Z$3:Z$13,0)=5,A$35," ")," "))</f>
        <v>C21</v>
      </c>
      <c r="B1422" s="8">
        <f>IF(A1422=" "," ",MAX(B1402:B1421)+1)</f>
        <v>10</v>
      </c>
      <c r="C1422" s="8"/>
      <c r="D1422" s="8"/>
      <c r="E1422" s="8"/>
      <c r="F1422" s="8"/>
      <c r="G1422" s="8"/>
      <c r="H1422" s="8"/>
      <c r="I1422" s="8"/>
      <c r="J1422" s="8"/>
      <c r="K1422" s="8"/>
      <c r="L1422" s="8"/>
      <c r="M1422" s="8"/>
      <c r="N1422" s="8"/>
      <c r="O1422" s="8"/>
      <c r="P1422" s="8"/>
      <c r="Q1422" s="8"/>
      <c r="R1422" s="8"/>
      <c r="S1422" s="8"/>
      <c r="U1422" s="34"/>
      <c r="V1422" s="34"/>
      <c r="W1422" s="34"/>
      <c r="X1422" s="34"/>
      <c r="Y1422" s="34"/>
      <c r="Z1422" s="34"/>
      <c r="AA1422" s="34"/>
      <c r="AB1422" s="34"/>
      <c r="AC1422" s="34"/>
      <c r="AD1422" s="34"/>
      <c r="AE1422" s="34"/>
      <c r="AF1422" s="34"/>
      <c r="AG1422" s="34"/>
      <c r="AH1422" s="34"/>
      <c r="AI1422" s="34"/>
      <c r="AJ1422" s="34"/>
      <c r="AK1422" s="34"/>
      <c r="AL1422" s="34"/>
      <c r="AM1422" s="34"/>
      <c r="AN1422" s="34"/>
      <c r="AO1422" s="34"/>
      <c r="AP1422" s="34"/>
      <c r="AQ1422" s="34"/>
      <c r="AR1422" s="34"/>
      <c r="AS1422" s="34"/>
      <c r="AT1422" s="34"/>
      <c r="AU1422" s="34"/>
      <c r="AV1422" s="34"/>
      <c r="AW1422" s="34"/>
      <c r="AX1422" s="34"/>
      <c r="AY1422" s="34"/>
      <c r="AZ1422" s="34"/>
      <c r="BA1422" s="34"/>
      <c r="BB1422" s="34"/>
      <c r="BC1422" s="34"/>
      <c r="BD1422" s="34"/>
      <c r="BE1422" s="34"/>
      <c r="BF1422" s="34"/>
      <c r="BG1422" s="34"/>
      <c r="BH1422" s="34"/>
      <c r="BI1422" s="34"/>
      <c r="BJ1422" s="34"/>
      <c r="BK1422" s="34"/>
      <c r="BL1422" s="34"/>
      <c r="BM1422" s="34"/>
      <c r="BN1422" s="34"/>
      <c r="BO1422" s="34"/>
      <c r="BP1422" s="34"/>
      <c r="BQ1422" s="34"/>
      <c r="BR1422" s="34"/>
      <c r="BS1422" s="34"/>
      <c r="BT1422" s="34"/>
      <c r="BU1422" s="34"/>
      <c r="BV1422" s="34"/>
      <c r="BW1422" s="34"/>
      <c r="BX1422" s="34"/>
      <c r="BY1422" s="34"/>
      <c r="BZ1422" s="34"/>
      <c r="CA1422" s="34"/>
      <c r="CB1422" s="34"/>
      <c r="CC1422" s="34"/>
      <c r="CD1422" s="34"/>
      <c r="CE1422" s="34"/>
      <c r="CF1422" s="34"/>
      <c r="CG1422" s="34"/>
      <c r="CH1422" s="34"/>
      <c r="CI1422" s="8"/>
    </row>
    <row r="1423" spans="1:87" x14ac:dyDescent="0.2">
      <c r="A1423" s="8" t="str">
        <f>IF(AND(COUNTIF(W$3:W$13,A$36)&gt;0,A$36&lt;&gt;B1308),A$36,IFERROR(IF(MATCH(A$36,Z$3:Z$13,0)=5,A$36," ")," "))</f>
        <v>C22</v>
      </c>
      <c r="B1423" s="8">
        <f>IF(A1423=" "," ",MAX(B1402:B1422)+1)</f>
        <v>11</v>
      </c>
      <c r="C1423" s="8"/>
      <c r="D1423" s="8"/>
      <c r="E1423" s="8"/>
      <c r="F1423" s="8"/>
      <c r="G1423" s="8"/>
      <c r="H1423" s="8"/>
      <c r="I1423" s="8"/>
      <c r="J1423" s="8"/>
      <c r="K1423" s="8"/>
      <c r="L1423" s="8"/>
      <c r="M1423" s="8"/>
      <c r="N1423" s="8"/>
      <c r="O1423" s="8"/>
      <c r="P1423" s="8"/>
      <c r="Q1423" s="8"/>
      <c r="R1423" s="8"/>
      <c r="S1423" s="8"/>
      <c r="U1423" s="34"/>
      <c r="V1423" s="34"/>
      <c r="W1423" s="34"/>
      <c r="X1423" s="34"/>
      <c r="Y1423" s="34"/>
      <c r="Z1423" s="34"/>
      <c r="AA1423" s="34"/>
      <c r="AB1423" s="34"/>
      <c r="AC1423" s="34"/>
      <c r="AD1423" s="34"/>
      <c r="AE1423" s="34"/>
      <c r="AF1423" s="34"/>
      <c r="AG1423" s="34"/>
      <c r="AH1423" s="34"/>
      <c r="AI1423" s="34"/>
      <c r="AJ1423" s="34"/>
      <c r="AK1423" s="34"/>
      <c r="AL1423" s="34"/>
      <c r="AM1423" s="34"/>
      <c r="AN1423" s="34"/>
      <c r="AO1423" s="34"/>
      <c r="AP1423" s="34"/>
      <c r="AQ1423" s="34"/>
      <c r="AR1423" s="34"/>
      <c r="AS1423" s="34"/>
      <c r="AT1423" s="34"/>
      <c r="AU1423" s="34"/>
      <c r="AV1423" s="34"/>
      <c r="AW1423" s="34"/>
      <c r="AX1423" s="34"/>
      <c r="AY1423" s="34"/>
      <c r="AZ1423" s="34"/>
      <c r="BA1423" s="34"/>
      <c r="BB1423" s="34"/>
      <c r="BC1423" s="34"/>
      <c r="BD1423" s="34"/>
      <c r="BE1423" s="34"/>
      <c r="BF1423" s="34"/>
      <c r="BG1423" s="34"/>
      <c r="BH1423" s="34"/>
      <c r="BI1423" s="34"/>
      <c r="BJ1423" s="34"/>
      <c r="BK1423" s="34"/>
      <c r="BL1423" s="34"/>
      <c r="BM1423" s="34"/>
      <c r="BN1423" s="34"/>
      <c r="BO1423" s="34"/>
      <c r="BP1423" s="34"/>
      <c r="BQ1423" s="34"/>
      <c r="BR1423" s="34"/>
      <c r="BS1423" s="34"/>
      <c r="BT1423" s="34"/>
      <c r="BU1423" s="34"/>
      <c r="BV1423" s="34"/>
      <c r="BW1423" s="34"/>
      <c r="BX1423" s="34"/>
      <c r="BY1423" s="34"/>
      <c r="BZ1423" s="34"/>
      <c r="CA1423" s="34"/>
      <c r="CB1423" s="34"/>
      <c r="CC1423" s="34"/>
      <c r="CD1423" s="34"/>
      <c r="CE1423" s="34"/>
      <c r="CF1423" s="34"/>
      <c r="CG1423" s="34"/>
      <c r="CH1423" s="34"/>
      <c r="CI1423" s="8"/>
    </row>
    <row r="1424" spans="1:87" x14ac:dyDescent="0.2">
      <c r="A1424" s="11" t="s">
        <v>17</v>
      </c>
      <c r="B1424" s="11"/>
      <c r="C1424" s="27" t="s">
        <v>18</v>
      </c>
      <c r="D1424" s="27" t="s">
        <v>2</v>
      </c>
      <c r="E1424" s="27" t="s">
        <v>6</v>
      </c>
      <c r="F1424" s="27" t="s">
        <v>15</v>
      </c>
      <c r="G1424" s="27" t="s">
        <v>36</v>
      </c>
      <c r="H1424" s="27" t="s">
        <v>37</v>
      </c>
      <c r="I1424" s="27" t="s">
        <v>38</v>
      </c>
      <c r="J1424" s="27" t="s">
        <v>39</v>
      </c>
      <c r="K1424" s="27" t="s">
        <v>40</v>
      </c>
      <c r="L1424" s="27" t="s">
        <v>41</v>
      </c>
      <c r="M1424" s="27" t="s">
        <v>42</v>
      </c>
      <c r="N1424" s="27" t="s">
        <v>43</v>
      </c>
      <c r="O1424" s="27" t="s">
        <v>9</v>
      </c>
      <c r="P1424" s="27" t="s">
        <v>12</v>
      </c>
      <c r="Q1424" s="27" t="s">
        <v>19</v>
      </c>
      <c r="R1424" s="27" t="s">
        <v>55</v>
      </c>
      <c r="S1424" s="27" t="s">
        <v>26</v>
      </c>
      <c r="T1424" s="19" t="s">
        <v>25</v>
      </c>
      <c r="U1424" s="33" t="s">
        <v>27</v>
      </c>
      <c r="V1424" s="33" t="s">
        <v>9</v>
      </c>
      <c r="W1424" s="33" t="s">
        <v>23</v>
      </c>
      <c r="X1424" s="33" t="s">
        <v>12</v>
      </c>
      <c r="Y1424" s="33" t="s">
        <v>26</v>
      </c>
      <c r="Z1424" s="33" t="s">
        <v>25</v>
      </c>
      <c r="AA1424" s="33" t="s">
        <v>27</v>
      </c>
      <c r="AB1424" s="33" t="s">
        <v>9</v>
      </c>
      <c r="AC1424" s="33" t="s">
        <v>23</v>
      </c>
      <c r="AD1424" s="33" t="s">
        <v>12</v>
      </c>
      <c r="AE1424" s="33" t="s">
        <v>26</v>
      </c>
      <c r="AF1424" s="33" t="s">
        <v>25</v>
      </c>
      <c r="AG1424" s="33" t="s">
        <v>27</v>
      </c>
      <c r="AH1424" s="33" t="s">
        <v>9</v>
      </c>
      <c r="AI1424" s="33" t="s">
        <v>23</v>
      </c>
      <c r="AJ1424" s="33" t="s">
        <v>12</v>
      </c>
      <c r="AK1424" s="33" t="s">
        <v>26</v>
      </c>
      <c r="AL1424" s="33" t="s">
        <v>25</v>
      </c>
      <c r="AM1424" s="33" t="s">
        <v>27</v>
      </c>
      <c r="AN1424" s="33" t="s">
        <v>9</v>
      </c>
      <c r="AO1424" s="33" t="s">
        <v>23</v>
      </c>
      <c r="AP1424" s="33" t="s">
        <v>12</v>
      </c>
      <c r="AQ1424" s="33" t="s">
        <v>26</v>
      </c>
      <c r="AR1424" s="33" t="s">
        <v>25</v>
      </c>
      <c r="AS1424" s="33" t="s">
        <v>27</v>
      </c>
      <c r="AT1424" s="33" t="s">
        <v>9</v>
      </c>
      <c r="AU1424" s="33" t="s">
        <v>23</v>
      </c>
      <c r="AV1424" s="33" t="s">
        <v>12</v>
      </c>
      <c r="AW1424" s="33" t="s">
        <v>26</v>
      </c>
      <c r="AX1424" s="33" t="s">
        <v>25</v>
      </c>
      <c r="AY1424" s="33" t="s">
        <v>27</v>
      </c>
      <c r="AZ1424" s="33" t="s">
        <v>9</v>
      </c>
      <c r="BA1424" s="33" t="s">
        <v>23</v>
      </c>
      <c r="BB1424" s="33" t="s">
        <v>12</v>
      </c>
      <c r="BC1424" s="33" t="s">
        <v>26</v>
      </c>
      <c r="BD1424" s="33" t="s">
        <v>25</v>
      </c>
      <c r="BE1424" s="33" t="s">
        <v>27</v>
      </c>
      <c r="BF1424" s="33" t="s">
        <v>9</v>
      </c>
      <c r="BG1424" s="33" t="s">
        <v>23</v>
      </c>
      <c r="BH1424" s="33" t="s">
        <v>12</v>
      </c>
      <c r="BI1424" s="33" t="s">
        <v>26</v>
      </c>
      <c r="BJ1424" s="33" t="s">
        <v>25</v>
      </c>
      <c r="BK1424" s="33" t="s">
        <v>27</v>
      </c>
      <c r="BL1424" s="33" t="s">
        <v>9</v>
      </c>
      <c r="BM1424" s="33" t="s">
        <v>23</v>
      </c>
      <c r="BN1424" s="33" t="s">
        <v>12</v>
      </c>
      <c r="BO1424" s="33" t="s">
        <v>26</v>
      </c>
      <c r="BP1424" s="33" t="s">
        <v>25</v>
      </c>
      <c r="BQ1424" s="33" t="s">
        <v>27</v>
      </c>
      <c r="BR1424" s="33" t="s">
        <v>9</v>
      </c>
      <c r="BS1424" s="33" t="s">
        <v>23</v>
      </c>
      <c r="BT1424" s="33" t="s">
        <v>12</v>
      </c>
      <c r="BU1424" s="33" t="s">
        <v>26</v>
      </c>
      <c r="BV1424" s="33" t="s">
        <v>25</v>
      </c>
      <c r="BW1424" s="33" t="s">
        <v>27</v>
      </c>
      <c r="BX1424" s="33" t="s">
        <v>9</v>
      </c>
      <c r="BY1424" s="33" t="s">
        <v>23</v>
      </c>
      <c r="BZ1424" s="33" t="s">
        <v>12</v>
      </c>
      <c r="CA1424" s="33" t="s">
        <v>26</v>
      </c>
      <c r="CB1424" s="33" t="s">
        <v>25</v>
      </c>
      <c r="CC1424" s="33" t="s">
        <v>27</v>
      </c>
      <c r="CD1424" s="33" t="s">
        <v>9</v>
      </c>
      <c r="CE1424" s="33" t="s">
        <v>23</v>
      </c>
      <c r="CF1424" s="33" t="s">
        <v>12</v>
      </c>
      <c r="CG1424" s="33" t="s">
        <v>26</v>
      </c>
      <c r="CH1424" s="33" t="s">
        <v>25</v>
      </c>
      <c r="CI1424" s="8"/>
    </row>
    <row r="1425" spans="1:87" x14ac:dyDescent="0.2">
      <c r="A1425" s="8" t="str">
        <f>IF(AND(COUNTIF(W$3:W$13,A$15)&gt;0,A$15&lt;&gt;B1308),A$15,IFERROR(IF(MATCH(A$15,Z$3:Z$13,0)=6,A$15," ")," "))</f>
        <v xml:space="preserve"> </v>
      </c>
      <c r="B1425" s="8" t="str">
        <f>IF(A1425=" "," ",1)</f>
        <v xml:space="preserve"> </v>
      </c>
      <c r="C1425" s="8" t="str">
        <f>IFERROR(INDEX(A1425:A1446,MATCH(SMALL(B1425:B1446,1),B1425:B1446,0),1)," ")</f>
        <v>C3</v>
      </c>
      <c r="D1425" s="8">
        <f>IFERROR(VLOOKUP($C1425,$A$15:$O$36,2,FALSE)," ")</f>
        <v>2</v>
      </c>
      <c r="E1425" s="8">
        <f>IFERROR(VLOOKUP($C1425,$A$15:$O$36,3,FALSE)," ")</f>
        <v>5</v>
      </c>
      <c r="F1425" s="8">
        <f>IFERROR(VLOOKUP($C1425,$A$15:$O$36,4,FALSE)," ")</f>
        <v>6</v>
      </c>
      <c r="G1425" s="8">
        <f>IFERROR(VLOOKUP($C1425,$A$15:$O$36,5,FALSE)," ")</f>
        <v>0</v>
      </c>
      <c r="H1425" s="8">
        <f>IFERROR(VLOOKUP($C1425,$A$15:$O$36,6,FALSE)," ")</f>
        <v>0</v>
      </c>
      <c r="I1425" s="8">
        <f>IFERROR(VLOOKUP($C1425,$A$15:$O$36,7,FALSE)," ")</f>
        <v>0</v>
      </c>
      <c r="J1425" s="8">
        <f>IFERROR(VLOOKUP($C1425,$A$15:$O$36,8,FALSE)," ")</f>
        <v>0</v>
      </c>
      <c r="K1425" s="8">
        <f>IFERROR(VLOOKUP($C1425,$A$15:$O$36,9,FALSE)," ")</f>
        <v>0</v>
      </c>
      <c r="L1425" s="8">
        <f>IFERROR(VLOOKUP($C1425,$A$15:$O$36,10,FALSE)," ")</f>
        <v>0</v>
      </c>
      <c r="M1425" s="8">
        <f>IFERROR(VLOOKUP($C1425,$A$15:$O$36,11,FALSE)," ")</f>
        <v>0</v>
      </c>
      <c r="N1425" s="8">
        <f>IFERROR(VLOOKUP($C1425,$A$15:$O$36,12,FALSE)," ")</f>
        <v>0</v>
      </c>
      <c r="O1425" s="8">
        <f>IFERROR(VLOOKUP($C1425,$A$15:$O$36,15,FALSE)," ")</f>
        <v>2000</v>
      </c>
      <c r="P1425" s="8" t="e">
        <f t="array" ref="P1425:P1435">MMULT(MINVERSE(D1425:N1435),O1425:O1435)</f>
        <v>#NUM!</v>
      </c>
      <c r="Q1425" s="8" t="e">
        <f t="shared" ref="Q1425" si="6086">IF(COUNTIF(P1425:P1435,"&lt;"&amp;-0.001)=0,IF(ABS(P1425)&lt;0.001,0,P1425)," ")</f>
        <v>#NUM!</v>
      </c>
      <c r="R1425" s="8" t="str">
        <f>IFERROR(VLOOKUP(B1308,A$15:L$36,2,FALSE)*Q1425+VLOOKUP(B1308,A$15:L$36,3,FALSE)*Q1426+VLOOKUP(B1308,A$15:L$36,4,FALSE)*Q1427+VLOOKUP(B1308,A$15:L$36,5,FALSE)*Q1428+VLOOKUP(B1308,A$15:L$36,6,FALSE)*Q1429+VLOOKUP(B1308,A$15:L$36,7,FALSE)*Q1430+VLOOKUP(B1308,A$15:L$36,8,FALSE)*Q1431+VLOOKUP(B1308,A$15:L$36,9,FALSE)*Q1432+VLOOKUP(B1308,A$15:L$36,10,FALSE)*Q1433+VLOOKUP(B1308,A$15:L$36,11,FALSE)*Q1434+VLOOKUP(B1308,A$15:L$36,12,FALSE)*Q1435," ")</f>
        <v xml:space="preserve"> </v>
      </c>
      <c r="S1425" s="8" t="str">
        <f>IFERROR(IF(R1425-VLOOKUP(B1308,A$15:O$36,15,FALSE)&lt;0,R1425-VLOOKUP(B1308,A$15:O$36,15,FALSE)," ")," ")</f>
        <v xml:space="preserve"> </v>
      </c>
      <c r="T1425" s="18" t="str">
        <f>IFERROR(IF(R1425-VLOOKUP(B1308,A$15:O$36,15,FALSE)&gt;0,R1425-VLOOKUP(B1308,A$15:O$36,15,FALSE)," ")," ")</f>
        <v xml:space="preserve"> </v>
      </c>
      <c r="U1425" s="34">
        <f t="shared" ref="U1425" si="6087">$M$2</f>
        <v>100.00000000000001</v>
      </c>
      <c r="V1425" s="34">
        <v>-1</v>
      </c>
      <c r="W1425" s="34">
        <f t="shared" ref="W1425" si="6088">-SUMPRODUCT($M$3:$M$12,$N$3:$N$12)</f>
        <v>-105000</v>
      </c>
      <c r="X1425" s="34" t="e">
        <f t="shared" ref="X1425" si="6089">IF(U1425&lt;&gt;U1426,MMULT(MINVERSE(U1425:V1426),W1425:W1426)," ")</f>
        <v>#NUM!</v>
      </c>
      <c r="Y1425" s="34" t="str">
        <f t="shared" ref="Y1425" si="6090">IFERROR(IF(X1425-VLOOKUP(U$38,$A$2:$N$12,14,FALSE)&lt;0,X1425-VLOOKUP(U$38,$A$2:$N$12,14,FALSE)," ")," ")</f>
        <v xml:space="preserve"> </v>
      </c>
      <c r="Z1425" s="34" t="str">
        <f t="shared" ref="Z1425" si="6091">IFERROR(IF(X1425-VLOOKUP(U$38,$A$2:$N$12,14,FALSE)&gt;0,X1425-VLOOKUP(U$38,$A$2:$N$12,14,FALSE)," ")," ")</f>
        <v xml:space="preserve"> </v>
      </c>
      <c r="AA1425" s="34">
        <f t="shared" ref="AA1425" si="6092">$M$3</f>
        <v>0</v>
      </c>
      <c r="AB1425" s="34">
        <v>-1</v>
      </c>
      <c r="AC1425" s="34">
        <f t="shared" ref="AC1425" si="6093">-SUMPRODUCT($M$2:$M$2,$N$2:$N$2)-SUMPRODUCT($M$4:$M$12,$N$4:$N$12)</f>
        <v>-120000</v>
      </c>
      <c r="AD1425" s="34" t="e">
        <f t="shared" ref="AD1425" si="6094">IF(AA1425&lt;&gt;AA1426,MMULT(MINVERSE(AA1425:AB1426),AC1425:AC1426)," ")</f>
        <v>#NUM!</v>
      </c>
      <c r="AE1425" s="34" t="str">
        <f t="shared" ref="AE1425" si="6095">IFERROR(IF(AD1425-VLOOKUP(AA$38,$A$2:$N$12,14,FALSE)&lt;0,AD1425-VLOOKUP(AA$38,$A$2:$N$12,14,FALSE)," ")," ")</f>
        <v xml:space="preserve"> </v>
      </c>
      <c r="AF1425" s="34" t="str">
        <f t="shared" ref="AF1425" si="6096">IFERROR(IF(AD1425-VLOOKUP(AA$38,$A$2:$N$12,14,FALSE)&gt;0,AD1425-VLOOKUP(AA$38,$A$2:$N$12,14,FALSE)," ")," ")</f>
        <v xml:space="preserve"> </v>
      </c>
      <c r="AG1425" s="34">
        <f t="shared" ref="AG1425" si="6097">$M$4</f>
        <v>300</v>
      </c>
      <c r="AH1425" s="34">
        <v>-1</v>
      </c>
      <c r="AI1425" s="34">
        <f t="shared" ref="AI1425" si="6098">-SUMPRODUCT($M$2:$M$3,$N$2:$N$3)-SUMPRODUCT($M$5:$M$12,$N$5:$N$12)</f>
        <v>-15000.000000000002</v>
      </c>
      <c r="AJ1425" s="34" t="e">
        <f t="shared" ref="AJ1425" si="6099">IF(AG1425&lt;&gt;AG1426,MMULT(MINVERSE(AG1425:AH1426),AI1425:AI1426)," ")</f>
        <v>#NUM!</v>
      </c>
      <c r="AK1425" s="34" t="str">
        <f t="shared" ref="AK1425" si="6100">IFERROR(IF(AJ1425-VLOOKUP(AG$38,$A$2:$N$12,14,FALSE)&lt;0,AJ1425-VLOOKUP(AG$38,$A$2:$N$12,14,FALSE)," ")," ")</f>
        <v xml:space="preserve"> </v>
      </c>
      <c r="AL1425" s="34" t="str">
        <f t="shared" ref="AL1425" si="6101">IFERROR(IF(AJ1425-VLOOKUP(AG$38,$A$2:$N$12,14,FALSE)&gt;0,AJ1425-VLOOKUP(AG$38,$A$2:$N$12,14,FALSE)," ")," ")</f>
        <v xml:space="preserve"> </v>
      </c>
      <c r="AM1425" s="34">
        <f t="shared" ref="AM1425" si="6102">$M$5</f>
        <v>0</v>
      </c>
      <c r="AN1425" s="34">
        <v>-1</v>
      </c>
      <c r="AO1425" s="34">
        <f t="shared" ref="AO1425" si="6103">-SUMPRODUCT($M$2:$M$4,$N$2:$N$4)-SUMPRODUCT($M$6:$M$12,$N$6:$N$12)</f>
        <v>-120000</v>
      </c>
      <c r="AP1425" s="34" t="e">
        <f t="shared" ref="AP1425" si="6104">IF(AM1425&lt;&gt;AM1426,MMULT(MINVERSE(AM1425:AN1426),AO1425:AO1426)," ")</f>
        <v>#NUM!</v>
      </c>
      <c r="AQ1425" s="34" t="str">
        <f t="shared" ref="AQ1425" si="6105">IFERROR(IF(AP1425-VLOOKUP(AM$38,$A$2:$N$12,14,FALSE)&lt;0,AP1425-VLOOKUP(AM$38,$A$2:$N$12,14,FALSE)," ")," ")</f>
        <v xml:space="preserve"> </v>
      </c>
      <c r="AR1425" s="34" t="str">
        <f t="shared" ref="AR1425" si="6106">IFERROR(IF(AP1425-VLOOKUP(AM$38,$A$2:$N$12,14,FALSE)&gt;0,AP1425-VLOOKUP(AM$38,$A$2:$N$12,14,FALSE)," ")," ")</f>
        <v xml:space="preserve"> </v>
      </c>
      <c r="AS1425" s="34">
        <f t="shared" ref="AS1425" si="6107">$M$6</f>
        <v>0</v>
      </c>
      <c r="AT1425" s="34">
        <v>-1</v>
      </c>
      <c r="AU1425" s="34">
        <f t="shared" ref="AU1425" si="6108">-SUMPRODUCT($M$2:$M$5,$N$2:$N$5)-SUMPRODUCT($M$7:$M$12,$N$7:$N$12)</f>
        <v>-120000</v>
      </c>
      <c r="AV1425" s="34" t="e">
        <f t="shared" ref="AV1425" si="6109">IF(AS1425&lt;&gt;AS1426,MMULT(MINVERSE(AS1425:AT1426),AU1425:AU1426)," ")</f>
        <v>#NUM!</v>
      </c>
      <c r="AW1425" s="34" t="str">
        <f t="shared" ref="AW1425" si="6110">IFERROR(IF(AV1425-VLOOKUP(AS$38,$A$2:$N$12,14,FALSE)&lt;0,AV1425-VLOOKUP(AS$38,$A$2:$N$12,14,FALSE)," ")," ")</f>
        <v xml:space="preserve"> </v>
      </c>
      <c r="AX1425" s="34" t="str">
        <f t="shared" ref="AX1425" si="6111">IFERROR(IF(AV1425-VLOOKUP(AS$38,$A$2:$N$12,14,FALSE)&gt;0,AV1425-VLOOKUP(AS$38,$A$2:$N$12,14,FALSE)," ")," ")</f>
        <v xml:space="preserve"> </v>
      </c>
      <c r="AY1425" s="34">
        <f t="shared" ref="AY1425" si="6112">$M$7</f>
        <v>0</v>
      </c>
      <c r="AZ1425" s="34">
        <v>-1</v>
      </c>
      <c r="BA1425" s="34">
        <f t="shared" ref="BA1425" si="6113">-SUMPRODUCT($M$2:$M$6,$N$2:$N$6)-SUMPRODUCT($M$8:$M$12,$N$8:$N$12)</f>
        <v>-120000</v>
      </c>
      <c r="BB1425" s="34" t="e">
        <f t="shared" ref="BB1425" si="6114">IF(AY1425&lt;&gt;AY1426,MMULT(MINVERSE(AY1425:AZ1426),BA1425:BA1426)," ")</f>
        <v>#NUM!</v>
      </c>
      <c r="BC1425" s="34" t="str">
        <f t="shared" ref="BC1425" si="6115">IFERROR(IF(BB1425-VLOOKUP(AY$38,$A$2:$N$12,14,FALSE)&lt;0,BB1425-VLOOKUP(AY$38,$A$2:$N$12,14,FALSE)," ")," ")</f>
        <v xml:space="preserve"> </v>
      </c>
      <c r="BD1425" s="34" t="str">
        <f t="shared" ref="BD1425" si="6116">IFERROR(IF(BB1425-VLOOKUP(AY$38,$A$2:$N$12,14,FALSE)&gt;0,BB1425-VLOOKUP(AY$38,$A$2:$N$12,14,FALSE)," ")," ")</f>
        <v xml:space="preserve"> </v>
      </c>
      <c r="BE1425" s="34">
        <f t="shared" ref="BE1425" si="6117">$M$8</f>
        <v>0</v>
      </c>
      <c r="BF1425" s="34">
        <v>-1</v>
      </c>
      <c r="BG1425" s="34">
        <f t="shared" ref="BG1425" si="6118">-SUMPRODUCT($M$2:$M$7,$N$2:$N$7)-SUMPRODUCT($M$9:$M$12,$N$9:$N$12)</f>
        <v>-120000</v>
      </c>
      <c r="BH1425" s="34" t="e">
        <f t="shared" ref="BH1425" si="6119">IF(BE1425&lt;&gt;BE1426,MMULT(MINVERSE(BE1425:BF1426),BG1425:BG1426)," ")</f>
        <v>#NUM!</v>
      </c>
      <c r="BI1425" s="34" t="str">
        <f t="shared" ref="BI1425" si="6120">IFERROR(IF(BH1425-VLOOKUP(BE$38,$A$2:$N$12,14,FALSE)&lt;0,BH1425-VLOOKUP(BE$38,$A$2:$N$12,14,FALSE)," ")," ")</f>
        <v xml:space="preserve"> </v>
      </c>
      <c r="BJ1425" s="34" t="str">
        <f t="shared" ref="BJ1425" si="6121">IFERROR(IF(BH1425-VLOOKUP(BE$38,$A$2:$N$12,14,FALSE)&gt;0,BH1425-VLOOKUP(BE$38,$A$2:$N$12,14,FALSE)," ")," ")</f>
        <v xml:space="preserve"> </v>
      </c>
      <c r="BK1425" s="34">
        <f t="shared" ref="BK1425" si="6122">$M$9</f>
        <v>0</v>
      </c>
      <c r="BL1425" s="34">
        <v>-1</v>
      </c>
      <c r="BM1425" s="34">
        <f t="shared" ref="BM1425" si="6123">-SUMPRODUCT($M$2:$M$8,$N$2:$N$8)-SUMPRODUCT($M$10:$M$12,$N$10:$N$12)</f>
        <v>-120000</v>
      </c>
      <c r="BN1425" s="34" t="e">
        <f t="shared" ref="BN1425" si="6124">IF(BK1425&lt;&gt;BK1426,MMULT(MINVERSE(BK1425:BL1426),BM1425:BM1426)," ")</f>
        <v>#NUM!</v>
      </c>
      <c r="BO1425" s="34" t="str">
        <f t="shared" ref="BO1425" si="6125">IFERROR(IF(BN1425-VLOOKUP(BK$38,$A$2:$N$12,14,FALSE)&lt;0,BN1425-VLOOKUP(BK$38,$A$2:$N$12,14,FALSE)," ")," ")</f>
        <v xml:space="preserve"> </v>
      </c>
      <c r="BP1425" s="34" t="str">
        <f t="shared" ref="BP1425" si="6126">IFERROR(IF(BN1425-VLOOKUP(BK$38,$A$2:$N$12,14,FALSE)&gt;0,BN1425-VLOOKUP(BK$38,$A$2:$N$12,14,FALSE)," ")," ")</f>
        <v xml:space="preserve"> </v>
      </c>
      <c r="BQ1425" s="34">
        <f t="shared" ref="BQ1425" si="6127">$M$10</f>
        <v>0</v>
      </c>
      <c r="BR1425" s="34">
        <v>-1</v>
      </c>
      <c r="BS1425" s="34">
        <f t="shared" ref="BS1425" si="6128">-SUMPRODUCT($M$2:$M$9,$N$2:$N$9)-SUMPRODUCT($M$11:$M$12,$N$11:$N$12)</f>
        <v>-120000</v>
      </c>
      <c r="BT1425" s="34" t="e">
        <f t="shared" ref="BT1425" si="6129">IF(BQ1425&lt;&gt;BQ1426,MMULT(MINVERSE(BQ1425:BR1426),BS1425:BS1426)," ")</f>
        <v>#NUM!</v>
      </c>
      <c r="BU1425" s="34" t="str">
        <f t="shared" ref="BU1425" si="6130">IFERROR(IF(BT1425-VLOOKUP(BQ$38,$A$2:$N$12,14,FALSE)&lt;0,BT1425-VLOOKUP(BQ$38,$A$2:$N$12,14,FALSE)," ")," ")</f>
        <v xml:space="preserve"> </v>
      </c>
      <c r="BV1425" s="34" t="str">
        <f t="shared" ref="BV1425" si="6131">IFERROR(IF(BT1425-VLOOKUP(BQ$38,$A$2:$N$12,14,FALSE)&gt;0,BT1425-VLOOKUP(BQ$38,$A$2:$N$12,14,FALSE)," ")," ")</f>
        <v xml:space="preserve"> </v>
      </c>
      <c r="BW1425" s="34">
        <f t="shared" ref="BW1425" si="6132">$M$11</f>
        <v>0</v>
      </c>
      <c r="BX1425" s="34">
        <v>-1</v>
      </c>
      <c r="BY1425" s="34">
        <f t="shared" ref="BY1425" si="6133">-SUMPRODUCT($M$2:$M$10,$N$2:$N$10)-SUMPRODUCT($M$12,$N$12)</f>
        <v>-120000</v>
      </c>
      <c r="BZ1425" s="34" t="e">
        <f t="shared" ref="BZ1425" si="6134">IF(BW1425&lt;&gt;BW1426,MMULT(MINVERSE(BW1425:BX1426),BY1425:BY1426)," ")</f>
        <v>#NUM!</v>
      </c>
      <c r="CA1425" s="34" t="str">
        <f t="shared" ref="CA1425" si="6135">IFERROR(IF(BZ1425-VLOOKUP(BW$38,$A$2:$N$12,14,FALSE)&lt;0,BZ1425-VLOOKUP(BW$38,$A$2:$N$12,14,FALSE)," ")," ")</f>
        <v xml:space="preserve"> </v>
      </c>
      <c r="CB1425" s="34" t="str">
        <f t="shared" ref="CB1425" si="6136">IFERROR(IF(BZ1425-VLOOKUP(BW$38,$A$2:$N$12,14,FALSE)&gt;0,BZ1425-VLOOKUP(BW$38,$A$2:$N$12,14,FALSE)," ")," ")</f>
        <v xml:space="preserve"> </v>
      </c>
      <c r="CC1425" s="34">
        <f t="shared" ref="CC1425" si="6137">$M$12</f>
        <v>0</v>
      </c>
      <c r="CD1425" s="34">
        <v>-1</v>
      </c>
      <c r="CE1425" s="34">
        <f t="shared" ref="CE1425" si="6138">-SUMPRODUCT($M$2:$M$11,$N$2:$N$11)</f>
        <v>-120000</v>
      </c>
      <c r="CF1425" s="34" t="e">
        <f t="shared" ref="CF1425" si="6139">IF(CC1425&lt;&gt;CC1426,MMULT(MINVERSE(CC1425:CD1426),CE1425:CE1426)," ")</f>
        <v>#NUM!</v>
      </c>
      <c r="CG1425" s="34" t="str">
        <f t="shared" ref="CG1425" si="6140">IFERROR(IF(CF1425-VLOOKUP(CC$38,$A$2:$N$12,14,FALSE)&lt;0,CF1425-VLOOKUP(CC$38,$A$2:$N$12,14,FALSE)," ")," ")</f>
        <v xml:space="preserve"> </v>
      </c>
      <c r="CH1425" s="34" t="str">
        <f t="shared" ref="CH1425" si="6141">IFERROR(IF(CF1425-VLOOKUP(CC$38,$A$2:$N$12,14,FALSE)&gt;0,CF1425-VLOOKUP(CC$38,$A$2:$N$12,14,FALSE)," ")," ")</f>
        <v xml:space="preserve"> </v>
      </c>
      <c r="CI1425" s="8"/>
    </row>
    <row r="1426" spans="1:87" x14ac:dyDescent="0.2">
      <c r="A1426" s="8" t="str">
        <f>IF(AND(COUNTIF(W$3:W$13,A$16)&gt;0,A$16&lt;&gt;B1308),A$16,IFERROR(IF(MATCH(A$16,Z$3:Z$13,0)=6,A$16," ")," "))</f>
        <v xml:space="preserve"> </v>
      </c>
      <c r="B1426" s="8" t="str">
        <f>IF(A1426=" "," ",MAX(B1425:B1425)+1)</f>
        <v xml:space="preserve"> </v>
      </c>
      <c r="C1426" s="8" t="str">
        <f>IFERROR(INDEX(A1425:A1446,MATCH(SMALL(B1425:B1446,2),B1425:B1446,0),1)," ")</f>
        <v>C4</v>
      </c>
      <c r="D1426" s="8">
        <f t="shared" ref="D1426:D1435" si="6142">IFERROR(VLOOKUP($C1426,$A$15:$O$36,2,FALSE)," ")</f>
        <v>1</v>
      </c>
      <c r="E1426" s="8">
        <f t="shared" ref="E1426:E1435" si="6143">IFERROR(VLOOKUP($C1426,$A$15:$O$36,3,FALSE)," ")</f>
        <v>0</v>
      </c>
      <c r="F1426" s="8">
        <f t="shared" ref="F1426:F1435" si="6144">IFERROR(VLOOKUP($C1426,$A$15:$O$36,4,FALSE)," ")</f>
        <v>1</v>
      </c>
      <c r="G1426" s="8">
        <f t="shared" ref="G1426:G1435" si="6145">IFERROR(VLOOKUP($C1426,$A$15:$O$36,5,FALSE)," ")</f>
        <v>0</v>
      </c>
      <c r="H1426" s="8">
        <f t="shared" ref="H1426:H1435" si="6146">IFERROR(VLOOKUP($C1426,$A$15:$O$36,6,FALSE)," ")</f>
        <v>0</v>
      </c>
      <c r="I1426" s="8">
        <f t="shared" ref="I1426:I1435" si="6147">IFERROR(VLOOKUP($C1426,$A$15:$O$36,7,FALSE)," ")</f>
        <v>0</v>
      </c>
      <c r="J1426" s="8">
        <f t="shared" ref="J1426:J1435" si="6148">IFERROR(VLOOKUP($C1426,$A$15:$O$36,8,FALSE)," ")</f>
        <v>0</v>
      </c>
      <c r="K1426" s="8">
        <f t="shared" ref="K1426:K1435" si="6149">IFERROR(VLOOKUP($C1426,$A$15:$O$36,9,FALSE)," ")</f>
        <v>0</v>
      </c>
      <c r="L1426" s="8">
        <f t="shared" ref="L1426:L1435" si="6150">IFERROR(VLOOKUP($C1426,$A$15:$O$36,10,FALSE)," ")</f>
        <v>0</v>
      </c>
      <c r="M1426" s="8">
        <f t="shared" ref="M1426:M1435" si="6151">IFERROR(VLOOKUP($C1426,$A$15:$O$36,11,FALSE)," ")</f>
        <v>0</v>
      </c>
      <c r="N1426" s="8">
        <f t="shared" ref="N1426:N1435" si="6152">IFERROR(VLOOKUP($C1426,$A$15:$O$36,12,FALSE)," ")</f>
        <v>0</v>
      </c>
      <c r="O1426" s="8">
        <f t="shared" ref="O1426:O1435" si="6153">IFERROR(VLOOKUP($C1426,$A$15:$O$36,15,FALSE)," ")</f>
        <v>400</v>
      </c>
      <c r="P1426" s="8" t="e">
        <v>#NUM!</v>
      </c>
      <c r="Q1426" s="8" t="e">
        <f t="shared" ref="Q1426" si="6154">IF(COUNTIF(P1425:P1435,"&lt;"&amp;-0.001)=0,IF(ABS(P1426)&lt;0.001,0,P1426)," ")</f>
        <v>#NUM!</v>
      </c>
      <c r="R1426" s="8"/>
      <c r="S1426" s="8"/>
      <c r="U1426" s="34" t="e">
        <f t="shared" ref="U1426" si="6155">$Q1425</f>
        <v>#NUM!</v>
      </c>
      <c r="V1426" s="34">
        <v>-1</v>
      </c>
      <c r="W1426" s="34" t="e">
        <f t="shared" ref="W1426" si="6156">-SUMPRODUCT($Q1426:$Q1435,$N$3:$N$12)</f>
        <v>#NUM!</v>
      </c>
      <c r="X1426" s="34"/>
      <c r="Y1426" s="34"/>
      <c r="Z1426" s="34"/>
      <c r="AA1426" s="34" t="e">
        <f t="shared" ref="AA1426" si="6157">$Q1426</f>
        <v>#NUM!</v>
      </c>
      <c r="AB1426" s="34">
        <v>-1</v>
      </c>
      <c r="AC1426" s="34" t="e">
        <f t="shared" ref="AC1426" si="6158">-SUMPRODUCT($Q1425:$Q1425,$N$2:$N$2)-SUMPRODUCT($Q1427:$Q1435,$N$4:$N$12)</f>
        <v>#NUM!</v>
      </c>
      <c r="AD1426" s="34"/>
      <c r="AE1426" s="34"/>
      <c r="AF1426" s="34"/>
      <c r="AG1426" s="34" t="e">
        <f t="shared" ref="AG1426" si="6159">$Q1427</f>
        <v>#NUM!</v>
      </c>
      <c r="AH1426" s="34">
        <v>-1</v>
      </c>
      <c r="AI1426" s="34" t="e">
        <f t="shared" ref="AI1426" si="6160">-SUMPRODUCT($Q1425:$Q1426,$N$2:$N$3)-SUMPRODUCT($Q1428:$Q1435,$N$5:$N$12)</f>
        <v>#NUM!</v>
      </c>
      <c r="AJ1426" s="34"/>
      <c r="AK1426" s="34"/>
      <c r="AL1426" s="34"/>
      <c r="AM1426" s="34" t="e">
        <f t="shared" ref="AM1426" si="6161">$Q1428</f>
        <v>#NUM!</v>
      </c>
      <c r="AN1426" s="34">
        <v>-1</v>
      </c>
      <c r="AO1426" s="34" t="e">
        <f t="shared" ref="AO1426" si="6162">-SUMPRODUCT($Q1425:$Q1427,$N$2:$N$4)-SUMPRODUCT($Q1429:$Q1435,$N$6:$N$12)</f>
        <v>#NUM!</v>
      </c>
      <c r="AP1426" s="34"/>
      <c r="AQ1426" s="34"/>
      <c r="AR1426" s="34"/>
      <c r="AS1426" s="34" t="e">
        <f t="shared" ref="AS1426" si="6163">$Q1429</f>
        <v>#NUM!</v>
      </c>
      <c r="AT1426" s="34">
        <v>-1</v>
      </c>
      <c r="AU1426" s="34" t="e">
        <f t="shared" ref="AU1426" si="6164">-SUMPRODUCT($Q1425:$Q1428,$N$2:$N$5)-SUMPRODUCT($Q1430:$Q1435,$N$7:$N$12)</f>
        <v>#NUM!</v>
      </c>
      <c r="AV1426" s="34"/>
      <c r="AW1426" s="34"/>
      <c r="AX1426" s="34"/>
      <c r="AY1426" s="34" t="e">
        <f t="shared" ref="AY1426" si="6165">$Q1430</f>
        <v>#NUM!</v>
      </c>
      <c r="AZ1426" s="34">
        <v>-1</v>
      </c>
      <c r="BA1426" s="34" t="e">
        <f t="shared" ref="BA1426" si="6166">-SUMPRODUCT($Q1425:$Q1429,$N$2:$N$6)-SUMPRODUCT($Q1431:$Q1435,$N$8:$N$12)</f>
        <v>#NUM!</v>
      </c>
      <c r="BB1426" s="34"/>
      <c r="BC1426" s="34"/>
      <c r="BD1426" s="34"/>
      <c r="BE1426" s="34" t="e">
        <f t="shared" ref="BE1426" si="6167">$Q1431</f>
        <v>#NUM!</v>
      </c>
      <c r="BF1426" s="34">
        <v>-1</v>
      </c>
      <c r="BG1426" s="34" t="e">
        <f t="shared" ref="BG1426" si="6168">-SUMPRODUCT($Q1425:$Q1430,$N$2:$N$7)-SUMPRODUCT($Q1432:$Q1435,$N$9:$N$12)</f>
        <v>#NUM!</v>
      </c>
      <c r="BH1426" s="34"/>
      <c r="BI1426" s="34"/>
      <c r="BJ1426" s="34"/>
      <c r="BK1426" s="34" t="e">
        <f t="shared" ref="BK1426" si="6169">$Q1432</f>
        <v>#NUM!</v>
      </c>
      <c r="BL1426" s="34">
        <v>-1</v>
      </c>
      <c r="BM1426" s="34" t="e">
        <f t="shared" ref="BM1426" si="6170">-SUMPRODUCT($Q1425:$Q1431,$N$2:$N$8)-SUMPRODUCT($Q1433:$Q1435,$N$10:$N$12)</f>
        <v>#NUM!</v>
      </c>
      <c r="BN1426" s="34"/>
      <c r="BO1426" s="34"/>
      <c r="BP1426" s="34"/>
      <c r="BQ1426" s="34" t="e">
        <f t="shared" ref="BQ1426" si="6171">$Q1433</f>
        <v>#NUM!</v>
      </c>
      <c r="BR1426" s="34">
        <v>-1</v>
      </c>
      <c r="BS1426" s="34" t="e">
        <f t="shared" ref="BS1426" si="6172">-SUMPRODUCT($Q1425:$Q1432,$N$2:$N$9)-SUMPRODUCT($Q1434:$Q1435,$N$11:$N$12)</f>
        <v>#NUM!</v>
      </c>
      <c r="BT1426" s="34"/>
      <c r="BU1426" s="34"/>
      <c r="BV1426" s="34"/>
      <c r="BW1426" s="34" t="e">
        <f t="shared" ref="BW1426" si="6173">$Q1434</f>
        <v>#NUM!</v>
      </c>
      <c r="BX1426" s="34">
        <v>-1</v>
      </c>
      <c r="BY1426" s="34" t="e">
        <f t="shared" ref="BY1426" si="6174">-SUMPRODUCT($Q1425:$Q1433,$N$2:$N$10)-SUMPRODUCT($Q1435,$N$12)</f>
        <v>#NUM!</v>
      </c>
      <c r="BZ1426" s="34"/>
      <c r="CA1426" s="34"/>
      <c r="CB1426" s="34"/>
      <c r="CC1426" s="34" t="e">
        <f t="shared" ref="CC1426" si="6175">$Q1435</f>
        <v>#NUM!</v>
      </c>
      <c r="CD1426" s="34">
        <v>-1</v>
      </c>
      <c r="CE1426" s="34" t="e">
        <f t="shared" ref="CE1426" si="6176">-SUMPRODUCT($Q1425:$Q1434,$N$2:$N$11)</f>
        <v>#NUM!</v>
      </c>
      <c r="CF1426" s="34"/>
      <c r="CG1426" s="34"/>
      <c r="CH1426" s="34"/>
      <c r="CI1426" s="8"/>
    </row>
    <row r="1427" spans="1:87" x14ac:dyDescent="0.2">
      <c r="A1427" s="8" t="str">
        <f>IF(AND(COUNTIF(W$3:W$13,A$17)&gt;0,A$17&lt;&gt;B1308),A$17,IFERROR(IF(MATCH(A$17,Z$3:Z$13,0)=6,A$17," ")," "))</f>
        <v>C3</v>
      </c>
      <c r="B1427" s="8">
        <f>IF(A1427=" "," ",MAX(B1425:B1426)+1)</f>
        <v>1</v>
      </c>
      <c r="C1427" s="8" t="str">
        <f>IFERROR(INDEX(A1425:A1446,MATCH(SMALL(B1425:B1446,3),B1425:B1446,0),1)," ")</f>
        <v>C8</v>
      </c>
      <c r="D1427" s="8">
        <f t="shared" si="6142"/>
        <v>0</v>
      </c>
      <c r="E1427" s="8">
        <f t="shared" si="6143"/>
        <v>0</v>
      </c>
      <c r="F1427" s="8">
        <f t="shared" si="6144"/>
        <v>0</v>
      </c>
      <c r="G1427" s="8">
        <f t="shared" si="6145"/>
        <v>0</v>
      </c>
      <c r="H1427" s="8">
        <f t="shared" si="6146"/>
        <v>0</v>
      </c>
      <c r="I1427" s="8">
        <f t="shared" si="6147"/>
        <v>0</v>
      </c>
      <c r="J1427" s="8">
        <f t="shared" si="6148"/>
        <v>0</v>
      </c>
      <c r="K1427" s="8">
        <f t="shared" si="6149"/>
        <v>0</v>
      </c>
      <c r="L1427" s="8">
        <f t="shared" si="6150"/>
        <v>0</v>
      </c>
      <c r="M1427" s="8">
        <f t="shared" si="6151"/>
        <v>0</v>
      </c>
      <c r="N1427" s="8">
        <f t="shared" si="6152"/>
        <v>0</v>
      </c>
      <c r="O1427" s="8">
        <f t="shared" si="6153"/>
        <v>0</v>
      </c>
      <c r="P1427" s="8" t="e">
        <v>#NUM!</v>
      </c>
      <c r="Q1427" s="8" t="e">
        <f t="shared" ref="Q1427" si="6177">IF(COUNTIF(P1425:P1435,"&lt;"&amp;-0.001)=0,IF(ABS(P1427)&lt;0.001,0,P1427)," ")</f>
        <v>#NUM!</v>
      </c>
      <c r="R1427" s="8"/>
      <c r="S1427" s="8"/>
      <c r="U1427" s="34"/>
      <c r="V1427" s="34"/>
      <c r="W1427" s="34"/>
      <c r="X1427" s="34"/>
      <c r="Y1427" s="34"/>
      <c r="Z1427" s="34"/>
      <c r="AA1427" s="34"/>
      <c r="AB1427" s="34"/>
      <c r="AC1427" s="34"/>
      <c r="AD1427" s="34"/>
      <c r="AE1427" s="34"/>
      <c r="AF1427" s="34"/>
      <c r="AG1427" s="34"/>
      <c r="AH1427" s="34"/>
      <c r="AI1427" s="34"/>
      <c r="AJ1427" s="34"/>
      <c r="AK1427" s="34"/>
      <c r="AL1427" s="34"/>
      <c r="AM1427" s="34"/>
      <c r="AN1427" s="34"/>
      <c r="AO1427" s="34"/>
      <c r="AP1427" s="34"/>
      <c r="AQ1427" s="34"/>
      <c r="AR1427" s="34"/>
      <c r="AS1427" s="34"/>
      <c r="AT1427" s="34"/>
      <c r="AU1427" s="34"/>
      <c r="AV1427" s="34"/>
      <c r="AW1427" s="34"/>
      <c r="AX1427" s="34"/>
      <c r="AY1427" s="34"/>
      <c r="AZ1427" s="34"/>
      <c r="BA1427" s="34"/>
      <c r="BB1427" s="34"/>
      <c r="BC1427" s="34"/>
      <c r="BD1427" s="34"/>
      <c r="BE1427" s="34"/>
      <c r="BF1427" s="34"/>
      <c r="BG1427" s="34"/>
      <c r="BH1427" s="34"/>
      <c r="BI1427" s="34"/>
      <c r="BJ1427" s="34"/>
      <c r="BK1427" s="34"/>
      <c r="BL1427" s="34"/>
      <c r="BM1427" s="34"/>
      <c r="BN1427" s="34"/>
      <c r="BO1427" s="34"/>
      <c r="BP1427" s="34"/>
      <c r="BQ1427" s="34"/>
      <c r="BR1427" s="34"/>
      <c r="BS1427" s="34"/>
      <c r="BT1427" s="34"/>
      <c r="BU1427" s="34"/>
      <c r="BV1427" s="34"/>
      <c r="BW1427" s="34"/>
      <c r="BX1427" s="34"/>
      <c r="BY1427" s="34"/>
      <c r="BZ1427" s="34"/>
      <c r="CA1427" s="34"/>
      <c r="CB1427" s="34"/>
      <c r="CC1427" s="34"/>
      <c r="CD1427" s="34"/>
      <c r="CE1427" s="34"/>
      <c r="CF1427" s="34"/>
      <c r="CG1427" s="34"/>
      <c r="CH1427" s="34"/>
      <c r="CI1427" s="8"/>
    </row>
    <row r="1428" spans="1:87" x14ac:dyDescent="0.2">
      <c r="A1428" s="8" t="str">
        <f>IF(AND(COUNTIF(W$3:W$13,A$18)&gt;0,A$18&lt;&gt;B1308),A$18,IFERROR(IF(MATCH(A$18,Z$3:Z$13,0)=6,A$18," ")," "))</f>
        <v>C4</v>
      </c>
      <c r="B1428" s="8">
        <f>IF(A1428=" "," ",MAX(B1425:B1427)+1)</f>
        <v>2</v>
      </c>
      <c r="C1428" s="8" t="str">
        <f>IFERROR(INDEX(A1425:A1446,MATCH(SMALL(B1425:B1446,4),B1425:B1446,0),1)," ")</f>
        <v>C13</v>
      </c>
      <c r="D1428" s="8">
        <f t="shared" si="6142"/>
        <v>0</v>
      </c>
      <c r="E1428" s="8">
        <f t="shared" si="6143"/>
        <v>1</v>
      </c>
      <c r="F1428" s="8">
        <f t="shared" si="6144"/>
        <v>0</v>
      </c>
      <c r="G1428" s="8">
        <f t="shared" si="6145"/>
        <v>0</v>
      </c>
      <c r="H1428" s="8">
        <f t="shared" si="6146"/>
        <v>0</v>
      </c>
      <c r="I1428" s="8">
        <f t="shared" si="6147"/>
        <v>0</v>
      </c>
      <c r="J1428" s="8">
        <f t="shared" si="6148"/>
        <v>0</v>
      </c>
      <c r="K1428" s="8">
        <f t="shared" si="6149"/>
        <v>0</v>
      </c>
      <c r="L1428" s="8">
        <f t="shared" si="6150"/>
        <v>0</v>
      </c>
      <c r="M1428" s="8">
        <f t="shared" si="6151"/>
        <v>0</v>
      </c>
      <c r="N1428" s="8">
        <f t="shared" si="6152"/>
        <v>0</v>
      </c>
      <c r="O1428" s="8">
        <f t="shared" si="6153"/>
        <v>0</v>
      </c>
      <c r="P1428" s="8" t="e">
        <v>#NUM!</v>
      </c>
      <c r="Q1428" s="8" t="e">
        <f t="shared" ref="Q1428" si="6178">IF(COUNTIF(P1425:P1435,"&lt;"&amp;-0.001)=0,IF(ABS(P1428)&lt;0.001,0,P1428)," ")</f>
        <v>#NUM!</v>
      </c>
      <c r="R1428" s="8"/>
      <c r="S1428" s="8"/>
      <c r="U1428" s="34"/>
      <c r="V1428" s="34"/>
      <c r="W1428" s="34"/>
      <c r="X1428" s="34"/>
      <c r="Y1428" s="34"/>
      <c r="Z1428" s="34"/>
      <c r="AA1428" s="34"/>
      <c r="AB1428" s="34"/>
      <c r="AC1428" s="34"/>
      <c r="AD1428" s="34"/>
      <c r="AE1428" s="34"/>
      <c r="AF1428" s="34"/>
      <c r="AG1428" s="34"/>
      <c r="AH1428" s="34"/>
      <c r="AI1428" s="34"/>
      <c r="AJ1428" s="34"/>
      <c r="AK1428" s="34"/>
      <c r="AL1428" s="34"/>
      <c r="AM1428" s="34"/>
      <c r="AN1428" s="34"/>
      <c r="AO1428" s="34"/>
      <c r="AP1428" s="34"/>
      <c r="AQ1428" s="34"/>
      <c r="AR1428" s="34"/>
      <c r="AS1428" s="34"/>
      <c r="AT1428" s="34"/>
      <c r="AU1428" s="34"/>
      <c r="AV1428" s="34"/>
      <c r="AW1428" s="34"/>
      <c r="AX1428" s="34"/>
      <c r="AY1428" s="34"/>
      <c r="AZ1428" s="34"/>
      <c r="BA1428" s="34"/>
      <c r="BB1428" s="34"/>
      <c r="BC1428" s="34"/>
      <c r="BD1428" s="34"/>
      <c r="BE1428" s="34"/>
      <c r="BF1428" s="34"/>
      <c r="BG1428" s="34"/>
      <c r="BH1428" s="34"/>
      <c r="BI1428" s="34"/>
      <c r="BJ1428" s="34"/>
      <c r="BK1428" s="34"/>
      <c r="BL1428" s="34"/>
      <c r="BM1428" s="34"/>
      <c r="BN1428" s="34"/>
      <c r="BO1428" s="34"/>
      <c r="BP1428" s="34"/>
      <c r="BQ1428" s="34"/>
      <c r="BR1428" s="34"/>
      <c r="BS1428" s="34"/>
      <c r="BT1428" s="34"/>
      <c r="BU1428" s="34"/>
      <c r="BV1428" s="34"/>
      <c r="BW1428" s="34"/>
      <c r="BX1428" s="34"/>
      <c r="BY1428" s="34"/>
      <c r="BZ1428" s="34"/>
      <c r="CA1428" s="34"/>
      <c r="CB1428" s="34"/>
      <c r="CC1428" s="34"/>
      <c r="CD1428" s="34"/>
      <c r="CE1428" s="34"/>
      <c r="CF1428" s="34"/>
      <c r="CG1428" s="34"/>
      <c r="CH1428" s="34"/>
      <c r="CI1428" s="8"/>
    </row>
    <row r="1429" spans="1:87" x14ac:dyDescent="0.2">
      <c r="A1429" s="8" t="str">
        <f>IF(AND(COUNTIF(W$3:W$13,A$19)&gt;0,A$19&lt;&gt;B1308),A$19,IFERROR(IF(MATCH(A$19,Z$3:Z$13,0)=6,A$19," ")," "))</f>
        <v xml:space="preserve"> </v>
      </c>
      <c r="B1429" s="8" t="str">
        <f>IF(A1429=" "," ",MAX(B1425:B1428)+1)</f>
        <v xml:space="preserve"> </v>
      </c>
      <c r="C1429" s="8" t="str">
        <f>IFERROR(INDEX(A1425:A1446,MATCH(SMALL(B1425:B1446,5),B1425:B1446,0),1)," ")</f>
        <v>C15</v>
      </c>
      <c r="D1429" s="8">
        <f t="shared" si="6142"/>
        <v>0</v>
      </c>
      <c r="E1429" s="8">
        <f t="shared" si="6143"/>
        <v>0</v>
      </c>
      <c r="F1429" s="8">
        <f t="shared" si="6144"/>
        <v>0</v>
      </c>
      <c r="G1429" s="8">
        <f t="shared" si="6145"/>
        <v>1</v>
      </c>
      <c r="H1429" s="8">
        <f t="shared" si="6146"/>
        <v>0</v>
      </c>
      <c r="I1429" s="8">
        <f t="shared" si="6147"/>
        <v>0</v>
      </c>
      <c r="J1429" s="8">
        <f t="shared" si="6148"/>
        <v>0</v>
      </c>
      <c r="K1429" s="8">
        <f t="shared" si="6149"/>
        <v>0</v>
      </c>
      <c r="L1429" s="8">
        <f t="shared" si="6150"/>
        <v>0</v>
      </c>
      <c r="M1429" s="8">
        <f t="shared" si="6151"/>
        <v>0</v>
      </c>
      <c r="N1429" s="8">
        <f t="shared" si="6152"/>
        <v>0</v>
      </c>
      <c r="O1429" s="8">
        <f t="shared" si="6153"/>
        <v>0</v>
      </c>
      <c r="P1429" s="8" t="e">
        <v>#NUM!</v>
      </c>
      <c r="Q1429" s="8" t="e">
        <f t="shared" ref="Q1429" si="6179">IF(COUNTIF(P1425:P1435,"&lt;"&amp;-0.001)=0,IF(ABS(P1429)&lt;0.001,0,P1429)," ")</f>
        <v>#NUM!</v>
      </c>
      <c r="R1429" s="8"/>
      <c r="S1429" s="8"/>
      <c r="U1429" s="34"/>
      <c r="V1429" s="34"/>
      <c r="W1429" s="34"/>
      <c r="X1429" s="34"/>
      <c r="Y1429" s="34"/>
      <c r="Z1429" s="34"/>
      <c r="AA1429" s="34"/>
      <c r="AB1429" s="34"/>
      <c r="AC1429" s="34"/>
      <c r="AD1429" s="34"/>
      <c r="AE1429" s="34"/>
      <c r="AF1429" s="34"/>
      <c r="AG1429" s="34"/>
      <c r="AH1429" s="34"/>
      <c r="AI1429" s="34"/>
      <c r="AJ1429" s="34"/>
      <c r="AK1429" s="34"/>
      <c r="AL1429" s="34"/>
      <c r="AM1429" s="34"/>
      <c r="AN1429" s="34"/>
      <c r="AO1429" s="34"/>
      <c r="AP1429" s="34"/>
      <c r="AQ1429" s="34"/>
      <c r="AR1429" s="34"/>
      <c r="AS1429" s="34"/>
      <c r="AT1429" s="34"/>
      <c r="AU1429" s="34"/>
      <c r="AV1429" s="34"/>
      <c r="AW1429" s="34"/>
      <c r="AX1429" s="34"/>
      <c r="AY1429" s="34"/>
      <c r="AZ1429" s="34"/>
      <c r="BA1429" s="34"/>
      <c r="BB1429" s="34"/>
      <c r="BC1429" s="34"/>
      <c r="BD1429" s="34"/>
      <c r="BE1429" s="34"/>
      <c r="BF1429" s="34"/>
      <c r="BG1429" s="34"/>
      <c r="BH1429" s="34"/>
      <c r="BI1429" s="34"/>
      <c r="BJ1429" s="34"/>
      <c r="BK1429" s="34"/>
      <c r="BL1429" s="34"/>
      <c r="BM1429" s="34"/>
      <c r="BN1429" s="34"/>
      <c r="BO1429" s="34"/>
      <c r="BP1429" s="34"/>
      <c r="BQ1429" s="34"/>
      <c r="BR1429" s="34"/>
      <c r="BS1429" s="34"/>
      <c r="BT1429" s="34"/>
      <c r="BU1429" s="34"/>
      <c r="BV1429" s="34"/>
      <c r="BW1429" s="34"/>
      <c r="BX1429" s="34"/>
      <c r="BY1429" s="34"/>
      <c r="BZ1429" s="34"/>
      <c r="CA1429" s="34"/>
      <c r="CB1429" s="34"/>
      <c r="CC1429" s="34"/>
      <c r="CD1429" s="34"/>
      <c r="CE1429" s="34"/>
      <c r="CF1429" s="34"/>
      <c r="CG1429" s="34"/>
      <c r="CH1429" s="34"/>
      <c r="CI1429" s="8"/>
    </row>
    <row r="1430" spans="1:87" x14ac:dyDescent="0.2">
      <c r="A1430" s="8" t="str">
        <f>IF(AND(COUNTIF(W$3:W$13,A$20)&gt;0,A$20&lt;&gt;B1308),A$20,IFERROR(IF(MATCH(A$20,Z$3:Z$13,0)=6,A$20," ")," "))</f>
        <v xml:space="preserve"> </v>
      </c>
      <c r="B1430" s="8" t="str">
        <f>IF(A1430=" "," ",MAX(B1425:B1429)+1)</f>
        <v xml:space="preserve"> </v>
      </c>
      <c r="C1430" s="8" t="str">
        <f>IFERROR(INDEX(A1425:A1446,MATCH(SMALL(B1425:B1446,6),B1425:B1446,0),1)," ")</f>
        <v>C16</v>
      </c>
      <c r="D1430" s="8">
        <f t="shared" si="6142"/>
        <v>0</v>
      </c>
      <c r="E1430" s="8">
        <f t="shared" si="6143"/>
        <v>0</v>
      </c>
      <c r="F1430" s="8">
        <f t="shared" si="6144"/>
        <v>0</v>
      </c>
      <c r="G1430" s="8">
        <f t="shared" si="6145"/>
        <v>0</v>
      </c>
      <c r="H1430" s="8">
        <f t="shared" si="6146"/>
        <v>1</v>
      </c>
      <c r="I1430" s="8">
        <f t="shared" si="6147"/>
        <v>0</v>
      </c>
      <c r="J1430" s="8">
        <f t="shared" si="6148"/>
        <v>0</v>
      </c>
      <c r="K1430" s="8">
        <f t="shared" si="6149"/>
        <v>0</v>
      </c>
      <c r="L1430" s="8">
        <f t="shared" si="6150"/>
        <v>0</v>
      </c>
      <c r="M1430" s="8">
        <f t="shared" si="6151"/>
        <v>0</v>
      </c>
      <c r="N1430" s="8">
        <f t="shared" si="6152"/>
        <v>0</v>
      </c>
      <c r="O1430" s="8">
        <f t="shared" si="6153"/>
        <v>0</v>
      </c>
      <c r="P1430" s="8" t="e">
        <v>#NUM!</v>
      </c>
      <c r="Q1430" s="8" t="e">
        <f t="shared" ref="Q1430" si="6180">IF(COUNTIF(P1425:P1435,"&lt;"&amp;-0.001)=0,IF(ABS(P1430)&lt;0.001,0,P1430)," ")</f>
        <v>#NUM!</v>
      </c>
      <c r="R1430" s="8"/>
      <c r="S1430" s="8"/>
      <c r="U1430" s="34"/>
      <c r="V1430" s="34"/>
      <c r="W1430" s="34"/>
      <c r="X1430" s="34"/>
      <c r="Y1430" s="34"/>
      <c r="Z1430" s="34"/>
      <c r="AA1430" s="34"/>
      <c r="AB1430" s="34"/>
      <c r="AC1430" s="34"/>
      <c r="AD1430" s="34"/>
      <c r="AE1430" s="34"/>
      <c r="AF1430" s="34"/>
      <c r="AG1430" s="34"/>
      <c r="AH1430" s="34"/>
      <c r="AI1430" s="34"/>
      <c r="AJ1430" s="34"/>
      <c r="AK1430" s="34"/>
      <c r="AL1430" s="34"/>
      <c r="AM1430" s="34"/>
      <c r="AN1430" s="34"/>
      <c r="AO1430" s="34"/>
      <c r="AP1430" s="34"/>
      <c r="AQ1430" s="34"/>
      <c r="AR1430" s="34"/>
      <c r="AS1430" s="34"/>
      <c r="AT1430" s="34"/>
      <c r="AU1430" s="34"/>
      <c r="AV1430" s="34"/>
      <c r="AW1430" s="34"/>
      <c r="AX1430" s="34"/>
      <c r="AY1430" s="34"/>
      <c r="AZ1430" s="34"/>
      <c r="BA1430" s="34"/>
      <c r="BB1430" s="34"/>
      <c r="BC1430" s="34"/>
      <c r="BD1430" s="34"/>
      <c r="BE1430" s="34"/>
      <c r="BF1430" s="34"/>
      <c r="BG1430" s="34"/>
      <c r="BH1430" s="34"/>
      <c r="BI1430" s="34"/>
      <c r="BJ1430" s="34"/>
      <c r="BK1430" s="34"/>
      <c r="BL1430" s="34"/>
      <c r="BM1430" s="34"/>
      <c r="BN1430" s="34"/>
      <c r="BO1430" s="34"/>
      <c r="BP1430" s="34"/>
      <c r="BQ1430" s="34"/>
      <c r="BR1430" s="34"/>
      <c r="BS1430" s="34"/>
      <c r="BT1430" s="34"/>
      <c r="BU1430" s="34"/>
      <c r="BV1430" s="34"/>
      <c r="BW1430" s="34"/>
      <c r="BX1430" s="34"/>
      <c r="BY1430" s="34"/>
      <c r="BZ1430" s="34"/>
      <c r="CA1430" s="34"/>
      <c r="CB1430" s="34"/>
      <c r="CC1430" s="34"/>
      <c r="CD1430" s="34"/>
      <c r="CE1430" s="34"/>
      <c r="CF1430" s="34"/>
      <c r="CG1430" s="34"/>
      <c r="CH1430" s="34"/>
      <c r="CI1430" s="8"/>
    </row>
    <row r="1431" spans="1:87" x14ac:dyDescent="0.2">
      <c r="A1431" s="8" t="str">
        <f>IF(AND(COUNTIF(W$3:W$13,A$21)&gt;0,A$21&lt;&gt;B1308),A$21,IFERROR(IF(MATCH(A$21,Z$3:Z$13,0)=6,A$21," ")," "))</f>
        <v xml:space="preserve"> </v>
      </c>
      <c r="B1431" s="8" t="str">
        <f>IF(A1431=" "," ",MAX(B1425:B1430)+1)</f>
        <v xml:space="preserve"> </v>
      </c>
      <c r="C1431" s="8" t="str">
        <f>IFERROR(INDEX(A1425:A1446,MATCH(SMALL(B1425:B1446,7),B1425:B1446,0),1)," ")</f>
        <v>C18</v>
      </c>
      <c r="D1431" s="8">
        <f t="shared" si="6142"/>
        <v>0</v>
      </c>
      <c r="E1431" s="8">
        <f t="shared" si="6143"/>
        <v>0</v>
      </c>
      <c r="F1431" s="8">
        <f t="shared" si="6144"/>
        <v>0</v>
      </c>
      <c r="G1431" s="8">
        <f t="shared" si="6145"/>
        <v>0</v>
      </c>
      <c r="H1431" s="8">
        <f t="shared" si="6146"/>
        <v>0</v>
      </c>
      <c r="I1431" s="8">
        <f t="shared" si="6147"/>
        <v>0</v>
      </c>
      <c r="J1431" s="8">
        <f t="shared" si="6148"/>
        <v>1</v>
      </c>
      <c r="K1431" s="8">
        <f t="shared" si="6149"/>
        <v>0</v>
      </c>
      <c r="L1431" s="8">
        <f t="shared" si="6150"/>
        <v>0</v>
      </c>
      <c r="M1431" s="8">
        <f t="shared" si="6151"/>
        <v>0</v>
      </c>
      <c r="N1431" s="8">
        <f t="shared" si="6152"/>
        <v>0</v>
      </c>
      <c r="O1431" s="8">
        <f t="shared" si="6153"/>
        <v>0</v>
      </c>
      <c r="P1431" s="8" t="e">
        <v>#NUM!</v>
      </c>
      <c r="Q1431" s="8" t="e">
        <f t="shared" ref="Q1431" si="6181">IF(COUNTIF(P1425:P1435,"&lt;"&amp;-0.001)=0,IF(ABS(P1431)&lt;0.001,0,P1431)," ")</f>
        <v>#NUM!</v>
      </c>
      <c r="R1431" s="8"/>
      <c r="S1431" s="8"/>
      <c r="U1431" s="34"/>
      <c r="V1431" s="34"/>
      <c r="W1431" s="34"/>
      <c r="X1431" s="34"/>
      <c r="Y1431" s="34"/>
      <c r="Z1431" s="34"/>
      <c r="AA1431" s="34"/>
      <c r="AB1431" s="34"/>
      <c r="AC1431" s="34"/>
      <c r="AD1431" s="34"/>
      <c r="AE1431" s="34"/>
      <c r="AF1431" s="34"/>
      <c r="AG1431" s="34"/>
      <c r="AH1431" s="34"/>
      <c r="AI1431" s="34"/>
      <c r="AJ1431" s="34"/>
      <c r="AK1431" s="34"/>
      <c r="AL1431" s="34"/>
      <c r="AM1431" s="34"/>
      <c r="AN1431" s="34"/>
      <c r="AO1431" s="34"/>
      <c r="AP1431" s="34"/>
      <c r="AQ1431" s="34"/>
      <c r="AR1431" s="34"/>
      <c r="AS1431" s="34"/>
      <c r="AT1431" s="34"/>
      <c r="AU1431" s="34"/>
      <c r="AV1431" s="34"/>
      <c r="AW1431" s="34"/>
      <c r="AX1431" s="34"/>
      <c r="AY1431" s="34"/>
      <c r="AZ1431" s="34"/>
      <c r="BA1431" s="34"/>
      <c r="BB1431" s="34"/>
      <c r="BC1431" s="34"/>
      <c r="BD1431" s="34"/>
      <c r="BE1431" s="34"/>
      <c r="BF1431" s="34"/>
      <c r="BG1431" s="34"/>
      <c r="BH1431" s="34"/>
      <c r="BI1431" s="34"/>
      <c r="BJ1431" s="34"/>
      <c r="BK1431" s="34"/>
      <c r="BL1431" s="34"/>
      <c r="BM1431" s="34"/>
      <c r="BN1431" s="34"/>
      <c r="BO1431" s="34"/>
      <c r="BP1431" s="34"/>
      <c r="BQ1431" s="34"/>
      <c r="BR1431" s="34"/>
      <c r="BS1431" s="34"/>
      <c r="BT1431" s="34"/>
      <c r="BU1431" s="34"/>
      <c r="BV1431" s="34"/>
      <c r="BW1431" s="34"/>
      <c r="BX1431" s="34"/>
      <c r="BY1431" s="34"/>
      <c r="BZ1431" s="34"/>
      <c r="CA1431" s="34"/>
      <c r="CB1431" s="34"/>
      <c r="CC1431" s="34"/>
      <c r="CD1431" s="34"/>
      <c r="CE1431" s="34"/>
      <c r="CF1431" s="34"/>
      <c r="CG1431" s="34"/>
      <c r="CH1431" s="34"/>
      <c r="CI1431" s="8"/>
    </row>
    <row r="1432" spans="1:87" x14ac:dyDescent="0.2">
      <c r="A1432" s="8" t="str">
        <f>IF(AND(COUNTIF(W$3:W$13,A$22)&gt;0,A$22&lt;&gt;B1308),A$22,IFERROR(IF(MATCH(A$22,Z$3:Z$13,0)=6,A$22," ")," "))</f>
        <v>C8</v>
      </c>
      <c r="B1432" s="8">
        <f>IF(A1432=" "," ",MAX(B1425:B1431)+1)</f>
        <v>3</v>
      </c>
      <c r="C1432" s="8" t="str">
        <f>IFERROR(INDEX(A1425:A1446,MATCH(SMALL(B1425:B1446,8),B1425:B1446,0),1)," ")</f>
        <v>C19</v>
      </c>
      <c r="D1432" s="8">
        <f t="shared" si="6142"/>
        <v>0</v>
      </c>
      <c r="E1432" s="8">
        <f t="shared" si="6143"/>
        <v>0</v>
      </c>
      <c r="F1432" s="8">
        <f t="shared" si="6144"/>
        <v>0</v>
      </c>
      <c r="G1432" s="8">
        <f t="shared" si="6145"/>
        <v>0</v>
      </c>
      <c r="H1432" s="8">
        <f t="shared" si="6146"/>
        <v>0</v>
      </c>
      <c r="I1432" s="8">
        <f t="shared" si="6147"/>
        <v>0</v>
      </c>
      <c r="J1432" s="8">
        <f t="shared" si="6148"/>
        <v>0</v>
      </c>
      <c r="K1432" s="8">
        <f t="shared" si="6149"/>
        <v>1</v>
      </c>
      <c r="L1432" s="8">
        <f t="shared" si="6150"/>
        <v>0</v>
      </c>
      <c r="M1432" s="8">
        <f t="shared" si="6151"/>
        <v>0</v>
      </c>
      <c r="N1432" s="8">
        <f t="shared" si="6152"/>
        <v>0</v>
      </c>
      <c r="O1432" s="8">
        <f t="shared" si="6153"/>
        <v>0</v>
      </c>
      <c r="P1432" s="8" t="e">
        <v>#NUM!</v>
      </c>
      <c r="Q1432" s="8" t="e">
        <f t="shared" ref="Q1432" si="6182">IF(COUNTIF(P1425:P1435,"&lt;"&amp;-0.001)=0,IF(ABS(P1432)&lt;0.001,0,P1432)," ")</f>
        <v>#NUM!</v>
      </c>
      <c r="R1432" s="8"/>
      <c r="S1432" s="8"/>
      <c r="U1432" s="34"/>
      <c r="V1432" s="34"/>
      <c r="W1432" s="34"/>
      <c r="X1432" s="34"/>
      <c r="Y1432" s="34"/>
      <c r="Z1432" s="34"/>
      <c r="AA1432" s="34"/>
      <c r="AB1432" s="34"/>
      <c r="AC1432" s="34"/>
      <c r="AD1432" s="34"/>
      <c r="AE1432" s="34"/>
      <c r="AF1432" s="34"/>
      <c r="AG1432" s="34"/>
      <c r="AH1432" s="34"/>
      <c r="AI1432" s="34"/>
      <c r="AJ1432" s="34"/>
      <c r="AK1432" s="34"/>
      <c r="AL1432" s="34"/>
      <c r="AM1432" s="34"/>
      <c r="AN1432" s="34"/>
      <c r="AO1432" s="34"/>
      <c r="AP1432" s="34"/>
      <c r="AQ1432" s="34"/>
      <c r="AR1432" s="34"/>
      <c r="AS1432" s="34"/>
      <c r="AT1432" s="34"/>
      <c r="AU1432" s="34"/>
      <c r="AV1432" s="34"/>
      <c r="AW1432" s="34"/>
      <c r="AX1432" s="34"/>
      <c r="AY1432" s="34"/>
      <c r="AZ1432" s="34"/>
      <c r="BA1432" s="34"/>
      <c r="BB1432" s="34"/>
      <c r="BC1432" s="34"/>
      <c r="BD1432" s="34"/>
      <c r="BE1432" s="34"/>
      <c r="BF1432" s="34"/>
      <c r="BG1432" s="34"/>
      <c r="BH1432" s="34"/>
      <c r="BI1432" s="34"/>
      <c r="BJ1432" s="34"/>
      <c r="BK1432" s="34"/>
      <c r="BL1432" s="34"/>
      <c r="BM1432" s="34"/>
      <c r="BN1432" s="34"/>
      <c r="BO1432" s="34"/>
      <c r="BP1432" s="34"/>
      <c r="BQ1432" s="34"/>
      <c r="BR1432" s="34"/>
      <c r="BS1432" s="34"/>
      <c r="BT1432" s="34"/>
      <c r="BU1432" s="34"/>
      <c r="BV1432" s="34"/>
      <c r="BW1432" s="34"/>
      <c r="BX1432" s="34"/>
      <c r="BY1432" s="34"/>
      <c r="BZ1432" s="34"/>
      <c r="CA1432" s="34"/>
      <c r="CB1432" s="34"/>
      <c r="CC1432" s="34"/>
      <c r="CD1432" s="34"/>
      <c r="CE1432" s="34"/>
      <c r="CF1432" s="34"/>
      <c r="CG1432" s="34"/>
      <c r="CH1432" s="34"/>
      <c r="CI1432" s="8"/>
    </row>
    <row r="1433" spans="1:87" x14ac:dyDescent="0.2">
      <c r="A1433" s="8" t="str">
        <f>IF(AND(COUNTIF(W$3:W$13,A$23)&gt;0,A$23&lt;&gt;B1308),A$23,IFERROR(IF(MATCH(A$23,Z$3:Z$13,0)=6,A$23," ")," "))</f>
        <v xml:space="preserve"> </v>
      </c>
      <c r="B1433" s="8" t="str">
        <f>IF(A1433=" "," ",MAX(B1425:B1432)+1)</f>
        <v xml:space="preserve"> </v>
      </c>
      <c r="C1433" s="8" t="str">
        <f>IFERROR(INDEX(A1425:A1446,MATCH(SMALL(B1425:B1446,9),B1425:B1446,0),1)," ")</f>
        <v>C20</v>
      </c>
      <c r="D1433" s="8">
        <f t="shared" si="6142"/>
        <v>0</v>
      </c>
      <c r="E1433" s="8">
        <f t="shared" si="6143"/>
        <v>0</v>
      </c>
      <c r="F1433" s="8">
        <f t="shared" si="6144"/>
        <v>0</v>
      </c>
      <c r="G1433" s="8">
        <f t="shared" si="6145"/>
        <v>0</v>
      </c>
      <c r="H1433" s="8">
        <f t="shared" si="6146"/>
        <v>0</v>
      </c>
      <c r="I1433" s="8">
        <f t="shared" si="6147"/>
        <v>0</v>
      </c>
      <c r="J1433" s="8">
        <f t="shared" si="6148"/>
        <v>0</v>
      </c>
      <c r="K1433" s="8">
        <f t="shared" si="6149"/>
        <v>0</v>
      </c>
      <c r="L1433" s="8">
        <f t="shared" si="6150"/>
        <v>1</v>
      </c>
      <c r="M1433" s="8">
        <f t="shared" si="6151"/>
        <v>0</v>
      </c>
      <c r="N1433" s="8">
        <f t="shared" si="6152"/>
        <v>0</v>
      </c>
      <c r="O1433" s="8">
        <f t="shared" si="6153"/>
        <v>0</v>
      </c>
      <c r="P1433" s="6" t="e">
        <v>#NUM!</v>
      </c>
      <c r="Q1433" s="8" t="e">
        <f t="shared" ref="Q1433" si="6183">IF(COUNTIF(P1425:P1435,"&lt;"&amp;-0.001)=0,IF(ABS(P1433)&lt;0.001,0,P1433)," ")</f>
        <v>#NUM!</v>
      </c>
      <c r="R1433" s="8"/>
      <c r="S1433" s="8"/>
      <c r="U1433" s="34"/>
      <c r="V1433" s="34"/>
      <c r="W1433" s="34"/>
      <c r="X1433" s="34"/>
      <c r="Y1433" s="34"/>
      <c r="Z1433" s="34"/>
      <c r="AA1433" s="34"/>
      <c r="AB1433" s="34"/>
      <c r="AC1433" s="34"/>
      <c r="AD1433" s="34"/>
      <c r="AE1433" s="34"/>
      <c r="AF1433" s="34"/>
      <c r="AG1433" s="34"/>
      <c r="AH1433" s="34"/>
      <c r="AI1433" s="34"/>
      <c r="AJ1433" s="34"/>
      <c r="AK1433" s="34"/>
      <c r="AL1433" s="34"/>
      <c r="AM1433" s="34"/>
      <c r="AN1433" s="34"/>
      <c r="AO1433" s="34"/>
      <c r="AP1433" s="34"/>
      <c r="AQ1433" s="34"/>
      <c r="AR1433" s="34"/>
      <c r="AS1433" s="34"/>
      <c r="AT1433" s="34"/>
      <c r="AU1433" s="34"/>
      <c r="AV1433" s="34"/>
      <c r="AW1433" s="34"/>
      <c r="AX1433" s="34"/>
      <c r="AY1433" s="34"/>
      <c r="AZ1433" s="34"/>
      <c r="BA1433" s="34"/>
      <c r="BB1433" s="34"/>
      <c r="BC1433" s="34"/>
      <c r="BD1433" s="34"/>
      <c r="BE1433" s="34"/>
      <c r="BF1433" s="34"/>
      <c r="BG1433" s="34"/>
      <c r="BH1433" s="34"/>
      <c r="BI1433" s="34"/>
      <c r="BJ1433" s="34"/>
      <c r="BK1433" s="34"/>
      <c r="BL1433" s="34"/>
      <c r="BM1433" s="34"/>
      <c r="BN1433" s="34"/>
      <c r="BO1433" s="34"/>
      <c r="BP1433" s="34"/>
      <c r="BQ1433" s="34"/>
      <c r="BR1433" s="34"/>
      <c r="BS1433" s="34"/>
      <c r="BT1433" s="34"/>
      <c r="BU1433" s="34"/>
      <c r="BV1433" s="34"/>
      <c r="BW1433" s="34"/>
      <c r="BX1433" s="34"/>
      <c r="BY1433" s="34"/>
      <c r="BZ1433" s="34"/>
      <c r="CA1433" s="34"/>
      <c r="CB1433" s="34"/>
      <c r="CC1433" s="34"/>
      <c r="CD1433" s="34"/>
      <c r="CE1433" s="34"/>
      <c r="CF1433" s="34"/>
      <c r="CG1433" s="34"/>
      <c r="CH1433" s="34"/>
      <c r="CI1433" s="8"/>
    </row>
    <row r="1434" spans="1:87" x14ac:dyDescent="0.2">
      <c r="A1434" s="8" t="str">
        <f>IF(AND(COUNTIF(W$3:W$13,A$24)&gt;0,A$24&lt;&gt;B1308),A$24,IFERROR(IF(MATCH(A$24,Z$3:Z$13,0)=6,A$24," ")," "))</f>
        <v xml:space="preserve"> </v>
      </c>
      <c r="B1434" s="8" t="str">
        <f>IF(A1434=" "," ",MAX(B1425:B1433)+1)</f>
        <v xml:space="preserve"> </v>
      </c>
      <c r="C1434" s="8" t="str">
        <f>IFERROR(INDEX(A1425:A1446,MATCH(SMALL(B1425:B1446,10),B1425:B1446,0),1)," ")</f>
        <v>C21</v>
      </c>
      <c r="D1434" s="8">
        <f t="shared" si="6142"/>
        <v>0</v>
      </c>
      <c r="E1434" s="8">
        <f t="shared" si="6143"/>
        <v>0</v>
      </c>
      <c r="F1434" s="8">
        <f t="shared" si="6144"/>
        <v>0</v>
      </c>
      <c r="G1434" s="8">
        <f t="shared" si="6145"/>
        <v>0</v>
      </c>
      <c r="H1434" s="8">
        <f t="shared" si="6146"/>
        <v>0</v>
      </c>
      <c r="I1434" s="8">
        <f t="shared" si="6147"/>
        <v>0</v>
      </c>
      <c r="J1434" s="8">
        <f t="shared" si="6148"/>
        <v>0</v>
      </c>
      <c r="K1434" s="8">
        <f t="shared" si="6149"/>
        <v>0</v>
      </c>
      <c r="L1434" s="8">
        <f t="shared" si="6150"/>
        <v>0</v>
      </c>
      <c r="M1434" s="8">
        <f t="shared" si="6151"/>
        <v>1</v>
      </c>
      <c r="N1434" s="8">
        <f t="shared" si="6152"/>
        <v>0</v>
      </c>
      <c r="O1434" s="8">
        <f t="shared" si="6153"/>
        <v>0</v>
      </c>
      <c r="P1434" s="8" t="e">
        <v>#NUM!</v>
      </c>
      <c r="Q1434" s="8" t="e">
        <f t="shared" ref="Q1434" si="6184">IF(COUNTIF(P1425:P1435,"&lt;"&amp;-0.001)=0,IF(ABS(P1434)&lt;0.001,0,P1434)," ")</f>
        <v>#NUM!</v>
      </c>
      <c r="R1434" s="8"/>
      <c r="S1434" s="8"/>
      <c r="U1434" s="34"/>
      <c r="V1434" s="34"/>
      <c r="W1434" s="34"/>
      <c r="X1434" s="34"/>
      <c r="Y1434" s="34"/>
      <c r="Z1434" s="34"/>
      <c r="AA1434" s="34"/>
      <c r="AB1434" s="34"/>
      <c r="AC1434" s="34"/>
      <c r="AD1434" s="34"/>
      <c r="AE1434" s="34"/>
      <c r="AF1434" s="34"/>
      <c r="AG1434" s="34"/>
      <c r="AH1434" s="34"/>
      <c r="AI1434" s="34"/>
      <c r="AJ1434" s="34"/>
      <c r="AK1434" s="34"/>
      <c r="AL1434" s="34"/>
      <c r="AM1434" s="34"/>
      <c r="AN1434" s="34"/>
      <c r="AO1434" s="34"/>
      <c r="AP1434" s="34"/>
      <c r="AQ1434" s="34"/>
      <c r="AR1434" s="34"/>
      <c r="AS1434" s="34"/>
      <c r="AT1434" s="34"/>
      <c r="AU1434" s="34"/>
      <c r="AV1434" s="34"/>
      <c r="AW1434" s="34"/>
      <c r="AX1434" s="34"/>
      <c r="AY1434" s="34"/>
      <c r="AZ1434" s="34"/>
      <c r="BA1434" s="34"/>
      <c r="BB1434" s="34"/>
      <c r="BC1434" s="34"/>
      <c r="BD1434" s="34"/>
      <c r="BE1434" s="34"/>
      <c r="BF1434" s="34"/>
      <c r="BG1434" s="34"/>
      <c r="BH1434" s="34"/>
      <c r="BI1434" s="34"/>
      <c r="BJ1434" s="34"/>
      <c r="BK1434" s="34"/>
      <c r="BL1434" s="34"/>
      <c r="BM1434" s="34"/>
      <c r="BN1434" s="34"/>
      <c r="BO1434" s="34"/>
      <c r="BP1434" s="34"/>
      <c r="BQ1434" s="34"/>
      <c r="BR1434" s="34"/>
      <c r="BS1434" s="34"/>
      <c r="BT1434" s="34"/>
      <c r="BU1434" s="34"/>
      <c r="BV1434" s="34"/>
      <c r="BW1434" s="34"/>
      <c r="BX1434" s="34"/>
      <c r="BY1434" s="34"/>
      <c r="BZ1434" s="34"/>
      <c r="CA1434" s="34"/>
      <c r="CB1434" s="34"/>
      <c r="CC1434" s="34"/>
      <c r="CD1434" s="34"/>
      <c r="CE1434" s="34"/>
      <c r="CF1434" s="34"/>
      <c r="CG1434" s="34"/>
      <c r="CH1434" s="34"/>
      <c r="CI1434" s="8"/>
    </row>
    <row r="1435" spans="1:87" x14ac:dyDescent="0.2">
      <c r="A1435" s="8" t="str">
        <f>IF(AND(COUNTIF(W$3:W$13,A$25)&gt;0,A$25&lt;&gt;B1308),A$25,IFERROR(IF(MATCH(A$25,Z$3:Z$13,0)=6,A$25," ")," "))</f>
        <v xml:space="preserve"> </v>
      </c>
      <c r="B1435" s="8" t="str">
        <f>IF(A1435=" "," ",MAX(B1425:B1434)+1)</f>
        <v xml:space="preserve"> </v>
      </c>
      <c r="C1435" s="8" t="str">
        <f>IFERROR(INDEX(A1425:A1446,MATCH(SMALL(B1425:B1446,11),B1425:B1446,0),1)," ")</f>
        <v>C22</v>
      </c>
      <c r="D1435" s="8">
        <f t="shared" si="6142"/>
        <v>0</v>
      </c>
      <c r="E1435" s="8">
        <f t="shared" si="6143"/>
        <v>0</v>
      </c>
      <c r="F1435" s="8">
        <f t="shared" si="6144"/>
        <v>0</v>
      </c>
      <c r="G1435" s="8">
        <f t="shared" si="6145"/>
        <v>0</v>
      </c>
      <c r="H1435" s="8">
        <f t="shared" si="6146"/>
        <v>0</v>
      </c>
      <c r="I1435" s="8">
        <f t="shared" si="6147"/>
        <v>0</v>
      </c>
      <c r="J1435" s="8">
        <f t="shared" si="6148"/>
        <v>0</v>
      </c>
      <c r="K1435" s="8">
        <f t="shared" si="6149"/>
        <v>0</v>
      </c>
      <c r="L1435" s="8">
        <f t="shared" si="6150"/>
        <v>0</v>
      </c>
      <c r="M1435" s="8">
        <f t="shared" si="6151"/>
        <v>0</v>
      </c>
      <c r="N1435" s="8">
        <f t="shared" si="6152"/>
        <v>1</v>
      </c>
      <c r="O1435" s="8">
        <f t="shared" si="6153"/>
        <v>0</v>
      </c>
      <c r="P1435" s="8" t="e">
        <v>#NUM!</v>
      </c>
      <c r="Q1435" s="8" t="e">
        <f t="shared" ref="Q1435" si="6185">IF(COUNTIF(P1425:P1435,"&lt;"&amp;-0.001)=0,IF(ABS(P1435)&lt;0.001,0,P1435)," ")</f>
        <v>#NUM!</v>
      </c>
      <c r="R1435" s="8"/>
      <c r="S1435" s="8"/>
      <c r="U1435" s="34"/>
      <c r="V1435" s="34"/>
      <c r="W1435" s="34"/>
      <c r="X1435" s="34"/>
      <c r="Y1435" s="34"/>
      <c r="Z1435" s="34"/>
      <c r="AA1435" s="34"/>
      <c r="AB1435" s="34"/>
      <c r="AC1435" s="34"/>
      <c r="AD1435" s="34"/>
      <c r="AE1435" s="34"/>
      <c r="AF1435" s="34"/>
      <c r="AG1435" s="34"/>
      <c r="AH1435" s="34"/>
      <c r="AI1435" s="34"/>
      <c r="AJ1435" s="34"/>
      <c r="AK1435" s="34"/>
      <c r="AL1435" s="34"/>
      <c r="AM1435" s="34"/>
      <c r="AN1435" s="34"/>
      <c r="AO1435" s="34"/>
      <c r="AP1435" s="34"/>
      <c r="AQ1435" s="34"/>
      <c r="AR1435" s="34"/>
      <c r="AS1435" s="34"/>
      <c r="AT1435" s="34"/>
      <c r="AU1435" s="34"/>
      <c r="AV1435" s="34"/>
      <c r="AW1435" s="34"/>
      <c r="AX1435" s="34"/>
      <c r="AY1435" s="34"/>
      <c r="AZ1435" s="34"/>
      <c r="BA1435" s="34"/>
      <c r="BB1435" s="34"/>
      <c r="BC1435" s="34"/>
      <c r="BD1435" s="34"/>
      <c r="BE1435" s="34"/>
      <c r="BF1435" s="34"/>
      <c r="BG1435" s="34"/>
      <c r="BH1435" s="34"/>
      <c r="BI1435" s="34"/>
      <c r="BJ1435" s="34"/>
      <c r="BK1435" s="34"/>
      <c r="BL1435" s="34"/>
      <c r="BM1435" s="34"/>
      <c r="BN1435" s="34"/>
      <c r="BO1435" s="34"/>
      <c r="BP1435" s="34"/>
      <c r="BQ1435" s="34"/>
      <c r="BR1435" s="34"/>
      <c r="BS1435" s="34"/>
      <c r="BT1435" s="34"/>
      <c r="BU1435" s="34"/>
      <c r="BV1435" s="34"/>
      <c r="BW1435" s="34"/>
      <c r="BX1435" s="34"/>
      <c r="BY1435" s="34"/>
      <c r="BZ1435" s="34"/>
      <c r="CA1435" s="34"/>
      <c r="CB1435" s="34"/>
      <c r="CC1435" s="34"/>
      <c r="CD1435" s="34"/>
      <c r="CE1435" s="34"/>
      <c r="CF1435" s="34"/>
      <c r="CG1435" s="34"/>
      <c r="CH1435" s="34"/>
      <c r="CI1435" s="8"/>
    </row>
    <row r="1436" spans="1:87" x14ac:dyDescent="0.2">
      <c r="A1436" s="8" t="str">
        <f>IF(AND(COUNTIF(W$3:W$13,A$26)&gt;0,A$26&lt;&gt;B1308),A$26,IFERROR(IF(MATCH(A$26,Z$3:Z$13,0)=6,A$26," ")," "))</f>
        <v xml:space="preserve"> </v>
      </c>
      <c r="B1436" s="8" t="str">
        <f>IF(A1436=" "," ",MAX(B1425:B1435)+1)</f>
        <v xml:space="preserve"> </v>
      </c>
      <c r="C1436" s="8"/>
      <c r="D1436" s="8"/>
      <c r="E1436" s="8"/>
      <c r="F1436" s="8"/>
      <c r="G1436" s="8"/>
      <c r="H1436" s="8"/>
      <c r="I1436" s="8"/>
      <c r="J1436" s="8"/>
      <c r="K1436" s="8"/>
      <c r="L1436" s="8"/>
      <c r="M1436" s="8"/>
      <c r="N1436" s="8"/>
      <c r="O1436" s="8"/>
      <c r="P1436" s="8"/>
      <c r="Q1436" s="8"/>
      <c r="R1436" s="8"/>
      <c r="S1436" s="8"/>
      <c r="U1436" s="34"/>
      <c r="V1436" s="34"/>
      <c r="W1436" s="34"/>
      <c r="X1436" s="34"/>
      <c r="Y1436" s="34"/>
      <c r="Z1436" s="34"/>
      <c r="AA1436" s="34"/>
      <c r="AB1436" s="34"/>
      <c r="AC1436" s="34"/>
      <c r="AD1436" s="34"/>
      <c r="AE1436" s="34"/>
      <c r="AF1436" s="34"/>
      <c r="AG1436" s="34"/>
      <c r="AH1436" s="34"/>
      <c r="AI1436" s="34"/>
      <c r="AJ1436" s="34"/>
      <c r="AK1436" s="34"/>
      <c r="AL1436" s="34"/>
      <c r="AM1436" s="34"/>
      <c r="AN1436" s="34"/>
      <c r="AO1436" s="34"/>
      <c r="AP1436" s="34"/>
      <c r="AQ1436" s="34"/>
      <c r="AR1436" s="34"/>
      <c r="AS1436" s="34"/>
      <c r="AT1436" s="34"/>
      <c r="AU1436" s="34"/>
      <c r="AV1436" s="34"/>
      <c r="AW1436" s="34"/>
      <c r="AX1436" s="34"/>
      <c r="AY1436" s="34"/>
      <c r="AZ1436" s="34"/>
      <c r="BA1436" s="34"/>
      <c r="BB1436" s="34"/>
      <c r="BC1436" s="34"/>
      <c r="BD1436" s="34"/>
      <c r="BE1436" s="34"/>
      <c r="BF1436" s="34"/>
      <c r="BG1436" s="34"/>
      <c r="BH1436" s="34"/>
      <c r="BI1436" s="34"/>
      <c r="BJ1436" s="34"/>
      <c r="BK1436" s="34"/>
      <c r="BL1436" s="34"/>
      <c r="BM1436" s="34"/>
      <c r="BN1436" s="34"/>
      <c r="BO1436" s="34"/>
      <c r="BP1436" s="34"/>
      <c r="BQ1436" s="34"/>
      <c r="BR1436" s="34"/>
      <c r="BS1436" s="34"/>
      <c r="BT1436" s="34"/>
      <c r="BU1436" s="34"/>
      <c r="BV1436" s="34"/>
      <c r="BW1436" s="34"/>
      <c r="BX1436" s="34"/>
      <c r="BY1436" s="34"/>
      <c r="BZ1436" s="34"/>
      <c r="CA1436" s="34"/>
      <c r="CB1436" s="34"/>
      <c r="CC1436" s="34"/>
      <c r="CD1436" s="34"/>
      <c r="CE1436" s="34"/>
      <c r="CF1436" s="34"/>
      <c r="CG1436" s="34"/>
      <c r="CH1436" s="34"/>
      <c r="CI1436" s="8"/>
    </row>
    <row r="1437" spans="1:87" x14ac:dyDescent="0.2">
      <c r="A1437" s="8" t="str">
        <f>IF(AND(COUNTIF(W$3:W$13,A$27)&gt;0,A$27&lt;&gt;B1308),A$27,IFERROR(IF(MATCH(A$27,Z$3:Z$13,0)=6,A$27," ")," "))</f>
        <v>C13</v>
      </c>
      <c r="B1437" s="8">
        <f>IF(A1437=" "," ",MAX(B1425:B1436)+1)</f>
        <v>4</v>
      </c>
      <c r="C1437" s="8"/>
      <c r="D1437" s="8"/>
      <c r="E1437" s="8"/>
      <c r="F1437" s="8"/>
      <c r="G1437" s="8"/>
      <c r="H1437" s="8"/>
      <c r="I1437" s="8"/>
      <c r="J1437" s="8"/>
      <c r="K1437" s="8"/>
      <c r="L1437" s="8"/>
      <c r="M1437" s="8"/>
      <c r="N1437" s="8"/>
      <c r="O1437" s="8"/>
      <c r="P1437" s="8"/>
      <c r="Q1437" s="8"/>
      <c r="R1437" s="8"/>
      <c r="S1437" s="8"/>
      <c r="U1437" s="34"/>
      <c r="V1437" s="34"/>
      <c r="W1437" s="34"/>
      <c r="X1437" s="34"/>
      <c r="Y1437" s="34"/>
      <c r="Z1437" s="34"/>
      <c r="AA1437" s="34"/>
      <c r="AB1437" s="34"/>
      <c r="AC1437" s="34"/>
      <c r="AD1437" s="34"/>
      <c r="AE1437" s="34"/>
      <c r="AF1437" s="34"/>
      <c r="AG1437" s="34"/>
      <c r="AH1437" s="34"/>
      <c r="AI1437" s="34"/>
      <c r="AJ1437" s="34"/>
      <c r="AK1437" s="34"/>
      <c r="AL1437" s="34"/>
      <c r="AM1437" s="34"/>
      <c r="AN1437" s="34"/>
      <c r="AO1437" s="34"/>
      <c r="AP1437" s="34"/>
      <c r="AQ1437" s="34"/>
      <c r="AR1437" s="34"/>
      <c r="AS1437" s="34"/>
      <c r="AT1437" s="34"/>
      <c r="AU1437" s="34"/>
      <c r="AV1437" s="34"/>
      <c r="AW1437" s="34"/>
      <c r="AX1437" s="34"/>
      <c r="AY1437" s="34"/>
      <c r="AZ1437" s="34"/>
      <c r="BA1437" s="34"/>
      <c r="BB1437" s="34"/>
      <c r="BC1437" s="34"/>
      <c r="BD1437" s="34"/>
      <c r="BE1437" s="34"/>
      <c r="BF1437" s="34"/>
      <c r="BG1437" s="34"/>
      <c r="BH1437" s="34"/>
      <c r="BI1437" s="34"/>
      <c r="BJ1437" s="34"/>
      <c r="BK1437" s="34"/>
      <c r="BL1437" s="34"/>
      <c r="BM1437" s="34"/>
      <c r="BN1437" s="34"/>
      <c r="BO1437" s="34"/>
      <c r="BP1437" s="34"/>
      <c r="BQ1437" s="34"/>
      <c r="BR1437" s="34"/>
      <c r="BS1437" s="34"/>
      <c r="BT1437" s="34"/>
      <c r="BU1437" s="34"/>
      <c r="BV1437" s="34"/>
      <c r="BW1437" s="34"/>
      <c r="BX1437" s="34"/>
      <c r="BY1437" s="34"/>
      <c r="BZ1437" s="34"/>
      <c r="CA1437" s="34"/>
      <c r="CB1437" s="34"/>
      <c r="CC1437" s="34"/>
      <c r="CD1437" s="34"/>
      <c r="CE1437" s="34"/>
      <c r="CF1437" s="34"/>
      <c r="CG1437" s="34"/>
      <c r="CH1437" s="34"/>
      <c r="CI1437" s="8"/>
    </row>
    <row r="1438" spans="1:87" x14ac:dyDescent="0.2">
      <c r="A1438" s="8" t="str">
        <f>IF(AND(COUNTIF(W$3:W$13,A$28)&gt;0,A$28&lt;&gt;B1308),A$28,IFERROR(IF(MATCH(A$28,Z$3:Z$13,0)=6,A$28," ")," "))</f>
        <v xml:space="preserve"> </v>
      </c>
      <c r="B1438" s="8" t="str">
        <f>IF(A1438=" "," ",MAX(B1425:B1437)+1)</f>
        <v xml:space="preserve"> </v>
      </c>
      <c r="C1438" s="8"/>
      <c r="D1438" s="8"/>
      <c r="E1438" s="8"/>
      <c r="F1438" s="8"/>
      <c r="G1438" s="8"/>
      <c r="H1438" s="8"/>
      <c r="I1438" s="8"/>
      <c r="J1438" s="8"/>
      <c r="K1438" s="8"/>
      <c r="L1438" s="8"/>
      <c r="M1438" s="8"/>
      <c r="N1438" s="8"/>
      <c r="O1438" s="8"/>
      <c r="P1438" s="8"/>
      <c r="Q1438" s="8"/>
      <c r="R1438" s="8"/>
      <c r="S1438" s="8"/>
      <c r="U1438" s="34"/>
      <c r="V1438" s="34"/>
      <c r="W1438" s="34"/>
      <c r="X1438" s="34"/>
      <c r="Y1438" s="34"/>
      <c r="Z1438" s="34"/>
      <c r="AA1438" s="34"/>
      <c r="AB1438" s="34"/>
      <c r="AC1438" s="34"/>
      <c r="AD1438" s="34"/>
      <c r="AE1438" s="34"/>
      <c r="AF1438" s="34"/>
      <c r="AG1438" s="34"/>
      <c r="AH1438" s="34"/>
      <c r="AI1438" s="34"/>
      <c r="AJ1438" s="34"/>
      <c r="AK1438" s="34"/>
      <c r="AL1438" s="34"/>
      <c r="AM1438" s="34"/>
      <c r="AN1438" s="34"/>
      <c r="AO1438" s="34"/>
      <c r="AP1438" s="34"/>
      <c r="AQ1438" s="34"/>
      <c r="AR1438" s="34"/>
      <c r="AS1438" s="34"/>
      <c r="AT1438" s="34"/>
      <c r="AU1438" s="34"/>
      <c r="AV1438" s="34"/>
      <c r="AW1438" s="34"/>
      <c r="AX1438" s="34"/>
      <c r="AY1438" s="34"/>
      <c r="AZ1438" s="34"/>
      <c r="BA1438" s="34"/>
      <c r="BB1438" s="34"/>
      <c r="BC1438" s="34"/>
      <c r="BD1438" s="34"/>
      <c r="BE1438" s="34"/>
      <c r="BF1438" s="34"/>
      <c r="BG1438" s="34"/>
      <c r="BH1438" s="34"/>
      <c r="BI1438" s="34"/>
      <c r="BJ1438" s="34"/>
      <c r="BK1438" s="34"/>
      <c r="BL1438" s="34"/>
      <c r="BM1438" s="34"/>
      <c r="BN1438" s="34"/>
      <c r="BO1438" s="34"/>
      <c r="BP1438" s="34"/>
      <c r="BQ1438" s="34"/>
      <c r="BR1438" s="34"/>
      <c r="BS1438" s="34"/>
      <c r="BT1438" s="34"/>
      <c r="BU1438" s="34"/>
      <c r="BV1438" s="34"/>
      <c r="BW1438" s="34"/>
      <c r="BX1438" s="34"/>
      <c r="BY1438" s="34"/>
      <c r="BZ1438" s="34"/>
      <c r="CA1438" s="34"/>
      <c r="CB1438" s="34"/>
      <c r="CC1438" s="34"/>
      <c r="CD1438" s="34"/>
      <c r="CE1438" s="34"/>
      <c r="CF1438" s="34"/>
      <c r="CG1438" s="34"/>
      <c r="CH1438" s="34"/>
      <c r="CI1438" s="8"/>
    </row>
    <row r="1439" spans="1:87" x14ac:dyDescent="0.2">
      <c r="A1439" s="8" t="str">
        <f>IF(AND(COUNTIF(W$3:W$13,A$29)&gt;0,A$29&lt;&gt;B1308),A$29,IFERROR(IF(MATCH(A$29,Z$3:Z$13,0)=6,A$29," ")," "))</f>
        <v>C15</v>
      </c>
      <c r="B1439" s="8">
        <f>IF(A1439=" "," ",MAX(B1425:B1438)+1)</f>
        <v>5</v>
      </c>
      <c r="C1439" s="8"/>
      <c r="D1439" s="8"/>
      <c r="E1439" s="8"/>
      <c r="F1439" s="8"/>
      <c r="G1439" s="8"/>
      <c r="H1439" s="8"/>
      <c r="I1439" s="8"/>
      <c r="J1439" s="8"/>
      <c r="K1439" s="8"/>
      <c r="L1439" s="8"/>
      <c r="M1439" s="8"/>
      <c r="N1439" s="8"/>
      <c r="O1439" s="8"/>
      <c r="P1439" s="8"/>
      <c r="Q1439" s="8"/>
      <c r="R1439" s="8"/>
      <c r="S1439" s="8"/>
      <c r="U1439" s="34"/>
      <c r="V1439" s="34"/>
      <c r="W1439" s="34"/>
      <c r="X1439" s="34"/>
      <c r="Y1439" s="34"/>
      <c r="Z1439" s="34"/>
      <c r="AA1439" s="34"/>
      <c r="AB1439" s="34"/>
      <c r="AC1439" s="34"/>
      <c r="AD1439" s="34"/>
      <c r="AE1439" s="34"/>
      <c r="AF1439" s="34"/>
      <c r="AG1439" s="34"/>
      <c r="AH1439" s="34"/>
      <c r="AI1439" s="34"/>
      <c r="AJ1439" s="34"/>
      <c r="AK1439" s="34"/>
      <c r="AL1439" s="34"/>
      <c r="AM1439" s="34"/>
      <c r="AN1439" s="34"/>
      <c r="AO1439" s="34"/>
      <c r="AP1439" s="34"/>
      <c r="AQ1439" s="34"/>
      <c r="AR1439" s="34"/>
      <c r="AS1439" s="34"/>
      <c r="AT1439" s="34"/>
      <c r="AU1439" s="34"/>
      <c r="AV1439" s="34"/>
      <c r="AW1439" s="34"/>
      <c r="AX1439" s="34"/>
      <c r="AY1439" s="34"/>
      <c r="AZ1439" s="34"/>
      <c r="BA1439" s="34"/>
      <c r="BB1439" s="34"/>
      <c r="BC1439" s="34"/>
      <c r="BD1439" s="34"/>
      <c r="BE1439" s="34"/>
      <c r="BF1439" s="34"/>
      <c r="BG1439" s="34"/>
      <c r="BH1439" s="34"/>
      <c r="BI1439" s="34"/>
      <c r="BJ1439" s="34"/>
      <c r="BK1439" s="34"/>
      <c r="BL1439" s="34"/>
      <c r="BM1439" s="34"/>
      <c r="BN1439" s="34"/>
      <c r="BO1439" s="34"/>
      <c r="BP1439" s="34"/>
      <c r="BQ1439" s="34"/>
      <c r="BR1439" s="34"/>
      <c r="BS1439" s="34"/>
      <c r="BT1439" s="34"/>
      <c r="BU1439" s="34"/>
      <c r="BV1439" s="34"/>
      <c r="BW1439" s="34"/>
      <c r="BX1439" s="34"/>
      <c r="BY1439" s="34"/>
      <c r="BZ1439" s="34"/>
      <c r="CA1439" s="34"/>
      <c r="CB1439" s="34"/>
      <c r="CC1439" s="34"/>
      <c r="CD1439" s="34"/>
      <c r="CE1439" s="34"/>
      <c r="CF1439" s="34"/>
      <c r="CG1439" s="34"/>
      <c r="CH1439" s="34"/>
      <c r="CI1439" s="8"/>
    </row>
    <row r="1440" spans="1:87" x14ac:dyDescent="0.2">
      <c r="A1440" s="8" t="str">
        <f>IF(AND(COUNTIF(W$3:W$13,A$30)&gt;0,A$30&lt;&gt;B1308),A$30,IFERROR(IF(MATCH(A$30,Z$3:Z$13,0)=6,A$30," ")," "))</f>
        <v>C16</v>
      </c>
      <c r="B1440" s="8">
        <f>IF(A1440=" "," ",MAX(B1425:B1439)+1)</f>
        <v>6</v>
      </c>
      <c r="C1440" s="8"/>
      <c r="D1440" s="8"/>
      <c r="E1440" s="8"/>
      <c r="F1440" s="8"/>
      <c r="G1440" s="8"/>
      <c r="H1440" s="8"/>
      <c r="I1440" s="8"/>
      <c r="J1440" s="8"/>
      <c r="K1440" s="8"/>
      <c r="L1440" s="8"/>
      <c r="M1440" s="8"/>
      <c r="N1440" s="8"/>
      <c r="O1440" s="8"/>
      <c r="P1440" s="8"/>
      <c r="Q1440" s="8"/>
      <c r="R1440" s="8"/>
      <c r="S1440" s="8"/>
      <c r="U1440" s="34"/>
      <c r="V1440" s="34"/>
      <c r="W1440" s="34"/>
      <c r="X1440" s="34"/>
      <c r="Y1440" s="34"/>
      <c r="Z1440" s="34"/>
      <c r="AA1440" s="34"/>
      <c r="AB1440" s="34"/>
      <c r="AC1440" s="34"/>
      <c r="AD1440" s="34"/>
      <c r="AE1440" s="34"/>
      <c r="AF1440" s="34"/>
      <c r="AG1440" s="34"/>
      <c r="AH1440" s="34"/>
      <c r="AI1440" s="34"/>
      <c r="AJ1440" s="34"/>
      <c r="AK1440" s="34"/>
      <c r="AL1440" s="34"/>
      <c r="AM1440" s="34"/>
      <c r="AN1440" s="34"/>
      <c r="AO1440" s="34"/>
      <c r="AP1440" s="34"/>
      <c r="AQ1440" s="34"/>
      <c r="AR1440" s="34"/>
      <c r="AS1440" s="34"/>
      <c r="AT1440" s="34"/>
      <c r="AU1440" s="34"/>
      <c r="AV1440" s="34"/>
      <c r="AW1440" s="34"/>
      <c r="AX1440" s="34"/>
      <c r="AY1440" s="34"/>
      <c r="AZ1440" s="34"/>
      <c r="BA1440" s="34"/>
      <c r="BB1440" s="34"/>
      <c r="BC1440" s="34"/>
      <c r="BD1440" s="34"/>
      <c r="BE1440" s="34"/>
      <c r="BF1440" s="34"/>
      <c r="BG1440" s="34"/>
      <c r="BH1440" s="34"/>
      <c r="BI1440" s="34"/>
      <c r="BJ1440" s="34"/>
      <c r="BK1440" s="34"/>
      <c r="BL1440" s="34"/>
      <c r="BM1440" s="34"/>
      <c r="BN1440" s="34"/>
      <c r="BO1440" s="34"/>
      <c r="BP1440" s="34"/>
      <c r="BQ1440" s="34"/>
      <c r="BR1440" s="34"/>
      <c r="BS1440" s="34"/>
      <c r="BT1440" s="34"/>
      <c r="BU1440" s="34"/>
      <c r="BV1440" s="34"/>
      <c r="BW1440" s="34"/>
      <c r="BX1440" s="34"/>
      <c r="BY1440" s="34"/>
      <c r="BZ1440" s="34"/>
      <c r="CA1440" s="34"/>
      <c r="CB1440" s="34"/>
      <c r="CC1440" s="34"/>
      <c r="CD1440" s="34"/>
      <c r="CE1440" s="34"/>
      <c r="CF1440" s="34"/>
      <c r="CG1440" s="34"/>
      <c r="CH1440" s="34"/>
      <c r="CI1440" s="8"/>
    </row>
    <row r="1441" spans="1:87" x14ac:dyDescent="0.2">
      <c r="A1441" s="8" t="str">
        <f>IF(AND(COUNTIF(W$3:W$13,A$31)&gt;0,A$31&lt;&gt;B1308),A$31,IFERROR(IF(MATCH(A$31,Z$3:Z$13,0)=6,A$31," ")," "))</f>
        <v xml:space="preserve"> </v>
      </c>
      <c r="B1441" s="8" t="str">
        <f>IF(A1441=" "," ",MAX(B1425:B1440)+1)</f>
        <v xml:space="preserve"> </v>
      </c>
      <c r="C1441" s="8"/>
      <c r="D1441" s="8"/>
      <c r="E1441" s="8"/>
      <c r="F1441" s="8"/>
      <c r="G1441" s="8"/>
      <c r="H1441" s="8"/>
      <c r="I1441" s="8"/>
      <c r="J1441" s="8"/>
      <c r="K1441" s="8"/>
      <c r="L1441" s="8"/>
      <c r="M1441" s="8"/>
      <c r="N1441" s="8"/>
      <c r="O1441" s="8"/>
      <c r="P1441" s="8"/>
      <c r="Q1441" s="8"/>
      <c r="R1441" s="8"/>
      <c r="S1441" s="8"/>
      <c r="U1441" s="34"/>
      <c r="V1441" s="34"/>
      <c r="W1441" s="34"/>
      <c r="X1441" s="34"/>
      <c r="Y1441" s="34"/>
      <c r="Z1441" s="34"/>
      <c r="AA1441" s="34"/>
      <c r="AB1441" s="34"/>
      <c r="AC1441" s="34"/>
      <c r="AD1441" s="34"/>
      <c r="AE1441" s="34"/>
      <c r="AF1441" s="34"/>
      <c r="AG1441" s="34"/>
      <c r="AH1441" s="34"/>
      <c r="AI1441" s="34"/>
      <c r="AJ1441" s="34"/>
      <c r="AK1441" s="34"/>
      <c r="AL1441" s="34"/>
      <c r="AM1441" s="34"/>
      <c r="AN1441" s="34"/>
      <c r="AO1441" s="34"/>
      <c r="AP1441" s="34"/>
      <c r="AQ1441" s="34"/>
      <c r="AR1441" s="34"/>
      <c r="AS1441" s="34"/>
      <c r="AT1441" s="34"/>
      <c r="AU1441" s="34"/>
      <c r="AV1441" s="34"/>
      <c r="AW1441" s="34"/>
      <c r="AX1441" s="34"/>
      <c r="AY1441" s="34"/>
      <c r="AZ1441" s="34"/>
      <c r="BA1441" s="34"/>
      <c r="BB1441" s="34"/>
      <c r="BC1441" s="34"/>
      <c r="BD1441" s="34"/>
      <c r="BE1441" s="34"/>
      <c r="BF1441" s="34"/>
      <c r="BG1441" s="34"/>
      <c r="BH1441" s="34"/>
      <c r="BI1441" s="34"/>
      <c r="BJ1441" s="34"/>
      <c r="BK1441" s="34"/>
      <c r="BL1441" s="34"/>
      <c r="BM1441" s="34"/>
      <c r="BN1441" s="34"/>
      <c r="BO1441" s="34"/>
      <c r="BP1441" s="34"/>
      <c r="BQ1441" s="34"/>
      <c r="BR1441" s="34"/>
      <c r="BS1441" s="34"/>
      <c r="BT1441" s="34"/>
      <c r="BU1441" s="34"/>
      <c r="BV1441" s="34"/>
      <c r="BW1441" s="34"/>
      <c r="BX1441" s="34"/>
      <c r="BY1441" s="34"/>
      <c r="BZ1441" s="34"/>
      <c r="CA1441" s="34"/>
      <c r="CB1441" s="34"/>
      <c r="CC1441" s="34"/>
      <c r="CD1441" s="34"/>
      <c r="CE1441" s="34"/>
      <c r="CF1441" s="34"/>
      <c r="CG1441" s="34"/>
      <c r="CH1441" s="34"/>
      <c r="CI1441" s="8"/>
    </row>
    <row r="1442" spans="1:87" x14ac:dyDescent="0.2">
      <c r="A1442" s="8" t="str">
        <f>IF(AND(COUNTIF(W$3:W$13,A$32)&gt;0,A$32&lt;&gt;B1308),A$32,IFERROR(IF(MATCH(A$32,Z$3:Z$13,0)=6,A$32," ")," "))</f>
        <v>C18</v>
      </c>
      <c r="B1442" s="8">
        <f>IF(A1442=" "," ",MAX(B1425:B1441)+1)</f>
        <v>7</v>
      </c>
      <c r="C1442" s="8"/>
      <c r="D1442" s="8"/>
      <c r="E1442" s="8"/>
      <c r="F1442" s="8"/>
      <c r="G1442" s="8"/>
      <c r="H1442" s="8"/>
      <c r="I1442" s="8"/>
      <c r="J1442" s="8"/>
      <c r="K1442" s="8"/>
      <c r="L1442" s="8"/>
      <c r="M1442" s="8"/>
      <c r="N1442" s="8"/>
      <c r="O1442" s="8"/>
      <c r="P1442" s="8"/>
      <c r="Q1442" s="8"/>
      <c r="R1442" s="8"/>
      <c r="S1442" s="8"/>
      <c r="U1442" s="34"/>
      <c r="V1442" s="34"/>
      <c r="W1442" s="34"/>
      <c r="X1442" s="34"/>
      <c r="Y1442" s="34"/>
      <c r="Z1442" s="34"/>
      <c r="AA1442" s="34"/>
      <c r="AB1442" s="34"/>
      <c r="AC1442" s="34"/>
      <c r="AD1442" s="34"/>
      <c r="AE1442" s="34"/>
      <c r="AF1442" s="34"/>
      <c r="AG1442" s="34"/>
      <c r="AH1442" s="34"/>
      <c r="AI1442" s="34"/>
      <c r="AJ1442" s="34"/>
      <c r="AK1442" s="34"/>
      <c r="AL1442" s="34"/>
      <c r="AM1442" s="34"/>
      <c r="AN1442" s="34"/>
      <c r="AO1442" s="34"/>
      <c r="AP1442" s="34"/>
      <c r="AQ1442" s="34"/>
      <c r="AR1442" s="34"/>
      <c r="AS1442" s="34"/>
      <c r="AT1442" s="34"/>
      <c r="AU1442" s="34"/>
      <c r="AV1442" s="34"/>
      <c r="AW1442" s="34"/>
      <c r="AX1442" s="34"/>
      <c r="AY1442" s="34"/>
      <c r="AZ1442" s="34"/>
      <c r="BA1442" s="34"/>
      <c r="BB1442" s="34"/>
      <c r="BC1442" s="34"/>
      <c r="BD1442" s="34"/>
      <c r="BE1442" s="34"/>
      <c r="BF1442" s="34"/>
      <c r="BG1442" s="34"/>
      <c r="BH1442" s="34"/>
      <c r="BI1442" s="34"/>
      <c r="BJ1442" s="34"/>
      <c r="BK1442" s="34"/>
      <c r="BL1442" s="34"/>
      <c r="BM1442" s="34"/>
      <c r="BN1442" s="34"/>
      <c r="BO1442" s="34"/>
      <c r="BP1442" s="34"/>
      <c r="BQ1442" s="34"/>
      <c r="BR1442" s="34"/>
      <c r="BS1442" s="34"/>
      <c r="BT1442" s="34"/>
      <c r="BU1442" s="34"/>
      <c r="BV1442" s="34"/>
      <c r="BW1442" s="34"/>
      <c r="BX1442" s="34"/>
      <c r="BY1442" s="34"/>
      <c r="BZ1442" s="34"/>
      <c r="CA1442" s="34"/>
      <c r="CB1442" s="34"/>
      <c r="CC1442" s="34"/>
      <c r="CD1442" s="34"/>
      <c r="CE1442" s="34"/>
      <c r="CF1442" s="34"/>
      <c r="CG1442" s="34"/>
      <c r="CH1442" s="34"/>
      <c r="CI1442" s="8"/>
    </row>
    <row r="1443" spans="1:87" x14ac:dyDescent="0.2">
      <c r="A1443" s="8" t="str">
        <f>IF(AND(COUNTIF(W$3:W$13,A$33)&gt;0,A$33&lt;&gt;B1308),A$33,IFERROR(IF(MATCH(A$33,Z$3:Z$13,0)=6,A$33," ")," "))</f>
        <v>C19</v>
      </c>
      <c r="B1443" s="8">
        <f>IF(A1443=" "," ",MAX(B1425:B1442)+1)</f>
        <v>8</v>
      </c>
      <c r="C1443" s="8"/>
      <c r="D1443" s="8"/>
      <c r="E1443" s="8"/>
      <c r="F1443" s="8"/>
      <c r="G1443" s="8"/>
      <c r="H1443" s="8"/>
      <c r="I1443" s="8"/>
      <c r="J1443" s="8"/>
      <c r="K1443" s="8"/>
      <c r="L1443" s="8"/>
      <c r="M1443" s="8"/>
      <c r="N1443" s="8"/>
      <c r="O1443" s="8"/>
      <c r="P1443" s="8"/>
      <c r="Q1443" s="8"/>
      <c r="R1443" s="8"/>
      <c r="S1443" s="8"/>
      <c r="U1443" s="34"/>
      <c r="V1443" s="34"/>
      <c r="W1443" s="34"/>
      <c r="X1443" s="34"/>
      <c r="Y1443" s="34"/>
      <c r="Z1443" s="34"/>
      <c r="AA1443" s="34"/>
      <c r="AB1443" s="34"/>
      <c r="AC1443" s="34"/>
      <c r="AD1443" s="34"/>
      <c r="AE1443" s="34"/>
      <c r="AF1443" s="34"/>
      <c r="AG1443" s="34"/>
      <c r="AH1443" s="34"/>
      <c r="AI1443" s="34"/>
      <c r="AJ1443" s="34"/>
      <c r="AK1443" s="34"/>
      <c r="AL1443" s="34"/>
      <c r="AM1443" s="34"/>
      <c r="AN1443" s="34"/>
      <c r="AO1443" s="34"/>
      <c r="AP1443" s="34"/>
      <c r="AQ1443" s="34"/>
      <c r="AR1443" s="34"/>
      <c r="AS1443" s="34"/>
      <c r="AT1443" s="34"/>
      <c r="AU1443" s="34"/>
      <c r="AV1443" s="34"/>
      <c r="AW1443" s="34"/>
      <c r="AX1443" s="34"/>
      <c r="AY1443" s="34"/>
      <c r="AZ1443" s="34"/>
      <c r="BA1443" s="34"/>
      <c r="BB1443" s="34"/>
      <c r="BC1443" s="34"/>
      <c r="BD1443" s="34"/>
      <c r="BE1443" s="34"/>
      <c r="BF1443" s="34"/>
      <c r="BG1443" s="34"/>
      <c r="BH1443" s="34"/>
      <c r="BI1443" s="34"/>
      <c r="BJ1443" s="34"/>
      <c r="BK1443" s="34"/>
      <c r="BL1443" s="34"/>
      <c r="BM1443" s="34"/>
      <c r="BN1443" s="34"/>
      <c r="BO1443" s="34"/>
      <c r="BP1443" s="34"/>
      <c r="BQ1443" s="34"/>
      <c r="BR1443" s="34"/>
      <c r="BS1443" s="34"/>
      <c r="BT1443" s="34"/>
      <c r="BU1443" s="34"/>
      <c r="BV1443" s="34"/>
      <c r="BW1443" s="34"/>
      <c r="BX1443" s="34"/>
      <c r="BY1443" s="34"/>
      <c r="BZ1443" s="34"/>
      <c r="CA1443" s="34"/>
      <c r="CB1443" s="34"/>
      <c r="CC1443" s="34"/>
      <c r="CD1443" s="34"/>
      <c r="CE1443" s="34"/>
      <c r="CF1443" s="34"/>
      <c r="CG1443" s="34"/>
      <c r="CH1443" s="34"/>
      <c r="CI1443" s="8"/>
    </row>
    <row r="1444" spans="1:87" x14ac:dyDescent="0.2">
      <c r="A1444" s="8" t="str">
        <f>IF(AND(COUNTIF(W$3:W$13,A$34)&gt;0,A$34&lt;&gt;B1308),A$34,IFERROR(IF(MATCH(A$34,Z$3:Z$13,0)=6,A$34," ")," "))</f>
        <v>C20</v>
      </c>
      <c r="B1444" s="8">
        <f>IF(A1444=" "," ",MAX(B1425:B1443)+1)</f>
        <v>9</v>
      </c>
      <c r="C1444" s="8"/>
      <c r="D1444" s="8"/>
      <c r="E1444" s="8"/>
      <c r="F1444" s="8"/>
      <c r="G1444" s="8"/>
      <c r="H1444" s="8"/>
      <c r="I1444" s="8"/>
      <c r="J1444" s="8"/>
      <c r="K1444" s="8"/>
      <c r="L1444" s="8"/>
      <c r="M1444" s="8"/>
      <c r="N1444" s="8"/>
      <c r="O1444" s="8"/>
      <c r="P1444" s="8"/>
      <c r="Q1444" s="8"/>
      <c r="R1444" s="8"/>
      <c r="S1444" s="8"/>
      <c r="U1444" s="34"/>
      <c r="V1444" s="34"/>
      <c r="W1444" s="34"/>
      <c r="X1444" s="34"/>
      <c r="Y1444" s="34"/>
      <c r="Z1444" s="34"/>
      <c r="AA1444" s="34"/>
      <c r="AB1444" s="34"/>
      <c r="AC1444" s="34"/>
      <c r="AD1444" s="34"/>
      <c r="AE1444" s="34"/>
      <c r="AF1444" s="34"/>
      <c r="AG1444" s="34"/>
      <c r="AH1444" s="34"/>
      <c r="AI1444" s="34"/>
      <c r="AJ1444" s="34"/>
      <c r="AK1444" s="34"/>
      <c r="AL1444" s="34"/>
      <c r="AM1444" s="34"/>
      <c r="AN1444" s="34"/>
      <c r="AO1444" s="34"/>
      <c r="AP1444" s="34"/>
      <c r="AQ1444" s="34"/>
      <c r="AR1444" s="34"/>
      <c r="AS1444" s="34"/>
      <c r="AT1444" s="34"/>
      <c r="AU1444" s="34"/>
      <c r="AV1444" s="34"/>
      <c r="AW1444" s="34"/>
      <c r="AX1444" s="34"/>
      <c r="AY1444" s="34"/>
      <c r="AZ1444" s="34"/>
      <c r="BA1444" s="34"/>
      <c r="BB1444" s="34"/>
      <c r="BC1444" s="34"/>
      <c r="BD1444" s="34"/>
      <c r="BE1444" s="34"/>
      <c r="BF1444" s="34"/>
      <c r="BG1444" s="34"/>
      <c r="BH1444" s="34"/>
      <c r="BI1444" s="34"/>
      <c r="BJ1444" s="34"/>
      <c r="BK1444" s="34"/>
      <c r="BL1444" s="34"/>
      <c r="BM1444" s="34"/>
      <c r="BN1444" s="34"/>
      <c r="BO1444" s="34"/>
      <c r="BP1444" s="34"/>
      <c r="BQ1444" s="34"/>
      <c r="BR1444" s="34"/>
      <c r="BS1444" s="34"/>
      <c r="BT1444" s="34"/>
      <c r="BU1444" s="34"/>
      <c r="BV1444" s="34"/>
      <c r="BW1444" s="34"/>
      <c r="BX1444" s="34"/>
      <c r="BY1444" s="34"/>
      <c r="BZ1444" s="34"/>
      <c r="CA1444" s="34"/>
      <c r="CB1444" s="34"/>
      <c r="CC1444" s="34"/>
      <c r="CD1444" s="34"/>
      <c r="CE1444" s="34"/>
      <c r="CF1444" s="34"/>
      <c r="CG1444" s="34"/>
      <c r="CH1444" s="34"/>
      <c r="CI1444" s="8"/>
    </row>
    <row r="1445" spans="1:87" x14ac:dyDescent="0.2">
      <c r="A1445" s="8" t="str">
        <f>IF(AND(COUNTIF(W$3:W$13,A$35)&gt;0,A$35&lt;&gt;B1308),A$35,IFERROR(IF(MATCH(A$35,Z$3:Z$13,0)=6,A$35," ")," "))</f>
        <v>C21</v>
      </c>
      <c r="B1445" s="8">
        <f>IF(A1445=" "," ",MAX(B1425:B1444)+1)</f>
        <v>10</v>
      </c>
      <c r="C1445" s="8"/>
      <c r="D1445" s="8"/>
      <c r="E1445" s="8"/>
      <c r="F1445" s="8"/>
      <c r="G1445" s="8"/>
      <c r="H1445" s="8"/>
      <c r="I1445" s="8"/>
      <c r="J1445" s="8"/>
      <c r="K1445" s="8"/>
      <c r="L1445" s="8"/>
      <c r="M1445" s="8"/>
      <c r="N1445" s="8"/>
      <c r="O1445" s="8"/>
      <c r="P1445" s="8"/>
      <c r="Q1445" s="8"/>
      <c r="R1445" s="8"/>
      <c r="S1445" s="8"/>
      <c r="U1445" s="34"/>
      <c r="V1445" s="34"/>
      <c r="W1445" s="34"/>
      <c r="X1445" s="34"/>
      <c r="Y1445" s="34"/>
      <c r="Z1445" s="34"/>
      <c r="AA1445" s="34"/>
      <c r="AB1445" s="34"/>
      <c r="AC1445" s="34"/>
      <c r="AD1445" s="34"/>
      <c r="AE1445" s="34"/>
      <c r="AF1445" s="34"/>
      <c r="AG1445" s="34"/>
      <c r="AH1445" s="34"/>
      <c r="AI1445" s="34"/>
      <c r="AJ1445" s="34"/>
      <c r="AK1445" s="34"/>
      <c r="AL1445" s="34"/>
      <c r="AM1445" s="34"/>
      <c r="AN1445" s="34"/>
      <c r="AO1445" s="34"/>
      <c r="AP1445" s="34"/>
      <c r="AQ1445" s="34"/>
      <c r="AR1445" s="34"/>
      <c r="AS1445" s="34"/>
      <c r="AT1445" s="34"/>
      <c r="AU1445" s="34"/>
      <c r="AV1445" s="34"/>
      <c r="AW1445" s="34"/>
      <c r="AX1445" s="34"/>
      <c r="AY1445" s="34"/>
      <c r="AZ1445" s="34"/>
      <c r="BA1445" s="34"/>
      <c r="BB1445" s="34"/>
      <c r="BC1445" s="34"/>
      <c r="BD1445" s="34"/>
      <c r="BE1445" s="34"/>
      <c r="BF1445" s="34"/>
      <c r="BG1445" s="34"/>
      <c r="BH1445" s="34"/>
      <c r="BI1445" s="34"/>
      <c r="BJ1445" s="34"/>
      <c r="BK1445" s="34"/>
      <c r="BL1445" s="34"/>
      <c r="BM1445" s="34"/>
      <c r="BN1445" s="34"/>
      <c r="BO1445" s="34"/>
      <c r="BP1445" s="34"/>
      <c r="BQ1445" s="34"/>
      <c r="BR1445" s="34"/>
      <c r="BS1445" s="34"/>
      <c r="BT1445" s="34"/>
      <c r="BU1445" s="34"/>
      <c r="BV1445" s="34"/>
      <c r="BW1445" s="34"/>
      <c r="BX1445" s="34"/>
      <c r="BY1445" s="34"/>
      <c r="BZ1445" s="34"/>
      <c r="CA1445" s="34"/>
      <c r="CB1445" s="34"/>
      <c r="CC1445" s="34"/>
      <c r="CD1445" s="34"/>
      <c r="CE1445" s="34"/>
      <c r="CF1445" s="34"/>
      <c r="CG1445" s="34"/>
      <c r="CH1445" s="34"/>
      <c r="CI1445" s="8"/>
    </row>
    <row r="1446" spans="1:87" x14ac:dyDescent="0.2">
      <c r="A1446" s="8" t="str">
        <f>IF(AND(COUNTIF(W$3:W$13,A$36)&gt;0,A$36&lt;&gt;B1308),A$36,IFERROR(IF(MATCH(A$36,Z$3:Z$13,0)=6,A$36," ")," "))</f>
        <v>C22</v>
      </c>
      <c r="B1446" s="8">
        <f>IF(A1446=" "," ",MAX(B1425:B1445)+1)</f>
        <v>11</v>
      </c>
      <c r="C1446" s="8"/>
      <c r="D1446" s="8"/>
      <c r="E1446" s="8"/>
      <c r="F1446" s="8"/>
      <c r="G1446" s="8"/>
      <c r="H1446" s="8"/>
      <c r="I1446" s="8"/>
      <c r="J1446" s="8"/>
      <c r="K1446" s="8"/>
      <c r="L1446" s="8"/>
      <c r="M1446" s="8"/>
      <c r="N1446" s="8"/>
      <c r="O1446" s="8"/>
      <c r="P1446" s="8"/>
      <c r="Q1446" s="8"/>
      <c r="R1446" s="8"/>
      <c r="S1446" s="8"/>
      <c r="U1446" s="34"/>
      <c r="V1446" s="34"/>
      <c r="W1446" s="34"/>
      <c r="X1446" s="34"/>
      <c r="Y1446" s="34"/>
      <c r="Z1446" s="34"/>
      <c r="AA1446" s="34"/>
      <c r="AB1446" s="34"/>
      <c r="AC1446" s="34"/>
      <c r="AD1446" s="34"/>
      <c r="AE1446" s="34"/>
      <c r="AF1446" s="34"/>
      <c r="AG1446" s="34"/>
      <c r="AH1446" s="34"/>
      <c r="AI1446" s="34"/>
      <c r="AJ1446" s="34"/>
      <c r="AK1446" s="34"/>
      <c r="AL1446" s="34"/>
      <c r="AM1446" s="34"/>
      <c r="AN1446" s="34"/>
      <c r="AO1446" s="34"/>
      <c r="AP1446" s="34"/>
      <c r="AQ1446" s="34"/>
      <c r="AR1446" s="34"/>
      <c r="AS1446" s="34"/>
      <c r="AT1446" s="34"/>
      <c r="AU1446" s="34"/>
      <c r="AV1446" s="34"/>
      <c r="AW1446" s="34"/>
      <c r="AX1446" s="34"/>
      <c r="AY1446" s="34"/>
      <c r="AZ1446" s="34"/>
      <c r="BA1446" s="34"/>
      <c r="BB1446" s="34"/>
      <c r="BC1446" s="34"/>
      <c r="BD1446" s="34"/>
      <c r="BE1446" s="34"/>
      <c r="BF1446" s="34"/>
      <c r="BG1446" s="34"/>
      <c r="BH1446" s="34"/>
      <c r="BI1446" s="34"/>
      <c r="BJ1446" s="34"/>
      <c r="BK1446" s="34"/>
      <c r="BL1446" s="34"/>
      <c r="BM1446" s="34"/>
      <c r="BN1446" s="34"/>
      <c r="BO1446" s="34"/>
      <c r="BP1446" s="34"/>
      <c r="BQ1446" s="34"/>
      <c r="BR1446" s="34"/>
      <c r="BS1446" s="34"/>
      <c r="BT1446" s="34"/>
      <c r="BU1446" s="34"/>
      <c r="BV1446" s="34"/>
      <c r="BW1446" s="34"/>
      <c r="BX1446" s="34"/>
      <c r="BY1446" s="34"/>
      <c r="BZ1446" s="34"/>
      <c r="CA1446" s="34"/>
      <c r="CB1446" s="34"/>
      <c r="CC1446" s="34"/>
      <c r="CD1446" s="34"/>
      <c r="CE1446" s="34"/>
      <c r="CF1446" s="34"/>
      <c r="CG1446" s="34"/>
      <c r="CH1446" s="34"/>
      <c r="CI1446" s="8"/>
    </row>
    <row r="1447" spans="1:87" x14ac:dyDescent="0.2">
      <c r="A1447" s="11" t="s">
        <v>17</v>
      </c>
      <c r="B1447" s="11"/>
      <c r="C1447" s="27" t="s">
        <v>18</v>
      </c>
      <c r="D1447" s="27" t="s">
        <v>2</v>
      </c>
      <c r="E1447" s="27" t="s">
        <v>6</v>
      </c>
      <c r="F1447" s="27" t="s">
        <v>15</v>
      </c>
      <c r="G1447" s="27" t="s">
        <v>36</v>
      </c>
      <c r="H1447" s="27" t="s">
        <v>37</v>
      </c>
      <c r="I1447" s="27" t="s">
        <v>38</v>
      </c>
      <c r="J1447" s="27" t="s">
        <v>39</v>
      </c>
      <c r="K1447" s="27" t="s">
        <v>40</v>
      </c>
      <c r="L1447" s="27" t="s">
        <v>41</v>
      </c>
      <c r="M1447" s="27" t="s">
        <v>42</v>
      </c>
      <c r="N1447" s="27" t="s">
        <v>43</v>
      </c>
      <c r="O1447" s="27" t="s">
        <v>9</v>
      </c>
      <c r="P1447" s="27" t="s">
        <v>12</v>
      </c>
      <c r="Q1447" s="27" t="s">
        <v>19</v>
      </c>
      <c r="R1447" s="27" t="s">
        <v>55</v>
      </c>
      <c r="S1447" s="27" t="s">
        <v>26</v>
      </c>
      <c r="T1447" s="19" t="s">
        <v>25</v>
      </c>
      <c r="U1447" s="33" t="s">
        <v>27</v>
      </c>
      <c r="V1447" s="33" t="s">
        <v>9</v>
      </c>
      <c r="W1447" s="33" t="s">
        <v>23</v>
      </c>
      <c r="X1447" s="33" t="s">
        <v>12</v>
      </c>
      <c r="Y1447" s="33" t="s">
        <v>26</v>
      </c>
      <c r="Z1447" s="33" t="s">
        <v>25</v>
      </c>
      <c r="AA1447" s="33" t="s">
        <v>27</v>
      </c>
      <c r="AB1447" s="33" t="s">
        <v>9</v>
      </c>
      <c r="AC1447" s="33" t="s">
        <v>23</v>
      </c>
      <c r="AD1447" s="33" t="s">
        <v>12</v>
      </c>
      <c r="AE1447" s="33" t="s">
        <v>26</v>
      </c>
      <c r="AF1447" s="33" t="s">
        <v>25</v>
      </c>
      <c r="AG1447" s="33" t="s">
        <v>27</v>
      </c>
      <c r="AH1447" s="33" t="s">
        <v>9</v>
      </c>
      <c r="AI1447" s="33" t="s">
        <v>23</v>
      </c>
      <c r="AJ1447" s="33" t="s">
        <v>12</v>
      </c>
      <c r="AK1447" s="33" t="s">
        <v>26</v>
      </c>
      <c r="AL1447" s="33" t="s">
        <v>25</v>
      </c>
      <c r="AM1447" s="33" t="s">
        <v>27</v>
      </c>
      <c r="AN1447" s="33" t="s">
        <v>9</v>
      </c>
      <c r="AO1447" s="33" t="s">
        <v>23</v>
      </c>
      <c r="AP1447" s="33" t="s">
        <v>12</v>
      </c>
      <c r="AQ1447" s="33" t="s">
        <v>26</v>
      </c>
      <c r="AR1447" s="33" t="s">
        <v>25</v>
      </c>
      <c r="AS1447" s="33" t="s">
        <v>27</v>
      </c>
      <c r="AT1447" s="33" t="s">
        <v>9</v>
      </c>
      <c r="AU1447" s="33" t="s">
        <v>23</v>
      </c>
      <c r="AV1447" s="33" t="s">
        <v>12</v>
      </c>
      <c r="AW1447" s="33" t="s">
        <v>26</v>
      </c>
      <c r="AX1447" s="33" t="s">
        <v>25</v>
      </c>
      <c r="AY1447" s="33" t="s">
        <v>27</v>
      </c>
      <c r="AZ1447" s="33" t="s">
        <v>9</v>
      </c>
      <c r="BA1447" s="33" t="s">
        <v>23</v>
      </c>
      <c r="BB1447" s="33" t="s">
        <v>12</v>
      </c>
      <c r="BC1447" s="33" t="s">
        <v>26</v>
      </c>
      <c r="BD1447" s="33" t="s">
        <v>25</v>
      </c>
      <c r="BE1447" s="33" t="s">
        <v>27</v>
      </c>
      <c r="BF1447" s="33" t="s">
        <v>9</v>
      </c>
      <c r="BG1447" s="33" t="s">
        <v>23</v>
      </c>
      <c r="BH1447" s="33" t="s">
        <v>12</v>
      </c>
      <c r="BI1447" s="33" t="s">
        <v>26</v>
      </c>
      <c r="BJ1447" s="33" t="s">
        <v>25</v>
      </c>
      <c r="BK1447" s="33" t="s">
        <v>27</v>
      </c>
      <c r="BL1447" s="33" t="s">
        <v>9</v>
      </c>
      <c r="BM1447" s="33" t="s">
        <v>23</v>
      </c>
      <c r="BN1447" s="33" t="s">
        <v>12</v>
      </c>
      <c r="BO1447" s="33" t="s">
        <v>26</v>
      </c>
      <c r="BP1447" s="33" t="s">
        <v>25</v>
      </c>
      <c r="BQ1447" s="33" t="s">
        <v>27</v>
      </c>
      <c r="BR1447" s="33" t="s">
        <v>9</v>
      </c>
      <c r="BS1447" s="33" t="s">
        <v>23</v>
      </c>
      <c r="BT1447" s="33" t="s">
        <v>12</v>
      </c>
      <c r="BU1447" s="33" t="s">
        <v>26</v>
      </c>
      <c r="BV1447" s="33" t="s">
        <v>25</v>
      </c>
      <c r="BW1447" s="33" t="s">
        <v>27</v>
      </c>
      <c r="BX1447" s="33" t="s">
        <v>9</v>
      </c>
      <c r="BY1447" s="33" t="s">
        <v>23</v>
      </c>
      <c r="BZ1447" s="33" t="s">
        <v>12</v>
      </c>
      <c r="CA1447" s="33" t="s">
        <v>26</v>
      </c>
      <c r="CB1447" s="33" t="s">
        <v>25</v>
      </c>
      <c r="CC1447" s="33" t="s">
        <v>27</v>
      </c>
      <c r="CD1447" s="33" t="s">
        <v>9</v>
      </c>
      <c r="CE1447" s="33" t="s">
        <v>23</v>
      </c>
      <c r="CF1447" s="33" t="s">
        <v>12</v>
      </c>
      <c r="CG1447" s="33" t="s">
        <v>26</v>
      </c>
      <c r="CH1447" s="33" t="s">
        <v>25</v>
      </c>
      <c r="CI1447" s="8"/>
    </row>
    <row r="1448" spans="1:87" x14ac:dyDescent="0.2">
      <c r="A1448" s="8" t="str">
        <f>IF(AND(COUNTIF(W$3:W$13,A$15)&gt;0,A$15&lt;&gt;B1308),A$15,IFERROR(IF(MATCH(A$15,Z$3:Z$13,0)=7,A$15," ")," "))</f>
        <v xml:space="preserve"> </v>
      </c>
      <c r="B1448" s="8" t="str">
        <f>IF(A1448=" "," ",1)</f>
        <v xml:space="preserve"> </v>
      </c>
      <c r="C1448" s="8" t="str">
        <f>IFERROR(INDEX(A1448:A1469,MATCH(SMALL(B1448:B1469,1),B1448:B1469,0),1)," ")</f>
        <v>C3</v>
      </c>
      <c r="D1448" s="8">
        <f>IFERROR(VLOOKUP($C1448,$A$15:$O$36,2,FALSE)," ")</f>
        <v>2</v>
      </c>
      <c r="E1448" s="8">
        <f>IFERROR(VLOOKUP($C1448,$A$15:$O$36,3,FALSE)," ")</f>
        <v>5</v>
      </c>
      <c r="F1448" s="8">
        <f>IFERROR(VLOOKUP($C1448,$A$15:$O$36,4,FALSE)," ")</f>
        <v>6</v>
      </c>
      <c r="G1448" s="8">
        <f>IFERROR(VLOOKUP($C1448,$A$15:$O$36,5,FALSE)," ")</f>
        <v>0</v>
      </c>
      <c r="H1448" s="8">
        <f>IFERROR(VLOOKUP($C1448,$A$15:$O$36,6,FALSE)," ")</f>
        <v>0</v>
      </c>
      <c r="I1448" s="8">
        <f>IFERROR(VLOOKUP($C1448,$A$15:$O$36,7,FALSE)," ")</f>
        <v>0</v>
      </c>
      <c r="J1448" s="8">
        <f>IFERROR(VLOOKUP($C1448,$A$15:$O$36,8,FALSE)," ")</f>
        <v>0</v>
      </c>
      <c r="K1448" s="8">
        <f>IFERROR(VLOOKUP($C1448,$A$15:$O$36,9,FALSE)," ")</f>
        <v>0</v>
      </c>
      <c r="L1448" s="8">
        <f>IFERROR(VLOOKUP($C1448,$A$15:$O$36,10,FALSE)," ")</f>
        <v>0</v>
      </c>
      <c r="M1448" s="8">
        <f>IFERROR(VLOOKUP($C1448,$A$15:$O$36,11,FALSE)," ")</f>
        <v>0</v>
      </c>
      <c r="N1448" s="8">
        <f>IFERROR(VLOOKUP($C1448,$A$15:$O$36,12,FALSE)," ")</f>
        <v>0</v>
      </c>
      <c r="O1448" s="8">
        <f>IFERROR(VLOOKUP($C1448,$A$15:$O$36,15,FALSE)," ")</f>
        <v>2000</v>
      </c>
      <c r="P1448" s="8" t="e">
        <f t="array" ref="P1448:P1458">MMULT(MINVERSE(D1448:N1458),O1448:O1458)</f>
        <v>#NUM!</v>
      </c>
      <c r="Q1448" s="8" t="e">
        <f t="shared" ref="Q1448" si="6186">IF(COUNTIF(P1448:P1458,"&lt;"&amp;-0.001)=0,IF(ABS(P1448)&lt;0.001,0,P1448)," ")</f>
        <v>#NUM!</v>
      </c>
      <c r="R1448" s="8" t="str">
        <f>IFERROR(VLOOKUP(B1308,A$15:L$36,2,FALSE)*Q1448+VLOOKUP(B1308,A$15:L$36,3,FALSE)*Q1449+VLOOKUP(B1308,A$15:L$36,4,FALSE)*Q1450+VLOOKUP(B1308,A$15:L$36,5,FALSE)*Q1451+VLOOKUP(B1308,A$15:L$36,6,FALSE)*Q1452+VLOOKUP(B1308,A$15:L$36,7,FALSE)*Q1453+VLOOKUP(B1308,A$15:L$36,8,FALSE)*Q1454+VLOOKUP(B1308,A$15:L$36,9,FALSE)*Q1455+VLOOKUP(B1308,A$15:L$36,10,FALSE)*Q1456+VLOOKUP(B1308,A$15:L$36,11,FALSE)*Q1457+VLOOKUP(B1308,A$15:L$36,12,FALSE)*Q1458," ")</f>
        <v xml:space="preserve"> </v>
      </c>
      <c r="S1448" s="8" t="str">
        <f>IFERROR(IF(R1448-VLOOKUP(B1308,A$15:O$36,15,FALSE)&lt;0,R1448-VLOOKUP(B1308,A$15:O$36,15,FALSE)," ")," ")</f>
        <v xml:space="preserve"> </v>
      </c>
      <c r="T1448" s="18" t="str">
        <f>IFERROR(IF(R1448-VLOOKUP(B1308,A$15:O$36,15,FALSE)&gt;0,R1448-VLOOKUP(B1308,A$15:O$36,15,FALSE)," ")," ")</f>
        <v xml:space="preserve"> </v>
      </c>
      <c r="U1448" s="34">
        <f t="shared" ref="U1448" si="6187">$M$2</f>
        <v>100.00000000000001</v>
      </c>
      <c r="V1448" s="34">
        <v>-1</v>
      </c>
      <c r="W1448" s="34">
        <f t="shared" ref="W1448" si="6188">-SUMPRODUCT($M$3:$M$12,$N$3:$N$12)</f>
        <v>-105000</v>
      </c>
      <c r="X1448" s="34" t="e">
        <f t="shared" ref="X1448" si="6189">IF(U1448&lt;&gt;U1449,MMULT(MINVERSE(U1448:V1449),W1448:W1449)," ")</f>
        <v>#NUM!</v>
      </c>
      <c r="Y1448" s="34" t="str">
        <f t="shared" ref="Y1448" si="6190">IFERROR(IF(X1448-VLOOKUP(U$38,$A$2:$N$12,14,FALSE)&lt;0,X1448-VLOOKUP(U$38,$A$2:$N$12,14,FALSE)," ")," ")</f>
        <v xml:space="preserve"> </v>
      </c>
      <c r="Z1448" s="34" t="str">
        <f t="shared" ref="Z1448" si="6191">IFERROR(IF(X1448-VLOOKUP(U$38,$A$2:$N$12,14,FALSE)&gt;0,X1448-VLOOKUP(U$38,$A$2:$N$12,14,FALSE)," ")," ")</f>
        <v xml:space="preserve"> </v>
      </c>
      <c r="AA1448" s="34">
        <f t="shared" ref="AA1448" si="6192">$M$3</f>
        <v>0</v>
      </c>
      <c r="AB1448" s="34">
        <v>-1</v>
      </c>
      <c r="AC1448" s="34">
        <f t="shared" ref="AC1448" si="6193">-SUMPRODUCT($M$2:$M$2,$N$2:$N$2)-SUMPRODUCT($M$4:$M$12,$N$4:$N$12)</f>
        <v>-120000</v>
      </c>
      <c r="AD1448" s="34" t="e">
        <f t="shared" ref="AD1448" si="6194">IF(AA1448&lt;&gt;AA1449,MMULT(MINVERSE(AA1448:AB1449),AC1448:AC1449)," ")</f>
        <v>#NUM!</v>
      </c>
      <c r="AE1448" s="34" t="str">
        <f t="shared" ref="AE1448" si="6195">IFERROR(IF(AD1448-VLOOKUP(AA$38,$A$2:$N$12,14,FALSE)&lt;0,AD1448-VLOOKUP(AA$38,$A$2:$N$12,14,FALSE)," ")," ")</f>
        <v xml:space="preserve"> </v>
      </c>
      <c r="AF1448" s="34" t="str">
        <f t="shared" ref="AF1448" si="6196">IFERROR(IF(AD1448-VLOOKUP(AA$38,$A$2:$N$12,14,FALSE)&gt;0,AD1448-VLOOKUP(AA$38,$A$2:$N$12,14,FALSE)," ")," ")</f>
        <v xml:space="preserve"> </v>
      </c>
      <c r="AG1448" s="34">
        <f t="shared" ref="AG1448" si="6197">$M$4</f>
        <v>300</v>
      </c>
      <c r="AH1448" s="34">
        <v>-1</v>
      </c>
      <c r="AI1448" s="34">
        <f t="shared" ref="AI1448" si="6198">-SUMPRODUCT($M$2:$M$3,$N$2:$N$3)-SUMPRODUCT($M$5:$M$12,$N$5:$N$12)</f>
        <v>-15000.000000000002</v>
      </c>
      <c r="AJ1448" s="34" t="e">
        <f t="shared" ref="AJ1448" si="6199">IF(AG1448&lt;&gt;AG1449,MMULT(MINVERSE(AG1448:AH1449),AI1448:AI1449)," ")</f>
        <v>#NUM!</v>
      </c>
      <c r="AK1448" s="34" t="str">
        <f t="shared" ref="AK1448" si="6200">IFERROR(IF(AJ1448-VLOOKUP(AG$38,$A$2:$N$12,14,FALSE)&lt;0,AJ1448-VLOOKUP(AG$38,$A$2:$N$12,14,FALSE)," ")," ")</f>
        <v xml:space="preserve"> </v>
      </c>
      <c r="AL1448" s="34" t="str">
        <f t="shared" ref="AL1448" si="6201">IFERROR(IF(AJ1448-VLOOKUP(AG$38,$A$2:$N$12,14,FALSE)&gt;0,AJ1448-VLOOKUP(AG$38,$A$2:$N$12,14,FALSE)," ")," ")</f>
        <v xml:space="preserve"> </v>
      </c>
      <c r="AM1448" s="34">
        <f t="shared" ref="AM1448" si="6202">$M$5</f>
        <v>0</v>
      </c>
      <c r="AN1448" s="34">
        <v>-1</v>
      </c>
      <c r="AO1448" s="34">
        <f t="shared" ref="AO1448" si="6203">-SUMPRODUCT($M$2:$M$4,$N$2:$N$4)-SUMPRODUCT($M$6:$M$12,$N$6:$N$12)</f>
        <v>-120000</v>
      </c>
      <c r="AP1448" s="34" t="e">
        <f t="shared" ref="AP1448" si="6204">IF(AM1448&lt;&gt;AM1449,MMULT(MINVERSE(AM1448:AN1449),AO1448:AO1449)," ")</f>
        <v>#NUM!</v>
      </c>
      <c r="AQ1448" s="34" t="str">
        <f t="shared" ref="AQ1448" si="6205">IFERROR(IF(AP1448-VLOOKUP(AM$38,$A$2:$N$12,14,FALSE)&lt;0,AP1448-VLOOKUP(AM$38,$A$2:$N$12,14,FALSE)," ")," ")</f>
        <v xml:space="preserve"> </v>
      </c>
      <c r="AR1448" s="34" t="str">
        <f t="shared" ref="AR1448" si="6206">IFERROR(IF(AP1448-VLOOKUP(AM$38,$A$2:$N$12,14,FALSE)&gt;0,AP1448-VLOOKUP(AM$38,$A$2:$N$12,14,FALSE)," ")," ")</f>
        <v xml:space="preserve"> </v>
      </c>
      <c r="AS1448" s="34">
        <f t="shared" ref="AS1448" si="6207">$M$6</f>
        <v>0</v>
      </c>
      <c r="AT1448" s="34">
        <v>-1</v>
      </c>
      <c r="AU1448" s="34">
        <f t="shared" ref="AU1448" si="6208">-SUMPRODUCT($M$2:$M$5,$N$2:$N$5)-SUMPRODUCT($M$7:$M$12,$N$7:$N$12)</f>
        <v>-120000</v>
      </c>
      <c r="AV1448" s="34" t="e">
        <f t="shared" ref="AV1448" si="6209">IF(AS1448&lt;&gt;AS1449,MMULT(MINVERSE(AS1448:AT1449),AU1448:AU1449)," ")</f>
        <v>#NUM!</v>
      </c>
      <c r="AW1448" s="34" t="str">
        <f t="shared" ref="AW1448" si="6210">IFERROR(IF(AV1448-VLOOKUP(AS$38,$A$2:$N$12,14,FALSE)&lt;0,AV1448-VLOOKUP(AS$38,$A$2:$N$12,14,FALSE)," ")," ")</f>
        <v xml:space="preserve"> </v>
      </c>
      <c r="AX1448" s="34" t="str">
        <f t="shared" ref="AX1448" si="6211">IFERROR(IF(AV1448-VLOOKUP(AS$38,$A$2:$N$12,14,FALSE)&gt;0,AV1448-VLOOKUP(AS$38,$A$2:$N$12,14,FALSE)," ")," ")</f>
        <v xml:space="preserve"> </v>
      </c>
      <c r="AY1448" s="34">
        <f t="shared" ref="AY1448" si="6212">$M$7</f>
        <v>0</v>
      </c>
      <c r="AZ1448" s="34">
        <v>-1</v>
      </c>
      <c r="BA1448" s="34">
        <f t="shared" ref="BA1448" si="6213">-SUMPRODUCT($M$2:$M$6,$N$2:$N$6)-SUMPRODUCT($M$8:$M$12,$N$8:$N$12)</f>
        <v>-120000</v>
      </c>
      <c r="BB1448" s="34" t="e">
        <f t="shared" ref="BB1448" si="6214">IF(AY1448&lt;&gt;AY1449,MMULT(MINVERSE(AY1448:AZ1449),BA1448:BA1449)," ")</f>
        <v>#NUM!</v>
      </c>
      <c r="BC1448" s="34" t="str">
        <f t="shared" ref="BC1448" si="6215">IFERROR(IF(BB1448-VLOOKUP(AY$38,$A$2:$N$12,14,FALSE)&lt;0,BB1448-VLOOKUP(AY$38,$A$2:$N$12,14,FALSE)," ")," ")</f>
        <v xml:space="preserve"> </v>
      </c>
      <c r="BD1448" s="34" t="str">
        <f t="shared" ref="BD1448" si="6216">IFERROR(IF(BB1448-VLOOKUP(AY$38,$A$2:$N$12,14,FALSE)&gt;0,BB1448-VLOOKUP(AY$38,$A$2:$N$12,14,FALSE)," ")," ")</f>
        <v xml:space="preserve"> </v>
      </c>
      <c r="BE1448" s="34">
        <f t="shared" ref="BE1448" si="6217">$M$8</f>
        <v>0</v>
      </c>
      <c r="BF1448" s="34">
        <v>-1</v>
      </c>
      <c r="BG1448" s="34">
        <f t="shared" ref="BG1448" si="6218">-SUMPRODUCT($M$2:$M$7,$N$2:$N$7)-SUMPRODUCT($M$9:$M$12,$N$9:$N$12)</f>
        <v>-120000</v>
      </c>
      <c r="BH1448" s="34" t="e">
        <f t="shared" ref="BH1448" si="6219">IF(BE1448&lt;&gt;BE1449,MMULT(MINVERSE(BE1448:BF1449),BG1448:BG1449)," ")</f>
        <v>#NUM!</v>
      </c>
      <c r="BI1448" s="34" t="str">
        <f t="shared" ref="BI1448" si="6220">IFERROR(IF(BH1448-VLOOKUP(BE$38,$A$2:$N$12,14,FALSE)&lt;0,BH1448-VLOOKUP(BE$38,$A$2:$N$12,14,FALSE)," ")," ")</f>
        <v xml:space="preserve"> </v>
      </c>
      <c r="BJ1448" s="34" t="str">
        <f t="shared" ref="BJ1448" si="6221">IFERROR(IF(BH1448-VLOOKUP(BE$38,$A$2:$N$12,14,FALSE)&gt;0,BH1448-VLOOKUP(BE$38,$A$2:$N$12,14,FALSE)," ")," ")</f>
        <v xml:space="preserve"> </v>
      </c>
      <c r="BK1448" s="34">
        <f t="shared" ref="BK1448" si="6222">$M$9</f>
        <v>0</v>
      </c>
      <c r="BL1448" s="34">
        <v>-1</v>
      </c>
      <c r="BM1448" s="34">
        <f t="shared" ref="BM1448" si="6223">-SUMPRODUCT($M$2:$M$8,$N$2:$N$8)-SUMPRODUCT($M$10:$M$12,$N$10:$N$12)</f>
        <v>-120000</v>
      </c>
      <c r="BN1448" s="34" t="e">
        <f t="shared" ref="BN1448" si="6224">IF(BK1448&lt;&gt;BK1449,MMULT(MINVERSE(BK1448:BL1449),BM1448:BM1449)," ")</f>
        <v>#NUM!</v>
      </c>
      <c r="BO1448" s="34" t="str">
        <f t="shared" ref="BO1448" si="6225">IFERROR(IF(BN1448-VLOOKUP(BK$38,$A$2:$N$12,14,FALSE)&lt;0,BN1448-VLOOKUP(BK$38,$A$2:$N$12,14,FALSE)," ")," ")</f>
        <v xml:space="preserve"> </v>
      </c>
      <c r="BP1448" s="34" t="str">
        <f t="shared" ref="BP1448" si="6226">IFERROR(IF(BN1448-VLOOKUP(BK$38,$A$2:$N$12,14,FALSE)&gt;0,BN1448-VLOOKUP(BK$38,$A$2:$N$12,14,FALSE)," ")," ")</f>
        <v xml:space="preserve"> </v>
      </c>
      <c r="BQ1448" s="34">
        <f t="shared" ref="BQ1448" si="6227">$M$10</f>
        <v>0</v>
      </c>
      <c r="BR1448" s="34">
        <v>-1</v>
      </c>
      <c r="BS1448" s="34">
        <f t="shared" ref="BS1448" si="6228">-SUMPRODUCT($M$2:$M$9,$N$2:$N$9)-SUMPRODUCT($M$11:$M$12,$N$11:$N$12)</f>
        <v>-120000</v>
      </c>
      <c r="BT1448" s="34" t="e">
        <f t="shared" ref="BT1448" si="6229">IF(BQ1448&lt;&gt;BQ1449,MMULT(MINVERSE(BQ1448:BR1449),BS1448:BS1449)," ")</f>
        <v>#NUM!</v>
      </c>
      <c r="BU1448" s="34" t="str">
        <f t="shared" ref="BU1448" si="6230">IFERROR(IF(BT1448-VLOOKUP(BQ$38,$A$2:$N$12,14,FALSE)&lt;0,BT1448-VLOOKUP(BQ$38,$A$2:$N$12,14,FALSE)," ")," ")</f>
        <v xml:space="preserve"> </v>
      </c>
      <c r="BV1448" s="34" t="str">
        <f t="shared" ref="BV1448" si="6231">IFERROR(IF(BT1448-VLOOKUP(BQ$38,$A$2:$N$12,14,FALSE)&gt;0,BT1448-VLOOKUP(BQ$38,$A$2:$N$12,14,FALSE)," ")," ")</f>
        <v xml:space="preserve"> </v>
      </c>
      <c r="BW1448" s="34">
        <f t="shared" ref="BW1448" si="6232">$M$11</f>
        <v>0</v>
      </c>
      <c r="BX1448" s="34">
        <v>-1</v>
      </c>
      <c r="BY1448" s="34">
        <f t="shared" ref="BY1448" si="6233">-SUMPRODUCT($M$2:$M$10,$N$2:$N$10)-SUMPRODUCT($M$12,$N$12)</f>
        <v>-120000</v>
      </c>
      <c r="BZ1448" s="34" t="e">
        <f t="shared" ref="BZ1448" si="6234">IF(BW1448&lt;&gt;BW1449,MMULT(MINVERSE(BW1448:BX1449),BY1448:BY1449)," ")</f>
        <v>#NUM!</v>
      </c>
      <c r="CA1448" s="34" t="str">
        <f t="shared" ref="CA1448" si="6235">IFERROR(IF(BZ1448-VLOOKUP(BW$38,$A$2:$N$12,14,FALSE)&lt;0,BZ1448-VLOOKUP(BW$38,$A$2:$N$12,14,FALSE)," ")," ")</f>
        <v xml:space="preserve"> </v>
      </c>
      <c r="CB1448" s="34" t="str">
        <f t="shared" ref="CB1448" si="6236">IFERROR(IF(BZ1448-VLOOKUP(BW$38,$A$2:$N$12,14,FALSE)&gt;0,BZ1448-VLOOKUP(BW$38,$A$2:$N$12,14,FALSE)," ")," ")</f>
        <v xml:space="preserve"> </v>
      </c>
      <c r="CC1448" s="34">
        <f t="shared" ref="CC1448" si="6237">$M$12</f>
        <v>0</v>
      </c>
      <c r="CD1448" s="34">
        <v>-1</v>
      </c>
      <c r="CE1448" s="34">
        <f t="shared" ref="CE1448" si="6238">-SUMPRODUCT($M$2:$M$11,$N$2:$N$11)</f>
        <v>-120000</v>
      </c>
      <c r="CF1448" s="34" t="e">
        <f t="shared" ref="CF1448" si="6239">IF(CC1448&lt;&gt;CC1449,MMULT(MINVERSE(CC1448:CD1449),CE1448:CE1449)," ")</f>
        <v>#NUM!</v>
      </c>
      <c r="CG1448" s="34" t="str">
        <f t="shared" ref="CG1448" si="6240">IFERROR(IF(CF1448-VLOOKUP(CC$38,$A$2:$N$12,14,FALSE)&lt;0,CF1448-VLOOKUP(CC$38,$A$2:$N$12,14,FALSE)," ")," ")</f>
        <v xml:space="preserve"> </v>
      </c>
      <c r="CH1448" s="34" t="str">
        <f t="shared" ref="CH1448" si="6241">IFERROR(IF(CF1448-VLOOKUP(CC$38,$A$2:$N$12,14,FALSE)&gt;0,CF1448-VLOOKUP(CC$38,$A$2:$N$12,14,FALSE)," ")," ")</f>
        <v xml:space="preserve"> </v>
      </c>
      <c r="CI1448" s="8"/>
    </row>
    <row r="1449" spans="1:87" x14ac:dyDescent="0.2">
      <c r="A1449" s="8" t="str">
        <f>IF(AND(COUNTIF(W$3:W$13,A$16)&gt;0,A$16&lt;&gt;B1908),A$16,IFERROR(IF(MATCH(A$16,Z$3:Z$13,0)=7,A$16," ")," "))</f>
        <v xml:space="preserve"> </v>
      </c>
      <c r="B1449" s="8" t="str">
        <f>IF(A1449=" "," ",MAX(B1448:B1448)+1)</f>
        <v xml:space="preserve"> </v>
      </c>
      <c r="C1449" s="8" t="str">
        <f>IFERROR(INDEX(A1448:A1469,MATCH(SMALL(B1448:B1469,2),B1448:B1469,0),1)," ")</f>
        <v>C4</v>
      </c>
      <c r="D1449" s="8">
        <f t="shared" ref="D1449:D1458" si="6242">IFERROR(VLOOKUP($C1449,$A$15:$O$36,2,FALSE)," ")</f>
        <v>1</v>
      </c>
      <c r="E1449" s="8">
        <f t="shared" ref="E1449:E1458" si="6243">IFERROR(VLOOKUP($C1449,$A$15:$O$36,3,FALSE)," ")</f>
        <v>0</v>
      </c>
      <c r="F1449" s="8">
        <f t="shared" ref="F1449:F1458" si="6244">IFERROR(VLOOKUP($C1449,$A$15:$O$36,4,FALSE)," ")</f>
        <v>1</v>
      </c>
      <c r="G1449" s="8">
        <f t="shared" ref="G1449:G1458" si="6245">IFERROR(VLOOKUP($C1449,$A$15:$O$36,5,FALSE)," ")</f>
        <v>0</v>
      </c>
      <c r="H1449" s="8">
        <f t="shared" ref="H1449:H1458" si="6246">IFERROR(VLOOKUP($C1449,$A$15:$O$36,6,FALSE)," ")</f>
        <v>0</v>
      </c>
      <c r="I1449" s="8">
        <f t="shared" ref="I1449:I1458" si="6247">IFERROR(VLOOKUP($C1449,$A$15:$O$36,7,FALSE)," ")</f>
        <v>0</v>
      </c>
      <c r="J1449" s="8">
        <f t="shared" ref="J1449:J1458" si="6248">IFERROR(VLOOKUP($C1449,$A$15:$O$36,8,FALSE)," ")</f>
        <v>0</v>
      </c>
      <c r="K1449" s="8">
        <f t="shared" ref="K1449:K1458" si="6249">IFERROR(VLOOKUP($C1449,$A$15:$O$36,9,FALSE)," ")</f>
        <v>0</v>
      </c>
      <c r="L1449" s="8">
        <f t="shared" ref="L1449:L1458" si="6250">IFERROR(VLOOKUP($C1449,$A$15:$O$36,10,FALSE)," ")</f>
        <v>0</v>
      </c>
      <c r="M1449" s="8">
        <f t="shared" ref="M1449:M1458" si="6251">IFERROR(VLOOKUP($C1449,$A$15:$O$36,11,FALSE)," ")</f>
        <v>0</v>
      </c>
      <c r="N1449" s="8">
        <f t="shared" ref="N1449:N1458" si="6252">IFERROR(VLOOKUP($C1449,$A$15:$O$36,12,FALSE)," ")</f>
        <v>0</v>
      </c>
      <c r="O1449" s="8">
        <f t="shared" ref="O1449:O1458" si="6253">IFERROR(VLOOKUP($C1449,$A$15:$O$36,15,FALSE)," ")</f>
        <v>400</v>
      </c>
      <c r="P1449" s="8" t="e">
        <v>#NUM!</v>
      </c>
      <c r="Q1449" s="8" t="e">
        <f t="shared" ref="Q1449" si="6254">IF(COUNTIF(P1448:P1458,"&lt;"&amp;-0.001)=0,IF(ABS(P1449)&lt;0.001,0,P1449)," ")</f>
        <v>#NUM!</v>
      </c>
      <c r="R1449" s="8"/>
      <c r="S1449" s="8"/>
      <c r="U1449" s="34" t="e">
        <f t="shared" ref="U1449" si="6255">$Q1448</f>
        <v>#NUM!</v>
      </c>
      <c r="V1449" s="34">
        <v>-1</v>
      </c>
      <c r="W1449" s="34" t="e">
        <f t="shared" ref="W1449" si="6256">-SUMPRODUCT($Q1449:$Q1458,$N$3:$N$12)</f>
        <v>#NUM!</v>
      </c>
      <c r="X1449" s="34"/>
      <c r="Y1449" s="34"/>
      <c r="Z1449" s="34"/>
      <c r="AA1449" s="34" t="e">
        <f t="shared" ref="AA1449" si="6257">$Q1449</f>
        <v>#NUM!</v>
      </c>
      <c r="AB1449" s="34">
        <v>-1</v>
      </c>
      <c r="AC1449" s="34" t="e">
        <f t="shared" ref="AC1449" si="6258">-SUMPRODUCT($Q1448:$Q1448,$N$2:$N$2)-SUMPRODUCT($Q1450:$Q1458,$N$4:$N$12)</f>
        <v>#NUM!</v>
      </c>
      <c r="AD1449" s="34"/>
      <c r="AE1449" s="34"/>
      <c r="AF1449" s="34"/>
      <c r="AG1449" s="34" t="e">
        <f t="shared" ref="AG1449" si="6259">$Q1450</f>
        <v>#NUM!</v>
      </c>
      <c r="AH1449" s="34">
        <v>-1</v>
      </c>
      <c r="AI1449" s="34" t="e">
        <f t="shared" ref="AI1449" si="6260">-SUMPRODUCT($Q1448:$Q1449,$N$2:$N$3)-SUMPRODUCT($Q1451:$Q1458,$N$5:$N$12)</f>
        <v>#NUM!</v>
      </c>
      <c r="AJ1449" s="34"/>
      <c r="AK1449" s="34"/>
      <c r="AL1449" s="34"/>
      <c r="AM1449" s="34" t="e">
        <f t="shared" ref="AM1449" si="6261">$Q1451</f>
        <v>#NUM!</v>
      </c>
      <c r="AN1449" s="34">
        <v>-1</v>
      </c>
      <c r="AO1449" s="34" t="e">
        <f t="shared" ref="AO1449" si="6262">-SUMPRODUCT($Q1448:$Q1450,$N$2:$N$4)-SUMPRODUCT($Q1452:$Q1458,$N$6:$N$12)</f>
        <v>#NUM!</v>
      </c>
      <c r="AP1449" s="34"/>
      <c r="AQ1449" s="34"/>
      <c r="AR1449" s="34"/>
      <c r="AS1449" s="34" t="e">
        <f t="shared" ref="AS1449" si="6263">$Q1452</f>
        <v>#NUM!</v>
      </c>
      <c r="AT1449" s="34">
        <v>-1</v>
      </c>
      <c r="AU1449" s="34" t="e">
        <f t="shared" ref="AU1449" si="6264">-SUMPRODUCT($Q1448:$Q1451,$N$2:$N$5)-SUMPRODUCT($Q1453:$Q1458,$N$7:$N$12)</f>
        <v>#NUM!</v>
      </c>
      <c r="AV1449" s="34"/>
      <c r="AW1449" s="34"/>
      <c r="AX1449" s="34"/>
      <c r="AY1449" s="34" t="e">
        <f t="shared" ref="AY1449" si="6265">$Q1453</f>
        <v>#NUM!</v>
      </c>
      <c r="AZ1449" s="34">
        <v>-1</v>
      </c>
      <c r="BA1449" s="34" t="e">
        <f t="shared" ref="BA1449" si="6266">-SUMPRODUCT($Q1448:$Q1452,$N$2:$N$6)-SUMPRODUCT($Q1454:$Q1458,$N$8:$N$12)</f>
        <v>#NUM!</v>
      </c>
      <c r="BB1449" s="34"/>
      <c r="BC1449" s="34"/>
      <c r="BD1449" s="34"/>
      <c r="BE1449" s="34" t="e">
        <f t="shared" ref="BE1449" si="6267">$Q1454</f>
        <v>#NUM!</v>
      </c>
      <c r="BF1449" s="34">
        <v>-1</v>
      </c>
      <c r="BG1449" s="34" t="e">
        <f t="shared" ref="BG1449" si="6268">-SUMPRODUCT($Q1448:$Q1453,$N$2:$N$7)-SUMPRODUCT($Q1455:$Q1458,$N$9:$N$12)</f>
        <v>#NUM!</v>
      </c>
      <c r="BH1449" s="34"/>
      <c r="BI1449" s="34"/>
      <c r="BJ1449" s="34"/>
      <c r="BK1449" s="34" t="e">
        <f t="shared" ref="BK1449" si="6269">$Q1455</f>
        <v>#NUM!</v>
      </c>
      <c r="BL1449" s="34">
        <v>-1</v>
      </c>
      <c r="BM1449" s="34" t="e">
        <f t="shared" ref="BM1449" si="6270">-SUMPRODUCT($Q1448:$Q1454,$N$2:$N$8)-SUMPRODUCT($Q1456:$Q1458,$N$10:$N$12)</f>
        <v>#NUM!</v>
      </c>
      <c r="BN1449" s="34"/>
      <c r="BO1449" s="34"/>
      <c r="BP1449" s="34"/>
      <c r="BQ1449" s="34" t="e">
        <f t="shared" ref="BQ1449" si="6271">$Q1456</f>
        <v>#NUM!</v>
      </c>
      <c r="BR1449" s="34">
        <v>-1</v>
      </c>
      <c r="BS1449" s="34" t="e">
        <f t="shared" ref="BS1449" si="6272">-SUMPRODUCT($Q1448:$Q1455,$N$2:$N$9)-SUMPRODUCT($Q1457:$Q1458,$N$11:$N$12)</f>
        <v>#NUM!</v>
      </c>
      <c r="BT1449" s="34"/>
      <c r="BU1449" s="34"/>
      <c r="BV1449" s="34"/>
      <c r="BW1449" s="34" t="e">
        <f t="shared" ref="BW1449" si="6273">$Q1457</f>
        <v>#NUM!</v>
      </c>
      <c r="BX1449" s="34">
        <v>-1</v>
      </c>
      <c r="BY1449" s="34" t="e">
        <f t="shared" ref="BY1449" si="6274">-SUMPRODUCT($Q1448:$Q1456,$N$2:$N$10)-SUMPRODUCT($Q1458,$N$12)</f>
        <v>#NUM!</v>
      </c>
      <c r="BZ1449" s="34"/>
      <c r="CA1449" s="34"/>
      <c r="CB1449" s="34"/>
      <c r="CC1449" s="34" t="e">
        <f t="shared" ref="CC1449" si="6275">$Q1458</f>
        <v>#NUM!</v>
      </c>
      <c r="CD1449" s="34">
        <v>-1</v>
      </c>
      <c r="CE1449" s="34" t="e">
        <f t="shared" ref="CE1449" si="6276">-SUMPRODUCT($Q1448:$Q1457,$N$2:$N$11)</f>
        <v>#NUM!</v>
      </c>
      <c r="CF1449" s="34"/>
      <c r="CG1449" s="34"/>
      <c r="CH1449" s="34"/>
      <c r="CI1449" s="8"/>
    </row>
    <row r="1450" spans="1:87" x14ac:dyDescent="0.2">
      <c r="A1450" s="8" t="str">
        <f>IF(AND(COUNTIF(W$3:W$13,A$17)&gt;0,A$17&lt;&gt;B1308),A$17,IFERROR(IF(MATCH(A$17,Z$3:Z$13,0)=7,A$17," ")," "))</f>
        <v>C3</v>
      </c>
      <c r="B1450" s="8">
        <f>IF(A1450=" "," ",MAX(B1448:B1449)+1)</f>
        <v>1</v>
      </c>
      <c r="C1450" s="8" t="str">
        <f>IFERROR(INDEX(A1448:A1469,MATCH(SMALL(B1448:B1469,3),B1448:B1469,0),1)," ")</f>
        <v>C9</v>
      </c>
      <c r="D1450" s="8">
        <f t="shared" si="6242"/>
        <v>0</v>
      </c>
      <c r="E1450" s="8">
        <f t="shared" si="6243"/>
        <v>0</v>
      </c>
      <c r="F1450" s="8">
        <f t="shared" si="6244"/>
        <v>0</v>
      </c>
      <c r="G1450" s="8">
        <f t="shared" si="6245"/>
        <v>0</v>
      </c>
      <c r="H1450" s="8">
        <f t="shared" si="6246"/>
        <v>0</v>
      </c>
      <c r="I1450" s="8">
        <f t="shared" si="6247"/>
        <v>0</v>
      </c>
      <c r="J1450" s="8">
        <f t="shared" si="6248"/>
        <v>0</v>
      </c>
      <c r="K1450" s="8">
        <f t="shared" si="6249"/>
        <v>0</v>
      </c>
      <c r="L1450" s="8">
        <f t="shared" si="6250"/>
        <v>0</v>
      </c>
      <c r="M1450" s="8">
        <f t="shared" si="6251"/>
        <v>0</v>
      </c>
      <c r="N1450" s="8">
        <f t="shared" si="6252"/>
        <v>0</v>
      </c>
      <c r="O1450" s="8">
        <f t="shared" si="6253"/>
        <v>0</v>
      </c>
      <c r="P1450" s="8" t="e">
        <v>#NUM!</v>
      </c>
      <c r="Q1450" s="8" t="e">
        <f t="shared" ref="Q1450" si="6277">IF(COUNTIF(P1448:P1458,"&lt;"&amp;-0.001)=0,IF(ABS(P1450)&lt;0.001,0,P1450)," ")</f>
        <v>#NUM!</v>
      </c>
      <c r="R1450" s="8"/>
      <c r="S1450" s="8"/>
      <c r="U1450" s="34"/>
      <c r="V1450" s="34"/>
      <c r="W1450" s="34"/>
      <c r="X1450" s="34"/>
      <c r="Y1450" s="34"/>
      <c r="Z1450" s="34"/>
      <c r="AA1450" s="34"/>
      <c r="AB1450" s="34"/>
      <c r="AC1450" s="34"/>
      <c r="AD1450" s="34"/>
      <c r="AE1450" s="34"/>
      <c r="AF1450" s="34"/>
      <c r="AG1450" s="34"/>
      <c r="AH1450" s="34"/>
      <c r="AI1450" s="34"/>
      <c r="AJ1450" s="34"/>
      <c r="AK1450" s="34"/>
      <c r="AL1450" s="34"/>
      <c r="AM1450" s="34"/>
      <c r="AN1450" s="34"/>
      <c r="AO1450" s="34"/>
      <c r="AP1450" s="34"/>
      <c r="AQ1450" s="34"/>
      <c r="AR1450" s="34"/>
      <c r="AS1450" s="34"/>
      <c r="AT1450" s="34"/>
      <c r="AU1450" s="34"/>
      <c r="AV1450" s="34"/>
      <c r="AW1450" s="34"/>
      <c r="AX1450" s="34"/>
      <c r="AY1450" s="34"/>
      <c r="AZ1450" s="34"/>
      <c r="BA1450" s="34"/>
      <c r="BB1450" s="34"/>
      <c r="BC1450" s="34"/>
      <c r="BD1450" s="34"/>
      <c r="BE1450" s="34"/>
      <c r="BF1450" s="34"/>
      <c r="BG1450" s="34"/>
      <c r="BH1450" s="34"/>
      <c r="BI1450" s="34"/>
      <c r="BJ1450" s="34"/>
      <c r="BK1450" s="34"/>
      <c r="BL1450" s="34"/>
      <c r="BM1450" s="34"/>
      <c r="BN1450" s="34"/>
      <c r="BO1450" s="34"/>
      <c r="BP1450" s="34"/>
      <c r="BQ1450" s="34"/>
      <c r="BR1450" s="34"/>
      <c r="BS1450" s="34"/>
      <c r="BT1450" s="34"/>
      <c r="BU1450" s="34"/>
      <c r="BV1450" s="34"/>
      <c r="BW1450" s="34"/>
      <c r="BX1450" s="34"/>
      <c r="BY1450" s="34"/>
      <c r="BZ1450" s="34"/>
      <c r="CA1450" s="34"/>
      <c r="CB1450" s="34"/>
      <c r="CC1450" s="34"/>
      <c r="CD1450" s="34"/>
      <c r="CE1450" s="34"/>
      <c r="CF1450" s="34"/>
      <c r="CG1450" s="34"/>
      <c r="CH1450" s="34"/>
      <c r="CI1450" s="8"/>
    </row>
    <row r="1451" spans="1:87" x14ac:dyDescent="0.2">
      <c r="A1451" s="8" t="str">
        <f>IF(AND(COUNTIF(W$3:W$13,A$18)&gt;0,A$18&lt;&gt;B1308),A$18,IFERROR(IF(MATCH(A$18,Z$3:Z$13,0)=7,A$18," ")," "))</f>
        <v>C4</v>
      </c>
      <c r="B1451" s="8">
        <f>IF(A1451=" "," ",MAX(B1448:B1450)+1)</f>
        <v>2</v>
      </c>
      <c r="C1451" s="8" t="str">
        <f>IFERROR(INDEX(A1448:A1469,MATCH(SMALL(B1448:B1469,4),B1448:B1469,0),1)," ")</f>
        <v>C13</v>
      </c>
      <c r="D1451" s="8">
        <f t="shared" si="6242"/>
        <v>0</v>
      </c>
      <c r="E1451" s="8">
        <f t="shared" si="6243"/>
        <v>1</v>
      </c>
      <c r="F1451" s="8">
        <f t="shared" si="6244"/>
        <v>0</v>
      </c>
      <c r="G1451" s="8">
        <f t="shared" si="6245"/>
        <v>0</v>
      </c>
      <c r="H1451" s="8">
        <f t="shared" si="6246"/>
        <v>0</v>
      </c>
      <c r="I1451" s="8">
        <f t="shared" si="6247"/>
        <v>0</v>
      </c>
      <c r="J1451" s="8">
        <f t="shared" si="6248"/>
        <v>0</v>
      </c>
      <c r="K1451" s="8">
        <f t="shared" si="6249"/>
        <v>0</v>
      </c>
      <c r="L1451" s="8">
        <f t="shared" si="6250"/>
        <v>0</v>
      </c>
      <c r="M1451" s="8">
        <f t="shared" si="6251"/>
        <v>0</v>
      </c>
      <c r="N1451" s="8">
        <f t="shared" si="6252"/>
        <v>0</v>
      </c>
      <c r="O1451" s="8">
        <f t="shared" si="6253"/>
        <v>0</v>
      </c>
      <c r="P1451" s="8" t="e">
        <v>#NUM!</v>
      </c>
      <c r="Q1451" s="8" t="e">
        <f t="shared" ref="Q1451" si="6278">IF(COUNTIF(P1448:P1458,"&lt;"&amp;-0.001)=0,IF(ABS(P1451)&lt;0.001,0,P1451)," ")</f>
        <v>#NUM!</v>
      </c>
      <c r="R1451" s="8"/>
      <c r="S1451" s="8"/>
      <c r="U1451" s="34"/>
      <c r="V1451" s="34"/>
      <c r="W1451" s="34"/>
      <c r="X1451" s="34"/>
      <c r="Y1451" s="34"/>
      <c r="Z1451" s="34"/>
      <c r="AA1451" s="34"/>
      <c r="AB1451" s="34"/>
      <c r="AC1451" s="34"/>
      <c r="AD1451" s="34"/>
      <c r="AE1451" s="34"/>
      <c r="AF1451" s="34"/>
      <c r="AG1451" s="34"/>
      <c r="AH1451" s="34"/>
      <c r="AI1451" s="34"/>
      <c r="AJ1451" s="34"/>
      <c r="AK1451" s="34"/>
      <c r="AL1451" s="34"/>
      <c r="AM1451" s="34"/>
      <c r="AN1451" s="34"/>
      <c r="AO1451" s="34"/>
      <c r="AP1451" s="34"/>
      <c r="AQ1451" s="34"/>
      <c r="AR1451" s="34"/>
      <c r="AS1451" s="34"/>
      <c r="AT1451" s="34"/>
      <c r="AU1451" s="34"/>
      <c r="AV1451" s="34"/>
      <c r="AW1451" s="34"/>
      <c r="AX1451" s="34"/>
      <c r="AY1451" s="34"/>
      <c r="AZ1451" s="34"/>
      <c r="BA1451" s="34"/>
      <c r="BB1451" s="34"/>
      <c r="BC1451" s="34"/>
      <c r="BD1451" s="34"/>
      <c r="BE1451" s="34"/>
      <c r="BF1451" s="34"/>
      <c r="BG1451" s="34"/>
      <c r="BH1451" s="34"/>
      <c r="BI1451" s="34"/>
      <c r="BJ1451" s="34"/>
      <c r="BK1451" s="34"/>
      <c r="BL1451" s="34"/>
      <c r="BM1451" s="34"/>
      <c r="BN1451" s="34"/>
      <c r="BO1451" s="34"/>
      <c r="BP1451" s="34"/>
      <c r="BQ1451" s="34"/>
      <c r="BR1451" s="34"/>
      <c r="BS1451" s="34"/>
      <c r="BT1451" s="34"/>
      <c r="BU1451" s="34"/>
      <c r="BV1451" s="34"/>
      <c r="BW1451" s="34"/>
      <c r="BX1451" s="34"/>
      <c r="BY1451" s="34"/>
      <c r="BZ1451" s="34"/>
      <c r="CA1451" s="34"/>
      <c r="CB1451" s="34"/>
      <c r="CC1451" s="34"/>
      <c r="CD1451" s="34"/>
      <c r="CE1451" s="34"/>
      <c r="CF1451" s="34"/>
      <c r="CG1451" s="34"/>
      <c r="CH1451" s="34"/>
      <c r="CI1451" s="8"/>
    </row>
    <row r="1452" spans="1:87" x14ac:dyDescent="0.2">
      <c r="A1452" s="8" t="str">
        <f>IF(AND(COUNTIF(W$3:W$13,A$19)&gt;0,A$19&lt;&gt;B1308),A$19,IFERROR(IF(MATCH(A$19,Z$3:Z$13,0)=7,A$19," ")," "))</f>
        <v xml:space="preserve"> </v>
      </c>
      <c r="B1452" s="8" t="str">
        <f>IF(A1452=" "," ",MAX(B1448:B1451)+1)</f>
        <v xml:space="preserve"> </v>
      </c>
      <c r="C1452" s="8" t="str">
        <f>IFERROR(INDEX(A1448:A1469,MATCH(SMALL(B1448:B1469,5),B1448:B1469,0),1)," ")</f>
        <v>C15</v>
      </c>
      <c r="D1452" s="8">
        <f t="shared" si="6242"/>
        <v>0</v>
      </c>
      <c r="E1452" s="8">
        <f t="shared" si="6243"/>
        <v>0</v>
      </c>
      <c r="F1452" s="8">
        <f t="shared" si="6244"/>
        <v>0</v>
      </c>
      <c r="G1452" s="8">
        <f t="shared" si="6245"/>
        <v>1</v>
      </c>
      <c r="H1452" s="8">
        <f t="shared" si="6246"/>
        <v>0</v>
      </c>
      <c r="I1452" s="8">
        <f t="shared" si="6247"/>
        <v>0</v>
      </c>
      <c r="J1452" s="8">
        <f t="shared" si="6248"/>
        <v>0</v>
      </c>
      <c r="K1452" s="8">
        <f t="shared" si="6249"/>
        <v>0</v>
      </c>
      <c r="L1452" s="8">
        <f t="shared" si="6250"/>
        <v>0</v>
      </c>
      <c r="M1452" s="8">
        <f t="shared" si="6251"/>
        <v>0</v>
      </c>
      <c r="N1452" s="8">
        <f t="shared" si="6252"/>
        <v>0</v>
      </c>
      <c r="O1452" s="8">
        <f t="shared" si="6253"/>
        <v>0</v>
      </c>
      <c r="P1452" s="8" t="e">
        <v>#NUM!</v>
      </c>
      <c r="Q1452" s="8" t="e">
        <f t="shared" ref="Q1452" si="6279">IF(COUNTIF(P1448:P1458,"&lt;"&amp;-0.001)=0,IF(ABS(P1452)&lt;0.001,0,P1452)," ")</f>
        <v>#NUM!</v>
      </c>
      <c r="R1452" s="8"/>
      <c r="S1452" s="8"/>
      <c r="U1452" s="34"/>
      <c r="V1452" s="34"/>
      <c r="W1452" s="34"/>
      <c r="X1452" s="34"/>
      <c r="Y1452" s="34"/>
      <c r="Z1452" s="34"/>
      <c r="AA1452" s="34"/>
      <c r="AB1452" s="34"/>
      <c r="AC1452" s="34"/>
      <c r="AD1452" s="34"/>
      <c r="AE1452" s="34"/>
      <c r="AF1452" s="34"/>
      <c r="AG1452" s="34"/>
      <c r="AH1452" s="34"/>
      <c r="AI1452" s="34"/>
      <c r="AJ1452" s="34"/>
      <c r="AK1452" s="34"/>
      <c r="AL1452" s="34"/>
      <c r="AM1452" s="34"/>
      <c r="AN1452" s="34"/>
      <c r="AO1452" s="34"/>
      <c r="AP1452" s="34"/>
      <c r="AQ1452" s="34"/>
      <c r="AR1452" s="34"/>
      <c r="AS1452" s="34"/>
      <c r="AT1452" s="34"/>
      <c r="AU1452" s="34"/>
      <c r="AV1452" s="34"/>
      <c r="AW1452" s="34"/>
      <c r="AX1452" s="34"/>
      <c r="AY1452" s="34"/>
      <c r="AZ1452" s="34"/>
      <c r="BA1452" s="34"/>
      <c r="BB1452" s="34"/>
      <c r="BC1452" s="34"/>
      <c r="BD1452" s="34"/>
      <c r="BE1452" s="34"/>
      <c r="BF1452" s="34"/>
      <c r="BG1452" s="34"/>
      <c r="BH1452" s="34"/>
      <c r="BI1452" s="34"/>
      <c r="BJ1452" s="34"/>
      <c r="BK1452" s="34"/>
      <c r="BL1452" s="34"/>
      <c r="BM1452" s="34"/>
      <c r="BN1452" s="34"/>
      <c r="BO1452" s="34"/>
      <c r="BP1452" s="34"/>
      <c r="BQ1452" s="34"/>
      <c r="BR1452" s="34"/>
      <c r="BS1452" s="34"/>
      <c r="BT1452" s="34"/>
      <c r="BU1452" s="34"/>
      <c r="BV1452" s="34"/>
      <c r="BW1452" s="34"/>
      <c r="BX1452" s="34"/>
      <c r="BY1452" s="34"/>
      <c r="BZ1452" s="34"/>
      <c r="CA1452" s="34"/>
      <c r="CB1452" s="34"/>
      <c r="CC1452" s="34"/>
      <c r="CD1452" s="34"/>
      <c r="CE1452" s="34"/>
      <c r="CF1452" s="34"/>
      <c r="CG1452" s="34"/>
      <c r="CH1452" s="34"/>
      <c r="CI1452" s="8"/>
    </row>
    <row r="1453" spans="1:87" x14ac:dyDescent="0.2">
      <c r="A1453" s="8" t="str">
        <f>IF(AND(COUNTIF(W$3:W$13,A$20)&gt;0,A$20&lt;&gt;B1308),A$20,IFERROR(IF(MATCH(A$20,Z$3:Z$13,0)=7,A$20," ")," "))</f>
        <v xml:space="preserve"> </v>
      </c>
      <c r="B1453" s="8" t="str">
        <f>IF(A1453=" "," ",MAX(B1448:B1452)+1)</f>
        <v xml:space="preserve"> </v>
      </c>
      <c r="C1453" s="8" t="str">
        <f>IFERROR(INDEX(A1448:A1469,MATCH(SMALL(B1448:B1469,6),B1448:B1469,0),1)," ")</f>
        <v>C16</v>
      </c>
      <c r="D1453" s="8">
        <f t="shared" si="6242"/>
        <v>0</v>
      </c>
      <c r="E1453" s="8">
        <f t="shared" si="6243"/>
        <v>0</v>
      </c>
      <c r="F1453" s="8">
        <f t="shared" si="6244"/>
        <v>0</v>
      </c>
      <c r="G1453" s="8">
        <f t="shared" si="6245"/>
        <v>0</v>
      </c>
      <c r="H1453" s="8">
        <f t="shared" si="6246"/>
        <v>1</v>
      </c>
      <c r="I1453" s="8">
        <f t="shared" si="6247"/>
        <v>0</v>
      </c>
      <c r="J1453" s="8">
        <f t="shared" si="6248"/>
        <v>0</v>
      </c>
      <c r="K1453" s="8">
        <f t="shared" si="6249"/>
        <v>0</v>
      </c>
      <c r="L1453" s="8">
        <f t="shared" si="6250"/>
        <v>0</v>
      </c>
      <c r="M1453" s="8">
        <f t="shared" si="6251"/>
        <v>0</v>
      </c>
      <c r="N1453" s="8">
        <f t="shared" si="6252"/>
        <v>0</v>
      </c>
      <c r="O1453" s="8">
        <f t="shared" si="6253"/>
        <v>0</v>
      </c>
      <c r="P1453" s="8" t="e">
        <v>#NUM!</v>
      </c>
      <c r="Q1453" s="8" t="e">
        <f t="shared" ref="Q1453" si="6280">IF(COUNTIF(P1448:P1458,"&lt;"&amp;-0.001)=0,IF(ABS(P1453)&lt;0.001,0,P1453)," ")</f>
        <v>#NUM!</v>
      </c>
      <c r="R1453" s="8"/>
      <c r="S1453" s="8"/>
      <c r="U1453" s="34"/>
      <c r="V1453" s="34"/>
      <c r="W1453" s="34"/>
      <c r="X1453" s="34"/>
      <c r="Y1453" s="34"/>
      <c r="Z1453" s="34"/>
      <c r="AA1453" s="34"/>
      <c r="AB1453" s="34"/>
      <c r="AC1453" s="34"/>
      <c r="AD1453" s="34"/>
      <c r="AE1453" s="34"/>
      <c r="AF1453" s="34"/>
      <c r="AG1453" s="34"/>
      <c r="AH1453" s="34"/>
      <c r="AI1453" s="34"/>
      <c r="AJ1453" s="34"/>
      <c r="AK1453" s="34"/>
      <c r="AL1453" s="34"/>
      <c r="AM1453" s="34"/>
      <c r="AN1453" s="34"/>
      <c r="AO1453" s="34"/>
      <c r="AP1453" s="34"/>
      <c r="AQ1453" s="34"/>
      <c r="AR1453" s="34"/>
      <c r="AS1453" s="34"/>
      <c r="AT1453" s="34"/>
      <c r="AU1453" s="34"/>
      <c r="AV1453" s="34"/>
      <c r="AW1453" s="34"/>
      <c r="AX1453" s="34"/>
      <c r="AY1453" s="34"/>
      <c r="AZ1453" s="34"/>
      <c r="BA1453" s="34"/>
      <c r="BB1453" s="34"/>
      <c r="BC1453" s="34"/>
      <c r="BD1453" s="34"/>
      <c r="BE1453" s="34"/>
      <c r="BF1453" s="34"/>
      <c r="BG1453" s="34"/>
      <c r="BH1453" s="34"/>
      <c r="BI1453" s="34"/>
      <c r="BJ1453" s="34"/>
      <c r="BK1453" s="34"/>
      <c r="BL1453" s="34"/>
      <c r="BM1453" s="34"/>
      <c r="BN1453" s="34"/>
      <c r="BO1453" s="34"/>
      <c r="BP1453" s="34"/>
      <c r="BQ1453" s="34"/>
      <c r="BR1453" s="34"/>
      <c r="BS1453" s="34"/>
      <c r="BT1453" s="34"/>
      <c r="BU1453" s="34"/>
      <c r="BV1453" s="34"/>
      <c r="BW1453" s="34"/>
      <c r="BX1453" s="34"/>
      <c r="BY1453" s="34"/>
      <c r="BZ1453" s="34"/>
      <c r="CA1453" s="34"/>
      <c r="CB1453" s="34"/>
      <c r="CC1453" s="34"/>
      <c r="CD1453" s="34"/>
      <c r="CE1453" s="34"/>
      <c r="CF1453" s="34"/>
      <c r="CG1453" s="34"/>
      <c r="CH1453" s="34"/>
      <c r="CI1453" s="8"/>
    </row>
    <row r="1454" spans="1:87" x14ac:dyDescent="0.2">
      <c r="A1454" s="8" t="str">
        <f>IF(AND(COUNTIF(W$3:W$13,A$21)&gt;0,A$21&lt;&gt;B1308),A$21,IFERROR(IF(MATCH(A$21,Z$3:Z$13,0)=7,A$21," ")," "))</f>
        <v xml:space="preserve"> </v>
      </c>
      <c r="B1454" s="8" t="str">
        <f>IF(A1454=" "," ",MAX(B1448:B1453)+1)</f>
        <v xml:space="preserve"> </v>
      </c>
      <c r="C1454" s="8" t="str">
        <f>IFERROR(INDEX(A1448:A1469,MATCH(SMALL(B1448:B1469,7),B1448:B1469,0),1)," ")</f>
        <v>C18</v>
      </c>
      <c r="D1454" s="8">
        <f t="shared" si="6242"/>
        <v>0</v>
      </c>
      <c r="E1454" s="8">
        <f t="shared" si="6243"/>
        <v>0</v>
      </c>
      <c r="F1454" s="8">
        <f t="shared" si="6244"/>
        <v>0</v>
      </c>
      <c r="G1454" s="8">
        <f t="shared" si="6245"/>
        <v>0</v>
      </c>
      <c r="H1454" s="8">
        <f t="shared" si="6246"/>
        <v>0</v>
      </c>
      <c r="I1454" s="8">
        <f t="shared" si="6247"/>
        <v>0</v>
      </c>
      <c r="J1454" s="8">
        <f t="shared" si="6248"/>
        <v>1</v>
      </c>
      <c r="K1454" s="8">
        <f t="shared" si="6249"/>
        <v>0</v>
      </c>
      <c r="L1454" s="8">
        <f t="shared" si="6250"/>
        <v>0</v>
      </c>
      <c r="M1454" s="8">
        <f t="shared" si="6251"/>
        <v>0</v>
      </c>
      <c r="N1454" s="8">
        <f t="shared" si="6252"/>
        <v>0</v>
      </c>
      <c r="O1454" s="8">
        <f t="shared" si="6253"/>
        <v>0</v>
      </c>
      <c r="P1454" s="8" t="e">
        <v>#NUM!</v>
      </c>
      <c r="Q1454" s="8" t="e">
        <f t="shared" ref="Q1454" si="6281">IF(COUNTIF(P1448:P1458,"&lt;"&amp;-0.001)=0,IF(ABS(P1454)&lt;0.001,0,P1454)," ")</f>
        <v>#NUM!</v>
      </c>
      <c r="R1454" s="8"/>
      <c r="S1454" s="8"/>
      <c r="U1454" s="34"/>
      <c r="V1454" s="34"/>
      <c r="W1454" s="34"/>
      <c r="X1454" s="34"/>
      <c r="Y1454" s="34"/>
      <c r="Z1454" s="34"/>
      <c r="AA1454" s="34"/>
      <c r="AB1454" s="34"/>
      <c r="AC1454" s="34"/>
      <c r="AD1454" s="34"/>
      <c r="AE1454" s="34"/>
      <c r="AF1454" s="34"/>
      <c r="AG1454" s="34"/>
      <c r="AH1454" s="34"/>
      <c r="AI1454" s="34"/>
      <c r="AJ1454" s="34"/>
      <c r="AK1454" s="34"/>
      <c r="AL1454" s="34"/>
      <c r="AM1454" s="34"/>
      <c r="AN1454" s="34"/>
      <c r="AO1454" s="34"/>
      <c r="AP1454" s="34"/>
      <c r="AQ1454" s="34"/>
      <c r="AR1454" s="34"/>
      <c r="AS1454" s="34"/>
      <c r="AT1454" s="34"/>
      <c r="AU1454" s="34"/>
      <c r="AV1454" s="34"/>
      <c r="AW1454" s="34"/>
      <c r="AX1454" s="34"/>
      <c r="AY1454" s="34"/>
      <c r="AZ1454" s="34"/>
      <c r="BA1454" s="34"/>
      <c r="BB1454" s="34"/>
      <c r="BC1454" s="34"/>
      <c r="BD1454" s="34"/>
      <c r="BE1454" s="34"/>
      <c r="BF1454" s="34"/>
      <c r="BG1454" s="34"/>
      <c r="BH1454" s="34"/>
      <c r="BI1454" s="34"/>
      <c r="BJ1454" s="34"/>
      <c r="BK1454" s="34"/>
      <c r="BL1454" s="34"/>
      <c r="BM1454" s="34"/>
      <c r="BN1454" s="34"/>
      <c r="BO1454" s="34"/>
      <c r="BP1454" s="34"/>
      <c r="BQ1454" s="34"/>
      <c r="BR1454" s="34"/>
      <c r="BS1454" s="34"/>
      <c r="BT1454" s="34"/>
      <c r="BU1454" s="34"/>
      <c r="BV1454" s="34"/>
      <c r="BW1454" s="34"/>
      <c r="BX1454" s="34"/>
      <c r="BY1454" s="34"/>
      <c r="BZ1454" s="34"/>
      <c r="CA1454" s="34"/>
      <c r="CB1454" s="34"/>
      <c r="CC1454" s="34"/>
      <c r="CD1454" s="34"/>
      <c r="CE1454" s="34"/>
      <c r="CF1454" s="34"/>
      <c r="CG1454" s="34"/>
      <c r="CH1454" s="34"/>
      <c r="CI1454" s="8"/>
    </row>
    <row r="1455" spans="1:87" x14ac:dyDescent="0.2">
      <c r="A1455" s="8" t="str">
        <f>IF(AND(COUNTIF(W$3:W$13,A$22)&gt;0,A$22&lt;&gt;B1308),A$22,IFERROR(IF(MATCH(A$22,Z$3:Z$13,0)=7,A$22," ")," "))</f>
        <v xml:space="preserve"> </v>
      </c>
      <c r="B1455" s="8" t="str">
        <f>IF(A1455=" "," ",MAX(B1448:B1454)+1)</f>
        <v xml:space="preserve"> </v>
      </c>
      <c r="C1455" s="8" t="str">
        <f>IFERROR(INDEX(A1448:A1469,MATCH(SMALL(B1448:B1469,8),B1448:B1469,0),1)," ")</f>
        <v>C19</v>
      </c>
      <c r="D1455" s="8">
        <f t="shared" si="6242"/>
        <v>0</v>
      </c>
      <c r="E1455" s="8">
        <f t="shared" si="6243"/>
        <v>0</v>
      </c>
      <c r="F1455" s="8">
        <f t="shared" si="6244"/>
        <v>0</v>
      </c>
      <c r="G1455" s="8">
        <f t="shared" si="6245"/>
        <v>0</v>
      </c>
      <c r="H1455" s="8">
        <f t="shared" si="6246"/>
        <v>0</v>
      </c>
      <c r="I1455" s="8">
        <f t="shared" si="6247"/>
        <v>0</v>
      </c>
      <c r="J1455" s="8">
        <f t="shared" si="6248"/>
        <v>0</v>
      </c>
      <c r="K1455" s="8">
        <f t="shared" si="6249"/>
        <v>1</v>
      </c>
      <c r="L1455" s="8">
        <f t="shared" si="6250"/>
        <v>0</v>
      </c>
      <c r="M1455" s="8">
        <f t="shared" si="6251"/>
        <v>0</v>
      </c>
      <c r="N1455" s="8">
        <f t="shared" si="6252"/>
        <v>0</v>
      </c>
      <c r="O1455" s="8">
        <f t="shared" si="6253"/>
        <v>0</v>
      </c>
      <c r="P1455" s="8" t="e">
        <v>#NUM!</v>
      </c>
      <c r="Q1455" s="8" t="e">
        <f t="shared" ref="Q1455" si="6282">IF(COUNTIF(P1448:P1458,"&lt;"&amp;-0.001)=0,IF(ABS(P1455)&lt;0.001,0,P1455)," ")</f>
        <v>#NUM!</v>
      </c>
      <c r="R1455" s="8"/>
      <c r="S1455" s="8"/>
      <c r="U1455" s="34"/>
      <c r="V1455" s="34"/>
      <c r="W1455" s="34"/>
      <c r="X1455" s="34"/>
      <c r="Y1455" s="34"/>
      <c r="Z1455" s="34"/>
      <c r="AA1455" s="34"/>
      <c r="AB1455" s="34"/>
      <c r="AC1455" s="34"/>
      <c r="AD1455" s="34"/>
      <c r="AE1455" s="34"/>
      <c r="AF1455" s="34"/>
      <c r="AG1455" s="34"/>
      <c r="AH1455" s="34"/>
      <c r="AI1455" s="34"/>
      <c r="AJ1455" s="34"/>
      <c r="AK1455" s="34"/>
      <c r="AL1455" s="34"/>
      <c r="AM1455" s="34"/>
      <c r="AN1455" s="34"/>
      <c r="AO1455" s="34"/>
      <c r="AP1455" s="34"/>
      <c r="AQ1455" s="34"/>
      <c r="AR1455" s="34"/>
      <c r="AS1455" s="34"/>
      <c r="AT1455" s="34"/>
      <c r="AU1455" s="34"/>
      <c r="AV1455" s="34"/>
      <c r="AW1455" s="34"/>
      <c r="AX1455" s="34"/>
      <c r="AY1455" s="34"/>
      <c r="AZ1455" s="34"/>
      <c r="BA1455" s="34"/>
      <c r="BB1455" s="34"/>
      <c r="BC1455" s="34"/>
      <c r="BD1455" s="34"/>
      <c r="BE1455" s="34"/>
      <c r="BF1455" s="34"/>
      <c r="BG1455" s="34"/>
      <c r="BH1455" s="34"/>
      <c r="BI1455" s="34"/>
      <c r="BJ1455" s="34"/>
      <c r="BK1455" s="34"/>
      <c r="BL1455" s="34"/>
      <c r="BM1455" s="34"/>
      <c r="BN1455" s="34"/>
      <c r="BO1455" s="34"/>
      <c r="BP1455" s="34"/>
      <c r="BQ1455" s="34"/>
      <c r="BR1455" s="34"/>
      <c r="BS1455" s="34"/>
      <c r="BT1455" s="34"/>
      <c r="BU1455" s="34"/>
      <c r="BV1455" s="34"/>
      <c r="BW1455" s="34"/>
      <c r="BX1455" s="34"/>
      <c r="BY1455" s="34"/>
      <c r="BZ1455" s="34"/>
      <c r="CA1455" s="34"/>
      <c r="CB1455" s="34"/>
      <c r="CC1455" s="34"/>
      <c r="CD1455" s="34"/>
      <c r="CE1455" s="34"/>
      <c r="CF1455" s="34"/>
      <c r="CG1455" s="34"/>
      <c r="CH1455" s="34"/>
      <c r="CI1455" s="8"/>
    </row>
    <row r="1456" spans="1:87" x14ac:dyDescent="0.2">
      <c r="A1456" s="8" t="str">
        <f>IF(AND(COUNTIF(W$3:W$13,A$23)&gt;0,A$23&lt;&gt;B1308),A$23,IFERROR(IF(MATCH(A$23,Z$3:Z$13,0)=7,A$23," ")," "))</f>
        <v>C9</v>
      </c>
      <c r="B1456" s="8">
        <f>IF(A1456=" "," ",MAX(B1448:B1455)+1)</f>
        <v>3</v>
      </c>
      <c r="C1456" s="8" t="str">
        <f>IFERROR(INDEX(A1448:A1469,MATCH(SMALL(B1448:B1469,9),B1448:B1469,0),1)," ")</f>
        <v>C20</v>
      </c>
      <c r="D1456" s="8">
        <f t="shared" si="6242"/>
        <v>0</v>
      </c>
      <c r="E1456" s="8">
        <f t="shared" si="6243"/>
        <v>0</v>
      </c>
      <c r="F1456" s="8">
        <f t="shared" si="6244"/>
        <v>0</v>
      </c>
      <c r="G1456" s="8">
        <f t="shared" si="6245"/>
        <v>0</v>
      </c>
      <c r="H1456" s="8">
        <f t="shared" si="6246"/>
        <v>0</v>
      </c>
      <c r="I1456" s="8">
        <f t="shared" si="6247"/>
        <v>0</v>
      </c>
      <c r="J1456" s="8">
        <f t="shared" si="6248"/>
        <v>0</v>
      </c>
      <c r="K1456" s="8">
        <f t="shared" si="6249"/>
        <v>0</v>
      </c>
      <c r="L1456" s="8">
        <f t="shared" si="6250"/>
        <v>1</v>
      </c>
      <c r="M1456" s="8">
        <f t="shared" si="6251"/>
        <v>0</v>
      </c>
      <c r="N1456" s="8">
        <f t="shared" si="6252"/>
        <v>0</v>
      </c>
      <c r="O1456" s="8">
        <f t="shared" si="6253"/>
        <v>0</v>
      </c>
      <c r="P1456" s="6" t="e">
        <v>#NUM!</v>
      </c>
      <c r="Q1456" s="8" t="e">
        <f t="shared" ref="Q1456" si="6283">IF(COUNTIF(P1448:P1458,"&lt;"&amp;-0.001)=0,IF(ABS(P1456)&lt;0.001,0,P1456)," ")</f>
        <v>#NUM!</v>
      </c>
      <c r="R1456" s="8"/>
      <c r="S1456" s="8"/>
      <c r="U1456" s="34"/>
      <c r="V1456" s="34"/>
      <c r="W1456" s="34"/>
      <c r="X1456" s="34"/>
      <c r="Y1456" s="34"/>
      <c r="Z1456" s="34"/>
      <c r="AA1456" s="34"/>
      <c r="AB1456" s="34"/>
      <c r="AC1456" s="34"/>
      <c r="AD1456" s="34"/>
      <c r="AE1456" s="34"/>
      <c r="AF1456" s="34"/>
      <c r="AG1456" s="34"/>
      <c r="AH1456" s="34"/>
      <c r="AI1456" s="34"/>
      <c r="AJ1456" s="34"/>
      <c r="AK1456" s="34"/>
      <c r="AL1456" s="34"/>
      <c r="AM1456" s="34"/>
      <c r="AN1456" s="34"/>
      <c r="AO1456" s="34"/>
      <c r="AP1456" s="34"/>
      <c r="AQ1456" s="34"/>
      <c r="AR1456" s="34"/>
      <c r="AS1456" s="34"/>
      <c r="AT1456" s="34"/>
      <c r="AU1456" s="34"/>
      <c r="AV1456" s="34"/>
      <c r="AW1456" s="34"/>
      <c r="AX1456" s="34"/>
      <c r="AY1456" s="34"/>
      <c r="AZ1456" s="34"/>
      <c r="BA1456" s="34"/>
      <c r="BB1456" s="34"/>
      <c r="BC1456" s="34"/>
      <c r="BD1456" s="34"/>
      <c r="BE1456" s="34"/>
      <c r="BF1456" s="34"/>
      <c r="BG1456" s="34"/>
      <c r="BH1456" s="34"/>
      <c r="BI1456" s="34"/>
      <c r="BJ1456" s="34"/>
      <c r="BK1456" s="34"/>
      <c r="BL1456" s="34"/>
      <c r="BM1456" s="34"/>
      <c r="BN1456" s="34"/>
      <c r="BO1456" s="34"/>
      <c r="BP1456" s="34"/>
      <c r="BQ1456" s="34"/>
      <c r="BR1456" s="34"/>
      <c r="BS1456" s="34"/>
      <c r="BT1456" s="34"/>
      <c r="BU1456" s="34"/>
      <c r="BV1456" s="34"/>
      <c r="BW1456" s="34"/>
      <c r="BX1456" s="34"/>
      <c r="BY1456" s="34"/>
      <c r="BZ1456" s="34"/>
      <c r="CA1456" s="34"/>
      <c r="CB1456" s="34"/>
      <c r="CC1456" s="34"/>
      <c r="CD1456" s="34"/>
      <c r="CE1456" s="34"/>
      <c r="CF1456" s="34"/>
      <c r="CG1456" s="34"/>
      <c r="CH1456" s="34"/>
      <c r="CI1456" s="8"/>
    </row>
    <row r="1457" spans="1:87" x14ac:dyDescent="0.2">
      <c r="A1457" s="8" t="str">
        <f>IF(AND(COUNTIF(W$3:W$13,A$24)&gt;0,A$24&lt;&gt;B1308),A$24,IFERROR(IF(MATCH(A$24,Z$3:Z$13,0)=7,A$24," ")," "))</f>
        <v xml:space="preserve"> </v>
      </c>
      <c r="B1457" s="8" t="str">
        <f>IF(A1457=" "," ",MAX(B1448:B1456)+1)</f>
        <v xml:space="preserve"> </v>
      </c>
      <c r="C1457" s="8" t="str">
        <f>IFERROR(INDEX(A1448:A1469,MATCH(SMALL(B1448:B1469,10),B1448:B1469,0),1)," ")</f>
        <v>C21</v>
      </c>
      <c r="D1457" s="8">
        <f t="shared" si="6242"/>
        <v>0</v>
      </c>
      <c r="E1457" s="8">
        <f t="shared" si="6243"/>
        <v>0</v>
      </c>
      <c r="F1457" s="8">
        <f t="shared" si="6244"/>
        <v>0</v>
      </c>
      <c r="G1457" s="8">
        <f t="shared" si="6245"/>
        <v>0</v>
      </c>
      <c r="H1457" s="8">
        <f t="shared" si="6246"/>
        <v>0</v>
      </c>
      <c r="I1457" s="8">
        <f t="shared" si="6247"/>
        <v>0</v>
      </c>
      <c r="J1457" s="8">
        <f t="shared" si="6248"/>
        <v>0</v>
      </c>
      <c r="K1457" s="8">
        <f t="shared" si="6249"/>
        <v>0</v>
      </c>
      <c r="L1457" s="8">
        <f t="shared" si="6250"/>
        <v>0</v>
      </c>
      <c r="M1457" s="8">
        <f t="shared" si="6251"/>
        <v>1</v>
      </c>
      <c r="N1457" s="8">
        <f t="shared" si="6252"/>
        <v>0</v>
      </c>
      <c r="O1457" s="8">
        <f t="shared" si="6253"/>
        <v>0</v>
      </c>
      <c r="P1457" s="8" t="e">
        <v>#NUM!</v>
      </c>
      <c r="Q1457" s="8" t="e">
        <f t="shared" ref="Q1457" si="6284">IF(COUNTIF(P1448:P1458,"&lt;"&amp;-0.001)=0,IF(ABS(P1457)&lt;0.001,0,P1457)," ")</f>
        <v>#NUM!</v>
      </c>
      <c r="R1457" s="8"/>
      <c r="S1457" s="8"/>
      <c r="U1457" s="34"/>
      <c r="V1457" s="34"/>
      <c r="W1457" s="34"/>
      <c r="X1457" s="34"/>
      <c r="Y1457" s="34"/>
      <c r="Z1457" s="34"/>
      <c r="AA1457" s="34"/>
      <c r="AB1457" s="34"/>
      <c r="AC1457" s="34"/>
      <c r="AD1457" s="34"/>
      <c r="AE1457" s="34"/>
      <c r="AF1457" s="34"/>
      <c r="AG1457" s="34"/>
      <c r="AH1457" s="34"/>
      <c r="AI1457" s="34"/>
      <c r="AJ1457" s="34"/>
      <c r="AK1457" s="34"/>
      <c r="AL1457" s="34"/>
      <c r="AM1457" s="34"/>
      <c r="AN1457" s="34"/>
      <c r="AO1457" s="34"/>
      <c r="AP1457" s="34"/>
      <c r="AQ1457" s="34"/>
      <c r="AR1457" s="34"/>
      <c r="AS1457" s="34"/>
      <c r="AT1457" s="34"/>
      <c r="AU1457" s="34"/>
      <c r="AV1457" s="34"/>
      <c r="AW1457" s="34"/>
      <c r="AX1457" s="34"/>
      <c r="AY1457" s="34"/>
      <c r="AZ1457" s="34"/>
      <c r="BA1457" s="34"/>
      <c r="BB1457" s="34"/>
      <c r="BC1457" s="34"/>
      <c r="BD1457" s="34"/>
      <c r="BE1457" s="34"/>
      <c r="BF1457" s="34"/>
      <c r="BG1457" s="34"/>
      <c r="BH1457" s="34"/>
      <c r="BI1457" s="34"/>
      <c r="BJ1457" s="34"/>
      <c r="BK1457" s="34"/>
      <c r="BL1457" s="34"/>
      <c r="BM1457" s="34"/>
      <c r="BN1457" s="34"/>
      <c r="BO1457" s="34"/>
      <c r="BP1457" s="34"/>
      <c r="BQ1457" s="34"/>
      <c r="BR1457" s="34"/>
      <c r="BS1457" s="34"/>
      <c r="BT1457" s="34"/>
      <c r="BU1457" s="34"/>
      <c r="BV1457" s="34"/>
      <c r="BW1457" s="34"/>
      <c r="BX1457" s="34"/>
      <c r="BY1457" s="34"/>
      <c r="BZ1457" s="34"/>
      <c r="CA1457" s="34"/>
      <c r="CB1457" s="34"/>
      <c r="CC1457" s="34"/>
      <c r="CD1457" s="34"/>
      <c r="CE1457" s="34"/>
      <c r="CF1457" s="34"/>
      <c r="CG1457" s="34"/>
      <c r="CH1457" s="34"/>
      <c r="CI1457" s="8"/>
    </row>
    <row r="1458" spans="1:87" x14ac:dyDescent="0.2">
      <c r="A1458" s="8" t="str">
        <f>IF(AND(COUNTIF(W$3:W$13,A$25)&gt;0,A$25&lt;&gt;B1308),A$25,IFERROR(IF(MATCH(A$25,Z$3:Z$13,0)=7,A$25," ")," "))</f>
        <v xml:space="preserve"> </v>
      </c>
      <c r="B1458" s="8" t="str">
        <f>IF(A1458=" "," ",MAX(B1448:B1457)+1)</f>
        <v xml:space="preserve"> </v>
      </c>
      <c r="C1458" s="8" t="str">
        <f>IFERROR(INDEX(A1448:A1469,MATCH(SMALL(B1448:B1469,11),B1448:B1469,0),1)," ")</f>
        <v>C22</v>
      </c>
      <c r="D1458" s="8">
        <f t="shared" si="6242"/>
        <v>0</v>
      </c>
      <c r="E1458" s="8">
        <f t="shared" si="6243"/>
        <v>0</v>
      </c>
      <c r="F1458" s="8">
        <f t="shared" si="6244"/>
        <v>0</v>
      </c>
      <c r="G1458" s="8">
        <f t="shared" si="6245"/>
        <v>0</v>
      </c>
      <c r="H1458" s="8">
        <f t="shared" si="6246"/>
        <v>0</v>
      </c>
      <c r="I1458" s="8">
        <f t="shared" si="6247"/>
        <v>0</v>
      </c>
      <c r="J1458" s="8">
        <f t="shared" si="6248"/>
        <v>0</v>
      </c>
      <c r="K1458" s="8">
        <f t="shared" si="6249"/>
        <v>0</v>
      </c>
      <c r="L1458" s="8">
        <f t="shared" si="6250"/>
        <v>0</v>
      </c>
      <c r="M1458" s="8">
        <f t="shared" si="6251"/>
        <v>0</v>
      </c>
      <c r="N1458" s="8">
        <f t="shared" si="6252"/>
        <v>1</v>
      </c>
      <c r="O1458" s="8">
        <f t="shared" si="6253"/>
        <v>0</v>
      </c>
      <c r="P1458" s="8" t="e">
        <v>#NUM!</v>
      </c>
      <c r="Q1458" s="8" t="e">
        <f t="shared" ref="Q1458" si="6285">IF(COUNTIF(P1448:P1458,"&lt;"&amp;-0.001)=0,IF(ABS(P1458)&lt;0.001,0,P1458)," ")</f>
        <v>#NUM!</v>
      </c>
      <c r="R1458" s="8"/>
      <c r="S1458" s="8"/>
      <c r="U1458" s="34"/>
      <c r="V1458" s="34"/>
      <c r="W1458" s="34"/>
      <c r="X1458" s="34"/>
      <c r="Y1458" s="34"/>
      <c r="Z1458" s="34"/>
      <c r="AA1458" s="34"/>
      <c r="AB1458" s="34"/>
      <c r="AC1458" s="34"/>
      <c r="AD1458" s="34"/>
      <c r="AE1458" s="34"/>
      <c r="AF1458" s="34"/>
      <c r="AG1458" s="34"/>
      <c r="AH1458" s="34"/>
      <c r="AI1458" s="34"/>
      <c r="AJ1458" s="34"/>
      <c r="AK1458" s="34"/>
      <c r="AL1458" s="34"/>
      <c r="AM1458" s="34"/>
      <c r="AN1458" s="34"/>
      <c r="AO1458" s="34"/>
      <c r="AP1458" s="34"/>
      <c r="AQ1458" s="34"/>
      <c r="AR1458" s="34"/>
      <c r="AS1458" s="34"/>
      <c r="AT1458" s="34"/>
      <c r="AU1458" s="34"/>
      <c r="AV1458" s="34"/>
      <c r="AW1458" s="34"/>
      <c r="AX1458" s="34"/>
      <c r="AY1458" s="34"/>
      <c r="AZ1458" s="34"/>
      <c r="BA1458" s="34"/>
      <c r="BB1458" s="34"/>
      <c r="BC1458" s="34"/>
      <c r="BD1458" s="34"/>
      <c r="BE1458" s="34"/>
      <c r="BF1458" s="34"/>
      <c r="BG1458" s="34"/>
      <c r="BH1458" s="34"/>
      <c r="BI1458" s="34"/>
      <c r="BJ1458" s="34"/>
      <c r="BK1458" s="34"/>
      <c r="BL1458" s="34"/>
      <c r="BM1458" s="34"/>
      <c r="BN1458" s="34"/>
      <c r="BO1458" s="34"/>
      <c r="BP1458" s="34"/>
      <c r="BQ1458" s="34"/>
      <c r="BR1458" s="34"/>
      <c r="BS1458" s="34"/>
      <c r="BT1458" s="34"/>
      <c r="BU1458" s="34"/>
      <c r="BV1458" s="34"/>
      <c r="BW1458" s="34"/>
      <c r="BX1458" s="34"/>
      <c r="BY1458" s="34"/>
      <c r="BZ1458" s="34"/>
      <c r="CA1458" s="34"/>
      <c r="CB1458" s="34"/>
      <c r="CC1458" s="34"/>
      <c r="CD1458" s="34"/>
      <c r="CE1458" s="34"/>
      <c r="CF1458" s="34"/>
      <c r="CG1458" s="34"/>
      <c r="CH1458" s="34"/>
      <c r="CI1458" s="8"/>
    </row>
    <row r="1459" spans="1:87" x14ac:dyDescent="0.2">
      <c r="A1459" s="8" t="str">
        <f>IF(AND(COUNTIF(W$3:W$13,A$26)&gt;0,A$26&lt;&gt;B1308),A$26,IFERROR(IF(MATCH(A$26,Z$3:Z$13,0)=7,A$26," ")," "))</f>
        <v xml:space="preserve"> </v>
      </c>
      <c r="B1459" s="8" t="str">
        <f>IF(A1459=" "," ",MAX(B1448:B1458)+1)</f>
        <v xml:space="preserve"> </v>
      </c>
      <c r="C1459" s="8"/>
      <c r="D1459" s="8"/>
      <c r="E1459" s="8"/>
      <c r="F1459" s="8"/>
      <c r="G1459" s="8"/>
      <c r="H1459" s="8"/>
      <c r="I1459" s="8"/>
      <c r="J1459" s="8"/>
      <c r="K1459" s="8"/>
      <c r="L1459" s="8"/>
      <c r="M1459" s="8"/>
      <c r="N1459" s="8"/>
      <c r="O1459" s="8"/>
      <c r="P1459" s="8"/>
      <c r="Q1459" s="8"/>
      <c r="R1459" s="8"/>
      <c r="S1459" s="8"/>
      <c r="U1459" s="34"/>
      <c r="V1459" s="34"/>
      <c r="W1459" s="34"/>
      <c r="X1459" s="34"/>
      <c r="Y1459" s="34"/>
      <c r="Z1459" s="34"/>
      <c r="AA1459" s="34"/>
      <c r="AB1459" s="34"/>
      <c r="AC1459" s="34"/>
      <c r="AD1459" s="34"/>
      <c r="AE1459" s="34"/>
      <c r="AF1459" s="34"/>
      <c r="AG1459" s="34"/>
      <c r="AH1459" s="34"/>
      <c r="AI1459" s="34"/>
      <c r="AJ1459" s="34"/>
      <c r="AK1459" s="34"/>
      <c r="AL1459" s="34"/>
      <c r="AM1459" s="34"/>
      <c r="AN1459" s="34"/>
      <c r="AO1459" s="34"/>
      <c r="AP1459" s="34"/>
      <c r="AQ1459" s="34"/>
      <c r="AR1459" s="34"/>
      <c r="AS1459" s="34"/>
      <c r="AT1459" s="34"/>
      <c r="AU1459" s="34"/>
      <c r="AV1459" s="34"/>
      <c r="AW1459" s="34"/>
      <c r="AX1459" s="34"/>
      <c r="AY1459" s="34"/>
      <c r="AZ1459" s="34"/>
      <c r="BA1459" s="34"/>
      <c r="BB1459" s="34"/>
      <c r="BC1459" s="34"/>
      <c r="BD1459" s="34"/>
      <c r="BE1459" s="34"/>
      <c r="BF1459" s="34"/>
      <c r="BG1459" s="34"/>
      <c r="BH1459" s="34"/>
      <c r="BI1459" s="34"/>
      <c r="BJ1459" s="34"/>
      <c r="BK1459" s="34"/>
      <c r="BL1459" s="34"/>
      <c r="BM1459" s="34"/>
      <c r="BN1459" s="34"/>
      <c r="BO1459" s="34"/>
      <c r="BP1459" s="34"/>
      <c r="BQ1459" s="34"/>
      <c r="BR1459" s="34"/>
      <c r="BS1459" s="34"/>
      <c r="BT1459" s="34"/>
      <c r="BU1459" s="34"/>
      <c r="BV1459" s="34"/>
      <c r="BW1459" s="34"/>
      <c r="BX1459" s="34"/>
      <c r="BY1459" s="34"/>
      <c r="BZ1459" s="34"/>
      <c r="CA1459" s="34"/>
      <c r="CB1459" s="34"/>
      <c r="CC1459" s="34"/>
      <c r="CD1459" s="34"/>
      <c r="CE1459" s="34"/>
      <c r="CF1459" s="34"/>
      <c r="CG1459" s="34"/>
      <c r="CH1459" s="34"/>
      <c r="CI1459" s="8"/>
    </row>
    <row r="1460" spans="1:87" x14ac:dyDescent="0.2">
      <c r="A1460" s="8" t="str">
        <f>IF(AND(COUNTIF(W$3:W$13,A$27)&gt;0,A$27&lt;&gt;B1308),A$27,IFERROR(IF(MATCH(A$27,Z$3:Z$13,0)=7,A$27," ")," "))</f>
        <v>C13</v>
      </c>
      <c r="B1460" s="8">
        <f>IF(A1460=" "," ",MAX(B1448:B1459)+1)</f>
        <v>4</v>
      </c>
      <c r="C1460" s="8"/>
      <c r="D1460" s="8"/>
      <c r="E1460" s="8"/>
      <c r="F1460" s="8"/>
      <c r="G1460" s="8"/>
      <c r="H1460" s="8"/>
      <c r="I1460" s="8"/>
      <c r="J1460" s="8"/>
      <c r="K1460" s="8"/>
      <c r="L1460" s="8"/>
      <c r="M1460" s="8"/>
      <c r="N1460" s="8"/>
      <c r="O1460" s="8"/>
      <c r="P1460" s="8"/>
      <c r="Q1460" s="8"/>
      <c r="R1460" s="8"/>
      <c r="S1460" s="8"/>
      <c r="U1460" s="34"/>
      <c r="V1460" s="34"/>
      <c r="W1460" s="34"/>
      <c r="X1460" s="34"/>
      <c r="Y1460" s="34"/>
      <c r="Z1460" s="34"/>
      <c r="AA1460" s="34"/>
      <c r="AB1460" s="34"/>
      <c r="AC1460" s="34"/>
      <c r="AD1460" s="34"/>
      <c r="AE1460" s="34"/>
      <c r="AF1460" s="34"/>
      <c r="AG1460" s="34"/>
      <c r="AH1460" s="34"/>
      <c r="AI1460" s="34"/>
      <c r="AJ1460" s="34"/>
      <c r="AK1460" s="34"/>
      <c r="AL1460" s="34"/>
      <c r="AM1460" s="34"/>
      <c r="AN1460" s="34"/>
      <c r="AO1460" s="34"/>
      <c r="AP1460" s="34"/>
      <c r="AQ1460" s="34"/>
      <c r="AR1460" s="34"/>
      <c r="AS1460" s="34"/>
      <c r="AT1460" s="34"/>
      <c r="AU1460" s="34"/>
      <c r="AV1460" s="34"/>
      <c r="AW1460" s="34"/>
      <c r="AX1460" s="34"/>
      <c r="AY1460" s="34"/>
      <c r="AZ1460" s="34"/>
      <c r="BA1460" s="34"/>
      <c r="BB1460" s="34"/>
      <c r="BC1460" s="34"/>
      <c r="BD1460" s="34"/>
      <c r="BE1460" s="34"/>
      <c r="BF1460" s="34"/>
      <c r="BG1460" s="34"/>
      <c r="BH1460" s="34"/>
      <c r="BI1460" s="34"/>
      <c r="BJ1460" s="34"/>
      <c r="BK1460" s="34"/>
      <c r="BL1460" s="34"/>
      <c r="BM1460" s="34"/>
      <c r="BN1460" s="34"/>
      <c r="BO1460" s="34"/>
      <c r="BP1460" s="34"/>
      <c r="BQ1460" s="34"/>
      <c r="BR1460" s="34"/>
      <c r="BS1460" s="34"/>
      <c r="BT1460" s="34"/>
      <c r="BU1460" s="34"/>
      <c r="BV1460" s="34"/>
      <c r="BW1460" s="34"/>
      <c r="BX1460" s="34"/>
      <c r="BY1460" s="34"/>
      <c r="BZ1460" s="34"/>
      <c r="CA1460" s="34"/>
      <c r="CB1460" s="34"/>
      <c r="CC1460" s="34"/>
      <c r="CD1460" s="34"/>
      <c r="CE1460" s="34"/>
      <c r="CF1460" s="34"/>
      <c r="CG1460" s="34"/>
      <c r="CH1460" s="34"/>
      <c r="CI1460" s="8"/>
    </row>
    <row r="1461" spans="1:87" x14ac:dyDescent="0.2">
      <c r="A1461" s="8" t="str">
        <f>IF(AND(COUNTIF(W$3:W$13,A$28)&gt;0,A$28&lt;&gt;B1308),A$28,IFERROR(IF(MATCH(A$28,Z$3:Z$13,0)=7,A$28," ")," "))</f>
        <v xml:space="preserve"> </v>
      </c>
      <c r="B1461" s="8" t="str">
        <f>IF(A1461=" "," ",MAX(B1448:B1460)+1)</f>
        <v xml:space="preserve"> </v>
      </c>
      <c r="C1461" s="8"/>
      <c r="D1461" s="8"/>
      <c r="E1461" s="8"/>
      <c r="F1461" s="8"/>
      <c r="G1461" s="8"/>
      <c r="H1461" s="8"/>
      <c r="I1461" s="8"/>
      <c r="J1461" s="8"/>
      <c r="K1461" s="8"/>
      <c r="L1461" s="8"/>
      <c r="M1461" s="8"/>
      <c r="N1461" s="8"/>
      <c r="O1461" s="8"/>
      <c r="P1461" s="8"/>
      <c r="Q1461" s="8"/>
      <c r="R1461" s="8"/>
      <c r="S1461" s="8"/>
      <c r="U1461" s="34"/>
      <c r="V1461" s="34"/>
      <c r="W1461" s="34"/>
      <c r="X1461" s="34"/>
      <c r="Y1461" s="34"/>
      <c r="Z1461" s="34"/>
      <c r="AA1461" s="34"/>
      <c r="AB1461" s="34"/>
      <c r="AC1461" s="34"/>
      <c r="AD1461" s="34"/>
      <c r="AE1461" s="34"/>
      <c r="AF1461" s="34"/>
      <c r="AG1461" s="34"/>
      <c r="AH1461" s="34"/>
      <c r="AI1461" s="34"/>
      <c r="AJ1461" s="34"/>
      <c r="AK1461" s="34"/>
      <c r="AL1461" s="34"/>
      <c r="AM1461" s="34"/>
      <c r="AN1461" s="34"/>
      <c r="AO1461" s="34"/>
      <c r="AP1461" s="34"/>
      <c r="AQ1461" s="34"/>
      <c r="AR1461" s="34"/>
      <c r="AS1461" s="34"/>
      <c r="AT1461" s="34"/>
      <c r="AU1461" s="34"/>
      <c r="AV1461" s="34"/>
      <c r="AW1461" s="34"/>
      <c r="AX1461" s="34"/>
      <c r="AY1461" s="34"/>
      <c r="AZ1461" s="34"/>
      <c r="BA1461" s="34"/>
      <c r="BB1461" s="34"/>
      <c r="BC1461" s="34"/>
      <c r="BD1461" s="34"/>
      <c r="BE1461" s="34"/>
      <c r="BF1461" s="34"/>
      <c r="BG1461" s="34"/>
      <c r="BH1461" s="34"/>
      <c r="BI1461" s="34"/>
      <c r="BJ1461" s="34"/>
      <c r="BK1461" s="34"/>
      <c r="BL1461" s="34"/>
      <c r="BM1461" s="34"/>
      <c r="BN1461" s="34"/>
      <c r="BO1461" s="34"/>
      <c r="BP1461" s="34"/>
      <c r="BQ1461" s="34"/>
      <c r="BR1461" s="34"/>
      <c r="BS1461" s="34"/>
      <c r="BT1461" s="34"/>
      <c r="BU1461" s="34"/>
      <c r="BV1461" s="34"/>
      <c r="BW1461" s="34"/>
      <c r="BX1461" s="34"/>
      <c r="BY1461" s="34"/>
      <c r="BZ1461" s="34"/>
      <c r="CA1461" s="34"/>
      <c r="CB1461" s="34"/>
      <c r="CC1461" s="34"/>
      <c r="CD1461" s="34"/>
      <c r="CE1461" s="34"/>
      <c r="CF1461" s="34"/>
      <c r="CG1461" s="34"/>
      <c r="CH1461" s="34"/>
      <c r="CI1461" s="8"/>
    </row>
    <row r="1462" spans="1:87" x14ac:dyDescent="0.2">
      <c r="A1462" s="8" t="str">
        <f>IF(AND(COUNTIF(W$3:W$13,A$29)&gt;0,A$29&lt;&gt;B1308),A$29,IFERROR(IF(MATCH(A$29,Z$3:Z$13,0)=7,A$29," ")," "))</f>
        <v>C15</v>
      </c>
      <c r="B1462" s="8">
        <f>IF(A1462=" "," ",MAX(B1448:B1461)+1)</f>
        <v>5</v>
      </c>
      <c r="C1462" s="8"/>
      <c r="D1462" s="8"/>
      <c r="E1462" s="8"/>
      <c r="F1462" s="8"/>
      <c r="G1462" s="8"/>
      <c r="H1462" s="8"/>
      <c r="I1462" s="8"/>
      <c r="J1462" s="8"/>
      <c r="K1462" s="8"/>
      <c r="L1462" s="8"/>
      <c r="M1462" s="8"/>
      <c r="N1462" s="8"/>
      <c r="O1462" s="8"/>
      <c r="P1462" s="8"/>
      <c r="Q1462" s="8"/>
      <c r="R1462" s="8"/>
      <c r="S1462" s="8"/>
      <c r="U1462" s="34"/>
      <c r="V1462" s="34"/>
      <c r="W1462" s="34"/>
      <c r="X1462" s="34"/>
      <c r="Y1462" s="34"/>
      <c r="Z1462" s="34"/>
      <c r="AA1462" s="34"/>
      <c r="AB1462" s="34"/>
      <c r="AC1462" s="34"/>
      <c r="AD1462" s="34"/>
      <c r="AE1462" s="34"/>
      <c r="AF1462" s="34"/>
      <c r="AG1462" s="34"/>
      <c r="AH1462" s="34"/>
      <c r="AI1462" s="34"/>
      <c r="AJ1462" s="34"/>
      <c r="AK1462" s="34"/>
      <c r="AL1462" s="34"/>
      <c r="AM1462" s="34"/>
      <c r="AN1462" s="34"/>
      <c r="AO1462" s="34"/>
      <c r="AP1462" s="34"/>
      <c r="AQ1462" s="34"/>
      <c r="AR1462" s="34"/>
      <c r="AS1462" s="34"/>
      <c r="AT1462" s="34"/>
      <c r="AU1462" s="34"/>
      <c r="AV1462" s="34"/>
      <c r="AW1462" s="34"/>
      <c r="AX1462" s="34"/>
      <c r="AY1462" s="34"/>
      <c r="AZ1462" s="34"/>
      <c r="BA1462" s="34"/>
      <c r="BB1462" s="34"/>
      <c r="BC1462" s="34"/>
      <c r="BD1462" s="34"/>
      <c r="BE1462" s="34"/>
      <c r="BF1462" s="34"/>
      <c r="BG1462" s="34"/>
      <c r="BH1462" s="34"/>
      <c r="BI1462" s="34"/>
      <c r="BJ1462" s="34"/>
      <c r="BK1462" s="34"/>
      <c r="BL1462" s="34"/>
      <c r="BM1462" s="34"/>
      <c r="BN1462" s="34"/>
      <c r="BO1462" s="34"/>
      <c r="BP1462" s="34"/>
      <c r="BQ1462" s="34"/>
      <c r="BR1462" s="34"/>
      <c r="BS1462" s="34"/>
      <c r="BT1462" s="34"/>
      <c r="BU1462" s="34"/>
      <c r="BV1462" s="34"/>
      <c r="BW1462" s="34"/>
      <c r="BX1462" s="34"/>
      <c r="BY1462" s="34"/>
      <c r="BZ1462" s="34"/>
      <c r="CA1462" s="34"/>
      <c r="CB1462" s="34"/>
      <c r="CC1462" s="34"/>
      <c r="CD1462" s="34"/>
      <c r="CE1462" s="34"/>
      <c r="CF1462" s="34"/>
      <c r="CG1462" s="34"/>
      <c r="CH1462" s="34"/>
      <c r="CI1462" s="8"/>
    </row>
    <row r="1463" spans="1:87" x14ac:dyDescent="0.2">
      <c r="A1463" s="8" t="str">
        <f>IF(AND(COUNTIF(W$3:W$13,A$30)&gt;0,A$30&lt;&gt;B1308),A$30,IFERROR(IF(MATCH(A$30,Z$3:Z$13,0)=7,A$30," ")," "))</f>
        <v>C16</v>
      </c>
      <c r="B1463" s="8">
        <f>IF(A1463=" "," ",MAX(B1448:B1462)+1)</f>
        <v>6</v>
      </c>
      <c r="C1463" s="8"/>
      <c r="D1463" s="8"/>
      <c r="E1463" s="8"/>
      <c r="F1463" s="8"/>
      <c r="G1463" s="8"/>
      <c r="H1463" s="8"/>
      <c r="I1463" s="8"/>
      <c r="J1463" s="8"/>
      <c r="K1463" s="8"/>
      <c r="L1463" s="8"/>
      <c r="M1463" s="8"/>
      <c r="N1463" s="8"/>
      <c r="O1463" s="8"/>
      <c r="P1463" s="8"/>
      <c r="Q1463" s="8"/>
      <c r="R1463" s="8"/>
      <c r="S1463" s="8"/>
      <c r="U1463" s="34"/>
      <c r="V1463" s="34"/>
      <c r="W1463" s="34"/>
      <c r="X1463" s="34"/>
      <c r="Y1463" s="34"/>
      <c r="Z1463" s="34"/>
      <c r="AA1463" s="34"/>
      <c r="AB1463" s="34"/>
      <c r="AC1463" s="34"/>
      <c r="AD1463" s="34"/>
      <c r="AE1463" s="34"/>
      <c r="AF1463" s="34"/>
      <c r="AG1463" s="34"/>
      <c r="AH1463" s="34"/>
      <c r="AI1463" s="34"/>
      <c r="AJ1463" s="34"/>
      <c r="AK1463" s="34"/>
      <c r="AL1463" s="34"/>
      <c r="AM1463" s="34"/>
      <c r="AN1463" s="34"/>
      <c r="AO1463" s="34"/>
      <c r="AP1463" s="34"/>
      <c r="AQ1463" s="34"/>
      <c r="AR1463" s="34"/>
      <c r="AS1463" s="34"/>
      <c r="AT1463" s="34"/>
      <c r="AU1463" s="34"/>
      <c r="AV1463" s="34"/>
      <c r="AW1463" s="34"/>
      <c r="AX1463" s="34"/>
      <c r="AY1463" s="34"/>
      <c r="AZ1463" s="34"/>
      <c r="BA1463" s="34"/>
      <c r="BB1463" s="34"/>
      <c r="BC1463" s="34"/>
      <c r="BD1463" s="34"/>
      <c r="BE1463" s="34"/>
      <c r="BF1463" s="34"/>
      <c r="BG1463" s="34"/>
      <c r="BH1463" s="34"/>
      <c r="BI1463" s="34"/>
      <c r="BJ1463" s="34"/>
      <c r="BK1463" s="34"/>
      <c r="BL1463" s="34"/>
      <c r="BM1463" s="34"/>
      <c r="BN1463" s="34"/>
      <c r="BO1463" s="34"/>
      <c r="BP1463" s="34"/>
      <c r="BQ1463" s="34"/>
      <c r="BR1463" s="34"/>
      <c r="BS1463" s="34"/>
      <c r="BT1463" s="34"/>
      <c r="BU1463" s="34"/>
      <c r="BV1463" s="34"/>
      <c r="BW1463" s="34"/>
      <c r="BX1463" s="34"/>
      <c r="BY1463" s="34"/>
      <c r="BZ1463" s="34"/>
      <c r="CA1463" s="34"/>
      <c r="CB1463" s="34"/>
      <c r="CC1463" s="34"/>
      <c r="CD1463" s="34"/>
      <c r="CE1463" s="34"/>
      <c r="CF1463" s="34"/>
      <c r="CG1463" s="34"/>
      <c r="CH1463" s="34"/>
      <c r="CI1463" s="8"/>
    </row>
    <row r="1464" spans="1:87" x14ac:dyDescent="0.2">
      <c r="A1464" s="8" t="str">
        <f>IF(AND(COUNTIF(W$3:W$13,A$31)&gt;0,A$31&lt;&gt;B1308),A$31,IFERROR(IF(MATCH(A$31,Z$3:Z$13,0)=7,A$31," ")," "))</f>
        <v xml:space="preserve"> </v>
      </c>
      <c r="B1464" s="8" t="str">
        <f>IF(A1464=" "," ",MAX(B1448:B1463)+1)</f>
        <v xml:space="preserve"> </v>
      </c>
      <c r="C1464" s="8"/>
      <c r="D1464" s="8"/>
      <c r="E1464" s="8"/>
      <c r="F1464" s="8"/>
      <c r="G1464" s="8"/>
      <c r="H1464" s="8"/>
      <c r="I1464" s="8"/>
      <c r="J1464" s="8"/>
      <c r="K1464" s="8"/>
      <c r="L1464" s="8"/>
      <c r="M1464" s="8"/>
      <c r="N1464" s="8"/>
      <c r="O1464" s="8"/>
      <c r="P1464" s="8"/>
      <c r="Q1464" s="8"/>
      <c r="R1464" s="8"/>
      <c r="S1464" s="8"/>
      <c r="U1464" s="34"/>
      <c r="V1464" s="34"/>
      <c r="W1464" s="34"/>
      <c r="X1464" s="34"/>
      <c r="Y1464" s="34"/>
      <c r="Z1464" s="34"/>
      <c r="AA1464" s="34"/>
      <c r="AB1464" s="34"/>
      <c r="AC1464" s="34"/>
      <c r="AD1464" s="34"/>
      <c r="AE1464" s="34"/>
      <c r="AF1464" s="34"/>
      <c r="AG1464" s="34"/>
      <c r="AH1464" s="34"/>
      <c r="AI1464" s="34"/>
      <c r="AJ1464" s="34"/>
      <c r="AK1464" s="34"/>
      <c r="AL1464" s="34"/>
      <c r="AM1464" s="34"/>
      <c r="AN1464" s="34"/>
      <c r="AO1464" s="34"/>
      <c r="AP1464" s="34"/>
      <c r="AQ1464" s="34"/>
      <c r="AR1464" s="34"/>
      <c r="AS1464" s="34"/>
      <c r="AT1464" s="34"/>
      <c r="AU1464" s="34"/>
      <c r="AV1464" s="34"/>
      <c r="AW1464" s="34"/>
      <c r="AX1464" s="34"/>
      <c r="AY1464" s="34"/>
      <c r="AZ1464" s="34"/>
      <c r="BA1464" s="34"/>
      <c r="BB1464" s="34"/>
      <c r="BC1464" s="34"/>
      <c r="BD1464" s="34"/>
      <c r="BE1464" s="34"/>
      <c r="BF1464" s="34"/>
      <c r="BG1464" s="34"/>
      <c r="BH1464" s="34"/>
      <c r="BI1464" s="34"/>
      <c r="BJ1464" s="34"/>
      <c r="BK1464" s="34"/>
      <c r="BL1464" s="34"/>
      <c r="BM1464" s="34"/>
      <c r="BN1464" s="34"/>
      <c r="BO1464" s="34"/>
      <c r="BP1464" s="34"/>
      <c r="BQ1464" s="34"/>
      <c r="BR1464" s="34"/>
      <c r="BS1464" s="34"/>
      <c r="BT1464" s="34"/>
      <c r="BU1464" s="34"/>
      <c r="BV1464" s="34"/>
      <c r="BW1464" s="34"/>
      <c r="BX1464" s="34"/>
      <c r="BY1464" s="34"/>
      <c r="BZ1464" s="34"/>
      <c r="CA1464" s="34"/>
      <c r="CB1464" s="34"/>
      <c r="CC1464" s="34"/>
      <c r="CD1464" s="34"/>
      <c r="CE1464" s="34"/>
      <c r="CF1464" s="34"/>
      <c r="CG1464" s="34"/>
      <c r="CH1464" s="34"/>
      <c r="CI1464" s="8"/>
    </row>
    <row r="1465" spans="1:87" x14ac:dyDescent="0.2">
      <c r="A1465" s="8" t="str">
        <f>IF(AND(COUNTIF(W$3:W$13,A$32)&gt;0,A$32&lt;&gt;B1308),A$32,IFERROR(IF(MATCH(A$32,Z$3:Z$13,0)=7,A$32," ")," "))</f>
        <v>C18</v>
      </c>
      <c r="B1465" s="8">
        <f>IF(A1465=" "," ",MAX(B1448:B1464)+1)</f>
        <v>7</v>
      </c>
      <c r="C1465" s="8"/>
      <c r="D1465" s="8"/>
      <c r="E1465" s="8"/>
      <c r="F1465" s="8"/>
      <c r="G1465" s="8"/>
      <c r="H1465" s="8"/>
      <c r="I1465" s="8"/>
      <c r="J1465" s="8"/>
      <c r="K1465" s="8"/>
      <c r="L1465" s="8"/>
      <c r="M1465" s="8"/>
      <c r="N1465" s="8"/>
      <c r="O1465" s="8"/>
      <c r="P1465" s="8"/>
      <c r="Q1465" s="8"/>
      <c r="R1465" s="8"/>
      <c r="S1465" s="8"/>
      <c r="U1465" s="34"/>
      <c r="V1465" s="34"/>
      <c r="W1465" s="34"/>
      <c r="X1465" s="34"/>
      <c r="Y1465" s="34"/>
      <c r="Z1465" s="34"/>
      <c r="AA1465" s="34"/>
      <c r="AB1465" s="34"/>
      <c r="AC1465" s="34"/>
      <c r="AD1465" s="34"/>
      <c r="AE1465" s="34"/>
      <c r="AF1465" s="34"/>
      <c r="AG1465" s="34"/>
      <c r="AH1465" s="34"/>
      <c r="AI1465" s="34"/>
      <c r="AJ1465" s="34"/>
      <c r="AK1465" s="34"/>
      <c r="AL1465" s="34"/>
      <c r="AM1465" s="34"/>
      <c r="AN1465" s="34"/>
      <c r="AO1465" s="34"/>
      <c r="AP1465" s="34"/>
      <c r="AQ1465" s="34"/>
      <c r="AR1465" s="34"/>
      <c r="AS1465" s="34"/>
      <c r="AT1465" s="34"/>
      <c r="AU1465" s="34"/>
      <c r="AV1465" s="34"/>
      <c r="AW1465" s="34"/>
      <c r="AX1465" s="34"/>
      <c r="AY1465" s="34"/>
      <c r="AZ1465" s="34"/>
      <c r="BA1465" s="34"/>
      <c r="BB1465" s="34"/>
      <c r="BC1465" s="34"/>
      <c r="BD1465" s="34"/>
      <c r="BE1465" s="34"/>
      <c r="BF1465" s="34"/>
      <c r="BG1465" s="34"/>
      <c r="BH1465" s="34"/>
      <c r="BI1465" s="34"/>
      <c r="BJ1465" s="34"/>
      <c r="BK1465" s="34"/>
      <c r="BL1465" s="34"/>
      <c r="BM1465" s="34"/>
      <c r="BN1465" s="34"/>
      <c r="BO1465" s="34"/>
      <c r="BP1465" s="34"/>
      <c r="BQ1465" s="34"/>
      <c r="BR1465" s="34"/>
      <c r="BS1465" s="34"/>
      <c r="BT1465" s="34"/>
      <c r="BU1465" s="34"/>
      <c r="BV1465" s="34"/>
      <c r="BW1465" s="34"/>
      <c r="BX1465" s="34"/>
      <c r="BY1465" s="34"/>
      <c r="BZ1465" s="34"/>
      <c r="CA1465" s="34"/>
      <c r="CB1465" s="34"/>
      <c r="CC1465" s="34"/>
      <c r="CD1465" s="34"/>
      <c r="CE1465" s="34"/>
      <c r="CF1465" s="34"/>
      <c r="CG1465" s="34"/>
      <c r="CH1465" s="34"/>
      <c r="CI1465" s="8"/>
    </row>
    <row r="1466" spans="1:87" x14ac:dyDescent="0.2">
      <c r="A1466" s="8" t="str">
        <f>IF(AND(COUNTIF(W$3:W$13,A$33)&gt;0,A$33&lt;&gt;B1308),A$33,IFERROR(IF(MATCH(A$33,Z$3:Z$13,0)=7,A$33," ")," "))</f>
        <v>C19</v>
      </c>
      <c r="B1466" s="8">
        <f>IF(A1466=" "," ",MAX(B1448:B1465)+1)</f>
        <v>8</v>
      </c>
      <c r="C1466" s="8"/>
      <c r="D1466" s="8"/>
      <c r="E1466" s="8"/>
      <c r="F1466" s="8"/>
      <c r="G1466" s="8"/>
      <c r="H1466" s="8"/>
      <c r="I1466" s="8"/>
      <c r="J1466" s="8"/>
      <c r="K1466" s="8"/>
      <c r="L1466" s="8"/>
      <c r="M1466" s="8"/>
      <c r="N1466" s="8"/>
      <c r="O1466" s="8"/>
      <c r="P1466" s="8"/>
      <c r="Q1466" s="8"/>
      <c r="R1466" s="8"/>
      <c r="S1466" s="8"/>
      <c r="U1466" s="34"/>
      <c r="V1466" s="34"/>
      <c r="W1466" s="34"/>
      <c r="X1466" s="34"/>
      <c r="Y1466" s="34"/>
      <c r="Z1466" s="34"/>
      <c r="AA1466" s="34"/>
      <c r="AB1466" s="34"/>
      <c r="AC1466" s="34"/>
      <c r="AD1466" s="34"/>
      <c r="AE1466" s="34"/>
      <c r="AF1466" s="34"/>
      <c r="AG1466" s="34"/>
      <c r="AH1466" s="34"/>
      <c r="AI1466" s="34"/>
      <c r="AJ1466" s="34"/>
      <c r="AK1466" s="34"/>
      <c r="AL1466" s="34"/>
      <c r="AM1466" s="34"/>
      <c r="AN1466" s="34"/>
      <c r="AO1466" s="34"/>
      <c r="AP1466" s="34"/>
      <c r="AQ1466" s="34"/>
      <c r="AR1466" s="34"/>
      <c r="AS1466" s="34"/>
      <c r="AT1466" s="34"/>
      <c r="AU1466" s="34"/>
      <c r="AV1466" s="34"/>
      <c r="AW1466" s="34"/>
      <c r="AX1466" s="34"/>
      <c r="AY1466" s="34"/>
      <c r="AZ1466" s="34"/>
      <c r="BA1466" s="34"/>
      <c r="BB1466" s="34"/>
      <c r="BC1466" s="34"/>
      <c r="BD1466" s="34"/>
      <c r="BE1466" s="34"/>
      <c r="BF1466" s="34"/>
      <c r="BG1466" s="34"/>
      <c r="BH1466" s="34"/>
      <c r="BI1466" s="34"/>
      <c r="BJ1466" s="34"/>
      <c r="BK1466" s="34"/>
      <c r="BL1466" s="34"/>
      <c r="BM1466" s="34"/>
      <c r="BN1466" s="34"/>
      <c r="BO1466" s="34"/>
      <c r="BP1466" s="34"/>
      <c r="BQ1466" s="34"/>
      <c r="BR1466" s="34"/>
      <c r="BS1466" s="34"/>
      <c r="BT1466" s="34"/>
      <c r="BU1466" s="34"/>
      <c r="BV1466" s="34"/>
      <c r="BW1466" s="34"/>
      <c r="BX1466" s="34"/>
      <c r="BY1466" s="34"/>
      <c r="BZ1466" s="34"/>
      <c r="CA1466" s="34"/>
      <c r="CB1466" s="34"/>
      <c r="CC1466" s="34"/>
      <c r="CD1466" s="34"/>
      <c r="CE1466" s="34"/>
      <c r="CF1466" s="34"/>
      <c r="CG1466" s="34"/>
      <c r="CH1466" s="34"/>
      <c r="CI1466" s="8"/>
    </row>
    <row r="1467" spans="1:87" x14ac:dyDescent="0.2">
      <c r="A1467" s="8" t="str">
        <f>IF(AND(COUNTIF(W$3:W$13,A$34)&gt;0,A$34&lt;&gt;B1308),A$34,IFERROR(IF(MATCH(A$34,Z$3:Z$13,0)=7,A$34," ")," "))</f>
        <v>C20</v>
      </c>
      <c r="B1467" s="8">
        <f>IF(A1467=" "," ",MAX(B1448:B1466)+1)</f>
        <v>9</v>
      </c>
      <c r="C1467" s="8"/>
      <c r="D1467" s="8"/>
      <c r="E1467" s="8"/>
      <c r="F1467" s="8"/>
      <c r="G1467" s="8"/>
      <c r="H1467" s="8"/>
      <c r="I1467" s="8"/>
      <c r="J1467" s="8"/>
      <c r="K1467" s="8"/>
      <c r="L1467" s="8"/>
      <c r="M1467" s="8"/>
      <c r="N1467" s="8"/>
      <c r="O1467" s="8"/>
      <c r="P1467" s="8"/>
      <c r="Q1467" s="8"/>
      <c r="R1467" s="8"/>
      <c r="S1467" s="8"/>
      <c r="U1467" s="34"/>
      <c r="V1467" s="34"/>
      <c r="W1467" s="34"/>
      <c r="X1467" s="34"/>
      <c r="Y1467" s="34"/>
      <c r="Z1467" s="34"/>
      <c r="AA1467" s="34"/>
      <c r="AB1467" s="34"/>
      <c r="AC1467" s="34"/>
      <c r="AD1467" s="34"/>
      <c r="AE1467" s="34"/>
      <c r="AF1467" s="34"/>
      <c r="AG1467" s="34"/>
      <c r="AH1467" s="34"/>
      <c r="AI1467" s="34"/>
      <c r="AJ1467" s="34"/>
      <c r="AK1467" s="34"/>
      <c r="AL1467" s="34"/>
      <c r="AM1467" s="34"/>
      <c r="AN1467" s="34"/>
      <c r="AO1467" s="34"/>
      <c r="AP1467" s="34"/>
      <c r="AQ1467" s="34"/>
      <c r="AR1467" s="34"/>
      <c r="AS1467" s="34"/>
      <c r="AT1467" s="34"/>
      <c r="AU1467" s="34"/>
      <c r="AV1467" s="34"/>
      <c r="AW1467" s="34"/>
      <c r="AX1467" s="34"/>
      <c r="AY1467" s="34"/>
      <c r="AZ1467" s="34"/>
      <c r="BA1467" s="34"/>
      <c r="BB1467" s="34"/>
      <c r="BC1467" s="34"/>
      <c r="BD1467" s="34"/>
      <c r="BE1467" s="34"/>
      <c r="BF1467" s="34"/>
      <c r="BG1467" s="34"/>
      <c r="BH1467" s="34"/>
      <c r="BI1467" s="34"/>
      <c r="BJ1467" s="34"/>
      <c r="BK1467" s="34"/>
      <c r="BL1467" s="34"/>
      <c r="BM1467" s="34"/>
      <c r="BN1467" s="34"/>
      <c r="BO1467" s="34"/>
      <c r="BP1467" s="34"/>
      <c r="BQ1467" s="34"/>
      <c r="BR1467" s="34"/>
      <c r="BS1467" s="34"/>
      <c r="BT1467" s="34"/>
      <c r="BU1467" s="34"/>
      <c r="BV1467" s="34"/>
      <c r="BW1467" s="34"/>
      <c r="BX1467" s="34"/>
      <c r="BY1467" s="34"/>
      <c r="BZ1467" s="34"/>
      <c r="CA1467" s="34"/>
      <c r="CB1467" s="34"/>
      <c r="CC1467" s="34"/>
      <c r="CD1467" s="34"/>
      <c r="CE1467" s="34"/>
      <c r="CF1467" s="34"/>
      <c r="CG1467" s="34"/>
      <c r="CH1467" s="34"/>
      <c r="CI1467" s="8"/>
    </row>
    <row r="1468" spans="1:87" x14ac:dyDescent="0.2">
      <c r="A1468" s="8" t="str">
        <f>IF(AND(COUNTIF(W$3:W$13,A$35)&gt;0,A$35&lt;&gt;B1308),A$35,IFERROR(IF(MATCH(A$35,Z$3:Z$13,0)=7,A$35," ")," "))</f>
        <v>C21</v>
      </c>
      <c r="B1468" s="8">
        <f>IF(A1468=" "," ",MAX(B1448:B1467)+1)</f>
        <v>10</v>
      </c>
      <c r="C1468" s="8"/>
      <c r="D1468" s="8"/>
      <c r="E1468" s="8"/>
      <c r="F1468" s="8"/>
      <c r="G1468" s="8"/>
      <c r="H1468" s="8"/>
      <c r="I1468" s="8"/>
      <c r="J1468" s="8"/>
      <c r="K1468" s="8"/>
      <c r="L1468" s="8"/>
      <c r="M1468" s="8"/>
      <c r="N1468" s="8"/>
      <c r="O1468" s="8"/>
      <c r="P1468" s="8"/>
      <c r="Q1468" s="8"/>
      <c r="R1468" s="8"/>
      <c r="S1468" s="8"/>
      <c r="U1468" s="34"/>
      <c r="V1468" s="34"/>
      <c r="W1468" s="34"/>
      <c r="X1468" s="34"/>
      <c r="Y1468" s="34"/>
      <c r="Z1468" s="34"/>
      <c r="AA1468" s="34"/>
      <c r="AB1468" s="34"/>
      <c r="AC1468" s="34"/>
      <c r="AD1468" s="34"/>
      <c r="AE1468" s="34"/>
      <c r="AF1468" s="34"/>
      <c r="AG1468" s="34"/>
      <c r="AH1468" s="34"/>
      <c r="AI1468" s="34"/>
      <c r="AJ1468" s="34"/>
      <c r="AK1468" s="34"/>
      <c r="AL1468" s="34"/>
      <c r="AM1468" s="34"/>
      <c r="AN1468" s="34"/>
      <c r="AO1468" s="34"/>
      <c r="AP1468" s="34"/>
      <c r="AQ1468" s="34"/>
      <c r="AR1468" s="34"/>
      <c r="AS1468" s="34"/>
      <c r="AT1468" s="34"/>
      <c r="AU1468" s="34"/>
      <c r="AV1468" s="34"/>
      <c r="AW1468" s="34"/>
      <c r="AX1468" s="34"/>
      <c r="AY1468" s="34"/>
      <c r="AZ1468" s="34"/>
      <c r="BA1468" s="34"/>
      <c r="BB1468" s="34"/>
      <c r="BC1468" s="34"/>
      <c r="BD1468" s="34"/>
      <c r="BE1468" s="34"/>
      <c r="BF1468" s="34"/>
      <c r="BG1468" s="34"/>
      <c r="BH1468" s="34"/>
      <c r="BI1468" s="34"/>
      <c r="BJ1468" s="34"/>
      <c r="BK1468" s="34"/>
      <c r="BL1468" s="34"/>
      <c r="BM1468" s="34"/>
      <c r="BN1468" s="34"/>
      <c r="BO1468" s="34"/>
      <c r="BP1468" s="34"/>
      <c r="BQ1468" s="34"/>
      <c r="BR1468" s="34"/>
      <c r="BS1468" s="34"/>
      <c r="BT1468" s="34"/>
      <c r="BU1468" s="34"/>
      <c r="BV1468" s="34"/>
      <c r="BW1468" s="34"/>
      <c r="BX1468" s="34"/>
      <c r="BY1468" s="34"/>
      <c r="BZ1468" s="34"/>
      <c r="CA1468" s="34"/>
      <c r="CB1468" s="34"/>
      <c r="CC1468" s="34"/>
      <c r="CD1468" s="34"/>
      <c r="CE1468" s="34"/>
      <c r="CF1468" s="34"/>
      <c r="CG1468" s="34"/>
      <c r="CH1468" s="34"/>
      <c r="CI1468" s="8"/>
    </row>
    <row r="1469" spans="1:87" x14ac:dyDescent="0.2">
      <c r="A1469" s="8" t="str">
        <f>IF(AND(COUNTIF(W$3:W$13,A$36)&gt;0,A$36&lt;&gt;B1308),A$36,IFERROR(IF(MATCH(A$36,Z$3:Z$13,0)=7,A$36," ")," "))</f>
        <v>C22</v>
      </c>
      <c r="B1469" s="8">
        <f>IF(A1469=" "," ",MAX(B1448:B1468)+1)</f>
        <v>11</v>
      </c>
      <c r="C1469" s="8"/>
      <c r="D1469" s="8"/>
      <c r="E1469" s="8"/>
      <c r="F1469" s="8"/>
      <c r="G1469" s="8"/>
      <c r="H1469" s="8"/>
      <c r="I1469" s="8"/>
      <c r="J1469" s="8"/>
      <c r="K1469" s="8"/>
      <c r="L1469" s="8"/>
      <c r="M1469" s="8"/>
      <c r="N1469" s="8"/>
      <c r="O1469" s="8"/>
      <c r="P1469" s="8"/>
      <c r="Q1469" s="8"/>
      <c r="R1469" s="8"/>
      <c r="S1469" s="8"/>
      <c r="U1469" s="34"/>
      <c r="V1469" s="34"/>
      <c r="W1469" s="34"/>
      <c r="X1469" s="34"/>
      <c r="Y1469" s="34"/>
      <c r="Z1469" s="34"/>
      <c r="AA1469" s="34"/>
      <c r="AB1469" s="34"/>
      <c r="AC1469" s="34"/>
      <c r="AD1469" s="34"/>
      <c r="AE1469" s="34"/>
      <c r="AF1469" s="34"/>
      <c r="AG1469" s="34"/>
      <c r="AH1469" s="34"/>
      <c r="AI1469" s="34"/>
      <c r="AJ1469" s="34"/>
      <c r="AK1469" s="34"/>
      <c r="AL1469" s="34"/>
      <c r="AM1469" s="34"/>
      <c r="AN1469" s="34"/>
      <c r="AO1469" s="34"/>
      <c r="AP1469" s="34"/>
      <c r="AQ1469" s="34"/>
      <c r="AR1469" s="34"/>
      <c r="AS1469" s="34"/>
      <c r="AT1469" s="34"/>
      <c r="AU1469" s="34"/>
      <c r="AV1469" s="34"/>
      <c r="AW1469" s="34"/>
      <c r="AX1469" s="34"/>
      <c r="AY1469" s="34"/>
      <c r="AZ1469" s="34"/>
      <c r="BA1469" s="34"/>
      <c r="BB1469" s="34"/>
      <c r="BC1469" s="34"/>
      <c r="BD1469" s="34"/>
      <c r="BE1469" s="34"/>
      <c r="BF1469" s="34"/>
      <c r="BG1469" s="34"/>
      <c r="BH1469" s="34"/>
      <c r="BI1469" s="34"/>
      <c r="BJ1469" s="34"/>
      <c r="BK1469" s="34"/>
      <c r="BL1469" s="34"/>
      <c r="BM1469" s="34"/>
      <c r="BN1469" s="34"/>
      <c r="BO1469" s="34"/>
      <c r="BP1469" s="34"/>
      <c r="BQ1469" s="34"/>
      <c r="BR1469" s="34"/>
      <c r="BS1469" s="34"/>
      <c r="BT1469" s="34"/>
      <c r="BU1469" s="34"/>
      <c r="BV1469" s="34"/>
      <c r="BW1469" s="34"/>
      <c r="BX1469" s="34"/>
      <c r="BY1469" s="34"/>
      <c r="BZ1469" s="34"/>
      <c r="CA1469" s="34"/>
      <c r="CB1469" s="34"/>
      <c r="CC1469" s="34"/>
      <c r="CD1469" s="34"/>
      <c r="CE1469" s="34"/>
      <c r="CF1469" s="34"/>
      <c r="CG1469" s="34"/>
      <c r="CH1469" s="34"/>
      <c r="CI1469" s="8"/>
    </row>
    <row r="1470" spans="1:87" x14ac:dyDescent="0.2">
      <c r="A1470" s="11" t="s">
        <v>17</v>
      </c>
      <c r="B1470" s="11"/>
      <c r="C1470" s="27" t="s">
        <v>18</v>
      </c>
      <c r="D1470" s="27" t="s">
        <v>2</v>
      </c>
      <c r="E1470" s="27" t="s">
        <v>6</v>
      </c>
      <c r="F1470" s="27" t="s">
        <v>15</v>
      </c>
      <c r="G1470" s="27" t="s">
        <v>36</v>
      </c>
      <c r="H1470" s="27" t="s">
        <v>37</v>
      </c>
      <c r="I1470" s="27" t="s">
        <v>38</v>
      </c>
      <c r="J1470" s="27" t="s">
        <v>39</v>
      </c>
      <c r="K1470" s="27" t="s">
        <v>40</v>
      </c>
      <c r="L1470" s="27" t="s">
        <v>41</v>
      </c>
      <c r="M1470" s="27" t="s">
        <v>42</v>
      </c>
      <c r="N1470" s="27" t="s">
        <v>43</v>
      </c>
      <c r="O1470" s="27" t="s">
        <v>9</v>
      </c>
      <c r="P1470" s="27" t="s">
        <v>12</v>
      </c>
      <c r="Q1470" s="27" t="s">
        <v>19</v>
      </c>
      <c r="R1470" s="27" t="s">
        <v>55</v>
      </c>
      <c r="S1470" s="27" t="s">
        <v>26</v>
      </c>
      <c r="T1470" s="19" t="s">
        <v>25</v>
      </c>
      <c r="U1470" s="33" t="s">
        <v>27</v>
      </c>
      <c r="V1470" s="33" t="s">
        <v>9</v>
      </c>
      <c r="W1470" s="33" t="s">
        <v>23</v>
      </c>
      <c r="X1470" s="33" t="s">
        <v>12</v>
      </c>
      <c r="Y1470" s="33" t="s">
        <v>26</v>
      </c>
      <c r="Z1470" s="33" t="s">
        <v>25</v>
      </c>
      <c r="AA1470" s="33" t="s">
        <v>27</v>
      </c>
      <c r="AB1470" s="33" t="s">
        <v>9</v>
      </c>
      <c r="AC1470" s="33" t="s">
        <v>23</v>
      </c>
      <c r="AD1470" s="33" t="s">
        <v>12</v>
      </c>
      <c r="AE1470" s="33" t="s">
        <v>26</v>
      </c>
      <c r="AF1470" s="33" t="s">
        <v>25</v>
      </c>
      <c r="AG1470" s="33" t="s">
        <v>27</v>
      </c>
      <c r="AH1470" s="33" t="s">
        <v>9</v>
      </c>
      <c r="AI1470" s="33" t="s">
        <v>23</v>
      </c>
      <c r="AJ1470" s="33" t="s">
        <v>12</v>
      </c>
      <c r="AK1470" s="33" t="s">
        <v>26</v>
      </c>
      <c r="AL1470" s="33" t="s">
        <v>25</v>
      </c>
      <c r="AM1470" s="33" t="s">
        <v>27</v>
      </c>
      <c r="AN1470" s="33" t="s">
        <v>9</v>
      </c>
      <c r="AO1470" s="33" t="s">
        <v>23</v>
      </c>
      <c r="AP1470" s="33" t="s">
        <v>12</v>
      </c>
      <c r="AQ1470" s="33" t="s">
        <v>26</v>
      </c>
      <c r="AR1470" s="33" t="s">
        <v>25</v>
      </c>
      <c r="AS1470" s="33" t="s">
        <v>27</v>
      </c>
      <c r="AT1470" s="33" t="s">
        <v>9</v>
      </c>
      <c r="AU1470" s="33" t="s">
        <v>23</v>
      </c>
      <c r="AV1470" s="33" t="s">
        <v>12</v>
      </c>
      <c r="AW1470" s="33" t="s">
        <v>26</v>
      </c>
      <c r="AX1470" s="33" t="s">
        <v>25</v>
      </c>
      <c r="AY1470" s="33" t="s">
        <v>27</v>
      </c>
      <c r="AZ1470" s="33" t="s">
        <v>9</v>
      </c>
      <c r="BA1470" s="33" t="s">
        <v>23</v>
      </c>
      <c r="BB1470" s="33" t="s">
        <v>12</v>
      </c>
      <c r="BC1470" s="33" t="s">
        <v>26</v>
      </c>
      <c r="BD1470" s="33" t="s">
        <v>25</v>
      </c>
      <c r="BE1470" s="33" t="s">
        <v>27</v>
      </c>
      <c r="BF1470" s="33" t="s">
        <v>9</v>
      </c>
      <c r="BG1470" s="33" t="s">
        <v>23</v>
      </c>
      <c r="BH1470" s="33" t="s">
        <v>12</v>
      </c>
      <c r="BI1470" s="33" t="s">
        <v>26</v>
      </c>
      <c r="BJ1470" s="33" t="s">
        <v>25</v>
      </c>
      <c r="BK1470" s="33" t="s">
        <v>27</v>
      </c>
      <c r="BL1470" s="33" t="s">
        <v>9</v>
      </c>
      <c r="BM1470" s="33" t="s">
        <v>23</v>
      </c>
      <c r="BN1470" s="33" t="s">
        <v>12</v>
      </c>
      <c r="BO1470" s="33" t="s">
        <v>26</v>
      </c>
      <c r="BP1470" s="33" t="s">
        <v>25</v>
      </c>
      <c r="BQ1470" s="33" t="s">
        <v>27</v>
      </c>
      <c r="BR1470" s="33" t="s">
        <v>9</v>
      </c>
      <c r="BS1470" s="33" t="s">
        <v>23</v>
      </c>
      <c r="BT1470" s="33" t="s">
        <v>12</v>
      </c>
      <c r="BU1470" s="33" t="s">
        <v>26</v>
      </c>
      <c r="BV1470" s="33" t="s">
        <v>25</v>
      </c>
      <c r="BW1470" s="33" t="s">
        <v>27</v>
      </c>
      <c r="BX1470" s="33" t="s">
        <v>9</v>
      </c>
      <c r="BY1470" s="33" t="s">
        <v>23</v>
      </c>
      <c r="BZ1470" s="33" t="s">
        <v>12</v>
      </c>
      <c r="CA1470" s="33" t="s">
        <v>26</v>
      </c>
      <c r="CB1470" s="33" t="s">
        <v>25</v>
      </c>
      <c r="CC1470" s="33" t="s">
        <v>27</v>
      </c>
      <c r="CD1470" s="33" t="s">
        <v>9</v>
      </c>
      <c r="CE1470" s="33" t="s">
        <v>23</v>
      </c>
      <c r="CF1470" s="33" t="s">
        <v>12</v>
      </c>
      <c r="CG1470" s="33" t="s">
        <v>26</v>
      </c>
      <c r="CH1470" s="33" t="s">
        <v>25</v>
      </c>
      <c r="CI1470" s="8"/>
    </row>
    <row r="1471" spans="1:87" x14ac:dyDescent="0.2">
      <c r="A1471" s="8" t="str">
        <f>IF(AND(COUNTIF(W$3:W$13,A$15)&gt;0,A$15&lt;&gt;B1308),A$15,IFERROR(IF(MATCH(A$15,Z$3:Z$13,0)=8,A$15," ")," "))</f>
        <v xml:space="preserve"> </v>
      </c>
      <c r="B1471" s="8" t="str">
        <f>IF(A1471=" "," ",1)</f>
        <v xml:space="preserve"> </v>
      </c>
      <c r="C1471" s="8" t="str">
        <f>IFERROR(INDEX(A1471:A1492,MATCH(SMALL(B1471:B1492,1),B1471:B1492,0),1)," ")</f>
        <v>C3</v>
      </c>
      <c r="D1471" s="8">
        <f>IFERROR(VLOOKUP($C1471,$A$15:$O$36,2,FALSE)," ")</f>
        <v>2</v>
      </c>
      <c r="E1471" s="8">
        <f>IFERROR(VLOOKUP($C1471,$A$15:$O$36,3,FALSE)," ")</f>
        <v>5</v>
      </c>
      <c r="F1471" s="8">
        <f>IFERROR(VLOOKUP($C1471,$A$15:$O$36,4,FALSE)," ")</f>
        <v>6</v>
      </c>
      <c r="G1471" s="8">
        <f>IFERROR(VLOOKUP($C1471,$A$15:$O$36,5,FALSE)," ")</f>
        <v>0</v>
      </c>
      <c r="H1471" s="8">
        <f>IFERROR(VLOOKUP($C1471,$A$15:$O$36,6,FALSE)," ")</f>
        <v>0</v>
      </c>
      <c r="I1471" s="8">
        <f>IFERROR(VLOOKUP($C1471,$A$15:$O$36,7,FALSE)," ")</f>
        <v>0</v>
      </c>
      <c r="J1471" s="8">
        <f>IFERROR(VLOOKUP($C1471,$A$15:$O$36,8,FALSE)," ")</f>
        <v>0</v>
      </c>
      <c r="K1471" s="8">
        <f>IFERROR(VLOOKUP($C1471,$A$15:$O$36,9,FALSE)," ")</f>
        <v>0</v>
      </c>
      <c r="L1471" s="8">
        <f>IFERROR(VLOOKUP($C1471,$A$15:$O$36,10,FALSE)," ")</f>
        <v>0</v>
      </c>
      <c r="M1471" s="8">
        <f>IFERROR(VLOOKUP($C1471,$A$15:$O$36,11,FALSE)," ")</f>
        <v>0</v>
      </c>
      <c r="N1471" s="8">
        <f>IFERROR(VLOOKUP($C1471,$A$15:$O$36,12,FALSE)," ")</f>
        <v>0</v>
      </c>
      <c r="O1471" s="8">
        <f>IFERROR(VLOOKUP($C1471,$A$15:$O$36,15,FALSE)," ")</f>
        <v>2000</v>
      </c>
      <c r="P1471" s="8" t="e">
        <f t="array" ref="P1471:P1481">MMULT(MINVERSE(D1471:N1481),O1471:O1481)</f>
        <v>#NUM!</v>
      </c>
      <c r="Q1471" s="8" t="e">
        <f t="shared" ref="Q1471" si="6286">IF(COUNTIF(P1471:P1481,"&lt;"&amp;-0.001)=0,IF(ABS(P1471)&lt;0.001,0,P1471)," ")</f>
        <v>#NUM!</v>
      </c>
      <c r="R1471" s="8" t="str">
        <f>IFERROR(VLOOKUP(B1308,A$15:L$36,2,FALSE)*Q1471+VLOOKUP(B1308,A$15:L$36,3,FALSE)*Q1472+VLOOKUP(B1308,A$15:L$36,4,FALSE)*Q1473+VLOOKUP(B1308,A$15:L$36,5,FALSE)*Q1474+VLOOKUP(B1308,A$15:L$36,6,FALSE)*Q1475+VLOOKUP(B1308,A$15:L$36,7,FALSE)*Q1476+VLOOKUP(B1308,A$15:L$36,8,FALSE)*Q1477+VLOOKUP(B1308,A$15:L$36,9,FALSE)*Q1478+VLOOKUP(B1308,A$15:L$36,10,FALSE)*Q1479+VLOOKUP(B1308,A$15:L$36,11,FALSE)*Q1480+VLOOKUP(B1308,A$15:L$36,12,FALSE)*Q1481," ")</f>
        <v xml:space="preserve"> </v>
      </c>
      <c r="S1471" s="8" t="str">
        <f>IFERROR(IF(R1471-VLOOKUP(B1308,A$15:O$36,15,FALSE)&lt;0,R1471-VLOOKUP(B1308,A$15:O$36,15,FALSE)," ")," ")</f>
        <v xml:space="preserve"> </v>
      </c>
      <c r="T1471" s="18" t="str">
        <f>IFERROR(IF(R1471-VLOOKUP(B1308,A$15:O$36,15,FALSE)&gt;0,R1471-VLOOKUP(B1308,A$15:O$36,15,FALSE)," ")," ")</f>
        <v xml:space="preserve"> </v>
      </c>
      <c r="U1471" s="34">
        <f t="shared" ref="U1471" si="6287">$M$2</f>
        <v>100.00000000000001</v>
      </c>
      <c r="V1471" s="34">
        <v>-1</v>
      </c>
      <c r="W1471" s="34">
        <f t="shared" ref="W1471" si="6288">-SUMPRODUCT($M$3:$M$12,$N$3:$N$12)</f>
        <v>-105000</v>
      </c>
      <c r="X1471" s="34" t="e">
        <f t="shared" ref="X1471" si="6289">IF(U1471&lt;&gt;U1472,MMULT(MINVERSE(U1471:V1472),W1471:W1472)," ")</f>
        <v>#NUM!</v>
      </c>
      <c r="Y1471" s="34" t="str">
        <f t="shared" ref="Y1471" si="6290">IFERROR(IF(X1471-VLOOKUP(U$38,$A$2:$N$12,14,FALSE)&lt;0,X1471-VLOOKUP(U$38,$A$2:$N$12,14,FALSE)," ")," ")</f>
        <v xml:space="preserve"> </v>
      </c>
      <c r="Z1471" s="34" t="str">
        <f t="shared" ref="Z1471" si="6291">IFERROR(IF(X1471-VLOOKUP(U$38,$A$2:$N$12,14,FALSE)&gt;0,X1471-VLOOKUP(U$38,$A$2:$N$12,14,FALSE)," ")," ")</f>
        <v xml:space="preserve"> </v>
      </c>
      <c r="AA1471" s="34">
        <f t="shared" ref="AA1471" si="6292">$M$3</f>
        <v>0</v>
      </c>
      <c r="AB1471" s="34">
        <v>-1</v>
      </c>
      <c r="AC1471" s="34">
        <f t="shared" ref="AC1471" si="6293">-SUMPRODUCT($M$2:$M$2,$N$2:$N$2)-SUMPRODUCT($M$4:$M$12,$N$4:$N$12)</f>
        <v>-120000</v>
      </c>
      <c r="AD1471" s="34" t="e">
        <f t="shared" ref="AD1471" si="6294">IF(AA1471&lt;&gt;AA1472,MMULT(MINVERSE(AA1471:AB1472),AC1471:AC1472)," ")</f>
        <v>#NUM!</v>
      </c>
      <c r="AE1471" s="34" t="str">
        <f t="shared" ref="AE1471" si="6295">IFERROR(IF(AD1471-VLOOKUP(AA$38,$A$2:$N$12,14,FALSE)&lt;0,AD1471-VLOOKUP(AA$38,$A$2:$N$12,14,FALSE)," ")," ")</f>
        <v xml:space="preserve"> </v>
      </c>
      <c r="AF1471" s="34" t="str">
        <f t="shared" ref="AF1471" si="6296">IFERROR(IF(AD1471-VLOOKUP(AA$38,$A$2:$N$12,14,FALSE)&gt;0,AD1471-VLOOKUP(AA$38,$A$2:$N$12,14,FALSE)," ")," ")</f>
        <v xml:space="preserve"> </v>
      </c>
      <c r="AG1471" s="34">
        <f t="shared" ref="AG1471" si="6297">$M$4</f>
        <v>300</v>
      </c>
      <c r="AH1471" s="34">
        <v>-1</v>
      </c>
      <c r="AI1471" s="34">
        <f t="shared" ref="AI1471" si="6298">-SUMPRODUCT($M$2:$M$3,$N$2:$N$3)-SUMPRODUCT($M$5:$M$12,$N$5:$N$12)</f>
        <v>-15000.000000000002</v>
      </c>
      <c r="AJ1471" s="34" t="e">
        <f t="shared" ref="AJ1471" si="6299">IF(AG1471&lt;&gt;AG1472,MMULT(MINVERSE(AG1471:AH1472),AI1471:AI1472)," ")</f>
        <v>#NUM!</v>
      </c>
      <c r="AK1471" s="34" t="str">
        <f t="shared" ref="AK1471" si="6300">IFERROR(IF(AJ1471-VLOOKUP(AG$38,$A$2:$N$12,14,FALSE)&lt;0,AJ1471-VLOOKUP(AG$38,$A$2:$N$12,14,FALSE)," ")," ")</f>
        <v xml:space="preserve"> </v>
      </c>
      <c r="AL1471" s="34" t="str">
        <f t="shared" ref="AL1471" si="6301">IFERROR(IF(AJ1471-VLOOKUP(AG$38,$A$2:$N$12,14,FALSE)&gt;0,AJ1471-VLOOKUP(AG$38,$A$2:$N$12,14,FALSE)," ")," ")</f>
        <v xml:space="preserve"> </v>
      </c>
      <c r="AM1471" s="34">
        <f t="shared" ref="AM1471" si="6302">$M$5</f>
        <v>0</v>
      </c>
      <c r="AN1471" s="34">
        <v>-1</v>
      </c>
      <c r="AO1471" s="34">
        <f t="shared" ref="AO1471" si="6303">-SUMPRODUCT($M$2:$M$4,$N$2:$N$4)-SUMPRODUCT($M$6:$M$12,$N$6:$N$12)</f>
        <v>-120000</v>
      </c>
      <c r="AP1471" s="34" t="e">
        <f t="shared" ref="AP1471" si="6304">IF(AM1471&lt;&gt;AM1472,MMULT(MINVERSE(AM1471:AN1472),AO1471:AO1472)," ")</f>
        <v>#NUM!</v>
      </c>
      <c r="AQ1471" s="34" t="str">
        <f t="shared" ref="AQ1471" si="6305">IFERROR(IF(AP1471-VLOOKUP(AM$38,$A$2:$N$12,14,FALSE)&lt;0,AP1471-VLOOKUP(AM$38,$A$2:$N$12,14,FALSE)," ")," ")</f>
        <v xml:space="preserve"> </v>
      </c>
      <c r="AR1471" s="34" t="str">
        <f t="shared" ref="AR1471" si="6306">IFERROR(IF(AP1471-VLOOKUP(AM$38,$A$2:$N$12,14,FALSE)&gt;0,AP1471-VLOOKUP(AM$38,$A$2:$N$12,14,FALSE)," ")," ")</f>
        <v xml:space="preserve"> </v>
      </c>
      <c r="AS1471" s="34">
        <f t="shared" ref="AS1471" si="6307">$M$6</f>
        <v>0</v>
      </c>
      <c r="AT1471" s="34">
        <v>-1</v>
      </c>
      <c r="AU1471" s="34">
        <f t="shared" ref="AU1471" si="6308">-SUMPRODUCT($M$2:$M$5,$N$2:$N$5)-SUMPRODUCT($M$7:$M$12,$N$7:$N$12)</f>
        <v>-120000</v>
      </c>
      <c r="AV1471" s="34" t="e">
        <f t="shared" ref="AV1471" si="6309">IF(AS1471&lt;&gt;AS1472,MMULT(MINVERSE(AS1471:AT1472),AU1471:AU1472)," ")</f>
        <v>#NUM!</v>
      </c>
      <c r="AW1471" s="34" t="str">
        <f t="shared" ref="AW1471" si="6310">IFERROR(IF(AV1471-VLOOKUP(AS$38,$A$2:$N$12,14,FALSE)&lt;0,AV1471-VLOOKUP(AS$38,$A$2:$N$12,14,FALSE)," ")," ")</f>
        <v xml:space="preserve"> </v>
      </c>
      <c r="AX1471" s="34" t="str">
        <f t="shared" ref="AX1471" si="6311">IFERROR(IF(AV1471-VLOOKUP(AS$38,$A$2:$N$12,14,FALSE)&gt;0,AV1471-VLOOKUP(AS$38,$A$2:$N$12,14,FALSE)," ")," ")</f>
        <v xml:space="preserve"> </v>
      </c>
      <c r="AY1471" s="34">
        <f t="shared" ref="AY1471" si="6312">$M$7</f>
        <v>0</v>
      </c>
      <c r="AZ1471" s="34">
        <v>-1</v>
      </c>
      <c r="BA1471" s="34">
        <f t="shared" ref="BA1471" si="6313">-SUMPRODUCT($M$2:$M$6,$N$2:$N$6)-SUMPRODUCT($M$8:$M$12,$N$8:$N$12)</f>
        <v>-120000</v>
      </c>
      <c r="BB1471" s="34" t="e">
        <f t="shared" ref="BB1471" si="6314">IF(AY1471&lt;&gt;AY1472,MMULT(MINVERSE(AY1471:AZ1472),BA1471:BA1472)," ")</f>
        <v>#NUM!</v>
      </c>
      <c r="BC1471" s="34" t="str">
        <f t="shared" ref="BC1471" si="6315">IFERROR(IF(BB1471-VLOOKUP(AY$38,$A$2:$N$12,14,FALSE)&lt;0,BB1471-VLOOKUP(AY$38,$A$2:$N$12,14,FALSE)," ")," ")</f>
        <v xml:space="preserve"> </v>
      </c>
      <c r="BD1471" s="34" t="str">
        <f t="shared" ref="BD1471" si="6316">IFERROR(IF(BB1471-VLOOKUP(AY$38,$A$2:$N$12,14,FALSE)&gt;0,BB1471-VLOOKUP(AY$38,$A$2:$N$12,14,FALSE)," ")," ")</f>
        <v xml:space="preserve"> </v>
      </c>
      <c r="BE1471" s="34">
        <f t="shared" ref="BE1471" si="6317">$M$8</f>
        <v>0</v>
      </c>
      <c r="BF1471" s="34">
        <v>-1</v>
      </c>
      <c r="BG1471" s="34">
        <f t="shared" ref="BG1471" si="6318">-SUMPRODUCT($M$2:$M$7,$N$2:$N$7)-SUMPRODUCT($M$9:$M$12,$N$9:$N$12)</f>
        <v>-120000</v>
      </c>
      <c r="BH1471" s="34" t="e">
        <f t="shared" ref="BH1471" si="6319">IF(BE1471&lt;&gt;BE1472,MMULT(MINVERSE(BE1471:BF1472),BG1471:BG1472)," ")</f>
        <v>#NUM!</v>
      </c>
      <c r="BI1471" s="34" t="str">
        <f t="shared" ref="BI1471" si="6320">IFERROR(IF(BH1471-VLOOKUP(BE$38,$A$2:$N$12,14,FALSE)&lt;0,BH1471-VLOOKUP(BE$38,$A$2:$N$12,14,FALSE)," ")," ")</f>
        <v xml:space="preserve"> </v>
      </c>
      <c r="BJ1471" s="34" t="str">
        <f t="shared" ref="BJ1471" si="6321">IFERROR(IF(BH1471-VLOOKUP(BE$38,$A$2:$N$12,14,FALSE)&gt;0,BH1471-VLOOKUP(BE$38,$A$2:$N$12,14,FALSE)," ")," ")</f>
        <v xml:space="preserve"> </v>
      </c>
      <c r="BK1471" s="34">
        <f t="shared" ref="BK1471" si="6322">$M$9</f>
        <v>0</v>
      </c>
      <c r="BL1471" s="34">
        <v>-1</v>
      </c>
      <c r="BM1471" s="34">
        <f t="shared" ref="BM1471" si="6323">-SUMPRODUCT($M$2:$M$8,$N$2:$N$8)-SUMPRODUCT($M$10:$M$12,$N$10:$N$12)</f>
        <v>-120000</v>
      </c>
      <c r="BN1471" s="34" t="e">
        <f t="shared" ref="BN1471" si="6324">IF(BK1471&lt;&gt;BK1472,MMULT(MINVERSE(BK1471:BL1472),BM1471:BM1472)," ")</f>
        <v>#NUM!</v>
      </c>
      <c r="BO1471" s="34" t="str">
        <f t="shared" ref="BO1471" si="6325">IFERROR(IF(BN1471-VLOOKUP(BK$38,$A$2:$N$12,14,FALSE)&lt;0,BN1471-VLOOKUP(BK$38,$A$2:$N$12,14,FALSE)," ")," ")</f>
        <v xml:space="preserve"> </v>
      </c>
      <c r="BP1471" s="34" t="str">
        <f t="shared" ref="BP1471" si="6326">IFERROR(IF(BN1471-VLOOKUP(BK$38,$A$2:$N$12,14,FALSE)&gt;0,BN1471-VLOOKUP(BK$38,$A$2:$N$12,14,FALSE)," ")," ")</f>
        <v xml:space="preserve"> </v>
      </c>
      <c r="BQ1471" s="34">
        <f t="shared" ref="BQ1471" si="6327">$M$10</f>
        <v>0</v>
      </c>
      <c r="BR1471" s="34">
        <v>-1</v>
      </c>
      <c r="BS1471" s="34">
        <f t="shared" ref="BS1471" si="6328">-SUMPRODUCT($M$2:$M$9,$N$2:$N$9)-SUMPRODUCT($M$11:$M$12,$N$11:$N$12)</f>
        <v>-120000</v>
      </c>
      <c r="BT1471" s="34" t="e">
        <f t="shared" ref="BT1471" si="6329">IF(BQ1471&lt;&gt;BQ1472,MMULT(MINVERSE(BQ1471:BR1472),BS1471:BS1472)," ")</f>
        <v>#NUM!</v>
      </c>
      <c r="BU1471" s="34" t="str">
        <f t="shared" ref="BU1471" si="6330">IFERROR(IF(BT1471-VLOOKUP(BQ$38,$A$2:$N$12,14,FALSE)&lt;0,BT1471-VLOOKUP(BQ$38,$A$2:$N$12,14,FALSE)," ")," ")</f>
        <v xml:space="preserve"> </v>
      </c>
      <c r="BV1471" s="34" t="str">
        <f t="shared" ref="BV1471" si="6331">IFERROR(IF(BT1471-VLOOKUP(BQ$38,$A$2:$N$12,14,FALSE)&gt;0,BT1471-VLOOKUP(BQ$38,$A$2:$N$12,14,FALSE)," ")," ")</f>
        <v xml:space="preserve"> </v>
      </c>
      <c r="BW1471" s="34">
        <f t="shared" ref="BW1471" si="6332">$M$11</f>
        <v>0</v>
      </c>
      <c r="BX1471" s="34">
        <v>-1</v>
      </c>
      <c r="BY1471" s="34">
        <f t="shared" ref="BY1471" si="6333">-SUMPRODUCT($M$2:$M$10,$N$2:$N$10)-SUMPRODUCT($M$12,$N$12)</f>
        <v>-120000</v>
      </c>
      <c r="BZ1471" s="34" t="e">
        <f t="shared" ref="BZ1471" si="6334">IF(BW1471&lt;&gt;BW1472,MMULT(MINVERSE(BW1471:BX1472),BY1471:BY1472)," ")</f>
        <v>#NUM!</v>
      </c>
      <c r="CA1471" s="34" t="str">
        <f t="shared" ref="CA1471" si="6335">IFERROR(IF(BZ1471-VLOOKUP(BW$38,$A$2:$N$12,14,FALSE)&lt;0,BZ1471-VLOOKUP(BW$38,$A$2:$N$12,14,FALSE)," ")," ")</f>
        <v xml:space="preserve"> </v>
      </c>
      <c r="CB1471" s="34" t="str">
        <f t="shared" ref="CB1471" si="6336">IFERROR(IF(BZ1471-VLOOKUP(BW$38,$A$2:$N$12,14,FALSE)&gt;0,BZ1471-VLOOKUP(BW$38,$A$2:$N$12,14,FALSE)," ")," ")</f>
        <v xml:space="preserve"> </v>
      </c>
      <c r="CC1471" s="34">
        <f t="shared" ref="CC1471" si="6337">$M$12</f>
        <v>0</v>
      </c>
      <c r="CD1471" s="34">
        <v>-1</v>
      </c>
      <c r="CE1471" s="34">
        <f t="shared" ref="CE1471" si="6338">-SUMPRODUCT($M$2:$M$11,$N$2:$N$11)</f>
        <v>-120000</v>
      </c>
      <c r="CF1471" s="34" t="e">
        <f t="shared" ref="CF1471" si="6339">IF(CC1471&lt;&gt;CC1472,MMULT(MINVERSE(CC1471:CD1472),CE1471:CE1472)," ")</f>
        <v>#NUM!</v>
      </c>
      <c r="CG1471" s="34" t="str">
        <f t="shared" ref="CG1471" si="6340">IFERROR(IF(CF1471-VLOOKUP(CC$38,$A$2:$N$12,14,FALSE)&lt;0,CF1471-VLOOKUP(CC$38,$A$2:$N$12,14,FALSE)," ")," ")</f>
        <v xml:space="preserve"> </v>
      </c>
      <c r="CH1471" s="34" t="str">
        <f t="shared" ref="CH1471" si="6341">IFERROR(IF(CF1471-VLOOKUP(CC$38,$A$2:$N$12,14,FALSE)&gt;0,CF1471-VLOOKUP(CC$38,$A$2:$N$12,14,FALSE)," ")," ")</f>
        <v xml:space="preserve"> </v>
      </c>
      <c r="CI1471" s="8"/>
    </row>
    <row r="1472" spans="1:87" x14ac:dyDescent="0.2">
      <c r="A1472" s="8" t="str">
        <f>IF(AND(COUNTIF(W$3:W$13,A$16)&gt;0,A$16&lt;&gt;B1308),A$16,IFERROR(IF(MATCH(A$16,Z$3:Z$13,0)=8,A$16," ")," "))</f>
        <v xml:space="preserve"> </v>
      </c>
      <c r="B1472" s="8" t="str">
        <f>IF(A1472=" "," ",MAX(B1471:B1471)+1)</f>
        <v xml:space="preserve"> </v>
      </c>
      <c r="C1472" s="8" t="str">
        <f>IFERROR(INDEX(A1471:A1492,MATCH(SMALL(B1471:B1492,2),B1471:B1492,0),1)," ")</f>
        <v>C4</v>
      </c>
      <c r="D1472" s="8">
        <f t="shared" ref="D1472:D1481" si="6342">IFERROR(VLOOKUP($C1472,$A$15:$O$36,2,FALSE)," ")</f>
        <v>1</v>
      </c>
      <c r="E1472" s="8">
        <f t="shared" ref="E1472:E1481" si="6343">IFERROR(VLOOKUP($C1472,$A$15:$O$36,3,FALSE)," ")</f>
        <v>0</v>
      </c>
      <c r="F1472" s="8">
        <f t="shared" ref="F1472:F1481" si="6344">IFERROR(VLOOKUP($C1472,$A$15:$O$36,4,FALSE)," ")</f>
        <v>1</v>
      </c>
      <c r="G1472" s="8">
        <f t="shared" ref="G1472:G1481" si="6345">IFERROR(VLOOKUP($C1472,$A$15:$O$36,5,FALSE)," ")</f>
        <v>0</v>
      </c>
      <c r="H1472" s="8">
        <f t="shared" ref="H1472:H1481" si="6346">IFERROR(VLOOKUP($C1472,$A$15:$O$36,6,FALSE)," ")</f>
        <v>0</v>
      </c>
      <c r="I1472" s="8">
        <f t="shared" ref="I1472:I1481" si="6347">IFERROR(VLOOKUP($C1472,$A$15:$O$36,7,FALSE)," ")</f>
        <v>0</v>
      </c>
      <c r="J1472" s="8">
        <f t="shared" ref="J1472:J1481" si="6348">IFERROR(VLOOKUP($C1472,$A$15:$O$36,8,FALSE)," ")</f>
        <v>0</v>
      </c>
      <c r="K1472" s="8">
        <f t="shared" ref="K1472:K1481" si="6349">IFERROR(VLOOKUP($C1472,$A$15:$O$36,9,FALSE)," ")</f>
        <v>0</v>
      </c>
      <c r="L1472" s="8">
        <f t="shared" ref="L1472:L1481" si="6350">IFERROR(VLOOKUP($C1472,$A$15:$O$36,10,FALSE)," ")</f>
        <v>0</v>
      </c>
      <c r="M1472" s="8">
        <f t="shared" ref="M1472:M1481" si="6351">IFERROR(VLOOKUP($C1472,$A$15:$O$36,11,FALSE)," ")</f>
        <v>0</v>
      </c>
      <c r="N1472" s="8">
        <f t="shared" ref="N1472:N1481" si="6352">IFERROR(VLOOKUP($C1472,$A$15:$O$36,12,FALSE)," ")</f>
        <v>0</v>
      </c>
      <c r="O1472" s="8">
        <f t="shared" ref="O1472:O1481" si="6353">IFERROR(VLOOKUP($C1472,$A$15:$O$36,15,FALSE)," ")</f>
        <v>400</v>
      </c>
      <c r="P1472" s="8" t="e">
        <v>#NUM!</v>
      </c>
      <c r="Q1472" s="8" t="e">
        <f t="shared" ref="Q1472" si="6354">IF(COUNTIF(P1471:P1481,"&lt;"&amp;-0.001)=0,IF(ABS(P1472)&lt;0.001,0,P1472)," ")</f>
        <v>#NUM!</v>
      </c>
      <c r="R1472" s="8"/>
      <c r="S1472" s="8"/>
      <c r="U1472" s="34" t="e">
        <f t="shared" ref="U1472" si="6355">$Q1471</f>
        <v>#NUM!</v>
      </c>
      <c r="V1472" s="34">
        <v>-1</v>
      </c>
      <c r="W1472" s="34" t="e">
        <f t="shared" ref="W1472" si="6356">-SUMPRODUCT($Q1472:$Q1481,$N$3:$N$12)</f>
        <v>#NUM!</v>
      </c>
      <c r="X1472" s="34"/>
      <c r="Y1472" s="34"/>
      <c r="Z1472" s="34"/>
      <c r="AA1472" s="34" t="e">
        <f t="shared" ref="AA1472" si="6357">$Q1472</f>
        <v>#NUM!</v>
      </c>
      <c r="AB1472" s="34">
        <v>-1</v>
      </c>
      <c r="AC1472" s="34" t="e">
        <f t="shared" ref="AC1472" si="6358">-SUMPRODUCT($Q1471:$Q1471,$N$2:$N$2)-SUMPRODUCT($Q1473:$Q1481,$N$4:$N$12)</f>
        <v>#NUM!</v>
      </c>
      <c r="AD1472" s="34"/>
      <c r="AE1472" s="34"/>
      <c r="AF1472" s="34"/>
      <c r="AG1472" s="34" t="e">
        <f t="shared" ref="AG1472" si="6359">$Q1473</f>
        <v>#NUM!</v>
      </c>
      <c r="AH1472" s="34">
        <v>-1</v>
      </c>
      <c r="AI1472" s="34" t="e">
        <f t="shared" ref="AI1472" si="6360">-SUMPRODUCT($Q1471:$Q1472,$N$2:$N$3)-SUMPRODUCT($Q1474:$Q1481,$N$5:$N$12)</f>
        <v>#NUM!</v>
      </c>
      <c r="AJ1472" s="34"/>
      <c r="AK1472" s="34"/>
      <c r="AL1472" s="34"/>
      <c r="AM1472" s="34" t="e">
        <f t="shared" ref="AM1472" si="6361">$Q1474</f>
        <v>#NUM!</v>
      </c>
      <c r="AN1472" s="34">
        <v>-1</v>
      </c>
      <c r="AO1472" s="34" t="e">
        <f t="shared" ref="AO1472" si="6362">-SUMPRODUCT($Q1471:$Q1473,$N$2:$N$4)-SUMPRODUCT($Q1475:$Q1481,$N$6:$N$12)</f>
        <v>#NUM!</v>
      </c>
      <c r="AP1472" s="34"/>
      <c r="AQ1472" s="34"/>
      <c r="AR1472" s="34"/>
      <c r="AS1472" s="34" t="e">
        <f t="shared" ref="AS1472" si="6363">$Q1475</f>
        <v>#NUM!</v>
      </c>
      <c r="AT1472" s="34">
        <v>-1</v>
      </c>
      <c r="AU1472" s="34" t="e">
        <f t="shared" ref="AU1472" si="6364">-SUMPRODUCT($Q1471:$Q1474,$N$2:$N$5)-SUMPRODUCT($Q1476:$Q1481,$N$7:$N$12)</f>
        <v>#NUM!</v>
      </c>
      <c r="AV1472" s="34"/>
      <c r="AW1472" s="34"/>
      <c r="AX1472" s="34"/>
      <c r="AY1472" s="34" t="e">
        <f t="shared" ref="AY1472" si="6365">$Q1476</f>
        <v>#NUM!</v>
      </c>
      <c r="AZ1472" s="34">
        <v>-1</v>
      </c>
      <c r="BA1472" s="34" t="e">
        <f t="shared" ref="BA1472" si="6366">-SUMPRODUCT($Q1471:$Q1475,$N$2:$N$6)-SUMPRODUCT($Q1477:$Q1481,$N$8:$N$12)</f>
        <v>#NUM!</v>
      </c>
      <c r="BB1472" s="34"/>
      <c r="BC1472" s="34"/>
      <c r="BD1472" s="34"/>
      <c r="BE1472" s="34" t="e">
        <f t="shared" ref="BE1472" si="6367">$Q1477</f>
        <v>#NUM!</v>
      </c>
      <c r="BF1472" s="34">
        <v>-1</v>
      </c>
      <c r="BG1472" s="34" t="e">
        <f t="shared" ref="BG1472" si="6368">-SUMPRODUCT($Q1471:$Q1476,$N$2:$N$7)-SUMPRODUCT($Q1478:$Q1481,$N$9:$N$12)</f>
        <v>#NUM!</v>
      </c>
      <c r="BH1472" s="34"/>
      <c r="BI1472" s="34"/>
      <c r="BJ1472" s="34"/>
      <c r="BK1472" s="34" t="e">
        <f t="shared" ref="BK1472" si="6369">$Q1478</f>
        <v>#NUM!</v>
      </c>
      <c r="BL1472" s="34">
        <v>-1</v>
      </c>
      <c r="BM1472" s="34" t="e">
        <f t="shared" ref="BM1472" si="6370">-SUMPRODUCT($Q1471:$Q1477,$N$2:$N$8)-SUMPRODUCT($Q1479:$Q1481,$N$10:$N$12)</f>
        <v>#NUM!</v>
      </c>
      <c r="BN1472" s="34"/>
      <c r="BO1472" s="34"/>
      <c r="BP1472" s="34"/>
      <c r="BQ1472" s="34" t="e">
        <f t="shared" ref="BQ1472" si="6371">$Q1479</f>
        <v>#NUM!</v>
      </c>
      <c r="BR1472" s="34">
        <v>-1</v>
      </c>
      <c r="BS1472" s="34" t="e">
        <f t="shared" ref="BS1472" si="6372">-SUMPRODUCT($Q1471:$Q1478,$N$2:$N$9)-SUMPRODUCT($Q1480:$Q1481,$N$11:$N$12)</f>
        <v>#NUM!</v>
      </c>
      <c r="BT1472" s="34"/>
      <c r="BU1472" s="34"/>
      <c r="BV1472" s="34"/>
      <c r="BW1472" s="34" t="e">
        <f t="shared" ref="BW1472" si="6373">$Q1480</f>
        <v>#NUM!</v>
      </c>
      <c r="BX1472" s="34">
        <v>-1</v>
      </c>
      <c r="BY1472" s="34" t="e">
        <f t="shared" ref="BY1472" si="6374">-SUMPRODUCT($Q1471:$Q1479,$N$2:$N$10)-SUMPRODUCT($Q1481,$N$12)</f>
        <v>#NUM!</v>
      </c>
      <c r="BZ1472" s="34"/>
      <c r="CA1472" s="34"/>
      <c r="CB1472" s="34"/>
      <c r="CC1472" s="34" t="e">
        <f t="shared" ref="CC1472" si="6375">$Q1481</f>
        <v>#NUM!</v>
      </c>
      <c r="CD1472" s="34">
        <v>-1</v>
      </c>
      <c r="CE1472" s="34" t="e">
        <f t="shared" ref="CE1472" si="6376">-SUMPRODUCT($Q1471:$Q1480,$N$2:$N$11)</f>
        <v>#NUM!</v>
      </c>
      <c r="CF1472" s="34"/>
      <c r="CG1472" s="34"/>
      <c r="CH1472" s="34"/>
      <c r="CI1472" s="8"/>
    </row>
    <row r="1473" spans="1:87" x14ac:dyDescent="0.2">
      <c r="A1473" s="8" t="str">
        <f>IF(AND(COUNTIF(W$3:W$13,A$17)&gt;0,A$17&lt;&gt;B1308),A$17,IFERROR(IF(MATCH(A$17,Z$3:Z$13,0)=8,A$17," ")," "))</f>
        <v>C3</v>
      </c>
      <c r="B1473" s="8">
        <f>IF(A1473=" "," ",MAX(B1471:B1472)+1)</f>
        <v>1</v>
      </c>
      <c r="C1473" s="8" t="str">
        <f>IFERROR(INDEX(A1471:A1492,MATCH(SMALL(B1471:B1492,3),B1471:B1492,0),1)," ")</f>
        <v>C10</v>
      </c>
      <c r="D1473" s="8">
        <f t="shared" si="6342"/>
        <v>0</v>
      </c>
      <c r="E1473" s="8">
        <f t="shared" si="6343"/>
        <v>0</v>
      </c>
      <c r="F1473" s="8">
        <f t="shared" si="6344"/>
        <v>0</v>
      </c>
      <c r="G1473" s="8">
        <f t="shared" si="6345"/>
        <v>0</v>
      </c>
      <c r="H1473" s="8">
        <f t="shared" si="6346"/>
        <v>0</v>
      </c>
      <c r="I1473" s="8">
        <f t="shared" si="6347"/>
        <v>0</v>
      </c>
      <c r="J1473" s="8">
        <f t="shared" si="6348"/>
        <v>0</v>
      </c>
      <c r="K1473" s="8">
        <f t="shared" si="6349"/>
        <v>0</v>
      </c>
      <c r="L1473" s="8">
        <f t="shared" si="6350"/>
        <v>0</v>
      </c>
      <c r="M1473" s="8">
        <f t="shared" si="6351"/>
        <v>0</v>
      </c>
      <c r="N1473" s="8">
        <f t="shared" si="6352"/>
        <v>0</v>
      </c>
      <c r="O1473" s="8">
        <f t="shared" si="6353"/>
        <v>0</v>
      </c>
      <c r="P1473" s="8" t="e">
        <v>#NUM!</v>
      </c>
      <c r="Q1473" s="8" t="e">
        <f t="shared" ref="Q1473" si="6377">IF(COUNTIF(P1471:P1481,"&lt;"&amp;-0.001)=0,IF(ABS(P1473)&lt;0.001,0,P1473)," ")</f>
        <v>#NUM!</v>
      </c>
      <c r="R1473" s="8"/>
      <c r="S1473" s="8"/>
      <c r="U1473" s="34"/>
      <c r="V1473" s="34"/>
      <c r="W1473" s="34"/>
      <c r="X1473" s="34"/>
      <c r="Y1473" s="34"/>
      <c r="Z1473" s="34"/>
      <c r="AA1473" s="34"/>
      <c r="AB1473" s="34"/>
      <c r="AC1473" s="34"/>
      <c r="AD1473" s="34"/>
      <c r="AE1473" s="34"/>
      <c r="AF1473" s="34"/>
      <c r="AG1473" s="34"/>
      <c r="AH1473" s="34"/>
      <c r="AI1473" s="34"/>
      <c r="AJ1473" s="34"/>
      <c r="AK1473" s="34"/>
      <c r="AL1473" s="34"/>
      <c r="AM1473" s="34"/>
      <c r="AN1473" s="34"/>
      <c r="AO1473" s="34"/>
      <c r="AP1473" s="34"/>
      <c r="AQ1473" s="34"/>
      <c r="AR1473" s="34"/>
      <c r="AS1473" s="34"/>
      <c r="AT1473" s="34"/>
      <c r="AU1473" s="34"/>
      <c r="AV1473" s="34"/>
      <c r="AW1473" s="34"/>
      <c r="AX1473" s="34"/>
      <c r="AY1473" s="34"/>
      <c r="AZ1473" s="34"/>
      <c r="BA1473" s="34"/>
      <c r="BB1473" s="34"/>
      <c r="BC1473" s="34"/>
      <c r="BD1473" s="34"/>
      <c r="BE1473" s="34"/>
      <c r="BF1473" s="34"/>
      <c r="BG1473" s="34"/>
      <c r="BH1473" s="34"/>
      <c r="BI1473" s="34"/>
      <c r="BJ1473" s="34"/>
      <c r="BK1473" s="34"/>
      <c r="BL1473" s="34"/>
      <c r="BM1473" s="34"/>
      <c r="BN1473" s="34"/>
      <c r="BO1473" s="34"/>
      <c r="BP1473" s="34"/>
      <c r="BQ1473" s="34"/>
      <c r="BR1473" s="34"/>
      <c r="BS1473" s="34"/>
      <c r="BT1473" s="34"/>
      <c r="BU1473" s="34"/>
      <c r="BV1473" s="34"/>
      <c r="BW1473" s="34"/>
      <c r="BX1473" s="34"/>
      <c r="BY1473" s="34"/>
      <c r="BZ1473" s="34"/>
      <c r="CA1473" s="34"/>
      <c r="CB1473" s="34"/>
      <c r="CC1473" s="34"/>
      <c r="CD1473" s="34"/>
      <c r="CE1473" s="34"/>
      <c r="CF1473" s="34"/>
      <c r="CG1473" s="34"/>
      <c r="CH1473" s="34"/>
      <c r="CI1473" s="8"/>
    </row>
    <row r="1474" spans="1:87" x14ac:dyDescent="0.2">
      <c r="A1474" s="8" t="str">
        <f>IF(AND(COUNTIF(W$3:W$13,A$18)&gt;0,A$18&lt;&gt;B1308),A$18,IFERROR(IF(MATCH(A$18,Z$3:Z$13,0)=8,A$18," ")," "))</f>
        <v>C4</v>
      </c>
      <c r="B1474" s="8">
        <f>IF(A1474=" "," ",MAX(B1471:B1473)+1)</f>
        <v>2</v>
      </c>
      <c r="C1474" s="8" t="str">
        <f>IFERROR(INDEX(A1471:A1492,MATCH(SMALL(B1471:B1492,4),B1471:B1492,0),1)," ")</f>
        <v>C13</v>
      </c>
      <c r="D1474" s="8">
        <f t="shared" si="6342"/>
        <v>0</v>
      </c>
      <c r="E1474" s="8">
        <f t="shared" si="6343"/>
        <v>1</v>
      </c>
      <c r="F1474" s="8">
        <f t="shared" si="6344"/>
        <v>0</v>
      </c>
      <c r="G1474" s="8">
        <f t="shared" si="6345"/>
        <v>0</v>
      </c>
      <c r="H1474" s="8">
        <f t="shared" si="6346"/>
        <v>0</v>
      </c>
      <c r="I1474" s="8">
        <f t="shared" si="6347"/>
        <v>0</v>
      </c>
      <c r="J1474" s="8">
        <f t="shared" si="6348"/>
        <v>0</v>
      </c>
      <c r="K1474" s="8">
        <f t="shared" si="6349"/>
        <v>0</v>
      </c>
      <c r="L1474" s="8">
        <f t="shared" si="6350"/>
        <v>0</v>
      </c>
      <c r="M1474" s="8">
        <f t="shared" si="6351"/>
        <v>0</v>
      </c>
      <c r="N1474" s="8">
        <f t="shared" si="6352"/>
        <v>0</v>
      </c>
      <c r="O1474" s="8">
        <f t="shared" si="6353"/>
        <v>0</v>
      </c>
      <c r="P1474" s="8" t="e">
        <v>#NUM!</v>
      </c>
      <c r="Q1474" s="8" t="e">
        <f t="shared" ref="Q1474" si="6378">IF(COUNTIF(P1471:P1481,"&lt;"&amp;-0.001)=0,IF(ABS(P1474)&lt;0.001,0,P1474)," ")</f>
        <v>#NUM!</v>
      </c>
      <c r="R1474" s="8"/>
      <c r="S1474" s="8"/>
      <c r="U1474" s="34"/>
      <c r="V1474" s="34"/>
      <c r="W1474" s="34"/>
      <c r="X1474" s="34"/>
      <c r="Y1474" s="34"/>
      <c r="Z1474" s="34"/>
      <c r="AA1474" s="34"/>
      <c r="AB1474" s="34"/>
      <c r="AC1474" s="34"/>
      <c r="AD1474" s="34"/>
      <c r="AE1474" s="34"/>
      <c r="AF1474" s="34"/>
      <c r="AG1474" s="34"/>
      <c r="AH1474" s="34"/>
      <c r="AI1474" s="34"/>
      <c r="AJ1474" s="34"/>
      <c r="AK1474" s="34"/>
      <c r="AL1474" s="34"/>
      <c r="AM1474" s="34"/>
      <c r="AN1474" s="34"/>
      <c r="AO1474" s="34"/>
      <c r="AP1474" s="34"/>
      <c r="AQ1474" s="34"/>
      <c r="AR1474" s="34"/>
      <c r="AS1474" s="34"/>
      <c r="AT1474" s="34"/>
      <c r="AU1474" s="34"/>
      <c r="AV1474" s="34"/>
      <c r="AW1474" s="34"/>
      <c r="AX1474" s="34"/>
      <c r="AY1474" s="34"/>
      <c r="AZ1474" s="34"/>
      <c r="BA1474" s="34"/>
      <c r="BB1474" s="34"/>
      <c r="BC1474" s="34"/>
      <c r="BD1474" s="34"/>
      <c r="BE1474" s="34"/>
      <c r="BF1474" s="34"/>
      <c r="BG1474" s="34"/>
      <c r="BH1474" s="34"/>
      <c r="BI1474" s="34"/>
      <c r="BJ1474" s="34"/>
      <c r="BK1474" s="34"/>
      <c r="BL1474" s="34"/>
      <c r="BM1474" s="34"/>
      <c r="BN1474" s="34"/>
      <c r="BO1474" s="34"/>
      <c r="BP1474" s="34"/>
      <c r="BQ1474" s="34"/>
      <c r="BR1474" s="34"/>
      <c r="BS1474" s="34"/>
      <c r="BT1474" s="34"/>
      <c r="BU1474" s="34"/>
      <c r="BV1474" s="34"/>
      <c r="BW1474" s="34"/>
      <c r="BX1474" s="34"/>
      <c r="BY1474" s="34"/>
      <c r="BZ1474" s="34"/>
      <c r="CA1474" s="34"/>
      <c r="CB1474" s="34"/>
      <c r="CC1474" s="34"/>
      <c r="CD1474" s="34"/>
      <c r="CE1474" s="34"/>
      <c r="CF1474" s="34"/>
      <c r="CG1474" s="34"/>
      <c r="CH1474" s="34"/>
      <c r="CI1474" s="8"/>
    </row>
    <row r="1475" spans="1:87" x14ac:dyDescent="0.2">
      <c r="A1475" s="8" t="str">
        <f>IF(AND(COUNTIF(W$3:W$13,A$19)&gt;0,A$19&lt;&gt;B1308),A$19,IFERROR(IF(MATCH(A$19,Z$3:Z$13,0)=8,A$19," ")," "))</f>
        <v xml:space="preserve"> </v>
      </c>
      <c r="B1475" s="8" t="str">
        <f>IF(A1475=" "," ",MAX(B1471:B1474)+1)</f>
        <v xml:space="preserve"> </v>
      </c>
      <c r="C1475" s="8" t="str">
        <f>IFERROR(INDEX(A1471:A1492,MATCH(SMALL(B1471:B1492,5),B1471:B1492,0),1)," ")</f>
        <v>C15</v>
      </c>
      <c r="D1475" s="8">
        <f t="shared" si="6342"/>
        <v>0</v>
      </c>
      <c r="E1475" s="8">
        <f t="shared" si="6343"/>
        <v>0</v>
      </c>
      <c r="F1475" s="8">
        <f t="shared" si="6344"/>
        <v>0</v>
      </c>
      <c r="G1475" s="8">
        <f t="shared" si="6345"/>
        <v>1</v>
      </c>
      <c r="H1475" s="8">
        <f t="shared" si="6346"/>
        <v>0</v>
      </c>
      <c r="I1475" s="8">
        <f t="shared" si="6347"/>
        <v>0</v>
      </c>
      <c r="J1475" s="8">
        <f t="shared" si="6348"/>
        <v>0</v>
      </c>
      <c r="K1475" s="8">
        <f t="shared" si="6349"/>
        <v>0</v>
      </c>
      <c r="L1475" s="8">
        <f t="shared" si="6350"/>
        <v>0</v>
      </c>
      <c r="M1475" s="8">
        <f t="shared" si="6351"/>
        <v>0</v>
      </c>
      <c r="N1475" s="8">
        <f t="shared" si="6352"/>
        <v>0</v>
      </c>
      <c r="O1475" s="8">
        <f t="shared" si="6353"/>
        <v>0</v>
      </c>
      <c r="P1475" s="8" t="e">
        <v>#NUM!</v>
      </c>
      <c r="Q1475" s="8" t="e">
        <f t="shared" ref="Q1475" si="6379">IF(COUNTIF(P1471:P1481,"&lt;"&amp;-0.001)=0,IF(ABS(P1475)&lt;0.001,0,P1475)," ")</f>
        <v>#NUM!</v>
      </c>
      <c r="R1475" s="8"/>
      <c r="S1475" s="8"/>
      <c r="U1475" s="34"/>
      <c r="V1475" s="34"/>
      <c r="W1475" s="34"/>
      <c r="X1475" s="34"/>
      <c r="Y1475" s="34"/>
      <c r="Z1475" s="34"/>
      <c r="AA1475" s="34"/>
      <c r="AB1475" s="34"/>
      <c r="AC1475" s="34"/>
      <c r="AD1475" s="34"/>
      <c r="AE1475" s="34"/>
      <c r="AF1475" s="34"/>
      <c r="AG1475" s="34"/>
      <c r="AH1475" s="34"/>
      <c r="AI1475" s="34"/>
      <c r="AJ1475" s="34"/>
      <c r="AK1475" s="34"/>
      <c r="AL1475" s="34"/>
      <c r="AM1475" s="34"/>
      <c r="AN1475" s="34"/>
      <c r="AO1475" s="34"/>
      <c r="AP1475" s="34"/>
      <c r="AQ1475" s="34"/>
      <c r="AR1475" s="34"/>
      <c r="AS1475" s="34"/>
      <c r="AT1475" s="34"/>
      <c r="AU1475" s="34"/>
      <c r="AV1475" s="34"/>
      <c r="AW1475" s="34"/>
      <c r="AX1475" s="34"/>
      <c r="AY1475" s="34"/>
      <c r="AZ1475" s="34"/>
      <c r="BA1475" s="34"/>
      <c r="BB1475" s="34"/>
      <c r="BC1475" s="34"/>
      <c r="BD1475" s="34"/>
      <c r="BE1475" s="34"/>
      <c r="BF1475" s="34"/>
      <c r="BG1475" s="34"/>
      <c r="BH1475" s="34"/>
      <c r="BI1475" s="34"/>
      <c r="BJ1475" s="34"/>
      <c r="BK1475" s="34"/>
      <c r="BL1475" s="34"/>
      <c r="BM1475" s="34"/>
      <c r="BN1475" s="34"/>
      <c r="BO1475" s="34"/>
      <c r="BP1475" s="34"/>
      <c r="BQ1475" s="34"/>
      <c r="BR1475" s="34"/>
      <c r="BS1475" s="34"/>
      <c r="BT1475" s="34"/>
      <c r="BU1475" s="34"/>
      <c r="BV1475" s="34"/>
      <c r="BW1475" s="34"/>
      <c r="BX1475" s="34"/>
      <c r="BY1475" s="34"/>
      <c r="BZ1475" s="34"/>
      <c r="CA1475" s="34"/>
      <c r="CB1475" s="34"/>
      <c r="CC1475" s="34"/>
      <c r="CD1475" s="34"/>
      <c r="CE1475" s="34"/>
      <c r="CF1475" s="34"/>
      <c r="CG1475" s="34"/>
      <c r="CH1475" s="34"/>
      <c r="CI1475" s="8"/>
    </row>
    <row r="1476" spans="1:87" x14ac:dyDescent="0.2">
      <c r="A1476" s="8" t="str">
        <f>IF(AND(COUNTIF(W$3:W$13,A$20)&gt;0,A$20&lt;&gt;B1308),A$20,IFERROR(IF(MATCH(A$20,Z$3:Z$13,0)=8,A$20," ")," "))</f>
        <v xml:space="preserve"> </v>
      </c>
      <c r="B1476" s="8" t="str">
        <f>IF(A1476=" "," ",MAX(B1471:B1475)+1)</f>
        <v xml:space="preserve"> </v>
      </c>
      <c r="C1476" s="8" t="str">
        <f>IFERROR(INDEX(A1471:A1492,MATCH(SMALL(B1471:B1492,6),B1471:B1492,0),1)," ")</f>
        <v>C16</v>
      </c>
      <c r="D1476" s="8">
        <f t="shared" si="6342"/>
        <v>0</v>
      </c>
      <c r="E1476" s="8">
        <f t="shared" si="6343"/>
        <v>0</v>
      </c>
      <c r="F1476" s="8">
        <f t="shared" si="6344"/>
        <v>0</v>
      </c>
      <c r="G1476" s="8">
        <f t="shared" si="6345"/>
        <v>0</v>
      </c>
      <c r="H1476" s="8">
        <f t="shared" si="6346"/>
        <v>1</v>
      </c>
      <c r="I1476" s="8">
        <f t="shared" si="6347"/>
        <v>0</v>
      </c>
      <c r="J1476" s="8">
        <f t="shared" si="6348"/>
        <v>0</v>
      </c>
      <c r="K1476" s="8">
        <f t="shared" si="6349"/>
        <v>0</v>
      </c>
      <c r="L1476" s="8">
        <f t="shared" si="6350"/>
        <v>0</v>
      </c>
      <c r="M1476" s="8">
        <f t="shared" si="6351"/>
        <v>0</v>
      </c>
      <c r="N1476" s="8">
        <f t="shared" si="6352"/>
        <v>0</v>
      </c>
      <c r="O1476" s="8">
        <f t="shared" si="6353"/>
        <v>0</v>
      </c>
      <c r="P1476" s="8" t="e">
        <v>#NUM!</v>
      </c>
      <c r="Q1476" s="8" t="e">
        <f t="shared" ref="Q1476" si="6380">IF(COUNTIF(P1471:P1481,"&lt;"&amp;-0.001)=0,IF(ABS(P1476)&lt;0.001,0,P1476)," ")</f>
        <v>#NUM!</v>
      </c>
      <c r="R1476" s="8"/>
      <c r="S1476" s="8"/>
      <c r="U1476" s="34"/>
      <c r="V1476" s="34"/>
      <c r="W1476" s="34"/>
      <c r="X1476" s="34"/>
      <c r="Y1476" s="34"/>
      <c r="Z1476" s="34"/>
      <c r="AA1476" s="34"/>
      <c r="AB1476" s="34"/>
      <c r="AC1476" s="34"/>
      <c r="AD1476" s="34"/>
      <c r="AE1476" s="34"/>
      <c r="AF1476" s="34"/>
      <c r="AG1476" s="34"/>
      <c r="AH1476" s="34"/>
      <c r="AI1476" s="34"/>
      <c r="AJ1476" s="34"/>
      <c r="AK1476" s="34"/>
      <c r="AL1476" s="34"/>
      <c r="AM1476" s="34"/>
      <c r="AN1476" s="34"/>
      <c r="AO1476" s="34"/>
      <c r="AP1476" s="34"/>
      <c r="AQ1476" s="34"/>
      <c r="AR1476" s="34"/>
      <c r="AS1476" s="34"/>
      <c r="AT1476" s="34"/>
      <c r="AU1476" s="34"/>
      <c r="AV1476" s="34"/>
      <c r="AW1476" s="34"/>
      <c r="AX1476" s="34"/>
      <c r="AY1476" s="34"/>
      <c r="AZ1476" s="34"/>
      <c r="BA1476" s="34"/>
      <c r="BB1476" s="34"/>
      <c r="BC1476" s="34"/>
      <c r="BD1476" s="34"/>
      <c r="BE1476" s="34"/>
      <c r="BF1476" s="34"/>
      <c r="BG1476" s="34"/>
      <c r="BH1476" s="34"/>
      <c r="BI1476" s="34"/>
      <c r="BJ1476" s="34"/>
      <c r="BK1476" s="34"/>
      <c r="BL1476" s="34"/>
      <c r="BM1476" s="34"/>
      <c r="BN1476" s="34"/>
      <c r="BO1476" s="34"/>
      <c r="BP1476" s="34"/>
      <c r="BQ1476" s="34"/>
      <c r="BR1476" s="34"/>
      <c r="BS1476" s="34"/>
      <c r="BT1476" s="34"/>
      <c r="BU1476" s="34"/>
      <c r="BV1476" s="34"/>
      <c r="BW1476" s="34"/>
      <c r="BX1476" s="34"/>
      <c r="BY1476" s="34"/>
      <c r="BZ1476" s="34"/>
      <c r="CA1476" s="34"/>
      <c r="CB1476" s="34"/>
      <c r="CC1476" s="34"/>
      <c r="CD1476" s="34"/>
      <c r="CE1476" s="34"/>
      <c r="CF1476" s="34"/>
      <c r="CG1476" s="34"/>
      <c r="CH1476" s="34"/>
      <c r="CI1476" s="8"/>
    </row>
    <row r="1477" spans="1:87" x14ac:dyDescent="0.2">
      <c r="A1477" s="8" t="str">
        <f>IF(AND(COUNTIF(W$3:W$13,A$21)&gt;0,A$21&lt;&gt;B1308),A$21,IFERROR(IF(MATCH(A$21,Z$3:Z$13,0)=8,A$21," ")," "))</f>
        <v xml:space="preserve"> </v>
      </c>
      <c r="B1477" s="8" t="str">
        <f>IF(A1477=" "," ",MAX(B1471:B1476)+1)</f>
        <v xml:space="preserve"> </v>
      </c>
      <c r="C1477" s="8" t="str">
        <f>IFERROR(INDEX(A1471:A1492,MATCH(SMALL(B1471:B1492,7),B1471:B1492,0),1)," ")</f>
        <v>C18</v>
      </c>
      <c r="D1477" s="8">
        <f t="shared" si="6342"/>
        <v>0</v>
      </c>
      <c r="E1477" s="8">
        <f t="shared" si="6343"/>
        <v>0</v>
      </c>
      <c r="F1477" s="8">
        <f t="shared" si="6344"/>
        <v>0</v>
      </c>
      <c r="G1477" s="8">
        <f t="shared" si="6345"/>
        <v>0</v>
      </c>
      <c r="H1477" s="8">
        <f t="shared" si="6346"/>
        <v>0</v>
      </c>
      <c r="I1477" s="8">
        <f t="shared" si="6347"/>
        <v>0</v>
      </c>
      <c r="J1477" s="8">
        <f t="shared" si="6348"/>
        <v>1</v>
      </c>
      <c r="K1477" s="8">
        <f t="shared" si="6349"/>
        <v>0</v>
      </c>
      <c r="L1477" s="8">
        <f t="shared" si="6350"/>
        <v>0</v>
      </c>
      <c r="M1477" s="8">
        <f t="shared" si="6351"/>
        <v>0</v>
      </c>
      <c r="N1477" s="8">
        <f t="shared" si="6352"/>
        <v>0</v>
      </c>
      <c r="O1477" s="8">
        <f t="shared" si="6353"/>
        <v>0</v>
      </c>
      <c r="P1477" s="8" t="e">
        <v>#NUM!</v>
      </c>
      <c r="Q1477" s="8" t="e">
        <f t="shared" ref="Q1477" si="6381">IF(COUNTIF(P1471:P1481,"&lt;"&amp;-0.001)=0,IF(ABS(P1477)&lt;0.001,0,P1477)," ")</f>
        <v>#NUM!</v>
      </c>
      <c r="R1477" s="8"/>
      <c r="S1477" s="8"/>
      <c r="U1477" s="34"/>
      <c r="V1477" s="34"/>
      <c r="W1477" s="34"/>
      <c r="X1477" s="34"/>
      <c r="Y1477" s="34"/>
      <c r="Z1477" s="34"/>
      <c r="AA1477" s="34"/>
      <c r="AB1477" s="34"/>
      <c r="AC1477" s="34"/>
      <c r="AD1477" s="34"/>
      <c r="AE1477" s="34"/>
      <c r="AF1477" s="34"/>
      <c r="AG1477" s="34"/>
      <c r="AH1477" s="34"/>
      <c r="AI1477" s="34"/>
      <c r="AJ1477" s="34"/>
      <c r="AK1477" s="34"/>
      <c r="AL1477" s="34"/>
      <c r="AM1477" s="34"/>
      <c r="AN1477" s="34"/>
      <c r="AO1477" s="34"/>
      <c r="AP1477" s="34"/>
      <c r="AQ1477" s="34"/>
      <c r="AR1477" s="34"/>
      <c r="AS1477" s="34"/>
      <c r="AT1477" s="34"/>
      <c r="AU1477" s="34"/>
      <c r="AV1477" s="34"/>
      <c r="AW1477" s="34"/>
      <c r="AX1477" s="34"/>
      <c r="AY1477" s="34"/>
      <c r="AZ1477" s="34"/>
      <c r="BA1477" s="34"/>
      <c r="BB1477" s="34"/>
      <c r="BC1477" s="34"/>
      <c r="BD1477" s="34"/>
      <c r="BE1477" s="34"/>
      <c r="BF1477" s="34"/>
      <c r="BG1477" s="34"/>
      <c r="BH1477" s="34"/>
      <c r="BI1477" s="34"/>
      <c r="BJ1477" s="34"/>
      <c r="BK1477" s="34"/>
      <c r="BL1477" s="34"/>
      <c r="BM1477" s="34"/>
      <c r="BN1477" s="34"/>
      <c r="BO1477" s="34"/>
      <c r="BP1477" s="34"/>
      <c r="BQ1477" s="34"/>
      <c r="BR1477" s="34"/>
      <c r="BS1477" s="34"/>
      <c r="BT1477" s="34"/>
      <c r="BU1477" s="34"/>
      <c r="BV1477" s="34"/>
      <c r="BW1477" s="34"/>
      <c r="BX1477" s="34"/>
      <c r="BY1477" s="34"/>
      <c r="BZ1477" s="34"/>
      <c r="CA1477" s="34"/>
      <c r="CB1477" s="34"/>
      <c r="CC1477" s="34"/>
      <c r="CD1477" s="34"/>
      <c r="CE1477" s="34"/>
      <c r="CF1477" s="34"/>
      <c r="CG1477" s="34"/>
      <c r="CH1477" s="34"/>
      <c r="CI1477" s="8"/>
    </row>
    <row r="1478" spans="1:87" x14ac:dyDescent="0.2">
      <c r="A1478" s="8" t="str">
        <f>IF(AND(COUNTIF(W$3:W$13,A$22)&gt;0,A$22&lt;&gt;B1308),A$22,IFERROR(IF(MATCH(A$22,Z$3:Z$13,0)=8,A$22," ")," "))</f>
        <v xml:space="preserve"> </v>
      </c>
      <c r="B1478" s="8" t="str">
        <f>IF(A1478=" "," ",MAX(B1471:B1477)+1)</f>
        <v xml:space="preserve"> </v>
      </c>
      <c r="C1478" s="8" t="str">
        <f>IFERROR(INDEX(A1471:A1492,MATCH(SMALL(B1471:B1492,8),B1471:B1492,0),1)," ")</f>
        <v>C19</v>
      </c>
      <c r="D1478" s="8">
        <f t="shared" si="6342"/>
        <v>0</v>
      </c>
      <c r="E1478" s="8">
        <f t="shared" si="6343"/>
        <v>0</v>
      </c>
      <c r="F1478" s="8">
        <f t="shared" si="6344"/>
        <v>0</v>
      </c>
      <c r="G1478" s="8">
        <f t="shared" si="6345"/>
        <v>0</v>
      </c>
      <c r="H1478" s="8">
        <f t="shared" si="6346"/>
        <v>0</v>
      </c>
      <c r="I1478" s="8">
        <f t="shared" si="6347"/>
        <v>0</v>
      </c>
      <c r="J1478" s="8">
        <f t="shared" si="6348"/>
        <v>0</v>
      </c>
      <c r="K1478" s="8">
        <f t="shared" si="6349"/>
        <v>1</v>
      </c>
      <c r="L1478" s="8">
        <f t="shared" si="6350"/>
        <v>0</v>
      </c>
      <c r="M1478" s="8">
        <f t="shared" si="6351"/>
        <v>0</v>
      </c>
      <c r="N1478" s="8">
        <f t="shared" si="6352"/>
        <v>0</v>
      </c>
      <c r="O1478" s="8">
        <f t="shared" si="6353"/>
        <v>0</v>
      </c>
      <c r="P1478" s="8" t="e">
        <v>#NUM!</v>
      </c>
      <c r="Q1478" s="8" t="e">
        <f t="shared" ref="Q1478" si="6382">IF(COUNTIF(P1471:P1481,"&lt;"&amp;-0.001)=0,IF(ABS(P1478)&lt;0.001,0,P1478)," ")</f>
        <v>#NUM!</v>
      </c>
      <c r="R1478" s="8"/>
      <c r="S1478" s="8"/>
      <c r="U1478" s="34"/>
      <c r="V1478" s="34"/>
      <c r="W1478" s="34"/>
      <c r="X1478" s="34"/>
      <c r="Y1478" s="34"/>
      <c r="Z1478" s="34"/>
      <c r="AA1478" s="34"/>
      <c r="AB1478" s="34"/>
      <c r="AC1478" s="34"/>
      <c r="AD1478" s="34"/>
      <c r="AE1478" s="34"/>
      <c r="AF1478" s="34"/>
      <c r="AG1478" s="34"/>
      <c r="AH1478" s="34"/>
      <c r="AI1478" s="34"/>
      <c r="AJ1478" s="34"/>
      <c r="AK1478" s="34"/>
      <c r="AL1478" s="34"/>
      <c r="AM1478" s="34"/>
      <c r="AN1478" s="34"/>
      <c r="AO1478" s="34"/>
      <c r="AP1478" s="34"/>
      <c r="AQ1478" s="34"/>
      <c r="AR1478" s="34"/>
      <c r="AS1478" s="34"/>
      <c r="AT1478" s="34"/>
      <c r="AU1478" s="34"/>
      <c r="AV1478" s="34"/>
      <c r="AW1478" s="34"/>
      <c r="AX1478" s="34"/>
      <c r="AY1478" s="34"/>
      <c r="AZ1478" s="34"/>
      <c r="BA1478" s="34"/>
      <c r="BB1478" s="34"/>
      <c r="BC1478" s="34"/>
      <c r="BD1478" s="34"/>
      <c r="BE1478" s="34"/>
      <c r="BF1478" s="34"/>
      <c r="BG1478" s="34"/>
      <c r="BH1478" s="34"/>
      <c r="BI1478" s="34"/>
      <c r="BJ1478" s="34"/>
      <c r="BK1478" s="34"/>
      <c r="BL1478" s="34"/>
      <c r="BM1478" s="34"/>
      <c r="BN1478" s="34"/>
      <c r="BO1478" s="34"/>
      <c r="BP1478" s="34"/>
      <c r="BQ1478" s="34"/>
      <c r="BR1478" s="34"/>
      <c r="BS1478" s="34"/>
      <c r="BT1478" s="34"/>
      <c r="BU1478" s="34"/>
      <c r="BV1478" s="34"/>
      <c r="BW1478" s="34"/>
      <c r="BX1478" s="34"/>
      <c r="BY1478" s="34"/>
      <c r="BZ1478" s="34"/>
      <c r="CA1478" s="34"/>
      <c r="CB1478" s="34"/>
      <c r="CC1478" s="34"/>
      <c r="CD1478" s="34"/>
      <c r="CE1478" s="34"/>
      <c r="CF1478" s="34"/>
      <c r="CG1478" s="34"/>
      <c r="CH1478" s="34"/>
      <c r="CI1478" s="8"/>
    </row>
    <row r="1479" spans="1:87" x14ac:dyDescent="0.2">
      <c r="A1479" s="8" t="str">
        <f>IF(AND(COUNTIF(W$3:W$13,A$23)&gt;0,A$23&lt;&gt;B1308),A$23,IFERROR(IF(MATCH(A$23,Z$3:Z$13,0)=8,A$23," ")," "))</f>
        <v xml:space="preserve"> </v>
      </c>
      <c r="B1479" s="8" t="str">
        <f>IF(A1479=" "," ",MAX(B1471:B1478)+1)</f>
        <v xml:space="preserve"> </v>
      </c>
      <c r="C1479" s="8" t="str">
        <f>IFERROR(INDEX(A1471:A1492,MATCH(SMALL(B1471:B1492,9),B1471:B1492,0),1)," ")</f>
        <v>C20</v>
      </c>
      <c r="D1479" s="8">
        <f t="shared" si="6342"/>
        <v>0</v>
      </c>
      <c r="E1479" s="8">
        <f t="shared" si="6343"/>
        <v>0</v>
      </c>
      <c r="F1479" s="8">
        <f t="shared" si="6344"/>
        <v>0</v>
      </c>
      <c r="G1479" s="8">
        <f t="shared" si="6345"/>
        <v>0</v>
      </c>
      <c r="H1479" s="8">
        <f t="shared" si="6346"/>
        <v>0</v>
      </c>
      <c r="I1479" s="8">
        <f t="shared" si="6347"/>
        <v>0</v>
      </c>
      <c r="J1479" s="8">
        <f t="shared" si="6348"/>
        <v>0</v>
      </c>
      <c r="K1479" s="8">
        <f t="shared" si="6349"/>
        <v>0</v>
      </c>
      <c r="L1479" s="8">
        <f t="shared" si="6350"/>
        <v>1</v>
      </c>
      <c r="M1479" s="8">
        <f t="shared" si="6351"/>
        <v>0</v>
      </c>
      <c r="N1479" s="8">
        <f t="shared" si="6352"/>
        <v>0</v>
      </c>
      <c r="O1479" s="8">
        <f t="shared" si="6353"/>
        <v>0</v>
      </c>
      <c r="P1479" s="6" t="e">
        <v>#NUM!</v>
      </c>
      <c r="Q1479" s="8" t="e">
        <f t="shared" ref="Q1479" si="6383">IF(COUNTIF(P1471:P1481,"&lt;"&amp;-0.001)=0,IF(ABS(P1479)&lt;0.001,0,P1479)," ")</f>
        <v>#NUM!</v>
      </c>
      <c r="R1479" s="8"/>
      <c r="S1479" s="8"/>
      <c r="U1479" s="34"/>
      <c r="V1479" s="34"/>
      <c r="W1479" s="34"/>
      <c r="X1479" s="34"/>
      <c r="Y1479" s="34"/>
      <c r="Z1479" s="34"/>
      <c r="AA1479" s="34"/>
      <c r="AB1479" s="34"/>
      <c r="AC1479" s="34"/>
      <c r="AD1479" s="34"/>
      <c r="AE1479" s="34"/>
      <c r="AF1479" s="34"/>
      <c r="AG1479" s="34"/>
      <c r="AH1479" s="34"/>
      <c r="AI1479" s="34"/>
      <c r="AJ1479" s="34"/>
      <c r="AK1479" s="34"/>
      <c r="AL1479" s="34"/>
      <c r="AM1479" s="34"/>
      <c r="AN1479" s="34"/>
      <c r="AO1479" s="34"/>
      <c r="AP1479" s="34"/>
      <c r="AQ1479" s="34"/>
      <c r="AR1479" s="34"/>
      <c r="AS1479" s="34"/>
      <c r="AT1479" s="34"/>
      <c r="AU1479" s="34"/>
      <c r="AV1479" s="34"/>
      <c r="AW1479" s="34"/>
      <c r="AX1479" s="34"/>
      <c r="AY1479" s="34"/>
      <c r="AZ1479" s="34"/>
      <c r="BA1479" s="34"/>
      <c r="BB1479" s="34"/>
      <c r="BC1479" s="34"/>
      <c r="BD1479" s="34"/>
      <c r="BE1479" s="34"/>
      <c r="BF1479" s="34"/>
      <c r="BG1479" s="34"/>
      <c r="BH1479" s="34"/>
      <c r="BI1479" s="34"/>
      <c r="BJ1479" s="34"/>
      <c r="BK1479" s="34"/>
      <c r="BL1479" s="34"/>
      <c r="BM1479" s="34"/>
      <c r="BN1479" s="34"/>
      <c r="BO1479" s="34"/>
      <c r="BP1479" s="34"/>
      <c r="BQ1479" s="34"/>
      <c r="BR1479" s="34"/>
      <c r="BS1479" s="34"/>
      <c r="BT1479" s="34"/>
      <c r="BU1479" s="34"/>
      <c r="BV1479" s="34"/>
      <c r="BW1479" s="34"/>
      <c r="BX1479" s="34"/>
      <c r="BY1479" s="34"/>
      <c r="BZ1479" s="34"/>
      <c r="CA1479" s="34"/>
      <c r="CB1479" s="34"/>
      <c r="CC1479" s="34"/>
      <c r="CD1479" s="34"/>
      <c r="CE1479" s="34"/>
      <c r="CF1479" s="34"/>
      <c r="CG1479" s="34"/>
      <c r="CH1479" s="34"/>
      <c r="CI1479" s="8"/>
    </row>
    <row r="1480" spans="1:87" x14ac:dyDescent="0.2">
      <c r="A1480" s="8" t="str">
        <f>IF(AND(COUNTIF(W$3:W$13,A$24)&gt;0,A$24&lt;&gt;B1308),A$24,IFERROR(IF(MATCH(A$24,Z$3:Z$13,0)=8,A$24," ")," "))</f>
        <v>C10</v>
      </c>
      <c r="B1480" s="8">
        <f>IF(A1480=" "," ",MAX(B1471:B1479)+1)</f>
        <v>3</v>
      </c>
      <c r="C1480" s="8" t="str">
        <f>IFERROR(INDEX(A1471:A1492,MATCH(SMALL(B1471:B1492,10),B1471:B1492,0),1)," ")</f>
        <v>C21</v>
      </c>
      <c r="D1480" s="8">
        <f t="shared" si="6342"/>
        <v>0</v>
      </c>
      <c r="E1480" s="8">
        <f t="shared" si="6343"/>
        <v>0</v>
      </c>
      <c r="F1480" s="8">
        <f t="shared" si="6344"/>
        <v>0</v>
      </c>
      <c r="G1480" s="8">
        <f t="shared" si="6345"/>
        <v>0</v>
      </c>
      <c r="H1480" s="8">
        <f t="shared" si="6346"/>
        <v>0</v>
      </c>
      <c r="I1480" s="8">
        <f t="shared" si="6347"/>
        <v>0</v>
      </c>
      <c r="J1480" s="8">
        <f t="shared" si="6348"/>
        <v>0</v>
      </c>
      <c r="K1480" s="8">
        <f t="shared" si="6349"/>
        <v>0</v>
      </c>
      <c r="L1480" s="8">
        <f t="shared" si="6350"/>
        <v>0</v>
      </c>
      <c r="M1480" s="8">
        <f t="shared" si="6351"/>
        <v>1</v>
      </c>
      <c r="N1480" s="8">
        <f t="shared" si="6352"/>
        <v>0</v>
      </c>
      <c r="O1480" s="8">
        <f t="shared" si="6353"/>
        <v>0</v>
      </c>
      <c r="P1480" s="8" t="e">
        <v>#NUM!</v>
      </c>
      <c r="Q1480" s="8" t="e">
        <f t="shared" ref="Q1480" si="6384">IF(COUNTIF(P1471:P1481,"&lt;"&amp;-0.001)=0,IF(ABS(P1480)&lt;0.001,0,P1480)," ")</f>
        <v>#NUM!</v>
      </c>
      <c r="R1480" s="8"/>
      <c r="S1480" s="8"/>
      <c r="U1480" s="34"/>
      <c r="V1480" s="34"/>
      <c r="W1480" s="34"/>
      <c r="X1480" s="34"/>
      <c r="Y1480" s="34"/>
      <c r="Z1480" s="34"/>
      <c r="AA1480" s="34"/>
      <c r="AB1480" s="34"/>
      <c r="AC1480" s="34"/>
      <c r="AD1480" s="34"/>
      <c r="AE1480" s="34"/>
      <c r="AF1480" s="34"/>
      <c r="AG1480" s="34"/>
      <c r="AH1480" s="34"/>
      <c r="AI1480" s="34"/>
      <c r="AJ1480" s="34"/>
      <c r="AK1480" s="34"/>
      <c r="AL1480" s="34"/>
      <c r="AM1480" s="34"/>
      <c r="AN1480" s="34"/>
      <c r="AO1480" s="34"/>
      <c r="AP1480" s="34"/>
      <c r="AQ1480" s="34"/>
      <c r="AR1480" s="34"/>
      <c r="AS1480" s="34"/>
      <c r="AT1480" s="34"/>
      <c r="AU1480" s="34"/>
      <c r="AV1480" s="34"/>
      <c r="AW1480" s="34"/>
      <c r="AX1480" s="34"/>
      <c r="AY1480" s="34"/>
      <c r="AZ1480" s="34"/>
      <c r="BA1480" s="34"/>
      <c r="BB1480" s="34"/>
      <c r="BC1480" s="34"/>
      <c r="BD1480" s="34"/>
      <c r="BE1480" s="34"/>
      <c r="BF1480" s="34"/>
      <c r="BG1480" s="34"/>
      <c r="BH1480" s="34"/>
      <c r="BI1480" s="34"/>
      <c r="BJ1480" s="34"/>
      <c r="BK1480" s="34"/>
      <c r="BL1480" s="34"/>
      <c r="BM1480" s="34"/>
      <c r="BN1480" s="34"/>
      <c r="BO1480" s="34"/>
      <c r="BP1480" s="34"/>
      <c r="BQ1480" s="34"/>
      <c r="BR1480" s="34"/>
      <c r="BS1480" s="34"/>
      <c r="BT1480" s="34"/>
      <c r="BU1480" s="34"/>
      <c r="BV1480" s="34"/>
      <c r="BW1480" s="34"/>
      <c r="BX1480" s="34"/>
      <c r="BY1480" s="34"/>
      <c r="BZ1480" s="34"/>
      <c r="CA1480" s="34"/>
      <c r="CB1480" s="34"/>
      <c r="CC1480" s="34"/>
      <c r="CD1480" s="34"/>
      <c r="CE1480" s="34"/>
      <c r="CF1480" s="34"/>
      <c r="CG1480" s="34"/>
      <c r="CH1480" s="34"/>
      <c r="CI1480" s="8"/>
    </row>
    <row r="1481" spans="1:87" x14ac:dyDescent="0.2">
      <c r="A1481" s="8" t="str">
        <f>IF(AND(COUNTIF(W$3:W$13,A$25)&gt;0,A$25&lt;&gt;B1308),A$25,IFERROR(IF(MATCH(A$25,Z$3:Z$13,0)=8,A$25," ")," "))</f>
        <v xml:space="preserve"> </v>
      </c>
      <c r="B1481" s="8" t="str">
        <f>IF(A1481=" "," ",MAX(B1471:B1480)+1)</f>
        <v xml:space="preserve"> </v>
      </c>
      <c r="C1481" s="8" t="str">
        <f>IFERROR(INDEX(A1471:A1492,MATCH(SMALL(B1471:B1492,11),B1471:B1492,0),1)," ")</f>
        <v>C22</v>
      </c>
      <c r="D1481" s="8">
        <f t="shared" si="6342"/>
        <v>0</v>
      </c>
      <c r="E1481" s="8">
        <f t="shared" si="6343"/>
        <v>0</v>
      </c>
      <c r="F1481" s="8">
        <f t="shared" si="6344"/>
        <v>0</v>
      </c>
      <c r="G1481" s="8">
        <f t="shared" si="6345"/>
        <v>0</v>
      </c>
      <c r="H1481" s="8">
        <f t="shared" si="6346"/>
        <v>0</v>
      </c>
      <c r="I1481" s="8">
        <f t="shared" si="6347"/>
        <v>0</v>
      </c>
      <c r="J1481" s="8">
        <f t="shared" si="6348"/>
        <v>0</v>
      </c>
      <c r="K1481" s="8">
        <f t="shared" si="6349"/>
        <v>0</v>
      </c>
      <c r="L1481" s="8">
        <f t="shared" si="6350"/>
        <v>0</v>
      </c>
      <c r="M1481" s="8">
        <f t="shared" si="6351"/>
        <v>0</v>
      </c>
      <c r="N1481" s="8">
        <f t="shared" si="6352"/>
        <v>1</v>
      </c>
      <c r="O1481" s="8">
        <f t="shared" si="6353"/>
        <v>0</v>
      </c>
      <c r="P1481" s="8" t="e">
        <v>#NUM!</v>
      </c>
      <c r="Q1481" s="8" t="e">
        <f t="shared" ref="Q1481" si="6385">IF(COUNTIF(P1471:P1481,"&lt;"&amp;-0.001)=0,IF(ABS(P1481)&lt;0.001,0,P1481)," ")</f>
        <v>#NUM!</v>
      </c>
      <c r="R1481" s="8"/>
      <c r="S1481" s="8"/>
      <c r="U1481" s="34"/>
      <c r="V1481" s="34"/>
      <c r="W1481" s="34"/>
      <c r="X1481" s="34"/>
      <c r="Y1481" s="34"/>
      <c r="Z1481" s="34"/>
      <c r="AA1481" s="34"/>
      <c r="AB1481" s="34"/>
      <c r="AC1481" s="34"/>
      <c r="AD1481" s="34"/>
      <c r="AE1481" s="34"/>
      <c r="AF1481" s="34"/>
      <c r="AG1481" s="34"/>
      <c r="AH1481" s="34"/>
      <c r="AI1481" s="34"/>
      <c r="AJ1481" s="34"/>
      <c r="AK1481" s="34"/>
      <c r="AL1481" s="34"/>
      <c r="AM1481" s="34"/>
      <c r="AN1481" s="34"/>
      <c r="AO1481" s="34"/>
      <c r="AP1481" s="34"/>
      <c r="AQ1481" s="34"/>
      <c r="AR1481" s="34"/>
      <c r="AS1481" s="34"/>
      <c r="AT1481" s="34"/>
      <c r="AU1481" s="34"/>
      <c r="AV1481" s="34"/>
      <c r="AW1481" s="34"/>
      <c r="AX1481" s="34"/>
      <c r="AY1481" s="34"/>
      <c r="AZ1481" s="34"/>
      <c r="BA1481" s="34"/>
      <c r="BB1481" s="34"/>
      <c r="BC1481" s="34"/>
      <c r="BD1481" s="34"/>
      <c r="BE1481" s="34"/>
      <c r="BF1481" s="34"/>
      <c r="BG1481" s="34"/>
      <c r="BH1481" s="34"/>
      <c r="BI1481" s="34"/>
      <c r="BJ1481" s="34"/>
      <c r="BK1481" s="34"/>
      <c r="BL1481" s="34"/>
      <c r="BM1481" s="34"/>
      <c r="BN1481" s="34"/>
      <c r="BO1481" s="34"/>
      <c r="BP1481" s="34"/>
      <c r="BQ1481" s="34"/>
      <c r="BR1481" s="34"/>
      <c r="BS1481" s="34"/>
      <c r="BT1481" s="34"/>
      <c r="BU1481" s="34"/>
      <c r="BV1481" s="34"/>
      <c r="BW1481" s="34"/>
      <c r="BX1481" s="34"/>
      <c r="BY1481" s="34"/>
      <c r="BZ1481" s="34"/>
      <c r="CA1481" s="34"/>
      <c r="CB1481" s="34"/>
      <c r="CC1481" s="34"/>
      <c r="CD1481" s="34"/>
      <c r="CE1481" s="34"/>
      <c r="CF1481" s="34"/>
      <c r="CG1481" s="34"/>
      <c r="CH1481" s="34"/>
      <c r="CI1481" s="8"/>
    </row>
    <row r="1482" spans="1:87" x14ac:dyDescent="0.2">
      <c r="A1482" s="8" t="str">
        <f>IF(AND(COUNTIF(W$3:W$13,A$26)&gt;0,A$26&lt;&gt;B1308),A$26,IFERROR(IF(MATCH(A$26,Z$3:Z$13,0)=8,A$26," ")," "))</f>
        <v xml:space="preserve"> </v>
      </c>
      <c r="B1482" s="8" t="str">
        <f>IF(A1482=" "," ",MAX(B1471:B1481)+1)</f>
        <v xml:space="preserve"> </v>
      </c>
      <c r="C1482" s="8"/>
      <c r="D1482" s="8"/>
      <c r="E1482" s="8"/>
      <c r="F1482" s="8"/>
      <c r="G1482" s="8"/>
      <c r="H1482" s="8"/>
      <c r="I1482" s="8"/>
      <c r="J1482" s="8"/>
      <c r="K1482" s="8"/>
      <c r="L1482" s="8"/>
      <c r="M1482" s="8"/>
      <c r="N1482" s="8"/>
      <c r="O1482" s="8"/>
      <c r="P1482" s="8"/>
      <c r="Q1482" s="8"/>
      <c r="R1482" s="8"/>
      <c r="S1482" s="8"/>
      <c r="U1482" s="34"/>
      <c r="V1482" s="34"/>
      <c r="W1482" s="34"/>
      <c r="X1482" s="34"/>
      <c r="Y1482" s="34"/>
      <c r="Z1482" s="34"/>
      <c r="AA1482" s="34"/>
      <c r="AB1482" s="34"/>
      <c r="AC1482" s="34"/>
      <c r="AD1482" s="34"/>
      <c r="AE1482" s="34"/>
      <c r="AF1482" s="34"/>
      <c r="AG1482" s="34"/>
      <c r="AH1482" s="34"/>
      <c r="AI1482" s="34"/>
      <c r="AJ1482" s="34"/>
      <c r="AK1482" s="34"/>
      <c r="AL1482" s="34"/>
      <c r="AM1482" s="34"/>
      <c r="AN1482" s="34"/>
      <c r="AO1482" s="34"/>
      <c r="AP1482" s="34"/>
      <c r="AQ1482" s="34"/>
      <c r="AR1482" s="34"/>
      <c r="AS1482" s="34"/>
      <c r="AT1482" s="34"/>
      <c r="AU1482" s="34"/>
      <c r="AV1482" s="34"/>
      <c r="AW1482" s="34"/>
      <c r="AX1482" s="34"/>
      <c r="AY1482" s="34"/>
      <c r="AZ1482" s="34"/>
      <c r="BA1482" s="34"/>
      <c r="BB1482" s="34"/>
      <c r="BC1482" s="34"/>
      <c r="BD1482" s="34"/>
      <c r="BE1482" s="34"/>
      <c r="BF1482" s="34"/>
      <c r="BG1482" s="34"/>
      <c r="BH1482" s="34"/>
      <c r="BI1482" s="34"/>
      <c r="BJ1482" s="34"/>
      <c r="BK1482" s="34"/>
      <c r="BL1482" s="34"/>
      <c r="BM1482" s="34"/>
      <c r="BN1482" s="34"/>
      <c r="BO1482" s="34"/>
      <c r="BP1482" s="34"/>
      <c r="BQ1482" s="34"/>
      <c r="BR1482" s="34"/>
      <c r="BS1482" s="34"/>
      <c r="BT1482" s="34"/>
      <c r="BU1482" s="34"/>
      <c r="BV1482" s="34"/>
      <c r="BW1482" s="34"/>
      <c r="BX1482" s="34"/>
      <c r="BY1482" s="34"/>
      <c r="BZ1482" s="34"/>
      <c r="CA1482" s="34"/>
      <c r="CB1482" s="34"/>
      <c r="CC1482" s="34"/>
      <c r="CD1482" s="34"/>
      <c r="CE1482" s="34"/>
      <c r="CF1482" s="34"/>
      <c r="CG1482" s="34"/>
      <c r="CH1482" s="34"/>
      <c r="CI1482" s="8"/>
    </row>
    <row r="1483" spans="1:87" x14ac:dyDescent="0.2">
      <c r="A1483" s="8" t="str">
        <f>IF(AND(COUNTIF(W$3:W$13,A$27)&gt;0,A$27&lt;&gt;B1308),A$27,IFERROR(IF(MATCH(A$27,Z$3:Z$13,0)=8,A$27," ")," "))</f>
        <v>C13</v>
      </c>
      <c r="B1483" s="8">
        <f>IF(A1483=" "," ",MAX(B1471:B1482)+1)</f>
        <v>4</v>
      </c>
      <c r="C1483" s="8"/>
      <c r="D1483" s="8"/>
      <c r="E1483" s="8"/>
      <c r="F1483" s="8"/>
      <c r="G1483" s="8"/>
      <c r="H1483" s="8"/>
      <c r="I1483" s="8"/>
      <c r="J1483" s="8"/>
      <c r="K1483" s="8"/>
      <c r="L1483" s="8"/>
      <c r="M1483" s="8"/>
      <c r="N1483" s="8"/>
      <c r="O1483" s="8"/>
      <c r="P1483" s="8"/>
      <c r="Q1483" s="8"/>
      <c r="R1483" s="8"/>
      <c r="S1483" s="8"/>
      <c r="U1483" s="34"/>
      <c r="V1483" s="34"/>
      <c r="W1483" s="34"/>
      <c r="X1483" s="34"/>
      <c r="Y1483" s="34"/>
      <c r="Z1483" s="34"/>
      <c r="AA1483" s="34"/>
      <c r="AB1483" s="34"/>
      <c r="AC1483" s="34"/>
      <c r="AD1483" s="34"/>
      <c r="AE1483" s="34"/>
      <c r="AF1483" s="34"/>
      <c r="AG1483" s="34"/>
      <c r="AH1483" s="34"/>
      <c r="AI1483" s="34"/>
      <c r="AJ1483" s="34"/>
      <c r="AK1483" s="34"/>
      <c r="AL1483" s="34"/>
      <c r="AM1483" s="34"/>
      <c r="AN1483" s="34"/>
      <c r="AO1483" s="34"/>
      <c r="AP1483" s="34"/>
      <c r="AQ1483" s="34"/>
      <c r="AR1483" s="34"/>
      <c r="AS1483" s="34"/>
      <c r="AT1483" s="34"/>
      <c r="AU1483" s="34"/>
      <c r="AV1483" s="34"/>
      <c r="AW1483" s="34"/>
      <c r="AX1483" s="34"/>
      <c r="AY1483" s="34"/>
      <c r="AZ1483" s="34"/>
      <c r="BA1483" s="34"/>
      <c r="BB1483" s="34"/>
      <c r="BC1483" s="34"/>
      <c r="BD1483" s="34"/>
      <c r="BE1483" s="34"/>
      <c r="BF1483" s="34"/>
      <c r="BG1483" s="34"/>
      <c r="BH1483" s="34"/>
      <c r="BI1483" s="34"/>
      <c r="BJ1483" s="34"/>
      <c r="BK1483" s="34"/>
      <c r="BL1483" s="34"/>
      <c r="BM1483" s="34"/>
      <c r="BN1483" s="34"/>
      <c r="BO1483" s="34"/>
      <c r="BP1483" s="34"/>
      <c r="BQ1483" s="34"/>
      <c r="BR1483" s="34"/>
      <c r="BS1483" s="34"/>
      <c r="BT1483" s="34"/>
      <c r="BU1483" s="34"/>
      <c r="BV1483" s="34"/>
      <c r="BW1483" s="34"/>
      <c r="BX1483" s="34"/>
      <c r="BY1483" s="34"/>
      <c r="BZ1483" s="34"/>
      <c r="CA1483" s="34"/>
      <c r="CB1483" s="34"/>
      <c r="CC1483" s="34"/>
      <c r="CD1483" s="34"/>
      <c r="CE1483" s="34"/>
      <c r="CF1483" s="34"/>
      <c r="CG1483" s="34"/>
      <c r="CH1483" s="34"/>
      <c r="CI1483" s="8"/>
    </row>
    <row r="1484" spans="1:87" x14ac:dyDescent="0.2">
      <c r="A1484" s="8" t="str">
        <f>IF(AND(COUNTIF(W$3:W$13,A$28)&gt;0,A$28&lt;&gt;B1308),A$28,IFERROR(IF(MATCH(A$28,Z$3:Z$13,0)=8,A$28," ")," "))</f>
        <v xml:space="preserve"> </v>
      </c>
      <c r="B1484" s="8" t="str">
        <f>IF(A1484=" "," ",MAX(B1471:B1483)+1)</f>
        <v xml:space="preserve"> </v>
      </c>
      <c r="C1484" s="8"/>
      <c r="D1484" s="8"/>
      <c r="E1484" s="8"/>
      <c r="F1484" s="8"/>
      <c r="G1484" s="8"/>
      <c r="H1484" s="8"/>
      <c r="I1484" s="8"/>
      <c r="J1484" s="8"/>
      <c r="K1484" s="8"/>
      <c r="L1484" s="8"/>
      <c r="M1484" s="8"/>
      <c r="N1484" s="8"/>
      <c r="O1484" s="8"/>
      <c r="P1484" s="8"/>
      <c r="Q1484" s="8"/>
      <c r="R1484" s="8"/>
      <c r="S1484" s="8"/>
      <c r="U1484" s="34"/>
      <c r="V1484" s="34"/>
      <c r="W1484" s="34"/>
      <c r="X1484" s="34"/>
      <c r="Y1484" s="34"/>
      <c r="Z1484" s="34"/>
      <c r="AA1484" s="34"/>
      <c r="AB1484" s="34"/>
      <c r="AC1484" s="34"/>
      <c r="AD1484" s="34"/>
      <c r="AE1484" s="34"/>
      <c r="AF1484" s="34"/>
      <c r="AG1484" s="34"/>
      <c r="AH1484" s="34"/>
      <c r="AI1484" s="34"/>
      <c r="AJ1484" s="34"/>
      <c r="AK1484" s="34"/>
      <c r="AL1484" s="34"/>
      <c r="AM1484" s="34"/>
      <c r="AN1484" s="34"/>
      <c r="AO1484" s="34"/>
      <c r="AP1484" s="34"/>
      <c r="AQ1484" s="34"/>
      <c r="AR1484" s="34"/>
      <c r="AS1484" s="34"/>
      <c r="AT1484" s="34"/>
      <c r="AU1484" s="34"/>
      <c r="AV1484" s="34"/>
      <c r="AW1484" s="34"/>
      <c r="AX1484" s="34"/>
      <c r="AY1484" s="34"/>
      <c r="AZ1484" s="34"/>
      <c r="BA1484" s="34"/>
      <c r="BB1484" s="34"/>
      <c r="BC1484" s="34"/>
      <c r="BD1484" s="34"/>
      <c r="BE1484" s="34"/>
      <c r="BF1484" s="34"/>
      <c r="BG1484" s="34"/>
      <c r="BH1484" s="34"/>
      <c r="BI1484" s="34"/>
      <c r="BJ1484" s="34"/>
      <c r="BK1484" s="34"/>
      <c r="BL1484" s="34"/>
      <c r="BM1484" s="34"/>
      <c r="BN1484" s="34"/>
      <c r="BO1484" s="34"/>
      <c r="BP1484" s="34"/>
      <c r="BQ1484" s="34"/>
      <c r="BR1484" s="34"/>
      <c r="BS1484" s="34"/>
      <c r="BT1484" s="34"/>
      <c r="BU1484" s="34"/>
      <c r="BV1484" s="34"/>
      <c r="BW1484" s="34"/>
      <c r="BX1484" s="34"/>
      <c r="BY1484" s="34"/>
      <c r="BZ1484" s="34"/>
      <c r="CA1484" s="34"/>
      <c r="CB1484" s="34"/>
      <c r="CC1484" s="34"/>
      <c r="CD1484" s="34"/>
      <c r="CE1484" s="34"/>
      <c r="CF1484" s="34"/>
      <c r="CG1484" s="34"/>
      <c r="CH1484" s="34"/>
      <c r="CI1484" s="8"/>
    </row>
    <row r="1485" spans="1:87" x14ac:dyDescent="0.2">
      <c r="A1485" s="8" t="str">
        <f>IF(AND(COUNTIF(W$3:W$13,A$29)&gt;0,A$29&lt;&gt;B1308),A$29,IFERROR(IF(MATCH(A$29,Z$3:Z$13,0)=8,A$29," ")," "))</f>
        <v>C15</v>
      </c>
      <c r="B1485" s="8">
        <f>IF(A1485=" "," ",MAX(B1471:B1484)+1)</f>
        <v>5</v>
      </c>
      <c r="C1485" s="8"/>
      <c r="D1485" s="8"/>
      <c r="E1485" s="8"/>
      <c r="F1485" s="8"/>
      <c r="G1485" s="8"/>
      <c r="H1485" s="8"/>
      <c r="I1485" s="8"/>
      <c r="J1485" s="8"/>
      <c r="K1485" s="8"/>
      <c r="L1485" s="8"/>
      <c r="M1485" s="8"/>
      <c r="N1485" s="8"/>
      <c r="O1485" s="8"/>
      <c r="P1485" s="8"/>
      <c r="Q1485" s="8"/>
      <c r="R1485" s="8"/>
      <c r="S1485" s="8"/>
      <c r="U1485" s="34"/>
      <c r="V1485" s="34"/>
      <c r="W1485" s="34"/>
      <c r="X1485" s="34"/>
      <c r="Y1485" s="34"/>
      <c r="Z1485" s="34"/>
      <c r="AA1485" s="34"/>
      <c r="AB1485" s="34"/>
      <c r="AC1485" s="34"/>
      <c r="AD1485" s="34"/>
      <c r="AE1485" s="34"/>
      <c r="AF1485" s="34"/>
      <c r="AG1485" s="34"/>
      <c r="AH1485" s="34"/>
      <c r="AI1485" s="34"/>
      <c r="AJ1485" s="34"/>
      <c r="AK1485" s="34"/>
      <c r="AL1485" s="34"/>
      <c r="AM1485" s="34"/>
      <c r="AN1485" s="34"/>
      <c r="AO1485" s="34"/>
      <c r="AP1485" s="34"/>
      <c r="AQ1485" s="34"/>
      <c r="AR1485" s="34"/>
      <c r="AS1485" s="34"/>
      <c r="AT1485" s="34"/>
      <c r="AU1485" s="34"/>
      <c r="AV1485" s="34"/>
      <c r="AW1485" s="34"/>
      <c r="AX1485" s="34"/>
      <c r="AY1485" s="34"/>
      <c r="AZ1485" s="34"/>
      <c r="BA1485" s="34"/>
      <c r="BB1485" s="34"/>
      <c r="BC1485" s="34"/>
      <c r="BD1485" s="34"/>
      <c r="BE1485" s="34"/>
      <c r="BF1485" s="34"/>
      <c r="BG1485" s="34"/>
      <c r="BH1485" s="34"/>
      <c r="BI1485" s="34"/>
      <c r="BJ1485" s="34"/>
      <c r="BK1485" s="34"/>
      <c r="BL1485" s="34"/>
      <c r="BM1485" s="34"/>
      <c r="BN1485" s="34"/>
      <c r="BO1485" s="34"/>
      <c r="BP1485" s="34"/>
      <c r="BQ1485" s="34"/>
      <c r="BR1485" s="34"/>
      <c r="BS1485" s="34"/>
      <c r="BT1485" s="34"/>
      <c r="BU1485" s="34"/>
      <c r="BV1485" s="34"/>
      <c r="BW1485" s="34"/>
      <c r="BX1485" s="34"/>
      <c r="BY1485" s="34"/>
      <c r="BZ1485" s="34"/>
      <c r="CA1485" s="34"/>
      <c r="CB1485" s="34"/>
      <c r="CC1485" s="34"/>
      <c r="CD1485" s="34"/>
      <c r="CE1485" s="34"/>
      <c r="CF1485" s="34"/>
      <c r="CG1485" s="34"/>
      <c r="CH1485" s="34"/>
      <c r="CI1485" s="8"/>
    </row>
    <row r="1486" spans="1:87" x14ac:dyDescent="0.2">
      <c r="A1486" s="8" t="str">
        <f>IF(AND(COUNTIF(W$3:W$13,A$30)&gt;0,A$30&lt;&gt;B1308),A$30,IFERROR(IF(MATCH(A$30,Z$3:Z$13,0)=8,A$30," ")," "))</f>
        <v>C16</v>
      </c>
      <c r="B1486" s="8">
        <f>IF(A1486=" "," ",MAX(B1471:B1485)+1)</f>
        <v>6</v>
      </c>
      <c r="C1486" s="8"/>
      <c r="D1486" s="8"/>
      <c r="E1486" s="8"/>
      <c r="F1486" s="8"/>
      <c r="G1486" s="8"/>
      <c r="H1486" s="8"/>
      <c r="I1486" s="8"/>
      <c r="J1486" s="8"/>
      <c r="K1486" s="8"/>
      <c r="L1486" s="8"/>
      <c r="M1486" s="8"/>
      <c r="N1486" s="8"/>
      <c r="O1486" s="8"/>
      <c r="P1486" s="8"/>
      <c r="Q1486" s="8"/>
      <c r="R1486" s="8"/>
      <c r="S1486" s="8"/>
      <c r="U1486" s="34"/>
      <c r="V1486" s="34"/>
      <c r="W1486" s="34"/>
      <c r="X1486" s="34"/>
      <c r="Y1486" s="34"/>
      <c r="Z1486" s="34"/>
      <c r="AA1486" s="34"/>
      <c r="AB1486" s="34"/>
      <c r="AC1486" s="34"/>
      <c r="AD1486" s="34"/>
      <c r="AE1486" s="34"/>
      <c r="AF1486" s="34"/>
      <c r="AG1486" s="34"/>
      <c r="AH1486" s="34"/>
      <c r="AI1486" s="34"/>
      <c r="AJ1486" s="34"/>
      <c r="AK1486" s="34"/>
      <c r="AL1486" s="34"/>
      <c r="AM1486" s="34"/>
      <c r="AN1486" s="34"/>
      <c r="AO1486" s="34"/>
      <c r="AP1486" s="34"/>
      <c r="AQ1486" s="34"/>
      <c r="AR1486" s="34"/>
      <c r="AS1486" s="34"/>
      <c r="AT1486" s="34"/>
      <c r="AU1486" s="34"/>
      <c r="AV1486" s="34"/>
      <c r="AW1486" s="34"/>
      <c r="AX1486" s="34"/>
      <c r="AY1486" s="34"/>
      <c r="AZ1486" s="34"/>
      <c r="BA1486" s="34"/>
      <c r="BB1486" s="34"/>
      <c r="BC1486" s="34"/>
      <c r="BD1486" s="34"/>
      <c r="BE1486" s="34"/>
      <c r="BF1486" s="34"/>
      <c r="BG1486" s="34"/>
      <c r="BH1486" s="34"/>
      <c r="BI1486" s="34"/>
      <c r="BJ1486" s="34"/>
      <c r="BK1486" s="34"/>
      <c r="BL1486" s="34"/>
      <c r="BM1486" s="34"/>
      <c r="BN1486" s="34"/>
      <c r="BO1486" s="34"/>
      <c r="BP1486" s="34"/>
      <c r="BQ1486" s="34"/>
      <c r="BR1486" s="34"/>
      <c r="BS1486" s="34"/>
      <c r="BT1486" s="34"/>
      <c r="BU1486" s="34"/>
      <c r="BV1486" s="34"/>
      <c r="BW1486" s="34"/>
      <c r="BX1486" s="34"/>
      <c r="BY1486" s="34"/>
      <c r="BZ1486" s="34"/>
      <c r="CA1486" s="34"/>
      <c r="CB1486" s="34"/>
      <c r="CC1486" s="34"/>
      <c r="CD1486" s="34"/>
      <c r="CE1486" s="34"/>
      <c r="CF1486" s="34"/>
      <c r="CG1486" s="34"/>
      <c r="CH1486" s="34"/>
      <c r="CI1486" s="8"/>
    </row>
    <row r="1487" spans="1:87" x14ac:dyDescent="0.2">
      <c r="A1487" s="8" t="str">
        <f>IF(AND(COUNTIF(W$3:W$13,A$31)&gt;0,A$31&lt;&gt;B1308),A$31,IFERROR(IF(MATCH(A$31,Z$3:Z$13,0)=8,A$31," ")," "))</f>
        <v xml:space="preserve"> </v>
      </c>
      <c r="B1487" s="8" t="str">
        <f>IF(A1487=" "," ",MAX(B1471:B1486)+1)</f>
        <v xml:space="preserve"> </v>
      </c>
      <c r="C1487" s="8"/>
      <c r="D1487" s="8"/>
      <c r="E1487" s="8"/>
      <c r="F1487" s="8"/>
      <c r="G1487" s="8"/>
      <c r="H1487" s="8"/>
      <c r="I1487" s="8"/>
      <c r="J1487" s="8"/>
      <c r="K1487" s="8"/>
      <c r="L1487" s="8"/>
      <c r="M1487" s="8"/>
      <c r="N1487" s="8"/>
      <c r="O1487" s="8"/>
      <c r="P1487" s="8"/>
      <c r="Q1487" s="8"/>
      <c r="R1487" s="8"/>
      <c r="S1487" s="8"/>
      <c r="U1487" s="34"/>
      <c r="V1487" s="34"/>
      <c r="W1487" s="34"/>
      <c r="X1487" s="34"/>
      <c r="Y1487" s="34"/>
      <c r="Z1487" s="34"/>
      <c r="AA1487" s="34"/>
      <c r="AB1487" s="34"/>
      <c r="AC1487" s="34"/>
      <c r="AD1487" s="34"/>
      <c r="AE1487" s="34"/>
      <c r="AF1487" s="34"/>
      <c r="AG1487" s="34"/>
      <c r="AH1487" s="34"/>
      <c r="AI1487" s="34"/>
      <c r="AJ1487" s="34"/>
      <c r="AK1487" s="34"/>
      <c r="AL1487" s="34"/>
      <c r="AM1487" s="34"/>
      <c r="AN1487" s="34"/>
      <c r="AO1487" s="34"/>
      <c r="AP1487" s="34"/>
      <c r="AQ1487" s="34"/>
      <c r="AR1487" s="34"/>
      <c r="AS1487" s="34"/>
      <c r="AT1487" s="34"/>
      <c r="AU1487" s="34"/>
      <c r="AV1487" s="34"/>
      <c r="AW1487" s="34"/>
      <c r="AX1487" s="34"/>
      <c r="AY1487" s="34"/>
      <c r="AZ1487" s="34"/>
      <c r="BA1487" s="34"/>
      <c r="BB1487" s="34"/>
      <c r="BC1487" s="34"/>
      <c r="BD1487" s="34"/>
      <c r="BE1487" s="34"/>
      <c r="BF1487" s="34"/>
      <c r="BG1487" s="34"/>
      <c r="BH1487" s="34"/>
      <c r="BI1487" s="34"/>
      <c r="BJ1487" s="34"/>
      <c r="BK1487" s="34"/>
      <c r="BL1487" s="34"/>
      <c r="BM1487" s="34"/>
      <c r="BN1487" s="34"/>
      <c r="BO1487" s="34"/>
      <c r="BP1487" s="34"/>
      <c r="BQ1487" s="34"/>
      <c r="BR1487" s="34"/>
      <c r="BS1487" s="34"/>
      <c r="BT1487" s="34"/>
      <c r="BU1487" s="34"/>
      <c r="BV1487" s="34"/>
      <c r="BW1487" s="34"/>
      <c r="BX1487" s="34"/>
      <c r="BY1487" s="34"/>
      <c r="BZ1487" s="34"/>
      <c r="CA1487" s="34"/>
      <c r="CB1487" s="34"/>
      <c r="CC1487" s="34"/>
      <c r="CD1487" s="34"/>
      <c r="CE1487" s="34"/>
      <c r="CF1487" s="34"/>
      <c r="CG1487" s="34"/>
      <c r="CH1487" s="34"/>
      <c r="CI1487" s="8"/>
    </row>
    <row r="1488" spans="1:87" x14ac:dyDescent="0.2">
      <c r="A1488" s="8" t="str">
        <f>IF(AND(COUNTIF(W$3:W$13,A$32)&gt;0,A$32&lt;&gt;B1308),A$32,IFERROR(IF(MATCH(A$32,Z$3:Z$13,0)=8,A$32," ")," "))</f>
        <v>C18</v>
      </c>
      <c r="B1488" s="8">
        <f>IF(A1488=" "," ",MAX(B1471:B1487)+1)</f>
        <v>7</v>
      </c>
      <c r="C1488" s="8"/>
      <c r="D1488" s="8"/>
      <c r="E1488" s="8"/>
      <c r="F1488" s="8"/>
      <c r="G1488" s="8"/>
      <c r="H1488" s="8"/>
      <c r="I1488" s="8"/>
      <c r="J1488" s="8"/>
      <c r="K1488" s="8"/>
      <c r="L1488" s="8"/>
      <c r="M1488" s="8"/>
      <c r="N1488" s="8"/>
      <c r="O1488" s="8"/>
      <c r="P1488" s="8"/>
      <c r="Q1488" s="8"/>
      <c r="R1488" s="8"/>
      <c r="S1488" s="8"/>
      <c r="U1488" s="34"/>
      <c r="V1488" s="34"/>
      <c r="W1488" s="34"/>
      <c r="X1488" s="34"/>
      <c r="Y1488" s="34"/>
      <c r="Z1488" s="34"/>
      <c r="AA1488" s="34"/>
      <c r="AB1488" s="34"/>
      <c r="AC1488" s="34"/>
      <c r="AD1488" s="34"/>
      <c r="AE1488" s="34"/>
      <c r="AF1488" s="34"/>
      <c r="AG1488" s="34"/>
      <c r="AH1488" s="34"/>
      <c r="AI1488" s="34"/>
      <c r="AJ1488" s="34"/>
      <c r="AK1488" s="34"/>
      <c r="AL1488" s="34"/>
      <c r="AM1488" s="34"/>
      <c r="AN1488" s="34"/>
      <c r="AO1488" s="34"/>
      <c r="AP1488" s="34"/>
      <c r="AQ1488" s="34"/>
      <c r="AR1488" s="34"/>
      <c r="AS1488" s="34"/>
      <c r="AT1488" s="34"/>
      <c r="AU1488" s="34"/>
      <c r="AV1488" s="34"/>
      <c r="AW1488" s="34"/>
      <c r="AX1488" s="34"/>
      <c r="AY1488" s="34"/>
      <c r="AZ1488" s="34"/>
      <c r="BA1488" s="34"/>
      <c r="BB1488" s="34"/>
      <c r="BC1488" s="34"/>
      <c r="BD1488" s="34"/>
      <c r="BE1488" s="34"/>
      <c r="BF1488" s="34"/>
      <c r="BG1488" s="34"/>
      <c r="BH1488" s="34"/>
      <c r="BI1488" s="34"/>
      <c r="BJ1488" s="34"/>
      <c r="BK1488" s="34"/>
      <c r="BL1488" s="34"/>
      <c r="BM1488" s="34"/>
      <c r="BN1488" s="34"/>
      <c r="BO1488" s="34"/>
      <c r="BP1488" s="34"/>
      <c r="BQ1488" s="34"/>
      <c r="BR1488" s="34"/>
      <c r="BS1488" s="34"/>
      <c r="BT1488" s="34"/>
      <c r="BU1488" s="34"/>
      <c r="BV1488" s="34"/>
      <c r="BW1488" s="34"/>
      <c r="BX1488" s="34"/>
      <c r="BY1488" s="34"/>
      <c r="BZ1488" s="34"/>
      <c r="CA1488" s="34"/>
      <c r="CB1488" s="34"/>
      <c r="CC1488" s="34"/>
      <c r="CD1488" s="34"/>
      <c r="CE1488" s="34"/>
      <c r="CF1488" s="34"/>
      <c r="CG1488" s="34"/>
      <c r="CH1488" s="34"/>
      <c r="CI1488" s="8"/>
    </row>
    <row r="1489" spans="1:87" x14ac:dyDescent="0.2">
      <c r="A1489" s="8" t="str">
        <f>IF(AND(COUNTIF(W$3:W$13,A$33)&gt;0,A$33&lt;&gt;B1308),A$33,IFERROR(IF(MATCH(A$33,Z$3:Z$13,0)=8,A$33," ")," "))</f>
        <v>C19</v>
      </c>
      <c r="B1489" s="8">
        <f>IF(A1489=" "," ",MAX(B1471:B1488)+1)</f>
        <v>8</v>
      </c>
      <c r="C1489" s="8"/>
      <c r="D1489" s="8"/>
      <c r="E1489" s="8"/>
      <c r="F1489" s="8"/>
      <c r="G1489" s="8"/>
      <c r="H1489" s="8"/>
      <c r="I1489" s="8"/>
      <c r="J1489" s="8"/>
      <c r="K1489" s="8"/>
      <c r="L1489" s="8"/>
      <c r="M1489" s="8"/>
      <c r="N1489" s="8"/>
      <c r="O1489" s="8"/>
      <c r="P1489" s="8"/>
      <c r="Q1489" s="8"/>
      <c r="R1489" s="8"/>
      <c r="S1489" s="8"/>
      <c r="U1489" s="34"/>
      <c r="V1489" s="34"/>
      <c r="W1489" s="34"/>
      <c r="X1489" s="34"/>
      <c r="Y1489" s="34"/>
      <c r="Z1489" s="34"/>
      <c r="AA1489" s="34"/>
      <c r="AB1489" s="34"/>
      <c r="AC1489" s="34"/>
      <c r="AD1489" s="34"/>
      <c r="AE1489" s="34"/>
      <c r="AF1489" s="34"/>
      <c r="AG1489" s="34"/>
      <c r="AH1489" s="34"/>
      <c r="AI1489" s="34"/>
      <c r="AJ1489" s="34"/>
      <c r="AK1489" s="34"/>
      <c r="AL1489" s="34"/>
      <c r="AM1489" s="34"/>
      <c r="AN1489" s="34"/>
      <c r="AO1489" s="34"/>
      <c r="AP1489" s="34"/>
      <c r="AQ1489" s="34"/>
      <c r="AR1489" s="34"/>
      <c r="AS1489" s="34"/>
      <c r="AT1489" s="34"/>
      <c r="AU1489" s="34"/>
      <c r="AV1489" s="34"/>
      <c r="AW1489" s="34"/>
      <c r="AX1489" s="34"/>
      <c r="AY1489" s="34"/>
      <c r="AZ1489" s="34"/>
      <c r="BA1489" s="34"/>
      <c r="BB1489" s="34"/>
      <c r="BC1489" s="34"/>
      <c r="BD1489" s="34"/>
      <c r="BE1489" s="34"/>
      <c r="BF1489" s="34"/>
      <c r="BG1489" s="34"/>
      <c r="BH1489" s="34"/>
      <c r="BI1489" s="34"/>
      <c r="BJ1489" s="34"/>
      <c r="BK1489" s="34"/>
      <c r="BL1489" s="34"/>
      <c r="BM1489" s="34"/>
      <c r="BN1489" s="34"/>
      <c r="BO1489" s="34"/>
      <c r="BP1489" s="34"/>
      <c r="BQ1489" s="34"/>
      <c r="BR1489" s="34"/>
      <c r="BS1489" s="34"/>
      <c r="BT1489" s="34"/>
      <c r="BU1489" s="34"/>
      <c r="BV1489" s="34"/>
      <c r="BW1489" s="34"/>
      <c r="BX1489" s="34"/>
      <c r="BY1489" s="34"/>
      <c r="BZ1489" s="34"/>
      <c r="CA1489" s="34"/>
      <c r="CB1489" s="34"/>
      <c r="CC1489" s="34"/>
      <c r="CD1489" s="34"/>
      <c r="CE1489" s="34"/>
      <c r="CF1489" s="34"/>
      <c r="CG1489" s="34"/>
      <c r="CH1489" s="34"/>
      <c r="CI1489" s="8"/>
    </row>
    <row r="1490" spans="1:87" x14ac:dyDescent="0.2">
      <c r="A1490" s="8" t="str">
        <f>IF(AND(COUNTIF(W$3:W$13,A$34)&gt;0,A$34&lt;&gt;B1308),A$34,IFERROR(IF(MATCH(A$34,Z$3:Z$13,0)=8,A$34," ")," "))</f>
        <v>C20</v>
      </c>
      <c r="B1490" s="8">
        <f>IF(A1490=" "," ",MAX(B1471:B1489)+1)</f>
        <v>9</v>
      </c>
      <c r="C1490" s="8"/>
      <c r="D1490" s="8"/>
      <c r="E1490" s="8"/>
      <c r="F1490" s="8"/>
      <c r="G1490" s="8"/>
      <c r="H1490" s="8"/>
      <c r="I1490" s="8"/>
      <c r="J1490" s="8"/>
      <c r="K1490" s="8"/>
      <c r="L1490" s="8"/>
      <c r="M1490" s="8"/>
      <c r="N1490" s="8"/>
      <c r="O1490" s="8"/>
      <c r="P1490" s="8"/>
      <c r="Q1490" s="8"/>
      <c r="R1490" s="8"/>
      <c r="S1490" s="8"/>
      <c r="U1490" s="34"/>
      <c r="V1490" s="34"/>
      <c r="W1490" s="34"/>
      <c r="X1490" s="34"/>
      <c r="Y1490" s="34"/>
      <c r="Z1490" s="34"/>
      <c r="AA1490" s="34"/>
      <c r="AB1490" s="34"/>
      <c r="AC1490" s="34"/>
      <c r="AD1490" s="34"/>
      <c r="AE1490" s="34"/>
      <c r="AF1490" s="34"/>
      <c r="AG1490" s="34"/>
      <c r="AH1490" s="34"/>
      <c r="AI1490" s="34"/>
      <c r="AJ1490" s="34"/>
      <c r="AK1490" s="34"/>
      <c r="AL1490" s="34"/>
      <c r="AM1490" s="34"/>
      <c r="AN1490" s="34"/>
      <c r="AO1490" s="34"/>
      <c r="AP1490" s="34"/>
      <c r="AQ1490" s="34"/>
      <c r="AR1490" s="34"/>
      <c r="AS1490" s="34"/>
      <c r="AT1490" s="34"/>
      <c r="AU1490" s="34"/>
      <c r="AV1490" s="34"/>
      <c r="AW1490" s="34"/>
      <c r="AX1490" s="34"/>
      <c r="AY1490" s="34"/>
      <c r="AZ1490" s="34"/>
      <c r="BA1490" s="34"/>
      <c r="BB1490" s="34"/>
      <c r="BC1490" s="34"/>
      <c r="BD1490" s="34"/>
      <c r="BE1490" s="34"/>
      <c r="BF1490" s="34"/>
      <c r="BG1490" s="34"/>
      <c r="BH1490" s="34"/>
      <c r="BI1490" s="34"/>
      <c r="BJ1490" s="34"/>
      <c r="BK1490" s="34"/>
      <c r="BL1490" s="34"/>
      <c r="BM1490" s="34"/>
      <c r="BN1490" s="34"/>
      <c r="BO1490" s="34"/>
      <c r="BP1490" s="34"/>
      <c r="BQ1490" s="34"/>
      <c r="BR1490" s="34"/>
      <c r="BS1490" s="34"/>
      <c r="BT1490" s="34"/>
      <c r="BU1490" s="34"/>
      <c r="BV1490" s="34"/>
      <c r="BW1490" s="34"/>
      <c r="BX1490" s="34"/>
      <c r="BY1490" s="34"/>
      <c r="BZ1490" s="34"/>
      <c r="CA1490" s="34"/>
      <c r="CB1490" s="34"/>
      <c r="CC1490" s="34"/>
      <c r="CD1490" s="34"/>
      <c r="CE1490" s="34"/>
      <c r="CF1490" s="34"/>
      <c r="CG1490" s="34"/>
      <c r="CH1490" s="34"/>
      <c r="CI1490" s="8"/>
    </row>
    <row r="1491" spans="1:87" x14ac:dyDescent="0.2">
      <c r="A1491" s="8" t="str">
        <f>IF(AND(COUNTIF(W$3:W$13,A$35)&gt;0,A$35&lt;&gt;B1308),A$35,IFERROR(IF(MATCH(A$35,Z$3:Z$13,0)=8,A$35," ")," "))</f>
        <v>C21</v>
      </c>
      <c r="B1491" s="8">
        <f>IF(A1491=" "," ",MAX(B1471:B1490)+1)</f>
        <v>10</v>
      </c>
      <c r="C1491" s="8"/>
      <c r="D1491" s="8"/>
      <c r="E1491" s="8"/>
      <c r="F1491" s="8"/>
      <c r="G1491" s="8"/>
      <c r="H1491" s="8"/>
      <c r="I1491" s="8"/>
      <c r="J1491" s="8"/>
      <c r="K1491" s="8"/>
      <c r="L1491" s="8"/>
      <c r="M1491" s="8"/>
      <c r="N1491" s="8"/>
      <c r="O1491" s="8"/>
      <c r="P1491" s="8"/>
      <c r="Q1491" s="8"/>
      <c r="R1491" s="8"/>
      <c r="S1491" s="8"/>
      <c r="U1491" s="34"/>
      <c r="V1491" s="34"/>
      <c r="W1491" s="34"/>
      <c r="X1491" s="34"/>
      <c r="Y1491" s="34"/>
      <c r="Z1491" s="34"/>
      <c r="AA1491" s="34"/>
      <c r="AB1491" s="34"/>
      <c r="AC1491" s="34"/>
      <c r="AD1491" s="34"/>
      <c r="AE1491" s="34"/>
      <c r="AF1491" s="34"/>
      <c r="AG1491" s="34"/>
      <c r="AH1491" s="34"/>
      <c r="AI1491" s="34"/>
      <c r="AJ1491" s="34"/>
      <c r="AK1491" s="34"/>
      <c r="AL1491" s="34"/>
      <c r="AM1491" s="34"/>
      <c r="AN1491" s="34"/>
      <c r="AO1491" s="34"/>
      <c r="AP1491" s="34"/>
      <c r="AQ1491" s="34"/>
      <c r="AR1491" s="34"/>
      <c r="AS1491" s="34"/>
      <c r="AT1491" s="34"/>
      <c r="AU1491" s="34"/>
      <c r="AV1491" s="34"/>
      <c r="AW1491" s="34"/>
      <c r="AX1491" s="34"/>
      <c r="AY1491" s="34"/>
      <c r="AZ1491" s="34"/>
      <c r="BA1491" s="34"/>
      <c r="BB1491" s="34"/>
      <c r="BC1491" s="34"/>
      <c r="BD1491" s="34"/>
      <c r="BE1491" s="34"/>
      <c r="BF1491" s="34"/>
      <c r="BG1491" s="34"/>
      <c r="BH1491" s="34"/>
      <c r="BI1491" s="34"/>
      <c r="BJ1491" s="34"/>
      <c r="BK1491" s="34"/>
      <c r="BL1491" s="34"/>
      <c r="BM1491" s="34"/>
      <c r="BN1491" s="34"/>
      <c r="BO1491" s="34"/>
      <c r="BP1491" s="34"/>
      <c r="BQ1491" s="34"/>
      <c r="BR1491" s="34"/>
      <c r="BS1491" s="34"/>
      <c r="BT1491" s="34"/>
      <c r="BU1491" s="34"/>
      <c r="BV1491" s="34"/>
      <c r="BW1491" s="34"/>
      <c r="BX1491" s="34"/>
      <c r="BY1491" s="34"/>
      <c r="BZ1491" s="34"/>
      <c r="CA1491" s="34"/>
      <c r="CB1491" s="34"/>
      <c r="CC1491" s="34"/>
      <c r="CD1491" s="34"/>
      <c r="CE1491" s="34"/>
      <c r="CF1491" s="34"/>
      <c r="CG1491" s="34"/>
      <c r="CH1491" s="34"/>
      <c r="CI1491" s="8"/>
    </row>
    <row r="1492" spans="1:87" x14ac:dyDescent="0.2">
      <c r="A1492" s="8" t="str">
        <f>IF(AND(COUNTIF(W$3:W$13,A$36)&gt;0,A$36&lt;&gt;B1308),A$36,IFERROR(IF(MATCH(A$36,Z$3:Z$13,0)=8,A$36," ")," "))</f>
        <v>C22</v>
      </c>
      <c r="B1492" s="8">
        <f>IF(A1492=" "," ",MAX(B1471:B1491)+1)</f>
        <v>11</v>
      </c>
      <c r="C1492" s="8"/>
      <c r="D1492" s="8"/>
      <c r="E1492" s="8"/>
      <c r="F1492" s="8"/>
      <c r="G1492" s="8"/>
      <c r="H1492" s="8"/>
      <c r="I1492" s="8"/>
      <c r="J1492" s="8"/>
      <c r="K1492" s="8"/>
      <c r="L1492" s="8"/>
      <c r="M1492" s="8"/>
      <c r="N1492" s="8"/>
      <c r="O1492" s="8"/>
      <c r="P1492" s="8"/>
      <c r="Q1492" s="8"/>
      <c r="R1492" s="8"/>
      <c r="S1492" s="8"/>
      <c r="U1492" s="34"/>
      <c r="V1492" s="34"/>
      <c r="W1492" s="34"/>
      <c r="X1492" s="34"/>
      <c r="Y1492" s="34"/>
      <c r="Z1492" s="34"/>
      <c r="AA1492" s="34"/>
      <c r="AB1492" s="34"/>
      <c r="AC1492" s="34"/>
      <c r="AD1492" s="34"/>
      <c r="AE1492" s="34"/>
      <c r="AF1492" s="34"/>
      <c r="AG1492" s="34"/>
      <c r="AH1492" s="34"/>
      <c r="AI1492" s="34"/>
      <c r="AJ1492" s="34"/>
      <c r="AK1492" s="34"/>
      <c r="AL1492" s="34"/>
      <c r="AM1492" s="34"/>
      <c r="AN1492" s="34"/>
      <c r="AO1492" s="34"/>
      <c r="AP1492" s="34"/>
      <c r="AQ1492" s="34"/>
      <c r="AR1492" s="34"/>
      <c r="AS1492" s="34"/>
      <c r="AT1492" s="34"/>
      <c r="AU1492" s="34"/>
      <c r="AV1492" s="34"/>
      <c r="AW1492" s="34"/>
      <c r="AX1492" s="34"/>
      <c r="AY1492" s="34"/>
      <c r="AZ1492" s="34"/>
      <c r="BA1492" s="34"/>
      <c r="BB1492" s="34"/>
      <c r="BC1492" s="34"/>
      <c r="BD1492" s="34"/>
      <c r="BE1492" s="34"/>
      <c r="BF1492" s="34"/>
      <c r="BG1492" s="34"/>
      <c r="BH1492" s="34"/>
      <c r="BI1492" s="34"/>
      <c r="BJ1492" s="34"/>
      <c r="BK1492" s="34"/>
      <c r="BL1492" s="34"/>
      <c r="BM1492" s="34"/>
      <c r="BN1492" s="34"/>
      <c r="BO1492" s="34"/>
      <c r="BP1492" s="34"/>
      <c r="BQ1492" s="34"/>
      <c r="BR1492" s="34"/>
      <c r="BS1492" s="34"/>
      <c r="BT1492" s="34"/>
      <c r="BU1492" s="34"/>
      <c r="BV1492" s="34"/>
      <c r="BW1492" s="34"/>
      <c r="BX1492" s="34"/>
      <c r="BY1492" s="34"/>
      <c r="BZ1492" s="34"/>
      <c r="CA1492" s="34"/>
      <c r="CB1492" s="34"/>
      <c r="CC1492" s="34"/>
      <c r="CD1492" s="34"/>
      <c r="CE1492" s="34"/>
      <c r="CF1492" s="34"/>
      <c r="CG1492" s="34"/>
      <c r="CH1492" s="34"/>
      <c r="CI1492" s="8"/>
    </row>
    <row r="1493" spans="1:87" x14ac:dyDescent="0.2">
      <c r="A1493" s="11" t="s">
        <v>17</v>
      </c>
      <c r="B1493" s="11"/>
      <c r="C1493" s="27" t="s">
        <v>18</v>
      </c>
      <c r="D1493" s="27" t="s">
        <v>2</v>
      </c>
      <c r="E1493" s="27" t="s">
        <v>6</v>
      </c>
      <c r="F1493" s="27" t="s">
        <v>15</v>
      </c>
      <c r="G1493" s="27" t="s">
        <v>36</v>
      </c>
      <c r="H1493" s="27" t="s">
        <v>37</v>
      </c>
      <c r="I1493" s="27" t="s">
        <v>38</v>
      </c>
      <c r="J1493" s="27" t="s">
        <v>39</v>
      </c>
      <c r="K1493" s="27" t="s">
        <v>40</v>
      </c>
      <c r="L1493" s="27" t="s">
        <v>41</v>
      </c>
      <c r="M1493" s="27" t="s">
        <v>42</v>
      </c>
      <c r="N1493" s="27" t="s">
        <v>43</v>
      </c>
      <c r="O1493" s="27" t="s">
        <v>9</v>
      </c>
      <c r="P1493" s="27" t="s">
        <v>12</v>
      </c>
      <c r="Q1493" s="27" t="s">
        <v>19</v>
      </c>
      <c r="R1493" s="27" t="s">
        <v>55</v>
      </c>
      <c r="S1493" s="27" t="s">
        <v>26</v>
      </c>
      <c r="T1493" s="19" t="s">
        <v>25</v>
      </c>
      <c r="U1493" s="33" t="s">
        <v>27</v>
      </c>
      <c r="V1493" s="33" t="s">
        <v>9</v>
      </c>
      <c r="W1493" s="33" t="s">
        <v>23</v>
      </c>
      <c r="X1493" s="33" t="s">
        <v>12</v>
      </c>
      <c r="Y1493" s="33" t="s">
        <v>26</v>
      </c>
      <c r="Z1493" s="33" t="s">
        <v>25</v>
      </c>
      <c r="AA1493" s="33" t="s">
        <v>27</v>
      </c>
      <c r="AB1493" s="33" t="s">
        <v>9</v>
      </c>
      <c r="AC1493" s="33" t="s">
        <v>23</v>
      </c>
      <c r="AD1493" s="33" t="s">
        <v>12</v>
      </c>
      <c r="AE1493" s="33" t="s">
        <v>26</v>
      </c>
      <c r="AF1493" s="33" t="s">
        <v>25</v>
      </c>
      <c r="AG1493" s="33" t="s">
        <v>27</v>
      </c>
      <c r="AH1493" s="33" t="s">
        <v>9</v>
      </c>
      <c r="AI1493" s="33" t="s">
        <v>23</v>
      </c>
      <c r="AJ1493" s="33" t="s">
        <v>12</v>
      </c>
      <c r="AK1493" s="33" t="s">
        <v>26</v>
      </c>
      <c r="AL1493" s="33" t="s">
        <v>25</v>
      </c>
      <c r="AM1493" s="33" t="s">
        <v>27</v>
      </c>
      <c r="AN1493" s="33" t="s">
        <v>9</v>
      </c>
      <c r="AO1493" s="33" t="s">
        <v>23</v>
      </c>
      <c r="AP1493" s="33" t="s">
        <v>12</v>
      </c>
      <c r="AQ1493" s="33" t="s">
        <v>26</v>
      </c>
      <c r="AR1493" s="33" t="s">
        <v>25</v>
      </c>
      <c r="AS1493" s="33" t="s">
        <v>27</v>
      </c>
      <c r="AT1493" s="33" t="s">
        <v>9</v>
      </c>
      <c r="AU1493" s="33" t="s">
        <v>23</v>
      </c>
      <c r="AV1493" s="33" t="s">
        <v>12</v>
      </c>
      <c r="AW1493" s="33" t="s">
        <v>26</v>
      </c>
      <c r="AX1493" s="33" t="s">
        <v>25</v>
      </c>
      <c r="AY1493" s="33" t="s">
        <v>27</v>
      </c>
      <c r="AZ1493" s="33" t="s">
        <v>9</v>
      </c>
      <c r="BA1493" s="33" t="s">
        <v>23</v>
      </c>
      <c r="BB1493" s="33" t="s">
        <v>12</v>
      </c>
      <c r="BC1493" s="33" t="s">
        <v>26</v>
      </c>
      <c r="BD1493" s="33" t="s">
        <v>25</v>
      </c>
      <c r="BE1493" s="33" t="s">
        <v>27</v>
      </c>
      <c r="BF1493" s="33" t="s">
        <v>9</v>
      </c>
      <c r="BG1493" s="33" t="s">
        <v>23</v>
      </c>
      <c r="BH1493" s="33" t="s">
        <v>12</v>
      </c>
      <c r="BI1493" s="33" t="s">
        <v>26</v>
      </c>
      <c r="BJ1493" s="33" t="s">
        <v>25</v>
      </c>
      <c r="BK1493" s="33" t="s">
        <v>27</v>
      </c>
      <c r="BL1493" s="33" t="s">
        <v>9</v>
      </c>
      <c r="BM1493" s="33" t="s">
        <v>23</v>
      </c>
      <c r="BN1493" s="33" t="s">
        <v>12</v>
      </c>
      <c r="BO1493" s="33" t="s">
        <v>26</v>
      </c>
      <c r="BP1493" s="33" t="s">
        <v>25</v>
      </c>
      <c r="BQ1493" s="33" t="s">
        <v>27</v>
      </c>
      <c r="BR1493" s="33" t="s">
        <v>9</v>
      </c>
      <c r="BS1493" s="33" t="s">
        <v>23</v>
      </c>
      <c r="BT1493" s="33" t="s">
        <v>12</v>
      </c>
      <c r="BU1493" s="33" t="s">
        <v>26</v>
      </c>
      <c r="BV1493" s="33" t="s">
        <v>25</v>
      </c>
      <c r="BW1493" s="33" t="s">
        <v>27</v>
      </c>
      <c r="BX1493" s="33" t="s">
        <v>9</v>
      </c>
      <c r="BY1493" s="33" t="s">
        <v>23</v>
      </c>
      <c r="BZ1493" s="33" t="s">
        <v>12</v>
      </c>
      <c r="CA1493" s="33" t="s">
        <v>26</v>
      </c>
      <c r="CB1493" s="33" t="s">
        <v>25</v>
      </c>
      <c r="CC1493" s="33" t="s">
        <v>27</v>
      </c>
      <c r="CD1493" s="33" t="s">
        <v>9</v>
      </c>
      <c r="CE1493" s="33" t="s">
        <v>23</v>
      </c>
      <c r="CF1493" s="33" t="s">
        <v>12</v>
      </c>
      <c r="CG1493" s="33" t="s">
        <v>26</v>
      </c>
      <c r="CH1493" s="33" t="s">
        <v>25</v>
      </c>
      <c r="CI1493" s="8"/>
    </row>
    <row r="1494" spans="1:87" x14ac:dyDescent="0.2">
      <c r="A1494" s="8" t="str">
        <f>IF(AND(COUNTIF(W$3:W$13,A$15)&gt;0,A$15&lt;&gt;B1308),A$15,IFERROR(IF(MATCH(A$15,Z$3:Z$13,0)=9,A$15," ")," "))</f>
        <v xml:space="preserve"> </v>
      </c>
      <c r="B1494" s="8" t="str">
        <f>IF(A1494=" "," ",1)</f>
        <v xml:space="preserve"> </v>
      </c>
      <c r="C1494" s="8" t="str">
        <f>IFERROR(INDEX(A1494:A1515,MATCH(SMALL(B1494:B1515,1),B1494:B1515,0),1)," ")</f>
        <v>C3</v>
      </c>
      <c r="D1494" s="8">
        <f>IFERROR(VLOOKUP($C1494,$A$15:$O$36,2,FALSE)," ")</f>
        <v>2</v>
      </c>
      <c r="E1494" s="8">
        <f>IFERROR(VLOOKUP($C1494,$A$15:$O$36,3,FALSE)," ")</f>
        <v>5</v>
      </c>
      <c r="F1494" s="8">
        <f>IFERROR(VLOOKUP($C1494,$A$15:$O$36,4,FALSE)," ")</f>
        <v>6</v>
      </c>
      <c r="G1494" s="8">
        <f>IFERROR(VLOOKUP($C1494,$A$15:$O$36,5,FALSE)," ")</f>
        <v>0</v>
      </c>
      <c r="H1494" s="8">
        <f>IFERROR(VLOOKUP($C1494,$A$15:$O$36,6,FALSE)," ")</f>
        <v>0</v>
      </c>
      <c r="I1494" s="8">
        <f>IFERROR(VLOOKUP($C1494,$A$15:$O$36,7,FALSE)," ")</f>
        <v>0</v>
      </c>
      <c r="J1494" s="8">
        <f>IFERROR(VLOOKUP($C1494,$A$15:$O$36,8,FALSE)," ")</f>
        <v>0</v>
      </c>
      <c r="K1494" s="8">
        <f>IFERROR(VLOOKUP($C1494,$A$15:$O$36,9,FALSE)," ")</f>
        <v>0</v>
      </c>
      <c r="L1494" s="8">
        <f>IFERROR(VLOOKUP($C1494,$A$15:$O$36,10,FALSE)," ")</f>
        <v>0</v>
      </c>
      <c r="M1494" s="8">
        <f>IFERROR(VLOOKUP($C1494,$A$15:$O$36,11,FALSE)," ")</f>
        <v>0</v>
      </c>
      <c r="N1494" s="8">
        <f>IFERROR(VLOOKUP($C1494,$A$15:$O$36,12,FALSE)," ")</f>
        <v>0</v>
      </c>
      <c r="O1494" s="8">
        <f>IFERROR(VLOOKUP($C1494,$A$15:$O$36,15,FALSE)," ")</f>
        <v>2000</v>
      </c>
      <c r="P1494" s="8" t="e">
        <f t="array" ref="P1494:P1504">MMULT(MINVERSE(D1494:N1504),O1494:O1504)</f>
        <v>#NUM!</v>
      </c>
      <c r="Q1494" s="8" t="e">
        <f t="shared" ref="Q1494" si="6386">IF(COUNTIF(P1494:P1504,"&lt;"&amp;-0.001)=0,IF(ABS(P1494)&lt;0.001,0,P1494)," ")</f>
        <v>#NUM!</v>
      </c>
      <c r="R1494" s="8" t="str">
        <f>IFERROR(VLOOKUP(B1308,A$15:L$36,2,FALSE)*Q1494+VLOOKUP(B1308,A$15:L$36,3,FALSE)*Q1495+VLOOKUP(B1308,A$15:L$36,4,FALSE)*Q1496+VLOOKUP(B1308,A$15:L$36,5,FALSE)*Q1497+VLOOKUP(B1308,A$15:L$36,6,FALSE)*Q1498+VLOOKUP(B1308,A$15:L$36,7,FALSE)*Q1499+VLOOKUP(B1308,A$15:L$36,8,FALSE)*Q1500+VLOOKUP(B1308,A$15:L$36,9,FALSE)*Q1501+VLOOKUP(B1308,A$15:L$36,10,FALSE)*Q1502+VLOOKUP(B1308,A$15:L$36,11,FALSE)*Q1503+VLOOKUP(B1308,A$15:L$36,12,FALSE)*Q1504," ")</f>
        <v xml:space="preserve"> </v>
      </c>
      <c r="S1494" s="8" t="str">
        <f>IFERROR(IF(R1494-VLOOKUP(B1308,A$15:O$36,15,FALSE)&lt;0,R1494-VLOOKUP(B1308,A$15:O$36,15,FALSE)," ")," ")</f>
        <v xml:space="preserve"> </v>
      </c>
      <c r="T1494" s="18" t="str">
        <f>IFERROR(IF(R1494-VLOOKUP(B1308,A$15:O$36,15,FALSE)&gt;0,R1494-VLOOKUP(B1308,A$15:O$36,15,FALSE)," ")," ")</f>
        <v xml:space="preserve"> </v>
      </c>
      <c r="U1494" s="34">
        <f t="shared" ref="U1494" si="6387">$M$2</f>
        <v>100.00000000000001</v>
      </c>
      <c r="V1494" s="34">
        <v>-1</v>
      </c>
      <c r="W1494" s="34">
        <f t="shared" ref="W1494" si="6388">-SUMPRODUCT($M$3:$M$12,$N$3:$N$12)</f>
        <v>-105000</v>
      </c>
      <c r="X1494" s="34" t="e">
        <f t="shared" ref="X1494" si="6389">IF(U1494&lt;&gt;U1495,MMULT(MINVERSE(U1494:V1495),W1494:W1495)," ")</f>
        <v>#NUM!</v>
      </c>
      <c r="Y1494" s="34" t="str">
        <f t="shared" ref="Y1494" si="6390">IFERROR(IF(X1494-VLOOKUP(U$38,$A$2:$N$12,14,FALSE)&lt;0,X1494-VLOOKUP(U$38,$A$2:$N$12,14,FALSE)," ")," ")</f>
        <v xml:space="preserve"> </v>
      </c>
      <c r="Z1494" s="34" t="str">
        <f t="shared" ref="Z1494" si="6391">IFERROR(IF(X1494-VLOOKUP(U$38,$A$2:$N$12,14,FALSE)&gt;0,X1494-VLOOKUP(U$38,$A$2:$N$12,14,FALSE)," ")," ")</f>
        <v xml:space="preserve"> </v>
      </c>
      <c r="AA1494" s="34">
        <f t="shared" ref="AA1494" si="6392">$M$3</f>
        <v>0</v>
      </c>
      <c r="AB1494" s="34">
        <v>-1</v>
      </c>
      <c r="AC1494" s="34">
        <f t="shared" ref="AC1494" si="6393">-SUMPRODUCT($M$2:$M$2,$N$2:$N$2)-SUMPRODUCT($M$4:$M$12,$N$4:$N$12)</f>
        <v>-120000</v>
      </c>
      <c r="AD1494" s="34" t="e">
        <f t="shared" ref="AD1494" si="6394">IF(AA1494&lt;&gt;AA1495,MMULT(MINVERSE(AA1494:AB1495),AC1494:AC1495)," ")</f>
        <v>#NUM!</v>
      </c>
      <c r="AE1494" s="34" t="str">
        <f t="shared" ref="AE1494" si="6395">IFERROR(IF(AD1494-VLOOKUP(AA$38,$A$2:$N$12,14,FALSE)&lt;0,AD1494-VLOOKUP(AA$38,$A$2:$N$12,14,FALSE)," ")," ")</f>
        <v xml:space="preserve"> </v>
      </c>
      <c r="AF1494" s="34" t="str">
        <f t="shared" ref="AF1494" si="6396">IFERROR(IF(AD1494-VLOOKUP(AA$38,$A$2:$N$12,14,FALSE)&gt;0,AD1494-VLOOKUP(AA$38,$A$2:$N$12,14,FALSE)," ")," ")</f>
        <v xml:space="preserve"> </v>
      </c>
      <c r="AG1494" s="34">
        <f t="shared" ref="AG1494" si="6397">$M$4</f>
        <v>300</v>
      </c>
      <c r="AH1494" s="34">
        <v>-1</v>
      </c>
      <c r="AI1494" s="34">
        <f t="shared" ref="AI1494" si="6398">-SUMPRODUCT($M$2:$M$3,$N$2:$N$3)-SUMPRODUCT($M$5:$M$12,$N$5:$N$12)</f>
        <v>-15000.000000000002</v>
      </c>
      <c r="AJ1494" s="34" t="e">
        <f t="shared" ref="AJ1494" si="6399">IF(AG1494&lt;&gt;AG1495,MMULT(MINVERSE(AG1494:AH1495),AI1494:AI1495)," ")</f>
        <v>#NUM!</v>
      </c>
      <c r="AK1494" s="34" t="str">
        <f t="shared" ref="AK1494" si="6400">IFERROR(IF(AJ1494-VLOOKUP(AG$38,$A$2:$N$12,14,FALSE)&lt;0,AJ1494-VLOOKUP(AG$38,$A$2:$N$12,14,FALSE)," ")," ")</f>
        <v xml:space="preserve"> </v>
      </c>
      <c r="AL1494" s="34" t="str">
        <f t="shared" ref="AL1494" si="6401">IFERROR(IF(AJ1494-VLOOKUP(AG$38,$A$2:$N$12,14,FALSE)&gt;0,AJ1494-VLOOKUP(AG$38,$A$2:$N$12,14,FALSE)," ")," ")</f>
        <v xml:space="preserve"> </v>
      </c>
      <c r="AM1494" s="34">
        <f t="shared" ref="AM1494" si="6402">$M$5</f>
        <v>0</v>
      </c>
      <c r="AN1494" s="34">
        <v>-1</v>
      </c>
      <c r="AO1494" s="34">
        <f t="shared" ref="AO1494" si="6403">-SUMPRODUCT($M$2:$M$4,$N$2:$N$4)-SUMPRODUCT($M$6:$M$12,$N$6:$N$12)</f>
        <v>-120000</v>
      </c>
      <c r="AP1494" s="34" t="e">
        <f t="shared" ref="AP1494" si="6404">IF(AM1494&lt;&gt;AM1495,MMULT(MINVERSE(AM1494:AN1495),AO1494:AO1495)," ")</f>
        <v>#NUM!</v>
      </c>
      <c r="AQ1494" s="34" t="str">
        <f t="shared" ref="AQ1494" si="6405">IFERROR(IF(AP1494-VLOOKUP(AM$38,$A$2:$N$12,14,FALSE)&lt;0,AP1494-VLOOKUP(AM$38,$A$2:$N$12,14,FALSE)," ")," ")</f>
        <v xml:space="preserve"> </v>
      </c>
      <c r="AR1494" s="34" t="str">
        <f t="shared" ref="AR1494" si="6406">IFERROR(IF(AP1494-VLOOKUP(AM$38,$A$2:$N$12,14,FALSE)&gt;0,AP1494-VLOOKUP(AM$38,$A$2:$N$12,14,FALSE)," ")," ")</f>
        <v xml:space="preserve"> </v>
      </c>
      <c r="AS1494" s="34">
        <f t="shared" ref="AS1494" si="6407">$M$6</f>
        <v>0</v>
      </c>
      <c r="AT1494" s="34">
        <v>-1</v>
      </c>
      <c r="AU1494" s="34">
        <f t="shared" ref="AU1494" si="6408">-SUMPRODUCT($M$2:$M$5,$N$2:$N$5)-SUMPRODUCT($M$7:$M$12,$N$7:$N$12)</f>
        <v>-120000</v>
      </c>
      <c r="AV1494" s="34" t="e">
        <f t="shared" ref="AV1494" si="6409">IF(AS1494&lt;&gt;AS1495,MMULT(MINVERSE(AS1494:AT1495),AU1494:AU1495)," ")</f>
        <v>#NUM!</v>
      </c>
      <c r="AW1494" s="34" t="str">
        <f t="shared" ref="AW1494" si="6410">IFERROR(IF(AV1494-VLOOKUP(AS$38,$A$2:$N$12,14,FALSE)&lt;0,AV1494-VLOOKUP(AS$38,$A$2:$N$12,14,FALSE)," ")," ")</f>
        <v xml:space="preserve"> </v>
      </c>
      <c r="AX1494" s="34" t="str">
        <f t="shared" ref="AX1494" si="6411">IFERROR(IF(AV1494-VLOOKUP(AS$38,$A$2:$N$12,14,FALSE)&gt;0,AV1494-VLOOKUP(AS$38,$A$2:$N$12,14,FALSE)," ")," ")</f>
        <v xml:space="preserve"> </v>
      </c>
      <c r="AY1494" s="34">
        <f t="shared" ref="AY1494" si="6412">$M$7</f>
        <v>0</v>
      </c>
      <c r="AZ1494" s="34">
        <v>-1</v>
      </c>
      <c r="BA1494" s="34">
        <f t="shared" ref="BA1494" si="6413">-SUMPRODUCT($M$2:$M$6,$N$2:$N$6)-SUMPRODUCT($M$8:$M$12,$N$8:$N$12)</f>
        <v>-120000</v>
      </c>
      <c r="BB1494" s="34" t="e">
        <f t="shared" ref="BB1494" si="6414">IF(AY1494&lt;&gt;AY1495,MMULT(MINVERSE(AY1494:AZ1495),BA1494:BA1495)," ")</f>
        <v>#NUM!</v>
      </c>
      <c r="BC1494" s="34" t="str">
        <f t="shared" ref="BC1494" si="6415">IFERROR(IF(BB1494-VLOOKUP(AY$38,$A$2:$N$12,14,FALSE)&lt;0,BB1494-VLOOKUP(AY$38,$A$2:$N$12,14,FALSE)," ")," ")</f>
        <v xml:space="preserve"> </v>
      </c>
      <c r="BD1494" s="34" t="str">
        <f t="shared" ref="BD1494" si="6416">IFERROR(IF(BB1494-VLOOKUP(AY$38,$A$2:$N$12,14,FALSE)&gt;0,BB1494-VLOOKUP(AY$38,$A$2:$N$12,14,FALSE)," ")," ")</f>
        <v xml:space="preserve"> </v>
      </c>
      <c r="BE1494" s="34">
        <f t="shared" ref="BE1494" si="6417">$M$8</f>
        <v>0</v>
      </c>
      <c r="BF1494" s="34">
        <v>-1</v>
      </c>
      <c r="BG1494" s="34">
        <f t="shared" ref="BG1494" si="6418">-SUMPRODUCT($M$2:$M$7,$N$2:$N$7)-SUMPRODUCT($M$9:$M$12,$N$9:$N$12)</f>
        <v>-120000</v>
      </c>
      <c r="BH1494" s="34" t="e">
        <f t="shared" ref="BH1494" si="6419">IF(BE1494&lt;&gt;BE1495,MMULT(MINVERSE(BE1494:BF1495),BG1494:BG1495)," ")</f>
        <v>#NUM!</v>
      </c>
      <c r="BI1494" s="34" t="str">
        <f t="shared" ref="BI1494" si="6420">IFERROR(IF(BH1494-VLOOKUP(BE$38,$A$2:$N$12,14,FALSE)&lt;0,BH1494-VLOOKUP(BE$38,$A$2:$N$12,14,FALSE)," ")," ")</f>
        <v xml:space="preserve"> </v>
      </c>
      <c r="BJ1494" s="34" t="str">
        <f t="shared" ref="BJ1494" si="6421">IFERROR(IF(BH1494-VLOOKUP(BE$38,$A$2:$N$12,14,FALSE)&gt;0,BH1494-VLOOKUP(BE$38,$A$2:$N$12,14,FALSE)," ")," ")</f>
        <v xml:space="preserve"> </v>
      </c>
      <c r="BK1494" s="34">
        <f t="shared" ref="BK1494" si="6422">$M$9</f>
        <v>0</v>
      </c>
      <c r="BL1494" s="34">
        <v>-1</v>
      </c>
      <c r="BM1494" s="34">
        <f t="shared" ref="BM1494" si="6423">-SUMPRODUCT($M$2:$M$8,$N$2:$N$8)-SUMPRODUCT($M$10:$M$12,$N$10:$N$12)</f>
        <v>-120000</v>
      </c>
      <c r="BN1494" s="34" t="e">
        <f t="shared" ref="BN1494" si="6424">IF(BK1494&lt;&gt;BK1495,MMULT(MINVERSE(BK1494:BL1495),BM1494:BM1495)," ")</f>
        <v>#NUM!</v>
      </c>
      <c r="BO1494" s="34" t="str">
        <f t="shared" ref="BO1494" si="6425">IFERROR(IF(BN1494-VLOOKUP(BK$38,$A$2:$N$12,14,FALSE)&lt;0,BN1494-VLOOKUP(BK$38,$A$2:$N$12,14,FALSE)," ")," ")</f>
        <v xml:space="preserve"> </v>
      </c>
      <c r="BP1494" s="34" t="str">
        <f t="shared" ref="BP1494" si="6426">IFERROR(IF(BN1494-VLOOKUP(BK$38,$A$2:$N$12,14,FALSE)&gt;0,BN1494-VLOOKUP(BK$38,$A$2:$N$12,14,FALSE)," ")," ")</f>
        <v xml:space="preserve"> </v>
      </c>
      <c r="BQ1494" s="34">
        <f t="shared" ref="BQ1494" si="6427">$M$10</f>
        <v>0</v>
      </c>
      <c r="BR1494" s="34">
        <v>-1</v>
      </c>
      <c r="BS1494" s="34">
        <f t="shared" ref="BS1494" si="6428">-SUMPRODUCT($M$2:$M$9,$N$2:$N$9)-SUMPRODUCT($M$11:$M$12,$N$11:$N$12)</f>
        <v>-120000</v>
      </c>
      <c r="BT1494" s="34" t="e">
        <f t="shared" ref="BT1494" si="6429">IF(BQ1494&lt;&gt;BQ1495,MMULT(MINVERSE(BQ1494:BR1495),BS1494:BS1495)," ")</f>
        <v>#NUM!</v>
      </c>
      <c r="BU1494" s="34" t="str">
        <f t="shared" ref="BU1494" si="6430">IFERROR(IF(BT1494-VLOOKUP(BQ$38,$A$2:$N$12,14,FALSE)&lt;0,BT1494-VLOOKUP(BQ$38,$A$2:$N$12,14,FALSE)," ")," ")</f>
        <v xml:space="preserve"> </v>
      </c>
      <c r="BV1494" s="34" t="str">
        <f t="shared" ref="BV1494" si="6431">IFERROR(IF(BT1494-VLOOKUP(BQ$38,$A$2:$N$12,14,FALSE)&gt;0,BT1494-VLOOKUP(BQ$38,$A$2:$N$12,14,FALSE)," ")," ")</f>
        <v xml:space="preserve"> </v>
      </c>
      <c r="BW1494" s="34">
        <f t="shared" ref="BW1494" si="6432">$M$11</f>
        <v>0</v>
      </c>
      <c r="BX1494" s="34">
        <v>-1</v>
      </c>
      <c r="BY1494" s="34">
        <f t="shared" ref="BY1494" si="6433">-SUMPRODUCT($M$2:$M$10,$N$2:$N$10)-SUMPRODUCT($M$12,$N$12)</f>
        <v>-120000</v>
      </c>
      <c r="BZ1494" s="34" t="e">
        <f t="shared" ref="BZ1494" si="6434">IF(BW1494&lt;&gt;BW1495,MMULT(MINVERSE(BW1494:BX1495),BY1494:BY1495)," ")</f>
        <v>#NUM!</v>
      </c>
      <c r="CA1494" s="34" t="str">
        <f t="shared" ref="CA1494" si="6435">IFERROR(IF(BZ1494-VLOOKUP(BW$38,$A$2:$N$12,14,FALSE)&lt;0,BZ1494-VLOOKUP(BW$38,$A$2:$N$12,14,FALSE)," ")," ")</f>
        <v xml:space="preserve"> </v>
      </c>
      <c r="CB1494" s="34" t="str">
        <f t="shared" ref="CB1494" si="6436">IFERROR(IF(BZ1494-VLOOKUP(BW$38,$A$2:$N$12,14,FALSE)&gt;0,BZ1494-VLOOKUP(BW$38,$A$2:$N$12,14,FALSE)," ")," ")</f>
        <v xml:space="preserve"> </v>
      </c>
      <c r="CC1494" s="34">
        <f t="shared" ref="CC1494" si="6437">$M$12</f>
        <v>0</v>
      </c>
      <c r="CD1494" s="34">
        <v>-1</v>
      </c>
      <c r="CE1494" s="34">
        <f t="shared" ref="CE1494" si="6438">-SUMPRODUCT($M$2:$M$11,$N$2:$N$11)</f>
        <v>-120000</v>
      </c>
      <c r="CF1494" s="34" t="e">
        <f t="shared" ref="CF1494" si="6439">IF(CC1494&lt;&gt;CC1495,MMULT(MINVERSE(CC1494:CD1495),CE1494:CE1495)," ")</f>
        <v>#NUM!</v>
      </c>
      <c r="CG1494" s="34" t="str">
        <f t="shared" ref="CG1494" si="6440">IFERROR(IF(CF1494-VLOOKUP(CC$38,$A$2:$N$12,14,FALSE)&lt;0,CF1494-VLOOKUP(CC$38,$A$2:$N$12,14,FALSE)," ")," ")</f>
        <v xml:space="preserve"> </v>
      </c>
      <c r="CH1494" s="34" t="str">
        <f t="shared" ref="CH1494" si="6441">IFERROR(IF(CF1494-VLOOKUP(CC$38,$A$2:$N$12,14,FALSE)&gt;0,CF1494-VLOOKUP(CC$38,$A$2:$N$12,14,FALSE)," ")," ")</f>
        <v xml:space="preserve"> </v>
      </c>
      <c r="CI1494" s="8"/>
    </row>
    <row r="1495" spans="1:87" x14ac:dyDescent="0.2">
      <c r="A1495" s="8" t="str">
        <f>IF(AND(COUNTIF(W$3:W$13,A$16)&gt;0,A$16&lt;&gt;B1308),A$16,IFERROR(IF(MATCH(A$16,Z$3:Z$13,0)=9,A$16," ")," "))</f>
        <v xml:space="preserve"> </v>
      </c>
      <c r="B1495" s="8" t="str">
        <f>IF(A1495=" "," ",MAX(B1494:B1494)+1)</f>
        <v xml:space="preserve"> </v>
      </c>
      <c r="C1495" s="8" t="str">
        <f>IFERROR(INDEX(A1494:A1515,MATCH(SMALL(B1494:B1515,2),B1494:B1515,0),1)," ")</f>
        <v>C4</v>
      </c>
      <c r="D1495" s="8">
        <f t="shared" ref="D1495:D1504" si="6442">IFERROR(VLOOKUP($C1495,$A$15:$O$36,2,FALSE)," ")</f>
        <v>1</v>
      </c>
      <c r="E1495" s="8">
        <f t="shared" ref="E1495:E1504" si="6443">IFERROR(VLOOKUP($C1495,$A$15:$O$36,3,FALSE)," ")</f>
        <v>0</v>
      </c>
      <c r="F1495" s="8">
        <f t="shared" ref="F1495:F1504" si="6444">IFERROR(VLOOKUP($C1495,$A$15:$O$36,4,FALSE)," ")</f>
        <v>1</v>
      </c>
      <c r="G1495" s="8">
        <f t="shared" ref="G1495:G1504" si="6445">IFERROR(VLOOKUP($C1495,$A$15:$O$36,5,FALSE)," ")</f>
        <v>0</v>
      </c>
      <c r="H1495" s="8">
        <f t="shared" ref="H1495:H1504" si="6446">IFERROR(VLOOKUP($C1495,$A$15:$O$36,6,FALSE)," ")</f>
        <v>0</v>
      </c>
      <c r="I1495" s="8">
        <f t="shared" ref="I1495:I1504" si="6447">IFERROR(VLOOKUP($C1495,$A$15:$O$36,7,FALSE)," ")</f>
        <v>0</v>
      </c>
      <c r="J1495" s="8">
        <f t="shared" ref="J1495:J1504" si="6448">IFERROR(VLOOKUP($C1495,$A$15:$O$36,8,FALSE)," ")</f>
        <v>0</v>
      </c>
      <c r="K1495" s="8">
        <f t="shared" ref="K1495:K1504" si="6449">IFERROR(VLOOKUP($C1495,$A$15:$O$36,9,FALSE)," ")</f>
        <v>0</v>
      </c>
      <c r="L1495" s="8">
        <f t="shared" ref="L1495:L1504" si="6450">IFERROR(VLOOKUP($C1495,$A$15:$O$36,10,FALSE)," ")</f>
        <v>0</v>
      </c>
      <c r="M1495" s="8">
        <f t="shared" ref="M1495:M1504" si="6451">IFERROR(VLOOKUP($C1495,$A$15:$O$36,11,FALSE)," ")</f>
        <v>0</v>
      </c>
      <c r="N1495" s="8">
        <f t="shared" ref="N1495:N1504" si="6452">IFERROR(VLOOKUP($C1495,$A$15:$O$36,12,FALSE)," ")</f>
        <v>0</v>
      </c>
      <c r="O1495" s="8">
        <f t="shared" ref="O1495:O1504" si="6453">IFERROR(VLOOKUP($C1495,$A$15:$O$36,15,FALSE)," ")</f>
        <v>400</v>
      </c>
      <c r="P1495" s="8" t="e">
        <v>#NUM!</v>
      </c>
      <c r="Q1495" s="8" t="e">
        <f t="shared" ref="Q1495" si="6454">IF(COUNTIF(P1494:P1504,"&lt;"&amp;-0.001)=0,IF(ABS(P1495)&lt;0.001,0,P1495)," ")</f>
        <v>#NUM!</v>
      </c>
      <c r="R1495" s="8"/>
      <c r="S1495" s="8"/>
      <c r="U1495" s="34" t="e">
        <f t="shared" ref="U1495" si="6455">$Q1494</f>
        <v>#NUM!</v>
      </c>
      <c r="V1495" s="34">
        <v>-1</v>
      </c>
      <c r="W1495" s="34" t="e">
        <f t="shared" ref="W1495" si="6456">-SUMPRODUCT($Q1495:$Q1504,$N$3:$N$12)</f>
        <v>#NUM!</v>
      </c>
      <c r="X1495" s="34"/>
      <c r="Y1495" s="34"/>
      <c r="Z1495" s="34"/>
      <c r="AA1495" s="34" t="e">
        <f t="shared" ref="AA1495" si="6457">$Q1495</f>
        <v>#NUM!</v>
      </c>
      <c r="AB1495" s="34">
        <v>-1</v>
      </c>
      <c r="AC1495" s="34" t="e">
        <f t="shared" ref="AC1495" si="6458">-SUMPRODUCT($Q1494:$Q1494,$N$2:$N$2)-SUMPRODUCT($Q1496:$Q1504,$N$4:$N$12)</f>
        <v>#NUM!</v>
      </c>
      <c r="AD1495" s="34"/>
      <c r="AE1495" s="34"/>
      <c r="AF1495" s="34"/>
      <c r="AG1495" s="34" t="e">
        <f t="shared" ref="AG1495" si="6459">$Q1496</f>
        <v>#NUM!</v>
      </c>
      <c r="AH1495" s="34">
        <v>-1</v>
      </c>
      <c r="AI1495" s="34" t="e">
        <f t="shared" ref="AI1495" si="6460">-SUMPRODUCT($Q1494:$Q1495,$N$2:$N$3)-SUMPRODUCT($Q1497:$Q1504,$N$5:$N$12)</f>
        <v>#NUM!</v>
      </c>
      <c r="AJ1495" s="34"/>
      <c r="AK1495" s="34"/>
      <c r="AL1495" s="34"/>
      <c r="AM1495" s="34" t="e">
        <f t="shared" ref="AM1495" si="6461">$Q1497</f>
        <v>#NUM!</v>
      </c>
      <c r="AN1495" s="34">
        <v>-1</v>
      </c>
      <c r="AO1495" s="34" t="e">
        <f t="shared" ref="AO1495" si="6462">-SUMPRODUCT($Q1494:$Q1496,$N$2:$N$4)-SUMPRODUCT($Q1498:$Q1504,$N$6:$N$12)</f>
        <v>#NUM!</v>
      </c>
      <c r="AP1495" s="34"/>
      <c r="AQ1495" s="34"/>
      <c r="AR1495" s="34"/>
      <c r="AS1495" s="34" t="e">
        <f t="shared" ref="AS1495" si="6463">$Q1498</f>
        <v>#NUM!</v>
      </c>
      <c r="AT1495" s="34">
        <v>-1</v>
      </c>
      <c r="AU1495" s="34" t="e">
        <f t="shared" ref="AU1495" si="6464">-SUMPRODUCT($Q1494:$Q1497,$N$2:$N$5)-SUMPRODUCT($Q1499:$Q1504,$N$7:$N$12)</f>
        <v>#NUM!</v>
      </c>
      <c r="AV1495" s="34"/>
      <c r="AW1495" s="34"/>
      <c r="AX1495" s="34"/>
      <c r="AY1495" s="34" t="e">
        <f t="shared" ref="AY1495" si="6465">$Q1499</f>
        <v>#NUM!</v>
      </c>
      <c r="AZ1495" s="34">
        <v>-1</v>
      </c>
      <c r="BA1495" s="34" t="e">
        <f t="shared" ref="BA1495" si="6466">-SUMPRODUCT($Q1494:$Q1498,$N$2:$N$6)-SUMPRODUCT($Q1500:$Q1504,$N$8:$N$12)</f>
        <v>#NUM!</v>
      </c>
      <c r="BB1495" s="34"/>
      <c r="BC1495" s="34"/>
      <c r="BD1495" s="34"/>
      <c r="BE1495" s="34" t="e">
        <f t="shared" ref="BE1495" si="6467">$Q1500</f>
        <v>#NUM!</v>
      </c>
      <c r="BF1495" s="34">
        <v>-1</v>
      </c>
      <c r="BG1495" s="34" t="e">
        <f t="shared" ref="BG1495" si="6468">-SUMPRODUCT($Q1494:$Q1499,$N$2:$N$7)-SUMPRODUCT($Q1501:$Q1504,$N$9:$N$12)</f>
        <v>#NUM!</v>
      </c>
      <c r="BH1495" s="34"/>
      <c r="BI1495" s="34"/>
      <c r="BJ1495" s="34"/>
      <c r="BK1495" s="34" t="e">
        <f t="shared" ref="BK1495" si="6469">$Q1501</f>
        <v>#NUM!</v>
      </c>
      <c r="BL1495" s="34">
        <v>-1</v>
      </c>
      <c r="BM1495" s="34" t="e">
        <f t="shared" ref="BM1495" si="6470">-SUMPRODUCT($Q1494:$Q1500,$N$2:$N$8)-SUMPRODUCT($Q1502:$Q1504,$N$10:$N$12)</f>
        <v>#NUM!</v>
      </c>
      <c r="BN1495" s="34"/>
      <c r="BO1495" s="34"/>
      <c r="BP1495" s="34"/>
      <c r="BQ1495" s="34" t="e">
        <f t="shared" ref="BQ1495" si="6471">$Q1502</f>
        <v>#NUM!</v>
      </c>
      <c r="BR1495" s="34">
        <v>-1</v>
      </c>
      <c r="BS1495" s="34" t="e">
        <f t="shared" ref="BS1495" si="6472">-SUMPRODUCT($Q1494:$Q1501,$N$2:$N$9)-SUMPRODUCT($Q1503:$Q1504,$N$11:$N$12)</f>
        <v>#NUM!</v>
      </c>
      <c r="BT1495" s="34"/>
      <c r="BU1495" s="34"/>
      <c r="BV1495" s="34"/>
      <c r="BW1495" s="34" t="e">
        <f t="shared" ref="BW1495" si="6473">$Q1503</f>
        <v>#NUM!</v>
      </c>
      <c r="BX1495" s="34">
        <v>-1</v>
      </c>
      <c r="BY1495" s="34" t="e">
        <f t="shared" ref="BY1495" si="6474">-SUMPRODUCT($Q1494:$Q1502,$N$2:$N$10)-SUMPRODUCT($Q1504,$N$12)</f>
        <v>#NUM!</v>
      </c>
      <c r="BZ1495" s="34"/>
      <c r="CA1495" s="34"/>
      <c r="CB1495" s="34"/>
      <c r="CC1495" s="34" t="e">
        <f t="shared" ref="CC1495" si="6475">$Q1504</f>
        <v>#NUM!</v>
      </c>
      <c r="CD1495" s="34">
        <v>-1</v>
      </c>
      <c r="CE1495" s="34" t="e">
        <f t="shared" ref="CE1495" si="6476">-SUMPRODUCT($Q1494:$Q1503,$N$2:$N$11)</f>
        <v>#NUM!</v>
      </c>
      <c r="CF1495" s="34"/>
      <c r="CG1495" s="34"/>
      <c r="CH1495" s="34"/>
      <c r="CI1495" s="8"/>
    </row>
    <row r="1496" spans="1:87" x14ac:dyDescent="0.2">
      <c r="A1496" s="8" t="str">
        <f>IF(AND(COUNTIF(W$3:W$13,A$17)&gt;0,A$17&lt;&gt;B1308),A$17,IFERROR(IF(MATCH(A$17,Z$3:Z$13,0)=9,A$17," ")," "))</f>
        <v>C3</v>
      </c>
      <c r="B1496" s="8">
        <f>IF(A1496=" "," ",MAX(B1494:B1495)+1)</f>
        <v>1</v>
      </c>
      <c r="C1496" s="8" t="str">
        <f>IFERROR(INDEX(A1494:A1515,MATCH(SMALL(B1494:B1515,3),B1494:B1515,0),1)," ")</f>
        <v>C11</v>
      </c>
      <c r="D1496" s="8">
        <f t="shared" si="6442"/>
        <v>0</v>
      </c>
      <c r="E1496" s="8">
        <f t="shared" si="6443"/>
        <v>0</v>
      </c>
      <c r="F1496" s="8">
        <f t="shared" si="6444"/>
        <v>0</v>
      </c>
      <c r="G1496" s="8">
        <f t="shared" si="6445"/>
        <v>0</v>
      </c>
      <c r="H1496" s="8">
        <f t="shared" si="6446"/>
        <v>0</v>
      </c>
      <c r="I1496" s="8">
        <f t="shared" si="6447"/>
        <v>0</v>
      </c>
      <c r="J1496" s="8">
        <f t="shared" si="6448"/>
        <v>0</v>
      </c>
      <c r="K1496" s="8">
        <f t="shared" si="6449"/>
        <v>0</v>
      </c>
      <c r="L1496" s="8">
        <f t="shared" si="6450"/>
        <v>0</v>
      </c>
      <c r="M1496" s="8">
        <f t="shared" si="6451"/>
        <v>0</v>
      </c>
      <c r="N1496" s="8">
        <f t="shared" si="6452"/>
        <v>0</v>
      </c>
      <c r="O1496" s="8">
        <f t="shared" si="6453"/>
        <v>0</v>
      </c>
      <c r="P1496" s="8" t="e">
        <v>#NUM!</v>
      </c>
      <c r="Q1496" s="8" t="e">
        <f t="shared" ref="Q1496" si="6477">IF(COUNTIF(P1494:P1504,"&lt;"&amp;-0.001)=0,IF(ABS(P1496)&lt;0.001,0,P1496)," ")</f>
        <v>#NUM!</v>
      </c>
      <c r="R1496" s="8"/>
      <c r="S1496" s="8"/>
      <c r="U1496" s="34"/>
      <c r="V1496" s="34"/>
      <c r="W1496" s="34"/>
      <c r="X1496" s="34"/>
      <c r="Y1496" s="34"/>
      <c r="Z1496" s="34"/>
      <c r="AA1496" s="34"/>
      <c r="AB1496" s="34"/>
      <c r="AC1496" s="34"/>
      <c r="AD1496" s="34"/>
      <c r="AE1496" s="34"/>
      <c r="AF1496" s="34"/>
      <c r="AG1496" s="34"/>
      <c r="AH1496" s="34"/>
      <c r="AI1496" s="34"/>
      <c r="AJ1496" s="34"/>
      <c r="AK1496" s="34"/>
      <c r="AL1496" s="34"/>
      <c r="AM1496" s="34"/>
      <c r="AN1496" s="34"/>
      <c r="AO1496" s="34"/>
      <c r="AP1496" s="34"/>
      <c r="AQ1496" s="34"/>
      <c r="AR1496" s="34"/>
      <c r="AS1496" s="34"/>
      <c r="AT1496" s="34"/>
      <c r="AU1496" s="34"/>
      <c r="AV1496" s="34"/>
      <c r="AW1496" s="34"/>
      <c r="AX1496" s="34"/>
      <c r="AY1496" s="34"/>
      <c r="AZ1496" s="34"/>
      <c r="BA1496" s="34"/>
      <c r="BB1496" s="34"/>
      <c r="BC1496" s="34"/>
      <c r="BD1496" s="34"/>
      <c r="BE1496" s="34"/>
      <c r="BF1496" s="34"/>
      <c r="BG1496" s="34"/>
      <c r="BH1496" s="34"/>
      <c r="BI1496" s="34"/>
      <c r="BJ1496" s="34"/>
      <c r="BK1496" s="34"/>
      <c r="BL1496" s="34"/>
      <c r="BM1496" s="34"/>
      <c r="BN1496" s="34"/>
      <c r="BO1496" s="34"/>
      <c r="BP1496" s="34"/>
      <c r="BQ1496" s="34"/>
      <c r="BR1496" s="34"/>
      <c r="BS1496" s="34"/>
      <c r="BT1496" s="34"/>
      <c r="BU1496" s="34"/>
      <c r="BV1496" s="34"/>
      <c r="BW1496" s="34"/>
      <c r="BX1496" s="34"/>
      <c r="BY1496" s="34"/>
      <c r="BZ1496" s="34"/>
      <c r="CA1496" s="34"/>
      <c r="CB1496" s="34"/>
      <c r="CC1496" s="34"/>
      <c r="CD1496" s="34"/>
      <c r="CE1496" s="34"/>
      <c r="CF1496" s="34"/>
      <c r="CG1496" s="34"/>
      <c r="CH1496" s="34"/>
      <c r="CI1496" s="8"/>
    </row>
    <row r="1497" spans="1:87" x14ac:dyDescent="0.2">
      <c r="A1497" s="8" t="str">
        <f>IF(AND(COUNTIF(W$3:W$13,A$18)&gt;0,A$18&lt;&gt;B1308),A$18,IFERROR(IF(MATCH(A$18,Z$3:Z$13,0)=9,A$18," ")," "))</f>
        <v>C4</v>
      </c>
      <c r="B1497" s="8">
        <f>IF(A1497=" "," ",MAX(B1494:B1496)+1)</f>
        <v>2</v>
      </c>
      <c r="C1497" s="8" t="str">
        <f>IFERROR(INDEX(A1494:A1515,MATCH(SMALL(B1494:B1515,4),B1494:B1515,0),1)," ")</f>
        <v>C13</v>
      </c>
      <c r="D1497" s="8">
        <f t="shared" si="6442"/>
        <v>0</v>
      </c>
      <c r="E1497" s="8">
        <f t="shared" si="6443"/>
        <v>1</v>
      </c>
      <c r="F1497" s="8">
        <f t="shared" si="6444"/>
        <v>0</v>
      </c>
      <c r="G1497" s="8">
        <f t="shared" si="6445"/>
        <v>0</v>
      </c>
      <c r="H1497" s="8">
        <f t="shared" si="6446"/>
        <v>0</v>
      </c>
      <c r="I1497" s="8">
        <f t="shared" si="6447"/>
        <v>0</v>
      </c>
      <c r="J1497" s="8">
        <f t="shared" si="6448"/>
        <v>0</v>
      </c>
      <c r="K1497" s="8">
        <f t="shared" si="6449"/>
        <v>0</v>
      </c>
      <c r="L1497" s="8">
        <f t="shared" si="6450"/>
        <v>0</v>
      </c>
      <c r="M1497" s="8">
        <f t="shared" si="6451"/>
        <v>0</v>
      </c>
      <c r="N1497" s="8">
        <f t="shared" si="6452"/>
        <v>0</v>
      </c>
      <c r="O1497" s="8">
        <f t="shared" si="6453"/>
        <v>0</v>
      </c>
      <c r="P1497" s="8" t="e">
        <v>#NUM!</v>
      </c>
      <c r="Q1497" s="8" t="e">
        <f t="shared" ref="Q1497" si="6478">IF(COUNTIF(P1494:P1504,"&lt;"&amp;-0.001)=0,IF(ABS(P1497)&lt;0.001,0,P1497)," ")</f>
        <v>#NUM!</v>
      </c>
      <c r="R1497" s="8"/>
      <c r="S1497" s="8"/>
      <c r="U1497" s="34"/>
      <c r="V1497" s="34"/>
      <c r="W1497" s="34"/>
      <c r="X1497" s="34"/>
      <c r="Y1497" s="34"/>
      <c r="Z1497" s="34"/>
      <c r="AA1497" s="34"/>
      <c r="AB1497" s="34"/>
      <c r="AC1497" s="34"/>
      <c r="AD1497" s="34"/>
      <c r="AE1497" s="34"/>
      <c r="AF1497" s="34"/>
      <c r="AG1497" s="34"/>
      <c r="AH1497" s="34"/>
      <c r="AI1497" s="34"/>
      <c r="AJ1497" s="34"/>
      <c r="AK1497" s="34"/>
      <c r="AL1497" s="34"/>
      <c r="AM1497" s="34"/>
      <c r="AN1497" s="34"/>
      <c r="AO1497" s="34"/>
      <c r="AP1497" s="34"/>
      <c r="AQ1497" s="34"/>
      <c r="AR1497" s="34"/>
      <c r="AS1497" s="34"/>
      <c r="AT1497" s="34"/>
      <c r="AU1497" s="34"/>
      <c r="AV1497" s="34"/>
      <c r="AW1497" s="34"/>
      <c r="AX1497" s="34"/>
      <c r="AY1497" s="34"/>
      <c r="AZ1497" s="34"/>
      <c r="BA1497" s="34"/>
      <c r="BB1497" s="34"/>
      <c r="BC1497" s="34"/>
      <c r="BD1497" s="34"/>
      <c r="BE1497" s="34"/>
      <c r="BF1497" s="34"/>
      <c r="BG1497" s="34"/>
      <c r="BH1497" s="34"/>
      <c r="BI1497" s="34"/>
      <c r="BJ1497" s="34"/>
      <c r="BK1497" s="34"/>
      <c r="BL1497" s="34"/>
      <c r="BM1497" s="34"/>
      <c r="BN1497" s="34"/>
      <c r="BO1497" s="34"/>
      <c r="BP1497" s="34"/>
      <c r="BQ1497" s="34"/>
      <c r="BR1497" s="34"/>
      <c r="BS1497" s="34"/>
      <c r="BT1497" s="34"/>
      <c r="BU1497" s="34"/>
      <c r="BV1497" s="34"/>
      <c r="BW1497" s="34"/>
      <c r="BX1497" s="34"/>
      <c r="BY1497" s="34"/>
      <c r="BZ1497" s="34"/>
      <c r="CA1497" s="34"/>
      <c r="CB1497" s="34"/>
      <c r="CC1497" s="34"/>
      <c r="CD1497" s="34"/>
      <c r="CE1497" s="34"/>
      <c r="CF1497" s="34"/>
      <c r="CG1497" s="34"/>
      <c r="CH1497" s="34"/>
      <c r="CI1497" s="8"/>
    </row>
    <row r="1498" spans="1:87" x14ac:dyDescent="0.2">
      <c r="A1498" s="8" t="str">
        <f>IF(AND(COUNTIF(W$3:W$13,A$19)&gt;0,A$19&lt;&gt;B1308),A$19,IFERROR(IF(MATCH(A$19,Z$3:Z$13,0)=9,A$19," ")," "))</f>
        <v xml:space="preserve"> </v>
      </c>
      <c r="B1498" s="8" t="str">
        <f>IF(A1498=" "," ",MAX(B1494:B1497)+1)</f>
        <v xml:space="preserve"> </v>
      </c>
      <c r="C1498" s="8" t="str">
        <f>IFERROR(INDEX(A1494:A1515,MATCH(SMALL(B1494:B1515,5),B1494:B1515,0),1)," ")</f>
        <v>C15</v>
      </c>
      <c r="D1498" s="8">
        <f t="shared" si="6442"/>
        <v>0</v>
      </c>
      <c r="E1498" s="8">
        <f t="shared" si="6443"/>
        <v>0</v>
      </c>
      <c r="F1498" s="8">
        <f t="shared" si="6444"/>
        <v>0</v>
      </c>
      <c r="G1498" s="8">
        <f t="shared" si="6445"/>
        <v>1</v>
      </c>
      <c r="H1498" s="8">
        <f t="shared" si="6446"/>
        <v>0</v>
      </c>
      <c r="I1498" s="8">
        <f t="shared" si="6447"/>
        <v>0</v>
      </c>
      <c r="J1498" s="8">
        <f t="shared" si="6448"/>
        <v>0</v>
      </c>
      <c r="K1498" s="8">
        <f t="shared" si="6449"/>
        <v>0</v>
      </c>
      <c r="L1498" s="8">
        <f t="shared" si="6450"/>
        <v>0</v>
      </c>
      <c r="M1498" s="8">
        <f t="shared" si="6451"/>
        <v>0</v>
      </c>
      <c r="N1498" s="8">
        <f t="shared" si="6452"/>
        <v>0</v>
      </c>
      <c r="O1498" s="8">
        <f t="shared" si="6453"/>
        <v>0</v>
      </c>
      <c r="P1498" s="8" t="e">
        <v>#NUM!</v>
      </c>
      <c r="Q1498" s="8" t="e">
        <f t="shared" ref="Q1498" si="6479">IF(COUNTIF(P1494:P1504,"&lt;"&amp;-0.001)=0,IF(ABS(P1498)&lt;0.001,0,P1498)," ")</f>
        <v>#NUM!</v>
      </c>
      <c r="R1498" s="8"/>
      <c r="S1498" s="8"/>
      <c r="U1498" s="34"/>
      <c r="V1498" s="34"/>
      <c r="W1498" s="34"/>
      <c r="X1498" s="34"/>
      <c r="Y1498" s="34"/>
      <c r="Z1498" s="34"/>
      <c r="AA1498" s="34"/>
      <c r="AB1498" s="34"/>
      <c r="AC1498" s="34"/>
      <c r="AD1498" s="34"/>
      <c r="AE1498" s="34"/>
      <c r="AF1498" s="34"/>
      <c r="AG1498" s="34"/>
      <c r="AH1498" s="34"/>
      <c r="AI1498" s="34"/>
      <c r="AJ1498" s="34"/>
      <c r="AK1498" s="34"/>
      <c r="AL1498" s="34"/>
      <c r="AM1498" s="34"/>
      <c r="AN1498" s="34"/>
      <c r="AO1498" s="34"/>
      <c r="AP1498" s="34"/>
      <c r="AQ1498" s="34"/>
      <c r="AR1498" s="34"/>
      <c r="AS1498" s="34"/>
      <c r="AT1498" s="34"/>
      <c r="AU1498" s="34"/>
      <c r="AV1498" s="34"/>
      <c r="AW1498" s="34"/>
      <c r="AX1498" s="34"/>
      <c r="AY1498" s="34"/>
      <c r="AZ1498" s="34"/>
      <c r="BA1498" s="34"/>
      <c r="BB1498" s="34"/>
      <c r="BC1498" s="34"/>
      <c r="BD1498" s="34"/>
      <c r="BE1498" s="34"/>
      <c r="BF1498" s="34"/>
      <c r="BG1498" s="34"/>
      <c r="BH1498" s="34"/>
      <c r="BI1498" s="34"/>
      <c r="BJ1498" s="34"/>
      <c r="BK1498" s="34"/>
      <c r="BL1498" s="34"/>
      <c r="BM1498" s="34"/>
      <c r="BN1498" s="34"/>
      <c r="BO1498" s="34"/>
      <c r="BP1498" s="34"/>
      <c r="BQ1498" s="34"/>
      <c r="BR1498" s="34"/>
      <c r="BS1498" s="34"/>
      <c r="BT1498" s="34"/>
      <c r="BU1498" s="34"/>
      <c r="BV1498" s="34"/>
      <c r="BW1498" s="34"/>
      <c r="BX1498" s="34"/>
      <c r="BY1498" s="34"/>
      <c r="BZ1498" s="34"/>
      <c r="CA1498" s="34"/>
      <c r="CB1498" s="34"/>
      <c r="CC1498" s="34"/>
      <c r="CD1498" s="34"/>
      <c r="CE1498" s="34"/>
      <c r="CF1498" s="34"/>
      <c r="CG1498" s="34"/>
      <c r="CH1498" s="34"/>
      <c r="CI1498" s="8"/>
    </row>
    <row r="1499" spans="1:87" x14ac:dyDescent="0.2">
      <c r="A1499" s="8" t="str">
        <f>IF(AND(COUNTIF(W$3:W$13,A$20)&gt;0,A$20&lt;&gt;B1308),A$20,IFERROR(IF(MATCH(A$20,Z$3:Z$13,0)=9,A$20," ")," "))</f>
        <v xml:space="preserve"> </v>
      </c>
      <c r="B1499" s="8" t="str">
        <f>IF(A1499=" "," ",MAX(B1494:B1498)+1)</f>
        <v xml:space="preserve"> </v>
      </c>
      <c r="C1499" s="8" t="str">
        <f>IFERROR(INDEX(A1494:A1515,MATCH(SMALL(B1494:B1515,6),B1494:B1515,0),1)," ")</f>
        <v>C16</v>
      </c>
      <c r="D1499" s="8">
        <f t="shared" si="6442"/>
        <v>0</v>
      </c>
      <c r="E1499" s="8">
        <f t="shared" si="6443"/>
        <v>0</v>
      </c>
      <c r="F1499" s="8">
        <f t="shared" si="6444"/>
        <v>0</v>
      </c>
      <c r="G1499" s="8">
        <f t="shared" si="6445"/>
        <v>0</v>
      </c>
      <c r="H1499" s="8">
        <f t="shared" si="6446"/>
        <v>1</v>
      </c>
      <c r="I1499" s="8">
        <f t="shared" si="6447"/>
        <v>0</v>
      </c>
      <c r="J1499" s="8">
        <f t="shared" si="6448"/>
        <v>0</v>
      </c>
      <c r="K1499" s="8">
        <f t="shared" si="6449"/>
        <v>0</v>
      </c>
      <c r="L1499" s="8">
        <f t="shared" si="6450"/>
        <v>0</v>
      </c>
      <c r="M1499" s="8">
        <f t="shared" si="6451"/>
        <v>0</v>
      </c>
      <c r="N1499" s="8">
        <f t="shared" si="6452"/>
        <v>0</v>
      </c>
      <c r="O1499" s="8">
        <f t="shared" si="6453"/>
        <v>0</v>
      </c>
      <c r="P1499" s="8" t="e">
        <v>#NUM!</v>
      </c>
      <c r="Q1499" s="8" t="e">
        <f t="shared" ref="Q1499" si="6480">IF(COUNTIF(P1494:P1504,"&lt;"&amp;-0.001)=0,IF(ABS(P1499)&lt;0.001,0,P1499)," ")</f>
        <v>#NUM!</v>
      </c>
      <c r="R1499" s="8"/>
      <c r="S1499" s="8"/>
      <c r="U1499" s="34"/>
      <c r="V1499" s="34"/>
      <c r="W1499" s="34"/>
      <c r="X1499" s="34"/>
      <c r="Y1499" s="34"/>
      <c r="Z1499" s="34"/>
      <c r="AA1499" s="34"/>
      <c r="AB1499" s="34"/>
      <c r="AC1499" s="34"/>
      <c r="AD1499" s="34"/>
      <c r="AE1499" s="34"/>
      <c r="AF1499" s="34"/>
      <c r="AG1499" s="34"/>
      <c r="AH1499" s="34"/>
      <c r="AI1499" s="34"/>
      <c r="AJ1499" s="34"/>
      <c r="AK1499" s="34"/>
      <c r="AL1499" s="34"/>
      <c r="AM1499" s="34"/>
      <c r="AN1499" s="34"/>
      <c r="AO1499" s="34"/>
      <c r="AP1499" s="34"/>
      <c r="AQ1499" s="34"/>
      <c r="AR1499" s="34"/>
      <c r="AS1499" s="34"/>
      <c r="AT1499" s="34"/>
      <c r="AU1499" s="34"/>
      <c r="AV1499" s="34"/>
      <c r="AW1499" s="34"/>
      <c r="AX1499" s="34"/>
      <c r="AY1499" s="34"/>
      <c r="AZ1499" s="34"/>
      <c r="BA1499" s="34"/>
      <c r="BB1499" s="34"/>
      <c r="BC1499" s="34"/>
      <c r="BD1499" s="34"/>
      <c r="BE1499" s="34"/>
      <c r="BF1499" s="34"/>
      <c r="BG1499" s="34"/>
      <c r="BH1499" s="34"/>
      <c r="BI1499" s="34"/>
      <c r="BJ1499" s="34"/>
      <c r="BK1499" s="34"/>
      <c r="BL1499" s="34"/>
      <c r="BM1499" s="34"/>
      <c r="BN1499" s="34"/>
      <c r="BO1499" s="34"/>
      <c r="BP1499" s="34"/>
      <c r="BQ1499" s="34"/>
      <c r="BR1499" s="34"/>
      <c r="BS1499" s="34"/>
      <c r="BT1499" s="34"/>
      <c r="BU1499" s="34"/>
      <c r="BV1499" s="34"/>
      <c r="BW1499" s="34"/>
      <c r="BX1499" s="34"/>
      <c r="BY1499" s="34"/>
      <c r="BZ1499" s="34"/>
      <c r="CA1499" s="34"/>
      <c r="CB1499" s="34"/>
      <c r="CC1499" s="34"/>
      <c r="CD1499" s="34"/>
      <c r="CE1499" s="34"/>
      <c r="CF1499" s="34"/>
      <c r="CG1499" s="34"/>
      <c r="CH1499" s="34"/>
      <c r="CI1499" s="8"/>
    </row>
    <row r="1500" spans="1:87" x14ac:dyDescent="0.2">
      <c r="A1500" s="8" t="str">
        <f>IF(AND(COUNTIF(W$3:W$13,A$21)&gt;0,A$21&lt;&gt;B1308),A$21,IFERROR(IF(MATCH(A$21,Z$3:Z$13,0)=9,A$21," ")," "))</f>
        <v xml:space="preserve"> </v>
      </c>
      <c r="B1500" s="8" t="str">
        <f>IF(A1500=" "," ",MAX(B1494:B1499)+1)</f>
        <v xml:space="preserve"> </v>
      </c>
      <c r="C1500" s="8" t="str">
        <f>IFERROR(INDEX(A1494:A1515,MATCH(SMALL(B1494:B1515,7),B1494:B1515,0),1)," ")</f>
        <v>C18</v>
      </c>
      <c r="D1500" s="8">
        <f t="shared" si="6442"/>
        <v>0</v>
      </c>
      <c r="E1500" s="8">
        <f t="shared" si="6443"/>
        <v>0</v>
      </c>
      <c r="F1500" s="8">
        <f t="shared" si="6444"/>
        <v>0</v>
      </c>
      <c r="G1500" s="8">
        <f t="shared" si="6445"/>
        <v>0</v>
      </c>
      <c r="H1500" s="8">
        <f t="shared" si="6446"/>
        <v>0</v>
      </c>
      <c r="I1500" s="8">
        <f t="shared" si="6447"/>
        <v>0</v>
      </c>
      <c r="J1500" s="8">
        <f t="shared" si="6448"/>
        <v>1</v>
      </c>
      <c r="K1500" s="8">
        <f t="shared" si="6449"/>
        <v>0</v>
      </c>
      <c r="L1500" s="8">
        <f t="shared" si="6450"/>
        <v>0</v>
      </c>
      <c r="M1500" s="8">
        <f t="shared" si="6451"/>
        <v>0</v>
      </c>
      <c r="N1500" s="8">
        <f t="shared" si="6452"/>
        <v>0</v>
      </c>
      <c r="O1500" s="8">
        <f t="shared" si="6453"/>
        <v>0</v>
      </c>
      <c r="P1500" s="8" t="e">
        <v>#NUM!</v>
      </c>
      <c r="Q1500" s="8" t="e">
        <f t="shared" ref="Q1500" si="6481">IF(COUNTIF(P1494:P1504,"&lt;"&amp;-0.001)=0,IF(ABS(P1500)&lt;0.001,0,P1500)," ")</f>
        <v>#NUM!</v>
      </c>
      <c r="R1500" s="8"/>
      <c r="S1500" s="8"/>
      <c r="U1500" s="34"/>
      <c r="V1500" s="34"/>
      <c r="W1500" s="34"/>
      <c r="X1500" s="34"/>
      <c r="Y1500" s="34"/>
      <c r="Z1500" s="34"/>
      <c r="AA1500" s="34"/>
      <c r="AB1500" s="34"/>
      <c r="AC1500" s="34"/>
      <c r="AD1500" s="34"/>
      <c r="AE1500" s="34"/>
      <c r="AF1500" s="34"/>
      <c r="AG1500" s="34"/>
      <c r="AH1500" s="34"/>
      <c r="AI1500" s="34"/>
      <c r="AJ1500" s="34"/>
      <c r="AK1500" s="34"/>
      <c r="AL1500" s="34"/>
      <c r="AM1500" s="34"/>
      <c r="AN1500" s="34"/>
      <c r="AO1500" s="34"/>
      <c r="AP1500" s="34"/>
      <c r="AQ1500" s="34"/>
      <c r="AR1500" s="34"/>
      <c r="AS1500" s="34"/>
      <c r="AT1500" s="34"/>
      <c r="AU1500" s="34"/>
      <c r="AV1500" s="34"/>
      <c r="AW1500" s="34"/>
      <c r="AX1500" s="34"/>
      <c r="AY1500" s="34"/>
      <c r="AZ1500" s="34"/>
      <c r="BA1500" s="34"/>
      <c r="BB1500" s="34"/>
      <c r="BC1500" s="34"/>
      <c r="BD1500" s="34"/>
      <c r="BE1500" s="34"/>
      <c r="BF1500" s="34"/>
      <c r="BG1500" s="34"/>
      <c r="BH1500" s="34"/>
      <c r="BI1500" s="34"/>
      <c r="BJ1500" s="34"/>
      <c r="BK1500" s="34"/>
      <c r="BL1500" s="34"/>
      <c r="BM1500" s="34"/>
      <c r="BN1500" s="34"/>
      <c r="BO1500" s="34"/>
      <c r="BP1500" s="34"/>
      <c r="BQ1500" s="34"/>
      <c r="BR1500" s="34"/>
      <c r="BS1500" s="34"/>
      <c r="BT1500" s="34"/>
      <c r="BU1500" s="34"/>
      <c r="BV1500" s="34"/>
      <c r="BW1500" s="34"/>
      <c r="BX1500" s="34"/>
      <c r="BY1500" s="34"/>
      <c r="BZ1500" s="34"/>
      <c r="CA1500" s="34"/>
      <c r="CB1500" s="34"/>
      <c r="CC1500" s="34"/>
      <c r="CD1500" s="34"/>
      <c r="CE1500" s="34"/>
      <c r="CF1500" s="34"/>
      <c r="CG1500" s="34"/>
      <c r="CH1500" s="34"/>
      <c r="CI1500" s="8"/>
    </row>
    <row r="1501" spans="1:87" x14ac:dyDescent="0.2">
      <c r="A1501" s="8" t="str">
        <f>IF(AND(COUNTIF(W$3:W$13,A$22)&gt;0,A$22&lt;&gt;B1308),A$22,IFERROR(IF(MATCH(A$22,Z$3:Z$13,0)=9,A$22," ")," "))</f>
        <v xml:space="preserve"> </v>
      </c>
      <c r="B1501" s="8" t="str">
        <f>IF(A1501=" "," ",MAX(B1494:B1500)+1)</f>
        <v xml:space="preserve"> </v>
      </c>
      <c r="C1501" s="8" t="str">
        <f>IFERROR(INDEX(A1494:A1515,MATCH(SMALL(B1494:B1515,8),B1494:B1515,0),1)," ")</f>
        <v>C19</v>
      </c>
      <c r="D1501" s="8">
        <f t="shared" si="6442"/>
        <v>0</v>
      </c>
      <c r="E1501" s="8">
        <f t="shared" si="6443"/>
        <v>0</v>
      </c>
      <c r="F1501" s="8">
        <f t="shared" si="6444"/>
        <v>0</v>
      </c>
      <c r="G1501" s="8">
        <f t="shared" si="6445"/>
        <v>0</v>
      </c>
      <c r="H1501" s="8">
        <f t="shared" si="6446"/>
        <v>0</v>
      </c>
      <c r="I1501" s="8">
        <f t="shared" si="6447"/>
        <v>0</v>
      </c>
      <c r="J1501" s="8">
        <f t="shared" si="6448"/>
        <v>0</v>
      </c>
      <c r="K1501" s="8">
        <f t="shared" si="6449"/>
        <v>1</v>
      </c>
      <c r="L1501" s="8">
        <f t="shared" si="6450"/>
        <v>0</v>
      </c>
      <c r="M1501" s="8">
        <f t="shared" si="6451"/>
        <v>0</v>
      </c>
      <c r="N1501" s="8">
        <f t="shared" si="6452"/>
        <v>0</v>
      </c>
      <c r="O1501" s="8">
        <f t="shared" si="6453"/>
        <v>0</v>
      </c>
      <c r="P1501" s="8" t="e">
        <v>#NUM!</v>
      </c>
      <c r="Q1501" s="8" t="e">
        <f t="shared" ref="Q1501" si="6482">IF(COUNTIF(P1494:P1504,"&lt;"&amp;-0.001)=0,IF(ABS(P1501)&lt;0.001,0,P1501)," ")</f>
        <v>#NUM!</v>
      </c>
      <c r="R1501" s="8"/>
      <c r="S1501" s="8"/>
      <c r="U1501" s="34"/>
      <c r="V1501" s="34"/>
      <c r="W1501" s="34"/>
      <c r="X1501" s="34"/>
      <c r="Y1501" s="34"/>
      <c r="Z1501" s="34"/>
      <c r="AA1501" s="34"/>
      <c r="AB1501" s="34"/>
      <c r="AC1501" s="34"/>
      <c r="AD1501" s="34"/>
      <c r="AE1501" s="34"/>
      <c r="AF1501" s="34"/>
      <c r="AG1501" s="34"/>
      <c r="AH1501" s="34"/>
      <c r="AI1501" s="34"/>
      <c r="AJ1501" s="34"/>
      <c r="AK1501" s="34"/>
      <c r="AL1501" s="34"/>
      <c r="AM1501" s="34"/>
      <c r="AN1501" s="34"/>
      <c r="AO1501" s="34"/>
      <c r="AP1501" s="34"/>
      <c r="AQ1501" s="34"/>
      <c r="AR1501" s="34"/>
      <c r="AS1501" s="34"/>
      <c r="AT1501" s="34"/>
      <c r="AU1501" s="34"/>
      <c r="AV1501" s="34"/>
      <c r="AW1501" s="34"/>
      <c r="AX1501" s="34"/>
      <c r="AY1501" s="34"/>
      <c r="AZ1501" s="34"/>
      <c r="BA1501" s="34"/>
      <c r="BB1501" s="34"/>
      <c r="BC1501" s="34"/>
      <c r="BD1501" s="34"/>
      <c r="BE1501" s="34"/>
      <c r="BF1501" s="34"/>
      <c r="BG1501" s="34"/>
      <c r="BH1501" s="34"/>
      <c r="BI1501" s="34"/>
      <c r="BJ1501" s="34"/>
      <c r="BK1501" s="34"/>
      <c r="BL1501" s="34"/>
      <c r="BM1501" s="34"/>
      <c r="BN1501" s="34"/>
      <c r="BO1501" s="34"/>
      <c r="BP1501" s="34"/>
      <c r="BQ1501" s="34"/>
      <c r="BR1501" s="34"/>
      <c r="BS1501" s="34"/>
      <c r="BT1501" s="34"/>
      <c r="BU1501" s="34"/>
      <c r="BV1501" s="34"/>
      <c r="BW1501" s="34"/>
      <c r="BX1501" s="34"/>
      <c r="BY1501" s="34"/>
      <c r="BZ1501" s="34"/>
      <c r="CA1501" s="34"/>
      <c r="CB1501" s="34"/>
      <c r="CC1501" s="34"/>
      <c r="CD1501" s="34"/>
      <c r="CE1501" s="34"/>
      <c r="CF1501" s="34"/>
      <c r="CG1501" s="34"/>
      <c r="CH1501" s="34"/>
      <c r="CI1501" s="8"/>
    </row>
    <row r="1502" spans="1:87" x14ac:dyDescent="0.2">
      <c r="A1502" s="8" t="str">
        <f>IF(AND(COUNTIF(W$3:W$13,A$23)&gt;0,A$23&lt;&gt;B1308),A$23,IFERROR(IF(MATCH(A$23,Z$3:Z$13,0)=9,A$23," ")," "))</f>
        <v xml:space="preserve"> </v>
      </c>
      <c r="B1502" s="8" t="str">
        <f>IF(A1502=" "," ",MAX(B1494:B1501)+1)</f>
        <v xml:space="preserve"> </v>
      </c>
      <c r="C1502" s="8" t="str">
        <f>IFERROR(INDEX(A1494:A1515,MATCH(SMALL(B1494:B1515,9),B1494:B1515,0),1)," ")</f>
        <v>C20</v>
      </c>
      <c r="D1502" s="8">
        <f t="shared" si="6442"/>
        <v>0</v>
      </c>
      <c r="E1502" s="8">
        <f t="shared" si="6443"/>
        <v>0</v>
      </c>
      <c r="F1502" s="8">
        <f t="shared" si="6444"/>
        <v>0</v>
      </c>
      <c r="G1502" s="8">
        <f t="shared" si="6445"/>
        <v>0</v>
      </c>
      <c r="H1502" s="8">
        <f t="shared" si="6446"/>
        <v>0</v>
      </c>
      <c r="I1502" s="8">
        <f t="shared" si="6447"/>
        <v>0</v>
      </c>
      <c r="J1502" s="8">
        <f t="shared" si="6448"/>
        <v>0</v>
      </c>
      <c r="K1502" s="8">
        <f t="shared" si="6449"/>
        <v>0</v>
      </c>
      <c r="L1502" s="8">
        <f t="shared" si="6450"/>
        <v>1</v>
      </c>
      <c r="M1502" s="8">
        <f t="shared" si="6451"/>
        <v>0</v>
      </c>
      <c r="N1502" s="8">
        <f t="shared" si="6452"/>
        <v>0</v>
      </c>
      <c r="O1502" s="8">
        <f t="shared" si="6453"/>
        <v>0</v>
      </c>
      <c r="P1502" s="6" t="e">
        <v>#NUM!</v>
      </c>
      <c r="Q1502" s="8" t="e">
        <f t="shared" ref="Q1502" si="6483">IF(COUNTIF(P1494:P1504,"&lt;"&amp;-0.001)=0,IF(ABS(P1502)&lt;0.001,0,P1502)," ")</f>
        <v>#NUM!</v>
      </c>
      <c r="R1502" s="8"/>
      <c r="S1502" s="8"/>
      <c r="U1502" s="34"/>
      <c r="V1502" s="34"/>
      <c r="W1502" s="34"/>
      <c r="X1502" s="34"/>
      <c r="Y1502" s="34"/>
      <c r="Z1502" s="34"/>
      <c r="AA1502" s="34"/>
      <c r="AB1502" s="34"/>
      <c r="AC1502" s="34"/>
      <c r="AD1502" s="34"/>
      <c r="AE1502" s="34"/>
      <c r="AF1502" s="34"/>
      <c r="AG1502" s="34"/>
      <c r="AH1502" s="34"/>
      <c r="AI1502" s="34"/>
      <c r="AJ1502" s="34"/>
      <c r="AK1502" s="34"/>
      <c r="AL1502" s="34"/>
      <c r="AM1502" s="34"/>
      <c r="AN1502" s="34"/>
      <c r="AO1502" s="34"/>
      <c r="AP1502" s="34"/>
      <c r="AQ1502" s="34"/>
      <c r="AR1502" s="34"/>
      <c r="AS1502" s="34"/>
      <c r="AT1502" s="34"/>
      <c r="AU1502" s="34"/>
      <c r="AV1502" s="34"/>
      <c r="AW1502" s="34"/>
      <c r="AX1502" s="34"/>
      <c r="AY1502" s="34"/>
      <c r="AZ1502" s="34"/>
      <c r="BA1502" s="34"/>
      <c r="BB1502" s="34"/>
      <c r="BC1502" s="34"/>
      <c r="BD1502" s="34"/>
      <c r="BE1502" s="34"/>
      <c r="BF1502" s="34"/>
      <c r="BG1502" s="34"/>
      <c r="BH1502" s="34"/>
      <c r="BI1502" s="34"/>
      <c r="BJ1502" s="34"/>
      <c r="BK1502" s="34"/>
      <c r="BL1502" s="34"/>
      <c r="BM1502" s="34"/>
      <c r="BN1502" s="34"/>
      <c r="BO1502" s="34"/>
      <c r="BP1502" s="34"/>
      <c r="BQ1502" s="34"/>
      <c r="BR1502" s="34"/>
      <c r="BS1502" s="34"/>
      <c r="BT1502" s="34"/>
      <c r="BU1502" s="34"/>
      <c r="BV1502" s="34"/>
      <c r="BW1502" s="34"/>
      <c r="BX1502" s="34"/>
      <c r="BY1502" s="34"/>
      <c r="BZ1502" s="34"/>
      <c r="CA1502" s="34"/>
      <c r="CB1502" s="34"/>
      <c r="CC1502" s="34"/>
      <c r="CD1502" s="34"/>
      <c r="CE1502" s="34"/>
      <c r="CF1502" s="34"/>
      <c r="CG1502" s="34"/>
      <c r="CH1502" s="34"/>
      <c r="CI1502" s="8"/>
    </row>
    <row r="1503" spans="1:87" x14ac:dyDescent="0.2">
      <c r="A1503" s="8" t="str">
        <f>IF(AND(COUNTIF(W$3:W$13,A$24)&gt;0,A$24&lt;&gt;B1308),A$24,IFERROR(IF(MATCH(A$24,Z$3:Z$13,0)=9,A$24," ")," "))</f>
        <v xml:space="preserve"> </v>
      </c>
      <c r="B1503" s="8" t="str">
        <f>IF(A1503=" "," ",MAX(B1494:B1502)+1)</f>
        <v xml:space="preserve"> </v>
      </c>
      <c r="C1503" s="8" t="str">
        <f>IFERROR(INDEX(A1494:A1515,MATCH(SMALL(B1494:B1515,10),B1494:B1515,0),1)," ")</f>
        <v>C21</v>
      </c>
      <c r="D1503" s="8">
        <f t="shared" si="6442"/>
        <v>0</v>
      </c>
      <c r="E1503" s="8">
        <f t="shared" si="6443"/>
        <v>0</v>
      </c>
      <c r="F1503" s="8">
        <f t="shared" si="6444"/>
        <v>0</v>
      </c>
      <c r="G1503" s="8">
        <f t="shared" si="6445"/>
        <v>0</v>
      </c>
      <c r="H1503" s="8">
        <f t="shared" si="6446"/>
        <v>0</v>
      </c>
      <c r="I1503" s="8">
        <f t="shared" si="6447"/>
        <v>0</v>
      </c>
      <c r="J1503" s="8">
        <f t="shared" si="6448"/>
        <v>0</v>
      </c>
      <c r="K1503" s="8">
        <f t="shared" si="6449"/>
        <v>0</v>
      </c>
      <c r="L1503" s="8">
        <f t="shared" si="6450"/>
        <v>0</v>
      </c>
      <c r="M1503" s="8">
        <f t="shared" si="6451"/>
        <v>1</v>
      </c>
      <c r="N1503" s="8">
        <f t="shared" si="6452"/>
        <v>0</v>
      </c>
      <c r="O1503" s="8">
        <f t="shared" si="6453"/>
        <v>0</v>
      </c>
      <c r="P1503" s="8" t="e">
        <v>#NUM!</v>
      </c>
      <c r="Q1503" s="8" t="e">
        <f t="shared" ref="Q1503" si="6484">IF(COUNTIF(P1494:P1504,"&lt;"&amp;-0.001)=0,IF(ABS(P1503)&lt;0.001,0,P1503)," ")</f>
        <v>#NUM!</v>
      </c>
      <c r="R1503" s="8"/>
      <c r="S1503" s="8"/>
      <c r="U1503" s="34"/>
      <c r="V1503" s="34"/>
      <c r="W1503" s="34"/>
      <c r="X1503" s="34"/>
      <c r="Y1503" s="34"/>
      <c r="Z1503" s="34"/>
      <c r="AA1503" s="34"/>
      <c r="AB1503" s="34"/>
      <c r="AC1503" s="34"/>
      <c r="AD1503" s="34"/>
      <c r="AE1503" s="34"/>
      <c r="AF1503" s="34"/>
      <c r="AG1503" s="34"/>
      <c r="AH1503" s="34"/>
      <c r="AI1503" s="34"/>
      <c r="AJ1503" s="34"/>
      <c r="AK1503" s="34"/>
      <c r="AL1503" s="34"/>
      <c r="AM1503" s="34"/>
      <c r="AN1503" s="34"/>
      <c r="AO1503" s="34"/>
      <c r="AP1503" s="34"/>
      <c r="AQ1503" s="34"/>
      <c r="AR1503" s="34"/>
      <c r="AS1503" s="34"/>
      <c r="AT1503" s="34"/>
      <c r="AU1503" s="34"/>
      <c r="AV1503" s="34"/>
      <c r="AW1503" s="34"/>
      <c r="AX1503" s="34"/>
      <c r="AY1503" s="34"/>
      <c r="AZ1503" s="34"/>
      <c r="BA1503" s="34"/>
      <c r="BB1503" s="34"/>
      <c r="BC1503" s="34"/>
      <c r="BD1503" s="34"/>
      <c r="BE1503" s="34"/>
      <c r="BF1503" s="34"/>
      <c r="BG1503" s="34"/>
      <c r="BH1503" s="34"/>
      <c r="BI1503" s="34"/>
      <c r="BJ1503" s="34"/>
      <c r="BK1503" s="34"/>
      <c r="BL1503" s="34"/>
      <c r="BM1503" s="34"/>
      <c r="BN1503" s="34"/>
      <c r="BO1503" s="34"/>
      <c r="BP1503" s="34"/>
      <c r="BQ1503" s="34"/>
      <c r="BR1503" s="34"/>
      <c r="BS1503" s="34"/>
      <c r="BT1503" s="34"/>
      <c r="BU1503" s="34"/>
      <c r="BV1503" s="34"/>
      <c r="BW1503" s="34"/>
      <c r="BX1503" s="34"/>
      <c r="BY1503" s="34"/>
      <c r="BZ1503" s="34"/>
      <c r="CA1503" s="34"/>
      <c r="CB1503" s="34"/>
      <c r="CC1503" s="34"/>
      <c r="CD1503" s="34"/>
      <c r="CE1503" s="34"/>
      <c r="CF1503" s="34"/>
      <c r="CG1503" s="34"/>
      <c r="CH1503" s="34"/>
      <c r="CI1503" s="8"/>
    </row>
    <row r="1504" spans="1:87" x14ac:dyDescent="0.2">
      <c r="A1504" s="8" t="str">
        <f>IF(AND(COUNTIF(W$3:W$13,A$25)&gt;0,A$25&lt;&gt;B1308),A$25,IFERROR(IF(MATCH(A$25,Z$3:Z$13,0)=9,A$25," ")," "))</f>
        <v>C11</v>
      </c>
      <c r="B1504" s="8">
        <f>IF(A1504=" "," ",MAX(B1494:B1503)+1)</f>
        <v>3</v>
      </c>
      <c r="C1504" s="8" t="str">
        <f>IFERROR(INDEX(A1494:A1515,MATCH(SMALL(B1494:B1515,11),B1494:B1515,0),1)," ")</f>
        <v>C22</v>
      </c>
      <c r="D1504" s="8">
        <f t="shared" si="6442"/>
        <v>0</v>
      </c>
      <c r="E1504" s="8">
        <f t="shared" si="6443"/>
        <v>0</v>
      </c>
      <c r="F1504" s="8">
        <f t="shared" si="6444"/>
        <v>0</v>
      </c>
      <c r="G1504" s="8">
        <f t="shared" si="6445"/>
        <v>0</v>
      </c>
      <c r="H1504" s="8">
        <f t="shared" si="6446"/>
        <v>0</v>
      </c>
      <c r="I1504" s="8">
        <f t="shared" si="6447"/>
        <v>0</v>
      </c>
      <c r="J1504" s="8">
        <f t="shared" si="6448"/>
        <v>0</v>
      </c>
      <c r="K1504" s="8">
        <f t="shared" si="6449"/>
        <v>0</v>
      </c>
      <c r="L1504" s="8">
        <f t="shared" si="6450"/>
        <v>0</v>
      </c>
      <c r="M1504" s="8">
        <f t="shared" si="6451"/>
        <v>0</v>
      </c>
      <c r="N1504" s="8">
        <f t="shared" si="6452"/>
        <v>1</v>
      </c>
      <c r="O1504" s="8">
        <f t="shared" si="6453"/>
        <v>0</v>
      </c>
      <c r="P1504" s="8" t="e">
        <v>#NUM!</v>
      </c>
      <c r="Q1504" s="8" t="e">
        <f t="shared" ref="Q1504" si="6485">IF(COUNTIF(P1494:P1504,"&lt;"&amp;-0.001)=0,IF(ABS(P1504)&lt;0.001,0,P1504)," ")</f>
        <v>#NUM!</v>
      </c>
      <c r="R1504" s="8"/>
      <c r="S1504" s="8"/>
      <c r="U1504" s="34"/>
      <c r="V1504" s="34"/>
      <c r="W1504" s="34"/>
      <c r="X1504" s="34"/>
      <c r="Y1504" s="34"/>
      <c r="Z1504" s="34"/>
      <c r="AA1504" s="34"/>
      <c r="AB1504" s="34"/>
      <c r="AC1504" s="34"/>
      <c r="AD1504" s="34"/>
      <c r="AE1504" s="34"/>
      <c r="AF1504" s="34"/>
      <c r="AG1504" s="34"/>
      <c r="AH1504" s="34"/>
      <c r="AI1504" s="34"/>
      <c r="AJ1504" s="34"/>
      <c r="AK1504" s="34"/>
      <c r="AL1504" s="34"/>
      <c r="AM1504" s="34"/>
      <c r="AN1504" s="34"/>
      <c r="AO1504" s="34"/>
      <c r="AP1504" s="34"/>
      <c r="AQ1504" s="34"/>
      <c r="AR1504" s="34"/>
      <c r="AS1504" s="34"/>
      <c r="AT1504" s="34"/>
      <c r="AU1504" s="34"/>
      <c r="AV1504" s="34"/>
      <c r="AW1504" s="34"/>
      <c r="AX1504" s="34"/>
      <c r="AY1504" s="34"/>
      <c r="AZ1504" s="34"/>
      <c r="BA1504" s="34"/>
      <c r="BB1504" s="34"/>
      <c r="BC1504" s="34"/>
      <c r="BD1504" s="34"/>
      <c r="BE1504" s="34"/>
      <c r="BF1504" s="34"/>
      <c r="BG1504" s="34"/>
      <c r="BH1504" s="34"/>
      <c r="BI1504" s="34"/>
      <c r="BJ1504" s="34"/>
      <c r="BK1504" s="34"/>
      <c r="BL1504" s="34"/>
      <c r="BM1504" s="34"/>
      <c r="BN1504" s="34"/>
      <c r="BO1504" s="34"/>
      <c r="BP1504" s="34"/>
      <c r="BQ1504" s="34"/>
      <c r="BR1504" s="34"/>
      <c r="BS1504" s="34"/>
      <c r="BT1504" s="34"/>
      <c r="BU1504" s="34"/>
      <c r="BV1504" s="34"/>
      <c r="BW1504" s="34"/>
      <c r="BX1504" s="34"/>
      <c r="BY1504" s="34"/>
      <c r="BZ1504" s="34"/>
      <c r="CA1504" s="34"/>
      <c r="CB1504" s="34"/>
      <c r="CC1504" s="34"/>
      <c r="CD1504" s="34"/>
      <c r="CE1504" s="34"/>
      <c r="CF1504" s="34"/>
      <c r="CG1504" s="34"/>
      <c r="CH1504" s="34"/>
      <c r="CI1504" s="8"/>
    </row>
    <row r="1505" spans="1:87" x14ac:dyDescent="0.2">
      <c r="A1505" s="8" t="str">
        <f>IF(AND(COUNTIF(W$3:W$13,A$26)&gt;0,A$26&lt;&gt;B1308),A$26,IFERROR(IF(MATCH(A$26,Z$3:Z$13,0)=9,A$26," ")," "))</f>
        <v xml:space="preserve"> </v>
      </c>
      <c r="B1505" s="8" t="str">
        <f>IF(A1505=" "," ",MAX(B1494:B1504)+1)</f>
        <v xml:space="preserve"> </v>
      </c>
      <c r="C1505" s="8"/>
      <c r="D1505" s="8"/>
      <c r="E1505" s="8"/>
      <c r="F1505" s="8"/>
      <c r="G1505" s="8"/>
      <c r="H1505" s="8"/>
      <c r="I1505" s="8"/>
      <c r="J1505" s="8"/>
      <c r="K1505" s="8"/>
      <c r="L1505" s="8"/>
      <c r="M1505" s="8"/>
      <c r="N1505" s="8"/>
      <c r="O1505" s="8"/>
      <c r="P1505" s="8"/>
      <c r="Q1505" s="8"/>
      <c r="R1505" s="8"/>
      <c r="S1505" s="8"/>
      <c r="U1505" s="34"/>
      <c r="V1505" s="34"/>
      <c r="W1505" s="34"/>
      <c r="X1505" s="34"/>
      <c r="Y1505" s="34"/>
      <c r="Z1505" s="34"/>
      <c r="AA1505" s="34"/>
      <c r="AB1505" s="34"/>
      <c r="AC1505" s="34"/>
      <c r="AD1505" s="34"/>
      <c r="AE1505" s="34"/>
      <c r="AF1505" s="34"/>
      <c r="AG1505" s="34"/>
      <c r="AH1505" s="34"/>
      <c r="AI1505" s="34"/>
      <c r="AJ1505" s="34"/>
      <c r="AK1505" s="34"/>
      <c r="AL1505" s="34"/>
      <c r="AM1505" s="34"/>
      <c r="AN1505" s="34"/>
      <c r="AO1505" s="34"/>
      <c r="AP1505" s="34"/>
      <c r="AQ1505" s="34"/>
      <c r="AR1505" s="34"/>
      <c r="AS1505" s="34"/>
      <c r="AT1505" s="34"/>
      <c r="AU1505" s="34"/>
      <c r="AV1505" s="34"/>
      <c r="AW1505" s="34"/>
      <c r="AX1505" s="34"/>
      <c r="AY1505" s="34"/>
      <c r="AZ1505" s="34"/>
      <c r="BA1505" s="34"/>
      <c r="BB1505" s="34"/>
      <c r="BC1505" s="34"/>
      <c r="BD1505" s="34"/>
      <c r="BE1505" s="34"/>
      <c r="BF1505" s="34"/>
      <c r="BG1505" s="34"/>
      <c r="BH1505" s="34"/>
      <c r="BI1505" s="34"/>
      <c r="BJ1505" s="34"/>
      <c r="BK1505" s="34"/>
      <c r="BL1505" s="34"/>
      <c r="BM1505" s="34"/>
      <c r="BN1505" s="34"/>
      <c r="BO1505" s="34"/>
      <c r="BP1505" s="34"/>
      <c r="BQ1505" s="34"/>
      <c r="BR1505" s="34"/>
      <c r="BS1505" s="34"/>
      <c r="BT1505" s="34"/>
      <c r="BU1505" s="34"/>
      <c r="BV1505" s="34"/>
      <c r="BW1505" s="34"/>
      <c r="BX1505" s="34"/>
      <c r="BY1505" s="34"/>
      <c r="BZ1505" s="34"/>
      <c r="CA1505" s="34"/>
      <c r="CB1505" s="34"/>
      <c r="CC1505" s="34"/>
      <c r="CD1505" s="34"/>
      <c r="CE1505" s="34"/>
      <c r="CF1505" s="34"/>
      <c r="CG1505" s="34"/>
      <c r="CH1505" s="34"/>
      <c r="CI1505" s="8"/>
    </row>
    <row r="1506" spans="1:87" x14ac:dyDescent="0.2">
      <c r="A1506" s="8" t="str">
        <f>IF(AND(COUNTIF(W$3:W$13,A$27)&gt;0,A$27&lt;&gt;B1308),A$27,IFERROR(IF(MATCH(A$27,Z$3:Z$13,0)=9,A$27," ")," "))</f>
        <v>C13</v>
      </c>
      <c r="B1506" s="8">
        <f>IF(A1506=" "," ",MAX(B1494:B1505)+1)</f>
        <v>4</v>
      </c>
      <c r="C1506" s="8"/>
      <c r="D1506" s="8"/>
      <c r="E1506" s="8"/>
      <c r="F1506" s="8"/>
      <c r="G1506" s="8"/>
      <c r="H1506" s="8"/>
      <c r="I1506" s="8"/>
      <c r="J1506" s="8"/>
      <c r="K1506" s="8"/>
      <c r="L1506" s="8"/>
      <c r="M1506" s="8"/>
      <c r="N1506" s="8"/>
      <c r="O1506" s="8"/>
      <c r="P1506" s="8"/>
      <c r="Q1506" s="8"/>
      <c r="R1506" s="8"/>
      <c r="S1506" s="8"/>
      <c r="U1506" s="34"/>
      <c r="V1506" s="34"/>
      <c r="W1506" s="34"/>
      <c r="X1506" s="34"/>
      <c r="Y1506" s="34"/>
      <c r="Z1506" s="34"/>
      <c r="AA1506" s="34"/>
      <c r="AB1506" s="34"/>
      <c r="AC1506" s="34"/>
      <c r="AD1506" s="34"/>
      <c r="AE1506" s="34"/>
      <c r="AF1506" s="34"/>
      <c r="AG1506" s="34"/>
      <c r="AH1506" s="34"/>
      <c r="AI1506" s="34"/>
      <c r="AJ1506" s="34"/>
      <c r="AK1506" s="34"/>
      <c r="AL1506" s="34"/>
      <c r="AM1506" s="34"/>
      <c r="AN1506" s="34"/>
      <c r="AO1506" s="34"/>
      <c r="AP1506" s="34"/>
      <c r="AQ1506" s="34"/>
      <c r="AR1506" s="34"/>
      <c r="AS1506" s="34"/>
      <c r="AT1506" s="34"/>
      <c r="AU1506" s="34"/>
      <c r="AV1506" s="34"/>
      <c r="AW1506" s="34"/>
      <c r="AX1506" s="34"/>
      <c r="AY1506" s="34"/>
      <c r="AZ1506" s="34"/>
      <c r="BA1506" s="34"/>
      <c r="BB1506" s="34"/>
      <c r="BC1506" s="34"/>
      <c r="BD1506" s="34"/>
      <c r="BE1506" s="34"/>
      <c r="BF1506" s="34"/>
      <c r="BG1506" s="34"/>
      <c r="BH1506" s="34"/>
      <c r="BI1506" s="34"/>
      <c r="BJ1506" s="34"/>
      <c r="BK1506" s="34"/>
      <c r="BL1506" s="34"/>
      <c r="BM1506" s="34"/>
      <c r="BN1506" s="34"/>
      <c r="BO1506" s="34"/>
      <c r="BP1506" s="34"/>
      <c r="BQ1506" s="34"/>
      <c r="BR1506" s="34"/>
      <c r="BS1506" s="34"/>
      <c r="BT1506" s="34"/>
      <c r="BU1506" s="34"/>
      <c r="BV1506" s="34"/>
      <c r="BW1506" s="34"/>
      <c r="BX1506" s="34"/>
      <c r="BY1506" s="34"/>
      <c r="BZ1506" s="34"/>
      <c r="CA1506" s="34"/>
      <c r="CB1506" s="34"/>
      <c r="CC1506" s="34"/>
      <c r="CD1506" s="34"/>
      <c r="CE1506" s="34"/>
      <c r="CF1506" s="34"/>
      <c r="CG1506" s="34"/>
      <c r="CH1506" s="34"/>
      <c r="CI1506" s="8"/>
    </row>
    <row r="1507" spans="1:87" x14ac:dyDescent="0.2">
      <c r="A1507" s="8" t="str">
        <f>IF(AND(COUNTIF(W$3:W$13,A$28)&gt;0,A$28&lt;&gt;B1308),A$28,IFERROR(IF(MATCH(A$28,Z$3:Z$13,0)=9,A$28," ")," "))</f>
        <v xml:space="preserve"> </v>
      </c>
      <c r="B1507" s="8" t="str">
        <f>IF(A1507=" "," ",MAX(B1494:B1506)+1)</f>
        <v xml:space="preserve"> </v>
      </c>
      <c r="C1507" s="8"/>
      <c r="D1507" s="8"/>
      <c r="E1507" s="8"/>
      <c r="F1507" s="8"/>
      <c r="G1507" s="8"/>
      <c r="H1507" s="8"/>
      <c r="I1507" s="8"/>
      <c r="J1507" s="8"/>
      <c r="K1507" s="8"/>
      <c r="L1507" s="8"/>
      <c r="M1507" s="8"/>
      <c r="N1507" s="8"/>
      <c r="O1507" s="8"/>
      <c r="P1507" s="8"/>
      <c r="Q1507" s="8"/>
      <c r="R1507" s="8"/>
      <c r="S1507" s="8"/>
      <c r="U1507" s="34"/>
      <c r="V1507" s="34"/>
      <c r="W1507" s="34"/>
      <c r="X1507" s="34"/>
      <c r="Y1507" s="34"/>
      <c r="Z1507" s="34"/>
      <c r="AA1507" s="34"/>
      <c r="AB1507" s="34"/>
      <c r="AC1507" s="34"/>
      <c r="AD1507" s="34"/>
      <c r="AE1507" s="34"/>
      <c r="AF1507" s="34"/>
      <c r="AG1507" s="34"/>
      <c r="AH1507" s="34"/>
      <c r="AI1507" s="34"/>
      <c r="AJ1507" s="34"/>
      <c r="AK1507" s="34"/>
      <c r="AL1507" s="34"/>
      <c r="AM1507" s="34"/>
      <c r="AN1507" s="34"/>
      <c r="AO1507" s="34"/>
      <c r="AP1507" s="34"/>
      <c r="AQ1507" s="34"/>
      <c r="AR1507" s="34"/>
      <c r="AS1507" s="34"/>
      <c r="AT1507" s="34"/>
      <c r="AU1507" s="34"/>
      <c r="AV1507" s="34"/>
      <c r="AW1507" s="34"/>
      <c r="AX1507" s="34"/>
      <c r="AY1507" s="34"/>
      <c r="AZ1507" s="34"/>
      <c r="BA1507" s="34"/>
      <c r="BB1507" s="34"/>
      <c r="BC1507" s="34"/>
      <c r="BD1507" s="34"/>
      <c r="BE1507" s="34"/>
      <c r="BF1507" s="34"/>
      <c r="BG1507" s="34"/>
      <c r="BH1507" s="34"/>
      <c r="BI1507" s="34"/>
      <c r="BJ1507" s="34"/>
      <c r="BK1507" s="34"/>
      <c r="BL1507" s="34"/>
      <c r="BM1507" s="34"/>
      <c r="BN1507" s="34"/>
      <c r="BO1507" s="34"/>
      <c r="BP1507" s="34"/>
      <c r="BQ1507" s="34"/>
      <c r="BR1507" s="34"/>
      <c r="BS1507" s="34"/>
      <c r="BT1507" s="34"/>
      <c r="BU1507" s="34"/>
      <c r="BV1507" s="34"/>
      <c r="BW1507" s="34"/>
      <c r="BX1507" s="34"/>
      <c r="BY1507" s="34"/>
      <c r="BZ1507" s="34"/>
      <c r="CA1507" s="34"/>
      <c r="CB1507" s="34"/>
      <c r="CC1507" s="34"/>
      <c r="CD1507" s="34"/>
      <c r="CE1507" s="34"/>
      <c r="CF1507" s="34"/>
      <c r="CG1507" s="34"/>
      <c r="CH1507" s="34"/>
      <c r="CI1507" s="8"/>
    </row>
    <row r="1508" spans="1:87" x14ac:dyDescent="0.2">
      <c r="A1508" s="8" t="str">
        <f>IF(AND(COUNTIF(W$3:W$13,A$29)&gt;0,A$29&lt;&gt;B1308),A$29,IFERROR(IF(MATCH(A$29,Z$3:Z$13,0)=9,A$29," ")," "))</f>
        <v>C15</v>
      </c>
      <c r="B1508" s="8">
        <f>IF(A1508=" "," ",MAX(B1494:B1507)+1)</f>
        <v>5</v>
      </c>
      <c r="C1508" s="8"/>
      <c r="D1508" s="8"/>
      <c r="E1508" s="8"/>
      <c r="F1508" s="8"/>
      <c r="G1508" s="8"/>
      <c r="H1508" s="8"/>
      <c r="I1508" s="8"/>
      <c r="J1508" s="8"/>
      <c r="K1508" s="8"/>
      <c r="L1508" s="8"/>
      <c r="M1508" s="8"/>
      <c r="N1508" s="8"/>
      <c r="O1508" s="8"/>
      <c r="P1508" s="8"/>
      <c r="Q1508" s="8"/>
      <c r="R1508" s="8"/>
      <c r="S1508" s="8"/>
      <c r="U1508" s="34"/>
      <c r="V1508" s="34"/>
      <c r="W1508" s="34"/>
      <c r="X1508" s="34"/>
      <c r="Y1508" s="34"/>
      <c r="Z1508" s="34"/>
      <c r="AA1508" s="34"/>
      <c r="AB1508" s="34"/>
      <c r="AC1508" s="34"/>
      <c r="AD1508" s="34"/>
      <c r="AE1508" s="34"/>
      <c r="AF1508" s="34"/>
      <c r="AG1508" s="34"/>
      <c r="AH1508" s="34"/>
      <c r="AI1508" s="34"/>
      <c r="AJ1508" s="34"/>
      <c r="AK1508" s="34"/>
      <c r="AL1508" s="34"/>
      <c r="AM1508" s="34"/>
      <c r="AN1508" s="34"/>
      <c r="AO1508" s="34"/>
      <c r="AP1508" s="34"/>
      <c r="AQ1508" s="34"/>
      <c r="AR1508" s="34"/>
      <c r="AS1508" s="34"/>
      <c r="AT1508" s="34"/>
      <c r="AU1508" s="34"/>
      <c r="AV1508" s="34"/>
      <c r="AW1508" s="34"/>
      <c r="AX1508" s="34"/>
      <c r="AY1508" s="34"/>
      <c r="AZ1508" s="34"/>
      <c r="BA1508" s="34"/>
      <c r="BB1508" s="34"/>
      <c r="BC1508" s="34"/>
      <c r="BD1508" s="34"/>
      <c r="BE1508" s="34"/>
      <c r="BF1508" s="34"/>
      <c r="BG1508" s="34"/>
      <c r="BH1508" s="34"/>
      <c r="BI1508" s="34"/>
      <c r="BJ1508" s="34"/>
      <c r="BK1508" s="34"/>
      <c r="BL1508" s="34"/>
      <c r="BM1508" s="34"/>
      <c r="BN1508" s="34"/>
      <c r="BO1508" s="34"/>
      <c r="BP1508" s="34"/>
      <c r="BQ1508" s="34"/>
      <c r="BR1508" s="34"/>
      <c r="BS1508" s="34"/>
      <c r="BT1508" s="34"/>
      <c r="BU1508" s="34"/>
      <c r="BV1508" s="34"/>
      <c r="BW1508" s="34"/>
      <c r="BX1508" s="34"/>
      <c r="BY1508" s="34"/>
      <c r="BZ1508" s="34"/>
      <c r="CA1508" s="34"/>
      <c r="CB1508" s="34"/>
      <c r="CC1508" s="34"/>
      <c r="CD1508" s="34"/>
      <c r="CE1508" s="34"/>
      <c r="CF1508" s="34"/>
      <c r="CG1508" s="34"/>
      <c r="CH1508" s="34"/>
      <c r="CI1508" s="8"/>
    </row>
    <row r="1509" spans="1:87" x14ac:dyDescent="0.2">
      <c r="A1509" s="8" t="str">
        <f>IF(AND(COUNTIF(W$3:W$13,A$30)&gt;0,A$30&lt;&gt;B1308),A$30,IFERROR(IF(MATCH(A$30,Z$3:Z$13,0)=9,A$30," ")," "))</f>
        <v>C16</v>
      </c>
      <c r="B1509" s="8">
        <f>IF(A1509=" "," ",MAX(B1494:B1508)+1)</f>
        <v>6</v>
      </c>
      <c r="C1509" s="8"/>
      <c r="D1509" s="8"/>
      <c r="E1509" s="8"/>
      <c r="F1509" s="8"/>
      <c r="G1509" s="8"/>
      <c r="H1509" s="8"/>
      <c r="I1509" s="8"/>
      <c r="J1509" s="8"/>
      <c r="K1509" s="8"/>
      <c r="L1509" s="8"/>
      <c r="M1509" s="8"/>
      <c r="N1509" s="8"/>
      <c r="O1509" s="8"/>
      <c r="P1509" s="8"/>
      <c r="Q1509" s="8"/>
      <c r="R1509" s="8"/>
      <c r="S1509" s="8"/>
      <c r="U1509" s="34"/>
      <c r="V1509" s="34"/>
      <c r="W1509" s="34"/>
      <c r="X1509" s="34"/>
      <c r="Y1509" s="34"/>
      <c r="Z1509" s="34"/>
      <c r="AA1509" s="34"/>
      <c r="AB1509" s="34"/>
      <c r="AC1509" s="34"/>
      <c r="AD1509" s="34"/>
      <c r="AE1509" s="34"/>
      <c r="AF1509" s="34"/>
      <c r="AG1509" s="34"/>
      <c r="AH1509" s="34"/>
      <c r="AI1509" s="34"/>
      <c r="AJ1509" s="34"/>
      <c r="AK1509" s="34"/>
      <c r="AL1509" s="34"/>
      <c r="AM1509" s="34"/>
      <c r="AN1509" s="34"/>
      <c r="AO1509" s="34"/>
      <c r="AP1509" s="34"/>
      <c r="AQ1509" s="34"/>
      <c r="AR1509" s="34"/>
      <c r="AS1509" s="34"/>
      <c r="AT1509" s="34"/>
      <c r="AU1509" s="34"/>
      <c r="AV1509" s="34"/>
      <c r="AW1509" s="34"/>
      <c r="AX1509" s="34"/>
      <c r="AY1509" s="34"/>
      <c r="AZ1509" s="34"/>
      <c r="BA1509" s="34"/>
      <c r="BB1509" s="34"/>
      <c r="BC1509" s="34"/>
      <c r="BD1509" s="34"/>
      <c r="BE1509" s="34"/>
      <c r="BF1509" s="34"/>
      <c r="BG1509" s="34"/>
      <c r="BH1509" s="34"/>
      <c r="BI1509" s="34"/>
      <c r="BJ1509" s="34"/>
      <c r="BK1509" s="34"/>
      <c r="BL1509" s="34"/>
      <c r="BM1509" s="34"/>
      <c r="BN1509" s="34"/>
      <c r="BO1509" s="34"/>
      <c r="BP1509" s="34"/>
      <c r="BQ1509" s="34"/>
      <c r="BR1509" s="34"/>
      <c r="BS1509" s="34"/>
      <c r="BT1509" s="34"/>
      <c r="BU1509" s="34"/>
      <c r="BV1509" s="34"/>
      <c r="BW1509" s="34"/>
      <c r="BX1509" s="34"/>
      <c r="BY1509" s="34"/>
      <c r="BZ1509" s="34"/>
      <c r="CA1509" s="34"/>
      <c r="CB1509" s="34"/>
      <c r="CC1509" s="34"/>
      <c r="CD1509" s="34"/>
      <c r="CE1509" s="34"/>
      <c r="CF1509" s="34"/>
      <c r="CG1509" s="34"/>
      <c r="CH1509" s="34"/>
      <c r="CI1509" s="8"/>
    </row>
    <row r="1510" spans="1:87" x14ac:dyDescent="0.2">
      <c r="A1510" s="8" t="str">
        <f>IF(AND(COUNTIF(W$3:W$13,A$31)&gt;0,A$31&lt;&gt;B1308),A$31,IFERROR(IF(MATCH(A$31,Z$3:Z$13,0)=9,A$31," ")," "))</f>
        <v xml:space="preserve"> </v>
      </c>
      <c r="B1510" s="8" t="str">
        <f>IF(A1510=" "," ",MAX(B1494:B1509)+1)</f>
        <v xml:space="preserve"> </v>
      </c>
      <c r="C1510" s="8"/>
      <c r="D1510" s="8"/>
      <c r="E1510" s="8"/>
      <c r="F1510" s="8"/>
      <c r="G1510" s="8"/>
      <c r="H1510" s="8"/>
      <c r="I1510" s="8"/>
      <c r="J1510" s="8"/>
      <c r="K1510" s="8"/>
      <c r="L1510" s="8"/>
      <c r="M1510" s="8"/>
      <c r="N1510" s="8"/>
      <c r="O1510" s="8"/>
      <c r="P1510" s="8"/>
      <c r="Q1510" s="8"/>
      <c r="R1510" s="8"/>
      <c r="S1510" s="8"/>
      <c r="U1510" s="34"/>
      <c r="V1510" s="34"/>
      <c r="W1510" s="34"/>
      <c r="X1510" s="34"/>
      <c r="Y1510" s="34"/>
      <c r="Z1510" s="34"/>
      <c r="AA1510" s="34"/>
      <c r="AB1510" s="34"/>
      <c r="AC1510" s="34"/>
      <c r="AD1510" s="34"/>
      <c r="AE1510" s="34"/>
      <c r="AF1510" s="34"/>
      <c r="AG1510" s="34"/>
      <c r="AH1510" s="34"/>
      <c r="AI1510" s="34"/>
      <c r="AJ1510" s="34"/>
      <c r="AK1510" s="34"/>
      <c r="AL1510" s="34"/>
      <c r="AM1510" s="34"/>
      <c r="AN1510" s="34"/>
      <c r="AO1510" s="34"/>
      <c r="AP1510" s="34"/>
      <c r="AQ1510" s="34"/>
      <c r="AR1510" s="34"/>
      <c r="AS1510" s="34"/>
      <c r="AT1510" s="34"/>
      <c r="AU1510" s="34"/>
      <c r="AV1510" s="34"/>
      <c r="AW1510" s="34"/>
      <c r="AX1510" s="34"/>
      <c r="AY1510" s="34"/>
      <c r="AZ1510" s="34"/>
      <c r="BA1510" s="34"/>
      <c r="BB1510" s="34"/>
      <c r="BC1510" s="34"/>
      <c r="BD1510" s="34"/>
      <c r="BE1510" s="34"/>
      <c r="BF1510" s="34"/>
      <c r="BG1510" s="34"/>
      <c r="BH1510" s="34"/>
      <c r="BI1510" s="34"/>
      <c r="BJ1510" s="34"/>
      <c r="BK1510" s="34"/>
      <c r="BL1510" s="34"/>
      <c r="BM1510" s="34"/>
      <c r="BN1510" s="34"/>
      <c r="BO1510" s="34"/>
      <c r="BP1510" s="34"/>
      <c r="BQ1510" s="34"/>
      <c r="BR1510" s="34"/>
      <c r="BS1510" s="34"/>
      <c r="BT1510" s="34"/>
      <c r="BU1510" s="34"/>
      <c r="BV1510" s="34"/>
      <c r="BW1510" s="34"/>
      <c r="BX1510" s="34"/>
      <c r="BY1510" s="34"/>
      <c r="BZ1510" s="34"/>
      <c r="CA1510" s="34"/>
      <c r="CB1510" s="34"/>
      <c r="CC1510" s="34"/>
      <c r="CD1510" s="34"/>
      <c r="CE1510" s="34"/>
      <c r="CF1510" s="34"/>
      <c r="CG1510" s="34"/>
      <c r="CH1510" s="34"/>
      <c r="CI1510" s="8"/>
    </row>
    <row r="1511" spans="1:87" x14ac:dyDescent="0.2">
      <c r="A1511" s="8" t="str">
        <f>IF(AND(COUNTIF(W$3:W$13,A$32)&gt;0,A$32&lt;&gt;B1308),A$32,IFERROR(IF(MATCH(A$32,Z$3:Z$13,0)=9,A$32," ")," "))</f>
        <v>C18</v>
      </c>
      <c r="B1511" s="8">
        <f>IF(A1511=" "," ",MAX(B1494:B1510)+1)</f>
        <v>7</v>
      </c>
      <c r="C1511" s="8"/>
      <c r="D1511" s="8"/>
      <c r="E1511" s="8"/>
      <c r="F1511" s="8"/>
      <c r="G1511" s="8"/>
      <c r="H1511" s="8"/>
      <c r="I1511" s="8"/>
      <c r="J1511" s="8"/>
      <c r="K1511" s="8"/>
      <c r="L1511" s="8"/>
      <c r="M1511" s="8"/>
      <c r="N1511" s="8"/>
      <c r="O1511" s="8"/>
      <c r="P1511" s="8"/>
      <c r="Q1511" s="8"/>
      <c r="R1511" s="8"/>
      <c r="S1511" s="8"/>
      <c r="U1511" s="34"/>
      <c r="V1511" s="34"/>
      <c r="W1511" s="34"/>
      <c r="X1511" s="34"/>
      <c r="Y1511" s="34"/>
      <c r="Z1511" s="34"/>
      <c r="AA1511" s="34"/>
      <c r="AB1511" s="34"/>
      <c r="AC1511" s="34"/>
      <c r="AD1511" s="34"/>
      <c r="AE1511" s="34"/>
      <c r="AF1511" s="34"/>
      <c r="AG1511" s="34"/>
      <c r="AH1511" s="34"/>
      <c r="AI1511" s="34"/>
      <c r="AJ1511" s="34"/>
      <c r="AK1511" s="34"/>
      <c r="AL1511" s="34"/>
      <c r="AM1511" s="34"/>
      <c r="AN1511" s="34"/>
      <c r="AO1511" s="34"/>
      <c r="AP1511" s="34"/>
      <c r="AQ1511" s="34"/>
      <c r="AR1511" s="34"/>
      <c r="AS1511" s="34"/>
      <c r="AT1511" s="34"/>
      <c r="AU1511" s="34"/>
      <c r="AV1511" s="34"/>
      <c r="AW1511" s="34"/>
      <c r="AX1511" s="34"/>
      <c r="AY1511" s="34"/>
      <c r="AZ1511" s="34"/>
      <c r="BA1511" s="34"/>
      <c r="BB1511" s="34"/>
      <c r="BC1511" s="34"/>
      <c r="BD1511" s="34"/>
      <c r="BE1511" s="34"/>
      <c r="BF1511" s="34"/>
      <c r="BG1511" s="34"/>
      <c r="BH1511" s="34"/>
      <c r="BI1511" s="34"/>
      <c r="BJ1511" s="34"/>
      <c r="BK1511" s="34"/>
      <c r="BL1511" s="34"/>
      <c r="BM1511" s="34"/>
      <c r="BN1511" s="34"/>
      <c r="BO1511" s="34"/>
      <c r="BP1511" s="34"/>
      <c r="BQ1511" s="34"/>
      <c r="BR1511" s="34"/>
      <c r="BS1511" s="34"/>
      <c r="BT1511" s="34"/>
      <c r="BU1511" s="34"/>
      <c r="BV1511" s="34"/>
      <c r="BW1511" s="34"/>
      <c r="BX1511" s="34"/>
      <c r="BY1511" s="34"/>
      <c r="BZ1511" s="34"/>
      <c r="CA1511" s="34"/>
      <c r="CB1511" s="34"/>
      <c r="CC1511" s="34"/>
      <c r="CD1511" s="34"/>
      <c r="CE1511" s="34"/>
      <c r="CF1511" s="34"/>
      <c r="CG1511" s="34"/>
      <c r="CH1511" s="34"/>
      <c r="CI1511" s="8"/>
    </row>
    <row r="1512" spans="1:87" x14ac:dyDescent="0.2">
      <c r="A1512" s="8" t="str">
        <f>IF(AND(COUNTIF(W$3:W$13,A$33)&gt;0,A$33&lt;&gt;B1308),A$33,IFERROR(IF(MATCH(A$33,Z$3:Z$13,0)=9,A$33," ")," "))</f>
        <v>C19</v>
      </c>
      <c r="B1512" s="8">
        <f>IF(A1512=" "," ",MAX(B1494:B1511)+1)</f>
        <v>8</v>
      </c>
      <c r="C1512" s="8"/>
      <c r="D1512" s="8"/>
      <c r="E1512" s="8"/>
      <c r="F1512" s="8"/>
      <c r="G1512" s="8"/>
      <c r="H1512" s="8"/>
      <c r="I1512" s="8"/>
      <c r="J1512" s="8"/>
      <c r="K1512" s="8"/>
      <c r="L1512" s="8"/>
      <c r="M1512" s="8"/>
      <c r="N1512" s="8"/>
      <c r="O1512" s="8"/>
      <c r="P1512" s="8"/>
      <c r="Q1512" s="8"/>
      <c r="R1512" s="8"/>
      <c r="S1512" s="8"/>
      <c r="U1512" s="34"/>
      <c r="V1512" s="34"/>
      <c r="W1512" s="34"/>
      <c r="X1512" s="34"/>
      <c r="Y1512" s="34"/>
      <c r="Z1512" s="34"/>
      <c r="AA1512" s="34"/>
      <c r="AB1512" s="34"/>
      <c r="AC1512" s="34"/>
      <c r="AD1512" s="34"/>
      <c r="AE1512" s="34"/>
      <c r="AF1512" s="34"/>
      <c r="AG1512" s="34"/>
      <c r="AH1512" s="34"/>
      <c r="AI1512" s="34"/>
      <c r="AJ1512" s="34"/>
      <c r="AK1512" s="34"/>
      <c r="AL1512" s="34"/>
      <c r="AM1512" s="34"/>
      <c r="AN1512" s="34"/>
      <c r="AO1512" s="34"/>
      <c r="AP1512" s="34"/>
      <c r="AQ1512" s="34"/>
      <c r="AR1512" s="34"/>
      <c r="AS1512" s="34"/>
      <c r="AT1512" s="34"/>
      <c r="AU1512" s="34"/>
      <c r="AV1512" s="34"/>
      <c r="AW1512" s="34"/>
      <c r="AX1512" s="34"/>
      <c r="AY1512" s="34"/>
      <c r="AZ1512" s="34"/>
      <c r="BA1512" s="34"/>
      <c r="BB1512" s="34"/>
      <c r="BC1512" s="34"/>
      <c r="BD1512" s="34"/>
      <c r="BE1512" s="34"/>
      <c r="BF1512" s="34"/>
      <c r="BG1512" s="34"/>
      <c r="BH1512" s="34"/>
      <c r="BI1512" s="34"/>
      <c r="BJ1512" s="34"/>
      <c r="BK1512" s="34"/>
      <c r="BL1512" s="34"/>
      <c r="BM1512" s="34"/>
      <c r="BN1512" s="34"/>
      <c r="BO1512" s="34"/>
      <c r="BP1512" s="34"/>
      <c r="BQ1512" s="34"/>
      <c r="BR1512" s="34"/>
      <c r="BS1512" s="34"/>
      <c r="BT1512" s="34"/>
      <c r="BU1512" s="34"/>
      <c r="BV1512" s="34"/>
      <c r="BW1512" s="34"/>
      <c r="BX1512" s="34"/>
      <c r="BY1512" s="34"/>
      <c r="BZ1512" s="34"/>
      <c r="CA1512" s="34"/>
      <c r="CB1512" s="34"/>
      <c r="CC1512" s="34"/>
      <c r="CD1512" s="34"/>
      <c r="CE1512" s="34"/>
      <c r="CF1512" s="34"/>
      <c r="CG1512" s="34"/>
      <c r="CH1512" s="34"/>
      <c r="CI1512" s="8"/>
    </row>
    <row r="1513" spans="1:87" x14ac:dyDescent="0.2">
      <c r="A1513" s="8" t="str">
        <f>IF(AND(COUNTIF(W$3:W$13,A$34)&gt;0,A$34&lt;&gt;B1308),A$34,IFERROR(IF(MATCH(A$34,Z$3:Z$13,0)=9,A$34," ")," "))</f>
        <v>C20</v>
      </c>
      <c r="B1513" s="8">
        <f>IF(A1513=" "," ",MAX(B1494:B1512)+1)</f>
        <v>9</v>
      </c>
      <c r="C1513" s="8"/>
      <c r="D1513" s="8"/>
      <c r="E1513" s="8"/>
      <c r="F1513" s="8"/>
      <c r="G1513" s="8"/>
      <c r="H1513" s="8"/>
      <c r="I1513" s="8"/>
      <c r="J1513" s="8"/>
      <c r="K1513" s="8"/>
      <c r="L1513" s="8"/>
      <c r="M1513" s="8"/>
      <c r="N1513" s="8"/>
      <c r="O1513" s="8"/>
      <c r="P1513" s="8"/>
      <c r="Q1513" s="8"/>
      <c r="R1513" s="8"/>
      <c r="S1513" s="8"/>
      <c r="U1513" s="34"/>
      <c r="V1513" s="34"/>
      <c r="W1513" s="34"/>
      <c r="X1513" s="34"/>
      <c r="Y1513" s="34"/>
      <c r="Z1513" s="34"/>
      <c r="AA1513" s="34"/>
      <c r="AB1513" s="34"/>
      <c r="AC1513" s="34"/>
      <c r="AD1513" s="34"/>
      <c r="AE1513" s="34"/>
      <c r="AF1513" s="34"/>
      <c r="AG1513" s="34"/>
      <c r="AH1513" s="34"/>
      <c r="AI1513" s="34"/>
      <c r="AJ1513" s="34"/>
      <c r="AK1513" s="34"/>
      <c r="AL1513" s="34"/>
      <c r="AM1513" s="34"/>
      <c r="AN1513" s="34"/>
      <c r="AO1513" s="34"/>
      <c r="AP1513" s="34"/>
      <c r="AQ1513" s="34"/>
      <c r="AR1513" s="34"/>
      <c r="AS1513" s="34"/>
      <c r="AT1513" s="34"/>
      <c r="AU1513" s="34"/>
      <c r="AV1513" s="34"/>
      <c r="AW1513" s="34"/>
      <c r="AX1513" s="34"/>
      <c r="AY1513" s="34"/>
      <c r="AZ1513" s="34"/>
      <c r="BA1513" s="34"/>
      <c r="BB1513" s="34"/>
      <c r="BC1513" s="34"/>
      <c r="BD1513" s="34"/>
      <c r="BE1513" s="34"/>
      <c r="BF1513" s="34"/>
      <c r="BG1513" s="34"/>
      <c r="BH1513" s="34"/>
      <c r="BI1513" s="34"/>
      <c r="BJ1513" s="34"/>
      <c r="BK1513" s="34"/>
      <c r="BL1513" s="34"/>
      <c r="BM1513" s="34"/>
      <c r="BN1513" s="34"/>
      <c r="BO1513" s="34"/>
      <c r="BP1513" s="34"/>
      <c r="BQ1513" s="34"/>
      <c r="BR1513" s="34"/>
      <c r="BS1513" s="34"/>
      <c r="BT1513" s="34"/>
      <c r="BU1513" s="34"/>
      <c r="BV1513" s="34"/>
      <c r="BW1513" s="34"/>
      <c r="BX1513" s="34"/>
      <c r="BY1513" s="34"/>
      <c r="BZ1513" s="34"/>
      <c r="CA1513" s="34"/>
      <c r="CB1513" s="34"/>
      <c r="CC1513" s="34"/>
      <c r="CD1513" s="34"/>
      <c r="CE1513" s="34"/>
      <c r="CF1513" s="34"/>
      <c r="CG1513" s="34"/>
      <c r="CH1513" s="34"/>
      <c r="CI1513" s="8"/>
    </row>
    <row r="1514" spans="1:87" x14ac:dyDescent="0.2">
      <c r="A1514" s="8" t="str">
        <f>IF(AND(COUNTIF(W$3:W$13,A$35)&gt;0,A$35&lt;&gt;B1308),A$35,IFERROR(IF(MATCH(A$35,Z$3:Z$13,0)=9,A$35," ")," "))</f>
        <v>C21</v>
      </c>
      <c r="B1514" s="8">
        <f>IF(A1514=" "," ",MAX(B1494:B1513)+1)</f>
        <v>10</v>
      </c>
      <c r="C1514" s="8"/>
      <c r="D1514" s="8"/>
      <c r="E1514" s="8"/>
      <c r="F1514" s="8"/>
      <c r="G1514" s="8"/>
      <c r="H1514" s="8"/>
      <c r="I1514" s="8"/>
      <c r="J1514" s="8"/>
      <c r="K1514" s="8"/>
      <c r="L1514" s="8"/>
      <c r="M1514" s="8"/>
      <c r="N1514" s="8"/>
      <c r="O1514" s="8"/>
      <c r="P1514" s="8"/>
      <c r="Q1514" s="8"/>
      <c r="R1514" s="8"/>
      <c r="S1514" s="8"/>
      <c r="U1514" s="34"/>
      <c r="V1514" s="34"/>
      <c r="W1514" s="34"/>
      <c r="X1514" s="34"/>
      <c r="Y1514" s="34"/>
      <c r="Z1514" s="34"/>
      <c r="AA1514" s="34"/>
      <c r="AB1514" s="34"/>
      <c r="AC1514" s="34"/>
      <c r="AD1514" s="34"/>
      <c r="AE1514" s="34"/>
      <c r="AF1514" s="34"/>
      <c r="AG1514" s="34"/>
      <c r="AH1514" s="34"/>
      <c r="AI1514" s="34"/>
      <c r="AJ1514" s="34"/>
      <c r="AK1514" s="34"/>
      <c r="AL1514" s="34"/>
      <c r="AM1514" s="34"/>
      <c r="AN1514" s="34"/>
      <c r="AO1514" s="34"/>
      <c r="AP1514" s="34"/>
      <c r="AQ1514" s="34"/>
      <c r="AR1514" s="34"/>
      <c r="AS1514" s="34"/>
      <c r="AT1514" s="34"/>
      <c r="AU1514" s="34"/>
      <c r="AV1514" s="34"/>
      <c r="AW1514" s="34"/>
      <c r="AX1514" s="34"/>
      <c r="AY1514" s="34"/>
      <c r="AZ1514" s="34"/>
      <c r="BA1514" s="34"/>
      <c r="BB1514" s="34"/>
      <c r="BC1514" s="34"/>
      <c r="BD1514" s="34"/>
      <c r="BE1514" s="34"/>
      <c r="BF1514" s="34"/>
      <c r="BG1514" s="34"/>
      <c r="BH1514" s="34"/>
      <c r="BI1514" s="34"/>
      <c r="BJ1514" s="34"/>
      <c r="BK1514" s="34"/>
      <c r="BL1514" s="34"/>
      <c r="BM1514" s="34"/>
      <c r="BN1514" s="34"/>
      <c r="BO1514" s="34"/>
      <c r="BP1514" s="34"/>
      <c r="BQ1514" s="34"/>
      <c r="BR1514" s="34"/>
      <c r="BS1514" s="34"/>
      <c r="BT1514" s="34"/>
      <c r="BU1514" s="34"/>
      <c r="BV1514" s="34"/>
      <c r="BW1514" s="34"/>
      <c r="BX1514" s="34"/>
      <c r="BY1514" s="34"/>
      <c r="BZ1514" s="34"/>
      <c r="CA1514" s="34"/>
      <c r="CB1514" s="34"/>
      <c r="CC1514" s="34"/>
      <c r="CD1514" s="34"/>
      <c r="CE1514" s="34"/>
      <c r="CF1514" s="34"/>
      <c r="CG1514" s="34"/>
      <c r="CH1514" s="34"/>
      <c r="CI1514" s="8"/>
    </row>
    <row r="1515" spans="1:87" x14ac:dyDescent="0.2">
      <c r="A1515" s="8" t="str">
        <f>IF(AND(COUNTIF(W$3:W$13,A$36)&gt;0,A$36&lt;&gt;B1308),A$36,IFERROR(IF(MATCH(A$36,Z$3:Z$13,0)=9,A$36," ")," "))</f>
        <v>C22</v>
      </c>
      <c r="B1515" s="8">
        <f>IF(A1515=" "," ",MAX(B1494:B1514)+1)</f>
        <v>11</v>
      </c>
      <c r="C1515" s="8"/>
      <c r="D1515" s="8"/>
      <c r="E1515" s="8"/>
      <c r="F1515" s="8"/>
      <c r="G1515" s="8"/>
      <c r="H1515" s="8"/>
      <c r="I1515" s="8"/>
      <c r="J1515" s="8"/>
      <c r="K1515" s="8"/>
      <c r="L1515" s="8"/>
      <c r="M1515" s="8"/>
      <c r="N1515" s="8"/>
      <c r="O1515" s="8"/>
      <c r="P1515" s="8"/>
      <c r="Q1515" s="8"/>
      <c r="R1515" s="8"/>
      <c r="S1515" s="8"/>
      <c r="U1515" s="34"/>
      <c r="V1515" s="34"/>
      <c r="W1515" s="34"/>
      <c r="X1515" s="34"/>
      <c r="Y1515" s="34"/>
      <c r="Z1515" s="34"/>
      <c r="AA1515" s="34"/>
      <c r="AB1515" s="34"/>
      <c r="AC1515" s="34"/>
      <c r="AD1515" s="34"/>
      <c r="AE1515" s="34"/>
      <c r="AF1515" s="34"/>
      <c r="AG1515" s="34"/>
      <c r="AH1515" s="34"/>
      <c r="AI1515" s="34"/>
      <c r="AJ1515" s="34"/>
      <c r="AK1515" s="34"/>
      <c r="AL1515" s="34"/>
      <c r="AM1515" s="34"/>
      <c r="AN1515" s="34"/>
      <c r="AO1515" s="34"/>
      <c r="AP1515" s="34"/>
      <c r="AQ1515" s="34"/>
      <c r="AR1515" s="34"/>
      <c r="AS1515" s="34"/>
      <c r="AT1515" s="34"/>
      <c r="AU1515" s="34"/>
      <c r="AV1515" s="34"/>
      <c r="AW1515" s="34"/>
      <c r="AX1515" s="34"/>
      <c r="AY1515" s="34"/>
      <c r="AZ1515" s="34"/>
      <c r="BA1515" s="34"/>
      <c r="BB1515" s="34"/>
      <c r="BC1515" s="34"/>
      <c r="BD1515" s="34"/>
      <c r="BE1515" s="34"/>
      <c r="BF1515" s="34"/>
      <c r="BG1515" s="34"/>
      <c r="BH1515" s="34"/>
      <c r="BI1515" s="34"/>
      <c r="BJ1515" s="34"/>
      <c r="BK1515" s="34"/>
      <c r="BL1515" s="34"/>
      <c r="BM1515" s="34"/>
      <c r="BN1515" s="34"/>
      <c r="BO1515" s="34"/>
      <c r="BP1515" s="34"/>
      <c r="BQ1515" s="34"/>
      <c r="BR1515" s="34"/>
      <c r="BS1515" s="34"/>
      <c r="BT1515" s="34"/>
      <c r="BU1515" s="34"/>
      <c r="BV1515" s="34"/>
      <c r="BW1515" s="34"/>
      <c r="BX1515" s="34"/>
      <c r="BY1515" s="34"/>
      <c r="BZ1515" s="34"/>
      <c r="CA1515" s="34"/>
      <c r="CB1515" s="34"/>
      <c r="CC1515" s="34"/>
      <c r="CD1515" s="34"/>
      <c r="CE1515" s="34"/>
      <c r="CF1515" s="34"/>
      <c r="CG1515" s="34"/>
      <c r="CH1515" s="34"/>
      <c r="CI1515" s="8"/>
    </row>
    <row r="1516" spans="1:87" x14ac:dyDescent="0.2">
      <c r="A1516" s="11" t="s">
        <v>17</v>
      </c>
      <c r="B1516" s="11"/>
      <c r="C1516" s="27" t="s">
        <v>18</v>
      </c>
      <c r="D1516" s="27" t="s">
        <v>2</v>
      </c>
      <c r="E1516" s="27" t="s">
        <v>6</v>
      </c>
      <c r="F1516" s="27" t="s">
        <v>15</v>
      </c>
      <c r="G1516" s="27" t="s">
        <v>36</v>
      </c>
      <c r="H1516" s="27" t="s">
        <v>37</v>
      </c>
      <c r="I1516" s="27" t="s">
        <v>38</v>
      </c>
      <c r="J1516" s="27" t="s">
        <v>39</v>
      </c>
      <c r="K1516" s="27" t="s">
        <v>40</v>
      </c>
      <c r="L1516" s="27" t="s">
        <v>41</v>
      </c>
      <c r="M1516" s="27" t="s">
        <v>42</v>
      </c>
      <c r="N1516" s="27" t="s">
        <v>43</v>
      </c>
      <c r="O1516" s="27" t="s">
        <v>9</v>
      </c>
      <c r="P1516" s="27" t="s">
        <v>12</v>
      </c>
      <c r="Q1516" s="27" t="s">
        <v>19</v>
      </c>
      <c r="R1516" s="27" t="s">
        <v>55</v>
      </c>
      <c r="S1516" s="27" t="s">
        <v>26</v>
      </c>
      <c r="T1516" s="19" t="s">
        <v>25</v>
      </c>
      <c r="U1516" s="33" t="s">
        <v>27</v>
      </c>
      <c r="V1516" s="33" t="s">
        <v>9</v>
      </c>
      <c r="W1516" s="33" t="s">
        <v>23</v>
      </c>
      <c r="X1516" s="33" t="s">
        <v>12</v>
      </c>
      <c r="Y1516" s="33" t="s">
        <v>26</v>
      </c>
      <c r="Z1516" s="33" t="s">
        <v>25</v>
      </c>
      <c r="AA1516" s="33" t="s">
        <v>27</v>
      </c>
      <c r="AB1516" s="33" t="s">
        <v>9</v>
      </c>
      <c r="AC1516" s="33" t="s">
        <v>23</v>
      </c>
      <c r="AD1516" s="33" t="s">
        <v>12</v>
      </c>
      <c r="AE1516" s="33" t="s">
        <v>26</v>
      </c>
      <c r="AF1516" s="33" t="s">
        <v>25</v>
      </c>
      <c r="AG1516" s="33" t="s">
        <v>27</v>
      </c>
      <c r="AH1516" s="33" t="s">
        <v>9</v>
      </c>
      <c r="AI1516" s="33" t="s">
        <v>23</v>
      </c>
      <c r="AJ1516" s="33" t="s">
        <v>12</v>
      </c>
      <c r="AK1516" s="33" t="s">
        <v>26</v>
      </c>
      <c r="AL1516" s="33" t="s">
        <v>25</v>
      </c>
      <c r="AM1516" s="33" t="s">
        <v>27</v>
      </c>
      <c r="AN1516" s="33" t="s">
        <v>9</v>
      </c>
      <c r="AO1516" s="33" t="s">
        <v>23</v>
      </c>
      <c r="AP1516" s="33" t="s">
        <v>12</v>
      </c>
      <c r="AQ1516" s="33" t="s">
        <v>26</v>
      </c>
      <c r="AR1516" s="33" t="s">
        <v>25</v>
      </c>
      <c r="AS1516" s="33" t="s">
        <v>27</v>
      </c>
      <c r="AT1516" s="33" t="s">
        <v>9</v>
      </c>
      <c r="AU1516" s="33" t="s">
        <v>23</v>
      </c>
      <c r="AV1516" s="33" t="s">
        <v>12</v>
      </c>
      <c r="AW1516" s="33" t="s">
        <v>26</v>
      </c>
      <c r="AX1516" s="33" t="s">
        <v>25</v>
      </c>
      <c r="AY1516" s="33" t="s">
        <v>27</v>
      </c>
      <c r="AZ1516" s="33" t="s">
        <v>9</v>
      </c>
      <c r="BA1516" s="33" t="s">
        <v>23</v>
      </c>
      <c r="BB1516" s="33" t="s">
        <v>12</v>
      </c>
      <c r="BC1516" s="33" t="s">
        <v>26</v>
      </c>
      <c r="BD1516" s="33" t="s">
        <v>25</v>
      </c>
      <c r="BE1516" s="33" t="s">
        <v>27</v>
      </c>
      <c r="BF1516" s="33" t="s">
        <v>9</v>
      </c>
      <c r="BG1516" s="33" t="s">
        <v>23</v>
      </c>
      <c r="BH1516" s="33" t="s">
        <v>12</v>
      </c>
      <c r="BI1516" s="33" t="s">
        <v>26</v>
      </c>
      <c r="BJ1516" s="33" t="s">
        <v>25</v>
      </c>
      <c r="BK1516" s="33" t="s">
        <v>27</v>
      </c>
      <c r="BL1516" s="33" t="s">
        <v>9</v>
      </c>
      <c r="BM1516" s="33" t="s">
        <v>23</v>
      </c>
      <c r="BN1516" s="33" t="s">
        <v>12</v>
      </c>
      <c r="BO1516" s="33" t="s">
        <v>26</v>
      </c>
      <c r="BP1516" s="33" t="s">
        <v>25</v>
      </c>
      <c r="BQ1516" s="33" t="s">
        <v>27</v>
      </c>
      <c r="BR1516" s="33" t="s">
        <v>9</v>
      </c>
      <c r="BS1516" s="33" t="s">
        <v>23</v>
      </c>
      <c r="BT1516" s="33" t="s">
        <v>12</v>
      </c>
      <c r="BU1516" s="33" t="s">
        <v>26</v>
      </c>
      <c r="BV1516" s="33" t="s">
        <v>25</v>
      </c>
      <c r="BW1516" s="33" t="s">
        <v>27</v>
      </c>
      <c r="BX1516" s="33" t="s">
        <v>9</v>
      </c>
      <c r="BY1516" s="33" t="s">
        <v>23</v>
      </c>
      <c r="BZ1516" s="33" t="s">
        <v>12</v>
      </c>
      <c r="CA1516" s="33" t="s">
        <v>26</v>
      </c>
      <c r="CB1516" s="33" t="s">
        <v>25</v>
      </c>
      <c r="CC1516" s="33" t="s">
        <v>27</v>
      </c>
      <c r="CD1516" s="33" t="s">
        <v>9</v>
      </c>
      <c r="CE1516" s="33" t="s">
        <v>23</v>
      </c>
      <c r="CF1516" s="33" t="s">
        <v>12</v>
      </c>
      <c r="CG1516" s="33" t="s">
        <v>26</v>
      </c>
      <c r="CH1516" s="33" t="s">
        <v>25</v>
      </c>
      <c r="CI1516" s="8"/>
    </row>
    <row r="1517" spans="1:87" x14ac:dyDescent="0.2">
      <c r="A1517" s="8" t="str">
        <f>IF(AND(COUNTIF(W$3:W$13,A$15)&gt;0,A$15&lt;&gt;B1308),A$15,IFERROR(IF(MATCH(A$15,Z$3:Z$13,0)=10,A$15," ")," "))</f>
        <v xml:space="preserve"> </v>
      </c>
      <c r="B1517" s="8" t="str">
        <f>IF(A1517=" "," ",1)</f>
        <v xml:space="preserve"> </v>
      </c>
      <c r="C1517" s="8" t="str">
        <f>IFERROR(INDEX(A1517:A1538,MATCH(SMALL(B1517:B1538,1),B1517:B1538,0),1)," ")</f>
        <v>C3</v>
      </c>
      <c r="D1517" s="8">
        <f>IFERROR(VLOOKUP($C1517,$A$15:$O$36,2,FALSE)," ")</f>
        <v>2</v>
      </c>
      <c r="E1517" s="8">
        <f>IFERROR(VLOOKUP($C1517,$A$15:$O$36,3,FALSE)," ")</f>
        <v>5</v>
      </c>
      <c r="F1517" s="8">
        <f>IFERROR(VLOOKUP($C1517,$A$15:$O$36,4,FALSE)," ")</f>
        <v>6</v>
      </c>
      <c r="G1517" s="8">
        <f>IFERROR(VLOOKUP($C1517,$A$15:$O$36,5,FALSE)," ")</f>
        <v>0</v>
      </c>
      <c r="H1517" s="8">
        <f>IFERROR(VLOOKUP($C1517,$A$15:$O$36,6,FALSE)," ")</f>
        <v>0</v>
      </c>
      <c r="I1517" s="8">
        <f>IFERROR(VLOOKUP($C1517,$A$15:$O$36,7,FALSE)," ")</f>
        <v>0</v>
      </c>
      <c r="J1517" s="8">
        <f>IFERROR(VLOOKUP($C1517,$A$15:$O$36,8,FALSE)," ")</f>
        <v>0</v>
      </c>
      <c r="K1517" s="8">
        <f>IFERROR(VLOOKUP($C1517,$A$15:$O$36,9,FALSE)," ")</f>
        <v>0</v>
      </c>
      <c r="L1517" s="8">
        <f>IFERROR(VLOOKUP($C1517,$A$15:$O$36,10,FALSE)," ")</f>
        <v>0</v>
      </c>
      <c r="M1517" s="8">
        <f>IFERROR(VLOOKUP($C1517,$A$15:$O$36,11,FALSE)," ")</f>
        <v>0</v>
      </c>
      <c r="N1517" s="8">
        <f>IFERROR(VLOOKUP($C1517,$A$15:$O$36,12,FALSE)," ")</f>
        <v>0</v>
      </c>
      <c r="O1517" s="8">
        <f>IFERROR(VLOOKUP($C1517,$A$15:$O$36,15,FALSE)," ")</f>
        <v>2000</v>
      </c>
      <c r="P1517" s="8" t="e">
        <f t="array" ref="P1517:P1527">MMULT(MINVERSE(D1517:N1527),O1517:O1527)</f>
        <v>#NUM!</v>
      </c>
      <c r="Q1517" s="8" t="e">
        <f t="shared" ref="Q1517" si="6486">IF(COUNTIF(P1517:P1527,"&lt;"&amp;-0.001)=0,IF(ABS(P1517)&lt;0.001,0,P1517)," ")</f>
        <v>#NUM!</v>
      </c>
      <c r="R1517" s="8" t="str">
        <f>IFERROR(VLOOKUP(B1308,A$15:L$36,2,FALSE)*Q1517+VLOOKUP(B1308,A$15:L$36,3,FALSE)*Q1518+VLOOKUP(B1308,A$15:L$36,4,FALSE)*Q1519+VLOOKUP(B1308,A$15:L$36,5,FALSE)*Q1520+VLOOKUP(B1308,A$15:L$36,6,FALSE)*Q1521+VLOOKUP(B1308,A$15:L$36,7,FALSE)*Q1522+VLOOKUP(B1308,A$15:L$36,8,FALSE)*Q1523+VLOOKUP(B1308,A$15:L$36,9,FALSE)*Q1524+VLOOKUP(B1308,A$15:L$36,10,FALSE)*Q1525+VLOOKUP(B1308,A$15:L$36,11,FALSE)*Q1526+VLOOKUP(B1308,A$15:L$36,12,FALSE)*Q1527," ")</f>
        <v xml:space="preserve"> </v>
      </c>
      <c r="S1517" s="8" t="str">
        <f>IFERROR(IF(R1517-VLOOKUP(B1308,A$15:O$36,15,FALSE)&lt;0,R1517-VLOOKUP(B1308,A$15:O$36,15,FALSE)," ")," ")</f>
        <v xml:space="preserve"> </v>
      </c>
      <c r="T1517" s="18" t="str">
        <f>IFERROR(IF(R1517-VLOOKUP(B1308,A$15:O$36,15,FALSE)&gt;0,R1517-VLOOKUP(B1308,A$15:O$36,15,FALSE)," ")," ")</f>
        <v xml:space="preserve"> </v>
      </c>
      <c r="U1517" s="34">
        <f t="shared" ref="U1517" si="6487">$M$2</f>
        <v>100.00000000000001</v>
      </c>
      <c r="V1517" s="34">
        <v>-1</v>
      </c>
      <c r="W1517" s="34">
        <f t="shared" ref="W1517" si="6488">-SUMPRODUCT($M$3:$M$12,$N$3:$N$12)</f>
        <v>-105000</v>
      </c>
      <c r="X1517" s="34" t="e">
        <f t="shared" ref="X1517" si="6489">IF(U1517&lt;&gt;U1518,MMULT(MINVERSE(U1517:V1518),W1517:W1518)," ")</f>
        <v>#NUM!</v>
      </c>
      <c r="Y1517" s="34" t="str">
        <f t="shared" ref="Y1517" si="6490">IFERROR(IF(X1517-VLOOKUP(U$38,$A$2:$N$12,14,FALSE)&lt;0,X1517-VLOOKUP(U$38,$A$2:$N$12,14,FALSE)," ")," ")</f>
        <v xml:space="preserve"> </v>
      </c>
      <c r="Z1517" s="34" t="str">
        <f t="shared" ref="Z1517" si="6491">IFERROR(IF(X1517-VLOOKUP(U$38,$A$2:$N$12,14,FALSE)&gt;0,X1517-VLOOKUP(U$38,$A$2:$N$12,14,FALSE)," ")," ")</f>
        <v xml:space="preserve"> </v>
      </c>
      <c r="AA1517" s="34">
        <f t="shared" ref="AA1517" si="6492">$M$3</f>
        <v>0</v>
      </c>
      <c r="AB1517" s="34">
        <v>-1</v>
      </c>
      <c r="AC1517" s="34">
        <f t="shared" ref="AC1517" si="6493">-SUMPRODUCT($M$2:$M$2,$N$2:$N$2)-SUMPRODUCT($M$4:$M$12,$N$4:$N$12)</f>
        <v>-120000</v>
      </c>
      <c r="AD1517" s="34" t="e">
        <f t="shared" ref="AD1517" si="6494">IF(AA1517&lt;&gt;AA1518,MMULT(MINVERSE(AA1517:AB1518),AC1517:AC1518)," ")</f>
        <v>#NUM!</v>
      </c>
      <c r="AE1517" s="34" t="str">
        <f t="shared" ref="AE1517" si="6495">IFERROR(IF(AD1517-VLOOKUP(AA$38,$A$2:$N$12,14,FALSE)&lt;0,AD1517-VLOOKUP(AA$38,$A$2:$N$12,14,FALSE)," ")," ")</f>
        <v xml:space="preserve"> </v>
      </c>
      <c r="AF1517" s="34" t="str">
        <f t="shared" ref="AF1517" si="6496">IFERROR(IF(AD1517-VLOOKUP(AA$38,$A$2:$N$12,14,FALSE)&gt;0,AD1517-VLOOKUP(AA$38,$A$2:$N$12,14,FALSE)," ")," ")</f>
        <v xml:space="preserve"> </v>
      </c>
      <c r="AG1517" s="34">
        <f t="shared" ref="AG1517" si="6497">$M$4</f>
        <v>300</v>
      </c>
      <c r="AH1517" s="34">
        <v>-1</v>
      </c>
      <c r="AI1517" s="34">
        <f t="shared" ref="AI1517" si="6498">-SUMPRODUCT($M$2:$M$3,$N$2:$N$3)-SUMPRODUCT($M$5:$M$12,$N$5:$N$12)</f>
        <v>-15000.000000000002</v>
      </c>
      <c r="AJ1517" s="34" t="e">
        <f t="shared" ref="AJ1517" si="6499">IF(AG1517&lt;&gt;AG1518,MMULT(MINVERSE(AG1517:AH1518),AI1517:AI1518)," ")</f>
        <v>#NUM!</v>
      </c>
      <c r="AK1517" s="34" t="str">
        <f t="shared" ref="AK1517" si="6500">IFERROR(IF(AJ1517-VLOOKUP(AG$38,$A$2:$N$12,14,FALSE)&lt;0,AJ1517-VLOOKUP(AG$38,$A$2:$N$12,14,FALSE)," ")," ")</f>
        <v xml:space="preserve"> </v>
      </c>
      <c r="AL1517" s="34" t="str">
        <f t="shared" ref="AL1517" si="6501">IFERROR(IF(AJ1517-VLOOKUP(AG$38,$A$2:$N$12,14,FALSE)&gt;0,AJ1517-VLOOKUP(AG$38,$A$2:$N$12,14,FALSE)," ")," ")</f>
        <v xml:space="preserve"> </v>
      </c>
      <c r="AM1517" s="34">
        <f t="shared" ref="AM1517" si="6502">$M$5</f>
        <v>0</v>
      </c>
      <c r="AN1517" s="34">
        <v>-1</v>
      </c>
      <c r="AO1517" s="34">
        <f t="shared" ref="AO1517" si="6503">-SUMPRODUCT($M$2:$M$4,$N$2:$N$4)-SUMPRODUCT($M$6:$M$12,$N$6:$N$12)</f>
        <v>-120000</v>
      </c>
      <c r="AP1517" s="34" t="e">
        <f t="shared" ref="AP1517" si="6504">IF(AM1517&lt;&gt;AM1518,MMULT(MINVERSE(AM1517:AN1518),AO1517:AO1518)," ")</f>
        <v>#NUM!</v>
      </c>
      <c r="AQ1517" s="34" t="str">
        <f t="shared" ref="AQ1517" si="6505">IFERROR(IF(AP1517-VLOOKUP(AM$38,$A$2:$N$12,14,FALSE)&lt;0,AP1517-VLOOKUP(AM$38,$A$2:$N$12,14,FALSE)," ")," ")</f>
        <v xml:space="preserve"> </v>
      </c>
      <c r="AR1517" s="34" t="str">
        <f t="shared" ref="AR1517" si="6506">IFERROR(IF(AP1517-VLOOKUP(AM$38,$A$2:$N$12,14,FALSE)&gt;0,AP1517-VLOOKUP(AM$38,$A$2:$N$12,14,FALSE)," ")," ")</f>
        <v xml:space="preserve"> </v>
      </c>
      <c r="AS1517" s="34">
        <f t="shared" ref="AS1517" si="6507">$M$6</f>
        <v>0</v>
      </c>
      <c r="AT1517" s="34">
        <v>-1</v>
      </c>
      <c r="AU1517" s="34">
        <f t="shared" ref="AU1517" si="6508">-SUMPRODUCT($M$2:$M$5,$N$2:$N$5)-SUMPRODUCT($M$7:$M$12,$N$7:$N$12)</f>
        <v>-120000</v>
      </c>
      <c r="AV1517" s="34" t="e">
        <f t="shared" ref="AV1517" si="6509">IF(AS1517&lt;&gt;AS1518,MMULT(MINVERSE(AS1517:AT1518),AU1517:AU1518)," ")</f>
        <v>#NUM!</v>
      </c>
      <c r="AW1517" s="34" t="str">
        <f t="shared" ref="AW1517" si="6510">IFERROR(IF(AV1517-VLOOKUP(AS$38,$A$2:$N$12,14,FALSE)&lt;0,AV1517-VLOOKUP(AS$38,$A$2:$N$12,14,FALSE)," ")," ")</f>
        <v xml:space="preserve"> </v>
      </c>
      <c r="AX1517" s="34" t="str">
        <f t="shared" ref="AX1517" si="6511">IFERROR(IF(AV1517-VLOOKUP(AS$38,$A$2:$N$12,14,FALSE)&gt;0,AV1517-VLOOKUP(AS$38,$A$2:$N$12,14,FALSE)," ")," ")</f>
        <v xml:space="preserve"> </v>
      </c>
      <c r="AY1517" s="34">
        <f t="shared" ref="AY1517" si="6512">$M$7</f>
        <v>0</v>
      </c>
      <c r="AZ1517" s="34">
        <v>-1</v>
      </c>
      <c r="BA1517" s="34">
        <f t="shared" ref="BA1517" si="6513">-SUMPRODUCT($M$2:$M$6,$N$2:$N$6)-SUMPRODUCT($M$8:$M$12,$N$8:$N$12)</f>
        <v>-120000</v>
      </c>
      <c r="BB1517" s="34" t="e">
        <f t="shared" ref="BB1517" si="6514">IF(AY1517&lt;&gt;AY1518,MMULT(MINVERSE(AY1517:AZ1518),BA1517:BA1518)," ")</f>
        <v>#NUM!</v>
      </c>
      <c r="BC1517" s="34" t="str">
        <f t="shared" ref="BC1517" si="6515">IFERROR(IF(BB1517-VLOOKUP(AY$38,$A$2:$N$12,14,FALSE)&lt;0,BB1517-VLOOKUP(AY$38,$A$2:$N$12,14,FALSE)," ")," ")</f>
        <v xml:space="preserve"> </v>
      </c>
      <c r="BD1517" s="34" t="str">
        <f t="shared" ref="BD1517" si="6516">IFERROR(IF(BB1517-VLOOKUP(AY$38,$A$2:$N$12,14,FALSE)&gt;0,BB1517-VLOOKUP(AY$38,$A$2:$N$12,14,FALSE)," ")," ")</f>
        <v xml:space="preserve"> </v>
      </c>
      <c r="BE1517" s="34">
        <f t="shared" ref="BE1517" si="6517">$M$8</f>
        <v>0</v>
      </c>
      <c r="BF1517" s="34">
        <v>-1</v>
      </c>
      <c r="BG1517" s="34">
        <f t="shared" ref="BG1517" si="6518">-SUMPRODUCT($M$2:$M$7,$N$2:$N$7)-SUMPRODUCT($M$9:$M$12,$N$9:$N$12)</f>
        <v>-120000</v>
      </c>
      <c r="BH1517" s="34" t="e">
        <f t="shared" ref="BH1517" si="6519">IF(BE1517&lt;&gt;BE1518,MMULT(MINVERSE(BE1517:BF1518),BG1517:BG1518)," ")</f>
        <v>#NUM!</v>
      </c>
      <c r="BI1517" s="34" t="str">
        <f t="shared" ref="BI1517" si="6520">IFERROR(IF(BH1517-VLOOKUP(BE$38,$A$2:$N$12,14,FALSE)&lt;0,BH1517-VLOOKUP(BE$38,$A$2:$N$12,14,FALSE)," ")," ")</f>
        <v xml:space="preserve"> </v>
      </c>
      <c r="BJ1517" s="34" t="str">
        <f t="shared" ref="BJ1517" si="6521">IFERROR(IF(BH1517-VLOOKUP(BE$38,$A$2:$N$12,14,FALSE)&gt;0,BH1517-VLOOKUP(BE$38,$A$2:$N$12,14,FALSE)," ")," ")</f>
        <v xml:space="preserve"> </v>
      </c>
      <c r="BK1517" s="34">
        <f t="shared" ref="BK1517" si="6522">$M$9</f>
        <v>0</v>
      </c>
      <c r="BL1517" s="34">
        <v>-1</v>
      </c>
      <c r="BM1517" s="34">
        <f t="shared" ref="BM1517" si="6523">-SUMPRODUCT($M$2:$M$8,$N$2:$N$8)-SUMPRODUCT($M$10:$M$12,$N$10:$N$12)</f>
        <v>-120000</v>
      </c>
      <c r="BN1517" s="34" t="e">
        <f t="shared" ref="BN1517" si="6524">IF(BK1517&lt;&gt;BK1518,MMULT(MINVERSE(BK1517:BL1518),BM1517:BM1518)," ")</f>
        <v>#NUM!</v>
      </c>
      <c r="BO1517" s="34" t="str">
        <f t="shared" ref="BO1517" si="6525">IFERROR(IF(BN1517-VLOOKUP(BK$38,$A$2:$N$12,14,FALSE)&lt;0,BN1517-VLOOKUP(BK$38,$A$2:$N$12,14,FALSE)," ")," ")</f>
        <v xml:space="preserve"> </v>
      </c>
      <c r="BP1517" s="34" t="str">
        <f t="shared" ref="BP1517" si="6526">IFERROR(IF(BN1517-VLOOKUP(BK$38,$A$2:$N$12,14,FALSE)&gt;0,BN1517-VLOOKUP(BK$38,$A$2:$N$12,14,FALSE)," ")," ")</f>
        <v xml:space="preserve"> </v>
      </c>
      <c r="BQ1517" s="34">
        <f t="shared" ref="BQ1517" si="6527">$M$10</f>
        <v>0</v>
      </c>
      <c r="BR1517" s="34">
        <v>-1</v>
      </c>
      <c r="BS1517" s="34">
        <f t="shared" ref="BS1517" si="6528">-SUMPRODUCT($M$2:$M$9,$N$2:$N$9)-SUMPRODUCT($M$11:$M$12,$N$11:$N$12)</f>
        <v>-120000</v>
      </c>
      <c r="BT1517" s="34" t="e">
        <f t="shared" ref="BT1517" si="6529">IF(BQ1517&lt;&gt;BQ1518,MMULT(MINVERSE(BQ1517:BR1518),BS1517:BS1518)," ")</f>
        <v>#NUM!</v>
      </c>
      <c r="BU1517" s="34" t="str">
        <f t="shared" ref="BU1517" si="6530">IFERROR(IF(BT1517-VLOOKUP(BQ$38,$A$2:$N$12,14,FALSE)&lt;0,BT1517-VLOOKUP(BQ$38,$A$2:$N$12,14,FALSE)," ")," ")</f>
        <v xml:space="preserve"> </v>
      </c>
      <c r="BV1517" s="34" t="str">
        <f t="shared" ref="BV1517" si="6531">IFERROR(IF(BT1517-VLOOKUP(BQ$38,$A$2:$N$12,14,FALSE)&gt;0,BT1517-VLOOKUP(BQ$38,$A$2:$N$12,14,FALSE)," ")," ")</f>
        <v xml:space="preserve"> </v>
      </c>
      <c r="BW1517" s="34">
        <f t="shared" ref="BW1517" si="6532">$M$11</f>
        <v>0</v>
      </c>
      <c r="BX1517" s="34">
        <v>-1</v>
      </c>
      <c r="BY1517" s="34">
        <f t="shared" ref="BY1517" si="6533">-SUMPRODUCT($M$2:$M$10,$N$2:$N$10)-SUMPRODUCT($M$12,$N$12)</f>
        <v>-120000</v>
      </c>
      <c r="BZ1517" s="34" t="e">
        <f t="shared" ref="BZ1517" si="6534">IF(BW1517&lt;&gt;BW1518,MMULT(MINVERSE(BW1517:BX1518),BY1517:BY1518)," ")</f>
        <v>#NUM!</v>
      </c>
      <c r="CA1517" s="34" t="str">
        <f t="shared" ref="CA1517" si="6535">IFERROR(IF(BZ1517-VLOOKUP(BW$38,$A$2:$N$12,14,FALSE)&lt;0,BZ1517-VLOOKUP(BW$38,$A$2:$N$12,14,FALSE)," ")," ")</f>
        <v xml:space="preserve"> </v>
      </c>
      <c r="CB1517" s="34" t="str">
        <f t="shared" ref="CB1517" si="6536">IFERROR(IF(BZ1517-VLOOKUP(BW$38,$A$2:$N$12,14,FALSE)&gt;0,BZ1517-VLOOKUP(BW$38,$A$2:$N$12,14,FALSE)," ")," ")</f>
        <v xml:space="preserve"> </v>
      </c>
      <c r="CC1517" s="34">
        <f t="shared" ref="CC1517" si="6537">$M$12</f>
        <v>0</v>
      </c>
      <c r="CD1517" s="34">
        <v>-1</v>
      </c>
      <c r="CE1517" s="34">
        <f t="shared" ref="CE1517" si="6538">-SUMPRODUCT($M$2:$M$11,$N$2:$N$11)</f>
        <v>-120000</v>
      </c>
      <c r="CF1517" s="34" t="e">
        <f t="shared" ref="CF1517" si="6539">IF(CC1517&lt;&gt;CC1518,MMULT(MINVERSE(CC1517:CD1518),CE1517:CE1518)," ")</f>
        <v>#NUM!</v>
      </c>
      <c r="CG1517" s="34" t="str">
        <f t="shared" ref="CG1517" si="6540">IFERROR(IF(CF1517-VLOOKUP(CC$38,$A$2:$N$12,14,FALSE)&lt;0,CF1517-VLOOKUP(CC$38,$A$2:$N$12,14,FALSE)," ")," ")</f>
        <v xml:space="preserve"> </v>
      </c>
      <c r="CH1517" s="34" t="str">
        <f t="shared" ref="CH1517" si="6541">IFERROR(IF(CF1517-VLOOKUP(CC$38,$A$2:$N$12,14,FALSE)&gt;0,CF1517-VLOOKUP(CC$38,$A$2:$N$12,14,FALSE)," ")," ")</f>
        <v xml:space="preserve"> </v>
      </c>
      <c r="CI1517" s="8"/>
    </row>
    <row r="1518" spans="1:87" x14ac:dyDescent="0.2">
      <c r="A1518" s="8" t="str">
        <f>IF(AND(COUNTIF(W$3:W$13,A$16)&gt;0,A$16&lt;&gt;B1308),A$16,IFERROR(IF(MATCH(A$16,Z$3:Z$13,0)=10,A$16," ")," "))</f>
        <v xml:space="preserve"> </v>
      </c>
      <c r="B1518" s="8" t="str">
        <f>IF(A1518=" "," ",MAX(B1517:B1517)+1)</f>
        <v xml:space="preserve"> </v>
      </c>
      <c r="C1518" s="8" t="str">
        <f>IFERROR(INDEX(A1517:A1538,MATCH(SMALL(B1517:B1538,2),B1517:B1538,0),1)," ")</f>
        <v>C4</v>
      </c>
      <c r="D1518" s="8">
        <f t="shared" ref="D1518:D1527" si="6542">IFERROR(VLOOKUP($C1518,$A$15:$O$36,2,FALSE)," ")</f>
        <v>1</v>
      </c>
      <c r="E1518" s="8">
        <f t="shared" ref="E1518:E1527" si="6543">IFERROR(VLOOKUP($C1518,$A$15:$O$36,3,FALSE)," ")</f>
        <v>0</v>
      </c>
      <c r="F1518" s="8">
        <f t="shared" ref="F1518:F1527" si="6544">IFERROR(VLOOKUP($C1518,$A$15:$O$36,4,FALSE)," ")</f>
        <v>1</v>
      </c>
      <c r="G1518" s="8">
        <f t="shared" ref="G1518:G1527" si="6545">IFERROR(VLOOKUP($C1518,$A$15:$O$36,5,FALSE)," ")</f>
        <v>0</v>
      </c>
      <c r="H1518" s="8">
        <f t="shared" ref="H1518:H1527" si="6546">IFERROR(VLOOKUP($C1518,$A$15:$O$36,6,FALSE)," ")</f>
        <v>0</v>
      </c>
      <c r="I1518" s="8">
        <f t="shared" ref="I1518:I1527" si="6547">IFERROR(VLOOKUP($C1518,$A$15:$O$36,7,FALSE)," ")</f>
        <v>0</v>
      </c>
      <c r="J1518" s="8">
        <f t="shared" ref="J1518:J1527" si="6548">IFERROR(VLOOKUP($C1518,$A$15:$O$36,8,FALSE)," ")</f>
        <v>0</v>
      </c>
      <c r="K1518" s="8">
        <f t="shared" ref="K1518:K1527" si="6549">IFERROR(VLOOKUP($C1518,$A$15:$O$36,9,FALSE)," ")</f>
        <v>0</v>
      </c>
      <c r="L1518" s="8">
        <f t="shared" ref="L1518:L1527" si="6550">IFERROR(VLOOKUP($C1518,$A$15:$O$36,10,FALSE)," ")</f>
        <v>0</v>
      </c>
      <c r="M1518" s="8">
        <f t="shared" ref="M1518:M1527" si="6551">IFERROR(VLOOKUP($C1518,$A$15:$O$36,11,FALSE)," ")</f>
        <v>0</v>
      </c>
      <c r="N1518" s="8">
        <f t="shared" ref="N1518:N1527" si="6552">IFERROR(VLOOKUP($C1518,$A$15:$O$36,12,FALSE)," ")</f>
        <v>0</v>
      </c>
      <c r="O1518" s="8">
        <f t="shared" ref="O1518:O1527" si="6553">IFERROR(VLOOKUP($C1518,$A$15:$O$36,15,FALSE)," ")</f>
        <v>400</v>
      </c>
      <c r="P1518" s="8" t="e">
        <v>#NUM!</v>
      </c>
      <c r="Q1518" s="8" t="e">
        <f t="shared" ref="Q1518" si="6554">IF(COUNTIF(P1517:P1527,"&lt;"&amp;-0.001)=0,IF(ABS(P1518)&lt;0.001,0,P1518)," ")</f>
        <v>#NUM!</v>
      </c>
      <c r="R1518" s="8"/>
      <c r="S1518" s="8"/>
      <c r="U1518" s="34" t="e">
        <f t="shared" ref="U1518" si="6555">$Q1517</f>
        <v>#NUM!</v>
      </c>
      <c r="V1518" s="34">
        <v>-1</v>
      </c>
      <c r="W1518" s="34" t="e">
        <f t="shared" ref="W1518" si="6556">-SUMPRODUCT($Q1518:$Q1527,$N$3:$N$12)</f>
        <v>#NUM!</v>
      </c>
      <c r="X1518" s="34"/>
      <c r="Y1518" s="34"/>
      <c r="Z1518" s="34"/>
      <c r="AA1518" s="34" t="e">
        <f t="shared" ref="AA1518" si="6557">$Q1518</f>
        <v>#NUM!</v>
      </c>
      <c r="AB1518" s="34">
        <v>-1</v>
      </c>
      <c r="AC1518" s="34" t="e">
        <f t="shared" ref="AC1518" si="6558">-SUMPRODUCT($Q1517:$Q1517,$N$2:$N$2)-SUMPRODUCT($Q1519:$Q1527,$N$4:$N$12)</f>
        <v>#NUM!</v>
      </c>
      <c r="AD1518" s="34"/>
      <c r="AE1518" s="34"/>
      <c r="AF1518" s="34"/>
      <c r="AG1518" s="34" t="e">
        <f t="shared" ref="AG1518" si="6559">$Q1519</f>
        <v>#NUM!</v>
      </c>
      <c r="AH1518" s="34">
        <v>-1</v>
      </c>
      <c r="AI1518" s="34" t="e">
        <f t="shared" ref="AI1518" si="6560">-SUMPRODUCT($Q1517:$Q1518,$N$2:$N$3)-SUMPRODUCT($Q1520:$Q1527,$N$5:$N$12)</f>
        <v>#NUM!</v>
      </c>
      <c r="AJ1518" s="34"/>
      <c r="AK1518" s="34"/>
      <c r="AL1518" s="34"/>
      <c r="AM1518" s="34" t="e">
        <f t="shared" ref="AM1518" si="6561">$Q1520</f>
        <v>#NUM!</v>
      </c>
      <c r="AN1518" s="34">
        <v>-1</v>
      </c>
      <c r="AO1518" s="34" t="e">
        <f t="shared" ref="AO1518" si="6562">-SUMPRODUCT($Q1517:$Q1519,$N$2:$N$4)-SUMPRODUCT($Q1521:$Q1527,$N$6:$N$12)</f>
        <v>#NUM!</v>
      </c>
      <c r="AP1518" s="34"/>
      <c r="AQ1518" s="34"/>
      <c r="AR1518" s="34"/>
      <c r="AS1518" s="34" t="e">
        <f t="shared" ref="AS1518" si="6563">$Q1521</f>
        <v>#NUM!</v>
      </c>
      <c r="AT1518" s="34">
        <v>-1</v>
      </c>
      <c r="AU1518" s="34" t="e">
        <f t="shared" ref="AU1518" si="6564">-SUMPRODUCT($Q1517:$Q1520,$N$2:$N$5)-SUMPRODUCT($Q1522:$Q1527,$N$7:$N$12)</f>
        <v>#NUM!</v>
      </c>
      <c r="AV1518" s="34"/>
      <c r="AW1518" s="34"/>
      <c r="AX1518" s="34"/>
      <c r="AY1518" s="34" t="e">
        <f t="shared" ref="AY1518" si="6565">$Q1522</f>
        <v>#NUM!</v>
      </c>
      <c r="AZ1518" s="34">
        <v>-1</v>
      </c>
      <c r="BA1518" s="34" t="e">
        <f t="shared" ref="BA1518" si="6566">-SUMPRODUCT($Q1517:$Q1521,$N$2:$N$6)-SUMPRODUCT($Q1523:$Q1527,$N$8:$N$12)</f>
        <v>#NUM!</v>
      </c>
      <c r="BB1518" s="34"/>
      <c r="BC1518" s="34"/>
      <c r="BD1518" s="34"/>
      <c r="BE1518" s="34" t="e">
        <f t="shared" ref="BE1518" si="6567">$Q1523</f>
        <v>#NUM!</v>
      </c>
      <c r="BF1518" s="34">
        <v>-1</v>
      </c>
      <c r="BG1518" s="34" t="e">
        <f t="shared" ref="BG1518" si="6568">-SUMPRODUCT($Q1517:$Q1522,$N$2:$N$7)-SUMPRODUCT($Q1524:$Q1527,$N$9:$N$12)</f>
        <v>#NUM!</v>
      </c>
      <c r="BH1518" s="34"/>
      <c r="BI1518" s="34"/>
      <c r="BJ1518" s="34"/>
      <c r="BK1518" s="34" t="e">
        <f t="shared" ref="BK1518" si="6569">$Q1524</f>
        <v>#NUM!</v>
      </c>
      <c r="BL1518" s="34">
        <v>-1</v>
      </c>
      <c r="BM1518" s="34" t="e">
        <f t="shared" ref="BM1518" si="6570">-SUMPRODUCT($Q1517:$Q1523,$N$2:$N$8)-SUMPRODUCT($Q1525:$Q1527,$N$10:$N$12)</f>
        <v>#NUM!</v>
      </c>
      <c r="BN1518" s="34"/>
      <c r="BO1518" s="34"/>
      <c r="BP1518" s="34"/>
      <c r="BQ1518" s="34" t="e">
        <f t="shared" ref="BQ1518" si="6571">$Q1525</f>
        <v>#NUM!</v>
      </c>
      <c r="BR1518" s="34">
        <v>-1</v>
      </c>
      <c r="BS1518" s="34" t="e">
        <f t="shared" ref="BS1518" si="6572">-SUMPRODUCT($Q1517:$Q1524,$N$2:$N$9)-SUMPRODUCT($Q1526:$Q1527,$N$11:$N$12)</f>
        <v>#NUM!</v>
      </c>
      <c r="BT1518" s="34"/>
      <c r="BU1518" s="34"/>
      <c r="BV1518" s="34"/>
      <c r="BW1518" s="34" t="e">
        <f t="shared" ref="BW1518" si="6573">$Q1526</f>
        <v>#NUM!</v>
      </c>
      <c r="BX1518" s="34">
        <v>-1</v>
      </c>
      <c r="BY1518" s="34" t="e">
        <f t="shared" ref="BY1518" si="6574">-SUMPRODUCT($Q1517:$Q1525,$N$2:$N$10)-SUMPRODUCT($Q1527,$N$12)</f>
        <v>#NUM!</v>
      </c>
      <c r="BZ1518" s="34"/>
      <c r="CA1518" s="34"/>
      <c r="CB1518" s="34"/>
      <c r="CC1518" s="34" t="e">
        <f t="shared" ref="CC1518" si="6575">$Q1527</f>
        <v>#NUM!</v>
      </c>
      <c r="CD1518" s="34">
        <v>-1</v>
      </c>
      <c r="CE1518" s="34" t="e">
        <f t="shared" ref="CE1518" si="6576">-SUMPRODUCT($Q1517:$Q1526,$N$2:$N$11)</f>
        <v>#NUM!</v>
      </c>
      <c r="CF1518" s="34"/>
      <c r="CG1518" s="34"/>
      <c r="CH1518" s="34"/>
      <c r="CI1518" s="8"/>
    </row>
    <row r="1519" spans="1:87" x14ac:dyDescent="0.2">
      <c r="A1519" s="8" t="str">
        <f>IF(AND(COUNTIF(W$3:W$13,A$17)&gt;0,A$17&lt;&gt;B1308),A$17,IFERROR(IF(MATCH(A$17,Z$3:Z$13,0)=10,A$17," ")," "))</f>
        <v>C3</v>
      </c>
      <c r="B1519" s="8">
        <f>IF(A1519=" "," ",MAX(B1517:B1518)+1)</f>
        <v>1</v>
      </c>
      <c r="C1519" s="8" t="str">
        <f>IFERROR(INDEX(A1517:A1538,MATCH(SMALL(B1517:B1538,3),B1517:B1538,0),1)," ")</f>
        <v>C12</v>
      </c>
      <c r="D1519" s="8">
        <f t="shared" si="6542"/>
        <v>1</v>
      </c>
      <c r="E1519" s="8">
        <f t="shared" si="6543"/>
        <v>0</v>
      </c>
      <c r="F1519" s="8">
        <f t="shared" si="6544"/>
        <v>0</v>
      </c>
      <c r="G1519" s="8">
        <f t="shared" si="6545"/>
        <v>0</v>
      </c>
      <c r="H1519" s="8">
        <f t="shared" si="6546"/>
        <v>0</v>
      </c>
      <c r="I1519" s="8">
        <f t="shared" si="6547"/>
        <v>0</v>
      </c>
      <c r="J1519" s="8">
        <f t="shared" si="6548"/>
        <v>0</v>
      </c>
      <c r="K1519" s="8">
        <f t="shared" si="6549"/>
        <v>0</v>
      </c>
      <c r="L1519" s="8">
        <f t="shared" si="6550"/>
        <v>0</v>
      </c>
      <c r="M1519" s="8">
        <f t="shared" si="6551"/>
        <v>0</v>
      </c>
      <c r="N1519" s="8">
        <f t="shared" si="6552"/>
        <v>0</v>
      </c>
      <c r="O1519" s="8">
        <f t="shared" si="6553"/>
        <v>0</v>
      </c>
      <c r="P1519" s="8" t="e">
        <v>#NUM!</v>
      </c>
      <c r="Q1519" s="8" t="e">
        <f t="shared" ref="Q1519" si="6577">IF(COUNTIF(P1517:P1527,"&lt;"&amp;-0.001)=0,IF(ABS(P1519)&lt;0.001,0,P1519)," ")</f>
        <v>#NUM!</v>
      </c>
      <c r="R1519" s="8"/>
      <c r="S1519" s="8"/>
      <c r="U1519" s="34"/>
      <c r="V1519" s="34"/>
      <c r="W1519" s="34"/>
      <c r="X1519" s="34"/>
      <c r="Y1519" s="34"/>
      <c r="Z1519" s="34"/>
      <c r="AA1519" s="34"/>
      <c r="AB1519" s="34"/>
      <c r="AC1519" s="34"/>
      <c r="AD1519" s="34"/>
      <c r="AE1519" s="34"/>
      <c r="AF1519" s="34"/>
      <c r="AG1519" s="34"/>
      <c r="AH1519" s="34"/>
      <c r="AI1519" s="34"/>
      <c r="AJ1519" s="34"/>
      <c r="AK1519" s="34"/>
      <c r="AL1519" s="34"/>
      <c r="AM1519" s="34"/>
      <c r="AN1519" s="34"/>
      <c r="AO1519" s="34"/>
      <c r="AP1519" s="34"/>
      <c r="AQ1519" s="34"/>
      <c r="AR1519" s="34"/>
      <c r="AS1519" s="34"/>
      <c r="AT1519" s="34"/>
      <c r="AU1519" s="34"/>
      <c r="AV1519" s="34"/>
      <c r="AW1519" s="34"/>
      <c r="AX1519" s="34"/>
      <c r="AY1519" s="34"/>
      <c r="AZ1519" s="34"/>
      <c r="BA1519" s="34"/>
      <c r="BB1519" s="34"/>
      <c r="BC1519" s="34"/>
      <c r="BD1519" s="34"/>
      <c r="BE1519" s="34"/>
      <c r="BF1519" s="34"/>
      <c r="BG1519" s="34"/>
      <c r="BH1519" s="34"/>
      <c r="BI1519" s="34"/>
      <c r="BJ1519" s="34"/>
      <c r="BK1519" s="34"/>
      <c r="BL1519" s="34"/>
      <c r="BM1519" s="34"/>
      <c r="BN1519" s="34"/>
      <c r="BO1519" s="34"/>
      <c r="BP1519" s="34"/>
      <c r="BQ1519" s="34"/>
      <c r="BR1519" s="34"/>
      <c r="BS1519" s="34"/>
      <c r="BT1519" s="34"/>
      <c r="BU1519" s="34"/>
      <c r="BV1519" s="34"/>
      <c r="BW1519" s="34"/>
      <c r="BX1519" s="34"/>
      <c r="BY1519" s="34"/>
      <c r="BZ1519" s="34"/>
      <c r="CA1519" s="34"/>
      <c r="CB1519" s="34"/>
      <c r="CC1519" s="34"/>
      <c r="CD1519" s="34"/>
      <c r="CE1519" s="34"/>
      <c r="CF1519" s="34"/>
      <c r="CG1519" s="34"/>
      <c r="CH1519" s="34"/>
      <c r="CI1519" s="8"/>
    </row>
    <row r="1520" spans="1:87" x14ac:dyDescent="0.2">
      <c r="A1520" s="8" t="str">
        <f>IF(AND(COUNTIF(W$3:W$13,A$18)&gt;0,A$18&lt;&gt;B1308),A$18,IFERROR(IF(MATCH(A$18,Z$3:Z$13,0)=10,A$18," ")," "))</f>
        <v>C4</v>
      </c>
      <c r="B1520" s="8">
        <f>IF(A1520=" "," ",MAX(B1517:B1519)+1)</f>
        <v>2</v>
      </c>
      <c r="C1520" s="8" t="str">
        <f>IFERROR(INDEX(A1517:A1538,MATCH(SMALL(B1517:B1538,4),B1517:B1538,0),1)," ")</f>
        <v>C13</v>
      </c>
      <c r="D1520" s="8">
        <f t="shared" si="6542"/>
        <v>0</v>
      </c>
      <c r="E1520" s="8">
        <f t="shared" si="6543"/>
        <v>1</v>
      </c>
      <c r="F1520" s="8">
        <f t="shared" si="6544"/>
        <v>0</v>
      </c>
      <c r="G1520" s="8">
        <f t="shared" si="6545"/>
        <v>0</v>
      </c>
      <c r="H1520" s="8">
        <f t="shared" si="6546"/>
        <v>0</v>
      </c>
      <c r="I1520" s="8">
        <f t="shared" si="6547"/>
        <v>0</v>
      </c>
      <c r="J1520" s="8">
        <f t="shared" si="6548"/>
        <v>0</v>
      </c>
      <c r="K1520" s="8">
        <f t="shared" si="6549"/>
        <v>0</v>
      </c>
      <c r="L1520" s="8">
        <f t="shared" si="6550"/>
        <v>0</v>
      </c>
      <c r="M1520" s="8">
        <f t="shared" si="6551"/>
        <v>0</v>
      </c>
      <c r="N1520" s="8">
        <f t="shared" si="6552"/>
        <v>0</v>
      </c>
      <c r="O1520" s="8">
        <f t="shared" si="6553"/>
        <v>0</v>
      </c>
      <c r="P1520" s="8" t="e">
        <v>#NUM!</v>
      </c>
      <c r="Q1520" s="8" t="e">
        <f t="shared" ref="Q1520" si="6578">IF(COUNTIF(P1517:P1527,"&lt;"&amp;-0.001)=0,IF(ABS(P1520)&lt;0.001,0,P1520)," ")</f>
        <v>#NUM!</v>
      </c>
      <c r="R1520" s="8"/>
      <c r="S1520" s="8"/>
      <c r="U1520" s="34"/>
      <c r="V1520" s="34"/>
      <c r="W1520" s="34"/>
      <c r="X1520" s="34"/>
      <c r="Y1520" s="34"/>
      <c r="Z1520" s="34"/>
      <c r="AA1520" s="34"/>
      <c r="AB1520" s="34"/>
      <c r="AC1520" s="34"/>
      <c r="AD1520" s="34"/>
      <c r="AE1520" s="34"/>
      <c r="AF1520" s="34"/>
      <c r="AG1520" s="34"/>
      <c r="AH1520" s="34"/>
      <c r="AI1520" s="34"/>
      <c r="AJ1520" s="34"/>
      <c r="AK1520" s="34"/>
      <c r="AL1520" s="34"/>
      <c r="AM1520" s="34"/>
      <c r="AN1520" s="34"/>
      <c r="AO1520" s="34"/>
      <c r="AP1520" s="34"/>
      <c r="AQ1520" s="34"/>
      <c r="AR1520" s="34"/>
      <c r="AS1520" s="34"/>
      <c r="AT1520" s="34"/>
      <c r="AU1520" s="34"/>
      <c r="AV1520" s="34"/>
      <c r="AW1520" s="34"/>
      <c r="AX1520" s="34"/>
      <c r="AY1520" s="34"/>
      <c r="AZ1520" s="34"/>
      <c r="BA1520" s="34"/>
      <c r="BB1520" s="34"/>
      <c r="BC1520" s="34"/>
      <c r="BD1520" s="34"/>
      <c r="BE1520" s="34"/>
      <c r="BF1520" s="34"/>
      <c r="BG1520" s="34"/>
      <c r="BH1520" s="34"/>
      <c r="BI1520" s="34"/>
      <c r="BJ1520" s="34"/>
      <c r="BK1520" s="34"/>
      <c r="BL1520" s="34"/>
      <c r="BM1520" s="34"/>
      <c r="BN1520" s="34"/>
      <c r="BO1520" s="34"/>
      <c r="BP1520" s="34"/>
      <c r="BQ1520" s="34"/>
      <c r="BR1520" s="34"/>
      <c r="BS1520" s="34"/>
      <c r="BT1520" s="34"/>
      <c r="BU1520" s="34"/>
      <c r="BV1520" s="34"/>
      <c r="BW1520" s="34"/>
      <c r="BX1520" s="34"/>
      <c r="BY1520" s="34"/>
      <c r="BZ1520" s="34"/>
      <c r="CA1520" s="34"/>
      <c r="CB1520" s="34"/>
      <c r="CC1520" s="34"/>
      <c r="CD1520" s="34"/>
      <c r="CE1520" s="34"/>
      <c r="CF1520" s="34"/>
      <c r="CG1520" s="34"/>
      <c r="CH1520" s="34"/>
      <c r="CI1520" s="8"/>
    </row>
    <row r="1521" spans="1:87" x14ac:dyDescent="0.2">
      <c r="A1521" s="8" t="str">
        <f>IF(AND(COUNTIF(W$3:W$13,A$19)&gt;0,A$19&lt;&gt;B1308),A$19,IFERROR(IF(MATCH(A$19,Z$3:Z$13,0)=10,A$19," ")," "))</f>
        <v xml:space="preserve"> </v>
      </c>
      <c r="B1521" s="8" t="str">
        <f>IF(A1521=" "," ",MAX(B1517:B1520)+1)</f>
        <v xml:space="preserve"> </v>
      </c>
      <c r="C1521" s="8" t="str">
        <f>IFERROR(INDEX(A1517:A1538,MATCH(SMALL(B1517:B1538,5),B1517:B1538,0),1)," ")</f>
        <v>C15</v>
      </c>
      <c r="D1521" s="8">
        <f t="shared" si="6542"/>
        <v>0</v>
      </c>
      <c r="E1521" s="8">
        <f t="shared" si="6543"/>
        <v>0</v>
      </c>
      <c r="F1521" s="8">
        <f t="shared" si="6544"/>
        <v>0</v>
      </c>
      <c r="G1521" s="8">
        <f t="shared" si="6545"/>
        <v>1</v>
      </c>
      <c r="H1521" s="8">
        <f t="shared" si="6546"/>
        <v>0</v>
      </c>
      <c r="I1521" s="8">
        <f t="shared" si="6547"/>
        <v>0</v>
      </c>
      <c r="J1521" s="8">
        <f t="shared" si="6548"/>
        <v>0</v>
      </c>
      <c r="K1521" s="8">
        <f t="shared" si="6549"/>
        <v>0</v>
      </c>
      <c r="L1521" s="8">
        <f t="shared" si="6550"/>
        <v>0</v>
      </c>
      <c r="M1521" s="8">
        <f t="shared" si="6551"/>
        <v>0</v>
      </c>
      <c r="N1521" s="8">
        <f t="shared" si="6552"/>
        <v>0</v>
      </c>
      <c r="O1521" s="8">
        <f t="shared" si="6553"/>
        <v>0</v>
      </c>
      <c r="P1521" s="8" t="e">
        <v>#NUM!</v>
      </c>
      <c r="Q1521" s="8" t="e">
        <f t="shared" ref="Q1521" si="6579">IF(COUNTIF(P1517:P1527,"&lt;"&amp;-0.001)=0,IF(ABS(P1521)&lt;0.001,0,P1521)," ")</f>
        <v>#NUM!</v>
      </c>
      <c r="R1521" s="8"/>
      <c r="S1521" s="8"/>
      <c r="U1521" s="34"/>
      <c r="V1521" s="34"/>
      <c r="W1521" s="34"/>
      <c r="X1521" s="34"/>
      <c r="Y1521" s="34"/>
      <c r="Z1521" s="34"/>
      <c r="AA1521" s="34"/>
      <c r="AB1521" s="34"/>
      <c r="AC1521" s="34"/>
      <c r="AD1521" s="34"/>
      <c r="AE1521" s="34"/>
      <c r="AF1521" s="34"/>
      <c r="AG1521" s="34"/>
      <c r="AH1521" s="34"/>
      <c r="AI1521" s="34"/>
      <c r="AJ1521" s="34"/>
      <c r="AK1521" s="34"/>
      <c r="AL1521" s="34"/>
      <c r="AM1521" s="34"/>
      <c r="AN1521" s="34"/>
      <c r="AO1521" s="34"/>
      <c r="AP1521" s="34"/>
      <c r="AQ1521" s="34"/>
      <c r="AR1521" s="34"/>
      <c r="AS1521" s="34"/>
      <c r="AT1521" s="34"/>
      <c r="AU1521" s="34"/>
      <c r="AV1521" s="34"/>
      <c r="AW1521" s="34"/>
      <c r="AX1521" s="34"/>
      <c r="AY1521" s="34"/>
      <c r="AZ1521" s="34"/>
      <c r="BA1521" s="34"/>
      <c r="BB1521" s="34"/>
      <c r="BC1521" s="34"/>
      <c r="BD1521" s="34"/>
      <c r="BE1521" s="34"/>
      <c r="BF1521" s="34"/>
      <c r="BG1521" s="34"/>
      <c r="BH1521" s="34"/>
      <c r="BI1521" s="34"/>
      <c r="BJ1521" s="34"/>
      <c r="BK1521" s="34"/>
      <c r="BL1521" s="34"/>
      <c r="BM1521" s="34"/>
      <c r="BN1521" s="34"/>
      <c r="BO1521" s="34"/>
      <c r="BP1521" s="34"/>
      <c r="BQ1521" s="34"/>
      <c r="BR1521" s="34"/>
      <c r="BS1521" s="34"/>
      <c r="BT1521" s="34"/>
      <c r="BU1521" s="34"/>
      <c r="BV1521" s="34"/>
      <c r="BW1521" s="34"/>
      <c r="BX1521" s="34"/>
      <c r="BY1521" s="34"/>
      <c r="BZ1521" s="34"/>
      <c r="CA1521" s="34"/>
      <c r="CB1521" s="34"/>
      <c r="CC1521" s="34"/>
      <c r="CD1521" s="34"/>
      <c r="CE1521" s="34"/>
      <c r="CF1521" s="34"/>
      <c r="CG1521" s="34"/>
      <c r="CH1521" s="34"/>
      <c r="CI1521" s="8"/>
    </row>
    <row r="1522" spans="1:87" x14ac:dyDescent="0.2">
      <c r="A1522" s="8" t="str">
        <f>IF(AND(COUNTIF(W$3:W$13,A$20)&gt;0,A$20&lt;&gt;B1308),A$20,IFERROR(IF(MATCH(A$20,Z$3:Z$13,0)=10,A$20," ")," "))</f>
        <v xml:space="preserve"> </v>
      </c>
      <c r="B1522" s="8" t="str">
        <f>IF(A1522=" "," ",MAX(B1517:B1521)+1)</f>
        <v xml:space="preserve"> </v>
      </c>
      <c r="C1522" s="8" t="str">
        <f>IFERROR(INDEX(A1517:A1538,MATCH(SMALL(B1517:B1538,6),B1517:B1538,0),1)," ")</f>
        <v>C16</v>
      </c>
      <c r="D1522" s="8">
        <f t="shared" si="6542"/>
        <v>0</v>
      </c>
      <c r="E1522" s="8">
        <f t="shared" si="6543"/>
        <v>0</v>
      </c>
      <c r="F1522" s="8">
        <f t="shared" si="6544"/>
        <v>0</v>
      </c>
      <c r="G1522" s="8">
        <f t="shared" si="6545"/>
        <v>0</v>
      </c>
      <c r="H1522" s="8">
        <f t="shared" si="6546"/>
        <v>1</v>
      </c>
      <c r="I1522" s="8">
        <f t="shared" si="6547"/>
        <v>0</v>
      </c>
      <c r="J1522" s="8">
        <f t="shared" si="6548"/>
        <v>0</v>
      </c>
      <c r="K1522" s="8">
        <f t="shared" si="6549"/>
        <v>0</v>
      </c>
      <c r="L1522" s="8">
        <f t="shared" si="6550"/>
        <v>0</v>
      </c>
      <c r="M1522" s="8">
        <f t="shared" si="6551"/>
        <v>0</v>
      </c>
      <c r="N1522" s="8">
        <f t="shared" si="6552"/>
        <v>0</v>
      </c>
      <c r="O1522" s="8">
        <f t="shared" si="6553"/>
        <v>0</v>
      </c>
      <c r="P1522" s="8" t="e">
        <v>#NUM!</v>
      </c>
      <c r="Q1522" s="8" t="e">
        <f t="shared" ref="Q1522" si="6580">IF(COUNTIF(P1517:P1527,"&lt;"&amp;-0.001)=0,IF(ABS(P1522)&lt;0.001,0,P1522)," ")</f>
        <v>#NUM!</v>
      </c>
      <c r="R1522" s="8"/>
      <c r="S1522" s="8"/>
      <c r="U1522" s="34"/>
      <c r="V1522" s="34"/>
      <c r="W1522" s="34"/>
      <c r="X1522" s="34"/>
      <c r="Y1522" s="34"/>
      <c r="Z1522" s="34"/>
      <c r="AA1522" s="34"/>
      <c r="AB1522" s="34"/>
      <c r="AC1522" s="34"/>
      <c r="AD1522" s="34"/>
      <c r="AE1522" s="34"/>
      <c r="AF1522" s="34"/>
      <c r="AG1522" s="34"/>
      <c r="AH1522" s="34"/>
      <c r="AI1522" s="34"/>
      <c r="AJ1522" s="34"/>
      <c r="AK1522" s="34"/>
      <c r="AL1522" s="34"/>
      <c r="AM1522" s="34"/>
      <c r="AN1522" s="34"/>
      <c r="AO1522" s="34"/>
      <c r="AP1522" s="34"/>
      <c r="AQ1522" s="34"/>
      <c r="AR1522" s="34"/>
      <c r="AS1522" s="34"/>
      <c r="AT1522" s="34"/>
      <c r="AU1522" s="34"/>
      <c r="AV1522" s="34"/>
      <c r="AW1522" s="34"/>
      <c r="AX1522" s="34"/>
      <c r="AY1522" s="34"/>
      <c r="AZ1522" s="34"/>
      <c r="BA1522" s="34"/>
      <c r="BB1522" s="34"/>
      <c r="BC1522" s="34"/>
      <c r="BD1522" s="34"/>
      <c r="BE1522" s="34"/>
      <c r="BF1522" s="34"/>
      <c r="BG1522" s="34"/>
      <c r="BH1522" s="34"/>
      <c r="BI1522" s="34"/>
      <c r="BJ1522" s="34"/>
      <c r="BK1522" s="34"/>
      <c r="BL1522" s="34"/>
      <c r="BM1522" s="34"/>
      <c r="BN1522" s="34"/>
      <c r="BO1522" s="34"/>
      <c r="BP1522" s="34"/>
      <c r="BQ1522" s="34"/>
      <c r="BR1522" s="34"/>
      <c r="BS1522" s="34"/>
      <c r="BT1522" s="34"/>
      <c r="BU1522" s="34"/>
      <c r="BV1522" s="34"/>
      <c r="BW1522" s="34"/>
      <c r="BX1522" s="34"/>
      <c r="BY1522" s="34"/>
      <c r="BZ1522" s="34"/>
      <c r="CA1522" s="34"/>
      <c r="CB1522" s="34"/>
      <c r="CC1522" s="34"/>
      <c r="CD1522" s="34"/>
      <c r="CE1522" s="34"/>
      <c r="CF1522" s="34"/>
      <c r="CG1522" s="34"/>
      <c r="CH1522" s="34"/>
      <c r="CI1522" s="8"/>
    </row>
    <row r="1523" spans="1:87" x14ac:dyDescent="0.2">
      <c r="A1523" s="8" t="str">
        <f>IF(AND(COUNTIF(W$3:W$13,A$21)&gt;0,A$21&lt;&gt;B1308),A$21,IFERROR(IF(MATCH(A$21,Z$3:Z$13,0)=10,A$21," ")," "))</f>
        <v xml:space="preserve"> </v>
      </c>
      <c r="B1523" s="8" t="str">
        <f>IF(A1523=" "," ",MAX(B1517:B1522)+1)</f>
        <v xml:space="preserve"> </v>
      </c>
      <c r="C1523" s="8" t="str">
        <f>IFERROR(INDEX(A1517:A1538,MATCH(SMALL(B1517:B1538,7),B1517:B1538,0),1)," ")</f>
        <v>C18</v>
      </c>
      <c r="D1523" s="8">
        <f t="shared" si="6542"/>
        <v>0</v>
      </c>
      <c r="E1523" s="8">
        <f t="shared" si="6543"/>
        <v>0</v>
      </c>
      <c r="F1523" s="8">
        <f t="shared" si="6544"/>
        <v>0</v>
      </c>
      <c r="G1523" s="8">
        <f t="shared" si="6545"/>
        <v>0</v>
      </c>
      <c r="H1523" s="8">
        <f t="shared" si="6546"/>
        <v>0</v>
      </c>
      <c r="I1523" s="8">
        <f t="shared" si="6547"/>
        <v>0</v>
      </c>
      <c r="J1523" s="8">
        <f t="shared" si="6548"/>
        <v>1</v>
      </c>
      <c r="K1523" s="8">
        <f t="shared" si="6549"/>
        <v>0</v>
      </c>
      <c r="L1523" s="8">
        <f t="shared" si="6550"/>
        <v>0</v>
      </c>
      <c r="M1523" s="8">
        <f t="shared" si="6551"/>
        <v>0</v>
      </c>
      <c r="N1523" s="8">
        <f t="shared" si="6552"/>
        <v>0</v>
      </c>
      <c r="O1523" s="8">
        <f t="shared" si="6553"/>
        <v>0</v>
      </c>
      <c r="P1523" s="8" t="e">
        <v>#NUM!</v>
      </c>
      <c r="Q1523" s="8" t="e">
        <f t="shared" ref="Q1523" si="6581">IF(COUNTIF(P1517:P1527,"&lt;"&amp;-0.001)=0,IF(ABS(P1523)&lt;0.001,0,P1523)," ")</f>
        <v>#NUM!</v>
      </c>
      <c r="R1523" s="8"/>
      <c r="S1523" s="8"/>
      <c r="U1523" s="34"/>
      <c r="V1523" s="34"/>
      <c r="W1523" s="34"/>
      <c r="X1523" s="34"/>
      <c r="Y1523" s="34"/>
      <c r="Z1523" s="34"/>
      <c r="AA1523" s="34"/>
      <c r="AB1523" s="34"/>
      <c r="AC1523" s="34"/>
      <c r="AD1523" s="34"/>
      <c r="AE1523" s="34"/>
      <c r="AF1523" s="34"/>
      <c r="AG1523" s="34"/>
      <c r="AH1523" s="34"/>
      <c r="AI1523" s="34"/>
      <c r="AJ1523" s="34"/>
      <c r="AK1523" s="34"/>
      <c r="AL1523" s="34"/>
      <c r="AM1523" s="34"/>
      <c r="AN1523" s="34"/>
      <c r="AO1523" s="34"/>
      <c r="AP1523" s="34"/>
      <c r="AQ1523" s="34"/>
      <c r="AR1523" s="34"/>
      <c r="AS1523" s="34"/>
      <c r="AT1523" s="34"/>
      <c r="AU1523" s="34"/>
      <c r="AV1523" s="34"/>
      <c r="AW1523" s="34"/>
      <c r="AX1523" s="34"/>
      <c r="AY1523" s="34"/>
      <c r="AZ1523" s="34"/>
      <c r="BA1523" s="34"/>
      <c r="BB1523" s="34"/>
      <c r="BC1523" s="34"/>
      <c r="BD1523" s="34"/>
      <c r="BE1523" s="34"/>
      <c r="BF1523" s="34"/>
      <c r="BG1523" s="34"/>
      <c r="BH1523" s="34"/>
      <c r="BI1523" s="34"/>
      <c r="BJ1523" s="34"/>
      <c r="BK1523" s="34"/>
      <c r="BL1523" s="34"/>
      <c r="BM1523" s="34"/>
      <c r="BN1523" s="34"/>
      <c r="BO1523" s="34"/>
      <c r="BP1523" s="34"/>
      <c r="BQ1523" s="34"/>
      <c r="BR1523" s="34"/>
      <c r="BS1523" s="34"/>
      <c r="BT1523" s="34"/>
      <c r="BU1523" s="34"/>
      <c r="BV1523" s="34"/>
      <c r="BW1523" s="34"/>
      <c r="BX1523" s="34"/>
      <c r="BY1523" s="34"/>
      <c r="BZ1523" s="34"/>
      <c r="CA1523" s="34"/>
      <c r="CB1523" s="34"/>
      <c r="CC1523" s="34"/>
      <c r="CD1523" s="34"/>
      <c r="CE1523" s="34"/>
      <c r="CF1523" s="34"/>
      <c r="CG1523" s="34"/>
      <c r="CH1523" s="34"/>
      <c r="CI1523" s="8"/>
    </row>
    <row r="1524" spans="1:87" x14ac:dyDescent="0.2">
      <c r="A1524" s="8" t="str">
        <f>IF(AND(COUNTIF(W$3:W$13,A$22)&gt;0,A$22&lt;&gt;B1308),A$22,IFERROR(IF(MATCH(A$22,Z$3:Z$13,0)=10,A$22," ")," "))</f>
        <v xml:space="preserve"> </v>
      </c>
      <c r="B1524" s="8" t="str">
        <f>IF(A1524=" "," ",MAX(B1517:B1523)+1)</f>
        <v xml:space="preserve"> </v>
      </c>
      <c r="C1524" s="8" t="str">
        <f>IFERROR(INDEX(A1517:A1538,MATCH(SMALL(B1517:B1538,8),B1517:B1538,0),1)," ")</f>
        <v>C19</v>
      </c>
      <c r="D1524" s="8">
        <f t="shared" si="6542"/>
        <v>0</v>
      </c>
      <c r="E1524" s="8">
        <f t="shared" si="6543"/>
        <v>0</v>
      </c>
      <c r="F1524" s="8">
        <f t="shared" si="6544"/>
        <v>0</v>
      </c>
      <c r="G1524" s="8">
        <f t="shared" si="6545"/>
        <v>0</v>
      </c>
      <c r="H1524" s="8">
        <f t="shared" si="6546"/>
        <v>0</v>
      </c>
      <c r="I1524" s="8">
        <f t="shared" si="6547"/>
        <v>0</v>
      </c>
      <c r="J1524" s="8">
        <f t="shared" si="6548"/>
        <v>0</v>
      </c>
      <c r="K1524" s="8">
        <f t="shared" si="6549"/>
        <v>1</v>
      </c>
      <c r="L1524" s="8">
        <f t="shared" si="6550"/>
        <v>0</v>
      </c>
      <c r="M1524" s="8">
        <f t="shared" si="6551"/>
        <v>0</v>
      </c>
      <c r="N1524" s="8">
        <f t="shared" si="6552"/>
        <v>0</v>
      </c>
      <c r="O1524" s="8">
        <f t="shared" si="6553"/>
        <v>0</v>
      </c>
      <c r="P1524" s="8" t="e">
        <v>#NUM!</v>
      </c>
      <c r="Q1524" s="8" t="e">
        <f t="shared" ref="Q1524" si="6582">IF(COUNTIF(P1517:P1527,"&lt;"&amp;-0.001)=0,IF(ABS(P1524)&lt;0.001,0,P1524)," ")</f>
        <v>#NUM!</v>
      </c>
      <c r="R1524" s="8"/>
      <c r="S1524" s="8"/>
      <c r="U1524" s="34"/>
      <c r="V1524" s="34"/>
      <c r="W1524" s="34"/>
      <c r="X1524" s="34"/>
      <c r="Y1524" s="34"/>
      <c r="Z1524" s="34"/>
      <c r="AA1524" s="34"/>
      <c r="AB1524" s="34"/>
      <c r="AC1524" s="34"/>
      <c r="AD1524" s="34"/>
      <c r="AE1524" s="34"/>
      <c r="AF1524" s="34"/>
      <c r="AG1524" s="34"/>
      <c r="AH1524" s="34"/>
      <c r="AI1524" s="34"/>
      <c r="AJ1524" s="34"/>
      <c r="AK1524" s="34"/>
      <c r="AL1524" s="34"/>
      <c r="AM1524" s="34"/>
      <c r="AN1524" s="34"/>
      <c r="AO1524" s="34"/>
      <c r="AP1524" s="34"/>
      <c r="AQ1524" s="34"/>
      <c r="AR1524" s="34"/>
      <c r="AS1524" s="34"/>
      <c r="AT1524" s="34"/>
      <c r="AU1524" s="34"/>
      <c r="AV1524" s="34"/>
      <c r="AW1524" s="34"/>
      <c r="AX1524" s="34"/>
      <c r="AY1524" s="34"/>
      <c r="AZ1524" s="34"/>
      <c r="BA1524" s="34"/>
      <c r="BB1524" s="34"/>
      <c r="BC1524" s="34"/>
      <c r="BD1524" s="34"/>
      <c r="BE1524" s="34"/>
      <c r="BF1524" s="34"/>
      <c r="BG1524" s="34"/>
      <c r="BH1524" s="34"/>
      <c r="BI1524" s="34"/>
      <c r="BJ1524" s="34"/>
      <c r="BK1524" s="34"/>
      <c r="BL1524" s="34"/>
      <c r="BM1524" s="34"/>
      <c r="BN1524" s="34"/>
      <c r="BO1524" s="34"/>
      <c r="BP1524" s="34"/>
      <c r="BQ1524" s="34"/>
      <c r="BR1524" s="34"/>
      <c r="BS1524" s="34"/>
      <c r="BT1524" s="34"/>
      <c r="BU1524" s="34"/>
      <c r="BV1524" s="34"/>
      <c r="BW1524" s="34"/>
      <c r="BX1524" s="34"/>
      <c r="BY1524" s="34"/>
      <c r="BZ1524" s="34"/>
      <c r="CA1524" s="34"/>
      <c r="CB1524" s="34"/>
      <c r="CC1524" s="34"/>
      <c r="CD1524" s="34"/>
      <c r="CE1524" s="34"/>
      <c r="CF1524" s="34"/>
      <c r="CG1524" s="34"/>
      <c r="CH1524" s="34"/>
      <c r="CI1524" s="8"/>
    </row>
    <row r="1525" spans="1:87" x14ac:dyDescent="0.2">
      <c r="A1525" s="8" t="str">
        <f>IF(AND(COUNTIF(W$3:W$13,A$23)&gt;0,A$23&lt;&gt;B1308),A$23,IFERROR(IF(MATCH(A$23,Z$3:Z$13,0)=10,A$23," ")," "))</f>
        <v xml:space="preserve"> </v>
      </c>
      <c r="B1525" s="8" t="str">
        <f>IF(A1525=" "," ",MAX(B1517:B1524)+1)</f>
        <v xml:space="preserve"> </v>
      </c>
      <c r="C1525" s="8" t="str">
        <f>IFERROR(INDEX(A1517:A1538,MATCH(SMALL(B1517:B1538,9),B1517:B1538,0),1)," ")</f>
        <v>C20</v>
      </c>
      <c r="D1525" s="8">
        <f t="shared" si="6542"/>
        <v>0</v>
      </c>
      <c r="E1525" s="8">
        <f t="shared" si="6543"/>
        <v>0</v>
      </c>
      <c r="F1525" s="8">
        <f t="shared" si="6544"/>
        <v>0</v>
      </c>
      <c r="G1525" s="8">
        <f t="shared" si="6545"/>
        <v>0</v>
      </c>
      <c r="H1525" s="8">
        <f t="shared" si="6546"/>
        <v>0</v>
      </c>
      <c r="I1525" s="8">
        <f t="shared" si="6547"/>
        <v>0</v>
      </c>
      <c r="J1525" s="8">
        <f t="shared" si="6548"/>
        <v>0</v>
      </c>
      <c r="K1525" s="8">
        <f t="shared" si="6549"/>
        <v>0</v>
      </c>
      <c r="L1525" s="8">
        <f t="shared" si="6550"/>
        <v>1</v>
      </c>
      <c r="M1525" s="8">
        <f t="shared" si="6551"/>
        <v>0</v>
      </c>
      <c r="N1525" s="8">
        <f t="shared" si="6552"/>
        <v>0</v>
      </c>
      <c r="O1525" s="8">
        <f t="shared" si="6553"/>
        <v>0</v>
      </c>
      <c r="P1525" s="6" t="e">
        <v>#NUM!</v>
      </c>
      <c r="Q1525" s="8" t="e">
        <f t="shared" ref="Q1525" si="6583">IF(COUNTIF(P1517:P1527,"&lt;"&amp;-0.001)=0,IF(ABS(P1525)&lt;0.001,0,P1525)," ")</f>
        <v>#NUM!</v>
      </c>
      <c r="R1525" s="8"/>
      <c r="S1525" s="8"/>
      <c r="U1525" s="34"/>
      <c r="V1525" s="34"/>
      <c r="W1525" s="34"/>
      <c r="X1525" s="34"/>
      <c r="Y1525" s="34"/>
      <c r="Z1525" s="34"/>
      <c r="AA1525" s="34"/>
      <c r="AB1525" s="34"/>
      <c r="AC1525" s="34"/>
      <c r="AD1525" s="34"/>
      <c r="AE1525" s="34"/>
      <c r="AF1525" s="34"/>
      <c r="AG1525" s="34"/>
      <c r="AH1525" s="34"/>
      <c r="AI1525" s="34"/>
      <c r="AJ1525" s="34"/>
      <c r="AK1525" s="34"/>
      <c r="AL1525" s="34"/>
      <c r="AM1525" s="34"/>
      <c r="AN1525" s="34"/>
      <c r="AO1525" s="34"/>
      <c r="AP1525" s="34"/>
      <c r="AQ1525" s="34"/>
      <c r="AR1525" s="34"/>
      <c r="AS1525" s="34"/>
      <c r="AT1525" s="34"/>
      <c r="AU1525" s="34"/>
      <c r="AV1525" s="34"/>
      <c r="AW1525" s="34"/>
      <c r="AX1525" s="34"/>
      <c r="AY1525" s="34"/>
      <c r="AZ1525" s="34"/>
      <c r="BA1525" s="34"/>
      <c r="BB1525" s="34"/>
      <c r="BC1525" s="34"/>
      <c r="BD1525" s="34"/>
      <c r="BE1525" s="34"/>
      <c r="BF1525" s="34"/>
      <c r="BG1525" s="34"/>
      <c r="BH1525" s="34"/>
      <c r="BI1525" s="34"/>
      <c r="BJ1525" s="34"/>
      <c r="BK1525" s="34"/>
      <c r="BL1525" s="34"/>
      <c r="BM1525" s="34"/>
      <c r="BN1525" s="34"/>
      <c r="BO1525" s="34"/>
      <c r="BP1525" s="34"/>
      <c r="BQ1525" s="34"/>
      <c r="BR1525" s="34"/>
      <c r="BS1525" s="34"/>
      <c r="BT1525" s="34"/>
      <c r="BU1525" s="34"/>
      <c r="BV1525" s="34"/>
      <c r="BW1525" s="34"/>
      <c r="BX1525" s="34"/>
      <c r="BY1525" s="34"/>
      <c r="BZ1525" s="34"/>
      <c r="CA1525" s="34"/>
      <c r="CB1525" s="34"/>
      <c r="CC1525" s="34"/>
      <c r="CD1525" s="34"/>
      <c r="CE1525" s="34"/>
      <c r="CF1525" s="34"/>
      <c r="CG1525" s="34"/>
      <c r="CH1525" s="34"/>
      <c r="CI1525" s="8"/>
    </row>
    <row r="1526" spans="1:87" x14ac:dyDescent="0.2">
      <c r="A1526" s="8" t="str">
        <f>IF(AND(COUNTIF(W$3:W$13,A$24)&gt;0,A$24&lt;&gt;B1308),A$24,IFERROR(IF(MATCH(A$24,Z$3:Z$13,0)=10,A$24," ")," "))</f>
        <v xml:space="preserve"> </v>
      </c>
      <c r="B1526" s="8" t="str">
        <f>IF(A1526=" "," ",MAX(B1517:B1525)+1)</f>
        <v xml:space="preserve"> </v>
      </c>
      <c r="C1526" s="8" t="str">
        <f>IFERROR(INDEX(A1517:A1538,MATCH(SMALL(B1517:B1538,10),B1517:B1538,0),1)," ")</f>
        <v>C21</v>
      </c>
      <c r="D1526" s="8">
        <f t="shared" si="6542"/>
        <v>0</v>
      </c>
      <c r="E1526" s="8">
        <f t="shared" si="6543"/>
        <v>0</v>
      </c>
      <c r="F1526" s="8">
        <f t="shared" si="6544"/>
        <v>0</v>
      </c>
      <c r="G1526" s="8">
        <f t="shared" si="6545"/>
        <v>0</v>
      </c>
      <c r="H1526" s="8">
        <f t="shared" si="6546"/>
        <v>0</v>
      </c>
      <c r="I1526" s="8">
        <f t="shared" si="6547"/>
        <v>0</v>
      </c>
      <c r="J1526" s="8">
        <f t="shared" si="6548"/>
        <v>0</v>
      </c>
      <c r="K1526" s="8">
        <f t="shared" si="6549"/>
        <v>0</v>
      </c>
      <c r="L1526" s="8">
        <f t="shared" si="6550"/>
        <v>0</v>
      </c>
      <c r="M1526" s="8">
        <f t="shared" si="6551"/>
        <v>1</v>
      </c>
      <c r="N1526" s="8">
        <f t="shared" si="6552"/>
        <v>0</v>
      </c>
      <c r="O1526" s="8">
        <f t="shared" si="6553"/>
        <v>0</v>
      </c>
      <c r="P1526" s="8" t="e">
        <v>#NUM!</v>
      </c>
      <c r="Q1526" s="8" t="e">
        <f t="shared" ref="Q1526" si="6584">IF(COUNTIF(P1517:P1527,"&lt;"&amp;-0.001)=0,IF(ABS(P1526)&lt;0.001,0,P1526)," ")</f>
        <v>#NUM!</v>
      </c>
      <c r="R1526" s="8"/>
      <c r="S1526" s="8"/>
      <c r="U1526" s="34"/>
      <c r="V1526" s="34"/>
      <c r="W1526" s="34"/>
      <c r="X1526" s="34"/>
      <c r="Y1526" s="34"/>
      <c r="Z1526" s="34"/>
      <c r="AA1526" s="34"/>
      <c r="AB1526" s="34"/>
      <c r="AC1526" s="34"/>
      <c r="AD1526" s="34"/>
      <c r="AE1526" s="34"/>
      <c r="AF1526" s="34"/>
      <c r="AG1526" s="34"/>
      <c r="AH1526" s="34"/>
      <c r="AI1526" s="34"/>
      <c r="AJ1526" s="34"/>
      <c r="AK1526" s="34"/>
      <c r="AL1526" s="34"/>
      <c r="AM1526" s="34"/>
      <c r="AN1526" s="34"/>
      <c r="AO1526" s="34"/>
      <c r="AP1526" s="34"/>
      <c r="AQ1526" s="34"/>
      <c r="AR1526" s="34"/>
      <c r="AS1526" s="34"/>
      <c r="AT1526" s="34"/>
      <c r="AU1526" s="34"/>
      <c r="AV1526" s="34"/>
      <c r="AW1526" s="34"/>
      <c r="AX1526" s="34"/>
      <c r="AY1526" s="34"/>
      <c r="AZ1526" s="34"/>
      <c r="BA1526" s="34"/>
      <c r="BB1526" s="34"/>
      <c r="BC1526" s="34"/>
      <c r="BD1526" s="34"/>
      <c r="BE1526" s="34"/>
      <c r="BF1526" s="34"/>
      <c r="BG1526" s="34"/>
      <c r="BH1526" s="34"/>
      <c r="BI1526" s="34"/>
      <c r="BJ1526" s="34"/>
      <c r="BK1526" s="34"/>
      <c r="BL1526" s="34"/>
      <c r="BM1526" s="34"/>
      <c r="BN1526" s="34"/>
      <c r="BO1526" s="34"/>
      <c r="BP1526" s="34"/>
      <c r="BQ1526" s="34"/>
      <c r="BR1526" s="34"/>
      <c r="BS1526" s="34"/>
      <c r="BT1526" s="34"/>
      <c r="BU1526" s="34"/>
      <c r="BV1526" s="34"/>
      <c r="BW1526" s="34"/>
      <c r="BX1526" s="34"/>
      <c r="BY1526" s="34"/>
      <c r="BZ1526" s="34"/>
      <c r="CA1526" s="34"/>
      <c r="CB1526" s="34"/>
      <c r="CC1526" s="34"/>
      <c r="CD1526" s="34"/>
      <c r="CE1526" s="34"/>
      <c r="CF1526" s="34"/>
      <c r="CG1526" s="34"/>
      <c r="CH1526" s="34"/>
      <c r="CI1526" s="8"/>
    </row>
    <row r="1527" spans="1:87" x14ac:dyDescent="0.2">
      <c r="A1527" s="8" t="str">
        <f>IF(AND(COUNTIF(W$3:W$13,A$25)&gt;0,A$25&lt;&gt;B1308),A$25,IFERROR(IF(MATCH(A$25,Z$3:Z$13,0)=10,A$25," ")," "))</f>
        <v xml:space="preserve"> </v>
      </c>
      <c r="B1527" s="8" t="str">
        <f>IF(A1527=" "," ",MAX(B1517:B1526)+1)</f>
        <v xml:space="preserve"> </v>
      </c>
      <c r="C1527" s="8" t="str">
        <f>IFERROR(INDEX(A1517:A1538,MATCH(SMALL(B1517:B1538,11),B1517:B1538,0),1)," ")</f>
        <v>C22</v>
      </c>
      <c r="D1527" s="8">
        <f t="shared" si="6542"/>
        <v>0</v>
      </c>
      <c r="E1527" s="8">
        <f t="shared" si="6543"/>
        <v>0</v>
      </c>
      <c r="F1527" s="8">
        <f t="shared" si="6544"/>
        <v>0</v>
      </c>
      <c r="G1527" s="8">
        <f t="shared" si="6545"/>
        <v>0</v>
      </c>
      <c r="H1527" s="8">
        <f t="shared" si="6546"/>
        <v>0</v>
      </c>
      <c r="I1527" s="8">
        <f t="shared" si="6547"/>
        <v>0</v>
      </c>
      <c r="J1527" s="8">
        <f t="shared" si="6548"/>
        <v>0</v>
      </c>
      <c r="K1527" s="8">
        <f t="shared" si="6549"/>
        <v>0</v>
      </c>
      <c r="L1527" s="8">
        <f t="shared" si="6550"/>
        <v>0</v>
      </c>
      <c r="M1527" s="8">
        <f t="shared" si="6551"/>
        <v>0</v>
      </c>
      <c r="N1527" s="8">
        <f t="shared" si="6552"/>
        <v>1</v>
      </c>
      <c r="O1527" s="8">
        <f t="shared" si="6553"/>
        <v>0</v>
      </c>
      <c r="P1527" s="8" t="e">
        <v>#NUM!</v>
      </c>
      <c r="Q1527" s="8" t="e">
        <f t="shared" ref="Q1527" si="6585">IF(COUNTIF(P1517:P1527,"&lt;"&amp;-0.001)=0,IF(ABS(P1527)&lt;0.001,0,P1527)," ")</f>
        <v>#NUM!</v>
      </c>
      <c r="R1527" s="8"/>
      <c r="S1527" s="8"/>
      <c r="U1527" s="34"/>
      <c r="V1527" s="34"/>
      <c r="W1527" s="34"/>
      <c r="X1527" s="34"/>
      <c r="Y1527" s="34"/>
      <c r="Z1527" s="34"/>
      <c r="AA1527" s="34"/>
      <c r="AB1527" s="34"/>
      <c r="AC1527" s="34"/>
      <c r="AD1527" s="34"/>
      <c r="AE1527" s="34"/>
      <c r="AF1527" s="34"/>
      <c r="AG1527" s="34"/>
      <c r="AH1527" s="34"/>
      <c r="AI1527" s="34"/>
      <c r="AJ1527" s="34"/>
      <c r="AK1527" s="34"/>
      <c r="AL1527" s="34"/>
      <c r="AM1527" s="34"/>
      <c r="AN1527" s="34"/>
      <c r="AO1527" s="34"/>
      <c r="AP1527" s="34"/>
      <c r="AQ1527" s="34"/>
      <c r="AR1527" s="34"/>
      <c r="AS1527" s="34"/>
      <c r="AT1527" s="34"/>
      <c r="AU1527" s="34"/>
      <c r="AV1527" s="34"/>
      <c r="AW1527" s="34"/>
      <c r="AX1527" s="34"/>
      <c r="AY1527" s="34"/>
      <c r="AZ1527" s="34"/>
      <c r="BA1527" s="34"/>
      <c r="BB1527" s="34"/>
      <c r="BC1527" s="34"/>
      <c r="BD1527" s="34"/>
      <c r="BE1527" s="34"/>
      <c r="BF1527" s="34"/>
      <c r="BG1527" s="34"/>
      <c r="BH1527" s="34"/>
      <c r="BI1527" s="34"/>
      <c r="BJ1527" s="34"/>
      <c r="BK1527" s="34"/>
      <c r="BL1527" s="34"/>
      <c r="BM1527" s="34"/>
      <c r="BN1527" s="34"/>
      <c r="BO1527" s="34"/>
      <c r="BP1527" s="34"/>
      <c r="BQ1527" s="34"/>
      <c r="BR1527" s="34"/>
      <c r="BS1527" s="34"/>
      <c r="BT1527" s="34"/>
      <c r="BU1527" s="34"/>
      <c r="BV1527" s="34"/>
      <c r="BW1527" s="34"/>
      <c r="BX1527" s="34"/>
      <c r="BY1527" s="34"/>
      <c r="BZ1527" s="34"/>
      <c r="CA1527" s="34"/>
      <c r="CB1527" s="34"/>
      <c r="CC1527" s="34"/>
      <c r="CD1527" s="34"/>
      <c r="CE1527" s="34"/>
      <c r="CF1527" s="34"/>
      <c r="CG1527" s="34"/>
      <c r="CH1527" s="34"/>
      <c r="CI1527" s="8"/>
    </row>
    <row r="1528" spans="1:87" x14ac:dyDescent="0.2">
      <c r="A1528" s="8" t="str">
        <f>IF(AND(COUNTIF(W$3:W$13,A$26)&gt;0,A$26&lt;&gt;B1308),A$26,IFERROR(IF(MATCH(A$26,Z$3:Z$13,0)=10,A$26," ")," "))</f>
        <v>C12</v>
      </c>
      <c r="B1528" s="8">
        <f>IF(A1528=" "," ",MAX(B1517:B1527)+1)</f>
        <v>3</v>
      </c>
      <c r="C1528" s="8"/>
      <c r="D1528" s="8"/>
      <c r="E1528" s="8"/>
      <c r="F1528" s="8"/>
      <c r="G1528" s="8"/>
      <c r="H1528" s="8"/>
      <c r="I1528" s="8"/>
      <c r="J1528" s="8"/>
      <c r="K1528" s="8"/>
      <c r="L1528" s="8"/>
      <c r="M1528" s="8"/>
      <c r="N1528" s="8"/>
      <c r="O1528" s="8"/>
      <c r="P1528" s="8"/>
      <c r="Q1528" s="8"/>
      <c r="R1528" s="8"/>
      <c r="S1528" s="8"/>
      <c r="U1528" s="34"/>
      <c r="V1528" s="34"/>
      <c r="W1528" s="34"/>
      <c r="X1528" s="34"/>
      <c r="Y1528" s="34"/>
      <c r="Z1528" s="34"/>
      <c r="AA1528" s="34"/>
      <c r="AB1528" s="34"/>
      <c r="AC1528" s="34"/>
      <c r="AD1528" s="34"/>
      <c r="AE1528" s="34"/>
      <c r="AF1528" s="34"/>
      <c r="AG1528" s="34"/>
      <c r="AH1528" s="34"/>
      <c r="AI1528" s="34"/>
      <c r="AJ1528" s="34"/>
      <c r="AK1528" s="34"/>
      <c r="AL1528" s="34"/>
      <c r="AM1528" s="34"/>
      <c r="AN1528" s="34"/>
      <c r="AO1528" s="34"/>
      <c r="AP1528" s="34"/>
      <c r="AQ1528" s="34"/>
      <c r="AR1528" s="34"/>
      <c r="AS1528" s="34"/>
      <c r="AT1528" s="34"/>
      <c r="AU1528" s="34"/>
      <c r="AV1528" s="34"/>
      <c r="AW1528" s="34"/>
      <c r="AX1528" s="34"/>
      <c r="AY1528" s="34"/>
      <c r="AZ1528" s="34"/>
      <c r="BA1528" s="34"/>
      <c r="BB1528" s="34"/>
      <c r="BC1528" s="34"/>
      <c r="BD1528" s="34"/>
      <c r="BE1528" s="34"/>
      <c r="BF1528" s="34"/>
      <c r="BG1528" s="34"/>
      <c r="BH1528" s="34"/>
      <c r="BI1528" s="34"/>
      <c r="BJ1528" s="34"/>
      <c r="BK1528" s="34"/>
      <c r="BL1528" s="34"/>
      <c r="BM1528" s="34"/>
      <c r="BN1528" s="34"/>
      <c r="BO1528" s="34"/>
      <c r="BP1528" s="34"/>
      <c r="BQ1528" s="34"/>
      <c r="BR1528" s="34"/>
      <c r="BS1528" s="34"/>
      <c r="BT1528" s="34"/>
      <c r="BU1528" s="34"/>
      <c r="BV1528" s="34"/>
      <c r="BW1528" s="34"/>
      <c r="BX1528" s="34"/>
      <c r="BY1528" s="34"/>
      <c r="BZ1528" s="34"/>
      <c r="CA1528" s="34"/>
      <c r="CB1528" s="34"/>
      <c r="CC1528" s="34"/>
      <c r="CD1528" s="34"/>
      <c r="CE1528" s="34"/>
      <c r="CF1528" s="34"/>
      <c r="CG1528" s="34"/>
      <c r="CH1528" s="34"/>
      <c r="CI1528" s="8"/>
    </row>
    <row r="1529" spans="1:87" x14ac:dyDescent="0.2">
      <c r="A1529" s="8" t="str">
        <f>IF(AND(COUNTIF(W$3:W$13,A$27)&gt;0,A$27&lt;&gt;B1308),A$27,IFERROR(IF(MATCH(A$27,Z$3:Z$13,0)=10,A$27," ")," "))</f>
        <v>C13</v>
      </c>
      <c r="B1529" s="8">
        <f>IF(A1529=" "," ",MAX(B1517:B1528)+1)</f>
        <v>4</v>
      </c>
      <c r="C1529" s="8"/>
      <c r="D1529" s="8"/>
      <c r="E1529" s="8"/>
      <c r="F1529" s="8"/>
      <c r="G1529" s="8"/>
      <c r="H1529" s="8"/>
      <c r="I1529" s="8"/>
      <c r="J1529" s="8"/>
      <c r="K1529" s="8"/>
      <c r="L1529" s="8"/>
      <c r="M1529" s="8"/>
      <c r="N1529" s="8"/>
      <c r="O1529" s="8"/>
      <c r="P1529" s="8"/>
      <c r="Q1529" s="8"/>
      <c r="R1529" s="8"/>
      <c r="S1529" s="8"/>
      <c r="U1529" s="34"/>
      <c r="V1529" s="34"/>
      <c r="W1529" s="34"/>
      <c r="X1529" s="34"/>
      <c r="Y1529" s="34"/>
      <c r="Z1529" s="34"/>
      <c r="AA1529" s="34"/>
      <c r="AB1529" s="34"/>
      <c r="AC1529" s="34"/>
      <c r="AD1529" s="34"/>
      <c r="AE1529" s="34"/>
      <c r="AF1529" s="34"/>
      <c r="AG1529" s="34"/>
      <c r="AH1529" s="34"/>
      <c r="AI1529" s="34"/>
      <c r="AJ1529" s="34"/>
      <c r="AK1529" s="34"/>
      <c r="AL1529" s="34"/>
      <c r="AM1529" s="34"/>
      <c r="AN1529" s="34"/>
      <c r="AO1529" s="34"/>
      <c r="AP1529" s="34"/>
      <c r="AQ1529" s="34"/>
      <c r="AR1529" s="34"/>
      <c r="AS1529" s="34"/>
      <c r="AT1529" s="34"/>
      <c r="AU1529" s="34"/>
      <c r="AV1529" s="34"/>
      <c r="AW1529" s="34"/>
      <c r="AX1529" s="34"/>
      <c r="AY1529" s="34"/>
      <c r="AZ1529" s="34"/>
      <c r="BA1529" s="34"/>
      <c r="BB1529" s="34"/>
      <c r="BC1529" s="34"/>
      <c r="BD1529" s="34"/>
      <c r="BE1529" s="34"/>
      <c r="BF1529" s="34"/>
      <c r="BG1529" s="34"/>
      <c r="BH1529" s="34"/>
      <c r="BI1529" s="34"/>
      <c r="BJ1529" s="34"/>
      <c r="BK1529" s="34"/>
      <c r="BL1529" s="34"/>
      <c r="BM1529" s="34"/>
      <c r="BN1529" s="34"/>
      <c r="BO1529" s="34"/>
      <c r="BP1529" s="34"/>
      <c r="BQ1529" s="34"/>
      <c r="BR1529" s="34"/>
      <c r="BS1529" s="34"/>
      <c r="BT1529" s="34"/>
      <c r="BU1529" s="34"/>
      <c r="BV1529" s="34"/>
      <c r="BW1529" s="34"/>
      <c r="BX1529" s="34"/>
      <c r="BY1529" s="34"/>
      <c r="BZ1529" s="34"/>
      <c r="CA1529" s="34"/>
      <c r="CB1529" s="34"/>
      <c r="CC1529" s="34"/>
      <c r="CD1529" s="34"/>
      <c r="CE1529" s="34"/>
      <c r="CF1529" s="34"/>
      <c r="CG1529" s="34"/>
      <c r="CH1529" s="34"/>
      <c r="CI1529" s="8"/>
    </row>
    <row r="1530" spans="1:87" x14ac:dyDescent="0.2">
      <c r="A1530" s="8" t="str">
        <f>IF(AND(COUNTIF(W$3:W$13,A$28)&gt;0,A$28&lt;&gt;B1308),A$28,IFERROR(IF(MATCH(A$28,Z$3:Z$13,0)=10,A$28," ")," "))</f>
        <v xml:space="preserve"> </v>
      </c>
      <c r="B1530" s="8" t="str">
        <f>IF(A1530=" "," ",MAX(B1517:B1529)+1)</f>
        <v xml:space="preserve"> </v>
      </c>
      <c r="C1530" s="8"/>
      <c r="D1530" s="8"/>
      <c r="E1530" s="8"/>
      <c r="F1530" s="8"/>
      <c r="G1530" s="8"/>
      <c r="H1530" s="8"/>
      <c r="I1530" s="8"/>
      <c r="J1530" s="8"/>
      <c r="K1530" s="8"/>
      <c r="L1530" s="8"/>
      <c r="M1530" s="8"/>
      <c r="N1530" s="8"/>
      <c r="O1530" s="8"/>
      <c r="P1530" s="8"/>
      <c r="Q1530" s="8"/>
      <c r="R1530" s="8"/>
      <c r="S1530" s="8"/>
      <c r="U1530" s="34"/>
      <c r="V1530" s="34"/>
      <c r="W1530" s="34"/>
      <c r="X1530" s="34"/>
      <c r="Y1530" s="34"/>
      <c r="Z1530" s="34"/>
      <c r="AA1530" s="34"/>
      <c r="AB1530" s="34"/>
      <c r="AC1530" s="34"/>
      <c r="AD1530" s="34"/>
      <c r="AE1530" s="34"/>
      <c r="AF1530" s="34"/>
      <c r="AG1530" s="34"/>
      <c r="AH1530" s="34"/>
      <c r="AI1530" s="34"/>
      <c r="AJ1530" s="34"/>
      <c r="AK1530" s="34"/>
      <c r="AL1530" s="34"/>
      <c r="AM1530" s="34"/>
      <c r="AN1530" s="34"/>
      <c r="AO1530" s="34"/>
      <c r="AP1530" s="34"/>
      <c r="AQ1530" s="34"/>
      <c r="AR1530" s="34"/>
      <c r="AS1530" s="34"/>
      <c r="AT1530" s="34"/>
      <c r="AU1530" s="34"/>
      <c r="AV1530" s="34"/>
      <c r="AW1530" s="34"/>
      <c r="AX1530" s="34"/>
      <c r="AY1530" s="34"/>
      <c r="AZ1530" s="34"/>
      <c r="BA1530" s="34"/>
      <c r="BB1530" s="34"/>
      <c r="BC1530" s="34"/>
      <c r="BD1530" s="34"/>
      <c r="BE1530" s="34"/>
      <c r="BF1530" s="34"/>
      <c r="BG1530" s="34"/>
      <c r="BH1530" s="34"/>
      <c r="BI1530" s="34"/>
      <c r="BJ1530" s="34"/>
      <c r="BK1530" s="34"/>
      <c r="BL1530" s="34"/>
      <c r="BM1530" s="34"/>
      <c r="BN1530" s="34"/>
      <c r="BO1530" s="34"/>
      <c r="BP1530" s="34"/>
      <c r="BQ1530" s="34"/>
      <c r="BR1530" s="34"/>
      <c r="BS1530" s="34"/>
      <c r="BT1530" s="34"/>
      <c r="BU1530" s="34"/>
      <c r="BV1530" s="34"/>
      <c r="BW1530" s="34"/>
      <c r="BX1530" s="34"/>
      <c r="BY1530" s="34"/>
      <c r="BZ1530" s="34"/>
      <c r="CA1530" s="34"/>
      <c r="CB1530" s="34"/>
      <c r="CC1530" s="34"/>
      <c r="CD1530" s="34"/>
      <c r="CE1530" s="34"/>
      <c r="CF1530" s="34"/>
      <c r="CG1530" s="34"/>
      <c r="CH1530" s="34"/>
      <c r="CI1530" s="8"/>
    </row>
    <row r="1531" spans="1:87" x14ac:dyDescent="0.2">
      <c r="A1531" s="8" t="str">
        <f>IF(AND(COUNTIF(W$3:W$13,A$29)&gt;0,A$29&lt;&gt;B1308),A$29,IFERROR(IF(MATCH(A$29,Z$3:Z$13,0)=10,A$29," ")," "))</f>
        <v>C15</v>
      </c>
      <c r="B1531" s="8">
        <f>IF(A1531=" "," ",MAX(B1517:B1530)+1)</f>
        <v>5</v>
      </c>
      <c r="C1531" s="8"/>
      <c r="D1531" s="8"/>
      <c r="E1531" s="8"/>
      <c r="F1531" s="8"/>
      <c r="G1531" s="8"/>
      <c r="H1531" s="8"/>
      <c r="I1531" s="8"/>
      <c r="J1531" s="8"/>
      <c r="K1531" s="8"/>
      <c r="L1531" s="8"/>
      <c r="M1531" s="8"/>
      <c r="N1531" s="8"/>
      <c r="O1531" s="8"/>
      <c r="P1531" s="8"/>
      <c r="Q1531" s="8"/>
      <c r="R1531" s="8"/>
      <c r="S1531" s="8"/>
      <c r="U1531" s="34"/>
      <c r="V1531" s="34"/>
      <c r="W1531" s="34"/>
      <c r="X1531" s="34"/>
      <c r="Y1531" s="34"/>
      <c r="Z1531" s="34"/>
      <c r="AA1531" s="34"/>
      <c r="AB1531" s="34"/>
      <c r="AC1531" s="34"/>
      <c r="AD1531" s="34"/>
      <c r="AE1531" s="34"/>
      <c r="AF1531" s="34"/>
      <c r="AG1531" s="34"/>
      <c r="AH1531" s="34"/>
      <c r="AI1531" s="34"/>
      <c r="AJ1531" s="34"/>
      <c r="AK1531" s="34"/>
      <c r="AL1531" s="34"/>
      <c r="AM1531" s="34"/>
      <c r="AN1531" s="34"/>
      <c r="AO1531" s="34"/>
      <c r="AP1531" s="34"/>
      <c r="AQ1531" s="34"/>
      <c r="AR1531" s="34"/>
      <c r="AS1531" s="34"/>
      <c r="AT1531" s="34"/>
      <c r="AU1531" s="34"/>
      <c r="AV1531" s="34"/>
      <c r="AW1531" s="34"/>
      <c r="AX1531" s="34"/>
      <c r="AY1531" s="34"/>
      <c r="AZ1531" s="34"/>
      <c r="BA1531" s="34"/>
      <c r="BB1531" s="34"/>
      <c r="BC1531" s="34"/>
      <c r="BD1531" s="34"/>
      <c r="BE1531" s="34"/>
      <c r="BF1531" s="34"/>
      <c r="BG1531" s="34"/>
      <c r="BH1531" s="34"/>
      <c r="BI1531" s="34"/>
      <c r="BJ1531" s="34"/>
      <c r="BK1531" s="34"/>
      <c r="BL1531" s="34"/>
      <c r="BM1531" s="34"/>
      <c r="BN1531" s="34"/>
      <c r="BO1531" s="34"/>
      <c r="BP1531" s="34"/>
      <c r="BQ1531" s="34"/>
      <c r="BR1531" s="34"/>
      <c r="BS1531" s="34"/>
      <c r="BT1531" s="34"/>
      <c r="BU1531" s="34"/>
      <c r="BV1531" s="34"/>
      <c r="BW1531" s="34"/>
      <c r="BX1531" s="34"/>
      <c r="BY1531" s="34"/>
      <c r="BZ1531" s="34"/>
      <c r="CA1531" s="34"/>
      <c r="CB1531" s="34"/>
      <c r="CC1531" s="34"/>
      <c r="CD1531" s="34"/>
      <c r="CE1531" s="34"/>
      <c r="CF1531" s="34"/>
      <c r="CG1531" s="34"/>
      <c r="CH1531" s="34"/>
      <c r="CI1531" s="8"/>
    </row>
    <row r="1532" spans="1:87" x14ac:dyDescent="0.2">
      <c r="A1532" s="8" t="str">
        <f>IF(AND(COUNTIF(W$3:W$13,A$30)&gt;0,A$30&lt;&gt;B1308),A$30,IFERROR(IF(MATCH(A$30,Z$3:Z$13,0)=10,A$30," ")," "))</f>
        <v>C16</v>
      </c>
      <c r="B1532" s="8">
        <f>IF(A1532=" "," ",MAX(B1517:B1531)+1)</f>
        <v>6</v>
      </c>
      <c r="C1532" s="8"/>
      <c r="D1532" s="8"/>
      <c r="E1532" s="8"/>
      <c r="F1532" s="8"/>
      <c r="G1532" s="8"/>
      <c r="H1532" s="8"/>
      <c r="I1532" s="8"/>
      <c r="J1532" s="8"/>
      <c r="K1532" s="8"/>
      <c r="L1532" s="8"/>
      <c r="M1532" s="8"/>
      <c r="N1532" s="8"/>
      <c r="O1532" s="8"/>
      <c r="P1532" s="8"/>
      <c r="Q1532" s="8"/>
      <c r="R1532" s="8"/>
      <c r="S1532" s="8"/>
      <c r="U1532" s="34"/>
      <c r="V1532" s="34"/>
      <c r="W1532" s="34"/>
      <c r="X1532" s="34"/>
      <c r="Y1532" s="34"/>
      <c r="Z1532" s="34"/>
      <c r="AA1532" s="34"/>
      <c r="AB1532" s="34"/>
      <c r="AC1532" s="34"/>
      <c r="AD1532" s="34"/>
      <c r="AE1532" s="34"/>
      <c r="AF1532" s="34"/>
      <c r="AG1532" s="34"/>
      <c r="AH1532" s="34"/>
      <c r="AI1532" s="34"/>
      <c r="AJ1532" s="34"/>
      <c r="AK1532" s="34"/>
      <c r="AL1532" s="34"/>
      <c r="AM1532" s="34"/>
      <c r="AN1532" s="34"/>
      <c r="AO1532" s="34"/>
      <c r="AP1532" s="34"/>
      <c r="AQ1532" s="34"/>
      <c r="AR1532" s="34"/>
      <c r="AS1532" s="34"/>
      <c r="AT1532" s="34"/>
      <c r="AU1532" s="34"/>
      <c r="AV1532" s="34"/>
      <c r="AW1532" s="34"/>
      <c r="AX1532" s="34"/>
      <c r="AY1532" s="34"/>
      <c r="AZ1532" s="34"/>
      <c r="BA1532" s="34"/>
      <c r="BB1532" s="34"/>
      <c r="BC1532" s="34"/>
      <c r="BD1532" s="34"/>
      <c r="BE1532" s="34"/>
      <c r="BF1532" s="34"/>
      <c r="BG1532" s="34"/>
      <c r="BH1532" s="34"/>
      <c r="BI1532" s="34"/>
      <c r="BJ1532" s="34"/>
      <c r="BK1532" s="34"/>
      <c r="BL1532" s="34"/>
      <c r="BM1532" s="34"/>
      <c r="BN1532" s="34"/>
      <c r="BO1532" s="34"/>
      <c r="BP1532" s="34"/>
      <c r="BQ1532" s="34"/>
      <c r="BR1532" s="34"/>
      <c r="BS1532" s="34"/>
      <c r="BT1532" s="34"/>
      <c r="BU1532" s="34"/>
      <c r="BV1532" s="34"/>
      <c r="BW1532" s="34"/>
      <c r="BX1532" s="34"/>
      <c r="BY1532" s="34"/>
      <c r="BZ1532" s="34"/>
      <c r="CA1532" s="34"/>
      <c r="CB1532" s="34"/>
      <c r="CC1532" s="34"/>
      <c r="CD1532" s="34"/>
      <c r="CE1532" s="34"/>
      <c r="CF1532" s="34"/>
      <c r="CG1532" s="34"/>
      <c r="CH1532" s="34"/>
      <c r="CI1532" s="8"/>
    </row>
    <row r="1533" spans="1:87" x14ac:dyDescent="0.2">
      <c r="A1533" s="8" t="str">
        <f>IF(AND(COUNTIF(W$3:W$13,A$31)&gt;0,A$31&lt;&gt;B1308),A$31,IFERROR(IF(MATCH(A$31,Z$3:Z$13,0)=10,A$31," ")," "))</f>
        <v xml:space="preserve"> </v>
      </c>
      <c r="B1533" s="8" t="str">
        <f>IF(A1533=" "," ",MAX(B1517:B1532)+1)</f>
        <v xml:space="preserve"> </v>
      </c>
      <c r="C1533" s="8"/>
      <c r="D1533" s="8"/>
      <c r="E1533" s="8"/>
      <c r="F1533" s="8"/>
      <c r="G1533" s="8"/>
      <c r="H1533" s="8"/>
      <c r="I1533" s="8"/>
      <c r="J1533" s="8"/>
      <c r="K1533" s="8"/>
      <c r="L1533" s="8"/>
      <c r="M1533" s="8"/>
      <c r="N1533" s="8"/>
      <c r="O1533" s="8"/>
      <c r="P1533" s="8"/>
      <c r="Q1533" s="8"/>
      <c r="R1533" s="8"/>
      <c r="S1533" s="8"/>
      <c r="U1533" s="34"/>
      <c r="V1533" s="34"/>
      <c r="W1533" s="34"/>
      <c r="X1533" s="34"/>
      <c r="Y1533" s="34"/>
      <c r="Z1533" s="34"/>
      <c r="AA1533" s="34"/>
      <c r="AB1533" s="34"/>
      <c r="AC1533" s="34"/>
      <c r="AD1533" s="34"/>
      <c r="AE1533" s="34"/>
      <c r="AF1533" s="34"/>
      <c r="AG1533" s="34"/>
      <c r="AH1533" s="34"/>
      <c r="AI1533" s="34"/>
      <c r="AJ1533" s="34"/>
      <c r="AK1533" s="34"/>
      <c r="AL1533" s="34"/>
      <c r="AM1533" s="34"/>
      <c r="AN1533" s="34"/>
      <c r="AO1533" s="34"/>
      <c r="AP1533" s="34"/>
      <c r="AQ1533" s="34"/>
      <c r="AR1533" s="34"/>
      <c r="AS1533" s="34"/>
      <c r="AT1533" s="34"/>
      <c r="AU1533" s="34"/>
      <c r="AV1533" s="34"/>
      <c r="AW1533" s="34"/>
      <c r="AX1533" s="34"/>
      <c r="AY1533" s="34"/>
      <c r="AZ1533" s="34"/>
      <c r="BA1533" s="34"/>
      <c r="BB1533" s="34"/>
      <c r="BC1533" s="34"/>
      <c r="BD1533" s="34"/>
      <c r="BE1533" s="34"/>
      <c r="BF1533" s="34"/>
      <c r="BG1533" s="34"/>
      <c r="BH1533" s="34"/>
      <c r="BI1533" s="34"/>
      <c r="BJ1533" s="34"/>
      <c r="BK1533" s="34"/>
      <c r="BL1533" s="34"/>
      <c r="BM1533" s="34"/>
      <c r="BN1533" s="34"/>
      <c r="BO1533" s="34"/>
      <c r="BP1533" s="34"/>
      <c r="BQ1533" s="34"/>
      <c r="BR1533" s="34"/>
      <c r="BS1533" s="34"/>
      <c r="BT1533" s="34"/>
      <c r="BU1533" s="34"/>
      <c r="BV1533" s="34"/>
      <c r="BW1533" s="34"/>
      <c r="BX1533" s="34"/>
      <c r="BY1533" s="34"/>
      <c r="BZ1533" s="34"/>
      <c r="CA1533" s="34"/>
      <c r="CB1533" s="34"/>
      <c r="CC1533" s="34"/>
      <c r="CD1533" s="34"/>
      <c r="CE1533" s="34"/>
      <c r="CF1533" s="34"/>
      <c r="CG1533" s="34"/>
      <c r="CH1533" s="34"/>
      <c r="CI1533" s="8"/>
    </row>
    <row r="1534" spans="1:87" x14ac:dyDescent="0.2">
      <c r="A1534" s="8" t="str">
        <f>IF(AND(COUNTIF(W$3:W$13,A$32)&gt;0,A$32&lt;&gt;B1308),A$32,IFERROR(IF(MATCH(A$32,Z$3:Z$13,0)=10,A$32," ")," "))</f>
        <v>C18</v>
      </c>
      <c r="B1534" s="8">
        <f>IF(A1534=" "," ",MAX(B1517:B1533)+1)</f>
        <v>7</v>
      </c>
      <c r="C1534" s="8"/>
      <c r="D1534" s="8"/>
      <c r="E1534" s="8"/>
      <c r="F1534" s="8"/>
      <c r="G1534" s="8"/>
      <c r="H1534" s="8"/>
      <c r="I1534" s="8"/>
      <c r="J1534" s="8"/>
      <c r="K1534" s="8"/>
      <c r="L1534" s="8"/>
      <c r="M1534" s="8"/>
      <c r="N1534" s="8"/>
      <c r="O1534" s="8"/>
      <c r="P1534" s="8"/>
      <c r="Q1534" s="8"/>
      <c r="R1534" s="8"/>
      <c r="S1534" s="8"/>
      <c r="U1534" s="34"/>
      <c r="V1534" s="34"/>
      <c r="W1534" s="34"/>
      <c r="X1534" s="34"/>
      <c r="Y1534" s="34"/>
      <c r="Z1534" s="34"/>
      <c r="AA1534" s="34"/>
      <c r="AB1534" s="34"/>
      <c r="AC1534" s="34"/>
      <c r="AD1534" s="34"/>
      <c r="AE1534" s="34"/>
      <c r="AF1534" s="34"/>
      <c r="AG1534" s="34"/>
      <c r="AH1534" s="34"/>
      <c r="AI1534" s="34"/>
      <c r="AJ1534" s="34"/>
      <c r="AK1534" s="34"/>
      <c r="AL1534" s="34"/>
      <c r="AM1534" s="34"/>
      <c r="AN1534" s="34"/>
      <c r="AO1534" s="34"/>
      <c r="AP1534" s="34"/>
      <c r="AQ1534" s="34"/>
      <c r="AR1534" s="34"/>
      <c r="AS1534" s="34"/>
      <c r="AT1534" s="34"/>
      <c r="AU1534" s="34"/>
      <c r="AV1534" s="34"/>
      <c r="AW1534" s="34"/>
      <c r="AX1534" s="34"/>
      <c r="AY1534" s="34"/>
      <c r="AZ1534" s="34"/>
      <c r="BA1534" s="34"/>
      <c r="BB1534" s="34"/>
      <c r="BC1534" s="34"/>
      <c r="BD1534" s="34"/>
      <c r="BE1534" s="34"/>
      <c r="BF1534" s="34"/>
      <c r="BG1534" s="34"/>
      <c r="BH1534" s="34"/>
      <c r="BI1534" s="34"/>
      <c r="BJ1534" s="34"/>
      <c r="BK1534" s="34"/>
      <c r="BL1534" s="34"/>
      <c r="BM1534" s="34"/>
      <c r="BN1534" s="34"/>
      <c r="BO1534" s="34"/>
      <c r="BP1534" s="34"/>
      <c r="BQ1534" s="34"/>
      <c r="BR1534" s="34"/>
      <c r="BS1534" s="34"/>
      <c r="BT1534" s="34"/>
      <c r="BU1534" s="34"/>
      <c r="BV1534" s="34"/>
      <c r="BW1534" s="34"/>
      <c r="BX1534" s="34"/>
      <c r="BY1534" s="34"/>
      <c r="BZ1534" s="34"/>
      <c r="CA1534" s="34"/>
      <c r="CB1534" s="34"/>
      <c r="CC1534" s="34"/>
      <c r="CD1534" s="34"/>
      <c r="CE1534" s="34"/>
      <c r="CF1534" s="34"/>
      <c r="CG1534" s="34"/>
      <c r="CH1534" s="34"/>
      <c r="CI1534" s="8"/>
    </row>
    <row r="1535" spans="1:87" x14ac:dyDescent="0.2">
      <c r="A1535" s="8" t="str">
        <f>IF(AND(COUNTIF(W$3:W$13,A$33)&gt;0,A$33&lt;&gt;B1308),A$33,IFERROR(IF(MATCH(A$33,Z$3:Z$13,0)=10,A$33," ")," "))</f>
        <v>C19</v>
      </c>
      <c r="B1535" s="8">
        <f>IF(A1535=" "," ",MAX(B1517:B1534)+1)</f>
        <v>8</v>
      </c>
      <c r="C1535" s="8"/>
      <c r="D1535" s="8"/>
      <c r="E1535" s="8"/>
      <c r="F1535" s="8"/>
      <c r="G1535" s="8"/>
      <c r="H1535" s="8"/>
      <c r="I1535" s="8"/>
      <c r="J1535" s="8"/>
      <c r="K1535" s="8"/>
      <c r="L1535" s="8"/>
      <c r="M1535" s="8"/>
      <c r="N1535" s="8"/>
      <c r="O1535" s="8"/>
      <c r="P1535" s="8"/>
      <c r="Q1535" s="8"/>
      <c r="R1535" s="8"/>
      <c r="S1535" s="8"/>
      <c r="U1535" s="34"/>
      <c r="V1535" s="34"/>
      <c r="W1535" s="34"/>
      <c r="X1535" s="34"/>
      <c r="Y1535" s="34"/>
      <c r="Z1535" s="34"/>
      <c r="AA1535" s="34"/>
      <c r="AB1535" s="34"/>
      <c r="AC1535" s="34"/>
      <c r="AD1535" s="34"/>
      <c r="AE1535" s="34"/>
      <c r="AF1535" s="34"/>
      <c r="AG1535" s="34"/>
      <c r="AH1535" s="34"/>
      <c r="AI1535" s="34"/>
      <c r="AJ1535" s="34"/>
      <c r="AK1535" s="34"/>
      <c r="AL1535" s="34"/>
      <c r="AM1535" s="34"/>
      <c r="AN1535" s="34"/>
      <c r="AO1535" s="34"/>
      <c r="AP1535" s="34"/>
      <c r="AQ1535" s="34"/>
      <c r="AR1535" s="34"/>
      <c r="AS1535" s="34"/>
      <c r="AT1535" s="34"/>
      <c r="AU1535" s="34"/>
      <c r="AV1535" s="34"/>
      <c r="AW1535" s="34"/>
      <c r="AX1535" s="34"/>
      <c r="AY1535" s="34"/>
      <c r="AZ1535" s="34"/>
      <c r="BA1535" s="34"/>
      <c r="BB1535" s="34"/>
      <c r="BC1535" s="34"/>
      <c r="BD1535" s="34"/>
      <c r="BE1535" s="34"/>
      <c r="BF1535" s="34"/>
      <c r="BG1535" s="34"/>
      <c r="BH1535" s="34"/>
      <c r="BI1535" s="34"/>
      <c r="BJ1535" s="34"/>
      <c r="BK1535" s="34"/>
      <c r="BL1535" s="34"/>
      <c r="BM1535" s="34"/>
      <c r="BN1535" s="34"/>
      <c r="BO1535" s="34"/>
      <c r="BP1535" s="34"/>
      <c r="BQ1535" s="34"/>
      <c r="BR1535" s="34"/>
      <c r="BS1535" s="34"/>
      <c r="BT1535" s="34"/>
      <c r="BU1535" s="34"/>
      <c r="BV1535" s="34"/>
      <c r="BW1535" s="34"/>
      <c r="BX1535" s="34"/>
      <c r="BY1535" s="34"/>
      <c r="BZ1535" s="34"/>
      <c r="CA1535" s="34"/>
      <c r="CB1535" s="34"/>
      <c r="CC1535" s="34"/>
      <c r="CD1535" s="34"/>
      <c r="CE1535" s="34"/>
      <c r="CF1535" s="34"/>
      <c r="CG1535" s="34"/>
      <c r="CH1535" s="34"/>
      <c r="CI1535" s="8"/>
    </row>
    <row r="1536" spans="1:87" x14ac:dyDescent="0.2">
      <c r="A1536" s="8" t="str">
        <f>IF(AND(COUNTIF(W$3:W$13,A$34)&gt;0,A$34&lt;&gt;B1308),A$34,IFERROR(IF(MATCH(A$34,Z$3:Z$13,0)=10,A$34," ")," "))</f>
        <v>C20</v>
      </c>
      <c r="B1536" s="8">
        <f>IF(A1536=" "," ",MAX(B1517:B1535)+1)</f>
        <v>9</v>
      </c>
      <c r="C1536" s="8"/>
      <c r="D1536" s="8"/>
      <c r="E1536" s="8"/>
      <c r="F1536" s="8"/>
      <c r="G1536" s="8"/>
      <c r="H1536" s="8"/>
      <c r="I1536" s="8"/>
      <c r="J1536" s="8"/>
      <c r="K1536" s="8"/>
      <c r="L1536" s="8"/>
      <c r="M1536" s="8"/>
      <c r="N1536" s="8"/>
      <c r="O1536" s="8"/>
      <c r="P1536" s="8"/>
      <c r="Q1536" s="8"/>
      <c r="R1536" s="8"/>
      <c r="S1536" s="8"/>
      <c r="U1536" s="34"/>
      <c r="V1536" s="34"/>
      <c r="W1536" s="34"/>
      <c r="X1536" s="34"/>
      <c r="Y1536" s="34"/>
      <c r="Z1536" s="34"/>
      <c r="AA1536" s="34"/>
      <c r="AB1536" s="34"/>
      <c r="AC1536" s="34"/>
      <c r="AD1536" s="34"/>
      <c r="AE1536" s="34"/>
      <c r="AF1536" s="34"/>
      <c r="AG1536" s="34"/>
      <c r="AH1536" s="34"/>
      <c r="AI1536" s="34"/>
      <c r="AJ1536" s="34"/>
      <c r="AK1536" s="34"/>
      <c r="AL1536" s="34"/>
      <c r="AM1536" s="34"/>
      <c r="AN1536" s="34"/>
      <c r="AO1536" s="34"/>
      <c r="AP1536" s="34"/>
      <c r="AQ1536" s="34"/>
      <c r="AR1536" s="34"/>
      <c r="AS1536" s="34"/>
      <c r="AT1536" s="34"/>
      <c r="AU1536" s="34"/>
      <c r="AV1536" s="34"/>
      <c r="AW1536" s="34"/>
      <c r="AX1536" s="34"/>
      <c r="AY1536" s="34"/>
      <c r="AZ1536" s="34"/>
      <c r="BA1536" s="34"/>
      <c r="BB1536" s="34"/>
      <c r="BC1536" s="34"/>
      <c r="BD1536" s="34"/>
      <c r="BE1536" s="34"/>
      <c r="BF1536" s="34"/>
      <c r="BG1536" s="34"/>
      <c r="BH1536" s="34"/>
      <c r="BI1536" s="34"/>
      <c r="BJ1536" s="34"/>
      <c r="BK1536" s="34"/>
      <c r="BL1536" s="34"/>
      <c r="BM1536" s="34"/>
      <c r="BN1536" s="34"/>
      <c r="BO1536" s="34"/>
      <c r="BP1536" s="34"/>
      <c r="BQ1536" s="34"/>
      <c r="BR1536" s="34"/>
      <c r="BS1536" s="34"/>
      <c r="BT1536" s="34"/>
      <c r="BU1536" s="34"/>
      <c r="BV1536" s="34"/>
      <c r="BW1536" s="34"/>
      <c r="BX1536" s="34"/>
      <c r="BY1536" s="34"/>
      <c r="BZ1536" s="34"/>
      <c r="CA1536" s="34"/>
      <c r="CB1536" s="34"/>
      <c r="CC1536" s="34"/>
      <c r="CD1536" s="34"/>
      <c r="CE1536" s="34"/>
      <c r="CF1536" s="34"/>
      <c r="CG1536" s="34"/>
      <c r="CH1536" s="34"/>
      <c r="CI1536" s="8"/>
    </row>
    <row r="1537" spans="1:87" x14ac:dyDescent="0.2">
      <c r="A1537" s="8" t="str">
        <f>IF(AND(COUNTIF(W$3:W$13,A$35)&gt;0,A$35&lt;&gt;B1308),A$35,IFERROR(IF(MATCH(A$35,Z$3:Z$13,0)=10,A$35," ")," "))</f>
        <v>C21</v>
      </c>
      <c r="B1537" s="8">
        <f>IF(A1537=" "," ",MAX(B1517:B1536)+1)</f>
        <v>10</v>
      </c>
      <c r="C1537" s="8"/>
      <c r="D1537" s="8"/>
      <c r="E1537" s="8"/>
      <c r="F1537" s="8"/>
      <c r="G1537" s="8"/>
      <c r="H1537" s="8"/>
      <c r="I1537" s="8"/>
      <c r="J1537" s="8"/>
      <c r="K1537" s="8"/>
      <c r="L1537" s="8"/>
      <c r="M1537" s="8"/>
      <c r="N1537" s="8"/>
      <c r="O1537" s="8"/>
      <c r="P1537" s="8"/>
      <c r="Q1537" s="8"/>
      <c r="R1537" s="8"/>
      <c r="S1537" s="8"/>
      <c r="U1537" s="34"/>
      <c r="V1537" s="34"/>
      <c r="W1537" s="34"/>
      <c r="X1537" s="34"/>
      <c r="Y1537" s="34"/>
      <c r="Z1537" s="34"/>
      <c r="AA1537" s="34"/>
      <c r="AB1537" s="34"/>
      <c r="AC1537" s="34"/>
      <c r="AD1537" s="34"/>
      <c r="AE1537" s="34"/>
      <c r="AF1537" s="34"/>
      <c r="AG1537" s="34"/>
      <c r="AH1537" s="34"/>
      <c r="AI1537" s="34"/>
      <c r="AJ1537" s="34"/>
      <c r="AK1537" s="34"/>
      <c r="AL1537" s="34"/>
      <c r="AM1537" s="34"/>
      <c r="AN1537" s="34"/>
      <c r="AO1537" s="34"/>
      <c r="AP1537" s="34"/>
      <c r="AQ1537" s="34"/>
      <c r="AR1537" s="34"/>
      <c r="AS1537" s="34"/>
      <c r="AT1537" s="34"/>
      <c r="AU1537" s="34"/>
      <c r="AV1537" s="34"/>
      <c r="AW1537" s="34"/>
      <c r="AX1537" s="34"/>
      <c r="AY1537" s="34"/>
      <c r="AZ1537" s="34"/>
      <c r="BA1537" s="34"/>
      <c r="BB1537" s="34"/>
      <c r="BC1537" s="34"/>
      <c r="BD1537" s="34"/>
      <c r="BE1537" s="34"/>
      <c r="BF1537" s="34"/>
      <c r="BG1537" s="34"/>
      <c r="BH1537" s="34"/>
      <c r="BI1537" s="34"/>
      <c r="BJ1537" s="34"/>
      <c r="BK1537" s="34"/>
      <c r="BL1537" s="34"/>
      <c r="BM1537" s="34"/>
      <c r="BN1537" s="34"/>
      <c r="BO1537" s="34"/>
      <c r="BP1537" s="34"/>
      <c r="BQ1537" s="34"/>
      <c r="BR1537" s="34"/>
      <c r="BS1537" s="34"/>
      <c r="BT1537" s="34"/>
      <c r="BU1537" s="34"/>
      <c r="BV1537" s="34"/>
      <c r="BW1537" s="34"/>
      <c r="BX1537" s="34"/>
      <c r="BY1537" s="34"/>
      <c r="BZ1537" s="34"/>
      <c r="CA1537" s="34"/>
      <c r="CB1537" s="34"/>
      <c r="CC1537" s="34"/>
      <c r="CD1537" s="34"/>
      <c r="CE1537" s="34"/>
      <c r="CF1537" s="34"/>
      <c r="CG1537" s="34"/>
      <c r="CH1537" s="34"/>
      <c r="CI1537" s="8"/>
    </row>
    <row r="1538" spans="1:87" x14ac:dyDescent="0.2">
      <c r="A1538" s="8" t="str">
        <f>IF(AND(COUNTIF(W$3:W$13,A$36)&gt;0,A$36&lt;&gt;B1308),A$36,IFERROR(IF(MATCH(A$36,Z$3:Z$13,0)=10,A$36," ")," "))</f>
        <v>C22</v>
      </c>
      <c r="B1538" s="8">
        <f>IF(A1538=" "," ",MAX(B1517:B1537)+1)</f>
        <v>11</v>
      </c>
      <c r="C1538" s="8"/>
      <c r="D1538" s="8"/>
      <c r="E1538" s="8"/>
      <c r="F1538" s="8"/>
      <c r="G1538" s="8"/>
      <c r="H1538" s="8"/>
      <c r="I1538" s="8"/>
      <c r="J1538" s="8"/>
      <c r="K1538" s="8"/>
      <c r="L1538" s="8"/>
      <c r="M1538" s="8"/>
      <c r="N1538" s="8"/>
      <c r="O1538" s="8"/>
      <c r="P1538" s="8"/>
      <c r="Q1538" s="8"/>
      <c r="R1538" s="8"/>
      <c r="S1538" s="8"/>
      <c r="U1538" s="34"/>
      <c r="V1538" s="34"/>
      <c r="W1538" s="34"/>
      <c r="X1538" s="34"/>
      <c r="Y1538" s="34"/>
      <c r="Z1538" s="34"/>
      <c r="AA1538" s="34"/>
      <c r="AB1538" s="34"/>
      <c r="AC1538" s="34"/>
      <c r="AD1538" s="34"/>
      <c r="AE1538" s="34"/>
      <c r="AF1538" s="34"/>
      <c r="AG1538" s="34"/>
      <c r="AH1538" s="34"/>
      <c r="AI1538" s="34"/>
      <c r="AJ1538" s="34"/>
      <c r="AK1538" s="34"/>
      <c r="AL1538" s="34"/>
      <c r="AM1538" s="34"/>
      <c r="AN1538" s="34"/>
      <c r="AO1538" s="34"/>
      <c r="AP1538" s="34"/>
      <c r="AQ1538" s="34"/>
      <c r="AR1538" s="34"/>
      <c r="AS1538" s="34"/>
      <c r="AT1538" s="34"/>
      <c r="AU1538" s="34"/>
      <c r="AV1538" s="34"/>
      <c r="AW1538" s="34"/>
      <c r="AX1538" s="34"/>
      <c r="AY1538" s="34"/>
      <c r="AZ1538" s="34"/>
      <c r="BA1538" s="34"/>
      <c r="BB1538" s="34"/>
      <c r="BC1538" s="34"/>
      <c r="BD1538" s="34"/>
      <c r="BE1538" s="34"/>
      <c r="BF1538" s="34"/>
      <c r="BG1538" s="34"/>
      <c r="BH1538" s="34"/>
      <c r="BI1538" s="34"/>
      <c r="BJ1538" s="34"/>
      <c r="BK1538" s="34"/>
      <c r="BL1538" s="34"/>
      <c r="BM1538" s="34"/>
      <c r="BN1538" s="34"/>
      <c r="BO1538" s="34"/>
      <c r="BP1538" s="34"/>
      <c r="BQ1538" s="34"/>
      <c r="BR1538" s="34"/>
      <c r="BS1538" s="34"/>
      <c r="BT1538" s="34"/>
      <c r="BU1538" s="34"/>
      <c r="BV1538" s="34"/>
      <c r="BW1538" s="34"/>
      <c r="BX1538" s="34"/>
      <c r="BY1538" s="34"/>
      <c r="BZ1538" s="34"/>
      <c r="CA1538" s="34"/>
      <c r="CB1538" s="34"/>
      <c r="CC1538" s="34"/>
      <c r="CD1538" s="34"/>
      <c r="CE1538" s="34"/>
      <c r="CF1538" s="34"/>
      <c r="CG1538" s="34"/>
      <c r="CH1538" s="34"/>
      <c r="CI1538" s="8"/>
    </row>
    <row r="1539" spans="1:87" x14ac:dyDescent="0.2">
      <c r="A1539" s="11" t="s">
        <v>17</v>
      </c>
      <c r="B1539" s="11"/>
      <c r="C1539" s="27" t="s">
        <v>18</v>
      </c>
      <c r="D1539" s="27" t="s">
        <v>2</v>
      </c>
      <c r="E1539" s="27" t="s">
        <v>6</v>
      </c>
      <c r="F1539" s="27" t="s">
        <v>15</v>
      </c>
      <c r="G1539" s="27" t="s">
        <v>36</v>
      </c>
      <c r="H1539" s="27" t="s">
        <v>37</v>
      </c>
      <c r="I1539" s="27" t="s">
        <v>38</v>
      </c>
      <c r="J1539" s="27" t="s">
        <v>39</v>
      </c>
      <c r="K1539" s="27" t="s">
        <v>40</v>
      </c>
      <c r="L1539" s="27" t="s">
        <v>41</v>
      </c>
      <c r="M1539" s="27" t="s">
        <v>42</v>
      </c>
      <c r="N1539" s="27" t="s">
        <v>43</v>
      </c>
      <c r="O1539" s="27" t="s">
        <v>9</v>
      </c>
      <c r="P1539" s="27" t="s">
        <v>12</v>
      </c>
      <c r="Q1539" s="27" t="s">
        <v>19</v>
      </c>
      <c r="R1539" s="27" t="s">
        <v>55</v>
      </c>
      <c r="S1539" s="27" t="s">
        <v>26</v>
      </c>
      <c r="T1539" s="19" t="s">
        <v>25</v>
      </c>
      <c r="U1539" s="33" t="s">
        <v>27</v>
      </c>
      <c r="V1539" s="33" t="s">
        <v>9</v>
      </c>
      <c r="W1539" s="33" t="s">
        <v>23</v>
      </c>
      <c r="X1539" s="33" t="s">
        <v>12</v>
      </c>
      <c r="Y1539" s="33" t="s">
        <v>26</v>
      </c>
      <c r="Z1539" s="33" t="s">
        <v>25</v>
      </c>
      <c r="AA1539" s="33" t="s">
        <v>27</v>
      </c>
      <c r="AB1539" s="33" t="s">
        <v>9</v>
      </c>
      <c r="AC1539" s="33" t="s">
        <v>23</v>
      </c>
      <c r="AD1539" s="33" t="s">
        <v>12</v>
      </c>
      <c r="AE1539" s="33" t="s">
        <v>26</v>
      </c>
      <c r="AF1539" s="33" t="s">
        <v>25</v>
      </c>
      <c r="AG1539" s="33" t="s">
        <v>27</v>
      </c>
      <c r="AH1539" s="33" t="s">
        <v>9</v>
      </c>
      <c r="AI1539" s="33" t="s">
        <v>23</v>
      </c>
      <c r="AJ1539" s="33" t="s">
        <v>12</v>
      </c>
      <c r="AK1539" s="33" t="s">
        <v>26</v>
      </c>
      <c r="AL1539" s="33" t="s">
        <v>25</v>
      </c>
      <c r="AM1539" s="33" t="s">
        <v>27</v>
      </c>
      <c r="AN1539" s="33" t="s">
        <v>9</v>
      </c>
      <c r="AO1539" s="33" t="s">
        <v>23</v>
      </c>
      <c r="AP1539" s="33" t="s">
        <v>12</v>
      </c>
      <c r="AQ1539" s="33" t="s">
        <v>26</v>
      </c>
      <c r="AR1539" s="33" t="s">
        <v>25</v>
      </c>
      <c r="AS1539" s="33" t="s">
        <v>27</v>
      </c>
      <c r="AT1539" s="33" t="s">
        <v>9</v>
      </c>
      <c r="AU1539" s="33" t="s">
        <v>23</v>
      </c>
      <c r="AV1539" s="33" t="s">
        <v>12</v>
      </c>
      <c r="AW1539" s="33" t="s">
        <v>26</v>
      </c>
      <c r="AX1539" s="33" t="s">
        <v>25</v>
      </c>
      <c r="AY1539" s="33" t="s">
        <v>27</v>
      </c>
      <c r="AZ1539" s="33" t="s">
        <v>9</v>
      </c>
      <c r="BA1539" s="33" t="s">
        <v>23</v>
      </c>
      <c r="BB1539" s="33" t="s">
        <v>12</v>
      </c>
      <c r="BC1539" s="33" t="s">
        <v>26</v>
      </c>
      <c r="BD1539" s="33" t="s">
        <v>25</v>
      </c>
      <c r="BE1539" s="33" t="s">
        <v>27</v>
      </c>
      <c r="BF1539" s="33" t="s">
        <v>9</v>
      </c>
      <c r="BG1539" s="33" t="s">
        <v>23</v>
      </c>
      <c r="BH1539" s="33" t="s">
        <v>12</v>
      </c>
      <c r="BI1539" s="33" t="s">
        <v>26</v>
      </c>
      <c r="BJ1539" s="33" t="s">
        <v>25</v>
      </c>
      <c r="BK1539" s="33" t="s">
        <v>27</v>
      </c>
      <c r="BL1539" s="33" t="s">
        <v>9</v>
      </c>
      <c r="BM1539" s="33" t="s">
        <v>23</v>
      </c>
      <c r="BN1539" s="33" t="s">
        <v>12</v>
      </c>
      <c r="BO1539" s="33" t="s">
        <v>26</v>
      </c>
      <c r="BP1539" s="33" t="s">
        <v>25</v>
      </c>
      <c r="BQ1539" s="33" t="s">
        <v>27</v>
      </c>
      <c r="BR1539" s="33" t="s">
        <v>9</v>
      </c>
      <c r="BS1539" s="33" t="s">
        <v>23</v>
      </c>
      <c r="BT1539" s="33" t="s">
        <v>12</v>
      </c>
      <c r="BU1539" s="33" t="s">
        <v>26</v>
      </c>
      <c r="BV1539" s="33" t="s">
        <v>25</v>
      </c>
      <c r="BW1539" s="33" t="s">
        <v>27</v>
      </c>
      <c r="BX1539" s="33" t="s">
        <v>9</v>
      </c>
      <c r="BY1539" s="33" t="s">
        <v>23</v>
      </c>
      <c r="BZ1539" s="33" t="s">
        <v>12</v>
      </c>
      <c r="CA1539" s="33" t="s">
        <v>26</v>
      </c>
      <c r="CB1539" s="33" t="s">
        <v>25</v>
      </c>
      <c r="CC1539" s="33" t="s">
        <v>27</v>
      </c>
      <c r="CD1539" s="33" t="s">
        <v>9</v>
      </c>
      <c r="CE1539" s="33" t="s">
        <v>23</v>
      </c>
      <c r="CF1539" s="33" t="s">
        <v>12</v>
      </c>
      <c r="CG1539" s="33" t="s">
        <v>26</v>
      </c>
      <c r="CH1539" s="33" t="s">
        <v>25</v>
      </c>
      <c r="CI1539" s="8"/>
    </row>
    <row r="1540" spans="1:87" x14ac:dyDescent="0.2">
      <c r="A1540" s="8" t="str">
        <f>IF(AND(COUNTIF(W$3:W$13,A$15)&gt;0,A$15&lt;&gt;B1308),A$15,IFERROR(IF(MATCH(A$15,Z$3:Z$13,0)=11,A$15," ")," "))</f>
        <v xml:space="preserve"> </v>
      </c>
      <c r="B1540" s="8" t="str">
        <f>IF(A1540=" "," ",1)</f>
        <v xml:space="preserve"> </v>
      </c>
      <c r="C1540" s="8" t="str">
        <f>IFERROR(INDEX(A1540:A1561,MATCH(SMALL(B1540:B1561,1),B1540:B1561,0),1)," ")</f>
        <v>C3</v>
      </c>
      <c r="D1540" s="8">
        <f>IFERROR(VLOOKUP($C1540,$A$15:$O$36,2,FALSE)," ")</f>
        <v>2</v>
      </c>
      <c r="E1540" s="8">
        <f>IFERROR(VLOOKUP($C1540,$A$15:$O$36,3,FALSE)," ")</f>
        <v>5</v>
      </c>
      <c r="F1540" s="8">
        <f>IFERROR(VLOOKUP($C1540,$A$15:$O$36,4,FALSE)," ")</f>
        <v>6</v>
      </c>
      <c r="G1540" s="8">
        <f>IFERROR(VLOOKUP($C1540,$A$15:$O$36,5,FALSE)," ")</f>
        <v>0</v>
      </c>
      <c r="H1540" s="8">
        <f>IFERROR(VLOOKUP($C1540,$A$15:$O$36,6,FALSE)," ")</f>
        <v>0</v>
      </c>
      <c r="I1540" s="8">
        <f>IFERROR(VLOOKUP($C1540,$A$15:$O$36,7,FALSE)," ")</f>
        <v>0</v>
      </c>
      <c r="J1540" s="8">
        <f>IFERROR(VLOOKUP($C1540,$A$15:$O$36,8,FALSE)," ")</f>
        <v>0</v>
      </c>
      <c r="K1540" s="8">
        <f>IFERROR(VLOOKUP($C1540,$A$15:$O$36,9,FALSE)," ")</f>
        <v>0</v>
      </c>
      <c r="L1540" s="8">
        <f>IFERROR(VLOOKUP($C1540,$A$15:$O$36,10,FALSE)," ")</f>
        <v>0</v>
      </c>
      <c r="M1540" s="8">
        <f>IFERROR(VLOOKUP($C1540,$A$15:$O$36,11,FALSE)," ")</f>
        <v>0</v>
      </c>
      <c r="N1540" s="8">
        <f>IFERROR(VLOOKUP($C1540,$A$15:$O$36,12,FALSE)," ")</f>
        <v>0</v>
      </c>
      <c r="O1540" s="8">
        <f>IFERROR(VLOOKUP($C1540,$A$15:$O$36,15,FALSE)," ")</f>
        <v>2000</v>
      </c>
      <c r="P1540" s="8" t="e">
        <f t="array" ref="P1540:P1550">MMULT(MINVERSE(D1540:N1550),O1540:O1550)</f>
        <v>#NUM!</v>
      </c>
      <c r="Q1540" s="8" t="e">
        <f t="shared" ref="Q1540" si="6586">IF(COUNTIF(P1540:P1550,"&lt;"&amp;-0.001)=0,IF(ABS(P1540)&lt;0.001,0,P1540)," ")</f>
        <v>#NUM!</v>
      </c>
      <c r="R1540" s="8" t="str">
        <f>IFERROR(VLOOKUP(B1308,A$15:L$36,2,FALSE)*Q1540+VLOOKUP(B1308,A$15:L$36,3,FALSE)*Q1541+VLOOKUP(B1308,A$15:L$36,4,FALSE)*Q1542+VLOOKUP(B1308,A$15:L$36,5,FALSE)*Q1543+VLOOKUP(B1308,A$15:L$36,6,FALSE)*Q1544+VLOOKUP(B1308,A$15:L$36,7,FALSE)*Q1545+VLOOKUP(B1308,A$15:L$36,8,FALSE)*Q1546+VLOOKUP(B1308,A$15:L$36,9,FALSE)*Q1547+VLOOKUP(B1308,A$15:L$36,10,FALSE)*Q1548+VLOOKUP(B1308,A$15:L$36,11,FALSE)*Q1549+VLOOKUP(B1308,A$15:L$36,12,FALSE)*Q1550," ")</f>
        <v xml:space="preserve"> </v>
      </c>
      <c r="S1540" s="8" t="str">
        <f>IFERROR(IF(R1540-VLOOKUP(B1308,A$15:O$36,15,FALSE)&lt;0,R1540-VLOOKUP(B1308,A$15:O$36,15,FALSE)," ")," ")</f>
        <v xml:space="preserve"> </v>
      </c>
      <c r="T1540" s="18" t="str">
        <f>IFERROR(IF(R1540-VLOOKUP(B1308,A$15:O$36,15,FALSE)&gt;0,R1540-VLOOKUP(B1308,A$15:O$36,15,FALSE)," ")," ")</f>
        <v xml:space="preserve"> </v>
      </c>
      <c r="U1540" s="34">
        <f t="shared" ref="U1540" si="6587">$M$2</f>
        <v>100.00000000000001</v>
      </c>
      <c r="V1540" s="34">
        <v>-1</v>
      </c>
      <c r="W1540" s="34">
        <f t="shared" ref="W1540" si="6588">-SUMPRODUCT($M$3:$M$12,$N$3:$N$12)</f>
        <v>-105000</v>
      </c>
      <c r="X1540" s="34" t="e">
        <f t="shared" ref="X1540" si="6589">IF(U1540&lt;&gt;U1541,MMULT(MINVERSE(U1540:V1541),W1540:W1541)," ")</f>
        <v>#NUM!</v>
      </c>
      <c r="Y1540" s="34" t="str">
        <f t="shared" ref="Y1540" si="6590">IFERROR(IF(X1540-VLOOKUP(U$38,$A$2:$N$12,14,FALSE)&lt;0,X1540-VLOOKUP(U$38,$A$2:$N$12,14,FALSE)," ")," ")</f>
        <v xml:space="preserve"> </v>
      </c>
      <c r="Z1540" s="34" t="str">
        <f t="shared" ref="Z1540" si="6591">IFERROR(IF(X1540-VLOOKUP(U$38,$A$2:$N$12,14,FALSE)&gt;0,X1540-VLOOKUP(U$38,$A$2:$N$12,14,FALSE)," ")," ")</f>
        <v xml:space="preserve"> </v>
      </c>
      <c r="AA1540" s="34">
        <f t="shared" ref="AA1540" si="6592">$M$3</f>
        <v>0</v>
      </c>
      <c r="AB1540" s="34">
        <v>-1</v>
      </c>
      <c r="AC1540" s="34">
        <f t="shared" ref="AC1540" si="6593">-SUMPRODUCT($M$2:$M$2,$N$2:$N$2)-SUMPRODUCT($M$4:$M$12,$N$4:$N$12)</f>
        <v>-120000</v>
      </c>
      <c r="AD1540" s="34" t="e">
        <f t="shared" ref="AD1540" si="6594">IF(AA1540&lt;&gt;AA1541,MMULT(MINVERSE(AA1540:AB1541),AC1540:AC1541)," ")</f>
        <v>#NUM!</v>
      </c>
      <c r="AE1540" s="34" t="str">
        <f t="shared" ref="AE1540" si="6595">IFERROR(IF(AD1540-VLOOKUP(AA$38,$A$2:$N$12,14,FALSE)&lt;0,AD1540-VLOOKUP(AA$38,$A$2:$N$12,14,FALSE)," ")," ")</f>
        <v xml:space="preserve"> </v>
      </c>
      <c r="AF1540" s="34" t="str">
        <f t="shared" ref="AF1540" si="6596">IFERROR(IF(AD1540-VLOOKUP(AA$38,$A$2:$N$12,14,FALSE)&gt;0,AD1540-VLOOKUP(AA$38,$A$2:$N$12,14,FALSE)," ")," ")</f>
        <v xml:space="preserve"> </v>
      </c>
      <c r="AG1540" s="34">
        <f t="shared" ref="AG1540" si="6597">$M$4</f>
        <v>300</v>
      </c>
      <c r="AH1540" s="34">
        <v>-1</v>
      </c>
      <c r="AI1540" s="34">
        <f t="shared" ref="AI1540" si="6598">-SUMPRODUCT($M$2:$M$3,$N$2:$N$3)-SUMPRODUCT($M$5:$M$12,$N$5:$N$12)</f>
        <v>-15000.000000000002</v>
      </c>
      <c r="AJ1540" s="34" t="e">
        <f t="shared" ref="AJ1540" si="6599">IF(AG1540&lt;&gt;AG1541,MMULT(MINVERSE(AG1540:AH1541),AI1540:AI1541)," ")</f>
        <v>#NUM!</v>
      </c>
      <c r="AK1540" s="34" t="str">
        <f t="shared" ref="AK1540" si="6600">IFERROR(IF(AJ1540-VLOOKUP(AG$38,$A$2:$N$12,14,FALSE)&lt;0,AJ1540-VLOOKUP(AG$38,$A$2:$N$12,14,FALSE)," ")," ")</f>
        <v xml:space="preserve"> </v>
      </c>
      <c r="AL1540" s="34" t="str">
        <f t="shared" ref="AL1540" si="6601">IFERROR(IF(AJ1540-VLOOKUP(AG$38,$A$2:$N$12,14,FALSE)&gt;0,AJ1540-VLOOKUP(AG$38,$A$2:$N$12,14,FALSE)," ")," ")</f>
        <v xml:space="preserve"> </v>
      </c>
      <c r="AM1540" s="34">
        <f t="shared" ref="AM1540" si="6602">$M$5</f>
        <v>0</v>
      </c>
      <c r="AN1540" s="34">
        <v>-1</v>
      </c>
      <c r="AO1540" s="34">
        <f t="shared" ref="AO1540" si="6603">-SUMPRODUCT($M$2:$M$4,$N$2:$N$4)-SUMPRODUCT($M$6:$M$12,$N$6:$N$12)</f>
        <v>-120000</v>
      </c>
      <c r="AP1540" s="34" t="e">
        <f t="shared" ref="AP1540" si="6604">IF(AM1540&lt;&gt;AM1541,MMULT(MINVERSE(AM1540:AN1541),AO1540:AO1541)," ")</f>
        <v>#NUM!</v>
      </c>
      <c r="AQ1540" s="34" t="str">
        <f t="shared" ref="AQ1540" si="6605">IFERROR(IF(AP1540-VLOOKUP(AM$38,$A$2:$N$12,14,FALSE)&lt;0,AP1540-VLOOKUP(AM$38,$A$2:$N$12,14,FALSE)," ")," ")</f>
        <v xml:space="preserve"> </v>
      </c>
      <c r="AR1540" s="34" t="str">
        <f t="shared" ref="AR1540" si="6606">IFERROR(IF(AP1540-VLOOKUP(AM$38,$A$2:$N$12,14,FALSE)&gt;0,AP1540-VLOOKUP(AM$38,$A$2:$N$12,14,FALSE)," ")," ")</f>
        <v xml:space="preserve"> </v>
      </c>
      <c r="AS1540" s="34">
        <f t="shared" ref="AS1540" si="6607">$M$6</f>
        <v>0</v>
      </c>
      <c r="AT1540" s="34">
        <v>-1</v>
      </c>
      <c r="AU1540" s="34">
        <f t="shared" ref="AU1540" si="6608">-SUMPRODUCT($M$2:$M$5,$N$2:$N$5)-SUMPRODUCT($M$7:$M$12,$N$7:$N$12)</f>
        <v>-120000</v>
      </c>
      <c r="AV1540" s="34" t="e">
        <f t="shared" ref="AV1540" si="6609">IF(AS1540&lt;&gt;AS1541,MMULT(MINVERSE(AS1540:AT1541),AU1540:AU1541)," ")</f>
        <v>#NUM!</v>
      </c>
      <c r="AW1540" s="34" t="str">
        <f t="shared" ref="AW1540" si="6610">IFERROR(IF(AV1540-VLOOKUP(AS$38,$A$2:$N$12,14,FALSE)&lt;0,AV1540-VLOOKUP(AS$38,$A$2:$N$12,14,FALSE)," ")," ")</f>
        <v xml:space="preserve"> </v>
      </c>
      <c r="AX1540" s="34" t="str">
        <f t="shared" ref="AX1540" si="6611">IFERROR(IF(AV1540-VLOOKUP(AS$38,$A$2:$N$12,14,FALSE)&gt;0,AV1540-VLOOKUP(AS$38,$A$2:$N$12,14,FALSE)," ")," ")</f>
        <v xml:space="preserve"> </v>
      </c>
      <c r="AY1540" s="34">
        <f t="shared" ref="AY1540" si="6612">$M$7</f>
        <v>0</v>
      </c>
      <c r="AZ1540" s="34">
        <v>-1</v>
      </c>
      <c r="BA1540" s="34">
        <f t="shared" ref="BA1540" si="6613">-SUMPRODUCT($M$2:$M$6,$N$2:$N$6)-SUMPRODUCT($M$8:$M$12,$N$8:$N$12)</f>
        <v>-120000</v>
      </c>
      <c r="BB1540" s="34" t="e">
        <f t="shared" ref="BB1540" si="6614">IF(AY1540&lt;&gt;AY1541,MMULT(MINVERSE(AY1540:AZ1541),BA1540:BA1541)," ")</f>
        <v>#NUM!</v>
      </c>
      <c r="BC1540" s="34" t="str">
        <f t="shared" ref="BC1540" si="6615">IFERROR(IF(BB1540-VLOOKUP(AY$38,$A$2:$N$12,14,FALSE)&lt;0,BB1540-VLOOKUP(AY$38,$A$2:$N$12,14,FALSE)," ")," ")</f>
        <v xml:space="preserve"> </v>
      </c>
      <c r="BD1540" s="34" t="str">
        <f t="shared" ref="BD1540" si="6616">IFERROR(IF(BB1540-VLOOKUP(AY$38,$A$2:$N$12,14,FALSE)&gt;0,BB1540-VLOOKUP(AY$38,$A$2:$N$12,14,FALSE)," ")," ")</f>
        <v xml:space="preserve"> </v>
      </c>
      <c r="BE1540" s="34">
        <f t="shared" ref="BE1540" si="6617">$M$8</f>
        <v>0</v>
      </c>
      <c r="BF1540" s="34">
        <v>-1</v>
      </c>
      <c r="BG1540" s="34">
        <f t="shared" ref="BG1540" si="6618">-SUMPRODUCT($M$2:$M$7,$N$2:$N$7)-SUMPRODUCT($M$9:$M$12,$N$9:$N$12)</f>
        <v>-120000</v>
      </c>
      <c r="BH1540" s="34" t="e">
        <f t="shared" ref="BH1540" si="6619">IF(BE1540&lt;&gt;BE1541,MMULT(MINVERSE(BE1540:BF1541),BG1540:BG1541)," ")</f>
        <v>#NUM!</v>
      </c>
      <c r="BI1540" s="34" t="str">
        <f t="shared" ref="BI1540" si="6620">IFERROR(IF(BH1540-VLOOKUP(BE$38,$A$2:$N$12,14,FALSE)&lt;0,BH1540-VLOOKUP(BE$38,$A$2:$N$12,14,FALSE)," ")," ")</f>
        <v xml:space="preserve"> </v>
      </c>
      <c r="BJ1540" s="34" t="str">
        <f t="shared" ref="BJ1540" si="6621">IFERROR(IF(BH1540-VLOOKUP(BE$38,$A$2:$N$12,14,FALSE)&gt;0,BH1540-VLOOKUP(BE$38,$A$2:$N$12,14,FALSE)," ")," ")</f>
        <v xml:space="preserve"> </v>
      </c>
      <c r="BK1540" s="34">
        <f t="shared" ref="BK1540" si="6622">$M$9</f>
        <v>0</v>
      </c>
      <c r="BL1540" s="34">
        <v>-1</v>
      </c>
      <c r="BM1540" s="34">
        <f t="shared" ref="BM1540" si="6623">-SUMPRODUCT($M$2:$M$8,$N$2:$N$8)-SUMPRODUCT($M$10:$M$12,$N$10:$N$12)</f>
        <v>-120000</v>
      </c>
      <c r="BN1540" s="34" t="e">
        <f t="shared" ref="BN1540" si="6624">IF(BK1540&lt;&gt;BK1541,MMULT(MINVERSE(BK1540:BL1541),BM1540:BM1541)," ")</f>
        <v>#NUM!</v>
      </c>
      <c r="BO1540" s="34" t="str">
        <f t="shared" ref="BO1540" si="6625">IFERROR(IF(BN1540-VLOOKUP(BK$38,$A$2:$N$12,14,FALSE)&lt;0,BN1540-VLOOKUP(BK$38,$A$2:$N$12,14,FALSE)," ")," ")</f>
        <v xml:space="preserve"> </v>
      </c>
      <c r="BP1540" s="34" t="str">
        <f t="shared" ref="BP1540" si="6626">IFERROR(IF(BN1540-VLOOKUP(BK$38,$A$2:$N$12,14,FALSE)&gt;0,BN1540-VLOOKUP(BK$38,$A$2:$N$12,14,FALSE)," ")," ")</f>
        <v xml:space="preserve"> </v>
      </c>
      <c r="BQ1540" s="34">
        <f t="shared" ref="BQ1540" si="6627">$M$10</f>
        <v>0</v>
      </c>
      <c r="BR1540" s="34">
        <v>-1</v>
      </c>
      <c r="BS1540" s="34">
        <f t="shared" ref="BS1540" si="6628">-SUMPRODUCT($M$2:$M$9,$N$2:$N$9)-SUMPRODUCT($M$11:$M$12,$N$11:$N$12)</f>
        <v>-120000</v>
      </c>
      <c r="BT1540" s="34" t="e">
        <f t="shared" ref="BT1540" si="6629">IF(BQ1540&lt;&gt;BQ1541,MMULT(MINVERSE(BQ1540:BR1541),BS1540:BS1541)," ")</f>
        <v>#NUM!</v>
      </c>
      <c r="BU1540" s="34" t="str">
        <f t="shared" ref="BU1540" si="6630">IFERROR(IF(BT1540-VLOOKUP(BQ$38,$A$2:$N$12,14,FALSE)&lt;0,BT1540-VLOOKUP(BQ$38,$A$2:$N$12,14,FALSE)," ")," ")</f>
        <v xml:space="preserve"> </v>
      </c>
      <c r="BV1540" s="34" t="str">
        <f t="shared" ref="BV1540" si="6631">IFERROR(IF(BT1540-VLOOKUP(BQ$38,$A$2:$N$12,14,FALSE)&gt;0,BT1540-VLOOKUP(BQ$38,$A$2:$N$12,14,FALSE)," ")," ")</f>
        <v xml:space="preserve"> </v>
      </c>
      <c r="BW1540" s="34">
        <f t="shared" ref="BW1540" si="6632">$M$11</f>
        <v>0</v>
      </c>
      <c r="BX1540" s="34">
        <v>-1</v>
      </c>
      <c r="BY1540" s="34">
        <f t="shared" ref="BY1540" si="6633">-SUMPRODUCT($M$2:$M$10,$N$2:$N$10)-SUMPRODUCT($M$12,$N$12)</f>
        <v>-120000</v>
      </c>
      <c r="BZ1540" s="34" t="e">
        <f t="shared" ref="BZ1540" si="6634">IF(BW1540&lt;&gt;BW1541,MMULT(MINVERSE(BW1540:BX1541),BY1540:BY1541)," ")</f>
        <v>#NUM!</v>
      </c>
      <c r="CA1540" s="34" t="str">
        <f t="shared" ref="CA1540" si="6635">IFERROR(IF(BZ1540-VLOOKUP(BW$38,$A$2:$N$12,14,FALSE)&lt;0,BZ1540-VLOOKUP(BW$38,$A$2:$N$12,14,FALSE)," ")," ")</f>
        <v xml:space="preserve"> </v>
      </c>
      <c r="CB1540" s="34" t="str">
        <f t="shared" ref="CB1540" si="6636">IFERROR(IF(BZ1540-VLOOKUP(BW$38,$A$2:$N$12,14,FALSE)&gt;0,BZ1540-VLOOKUP(BW$38,$A$2:$N$12,14,FALSE)," ")," ")</f>
        <v xml:space="preserve"> </v>
      </c>
      <c r="CC1540" s="34">
        <f t="shared" ref="CC1540" si="6637">$M$12</f>
        <v>0</v>
      </c>
      <c r="CD1540" s="34">
        <v>-1</v>
      </c>
      <c r="CE1540" s="34">
        <f t="shared" ref="CE1540" si="6638">-SUMPRODUCT($M$2:$M$11,$N$2:$N$11)</f>
        <v>-120000</v>
      </c>
      <c r="CF1540" s="34" t="e">
        <f t="shared" ref="CF1540" si="6639">IF(CC1540&lt;&gt;CC1541,MMULT(MINVERSE(CC1540:CD1541),CE1540:CE1541)," ")</f>
        <v>#NUM!</v>
      </c>
      <c r="CG1540" s="34" t="str">
        <f t="shared" ref="CG1540" si="6640">IFERROR(IF(CF1540-VLOOKUP(CC$38,$A$2:$N$12,14,FALSE)&lt;0,CF1540-VLOOKUP(CC$38,$A$2:$N$12,14,FALSE)," ")," ")</f>
        <v xml:space="preserve"> </v>
      </c>
      <c r="CH1540" s="34" t="str">
        <f t="shared" ref="CH1540" si="6641">IFERROR(IF(CF1540-VLOOKUP(CC$38,$A$2:$N$12,14,FALSE)&gt;0,CF1540-VLOOKUP(CC$38,$A$2:$N$12,14,FALSE)," ")," ")</f>
        <v xml:space="preserve"> </v>
      </c>
      <c r="CI1540" s="8"/>
    </row>
    <row r="1541" spans="1:87" x14ac:dyDescent="0.2">
      <c r="A1541" s="8" t="str">
        <f>IF(AND(COUNTIF(W$3:W$13,A$16)&gt;0,A$16&lt;&gt;B1308),A$16,IFERROR(IF(MATCH(A$16,Z$3:Z$13,0)=11,A$16," ")," "))</f>
        <v xml:space="preserve"> </v>
      </c>
      <c r="B1541" s="8" t="str">
        <f>IF(A1541=" "," ",MAX(B1540:B1540)+1)</f>
        <v xml:space="preserve"> </v>
      </c>
      <c r="C1541" s="8" t="str">
        <f>IFERROR(INDEX(A1540:A1561,MATCH(SMALL(B1540:B1561,2),B1540:B1561,0),1)," ")</f>
        <v>C4</v>
      </c>
      <c r="D1541" s="8">
        <f t="shared" ref="D1541:D1550" si="6642">IFERROR(VLOOKUP($C1541,$A$15:$O$36,2,FALSE)," ")</f>
        <v>1</v>
      </c>
      <c r="E1541" s="8">
        <f t="shared" ref="E1541:E1550" si="6643">IFERROR(VLOOKUP($C1541,$A$15:$O$36,3,FALSE)," ")</f>
        <v>0</v>
      </c>
      <c r="F1541" s="8">
        <f t="shared" ref="F1541:F1550" si="6644">IFERROR(VLOOKUP($C1541,$A$15:$O$36,4,FALSE)," ")</f>
        <v>1</v>
      </c>
      <c r="G1541" s="8">
        <f t="shared" ref="G1541:G1550" si="6645">IFERROR(VLOOKUP($C1541,$A$15:$O$36,5,FALSE)," ")</f>
        <v>0</v>
      </c>
      <c r="H1541" s="8">
        <f t="shared" ref="H1541:H1550" si="6646">IFERROR(VLOOKUP($C1541,$A$15:$O$36,6,FALSE)," ")</f>
        <v>0</v>
      </c>
      <c r="I1541" s="8">
        <f t="shared" ref="I1541:I1550" si="6647">IFERROR(VLOOKUP($C1541,$A$15:$O$36,7,FALSE)," ")</f>
        <v>0</v>
      </c>
      <c r="J1541" s="8">
        <f t="shared" ref="J1541:J1550" si="6648">IFERROR(VLOOKUP($C1541,$A$15:$O$36,8,FALSE)," ")</f>
        <v>0</v>
      </c>
      <c r="K1541" s="8">
        <f t="shared" ref="K1541:K1550" si="6649">IFERROR(VLOOKUP($C1541,$A$15:$O$36,9,FALSE)," ")</f>
        <v>0</v>
      </c>
      <c r="L1541" s="8">
        <f t="shared" ref="L1541:L1550" si="6650">IFERROR(VLOOKUP($C1541,$A$15:$O$36,10,FALSE)," ")</f>
        <v>0</v>
      </c>
      <c r="M1541" s="8">
        <f t="shared" ref="M1541:M1550" si="6651">IFERROR(VLOOKUP($C1541,$A$15:$O$36,11,FALSE)," ")</f>
        <v>0</v>
      </c>
      <c r="N1541" s="8">
        <f t="shared" ref="N1541:N1550" si="6652">IFERROR(VLOOKUP($C1541,$A$15:$O$36,12,FALSE)," ")</f>
        <v>0</v>
      </c>
      <c r="O1541" s="8">
        <f t="shared" ref="O1541:O1550" si="6653">IFERROR(VLOOKUP($C1541,$A$15:$O$36,15,FALSE)," ")</f>
        <v>400</v>
      </c>
      <c r="P1541" s="8" t="e">
        <v>#NUM!</v>
      </c>
      <c r="Q1541" s="8" t="e">
        <f t="shared" ref="Q1541" si="6654">IF(COUNTIF(P1540:P1550,"&lt;"&amp;-0.001)=0,IF(ABS(P1541)&lt;0.001,0,P1541)," ")</f>
        <v>#NUM!</v>
      </c>
      <c r="R1541" s="8"/>
      <c r="S1541" s="8"/>
      <c r="U1541" s="34" t="e">
        <f t="shared" ref="U1541" si="6655">$Q1540</f>
        <v>#NUM!</v>
      </c>
      <c r="V1541" s="34">
        <v>-1</v>
      </c>
      <c r="W1541" s="34" t="e">
        <f t="shared" ref="W1541" si="6656">-SUMPRODUCT($Q1541:$Q1550,$N$3:$N$12)</f>
        <v>#NUM!</v>
      </c>
      <c r="X1541" s="34"/>
      <c r="Y1541" s="34"/>
      <c r="Z1541" s="34"/>
      <c r="AA1541" s="34" t="e">
        <f t="shared" ref="AA1541" si="6657">$Q1541</f>
        <v>#NUM!</v>
      </c>
      <c r="AB1541" s="34">
        <v>-1</v>
      </c>
      <c r="AC1541" s="34" t="e">
        <f t="shared" ref="AC1541" si="6658">-SUMPRODUCT($Q1540:$Q1540,$N$2:$N$2)-SUMPRODUCT($Q1542:$Q1550,$N$4:$N$12)</f>
        <v>#NUM!</v>
      </c>
      <c r="AD1541" s="34"/>
      <c r="AE1541" s="34"/>
      <c r="AF1541" s="34"/>
      <c r="AG1541" s="34" t="e">
        <f t="shared" ref="AG1541" si="6659">$Q1542</f>
        <v>#NUM!</v>
      </c>
      <c r="AH1541" s="34">
        <v>-1</v>
      </c>
      <c r="AI1541" s="34" t="e">
        <f t="shared" ref="AI1541" si="6660">-SUMPRODUCT($Q1540:$Q1541,$N$2:$N$3)-SUMPRODUCT($Q1543:$Q1550,$N$5:$N$12)</f>
        <v>#NUM!</v>
      </c>
      <c r="AJ1541" s="34"/>
      <c r="AK1541" s="34"/>
      <c r="AL1541" s="34"/>
      <c r="AM1541" s="34" t="e">
        <f t="shared" ref="AM1541" si="6661">$Q1543</f>
        <v>#NUM!</v>
      </c>
      <c r="AN1541" s="34">
        <v>-1</v>
      </c>
      <c r="AO1541" s="34" t="e">
        <f t="shared" ref="AO1541" si="6662">-SUMPRODUCT($Q1540:$Q1542,$N$2:$N$4)-SUMPRODUCT($Q1544:$Q1550,$N$6:$N$12)</f>
        <v>#NUM!</v>
      </c>
      <c r="AP1541" s="34"/>
      <c r="AQ1541" s="34"/>
      <c r="AR1541" s="34"/>
      <c r="AS1541" s="34" t="e">
        <f t="shared" ref="AS1541" si="6663">$Q1544</f>
        <v>#NUM!</v>
      </c>
      <c r="AT1541" s="34">
        <v>-1</v>
      </c>
      <c r="AU1541" s="34" t="e">
        <f t="shared" ref="AU1541" si="6664">-SUMPRODUCT($Q1540:$Q1543,$N$2:$N$5)-SUMPRODUCT($Q1545:$Q1550,$N$7:$N$12)</f>
        <v>#NUM!</v>
      </c>
      <c r="AV1541" s="34"/>
      <c r="AW1541" s="34"/>
      <c r="AX1541" s="34"/>
      <c r="AY1541" s="34" t="e">
        <f t="shared" ref="AY1541" si="6665">$Q1545</f>
        <v>#NUM!</v>
      </c>
      <c r="AZ1541" s="34">
        <v>-1</v>
      </c>
      <c r="BA1541" s="34" t="e">
        <f t="shared" ref="BA1541" si="6666">-SUMPRODUCT($Q1540:$Q1544,$N$2:$N$6)-SUMPRODUCT($Q1546:$Q1550,$N$8:$N$12)</f>
        <v>#NUM!</v>
      </c>
      <c r="BB1541" s="34"/>
      <c r="BC1541" s="34"/>
      <c r="BD1541" s="34"/>
      <c r="BE1541" s="34" t="e">
        <f t="shared" ref="BE1541" si="6667">$Q1546</f>
        <v>#NUM!</v>
      </c>
      <c r="BF1541" s="34">
        <v>-1</v>
      </c>
      <c r="BG1541" s="34" t="e">
        <f t="shared" ref="BG1541" si="6668">-SUMPRODUCT($Q1540:$Q1545,$N$2:$N$7)-SUMPRODUCT($Q1547:$Q1550,$N$9:$N$12)</f>
        <v>#NUM!</v>
      </c>
      <c r="BH1541" s="34"/>
      <c r="BI1541" s="34"/>
      <c r="BJ1541" s="34"/>
      <c r="BK1541" s="34" t="e">
        <f t="shared" ref="BK1541" si="6669">$Q1547</f>
        <v>#NUM!</v>
      </c>
      <c r="BL1541" s="34">
        <v>-1</v>
      </c>
      <c r="BM1541" s="34" t="e">
        <f t="shared" ref="BM1541" si="6670">-SUMPRODUCT($Q1540:$Q1546,$N$2:$N$8)-SUMPRODUCT($Q1548:$Q1550,$N$10:$N$12)</f>
        <v>#NUM!</v>
      </c>
      <c r="BN1541" s="34"/>
      <c r="BO1541" s="34"/>
      <c r="BP1541" s="34"/>
      <c r="BQ1541" s="34" t="e">
        <f t="shared" ref="BQ1541" si="6671">$Q1548</f>
        <v>#NUM!</v>
      </c>
      <c r="BR1541" s="34">
        <v>-1</v>
      </c>
      <c r="BS1541" s="34" t="e">
        <f t="shared" ref="BS1541" si="6672">-SUMPRODUCT($Q1540:$Q1547,$N$2:$N$9)-SUMPRODUCT($Q1549:$Q1550,$N$11:$N$12)</f>
        <v>#NUM!</v>
      </c>
      <c r="BT1541" s="34"/>
      <c r="BU1541" s="34"/>
      <c r="BV1541" s="34"/>
      <c r="BW1541" s="34" t="e">
        <f t="shared" ref="BW1541" si="6673">$Q1549</f>
        <v>#NUM!</v>
      </c>
      <c r="BX1541" s="34">
        <v>-1</v>
      </c>
      <c r="BY1541" s="34" t="e">
        <f t="shared" ref="BY1541" si="6674">-SUMPRODUCT($Q1540:$Q1548,$N$2:$N$10)-SUMPRODUCT($Q1550,$N$12)</f>
        <v>#NUM!</v>
      </c>
      <c r="BZ1541" s="34"/>
      <c r="CA1541" s="34"/>
      <c r="CB1541" s="34"/>
      <c r="CC1541" s="34" t="e">
        <f t="shared" ref="CC1541" si="6675">$Q1550</f>
        <v>#NUM!</v>
      </c>
      <c r="CD1541" s="34">
        <v>-1</v>
      </c>
      <c r="CE1541" s="34" t="e">
        <f t="shared" ref="CE1541" si="6676">-SUMPRODUCT($Q1540:$Q1549,$N$2:$N$11)</f>
        <v>#NUM!</v>
      </c>
      <c r="CF1541" s="34"/>
      <c r="CG1541" s="34"/>
      <c r="CH1541" s="34"/>
      <c r="CI1541" s="8"/>
    </row>
    <row r="1542" spans="1:87" x14ac:dyDescent="0.2">
      <c r="A1542" s="8" t="str">
        <f>IF(AND(COUNTIF(W$3:W$13,A$17)&gt;0,A$17&lt;&gt;B1308),A$17,IFERROR(IF(MATCH(A$17,Z$3:Z$13,0)=11,A$17," ")," "))</f>
        <v>C3</v>
      </c>
      <c r="B1542" s="8">
        <f>IF(A1542=" "," ",MAX(B1540:B1541)+1)</f>
        <v>1</v>
      </c>
      <c r="C1542" s="8" t="str">
        <f>IFERROR(INDEX(A1540:A1561,MATCH(SMALL(B1540:B1561,3),B1540:B1561,0),1)," ")</f>
        <v>C13</v>
      </c>
      <c r="D1542" s="8">
        <f t="shared" si="6642"/>
        <v>0</v>
      </c>
      <c r="E1542" s="8">
        <f t="shared" si="6643"/>
        <v>1</v>
      </c>
      <c r="F1542" s="8">
        <f t="shared" si="6644"/>
        <v>0</v>
      </c>
      <c r="G1542" s="8">
        <f t="shared" si="6645"/>
        <v>0</v>
      </c>
      <c r="H1542" s="8">
        <f t="shared" si="6646"/>
        <v>0</v>
      </c>
      <c r="I1542" s="8">
        <f t="shared" si="6647"/>
        <v>0</v>
      </c>
      <c r="J1542" s="8">
        <f t="shared" si="6648"/>
        <v>0</v>
      </c>
      <c r="K1542" s="8">
        <f t="shared" si="6649"/>
        <v>0</v>
      </c>
      <c r="L1542" s="8">
        <f t="shared" si="6650"/>
        <v>0</v>
      </c>
      <c r="M1542" s="8">
        <f t="shared" si="6651"/>
        <v>0</v>
      </c>
      <c r="N1542" s="8">
        <f t="shared" si="6652"/>
        <v>0</v>
      </c>
      <c r="O1542" s="8">
        <f t="shared" si="6653"/>
        <v>0</v>
      </c>
      <c r="P1542" s="8" t="e">
        <v>#NUM!</v>
      </c>
      <c r="Q1542" s="8" t="e">
        <f t="shared" ref="Q1542" si="6677">IF(COUNTIF(P1540:P1550,"&lt;"&amp;-0.001)=0,IF(ABS(P1542)&lt;0.001,0,P1542)," ")</f>
        <v>#NUM!</v>
      </c>
      <c r="R1542" s="8"/>
      <c r="S1542" s="8"/>
      <c r="U1542" s="34"/>
      <c r="V1542" s="34"/>
      <c r="W1542" s="34"/>
      <c r="X1542" s="34"/>
      <c r="Y1542" s="34"/>
      <c r="Z1542" s="34"/>
      <c r="AA1542" s="34"/>
      <c r="AB1542" s="34"/>
      <c r="AC1542" s="34"/>
      <c r="AD1542" s="34"/>
      <c r="AE1542" s="34"/>
      <c r="AF1542" s="34"/>
      <c r="AG1542" s="34"/>
      <c r="AH1542" s="34"/>
      <c r="AI1542" s="34"/>
      <c r="AJ1542" s="34"/>
      <c r="AK1542" s="34"/>
      <c r="AL1542" s="34"/>
      <c r="AM1542" s="34"/>
      <c r="AN1542" s="34"/>
      <c r="AO1542" s="34"/>
      <c r="AP1542" s="34"/>
      <c r="AQ1542" s="34"/>
      <c r="AR1542" s="34"/>
      <c r="AS1542" s="34"/>
      <c r="AT1542" s="34"/>
      <c r="AU1542" s="34"/>
      <c r="AV1542" s="34"/>
      <c r="AW1542" s="34"/>
      <c r="AX1542" s="34"/>
      <c r="AY1542" s="34"/>
      <c r="AZ1542" s="34"/>
      <c r="BA1542" s="34"/>
      <c r="BB1542" s="34"/>
      <c r="BC1542" s="34"/>
      <c r="BD1542" s="34"/>
      <c r="BE1542" s="34"/>
      <c r="BF1542" s="34"/>
      <c r="BG1542" s="34"/>
      <c r="BH1542" s="34"/>
      <c r="BI1542" s="34"/>
      <c r="BJ1542" s="34"/>
      <c r="BK1542" s="34"/>
      <c r="BL1542" s="34"/>
      <c r="BM1542" s="34"/>
      <c r="BN1542" s="34"/>
      <c r="BO1542" s="34"/>
      <c r="BP1542" s="34"/>
      <c r="BQ1542" s="34"/>
      <c r="BR1542" s="34"/>
      <c r="BS1542" s="34"/>
      <c r="BT1542" s="34"/>
      <c r="BU1542" s="34"/>
      <c r="BV1542" s="34"/>
      <c r="BW1542" s="34"/>
      <c r="BX1542" s="34"/>
      <c r="BY1542" s="34"/>
      <c r="BZ1542" s="34"/>
      <c r="CA1542" s="34"/>
      <c r="CB1542" s="34"/>
      <c r="CC1542" s="34"/>
      <c r="CD1542" s="34"/>
      <c r="CE1542" s="34"/>
      <c r="CF1542" s="34"/>
      <c r="CG1542" s="34"/>
      <c r="CH1542" s="34"/>
      <c r="CI1542" s="8"/>
    </row>
    <row r="1543" spans="1:87" x14ac:dyDescent="0.2">
      <c r="A1543" s="8" t="str">
        <f>IF(AND(COUNTIF(W$3:W$13,A$18)&gt;0,A$18&lt;&gt;B1308),A$18,IFERROR(IF(MATCH(A$18,Z$3:Z$13,0)=11,A$18," ")," "))</f>
        <v>C4</v>
      </c>
      <c r="B1543" s="8">
        <f>IF(A1543=" "," ",MAX(B1540:B1542)+1)</f>
        <v>2</v>
      </c>
      <c r="C1543" s="8" t="str">
        <f>IFERROR(INDEX(A1540:A1561,MATCH(SMALL(B1540:B1561,4),B1540:B1561,0),1)," ")</f>
        <v>C14</v>
      </c>
      <c r="D1543" s="8">
        <f t="shared" si="6642"/>
        <v>0</v>
      </c>
      <c r="E1543" s="8">
        <f t="shared" si="6643"/>
        <v>0</v>
      </c>
      <c r="F1543" s="8">
        <f t="shared" si="6644"/>
        <v>1</v>
      </c>
      <c r="G1543" s="8">
        <f t="shared" si="6645"/>
        <v>0</v>
      </c>
      <c r="H1543" s="8">
        <f t="shared" si="6646"/>
        <v>0</v>
      </c>
      <c r="I1543" s="8">
        <f t="shared" si="6647"/>
        <v>0</v>
      </c>
      <c r="J1543" s="8">
        <f t="shared" si="6648"/>
        <v>0</v>
      </c>
      <c r="K1543" s="8">
        <f t="shared" si="6649"/>
        <v>0</v>
      </c>
      <c r="L1543" s="8">
        <f t="shared" si="6650"/>
        <v>0</v>
      </c>
      <c r="M1543" s="8">
        <f t="shared" si="6651"/>
        <v>0</v>
      </c>
      <c r="N1543" s="8">
        <f t="shared" si="6652"/>
        <v>0</v>
      </c>
      <c r="O1543" s="8">
        <f t="shared" si="6653"/>
        <v>0</v>
      </c>
      <c r="P1543" s="8" t="e">
        <v>#NUM!</v>
      </c>
      <c r="Q1543" s="8" t="e">
        <f t="shared" ref="Q1543" si="6678">IF(COUNTIF(P1540:P1550,"&lt;"&amp;-0.001)=0,IF(ABS(P1543)&lt;0.001,0,P1543)," ")</f>
        <v>#NUM!</v>
      </c>
      <c r="R1543" s="8"/>
      <c r="S1543" s="8"/>
      <c r="U1543" s="34"/>
      <c r="V1543" s="34"/>
      <c r="W1543" s="34"/>
      <c r="X1543" s="34"/>
      <c r="Y1543" s="34"/>
      <c r="Z1543" s="34"/>
      <c r="AA1543" s="34"/>
      <c r="AB1543" s="34"/>
      <c r="AC1543" s="34"/>
      <c r="AD1543" s="34"/>
      <c r="AE1543" s="34"/>
      <c r="AF1543" s="34"/>
      <c r="AG1543" s="34"/>
      <c r="AH1543" s="34"/>
      <c r="AI1543" s="34"/>
      <c r="AJ1543" s="34"/>
      <c r="AK1543" s="34"/>
      <c r="AL1543" s="34"/>
      <c r="AM1543" s="34"/>
      <c r="AN1543" s="34"/>
      <c r="AO1543" s="34"/>
      <c r="AP1543" s="34"/>
      <c r="AQ1543" s="34"/>
      <c r="AR1543" s="34"/>
      <c r="AS1543" s="34"/>
      <c r="AT1543" s="34"/>
      <c r="AU1543" s="34"/>
      <c r="AV1543" s="34"/>
      <c r="AW1543" s="34"/>
      <c r="AX1543" s="34"/>
      <c r="AY1543" s="34"/>
      <c r="AZ1543" s="34"/>
      <c r="BA1543" s="34"/>
      <c r="BB1543" s="34"/>
      <c r="BC1543" s="34"/>
      <c r="BD1543" s="34"/>
      <c r="BE1543" s="34"/>
      <c r="BF1543" s="34"/>
      <c r="BG1543" s="34"/>
      <c r="BH1543" s="34"/>
      <c r="BI1543" s="34"/>
      <c r="BJ1543" s="34"/>
      <c r="BK1543" s="34"/>
      <c r="BL1543" s="34"/>
      <c r="BM1543" s="34"/>
      <c r="BN1543" s="34"/>
      <c r="BO1543" s="34"/>
      <c r="BP1543" s="34"/>
      <c r="BQ1543" s="34"/>
      <c r="BR1543" s="34"/>
      <c r="BS1543" s="34"/>
      <c r="BT1543" s="34"/>
      <c r="BU1543" s="34"/>
      <c r="BV1543" s="34"/>
      <c r="BW1543" s="34"/>
      <c r="BX1543" s="34"/>
      <c r="BY1543" s="34"/>
      <c r="BZ1543" s="34"/>
      <c r="CA1543" s="34"/>
      <c r="CB1543" s="34"/>
      <c r="CC1543" s="34"/>
      <c r="CD1543" s="34"/>
      <c r="CE1543" s="34"/>
      <c r="CF1543" s="34"/>
      <c r="CG1543" s="34"/>
      <c r="CH1543" s="34"/>
      <c r="CI1543" s="8"/>
    </row>
    <row r="1544" spans="1:87" x14ac:dyDescent="0.2">
      <c r="A1544" s="8" t="str">
        <f>IF(AND(COUNTIF(W$3:W$13,A$19)&gt;0,A$19&lt;&gt;B1308),A$19,IFERROR(IF(MATCH(A$19,Z$3:Z$13,0)=11,A$19," ")," "))</f>
        <v xml:space="preserve"> </v>
      </c>
      <c r="B1544" s="8" t="str">
        <f>IF(A1544=" "," ",MAX(B1540:B1543)+1)</f>
        <v xml:space="preserve"> </v>
      </c>
      <c r="C1544" s="8" t="str">
        <f>IFERROR(INDEX(A1540:A1561,MATCH(SMALL(B1540:B1561,5),B1540:B1561,0),1)," ")</f>
        <v>C15</v>
      </c>
      <c r="D1544" s="8">
        <f t="shared" si="6642"/>
        <v>0</v>
      </c>
      <c r="E1544" s="8">
        <f t="shared" si="6643"/>
        <v>0</v>
      </c>
      <c r="F1544" s="8">
        <f t="shared" si="6644"/>
        <v>0</v>
      </c>
      <c r="G1544" s="8">
        <f t="shared" si="6645"/>
        <v>1</v>
      </c>
      <c r="H1544" s="8">
        <f t="shared" si="6646"/>
        <v>0</v>
      </c>
      <c r="I1544" s="8">
        <f t="shared" si="6647"/>
        <v>0</v>
      </c>
      <c r="J1544" s="8">
        <f t="shared" si="6648"/>
        <v>0</v>
      </c>
      <c r="K1544" s="8">
        <f t="shared" si="6649"/>
        <v>0</v>
      </c>
      <c r="L1544" s="8">
        <f t="shared" si="6650"/>
        <v>0</v>
      </c>
      <c r="M1544" s="8">
        <f t="shared" si="6651"/>
        <v>0</v>
      </c>
      <c r="N1544" s="8">
        <f t="shared" si="6652"/>
        <v>0</v>
      </c>
      <c r="O1544" s="8">
        <f t="shared" si="6653"/>
        <v>0</v>
      </c>
      <c r="P1544" s="8" t="e">
        <v>#NUM!</v>
      </c>
      <c r="Q1544" s="8" t="e">
        <f t="shared" ref="Q1544" si="6679">IF(COUNTIF(P1540:P1550,"&lt;"&amp;-0.001)=0,IF(ABS(P1544)&lt;0.001,0,P1544)," ")</f>
        <v>#NUM!</v>
      </c>
      <c r="R1544" s="8"/>
      <c r="S1544" s="8"/>
      <c r="U1544" s="34"/>
      <c r="V1544" s="34"/>
      <c r="W1544" s="34"/>
      <c r="X1544" s="34"/>
      <c r="Y1544" s="34"/>
      <c r="Z1544" s="34"/>
      <c r="AA1544" s="34"/>
      <c r="AB1544" s="34"/>
      <c r="AC1544" s="34"/>
      <c r="AD1544" s="34"/>
      <c r="AE1544" s="34"/>
      <c r="AF1544" s="34"/>
      <c r="AG1544" s="34"/>
      <c r="AH1544" s="34"/>
      <c r="AI1544" s="34"/>
      <c r="AJ1544" s="34"/>
      <c r="AK1544" s="34"/>
      <c r="AL1544" s="34"/>
      <c r="AM1544" s="34"/>
      <c r="AN1544" s="34"/>
      <c r="AO1544" s="34"/>
      <c r="AP1544" s="34"/>
      <c r="AQ1544" s="34"/>
      <c r="AR1544" s="34"/>
      <c r="AS1544" s="34"/>
      <c r="AT1544" s="34"/>
      <c r="AU1544" s="34"/>
      <c r="AV1544" s="34"/>
      <c r="AW1544" s="34"/>
      <c r="AX1544" s="34"/>
      <c r="AY1544" s="34"/>
      <c r="AZ1544" s="34"/>
      <c r="BA1544" s="34"/>
      <c r="BB1544" s="34"/>
      <c r="BC1544" s="34"/>
      <c r="BD1544" s="34"/>
      <c r="BE1544" s="34"/>
      <c r="BF1544" s="34"/>
      <c r="BG1544" s="34"/>
      <c r="BH1544" s="34"/>
      <c r="BI1544" s="34"/>
      <c r="BJ1544" s="34"/>
      <c r="BK1544" s="34"/>
      <c r="BL1544" s="34"/>
      <c r="BM1544" s="34"/>
      <c r="BN1544" s="34"/>
      <c r="BO1544" s="34"/>
      <c r="BP1544" s="34"/>
      <c r="BQ1544" s="34"/>
      <c r="BR1544" s="34"/>
      <c r="BS1544" s="34"/>
      <c r="BT1544" s="34"/>
      <c r="BU1544" s="34"/>
      <c r="BV1544" s="34"/>
      <c r="BW1544" s="34"/>
      <c r="BX1544" s="34"/>
      <c r="BY1544" s="34"/>
      <c r="BZ1544" s="34"/>
      <c r="CA1544" s="34"/>
      <c r="CB1544" s="34"/>
      <c r="CC1544" s="34"/>
      <c r="CD1544" s="34"/>
      <c r="CE1544" s="34"/>
      <c r="CF1544" s="34"/>
      <c r="CG1544" s="34"/>
      <c r="CH1544" s="34"/>
      <c r="CI1544" s="8"/>
    </row>
    <row r="1545" spans="1:87" x14ac:dyDescent="0.2">
      <c r="A1545" s="8" t="str">
        <f>IF(AND(COUNTIF(W$3:W$13,A$20)&gt;0,A$20&lt;&gt;B1308),A$20,IFERROR(IF(MATCH(A$20,Z$3:Z$13,0)=11,A$20," ")," "))</f>
        <v xml:space="preserve"> </v>
      </c>
      <c r="B1545" s="8" t="str">
        <f>IF(A1545=" "," ",MAX(B1540:B1544)+1)</f>
        <v xml:space="preserve"> </v>
      </c>
      <c r="C1545" s="8" t="str">
        <f>IFERROR(INDEX(A1540:A1561,MATCH(SMALL(B1540:B1561,6),B1540:B1561,0),1)," ")</f>
        <v>C16</v>
      </c>
      <c r="D1545" s="8">
        <f t="shared" si="6642"/>
        <v>0</v>
      </c>
      <c r="E1545" s="8">
        <f t="shared" si="6643"/>
        <v>0</v>
      </c>
      <c r="F1545" s="8">
        <f t="shared" si="6644"/>
        <v>0</v>
      </c>
      <c r="G1545" s="8">
        <f t="shared" si="6645"/>
        <v>0</v>
      </c>
      <c r="H1545" s="8">
        <f t="shared" si="6646"/>
        <v>1</v>
      </c>
      <c r="I1545" s="8">
        <f t="shared" si="6647"/>
        <v>0</v>
      </c>
      <c r="J1545" s="8">
        <f t="shared" si="6648"/>
        <v>0</v>
      </c>
      <c r="K1545" s="8">
        <f t="shared" si="6649"/>
        <v>0</v>
      </c>
      <c r="L1545" s="8">
        <f t="shared" si="6650"/>
        <v>0</v>
      </c>
      <c r="M1545" s="8">
        <f t="shared" si="6651"/>
        <v>0</v>
      </c>
      <c r="N1545" s="8">
        <f t="shared" si="6652"/>
        <v>0</v>
      </c>
      <c r="O1545" s="8">
        <f t="shared" si="6653"/>
        <v>0</v>
      </c>
      <c r="P1545" s="8" t="e">
        <v>#NUM!</v>
      </c>
      <c r="Q1545" s="8" t="e">
        <f t="shared" ref="Q1545" si="6680">IF(COUNTIF(P1540:P1550,"&lt;"&amp;-0.001)=0,IF(ABS(P1545)&lt;0.001,0,P1545)," ")</f>
        <v>#NUM!</v>
      </c>
      <c r="R1545" s="8"/>
      <c r="S1545" s="8"/>
      <c r="U1545" s="34"/>
      <c r="V1545" s="34"/>
      <c r="W1545" s="34"/>
      <c r="X1545" s="34"/>
      <c r="Y1545" s="34"/>
      <c r="Z1545" s="34"/>
      <c r="AA1545" s="34"/>
      <c r="AB1545" s="34"/>
      <c r="AC1545" s="34"/>
      <c r="AD1545" s="34"/>
      <c r="AE1545" s="34"/>
      <c r="AF1545" s="34"/>
      <c r="AG1545" s="34"/>
      <c r="AH1545" s="34"/>
      <c r="AI1545" s="34"/>
      <c r="AJ1545" s="34"/>
      <c r="AK1545" s="34"/>
      <c r="AL1545" s="34"/>
      <c r="AM1545" s="34"/>
      <c r="AN1545" s="34"/>
      <c r="AO1545" s="34"/>
      <c r="AP1545" s="34"/>
      <c r="AQ1545" s="34"/>
      <c r="AR1545" s="34"/>
      <c r="AS1545" s="34"/>
      <c r="AT1545" s="34"/>
      <c r="AU1545" s="34"/>
      <c r="AV1545" s="34"/>
      <c r="AW1545" s="34"/>
      <c r="AX1545" s="34"/>
      <c r="AY1545" s="34"/>
      <c r="AZ1545" s="34"/>
      <c r="BA1545" s="34"/>
      <c r="BB1545" s="34"/>
      <c r="BC1545" s="34"/>
      <c r="BD1545" s="34"/>
      <c r="BE1545" s="34"/>
      <c r="BF1545" s="34"/>
      <c r="BG1545" s="34"/>
      <c r="BH1545" s="34"/>
      <c r="BI1545" s="34"/>
      <c r="BJ1545" s="34"/>
      <c r="BK1545" s="34"/>
      <c r="BL1545" s="34"/>
      <c r="BM1545" s="34"/>
      <c r="BN1545" s="34"/>
      <c r="BO1545" s="34"/>
      <c r="BP1545" s="34"/>
      <c r="BQ1545" s="34"/>
      <c r="BR1545" s="34"/>
      <c r="BS1545" s="34"/>
      <c r="BT1545" s="34"/>
      <c r="BU1545" s="34"/>
      <c r="BV1545" s="34"/>
      <c r="BW1545" s="34"/>
      <c r="BX1545" s="34"/>
      <c r="BY1545" s="34"/>
      <c r="BZ1545" s="34"/>
      <c r="CA1545" s="34"/>
      <c r="CB1545" s="34"/>
      <c r="CC1545" s="34"/>
      <c r="CD1545" s="34"/>
      <c r="CE1545" s="34"/>
      <c r="CF1545" s="34"/>
      <c r="CG1545" s="34"/>
      <c r="CH1545" s="34"/>
      <c r="CI1545" s="8"/>
    </row>
    <row r="1546" spans="1:87" x14ac:dyDescent="0.2">
      <c r="A1546" s="8" t="str">
        <f>IF(AND(COUNTIF(W$3:W$13,A$21)&gt;0,A$21&lt;&gt;B1308),A$21,IFERROR(IF(MATCH(A$21,Z$3:Z$13,0)=11,A$21," ")," "))</f>
        <v xml:space="preserve"> </v>
      </c>
      <c r="B1546" s="8" t="str">
        <f>IF(A1546=" "," ",MAX(B1540:B1545)+1)</f>
        <v xml:space="preserve"> </v>
      </c>
      <c r="C1546" s="8" t="str">
        <f>IFERROR(INDEX(A1540:A1561,MATCH(SMALL(B1540:B1561,7),B1540:B1561,0),1)," ")</f>
        <v>C18</v>
      </c>
      <c r="D1546" s="8">
        <f t="shared" si="6642"/>
        <v>0</v>
      </c>
      <c r="E1546" s="8">
        <f t="shared" si="6643"/>
        <v>0</v>
      </c>
      <c r="F1546" s="8">
        <f t="shared" si="6644"/>
        <v>0</v>
      </c>
      <c r="G1546" s="8">
        <f t="shared" si="6645"/>
        <v>0</v>
      </c>
      <c r="H1546" s="8">
        <f t="shared" si="6646"/>
        <v>0</v>
      </c>
      <c r="I1546" s="8">
        <f t="shared" si="6647"/>
        <v>0</v>
      </c>
      <c r="J1546" s="8">
        <f t="shared" si="6648"/>
        <v>1</v>
      </c>
      <c r="K1546" s="8">
        <f t="shared" si="6649"/>
        <v>0</v>
      </c>
      <c r="L1546" s="8">
        <f t="shared" si="6650"/>
        <v>0</v>
      </c>
      <c r="M1546" s="8">
        <f t="shared" si="6651"/>
        <v>0</v>
      </c>
      <c r="N1546" s="8">
        <f t="shared" si="6652"/>
        <v>0</v>
      </c>
      <c r="O1546" s="8">
        <f t="shared" si="6653"/>
        <v>0</v>
      </c>
      <c r="P1546" s="8" t="e">
        <v>#NUM!</v>
      </c>
      <c r="Q1546" s="8" t="e">
        <f t="shared" ref="Q1546" si="6681">IF(COUNTIF(P1540:P1550,"&lt;"&amp;-0.001)=0,IF(ABS(P1546)&lt;0.001,0,P1546)," ")</f>
        <v>#NUM!</v>
      </c>
      <c r="R1546" s="8"/>
      <c r="S1546" s="8"/>
      <c r="U1546" s="34"/>
      <c r="V1546" s="34"/>
      <c r="W1546" s="34"/>
      <c r="X1546" s="34"/>
      <c r="Y1546" s="34"/>
      <c r="Z1546" s="34"/>
      <c r="AA1546" s="34"/>
      <c r="AB1546" s="34"/>
      <c r="AC1546" s="34"/>
      <c r="AD1546" s="34"/>
      <c r="AE1546" s="34"/>
      <c r="AF1546" s="34"/>
      <c r="AG1546" s="34"/>
      <c r="AH1546" s="34"/>
      <c r="AI1546" s="34"/>
      <c r="AJ1546" s="34"/>
      <c r="AK1546" s="34"/>
      <c r="AL1546" s="34"/>
      <c r="AM1546" s="34"/>
      <c r="AN1546" s="34"/>
      <c r="AO1546" s="34"/>
      <c r="AP1546" s="34"/>
      <c r="AQ1546" s="34"/>
      <c r="AR1546" s="34"/>
      <c r="AS1546" s="34"/>
      <c r="AT1546" s="34"/>
      <c r="AU1546" s="34"/>
      <c r="AV1546" s="34"/>
      <c r="AW1546" s="34"/>
      <c r="AX1546" s="34"/>
      <c r="AY1546" s="34"/>
      <c r="AZ1546" s="34"/>
      <c r="BA1546" s="34"/>
      <c r="BB1546" s="34"/>
      <c r="BC1546" s="34"/>
      <c r="BD1546" s="34"/>
      <c r="BE1546" s="34"/>
      <c r="BF1546" s="34"/>
      <c r="BG1546" s="34"/>
      <c r="BH1546" s="34"/>
      <c r="BI1546" s="34"/>
      <c r="BJ1546" s="34"/>
      <c r="BK1546" s="34"/>
      <c r="BL1546" s="34"/>
      <c r="BM1546" s="34"/>
      <c r="BN1546" s="34"/>
      <c r="BO1546" s="34"/>
      <c r="BP1546" s="34"/>
      <c r="BQ1546" s="34"/>
      <c r="BR1546" s="34"/>
      <c r="BS1546" s="34"/>
      <c r="BT1546" s="34"/>
      <c r="BU1546" s="34"/>
      <c r="BV1546" s="34"/>
      <c r="BW1546" s="34"/>
      <c r="BX1546" s="34"/>
      <c r="BY1546" s="34"/>
      <c r="BZ1546" s="34"/>
      <c r="CA1546" s="34"/>
      <c r="CB1546" s="34"/>
      <c r="CC1546" s="34"/>
      <c r="CD1546" s="34"/>
      <c r="CE1546" s="34"/>
      <c r="CF1546" s="34"/>
      <c r="CG1546" s="34"/>
      <c r="CH1546" s="34"/>
      <c r="CI1546" s="8"/>
    </row>
    <row r="1547" spans="1:87" x14ac:dyDescent="0.2">
      <c r="A1547" s="8" t="str">
        <f>IF(AND(COUNTIF(W$3:W$13,A$22)&gt;0,A$22&lt;&gt;B1308),A$22,IFERROR(IF(MATCH(A$22,Z$3:Z$13,0)=11,A$22," ")," "))</f>
        <v xml:space="preserve"> </v>
      </c>
      <c r="B1547" s="8" t="str">
        <f>IF(A1547=" "," ",MAX(B1540:B1546)+1)</f>
        <v xml:space="preserve"> </v>
      </c>
      <c r="C1547" s="8" t="str">
        <f>IFERROR(INDEX(A1540:A1561,MATCH(SMALL(B1540:B1561,8),B1540:B1561,0),1)," ")</f>
        <v>C19</v>
      </c>
      <c r="D1547" s="8">
        <f t="shared" si="6642"/>
        <v>0</v>
      </c>
      <c r="E1547" s="8">
        <f t="shared" si="6643"/>
        <v>0</v>
      </c>
      <c r="F1547" s="8">
        <f t="shared" si="6644"/>
        <v>0</v>
      </c>
      <c r="G1547" s="8">
        <f t="shared" si="6645"/>
        <v>0</v>
      </c>
      <c r="H1547" s="8">
        <f t="shared" si="6646"/>
        <v>0</v>
      </c>
      <c r="I1547" s="8">
        <f t="shared" si="6647"/>
        <v>0</v>
      </c>
      <c r="J1547" s="8">
        <f t="shared" si="6648"/>
        <v>0</v>
      </c>
      <c r="K1547" s="8">
        <f t="shared" si="6649"/>
        <v>1</v>
      </c>
      <c r="L1547" s="8">
        <f t="shared" si="6650"/>
        <v>0</v>
      </c>
      <c r="M1547" s="8">
        <f t="shared" si="6651"/>
        <v>0</v>
      </c>
      <c r="N1547" s="8">
        <f t="shared" si="6652"/>
        <v>0</v>
      </c>
      <c r="O1547" s="8">
        <f t="shared" si="6653"/>
        <v>0</v>
      </c>
      <c r="P1547" s="8" t="e">
        <v>#NUM!</v>
      </c>
      <c r="Q1547" s="8" t="e">
        <f t="shared" ref="Q1547" si="6682">IF(COUNTIF(P1540:P1550,"&lt;"&amp;-0.001)=0,IF(ABS(P1547)&lt;0.001,0,P1547)," ")</f>
        <v>#NUM!</v>
      </c>
      <c r="R1547" s="8"/>
      <c r="S1547" s="8"/>
      <c r="U1547" s="34"/>
      <c r="V1547" s="34"/>
      <c r="W1547" s="34"/>
      <c r="X1547" s="34"/>
      <c r="Y1547" s="34"/>
      <c r="Z1547" s="34"/>
      <c r="AA1547" s="34"/>
      <c r="AB1547" s="34"/>
      <c r="AC1547" s="34"/>
      <c r="AD1547" s="34"/>
      <c r="AE1547" s="34"/>
      <c r="AF1547" s="34"/>
      <c r="AG1547" s="34"/>
      <c r="AH1547" s="34"/>
      <c r="AI1547" s="34"/>
      <c r="AJ1547" s="34"/>
      <c r="AK1547" s="34"/>
      <c r="AL1547" s="34"/>
      <c r="AM1547" s="34"/>
      <c r="AN1547" s="34"/>
      <c r="AO1547" s="34"/>
      <c r="AP1547" s="34"/>
      <c r="AQ1547" s="34"/>
      <c r="AR1547" s="34"/>
      <c r="AS1547" s="34"/>
      <c r="AT1547" s="34"/>
      <c r="AU1547" s="34"/>
      <c r="AV1547" s="34"/>
      <c r="AW1547" s="34"/>
      <c r="AX1547" s="34"/>
      <c r="AY1547" s="34"/>
      <c r="AZ1547" s="34"/>
      <c r="BA1547" s="34"/>
      <c r="BB1547" s="34"/>
      <c r="BC1547" s="34"/>
      <c r="BD1547" s="34"/>
      <c r="BE1547" s="34"/>
      <c r="BF1547" s="34"/>
      <c r="BG1547" s="34"/>
      <c r="BH1547" s="34"/>
      <c r="BI1547" s="34"/>
      <c r="BJ1547" s="34"/>
      <c r="BK1547" s="34"/>
      <c r="BL1547" s="34"/>
      <c r="BM1547" s="34"/>
      <c r="BN1547" s="34"/>
      <c r="BO1547" s="34"/>
      <c r="BP1547" s="34"/>
      <c r="BQ1547" s="34"/>
      <c r="BR1547" s="34"/>
      <c r="BS1547" s="34"/>
      <c r="BT1547" s="34"/>
      <c r="BU1547" s="34"/>
      <c r="BV1547" s="34"/>
      <c r="BW1547" s="34"/>
      <c r="BX1547" s="34"/>
      <c r="BY1547" s="34"/>
      <c r="BZ1547" s="34"/>
      <c r="CA1547" s="34"/>
      <c r="CB1547" s="34"/>
      <c r="CC1547" s="34"/>
      <c r="CD1547" s="34"/>
      <c r="CE1547" s="34"/>
      <c r="CF1547" s="34"/>
      <c r="CG1547" s="34"/>
      <c r="CH1547" s="34"/>
      <c r="CI1547" s="8"/>
    </row>
    <row r="1548" spans="1:87" x14ac:dyDescent="0.2">
      <c r="A1548" s="8" t="str">
        <f>IF(AND(COUNTIF(W$3:W$13,A$23)&gt;0,A$23&lt;&gt;B1308),A$23,IFERROR(IF(MATCH(A$23,Z$3:Z$13,0)=11,A$23," ")," "))</f>
        <v xml:space="preserve"> </v>
      </c>
      <c r="B1548" s="8" t="str">
        <f>IF(A1548=" "," ",MAX(B1540:B1547)+1)</f>
        <v xml:space="preserve"> </v>
      </c>
      <c r="C1548" s="8" t="str">
        <f>IFERROR(INDEX(A1540:A1561,MATCH(SMALL(B1540:B1561,9),B1540:B1561,0),1)," ")</f>
        <v>C20</v>
      </c>
      <c r="D1548" s="8">
        <f t="shared" si="6642"/>
        <v>0</v>
      </c>
      <c r="E1548" s="8">
        <f t="shared" si="6643"/>
        <v>0</v>
      </c>
      <c r="F1548" s="8">
        <f t="shared" si="6644"/>
        <v>0</v>
      </c>
      <c r="G1548" s="8">
        <f t="shared" si="6645"/>
        <v>0</v>
      </c>
      <c r="H1548" s="8">
        <f t="shared" si="6646"/>
        <v>0</v>
      </c>
      <c r="I1548" s="8">
        <f t="shared" si="6647"/>
        <v>0</v>
      </c>
      <c r="J1548" s="8">
        <f t="shared" si="6648"/>
        <v>0</v>
      </c>
      <c r="K1548" s="8">
        <f t="shared" si="6649"/>
        <v>0</v>
      </c>
      <c r="L1548" s="8">
        <f t="shared" si="6650"/>
        <v>1</v>
      </c>
      <c r="M1548" s="8">
        <f t="shared" si="6651"/>
        <v>0</v>
      </c>
      <c r="N1548" s="8">
        <f t="shared" si="6652"/>
        <v>0</v>
      </c>
      <c r="O1548" s="8">
        <f t="shared" si="6653"/>
        <v>0</v>
      </c>
      <c r="P1548" s="6" t="e">
        <v>#NUM!</v>
      </c>
      <c r="Q1548" s="8" t="e">
        <f t="shared" ref="Q1548" si="6683">IF(COUNTIF(P1540:P1550,"&lt;"&amp;-0.001)=0,IF(ABS(P1548)&lt;0.001,0,P1548)," ")</f>
        <v>#NUM!</v>
      </c>
      <c r="R1548" s="8"/>
      <c r="S1548" s="8"/>
      <c r="U1548" s="34"/>
      <c r="V1548" s="34"/>
      <c r="W1548" s="34"/>
      <c r="X1548" s="34"/>
      <c r="Y1548" s="34"/>
      <c r="Z1548" s="34"/>
      <c r="AA1548" s="34"/>
      <c r="AB1548" s="34"/>
      <c r="AC1548" s="34"/>
      <c r="AD1548" s="34"/>
      <c r="AE1548" s="34"/>
      <c r="AF1548" s="34"/>
      <c r="AG1548" s="34"/>
      <c r="AH1548" s="34"/>
      <c r="AI1548" s="34"/>
      <c r="AJ1548" s="34"/>
      <c r="AK1548" s="34"/>
      <c r="AL1548" s="34"/>
      <c r="AM1548" s="34"/>
      <c r="AN1548" s="34"/>
      <c r="AO1548" s="34"/>
      <c r="AP1548" s="34"/>
      <c r="AQ1548" s="34"/>
      <c r="AR1548" s="34"/>
      <c r="AS1548" s="34"/>
      <c r="AT1548" s="34"/>
      <c r="AU1548" s="34"/>
      <c r="AV1548" s="34"/>
      <c r="AW1548" s="34"/>
      <c r="AX1548" s="34"/>
      <c r="AY1548" s="34"/>
      <c r="AZ1548" s="34"/>
      <c r="BA1548" s="34"/>
      <c r="BB1548" s="34"/>
      <c r="BC1548" s="34"/>
      <c r="BD1548" s="34"/>
      <c r="BE1548" s="34"/>
      <c r="BF1548" s="34"/>
      <c r="BG1548" s="34"/>
      <c r="BH1548" s="34"/>
      <c r="BI1548" s="34"/>
      <c r="BJ1548" s="34"/>
      <c r="BK1548" s="34"/>
      <c r="BL1548" s="34"/>
      <c r="BM1548" s="34"/>
      <c r="BN1548" s="34"/>
      <c r="BO1548" s="34"/>
      <c r="BP1548" s="34"/>
      <c r="BQ1548" s="34"/>
      <c r="BR1548" s="34"/>
      <c r="BS1548" s="34"/>
      <c r="BT1548" s="34"/>
      <c r="BU1548" s="34"/>
      <c r="BV1548" s="34"/>
      <c r="BW1548" s="34"/>
      <c r="BX1548" s="34"/>
      <c r="BY1548" s="34"/>
      <c r="BZ1548" s="34"/>
      <c r="CA1548" s="34"/>
      <c r="CB1548" s="34"/>
      <c r="CC1548" s="34"/>
      <c r="CD1548" s="34"/>
      <c r="CE1548" s="34"/>
      <c r="CF1548" s="34"/>
      <c r="CG1548" s="34"/>
      <c r="CH1548" s="34"/>
      <c r="CI1548" s="8"/>
    </row>
    <row r="1549" spans="1:87" x14ac:dyDescent="0.2">
      <c r="A1549" s="8" t="str">
        <f>IF(AND(COUNTIF(W$3:W$13,A$24)&gt;0,A$24&lt;&gt;B1308),A$24,IFERROR(IF(MATCH(A$24,Z$3:Z$13,0)=11,A$24," ")," "))</f>
        <v xml:space="preserve"> </v>
      </c>
      <c r="B1549" s="8" t="str">
        <f>IF(A1549=" "," ",MAX(B1540:B1548)+1)</f>
        <v xml:space="preserve"> </v>
      </c>
      <c r="C1549" s="8" t="str">
        <f>IFERROR(INDEX(A1540:A1561,MATCH(SMALL(B1540:B1561,10),B1540:B1561,0),1)," ")</f>
        <v>C21</v>
      </c>
      <c r="D1549" s="8">
        <f t="shared" si="6642"/>
        <v>0</v>
      </c>
      <c r="E1549" s="8">
        <f t="shared" si="6643"/>
        <v>0</v>
      </c>
      <c r="F1549" s="8">
        <f t="shared" si="6644"/>
        <v>0</v>
      </c>
      <c r="G1549" s="8">
        <f t="shared" si="6645"/>
        <v>0</v>
      </c>
      <c r="H1549" s="8">
        <f t="shared" si="6646"/>
        <v>0</v>
      </c>
      <c r="I1549" s="8">
        <f t="shared" si="6647"/>
        <v>0</v>
      </c>
      <c r="J1549" s="8">
        <f t="shared" si="6648"/>
        <v>0</v>
      </c>
      <c r="K1549" s="8">
        <f t="shared" si="6649"/>
        <v>0</v>
      </c>
      <c r="L1549" s="8">
        <f t="shared" si="6650"/>
        <v>0</v>
      </c>
      <c r="M1549" s="8">
        <f t="shared" si="6651"/>
        <v>1</v>
      </c>
      <c r="N1549" s="8">
        <f t="shared" si="6652"/>
        <v>0</v>
      </c>
      <c r="O1549" s="8">
        <f t="shared" si="6653"/>
        <v>0</v>
      </c>
      <c r="P1549" s="8" t="e">
        <v>#NUM!</v>
      </c>
      <c r="Q1549" s="8" t="e">
        <f t="shared" ref="Q1549" si="6684">IF(COUNTIF(P1540:P1550,"&lt;"&amp;-0.001)=0,IF(ABS(P1549)&lt;0.001,0,P1549)," ")</f>
        <v>#NUM!</v>
      </c>
      <c r="R1549" s="8"/>
      <c r="S1549" s="8"/>
      <c r="U1549" s="34"/>
      <c r="V1549" s="34"/>
      <c r="W1549" s="34"/>
      <c r="X1549" s="34"/>
      <c r="Y1549" s="34"/>
      <c r="Z1549" s="34"/>
      <c r="AA1549" s="34"/>
      <c r="AB1549" s="34"/>
      <c r="AC1549" s="34"/>
      <c r="AD1549" s="34"/>
      <c r="AE1549" s="34"/>
      <c r="AF1549" s="34"/>
      <c r="AG1549" s="34"/>
      <c r="AH1549" s="34"/>
      <c r="AI1549" s="34"/>
      <c r="AJ1549" s="34"/>
      <c r="AK1549" s="34"/>
      <c r="AL1549" s="34"/>
      <c r="AM1549" s="34"/>
      <c r="AN1549" s="34"/>
      <c r="AO1549" s="34"/>
      <c r="AP1549" s="34"/>
      <c r="AQ1549" s="34"/>
      <c r="AR1549" s="34"/>
      <c r="AS1549" s="34"/>
      <c r="AT1549" s="34"/>
      <c r="AU1549" s="34"/>
      <c r="AV1549" s="34"/>
      <c r="AW1549" s="34"/>
      <c r="AX1549" s="34"/>
      <c r="AY1549" s="34"/>
      <c r="AZ1549" s="34"/>
      <c r="BA1549" s="34"/>
      <c r="BB1549" s="34"/>
      <c r="BC1549" s="34"/>
      <c r="BD1549" s="34"/>
      <c r="BE1549" s="34"/>
      <c r="BF1549" s="34"/>
      <c r="BG1549" s="34"/>
      <c r="BH1549" s="34"/>
      <c r="BI1549" s="34"/>
      <c r="BJ1549" s="34"/>
      <c r="BK1549" s="34"/>
      <c r="BL1549" s="34"/>
      <c r="BM1549" s="34"/>
      <c r="BN1549" s="34"/>
      <c r="BO1549" s="34"/>
      <c r="BP1549" s="34"/>
      <c r="BQ1549" s="34"/>
      <c r="BR1549" s="34"/>
      <c r="BS1549" s="34"/>
      <c r="BT1549" s="34"/>
      <c r="BU1549" s="34"/>
      <c r="BV1549" s="34"/>
      <c r="BW1549" s="34"/>
      <c r="BX1549" s="34"/>
      <c r="BY1549" s="34"/>
      <c r="BZ1549" s="34"/>
      <c r="CA1549" s="34"/>
      <c r="CB1549" s="34"/>
      <c r="CC1549" s="34"/>
      <c r="CD1549" s="34"/>
      <c r="CE1549" s="34"/>
      <c r="CF1549" s="34"/>
      <c r="CG1549" s="34"/>
      <c r="CH1549" s="34"/>
      <c r="CI1549" s="8"/>
    </row>
    <row r="1550" spans="1:87" x14ac:dyDescent="0.2">
      <c r="A1550" s="8" t="str">
        <f>IF(AND(COUNTIF(W$3:W$13,A$25)&gt;0,A$25&lt;&gt;B1308),A$25,IFERROR(IF(MATCH(A$25,Z$3:Z$13,0)=11,A$25," ")," "))</f>
        <v xml:space="preserve"> </v>
      </c>
      <c r="B1550" s="8" t="str">
        <f>IF(A1550=" "," ",MAX(B1540:B1549)+1)</f>
        <v xml:space="preserve"> </v>
      </c>
      <c r="C1550" s="8" t="str">
        <f>IFERROR(INDEX(A1540:A1561,MATCH(SMALL(B1540:B1561,11),B1540:B1561,0),1)," ")</f>
        <v>C22</v>
      </c>
      <c r="D1550" s="8">
        <f t="shared" si="6642"/>
        <v>0</v>
      </c>
      <c r="E1550" s="8">
        <f t="shared" si="6643"/>
        <v>0</v>
      </c>
      <c r="F1550" s="8">
        <f t="shared" si="6644"/>
        <v>0</v>
      </c>
      <c r="G1550" s="8">
        <f t="shared" si="6645"/>
        <v>0</v>
      </c>
      <c r="H1550" s="8">
        <f t="shared" si="6646"/>
        <v>0</v>
      </c>
      <c r="I1550" s="8">
        <f t="shared" si="6647"/>
        <v>0</v>
      </c>
      <c r="J1550" s="8">
        <f t="shared" si="6648"/>
        <v>0</v>
      </c>
      <c r="K1550" s="8">
        <f t="shared" si="6649"/>
        <v>0</v>
      </c>
      <c r="L1550" s="8">
        <f t="shared" si="6650"/>
        <v>0</v>
      </c>
      <c r="M1550" s="8">
        <f t="shared" si="6651"/>
        <v>0</v>
      </c>
      <c r="N1550" s="8">
        <f t="shared" si="6652"/>
        <v>1</v>
      </c>
      <c r="O1550" s="8">
        <f t="shared" si="6653"/>
        <v>0</v>
      </c>
      <c r="P1550" s="8" t="e">
        <v>#NUM!</v>
      </c>
      <c r="Q1550" s="8" t="e">
        <f t="shared" ref="Q1550" si="6685">IF(COUNTIF(P1540:P1550,"&lt;"&amp;-0.001)=0,IF(ABS(P1550)&lt;0.001,0,P1550)," ")</f>
        <v>#NUM!</v>
      </c>
      <c r="R1550" s="8"/>
      <c r="S1550" s="8"/>
      <c r="U1550" s="34"/>
      <c r="V1550" s="34"/>
      <c r="W1550" s="34"/>
      <c r="X1550" s="34"/>
      <c r="Y1550" s="34"/>
      <c r="Z1550" s="34"/>
      <c r="AA1550" s="34"/>
      <c r="AB1550" s="34"/>
      <c r="AC1550" s="34"/>
      <c r="AD1550" s="34"/>
      <c r="AE1550" s="34"/>
      <c r="AF1550" s="34"/>
      <c r="AG1550" s="34"/>
      <c r="AH1550" s="34"/>
      <c r="AI1550" s="34"/>
      <c r="AJ1550" s="34"/>
      <c r="AK1550" s="34"/>
      <c r="AL1550" s="34"/>
      <c r="AM1550" s="34"/>
      <c r="AN1550" s="34"/>
      <c r="AO1550" s="34"/>
      <c r="AP1550" s="34"/>
      <c r="AQ1550" s="34"/>
      <c r="AR1550" s="34"/>
      <c r="AS1550" s="34"/>
      <c r="AT1550" s="34"/>
      <c r="AU1550" s="34"/>
      <c r="AV1550" s="34"/>
      <c r="AW1550" s="34"/>
      <c r="AX1550" s="34"/>
      <c r="AY1550" s="34"/>
      <c r="AZ1550" s="34"/>
      <c r="BA1550" s="34"/>
      <c r="BB1550" s="34"/>
      <c r="BC1550" s="34"/>
      <c r="BD1550" s="34"/>
      <c r="BE1550" s="34"/>
      <c r="BF1550" s="34"/>
      <c r="BG1550" s="34"/>
      <c r="BH1550" s="34"/>
      <c r="BI1550" s="34"/>
      <c r="BJ1550" s="34"/>
      <c r="BK1550" s="34"/>
      <c r="BL1550" s="34"/>
      <c r="BM1550" s="34"/>
      <c r="BN1550" s="34"/>
      <c r="BO1550" s="34"/>
      <c r="BP1550" s="34"/>
      <c r="BQ1550" s="34"/>
      <c r="BR1550" s="34"/>
      <c r="BS1550" s="34"/>
      <c r="BT1550" s="34"/>
      <c r="BU1550" s="34"/>
      <c r="BV1550" s="34"/>
      <c r="BW1550" s="34"/>
      <c r="BX1550" s="34"/>
      <c r="BY1550" s="34"/>
      <c r="BZ1550" s="34"/>
      <c r="CA1550" s="34"/>
      <c r="CB1550" s="34"/>
      <c r="CC1550" s="34"/>
      <c r="CD1550" s="34"/>
      <c r="CE1550" s="34"/>
      <c r="CF1550" s="34"/>
      <c r="CG1550" s="34"/>
      <c r="CH1550" s="34"/>
      <c r="CI1550" s="8"/>
    </row>
    <row r="1551" spans="1:87" x14ac:dyDescent="0.2">
      <c r="A1551" s="8" t="str">
        <f>IF(AND(COUNTIF(W$3:W$13,A$26)&gt;0,A$26&lt;&gt;B1308),A$26,IFERROR(IF(MATCH(A$26,Z$3:Z$13,0)=11,A$26," ")," "))</f>
        <v xml:space="preserve"> </v>
      </c>
      <c r="B1551" s="8" t="str">
        <f>IF(A1551=" "," ",MAX(B1540:B1550)+1)</f>
        <v xml:space="preserve"> </v>
      </c>
      <c r="C1551" s="8"/>
      <c r="D1551" s="8"/>
      <c r="E1551" s="8"/>
      <c r="F1551" s="8"/>
      <c r="G1551" s="8"/>
      <c r="H1551" s="8"/>
      <c r="I1551" s="8"/>
      <c r="J1551" s="8"/>
      <c r="K1551" s="8"/>
      <c r="L1551" s="8"/>
      <c r="M1551" s="8"/>
      <c r="N1551" s="8"/>
      <c r="O1551" s="8"/>
      <c r="P1551" s="8"/>
      <c r="Q1551" s="8"/>
      <c r="R1551" s="8"/>
      <c r="S1551" s="8"/>
      <c r="U1551" s="34"/>
      <c r="V1551" s="34"/>
      <c r="W1551" s="34"/>
      <c r="X1551" s="34"/>
      <c r="Y1551" s="34"/>
      <c r="Z1551" s="34"/>
      <c r="AA1551" s="34"/>
      <c r="AB1551" s="34"/>
      <c r="AC1551" s="34"/>
      <c r="AD1551" s="34"/>
      <c r="AE1551" s="34"/>
      <c r="AF1551" s="34"/>
      <c r="AG1551" s="34"/>
      <c r="AH1551" s="34"/>
      <c r="AI1551" s="34"/>
      <c r="AJ1551" s="34"/>
      <c r="AK1551" s="34"/>
      <c r="AL1551" s="34"/>
      <c r="AM1551" s="34"/>
      <c r="AN1551" s="34"/>
      <c r="AO1551" s="34"/>
      <c r="AP1551" s="34"/>
      <c r="AQ1551" s="34"/>
      <c r="AR1551" s="34"/>
      <c r="AS1551" s="34"/>
      <c r="AT1551" s="34"/>
      <c r="AU1551" s="34"/>
      <c r="AV1551" s="34"/>
      <c r="AW1551" s="34"/>
      <c r="AX1551" s="34"/>
      <c r="AY1551" s="34"/>
      <c r="AZ1551" s="34"/>
      <c r="BA1551" s="34"/>
      <c r="BB1551" s="34"/>
      <c r="BC1551" s="34"/>
      <c r="BD1551" s="34"/>
      <c r="BE1551" s="34"/>
      <c r="BF1551" s="34"/>
      <c r="BG1551" s="34"/>
      <c r="BH1551" s="34"/>
      <c r="BI1551" s="34"/>
      <c r="BJ1551" s="34"/>
      <c r="BK1551" s="34"/>
      <c r="BL1551" s="34"/>
      <c r="BM1551" s="34"/>
      <c r="BN1551" s="34"/>
      <c r="BO1551" s="34"/>
      <c r="BP1551" s="34"/>
      <c r="BQ1551" s="34"/>
      <c r="BR1551" s="34"/>
      <c r="BS1551" s="34"/>
      <c r="BT1551" s="34"/>
      <c r="BU1551" s="34"/>
      <c r="BV1551" s="34"/>
      <c r="BW1551" s="34"/>
      <c r="BX1551" s="34"/>
      <c r="BY1551" s="34"/>
      <c r="BZ1551" s="34"/>
      <c r="CA1551" s="34"/>
      <c r="CB1551" s="34"/>
      <c r="CC1551" s="34"/>
      <c r="CD1551" s="34"/>
      <c r="CE1551" s="34"/>
      <c r="CF1551" s="34"/>
      <c r="CG1551" s="34"/>
      <c r="CH1551" s="34"/>
      <c r="CI1551" s="8"/>
    </row>
    <row r="1552" spans="1:87" x14ac:dyDescent="0.2">
      <c r="A1552" s="8" t="str">
        <f>IF(AND(COUNTIF(W$3:W$13,A$27)&gt;0,A$27&lt;&gt;B1308),A$27,IFERROR(IF(MATCH(A$27,Z$3:Z$13,0)=11,A$27," ")," "))</f>
        <v>C13</v>
      </c>
      <c r="B1552" s="8">
        <f>IF(A1552=" "," ",MAX(B1540:B1551)+1)</f>
        <v>3</v>
      </c>
      <c r="C1552" s="8"/>
      <c r="D1552" s="8"/>
      <c r="E1552" s="8"/>
      <c r="F1552" s="8"/>
      <c r="G1552" s="8"/>
      <c r="H1552" s="8"/>
      <c r="I1552" s="8"/>
      <c r="J1552" s="8"/>
      <c r="K1552" s="8"/>
      <c r="L1552" s="8"/>
      <c r="M1552" s="8"/>
      <c r="N1552" s="8"/>
      <c r="O1552" s="8"/>
      <c r="P1552" s="8"/>
      <c r="Q1552" s="8"/>
      <c r="R1552" s="8"/>
      <c r="S1552" s="8"/>
      <c r="U1552" s="34"/>
      <c r="V1552" s="34"/>
      <c r="W1552" s="34"/>
      <c r="X1552" s="34"/>
      <c r="Y1552" s="34"/>
      <c r="Z1552" s="34"/>
      <c r="AA1552" s="34"/>
      <c r="AB1552" s="34"/>
      <c r="AC1552" s="34"/>
      <c r="AD1552" s="34"/>
      <c r="AE1552" s="34"/>
      <c r="AF1552" s="34"/>
      <c r="AG1552" s="34"/>
      <c r="AH1552" s="34"/>
      <c r="AI1552" s="34"/>
      <c r="AJ1552" s="34"/>
      <c r="AK1552" s="34"/>
      <c r="AL1552" s="34"/>
      <c r="AM1552" s="34"/>
      <c r="AN1552" s="34"/>
      <c r="AO1552" s="34"/>
      <c r="AP1552" s="34"/>
      <c r="AQ1552" s="34"/>
      <c r="AR1552" s="34"/>
      <c r="AS1552" s="34"/>
      <c r="AT1552" s="34"/>
      <c r="AU1552" s="34"/>
      <c r="AV1552" s="34"/>
      <c r="AW1552" s="34"/>
      <c r="AX1552" s="34"/>
      <c r="AY1552" s="34"/>
      <c r="AZ1552" s="34"/>
      <c r="BA1552" s="34"/>
      <c r="BB1552" s="34"/>
      <c r="BC1552" s="34"/>
      <c r="BD1552" s="34"/>
      <c r="BE1552" s="34"/>
      <c r="BF1552" s="34"/>
      <c r="BG1552" s="34"/>
      <c r="BH1552" s="34"/>
      <c r="BI1552" s="34"/>
      <c r="BJ1552" s="34"/>
      <c r="BK1552" s="34"/>
      <c r="BL1552" s="34"/>
      <c r="BM1552" s="34"/>
      <c r="BN1552" s="34"/>
      <c r="BO1552" s="34"/>
      <c r="BP1552" s="34"/>
      <c r="BQ1552" s="34"/>
      <c r="BR1552" s="34"/>
      <c r="BS1552" s="34"/>
      <c r="BT1552" s="34"/>
      <c r="BU1552" s="34"/>
      <c r="BV1552" s="34"/>
      <c r="BW1552" s="34"/>
      <c r="BX1552" s="34"/>
      <c r="BY1552" s="34"/>
      <c r="BZ1552" s="34"/>
      <c r="CA1552" s="34"/>
      <c r="CB1552" s="34"/>
      <c r="CC1552" s="34"/>
      <c r="CD1552" s="34"/>
      <c r="CE1552" s="34"/>
      <c r="CF1552" s="34"/>
      <c r="CG1552" s="34"/>
      <c r="CH1552" s="34"/>
      <c r="CI1552" s="8"/>
    </row>
    <row r="1553" spans="1:87" x14ac:dyDescent="0.2">
      <c r="A1553" s="8" t="str">
        <f>IF(AND(COUNTIF(W$3:W$13,A$28)&gt;0,A$28&lt;&gt;B1308),A$28,IFERROR(IF(MATCH(A$28,Z$3:Z$13,0)=11,A$28," ")," "))</f>
        <v>C14</v>
      </c>
      <c r="B1553" s="8">
        <f>IF(A1553=" "," ",MAX(B1540:B1552)+1)</f>
        <v>4</v>
      </c>
      <c r="C1553" s="8"/>
      <c r="D1553" s="8"/>
      <c r="E1553" s="8"/>
      <c r="F1553" s="8"/>
      <c r="G1553" s="8"/>
      <c r="H1553" s="8"/>
      <c r="I1553" s="8"/>
      <c r="J1553" s="8"/>
      <c r="K1553" s="8"/>
      <c r="L1553" s="8"/>
      <c r="M1553" s="8"/>
      <c r="N1553" s="8"/>
      <c r="O1553" s="8"/>
      <c r="P1553" s="8"/>
      <c r="Q1553" s="8"/>
      <c r="R1553" s="8"/>
      <c r="S1553" s="8"/>
      <c r="U1553" s="34"/>
      <c r="V1553" s="34"/>
      <c r="W1553" s="34"/>
      <c r="X1553" s="34"/>
      <c r="Y1553" s="34"/>
      <c r="Z1553" s="34"/>
      <c r="AA1553" s="34"/>
      <c r="AB1553" s="34"/>
      <c r="AC1553" s="34"/>
      <c r="AD1553" s="34"/>
      <c r="AE1553" s="34"/>
      <c r="AF1553" s="34"/>
      <c r="AG1553" s="34"/>
      <c r="AH1553" s="34"/>
      <c r="AI1553" s="34"/>
      <c r="AJ1553" s="34"/>
      <c r="AK1553" s="34"/>
      <c r="AL1553" s="34"/>
      <c r="AM1553" s="34"/>
      <c r="AN1553" s="34"/>
      <c r="AO1553" s="34"/>
      <c r="AP1553" s="34"/>
      <c r="AQ1553" s="34"/>
      <c r="AR1553" s="34"/>
      <c r="AS1553" s="34"/>
      <c r="AT1553" s="34"/>
      <c r="AU1553" s="34"/>
      <c r="AV1553" s="34"/>
      <c r="AW1553" s="34"/>
      <c r="AX1553" s="34"/>
      <c r="AY1553" s="34"/>
      <c r="AZ1553" s="34"/>
      <c r="BA1553" s="34"/>
      <c r="BB1553" s="34"/>
      <c r="BC1553" s="34"/>
      <c r="BD1553" s="34"/>
      <c r="BE1553" s="34"/>
      <c r="BF1553" s="34"/>
      <c r="BG1553" s="34"/>
      <c r="BH1553" s="34"/>
      <c r="BI1553" s="34"/>
      <c r="BJ1553" s="34"/>
      <c r="BK1553" s="34"/>
      <c r="BL1553" s="34"/>
      <c r="BM1553" s="34"/>
      <c r="BN1553" s="34"/>
      <c r="BO1553" s="34"/>
      <c r="BP1553" s="34"/>
      <c r="BQ1553" s="34"/>
      <c r="BR1553" s="34"/>
      <c r="BS1553" s="34"/>
      <c r="BT1553" s="34"/>
      <c r="BU1553" s="34"/>
      <c r="BV1553" s="34"/>
      <c r="BW1553" s="34"/>
      <c r="BX1553" s="34"/>
      <c r="BY1553" s="34"/>
      <c r="BZ1553" s="34"/>
      <c r="CA1553" s="34"/>
      <c r="CB1553" s="34"/>
      <c r="CC1553" s="34"/>
      <c r="CD1553" s="34"/>
      <c r="CE1553" s="34"/>
      <c r="CF1553" s="34"/>
      <c r="CG1553" s="34"/>
      <c r="CH1553" s="34"/>
      <c r="CI1553" s="8"/>
    </row>
    <row r="1554" spans="1:87" x14ac:dyDescent="0.2">
      <c r="A1554" s="8" t="str">
        <f>IF(AND(COUNTIF(W$3:W$13,A$29)&gt;0,A$29&lt;&gt;B1308),A$29,IFERROR(IF(MATCH(A$29,Z$3:Z$13,0)=11,A$29," ")," "))</f>
        <v>C15</v>
      </c>
      <c r="B1554" s="8">
        <f>IF(A1554=" "," ",MAX(B1540:B1553)+1)</f>
        <v>5</v>
      </c>
      <c r="C1554" s="8"/>
      <c r="D1554" s="8"/>
      <c r="E1554" s="8"/>
      <c r="F1554" s="8"/>
      <c r="G1554" s="8"/>
      <c r="H1554" s="8"/>
      <c r="I1554" s="8"/>
      <c r="J1554" s="8"/>
      <c r="K1554" s="8"/>
      <c r="L1554" s="8"/>
      <c r="M1554" s="8"/>
      <c r="N1554" s="8"/>
      <c r="O1554" s="8"/>
      <c r="P1554" s="8"/>
      <c r="Q1554" s="8"/>
      <c r="R1554" s="8"/>
      <c r="S1554" s="8"/>
      <c r="U1554" s="34"/>
      <c r="V1554" s="34"/>
      <c r="W1554" s="34"/>
      <c r="X1554" s="34"/>
      <c r="Y1554" s="34"/>
      <c r="Z1554" s="34"/>
      <c r="AA1554" s="34"/>
      <c r="AB1554" s="34"/>
      <c r="AC1554" s="34"/>
      <c r="AD1554" s="34"/>
      <c r="AE1554" s="34"/>
      <c r="AF1554" s="34"/>
      <c r="AG1554" s="34"/>
      <c r="AH1554" s="34"/>
      <c r="AI1554" s="34"/>
      <c r="AJ1554" s="34"/>
      <c r="AK1554" s="34"/>
      <c r="AL1554" s="34"/>
      <c r="AM1554" s="34"/>
      <c r="AN1554" s="34"/>
      <c r="AO1554" s="34"/>
      <c r="AP1554" s="34"/>
      <c r="AQ1554" s="34"/>
      <c r="AR1554" s="34"/>
      <c r="AS1554" s="34"/>
      <c r="AT1554" s="34"/>
      <c r="AU1554" s="34"/>
      <c r="AV1554" s="34"/>
      <c r="AW1554" s="34"/>
      <c r="AX1554" s="34"/>
      <c r="AY1554" s="34"/>
      <c r="AZ1554" s="34"/>
      <c r="BA1554" s="34"/>
      <c r="BB1554" s="34"/>
      <c r="BC1554" s="34"/>
      <c r="BD1554" s="34"/>
      <c r="BE1554" s="34"/>
      <c r="BF1554" s="34"/>
      <c r="BG1554" s="34"/>
      <c r="BH1554" s="34"/>
      <c r="BI1554" s="34"/>
      <c r="BJ1554" s="34"/>
      <c r="BK1554" s="34"/>
      <c r="BL1554" s="34"/>
      <c r="BM1554" s="34"/>
      <c r="BN1554" s="34"/>
      <c r="BO1554" s="34"/>
      <c r="BP1554" s="34"/>
      <c r="BQ1554" s="34"/>
      <c r="BR1554" s="34"/>
      <c r="BS1554" s="34"/>
      <c r="BT1554" s="34"/>
      <c r="BU1554" s="34"/>
      <c r="BV1554" s="34"/>
      <c r="BW1554" s="34"/>
      <c r="BX1554" s="34"/>
      <c r="BY1554" s="34"/>
      <c r="BZ1554" s="34"/>
      <c r="CA1554" s="34"/>
      <c r="CB1554" s="34"/>
      <c r="CC1554" s="34"/>
      <c r="CD1554" s="34"/>
      <c r="CE1554" s="34"/>
      <c r="CF1554" s="34"/>
      <c r="CG1554" s="34"/>
      <c r="CH1554" s="34"/>
      <c r="CI1554" s="8"/>
    </row>
    <row r="1555" spans="1:87" x14ac:dyDescent="0.2">
      <c r="A1555" s="8" t="str">
        <f>IF(AND(COUNTIF(W$3:W$13,A$30)&gt;0,A$30&lt;&gt;B1308),A$30,IFERROR(IF(MATCH(A$30,Z$3:Z$13,0)=11,A$30," ")," "))</f>
        <v>C16</v>
      </c>
      <c r="B1555" s="8">
        <f>IF(A1555=" "," ",MAX(B1540:B1554)+1)</f>
        <v>6</v>
      </c>
      <c r="C1555" s="8"/>
      <c r="D1555" s="8"/>
      <c r="E1555" s="8"/>
      <c r="F1555" s="8"/>
      <c r="G1555" s="8"/>
      <c r="H1555" s="8"/>
      <c r="I1555" s="8"/>
      <c r="J1555" s="8"/>
      <c r="K1555" s="8"/>
      <c r="L1555" s="8"/>
      <c r="M1555" s="8"/>
      <c r="N1555" s="8"/>
      <c r="O1555" s="8"/>
      <c r="P1555" s="8"/>
      <c r="Q1555" s="8"/>
      <c r="R1555" s="8"/>
      <c r="S1555" s="8"/>
      <c r="U1555" s="34"/>
      <c r="V1555" s="34"/>
      <c r="W1555" s="34"/>
      <c r="X1555" s="34"/>
      <c r="Y1555" s="34"/>
      <c r="Z1555" s="34"/>
      <c r="AA1555" s="34"/>
      <c r="AB1555" s="34"/>
      <c r="AC1555" s="34"/>
      <c r="AD1555" s="34"/>
      <c r="AE1555" s="34"/>
      <c r="AF1555" s="34"/>
      <c r="AG1555" s="34"/>
      <c r="AH1555" s="34"/>
      <c r="AI1555" s="34"/>
      <c r="AJ1555" s="34"/>
      <c r="AK1555" s="34"/>
      <c r="AL1555" s="34"/>
      <c r="AM1555" s="34"/>
      <c r="AN1555" s="34"/>
      <c r="AO1555" s="34"/>
      <c r="AP1555" s="34"/>
      <c r="AQ1555" s="34"/>
      <c r="AR1555" s="34"/>
      <c r="AS1555" s="34"/>
      <c r="AT1555" s="34"/>
      <c r="AU1555" s="34"/>
      <c r="AV1555" s="34"/>
      <c r="AW1555" s="34"/>
      <c r="AX1555" s="34"/>
      <c r="AY1555" s="34"/>
      <c r="AZ1555" s="34"/>
      <c r="BA1555" s="34"/>
      <c r="BB1555" s="34"/>
      <c r="BC1555" s="34"/>
      <c r="BD1555" s="34"/>
      <c r="BE1555" s="34"/>
      <c r="BF1555" s="34"/>
      <c r="BG1555" s="34"/>
      <c r="BH1555" s="34"/>
      <c r="BI1555" s="34"/>
      <c r="BJ1555" s="34"/>
      <c r="BK1555" s="34"/>
      <c r="BL1555" s="34"/>
      <c r="BM1555" s="34"/>
      <c r="BN1555" s="34"/>
      <c r="BO1555" s="34"/>
      <c r="BP1555" s="34"/>
      <c r="BQ1555" s="34"/>
      <c r="BR1555" s="34"/>
      <c r="BS1555" s="34"/>
      <c r="BT1555" s="34"/>
      <c r="BU1555" s="34"/>
      <c r="BV1555" s="34"/>
      <c r="BW1555" s="34"/>
      <c r="BX1555" s="34"/>
      <c r="BY1555" s="34"/>
      <c r="BZ1555" s="34"/>
      <c r="CA1555" s="34"/>
      <c r="CB1555" s="34"/>
      <c r="CC1555" s="34"/>
      <c r="CD1555" s="34"/>
      <c r="CE1555" s="34"/>
      <c r="CF1555" s="34"/>
      <c r="CG1555" s="34"/>
      <c r="CH1555" s="34"/>
      <c r="CI1555" s="8"/>
    </row>
    <row r="1556" spans="1:87" x14ac:dyDescent="0.2">
      <c r="A1556" s="8" t="str">
        <f>IF(AND(COUNTIF(W$3:W$13,A$31)&gt;0,A$31&lt;&gt;B1308),A$31,IFERROR(IF(MATCH(A$31,Z$3:Z$13,0)=11,A$31," ")," "))</f>
        <v xml:space="preserve"> </v>
      </c>
      <c r="B1556" s="8" t="str">
        <f>IF(A1556=" "," ",MAX(B1540:B1555)+1)</f>
        <v xml:space="preserve"> </v>
      </c>
      <c r="C1556" s="8"/>
      <c r="D1556" s="8"/>
      <c r="E1556" s="8"/>
      <c r="F1556" s="8"/>
      <c r="G1556" s="8"/>
      <c r="H1556" s="8"/>
      <c r="I1556" s="8"/>
      <c r="J1556" s="8"/>
      <c r="K1556" s="8"/>
      <c r="L1556" s="8"/>
      <c r="M1556" s="8"/>
      <c r="N1556" s="8"/>
      <c r="O1556" s="8"/>
      <c r="P1556" s="8"/>
      <c r="Q1556" s="8"/>
      <c r="R1556" s="8"/>
      <c r="S1556" s="8"/>
      <c r="U1556" s="34"/>
      <c r="V1556" s="34"/>
      <c r="W1556" s="34"/>
      <c r="X1556" s="34"/>
      <c r="Y1556" s="34"/>
      <c r="Z1556" s="34"/>
      <c r="AA1556" s="34"/>
      <c r="AB1556" s="34"/>
      <c r="AC1556" s="34"/>
      <c r="AD1556" s="34"/>
      <c r="AE1556" s="34"/>
      <c r="AF1556" s="34"/>
      <c r="AG1556" s="34"/>
      <c r="AH1556" s="34"/>
      <c r="AI1556" s="34"/>
      <c r="AJ1556" s="34"/>
      <c r="AK1556" s="34"/>
      <c r="AL1556" s="34"/>
      <c r="AM1556" s="34"/>
      <c r="AN1556" s="34"/>
      <c r="AO1556" s="34"/>
      <c r="AP1556" s="34"/>
      <c r="AQ1556" s="34"/>
      <c r="AR1556" s="34"/>
      <c r="AS1556" s="34"/>
      <c r="AT1556" s="34"/>
      <c r="AU1556" s="34"/>
      <c r="AV1556" s="34"/>
      <c r="AW1556" s="34"/>
      <c r="AX1556" s="34"/>
      <c r="AY1556" s="34"/>
      <c r="AZ1556" s="34"/>
      <c r="BA1556" s="34"/>
      <c r="BB1556" s="34"/>
      <c r="BC1556" s="34"/>
      <c r="BD1556" s="34"/>
      <c r="BE1556" s="34"/>
      <c r="BF1556" s="34"/>
      <c r="BG1556" s="34"/>
      <c r="BH1556" s="34"/>
      <c r="BI1556" s="34"/>
      <c r="BJ1556" s="34"/>
      <c r="BK1556" s="34"/>
      <c r="BL1556" s="34"/>
      <c r="BM1556" s="34"/>
      <c r="BN1556" s="34"/>
      <c r="BO1556" s="34"/>
      <c r="BP1556" s="34"/>
      <c r="BQ1556" s="34"/>
      <c r="BR1556" s="34"/>
      <c r="BS1556" s="34"/>
      <c r="BT1556" s="34"/>
      <c r="BU1556" s="34"/>
      <c r="BV1556" s="34"/>
      <c r="BW1556" s="34"/>
      <c r="BX1556" s="34"/>
      <c r="BY1556" s="34"/>
      <c r="BZ1556" s="34"/>
      <c r="CA1556" s="34"/>
      <c r="CB1556" s="34"/>
      <c r="CC1556" s="34"/>
      <c r="CD1556" s="34"/>
      <c r="CE1556" s="34"/>
      <c r="CF1556" s="34"/>
      <c r="CG1556" s="34"/>
      <c r="CH1556" s="34"/>
      <c r="CI1556" s="8"/>
    </row>
    <row r="1557" spans="1:87" x14ac:dyDescent="0.2">
      <c r="A1557" s="8" t="str">
        <f>IF(AND(COUNTIF(W$3:W$13,A$32)&gt;0,A$32&lt;&gt;B1308),A$32,IFERROR(IF(MATCH(A$32,Z$3:Z$13,0)=11,A$32," ")," "))</f>
        <v>C18</v>
      </c>
      <c r="B1557" s="8">
        <f>IF(A1557=" "," ",MAX(B1540:B1556)+1)</f>
        <v>7</v>
      </c>
      <c r="C1557" s="8"/>
      <c r="D1557" s="8"/>
      <c r="E1557" s="8"/>
      <c r="F1557" s="8"/>
      <c r="G1557" s="8"/>
      <c r="H1557" s="8"/>
      <c r="I1557" s="8"/>
      <c r="J1557" s="8"/>
      <c r="K1557" s="8"/>
      <c r="L1557" s="8"/>
      <c r="M1557" s="8"/>
      <c r="N1557" s="8"/>
      <c r="O1557" s="8"/>
      <c r="P1557" s="8"/>
      <c r="Q1557" s="8"/>
      <c r="R1557" s="8"/>
      <c r="S1557" s="8"/>
      <c r="U1557" s="34"/>
      <c r="V1557" s="34"/>
      <c r="W1557" s="34"/>
      <c r="X1557" s="34"/>
      <c r="Y1557" s="34"/>
      <c r="Z1557" s="34"/>
      <c r="AA1557" s="34"/>
      <c r="AB1557" s="34"/>
      <c r="AC1557" s="34"/>
      <c r="AD1557" s="34"/>
      <c r="AE1557" s="34"/>
      <c r="AF1557" s="34"/>
      <c r="AG1557" s="34"/>
      <c r="AH1557" s="34"/>
      <c r="AI1557" s="34"/>
      <c r="AJ1557" s="34"/>
      <c r="AK1557" s="34"/>
      <c r="AL1557" s="34"/>
      <c r="AM1557" s="34"/>
      <c r="AN1557" s="34"/>
      <c r="AO1557" s="34"/>
      <c r="AP1557" s="34"/>
      <c r="AQ1557" s="34"/>
      <c r="AR1557" s="34"/>
      <c r="AS1557" s="34"/>
      <c r="AT1557" s="34"/>
      <c r="AU1557" s="34"/>
      <c r="AV1557" s="34"/>
      <c r="AW1557" s="34"/>
      <c r="AX1557" s="34"/>
      <c r="AY1557" s="34"/>
      <c r="AZ1557" s="34"/>
      <c r="BA1557" s="34"/>
      <c r="BB1557" s="34"/>
      <c r="BC1557" s="34"/>
      <c r="BD1557" s="34"/>
      <c r="BE1557" s="34"/>
      <c r="BF1557" s="34"/>
      <c r="BG1557" s="34"/>
      <c r="BH1557" s="34"/>
      <c r="BI1557" s="34"/>
      <c r="BJ1557" s="34"/>
      <c r="BK1557" s="34"/>
      <c r="BL1557" s="34"/>
      <c r="BM1557" s="34"/>
      <c r="BN1557" s="34"/>
      <c r="BO1557" s="34"/>
      <c r="BP1557" s="34"/>
      <c r="BQ1557" s="34"/>
      <c r="BR1557" s="34"/>
      <c r="BS1557" s="34"/>
      <c r="BT1557" s="34"/>
      <c r="BU1557" s="34"/>
      <c r="BV1557" s="34"/>
      <c r="BW1557" s="34"/>
      <c r="BX1557" s="34"/>
      <c r="BY1557" s="34"/>
      <c r="BZ1557" s="34"/>
      <c r="CA1557" s="34"/>
      <c r="CB1557" s="34"/>
      <c r="CC1557" s="34"/>
      <c r="CD1557" s="34"/>
      <c r="CE1557" s="34"/>
      <c r="CF1557" s="34"/>
      <c r="CG1557" s="34"/>
      <c r="CH1557" s="34"/>
      <c r="CI1557" s="8"/>
    </row>
    <row r="1558" spans="1:87" x14ac:dyDescent="0.2">
      <c r="A1558" s="8" t="str">
        <f>IF(AND(COUNTIF(W$3:W$13,A$33)&gt;0,A$33&lt;&gt;B1308),A$33,IFERROR(IF(MATCH(A$33,Z$3:Z$13,0)=11,A$33," ")," "))</f>
        <v>C19</v>
      </c>
      <c r="B1558" s="8">
        <f>IF(A1558=" "," ",MAX(B1540:B1557)+1)</f>
        <v>8</v>
      </c>
      <c r="C1558" s="8"/>
      <c r="D1558" s="8"/>
      <c r="E1558" s="8"/>
      <c r="F1558" s="8"/>
      <c r="G1558" s="8"/>
      <c r="H1558" s="8"/>
      <c r="I1558" s="8"/>
      <c r="J1558" s="8"/>
      <c r="K1558" s="8"/>
      <c r="L1558" s="8"/>
      <c r="M1558" s="8"/>
      <c r="N1558" s="8"/>
      <c r="O1558" s="8"/>
      <c r="P1558" s="8"/>
      <c r="Q1558" s="8"/>
      <c r="R1558" s="8"/>
      <c r="S1558" s="8"/>
      <c r="U1558" s="34"/>
      <c r="V1558" s="34"/>
      <c r="W1558" s="34"/>
      <c r="X1558" s="34"/>
      <c r="Y1558" s="34"/>
      <c r="Z1558" s="34"/>
      <c r="AA1558" s="34"/>
      <c r="AB1558" s="34"/>
      <c r="AC1558" s="34"/>
      <c r="AD1558" s="34"/>
      <c r="AE1558" s="34"/>
      <c r="AF1558" s="34"/>
      <c r="AG1558" s="34"/>
      <c r="AH1558" s="34"/>
      <c r="AI1558" s="34"/>
      <c r="AJ1558" s="34"/>
      <c r="AK1558" s="34"/>
      <c r="AL1558" s="34"/>
      <c r="AM1558" s="34"/>
      <c r="AN1558" s="34"/>
      <c r="AO1558" s="34"/>
      <c r="AP1558" s="34"/>
      <c r="AQ1558" s="34"/>
      <c r="AR1558" s="34"/>
      <c r="AS1558" s="34"/>
      <c r="AT1558" s="34"/>
      <c r="AU1558" s="34"/>
      <c r="AV1558" s="34"/>
      <c r="AW1558" s="34"/>
      <c r="AX1558" s="34"/>
      <c r="AY1558" s="34"/>
      <c r="AZ1558" s="34"/>
      <c r="BA1558" s="34"/>
      <c r="BB1558" s="34"/>
      <c r="BC1558" s="34"/>
      <c r="BD1558" s="34"/>
      <c r="BE1558" s="34"/>
      <c r="BF1558" s="34"/>
      <c r="BG1558" s="34"/>
      <c r="BH1558" s="34"/>
      <c r="BI1558" s="34"/>
      <c r="BJ1558" s="34"/>
      <c r="BK1558" s="34"/>
      <c r="BL1558" s="34"/>
      <c r="BM1558" s="34"/>
      <c r="BN1558" s="34"/>
      <c r="BO1558" s="34"/>
      <c r="BP1558" s="34"/>
      <c r="BQ1558" s="34"/>
      <c r="BR1558" s="34"/>
      <c r="BS1558" s="34"/>
      <c r="BT1558" s="34"/>
      <c r="BU1558" s="34"/>
      <c r="BV1558" s="34"/>
      <c r="BW1558" s="34"/>
      <c r="BX1558" s="34"/>
      <c r="BY1558" s="34"/>
      <c r="BZ1558" s="34"/>
      <c r="CA1558" s="34"/>
      <c r="CB1558" s="34"/>
      <c r="CC1558" s="34"/>
      <c r="CD1558" s="34"/>
      <c r="CE1558" s="34"/>
      <c r="CF1558" s="34"/>
      <c r="CG1558" s="34"/>
      <c r="CH1558" s="34"/>
      <c r="CI1558" s="8"/>
    </row>
    <row r="1559" spans="1:87" x14ac:dyDescent="0.2">
      <c r="A1559" s="8" t="str">
        <f>IF(AND(COUNTIF(W$3:W$13,A$34)&gt;0,A$34&lt;&gt;B1308),A$34,IFERROR(IF(MATCH(A$34,Z$3:Z$13,0)=11,A$34," ")," "))</f>
        <v>C20</v>
      </c>
      <c r="B1559" s="8">
        <f>IF(A1559=" "," ",MAX(B1540:B1558)+1)</f>
        <v>9</v>
      </c>
      <c r="C1559" s="8"/>
      <c r="D1559" s="8"/>
      <c r="E1559" s="8"/>
      <c r="F1559" s="8"/>
      <c r="G1559" s="8"/>
      <c r="H1559" s="8"/>
      <c r="I1559" s="8"/>
      <c r="J1559" s="8"/>
      <c r="K1559" s="8"/>
      <c r="L1559" s="8"/>
      <c r="M1559" s="8"/>
      <c r="N1559" s="8"/>
      <c r="O1559" s="8"/>
      <c r="P1559" s="8"/>
      <c r="Q1559" s="8"/>
      <c r="R1559" s="8"/>
      <c r="S1559" s="8"/>
      <c r="U1559" s="34"/>
      <c r="V1559" s="34"/>
      <c r="W1559" s="34"/>
      <c r="X1559" s="34"/>
      <c r="Y1559" s="34"/>
      <c r="Z1559" s="34"/>
      <c r="AA1559" s="34"/>
      <c r="AB1559" s="34"/>
      <c r="AC1559" s="34"/>
      <c r="AD1559" s="34"/>
      <c r="AE1559" s="34"/>
      <c r="AF1559" s="34"/>
      <c r="AG1559" s="34"/>
      <c r="AH1559" s="34"/>
      <c r="AI1559" s="34"/>
      <c r="AJ1559" s="34"/>
      <c r="AK1559" s="34"/>
      <c r="AL1559" s="34"/>
      <c r="AM1559" s="34"/>
      <c r="AN1559" s="34"/>
      <c r="AO1559" s="34"/>
      <c r="AP1559" s="34"/>
      <c r="AQ1559" s="34"/>
      <c r="AR1559" s="34"/>
      <c r="AS1559" s="34"/>
      <c r="AT1559" s="34"/>
      <c r="AU1559" s="34"/>
      <c r="AV1559" s="34"/>
      <c r="AW1559" s="34"/>
      <c r="AX1559" s="34"/>
      <c r="AY1559" s="34"/>
      <c r="AZ1559" s="34"/>
      <c r="BA1559" s="34"/>
      <c r="BB1559" s="34"/>
      <c r="BC1559" s="34"/>
      <c r="BD1559" s="34"/>
      <c r="BE1559" s="34"/>
      <c r="BF1559" s="34"/>
      <c r="BG1559" s="34"/>
      <c r="BH1559" s="34"/>
      <c r="BI1559" s="34"/>
      <c r="BJ1559" s="34"/>
      <c r="BK1559" s="34"/>
      <c r="BL1559" s="34"/>
      <c r="BM1559" s="34"/>
      <c r="BN1559" s="34"/>
      <c r="BO1559" s="34"/>
      <c r="BP1559" s="34"/>
      <c r="BQ1559" s="34"/>
      <c r="BR1559" s="34"/>
      <c r="BS1559" s="34"/>
      <c r="BT1559" s="34"/>
      <c r="BU1559" s="34"/>
      <c r="BV1559" s="34"/>
      <c r="BW1559" s="34"/>
      <c r="BX1559" s="34"/>
      <c r="BY1559" s="34"/>
      <c r="BZ1559" s="34"/>
      <c r="CA1559" s="34"/>
      <c r="CB1559" s="34"/>
      <c r="CC1559" s="34"/>
      <c r="CD1559" s="34"/>
      <c r="CE1559" s="34"/>
      <c r="CF1559" s="34"/>
      <c r="CG1559" s="34"/>
      <c r="CH1559" s="34"/>
      <c r="CI1559" s="8"/>
    </row>
    <row r="1560" spans="1:87" x14ac:dyDescent="0.2">
      <c r="A1560" s="8" t="str">
        <f>IF(AND(COUNTIF(W$3:W$13,A$35)&gt;0,A$35&lt;&gt;B1308),A$35,IFERROR(IF(MATCH(A$35,Z$3:Z$13,0)=11,A$35," ")," "))</f>
        <v>C21</v>
      </c>
      <c r="B1560" s="8">
        <f>IF(A1560=" "," ",MAX(B1540:B1559)+1)</f>
        <v>10</v>
      </c>
      <c r="C1560" s="8"/>
      <c r="D1560" s="8"/>
      <c r="E1560" s="8"/>
      <c r="F1560" s="8"/>
      <c r="G1560" s="8"/>
      <c r="H1560" s="8"/>
      <c r="I1560" s="8"/>
      <c r="J1560" s="8"/>
      <c r="K1560" s="8"/>
      <c r="L1560" s="8"/>
      <c r="M1560" s="8"/>
      <c r="N1560" s="8"/>
      <c r="O1560" s="8"/>
      <c r="P1560" s="8"/>
      <c r="Q1560" s="8"/>
      <c r="R1560" s="8"/>
      <c r="S1560" s="8"/>
      <c r="U1560" s="34"/>
      <c r="V1560" s="34"/>
      <c r="W1560" s="34"/>
      <c r="X1560" s="34"/>
      <c r="Y1560" s="34"/>
      <c r="Z1560" s="34"/>
      <c r="AA1560" s="34"/>
      <c r="AB1560" s="34"/>
      <c r="AC1560" s="34"/>
      <c r="AD1560" s="34"/>
      <c r="AE1560" s="34"/>
      <c r="AF1560" s="34"/>
      <c r="AG1560" s="34"/>
      <c r="AH1560" s="34"/>
      <c r="AI1560" s="34"/>
      <c r="AJ1560" s="34"/>
      <c r="AK1560" s="34"/>
      <c r="AL1560" s="34"/>
      <c r="AM1560" s="34"/>
      <c r="AN1560" s="34"/>
      <c r="AO1560" s="34"/>
      <c r="AP1560" s="34"/>
      <c r="AQ1560" s="34"/>
      <c r="AR1560" s="34"/>
      <c r="AS1560" s="34"/>
      <c r="AT1560" s="34"/>
      <c r="AU1560" s="34"/>
      <c r="AV1560" s="34"/>
      <c r="AW1560" s="34"/>
      <c r="AX1560" s="34"/>
      <c r="AY1560" s="34"/>
      <c r="AZ1560" s="34"/>
      <c r="BA1560" s="34"/>
      <c r="BB1560" s="34"/>
      <c r="BC1560" s="34"/>
      <c r="BD1560" s="34"/>
      <c r="BE1560" s="34"/>
      <c r="BF1560" s="34"/>
      <c r="BG1560" s="34"/>
      <c r="BH1560" s="34"/>
      <c r="BI1560" s="34"/>
      <c r="BJ1560" s="34"/>
      <c r="BK1560" s="34"/>
      <c r="BL1560" s="34"/>
      <c r="BM1560" s="34"/>
      <c r="BN1560" s="34"/>
      <c r="BO1560" s="34"/>
      <c r="BP1560" s="34"/>
      <c r="BQ1560" s="34"/>
      <c r="BR1560" s="34"/>
      <c r="BS1560" s="34"/>
      <c r="BT1560" s="34"/>
      <c r="BU1560" s="34"/>
      <c r="BV1560" s="34"/>
      <c r="BW1560" s="34"/>
      <c r="BX1560" s="34"/>
      <c r="BY1560" s="34"/>
      <c r="BZ1560" s="34"/>
      <c r="CA1560" s="34"/>
      <c r="CB1560" s="34"/>
      <c r="CC1560" s="34"/>
      <c r="CD1560" s="34"/>
      <c r="CE1560" s="34"/>
      <c r="CF1560" s="34"/>
      <c r="CG1560" s="34"/>
      <c r="CH1560" s="34"/>
      <c r="CI1560" s="8"/>
    </row>
    <row r="1561" spans="1:87" x14ac:dyDescent="0.2">
      <c r="A1561" s="8" t="str">
        <f>IF(AND(COUNTIF(W$3:W$13,A$36)&gt;0,A$36&lt;&gt;B1308),A$36,IFERROR(IF(MATCH(A$36,Z$3:Z$13,0)=11,A$36," ")," "))</f>
        <v>C22</v>
      </c>
      <c r="B1561" s="8">
        <f>IF(A1561=" "," ",MAX(B1540:B1560)+1)</f>
        <v>11</v>
      </c>
      <c r="C1561" s="8"/>
      <c r="D1561" s="8"/>
      <c r="E1561" s="8"/>
      <c r="F1561" s="8"/>
      <c r="G1561" s="8"/>
      <c r="H1561" s="8"/>
      <c r="I1561" s="8"/>
      <c r="J1561" s="8"/>
      <c r="K1561" s="8"/>
      <c r="L1561" s="8"/>
      <c r="M1561" s="8"/>
      <c r="N1561" s="8"/>
      <c r="O1561" s="8"/>
      <c r="P1561" s="8"/>
      <c r="Q1561" s="8"/>
      <c r="R1561" s="8"/>
      <c r="S1561" s="8"/>
      <c r="U1561" s="34"/>
      <c r="V1561" s="34"/>
      <c r="W1561" s="34"/>
      <c r="X1561" s="34"/>
      <c r="Y1561" s="34"/>
      <c r="Z1561" s="34"/>
      <c r="AA1561" s="34"/>
      <c r="AB1561" s="34"/>
      <c r="AC1561" s="34"/>
      <c r="AD1561" s="34"/>
      <c r="AE1561" s="34"/>
      <c r="AF1561" s="34"/>
      <c r="AG1561" s="34"/>
      <c r="AH1561" s="34"/>
      <c r="AI1561" s="34"/>
      <c r="AJ1561" s="34"/>
      <c r="AK1561" s="34"/>
      <c r="AL1561" s="34"/>
      <c r="AM1561" s="34"/>
      <c r="AN1561" s="34"/>
      <c r="AO1561" s="34"/>
      <c r="AP1561" s="34"/>
      <c r="AQ1561" s="34"/>
      <c r="AR1561" s="34"/>
      <c r="AS1561" s="34"/>
      <c r="AT1561" s="34"/>
      <c r="AU1561" s="34"/>
      <c r="AV1561" s="34"/>
      <c r="AW1561" s="34"/>
      <c r="AX1561" s="34"/>
      <c r="AY1561" s="34"/>
      <c r="AZ1561" s="34"/>
      <c r="BA1561" s="34"/>
      <c r="BB1561" s="34"/>
      <c r="BC1561" s="34"/>
      <c r="BD1561" s="34"/>
      <c r="BE1561" s="34"/>
      <c r="BF1561" s="34"/>
      <c r="BG1561" s="34"/>
      <c r="BH1561" s="34"/>
      <c r="BI1561" s="34"/>
      <c r="BJ1561" s="34"/>
      <c r="BK1561" s="34"/>
      <c r="BL1561" s="34"/>
      <c r="BM1561" s="34"/>
      <c r="BN1561" s="34"/>
      <c r="BO1561" s="34"/>
      <c r="BP1561" s="34"/>
      <c r="BQ1561" s="34"/>
      <c r="BR1561" s="34"/>
      <c r="BS1561" s="34"/>
      <c r="BT1561" s="34"/>
      <c r="BU1561" s="34"/>
      <c r="BV1561" s="34"/>
      <c r="BW1561" s="34"/>
      <c r="BX1561" s="34"/>
      <c r="BY1561" s="34"/>
      <c r="BZ1561" s="34"/>
      <c r="CA1561" s="34"/>
      <c r="CB1561" s="34"/>
      <c r="CC1561" s="34"/>
      <c r="CD1561" s="34"/>
      <c r="CE1561" s="34"/>
      <c r="CF1561" s="34"/>
      <c r="CG1561" s="34"/>
      <c r="CH1561" s="34"/>
      <c r="CI1561" s="8"/>
    </row>
    <row r="1562" spans="1:87" s="16" customFormat="1" x14ac:dyDescent="0.2">
      <c r="A1562" s="28"/>
      <c r="B1562" s="49" t="str">
        <f>W9</f>
        <v>C18</v>
      </c>
      <c r="C1562" s="49"/>
      <c r="D1562" s="49"/>
      <c r="E1562" s="49"/>
      <c r="F1562" s="49"/>
      <c r="G1562" s="49"/>
      <c r="H1562" s="49"/>
      <c r="I1562" s="49"/>
      <c r="J1562" s="49"/>
      <c r="K1562" s="49"/>
      <c r="L1562" s="49"/>
      <c r="M1562" s="49"/>
      <c r="N1562" s="49"/>
      <c r="O1562" s="49"/>
      <c r="P1562" s="49"/>
      <c r="Q1562" s="49"/>
      <c r="R1562" s="28" t="e">
        <f>(N$2*INDEX(Q1563:R1815,MATCH(T1562,R1563:R1815,0),1)+N$3*INDEX(Q1563:R1815,MATCH(T1562,R1563:R1815,0)+1,1)+N$4*INDEX(Q1563:R1815,MATCH(T1562,R1563:R1815,0)+2,1)+N$5*INDEX(Q1563:R1815,MATCH(T1562,R1563:R1815,0)+3,1)+N$6*INDEX(Q1563:R1815,MATCH(T1562,R1563:R1815,0)+4,1)+N$7*INDEX(Q1563:R1815,MATCH(T1562,R1563:R1815,0)+5,1)+N$8*INDEX(Q1563:R1815,MATCH(T1562,R1563:R1815,0)+6,1)+N$9*INDEX(Q1563:R1815,MATCH(T1562,R1563:R1815,0)+7,1)+N$10*INDEX(Q1563:R1815,MATCH(T1562,R1563:R1815,0)+8,1)+N$11*INDEX(Q1563:R1815,MATCH(T1562,R1563:R1815,0)+9,1)+N$12*INDEX(Q1563:R1815,MATCH(T1562,R1563:R1815,0)+10,1)-N$2*INDEX(Q1563:R1815,MATCH(S1562,R1563:R1815,0),1)-N$3*INDEX(Q1563:R1815,MATCH(S1562,R1563:R1815,0)+1,1)-N$4*INDEX(Q1563:R1815,MATCH(S1562,R1563:R1815,0)+2,1)-N$5*INDEX(Q1563:R1815,MATCH(S1562,R1563:R1815,0)+3,1)-N$6*INDEX(Q1563:R1815,MATCH(S1562,R1563:R1815,0)+4,1)-N$7*INDEX(Q1563:R1815,MATCH(S1562,R1563:R1815,0)+5,1)-N$8*INDEX(Q1563:R1815,MATCH(S1562,R1563:R1815,0)+6,1)-N$9*INDEX(Q1563:R1815,MATCH(S1562,R1563:R1815,0)+7,1)-N$10*INDEX(Q1563:R1815,MATCH(S1562,R1563:R1815,0)+8,1)-N$11*INDEX(Q1563:R1815,MATCH(S1562,R1563:R1815,0)+9,1)-N$12*INDEX(Q1563:R1815,MATCH(S1562,R1563:R1815,0)+10,1))/(T1562-S1562)</f>
        <v>#N/A</v>
      </c>
      <c r="S1562" s="28" t="e">
        <f>INDEX(R1564:T1815,MATCH(MAX(S1564:S1815),S1564:S1815,0),1)</f>
        <v>#N/A</v>
      </c>
      <c r="T1562" s="20" t="e">
        <f>INDEX(R1564:T1815,MATCH(MIN(T1564:T1815),T1564:T1815,0),1)</f>
        <v>#N/A</v>
      </c>
      <c r="U1562" s="50" t="str">
        <f t="shared" ref="U1562" si="6686">A$2</f>
        <v>X1</v>
      </c>
      <c r="V1562" s="49"/>
      <c r="W1562" s="49"/>
      <c r="X1562" s="49"/>
      <c r="Y1562" s="35" t="str">
        <f t="shared" ref="Y1562" si="6687">IF(INDEX($A$15:$N$36,MATCH($B1562,$A$15:$A$36,0),14)&lt;&gt;"=",IFERROR(INDEX(X1563:Z1815,MATCH(MAX(Y1563:Y1815),Y1563:Y1815,0),1)," ")," ")</f>
        <v xml:space="preserve"> </v>
      </c>
      <c r="Z1562" s="35" t="str">
        <f t="shared" ref="Z1562" si="6688">IF(INDEX($A$15:$N$36,MATCH($B1562,$A$15:$A$36,0),14)&lt;&gt;"=",IFERROR(INDEX(X1563:Z1815,MATCH(MIN(Z1563:Z1815),Z1563:Z1815,0),1)," ")," ")</f>
        <v xml:space="preserve"> </v>
      </c>
      <c r="AA1562" s="49" t="str">
        <f t="shared" ref="AA1562" si="6689">A$3</f>
        <v>X2</v>
      </c>
      <c r="AB1562" s="49"/>
      <c r="AC1562" s="49"/>
      <c r="AD1562" s="49"/>
      <c r="AE1562" s="35" t="str">
        <f t="shared" ref="AE1562" si="6690">IF(INDEX($A$15:$N$36,MATCH($B1562,$A$15:$A$36,0),14)&lt;&gt;"=",IFERROR(INDEX(AD1563:AF1815,MATCH(MAX(AE1563:AE1815),AE1563:AE1815,0),1)," ")," ")</f>
        <v xml:space="preserve"> </v>
      </c>
      <c r="AF1562" s="35" t="str">
        <f t="shared" ref="AF1562" si="6691">IF(INDEX($A$15:$N$36,MATCH($B1562,$A$15:$A$36,0),14)&lt;&gt;"=",IFERROR(INDEX(AD1563:AF1815,MATCH(MIN(AF1563:AF1815),AF1563:AF1815,0),1)," ")," ")</f>
        <v xml:space="preserve"> </v>
      </c>
      <c r="AG1562" s="49" t="str">
        <f t="shared" ref="AG1562" si="6692">A$4</f>
        <v>X3</v>
      </c>
      <c r="AH1562" s="49"/>
      <c r="AI1562" s="49"/>
      <c r="AJ1562" s="49"/>
      <c r="AK1562" s="35" t="str">
        <f t="shared" ref="AK1562" si="6693">IF(INDEX($A$15:$N$36,MATCH($B1562,$A$15:$A$36,0),14)&lt;&gt;"=",IFERROR(INDEX(AJ1563:AL1815,MATCH(MAX(AK1563:AK1815),AK1563:AK1815,0),1)," ")," ")</f>
        <v xml:space="preserve"> </v>
      </c>
      <c r="AL1562" s="35" t="str">
        <f t="shared" ref="AL1562" si="6694">IF(INDEX($A$15:$N$36,MATCH($B1562,$A$15:$A$36,0),14)&lt;&gt;"=",IFERROR(INDEX(AJ1563:AL1815,MATCH(MIN(AL1563:AL1815),AL1563:AL1815,0),1)," ")," ")</f>
        <v xml:space="preserve"> </v>
      </c>
      <c r="AM1562" s="49" t="str">
        <f t="shared" ref="AM1562" si="6695">A$5</f>
        <v>X4</v>
      </c>
      <c r="AN1562" s="49"/>
      <c r="AO1562" s="49"/>
      <c r="AP1562" s="49"/>
      <c r="AQ1562" s="35" t="str">
        <f t="shared" ref="AQ1562" si="6696">IF(INDEX($A$15:$N$36,MATCH($B1562,$A$15:$A$36,0),14)&lt;&gt;"=",IFERROR(INDEX(AP1563:AR1815,MATCH(MAX(AQ1563:AQ1815),AQ1563:AQ1815,0),1)," ")," ")</f>
        <v xml:space="preserve"> </v>
      </c>
      <c r="AR1562" s="35" t="str">
        <f t="shared" ref="AR1562" si="6697">IF(INDEX($A$15:$N$36,MATCH($B1562,$A$15:$A$36,0),14)&lt;&gt;"=",IFERROR(INDEX(AP1563:AR1815,MATCH(MIN(AR1563:AR1815),AR1563:AR1815,0),1)," ")," ")</f>
        <v xml:space="preserve"> </v>
      </c>
      <c r="AS1562" s="49" t="str">
        <f t="shared" ref="AS1562" si="6698">A$6</f>
        <v>X5</v>
      </c>
      <c r="AT1562" s="49"/>
      <c r="AU1562" s="49"/>
      <c r="AV1562" s="49"/>
      <c r="AW1562" s="35" t="str">
        <f t="shared" ref="AW1562" si="6699">IF(INDEX($A$15:$N$36,MATCH($B1562,$A$15:$A$36,0),14)&lt;&gt;"=",IFERROR(INDEX(AV1563:AX1815,MATCH(MAX(AW1563:AW1815),AW1563:AW1815,0),1)," ")," ")</f>
        <v xml:space="preserve"> </v>
      </c>
      <c r="AX1562" s="35" t="str">
        <f t="shared" ref="AX1562" si="6700">IF(INDEX($A$15:$N$36,MATCH($B1562,$A$15:$A$36,0),14)&lt;&gt;"=",IFERROR(INDEX(AV1563:AX1815,MATCH(MIN(AX1563:AX1815),AX1563:AX1815,0),1)," ")," ")</f>
        <v xml:space="preserve"> </v>
      </c>
      <c r="AY1562" s="49" t="str">
        <f t="shared" ref="AY1562" si="6701">A$7</f>
        <v>X6</v>
      </c>
      <c r="AZ1562" s="49"/>
      <c r="BA1562" s="49"/>
      <c r="BB1562" s="49"/>
      <c r="BC1562" s="35" t="str">
        <f t="shared" ref="BC1562" si="6702">IF(INDEX($A$15:$N$36,MATCH($B1562,$A$15:$A$36,0),14)&lt;&gt;"=",IFERROR(INDEX(BB1563:BD1815,MATCH(MAX(BC1563:BC1815),BC1563:BC1815,0),1)," ")," ")</f>
        <v xml:space="preserve"> </v>
      </c>
      <c r="BD1562" s="35" t="str">
        <f t="shared" ref="BD1562" si="6703">IF(INDEX($A$15:$N$36,MATCH($B1562,$A$15:$A$36,0),14)&lt;&gt;"=",IFERROR(INDEX(BB1563:BD1815,MATCH(MIN(BD1563:BD1815),BD1563:BD1815,0),1)," ")," ")</f>
        <v xml:space="preserve"> </v>
      </c>
      <c r="BE1562" s="49" t="str">
        <f t="shared" ref="BE1562" si="6704">A$8</f>
        <v>X7</v>
      </c>
      <c r="BF1562" s="49"/>
      <c r="BG1562" s="49"/>
      <c r="BH1562" s="49"/>
      <c r="BI1562" s="35" t="str">
        <f t="shared" ref="BI1562" si="6705">IF(INDEX($A$15:$N$36,MATCH($B1562,$A$15:$A$36,0),14)&lt;&gt;"=",IFERROR(INDEX(BH1563:BJ1815,MATCH(MAX(BI1563:BI1815),BI1563:BI1815,0),1)," ")," ")</f>
        <v xml:space="preserve"> </v>
      </c>
      <c r="BJ1562" s="35" t="str">
        <f t="shared" ref="BJ1562" si="6706">IF(INDEX($A$15:$N$36,MATCH($B1562,$A$15:$A$36,0),14)&lt;&gt;"=",IFERROR(INDEX(BH1563:BJ1815,MATCH(MIN(BJ1563:BJ1815),BJ1563:BJ1815,0),1)," ")," ")</f>
        <v xml:space="preserve"> </v>
      </c>
      <c r="BK1562" s="49" t="str">
        <f t="shared" ref="BK1562" si="6707">A$9</f>
        <v>X8</v>
      </c>
      <c r="BL1562" s="49"/>
      <c r="BM1562" s="49"/>
      <c r="BN1562" s="49"/>
      <c r="BO1562" s="35" t="str">
        <f t="shared" ref="BO1562" si="6708">IF(INDEX($A$15:$N$36,MATCH($B1562,$A$15:$A$36,0),14)&lt;&gt;"=",IFERROR(INDEX(BN1563:BP1815,MATCH(MAX(BO1563:BO1815),BO1563:BO1815,0),1)," ")," ")</f>
        <v xml:space="preserve"> </v>
      </c>
      <c r="BP1562" s="35" t="str">
        <f t="shared" ref="BP1562" si="6709">IF(INDEX($A$15:$N$36,MATCH($B1562,$A$15:$A$36,0),14)&lt;&gt;"=",IFERROR(INDEX(BN1563:BP1815,MATCH(MIN(BP1563:BP1815),BP1563:BP1815,0),1)," ")," ")</f>
        <v xml:space="preserve"> </v>
      </c>
      <c r="BQ1562" s="49" t="str">
        <f t="shared" ref="BQ1562" si="6710">A$10</f>
        <v>X9</v>
      </c>
      <c r="BR1562" s="49"/>
      <c r="BS1562" s="49"/>
      <c r="BT1562" s="49"/>
      <c r="BU1562" s="35" t="str">
        <f t="shared" ref="BU1562" si="6711">IF(INDEX($A$15:$N$36,MATCH($B1562,$A$15:$A$36,0),14)&lt;&gt;"=",IFERROR(INDEX(BT1563:BV1815,MATCH(MAX(BU1563:BU1815),BU1563:BU1815,0),1)," ")," ")</f>
        <v xml:space="preserve"> </v>
      </c>
      <c r="BV1562" s="35" t="str">
        <f t="shared" ref="BV1562" si="6712">IF(INDEX($A$15:$N$36,MATCH($B1562,$A$15:$A$36,0),14)&lt;&gt;"=",IFERROR(INDEX(BT1563:BV1815,MATCH(MIN(BV1563:BV1815),BV1563:BV1815,0),1)," ")," ")</f>
        <v xml:space="preserve"> </v>
      </c>
      <c r="BW1562" s="49" t="str">
        <f t="shared" ref="BW1562" si="6713">A$11</f>
        <v>X10</v>
      </c>
      <c r="BX1562" s="49"/>
      <c r="BY1562" s="49"/>
      <c r="BZ1562" s="49"/>
      <c r="CA1562" s="35" t="str">
        <f t="shared" ref="CA1562" si="6714">IF(INDEX($A$15:$N$36,MATCH($B1562,$A$15:$A$36,0),14)&lt;&gt;"=",IFERROR(INDEX(BZ1563:CB1815,MATCH(MAX(CA1563:CA1815),CA1563:CA1815,0),1)," ")," ")</f>
        <v xml:space="preserve"> </v>
      </c>
      <c r="CB1562" s="35" t="str">
        <f t="shared" ref="CB1562" si="6715">IF(INDEX($A$15:$N$36,MATCH($B1562,$A$15:$A$36,0),14)&lt;&gt;"=",IFERROR(INDEX(BZ1563:CB1815,MATCH(MIN(CB1563:CB1815),CB1563:CB1815,0),1)," ")," ")</f>
        <v xml:space="preserve"> </v>
      </c>
      <c r="CC1562" s="49" t="str">
        <f t="shared" ref="CC1562" si="6716">A$12</f>
        <v>X11</v>
      </c>
      <c r="CD1562" s="49"/>
      <c r="CE1562" s="49"/>
      <c r="CF1562" s="49"/>
      <c r="CG1562" s="35" t="str">
        <f t="shared" ref="CG1562" si="6717">IF(INDEX($A$15:$N$36,MATCH($B1562,$A$15:$A$36,0),14)&lt;&gt;"=",IFERROR(INDEX(CF1563:CH1815,MATCH(MAX(CG1563:CG1815),CG1563:CG1815,0),1)," ")," ")</f>
        <v xml:space="preserve"> </v>
      </c>
      <c r="CH1562" s="35" t="str">
        <f t="shared" ref="CH1562" si="6718">IF(INDEX($A$15:$N$36,MATCH($B1562,$A$15:$A$36,0),14)&lt;&gt;"=",IFERROR(INDEX(CF1563:CH1815,MATCH(MIN(CH1563:CH1815),CH1563:CH1815,0),1)," ")," ")</f>
        <v xml:space="preserve"> </v>
      </c>
    </row>
    <row r="1563" spans="1:87" x14ac:dyDescent="0.2">
      <c r="A1563" s="11" t="s">
        <v>17</v>
      </c>
      <c r="B1563" s="11"/>
      <c r="C1563" s="27" t="s">
        <v>18</v>
      </c>
      <c r="D1563" s="27" t="s">
        <v>2</v>
      </c>
      <c r="E1563" s="27" t="s">
        <v>6</v>
      </c>
      <c r="F1563" s="27" t="s">
        <v>15</v>
      </c>
      <c r="G1563" s="27" t="s">
        <v>36</v>
      </c>
      <c r="H1563" s="27" t="s">
        <v>37</v>
      </c>
      <c r="I1563" s="27" t="s">
        <v>38</v>
      </c>
      <c r="J1563" s="27" t="s">
        <v>39</v>
      </c>
      <c r="K1563" s="27" t="s">
        <v>40</v>
      </c>
      <c r="L1563" s="27" t="s">
        <v>41</v>
      </c>
      <c r="M1563" s="27" t="s">
        <v>42</v>
      </c>
      <c r="N1563" s="27" t="s">
        <v>43</v>
      </c>
      <c r="O1563" s="27" t="s">
        <v>9</v>
      </c>
      <c r="P1563" s="27" t="s">
        <v>12</v>
      </c>
      <c r="Q1563" s="27" t="s">
        <v>19</v>
      </c>
      <c r="R1563" s="27" t="s">
        <v>55</v>
      </c>
      <c r="S1563" s="27" t="s">
        <v>26</v>
      </c>
      <c r="T1563" s="19" t="s">
        <v>25</v>
      </c>
      <c r="U1563" s="33" t="s">
        <v>27</v>
      </c>
      <c r="V1563" s="33" t="s">
        <v>9</v>
      </c>
      <c r="W1563" s="33" t="s">
        <v>23</v>
      </c>
      <c r="X1563" s="33" t="s">
        <v>12</v>
      </c>
      <c r="Y1563" s="33" t="s">
        <v>26</v>
      </c>
      <c r="Z1563" s="33" t="s">
        <v>25</v>
      </c>
      <c r="AA1563" s="33" t="s">
        <v>27</v>
      </c>
      <c r="AB1563" s="33" t="s">
        <v>9</v>
      </c>
      <c r="AC1563" s="33" t="s">
        <v>23</v>
      </c>
      <c r="AD1563" s="33" t="s">
        <v>12</v>
      </c>
      <c r="AE1563" s="33" t="s">
        <v>26</v>
      </c>
      <c r="AF1563" s="33" t="s">
        <v>25</v>
      </c>
      <c r="AG1563" s="33" t="s">
        <v>27</v>
      </c>
      <c r="AH1563" s="33" t="s">
        <v>9</v>
      </c>
      <c r="AI1563" s="33" t="s">
        <v>23</v>
      </c>
      <c r="AJ1563" s="33" t="s">
        <v>12</v>
      </c>
      <c r="AK1563" s="33" t="s">
        <v>26</v>
      </c>
      <c r="AL1563" s="33" t="s">
        <v>25</v>
      </c>
      <c r="AM1563" s="33" t="s">
        <v>27</v>
      </c>
      <c r="AN1563" s="33" t="s">
        <v>9</v>
      </c>
      <c r="AO1563" s="33" t="s">
        <v>23</v>
      </c>
      <c r="AP1563" s="33" t="s">
        <v>12</v>
      </c>
      <c r="AQ1563" s="33" t="s">
        <v>26</v>
      </c>
      <c r="AR1563" s="33" t="s">
        <v>25</v>
      </c>
      <c r="AS1563" s="33" t="s">
        <v>27</v>
      </c>
      <c r="AT1563" s="33" t="s">
        <v>9</v>
      </c>
      <c r="AU1563" s="33" t="s">
        <v>23</v>
      </c>
      <c r="AV1563" s="33" t="s">
        <v>12</v>
      </c>
      <c r="AW1563" s="33" t="s">
        <v>26</v>
      </c>
      <c r="AX1563" s="33" t="s">
        <v>25</v>
      </c>
      <c r="AY1563" s="33" t="s">
        <v>27</v>
      </c>
      <c r="AZ1563" s="33" t="s">
        <v>9</v>
      </c>
      <c r="BA1563" s="33" t="s">
        <v>23</v>
      </c>
      <c r="BB1563" s="33" t="s">
        <v>12</v>
      </c>
      <c r="BC1563" s="33" t="s">
        <v>26</v>
      </c>
      <c r="BD1563" s="33" t="s">
        <v>25</v>
      </c>
      <c r="BE1563" s="33" t="s">
        <v>27</v>
      </c>
      <c r="BF1563" s="33" t="s">
        <v>9</v>
      </c>
      <c r="BG1563" s="33" t="s">
        <v>23</v>
      </c>
      <c r="BH1563" s="33" t="s">
        <v>12</v>
      </c>
      <c r="BI1563" s="33" t="s">
        <v>26</v>
      </c>
      <c r="BJ1563" s="33" t="s">
        <v>25</v>
      </c>
      <c r="BK1563" s="33" t="s">
        <v>27</v>
      </c>
      <c r="BL1563" s="33" t="s">
        <v>9</v>
      </c>
      <c r="BM1563" s="33" t="s">
        <v>23</v>
      </c>
      <c r="BN1563" s="33" t="s">
        <v>12</v>
      </c>
      <c r="BO1563" s="33" t="s">
        <v>26</v>
      </c>
      <c r="BP1563" s="33" t="s">
        <v>25</v>
      </c>
      <c r="BQ1563" s="33" t="s">
        <v>27</v>
      </c>
      <c r="BR1563" s="33" t="s">
        <v>9</v>
      </c>
      <c r="BS1563" s="33" t="s">
        <v>23</v>
      </c>
      <c r="BT1563" s="33" t="s">
        <v>12</v>
      </c>
      <c r="BU1563" s="33" t="s">
        <v>26</v>
      </c>
      <c r="BV1563" s="33" t="s">
        <v>25</v>
      </c>
      <c r="BW1563" s="33" t="s">
        <v>27</v>
      </c>
      <c r="BX1563" s="33" t="s">
        <v>9</v>
      </c>
      <c r="BY1563" s="33" t="s">
        <v>23</v>
      </c>
      <c r="BZ1563" s="33" t="s">
        <v>12</v>
      </c>
      <c r="CA1563" s="33" t="s">
        <v>26</v>
      </c>
      <c r="CB1563" s="33" t="s">
        <v>25</v>
      </c>
      <c r="CC1563" s="33" t="s">
        <v>27</v>
      </c>
      <c r="CD1563" s="33" t="s">
        <v>9</v>
      </c>
      <c r="CE1563" s="33" t="s">
        <v>23</v>
      </c>
      <c r="CF1563" s="33" t="s">
        <v>12</v>
      </c>
      <c r="CG1563" s="33" t="s">
        <v>26</v>
      </c>
      <c r="CH1563" s="33" t="s">
        <v>25</v>
      </c>
      <c r="CI1563" s="8"/>
    </row>
    <row r="1564" spans="1:87" x14ac:dyDescent="0.2">
      <c r="A1564" s="8" t="str">
        <f>IF(AND(COUNTIF(W$3:W$13,A$15)&gt;0,A$15&lt;&gt;B1562),A$15,IFERROR(IF(MATCH(A$15,Z$3:Z$13,0)=1,A$15," ")," "))</f>
        <v>C1</v>
      </c>
      <c r="B1564" s="8">
        <f>IF(A1564=" "," ",1)</f>
        <v>1</v>
      </c>
      <c r="C1564" s="8" t="str">
        <f>IFERROR(INDEX(A1564:A1585,MATCH(SMALL(B1564:B1585,1),B1564:B1585,0),1)," ")</f>
        <v>C1</v>
      </c>
      <c r="D1564" s="8">
        <f>IFERROR(VLOOKUP($C1564,$A$15:$O$36,2,FALSE)," ")</f>
        <v>1</v>
      </c>
      <c r="E1564" s="8">
        <f>IFERROR(VLOOKUP($C1564,$A$15:$O$36,3,FALSE)," ")</f>
        <v>1</v>
      </c>
      <c r="F1564" s="8">
        <f>IFERROR(VLOOKUP($C1564,$A$15:$O$36,4,FALSE)," ")</f>
        <v>1</v>
      </c>
      <c r="G1564" s="8">
        <f>IFERROR(VLOOKUP($C1564,$A$15:$O$36,5,FALSE)," ")</f>
        <v>0</v>
      </c>
      <c r="H1564" s="8">
        <f>IFERROR(VLOOKUP($C1564,$A$15:$O$36,6,FALSE)," ")</f>
        <v>0</v>
      </c>
      <c r="I1564" s="8">
        <f>IFERROR(VLOOKUP($C1564,$A$15:$O$36,7,FALSE)," ")</f>
        <v>0</v>
      </c>
      <c r="J1564" s="8">
        <f>IFERROR(VLOOKUP($C1564,$A$15:$O$36,8,FALSE)," ")</f>
        <v>0</v>
      </c>
      <c r="K1564" s="8">
        <f>IFERROR(VLOOKUP($C1564,$A$15:$O$36,9,FALSE)," ")</f>
        <v>0</v>
      </c>
      <c r="L1564" s="8">
        <f>IFERROR(VLOOKUP($C1564,$A$15:$O$36,10,FALSE)," ")</f>
        <v>0</v>
      </c>
      <c r="M1564" s="8">
        <f>IFERROR(VLOOKUP($C1564,$A$15:$O$36,11,FALSE)," ")</f>
        <v>0</v>
      </c>
      <c r="N1564" s="8">
        <f>IFERROR(VLOOKUP($C1564,$A$15:$O$36,12,FALSE)," ")</f>
        <v>0</v>
      </c>
      <c r="O1564" s="8">
        <f>IFERROR(VLOOKUP($C1564,$A$15:$O$36,15,FALSE)," ")</f>
        <v>550</v>
      </c>
      <c r="P1564" s="8" t="e">
        <f t="array" ref="P1564:P1574">MMULT(MINVERSE(D1564:N1574),O1564:O1574)</f>
        <v>#NUM!</v>
      </c>
      <c r="Q1564" s="8" t="e">
        <f t="shared" ref="Q1564" si="6719">IF(COUNTIF(P1564:P1574,"&lt;"&amp;-0.001)=0,IF(ABS(P1564)&lt;0.001,0,P1564)," ")</f>
        <v>#NUM!</v>
      </c>
      <c r="R1564" s="8" t="str">
        <f>IFERROR(VLOOKUP(B1562,A$15:L$36,2,FALSE)*Q1564+VLOOKUP(B1562,A$15:L$36,3,FALSE)*Q1565+VLOOKUP(B1562,A$15:L$36,4,FALSE)*Q1566+VLOOKUP(B1562,A$15:L$36,5,FALSE)*Q1567+VLOOKUP(B1562,A$15:L$36,6,FALSE)*Q1568+VLOOKUP(B1562,A$15:L$36,7,FALSE)*Q1569+VLOOKUP(B1562,A$15:L$36,8,FALSE)*Q1570+VLOOKUP(B1562,A$15:L$36,9,FALSE)*Q1571+VLOOKUP(B1562,A$15:L$36,10,FALSE)*Q1572+VLOOKUP(B1562,A$15:L$36,11,FALSE)*Q1573+VLOOKUP(B1562,A$15:L$36,12,FALSE)*Q1574," ")</f>
        <v xml:space="preserve"> </v>
      </c>
      <c r="S1564" s="8" t="str">
        <f>IFERROR(IF(R1564-VLOOKUP(B1562,A$15:O$36,15,FALSE)&lt;0,R1564-VLOOKUP(B1562,A$15:O$36,15,FALSE)," ")," ")</f>
        <v xml:space="preserve"> </v>
      </c>
      <c r="T1564" s="18" t="str">
        <f>IFERROR(IF(R1564-VLOOKUP(B1562,A$15:O$36,15,FALSE)&gt;0,R1564-VLOOKUP(B1562,A$15:O$36,15,FALSE)," ")," ")</f>
        <v xml:space="preserve"> </v>
      </c>
      <c r="U1564" s="34">
        <f t="shared" ref="U1564" si="6720">$M$2</f>
        <v>100.00000000000001</v>
      </c>
      <c r="V1564" s="34">
        <v>-1</v>
      </c>
      <c r="W1564" s="34">
        <f t="shared" ref="W1564" si="6721">-SUMPRODUCT($M$3:$M$12,$N$3:$N$12)</f>
        <v>-105000</v>
      </c>
      <c r="X1564" s="34" t="e">
        <f t="shared" ref="X1564" si="6722">IF(U1564&lt;&gt;U1565,MMULT(MINVERSE(U1564:V1565),W1564:W1565)," ")</f>
        <v>#NUM!</v>
      </c>
      <c r="Y1564" s="34" t="str">
        <f t="shared" ref="Y1564" si="6723">IFERROR(IF(X1564-VLOOKUP(U$38,$A$2:$N$12,14,FALSE)&lt;0,X1564-VLOOKUP(U$38,$A$2:$N$12,14,FALSE)," ")," ")</f>
        <v xml:space="preserve"> </v>
      </c>
      <c r="Z1564" s="34" t="str">
        <f t="shared" ref="Z1564" si="6724">IFERROR(IF(X1564-VLOOKUP(U$38,$A$2:$N$12,14,FALSE)&gt;0,X1564-VLOOKUP(U$38,$A$2:$N$12,14,FALSE)," ")," ")</f>
        <v xml:space="preserve"> </v>
      </c>
      <c r="AA1564" s="34">
        <f t="shared" ref="AA1564" si="6725">$M$3</f>
        <v>0</v>
      </c>
      <c r="AB1564" s="34">
        <v>-1</v>
      </c>
      <c r="AC1564" s="34">
        <f t="shared" ref="AC1564" si="6726">-SUMPRODUCT($M$2:$M$2,$N$2:$N$2)-SUMPRODUCT($M$4:$M$12,$N$4:$N$12)</f>
        <v>-120000</v>
      </c>
      <c r="AD1564" s="34" t="e">
        <f t="shared" ref="AD1564" si="6727">IF(AA1564&lt;&gt;AA1565,MMULT(MINVERSE(AA1564:AB1565),AC1564:AC1565)," ")</f>
        <v>#NUM!</v>
      </c>
      <c r="AE1564" s="34" t="str">
        <f t="shared" ref="AE1564" si="6728">IFERROR(IF(AD1564-VLOOKUP(AA$38,$A$2:$N$12,14,FALSE)&lt;0,AD1564-VLOOKUP(AA$38,$A$2:$N$12,14,FALSE)," ")," ")</f>
        <v xml:space="preserve"> </v>
      </c>
      <c r="AF1564" s="34" t="str">
        <f t="shared" ref="AF1564" si="6729">IFERROR(IF(AD1564-VLOOKUP(AA$38,$A$2:$N$12,14,FALSE)&gt;0,AD1564-VLOOKUP(AA$38,$A$2:$N$12,14,FALSE)," ")," ")</f>
        <v xml:space="preserve"> </v>
      </c>
      <c r="AG1564" s="34">
        <f t="shared" ref="AG1564" si="6730">$M$4</f>
        <v>300</v>
      </c>
      <c r="AH1564" s="34">
        <v>-1</v>
      </c>
      <c r="AI1564" s="34">
        <f t="shared" ref="AI1564" si="6731">-SUMPRODUCT($M$2:$M$3,$N$2:$N$3)-SUMPRODUCT($M$5:$M$12,$N$5:$N$12)</f>
        <v>-15000.000000000002</v>
      </c>
      <c r="AJ1564" s="34" t="e">
        <f t="shared" ref="AJ1564" si="6732">IF(AG1564&lt;&gt;AG1565,MMULT(MINVERSE(AG1564:AH1565),AI1564:AI1565)," ")</f>
        <v>#NUM!</v>
      </c>
      <c r="AK1564" s="34" t="str">
        <f t="shared" ref="AK1564" si="6733">IFERROR(IF(AJ1564-VLOOKUP(AG$38,$A$2:$N$12,14,FALSE)&lt;0,AJ1564-VLOOKUP(AG$38,$A$2:$N$12,14,FALSE)," ")," ")</f>
        <v xml:space="preserve"> </v>
      </c>
      <c r="AL1564" s="34" t="str">
        <f t="shared" ref="AL1564" si="6734">IFERROR(IF(AJ1564-VLOOKUP(AG$38,$A$2:$N$12,14,FALSE)&gt;0,AJ1564-VLOOKUP(AG$38,$A$2:$N$12,14,FALSE)," ")," ")</f>
        <v xml:space="preserve"> </v>
      </c>
      <c r="AM1564" s="34">
        <f t="shared" ref="AM1564" si="6735">$M$5</f>
        <v>0</v>
      </c>
      <c r="AN1564" s="34">
        <v>-1</v>
      </c>
      <c r="AO1564" s="34">
        <f t="shared" ref="AO1564" si="6736">-SUMPRODUCT($M$2:$M$4,$N$2:$N$4)-SUMPRODUCT($M$6:$M$12,$N$6:$N$12)</f>
        <v>-120000</v>
      </c>
      <c r="AP1564" s="34" t="e">
        <f t="shared" ref="AP1564" si="6737">IF(AM1564&lt;&gt;AM1565,MMULT(MINVERSE(AM1564:AN1565),AO1564:AO1565)," ")</f>
        <v>#NUM!</v>
      </c>
      <c r="AQ1564" s="34" t="str">
        <f t="shared" ref="AQ1564" si="6738">IFERROR(IF(AP1564-VLOOKUP(AM$38,$A$2:$N$12,14,FALSE)&lt;0,AP1564-VLOOKUP(AM$38,$A$2:$N$12,14,FALSE)," ")," ")</f>
        <v xml:space="preserve"> </v>
      </c>
      <c r="AR1564" s="34" t="str">
        <f t="shared" ref="AR1564" si="6739">IFERROR(IF(AP1564-VLOOKUP(AM$38,$A$2:$N$12,14,FALSE)&gt;0,AP1564-VLOOKUP(AM$38,$A$2:$N$12,14,FALSE)," ")," ")</f>
        <v xml:space="preserve"> </v>
      </c>
      <c r="AS1564" s="34">
        <f t="shared" ref="AS1564" si="6740">$M$6</f>
        <v>0</v>
      </c>
      <c r="AT1564" s="34">
        <v>-1</v>
      </c>
      <c r="AU1564" s="34">
        <f t="shared" ref="AU1564" si="6741">-SUMPRODUCT($M$2:$M$5,$N$2:$N$5)-SUMPRODUCT($M$7:$M$12,$N$7:$N$12)</f>
        <v>-120000</v>
      </c>
      <c r="AV1564" s="34" t="e">
        <f t="shared" ref="AV1564" si="6742">IF(AS1564&lt;&gt;AS1565,MMULT(MINVERSE(AS1564:AT1565),AU1564:AU1565)," ")</f>
        <v>#NUM!</v>
      </c>
      <c r="AW1564" s="34" t="str">
        <f t="shared" ref="AW1564" si="6743">IFERROR(IF(AV1564-VLOOKUP(AS$38,$A$2:$N$12,14,FALSE)&lt;0,AV1564-VLOOKUP(AS$38,$A$2:$N$12,14,FALSE)," ")," ")</f>
        <v xml:space="preserve"> </v>
      </c>
      <c r="AX1564" s="34" t="str">
        <f t="shared" ref="AX1564" si="6744">IFERROR(IF(AV1564-VLOOKUP(AS$38,$A$2:$N$12,14,FALSE)&gt;0,AV1564-VLOOKUP(AS$38,$A$2:$N$12,14,FALSE)," ")," ")</f>
        <v xml:space="preserve"> </v>
      </c>
      <c r="AY1564" s="34">
        <f t="shared" ref="AY1564" si="6745">$M$7</f>
        <v>0</v>
      </c>
      <c r="AZ1564" s="34">
        <v>-1</v>
      </c>
      <c r="BA1564" s="34">
        <f t="shared" ref="BA1564" si="6746">-SUMPRODUCT($M$2:$M$6,$N$2:$N$6)-SUMPRODUCT($M$8:$M$12,$N$8:$N$12)</f>
        <v>-120000</v>
      </c>
      <c r="BB1564" s="34" t="e">
        <f t="shared" ref="BB1564" si="6747">IF(AY1564&lt;&gt;AY1565,MMULT(MINVERSE(AY1564:AZ1565),BA1564:BA1565)," ")</f>
        <v>#NUM!</v>
      </c>
      <c r="BC1564" s="34" t="str">
        <f t="shared" ref="BC1564" si="6748">IFERROR(IF(BB1564-VLOOKUP(AY$38,$A$2:$N$12,14,FALSE)&lt;0,BB1564-VLOOKUP(AY$38,$A$2:$N$12,14,FALSE)," ")," ")</f>
        <v xml:space="preserve"> </v>
      </c>
      <c r="BD1564" s="34" t="str">
        <f t="shared" ref="BD1564" si="6749">IFERROR(IF(BB1564-VLOOKUP(AY$38,$A$2:$N$12,14,FALSE)&gt;0,BB1564-VLOOKUP(AY$38,$A$2:$N$12,14,FALSE)," ")," ")</f>
        <v xml:space="preserve"> </v>
      </c>
      <c r="BE1564" s="34">
        <f t="shared" ref="BE1564" si="6750">$M$8</f>
        <v>0</v>
      </c>
      <c r="BF1564" s="34">
        <v>-1</v>
      </c>
      <c r="BG1564" s="34">
        <f t="shared" ref="BG1564" si="6751">-SUMPRODUCT($M$2:$M$7,$N$2:$N$7)-SUMPRODUCT($M$9:$M$12,$N$9:$N$12)</f>
        <v>-120000</v>
      </c>
      <c r="BH1564" s="34" t="e">
        <f t="shared" ref="BH1564" si="6752">IF(BE1564&lt;&gt;BE1565,MMULT(MINVERSE(BE1564:BF1565),BG1564:BG1565)," ")</f>
        <v>#NUM!</v>
      </c>
      <c r="BI1564" s="34" t="str">
        <f t="shared" ref="BI1564" si="6753">IFERROR(IF(BH1564-VLOOKUP(BE$38,$A$2:$N$12,14,FALSE)&lt;0,BH1564-VLOOKUP(BE$38,$A$2:$N$12,14,FALSE)," ")," ")</f>
        <v xml:space="preserve"> </v>
      </c>
      <c r="BJ1564" s="34" t="str">
        <f t="shared" ref="BJ1564" si="6754">IFERROR(IF(BH1564-VLOOKUP(BE$38,$A$2:$N$12,14,FALSE)&gt;0,BH1564-VLOOKUP(BE$38,$A$2:$N$12,14,FALSE)," ")," ")</f>
        <v xml:space="preserve"> </v>
      </c>
      <c r="BK1564" s="34">
        <f t="shared" ref="BK1564" si="6755">$M$9</f>
        <v>0</v>
      </c>
      <c r="BL1564" s="34">
        <v>-1</v>
      </c>
      <c r="BM1564" s="34">
        <f t="shared" ref="BM1564" si="6756">-SUMPRODUCT($M$2:$M$8,$N$2:$N$8)-SUMPRODUCT($M$10:$M$12,$N$10:$N$12)</f>
        <v>-120000</v>
      </c>
      <c r="BN1564" s="34" t="e">
        <f t="shared" ref="BN1564" si="6757">IF(BK1564&lt;&gt;BK1565,MMULT(MINVERSE(BK1564:BL1565),BM1564:BM1565)," ")</f>
        <v>#NUM!</v>
      </c>
      <c r="BO1564" s="34" t="str">
        <f t="shared" ref="BO1564" si="6758">IFERROR(IF(BN1564-VLOOKUP(BK$38,$A$2:$N$12,14,FALSE)&lt;0,BN1564-VLOOKUP(BK$38,$A$2:$N$12,14,FALSE)," ")," ")</f>
        <v xml:space="preserve"> </v>
      </c>
      <c r="BP1564" s="34" t="str">
        <f t="shared" ref="BP1564" si="6759">IFERROR(IF(BN1564-VLOOKUP(BK$38,$A$2:$N$12,14,FALSE)&gt;0,BN1564-VLOOKUP(BK$38,$A$2:$N$12,14,FALSE)," ")," ")</f>
        <v xml:space="preserve"> </v>
      </c>
      <c r="BQ1564" s="34">
        <f t="shared" ref="BQ1564" si="6760">$M$10</f>
        <v>0</v>
      </c>
      <c r="BR1564" s="34">
        <v>-1</v>
      </c>
      <c r="BS1564" s="34">
        <f t="shared" ref="BS1564" si="6761">-SUMPRODUCT($M$2:$M$9,$N$2:$N$9)-SUMPRODUCT($M$11:$M$12,$N$11:$N$12)</f>
        <v>-120000</v>
      </c>
      <c r="BT1564" s="34" t="e">
        <f t="shared" ref="BT1564" si="6762">IF(BQ1564&lt;&gt;BQ1565,MMULT(MINVERSE(BQ1564:BR1565),BS1564:BS1565)," ")</f>
        <v>#NUM!</v>
      </c>
      <c r="BU1564" s="34" t="str">
        <f t="shared" ref="BU1564" si="6763">IFERROR(IF(BT1564-VLOOKUP(BQ$38,$A$2:$N$12,14,FALSE)&lt;0,BT1564-VLOOKUP(BQ$38,$A$2:$N$12,14,FALSE)," ")," ")</f>
        <v xml:space="preserve"> </v>
      </c>
      <c r="BV1564" s="34" t="str">
        <f t="shared" ref="BV1564" si="6764">IFERROR(IF(BT1564-VLOOKUP(BQ$38,$A$2:$N$12,14,FALSE)&gt;0,BT1564-VLOOKUP(BQ$38,$A$2:$N$12,14,FALSE)," ")," ")</f>
        <v xml:space="preserve"> </v>
      </c>
      <c r="BW1564" s="34">
        <f t="shared" ref="BW1564" si="6765">$M$11</f>
        <v>0</v>
      </c>
      <c r="BX1564" s="34">
        <v>-1</v>
      </c>
      <c r="BY1564" s="34">
        <f t="shared" ref="BY1564" si="6766">-SUMPRODUCT($M$2:$M$10,$N$2:$N$10)-SUMPRODUCT($M$12,$N$12)</f>
        <v>-120000</v>
      </c>
      <c r="BZ1564" s="34" t="e">
        <f t="shared" ref="BZ1564" si="6767">IF(BW1564&lt;&gt;BW1565,MMULT(MINVERSE(BW1564:BX1565),BY1564:BY1565)," ")</f>
        <v>#NUM!</v>
      </c>
      <c r="CA1564" s="34" t="str">
        <f t="shared" ref="CA1564" si="6768">IFERROR(IF(BZ1564-VLOOKUP(BW$38,$A$2:$N$12,14,FALSE)&lt;0,BZ1564-VLOOKUP(BW$38,$A$2:$N$12,14,FALSE)," ")," ")</f>
        <v xml:space="preserve"> </v>
      </c>
      <c r="CB1564" s="34" t="str">
        <f t="shared" ref="CB1564" si="6769">IFERROR(IF(BZ1564-VLOOKUP(BW$38,$A$2:$N$12,14,FALSE)&gt;0,BZ1564-VLOOKUP(BW$38,$A$2:$N$12,14,FALSE)," ")," ")</f>
        <v xml:space="preserve"> </v>
      </c>
      <c r="CC1564" s="34">
        <f t="shared" ref="CC1564" si="6770">$M$12</f>
        <v>0</v>
      </c>
      <c r="CD1564" s="34">
        <v>-1</v>
      </c>
      <c r="CE1564" s="34">
        <f t="shared" ref="CE1564" si="6771">-SUMPRODUCT($M$2:$M$11,$N$2:$N$11)</f>
        <v>-120000</v>
      </c>
      <c r="CF1564" s="34" t="e">
        <f t="shared" ref="CF1564" si="6772">IF(CC1564&lt;&gt;CC1565,MMULT(MINVERSE(CC1564:CD1565),CE1564:CE1565)," ")</f>
        <v>#NUM!</v>
      </c>
      <c r="CG1564" s="34" t="str">
        <f t="shared" ref="CG1564" si="6773">IFERROR(IF(CF1564-VLOOKUP(CC$38,$A$2:$N$12,14,FALSE)&lt;0,CF1564-VLOOKUP(CC$38,$A$2:$N$12,14,FALSE)," ")," ")</f>
        <v xml:space="preserve"> </v>
      </c>
      <c r="CH1564" s="34" t="str">
        <f t="shared" ref="CH1564" si="6774">IFERROR(IF(CF1564-VLOOKUP(CC$38,$A$2:$N$12,14,FALSE)&gt;0,CF1564-VLOOKUP(CC$38,$A$2:$N$12,14,FALSE)," ")," ")</f>
        <v xml:space="preserve"> </v>
      </c>
      <c r="CI1564" s="8"/>
    </row>
    <row r="1565" spans="1:87" x14ac:dyDescent="0.2">
      <c r="A1565" s="8" t="str">
        <f>IF(AND(COUNTIF(W$3:W$13,A$16)&gt;0,A$16&lt;&gt;B1562),A$16,IFERROR(IF(MATCH(A$16,Z$3:Z$13,0)=1,A$16," ")," "))</f>
        <v xml:space="preserve"> </v>
      </c>
      <c r="B1565" s="8" t="str">
        <f>IF(A1565=" "," ",MAX(B1564:B1564)+1)</f>
        <v xml:space="preserve"> </v>
      </c>
      <c r="C1565" s="8" t="str">
        <f>IFERROR(INDEX(A1564:A1585,MATCH(SMALL(B1564:B1585,2),B1564:B1585,0),1)," ")</f>
        <v>C3</v>
      </c>
      <c r="D1565" s="8">
        <f t="shared" ref="D1565:D1574" si="6775">IFERROR(VLOOKUP($C1565,$A$15:$O$36,2,FALSE)," ")</f>
        <v>2</v>
      </c>
      <c r="E1565" s="8">
        <f t="shared" ref="E1565:E1574" si="6776">IFERROR(VLOOKUP($C1565,$A$15:$O$36,3,FALSE)," ")</f>
        <v>5</v>
      </c>
      <c r="F1565" s="8">
        <f t="shared" ref="F1565:F1574" si="6777">IFERROR(VLOOKUP($C1565,$A$15:$O$36,4,FALSE)," ")</f>
        <v>6</v>
      </c>
      <c r="G1565" s="8">
        <f t="shared" ref="G1565:G1574" si="6778">IFERROR(VLOOKUP($C1565,$A$15:$O$36,5,FALSE)," ")</f>
        <v>0</v>
      </c>
      <c r="H1565" s="8">
        <f t="shared" ref="H1565:H1574" si="6779">IFERROR(VLOOKUP($C1565,$A$15:$O$36,6,FALSE)," ")</f>
        <v>0</v>
      </c>
      <c r="I1565" s="8">
        <f t="shared" ref="I1565:I1574" si="6780">IFERROR(VLOOKUP($C1565,$A$15:$O$36,7,FALSE)," ")</f>
        <v>0</v>
      </c>
      <c r="J1565" s="8">
        <f t="shared" ref="J1565:J1574" si="6781">IFERROR(VLOOKUP($C1565,$A$15:$O$36,8,FALSE)," ")</f>
        <v>0</v>
      </c>
      <c r="K1565" s="8">
        <f t="shared" ref="K1565:K1574" si="6782">IFERROR(VLOOKUP($C1565,$A$15:$O$36,9,FALSE)," ")</f>
        <v>0</v>
      </c>
      <c r="L1565" s="8">
        <f t="shared" ref="L1565:L1574" si="6783">IFERROR(VLOOKUP($C1565,$A$15:$O$36,10,FALSE)," ")</f>
        <v>0</v>
      </c>
      <c r="M1565" s="8">
        <f t="shared" ref="M1565:M1574" si="6784">IFERROR(VLOOKUP($C1565,$A$15:$O$36,11,FALSE)," ")</f>
        <v>0</v>
      </c>
      <c r="N1565" s="8">
        <f t="shared" ref="N1565:N1574" si="6785">IFERROR(VLOOKUP($C1565,$A$15:$O$36,12,FALSE)," ")</f>
        <v>0</v>
      </c>
      <c r="O1565" s="8">
        <f t="shared" ref="O1565:O1574" si="6786">IFERROR(VLOOKUP($C1565,$A$15:$O$36,15,FALSE)," ")</f>
        <v>2000</v>
      </c>
      <c r="P1565" s="8" t="e">
        <v>#NUM!</v>
      </c>
      <c r="Q1565" s="8" t="e">
        <f t="shared" ref="Q1565" si="6787">IF(COUNTIF(P1564:P1574,"&lt;"&amp;-0.001)=0,IF(ABS(P1565)&lt;0.001,0,P1565)," ")</f>
        <v>#NUM!</v>
      </c>
      <c r="R1565" s="8"/>
      <c r="S1565" s="8"/>
      <c r="U1565" s="34" t="e">
        <f t="shared" ref="U1565" si="6788">$Q1564</f>
        <v>#NUM!</v>
      </c>
      <c r="V1565" s="34">
        <v>-1</v>
      </c>
      <c r="W1565" s="34" t="e">
        <f t="shared" ref="W1565" si="6789">-SUMPRODUCT($Q1565:$Q1574,$N$3:$N$12)</f>
        <v>#NUM!</v>
      </c>
      <c r="X1565" s="34"/>
      <c r="Y1565" s="34"/>
      <c r="Z1565" s="34"/>
      <c r="AA1565" s="34" t="e">
        <f t="shared" ref="AA1565" si="6790">$Q1565</f>
        <v>#NUM!</v>
      </c>
      <c r="AB1565" s="34">
        <v>-1</v>
      </c>
      <c r="AC1565" s="34" t="e">
        <f t="shared" ref="AC1565" si="6791">-SUMPRODUCT($Q1564:$Q1564,$N$2:$N$2)-SUMPRODUCT($Q1566:$Q1574,$N$4:$N$12)</f>
        <v>#NUM!</v>
      </c>
      <c r="AD1565" s="34"/>
      <c r="AE1565" s="34"/>
      <c r="AF1565" s="34"/>
      <c r="AG1565" s="34" t="e">
        <f t="shared" ref="AG1565" si="6792">$Q1566</f>
        <v>#NUM!</v>
      </c>
      <c r="AH1565" s="34">
        <v>-1</v>
      </c>
      <c r="AI1565" s="34" t="e">
        <f t="shared" ref="AI1565" si="6793">-SUMPRODUCT($Q1564:$Q1565,$N$2:$N$3)-SUMPRODUCT($Q1567:$Q1574,$N$5:$N$12)</f>
        <v>#NUM!</v>
      </c>
      <c r="AJ1565" s="34"/>
      <c r="AK1565" s="34"/>
      <c r="AL1565" s="34"/>
      <c r="AM1565" s="34" t="e">
        <f t="shared" ref="AM1565" si="6794">$Q1567</f>
        <v>#NUM!</v>
      </c>
      <c r="AN1565" s="34">
        <v>-1</v>
      </c>
      <c r="AO1565" s="34" t="e">
        <f t="shared" ref="AO1565" si="6795">-SUMPRODUCT($Q1564:$Q1566,$N$2:$N$4)-SUMPRODUCT($Q1568:$Q1574,$N$6:$N$12)</f>
        <v>#NUM!</v>
      </c>
      <c r="AP1565" s="34"/>
      <c r="AQ1565" s="34"/>
      <c r="AR1565" s="34"/>
      <c r="AS1565" s="34" t="e">
        <f t="shared" ref="AS1565" si="6796">$Q1568</f>
        <v>#NUM!</v>
      </c>
      <c r="AT1565" s="34">
        <v>-1</v>
      </c>
      <c r="AU1565" s="34" t="e">
        <f t="shared" ref="AU1565" si="6797">-SUMPRODUCT($Q1564:$Q1567,$N$2:$N$5)-SUMPRODUCT($Q1569:$Q1574,$N$7:$N$12)</f>
        <v>#NUM!</v>
      </c>
      <c r="AV1565" s="34"/>
      <c r="AW1565" s="34"/>
      <c r="AX1565" s="34"/>
      <c r="AY1565" s="34" t="e">
        <f t="shared" ref="AY1565" si="6798">$Q1569</f>
        <v>#NUM!</v>
      </c>
      <c r="AZ1565" s="34">
        <v>-1</v>
      </c>
      <c r="BA1565" s="34" t="e">
        <f t="shared" ref="BA1565" si="6799">-SUMPRODUCT($Q1564:$Q1568,$N$2:$N$6)-SUMPRODUCT($Q1570:$Q1574,$N$8:$N$12)</f>
        <v>#NUM!</v>
      </c>
      <c r="BB1565" s="34"/>
      <c r="BC1565" s="34"/>
      <c r="BD1565" s="34"/>
      <c r="BE1565" s="34" t="e">
        <f t="shared" ref="BE1565" si="6800">$Q1570</f>
        <v>#NUM!</v>
      </c>
      <c r="BF1565" s="34">
        <v>-1</v>
      </c>
      <c r="BG1565" s="34" t="e">
        <f t="shared" ref="BG1565" si="6801">-SUMPRODUCT($Q1564:$Q1569,$N$2:$N$7)-SUMPRODUCT($Q1571:$Q1574,$N$9:$N$12)</f>
        <v>#NUM!</v>
      </c>
      <c r="BH1565" s="34"/>
      <c r="BI1565" s="34"/>
      <c r="BJ1565" s="34"/>
      <c r="BK1565" s="34" t="e">
        <f t="shared" ref="BK1565" si="6802">$Q1571</f>
        <v>#NUM!</v>
      </c>
      <c r="BL1565" s="34">
        <v>-1</v>
      </c>
      <c r="BM1565" s="34" t="e">
        <f t="shared" ref="BM1565" si="6803">-SUMPRODUCT($Q1564:$Q1570,$N$2:$N$8)-SUMPRODUCT($Q1572:$Q1574,$N$10:$N$12)</f>
        <v>#NUM!</v>
      </c>
      <c r="BN1565" s="34"/>
      <c r="BO1565" s="34"/>
      <c r="BP1565" s="34"/>
      <c r="BQ1565" s="34" t="e">
        <f t="shared" ref="BQ1565" si="6804">$Q1572</f>
        <v>#NUM!</v>
      </c>
      <c r="BR1565" s="34">
        <v>-1</v>
      </c>
      <c r="BS1565" s="34" t="e">
        <f t="shared" ref="BS1565" si="6805">-SUMPRODUCT($Q1564:$Q1571,$N$2:$N$9)-SUMPRODUCT($Q1573:$Q1574,$N$11:$N$12)</f>
        <v>#NUM!</v>
      </c>
      <c r="BT1565" s="34"/>
      <c r="BU1565" s="34"/>
      <c r="BV1565" s="34"/>
      <c r="BW1565" s="34" t="e">
        <f t="shared" ref="BW1565" si="6806">$Q1573</f>
        <v>#NUM!</v>
      </c>
      <c r="BX1565" s="34">
        <v>-1</v>
      </c>
      <c r="BY1565" s="34" t="e">
        <f t="shared" ref="BY1565" si="6807">-SUMPRODUCT($Q1564:$Q1572,$N$2:$N$10)-SUMPRODUCT($Q1574,$N$12)</f>
        <v>#NUM!</v>
      </c>
      <c r="BZ1565" s="34"/>
      <c r="CA1565" s="34"/>
      <c r="CB1565" s="34"/>
      <c r="CC1565" s="34" t="e">
        <f t="shared" ref="CC1565" si="6808">$Q1574</f>
        <v>#NUM!</v>
      </c>
      <c r="CD1565" s="34">
        <v>-1</v>
      </c>
      <c r="CE1565" s="34" t="e">
        <f t="shared" ref="CE1565" si="6809">-SUMPRODUCT($Q1564:$Q1573,$N$2:$N$11)</f>
        <v>#NUM!</v>
      </c>
      <c r="CF1565" s="34"/>
      <c r="CG1565" s="34"/>
      <c r="CH1565" s="34"/>
      <c r="CI1565" s="8"/>
    </row>
    <row r="1566" spans="1:87" x14ac:dyDescent="0.2">
      <c r="A1566" s="8" t="str">
        <f>IF(AND(COUNTIF(W$3:W$13,A$17)&gt;0,A$17&lt;&gt;B1562),A$17,IFERROR(IF(MATCH(A$17,Z$3:Z$13,0)=1,A$17," ")," "))</f>
        <v>C3</v>
      </c>
      <c r="B1566" s="8">
        <f>IF(A1566=" "," ",MAX(B1564:B1565)+1)</f>
        <v>2</v>
      </c>
      <c r="C1566" s="8" t="str">
        <f>IFERROR(INDEX(A1564:A1585,MATCH(SMALL(B1564:B1585,3),B1564:B1585,0),1)," ")</f>
        <v>C4</v>
      </c>
      <c r="D1566" s="8">
        <f t="shared" si="6775"/>
        <v>1</v>
      </c>
      <c r="E1566" s="8">
        <f t="shared" si="6776"/>
        <v>0</v>
      </c>
      <c r="F1566" s="8">
        <f t="shared" si="6777"/>
        <v>1</v>
      </c>
      <c r="G1566" s="8">
        <f t="shared" si="6778"/>
        <v>0</v>
      </c>
      <c r="H1566" s="8">
        <f t="shared" si="6779"/>
        <v>0</v>
      </c>
      <c r="I1566" s="8">
        <f t="shared" si="6780"/>
        <v>0</v>
      </c>
      <c r="J1566" s="8">
        <f t="shared" si="6781"/>
        <v>0</v>
      </c>
      <c r="K1566" s="8">
        <f t="shared" si="6782"/>
        <v>0</v>
      </c>
      <c r="L1566" s="8">
        <f t="shared" si="6783"/>
        <v>0</v>
      </c>
      <c r="M1566" s="8">
        <f t="shared" si="6784"/>
        <v>0</v>
      </c>
      <c r="N1566" s="8">
        <f t="shared" si="6785"/>
        <v>0</v>
      </c>
      <c r="O1566" s="8">
        <f t="shared" si="6786"/>
        <v>400</v>
      </c>
      <c r="P1566" s="8" t="e">
        <v>#NUM!</v>
      </c>
      <c r="Q1566" s="8" t="e">
        <f t="shared" ref="Q1566" si="6810">IF(COUNTIF(P1564:P1574,"&lt;"&amp;-0.001)=0,IF(ABS(P1566)&lt;0.001,0,P1566)," ")</f>
        <v>#NUM!</v>
      </c>
      <c r="R1566" s="8"/>
      <c r="S1566" s="8"/>
      <c r="U1566" s="34"/>
      <c r="V1566" s="34"/>
      <c r="W1566" s="34"/>
      <c r="X1566" s="34"/>
      <c r="Y1566" s="34"/>
      <c r="Z1566" s="34"/>
      <c r="AA1566" s="34"/>
      <c r="AB1566" s="34"/>
      <c r="AC1566" s="34"/>
      <c r="AD1566" s="34"/>
      <c r="AE1566" s="34"/>
      <c r="AF1566" s="34"/>
      <c r="AG1566" s="34"/>
      <c r="AH1566" s="34"/>
      <c r="AI1566" s="34"/>
      <c r="AJ1566" s="34"/>
      <c r="AK1566" s="34"/>
      <c r="AL1566" s="34"/>
      <c r="AM1566" s="34"/>
      <c r="AN1566" s="34"/>
      <c r="AO1566" s="34"/>
      <c r="AP1566" s="34"/>
      <c r="AQ1566" s="34"/>
      <c r="AR1566" s="34"/>
      <c r="AS1566" s="34"/>
      <c r="AT1566" s="34"/>
      <c r="AU1566" s="34"/>
      <c r="AV1566" s="34"/>
      <c r="AW1566" s="34"/>
      <c r="AX1566" s="34"/>
      <c r="AY1566" s="34"/>
      <c r="AZ1566" s="34"/>
      <c r="BA1566" s="34"/>
      <c r="BB1566" s="34"/>
      <c r="BC1566" s="34"/>
      <c r="BD1566" s="34"/>
      <c r="BE1566" s="34"/>
      <c r="BF1566" s="34"/>
      <c r="BG1566" s="34"/>
      <c r="BH1566" s="34"/>
      <c r="BI1566" s="34"/>
      <c r="BJ1566" s="34"/>
      <c r="BK1566" s="34"/>
      <c r="BL1566" s="34"/>
      <c r="BM1566" s="34"/>
      <c r="BN1566" s="34"/>
      <c r="BO1566" s="34"/>
      <c r="BP1566" s="34"/>
      <c r="BQ1566" s="34"/>
      <c r="BR1566" s="34"/>
      <c r="BS1566" s="34"/>
      <c r="BT1566" s="34"/>
      <c r="BU1566" s="34"/>
      <c r="BV1566" s="34"/>
      <c r="BW1566" s="34"/>
      <c r="BX1566" s="34"/>
      <c r="BY1566" s="34"/>
      <c r="BZ1566" s="34"/>
      <c r="CA1566" s="34"/>
      <c r="CB1566" s="34"/>
      <c r="CC1566" s="34"/>
      <c r="CD1566" s="34"/>
      <c r="CE1566" s="34"/>
      <c r="CF1566" s="34"/>
      <c r="CG1566" s="34"/>
      <c r="CH1566" s="34"/>
      <c r="CI1566" s="8"/>
    </row>
    <row r="1567" spans="1:87" x14ac:dyDescent="0.2">
      <c r="A1567" s="8" t="str">
        <f>IF(AND(COUNTIF(W$3:W$13,A$18)&gt;0,A$18&lt;&gt;B1562),A$18,IFERROR(IF(MATCH(A$18,Z$3:Z$13,0)=1,A$18," ")," "))</f>
        <v>C4</v>
      </c>
      <c r="B1567" s="8">
        <f>IF(A1567=" "," ",MAX(B1564:B1566)+1)</f>
        <v>3</v>
      </c>
      <c r="C1567" s="8" t="str">
        <f>IFERROR(INDEX(A1564:A1585,MATCH(SMALL(B1564:B1585,4),B1564:B1585,0),1)," ")</f>
        <v>C13</v>
      </c>
      <c r="D1567" s="8">
        <f t="shared" si="6775"/>
        <v>0</v>
      </c>
      <c r="E1567" s="8">
        <f t="shared" si="6776"/>
        <v>1</v>
      </c>
      <c r="F1567" s="8">
        <f t="shared" si="6777"/>
        <v>0</v>
      </c>
      <c r="G1567" s="8">
        <f t="shared" si="6778"/>
        <v>0</v>
      </c>
      <c r="H1567" s="8">
        <f t="shared" si="6779"/>
        <v>0</v>
      </c>
      <c r="I1567" s="8">
        <f t="shared" si="6780"/>
        <v>0</v>
      </c>
      <c r="J1567" s="8">
        <f t="shared" si="6781"/>
        <v>0</v>
      </c>
      <c r="K1567" s="8">
        <f t="shared" si="6782"/>
        <v>0</v>
      </c>
      <c r="L1567" s="8">
        <f t="shared" si="6783"/>
        <v>0</v>
      </c>
      <c r="M1567" s="8">
        <f t="shared" si="6784"/>
        <v>0</v>
      </c>
      <c r="N1567" s="8">
        <f t="shared" si="6785"/>
        <v>0</v>
      </c>
      <c r="O1567" s="8">
        <f t="shared" si="6786"/>
        <v>0</v>
      </c>
      <c r="P1567" s="8" t="e">
        <v>#NUM!</v>
      </c>
      <c r="Q1567" s="8" t="e">
        <f t="shared" ref="Q1567" si="6811">IF(COUNTIF(P1564:P1574,"&lt;"&amp;-0.001)=0,IF(ABS(P1567)&lt;0.001,0,P1567)," ")</f>
        <v>#NUM!</v>
      </c>
      <c r="R1567" s="8"/>
      <c r="S1567" s="8"/>
      <c r="U1567" s="34"/>
      <c r="V1567" s="34"/>
      <c r="W1567" s="34"/>
      <c r="X1567" s="34"/>
      <c r="Y1567" s="34"/>
      <c r="Z1567" s="34"/>
      <c r="AA1567" s="34"/>
      <c r="AB1567" s="34"/>
      <c r="AC1567" s="34"/>
      <c r="AD1567" s="34"/>
      <c r="AE1567" s="34"/>
      <c r="AF1567" s="34"/>
      <c r="AG1567" s="34"/>
      <c r="AH1567" s="34"/>
      <c r="AI1567" s="34"/>
      <c r="AJ1567" s="34"/>
      <c r="AK1567" s="34"/>
      <c r="AL1567" s="34"/>
      <c r="AM1567" s="34"/>
      <c r="AN1567" s="34"/>
      <c r="AO1567" s="34"/>
      <c r="AP1567" s="34"/>
      <c r="AQ1567" s="34"/>
      <c r="AR1567" s="34"/>
      <c r="AS1567" s="34"/>
      <c r="AT1567" s="34"/>
      <c r="AU1567" s="34"/>
      <c r="AV1567" s="34"/>
      <c r="AW1567" s="34"/>
      <c r="AX1567" s="34"/>
      <c r="AY1567" s="34"/>
      <c r="AZ1567" s="34"/>
      <c r="BA1567" s="34"/>
      <c r="BB1567" s="34"/>
      <c r="BC1567" s="34"/>
      <c r="BD1567" s="34"/>
      <c r="BE1567" s="34"/>
      <c r="BF1567" s="34"/>
      <c r="BG1567" s="34"/>
      <c r="BH1567" s="34"/>
      <c r="BI1567" s="34"/>
      <c r="BJ1567" s="34"/>
      <c r="BK1567" s="34"/>
      <c r="BL1567" s="34"/>
      <c r="BM1567" s="34"/>
      <c r="BN1567" s="34"/>
      <c r="BO1567" s="34"/>
      <c r="BP1567" s="34"/>
      <c r="BQ1567" s="34"/>
      <c r="BR1567" s="34"/>
      <c r="BS1567" s="34"/>
      <c r="BT1567" s="34"/>
      <c r="BU1567" s="34"/>
      <c r="BV1567" s="34"/>
      <c r="BW1567" s="34"/>
      <c r="BX1567" s="34"/>
      <c r="BY1567" s="34"/>
      <c r="BZ1567" s="34"/>
      <c r="CA1567" s="34"/>
      <c r="CB1567" s="34"/>
      <c r="CC1567" s="34"/>
      <c r="CD1567" s="34"/>
      <c r="CE1567" s="34"/>
      <c r="CF1567" s="34"/>
      <c r="CG1567" s="34"/>
      <c r="CH1567" s="34"/>
      <c r="CI1567" s="8"/>
    </row>
    <row r="1568" spans="1:87" x14ac:dyDescent="0.2">
      <c r="A1568" s="8" t="str">
        <f>IF(AND(COUNTIF(W$3:W$13,A$19)&gt;0,A$19&lt;&gt;B1562),A$19,IFERROR(IF(MATCH(A$19,Z$3:Z$13,0)=1,A$19," ")," "))</f>
        <v xml:space="preserve"> </v>
      </c>
      <c r="B1568" s="8" t="str">
        <f>IF(A1568=" "," ",MAX(B1564:B1567)+1)</f>
        <v xml:space="preserve"> </v>
      </c>
      <c r="C1568" s="8" t="str">
        <f>IFERROR(INDEX(A1564:A1585,MATCH(SMALL(B1564:B1585,5),B1564:B1585,0),1)," ")</f>
        <v>C15</v>
      </c>
      <c r="D1568" s="8">
        <f t="shared" si="6775"/>
        <v>0</v>
      </c>
      <c r="E1568" s="8">
        <f t="shared" si="6776"/>
        <v>0</v>
      </c>
      <c r="F1568" s="8">
        <f t="shared" si="6777"/>
        <v>0</v>
      </c>
      <c r="G1568" s="8">
        <f t="shared" si="6778"/>
        <v>1</v>
      </c>
      <c r="H1568" s="8">
        <f t="shared" si="6779"/>
        <v>0</v>
      </c>
      <c r="I1568" s="8">
        <f t="shared" si="6780"/>
        <v>0</v>
      </c>
      <c r="J1568" s="8">
        <f t="shared" si="6781"/>
        <v>0</v>
      </c>
      <c r="K1568" s="8">
        <f t="shared" si="6782"/>
        <v>0</v>
      </c>
      <c r="L1568" s="8">
        <f t="shared" si="6783"/>
        <v>0</v>
      </c>
      <c r="M1568" s="8">
        <f t="shared" si="6784"/>
        <v>0</v>
      </c>
      <c r="N1568" s="8">
        <f t="shared" si="6785"/>
        <v>0</v>
      </c>
      <c r="O1568" s="8">
        <f t="shared" si="6786"/>
        <v>0</v>
      </c>
      <c r="P1568" s="8" t="e">
        <v>#NUM!</v>
      </c>
      <c r="Q1568" s="8" t="e">
        <f t="shared" ref="Q1568" si="6812">IF(COUNTIF(P1564:P1574,"&lt;"&amp;-0.001)=0,IF(ABS(P1568)&lt;0.001,0,P1568)," ")</f>
        <v>#NUM!</v>
      </c>
      <c r="R1568" s="8"/>
      <c r="S1568" s="8"/>
      <c r="U1568" s="34"/>
      <c r="V1568" s="34"/>
      <c r="W1568" s="34"/>
      <c r="X1568" s="34"/>
      <c r="Y1568" s="34"/>
      <c r="Z1568" s="34"/>
      <c r="AA1568" s="34"/>
      <c r="AB1568" s="34"/>
      <c r="AC1568" s="34"/>
      <c r="AD1568" s="34"/>
      <c r="AE1568" s="34"/>
      <c r="AF1568" s="34"/>
      <c r="AG1568" s="34"/>
      <c r="AH1568" s="34"/>
      <c r="AI1568" s="34"/>
      <c r="AJ1568" s="34"/>
      <c r="AK1568" s="34"/>
      <c r="AL1568" s="34"/>
      <c r="AM1568" s="34"/>
      <c r="AN1568" s="34"/>
      <c r="AO1568" s="34"/>
      <c r="AP1568" s="34"/>
      <c r="AQ1568" s="34"/>
      <c r="AR1568" s="34"/>
      <c r="AS1568" s="34"/>
      <c r="AT1568" s="34"/>
      <c r="AU1568" s="34"/>
      <c r="AV1568" s="34"/>
      <c r="AW1568" s="34"/>
      <c r="AX1568" s="34"/>
      <c r="AY1568" s="34"/>
      <c r="AZ1568" s="34"/>
      <c r="BA1568" s="34"/>
      <c r="BB1568" s="34"/>
      <c r="BC1568" s="34"/>
      <c r="BD1568" s="34"/>
      <c r="BE1568" s="34"/>
      <c r="BF1568" s="34"/>
      <c r="BG1568" s="34"/>
      <c r="BH1568" s="34"/>
      <c r="BI1568" s="34"/>
      <c r="BJ1568" s="34"/>
      <c r="BK1568" s="34"/>
      <c r="BL1568" s="34"/>
      <c r="BM1568" s="34"/>
      <c r="BN1568" s="34"/>
      <c r="BO1568" s="34"/>
      <c r="BP1568" s="34"/>
      <c r="BQ1568" s="34"/>
      <c r="BR1568" s="34"/>
      <c r="BS1568" s="34"/>
      <c r="BT1568" s="34"/>
      <c r="BU1568" s="34"/>
      <c r="BV1568" s="34"/>
      <c r="BW1568" s="34"/>
      <c r="BX1568" s="34"/>
      <c r="BY1568" s="34"/>
      <c r="BZ1568" s="34"/>
      <c r="CA1568" s="34"/>
      <c r="CB1568" s="34"/>
      <c r="CC1568" s="34"/>
      <c r="CD1568" s="34"/>
      <c r="CE1568" s="34"/>
      <c r="CF1568" s="34"/>
      <c r="CG1568" s="34"/>
      <c r="CH1568" s="34"/>
      <c r="CI1568" s="8"/>
    </row>
    <row r="1569" spans="1:87" x14ac:dyDescent="0.2">
      <c r="A1569" s="8" t="str">
        <f>IF(AND(COUNTIF(W$3:W$13,A$20)&gt;0,A$20&lt;&gt;B1562),A$20,IFERROR(IF(MATCH(A$20,Z$3:Z$13,0)=1,A$20," ")," "))</f>
        <v xml:space="preserve"> </v>
      </c>
      <c r="B1569" s="8" t="str">
        <f>IF(A1569=" "," ",MAX(B1564:B1568)+1)</f>
        <v xml:space="preserve"> </v>
      </c>
      <c r="C1569" s="8" t="str">
        <f>IFERROR(INDEX(A1564:A1585,MATCH(SMALL(B1564:B1585,6),B1564:B1585,0),1)," ")</f>
        <v>C16</v>
      </c>
      <c r="D1569" s="8">
        <f t="shared" si="6775"/>
        <v>0</v>
      </c>
      <c r="E1569" s="8">
        <f t="shared" si="6776"/>
        <v>0</v>
      </c>
      <c r="F1569" s="8">
        <f t="shared" si="6777"/>
        <v>0</v>
      </c>
      <c r="G1569" s="8">
        <f t="shared" si="6778"/>
        <v>0</v>
      </c>
      <c r="H1569" s="8">
        <f t="shared" si="6779"/>
        <v>1</v>
      </c>
      <c r="I1569" s="8">
        <f t="shared" si="6780"/>
        <v>0</v>
      </c>
      <c r="J1569" s="8">
        <f t="shared" si="6781"/>
        <v>0</v>
      </c>
      <c r="K1569" s="8">
        <f t="shared" si="6782"/>
        <v>0</v>
      </c>
      <c r="L1569" s="8">
        <f t="shared" si="6783"/>
        <v>0</v>
      </c>
      <c r="M1569" s="8">
        <f t="shared" si="6784"/>
        <v>0</v>
      </c>
      <c r="N1569" s="8">
        <f t="shared" si="6785"/>
        <v>0</v>
      </c>
      <c r="O1569" s="8">
        <f t="shared" si="6786"/>
        <v>0</v>
      </c>
      <c r="P1569" s="8" t="e">
        <v>#NUM!</v>
      </c>
      <c r="Q1569" s="8" t="e">
        <f t="shared" ref="Q1569" si="6813">IF(COUNTIF(P1564:P1574,"&lt;"&amp;-0.001)=0,IF(ABS(P1569)&lt;0.001,0,P1569)," ")</f>
        <v>#NUM!</v>
      </c>
      <c r="R1569" s="8"/>
      <c r="S1569" s="8"/>
      <c r="U1569" s="34"/>
      <c r="V1569" s="34"/>
      <c r="W1569" s="34"/>
      <c r="X1569" s="34"/>
      <c r="Y1569" s="34"/>
      <c r="Z1569" s="34"/>
      <c r="AA1569" s="34"/>
      <c r="AB1569" s="34"/>
      <c r="AC1569" s="34"/>
      <c r="AD1569" s="34"/>
      <c r="AE1569" s="34"/>
      <c r="AF1569" s="34"/>
      <c r="AG1569" s="34"/>
      <c r="AH1569" s="34"/>
      <c r="AI1569" s="34"/>
      <c r="AJ1569" s="34"/>
      <c r="AK1569" s="34"/>
      <c r="AL1569" s="34"/>
      <c r="AM1569" s="34"/>
      <c r="AN1569" s="34"/>
      <c r="AO1569" s="34"/>
      <c r="AP1569" s="34"/>
      <c r="AQ1569" s="34"/>
      <c r="AR1569" s="34"/>
      <c r="AS1569" s="34"/>
      <c r="AT1569" s="34"/>
      <c r="AU1569" s="34"/>
      <c r="AV1569" s="34"/>
      <c r="AW1569" s="34"/>
      <c r="AX1569" s="34"/>
      <c r="AY1569" s="34"/>
      <c r="AZ1569" s="34"/>
      <c r="BA1569" s="34"/>
      <c r="BB1569" s="34"/>
      <c r="BC1569" s="34"/>
      <c r="BD1569" s="34"/>
      <c r="BE1569" s="34"/>
      <c r="BF1569" s="34"/>
      <c r="BG1569" s="34"/>
      <c r="BH1569" s="34"/>
      <c r="BI1569" s="34"/>
      <c r="BJ1569" s="34"/>
      <c r="BK1569" s="34"/>
      <c r="BL1569" s="34"/>
      <c r="BM1569" s="34"/>
      <c r="BN1569" s="34"/>
      <c r="BO1569" s="34"/>
      <c r="BP1569" s="34"/>
      <c r="BQ1569" s="34"/>
      <c r="BR1569" s="34"/>
      <c r="BS1569" s="34"/>
      <c r="BT1569" s="34"/>
      <c r="BU1569" s="34"/>
      <c r="BV1569" s="34"/>
      <c r="BW1569" s="34"/>
      <c r="BX1569" s="34"/>
      <c r="BY1569" s="34"/>
      <c r="BZ1569" s="34"/>
      <c r="CA1569" s="34"/>
      <c r="CB1569" s="34"/>
      <c r="CC1569" s="34"/>
      <c r="CD1569" s="34"/>
      <c r="CE1569" s="34"/>
      <c r="CF1569" s="34"/>
      <c r="CG1569" s="34"/>
      <c r="CH1569" s="34"/>
      <c r="CI1569" s="8"/>
    </row>
    <row r="1570" spans="1:87" x14ac:dyDescent="0.2">
      <c r="A1570" s="8" t="str">
        <f>IF(AND(COUNTIF(W$3:W$13,A$21)&gt;0,A$21&lt;&gt;B1562),A$21,IFERROR(IF(MATCH(A$21,Z$3:Z$13,0)=1,A$21," ")," "))</f>
        <v xml:space="preserve"> </v>
      </c>
      <c r="B1570" s="8" t="str">
        <f>IF(A1570=" "," ",MAX(B1564:B1569)+1)</f>
        <v xml:space="preserve"> </v>
      </c>
      <c r="C1570" s="8" t="str">
        <f>IFERROR(INDEX(A1564:A1585,MATCH(SMALL(B1564:B1585,7),B1564:B1585,0),1)," ")</f>
        <v>C17</v>
      </c>
      <c r="D1570" s="8">
        <f t="shared" si="6775"/>
        <v>0</v>
      </c>
      <c r="E1570" s="8">
        <f t="shared" si="6776"/>
        <v>0</v>
      </c>
      <c r="F1570" s="8">
        <f t="shared" si="6777"/>
        <v>0</v>
      </c>
      <c r="G1570" s="8">
        <f t="shared" si="6778"/>
        <v>0</v>
      </c>
      <c r="H1570" s="8">
        <f t="shared" si="6779"/>
        <v>0</v>
      </c>
      <c r="I1570" s="8">
        <f t="shared" si="6780"/>
        <v>1</v>
      </c>
      <c r="J1570" s="8">
        <f t="shared" si="6781"/>
        <v>0</v>
      </c>
      <c r="K1570" s="8">
        <f t="shared" si="6782"/>
        <v>0</v>
      </c>
      <c r="L1570" s="8">
        <f t="shared" si="6783"/>
        <v>0</v>
      </c>
      <c r="M1570" s="8">
        <f t="shared" si="6784"/>
        <v>0</v>
      </c>
      <c r="N1570" s="8">
        <f t="shared" si="6785"/>
        <v>0</v>
      </c>
      <c r="O1570" s="8">
        <f t="shared" si="6786"/>
        <v>0</v>
      </c>
      <c r="P1570" s="8" t="e">
        <v>#NUM!</v>
      </c>
      <c r="Q1570" s="8" t="e">
        <f t="shared" ref="Q1570" si="6814">IF(COUNTIF(P1564:P1574,"&lt;"&amp;-0.001)=0,IF(ABS(P1570)&lt;0.001,0,P1570)," ")</f>
        <v>#NUM!</v>
      </c>
      <c r="R1570" s="8"/>
      <c r="S1570" s="8"/>
      <c r="U1570" s="34"/>
      <c r="V1570" s="34"/>
      <c r="W1570" s="34"/>
      <c r="X1570" s="34"/>
      <c r="Y1570" s="34"/>
      <c r="Z1570" s="34"/>
      <c r="AA1570" s="34"/>
      <c r="AB1570" s="34"/>
      <c r="AC1570" s="34"/>
      <c r="AD1570" s="34"/>
      <c r="AE1570" s="34"/>
      <c r="AF1570" s="34"/>
      <c r="AG1570" s="34"/>
      <c r="AH1570" s="34"/>
      <c r="AI1570" s="34"/>
      <c r="AJ1570" s="34"/>
      <c r="AK1570" s="34"/>
      <c r="AL1570" s="34"/>
      <c r="AM1570" s="34"/>
      <c r="AN1570" s="34"/>
      <c r="AO1570" s="34"/>
      <c r="AP1570" s="34"/>
      <c r="AQ1570" s="34"/>
      <c r="AR1570" s="34"/>
      <c r="AS1570" s="34"/>
      <c r="AT1570" s="34"/>
      <c r="AU1570" s="34"/>
      <c r="AV1570" s="34"/>
      <c r="AW1570" s="34"/>
      <c r="AX1570" s="34"/>
      <c r="AY1570" s="34"/>
      <c r="AZ1570" s="34"/>
      <c r="BA1570" s="34"/>
      <c r="BB1570" s="34"/>
      <c r="BC1570" s="34"/>
      <c r="BD1570" s="34"/>
      <c r="BE1570" s="34"/>
      <c r="BF1570" s="34"/>
      <c r="BG1570" s="34"/>
      <c r="BH1570" s="34"/>
      <c r="BI1570" s="34"/>
      <c r="BJ1570" s="34"/>
      <c r="BK1570" s="34"/>
      <c r="BL1570" s="34"/>
      <c r="BM1570" s="34"/>
      <c r="BN1570" s="34"/>
      <c r="BO1570" s="34"/>
      <c r="BP1570" s="34"/>
      <c r="BQ1570" s="34"/>
      <c r="BR1570" s="34"/>
      <c r="BS1570" s="34"/>
      <c r="BT1570" s="34"/>
      <c r="BU1570" s="34"/>
      <c r="BV1570" s="34"/>
      <c r="BW1570" s="34"/>
      <c r="BX1570" s="34"/>
      <c r="BY1570" s="34"/>
      <c r="BZ1570" s="34"/>
      <c r="CA1570" s="34"/>
      <c r="CB1570" s="34"/>
      <c r="CC1570" s="34"/>
      <c r="CD1570" s="34"/>
      <c r="CE1570" s="34"/>
      <c r="CF1570" s="34"/>
      <c r="CG1570" s="34"/>
      <c r="CH1570" s="34"/>
      <c r="CI1570" s="8"/>
    </row>
    <row r="1571" spans="1:87" x14ac:dyDescent="0.2">
      <c r="A1571" s="8" t="str">
        <f>IF(AND(COUNTIF(W$3:W$13,A$22)&gt;0,A$22&lt;&gt;B1562),A$22,IFERROR(IF(MATCH(A$22,Z$3:Z$13,0)=1,A$22," ")," "))</f>
        <v xml:space="preserve"> </v>
      </c>
      <c r="B1571" s="8" t="str">
        <f>IF(A1571=" "," ",MAX(B1564:B1570)+1)</f>
        <v xml:space="preserve"> </v>
      </c>
      <c r="C1571" s="8" t="str">
        <f>IFERROR(INDEX(A1564:A1585,MATCH(SMALL(B1564:B1585,8),B1564:B1585,0),1)," ")</f>
        <v>C19</v>
      </c>
      <c r="D1571" s="8">
        <f t="shared" si="6775"/>
        <v>0</v>
      </c>
      <c r="E1571" s="8">
        <f t="shared" si="6776"/>
        <v>0</v>
      </c>
      <c r="F1571" s="8">
        <f t="shared" si="6777"/>
        <v>0</v>
      </c>
      <c r="G1571" s="8">
        <f t="shared" si="6778"/>
        <v>0</v>
      </c>
      <c r="H1571" s="8">
        <f t="shared" si="6779"/>
        <v>0</v>
      </c>
      <c r="I1571" s="8">
        <f t="shared" si="6780"/>
        <v>0</v>
      </c>
      <c r="J1571" s="8">
        <f t="shared" si="6781"/>
        <v>0</v>
      </c>
      <c r="K1571" s="8">
        <f t="shared" si="6782"/>
        <v>1</v>
      </c>
      <c r="L1571" s="8">
        <f t="shared" si="6783"/>
        <v>0</v>
      </c>
      <c r="M1571" s="8">
        <f t="shared" si="6784"/>
        <v>0</v>
      </c>
      <c r="N1571" s="8">
        <f t="shared" si="6785"/>
        <v>0</v>
      </c>
      <c r="O1571" s="8">
        <f t="shared" si="6786"/>
        <v>0</v>
      </c>
      <c r="P1571" s="8" t="e">
        <v>#NUM!</v>
      </c>
      <c r="Q1571" s="8" t="e">
        <f t="shared" ref="Q1571" si="6815">IF(COUNTIF(P1564:P1574,"&lt;"&amp;-0.001)=0,IF(ABS(P1571)&lt;0.001,0,P1571)," ")</f>
        <v>#NUM!</v>
      </c>
      <c r="R1571" s="8"/>
      <c r="S1571" s="8"/>
      <c r="U1571" s="34"/>
      <c r="V1571" s="34"/>
      <c r="W1571" s="34"/>
      <c r="X1571" s="34"/>
      <c r="Y1571" s="34"/>
      <c r="Z1571" s="34"/>
      <c r="AA1571" s="34"/>
      <c r="AB1571" s="34"/>
      <c r="AC1571" s="34"/>
      <c r="AD1571" s="34"/>
      <c r="AE1571" s="34"/>
      <c r="AF1571" s="34"/>
      <c r="AG1571" s="34"/>
      <c r="AH1571" s="34"/>
      <c r="AI1571" s="34"/>
      <c r="AJ1571" s="34"/>
      <c r="AK1571" s="34"/>
      <c r="AL1571" s="34"/>
      <c r="AM1571" s="34"/>
      <c r="AN1571" s="34"/>
      <c r="AO1571" s="34"/>
      <c r="AP1571" s="34"/>
      <c r="AQ1571" s="34"/>
      <c r="AR1571" s="34"/>
      <c r="AS1571" s="34"/>
      <c r="AT1571" s="34"/>
      <c r="AU1571" s="34"/>
      <c r="AV1571" s="34"/>
      <c r="AW1571" s="34"/>
      <c r="AX1571" s="34"/>
      <c r="AY1571" s="34"/>
      <c r="AZ1571" s="34"/>
      <c r="BA1571" s="34"/>
      <c r="BB1571" s="34"/>
      <c r="BC1571" s="34"/>
      <c r="BD1571" s="34"/>
      <c r="BE1571" s="34"/>
      <c r="BF1571" s="34"/>
      <c r="BG1571" s="34"/>
      <c r="BH1571" s="34"/>
      <c r="BI1571" s="34"/>
      <c r="BJ1571" s="34"/>
      <c r="BK1571" s="34"/>
      <c r="BL1571" s="34"/>
      <c r="BM1571" s="34"/>
      <c r="BN1571" s="34"/>
      <c r="BO1571" s="34"/>
      <c r="BP1571" s="34"/>
      <c r="BQ1571" s="34"/>
      <c r="BR1571" s="34"/>
      <c r="BS1571" s="34"/>
      <c r="BT1571" s="34"/>
      <c r="BU1571" s="34"/>
      <c r="BV1571" s="34"/>
      <c r="BW1571" s="34"/>
      <c r="BX1571" s="34"/>
      <c r="BY1571" s="34"/>
      <c r="BZ1571" s="34"/>
      <c r="CA1571" s="34"/>
      <c r="CB1571" s="34"/>
      <c r="CC1571" s="34"/>
      <c r="CD1571" s="34"/>
      <c r="CE1571" s="34"/>
      <c r="CF1571" s="34"/>
      <c r="CG1571" s="34"/>
      <c r="CH1571" s="34"/>
      <c r="CI1571" s="8"/>
    </row>
    <row r="1572" spans="1:87" x14ac:dyDescent="0.2">
      <c r="A1572" s="8" t="str">
        <f>IF(AND(COUNTIF(W$3:W$13,A$23)&gt;0,A$23&lt;&gt;B1562),A$23,IFERROR(IF(MATCH(A$23,Z$3:Z$13,0)=1,A$23," ")," "))</f>
        <v xml:space="preserve"> </v>
      </c>
      <c r="B1572" s="8" t="str">
        <f>IF(A1572=" "," ",MAX(B1564:B1571)+1)</f>
        <v xml:space="preserve"> </v>
      </c>
      <c r="C1572" s="8" t="str">
        <f>IFERROR(INDEX(A1564:A1585,MATCH(SMALL(B1564:B1585,9),B1564:B1585,0),1)," ")</f>
        <v>C20</v>
      </c>
      <c r="D1572" s="8">
        <f t="shared" si="6775"/>
        <v>0</v>
      </c>
      <c r="E1572" s="8">
        <f t="shared" si="6776"/>
        <v>0</v>
      </c>
      <c r="F1572" s="8">
        <f t="shared" si="6777"/>
        <v>0</v>
      </c>
      <c r="G1572" s="8">
        <f t="shared" si="6778"/>
        <v>0</v>
      </c>
      <c r="H1572" s="8">
        <f t="shared" si="6779"/>
        <v>0</v>
      </c>
      <c r="I1572" s="8">
        <f t="shared" si="6780"/>
        <v>0</v>
      </c>
      <c r="J1572" s="8">
        <f t="shared" si="6781"/>
        <v>0</v>
      </c>
      <c r="K1572" s="8">
        <f t="shared" si="6782"/>
        <v>0</v>
      </c>
      <c r="L1572" s="8">
        <f t="shared" si="6783"/>
        <v>1</v>
      </c>
      <c r="M1572" s="8">
        <f t="shared" si="6784"/>
        <v>0</v>
      </c>
      <c r="N1572" s="8">
        <f t="shared" si="6785"/>
        <v>0</v>
      </c>
      <c r="O1572" s="8">
        <f t="shared" si="6786"/>
        <v>0</v>
      </c>
      <c r="P1572" s="6" t="e">
        <v>#NUM!</v>
      </c>
      <c r="Q1572" s="8" t="e">
        <f t="shared" ref="Q1572" si="6816">IF(COUNTIF(P1564:P1574,"&lt;"&amp;-0.001)=0,IF(ABS(P1572)&lt;0.001,0,P1572)," ")</f>
        <v>#NUM!</v>
      </c>
      <c r="R1572" s="8"/>
      <c r="S1572" s="8"/>
      <c r="U1572" s="34"/>
      <c r="V1572" s="34"/>
      <c r="W1572" s="34"/>
      <c r="X1572" s="34"/>
      <c r="Y1572" s="34"/>
      <c r="Z1572" s="34"/>
      <c r="AA1572" s="34"/>
      <c r="AB1572" s="34"/>
      <c r="AC1572" s="34"/>
      <c r="AD1572" s="34"/>
      <c r="AE1572" s="34"/>
      <c r="AF1572" s="34"/>
      <c r="AG1572" s="34"/>
      <c r="AH1572" s="34"/>
      <c r="AI1572" s="34"/>
      <c r="AJ1572" s="34"/>
      <c r="AK1572" s="34"/>
      <c r="AL1572" s="34"/>
      <c r="AM1572" s="34"/>
      <c r="AN1572" s="34"/>
      <c r="AO1572" s="34"/>
      <c r="AP1572" s="34"/>
      <c r="AQ1572" s="34"/>
      <c r="AR1572" s="34"/>
      <c r="AS1572" s="34"/>
      <c r="AT1572" s="34"/>
      <c r="AU1572" s="34"/>
      <c r="AV1572" s="34"/>
      <c r="AW1572" s="34"/>
      <c r="AX1572" s="34"/>
      <c r="AY1572" s="34"/>
      <c r="AZ1572" s="34"/>
      <c r="BA1572" s="34"/>
      <c r="BB1572" s="34"/>
      <c r="BC1572" s="34"/>
      <c r="BD1572" s="34"/>
      <c r="BE1572" s="34"/>
      <c r="BF1572" s="34"/>
      <c r="BG1572" s="34"/>
      <c r="BH1572" s="34"/>
      <c r="BI1572" s="34"/>
      <c r="BJ1572" s="34"/>
      <c r="BK1572" s="34"/>
      <c r="BL1572" s="34"/>
      <c r="BM1572" s="34"/>
      <c r="BN1572" s="34"/>
      <c r="BO1572" s="34"/>
      <c r="BP1572" s="34"/>
      <c r="BQ1572" s="34"/>
      <c r="BR1572" s="34"/>
      <c r="BS1572" s="34"/>
      <c r="BT1572" s="34"/>
      <c r="BU1572" s="34"/>
      <c r="BV1572" s="34"/>
      <c r="BW1572" s="34"/>
      <c r="BX1572" s="34"/>
      <c r="BY1572" s="34"/>
      <c r="BZ1572" s="34"/>
      <c r="CA1572" s="34"/>
      <c r="CB1572" s="34"/>
      <c r="CC1572" s="34"/>
      <c r="CD1572" s="34"/>
      <c r="CE1572" s="34"/>
      <c r="CF1572" s="34"/>
      <c r="CG1572" s="34"/>
      <c r="CH1572" s="34"/>
      <c r="CI1572" s="8"/>
    </row>
    <row r="1573" spans="1:87" x14ac:dyDescent="0.2">
      <c r="A1573" s="8" t="str">
        <f>IF(AND(COUNTIF(W$3:W$13,A$24)&gt;0,A$24&lt;&gt;B1562),A$24,IFERROR(IF(MATCH(A$24,Z$3:Z$13,0)=1,A$24," ")," "))</f>
        <v xml:space="preserve"> </v>
      </c>
      <c r="B1573" s="8" t="str">
        <f>IF(A1573=" "," ",MAX(B1564:B1572)+1)</f>
        <v xml:space="preserve"> </v>
      </c>
      <c r="C1573" s="8" t="str">
        <f>IFERROR(INDEX(A1564:A1585,MATCH(SMALL(B1564:B1585,10),B1564:B1585,0),1)," ")</f>
        <v>C21</v>
      </c>
      <c r="D1573" s="8">
        <f t="shared" si="6775"/>
        <v>0</v>
      </c>
      <c r="E1573" s="8">
        <f t="shared" si="6776"/>
        <v>0</v>
      </c>
      <c r="F1573" s="8">
        <f t="shared" si="6777"/>
        <v>0</v>
      </c>
      <c r="G1573" s="8">
        <f t="shared" si="6778"/>
        <v>0</v>
      </c>
      <c r="H1573" s="8">
        <f t="shared" si="6779"/>
        <v>0</v>
      </c>
      <c r="I1573" s="8">
        <f t="shared" si="6780"/>
        <v>0</v>
      </c>
      <c r="J1573" s="8">
        <f t="shared" si="6781"/>
        <v>0</v>
      </c>
      <c r="K1573" s="8">
        <f t="shared" si="6782"/>
        <v>0</v>
      </c>
      <c r="L1573" s="8">
        <f t="shared" si="6783"/>
        <v>0</v>
      </c>
      <c r="M1573" s="8">
        <f t="shared" si="6784"/>
        <v>1</v>
      </c>
      <c r="N1573" s="8">
        <f t="shared" si="6785"/>
        <v>0</v>
      </c>
      <c r="O1573" s="8">
        <f t="shared" si="6786"/>
        <v>0</v>
      </c>
      <c r="P1573" s="8" t="e">
        <v>#NUM!</v>
      </c>
      <c r="Q1573" s="8" t="e">
        <f t="shared" ref="Q1573" si="6817">IF(COUNTIF(P1564:P1574,"&lt;"&amp;-0.001)=0,IF(ABS(P1573)&lt;0.001,0,P1573)," ")</f>
        <v>#NUM!</v>
      </c>
      <c r="R1573" s="8"/>
      <c r="S1573" s="8"/>
      <c r="U1573" s="34"/>
      <c r="V1573" s="34"/>
      <c r="W1573" s="34"/>
      <c r="X1573" s="34"/>
      <c r="Y1573" s="34"/>
      <c r="Z1573" s="34"/>
      <c r="AA1573" s="34"/>
      <c r="AB1573" s="34"/>
      <c r="AC1573" s="34"/>
      <c r="AD1573" s="34"/>
      <c r="AE1573" s="34"/>
      <c r="AF1573" s="34"/>
      <c r="AG1573" s="34"/>
      <c r="AH1573" s="34"/>
      <c r="AI1573" s="34"/>
      <c r="AJ1573" s="34"/>
      <c r="AK1573" s="34"/>
      <c r="AL1573" s="34"/>
      <c r="AM1573" s="34"/>
      <c r="AN1573" s="34"/>
      <c r="AO1573" s="34"/>
      <c r="AP1573" s="34"/>
      <c r="AQ1573" s="34"/>
      <c r="AR1573" s="34"/>
      <c r="AS1573" s="34"/>
      <c r="AT1573" s="34"/>
      <c r="AU1573" s="34"/>
      <c r="AV1573" s="34"/>
      <c r="AW1573" s="34"/>
      <c r="AX1573" s="34"/>
      <c r="AY1573" s="34"/>
      <c r="AZ1573" s="34"/>
      <c r="BA1573" s="34"/>
      <c r="BB1573" s="34"/>
      <c r="BC1573" s="34"/>
      <c r="BD1573" s="34"/>
      <c r="BE1573" s="34"/>
      <c r="BF1573" s="34"/>
      <c r="BG1573" s="34"/>
      <c r="BH1573" s="34"/>
      <c r="BI1573" s="34"/>
      <c r="BJ1573" s="34"/>
      <c r="BK1573" s="34"/>
      <c r="BL1573" s="34"/>
      <c r="BM1573" s="34"/>
      <c r="BN1573" s="34"/>
      <c r="BO1573" s="34"/>
      <c r="BP1573" s="34"/>
      <c r="BQ1573" s="34"/>
      <c r="BR1573" s="34"/>
      <c r="BS1573" s="34"/>
      <c r="BT1573" s="34"/>
      <c r="BU1573" s="34"/>
      <c r="BV1573" s="34"/>
      <c r="BW1573" s="34"/>
      <c r="BX1573" s="34"/>
      <c r="BY1573" s="34"/>
      <c r="BZ1573" s="34"/>
      <c r="CA1573" s="34"/>
      <c r="CB1573" s="34"/>
      <c r="CC1573" s="34"/>
      <c r="CD1573" s="34"/>
      <c r="CE1573" s="34"/>
      <c r="CF1573" s="34"/>
      <c r="CG1573" s="34"/>
      <c r="CH1573" s="34"/>
      <c r="CI1573" s="8"/>
    </row>
    <row r="1574" spans="1:87" x14ac:dyDescent="0.2">
      <c r="A1574" s="8" t="str">
        <f>IF(AND(COUNTIF(W$3:W$13,A$25)&gt;0,A$25&lt;&gt;B1562),A$25,IFERROR(IF(MATCH(A$25,Z$3:Z$13,0)=1,A$25," ")," "))</f>
        <v xml:space="preserve"> </v>
      </c>
      <c r="B1574" s="8" t="str">
        <f>IF(A1574=" "," ",MAX(B1564:B1573)+1)</f>
        <v xml:space="preserve"> </v>
      </c>
      <c r="C1574" s="8" t="str">
        <f>IFERROR(INDEX(A1564:A1585,MATCH(SMALL(B1564:B1585,11),B1564:B1585,0),1)," ")</f>
        <v>C22</v>
      </c>
      <c r="D1574" s="8">
        <f t="shared" si="6775"/>
        <v>0</v>
      </c>
      <c r="E1574" s="8">
        <f t="shared" si="6776"/>
        <v>0</v>
      </c>
      <c r="F1574" s="8">
        <f t="shared" si="6777"/>
        <v>0</v>
      </c>
      <c r="G1574" s="8">
        <f t="shared" si="6778"/>
        <v>0</v>
      </c>
      <c r="H1574" s="8">
        <f t="shared" si="6779"/>
        <v>0</v>
      </c>
      <c r="I1574" s="8">
        <f t="shared" si="6780"/>
        <v>0</v>
      </c>
      <c r="J1574" s="8">
        <f t="shared" si="6781"/>
        <v>0</v>
      </c>
      <c r="K1574" s="8">
        <f t="shared" si="6782"/>
        <v>0</v>
      </c>
      <c r="L1574" s="8">
        <f t="shared" si="6783"/>
        <v>0</v>
      </c>
      <c r="M1574" s="8">
        <f t="shared" si="6784"/>
        <v>0</v>
      </c>
      <c r="N1574" s="8">
        <f t="shared" si="6785"/>
        <v>1</v>
      </c>
      <c r="O1574" s="8">
        <f t="shared" si="6786"/>
        <v>0</v>
      </c>
      <c r="P1574" s="8" t="e">
        <v>#NUM!</v>
      </c>
      <c r="Q1574" s="8" t="e">
        <f t="shared" ref="Q1574" si="6818">IF(COUNTIF(P1564:P1574,"&lt;"&amp;-0.001)=0,IF(ABS(P1574)&lt;0.001,0,P1574)," ")</f>
        <v>#NUM!</v>
      </c>
      <c r="R1574" s="8"/>
      <c r="S1574" s="8"/>
      <c r="U1574" s="34"/>
      <c r="V1574" s="34"/>
      <c r="W1574" s="34"/>
      <c r="X1574" s="34"/>
      <c r="Y1574" s="34"/>
      <c r="Z1574" s="34"/>
      <c r="AA1574" s="34"/>
      <c r="AB1574" s="34"/>
      <c r="AC1574" s="34"/>
      <c r="AD1574" s="34"/>
      <c r="AE1574" s="34"/>
      <c r="AF1574" s="34"/>
      <c r="AG1574" s="34"/>
      <c r="AH1574" s="34"/>
      <c r="AI1574" s="34"/>
      <c r="AJ1574" s="34"/>
      <c r="AK1574" s="34"/>
      <c r="AL1574" s="34"/>
      <c r="AM1574" s="34"/>
      <c r="AN1574" s="34"/>
      <c r="AO1574" s="34"/>
      <c r="AP1574" s="34"/>
      <c r="AQ1574" s="34"/>
      <c r="AR1574" s="34"/>
      <c r="AS1574" s="34"/>
      <c r="AT1574" s="34"/>
      <c r="AU1574" s="34"/>
      <c r="AV1574" s="34"/>
      <c r="AW1574" s="34"/>
      <c r="AX1574" s="34"/>
      <c r="AY1574" s="34"/>
      <c r="AZ1574" s="34"/>
      <c r="BA1574" s="34"/>
      <c r="BB1574" s="34"/>
      <c r="BC1574" s="34"/>
      <c r="BD1574" s="34"/>
      <c r="BE1574" s="34"/>
      <c r="BF1574" s="34"/>
      <c r="BG1574" s="34"/>
      <c r="BH1574" s="34"/>
      <c r="BI1574" s="34"/>
      <c r="BJ1574" s="34"/>
      <c r="BK1574" s="34"/>
      <c r="BL1574" s="34"/>
      <c r="BM1574" s="34"/>
      <c r="BN1574" s="34"/>
      <c r="BO1574" s="34"/>
      <c r="BP1574" s="34"/>
      <c r="BQ1574" s="34"/>
      <c r="BR1574" s="34"/>
      <c r="BS1574" s="34"/>
      <c r="BT1574" s="34"/>
      <c r="BU1574" s="34"/>
      <c r="BV1574" s="34"/>
      <c r="BW1574" s="34"/>
      <c r="BX1574" s="34"/>
      <c r="BY1574" s="34"/>
      <c r="BZ1574" s="34"/>
      <c r="CA1574" s="34"/>
      <c r="CB1574" s="34"/>
      <c r="CC1574" s="34"/>
      <c r="CD1574" s="34"/>
      <c r="CE1574" s="34"/>
      <c r="CF1574" s="34"/>
      <c r="CG1574" s="34"/>
      <c r="CH1574" s="34"/>
      <c r="CI1574" s="8"/>
    </row>
    <row r="1575" spans="1:87" x14ac:dyDescent="0.2">
      <c r="A1575" s="8" t="str">
        <f>IF(AND(COUNTIF(W$3:W$13,A$26)&gt;0,A$26&lt;&gt;B1562),A$26,IFERROR(IF(MATCH(A$26,Z$3:Z$13,0)=1,A$26," ")," "))</f>
        <v xml:space="preserve"> </v>
      </c>
      <c r="B1575" s="8" t="str">
        <f>IF(A1575=" "," ",MAX(B1564:B1574)+1)</f>
        <v xml:space="preserve"> </v>
      </c>
      <c r="C1575" s="8"/>
      <c r="D1575" s="8"/>
      <c r="E1575" s="8"/>
      <c r="F1575" s="8"/>
      <c r="G1575" s="8"/>
      <c r="H1575" s="8"/>
      <c r="I1575" s="8"/>
      <c r="J1575" s="8"/>
      <c r="K1575" s="8"/>
      <c r="L1575" s="8"/>
      <c r="M1575" s="8"/>
      <c r="N1575" s="8"/>
      <c r="O1575" s="8"/>
      <c r="P1575" s="8"/>
      <c r="Q1575" s="8"/>
      <c r="R1575" s="8"/>
      <c r="S1575" s="8"/>
      <c r="U1575" s="34"/>
      <c r="V1575" s="34"/>
      <c r="W1575" s="34"/>
      <c r="X1575" s="34"/>
      <c r="Y1575" s="34"/>
      <c r="Z1575" s="34"/>
      <c r="AA1575" s="34"/>
      <c r="AB1575" s="34"/>
      <c r="AC1575" s="34"/>
      <c r="AD1575" s="34"/>
      <c r="AE1575" s="34"/>
      <c r="AF1575" s="34"/>
      <c r="AG1575" s="34"/>
      <c r="AH1575" s="34"/>
      <c r="AI1575" s="34"/>
      <c r="AJ1575" s="34"/>
      <c r="AK1575" s="34"/>
      <c r="AL1575" s="34"/>
      <c r="AM1575" s="34"/>
      <c r="AN1575" s="34"/>
      <c r="AO1575" s="34"/>
      <c r="AP1575" s="34"/>
      <c r="AQ1575" s="34"/>
      <c r="AR1575" s="34"/>
      <c r="AS1575" s="34"/>
      <c r="AT1575" s="34"/>
      <c r="AU1575" s="34"/>
      <c r="AV1575" s="34"/>
      <c r="AW1575" s="34"/>
      <c r="AX1575" s="34"/>
      <c r="AY1575" s="34"/>
      <c r="AZ1575" s="34"/>
      <c r="BA1575" s="34"/>
      <c r="BB1575" s="34"/>
      <c r="BC1575" s="34"/>
      <c r="BD1575" s="34"/>
      <c r="BE1575" s="34"/>
      <c r="BF1575" s="34"/>
      <c r="BG1575" s="34"/>
      <c r="BH1575" s="34"/>
      <c r="BI1575" s="34"/>
      <c r="BJ1575" s="34"/>
      <c r="BK1575" s="34"/>
      <c r="BL1575" s="34"/>
      <c r="BM1575" s="34"/>
      <c r="BN1575" s="34"/>
      <c r="BO1575" s="34"/>
      <c r="BP1575" s="34"/>
      <c r="BQ1575" s="34"/>
      <c r="BR1575" s="34"/>
      <c r="BS1575" s="34"/>
      <c r="BT1575" s="34"/>
      <c r="BU1575" s="34"/>
      <c r="BV1575" s="34"/>
      <c r="BW1575" s="34"/>
      <c r="BX1575" s="34"/>
      <c r="BY1575" s="34"/>
      <c r="BZ1575" s="34"/>
      <c r="CA1575" s="34"/>
      <c r="CB1575" s="34"/>
      <c r="CC1575" s="34"/>
      <c r="CD1575" s="34"/>
      <c r="CE1575" s="34"/>
      <c r="CF1575" s="34"/>
      <c r="CG1575" s="34"/>
      <c r="CH1575" s="34"/>
      <c r="CI1575" s="8"/>
    </row>
    <row r="1576" spans="1:87" x14ac:dyDescent="0.2">
      <c r="A1576" s="8" t="str">
        <f>IF(AND(COUNTIF(W$3:W$13,A$27)&gt;0,A$27&lt;&gt;B1562),A$27,IFERROR(IF(MATCH(A$27,Z$3:Z$13,0)=1,A$27," ")," "))</f>
        <v>C13</v>
      </c>
      <c r="B1576" s="8">
        <f>IF(A1576=" "," ",MAX(B1564:B1575)+1)</f>
        <v>4</v>
      </c>
      <c r="C1576" s="8"/>
      <c r="D1576" s="8"/>
      <c r="E1576" s="8"/>
      <c r="F1576" s="8"/>
      <c r="G1576" s="8"/>
      <c r="H1576" s="8"/>
      <c r="I1576" s="8"/>
      <c r="J1576" s="8"/>
      <c r="K1576" s="8"/>
      <c r="L1576" s="8"/>
      <c r="M1576" s="8"/>
      <c r="N1576" s="8"/>
      <c r="O1576" s="8"/>
      <c r="P1576" s="6"/>
      <c r="Q1576" s="8"/>
      <c r="R1576" s="8"/>
      <c r="S1576" s="8"/>
      <c r="U1576" s="34"/>
      <c r="V1576" s="34"/>
      <c r="W1576" s="34"/>
      <c r="X1576" s="34"/>
      <c r="Y1576" s="34"/>
      <c r="Z1576" s="34"/>
      <c r="AA1576" s="34"/>
      <c r="AB1576" s="34"/>
      <c r="AC1576" s="34"/>
      <c r="AD1576" s="34"/>
      <c r="AE1576" s="34"/>
      <c r="AF1576" s="34"/>
      <c r="AG1576" s="34"/>
      <c r="AH1576" s="34"/>
      <c r="AI1576" s="34"/>
      <c r="AJ1576" s="34"/>
      <c r="AK1576" s="34"/>
      <c r="AL1576" s="34"/>
      <c r="AM1576" s="34"/>
      <c r="AN1576" s="34"/>
      <c r="AO1576" s="34"/>
      <c r="AP1576" s="34"/>
      <c r="AQ1576" s="34"/>
      <c r="AR1576" s="34"/>
      <c r="AS1576" s="34"/>
      <c r="AT1576" s="34"/>
      <c r="AU1576" s="34"/>
      <c r="AV1576" s="34"/>
      <c r="AW1576" s="34"/>
      <c r="AX1576" s="34"/>
      <c r="AY1576" s="34"/>
      <c r="AZ1576" s="34"/>
      <c r="BA1576" s="34"/>
      <c r="BB1576" s="34"/>
      <c r="BC1576" s="34"/>
      <c r="BD1576" s="34"/>
      <c r="BE1576" s="34"/>
      <c r="BF1576" s="34"/>
      <c r="BG1576" s="34"/>
      <c r="BH1576" s="34"/>
      <c r="BI1576" s="34"/>
      <c r="BJ1576" s="34"/>
      <c r="BK1576" s="34"/>
      <c r="BL1576" s="34"/>
      <c r="BM1576" s="34"/>
      <c r="BN1576" s="34"/>
      <c r="BO1576" s="34"/>
      <c r="BP1576" s="34"/>
      <c r="BQ1576" s="34"/>
      <c r="BR1576" s="34"/>
      <c r="BS1576" s="34"/>
      <c r="BT1576" s="34"/>
      <c r="BU1576" s="34"/>
      <c r="BV1576" s="34"/>
      <c r="BW1576" s="34"/>
      <c r="BX1576" s="34"/>
      <c r="BY1576" s="34"/>
      <c r="BZ1576" s="34"/>
      <c r="CA1576" s="34"/>
      <c r="CB1576" s="34"/>
      <c r="CC1576" s="34"/>
      <c r="CD1576" s="34"/>
      <c r="CE1576" s="34"/>
      <c r="CF1576" s="34"/>
      <c r="CG1576" s="34"/>
      <c r="CH1576" s="34"/>
      <c r="CI1576" s="8"/>
    </row>
    <row r="1577" spans="1:87" x14ac:dyDescent="0.2">
      <c r="A1577" s="8" t="str">
        <f>IF(AND(COUNTIF(W$3:W$13,A$28)&gt;0,A$28&lt;&gt;B1562),A$28,IFERROR(IF(MATCH(A$28,Z$3:Z$13,0)=1,A$28," ")," "))</f>
        <v xml:space="preserve"> </v>
      </c>
      <c r="B1577" s="8" t="str">
        <f>IF(A1577=" "," ",MAX(B1564:B1576)+1)</f>
        <v xml:space="preserve"> </v>
      </c>
      <c r="C1577" s="8"/>
      <c r="D1577" s="8"/>
      <c r="E1577" s="8"/>
      <c r="F1577" s="8"/>
      <c r="G1577" s="8"/>
      <c r="H1577" s="8"/>
      <c r="I1577" s="8"/>
      <c r="J1577" s="8"/>
      <c r="K1577" s="8"/>
      <c r="L1577" s="8"/>
      <c r="M1577" s="8"/>
      <c r="N1577" s="8"/>
      <c r="O1577" s="8"/>
      <c r="P1577" s="8"/>
      <c r="Q1577" s="8"/>
      <c r="R1577" s="8"/>
      <c r="S1577" s="8"/>
      <c r="U1577" s="34"/>
      <c r="V1577" s="34"/>
      <c r="W1577" s="34"/>
      <c r="X1577" s="34"/>
      <c r="Y1577" s="34"/>
      <c r="Z1577" s="34"/>
      <c r="AA1577" s="34"/>
      <c r="AB1577" s="34"/>
      <c r="AC1577" s="34"/>
      <c r="AD1577" s="34"/>
      <c r="AE1577" s="34"/>
      <c r="AF1577" s="34"/>
      <c r="AG1577" s="34"/>
      <c r="AH1577" s="34"/>
      <c r="AI1577" s="34"/>
      <c r="AJ1577" s="34"/>
      <c r="AK1577" s="34"/>
      <c r="AL1577" s="34"/>
      <c r="AM1577" s="34"/>
      <c r="AN1577" s="34"/>
      <c r="AO1577" s="34"/>
      <c r="AP1577" s="34"/>
      <c r="AQ1577" s="34"/>
      <c r="AR1577" s="34"/>
      <c r="AS1577" s="34"/>
      <c r="AT1577" s="34"/>
      <c r="AU1577" s="34"/>
      <c r="AV1577" s="34"/>
      <c r="AW1577" s="34"/>
      <c r="AX1577" s="34"/>
      <c r="AY1577" s="34"/>
      <c r="AZ1577" s="34"/>
      <c r="BA1577" s="34"/>
      <c r="BB1577" s="34"/>
      <c r="BC1577" s="34"/>
      <c r="BD1577" s="34"/>
      <c r="BE1577" s="34"/>
      <c r="BF1577" s="34"/>
      <c r="BG1577" s="34"/>
      <c r="BH1577" s="34"/>
      <c r="BI1577" s="34"/>
      <c r="BJ1577" s="34"/>
      <c r="BK1577" s="34"/>
      <c r="BL1577" s="34"/>
      <c r="BM1577" s="34"/>
      <c r="BN1577" s="34"/>
      <c r="BO1577" s="34"/>
      <c r="BP1577" s="34"/>
      <c r="BQ1577" s="34"/>
      <c r="BR1577" s="34"/>
      <c r="BS1577" s="34"/>
      <c r="BT1577" s="34"/>
      <c r="BU1577" s="34"/>
      <c r="BV1577" s="34"/>
      <c r="BW1577" s="34"/>
      <c r="BX1577" s="34"/>
      <c r="BY1577" s="34"/>
      <c r="BZ1577" s="34"/>
      <c r="CA1577" s="34"/>
      <c r="CB1577" s="34"/>
      <c r="CC1577" s="34"/>
      <c r="CD1577" s="34"/>
      <c r="CE1577" s="34"/>
      <c r="CF1577" s="34"/>
      <c r="CG1577" s="34"/>
      <c r="CH1577" s="34"/>
      <c r="CI1577" s="8"/>
    </row>
    <row r="1578" spans="1:87" x14ac:dyDescent="0.2">
      <c r="A1578" s="8" t="str">
        <f>IF(AND(COUNTIF(W$3:W$13,A$29)&gt;0,A$29&lt;&gt;B1562),A$29,IFERROR(IF(MATCH(A$29,Z$3:Z$13,0)=1,A$29," ")," "))</f>
        <v>C15</v>
      </c>
      <c r="B1578" s="8">
        <f>IF(A1578=" "," ",MAX(B1564:B1577)+1)</f>
        <v>5</v>
      </c>
      <c r="C1578" s="8"/>
      <c r="D1578" s="8"/>
      <c r="E1578" s="8"/>
      <c r="F1578" s="8"/>
      <c r="G1578" s="8"/>
      <c r="H1578" s="8"/>
      <c r="I1578" s="8"/>
      <c r="J1578" s="8"/>
      <c r="K1578" s="8"/>
      <c r="L1578" s="8"/>
      <c r="M1578" s="8"/>
      <c r="N1578" s="8"/>
      <c r="O1578" s="8"/>
      <c r="P1578" s="8"/>
      <c r="Q1578" s="8"/>
      <c r="R1578" s="8"/>
      <c r="S1578" s="8"/>
      <c r="U1578" s="34"/>
      <c r="V1578" s="34"/>
      <c r="W1578" s="34"/>
      <c r="X1578" s="34"/>
      <c r="Y1578" s="34"/>
      <c r="Z1578" s="34"/>
      <c r="AA1578" s="34"/>
      <c r="AB1578" s="34"/>
      <c r="AC1578" s="34"/>
      <c r="AD1578" s="34"/>
      <c r="AE1578" s="34"/>
      <c r="AF1578" s="34"/>
      <c r="AG1578" s="34"/>
      <c r="AH1578" s="34"/>
      <c r="AI1578" s="34"/>
      <c r="AJ1578" s="34"/>
      <c r="AK1578" s="34"/>
      <c r="AL1578" s="34"/>
      <c r="AM1578" s="34"/>
      <c r="AN1578" s="34"/>
      <c r="AO1578" s="34"/>
      <c r="AP1578" s="34"/>
      <c r="AQ1578" s="34"/>
      <c r="AR1578" s="34"/>
      <c r="AS1578" s="34"/>
      <c r="AT1578" s="34"/>
      <c r="AU1578" s="34"/>
      <c r="AV1578" s="34"/>
      <c r="AW1578" s="34"/>
      <c r="AX1578" s="34"/>
      <c r="AY1578" s="34"/>
      <c r="AZ1578" s="34"/>
      <c r="BA1578" s="34"/>
      <c r="BB1578" s="34"/>
      <c r="BC1578" s="34"/>
      <c r="BD1578" s="34"/>
      <c r="BE1578" s="34"/>
      <c r="BF1578" s="34"/>
      <c r="BG1578" s="34"/>
      <c r="BH1578" s="34"/>
      <c r="BI1578" s="34"/>
      <c r="BJ1578" s="34"/>
      <c r="BK1578" s="34"/>
      <c r="BL1578" s="34"/>
      <c r="BM1578" s="34"/>
      <c r="BN1578" s="34"/>
      <c r="BO1578" s="34"/>
      <c r="BP1578" s="34"/>
      <c r="BQ1578" s="34"/>
      <c r="BR1578" s="34"/>
      <c r="BS1578" s="34"/>
      <c r="BT1578" s="34"/>
      <c r="BU1578" s="34"/>
      <c r="BV1578" s="34"/>
      <c r="BW1578" s="34"/>
      <c r="BX1578" s="34"/>
      <c r="BY1578" s="34"/>
      <c r="BZ1578" s="34"/>
      <c r="CA1578" s="34"/>
      <c r="CB1578" s="34"/>
      <c r="CC1578" s="34"/>
      <c r="CD1578" s="34"/>
      <c r="CE1578" s="34"/>
      <c r="CF1578" s="34"/>
      <c r="CG1578" s="34"/>
      <c r="CH1578" s="34"/>
      <c r="CI1578" s="8"/>
    </row>
    <row r="1579" spans="1:87" x14ac:dyDescent="0.2">
      <c r="A1579" s="8" t="str">
        <f>IF(AND(COUNTIF(W$3:W$13,A$30)&gt;0,A$30&lt;&gt;B1562),A$30,IFERROR(IF(MATCH(A$30,Z$3:Z$13,0)=1,A$30," ")," "))</f>
        <v>C16</v>
      </c>
      <c r="B1579" s="8">
        <f>IF(A1579=" "," ",MAX(B1564:B1578)+1)</f>
        <v>6</v>
      </c>
      <c r="C1579" s="8"/>
      <c r="D1579" s="8"/>
      <c r="E1579" s="8"/>
      <c r="F1579" s="8"/>
      <c r="G1579" s="8"/>
      <c r="H1579" s="8"/>
      <c r="I1579" s="8"/>
      <c r="J1579" s="8"/>
      <c r="K1579" s="8"/>
      <c r="L1579" s="8"/>
      <c r="M1579" s="8"/>
      <c r="N1579" s="8"/>
      <c r="O1579" s="8"/>
      <c r="P1579" s="8"/>
      <c r="Q1579" s="8"/>
      <c r="R1579" s="8"/>
      <c r="S1579" s="8"/>
      <c r="U1579" s="34"/>
      <c r="V1579" s="34"/>
      <c r="W1579" s="34"/>
      <c r="X1579" s="34"/>
      <c r="Y1579" s="34"/>
      <c r="Z1579" s="34"/>
      <c r="AA1579" s="34"/>
      <c r="AB1579" s="34"/>
      <c r="AC1579" s="34"/>
      <c r="AD1579" s="34"/>
      <c r="AE1579" s="34"/>
      <c r="AF1579" s="34"/>
      <c r="AG1579" s="34"/>
      <c r="AH1579" s="34"/>
      <c r="AI1579" s="34"/>
      <c r="AJ1579" s="34"/>
      <c r="AK1579" s="34"/>
      <c r="AL1579" s="34"/>
      <c r="AM1579" s="34"/>
      <c r="AN1579" s="34"/>
      <c r="AO1579" s="34"/>
      <c r="AP1579" s="34"/>
      <c r="AQ1579" s="34"/>
      <c r="AR1579" s="34"/>
      <c r="AS1579" s="34"/>
      <c r="AT1579" s="34"/>
      <c r="AU1579" s="34"/>
      <c r="AV1579" s="34"/>
      <c r="AW1579" s="34"/>
      <c r="AX1579" s="34"/>
      <c r="AY1579" s="34"/>
      <c r="AZ1579" s="34"/>
      <c r="BA1579" s="34"/>
      <c r="BB1579" s="34"/>
      <c r="BC1579" s="34"/>
      <c r="BD1579" s="34"/>
      <c r="BE1579" s="34"/>
      <c r="BF1579" s="34"/>
      <c r="BG1579" s="34"/>
      <c r="BH1579" s="34"/>
      <c r="BI1579" s="34"/>
      <c r="BJ1579" s="34"/>
      <c r="BK1579" s="34"/>
      <c r="BL1579" s="34"/>
      <c r="BM1579" s="34"/>
      <c r="BN1579" s="34"/>
      <c r="BO1579" s="34"/>
      <c r="BP1579" s="34"/>
      <c r="BQ1579" s="34"/>
      <c r="BR1579" s="34"/>
      <c r="BS1579" s="34"/>
      <c r="BT1579" s="34"/>
      <c r="BU1579" s="34"/>
      <c r="BV1579" s="34"/>
      <c r="BW1579" s="34"/>
      <c r="BX1579" s="34"/>
      <c r="BY1579" s="34"/>
      <c r="BZ1579" s="34"/>
      <c r="CA1579" s="34"/>
      <c r="CB1579" s="34"/>
      <c r="CC1579" s="34"/>
      <c r="CD1579" s="34"/>
      <c r="CE1579" s="34"/>
      <c r="CF1579" s="34"/>
      <c r="CG1579" s="34"/>
      <c r="CH1579" s="34"/>
      <c r="CI1579" s="8"/>
    </row>
    <row r="1580" spans="1:87" x14ac:dyDescent="0.2">
      <c r="A1580" s="8" t="str">
        <f>IF(AND(COUNTIF(W$3:W$13,A$31)&gt;0,A$31&lt;&gt;B1562),A$31,IFERROR(IF(MATCH(A$31,Z$3:Z$13,0)=1,A$31," ")," "))</f>
        <v>C17</v>
      </c>
      <c r="B1580" s="8">
        <f>IF(A1580=" "," ",MAX(B1564:B1579)+1)</f>
        <v>7</v>
      </c>
      <c r="C1580" s="8"/>
      <c r="D1580" s="8"/>
      <c r="E1580" s="8"/>
      <c r="F1580" s="8"/>
      <c r="G1580" s="8"/>
      <c r="H1580" s="8"/>
      <c r="I1580" s="8"/>
      <c r="J1580" s="8"/>
      <c r="K1580" s="8"/>
      <c r="L1580" s="8"/>
      <c r="M1580" s="8"/>
      <c r="N1580" s="8"/>
      <c r="O1580" s="8"/>
      <c r="P1580" s="8"/>
      <c r="Q1580" s="8"/>
      <c r="R1580" s="8"/>
      <c r="S1580" s="8"/>
      <c r="U1580" s="34"/>
      <c r="V1580" s="34"/>
      <c r="W1580" s="34"/>
      <c r="X1580" s="34"/>
      <c r="Y1580" s="34"/>
      <c r="Z1580" s="34"/>
      <c r="AA1580" s="34"/>
      <c r="AB1580" s="34"/>
      <c r="AC1580" s="34"/>
      <c r="AD1580" s="34"/>
      <c r="AE1580" s="34"/>
      <c r="AF1580" s="34"/>
      <c r="AG1580" s="34"/>
      <c r="AH1580" s="34"/>
      <c r="AI1580" s="34"/>
      <c r="AJ1580" s="34"/>
      <c r="AK1580" s="34"/>
      <c r="AL1580" s="34"/>
      <c r="AM1580" s="34"/>
      <c r="AN1580" s="34"/>
      <c r="AO1580" s="34"/>
      <c r="AP1580" s="34"/>
      <c r="AQ1580" s="34"/>
      <c r="AR1580" s="34"/>
      <c r="AS1580" s="34"/>
      <c r="AT1580" s="34"/>
      <c r="AU1580" s="34"/>
      <c r="AV1580" s="34"/>
      <c r="AW1580" s="34"/>
      <c r="AX1580" s="34"/>
      <c r="AY1580" s="34"/>
      <c r="AZ1580" s="34"/>
      <c r="BA1580" s="34"/>
      <c r="BB1580" s="34"/>
      <c r="BC1580" s="34"/>
      <c r="BD1580" s="34"/>
      <c r="BE1580" s="34"/>
      <c r="BF1580" s="34"/>
      <c r="BG1580" s="34"/>
      <c r="BH1580" s="34"/>
      <c r="BI1580" s="34"/>
      <c r="BJ1580" s="34"/>
      <c r="BK1580" s="34"/>
      <c r="BL1580" s="34"/>
      <c r="BM1580" s="34"/>
      <c r="BN1580" s="34"/>
      <c r="BO1580" s="34"/>
      <c r="BP1580" s="34"/>
      <c r="BQ1580" s="34"/>
      <c r="BR1580" s="34"/>
      <c r="BS1580" s="34"/>
      <c r="BT1580" s="34"/>
      <c r="BU1580" s="34"/>
      <c r="BV1580" s="34"/>
      <c r="BW1580" s="34"/>
      <c r="BX1580" s="34"/>
      <c r="BY1580" s="34"/>
      <c r="BZ1580" s="34"/>
      <c r="CA1580" s="34"/>
      <c r="CB1580" s="34"/>
      <c r="CC1580" s="34"/>
      <c r="CD1580" s="34"/>
      <c r="CE1580" s="34"/>
      <c r="CF1580" s="34"/>
      <c r="CG1580" s="34"/>
      <c r="CH1580" s="34"/>
      <c r="CI1580" s="8"/>
    </row>
    <row r="1581" spans="1:87" x14ac:dyDescent="0.2">
      <c r="A1581" s="8" t="str">
        <f>IF(AND(COUNTIF(W$3:W$13,A$32)&gt;0,A$32&lt;&gt;B1562),A$32,IFERROR(IF(MATCH(A$32,Z$3:Z$13,0)=1,A$32," ")," "))</f>
        <v xml:space="preserve"> </v>
      </c>
      <c r="B1581" s="8" t="str">
        <f>IF(A1581=" "," ",MAX(B1564:B1580)+1)</f>
        <v xml:space="preserve"> </v>
      </c>
      <c r="C1581" s="8"/>
      <c r="D1581" s="8"/>
      <c r="E1581" s="8"/>
      <c r="F1581" s="8"/>
      <c r="G1581" s="8"/>
      <c r="H1581" s="8"/>
      <c r="I1581" s="8"/>
      <c r="J1581" s="8"/>
      <c r="K1581" s="8"/>
      <c r="L1581" s="8"/>
      <c r="M1581" s="8"/>
      <c r="N1581" s="8"/>
      <c r="O1581" s="8"/>
      <c r="P1581" s="8"/>
      <c r="Q1581" s="8"/>
      <c r="R1581" s="8"/>
      <c r="S1581" s="8"/>
      <c r="U1581" s="34"/>
      <c r="V1581" s="34"/>
      <c r="W1581" s="34"/>
      <c r="X1581" s="34"/>
      <c r="Y1581" s="34"/>
      <c r="Z1581" s="34"/>
      <c r="AA1581" s="34"/>
      <c r="AB1581" s="34"/>
      <c r="AC1581" s="34"/>
      <c r="AD1581" s="34"/>
      <c r="AE1581" s="34"/>
      <c r="AF1581" s="34"/>
      <c r="AG1581" s="34"/>
      <c r="AH1581" s="34"/>
      <c r="AI1581" s="34"/>
      <c r="AJ1581" s="34"/>
      <c r="AK1581" s="34"/>
      <c r="AL1581" s="34"/>
      <c r="AM1581" s="34"/>
      <c r="AN1581" s="34"/>
      <c r="AO1581" s="34"/>
      <c r="AP1581" s="34"/>
      <c r="AQ1581" s="34"/>
      <c r="AR1581" s="34"/>
      <c r="AS1581" s="34"/>
      <c r="AT1581" s="34"/>
      <c r="AU1581" s="34"/>
      <c r="AV1581" s="34"/>
      <c r="AW1581" s="34"/>
      <c r="AX1581" s="34"/>
      <c r="AY1581" s="34"/>
      <c r="AZ1581" s="34"/>
      <c r="BA1581" s="34"/>
      <c r="BB1581" s="34"/>
      <c r="BC1581" s="34"/>
      <c r="BD1581" s="34"/>
      <c r="BE1581" s="34"/>
      <c r="BF1581" s="34"/>
      <c r="BG1581" s="34"/>
      <c r="BH1581" s="34"/>
      <c r="BI1581" s="34"/>
      <c r="BJ1581" s="34"/>
      <c r="BK1581" s="34"/>
      <c r="BL1581" s="34"/>
      <c r="BM1581" s="34"/>
      <c r="BN1581" s="34"/>
      <c r="BO1581" s="34"/>
      <c r="BP1581" s="34"/>
      <c r="BQ1581" s="34"/>
      <c r="BR1581" s="34"/>
      <c r="BS1581" s="34"/>
      <c r="BT1581" s="34"/>
      <c r="BU1581" s="34"/>
      <c r="BV1581" s="34"/>
      <c r="BW1581" s="34"/>
      <c r="BX1581" s="34"/>
      <c r="BY1581" s="34"/>
      <c r="BZ1581" s="34"/>
      <c r="CA1581" s="34"/>
      <c r="CB1581" s="34"/>
      <c r="CC1581" s="34"/>
      <c r="CD1581" s="34"/>
      <c r="CE1581" s="34"/>
      <c r="CF1581" s="34"/>
      <c r="CG1581" s="34"/>
      <c r="CH1581" s="34"/>
      <c r="CI1581" s="8"/>
    </row>
    <row r="1582" spans="1:87" x14ac:dyDescent="0.2">
      <c r="A1582" s="8" t="str">
        <f>IF(AND(COUNTIF(W$3:W$13,A$33)&gt;0,A$33&lt;&gt;B1562),A$33,IFERROR(IF(MATCH(A$33,Z$3:Z$13,0)=1,A$33," ")," "))</f>
        <v>C19</v>
      </c>
      <c r="B1582" s="8">
        <f>IF(A1582=" "," ",MAX(B1564:B1581)+1)</f>
        <v>8</v>
      </c>
      <c r="C1582" s="8"/>
      <c r="D1582" s="8"/>
      <c r="E1582" s="8"/>
      <c r="F1582" s="8"/>
      <c r="G1582" s="8"/>
      <c r="H1582" s="8"/>
      <c r="I1582" s="8"/>
      <c r="J1582" s="8"/>
      <c r="K1582" s="8"/>
      <c r="L1582" s="8"/>
      <c r="M1582" s="8"/>
      <c r="N1582" s="8"/>
      <c r="O1582" s="8"/>
      <c r="P1582" s="8"/>
      <c r="Q1582" s="8"/>
      <c r="R1582" s="8"/>
      <c r="S1582" s="8"/>
      <c r="U1582" s="34"/>
      <c r="V1582" s="34"/>
      <c r="W1582" s="34"/>
      <c r="X1582" s="34"/>
      <c r="Y1582" s="34"/>
      <c r="Z1582" s="34"/>
      <c r="AA1582" s="34"/>
      <c r="AB1582" s="34"/>
      <c r="AC1582" s="34"/>
      <c r="AD1582" s="34"/>
      <c r="AE1582" s="34"/>
      <c r="AF1582" s="34"/>
      <c r="AG1582" s="34"/>
      <c r="AH1582" s="34"/>
      <c r="AI1582" s="34"/>
      <c r="AJ1582" s="34"/>
      <c r="AK1582" s="34"/>
      <c r="AL1582" s="34"/>
      <c r="AM1582" s="34"/>
      <c r="AN1582" s="34"/>
      <c r="AO1582" s="34"/>
      <c r="AP1582" s="34"/>
      <c r="AQ1582" s="34"/>
      <c r="AR1582" s="34"/>
      <c r="AS1582" s="34"/>
      <c r="AT1582" s="34"/>
      <c r="AU1582" s="34"/>
      <c r="AV1582" s="34"/>
      <c r="AW1582" s="34"/>
      <c r="AX1582" s="34"/>
      <c r="AY1582" s="34"/>
      <c r="AZ1582" s="34"/>
      <c r="BA1582" s="34"/>
      <c r="BB1582" s="34"/>
      <c r="BC1582" s="34"/>
      <c r="BD1582" s="34"/>
      <c r="BE1582" s="34"/>
      <c r="BF1582" s="34"/>
      <c r="BG1582" s="34"/>
      <c r="BH1582" s="34"/>
      <c r="BI1582" s="34"/>
      <c r="BJ1582" s="34"/>
      <c r="BK1582" s="34"/>
      <c r="BL1582" s="34"/>
      <c r="BM1582" s="34"/>
      <c r="BN1582" s="34"/>
      <c r="BO1582" s="34"/>
      <c r="BP1582" s="34"/>
      <c r="BQ1582" s="34"/>
      <c r="BR1582" s="34"/>
      <c r="BS1582" s="34"/>
      <c r="BT1582" s="34"/>
      <c r="BU1582" s="34"/>
      <c r="BV1582" s="34"/>
      <c r="BW1582" s="34"/>
      <c r="BX1582" s="34"/>
      <c r="BY1582" s="34"/>
      <c r="BZ1582" s="34"/>
      <c r="CA1582" s="34"/>
      <c r="CB1582" s="34"/>
      <c r="CC1582" s="34"/>
      <c r="CD1582" s="34"/>
      <c r="CE1582" s="34"/>
      <c r="CF1582" s="34"/>
      <c r="CG1582" s="34"/>
      <c r="CH1582" s="34"/>
      <c r="CI1582" s="8"/>
    </row>
    <row r="1583" spans="1:87" x14ac:dyDescent="0.2">
      <c r="A1583" s="8" t="str">
        <f>IF(AND(COUNTIF(W$3:W$13,A$34)&gt;0,A$34&lt;&gt;B1562),A$34,IFERROR(IF(MATCH(A$34,Z$3:Z$13,0)=1,A$34," ")," "))</f>
        <v>C20</v>
      </c>
      <c r="B1583" s="8">
        <f>IF(A1583=" "," ",MAX(B1564:B1582)+1)</f>
        <v>9</v>
      </c>
      <c r="C1583" s="8"/>
      <c r="D1583" s="8"/>
      <c r="E1583" s="8"/>
      <c r="F1583" s="8"/>
      <c r="G1583" s="8"/>
      <c r="H1583" s="8"/>
      <c r="I1583" s="8"/>
      <c r="J1583" s="8"/>
      <c r="K1583" s="8"/>
      <c r="L1583" s="8"/>
      <c r="M1583" s="8"/>
      <c r="N1583" s="8"/>
      <c r="O1583" s="8"/>
      <c r="P1583" s="8"/>
      <c r="Q1583" s="8"/>
      <c r="R1583" s="8"/>
      <c r="S1583" s="8"/>
      <c r="U1583" s="34"/>
      <c r="V1583" s="34"/>
      <c r="W1583" s="34"/>
      <c r="X1583" s="34"/>
      <c r="Y1583" s="34"/>
      <c r="Z1583" s="34"/>
      <c r="AA1583" s="34"/>
      <c r="AB1583" s="34"/>
      <c r="AC1583" s="34"/>
      <c r="AD1583" s="34"/>
      <c r="AE1583" s="34"/>
      <c r="AF1583" s="34"/>
      <c r="AG1583" s="34"/>
      <c r="AH1583" s="34"/>
      <c r="AI1583" s="34"/>
      <c r="AJ1583" s="34"/>
      <c r="AK1583" s="34"/>
      <c r="AL1583" s="34"/>
      <c r="AM1583" s="34"/>
      <c r="AN1583" s="34"/>
      <c r="AO1583" s="34"/>
      <c r="AP1583" s="34"/>
      <c r="AQ1583" s="34"/>
      <c r="AR1583" s="34"/>
      <c r="AS1583" s="34"/>
      <c r="AT1583" s="34"/>
      <c r="AU1583" s="34"/>
      <c r="AV1583" s="34"/>
      <c r="AW1583" s="34"/>
      <c r="AX1583" s="34"/>
      <c r="AY1583" s="34"/>
      <c r="AZ1583" s="34"/>
      <c r="BA1583" s="34"/>
      <c r="BB1583" s="34"/>
      <c r="BC1583" s="34"/>
      <c r="BD1583" s="34"/>
      <c r="BE1583" s="34"/>
      <c r="BF1583" s="34"/>
      <c r="BG1583" s="34"/>
      <c r="BH1583" s="34"/>
      <c r="BI1583" s="34"/>
      <c r="BJ1583" s="34"/>
      <c r="BK1583" s="34"/>
      <c r="BL1583" s="34"/>
      <c r="BM1583" s="34"/>
      <c r="BN1583" s="34"/>
      <c r="BO1583" s="34"/>
      <c r="BP1583" s="34"/>
      <c r="BQ1583" s="34"/>
      <c r="BR1583" s="34"/>
      <c r="BS1583" s="34"/>
      <c r="BT1583" s="34"/>
      <c r="BU1583" s="34"/>
      <c r="BV1583" s="34"/>
      <c r="BW1583" s="34"/>
      <c r="BX1583" s="34"/>
      <c r="BY1583" s="34"/>
      <c r="BZ1583" s="34"/>
      <c r="CA1583" s="34"/>
      <c r="CB1583" s="34"/>
      <c r="CC1583" s="34"/>
      <c r="CD1583" s="34"/>
      <c r="CE1583" s="34"/>
      <c r="CF1583" s="34"/>
      <c r="CG1583" s="34"/>
      <c r="CH1583" s="34"/>
      <c r="CI1583" s="8"/>
    </row>
    <row r="1584" spans="1:87" x14ac:dyDescent="0.2">
      <c r="A1584" s="8" t="str">
        <f>IF(AND(COUNTIF(W$3:W$13,A$35)&gt;0,A$35&lt;&gt;B1562),A$35,IFERROR(IF(MATCH(A$35,Z$3:Z$13,0)=1,A$35," ")," "))</f>
        <v>C21</v>
      </c>
      <c r="B1584" s="8">
        <f>IF(A1584=" "," ",MAX(B1564:B1583)+1)</f>
        <v>10</v>
      </c>
      <c r="C1584" s="8"/>
      <c r="D1584" s="8"/>
      <c r="E1584" s="8"/>
      <c r="F1584" s="8"/>
      <c r="G1584" s="8"/>
      <c r="H1584" s="8"/>
      <c r="I1584" s="8"/>
      <c r="J1584" s="8"/>
      <c r="K1584" s="8"/>
      <c r="L1584" s="8"/>
      <c r="M1584" s="8"/>
      <c r="N1584" s="8"/>
      <c r="O1584" s="8"/>
      <c r="P1584" s="8"/>
      <c r="Q1584" s="8"/>
      <c r="R1584" s="8"/>
      <c r="S1584" s="8"/>
      <c r="U1584" s="34"/>
      <c r="V1584" s="34"/>
      <c r="W1584" s="34"/>
      <c r="X1584" s="34"/>
      <c r="Y1584" s="34"/>
      <c r="Z1584" s="34"/>
      <c r="AA1584" s="34"/>
      <c r="AB1584" s="34"/>
      <c r="AC1584" s="34"/>
      <c r="AD1584" s="34"/>
      <c r="AE1584" s="34"/>
      <c r="AF1584" s="34"/>
      <c r="AG1584" s="34"/>
      <c r="AH1584" s="34"/>
      <c r="AI1584" s="34"/>
      <c r="AJ1584" s="34"/>
      <c r="AK1584" s="34"/>
      <c r="AL1584" s="34"/>
      <c r="AM1584" s="34"/>
      <c r="AN1584" s="34"/>
      <c r="AO1584" s="34"/>
      <c r="AP1584" s="34"/>
      <c r="AQ1584" s="34"/>
      <c r="AR1584" s="34"/>
      <c r="AS1584" s="34"/>
      <c r="AT1584" s="34"/>
      <c r="AU1584" s="34"/>
      <c r="AV1584" s="34"/>
      <c r="AW1584" s="34"/>
      <c r="AX1584" s="34"/>
      <c r="AY1584" s="34"/>
      <c r="AZ1584" s="34"/>
      <c r="BA1584" s="34"/>
      <c r="BB1584" s="34"/>
      <c r="BC1584" s="34"/>
      <c r="BD1584" s="34"/>
      <c r="BE1584" s="34"/>
      <c r="BF1584" s="34"/>
      <c r="BG1584" s="34"/>
      <c r="BH1584" s="34"/>
      <c r="BI1584" s="34"/>
      <c r="BJ1584" s="34"/>
      <c r="BK1584" s="34"/>
      <c r="BL1584" s="34"/>
      <c r="BM1584" s="34"/>
      <c r="BN1584" s="34"/>
      <c r="BO1584" s="34"/>
      <c r="BP1584" s="34"/>
      <c r="BQ1584" s="34"/>
      <c r="BR1584" s="34"/>
      <c r="BS1584" s="34"/>
      <c r="BT1584" s="34"/>
      <c r="BU1584" s="34"/>
      <c r="BV1584" s="34"/>
      <c r="BW1584" s="34"/>
      <c r="BX1584" s="34"/>
      <c r="BY1584" s="34"/>
      <c r="BZ1584" s="34"/>
      <c r="CA1584" s="34"/>
      <c r="CB1584" s="34"/>
      <c r="CC1584" s="34"/>
      <c r="CD1584" s="34"/>
      <c r="CE1584" s="34"/>
      <c r="CF1584" s="34"/>
      <c r="CG1584" s="34"/>
      <c r="CH1584" s="34"/>
      <c r="CI1584" s="8"/>
    </row>
    <row r="1585" spans="1:87" x14ac:dyDescent="0.2">
      <c r="A1585" s="8" t="str">
        <f>IF(AND(COUNTIF(W$3:W$13,A$36)&gt;0,A$36&lt;&gt;B1562),A$36,IFERROR(IF(MATCH(A$36,Z$3:Z$13,0)=1,A$36," ")," "))</f>
        <v>C22</v>
      </c>
      <c r="B1585" s="8">
        <f>IF(A1585=" "," ",MAX(B1564:B1584)+1)</f>
        <v>11</v>
      </c>
      <c r="C1585" s="8"/>
      <c r="D1585" s="8"/>
      <c r="E1585" s="8"/>
      <c r="F1585" s="8"/>
      <c r="G1585" s="8"/>
      <c r="H1585" s="8"/>
      <c r="I1585" s="8"/>
      <c r="J1585" s="8"/>
      <c r="K1585" s="8"/>
      <c r="L1585" s="8"/>
      <c r="M1585" s="8"/>
      <c r="N1585" s="8"/>
      <c r="O1585" s="8"/>
      <c r="P1585" s="8"/>
      <c r="Q1585" s="8"/>
      <c r="R1585" s="8"/>
      <c r="S1585" s="8"/>
      <c r="U1585" s="34"/>
      <c r="V1585" s="34"/>
      <c r="W1585" s="34"/>
      <c r="X1585" s="34"/>
      <c r="Y1585" s="34"/>
      <c r="Z1585" s="34"/>
      <c r="AA1585" s="34"/>
      <c r="AB1585" s="34"/>
      <c r="AC1585" s="34"/>
      <c r="AD1585" s="34"/>
      <c r="AE1585" s="34"/>
      <c r="AF1585" s="34"/>
      <c r="AG1585" s="34"/>
      <c r="AH1585" s="34"/>
      <c r="AI1585" s="34"/>
      <c r="AJ1585" s="34"/>
      <c r="AK1585" s="34"/>
      <c r="AL1585" s="34"/>
      <c r="AM1585" s="34"/>
      <c r="AN1585" s="34"/>
      <c r="AO1585" s="34"/>
      <c r="AP1585" s="34"/>
      <c r="AQ1585" s="34"/>
      <c r="AR1585" s="34"/>
      <c r="AS1585" s="34"/>
      <c r="AT1585" s="34"/>
      <c r="AU1585" s="34"/>
      <c r="AV1585" s="34"/>
      <c r="AW1585" s="34"/>
      <c r="AX1585" s="34"/>
      <c r="AY1585" s="34"/>
      <c r="AZ1585" s="34"/>
      <c r="BA1585" s="34"/>
      <c r="BB1585" s="34"/>
      <c r="BC1585" s="34"/>
      <c r="BD1585" s="34"/>
      <c r="BE1585" s="34"/>
      <c r="BF1585" s="34"/>
      <c r="BG1585" s="34"/>
      <c r="BH1585" s="34"/>
      <c r="BI1585" s="34"/>
      <c r="BJ1585" s="34"/>
      <c r="BK1585" s="34"/>
      <c r="BL1585" s="34"/>
      <c r="BM1585" s="34"/>
      <c r="BN1585" s="34"/>
      <c r="BO1585" s="34"/>
      <c r="BP1585" s="34"/>
      <c r="BQ1585" s="34"/>
      <c r="BR1585" s="34"/>
      <c r="BS1585" s="34"/>
      <c r="BT1585" s="34"/>
      <c r="BU1585" s="34"/>
      <c r="BV1585" s="34"/>
      <c r="BW1585" s="34"/>
      <c r="BX1585" s="34"/>
      <c r="BY1585" s="34"/>
      <c r="BZ1585" s="34"/>
      <c r="CA1585" s="34"/>
      <c r="CB1585" s="34"/>
      <c r="CC1585" s="34"/>
      <c r="CD1585" s="34"/>
      <c r="CE1585" s="34"/>
      <c r="CF1585" s="34"/>
      <c r="CG1585" s="34"/>
      <c r="CH1585" s="34"/>
      <c r="CI1585" s="8"/>
    </row>
    <row r="1586" spans="1:87" x14ac:dyDescent="0.2">
      <c r="A1586" s="11" t="s">
        <v>17</v>
      </c>
      <c r="B1586" s="11"/>
      <c r="C1586" s="27" t="s">
        <v>18</v>
      </c>
      <c r="D1586" s="27" t="s">
        <v>2</v>
      </c>
      <c r="E1586" s="27" t="s">
        <v>6</v>
      </c>
      <c r="F1586" s="27" t="s">
        <v>15</v>
      </c>
      <c r="G1586" s="27" t="s">
        <v>36</v>
      </c>
      <c r="H1586" s="27" t="s">
        <v>37</v>
      </c>
      <c r="I1586" s="27" t="s">
        <v>38</v>
      </c>
      <c r="J1586" s="27" t="s">
        <v>39</v>
      </c>
      <c r="K1586" s="27" t="s">
        <v>40</v>
      </c>
      <c r="L1586" s="27" t="s">
        <v>41</v>
      </c>
      <c r="M1586" s="27" t="s">
        <v>42</v>
      </c>
      <c r="N1586" s="27" t="s">
        <v>43</v>
      </c>
      <c r="O1586" s="27" t="s">
        <v>9</v>
      </c>
      <c r="P1586" s="27" t="s">
        <v>12</v>
      </c>
      <c r="Q1586" s="27" t="s">
        <v>19</v>
      </c>
      <c r="R1586" s="27" t="s">
        <v>55</v>
      </c>
      <c r="S1586" s="27" t="s">
        <v>26</v>
      </c>
      <c r="T1586" s="19" t="s">
        <v>25</v>
      </c>
      <c r="U1586" s="33" t="s">
        <v>27</v>
      </c>
      <c r="V1586" s="33" t="s">
        <v>9</v>
      </c>
      <c r="W1586" s="33" t="s">
        <v>23</v>
      </c>
      <c r="X1586" s="33" t="s">
        <v>12</v>
      </c>
      <c r="Y1586" s="33" t="s">
        <v>26</v>
      </c>
      <c r="Z1586" s="33" t="s">
        <v>25</v>
      </c>
      <c r="AA1586" s="33" t="s">
        <v>27</v>
      </c>
      <c r="AB1586" s="33" t="s">
        <v>9</v>
      </c>
      <c r="AC1586" s="33" t="s">
        <v>23</v>
      </c>
      <c r="AD1586" s="33" t="s">
        <v>12</v>
      </c>
      <c r="AE1586" s="33" t="s">
        <v>26</v>
      </c>
      <c r="AF1586" s="33" t="s">
        <v>25</v>
      </c>
      <c r="AG1586" s="33" t="s">
        <v>27</v>
      </c>
      <c r="AH1586" s="33" t="s">
        <v>9</v>
      </c>
      <c r="AI1586" s="33" t="s">
        <v>23</v>
      </c>
      <c r="AJ1586" s="33" t="s">
        <v>12</v>
      </c>
      <c r="AK1586" s="33" t="s">
        <v>26</v>
      </c>
      <c r="AL1586" s="33" t="s">
        <v>25</v>
      </c>
      <c r="AM1586" s="33" t="s">
        <v>27</v>
      </c>
      <c r="AN1586" s="33" t="s">
        <v>9</v>
      </c>
      <c r="AO1586" s="33" t="s">
        <v>23</v>
      </c>
      <c r="AP1586" s="33" t="s">
        <v>12</v>
      </c>
      <c r="AQ1586" s="33" t="s">
        <v>26</v>
      </c>
      <c r="AR1586" s="33" t="s">
        <v>25</v>
      </c>
      <c r="AS1586" s="33" t="s">
        <v>27</v>
      </c>
      <c r="AT1586" s="33" t="s">
        <v>9</v>
      </c>
      <c r="AU1586" s="33" t="s">
        <v>23</v>
      </c>
      <c r="AV1586" s="33" t="s">
        <v>12</v>
      </c>
      <c r="AW1586" s="33" t="s">
        <v>26</v>
      </c>
      <c r="AX1586" s="33" t="s">
        <v>25</v>
      </c>
      <c r="AY1586" s="33" t="s">
        <v>27</v>
      </c>
      <c r="AZ1586" s="33" t="s">
        <v>9</v>
      </c>
      <c r="BA1586" s="33" t="s">
        <v>23</v>
      </c>
      <c r="BB1586" s="33" t="s">
        <v>12</v>
      </c>
      <c r="BC1586" s="33" t="s">
        <v>26</v>
      </c>
      <c r="BD1586" s="33" t="s">
        <v>25</v>
      </c>
      <c r="BE1586" s="33" t="s">
        <v>27</v>
      </c>
      <c r="BF1586" s="33" t="s">
        <v>9</v>
      </c>
      <c r="BG1586" s="33" t="s">
        <v>23</v>
      </c>
      <c r="BH1586" s="33" t="s">
        <v>12</v>
      </c>
      <c r="BI1586" s="33" t="s">
        <v>26</v>
      </c>
      <c r="BJ1586" s="33" t="s">
        <v>25</v>
      </c>
      <c r="BK1586" s="33" t="s">
        <v>27</v>
      </c>
      <c r="BL1586" s="33" t="s">
        <v>9</v>
      </c>
      <c r="BM1586" s="33" t="s">
        <v>23</v>
      </c>
      <c r="BN1586" s="33" t="s">
        <v>12</v>
      </c>
      <c r="BO1586" s="33" t="s">
        <v>26</v>
      </c>
      <c r="BP1586" s="33" t="s">
        <v>25</v>
      </c>
      <c r="BQ1586" s="33" t="s">
        <v>27</v>
      </c>
      <c r="BR1586" s="33" t="s">
        <v>9</v>
      </c>
      <c r="BS1586" s="33" t="s">
        <v>23</v>
      </c>
      <c r="BT1586" s="33" t="s">
        <v>12</v>
      </c>
      <c r="BU1586" s="33" t="s">
        <v>26</v>
      </c>
      <c r="BV1586" s="33" t="s">
        <v>25</v>
      </c>
      <c r="BW1586" s="33" t="s">
        <v>27</v>
      </c>
      <c r="BX1586" s="33" t="s">
        <v>9</v>
      </c>
      <c r="BY1586" s="33" t="s">
        <v>23</v>
      </c>
      <c r="BZ1586" s="33" t="s">
        <v>12</v>
      </c>
      <c r="CA1586" s="33" t="s">
        <v>26</v>
      </c>
      <c r="CB1586" s="33" t="s">
        <v>25</v>
      </c>
      <c r="CC1586" s="33" t="s">
        <v>27</v>
      </c>
      <c r="CD1586" s="33" t="s">
        <v>9</v>
      </c>
      <c r="CE1586" s="33" t="s">
        <v>23</v>
      </c>
      <c r="CF1586" s="33" t="s">
        <v>12</v>
      </c>
      <c r="CG1586" s="33" t="s">
        <v>26</v>
      </c>
      <c r="CH1586" s="33" t="s">
        <v>25</v>
      </c>
      <c r="CI1586" s="8"/>
    </row>
    <row r="1587" spans="1:87" x14ac:dyDescent="0.2">
      <c r="A1587" s="8" t="str">
        <f>IF(AND(COUNTIF(W$3:W$13,A$15)&gt;0,A$15&lt;&gt;B1562),A$15,IFERROR(IF(MATCH(A$15,Z$3:Z$13,0)=2,A$15," ")," "))</f>
        <v xml:space="preserve"> </v>
      </c>
      <c r="B1587" s="8" t="str">
        <f>IF(A1587=" "," ",1)</f>
        <v xml:space="preserve"> </v>
      </c>
      <c r="C1587" s="8" t="str">
        <f>IFERROR(INDEX(A1587:A1608,MATCH(SMALL(B1587:B1608,1),B1587:B1608,0),1)," ")</f>
        <v>C2</v>
      </c>
      <c r="D1587" s="8">
        <f>IFERROR(VLOOKUP($C1587,$A$15:$O$36,2,FALSE)," ")</f>
        <v>1</v>
      </c>
      <c r="E1587" s="8">
        <f>IFERROR(VLOOKUP($C1587,$A$15:$O$36,3,FALSE)," ")</f>
        <v>3</v>
      </c>
      <c r="F1587" s="8">
        <f>IFERROR(VLOOKUP($C1587,$A$15:$O$36,4,FALSE)," ")</f>
        <v>2</v>
      </c>
      <c r="G1587" s="8">
        <f>IFERROR(VLOOKUP($C1587,$A$15:$O$36,5,FALSE)," ")</f>
        <v>0</v>
      </c>
      <c r="H1587" s="8">
        <f>IFERROR(VLOOKUP($C1587,$A$15:$O$36,6,FALSE)," ")</f>
        <v>0</v>
      </c>
      <c r="I1587" s="8">
        <f>IFERROR(VLOOKUP($C1587,$A$15:$O$36,7,FALSE)," ")</f>
        <v>0</v>
      </c>
      <c r="J1587" s="8">
        <f>IFERROR(VLOOKUP($C1587,$A$15:$O$36,8,FALSE)," ")</f>
        <v>0</v>
      </c>
      <c r="K1587" s="8">
        <f>IFERROR(VLOOKUP($C1587,$A$15:$O$36,9,FALSE)," ")</f>
        <v>0</v>
      </c>
      <c r="L1587" s="8">
        <f>IFERROR(VLOOKUP($C1587,$A$15:$O$36,10,FALSE)," ")</f>
        <v>0</v>
      </c>
      <c r="M1587" s="8">
        <f>IFERROR(VLOOKUP($C1587,$A$15:$O$36,11,FALSE)," ")</f>
        <v>0</v>
      </c>
      <c r="N1587" s="8">
        <f>IFERROR(VLOOKUP($C1587,$A$15:$O$36,12,FALSE)," ")</f>
        <v>0</v>
      </c>
      <c r="O1587" s="8">
        <f>IFERROR(VLOOKUP($C1587,$A$15:$O$36,15,FALSE)," ")</f>
        <v>1000</v>
      </c>
      <c r="P1587" s="8" t="e">
        <f t="array" ref="P1587:P1597">MMULT(MINVERSE(D1587:N1597),O1587:O1597)</f>
        <v>#NUM!</v>
      </c>
      <c r="Q1587" s="8" t="e">
        <f t="shared" ref="Q1587" si="6819">IF(COUNTIF(P1587:P1597,"&lt;"&amp;-0.001)=0,IF(ABS(P1587)&lt;0.001,0,P1587)," ")</f>
        <v>#NUM!</v>
      </c>
      <c r="R1587" s="8" t="str">
        <f>IFERROR(VLOOKUP(B1562,A$15:L$36,2,FALSE)*Q1587+VLOOKUP(B1562,A$15:L$36,3,FALSE)*Q1588+VLOOKUP(B1562,A$15:L$36,4,FALSE)*Q1589+VLOOKUP(B1562,A$15:L$36,5,FALSE)*Q1590+VLOOKUP(B1562,A$15:L$36,6,FALSE)*Q1591+VLOOKUP(B1562,A$15:L$36,7,FALSE)*Q1592+VLOOKUP(B1562,A$15:L$36,8,FALSE)*Q1593+VLOOKUP(B1562,A$15:L$36,9,FALSE)*Q1594+VLOOKUP(B1562,A$15:L$36,10,FALSE)*Q1595+VLOOKUP(B1562,A$15:L$36,11,FALSE)*Q1596+VLOOKUP(B1562,A$15:L$36,12,FALSE)*Q1597," ")</f>
        <v xml:space="preserve"> </v>
      </c>
      <c r="S1587" s="8" t="str">
        <f>IFERROR(IF(R1587-VLOOKUP(B1562,A$15:O$36,15,FALSE)&lt;0,R1587-VLOOKUP(B1562,A$15:O$36,15,FALSE)," ")," ")</f>
        <v xml:space="preserve"> </v>
      </c>
      <c r="T1587" s="18" t="str">
        <f>IFERROR(IF(R1587-VLOOKUP(B1562,A$15:O$36,15,FALSE)&gt;0,R1587-VLOOKUP(B1562,A$15:O$36,15,FALSE)," ")," ")</f>
        <v xml:space="preserve"> </v>
      </c>
      <c r="U1587" s="34">
        <f t="shared" ref="U1587" si="6820">$M$2</f>
        <v>100.00000000000001</v>
      </c>
      <c r="V1587" s="34">
        <v>-1</v>
      </c>
      <c r="W1587" s="34">
        <f t="shared" ref="W1587" si="6821">-SUMPRODUCT($M$3:$M$12,$N$3:$N$12)</f>
        <v>-105000</v>
      </c>
      <c r="X1587" s="34" t="e">
        <f t="shared" ref="X1587" si="6822">IF(U1587&lt;&gt;U1588,MMULT(MINVERSE(U1587:V1588),W1587:W1588)," ")</f>
        <v>#NUM!</v>
      </c>
      <c r="Y1587" s="34" t="str">
        <f t="shared" ref="Y1587" si="6823">IFERROR(IF(X1587-VLOOKUP(U$38,$A$2:$N$12,14,FALSE)&lt;0,X1587-VLOOKUP(U$38,$A$2:$N$12,14,FALSE)," ")," ")</f>
        <v xml:space="preserve"> </v>
      </c>
      <c r="Z1587" s="34" t="str">
        <f t="shared" ref="Z1587" si="6824">IFERROR(IF(X1587-VLOOKUP(U$38,$A$2:$N$12,14,FALSE)&gt;0,X1587-VLOOKUP(U$38,$A$2:$N$12,14,FALSE)," ")," ")</f>
        <v xml:space="preserve"> </v>
      </c>
      <c r="AA1587" s="34">
        <f t="shared" ref="AA1587" si="6825">$M$3</f>
        <v>0</v>
      </c>
      <c r="AB1587" s="34">
        <v>-1</v>
      </c>
      <c r="AC1587" s="34">
        <f t="shared" ref="AC1587" si="6826">-SUMPRODUCT($M$2:$M$2,$N$2:$N$2)-SUMPRODUCT($M$4:$M$12,$N$4:$N$12)</f>
        <v>-120000</v>
      </c>
      <c r="AD1587" s="34" t="e">
        <f t="shared" ref="AD1587" si="6827">IF(AA1587&lt;&gt;AA1588,MMULT(MINVERSE(AA1587:AB1588),AC1587:AC1588)," ")</f>
        <v>#NUM!</v>
      </c>
      <c r="AE1587" s="34" t="str">
        <f t="shared" ref="AE1587" si="6828">IFERROR(IF(AD1587-VLOOKUP(AA$38,$A$2:$N$12,14,FALSE)&lt;0,AD1587-VLOOKUP(AA$38,$A$2:$N$12,14,FALSE)," ")," ")</f>
        <v xml:space="preserve"> </v>
      </c>
      <c r="AF1587" s="34" t="str">
        <f t="shared" ref="AF1587" si="6829">IFERROR(IF(AD1587-VLOOKUP(AA$38,$A$2:$N$12,14,FALSE)&gt;0,AD1587-VLOOKUP(AA$38,$A$2:$N$12,14,FALSE)," ")," ")</f>
        <v xml:space="preserve"> </v>
      </c>
      <c r="AG1587" s="34">
        <f t="shared" ref="AG1587" si="6830">$M$4</f>
        <v>300</v>
      </c>
      <c r="AH1587" s="34">
        <v>-1</v>
      </c>
      <c r="AI1587" s="34">
        <f t="shared" ref="AI1587" si="6831">-SUMPRODUCT($M$2:$M$3,$N$2:$N$3)-SUMPRODUCT($M$5:$M$12,$N$5:$N$12)</f>
        <v>-15000.000000000002</v>
      </c>
      <c r="AJ1587" s="34" t="e">
        <f t="shared" ref="AJ1587" si="6832">IF(AG1587&lt;&gt;AG1588,MMULT(MINVERSE(AG1587:AH1588),AI1587:AI1588)," ")</f>
        <v>#NUM!</v>
      </c>
      <c r="AK1587" s="34" t="str">
        <f t="shared" ref="AK1587" si="6833">IFERROR(IF(AJ1587-VLOOKUP(AG$38,$A$2:$N$12,14,FALSE)&lt;0,AJ1587-VLOOKUP(AG$38,$A$2:$N$12,14,FALSE)," ")," ")</f>
        <v xml:space="preserve"> </v>
      </c>
      <c r="AL1587" s="34" t="str">
        <f t="shared" ref="AL1587" si="6834">IFERROR(IF(AJ1587-VLOOKUP(AG$38,$A$2:$N$12,14,FALSE)&gt;0,AJ1587-VLOOKUP(AG$38,$A$2:$N$12,14,FALSE)," ")," ")</f>
        <v xml:space="preserve"> </v>
      </c>
      <c r="AM1587" s="34">
        <f t="shared" ref="AM1587" si="6835">$M$5</f>
        <v>0</v>
      </c>
      <c r="AN1587" s="34">
        <v>-1</v>
      </c>
      <c r="AO1587" s="34">
        <f t="shared" ref="AO1587" si="6836">-SUMPRODUCT($M$2:$M$4,$N$2:$N$4)-SUMPRODUCT($M$6:$M$12,$N$6:$N$12)</f>
        <v>-120000</v>
      </c>
      <c r="AP1587" s="34" t="e">
        <f t="shared" ref="AP1587" si="6837">IF(AM1587&lt;&gt;AM1588,MMULT(MINVERSE(AM1587:AN1588),AO1587:AO1588)," ")</f>
        <v>#NUM!</v>
      </c>
      <c r="AQ1587" s="34" t="str">
        <f t="shared" ref="AQ1587" si="6838">IFERROR(IF(AP1587-VLOOKUP(AM$38,$A$2:$N$12,14,FALSE)&lt;0,AP1587-VLOOKUP(AM$38,$A$2:$N$12,14,FALSE)," ")," ")</f>
        <v xml:space="preserve"> </v>
      </c>
      <c r="AR1587" s="34" t="str">
        <f t="shared" ref="AR1587" si="6839">IFERROR(IF(AP1587-VLOOKUP(AM$38,$A$2:$N$12,14,FALSE)&gt;0,AP1587-VLOOKUP(AM$38,$A$2:$N$12,14,FALSE)," ")," ")</f>
        <v xml:space="preserve"> </v>
      </c>
      <c r="AS1587" s="34">
        <f t="shared" ref="AS1587" si="6840">$M$6</f>
        <v>0</v>
      </c>
      <c r="AT1587" s="34">
        <v>-1</v>
      </c>
      <c r="AU1587" s="34">
        <f t="shared" ref="AU1587" si="6841">-SUMPRODUCT($M$2:$M$5,$N$2:$N$5)-SUMPRODUCT($M$7:$M$12,$N$7:$N$12)</f>
        <v>-120000</v>
      </c>
      <c r="AV1587" s="34" t="e">
        <f t="shared" ref="AV1587" si="6842">IF(AS1587&lt;&gt;AS1588,MMULT(MINVERSE(AS1587:AT1588),AU1587:AU1588)," ")</f>
        <v>#NUM!</v>
      </c>
      <c r="AW1587" s="34" t="str">
        <f t="shared" ref="AW1587" si="6843">IFERROR(IF(AV1587-VLOOKUP(AS$38,$A$2:$N$12,14,FALSE)&lt;0,AV1587-VLOOKUP(AS$38,$A$2:$N$12,14,FALSE)," ")," ")</f>
        <v xml:space="preserve"> </v>
      </c>
      <c r="AX1587" s="34" t="str">
        <f t="shared" ref="AX1587" si="6844">IFERROR(IF(AV1587-VLOOKUP(AS$38,$A$2:$N$12,14,FALSE)&gt;0,AV1587-VLOOKUP(AS$38,$A$2:$N$12,14,FALSE)," ")," ")</f>
        <v xml:space="preserve"> </v>
      </c>
      <c r="AY1587" s="34">
        <f t="shared" ref="AY1587" si="6845">$M$7</f>
        <v>0</v>
      </c>
      <c r="AZ1587" s="34">
        <v>-1</v>
      </c>
      <c r="BA1587" s="34">
        <f t="shared" ref="BA1587" si="6846">-SUMPRODUCT($M$2:$M$6,$N$2:$N$6)-SUMPRODUCT($M$8:$M$12,$N$8:$N$12)</f>
        <v>-120000</v>
      </c>
      <c r="BB1587" s="34" t="e">
        <f t="shared" ref="BB1587" si="6847">IF(AY1587&lt;&gt;AY1588,MMULT(MINVERSE(AY1587:AZ1588),BA1587:BA1588)," ")</f>
        <v>#NUM!</v>
      </c>
      <c r="BC1587" s="34" t="str">
        <f t="shared" ref="BC1587" si="6848">IFERROR(IF(BB1587-VLOOKUP(AY$38,$A$2:$N$12,14,FALSE)&lt;0,BB1587-VLOOKUP(AY$38,$A$2:$N$12,14,FALSE)," ")," ")</f>
        <v xml:space="preserve"> </v>
      </c>
      <c r="BD1587" s="34" t="str">
        <f t="shared" ref="BD1587" si="6849">IFERROR(IF(BB1587-VLOOKUP(AY$38,$A$2:$N$12,14,FALSE)&gt;0,BB1587-VLOOKUP(AY$38,$A$2:$N$12,14,FALSE)," ")," ")</f>
        <v xml:space="preserve"> </v>
      </c>
      <c r="BE1587" s="34">
        <f t="shared" ref="BE1587" si="6850">$M$8</f>
        <v>0</v>
      </c>
      <c r="BF1587" s="34">
        <v>-1</v>
      </c>
      <c r="BG1587" s="34">
        <f t="shared" ref="BG1587" si="6851">-SUMPRODUCT($M$2:$M$7,$N$2:$N$7)-SUMPRODUCT($M$9:$M$12,$N$9:$N$12)</f>
        <v>-120000</v>
      </c>
      <c r="BH1587" s="34" t="e">
        <f t="shared" ref="BH1587" si="6852">IF(BE1587&lt;&gt;BE1588,MMULT(MINVERSE(BE1587:BF1588),BG1587:BG1588)," ")</f>
        <v>#NUM!</v>
      </c>
      <c r="BI1587" s="34" t="str">
        <f t="shared" ref="BI1587" si="6853">IFERROR(IF(BH1587-VLOOKUP(BE$38,$A$2:$N$12,14,FALSE)&lt;0,BH1587-VLOOKUP(BE$38,$A$2:$N$12,14,FALSE)," ")," ")</f>
        <v xml:space="preserve"> </v>
      </c>
      <c r="BJ1587" s="34" t="str">
        <f t="shared" ref="BJ1587" si="6854">IFERROR(IF(BH1587-VLOOKUP(BE$38,$A$2:$N$12,14,FALSE)&gt;0,BH1587-VLOOKUP(BE$38,$A$2:$N$12,14,FALSE)," ")," ")</f>
        <v xml:space="preserve"> </v>
      </c>
      <c r="BK1587" s="34">
        <f t="shared" ref="BK1587" si="6855">$M$9</f>
        <v>0</v>
      </c>
      <c r="BL1587" s="34">
        <v>-1</v>
      </c>
      <c r="BM1587" s="34">
        <f t="shared" ref="BM1587" si="6856">-SUMPRODUCT($M$2:$M$8,$N$2:$N$8)-SUMPRODUCT($M$10:$M$12,$N$10:$N$12)</f>
        <v>-120000</v>
      </c>
      <c r="BN1587" s="34" t="e">
        <f t="shared" ref="BN1587" si="6857">IF(BK1587&lt;&gt;BK1588,MMULT(MINVERSE(BK1587:BL1588),BM1587:BM1588)," ")</f>
        <v>#NUM!</v>
      </c>
      <c r="BO1587" s="34" t="str">
        <f t="shared" ref="BO1587" si="6858">IFERROR(IF(BN1587-VLOOKUP(BK$38,$A$2:$N$12,14,FALSE)&lt;0,BN1587-VLOOKUP(BK$38,$A$2:$N$12,14,FALSE)," ")," ")</f>
        <v xml:space="preserve"> </v>
      </c>
      <c r="BP1587" s="34" t="str">
        <f t="shared" ref="BP1587" si="6859">IFERROR(IF(BN1587-VLOOKUP(BK$38,$A$2:$N$12,14,FALSE)&gt;0,BN1587-VLOOKUP(BK$38,$A$2:$N$12,14,FALSE)," ")," ")</f>
        <v xml:space="preserve"> </v>
      </c>
      <c r="BQ1587" s="34">
        <f t="shared" ref="BQ1587" si="6860">$M$10</f>
        <v>0</v>
      </c>
      <c r="BR1587" s="34">
        <v>-1</v>
      </c>
      <c r="BS1587" s="34">
        <f t="shared" ref="BS1587" si="6861">-SUMPRODUCT($M$2:$M$9,$N$2:$N$9)-SUMPRODUCT($M$11:$M$12,$N$11:$N$12)</f>
        <v>-120000</v>
      </c>
      <c r="BT1587" s="34" t="e">
        <f t="shared" ref="BT1587" si="6862">IF(BQ1587&lt;&gt;BQ1588,MMULT(MINVERSE(BQ1587:BR1588),BS1587:BS1588)," ")</f>
        <v>#NUM!</v>
      </c>
      <c r="BU1587" s="34" t="str">
        <f t="shared" ref="BU1587" si="6863">IFERROR(IF(BT1587-VLOOKUP(BQ$38,$A$2:$N$12,14,FALSE)&lt;0,BT1587-VLOOKUP(BQ$38,$A$2:$N$12,14,FALSE)," ")," ")</f>
        <v xml:space="preserve"> </v>
      </c>
      <c r="BV1587" s="34" t="str">
        <f t="shared" ref="BV1587" si="6864">IFERROR(IF(BT1587-VLOOKUP(BQ$38,$A$2:$N$12,14,FALSE)&gt;0,BT1587-VLOOKUP(BQ$38,$A$2:$N$12,14,FALSE)," ")," ")</f>
        <v xml:space="preserve"> </v>
      </c>
      <c r="BW1587" s="34">
        <f t="shared" ref="BW1587" si="6865">$M$11</f>
        <v>0</v>
      </c>
      <c r="BX1587" s="34">
        <v>-1</v>
      </c>
      <c r="BY1587" s="34">
        <f t="shared" ref="BY1587" si="6866">-SUMPRODUCT($M$2:$M$10,$N$2:$N$10)-SUMPRODUCT($M$12,$N$12)</f>
        <v>-120000</v>
      </c>
      <c r="BZ1587" s="34" t="e">
        <f t="shared" ref="BZ1587" si="6867">IF(BW1587&lt;&gt;BW1588,MMULT(MINVERSE(BW1587:BX1588),BY1587:BY1588)," ")</f>
        <v>#NUM!</v>
      </c>
      <c r="CA1587" s="34" t="str">
        <f t="shared" ref="CA1587" si="6868">IFERROR(IF(BZ1587-VLOOKUP(BW$38,$A$2:$N$12,14,FALSE)&lt;0,BZ1587-VLOOKUP(BW$38,$A$2:$N$12,14,FALSE)," ")," ")</f>
        <v xml:space="preserve"> </v>
      </c>
      <c r="CB1587" s="34" t="str">
        <f t="shared" ref="CB1587" si="6869">IFERROR(IF(BZ1587-VLOOKUP(BW$38,$A$2:$N$12,14,FALSE)&gt;0,BZ1587-VLOOKUP(BW$38,$A$2:$N$12,14,FALSE)," ")," ")</f>
        <v xml:space="preserve"> </v>
      </c>
      <c r="CC1587" s="34">
        <f t="shared" ref="CC1587" si="6870">$M$12</f>
        <v>0</v>
      </c>
      <c r="CD1587" s="34">
        <v>-1</v>
      </c>
      <c r="CE1587" s="34">
        <f t="shared" ref="CE1587" si="6871">-SUMPRODUCT($M$2:$M$11,$N$2:$N$11)</f>
        <v>-120000</v>
      </c>
      <c r="CF1587" s="34" t="e">
        <f t="shared" ref="CF1587" si="6872">IF(CC1587&lt;&gt;CC1588,MMULT(MINVERSE(CC1587:CD1588),CE1587:CE1588)," ")</f>
        <v>#NUM!</v>
      </c>
      <c r="CG1587" s="34" t="str">
        <f t="shared" ref="CG1587" si="6873">IFERROR(IF(CF1587-VLOOKUP(CC$38,$A$2:$N$12,14,FALSE)&lt;0,CF1587-VLOOKUP(CC$38,$A$2:$N$12,14,FALSE)," ")," ")</f>
        <v xml:space="preserve"> </v>
      </c>
      <c r="CH1587" s="34" t="str">
        <f t="shared" ref="CH1587" si="6874">IFERROR(IF(CF1587-VLOOKUP(CC$38,$A$2:$N$12,14,FALSE)&gt;0,CF1587-VLOOKUP(CC$38,$A$2:$N$12,14,FALSE)," ")," ")</f>
        <v xml:space="preserve"> </v>
      </c>
      <c r="CI1587" s="8"/>
    </row>
    <row r="1588" spans="1:87" x14ac:dyDescent="0.2">
      <c r="A1588" s="8" t="str">
        <f>IF(AND(COUNTIF(W$3:W$13,A$16)&gt;0,A$16&lt;&gt;B1562),A$16,IFERROR(IF(MATCH(A$16,Z$3:Z$13,0)=2,A$16," ")," "))</f>
        <v>C2</v>
      </c>
      <c r="B1588" s="8">
        <f>IF(A1588=" "," ",MAX(B1587:B1587)+1)</f>
        <v>1</v>
      </c>
      <c r="C1588" s="8" t="str">
        <f>IFERROR(INDEX(A1587:A1608,MATCH(SMALL(B1587:B1608,2),B1587:B1608,0),1)," ")</f>
        <v>C3</v>
      </c>
      <c r="D1588" s="8">
        <f t="shared" ref="D1588:D1597" si="6875">IFERROR(VLOOKUP($C1588,$A$15:$O$36,2,FALSE)," ")</f>
        <v>2</v>
      </c>
      <c r="E1588" s="8">
        <f t="shared" ref="E1588:E1597" si="6876">IFERROR(VLOOKUP($C1588,$A$15:$O$36,3,FALSE)," ")</f>
        <v>5</v>
      </c>
      <c r="F1588" s="8">
        <f t="shared" ref="F1588:F1597" si="6877">IFERROR(VLOOKUP($C1588,$A$15:$O$36,4,FALSE)," ")</f>
        <v>6</v>
      </c>
      <c r="G1588" s="8">
        <f t="shared" ref="G1588:G1597" si="6878">IFERROR(VLOOKUP($C1588,$A$15:$O$36,5,FALSE)," ")</f>
        <v>0</v>
      </c>
      <c r="H1588" s="8">
        <f t="shared" ref="H1588:H1597" si="6879">IFERROR(VLOOKUP($C1588,$A$15:$O$36,6,FALSE)," ")</f>
        <v>0</v>
      </c>
      <c r="I1588" s="8">
        <f t="shared" ref="I1588:I1597" si="6880">IFERROR(VLOOKUP($C1588,$A$15:$O$36,7,FALSE)," ")</f>
        <v>0</v>
      </c>
      <c r="J1588" s="8">
        <f t="shared" ref="J1588:J1597" si="6881">IFERROR(VLOOKUP($C1588,$A$15:$O$36,8,FALSE)," ")</f>
        <v>0</v>
      </c>
      <c r="K1588" s="8">
        <f t="shared" ref="K1588:K1597" si="6882">IFERROR(VLOOKUP($C1588,$A$15:$O$36,9,FALSE)," ")</f>
        <v>0</v>
      </c>
      <c r="L1588" s="8">
        <f t="shared" ref="L1588:L1597" si="6883">IFERROR(VLOOKUP($C1588,$A$15:$O$36,10,FALSE)," ")</f>
        <v>0</v>
      </c>
      <c r="M1588" s="8">
        <f t="shared" ref="M1588:M1597" si="6884">IFERROR(VLOOKUP($C1588,$A$15:$O$36,11,FALSE)," ")</f>
        <v>0</v>
      </c>
      <c r="N1588" s="8">
        <f t="shared" ref="N1588:N1597" si="6885">IFERROR(VLOOKUP($C1588,$A$15:$O$36,12,FALSE)," ")</f>
        <v>0</v>
      </c>
      <c r="O1588" s="8">
        <f t="shared" ref="O1588:O1597" si="6886">IFERROR(VLOOKUP($C1588,$A$15:$O$36,15,FALSE)," ")</f>
        <v>2000</v>
      </c>
      <c r="P1588" s="8" t="e">
        <v>#NUM!</v>
      </c>
      <c r="Q1588" s="8" t="e">
        <f t="shared" ref="Q1588" si="6887">IF(COUNTIF(P1587:P1597,"&lt;"&amp;-0.001)=0,IF(ABS(P1588)&lt;0.001,0,P1588)," ")</f>
        <v>#NUM!</v>
      </c>
      <c r="R1588" s="8"/>
      <c r="S1588" s="8"/>
      <c r="U1588" s="34" t="e">
        <f t="shared" ref="U1588" si="6888">$Q1587</f>
        <v>#NUM!</v>
      </c>
      <c r="V1588" s="34">
        <v>-1</v>
      </c>
      <c r="W1588" s="34" t="e">
        <f t="shared" ref="W1588" si="6889">-SUMPRODUCT($Q1588:$Q1597,$N$3:$N$12)</f>
        <v>#NUM!</v>
      </c>
      <c r="X1588" s="34"/>
      <c r="Y1588" s="34"/>
      <c r="Z1588" s="34"/>
      <c r="AA1588" s="34" t="e">
        <f t="shared" ref="AA1588" si="6890">$Q1588</f>
        <v>#NUM!</v>
      </c>
      <c r="AB1588" s="34">
        <v>-1</v>
      </c>
      <c r="AC1588" s="34" t="e">
        <f t="shared" ref="AC1588" si="6891">-SUMPRODUCT($Q1587:$Q1587,$N$2:$N$2)-SUMPRODUCT($Q1589:$Q1597,$N$4:$N$12)</f>
        <v>#NUM!</v>
      </c>
      <c r="AD1588" s="34"/>
      <c r="AE1588" s="34"/>
      <c r="AF1588" s="34"/>
      <c r="AG1588" s="34" t="e">
        <f t="shared" ref="AG1588" si="6892">$Q1589</f>
        <v>#NUM!</v>
      </c>
      <c r="AH1588" s="34">
        <v>-1</v>
      </c>
      <c r="AI1588" s="34" t="e">
        <f t="shared" ref="AI1588" si="6893">-SUMPRODUCT($Q1587:$Q1588,$N$2:$N$3)-SUMPRODUCT($Q1590:$Q1597,$N$5:$N$12)</f>
        <v>#NUM!</v>
      </c>
      <c r="AJ1588" s="34"/>
      <c r="AK1588" s="34"/>
      <c r="AL1588" s="34"/>
      <c r="AM1588" s="34" t="e">
        <f t="shared" ref="AM1588" si="6894">$Q1590</f>
        <v>#NUM!</v>
      </c>
      <c r="AN1588" s="34">
        <v>-1</v>
      </c>
      <c r="AO1588" s="34" t="e">
        <f t="shared" ref="AO1588" si="6895">-SUMPRODUCT($Q1587:$Q1589,$N$2:$N$4)-SUMPRODUCT($Q1591:$Q1597,$N$6:$N$12)</f>
        <v>#NUM!</v>
      </c>
      <c r="AP1588" s="34"/>
      <c r="AQ1588" s="34"/>
      <c r="AR1588" s="34"/>
      <c r="AS1588" s="34" t="e">
        <f t="shared" ref="AS1588" si="6896">$Q1591</f>
        <v>#NUM!</v>
      </c>
      <c r="AT1588" s="34">
        <v>-1</v>
      </c>
      <c r="AU1588" s="34" t="e">
        <f t="shared" ref="AU1588" si="6897">-SUMPRODUCT($Q1587:$Q1590,$N$2:$N$5)-SUMPRODUCT($Q1592:$Q1597,$N$7:$N$12)</f>
        <v>#NUM!</v>
      </c>
      <c r="AV1588" s="34"/>
      <c r="AW1588" s="34"/>
      <c r="AX1588" s="34"/>
      <c r="AY1588" s="34" t="e">
        <f t="shared" ref="AY1588" si="6898">$Q1592</f>
        <v>#NUM!</v>
      </c>
      <c r="AZ1588" s="34">
        <v>-1</v>
      </c>
      <c r="BA1588" s="34" t="e">
        <f t="shared" ref="BA1588" si="6899">-SUMPRODUCT($Q1587:$Q1591,$N$2:$N$6)-SUMPRODUCT($Q1593:$Q1597,$N$8:$N$12)</f>
        <v>#NUM!</v>
      </c>
      <c r="BB1588" s="34"/>
      <c r="BC1588" s="34"/>
      <c r="BD1588" s="34"/>
      <c r="BE1588" s="34" t="e">
        <f t="shared" ref="BE1588" si="6900">$Q1593</f>
        <v>#NUM!</v>
      </c>
      <c r="BF1588" s="34">
        <v>-1</v>
      </c>
      <c r="BG1588" s="34" t="e">
        <f t="shared" ref="BG1588" si="6901">-SUMPRODUCT($Q1587:$Q1592,$N$2:$N$7)-SUMPRODUCT($Q1594:$Q1597,$N$9:$N$12)</f>
        <v>#NUM!</v>
      </c>
      <c r="BH1588" s="34"/>
      <c r="BI1588" s="34"/>
      <c r="BJ1588" s="34"/>
      <c r="BK1588" s="34" t="e">
        <f t="shared" ref="BK1588" si="6902">$Q1594</f>
        <v>#NUM!</v>
      </c>
      <c r="BL1588" s="34">
        <v>-1</v>
      </c>
      <c r="BM1588" s="34" t="e">
        <f t="shared" ref="BM1588" si="6903">-SUMPRODUCT($Q1587:$Q1593,$N$2:$N$8)-SUMPRODUCT($Q1595:$Q1597,$N$10:$N$12)</f>
        <v>#NUM!</v>
      </c>
      <c r="BN1588" s="34"/>
      <c r="BO1588" s="34"/>
      <c r="BP1588" s="34"/>
      <c r="BQ1588" s="34" t="e">
        <f t="shared" ref="BQ1588" si="6904">$Q1595</f>
        <v>#NUM!</v>
      </c>
      <c r="BR1588" s="34">
        <v>-1</v>
      </c>
      <c r="BS1588" s="34" t="e">
        <f t="shared" ref="BS1588" si="6905">-SUMPRODUCT($Q1587:$Q1594,$N$2:$N$9)-SUMPRODUCT($Q1596:$Q1597,$N$11:$N$12)</f>
        <v>#NUM!</v>
      </c>
      <c r="BT1588" s="34"/>
      <c r="BU1588" s="34"/>
      <c r="BV1588" s="34"/>
      <c r="BW1588" s="34" t="e">
        <f t="shared" ref="BW1588" si="6906">$Q1596</f>
        <v>#NUM!</v>
      </c>
      <c r="BX1588" s="34">
        <v>-1</v>
      </c>
      <c r="BY1588" s="34" t="e">
        <f t="shared" ref="BY1588" si="6907">-SUMPRODUCT($Q1587:$Q1595,$N$2:$N$10)-SUMPRODUCT($Q1597,$N$12)</f>
        <v>#NUM!</v>
      </c>
      <c r="BZ1588" s="34"/>
      <c r="CA1588" s="34"/>
      <c r="CB1588" s="34"/>
      <c r="CC1588" s="34" t="e">
        <f t="shared" ref="CC1588" si="6908">$Q1597</f>
        <v>#NUM!</v>
      </c>
      <c r="CD1588" s="34">
        <v>-1</v>
      </c>
      <c r="CE1588" s="34" t="e">
        <f t="shared" ref="CE1588" si="6909">-SUMPRODUCT($Q1587:$Q1596,$N$2:$N$11)</f>
        <v>#NUM!</v>
      </c>
      <c r="CF1588" s="34"/>
      <c r="CG1588" s="34"/>
      <c r="CH1588" s="34"/>
      <c r="CI1588" s="8"/>
    </row>
    <row r="1589" spans="1:87" x14ac:dyDescent="0.2">
      <c r="A1589" s="8" t="str">
        <f>IF(AND(COUNTIF(W$3:W$13,A$17)&gt;0,A$17&lt;&gt;B1562),A$17,IFERROR(IF(MATCH(A$17,Z$3:Z$13,0)=2,A$17," ")," "))</f>
        <v>C3</v>
      </c>
      <c r="B1589" s="8">
        <f>IF(A1589=" "," ",MAX(B1587:B1588)+1)</f>
        <v>2</v>
      </c>
      <c r="C1589" s="8" t="str">
        <f>IFERROR(INDEX(A1587:A1608,MATCH(SMALL(B1587:B1608,3),B1587:B1608,0),1)," ")</f>
        <v>C4</v>
      </c>
      <c r="D1589" s="8">
        <f t="shared" si="6875"/>
        <v>1</v>
      </c>
      <c r="E1589" s="8">
        <f t="shared" si="6876"/>
        <v>0</v>
      </c>
      <c r="F1589" s="8">
        <f t="shared" si="6877"/>
        <v>1</v>
      </c>
      <c r="G1589" s="8">
        <f t="shared" si="6878"/>
        <v>0</v>
      </c>
      <c r="H1589" s="8">
        <f t="shared" si="6879"/>
        <v>0</v>
      </c>
      <c r="I1589" s="8">
        <f t="shared" si="6880"/>
        <v>0</v>
      </c>
      <c r="J1589" s="8">
        <f t="shared" si="6881"/>
        <v>0</v>
      </c>
      <c r="K1589" s="8">
        <f t="shared" si="6882"/>
        <v>0</v>
      </c>
      <c r="L1589" s="8">
        <f t="shared" si="6883"/>
        <v>0</v>
      </c>
      <c r="M1589" s="8">
        <f t="shared" si="6884"/>
        <v>0</v>
      </c>
      <c r="N1589" s="8">
        <f t="shared" si="6885"/>
        <v>0</v>
      </c>
      <c r="O1589" s="8">
        <f t="shared" si="6886"/>
        <v>400</v>
      </c>
      <c r="P1589" s="8" t="e">
        <v>#NUM!</v>
      </c>
      <c r="Q1589" s="8" t="e">
        <f t="shared" ref="Q1589" si="6910">IF(COUNTIF(P1587:P1597,"&lt;"&amp;-0.001)=0,IF(ABS(P1589)&lt;0.001,0,P1589)," ")</f>
        <v>#NUM!</v>
      </c>
      <c r="R1589" s="8"/>
      <c r="S1589" s="8"/>
      <c r="U1589" s="34"/>
      <c r="V1589" s="34"/>
      <c r="W1589" s="34"/>
      <c r="X1589" s="34"/>
      <c r="Y1589" s="34"/>
      <c r="Z1589" s="34"/>
      <c r="AA1589" s="34"/>
      <c r="AB1589" s="34"/>
      <c r="AC1589" s="34"/>
      <c r="AD1589" s="34"/>
      <c r="AE1589" s="34"/>
      <c r="AF1589" s="34"/>
      <c r="AG1589" s="34"/>
      <c r="AH1589" s="34"/>
      <c r="AI1589" s="34"/>
      <c r="AJ1589" s="34"/>
      <c r="AK1589" s="34"/>
      <c r="AL1589" s="34"/>
      <c r="AM1589" s="34"/>
      <c r="AN1589" s="34"/>
      <c r="AO1589" s="34"/>
      <c r="AP1589" s="34"/>
      <c r="AQ1589" s="34"/>
      <c r="AR1589" s="34"/>
      <c r="AS1589" s="34"/>
      <c r="AT1589" s="34"/>
      <c r="AU1589" s="34"/>
      <c r="AV1589" s="34"/>
      <c r="AW1589" s="34"/>
      <c r="AX1589" s="34"/>
      <c r="AY1589" s="34"/>
      <c r="AZ1589" s="34"/>
      <c r="BA1589" s="34"/>
      <c r="BB1589" s="34"/>
      <c r="BC1589" s="34"/>
      <c r="BD1589" s="34"/>
      <c r="BE1589" s="34"/>
      <c r="BF1589" s="34"/>
      <c r="BG1589" s="34"/>
      <c r="BH1589" s="34"/>
      <c r="BI1589" s="34"/>
      <c r="BJ1589" s="34"/>
      <c r="BK1589" s="34"/>
      <c r="BL1589" s="34"/>
      <c r="BM1589" s="34"/>
      <c r="BN1589" s="34"/>
      <c r="BO1589" s="34"/>
      <c r="BP1589" s="34"/>
      <c r="BQ1589" s="34"/>
      <c r="BR1589" s="34"/>
      <c r="BS1589" s="34"/>
      <c r="BT1589" s="34"/>
      <c r="BU1589" s="34"/>
      <c r="BV1589" s="34"/>
      <c r="BW1589" s="34"/>
      <c r="BX1589" s="34"/>
      <c r="BY1589" s="34"/>
      <c r="BZ1589" s="34"/>
      <c r="CA1589" s="34"/>
      <c r="CB1589" s="34"/>
      <c r="CC1589" s="34"/>
      <c r="CD1589" s="34"/>
      <c r="CE1589" s="34"/>
      <c r="CF1589" s="34"/>
      <c r="CG1589" s="34"/>
      <c r="CH1589" s="34"/>
      <c r="CI1589" s="8"/>
    </row>
    <row r="1590" spans="1:87" x14ac:dyDescent="0.2">
      <c r="A1590" s="8" t="str">
        <f>IF(AND(COUNTIF(W$3:W$13,A$18)&gt;0,A$18&lt;&gt;B1562),A$18,IFERROR(IF(MATCH(A$18,Z$3:Z$13,0)=2,A$18," ")," "))</f>
        <v>C4</v>
      </c>
      <c r="B1590" s="8">
        <f>IF(A1590=" "," ",MAX(B1587:B1589)+1)</f>
        <v>3</v>
      </c>
      <c r="C1590" s="8" t="str">
        <f>IFERROR(INDEX(A1587:A1608,MATCH(SMALL(B1587:B1608,4),B1587:B1608,0),1)," ")</f>
        <v>C13</v>
      </c>
      <c r="D1590" s="8">
        <f t="shared" si="6875"/>
        <v>0</v>
      </c>
      <c r="E1590" s="8">
        <f t="shared" si="6876"/>
        <v>1</v>
      </c>
      <c r="F1590" s="8">
        <f t="shared" si="6877"/>
        <v>0</v>
      </c>
      <c r="G1590" s="8">
        <f t="shared" si="6878"/>
        <v>0</v>
      </c>
      <c r="H1590" s="8">
        <f t="shared" si="6879"/>
        <v>0</v>
      </c>
      <c r="I1590" s="8">
        <f t="shared" si="6880"/>
        <v>0</v>
      </c>
      <c r="J1590" s="8">
        <f t="shared" si="6881"/>
        <v>0</v>
      </c>
      <c r="K1590" s="8">
        <f t="shared" si="6882"/>
        <v>0</v>
      </c>
      <c r="L1590" s="8">
        <f t="shared" si="6883"/>
        <v>0</v>
      </c>
      <c r="M1590" s="8">
        <f t="shared" si="6884"/>
        <v>0</v>
      </c>
      <c r="N1590" s="8">
        <f t="shared" si="6885"/>
        <v>0</v>
      </c>
      <c r="O1590" s="8">
        <f t="shared" si="6886"/>
        <v>0</v>
      </c>
      <c r="P1590" s="8" t="e">
        <v>#NUM!</v>
      </c>
      <c r="Q1590" s="8" t="e">
        <f t="shared" ref="Q1590" si="6911">IF(COUNTIF(P1587:P1597,"&lt;"&amp;-0.001)=0,IF(ABS(P1590)&lt;0.001,0,P1590)," ")</f>
        <v>#NUM!</v>
      </c>
      <c r="R1590" s="8"/>
      <c r="S1590" s="8"/>
      <c r="U1590" s="34"/>
      <c r="V1590" s="34"/>
      <c r="W1590" s="34"/>
      <c r="X1590" s="34"/>
      <c r="Y1590" s="34"/>
      <c r="Z1590" s="34"/>
      <c r="AA1590" s="34"/>
      <c r="AB1590" s="34"/>
      <c r="AC1590" s="34"/>
      <c r="AD1590" s="34"/>
      <c r="AE1590" s="34"/>
      <c r="AF1590" s="34"/>
      <c r="AG1590" s="34"/>
      <c r="AH1590" s="34"/>
      <c r="AI1590" s="34"/>
      <c r="AJ1590" s="34"/>
      <c r="AK1590" s="34"/>
      <c r="AL1590" s="34"/>
      <c r="AM1590" s="34"/>
      <c r="AN1590" s="34"/>
      <c r="AO1590" s="34"/>
      <c r="AP1590" s="34"/>
      <c r="AQ1590" s="34"/>
      <c r="AR1590" s="34"/>
      <c r="AS1590" s="34"/>
      <c r="AT1590" s="34"/>
      <c r="AU1590" s="34"/>
      <c r="AV1590" s="34"/>
      <c r="AW1590" s="34"/>
      <c r="AX1590" s="34"/>
      <c r="AY1590" s="34"/>
      <c r="AZ1590" s="34"/>
      <c r="BA1590" s="34"/>
      <c r="BB1590" s="34"/>
      <c r="BC1590" s="34"/>
      <c r="BD1590" s="34"/>
      <c r="BE1590" s="34"/>
      <c r="BF1590" s="34"/>
      <c r="BG1590" s="34"/>
      <c r="BH1590" s="34"/>
      <c r="BI1590" s="34"/>
      <c r="BJ1590" s="34"/>
      <c r="BK1590" s="34"/>
      <c r="BL1590" s="34"/>
      <c r="BM1590" s="34"/>
      <c r="BN1590" s="34"/>
      <c r="BO1590" s="34"/>
      <c r="BP1590" s="34"/>
      <c r="BQ1590" s="34"/>
      <c r="BR1590" s="34"/>
      <c r="BS1590" s="34"/>
      <c r="BT1590" s="34"/>
      <c r="BU1590" s="34"/>
      <c r="BV1590" s="34"/>
      <c r="BW1590" s="34"/>
      <c r="BX1590" s="34"/>
      <c r="BY1590" s="34"/>
      <c r="BZ1590" s="34"/>
      <c r="CA1590" s="34"/>
      <c r="CB1590" s="34"/>
      <c r="CC1590" s="34"/>
      <c r="CD1590" s="34"/>
      <c r="CE1590" s="34"/>
      <c r="CF1590" s="34"/>
      <c r="CG1590" s="34"/>
      <c r="CH1590" s="34"/>
      <c r="CI1590" s="8"/>
    </row>
    <row r="1591" spans="1:87" x14ac:dyDescent="0.2">
      <c r="A1591" s="8" t="str">
        <f>IF(AND(COUNTIF(W$3:W$13,A$19)&gt;0,A$19&lt;&gt;B1562),A$19,IFERROR(IF(MATCH(A$19,Z$3:Z$13,0)=2,A$19," ")," "))</f>
        <v xml:space="preserve"> </v>
      </c>
      <c r="B1591" s="8" t="str">
        <f>IF(A1591=" "," ",MAX(B1587:B1590)+1)</f>
        <v xml:space="preserve"> </v>
      </c>
      <c r="C1591" s="8" t="str">
        <f>IFERROR(INDEX(A1587:A1608,MATCH(SMALL(B1587:B1608,5),B1587:B1608,0),1)," ")</f>
        <v>C15</v>
      </c>
      <c r="D1591" s="8">
        <f t="shared" si="6875"/>
        <v>0</v>
      </c>
      <c r="E1591" s="8">
        <f t="shared" si="6876"/>
        <v>0</v>
      </c>
      <c r="F1591" s="8">
        <f t="shared" si="6877"/>
        <v>0</v>
      </c>
      <c r="G1591" s="8">
        <f t="shared" si="6878"/>
        <v>1</v>
      </c>
      <c r="H1591" s="8">
        <f t="shared" si="6879"/>
        <v>0</v>
      </c>
      <c r="I1591" s="8">
        <f t="shared" si="6880"/>
        <v>0</v>
      </c>
      <c r="J1591" s="8">
        <f t="shared" si="6881"/>
        <v>0</v>
      </c>
      <c r="K1591" s="8">
        <f t="shared" si="6882"/>
        <v>0</v>
      </c>
      <c r="L1591" s="8">
        <f t="shared" si="6883"/>
        <v>0</v>
      </c>
      <c r="M1591" s="8">
        <f t="shared" si="6884"/>
        <v>0</v>
      </c>
      <c r="N1591" s="8">
        <f t="shared" si="6885"/>
        <v>0</v>
      </c>
      <c r="O1591" s="8">
        <f t="shared" si="6886"/>
        <v>0</v>
      </c>
      <c r="P1591" s="8" t="e">
        <v>#NUM!</v>
      </c>
      <c r="Q1591" s="8" t="e">
        <f t="shared" ref="Q1591" si="6912">IF(COUNTIF(P1587:P1597,"&lt;"&amp;-0.001)=0,IF(ABS(P1591)&lt;0.001,0,P1591)," ")</f>
        <v>#NUM!</v>
      </c>
      <c r="R1591" s="8"/>
      <c r="S1591" s="8"/>
      <c r="U1591" s="34"/>
      <c r="V1591" s="34"/>
      <c r="W1591" s="34"/>
      <c r="X1591" s="34"/>
      <c r="Y1591" s="34"/>
      <c r="Z1591" s="34"/>
      <c r="AA1591" s="34"/>
      <c r="AB1591" s="34"/>
      <c r="AC1591" s="34"/>
      <c r="AD1591" s="34"/>
      <c r="AE1591" s="34"/>
      <c r="AF1591" s="34"/>
      <c r="AG1591" s="34"/>
      <c r="AH1591" s="34"/>
      <c r="AI1591" s="34"/>
      <c r="AJ1591" s="34"/>
      <c r="AK1591" s="34"/>
      <c r="AL1591" s="34"/>
      <c r="AM1591" s="34"/>
      <c r="AN1591" s="34"/>
      <c r="AO1591" s="34"/>
      <c r="AP1591" s="34"/>
      <c r="AQ1591" s="34"/>
      <c r="AR1591" s="34"/>
      <c r="AS1591" s="34"/>
      <c r="AT1591" s="34"/>
      <c r="AU1591" s="34"/>
      <c r="AV1591" s="34"/>
      <c r="AW1591" s="34"/>
      <c r="AX1591" s="34"/>
      <c r="AY1591" s="34"/>
      <c r="AZ1591" s="34"/>
      <c r="BA1591" s="34"/>
      <c r="BB1591" s="34"/>
      <c r="BC1591" s="34"/>
      <c r="BD1591" s="34"/>
      <c r="BE1591" s="34"/>
      <c r="BF1591" s="34"/>
      <c r="BG1591" s="34"/>
      <c r="BH1591" s="34"/>
      <c r="BI1591" s="34"/>
      <c r="BJ1591" s="34"/>
      <c r="BK1591" s="34"/>
      <c r="BL1591" s="34"/>
      <c r="BM1591" s="34"/>
      <c r="BN1591" s="34"/>
      <c r="BO1591" s="34"/>
      <c r="BP1591" s="34"/>
      <c r="BQ1591" s="34"/>
      <c r="BR1591" s="34"/>
      <c r="BS1591" s="34"/>
      <c r="BT1591" s="34"/>
      <c r="BU1591" s="34"/>
      <c r="BV1591" s="34"/>
      <c r="BW1591" s="34"/>
      <c r="BX1591" s="34"/>
      <c r="BY1591" s="34"/>
      <c r="BZ1591" s="34"/>
      <c r="CA1591" s="34"/>
      <c r="CB1591" s="34"/>
      <c r="CC1591" s="34"/>
      <c r="CD1591" s="34"/>
      <c r="CE1591" s="34"/>
      <c r="CF1591" s="34"/>
      <c r="CG1591" s="34"/>
      <c r="CH1591" s="34"/>
      <c r="CI1591" s="8"/>
    </row>
    <row r="1592" spans="1:87" x14ac:dyDescent="0.2">
      <c r="A1592" s="8" t="str">
        <f>IF(AND(COUNTIF(W$3:W$13,A$20)&gt;0,A$20&lt;&gt;B1562),A$20,IFERROR(IF(MATCH(A$20,Z$3:Z$13,0)=2,A$20," ")," "))</f>
        <v xml:space="preserve"> </v>
      </c>
      <c r="B1592" s="8" t="str">
        <f>IF(A1592=" "," ",MAX(B1587:B1591)+1)</f>
        <v xml:space="preserve"> </v>
      </c>
      <c r="C1592" s="8" t="str">
        <f>IFERROR(INDEX(A1587:A1608,MATCH(SMALL(B1587:B1608,6),B1587:B1608,0),1)," ")</f>
        <v>C16</v>
      </c>
      <c r="D1592" s="8">
        <f t="shared" si="6875"/>
        <v>0</v>
      </c>
      <c r="E1592" s="8">
        <f t="shared" si="6876"/>
        <v>0</v>
      </c>
      <c r="F1592" s="8">
        <f t="shared" si="6877"/>
        <v>0</v>
      </c>
      <c r="G1592" s="8">
        <f t="shared" si="6878"/>
        <v>0</v>
      </c>
      <c r="H1592" s="8">
        <f t="shared" si="6879"/>
        <v>1</v>
      </c>
      <c r="I1592" s="8">
        <f t="shared" si="6880"/>
        <v>0</v>
      </c>
      <c r="J1592" s="8">
        <f t="shared" si="6881"/>
        <v>0</v>
      </c>
      <c r="K1592" s="8">
        <f t="shared" si="6882"/>
        <v>0</v>
      </c>
      <c r="L1592" s="8">
        <f t="shared" si="6883"/>
        <v>0</v>
      </c>
      <c r="M1592" s="8">
        <f t="shared" si="6884"/>
        <v>0</v>
      </c>
      <c r="N1592" s="8">
        <f t="shared" si="6885"/>
        <v>0</v>
      </c>
      <c r="O1592" s="8">
        <f t="shared" si="6886"/>
        <v>0</v>
      </c>
      <c r="P1592" s="8" t="e">
        <v>#NUM!</v>
      </c>
      <c r="Q1592" s="8" t="e">
        <f t="shared" ref="Q1592" si="6913">IF(COUNTIF(P1587:P1597,"&lt;"&amp;-0.001)=0,IF(ABS(P1592)&lt;0.001,0,P1592)," ")</f>
        <v>#NUM!</v>
      </c>
      <c r="R1592" s="8"/>
      <c r="S1592" s="8"/>
      <c r="U1592" s="34"/>
      <c r="V1592" s="34"/>
      <c r="W1592" s="34"/>
      <c r="X1592" s="34"/>
      <c r="Y1592" s="34"/>
      <c r="Z1592" s="34"/>
      <c r="AA1592" s="34"/>
      <c r="AB1592" s="34"/>
      <c r="AC1592" s="34"/>
      <c r="AD1592" s="34"/>
      <c r="AE1592" s="34"/>
      <c r="AF1592" s="34"/>
      <c r="AG1592" s="34"/>
      <c r="AH1592" s="34"/>
      <c r="AI1592" s="34"/>
      <c r="AJ1592" s="34"/>
      <c r="AK1592" s="34"/>
      <c r="AL1592" s="34"/>
      <c r="AM1592" s="34"/>
      <c r="AN1592" s="34"/>
      <c r="AO1592" s="34"/>
      <c r="AP1592" s="34"/>
      <c r="AQ1592" s="34"/>
      <c r="AR1592" s="34"/>
      <c r="AS1592" s="34"/>
      <c r="AT1592" s="34"/>
      <c r="AU1592" s="34"/>
      <c r="AV1592" s="34"/>
      <c r="AW1592" s="34"/>
      <c r="AX1592" s="34"/>
      <c r="AY1592" s="34"/>
      <c r="AZ1592" s="34"/>
      <c r="BA1592" s="34"/>
      <c r="BB1592" s="34"/>
      <c r="BC1592" s="34"/>
      <c r="BD1592" s="34"/>
      <c r="BE1592" s="34"/>
      <c r="BF1592" s="34"/>
      <c r="BG1592" s="34"/>
      <c r="BH1592" s="34"/>
      <c r="BI1592" s="34"/>
      <c r="BJ1592" s="34"/>
      <c r="BK1592" s="34"/>
      <c r="BL1592" s="34"/>
      <c r="BM1592" s="34"/>
      <c r="BN1592" s="34"/>
      <c r="BO1592" s="34"/>
      <c r="BP1592" s="34"/>
      <c r="BQ1592" s="34"/>
      <c r="BR1592" s="34"/>
      <c r="BS1592" s="34"/>
      <c r="BT1592" s="34"/>
      <c r="BU1592" s="34"/>
      <c r="BV1592" s="34"/>
      <c r="BW1592" s="34"/>
      <c r="BX1592" s="34"/>
      <c r="BY1592" s="34"/>
      <c r="BZ1592" s="34"/>
      <c r="CA1592" s="34"/>
      <c r="CB1592" s="34"/>
      <c r="CC1592" s="34"/>
      <c r="CD1592" s="34"/>
      <c r="CE1592" s="34"/>
      <c r="CF1592" s="34"/>
      <c r="CG1592" s="34"/>
      <c r="CH1592" s="34"/>
      <c r="CI1592" s="8"/>
    </row>
    <row r="1593" spans="1:87" x14ac:dyDescent="0.2">
      <c r="A1593" s="8" t="str">
        <f>IF(AND(COUNTIF(W$3:W$13,A$21)&gt;0,A$21&lt;&gt;B1562),A$21,IFERROR(IF(MATCH(A$21,Z$3:Z$13,0)=2,A$21," ")," "))</f>
        <v xml:space="preserve"> </v>
      </c>
      <c r="B1593" s="8" t="str">
        <f>IF(A1593=" "," ",MAX(B1587:B1592)+1)</f>
        <v xml:space="preserve"> </v>
      </c>
      <c r="C1593" s="8" t="str">
        <f>IFERROR(INDEX(A1587:A1608,MATCH(SMALL(B1587:B1608,7),B1587:B1608,0),1)," ")</f>
        <v>C17</v>
      </c>
      <c r="D1593" s="8">
        <f t="shared" si="6875"/>
        <v>0</v>
      </c>
      <c r="E1593" s="8">
        <f t="shared" si="6876"/>
        <v>0</v>
      </c>
      <c r="F1593" s="8">
        <f t="shared" si="6877"/>
        <v>0</v>
      </c>
      <c r="G1593" s="8">
        <f t="shared" si="6878"/>
        <v>0</v>
      </c>
      <c r="H1593" s="8">
        <f t="shared" si="6879"/>
        <v>0</v>
      </c>
      <c r="I1593" s="8">
        <f t="shared" si="6880"/>
        <v>1</v>
      </c>
      <c r="J1593" s="8">
        <f t="shared" si="6881"/>
        <v>0</v>
      </c>
      <c r="K1593" s="8">
        <f t="shared" si="6882"/>
        <v>0</v>
      </c>
      <c r="L1593" s="8">
        <f t="shared" si="6883"/>
        <v>0</v>
      </c>
      <c r="M1593" s="8">
        <f t="shared" si="6884"/>
        <v>0</v>
      </c>
      <c r="N1593" s="8">
        <f t="shared" si="6885"/>
        <v>0</v>
      </c>
      <c r="O1593" s="8">
        <f t="shared" si="6886"/>
        <v>0</v>
      </c>
      <c r="P1593" s="8" t="e">
        <v>#NUM!</v>
      </c>
      <c r="Q1593" s="8" t="e">
        <f t="shared" ref="Q1593" si="6914">IF(COUNTIF(P1587:P1597,"&lt;"&amp;-0.001)=0,IF(ABS(P1593)&lt;0.001,0,P1593)," ")</f>
        <v>#NUM!</v>
      </c>
      <c r="R1593" s="8"/>
      <c r="S1593" s="8"/>
      <c r="U1593" s="34"/>
      <c r="V1593" s="34"/>
      <c r="W1593" s="34"/>
      <c r="X1593" s="34"/>
      <c r="Y1593" s="34"/>
      <c r="Z1593" s="34"/>
      <c r="AA1593" s="34"/>
      <c r="AB1593" s="34"/>
      <c r="AC1593" s="34"/>
      <c r="AD1593" s="34"/>
      <c r="AE1593" s="34"/>
      <c r="AF1593" s="34"/>
      <c r="AG1593" s="34"/>
      <c r="AH1593" s="34"/>
      <c r="AI1593" s="34"/>
      <c r="AJ1593" s="34"/>
      <c r="AK1593" s="34"/>
      <c r="AL1593" s="34"/>
      <c r="AM1593" s="34"/>
      <c r="AN1593" s="34"/>
      <c r="AO1593" s="34"/>
      <c r="AP1593" s="34"/>
      <c r="AQ1593" s="34"/>
      <c r="AR1593" s="34"/>
      <c r="AS1593" s="34"/>
      <c r="AT1593" s="34"/>
      <c r="AU1593" s="34"/>
      <c r="AV1593" s="34"/>
      <c r="AW1593" s="34"/>
      <c r="AX1593" s="34"/>
      <c r="AY1593" s="34"/>
      <c r="AZ1593" s="34"/>
      <c r="BA1593" s="34"/>
      <c r="BB1593" s="34"/>
      <c r="BC1593" s="34"/>
      <c r="BD1593" s="34"/>
      <c r="BE1593" s="34"/>
      <c r="BF1593" s="34"/>
      <c r="BG1593" s="34"/>
      <c r="BH1593" s="34"/>
      <c r="BI1593" s="34"/>
      <c r="BJ1593" s="34"/>
      <c r="BK1593" s="34"/>
      <c r="BL1593" s="34"/>
      <c r="BM1593" s="34"/>
      <c r="BN1593" s="34"/>
      <c r="BO1593" s="34"/>
      <c r="BP1593" s="34"/>
      <c r="BQ1593" s="34"/>
      <c r="BR1593" s="34"/>
      <c r="BS1593" s="34"/>
      <c r="BT1593" s="34"/>
      <c r="BU1593" s="34"/>
      <c r="BV1593" s="34"/>
      <c r="BW1593" s="34"/>
      <c r="BX1593" s="34"/>
      <c r="BY1593" s="34"/>
      <c r="BZ1593" s="34"/>
      <c r="CA1593" s="34"/>
      <c r="CB1593" s="34"/>
      <c r="CC1593" s="34"/>
      <c r="CD1593" s="34"/>
      <c r="CE1593" s="34"/>
      <c r="CF1593" s="34"/>
      <c r="CG1593" s="34"/>
      <c r="CH1593" s="34"/>
      <c r="CI1593" s="8"/>
    </row>
    <row r="1594" spans="1:87" x14ac:dyDescent="0.2">
      <c r="A1594" s="8" t="str">
        <f>IF(AND(COUNTIF(W$3:W$13,A$22)&gt;0,A$22&lt;&gt;B1562),A$22,IFERROR(IF(MATCH(A$22,Z$3:Z$13,0)=2,A$22," ")," "))</f>
        <v xml:space="preserve"> </v>
      </c>
      <c r="B1594" s="8" t="str">
        <f>IF(A1594=" "," ",MAX(B1587:B1593)+1)</f>
        <v xml:space="preserve"> </v>
      </c>
      <c r="C1594" s="8" t="str">
        <f>IFERROR(INDEX(A1587:A1608,MATCH(SMALL(B1587:B1608,8),B1587:B1608,0),1)," ")</f>
        <v>C19</v>
      </c>
      <c r="D1594" s="8">
        <f t="shared" si="6875"/>
        <v>0</v>
      </c>
      <c r="E1594" s="8">
        <f t="shared" si="6876"/>
        <v>0</v>
      </c>
      <c r="F1594" s="8">
        <f t="shared" si="6877"/>
        <v>0</v>
      </c>
      <c r="G1594" s="8">
        <f t="shared" si="6878"/>
        <v>0</v>
      </c>
      <c r="H1594" s="8">
        <f t="shared" si="6879"/>
        <v>0</v>
      </c>
      <c r="I1594" s="8">
        <f t="shared" si="6880"/>
        <v>0</v>
      </c>
      <c r="J1594" s="8">
        <f t="shared" si="6881"/>
        <v>0</v>
      </c>
      <c r="K1594" s="8">
        <f t="shared" si="6882"/>
        <v>1</v>
      </c>
      <c r="L1594" s="8">
        <f t="shared" si="6883"/>
        <v>0</v>
      </c>
      <c r="M1594" s="8">
        <f t="shared" si="6884"/>
        <v>0</v>
      </c>
      <c r="N1594" s="8">
        <f t="shared" si="6885"/>
        <v>0</v>
      </c>
      <c r="O1594" s="8">
        <f t="shared" si="6886"/>
        <v>0</v>
      </c>
      <c r="P1594" s="8" t="e">
        <v>#NUM!</v>
      </c>
      <c r="Q1594" s="8" t="e">
        <f t="shared" ref="Q1594" si="6915">IF(COUNTIF(P1587:P1597,"&lt;"&amp;-0.001)=0,IF(ABS(P1594)&lt;0.001,0,P1594)," ")</f>
        <v>#NUM!</v>
      </c>
      <c r="R1594" s="8"/>
      <c r="S1594" s="8"/>
      <c r="U1594" s="34"/>
      <c r="V1594" s="34"/>
      <c r="W1594" s="34"/>
      <c r="X1594" s="34"/>
      <c r="Y1594" s="34"/>
      <c r="Z1594" s="34"/>
      <c r="AA1594" s="34"/>
      <c r="AB1594" s="34"/>
      <c r="AC1594" s="34"/>
      <c r="AD1594" s="34"/>
      <c r="AE1594" s="34"/>
      <c r="AF1594" s="34"/>
      <c r="AG1594" s="34"/>
      <c r="AH1594" s="34"/>
      <c r="AI1594" s="34"/>
      <c r="AJ1594" s="34"/>
      <c r="AK1594" s="34"/>
      <c r="AL1594" s="34"/>
      <c r="AM1594" s="34"/>
      <c r="AN1594" s="34"/>
      <c r="AO1594" s="34"/>
      <c r="AP1594" s="34"/>
      <c r="AQ1594" s="34"/>
      <c r="AR1594" s="34"/>
      <c r="AS1594" s="34"/>
      <c r="AT1594" s="34"/>
      <c r="AU1594" s="34"/>
      <c r="AV1594" s="34"/>
      <c r="AW1594" s="34"/>
      <c r="AX1594" s="34"/>
      <c r="AY1594" s="34"/>
      <c r="AZ1594" s="34"/>
      <c r="BA1594" s="34"/>
      <c r="BB1594" s="34"/>
      <c r="BC1594" s="34"/>
      <c r="BD1594" s="34"/>
      <c r="BE1594" s="34"/>
      <c r="BF1594" s="34"/>
      <c r="BG1594" s="34"/>
      <c r="BH1594" s="34"/>
      <c r="BI1594" s="34"/>
      <c r="BJ1594" s="34"/>
      <c r="BK1594" s="34"/>
      <c r="BL1594" s="34"/>
      <c r="BM1594" s="34"/>
      <c r="BN1594" s="34"/>
      <c r="BO1594" s="34"/>
      <c r="BP1594" s="34"/>
      <c r="BQ1594" s="34"/>
      <c r="BR1594" s="34"/>
      <c r="BS1594" s="34"/>
      <c r="BT1594" s="34"/>
      <c r="BU1594" s="34"/>
      <c r="BV1594" s="34"/>
      <c r="BW1594" s="34"/>
      <c r="BX1594" s="34"/>
      <c r="BY1594" s="34"/>
      <c r="BZ1594" s="34"/>
      <c r="CA1594" s="34"/>
      <c r="CB1594" s="34"/>
      <c r="CC1594" s="34"/>
      <c r="CD1594" s="34"/>
      <c r="CE1594" s="34"/>
      <c r="CF1594" s="34"/>
      <c r="CG1594" s="34"/>
      <c r="CH1594" s="34"/>
      <c r="CI1594" s="8"/>
    </row>
    <row r="1595" spans="1:87" x14ac:dyDescent="0.2">
      <c r="A1595" s="8" t="str">
        <f>IF(AND(COUNTIF(W$3:W$13,A$23)&gt;0,A$23&lt;&gt;B1562),A$23,IFERROR(IF(MATCH(A$23,Z$3:Z$13,0)=2,A$23," ")," "))</f>
        <v xml:space="preserve"> </v>
      </c>
      <c r="B1595" s="8" t="str">
        <f>IF(A1595=" "," ",MAX(B1587:B1594)+1)</f>
        <v xml:space="preserve"> </v>
      </c>
      <c r="C1595" s="8" t="str">
        <f>IFERROR(INDEX(A1587:A1608,MATCH(SMALL(B1587:B1608,9),B1587:B1608,0),1)," ")</f>
        <v>C20</v>
      </c>
      <c r="D1595" s="8">
        <f t="shared" si="6875"/>
        <v>0</v>
      </c>
      <c r="E1595" s="8">
        <f t="shared" si="6876"/>
        <v>0</v>
      </c>
      <c r="F1595" s="8">
        <f t="shared" si="6877"/>
        <v>0</v>
      </c>
      <c r="G1595" s="8">
        <f t="shared" si="6878"/>
        <v>0</v>
      </c>
      <c r="H1595" s="8">
        <f t="shared" si="6879"/>
        <v>0</v>
      </c>
      <c r="I1595" s="8">
        <f t="shared" si="6880"/>
        <v>0</v>
      </c>
      <c r="J1595" s="8">
        <f t="shared" si="6881"/>
        <v>0</v>
      </c>
      <c r="K1595" s="8">
        <f t="shared" si="6882"/>
        <v>0</v>
      </c>
      <c r="L1595" s="8">
        <f t="shared" si="6883"/>
        <v>1</v>
      </c>
      <c r="M1595" s="8">
        <f t="shared" si="6884"/>
        <v>0</v>
      </c>
      <c r="N1595" s="8">
        <f t="shared" si="6885"/>
        <v>0</v>
      </c>
      <c r="O1595" s="8">
        <f t="shared" si="6886"/>
        <v>0</v>
      </c>
      <c r="P1595" s="6" t="e">
        <v>#NUM!</v>
      </c>
      <c r="Q1595" s="8" t="e">
        <f t="shared" ref="Q1595" si="6916">IF(COUNTIF(P1587:P1597,"&lt;"&amp;-0.001)=0,IF(ABS(P1595)&lt;0.001,0,P1595)," ")</f>
        <v>#NUM!</v>
      </c>
      <c r="R1595" s="12"/>
      <c r="S1595" s="12"/>
      <c r="T1595" s="21"/>
      <c r="U1595" s="34"/>
      <c r="V1595" s="34"/>
      <c r="W1595" s="34"/>
      <c r="X1595" s="34"/>
      <c r="Y1595" s="34"/>
      <c r="Z1595" s="34"/>
      <c r="AA1595" s="34"/>
      <c r="AB1595" s="34"/>
      <c r="AC1595" s="34"/>
      <c r="AD1595" s="34"/>
      <c r="AE1595" s="34"/>
      <c r="AF1595" s="34"/>
      <c r="AG1595" s="34"/>
      <c r="AH1595" s="34"/>
      <c r="AI1595" s="34"/>
      <c r="AJ1595" s="34"/>
      <c r="AK1595" s="34"/>
      <c r="AL1595" s="34"/>
      <c r="AM1595" s="34"/>
      <c r="AN1595" s="34"/>
      <c r="AO1595" s="34"/>
      <c r="AP1595" s="34"/>
      <c r="AQ1595" s="34"/>
      <c r="AR1595" s="34"/>
      <c r="AS1595" s="34"/>
      <c r="AT1595" s="34"/>
      <c r="AU1595" s="34"/>
      <c r="AV1595" s="34"/>
      <c r="AW1595" s="34"/>
      <c r="AX1595" s="34"/>
      <c r="AY1595" s="34"/>
      <c r="AZ1595" s="34"/>
      <c r="BA1595" s="34"/>
      <c r="BB1595" s="34"/>
      <c r="BC1595" s="34"/>
      <c r="BD1595" s="34"/>
      <c r="BE1595" s="34"/>
      <c r="BF1595" s="34"/>
      <c r="BG1595" s="34"/>
      <c r="BH1595" s="34"/>
      <c r="BI1595" s="34"/>
      <c r="BJ1595" s="34"/>
      <c r="BK1595" s="34"/>
      <c r="BL1595" s="34"/>
      <c r="BM1595" s="34"/>
      <c r="BN1595" s="34"/>
      <c r="BO1595" s="34"/>
      <c r="BP1595" s="34"/>
      <c r="BQ1595" s="34"/>
      <c r="BR1595" s="34"/>
      <c r="BS1595" s="34"/>
      <c r="BT1595" s="34"/>
      <c r="BU1595" s="34"/>
      <c r="BV1595" s="34"/>
      <c r="BW1595" s="34"/>
      <c r="BX1595" s="34"/>
      <c r="BY1595" s="34"/>
      <c r="BZ1595" s="34"/>
      <c r="CA1595" s="34"/>
      <c r="CB1595" s="34"/>
      <c r="CC1595" s="34"/>
      <c r="CD1595" s="34"/>
      <c r="CE1595" s="34"/>
      <c r="CF1595" s="34"/>
      <c r="CG1595" s="34"/>
      <c r="CH1595" s="34"/>
      <c r="CI1595" s="8"/>
    </row>
    <row r="1596" spans="1:87" x14ac:dyDescent="0.2">
      <c r="A1596" s="8" t="str">
        <f>IF(AND(COUNTIF(W$3:W$13,A$24)&gt;0,A$24&lt;&gt;B1562),A$24,IFERROR(IF(MATCH(A$24,Z$3:Z$13,0)=2,A$24," ")," "))</f>
        <v xml:space="preserve"> </v>
      </c>
      <c r="B1596" s="8" t="str">
        <f>IF(A1596=" "," ",MAX(B1587:B1595)+1)</f>
        <v xml:space="preserve"> </v>
      </c>
      <c r="C1596" s="8" t="str">
        <f>IFERROR(INDEX(A1587:A1608,MATCH(SMALL(B1587:B1608,10),B1587:B1608,0),1)," ")</f>
        <v>C21</v>
      </c>
      <c r="D1596" s="8">
        <f t="shared" si="6875"/>
        <v>0</v>
      </c>
      <c r="E1596" s="8">
        <f t="shared" si="6876"/>
        <v>0</v>
      </c>
      <c r="F1596" s="8">
        <f t="shared" si="6877"/>
        <v>0</v>
      </c>
      <c r="G1596" s="8">
        <f t="shared" si="6878"/>
        <v>0</v>
      </c>
      <c r="H1596" s="8">
        <f t="shared" si="6879"/>
        <v>0</v>
      </c>
      <c r="I1596" s="8">
        <f t="shared" si="6880"/>
        <v>0</v>
      </c>
      <c r="J1596" s="8">
        <f t="shared" si="6881"/>
        <v>0</v>
      </c>
      <c r="K1596" s="8">
        <f t="shared" si="6882"/>
        <v>0</v>
      </c>
      <c r="L1596" s="8">
        <f t="shared" si="6883"/>
        <v>0</v>
      </c>
      <c r="M1596" s="8">
        <f t="shared" si="6884"/>
        <v>1</v>
      </c>
      <c r="N1596" s="8">
        <f t="shared" si="6885"/>
        <v>0</v>
      </c>
      <c r="O1596" s="8">
        <f t="shared" si="6886"/>
        <v>0</v>
      </c>
      <c r="P1596" s="8" t="e">
        <v>#NUM!</v>
      </c>
      <c r="Q1596" s="8" t="e">
        <f t="shared" ref="Q1596" si="6917">IF(COUNTIF(P1587:P1597,"&lt;"&amp;-0.001)=0,IF(ABS(P1596)&lt;0.001,0,P1596)," ")</f>
        <v>#NUM!</v>
      </c>
      <c r="R1596" s="8"/>
      <c r="S1596" s="8"/>
      <c r="U1596" s="34"/>
      <c r="V1596" s="34"/>
      <c r="W1596" s="34"/>
      <c r="X1596" s="34"/>
      <c r="Y1596" s="34"/>
      <c r="Z1596" s="34"/>
      <c r="AA1596" s="34"/>
      <c r="AB1596" s="34"/>
      <c r="AC1596" s="34"/>
      <c r="AD1596" s="34"/>
      <c r="AE1596" s="34"/>
      <c r="AF1596" s="34"/>
      <c r="AG1596" s="34"/>
      <c r="AH1596" s="34"/>
      <c r="AI1596" s="34"/>
      <c r="AJ1596" s="34"/>
      <c r="AK1596" s="34"/>
      <c r="AL1596" s="34"/>
      <c r="AM1596" s="34"/>
      <c r="AN1596" s="34"/>
      <c r="AO1596" s="34"/>
      <c r="AP1596" s="34"/>
      <c r="AQ1596" s="34"/>
      <c r="AR1596" s="34"/>
      <c r="AS1596" s="34"/>
      <c r="AT1596" s="34"/>
      <c r="AU1596" s="34"/>
      <c r="AV1596" s="34"/>
      <c r="AW1596" s="34"/>
      <c r="AX1596" s="34"/>
      <c r="AY1596" s="34"/>
      <c r="AZ1596" s="34"/>
      <c r="BA1596" s="34"/>
      <c r="BB1596" s="34"/>
      <c r="BC1596" s="34"/>
      <c r="BD1596" s="34"/>
      <c r="BE1596" s="34"/>
      <c r="BF1596" s="34"/>
      <c r="BG1596" s="34"/>
      <c r="BH1596" s="34"/>
      <c r="BI1596" s="34"/>
      <c r="BJ1596" s="34"/>
      <c r="BK1596" s="34"/>
      <c r="BL1596" s="34"/>
      <c r="BM1596" s="34"/>
      <c r="BN1596" s="34"/>
      <c r="BO1596" s="34"/>
      <c r="BP1596" s="34"/>
      <c r="BQ1596" s="34"/>
      <c r="BR1596" s="34"/>
      <c r="BS1596" s="34"/>
      <c r="BT1596" s="34"/>
      <c r="BU1596" s="34"/>
      <c r="BV1596" s="34"/>
      <c r="BW1596" s="34"/>
      <c r="BX1596" s="34"/>
      <c r="BY1596" s="34"/>
      <c r="BZ1596" s="34"/>
      <c r="CA1596" s="34"/>
      <c r="CB1596" s="34"/>
      <c r="CC1596" s="34"/>
      <c r="CD1596" s="34"/>
      <c r="CE1596" s="34"/>
      <c r="CF1596" s="34"/>
      <c r="CG1596" s="34"/>
      <c r="CH1596" s="34"/>
      <c r="CI1596" s="8"/>
    </row>
    <row r="1597" spans="1:87" x14ac:dyDescent="0.2">
      <c r="A1597" s="8" t="str">
        <f>IF(AND(COUNTIF(W$3:W$13,A$25)&gt;0,A$25&lt;&gt;B1562),A$25,IFERROR(IF(MATCH(A$25,Z$3:Z$13,0)=2,A$25," ")," "))</f>
        <v xml:space="preserve"> </v>
      </c>
      <c r="B1597" s="8" t="str">
        <f>IF(A1597=" "," ",MAX(B1587:B1596)+1)</f>
        <v xml:space="preserve"> </v>
      </c>
      <c r="C1597" s="8" t="str">
        <f>IFERROR(INDEX(A1587:A1608,MATCH(SMALL(B1587:B1608,11),B1587:B1608,0),1)," ")</f>
        <v>C22</v>
      </c>
      <c r="D1597" s="8">
        <f t="shared" si="6875"/>
        <v>0</v>
      </c>
      <c r="E1597" s="8">
        <f t="shared" si="6876"/>
        <v>0</v>
      </c>
      <c r="F1597" s="8">
        <f t="shared" si="6877"/>
        <v>0</v>
      </c>
      <c r="G1597" s="8">
        <f t="shared" si="6878"/>
        <v>0</v>
      </c>
      <c r="H1597" s="8">
        <f t="shared" si="6879"/>
        <v>0</v>
      </c>
      <c r="I1597" s="8">
        <f t="shared" si="6880"/>
        <v>0</v>
      </c>
      <c r="J1597" s="8">
        <f t="shared" si="6881"/>
        <v>0</v>
      </c>
      <c r="K1597" s="8">
        <f t="shared" si="6882"/>
        <v>0</v>
      </c>
      <c r="L1597" s="8">
        <f t="shared" si="6883"/>
        <v>0</v>
      </c>
      <c r="M1597" s="8">
        <f t="shared" si="6884"/>
        <v>0</v>
      </c>
      <c r="N1597" s="8">
        <f t="shared" si="6885"/>
        <v>1</v>
      </c>
      <c r="O1597" s="8">
        <f t="shared" si="6886"/>
        <v>0</v>
      </c>
      <c r="P1597" s="8" t="e">
        <v>#NUM!</v>
      </c>
      <c r="Q1597" s="8" t="e">
        <f t="shared" ref="Q1597" si="6918">IF(COUNTIF(P1587:P1597,"&lt;"&amp;-0.001)=0,IF(ABS(P1597)&lt;0.001,0,P1597)," ")</f>
        <v>#NUM!</v>
      </c>
      <c r="R1597" s="8"/>
      <c r="S1597" s="8"/>
      <c r="U1597" s="34"/>
      <c r="V1597" s="34"/>
      <c r="W1597" s="34"/>
      <c r="X1597" s="34"/>
      <c r="Y1597" s="34"/>
      <c r="Z1597" s="34"/>
      <c r="AA1597" s="34"/>
      <c r="AB1597" s="34"/>
      <c r="AC1597" s="34"/>
      <c r="AD1597" s="34"/>
      <c r="AE1597" s="34"/>
      <c r="AF1597" s="34"/>
      <c r="AG1597" s="34"/>
      <c r="AH1597" s="34"/>
      <c r="AI1597" s="34"/>
      <c r="AJ1597" s="34"/>
      <c r="AK1597" s="34"/>
      <c r="AL1597" s="34"/>
      <c r="AM1597" s="34"/>
      <c r="AN1597" s="34"/>
      <c r="AO1597" s="34"/>
      <c r="AP1597" s="34"/>
      <c r="AQ1597" s="34"/>
      <c r="AR1597" s="34"/>
      <c r="AS1597" s="34"/>
      <c r="AT1597" s="34"/>
      <c r="AU1597" s="34"/>
      <c r="AV1597" s="34"/>
      <c r="AW1597" s="34"/>
      <c r="AX1597" s="34"/>
      <c r="AY1597" s="34"/>
      <c r="AZ1597" s="34"/>
      <c r="BA1597" s="34"/>
      <c r="BB1597" s="34"/>
      <c r="BC1597" s="34"/>
      <c r="BD1597" s="34"/>
      <c r="BE1597" s="34"/>
      <c r="BF1597" s="34"/>
      <c r="BG1597" s="34"/>
      <c r="BH1597" s="34"/>
      <c r="BI1597" s="34"/>
      <c r="BJ1597" s="34"/>
      <c r="BK1597" s="34"/>
      <c r="BL1597" s="34"/>
      <c r="BM1597" s="34"/>
      <c r="BN1597" s="34"/>
      <c r="BO1597" s="34"/>
      <c r="BP1597" s="34"/>
      <c r="BQ1597" s="34"/>
      <c r="BR1597" s="34"/>
      <c r="BS1597" s="34"/>
      <c r="BT1597" s="34"/>
      <c r="BU1597" s="34"/>
      <c r="BV1597" s="34"/>
      <c r="BW1597" s="34"/>
      <c r="BX1597" s="34"/>
      <c r="BY1597" s="34"/>
      <c r="BZ1597" s="34"/>
      <c r="CA1597" s="34"/>
      <c r="CB1597" s="34"/>
      <c r="CC1597" s="34"/>
      <c r="CD1597" s="34"/>
      <c r="CE1597" s="34"/>
      <c r="CF1597" s="34"/>
      <c r="CG1597" s="34"/>
      <c r="CH1597" s="34"/>
      <c r="CI1597" s="8"/>
    </row>
    <row r="1598" spans="1:87" x14ac:dyDescent="0.2">
      <c r="A1598" s="8" t="str">
        <f>IF(AND(COUNTIF(W$3:W$13,A$26)&gt;0,A$26&lt;&gt;B1562),A$26,IFERROR(IF(MATCH(A$26,Z$3:Z$13,0)=2,A$26," ")," "))</f>
        <v xml:space="preserve"> </v>
      </c>
      <c r="B1598" s="8" t="str">
        <f>IF(A1598=" "," ",MAX(B1587:B1597)+1)</f>
        <v xml:space="preserve"> </v>
      </c>
      <c r="C1598" s="8"/>
      <c r="D1598" s="8"/>
      <c r="E1598" s="8"/>
      <c r="F1598" s="8"/>
      <c r="G1598" s="8"/>
      <c r="H1598" s="8"/>
      <c r="I1598" s="8"/>
      <c r="J1598" s="8"/>
      <c r="K1598" s="8"/>
      <c r="L1598" s="8"/>
      <c r="M1598" s="8"/>
      <c r="N1598" s="8"/>
      <c r="O1598" s="8"/>
      <c r="P1598" s="8"/>
      <c r="Q1598" s="8"/>
      <c r="R1598" s="8"/>
      <c r="S1598" s="8"/>
      <c r="U1598" s="34"/>
      <c r="V1598" s="34"/>
      <c r="W1598" s="34"/>
      <c r="X1598" s="34"/>
      <c r="Y1598" s="34"/>
      <c r="Z1598" s="34"/>
      <c r="AA1598" s="34"/>
      <c r="AB1598" s="34"/>
      <c r="AC1598" s="34"/>
      <c r="AD1598" s="34"/>
      <c r="AE1598" s="34"/>
      <c r="AF1598" s="34"/>
      <c r="AG1598" s="34"/>
      <c r="AH1598" s="34"/>
      <c r="AI1598" s="34"/>
      <c r="AJ1598" s="34"/>
      <c r="AK1598" s="34"/>
      <c r="AL1598" s="34"/>
      <c r="AM1598" s="34"/>
      <c r="AN1598" s="34"/>
      <c r="AO1598" s="34"/>
      <c r="AP1598" s="34"/>
      <c r="AQ1598" s="34"/>
      <c r="AR1598" s="34"/>
      <c r="AS1598" s="34"/>
      <c r="AT1598" s="34"/>
      <c r="AU1598" s="34"/>
      <c r="AV1598" s="34"/>
      <c r="AW1598" s="34"/>
      <c r="AX1598" s="34"/>
      <c r="AY1598" s="34"/>
      <c r="AZ1598" s="34"/>
      <c r="BA1598" s="34"/>
      <c r="BB1598" s="34"/>
      <c r="BC1598" s="34"/>
      <c r="BD1598" s="34"/>
      <c r="BE1598" s="34"/>
      <c r="BF1598" s="34"/>
      <c r="BG1598" s="34"/>
      <c r="BH1598" s="34"/>
      <c r="BI1598" s="34"/>
      <c r="BJ1598" s="34"/>
      <c r="BK1598" s="34"/>
      <c r="BL1598" s="34"/>
      <c r="BM1598" s="34"/>
      <c r="BN1598" s="34"/>
      <c r="BO1598" s="34"/>
      <c r="BP1598" s="34"/>
      <c r="BQ1598" s="34"/>
      <c r="BR1598" s="34"/>
      <c r="BS1598" s="34"/>
      <c r="BT1598" s="34"/>
      <c r="BU1598" s="34"/>
      <c r="BV1598" s="34"/>
      <c r="BW1598" s="34"/>
      <c r="BX1598" s="34"/>
      <c r="BY1598" s="34"/>
      <c r="BZ1598" s="34"/>
      <c r="CA1598" s="34"/>
      <c r="CB1598" s="34"/>
      <c r="CC1598" s="34"/>
      <c r="CD1598" s="34"/>
      <c r="CE1598" s="34"/>
      <c r="CF1598" s="34"/>
      <c r="CG1598" s="34"/>
      <c r="CH1598" s="34"/>
      <c r="CI1598" s="8"/>
    </row>
    <row r="1599" spans="1:87" x14ac:dyDescent="0.2">
      <c r="A1599" s="8" t="str">
        <f>IF(AND(COUNTIF(W$3:W$13,A$27)&gt;0,A$27&lt;&gt;B1562),A$27,IFERROR(IF(MATCH(A$27,Z$3:Z$13,0)=2,A$27," ")," "))</f>
        <v>C13</v>
      </c>
      <c r="B1599" s="8">
        <f>IF(A1599=" "," ",MAX(B1587:B1598)+1)</f>
        <v>4</v>
      </c>
      <c r="C1599" s="8"/>
      <c r="D1599" s="8"/>
      <c r="E1599" s="8"/>
      <c r="F1599" s="8"/>
      <c r="G1599" s="8"/>
      <c r="H1599" s="8"/>
      <c r="I1599" s="8"/>
      <c r="J1599" s="8"/>
      <c r="K1599" s="8"/>
      <c r="L1599" s="8"/>
      <c r="M1599" s="8"/>
      <c r="N1599" s="8"/>
      <c r="O1599" s="8"/>
      <c r="P1599" s="8"/>
      <c r="Q1599" s="8"/>
      <c r="R1599" s="8"/>
      <c r="S1599" s="8"/>
      <c r="U1599" s="34"/>
      <c r="V1599" s="34"/>
      <c r="W1599" s="34"/>
      <c r="X1599" s="34"/>
      <c r="Y1599" s="34"/>
      <c r="Z1599" s="34"/>
      <c r="AA1599" s="34"/>
      <c r="AB1599" s="34"/>
      <c r="AC1599" s="34"/>
      <c r="AD1599" s="34"/>
      <c r="AE1599" s="34"/>
      <c r="AF1599" s="34"/>
      <c r="AG1599" s="34"/>
      <c r="AH1599" s="34"/>
      <c r="AI1599" s="34"/>
      <c r="AJ1599" s="34"/>
      <c r="AK1599" s="34"/>
      <c r="AL1599" s="34"/>
      <c r="AM1599" s="34"/>
      <c r="AN1599" s="34"/>
      <c r="AO1599" s="34"/>
      <c r="AP1599" s="34"/>
      <c r="AQ1599" s="34"/>
      <c r="AR1599" s="34"/>
      <c r="AS1599" s="34"/>
      <c r="AT1599" s="34"/>
      <c r="AU1599" s="34"/>
      <c r="AV1599" s="34"/>
      <c r="AW1599" s="34"/>
      <c r="AX1599" s="34"/>
      <c r="AY1599" s="34"/>
      <c r="AZ1599" s="34"/>
      <c r="BA1599" s="34"/>
      <c r="BB1599" s="34"/>
      <c r="BC1599" s="34"/>
      <c r="BD1599" s="34"/>
      <c r="BE1599" s="34"/>
      <c r="BF1599" s="34"/>
      <c r="BG1599" s="34"/>
      <c r="BH1599" s="34"/>
      <c r="BI1599" s="34"/>
      <c r="BJ1599" s="34"/>
      <c r="BK1599" s="34"/>
      <c r="BL1599" s="34"/>
      <c r="BM1599" s="34"/>
      <c r="BN1599" s="34"/>
      <c r="BO1599" s="34"/>
      <c r="BP1599" s="34"/>
      <c r="BQ1599" s="34"/>
      <c r="BR1599" s="34"/>
      <c r="BS1599" s="34"/>
      <c r="BT1599" s="34"/>
      <c r="BU1599" s="34"/>
      <c r="BV1599" s="34"/>
      <c r="BW1599" s="34"/>
      <c r="BX1599" s="34"/>
      <c r="BY1599" s="34"/>
      <c r="BZ1599" s="34"/>
      <c r="CA1599" s="34"/>
      <c r="CB1599" s="34"/>
      <c r="CC1599" s="34"/>
      <c r="CD1599" s="34"/>
      <c r="CE1599" s="34"/>
      <c r="CF1599" s="34"/>
      <c r="CG1599" s="34"/>
      <c r="CH1599" s="34"/>
      <c r="CI1599" s="8"/>
    </row>
    <row r="1600" spans="1:87" x14ac:dyDescent="0.2">
      <c r="A1600" s="8" t="str">
        <f>IF(AND(COUNTIF(W$3:W$13,A$28)&gt;0,A$28&lt;&gt;B1562),A$28,IFERROR(IF(MATCH(A$28,Z$3:Z$13,0)=2,A$28," ")," "))</f>
        <v xml:space="preserve"> </v>
      </c>
      <c r="B1600" s="8" t="str">
        <f>IF(A1600=" "," ",MAX(B1587:B1599)+1)</f>
        <v xml:space="preserve"> </v>
      </c>
      <c r="C1600" s="8"/>
      <c r="D1600" s="8"/>
      <c r="E1600" s="8"/>
      <c r="F1600" s="8"/>
      <c r="G1600" s="8"/>
      <c r="H1600" s="8"/>
      <c r="I1600" s="8"/>
      <c r="J1600" s="8"/>
      <c r="K1600" s="8"/>
      <c r="L1600" s="8"/>
      <c r="M1600" s="8"/>
      <c r="N1600" s="8"/>
      <c r="O1600" s="8"/>
      <c r="P1600" s="8"/>
      <c r="Q1600" s="8"/>
      <c r="R1600" s="8"/>
      <c r="S1600" s="8"/>
      <c r="U1600" s="34"/>
      <c r="V1600" s="34"/>
      <c r="W1600" s="34"/>
      <c r="X1600" s="34"/>
      <c r="Y1600" s="34"/>
      <c r="Z1600" s="34"/>
      <c r="AA1600" s="34"/>
      <c r="AB1600" s="34"/>
      <c r="AC1600" s="34"/>
      <c r="AD1600" s="34"/>
      <c r="AE1600" s="34"/>
      <c r="AF1600" s="34"/>
      <c r="AG1600" s="34"/>
      <c r="AH1600" s="34"/>
      <c r="AI1600" s="34"/>
      <c r="AJ1600" s="34"/>
      <c r="AK1600" s="34"/>
      <c r="AL1600" s="34"/>
      <c r="AM1600" s="34"/>
      <c r="AN1600" s="34"/>
      <c r="AO1600" s="34"/>
      <c r="AP1600" s="34"/>
      <c r="AQ1600" s="34"/>
      <c r="AR1600" s="34"/>
      <c r="AS1600" s="34"/>
      <c r="AT1600" s="34"/>
      <c r="AU1600" s="34"/>
      <c r="AV1600" s="34"/>
      <c r="AW1600" s="34"/>
      <c r="AX1600" s="34"/>
      <c r="AY1600" s="34"/>
      <c r="AZ1600" s="34"/>
      <c r="BA1600" s="34"/>
      <c r="BB1600" s="34"/>
      <c r="BC1600" s="34"/>
      <c r="BD1600" s="34"/>
      <c r="BE1600" s="34"/>
      <c r="BF1600" s="34"/>
      <c r="BG1600" s="34"/>
      <c r="BH1600" s="34"/>
      <c r="BI1600" s="34"/>
      <c r="BJ1600" s="34"/>
      <c r="BK1600" s="34"/>
      <c r="BL1600" s="34"/>
      <c r="BM1600" s="34"/>
      <c r="BN1600" s="34"/>
      <c r="BO1600" s="34"/>
      <c r="BP1600" s="34"/>
      <c r="BQ1600" s="34"/>
      <c r="BR1600" s="34"/>
      <c r="BS1600" s="34"/>
      <c r="BT1600" s="34"/>
      <c r="BU1600" s="34"/>
      <c r="BV1600" s="34"/>
      <c r="BW1600" s="34"/>
      <c r="BX1600" s="34"/>
      <c r="BY1600" s="34"/>
      <c r="BZ1600" s="34"/>
      <c r="CA1600" s="34"/>
      <c r="CB1600" s="34"/>
      <c r="CC1600" s="34"/>
      <c r="CD1600" s="34"/>
      <c r="CE1600" s="34"/>
      <c r="CF1600" s="34"/>
      <c r="CG1600" s="34"/>
      <c r="CH1600" s="34"/>
      <c r="CI1600" s="8"/>
    </row>
    <row r="1601" spans="1:87" x14ac:dyDescent="0.2">
      <c r="A1601" s="8" t="str">
        <f>IF(AND(COUNTIF(W$3:W$13,A$29)&gt;0,A$29&lt;&gt;B1562),A$29,IFERROR(IF(MATCH(A$29,Z$3:Z$13,0)=2,A$29," ")," "))</f>
        <v>C15</v>
      </c>
      <c r="B1601" s="8">
        <f>IF(A1601=" "," ",MAX(B1587:B1600)+1)</f>
        <v>5</v>
      </c>
      <c r="C1601" s="8"/>
      <c r="D1601" s="8"/>
      <c r="E1601" s="8"/>
      <c r="F1601" s="8"/>
      <c r="G1601" s="8"/>
      <c r="H1601" s="8"/>
      <c r="I1601" s="8"/>
      <c r="J1601" s="8"/>
      <c r="K1601" s="8"/>
      <c r="L1601" s="8"/>
      <c r="M1601" s="8"/>
      <c r="N1601" s="8"/>
      <c r="O1601" s="8"/>
      <c r="P1601" s="8"/>
      <c r="Q1601" s="8"/>
      <c r="R1601" s="8"/>
      <c r="S1601" s="8"/>
      <c r="U1601" s="34"/>
      <c r="V1601" s="34"/>
      <c r="W1601" s="34"/>
      <c r="X1601" s="34"/>
      <c r="Y1601" s="34"/>
      <c r="Z1601" s="34"/>
      <c r="AA1601" s="34"/>
      <c r="AB1601" s="34"/>
      <c r="AC1601" s="34"/>
      <c r="AD1601" s="34"/>
      <c r="AE1601" s="34"/>
      <c r="AF1601" s="34"/>
      <c r="AG1601" s="34"/>
      <c r="AH1601" s="34"/>
      <c r="AI1601" s="34"/>
      <c r="AJ1601" s="34"/>
      <c r="AK1601" s="34"/>
      <c r="AL1601" s="34"/>
      <c r="AM1601" s="34"/>
      <c r="AN1601" s="34"/>
      <c r="AO1601" s="34"/>
      <c r="AP1601" s="34"/>
      <c r="AQ1601" s="34"/>
      <c r="AR1601" s="34"/>
      <c r="AS1601" s="34"/>
      <c r="AT1601" s="34"/>
      <c r="AU1601" s="34"/>
      <c r="AV1601" s="34"/>
      <c r="AW1601" s="34"/>
      <c r="AX1601" s="34"/>
      <c r="AY1601" s="34"/>
      <c r="AZ1601" s="34"/>
      <c r="BA1601" s="34"/>
      <c r="BB1601" s="34"/>
      <c r="BC1601" s="34"/>
      <c r="BD1601" s="34"/>
      <c r="BE1601" s="34"/>
      <c r="BF1601" s="34"/>
      <c r="BG1601" s="34"/>
      <c r="BH1601" s="34"/>
      <c r="BI1601" s="34"/>
      <c r="BJ1601" s="34"/>
      <c r="BK1601" s="34"/>
      <c r="BL1601" s="34"/>
      <c r="BM1601" s="34"/>
      <c r="BN1601" s="34"/>
      <c r="BO1601" s="34"/>
      <c r="BP1601" s="34"/>
      <c r="BQ1601" s="34"/>
      <c r="BR1601" s="34"/>
      <c r="BS1601" s="34"/>
      <c r="BT1601" s="34"/>
      <c r="BU1601" s="34"/>
      <c r="BV1601" s="34"/>
      <c r="BW1601" s="34"/>
      <c r="BX1601" s="34"/>
      <c r="BY1601" s="34"/>
      <c r="BZ1601" s="34"/>
      <c r="CA1601" s="34"/>
      <c r="CB1601" s="34"/>
      <c r="CC1601" s="34"/>
      <c r="CD1601" s="34"/>
      <c r="CE1601" s="34"/>
      <c r="CF1601" s="34"/>
      <c r="CG1601" s="34"/>
      <c r="CH1601" s="34"/>
      <c r="CI1601" s="8"/>
    </row>
    <row r="1602" spans="1:87" x14ac:dyDescent="0.2">
      <c r="A1602" s="8" t="str">
        <f>IF(AND(COUNTIF(W$3:W$13,A$30)&gt;0,A$30&lt;&gt;B1562),A$30,IFERROR(IF(MATCH(A$30,Z$3:Z$13,0)=2,A$30," ")," "))</f>
        <v>C16</v>
      </c>
      <c r="B1602" s="8">
        <f>IF(A1602=" "," ",MAX(B1587:B1601)+1)</f>
        <v>6</v>
      </c>
      <c r="C1602" s="8"/>
      <c r="D1602" s="8"/>
      <c r="E1602" s="8"/>
      <c r="F1602" s="8"/>
      <c r="G1602" s="8"/>
      <c r="H1602" s="8"/>
      <c r="I1602" s="8"/>
      <c r="J1602" s="8"/>
      <c r="K1602" s="8"/>
      <c r="L1602" s="8"/>
      <c r="M1602" s="8"/>
      <c r="N1602" s="8"/>
      <c r="O1602" s="8"/>
      <c r="P1602" s="8"/>
      <c r="Q1602" s="8"/>
      <c r="R1602" s="8"/>
      <c r="S1602" s="8"/>
      <c r="U1602" s="34"/>
      <c r="V1602" s="34"/>
      <c r="W1602" s="34"/>
      <c r="X1602" s="34"/>
      <c r="Y1602" s="34"/>
      <c r="Z1602" s="34"/>
      <c r="AA1602" s="34"/>
      <c r="AB1602" s="34"/>
      <c r="AC1602" s="34"/>
      <c r="AD1602" s="34"/>
      <c r="AE1602" s="34"/>
      <c r="AF1602" s="34"/>
      <c r="AG1602" s="34"/>
      <c r="AH1602" s="34"/>
      <c r="AI1602" s="34"/>
      <c r="AJ1602" s="34"/>
      <c r="AK1602" s="34"/>
      <c r="AL1602" s="34"/>
      <c r="AM1602" s="34"/>
      <c r="AN1602" s="34"/>
      <c r="AO1602" s="34"/>
      <c r="AP1602" s="34"/>
      <c r="AQ1602" s="34"/>
      <c r="AR1602" s="34"/>
      <c r="AS1602" s="34"/>
      <c r="AT1602" s="34"/>
      <c r="AU1602" s="34"/>
      <c r="AV1602" s="34"/>
      <c r="AW1602" s="34"/>
      <c r="AX1602" s="34"/>
      <c r="AY1602" s="34"/>
      <c r="AZ1602" s="34"/>
      <c r="BA1602" s="34"/>
      <c r="BB1602" s="34"/>
      <c r="BC1602" s="34"/>
      <c r="BD1602" s="34"/>
      <c r="BE1602" s="34"/>
      <c r="BF1602" s="34"/>
      <c r="BG1602" s="34"/>
      <c r="BH1602" s="34"/>
      <c r="BI1602" s="34"/>
      <c r="BJ1602" s="34"/>
      <c r="BK1602" s="34"/>
      <c r="BL1602" s="34"/>
      <c r="BM1602" s="34"/>
      <c r="BN1602" s="34"/>
      <c r="BO1602" s="34"/>
      <c r="BP1602" s="34"/>
      <c r="BQ1602" s="34"/>
      <c r="BR1602" s="34"/>
      <c r="BS1602" s="34"/>
      <c r="BT1602" s="34"/>
      <c r="BU1602" s="34"/>
      <c r="BV1602" s="34"/>
      <c r="BW1602" s="34"/>
      <c r="BX1602" s="34"/>
      <c r="BY1602" s="34"/>
      <c r="BZ1602" s="34"/>
      <c r="CA1602" s="34"/>
      <c r="CB1602" s="34"/>
      <c r="CC1602" s="34"/>
      <c r="CD1602" s="34"/>
      <c r="CE1602" s="34"/>
      <c r="CF1602" s="34"/>
      <c r="CG1602" s="34"/>
      <c r="CH1602" s="34"/>
      <c r="CI1602" s="8"/>
    </row>
    <row r="1603" spans="1:87" x14ac:dyDescent="0.2">
      <c r="A1603" s="8" t="str">
        <f>IF(AND(COUNTIF(W$3:W$13,A$31)&gt;0,A$31&lt;&gt;B1562),A$31,IFERROR(IF(MATCH(A$31,Z$3:Z$13,0)=2,A$31," ")," "))</f>
        <v>C17</v>
      </c>
      <c r="B1603" s="8">
        <f>IF(A1603=" "," ",MAX(B1587:B1602)+1)</f>
        <v>7</v>
      </c>
      <c r="C1603" s="8"/>
      <c r="D1603" s="8"/>
      <c r="E1603" s="8"/>
      <c r="F1603" s="8"/>
      <c r="G1603" s="8"/>
      <c r="H1603" s="8"/>
      <c r="I1603" s="8"/>
      <c r="J1603" s="8"/>
      <c r="K1603" s="8"/>
      <c r="L1603" s="8"/>
      <c r="M1603" s="8"/>
      <c r="N1603" s="8"/>
      <c r="O1603" s="8"/>
      <c r="P1603" s="8"/>
      <c r="Q1603" s="8"/>
      <c r="R1603" s="8"/>
      <c r="S1603" s="8"/>
      <c r="U1603" s="34"/>
      <c r="V1603" s="34"/>
      <c r="W1603" s="34"/>
      <c r="X1603" s="34"/>
      <c r="Y1603" s="34"/>
      <c r="Z1603" s="34"/>
      <c r="AA1603" s="34"/>
      <c r="AB1603" s="34"/>
      <c r="AC1603" s="34"/>
      <c r="AD1603" s="34"/>
      <c r="AE1603" s="34"/>
      <c r="AF1603" s="34"/>
      <c r="AG1603" s="34"/>
      <c r="AH1603" s="34"/>
      <c r="AI1603" s="34"/>
      <c r="AJ1603" s="34"/>
      <c r="AK1603" s="34"/>
      <c r="AL1603" s="34"/>
      <c r="AM1603" s="34"/>
      <c r="AN1603" s="34"/>
      <c r="AO1603" s="34"/>
      <c r="AP1603" s="34"/>
      <c r="AQ1603" s="34"/>
      <c r="AR1603" s="34"/>
      <c r="AS1603" s="34"/>
      <c r="AT1603" s="34"/>
      <c r="AU1603" s="34"/>
      <c r="AV1603" s="34"/>
      <c r="AW1603" s="34"/>
      <c r="AX1603" s="34"/>
      <c r="AY1603" s="34"/>
      <c r="AZ1603" s="34"/>
      <c r="BA1603" s="34"/>
      <c r="BB1603" s="34"/>
      <c r="BC1603" s="34"/>
      <c r="BD1603" s="34"/>
      <c r="BE1603" s="34"/>
      <c r="BF1603" s="34"/>
      <c r="BG1603" s="34"/>
      <c r="BH1603" s="34"/>
      <c r="BI1603" s="34"/>
      <c r="BJ1603" s="34"/>
      <c r="BK1603" s="34"/>
      <c r="BL1603" s="34"/>
      <c r="BM1603" s="34"/>
      <c r="BN1603" s="34"/>
      <c r="BO1603" s="34"/>
      <c r="BP1603" s="34"/>
      <c r="BQ1603" s="34"/>
      <c r="BR1603" s="34"/>
      <c r="BS1603" s="34"/>
      <c r="BT1603" s="34"/>
      <c r="BU1603" s="34"/>
      <c r="BV1603" s="34"/>
      <c r="BW1603" s="34"/>
      <c r="BX1603" s="34"/>
      <c r="BY1603" s="34"/>
      <c r="BZ1603" s="34"/>
      <c r="CA1603" s="34"/>
      <c r="CB1603" s="34"/>
      <c r="CC1603" s="34"/>
      <c r="CD1603" s="34"/>
      <c r="CE1603" s="34"/>
      <c r="CF1603" s="34"/>
      <c r="CG1603" s="34"/>
      <c r="CH1603" s="34"/>
      <c r="CI1603" s="8"/>
    </row>
    <row r="1604" spans="1:87" x14ac:dyDescent="0.2">
      <c r="A1604" s="8" t="str">
        <f>IF(AND(COUNTIF(W$3:W$13,A$32)&gt;0,A$32&lt;&gt;B1562),A$32,IFERROR(IF(MATCH(A$32,Z$3:Z$13,0)=2,A$32," ")," "))</f>
        <v xml:space="preserve"> </v>
      </c>
      <c r="B1604" s="8" t="str">
        <f>IF(A1604=" "," ",MAX(B1587:B1603)+1)</f>
        <v xml:space="preserve"> </v>
      </c>
      <c r="C1604" s="8"/>
      <c r="D1604" s="8"/>
      <c r="E1604" s="8"/>
      <c r="F1604" s="8"/>
      <c r="G1604" s="8"/>
      <c r="H1604" s="8"/>
      <c r="I1604" s="8"/>
      <c r="J1604" s="8"/>
      <c r="K1604" s="8"/>
      <c r="L1604" s="8"/>
      <c r="M1604" s="8"/>
      <c r="N1604" s="8"/>
      <c r="O1604" s="8"/>
      <c r="P1604" s="8"/>
      <c r="Q1604" s="8"/>
      <c r="R1604" s="8"/>
      <c r="S1604" s="8"/>
      <c r="U1604" s="34"/>
      <c r="V1604" s="34"/>
      <c r="W1604" s="34"/>
      <c r="X1604" s="34"/>
      <c r="Y1604" s="34"/>
      <c r="Z1604" s="34"/>
      <c r="AA1604" s="34"/>
      <c r="AB1604" s="34"/>
      <c r="AC1604" s="34"/>
      <c r="AD1604" s="34"/>
      <c r="AE1604" s="34"/>
      <c r="AF1604" s="34"/>
      <c r="AG1604" s="34"/>
      <c r="AH1604" s="34"/>
      <c r="AI1604" s="34"/>
      <c r="AJ1604" s="34"/>
      <c r="AK1604" s="34"/>
      <c r="AL1604" s="34"/>
      <c r="AM1604" s="34"/>
      <c r="AN1604" s="34"/>
      <c r="AO1604" s="34"/>
      <c r="AP1604" s="34"/>
      <c r="AQ1604" s="34"/>
      <c r="AR1604" s="34"/>
      <c r="AS1604" s="34"/>
      <c r="AT1604" s="34"/>
      <c r="AU1604" s="34"/>
      <c r="AV1604" s="34"/>
      <c r="AW1604" s="34"/>
      <c r="AX1604" s="34"/>
      <c r="AY1604" s="34"/>
      <c r="AZ1604" s="34"/>
      <c r="BA1604" s="34"/>
      <c r="BB1604" s="34"/>
      <c r="BC1604" s="34"/>
      <c r="BD1604" s="34"/>
      <c r="BE1604" s="34"/>
      <c r="BF1604" s="34"/>
      <c r="BG1604" s="34"/>
      <c r="BH1604" s="34"/>
      <c r="BI1604" s="34"/>
      <c r="BJ1604" s="34"/>
      <c r="BK1604" s="34"/>
      <c r="BL1604" s="34"/>
      <c r="BM1604" s="34"/>
      <c r="BN1604" s="34"/>
      <c r="BO1604" s="34"/>
      <c r="BP1604" s="34"/>
      <c r="BQ1604" s="34"/>
      <c r="BR1604" s="34"/>
      <c r="BS1604" s="34"/>
      <c r="BT1604" s="34"/>
      <c r="BU1604" s="34"/>
      <c r="BV1604" s="34"/>
      <c r="BW1604" s="34"/>
      <c r="BX1604" s="34"/>
      <c r="BY1604" s="34"/>
      <c r="BZ1604" s="34"/>
      <c r="CA1604" s="34"/>
      <c r="CB1604" s="34"/>
      <c r="CC1604" s="34"/>
      <c r="CD1604" s="34"/>
      <c r="CE1604" s="34"/>
      <c r="CF1604" s="34"/>
      <c r="CG1604" s="34"/>
      <c r="CH1604" s="34"/>
      <c r="CI1604" s="8"/>
    </row>
    <row r="1605" spans="1:87" x14ac:dyDescent="0.2">
      <c r="A1605" s="8" t="str">
        <f>IF(AND(COUNTIF(W$3:W$13,A$33)&gt;0,A$33&lt;&gt;B1562),A$33,IFERROR(IF(MATCH(A$33,Z$3:Z$13,0)=2,A$33," ")," "))</f>
        <v>C19</v>
      </c>
      <c r="B1605" s="8">
        <f>IF(A1605=" "," ",MAX(B1587:B1604)+1)</f>
        <v>8</v>
      </c>
      <c r="C1605" s="8"/>
      <c r="D1605" s="8"/>
      <c r="E1605" s="8"/>
      <c r="F1605" s="8"/>
      <c r="G1605" s="8"/>
      <c r="H1605" s="8"/>
      <c r="I1605" s="8"/>
      <c r="J1605" s="8"/>
      <c r="K1605" s="8"/>
      <c r="L1605" s="8"/>
      <c r="M1605" s="8"/>
      <c r="N1605" s="8"/>
      <c r="O1605" s="8"/>
      <c r="P1605" s="8"/>
      <c r="Q1605" s="8"/>
      <c r="R1605" s="8"/>
      <c r="S1605" s="8"/>
      <c r="U1605" s="34"/>
      <c r="V1605" s="34"/>
      <c r="W1605" s="34"/>
      <c r="X1605" s="34"/>
      <c r="Y1605" s="34"/>
      <c r="Z1605" s="34"/>
      <c r="AA1605" s="34"/>
      <c r="AB1605" s="34"/>
      <c r="AC1605" s="34"/>
      <c r="AD1605" s="34"/>
      <c r="AE1605" s="34"/>
      <c r="AF1605" s="34"/>
      <c r="AG1605" s="34"/>
      <c r="AH1605" s="34"/>
      <c r="AI1605" s="34"/>
      <c r="AJ1605" s="34"/>
      <c r="AK1605" s="34"/>
      <c r="AL1605" s="34"/>
      <c r="AM1605" s="34"/>
      <c r="AN1605" s="34"/>
      <c r="AO1605" s="34"/>
      <c r="AP1605" s="34"/>
      <c r="AQ1605" s="34"/>
      <c r="AR1605" s="34"/>
      <c r="AS1605" s="34"/>
      <c r="AT1605" s="34"/>
      <c r="AU1605" s="34"/>
      <c r="AV1605" s="34"/>
      <c r="AW1605" s="34"/>
      <c r="AX1605" s="34"/>
      <c r="AY1605" s="34"/>
      <c r="AZ1605" s="34"/>
      <c r="BA1605" s="34"/>
      <c r="BB1605" s="34"/>
      <c r="BC1605" s="34"/>
      <c r="BD1605" s="34"/>
      <c r="BE1605" s="34"/>
      <c r="BF1605" s="34"/>
      <c r="BG1605" s="34"/>
      <c r="BH1605" s="34"/>
      <c r="BI1605" s="34"/>
      <c r="BJ1605" s="34"/>
      <c r="BK1605" s="34"/>
      <c r="BL1605" s="34"/>
      <c r="BM1605" s="34"/>
      <c r="BN1605" s="34"/>
      <c r="BO1605" s="34"/>
      <c r="BP1605" s="34"/>
      <c r="BQ1605" s="34"/>
      <c r="BR1605" s="34"/>
      <c r="BS1605" s="34"/>
      <c r="BT1605" s="34"/>
      <c r="BU1605" s="34"/>
      <c r="BV1605" s="34"/>
      <c r="BW1605" s="34"/>
      <c r="BX1605" s="34"/>
      <c r="BY1605" s="34"/>
      <c r="BZ1605" s="34"/>
      <c r="CA1605" s="34"/>
      <c r="CB1605" s="34"/>
      <c r="CC1605" s="34"/>
      <c r="CD1605" s="34"/>
      <c r="CE1605" s="34"/>
      <c r="CF1605" s="34"/>
      <c r="CG1605" s="34"/>
      <c r="CH1605" s="34"/>
      <c r="CI1605" s="8"/>
    </row>
    <row r="1606" spans="1:87" x14ac:dyDescent="0.2">
      <c r="A1606" s="8" t="str">
        <f>IF(AND(COUNTIF(W$3:W$13,A$34)&gt;0,A$34&lt;&gt;B1562),A$34,IFERROR(IF(MATCH(A$34,Z$3:Z$13,0)=2,A$34," ")," "))</f>
        <v>C20</v>
      </c>
      <c r="B1606" s="8">
        <f>IF(A1606=" "," ",MAX(B1587:B1605)+1)</f>
        <v>9</v>
      </c>
      <c r="C1606" s="8"/>
      <c r="D1606" s="8"/>
      <c r="E1606" s="8"/>
      <c r="F1606" s="8"/>
      <c r="G1606" s="8"/>
      <c r="H1606" s="8"/>
      <c r="I1606" s="8"/>
      <c r="J1606" s="8"/>
      <c r="K1606" s="8"/>
      <c r="L1606" s="8"/>
      <c r="M1606" s="8"/>
      <c r="N1606" s="8"/>
      <c r="O1606" s="8"/>
      <c r="P1606" s="8"/>
      <c r="Q1606" s="8"/>
      <c r="R1606" s="8"/>
      <c r="S1606" s="8"/>
      <c r="U1606" s="34"/>
      <c r="V1606" s="34"/>
      <c r="W1606" s="34"/>
      <c r="X1606" s="34"/>
      <c r="Y1606" s="34"/>
      <c r="Z1606" s="34"/>
      <c r="AA1606" s="34"/>
      <c r="AB1606" s="34"/>
      <c r="AC1606" s="34"/>
      <c r="AD1606" s="34"/>
      <c r="AE1606" s="34"/>
      <c r="AF1606" s="34"/>
      <c r="AG1606" s="34"/>
      <c r="AH1606" s="34"/>
      <c r="AI1606" s="34"/>
      <c r="AJ1606" s="34"/>
      <c r="AK1606" s="34"/>
      <c r="AL1606" s="34"/>
      <c r="AM1606" s="34"/>
      <c r="AN1606" s="34"/>
      <c r="AO1606" s="34"/>
      <c r="AP1606" s="34"/>
      <c r="AQ1606" s="34"/>
      <c r="AR1606" s="34"/>
      <c r="AS1606" s="34"/>
      <c r="AT1606" s="34"/>
      <c r="AU1606" s="34"/>
      <c r="AV1606" s="34"/>
      <c r="AW1606" s="34"/>
      <c r="AX1606" s="34"/>
      <c r="AY1606" s="34"/>
      <c r="AZ1606" s="34"/>
      <c r="BA1606" s="34"/>
      <c r="BB1606" s="34"/>
      <c r="BC1606" s="34"/>
      <c r="BD1606" s="34"/>
      <c r="BE1606" s="34"/>
      <c r="BF1606" s="34"/>
      <c r="BG1606" s="34"/>
      <c r="BH1606" s="34"/>
      <c r="BI1606" s="34"/>
      <c r="BJ1606" s="34"/>
      <c r="BK1606" s="34"/>
      <c r="BL1606" s="34"/>
      <c r="BM1606" s="34"/>
      <c r="BN1606" s="34"/>
      <c r="BO1606" s="34"/>
      <c r="BP1606" s="34"/>
      <c r="BQ1606" s="34"/>
      <c r="BR1606" s="34"/>
      <c r="BS1606" s="34"/>
      <c r="BT1606" s="34"/>
      <c r="BU1606" s="34"/>
      <c r="BV1606" s="34"/>
      <c r="BW1606" s="34"/>
      <c r="BX1606" s="34"/>
      <c r="BY1606" s="34"/>
      <c r="BZ1606" s="34"/>
      <c r="CA1606" s="34"/>
      <c r="CB1606" s="34"/>
      <c r="CC1606" s="34"/>
      <c r="CD1606" s="34"/>
      <c r="CE1606" s="34"/>
      <c r="CF1606" s="34"/>
      <c r="CG1606" s="34"/>
      <c r="CH1606" s="34"/>
      <c r="CI1606" s="8"/>
    </row>
    <row r="1607" spans="1:87" x14ac:dyDescent="0.2">
      <c r="A1607" s="8" t="str">
        <f>IF(AND(COUNTIF(W$3:W$13,A$35)&gt;0,A$35&lt;&gt;B1562),A$35,IFERROR(IF(MATCH(A$35,Z$3:Z$13,0)=2,A$35," ")," "))</f>
        <v>C21</v>
      </c>
      <c r="B1607" s="8">
        <f>IF(A1607=" "," ",MAX(B1587:B1606)+1)</f>
        <v>10</v>
      </c>
      <c r="C1607" s="8"/>
      <c r="D1607" s="8"/>
      <c r="E1607" s="8"/>
      <c r="F1607" s="8"/>
      <c r="G1607" s="8"/>
      <c r="H1607" s="8"/>
      <c r="I1607" s="8"/>
      <c r="J1607" s="8"/>
      <c r="K1607" s="8"/>
      <c r="L1607" s="8"/>
      <c r="M1607" s="8"/>
      <c r="N1607" s="8"/>
      <c r="O1607" s="8"/>
      <c r="P1607" s="8"/>
      <c r="Q1607" s="8"/>
      <c r="R1607" s="8"/>
      <c r="S1607" s="8"/>
      <c r="U1607" s="34"/>
      <c r="V1607" s="34"/>
      <c r="W1607" s="34"/>
      <c r="X1607" s="34"/>
      <c r="Y1607" s="34"/>
      <c r="Z1607" s="34"/>
      <c r="AA1607" s="34"/>
      <c r="AB1607" s="34"/>
      <c r="AC1607" s="34"/>
      <c r="AD1607" s="34"/>
      <c r="AE1607" s="34"/>
      <c r="AF1607" s="34"/>
      <c r="AG1607" s="34"/>
      <c r="AH1607" s="34"/>
      <c r="AI1607" s="34"/>
      <c r="AJ1607" s="34"/>
      <c r="AK1607" s="34"/>
      <c r="AL1607" s="34"/>
      <c r="AM1607" s="34"/>
      <c r="AN1607" s="34"/>
      <c r="AO1607" s="34"/>
      <c r="AP1607" s="34"/>
      <c r="AQ1607" s="34"/>
      <c r="AR1607" s="34"/>
      <c r="AS1607" s="34"/>
      <c r="AT1607" s="34"/>
      <c r="AU1607" s="34"/>
      <c r="AV1607" s="34"/>
      <c r="AW1607" s="34"/>
      <c r="AX1607" s="34"/>
      <c r="AY1607" s="34"/>
      <c r="AZ1607" s="34"/>
      <c r="BA1607" s="34"/>
      <c r="BB1607" s="34"/>
      <c r="BC1607" s="34"/>
      <c r="BD1607" s="34"/>
      <c r="BE1607" s="34"/>
      <c r="BF1607" s="34"/>
      <c r="BG1607" s="34"/>
      <c r="BH1607" s="34"/>
      <c r="BI1607" s="34"/>
      <c r="BJ1607" s="34"/>
      <c r="BK1607" s="34"/>
      <c r="BL1607" s="34"/>
      <c r="BM1607" s="34"/>
      <c r="BN1607" s="34"/>
      <c r="BO1607" s="34"/>
      <c r="BP1607" s="34"/>
      <c r="BQ1607" s="34"/>
      <c r="BR1607" s="34"/>
      <c r="BS1607" s="34"/>
      <c r="BT1607" s="34"/>
      <c r="BU1607" s="34"/>
      <c r="BV1607" s="34"/>
      <c r="BW1607" s="34"/>
      <c r="BX1607" s="34"/>
      <c r="BY1607" s="34"/>
      <c r="BZ1607" s="34"/>
      <c r="CA1607" s="34"/>
      <c r="CB1607" s="34"/>
      <c r="CC1607" s="34"/>
      <c r="CD1607" s="34"/>
      <c r="CE1607" s="34"/>
      <c r="CF1607" s="34"/>
      <c r="CG1607" s="34"/>
      <c r="CH1607" s="34"/>
      <c r="CI1607" s="8"/>
    </row>
    <row r="1608" spans="1:87" x14ac:dyDescent="0.2">
      <c r="A1608" s="8" t="str">
        <f>IF(AND(COUNTIF(W$3:W$13,A$36)&gt;0,A$36&lt;&gt;B1562),A$36,IFERROR(IF(MATCH(A$36,Z$3:Z$13,0)=2,A$36," ")," "))</f>
        <v>C22</v>
      </c>
      <c r="B1608" s="8">
        <f>IF(A1608=" "," ",MAX(B1587:B1607)+1)</f>
        <v>11</v>
      </c>
      <c r="C1608" s="8"/>
      <c r="D1608" s="8"/>
      <c r="E1608" s="8"/>
      <c r="F1608" s="8"/>
      <c r="G1608" s="8"/>
      <c r="H1608" s="8"/>
      <c r="I1608" s="8"/>
      <c r="J1608" s="8"/>
      <c r="K1608" s="8"/>
      <c r="L1608" s="8"/>
      <c r="M1608" s="8"/>
      <c r="N1608" s="8"/>
      <c r="O1608" s="8"/>
      <c r="P1608" s="8"/>
      <c r="Q1608" s="8"/>
      <c r="R1608" s="8"/>
      <c r="S1608" s="8"/>
      <c r="U1608" s="34"/>
      <c r="V1608" s="34"/>
      <c r="W1608" s="34"/>
      <c r="X1608" s="34"/>
      <c r="Y1608" s="34"/>
      <c r="Z1608" s="34"/>
      <c r="AA1608" s="34"/>
      <c r="AB1608" s="34"/>
      <c r="AC1608" s="34"/>
      <c r="AD1608" s="34"/>
      <c r="AE1608" s="34"/>
      <c r="AF1608" s="34"/>
      <c r="AG1608" s="34"/>
      <c r="AH1608" s="34"/>
      <c r="AI1608" s="34"/>
      <c r="AJ1608" s="34"/>
      <c r="AK1608" s="34"/>
      <c r="AL1608" s="34"/>
      <c r="AM1608" s="34"/>
      <c r="AN1608" s="34"/>
      <c r="AO1608" s="34"/>
      <c r="AP1608" s="34"/>
      <c r="AQ1608" s="34"/>
      <c r="AR1608" s="34"/>
      <c r="AS1608" s="34"/>
      <c r="AT1608" s="34"/>
      <c r="AU1608" s="34"/>
      <c r="AV1608" s="34"/>
      <c r="AW1608" s="34"/>
      <c r="AX1608" s="34"/>
      <c r="AY1608" s="34"/>
      <c r="AZ1608" s="34"/>
      <c r="BA1608" s="34"/>
      <c r="BB1608" s="34"/>
      <c r="BC1608" s="34"/>
      <c r="BD1608" s="34"/>
      <c r="BE1608" s="34"/>
      <c r="BF1608" s="34"/>
      <c r="BG1608" s="34"/>
      <c r="BH1608" s="34"/>
      <c r="BI1608" s="34"/>
      <c r="BJ1608" s="34"/>
      <c r="BK1608" s="34"/>
      <c r="BL1608" s="34"/>
      <c r="BM1608" s="34"/>
      <c r="BN1608" s="34"/>
      <c r="BO1608" s="34"/>
      <c r="BP1608" s="34"/>
      <c r="BQ1608" s="34"/>
      <c r="BR1608" s="34"/>
      <c r="BS1608" s="34"/>
      <c r="BT1608" s="34"/>
      <c r="BU1608" s="34"/>
      <c r="BV1608" s="34"/>
      <c r="BW1608" s="34"/>
      <c r="BX1608" s="34"/>
      <c r="BY1608" s="34"/>
      <c r="BZ1608" s="34"/>
      <c r="CA1608" s="34"/>
      <c r="CB1608" s="34"/>
      <c r="CC1608" s="34"/>
      <c r="CD1608" s="34"/>
      <c r="CE1608" s="34"/>
      <c r="CF1608" s="34"/>
      <c r="CG1608" s="34"/>
      <c r="CH1608" s="34"/>
      <c r="CI1608" s="8"/>
    </row>
    <row r="1609" spans="1:87" x14ac:dyDescent="0.2">
      <c r="A1609" s="11" t="s">
        <v>17</v>
      </c>
      <c r="B1609" s="11"/>
      <c r="C1609" s="27" t="s">
        <v>18</v>
      </c>
      <c r="D1609" s="27" t="s">
        <v>2</v>
      </c>
      <c r="E1609" s="27" t="s">
        <v>6</v>
      </c>
      <c r="F1609" s="27" t="s">
        <v>15</v>
      </c>
      <c r="G1609" s="27" t="s">
        <v>36</v>
      </c>
      <c r="H1609" s="27" t="s">
        <v>37</v>
      </c>
      <c r="I1609" s="27" t="s">
        <v>38</v>
      </c>
      <c r="J1609" s="27" t="s">
        <v>39</v>
      </c>
      <c r="K1609" s="27" t="s">
        <v>40</v>
      </c>
      <c r="L1609" s="27" t="s">
        <v>41</v>
      </c>
      <c r="M1609" s="27" t="s">
        <v>42</v>
      </c>
      <c r="N1609" s="27" t="s">
        <v>43</v>
      </c>
      <c r="O1609" s="27" t="s">
        <v>9</v>
      </c>
      <c r="P1609" s="27" t="s">
        <v>12</v>
      </c>
      <c r="Q1609" s="27" t="s">
        <v>19</v>
      </c>
      <c r="R1609" s="27" t="s">
        <v>55</v>
      </c>
      <c r="S1609" s="27" t="s">
        <v>26</v>
      </c>
      <c r="T1609" s="19" t="s">
        <v>25</v>
      </c>
      <c r="U1609" s="33" t="s">
        <v>27</v>
      </c>
      <c r="V1609" s="33" t="s">
        <v>9</v>
      </c>
      <c r="W1609" s="33" t="s">
        <v>23</v>
      </c>
      <c r="X1609" s="33" t="s">
        <v>12</v>
      </c>
      <c r="Y1609" s="33" t="s">
        <v>26</v>
      </c>
      <c r="Z1609" s="33" t="s">
        <v>25</v>
      </c>
      <c r="AA1609" s="33" t="s">
        <v>27</v>
      </c>
      <c r="AB1609" s="33" t="s">
        <v>9</v>
      </c>
      <c r="AC1609" s="33" t="s">
        <v>23</v>
      </c>
      <c r="AD1609" s="33" t="s">
        <v>12</v>
      </c>
      <c r="AE1609" s="33" t="s">
        <v>26</v>
      </c>
      <c r="AF1609" s="33" t="s">
        <v>25</v>
      </c>
      <c r="AG1609" s="33" t="s">
        <v>27</v>
      </c>
      <c r="AH1609" s="33" t="s">
        <v>9</v>
      </c>
      <c r="AI1609" s="33" t="s">
        <v>23</v>
      </c>
      <c r="AJ1609" s="33" t="s">
        <v>12</v>
      </c>
      <c r="AK1609" s="33" t="s">
        <v>26</v>
      </c>
      <c r="AL1609" s="33" t="s">
        <v>25</v>
      </c>
      <c r="AM1609" s="33" t="s">
        <v>27</v>
      </c>
      <c r="AN1609" s="33" t="s">
        <v>9</v>
      </c>
      <c r="AO1609" s="33" t="s">
        <v>23</v>
      </c>
      <c r="AP1609" s="33" t="s">
        <v>12</v>
      </c>
      <c r="AQ1609" s="33" t="s">
        <v>26</v>
      </c>
      <c r="AR1609" s="33" t="s">
        <v>25</v>
      </c>
      <c r="AS1609" s="33" t="s">
        <v>27</v>
      </c>
      <c r="AT1609" s="33" t="s">
        <v>9</v>
      </c>
      <c r="AU1609" s="33" t="s">
        <v>23</v>
      </c>
      <c r="AV1609" s="33" t="s">
        <v>12</v>
      </c>
      <c r="AW1609" s="33" t="s">
        <v>26</v>
      </c>
      <c r="AX1609" s="33" t="s">
        <v>25</v>
      </c>
      <c r="AY1609" s="33" t="s">
        <v>27</v>
      </c>
      <c r="AZ1609" s="33" t="s">
        <v>9</v>
      </c>
      <c r="BA1609" s="33" t="s">
        <v>23</v>
      </c>
      <c r="BB1609" s="33" t="s">
        <v>12</v>
      </c>
      <c r="BC1609" s="33" t="s">
        <v>26</v>
      </c>
      <c r="BD1609" s="33" t="s">
        <v>25</v>
      </c>
      <c r="BE1609" s="33" t="s">
        <v>27</v>
      </c>
      <c r="BF1609" s="33" t="s">
        <v>9</v>
      </c>
      <c r="BG1609" s="33" t="s">
        <v>23</v>
      </c>
      <c r="BH1609" s="33" t="s">
        <v>12</v>
      </c>
      <c r="BI1609" s="33" t="s">
        <v>26</v>
      </c>
      <c r="BJ1609" s="33" t="s">
        <v>25</v>
      </c>
      <c r="BK1609" s="33" t="s">
        <v>27</v>
      </c>
      <c r="BL1609" s="33" t="s">
        <v>9</v>
      </c>
      <c r="BM1609" s="33" t="s">
        <v>23</v>
      </c>
      <c r="BN1609" s="33" t="s">
        <v>12</v>
      </c>
      <c r="BO1609" s="33" t="s">
        <v>26</v>
      </c>
      <c r="BP1609" s="33" t="s">
        <v>25</v>
      </c>
      <c r="BQ1609" s="33" t="s">
        <v>27</v>
      </c>
      <c r="BR1609" s="33" t="s">
        <v>9</v>
      </c>
      <c r="BS1609" s="33" t="s">
        <v>23</v>
      </c>
      <c r="BT1609" s="33" t="s">
        <v>12</v>
      </c>
      <c r="BU1609" s="33" t="s">
        <v>26</v>
      </c>
      <c r="BV1609" s="33" t="s">
        <v>25</v>
      </c>
      <c r="BW1609" s="33" t="s">
        <v>27</v>
      </c>
      <c r="BX1609" s="33" t="s">
        <v>9</v>
      </c>
      <c r="BY1609" s="33" t="s">
        <v>23</v>
      </c>
      <c r="BZ1609" s="33" t="s">
        <v>12</v>
      </c>
      <c r="CA1609" s="33" t="s">
        <v>26</v>
      </c>
      <c r="CB1609" s="33" t="s">
        <v>25</v>
      </c>
      <c r="CC1609" s="33" t="s">
        <v>27</v>
      </c>
      <c r="CD1609" s="33" t="s">
        <v>9</v>
      </c>
      <c r="CE1609" s="33" t="s">
        <v>23</v>
      </c>
      <c r="CF1609" s="33" t="s">
        <v>12</v>
      </c>
      <c r="CG1609" s="33" t="s">
        <v>26</v>
      </c>
      <c r="CH1609" s="33" t="s">
        <v>25</v>
      </c>
      <c r="CI1609" s="8"/>
    </row>
    <row r="1610" spans="1:87" x14ac:dyDescent="0.2">
      <c r="A1610" s="8" t="str">
        <f>IF(AND(COUNTIF(W$3:W$13,A$15)&gt;0,A$15&lt;&gt;B1562),A$15,IFERROR(IF(MATCH(A$15,Z$3:Z$13,0)=3,A$15," ")," "))</f>
        <v xml:space="preserve"> </v>
      </c>
      <c r="B1610" s="8" t="str">
        <f>IF(A1610=" "," ",1)</f>
        <v xml:space="preserve"> </v>
      </c>
      <c r="C1610" s="8" t="str">
        <f>IFERROR(INDEX(A1610:A1631,MATCH(SMALL(B1610:B1631,1),B1610:B1631,0),1)," ")</f>
        <v>C3</v>
      </c>
      <c r="D1610" s="8">
        <f>IFERROR(VLOOKUP($C1610,$A$15:$O$36,2,FALSE)," ")</f>
        <v>2</v>
      </c>
      <c r="E1610" s="8">
        <f>IFERROR(VLOOKUP($C1610,$A$15:$O$36,3,FALSE)," ")</f>
        <v>5</v>
      </c>
      <c r="F1610" s="8">
        <f>IFERROR(VLOOKUP($C1610,$A$15:$O$36,4,FALSE)," ")</f>
        <v>6</v>
      </c>
      <c r="G1610" s="8">
        <f>IFERROR(VLOOKUP($C1610,$A$15:$O$36,5,FALSE)," ")</f>
        <v>0</v>
      </c>
      <c r="H1610" s="8">
        <f>IFERROR(VLOOKUP($C1610,$A$15:$O$36,6,FALSE)," ")</f>
        <v>0</v>
      </c>
      <c r="I1610" s="8">
        <f>IFERROR(VLOOKUP($C1610,$A$15:$O$36,7,FALSE)," ")</f>
        <v>0</v>
      </c>
      <c r="J1610" s="8">
        <f>IFERROR(VLOOKUP($C1610,$A$15:$O$36,8,FALSE)," ")</f>
        <v>0</v>
      </c>
      <c r="K1610" s="8">
        <f>IFERROR(VLOOKUP($C1610,$A$15:$O$36,9,FALSE)," ")</f>
        <v>0</v>
      </c>
      <c r="L1610" s="8">
        <f>IFERROR(VLOOKUP($C1610,$A$15:$O$36,10,FALSE)," ")</f>
        <v>0</v>
      </c>
      <c r="M1610" s="8">
        <f>IFERROR(VLOOKUP($C1610,$A$15:$O$36,11,FALSE)," ")</f>
        <v>0</v>
      </c>
      <c r="N1610" s="8">
        <f>IFERROR(VLOOKUP($C1610,$A$15:$O$36,12,FALSE)," ")</f>
        <v>0</v>
      </c>
      <c r="O1610" s="8">
        <f>IFERROR(VLOOKUP($C1610,$A$15:$O$36,15,FALSE)," ")</f>
        <v>2000</v>
      </c>
      <c r="P1610" s="8" t="e">
        <f t="array" ref="P1610:P1620">MMULT(MINVERSE(D1610:N1620),O1610:O1620)</f>
        <v>#NUM!</v>
      </c>
      <c r="Q1610" s="8" t="e">
        <f t="shared" ref="Q1610" si="6919">IF(COUNTIF(P1610:P1620,"&lt;"&amp;-0.001)=0,IF(ABS(P1610)&lt;0.001,0,P1610)," ")</f>
        <v>#NUM!</v>
      </c>
      <c r="R1610" s="8" t="str">
        <f>IFERROR(VLOOKUP(B1562,A$15:L$36,2,FALSE)*Q1610+VLOOKUP(B1562,A$15:L$36,3,FALSE)*Q1611+VLOOKUP(B1562,A$15:L$36,4,FALSE)*Q1612+VLOOKUP(B1562,A$15:L$36,5,FALSE)*Q1613+VLOOKUP(B1562,A$15:L$36,6,FALSE)*Q1614+VLOOKUP(B1562,A$15:L$36,7,FALSE)*Q1615+VLOOKUP(B1562,A$15:L$36,8,FALSE)*Q1616+VLOOKUP(B1562,A$15:L$36,9,FALSE)*Q1617+VLOOKUP(B1562,A$15:L$36,10,FALSE)*Q1618+VLOOKUP(B1562,A$15:L$36,11,FALSE)*Q1619+VLOOKUP(B1562,A$15:L$36,12,FALSE)*Q1620," ")</f>
        <v xml:space="preserve"> </v>
      </c>
      <c r="S1610" s="8" t="str">
        <f>IFERROR(IF(R1610-VLOOKUP(B1562,A$15:O$36,15,FALSE)&lt;0,R1610-VLOOKUP(B1562,A$15:O$36,15,FALSE)," ")," ")</f>
        <v xml:space="preserve"> </v>
      </c>
      <c r="T1610" s="18" t="str">
        <f>IFERROR(IF(R1610-VLOOKUP(B1562,A$15:O$36,15,FALSE)&gt;0,R1610-VLOOKUP(B1562,A$15:O$36,15,FALSE)," ")," ")</f>
        <v xml:space="preserve"> </v>
      </c>
      <c r="U1610" s="34">
        <f t="shared" ref="U1610" si="6920">$M$2</f>
        <v>100.00000000000001</v>
      </c>
      <c r="V1610" s="34">
        <v>-1</v>
      </c>
      <c r="W1610" s="34">
        <f t="shared" ref="W1610" si="6921">-SUMPRODUCT($M$3:$M$12,$N$3:$N$12)</f>
        <v>-105000</v>
      </c>
      <c r="X1610" s="34" t="e">
        <f t="shared" ref="X1610" si="6922">IF(U1610&lt;&gt;U1611,MMULT(MINVERSE(U1610:V1611),W1610:W1611)," ")</f>
        <v>#NUM!</v>
      </c>
      <c r="Y1610" s="34" t="str">
        <f t="shared" ref="Y1610" si="6923">IFERROR(IF(X1610-VLOOKUP(U$38,$A$2:$N$12,14,FALSE)&lt;0,X1610-VLOOKUP(U$38,$A$2:$N$12,14,FALSE)," ")," ")</f>
        <v xml:space="preserve"> </v>
      </c>
      <c r="Z1610" s="34" t="str">
        <f t="shared" ref="Z1610" si="6924">IFERROR(IF(X1610-VLOOKUP(U$38,$A$2:$N$12,14,FALSE)&gt;0,X1610-VLOOKUP(U$38,$A$2:$N$12,14,FALSE)," ")," ")</f>
        <v xml:space="preserve"> </v>
      </c>
      <c r="AA1610" s="34">
        <f t="shared" ref="AA1610" si="6925">$M$3</f>
        <v>0</v>
      </c>
      <c r="AB1610" s="34">
        <v>-1</v>
      </c>
      <c r="AC1610" s="34">
        <f t="shared" ref="AC1610" si="6926">-SUMPRODUCT($M$2:$M$2,$N$2:$N$2)-SUMPRODUCT($M$4:$M$12,$N$4:$N$12)</f>
        <v>-120000</v>
      </c>
      <c r="AD1610" s="34" t="e">
        <f t="shared" ref="AD1610" si="6927">IF(AA1610&lt;&gt;AA1611,MMULT(MINVERSE(AA1610:AB1611),AC1610:AC1611)," ")</f>
        <v>#NUM!</v>
      </c>
      <c r="AE1610" s="34" t="str">
        <f t="shared" ref="AE1610" si="6928">IFERROR(IF(AD1610-VLOOKUP(AA$38,$A$2:$N$12,14,FALSE)&lt;0,AD1610-VLOOKUP(AA$38,$A$2:$N$12,14,FALSE)," ")," ")</f>
        <v xml:space="preserve"> </v>
      </c>
      <c r="AF1610" s="34" t="str">
        <f t="shared" ref="AF1610" si="6929">IFERROR(IF(AD1610-VLOOKUP(AA$38,$A$2:$N$12,14,FALSE)&gt;0,AD1610-VLOOKUP(AA$38,$A$2:$N$12,14,FALSE)," ")," ")</f>
        <v xml:space="preserve"> </v>
      </c>
      <c r="AG1610" s="34">
        <f t="shared" ref="AG1610" si="6930">$M$4</f>
        <v>300</v>
      </c>
      <c r="AH1610" s="34">
        <v>-1</v>
      </c>
      <c r="AI1610" s="34">
        <f t="shared" ref="AI1610" si="6931">-SUMPRODUCT($M$2:$M$3,$N$2:$N$3)-SUMPRODUCT($M$5:$M$12,$N$5:$N$12)</f>
        <v>-15000.000000000002</v>
      </c>
      <c r="AJ1610" s="34" t="e">
        <f t="shared" ref="AJ1610" si="6932">IF(AG1610&lt;&gt;AG1611,MMULT(MINVERSE(AG1610:AH1611),AI1610:AI1611)," ")</f>
        <v>#NUM!</v>
      </c>
      <c r="AK1610" s="34" t="str">
        <f t="shared" ref="AK1610" si="6933">IFERROR(IF(AJ1610-VLOOKUP(AG$38,$A$2:$N$12,14,FALSE)&lt;0,AJ1610-VLOOKUP(AG$38,$A$2:$N$12,14,FALSE)," ")," ")</f>
        <v xml:space="preserve"> </v>
      </c>
      <c r="AL1610" s="34" t="str">
        <f t="shared" ref="AL1610" si="6934">IFERROR(IF(AJ1610-VLOOKUP(AG$38,$A$2:$N$12,14,FALSE)&gt;0,AJ1610-VLOOKUP(AG$38,$A$2:$N$12,14,FALSE)," ")," ")</f>
        <v xml:space="preserve"> </v>
      </c>
      <c r="AM1610" s="34">
        <f t="shared" ref="AM1610" si="6935">$M$5</f>
        <v>0</v>
      </c>
      <c r="AN1610" s="34">
        <v>-1</v>
      </c>
      <c r="AO1610" s="34">
        <f t="shared" ref="AO1610" si="6936">-SUMPRODUCT($M$2:$M$4,$N$2:$N$4)-SUMPRODUCT($M$6:$M$12,$N$6:$N$12)</f>
        <v>-120000</v>
      </c>
      <c r="AP1610" s="34" t="e">
        <f t="shared" ref="AP1610" si="6937">IF(AM1610&lt;&gt;AM1611,MMULT(MINVERSE(AM1610:AN1611),AO1610:AO1611)," ")</f>
        <v>#NUM!</v>
      </c>
      <c r="AQ1610" s="34" t="str">
        <f t="shared" ref="AQ1610" si="6938">IFERROR(IF(AP1610-VLOOKUP(AM$38,$A$2:$N$12,14,FALSE)&lt;0,AP1610-VLOOKUP(AM$38,$A$2:$N$12,14,FALSE)," ")," ")</f>
        <v xml:space="preserve"> </v>
      </c>
      <c r="AR1610" s="34" t="str">
        <f t="shared" ref="AR1610" si="6939">IFERROR(IF(AP1610-VLOOKUP(AM$38,$A$2:$N$12,14,FALSE)&gt;0,AP1610-VLOOKUP(AM$38,$A$2:$N$12,14,FALSE)," ")," ")</f>
        <v xml:space="preserve"> </v>
      </c>
      <c r="AS1610" s="34">
        <f t="shared" ref="AS1610" si="6940">$M$6</f>
        <v>0</v>
      </c>
      <c r="AT1610" s="34">
        <v>-1</v>
      </c>
      <c r="AU1610" s="34">
        <f t="shared" ref="AU1610" si="6941">-SUMPRODUCT($M$2:$M$5,$N$2:$N$5)-SUMPRODUCT($M$7:$M$12,$N$7:$N$12)</f>
        <v>-120000</v>
      </c>
      <c r="AV1610" s="34" t="e">
        <f t="shared" ref="AV1610" si="6942">IF(AS1610&lt;&gt;AS1611,MMULT(MINVERSE(AS1610:AT1611),AU1610:AU1611)," ")</f>
        <v>#NUM!</v>
      </c>
      <c r="AW1610" s="34" t="str">
        <f t="shared" ref="AW1610" si="6943">IFERROR(IF(AV1610-VLOOKUP(AS$38,$A$2:$N$12,14,FALSE)&lt;0,AV1610-VLOOKUP(AS$38,$A$2:$N$12,14,FALSE)," ")," ")</f>
        <v xml:space="preserve"> </v>
      </c>
      <c r="AX1610" s="34" t="str">
        <f t="shared" ref="AX1610" si="6944">IFERROR(IF(AV1610-VLOOKUP(AS$38,$A$2:$N$12,14,FALSE)&gt;0,AV1610-VLOOKUP(AS$38,$A$2:$N$12,14,FALSE)," ")," ")</f>
        <v xml:space="preserve"> </v>
      </c>
      <c r="AY1610" s="34">
        <f t="shared" ref="AY1610" si="6945">$M$7</f>
        <v>0</v>
      </c>
      <c r="AZ1610" s="34">
        <v>-1</v>
      </c>
      <c r="BA1610" s="34">
        <f t="shared" ref="BA1610" si="6946">-SUMPRODUCT($M$2:$M$6,$N$2:$N$6)-SUMPRODUCT($M$8:$M$12,$N$8:$N$12)</f>
        <v>-120000</v>
      </c>
      <c r="BB1610" s="34" t="e">
        <f t="shared" ref="BB1610" si="6947">IF(AY1610&lt;&gt;AY1611,MMULT(MINVERSE(AY1610:AZ1611),BA1610:BA1611)," ")</f>
        <v>#NUM!</v>
      </c>
      <c r="BC1610" s="34" t="str">
        <f t="shared" ref="BC1610" si="6948">IFERROR(IF(BB1610-VLOOKUP(AY$38,$A$2:$N$12,14,FALSE)&lt;0,BB1610-VLOOKUP(AY$38,$A$2:$N$12,14,FALSE)," ")," ")</f>
        <v xml:space="preserve"> </v>
      </c>
      <c r="BD1610" s="34" t="str">
        <f t="shared" ref="BD1610" si="6949">IFERROR(IF(BB1610-VLOOKUP(AY$38,$A$2:$N$12,14,FALSE)&gt;0,BB1610-VLOOKUP(AY$38,$A$2:$N$12,14,FALSE)," ")," ")</f>
        <v xml:space="preserve"> </v>
      </c>
      <c r="BE1610" s="34">
        <f t="shared" ref="BE1610" si="6950">$M$8</f>
        <v>0</v>
      </c>
      <c r="BF1610" s="34">
        <v>-1</v>
      </c>
      <c r="BG1610" s="34">
        <f t="shared" ref="BG1610" si="6951">-SUMPRODUCT($M$2:$M$7,$N$2:$N$7)-SUMPRODUCT($M$9:$M$12,$N$9:$N$12)</f>
        <v>-120000</v>
      </c>
      <c r="BH1610" s="34" t="e">
        <f t="shared" ref="BH1610" si="6952">IF(BE1610&lt;&gt;BE1611,MMULT(MINVERSE(BE1610:BF1611),BG1610:BG1611)," ")</f>
        <v>#NUM!</v>
      </c>
      <c r="BI1610" s="34" t="str">
        <f t="shared" ref="BI1610" si="6953">IFERROR(IF(BH1610-VLOOKUP(BE$38,$A$2:$N$12,14,FALSE)&lt;0,BH1610-VLOOKUP(BE$38,$A$2:$N$12,14,FALSE)," ")," ")</f>
        <v xml:space="preserve"> </v>
      </c>
      <c r="BJ1610" s="34" t="str">
        <f t="shared" ref="BJ1610" si="6954">IFERROR(IF(BH1610-VLOOKUP(BE$38,$A$2:$N$12,14,FALSE)&gt;0,BH1610-VLOOKUP(BE$38,$A$2:$N$12,14,FALSE)," ")," ")</f>
        <v xml:space="preserve"> </v>
      </c>
      <c r="BK1610" s="34">
        <f t="shared" ref="BK1610" si="6955">$M$9</f>
        <v>0</v>
      </c>
      <c r="BL1610" s="34">
        <v>-1</v>
      </c>
      <c r="BM1610" s="34">
        <f t="shared" ref="BM1610" si="6956">-SUMPRODUCT($M$2:$M$8,$N$2:$N$8)-SUMPRODUCT($M$10:$M$12,$N$10:$N$12)</f>
        <v>-120000</v>
      </c>
      <c r="BN1610" s="34" t="e">
        <f t="shared" ref="BN1610" si="6957">IF(BK1610&lt;&gt;BK1611,MMULT(MINVERSE(BK1610:BL1611),BM1610:BM1611)," ")</f>
        <v>#NUM!</v>
      </c>
      <c r="BO1610" s="34" t="str">
        <f t="shared" ref="BO1610" si="6958">IFERROR(IF(BN1610-VLOOKUP(BK$38,$A$2:$N$12,14,FALSE)&lt;0,BN1610-VLOOKUP(BK$38,$A$2:$N$12,14,FALSE)," ")," ")</f>
        <v xml:space="preserve"> </v>
      </c>
      <c r="BP1610" s="34" t="str">
        <f t="shared" ref="BP1610" si="6959">IFERROR(IF(BN1610-VLOOKUP(BK$38,$A$2:$N$12,14,FALSE)&gt;0,BN1610-VLOOKUP(BK$38,$A$2:$N$12,14,FALSE)," ")," ")</f>
        <v xml:space="preserve"> </v>
      </c>
      <c r="BQ1610" s="34">
        <f t="shared" ref="BQ1610" si="6960">$M$10</f>
        <v>0</v>
      </c>
      <c r="BR1610" s="34">
        <v>-1</v>
      </c>
      <c r="BS1610" s="34">
        <f t="shared" ref="BS1610" si="6961">-SUMPRODUCT($M$2:$M$9,$N$2:$N$9)-SUMPRODUCT($M$11:$M$12,$N$11:$N$12)</f>
        <v>-120000</v>
      </c>
      <c r="BT1610" s="34" t="e">
        <f t="shared" ref="BT1610" si="6962">IF(BQ1610&lt;&gt;BQ1611,MMULT(MINVERSE(BQ1610:BR1611),BS1610:BS1611)," ")</f>
        <v>#NUM!</v>
      </c>
      <c r="BU1610" s="34" t="str">
        <f t="shared" ref="BU1610" si="6963">IFERROR(IF(BT1610-VLOOKUP(BQ$38,$A$2:$N$12,14,FALSE)&lt;0,BT1610-VLOOKUP(BQ$38,$A$2:$N$12,14,FALSE)," ")," ")</f>
        <v xml:space="preserve"> </v>
      </c>
      <c r="BV1610" s="34" t="str">
        <f t="shared" ref="BV1610" si="6964">IFERROR(IF(BT1610-VLOOKUP(BQ$38,$A$2:$N$12,14,FALSE)&gt;0,BT1610-VLOOKUP(BQ$38,$A$2:$N$12,14,FALSE)," ")," ")</f>
        <v xml:space="preserve"> </v>
      </c>
      <c r="BW1610" s="34">
        <f t="shared" ref="BW1610" si="6965">$M$11</f>
        <v>0</v>
      </c>
      <c r="BX1610" s="34">
        <v>-1</v>
      </c>
      <c r="BY1610" s="34">
        <f t="shared" ref="BY1610" si="6966">-SUMPRODUCT($M$2:$M$10,$N$2:$N$10)-SUMPRODUCT($M$12,$N$12)</f>
        <v>-120000</v>
      </c>
      <c r="BZ1610" s="34" t="e">
        <f t="shared" ref="BZ1610" si="6967">IF(BW1610&lt;&gt;BW1611,MMULT(MINVERSE(BW1610:BX1611),BY1610:BY1611)," ")</f>
        <v>#NUM!</v>
      </c>
      <c r="CA1610" s="34" t="str">
        <f t="shared" ref="CA1610" si="6968">IFERROR(IF(BZ1610-VLOOKUP(BW$38,$A$2:$N$12,14,FALSE)&lt;0,BZ1610-VLOOKUP(BW$38,$A$2:$N$12,14,FALSE)," ")," ")</f>
        <v xml:space="preserve"> </v>
      </c>
      <c r="CB1610" s="34" t="str">
        <f t="shared" ref="CB1610" si="6969">IFERROR(IF(BZ1610-VLOOKUP(BW$38,$A$2:$N$12,14,FALSE)&gt;0,BZ1610-VLOOKUP(BW$38,$A$2:$N$12,14,FALSE)," ")," ")</f>
        <v xml:space="preserve"> </v>
      </c>
      <c r="CC1610" s="34">
        <f t="shared" ref="CC1610" si="6970">$M$12</f>
        <v>0</v>
      </c>
      <c r="CD1610" s="34">
        <v>-1</v>
      </c>
      <c r="CE1610" s="34">
        <f t="shared" ref="CE1610" si="6971">-SUMPRODUCT($M$2:$M$11,$N$2:$N$11)</f>
        <v>-120000</v>
      </c>
      <c r="CF1610" s="34" t="e">
        <f t="shared" ref="CF1610" si="6972">IF(CC1610&lt;&gt;CC1611,MMULT(MINVERSE(CC1610:CD1611),CE1610:CE1611)," ")</f>
        <v>#NUM!</v>
      </c>
      <c r="CG1610" s="34" t="str">
        <f t="shared" ref="CG1610" si="6973">IFERROR(IF(CF1610-VLOOKUP(CC$38,$A$2:$N$12,14,FALSE)&lt;0,CF1610-VLOOKUP(CC$38,$A$2:$N$12,14,FALSE)," ")," ")</f>
        <v xml:space="preserve"> </v>
      </c>
      <c r="CH1610" s="34" t="str">
        <f t="shared" ref="CH1610" si="6974">IFERROR(IF(CF1610-VLOOKUP(CC$38,$A$2:$N$12,14,FALSE)&gt;0,CF1610-VLOOKUP(CC$38,$A$2:$N$12,14,FALSE)," ")," ")</f>
        <v xml:space="preserve"> </v>
      </c>
      <c r="CI1610" s="8"/>
    </row>
    <row r="1611" spans="1:87" x14ac:dyDescent="0.2">
      <c r="A1611" s="8" t="str">
        <f>IF(AND(COUNTIF(W$3:W$13,A$16)&gt;0,A$16&lt;&gt;B1562),A$16,IFERROR(IF(MATCH(A$16,Z$3:Z$13,0)=3,A$16," ")," "))</f>
        <v xml:space="preserve"> </v>
      </c>
      <c r="B1611" s="8" t="str">
        <f>IF(A1611=" "," ",MAX(B1610:B1610)+1)</f>
        <v xml:space="preserve"> </v>
      </c>
      <c r="C1611" s="8" t="str">
        <f>IFERROR(INDEX(A1610:A1631,MATCH(SMALL(B1610:B1631,2),B1610:B1631,0),1)," ")</f>
        <v>C4</v>
      </c>
      <c r="D1611" s="8">
        <f t="shared" ref="D1611:D1620" si="6975">IFERROR(VLOOKUP($C1611,$A$15:$O$36,2,FALSE)," ")</f>
        <v>1</v>
      </c>
      <c r="E1611" s="8">
        <f t="shared" ref="E1611:E1620" si="6976">IFERROR(VLOOKUP($C1611,$A$15:$O$36,3,FALSE)," ")</f>
        <v>0</v>
      </c>
      <c r="F1611" s="8">
        <f t="shared" ref="F1611:F1620" si="6977">IFERROR(VLOOKUP($C1611,$A$15:$O$36,4,FALSE)," ")</f>
        <v>1</v>
      </c>
      <c r="G1611" s="8">
        <f t="shared" ref="G1611:G1620" si="6978">IFERROR(VLOOKUP($C1611,$A$15:$O$36,5,FALSE)," ")</f>
        <v>0</v>
      </c>
      <c r="H1611" s="8">
        <f t="shared" ref="H1611:H1620" si="6979">IFERROR(VLOOKUP($C1611,$A$15:$O$36,6,FALSE)," ")</f>
        <v>0</v>
      </c>
      <c r="I1611" s="8">
        <f t="shared" ref="I1611:I1620" si="6980">IFERROR(VLOOKUP($C1611,$A$15:$O$36,7,FALSE)," ")</f>
        <v>0</v>
      </c>
      <c r="J1611" s="8">
        <f t="shared" ref="J1611:J1620" si="6981">IFERROR(VLOOKUP($C1611,$A$15:$O$36,8,FALSE)," ")</f>
        <v>0</v>
      </c>
      <c r="K1611" s="8">
        <f t="shared" ref="K1611:K1620" si="6982">IFERROR(VLOOKUP($C1611,$A$15:$O$36,9,FALSE)," ")</f>
        <v>0</v>
      </c>
      <c r="L1611" s="8">
        <f t="shared" ref="L1611:L1620" si="6983">IFERROR(VLOOKUP($C1611,$A$15:$O$36,10,FALSE)," ")</f>
        <v>0</v>
      </c>
      <c r="M1611" s="8">
        <f t="shared" ref="M1611:M1620" si="6984">IFERROR(VLOOKUP($C1611,$A$15:$O$36,11,FALSE)," ")</f>
        <v>0</v>
      </c>
      <c r="N1611" s="8">
        <f t="shared" ref="N1611:N1620" si="6985">IFERROR(VLOOKUP($C1611,$A$15:$O$36,12,FALSE)," ")</f>
        <v>0</v>
      </c>
      <c r="O1611" s="8">
        <f t="shared" ref="O1611:O1620" si="6986">IFERROR(VLOOKUP($C1611,$A$15:$O$36,15,FALSE)," ")</f>
        <v>400</v>
      </c>
      <c r="P1611" s="8" t="e">
        <v>#NUM!</v>
      </c>
      <c r="Q1611" s="8" t="e">
        <f t="shared" ref="Q1611" si="6987">IF(COUNTIF(P1610:P1620,"&lt;"&amp;-0.001)=0,IF(ABS(P1611)&lt;0.001,0,P1611)," ")</f>
        <v>#NUM!</v>
      </c>
      <c r="R1611" s="8"/>
      <c r="S1611" s="8"/>
      <c r="U1611" s="34" t="e">
        <f t="shared" ref="U1611" si="6988">$Q1610</f>
        <v>#NUM!</v>
      </c>
      <c r="V1611" s="34">
        <v>-1</v>
      </c>
      <c r="W1611" s="34" t="e">
        <f t="shared" ref="W1611" si="6989">-SUMPRODUCT($Q1611:$Q1620,$N$3:$N$12)</f>
        <v>#NUM!</v>
      </c>
      <c r="X1611" s="34"/>
      <c r="Y1611" s="34"/>
      <c r="Z1611" s="34"/>
      <c r="AA1611" s="34" t="e">
        <f t="shared" ref="AA1611" si="6990">$Q1611</f>
        <v>#NUM!</v>
      </c>
      <c r="AB1611" s="34">
        <v>-1</v>
      </c>
      <c r="AC1611" s="34" t="e">
        <f t="shared" ref="AC1611" si="6991">-SUMPRODUCT($Q1610:$Q1610,$N$2:$N$2)-SUMPRODUCT($Q1612:$Q1620,$N$4:$N$12)</f>
        <v>#NUM!</v>
      </c>
      <c r="AD1611" s="34"/>
      <c r="AE1611" s="34"/>
      <c r="AF1611" s="34"/>
      <c r="AG1611" s="34" t="e">
        <f t="shared" ref="AG1611" si="6992">$Q1612</f>
        <v>#NUM!</v>
      </c>
      <c r="AH1611" s="34">
        <v>-1</v>
      </c>
      <c r="AI1611" s="34" t="e">
        <f t="shared" ref="AI1611" si="6993">-SUMPRODUCT($Q1610:$Q1611,$N$2:$N$3)-SUMPRODUCT($Q1613:$Q1620,$N$5:$N$12)</f>
        <v>#NUM!</v>
      </c>
      <c r="AJ1611" s="34"/>
      <c r="AK1611" s="34"/>
      <c r="AL1611" s="34"/>
      <c r="AM1611" s="34" t="e">
        <f t="shared" ref="AM1611" si="6994">$Q1613</f>
        <v>#NUM!</v>
      </c>
      <c r="AN1611" s="34">
        <v>-1</v>
      </c>
      <c r="AO1611" s="34" t="e">
        <f t="shared" ref="AO1611" si="6995">-SUMPRODUCT($Q1610:$Q1612,$N$2:$N$4)-SUMPRODUCT($Q1614:$Q1620,$N$6:$N$12)</f>
        <v>#NUM!</v>
      </c>
      <c r="AP1611" s="34"/>
      <c r="AQ1611" s="34"/>
      <c r="AR1611" s="34"/>
      <c r="AS1611" s="34" t="e">
        <f t="shared" ref="AS1611" si="6996">$Q1614</f>
        <v>#NUM!</v>
      </c>
      <c r="AT1611" s="34">
        <v>-1</v>
      </c>
      <c r="AU1611" s="34" t="e">
        <f t="shared" ref="AU1611" si="6997">-SUMPRODUCT($Q1610:$Q1613,$N$2:$N$5)-SUMPRODUCT($Q1615:$Q1620,$N$7:$N$12)</f>
        <v>#NUM!</v>
      </c>
      <c r="AV1611" s="34"/>
      <c r="AW1611" s="34"/>
      <c r="AX1611" s="34"/>
      <c r="AY1611" s="34" t="e">
        <f t="shared" ref="AY1611" si="6998">$Q1615</f>
        <v>#NUM!</v>
      </c>
      <c r="AZ1611" s="34">
        <v>-1</v>
      </c>
      <c r="BA1611" s="34" t="e">
        <f t="shared" ref="BA1611" si="6999">-SUMPRODUCT($Q1610:$Q1614,$N$2:$N$6)-SUMPRODUCT($Q1616:$Q1620,$N$8:$N$12)</f>
        <v>#NUM!</v>
      </c>
      <c r="BB1611" s="34"/>
      <c r="BC1611" s="34"/>
      <c r="BD1611" s="34"/>
      <c r="BE1611" s="34" t="e">
        <f t="shared" ref="BE1611" si="7000">$Q1616</f>
        <v>#NUM!</v>
      </c>
      <c r="BF1611" s="34">
        <v>-1</v>
      </c>
      <c r="BG1611" s="34" t="e">
        <f t="shared" ref="BG1611" si="7001">-SUMPRODUCT($Q1610:$Q1615,$N$2:$N$7)-SUMPRODUCT($Q1617:$Q1620,$N$9:$N$12)</f>
        <v>#NUM!</v>
      </c>
      <c r="BH1611" s="34"/>
      <c r="BI1611" s="34"/>
      <c r="BJ1611" s="34"/>
      <c r="BK1611" s="34" t="e">
        <f t="shared" ref="BK1611" si="7002">$Q1617</f>
        <v>#NUM!</v>
      </c>
      <c r="BL1611" s="34">
        <v>-1</v>
      </c>
      <c r="BM1611" s="34" t="e">
        <f t="shared" ref="BM1611" si="7003">-SUMPRODUCT($Q1610:$Q1616,$N$2:$N$8)-SUMPRODUCT($Q1618:$Q1620,$N$10:$N$12)</f>
        <v>#NUM!</v>
      </c>
      <c r="BN1611" s="34"/>
      <c r="BO1611" s="34"/>
      <c r="BP1611" s="34"/>
      <c r="BQ1611" s="34" t="e">
        <f t="shared" ref="BQ1611" si="7004">$Q1618</f>
        <v>#NUM!</v>
      </c>
      <c r="BR1611" s="34">
        <v>-1</v>
      </c>
      <c r="BS1611" s="34" t="e">
        <f t="shared" ref="BS1611" si="7005">-SUMPRODUCT($Q1610:$Q1617,$N$2:$N$9)-SUMPRODUCT($Q1619:$Q1620,$N$11:$N$12)</f>
        <v>#NUM!</v>
      </c>
      <c r="BT1611" s="34"/>
      <c r="BU1611" s="34"/>
      <c r="BV1611" s="34"/>
      <c r="BW1611" s="34" t="e">
        <f t="shared" ref="BW1611" si="7006">$Q1619</f>
        <v>#NUM!</v>
      </c>
      <c r="BX1611" s="34">
        <v>-1</v>
      </c>
      <c r="BY1611" s="34" t="e">
        <f t="shared" ref="BY1611" si="7007">-SUMPRODUCT($Q1610:$Q1618,$N$2:$N$10)-SUMPRODUCT($Q1620,$N$12)</f>
        <v>#NUM!</v>
      </c>
      <c r="BZ1611" s="34"/>
      <c r="CA1611" s="34"/>
      <c r="CB1611" s="34"/>
      <c r="CC1611" s="34" t="e">
        <f t="shared" ref="CC1611" si="7008">$Q1620</f>
        <v>#NUM!</v>
      </c>
      <c r="CD1611" s="34">
        <v>-1</v>
      </c>
      <c r="CE1611" s="34" t="e">
        <f t="shared" ref="CE1611" si="7009">-SUMPRODUCT($Q1610:$Q1619,$N$2:$N$11)</f>
        <v>#NUM!</v>
      </c>
      <c r="CF1611" s="34"/>
      <c r="CG1611" s="34"/>
      <c r="CH1611" s="34"/>
      <c r="CI1611" s="8"/>
    </row>
    <row r="1612" spans="1:87" x14ac:dyDescent="0.2">
      <c r="A1612" s="8" t="str">
        <f>IF(AND(COUNTIF(W$3:W$13,A$17)&gt;0,A$17&lt;&gt;B1562),A$17,IFERROR(IF(MATCH(A$17,Z$3:Z$13,0)=3,A$17," ")," "))</f>
        <v>C3</v>
      </c>
      <c r="B1612" s="8">
        <f>IF(A1612=" "," ",MAX(B1610:B1611)+1)</f>
        <v>1</v>
      </c>
      <c r="C1612" s="8" t="str">
        <f>IFERROR(INDEX(A1610:A1631,MATCH(SMALL(B1610:B1631,3),B1610:B1631,0),1)," ")</f>
        <v>C5</v>
      </c>
      <c r="D1612" s="8">
        <f t="shared" si="6975"/>
        <v>0</v>
      </c>
      <c r="E1612" s="8">
        <f t="shared" si="6976"/>
        <v>0</v>
      </c>
      <c r="F1612" s="8">
        <f t="shared" si="6977"/>
        <v>0</v>
      </c>
      <c r="G1612" s="8">
        <f t="shared" si="6978"/>
        <v>0</v>
      </c>
      <c r="H1612" s="8">
        <f t="shared" si="6979"/>
        <v>0</v>
      </c>
      <c r="I1612" s="8">
        <f t="shared" si="6980"/>
        <v>0</v>
      </c>
      <c r="J1612" s="8">
        <f t="shared" si="6981"/>
        <v>0</v>
      </c>
      <c r="K1612" s="8">
        <f t="shared" si="6982"/>
        <v>0</v>
      </c>
      <c r="L1612" s="8">
        <f t="shared" si="6983"/>
        <v>0</v>
      </c>
      <c r="M1612" s="8">
        <f t="shared" si="6984"/>
        <v>0</v>
      </c>
      <c r="N1612" s="8">
        <f t="shared" si="6985"/>
        <v>0</v>
      </c>
      <c r="O1612" s="8">
        <f t="shared" si="6986"/>
        <v>0</v>
      </c>
      <c r="P1612" s="8" t="e">
        <v>#NUM!</v>
      </c>
      <c r="Q1612" s="8" t="e">
        <f t="shared" ref="Q1612" si="7010">IF(COUNTIF(P1610:P1620,"&lt;"&amp;-0.001)=0,IF(ABS(P1612)&lt;0.001,0,P1612)," ")</f>
        <v>#NUM!</v>
      </c>
      <c r="R1612" s="8"/>
      <c r="S1612" s="8"/>
      <c r="U1612" s="34"/>
      <c r="V1612" s="34"/>
      <c r="W1612" s="34"/>
      <c r="X1612" s="34"/>
      <c r="Y1612" s="34"/>
      <c r="Z1612" s="34"/>
      <c r="AA1612" s="34"/>
      <c r="AB1612" s="34"/>
      <c r="AC1612" s="34"/>
      <c r="AD1612" s="34"/>
      <c r="AE1612" s="34"/>
      <c r="AF1612" s="34"/>
      <c r="AG1612" s="34"/>
      <c r="AH1612" s="34"/>
      <c r="AI1612" s="34"/>
      <c r="AJ1612" s="34"/>
      <c r="AK1612" s="34"/>
      <c r="AL1612" s="34"/>
      <c r="AM1612" s="34"/>
      <c r="AN1612" s="34"/>
      <c r="AO1612" s="34"/>
      <c r="AP1612" s="34"/>
      <c r="AQ1612" s="34"/>
      <c r="AR1612" s="34"/>
      <c r="AS1612" s="34"/>
      <c r="AT1612" s="34"/>
      <c r="AU1612" s="34"/>
      <c r="AV1612" s="34"/>
      <c r="AW1612" s="34"/>
      <c r="AX1612" s="34"/>
      <c r="AY1612" s="34"/>
      <c r="AZ1612" s="34"/>
      <c r="BA1612" s="34"/>
      <c r="BB1612" s="34"/>
      <c r="BC1612" s="34"/>
      <c r="BD1612" s="34"/>
      <c r="BE1612" s="34"/>
      <c r="BF1612" s="34"/>
      <c r="BG1612" s="34"/>
      <c r="BH1612" s="34"/>
      <c r="BI1612" s="34"/>
      <c r="BJ1612" s="34"/>
      <c r="BK1612" s="34"/>
      <c r="BL1612" s="34"/>
      <c r="BM1612" s="34"/>
      <c r="BN1612" s="34"/>
      <c r="BO1612" s="34"/>
      <c r="BP1612" s="34"/>
      <c r="BQ1612" s="34"/>
      <c r="BR1612" s="34"/>
      <c r="BS1612" s="34"/>
      <c r="BT1612" s="34"/>
      <c r="BU1612" s="34"/>
      <c r="BV1612" s="34"/>
      <c r="BW1612" s="34"/>
      <c r="BX1612" s="34"/>
      <c r="BY1612" s="34"/>
      <c r="BZ1612" s="34"/>
      <c r="CA1612" s="34"/>
      <c r="CB1612" s="34"/>
      <c r="CC1612" s="34"/>
      <c r="CD1612" s="34"/>
      <c r="CE1612" s="34"/>
      <c r="CF1612" s="34"/>
      <c r="CG1612" s="34"/>
      <c r="CH1612" s="34"/>
      <c r="CI1612" s="8"/>
    </row>
    <row r="1613" spans="1:87" x14ac:dyDescent="0.2">
      <c r="A1613" s="8" t="str">
        <f>IF(AND(COUNTIF(W$3:W$13,A$18)&gt;0,A$18&lt;&gt;B1562),A$18,IFERROR(IF(MATCH(A$18,Z$3:Z$13,0)=3,A$18," ")," "))</f>
        <v>C4</v>
      </c>
      <c r="B1613" s="8">
        <f>IF(A1613=" "," ",MAX(B1610:B1612)+1)</f>
        <v>2</v>
      </c>
      <c r="C1613" s="8" t="str">
        <f>IFERROR(INDEX(A1610:A1631,MATCH(SMALL(B1610:B1631,4),B1610:B1631,0),1)," ")</f>
        <v>C13</v>
      </c>
      <c r="D1613" s="8">
        <f t="shared" si="6975"/>
        <v>0</v>
      </c>
      <c r="E1613" s="8">
        <f t="shared" si="6976"/>
        <v>1</v>
      </c>
      <c r="F1613" s="8">
        <f t="shared" si="6977"/>
        <v>0</v>
      </c>
      <c r="G1613" s="8">
        <f t="shared" si="6978"/>
        <v>0</v>
      </c>
      <c r="H1613" s="8">
        <f t="shared" si="6979"/>
        <v>0</v>
      </c>
      <c r="I1613" s="8">
        <f t="shared" si="6980"/>
        <v>0</v>
      </c>
      <c r="J1613" s="8">
        <f t="shared" si="6981"/>
        <v>0</v>
      </c>
      <c r="K1613" s="8">
        <f t="shared" si="6982"/>
        <v>0</v>
      </c>
      <c r="L1613" s="8">
        <f t="shared" si="6983"/>
        <v>0</v>
      </c>
      <c r="M1613" s="8">
        <f t="shared" si="6984"/>
        <v>0</v>
      </c>
      <c r="N1613" s="8">
        <f t="shared" si="6985"/>
        <v>0</v>
      </c>
      <c r="O1613" s="8">
        <f t="shared" si="6986"/>
        <v>0</v>
      </c>
      <c r="P1613" s="8" t="e">
        <v>#NUM!</v>
      </c>
      <c r="Q1613" s="8" t="e">
        <f t="shared" ref="Q1613" si="7011">IF(COUNTIF(P1610:P1620,"&lt;"&amp;-0.001)=0,IF(ABS(P1613)&lt;0.001,0,P1613)," ")</f>
        <v>#NUM!</v>
      </c>
      <c r="R1613" s="8"/>
      <c r="S1613" s="8"/>
      <c r="U1613" s="34"/>
      <c r="V1613" s="34"/>
      <c r="W1613" s="34"/>
      <c r="X1613" s="34"/>
      <c r="Y1613" s="34"/>
      <c r="Z1613" s="34"/>
      <c r="AA1613" s="34"/>
      <c r="AB1613" s="34"/>
      <c r="AC1613" s="34"/>
      <c r="AD1613" s="34"/>
      <c r="AE1613" s="34"/>
      <c r="AF1613" s="34"/>
      <c r="AG1613" s="34"/>
      <c r="AH1613" s="34"/>
      <c r="AI1613" s="34"/>
      <c r="AJ1613" s="34"/>
      <c r="AK1613" s="34"/>
      <c r="AL1613" s="34"/>
      <c r="AM1613" s="34"/>
      <c r="AN1613" s="34"/>
      <c r="AO1613" s="34"/>
      <c r="AP1613" s="34"/>
      <c r="AQ1613" s="34"/>
      <c r="AR1613" s="34"/>
      <c r="AS1613" s="34"/>
      <c r="AT1613" s="34"/>
      <c r="AU1613" s="34"/>
      <c r="AV1613" s="34"/>
      <c r="AW1613" s="34"/>
      <c r="AX1613" s="34"/>
      <c r="AY1613" s="34"/>
      <c r="AZ1613" s="34"/>
      <c r="BA1613" s="34"/>
      <c r="BB1613" s="34"/>
      <c r="BC1613" s="34"/>
      <c r="BD1613" s="34"/>
      <c r="BE1613" s="34"/>
      <c r="BF1613" s="34"/>
      <c r="BG1613" s="34"/>
      <c r="BH1613" s="34"/>
      <c r="BI1613" s="34"/>
      <c r="BJ1613" s="34"/>
      <c r="BK1613" s="34"/>
      <c r="BL1613" s="34"/>
      <c r="BM1613" s="34"/>
      <c r="BN1613" s="34"/>
      <c r="BO1613" s="34"/>
      <c r="BP1613" s="34"/>
      <c r="BQ1613" s="34"/>
      <c r="BR1613" s="34"/>
      <c r="BS1613" s="34"/>
      <c r="BT1613" s="34"/>
      <c r="BU1613" s="34"/>
      <c r="BV1613" s="34"/>
      <c r="BW1613" s="34"/>
      <c r="BX1613" s="34"/>
      <c r="BY1613" s="34"/>
      <c r="BZ1613" s="34"/>
      <c r="CA1613" s="34"/>
      <c r="CB1613" s="34"/>
      <c r="CC1613" s="34"/>
      <c r="CD1613" s="34"/>
      <c r="CE1613" s="34"/>
      <c r="CF1613" s="34"/>
      <c r="CG1613" s="34"/>
      <c r="CH1613" s="34"/>
      <c r="CI1613" s="8"/>
    </row>
    <row r="1614" spans="1:87" x14ac:dyDescent="0.2">
      <c r="A1614" s="8" t="str">
        <f>IF(AND(COUNTIF(W$3:W$13,A$19)&gt;0,A$19&lt;&gt;B1562),A$19,IFERROR(IF(MATCH(A$19,Z$3:Z$13,0)=3,A$19," ")," "))</f>
        <v>C5</v>
      </c>
      <c r="B1614" s="8">
        <f>IF(A1614=" "," ",MAX(B1610:B1613)+1)</f>
        <v>3</v>
      </c>
      <c r="C1614" s="8" t="str">
        <f>IFERROR(INDEX(A1610:A1631,MATCH(SMALL(B1610:B1631,5),B1610:B1631,0),1)," ")</f>
        <v>C15</v>
      </c>
      <c r="D1614" s="8">
        <f t="shared" si="6975"/>
        <v>0</v>
      </c>
      <c r="E1614" s="8">
        <f t="shared" si="6976"/>
        <v>0</v>
      </c>
      <c r="F1614" s="8">
        <f t="shared" si="6977"/>
        <v>0</v>
      </c>
      <c r="G1614" s="8">
        <f t="shared" si="6978"/>
        <v>1</v>
      </c>
      <c r="H1614" s="8">
        <f t="shared" si="6979"/>
        <v>0</v>
      </c>
      <c r="I1614" s="8">
        <f t="shared" si="6980"/>
        <v>0</v>
      </c>
      <c r="J1614" s="8">
        <f t="shared" si="6981"/>
        <v>0</v>
      </c>
      <c r="K1614" s="8">
        <f t="shared" si="6982"/>
        <v>0</v>
      </c>
      <c r="L1614" s="8">
        <f t="shared" si="6983"/>
        <v>0</v>
      </c>
      <c r="M1614" s="8">
        <f t="shared" si="6984"/>
        <v>0</v>
      </c>
      <c r="N1614" s="8">
        <f t="shared" si="6985"/>
        <v>0</v>
      </c>
      <c r="O1614" s="8">
        <f t="shared" si="6986"/>
        <v>0</v>
      </c>
      <c r="P1614" s="8" t="e">
        <v>#NUM!</v>
      </c>
      <c r="Q1614" s="8" t="e">
        <f t="shared" ref="Q1614" si="7012">IF(COUNTIF(P1610:P1620,"&lt;"&amp;-0.001)=0,IF(ABS(P1614)&lt;0.001,0,P1614)," ")</f>
        <v>#NUM!</v>
      </c>
      <c r="R1614" s="8"/>
      <c r="S1614" s="8"/>
      <c r="U1614" s="34"/>
      <c r="V1614" s="34"/>
      <c r="W1614" s="34"/>
      <c r="X1614" s="34"/>
      <c r="Y1614" s="34"/>
      <c r="Z1614" s="34"/>
      <c r="AA1614" s="34"/>
      <c r="AB1614" s="34"/>
      <c r="AC1614" s="34"/>
      <c r="AD1614" s="34"/>
      <c r="AE1614" s="34"/>
      <c r="AF1614" s="34"/>
      <c r="AG1614" s="34"/>
      <c r="AH1614" s="34"/>
      <c r="AI1614" s="34"/>
      <c r="AJ1614" s="34"/>
      <c r="AK1614" s="34"/>
      <c r="AL1614" s="34"/>
      <c r="AM1614" s="34"/>
      <c r="AN1614" s="34"/>
      <c r="AO1614" s="34"/>
      <c r="AP1614" s="34"/>
      <c r="AQ1614" s="34"/>
      <c r="AR1614" s="34"/>
      <c r="AS1614" s="34"/>
      <c r="AT1614" s="34"/>
      <c r="AU1614" s="34"/>
      <c r="AV1614" s="34"/>
      <c r="AW1614" s="34"/>
      <c r="AX1614" s="34"/>
      <c r="AY1614" s="34"/>
      <c r="AZ1614" s="34"/>
      <c r="BA1614" s="34"/>
      <c r="BB1614" s="34"/>
      <c r="BC1614" s="34"/>
      <c r="BD1614" s="34"/>
      <c r="BE1614" s="34"/>
      <c r="BF1614" s="34"/>
      <c r="BG1614" s="34"/>
      <c r="BH1614" s="34"/>
      <c r="BI1614" s="34"/>
      <c r="BJ1614" s="34"/>
      <c r="BK1614" s="34"/>
      <c r="BL1614" s="34"/>
      <c r="BM1614" s="34"/>
      <c r="BN1614" s="34"/>
      <c r="BO1614" s="34"/>
      <c r="BP1614" s="34"/>
      <c r="BQ1614" s="34"/>
      <c r="BR1614" s="34"/>
      <c r="BS1614" s="34"/>
      <c r="BT1614" s="34"/>
      <c r="BU1614" s="34"/>
      <c r="BV1614" s="34"/>
      <c r="BW1614" s="34"/>
      <c r="BX1614" s="34"/>
      <c r="BY1614" s="34"/>
      <c r="BZ1614" s="34"/>
      <c r="CA1614" s="34"/>
      <c r="CB1614" s="34"/>
      <c r="CC1614" s="34"/>
      <c r="CD1614" s="34"/>
      <c r="CE1614" s="34"/>
      <c r="CF1614" s="34"/>
      <c r="CG1614" s="34"/>
      <c r="CH1614" s="34"/>
      <c r="CI1614" s="8"/>
    </row>
    <row r="1615" spans="1:87" x14ac:dyDescent="0.2">
      <c r="A1615" s="8" t="str">
        <f>IF(AND(COUNTIF(W$3:W$13,A$20)&gt;0,A$20&lt;&gt;B1562),A$20,IFERROR(IF(MATCH(A$20,Z$3:Z$13,0)=3,A$20," ")," "))</f>
        <v xml:space="preserve"> </v>
      </c>
      <c r="B1615" s="8" t="str">
        <f>IF(A1615=" "," ",MAX(B1610:B1614)+1)</f>
        <v xml:space="preserve"> </v>
      </c>
      <c r="C1615" s="8" t="str">
        <f>IFERROR(INDEX(A1610:A1631,MATCH(SMALL(B1610:B1631,6),B1610:B1631,0),1)," ")</f>
        <v>C16</v>
      </c>
      <c r="D1615" s="8">
        <f t="shared" si="6975"/>
        <v>0</v>
      </c>
      <c r="E1615" s="8">
        <f t="shared" si="6976"/>
        <v>0</v>
      </c>
      <c r="F1615" s="8">
        <f t="shared" si="6977"/>
        <v>0</v>
      </c>
      <c r="G1615" s="8">
        <f t="shared" si="6978"/>
        <v>0</v>
      </c>
      <c r="H1615" s="8">
        <f t="shared" si="6979"/>
        <v>1</v>
      </c>
      <c r="I1615" s="8">
        <f t="shared" si="6980"/>
        <v>0</v>
      </c>
      <c r="J1615" s="8">
        <f t="shared" si="6981"/>
        <v>0</v>
      </c>
      <c r="K1615" s="8">
        <f t="shared" si="6982"/>
        <v>0</v>
      </c>
      <c r="L1615" s="8">
        <f t="shared" si="6983"/>
        <v>0</v>
      </c>
      <c r="M1615" s="8">
        <f t="shared" si="6984"/>
        <v>0</v>
      </c>
      <c r="N1615" s="8">
        <f t="shared" si="6985"/>
        <v>0</v>
      </c>
      <c r="O1615" s="8">
        <f t="shared" si="6986"/>
        <v>0</v>
      </c>
      <c r="P1615" s="8" t="e">
        <v>#NUM!</v>
      </c>
      <c r="Q1615" s="8" t="e">
        <f t="shared" ref="Q1615" si="7013">IF(COUNTIF(P1610:P1620,"&lt;"&amp;-0.001)=0,IF(ABS(P1615)&lt;0.001,0,P1615)," ")</f>
        <v>#NUM!</v>
      </c>
      <c r="R1615" s="8"/>
      <c r="S1615" s="8"/>
      <c r="U1615" s="34"/>
      <c r="V1615" s="34"/>
      <c r="W1615" s="34"/>
      <c r="X1615" s="34"/>
      <c r="Y1615" s="34"/>
      <c r="Z1615" s="34"/>
      <c r="AA1615" s="34"/>
      <c r="AB1615" s="34"/>
      <c r="AC1615" s="34"/>
      <c r="AD1615" s="34"/>
      <c r="AE1615" s="34"/>
      <c r="AF1615" s="34"/>
      <c r="AG1615" s="34"/>
      <c r="AH1615" s="34"/>
      <c r="AI1615" s="34"/>
      <c r="AJ1615" s="34"/>
      <c r="AK1615" s="34"/>
      <c r="AL1615" s="34"/>
      <c r="AM1615" s="34"/>
      <c r="AN1615" s="34"/>
      <c r="AO1615" s="34"/>
      <c r="AP1615" s="34"/>
      <c r="AQ1615" s="34"/>
      <c r="AR1615" s="34"/>
      <c r="AS1615" s="34"/>
      <c r="AT1615" s="34"/>
      <c r="AU1615" s="34"/>
      <c r="AV1615" s="34"/>
      <c r="AW1615" s="34"/>
      <c r="AX1615" s="34"/>
      <c r="AY1615" s="34"/>
      <c r="AZ1615" s="34"/>
      <c r="BA1615" s="34"/>
      <c r="BB1615" s="34"/>
      <c r="BC1615" s="34"/>
      <c r="BD1615" s="34"/>
      <c r="BE1615" s="34"/>
      <c r="BF1615" s="34"/>
      <c r="BG1615" s="34"/>
      <c r="BH1615" s="34"/>
      <c r="BI1615" s="34"/>
      <c r="BJ1615" s="34"/>
      <c r="BK1615" s="34"/>
      <c r="BL1615" s="34"/>
      <c r="BM1615" s="34"/>
      <c r="BN1615" s="34"/>
      <c r="BO1615" s="34"/>
      <c r="BP1615" s="34"/>
      <c r="BQ1615" s="34"/>
      <c r="BR1615" s="34"/>
      <c r="BS1615" s="34"/>
      <c r="BT1615" s="34"/>
      <c r="BU1615" s="34"/>
      <c r="BV1615" s="34"/>
      <c r="BW1615" s="34"/>
      <c r="BX1615" s="34"/>
      <c r="BY1615" s="34"/>
      <c r="BZ1615" s="34"/>
      <c r="CA1615" s="34"/>
      <c r="CB1615" s="34"/>
      <c r="CC1615" s="34"/>
      <c r="CD1615" s="34"/>
      <c r="CE1615" s="34"/>
      <c r="CF1615" s="34"/>
      <c r="CG1615" s="34"/>
      <c r="CH1615" s="34"/>
      <c r="CI1615" s="8"/>
    </row>
    <row r="1616" spans="1:87" x14ac:dyDescent="0.2">
      <c r="A1616" s="8" t="str">
        <f>IF(AND(COUNTIF(W$3:W$13,A$21)&gt;0,A$21&lt;&gt;B1562),A$21,IFERROR(IF(MATCH(A$21,Z$3:Z$13,0)=3,A$21," ")," "))</f>
        <v xml:space="preserve"> </v>
      </c>
      <c r="B1616" s="8" t="str">
        <f>IF(A1616=" "," ",MAX(B1610:B1615)+1)</f>
        <v xml:space="preserve"> </v>
      </c>
      <c r="C1616" s="8" t="str">
        <f>IFERROR(INDEX(A1610:A1631,MATCH(SMALL(B1610:B1631,7),B1610:B1631,0),1)," ")</f>
        <v>C17</v>
      </c>
      <c r="D1616" s="8">
        <f t="shared" si="6975"/>
        <v>0</v>
      </c>
      <c r="E1616" s="8">
        <f t="shared" si="6976"/>
        <v>0</v>
      </c>
      <c r="F1616" s="8">
        <f t="shared" si="6977"/>
        <v>0</v>
      </c>
      <c r="G1616" s="8">
        <f t="shared" si="6978"/>
        <v>0</v>
      </c>
      <c r="H1616" s="8">
        <f t="shared" si="6979"/>
        <v>0</v>
      </c>
      <c r="I1616" s="8">
        <f t="shared" si="6980"/>
        <v>1</v>
      </c>
      <c r="J1616" s="8">
        <f t="shared" si="6981"/>
        <v>0</v>
      </c>
      <c r="K1616" s="8">
        <f t="shared" si="6982"/>
        <v>0</v>
      </c>
      <c r="L1616" s="8">
        <f t="shared" si="6983"/>
        <v>0</v>
      </c>
      <c r="M1616" s="8">
        <f t="shared" si="6984"/>
        <v>0</v>
      </c>
      <c r="N1616" s="8">
        <f t="shared" si="6985"/>
        <v>0</v>
      </c>
      <c r="O1616" s="8">
        <f t="shared" si="6986"/>
        <v>0</v>
      </c>
      <c r="P1616" s="8" t="e">
        <v>#NUM!</v>
      </c>
      <c r="Q1616" s="8" t="e">
        <f t="shared" ref="Q1616" si="7014">IF(COUNTIF(P1610:P1620,"&lt;"&amp;-0.001)=0,IF(ABS(P1616)&lt;0.001,0,P1616)," ")</f>
        <v>#NUM!</v>
      </c>
      <c r="R1616" s="8"/>
      <c r="S1616" s="8"/>
      <c r="U1616" s="34"/>
      <c r="V1616" s="34"/>
      <c r="W1616" s="34"/>
      <c r="X1616" s="34"/>
      <c r="Y1616" s="34"/>
      <c r="Z1616" s="34"/>
      <c r="AA1616" s="34"/>
      <c r="AB1616" s="34"/>
      <c r="AC1616" s="34"/>
      <c r="AD1616" s="34"/>
      <c r="AE1616" s="34"/>
      <c r="AF1616" s="34"/>
      <c r="AG1616" s="34"/>
      <c r="AH1616" s="34"/>
      <c r="AI1616" s="34"/>
      <c r="AJ1616" s="34"/>
      <c r="AK1616" s="34"/>
      <c r="AL1616" s="34"/>
      <c r="AM1616" s="34"/>
      <c r="AN1616" s="34"/>
      <c r="AO1616" s="34"/>
      <c r="AP1616" s="34"/>
      <c r="AQ1616" s="34"/>
      <c r="AR1616" s="34"/>
      <c r="AS1616" s="34"/>
      <c r="AT1616" s="34"/>
      <c r="AU1616" s="34"/>
      <c r="AV1616" s="34"/>
      <c r="AW1616" s="34"/>
      <c r="AX1616" s="34"/>
      <c r="AY1616" s="34"/>
      <c r="AZ1616" s="34"/>
      <c r="BA1616" s="34"/>
      <c r="BB1616" s="34"/>
      <c r="BC1616" s="34"/>
      <c r="BD1616" s="34"/>
      <c r="BE1616" s="34"/>
      <c r="BF1616" s="34"/>
      <c r="BG1616" s="34"/>
      <c r="BH1616" s="34"/>
      <c r="BI1616" s="34"/>
      <c r="BJ1616" s="34"/>
      <c r="BK1616" s="34"/>
      <c r="BL1616" s="34"/>
      <c r="BM1616" s="34"/>
      <c r="BN1616" s="34"/>
      <c r="BO1616" s="34"/>
      <c r="BP1616" s="34"/>
      <c r="BQ1616" s="34"/>
      <c r="BR1616" s="34"/>
      <c r="BS1616" s="34"/>
      <c r="BT1616" s="34"/>
      <c r="BU1616" s="34"/>
      <c r="BV1616" s="34"/>
      <c r="BW1616" s="34"/>
      <c r="BX1616" s="34"/>
      <c r="BY1616" s="34"/>
      <c r="BZ1616" s="34"/>
      <c r="CA1616" s="34"/>
      <c r="CB1616" s="34"/>
      <c r="CC1616" s="34"/>
      <c r="CD1616" s="34"/>
      <c r="CE1616" s="34"/>
      <c r="CF1616" s="34"/>
      <c r="CG1616" s="34"/>
      <c r="CH1616" s="34"/>
      <c r="CI1616" s="8"/>
    </row>
    <row r="1617" spans="1:87" x14ac:dyDescent="0.2">
      <c r="A1617" s="8" t="str">
        <f>IF(AND(COUNTIF(W$3:W$13,A$22)&gt;0,A$22&lt;&gt;B1562),A$22,IFERROR(IF(MATCH(A$22,Z$3:Z$13,0)=3,A$22," ")," "))</f>
        <v xml:space="preserve"> </v>
      </c>
      <c r="B1617" s="8" t="str">
        <f>IF(A1617=" "," ",MAX(B1610:B1616)+1)</f>
        <v xml:space="preserve"> </v>
      </c>
      <c r="C1617" s="8" t="str">
        <f>IFERROR(INDEX(A1610:A1631,MATCH(SMALL(B1610:B1631,8),B1610:B1631,0),1)," ")</f>
        <v>C19</v>
      </c>
      <c r="D1617" s="8">
        <f t="shared" si="6975"/>
        <v>0</v>
      </c>
      <c r="E1617" s="8">
        <f t="shared" si="6976"/>
        <v>0</v>
      </c>
      <c r="F1617" s="8">
        <f t="shared" si="6977"/>
        <v>0</v>
      </c>
      <c r="G1617" s="8">
        <f t="shared" si="6978"/>
        <v>0</v>
      </c>
      <c r="H1617" s="8">
        <f t="shared" si="6979"/>
        <v>0</v>
      </c>
      <c r="I1617" s="8">
        <f t="shared" si="6980"/>
        <v>0</v>
      </c>
      <c r="J1617" s="8">
        <f t="shared" si="6981"/>
        <v>0</v>
      </c>
      <c r="K1617" s="8">
        <f t="shared" si="6982"/>
        <v>1</v>
      </c>
      <c r="L1617" s="8">
        <f t="shared" si="6983"/>
        <v>0</v>
      </c>
      <c r="M1617" s="8">
        <f t="shared" si="6984"/>
        <v>0</v>
      </c>
      <c r="N1617" s="8">
        <f t="shared" si="6985"/>
        <v>0</v>
      </c>
      <c r="O1617" s="8">
        <f t="shared" si="6986"/>
        <v>0</v>
      </c>
      <c r="P1617" s="8" t="e">
        <v>#NUM!</v>
      </c>
      <c r="Q1617" s="8" t="e">
        <f t="shared" ref="Q1617" si="7015">IF(COUNTIF(P1610:P1620,"&lt;"&amp;-0.001)=0,IF(ABS(P1617)&lt;0.001,0,P1617)," ")</f>
        <v>#NUM!</v>
      </c>
      <c r="R1617" s="8"/>
      <c r="S1617" s="8"/>
      <c r="U1617" s="34"/>
      <c r="V1617" s="34"/>
      <c r="W1617" s="34"/>
      <c r="X1617" s="34"/>
      <c r="Y1617" s="34"/>
      <c r="Z1617" s="34"/>
      <c r="AA1617" s="34"/>
      <c r="AB1617" s="34"/>
      <c r="AC1617" s="34"/>
      <c r="AD1617" s="34"/>
      <c r="AE1617" s="34"/>
      <c r="AF1617" s="34"/>
      <c r="AG1617" s="34"/>
      <c r="AH1617" s="34"/>
      <c r="AI1617" s="34"/>
      <c r="AJ1617" s="34"/>
      <c r="AK1617" s="34"/>
      <c r="AL1617" s="34"/>
      <c r="AM1617" s="34"/>
      <c r="AN1617" s="34"/>
      <c r="AO1617" s="34"/>
      <c r="AP1617" s="34"/>
      <c r="AQ1617" s="34"/>
      <c r="AR1617" s="34"/>
      <c r="AS1617" s="34"/>
      <c r="AT1617" s="34"/>
      <c r="AU1617" s="34"/>
      <c r="AV1617" s="34"/>
      <c r="AW1617" s="34"/>
      <c r="AX1617" s="34"/>
      <c r="AY1617" s="34"/>
      <c r="AZ1617" s="34"/>
      <c r="BA1617" s="34"/>
      <c r="BB1617" s="34"/>
      <c r="BC1617" s="34"/>
      <c r="BD1617" s="34"/>
      <c r="BE1617" s="34"/>
      <c r="BF1617" s="34"/>
      <c r="BG1617" s="34"/>
      <c r="BH1617" s="34"/>
      <c r="BI1617" s="34"/>
      <c r="BJ1617" s="34"/>
      <c r="BK1617" s="34"/>
      <c r="BL1617" s="34"/>
      <c r="BM1617" s="34"/>
      <c r="BN1617" s="34"/>
      <c r="BO1617" s="34"/>
      <c r="BP1617" s="34"/>
      <c r="BQ1617" s="34"/>
      <c r="BR1617" s="34"/>
      <c r="BS1617" s="34"/>
      <c r="BT1617" s="34"/>
      <c r="BU1617" s="34"/>
      <c r="BV1617" s="34"/>
      <c r="BW1617" s="34"/>
      <c r="BX1617" s="34"/>
      <c r="BY1617" s="34"/>
      <c r="BZ1617" s="34"/>
      <c r="CA1617" s="34"/>
      <c r="CB1617" s="34"/>
      <c r="CC1617" s="34"/>
      <c r="CD1617" s="34"/>
      <c r="CE1617" s="34"/>
      <c r="CF1617" s="34"/>
      <c r="CG1617" s="34"/>
      <c r="CH1617" s="34"/>
      <c r="CI1617" s="8"/>
    </row>
    <row r="1618" spans="1:87" x14ac:dyDescent="0.2">
      <c r="A1618" s="8" t="str">
        <f>IF(AND(COUNTIF(W$3:W$13,A$23)&gt;0,A$23&lt;&gt;B1562),A$23,IFERROR(IF(MATCH(A$23,Z$3:Z$13,0)=3,A$23," ")," "))</f>
        <v xml:space="preserve"> </v>
      </c>
      <c r="B1618" s="8" t="str">
        <f>IF(A1618=" "," ",MAX(B1610:B1617)+1)</f>
        <v xml:space="preserve"> </v>
      </c>
      <c r="C1618" s="8" t="str">
        <f>IFERROR(INDEX(A1610:A1631,MATCH(SMALL(B1610:B1631,9),B1610:B1631,0),1)," ")</f>
        <v>C20</v>
      </c>
      <c r="D1618" s="8">
        <f t="shared" si="6975"/>
        <v>0</v>
      </c>
      <c r="E1618" s="8">
        <f t="shared" si="6976"/>
        <v>0</v>
      </c>
      <c r="F1618" s="8">
        <f t="shared" si="6977"/>
        <v>0</v>
      </c>
      <c r="G1618" s="8">
        <f t="shared" si="6978"/>
        <v>0</v>
      </c>
      <c r="H1618" s="8">
        <f t="shared" si="6979"/>
        <v>0</v>
      </c>
      <c r="I1618" s="8">
        <f t="shared" si="6980"/>
        <v>0</v>
      </c>
      <c r="J1618" s="8">
        <f t="shared" si="6981"/>
        <v>0</v>
      </c>
      <c r="K1618" s="8">
        <f t="shared" si="6982"/>
        <v>0</v>
      </c>
      <c r="L1618" s="8">
        <f t="shared" si="6983"/>
        <v>1</v>
      </c>
      <c r="M1618" s="8">
        <f t="shared" si="6984"/>
        <v>0</v>
      </c>
      <c r="N1618" s="8">
        <f t="shared" si="6985"/>
        <v>0</v>
      </c>
      <c r="O1618" s="8">
        <f t="shared" si="6986"/>
        <v>0</v>
      </c>
      <c r="P1618" s="6" t="e">
        <v>#NUM!</v>
      </c>
      <c r="Q1618" s="8" t="e">
        <f t="shared" ref="Q1618" si="7016">IF(COUNTIF(P1610:P1620,"&lt;"&amp;-0.001)=0,IF(ABS(P1618)&lt;0.001,0,P1618)," ")</f>
        <v>#NUM!</v>
      </c>
      <c r="R1618" s="8"/>
      <c r="S1618" s="8"/>
      <c r="U1618" s="34"/>
      <c r="V1618" s="34"/>
      <c r="W1618" s="34"/>
      <c r="X1618" s="34"/>
      <c r="Y1618" s="34"/>
      <c r="Z1618" s="34"/>
      <c r="AA1618" s="34"/>
      <c r="AB1618" s="34"/>
      <c r="AC1618" s="34"/>
      <c r="AD1618" s="34"/>
      <c r="AE1618" s="34"/>
      <c r="AF1618" s="34"/>
      <c r="AG1618" s="34"/>
      <c r="AH1618" s="34"/>
      <c r="AI1618" s="34"/>
      <c r="AJ1618" s="34"/>
      <c r="AK1618" s="34"/>
      <c r="AL1618" s="34"/>
      <c r="AM1618" s="34"/>
      <c r="AN1618" s="34"/>
      <c r="AO1618" s="34"/>
      <c r="AP1618" s="34"/>
      <c r="AQ1618" s="34"/>
      <c r="AR1618" s="34"/>
      <c r="AS1618" s="34"/>
      <c r="AT1618" s="34"/>
      <c r="AU1618" s="34"/>
      <c r="AV1618" s="34"/>
      <c r="AW1618" s="34"/>
      <c r="AX1618" s="34"/>
      <c r="AY1618" s="34"/>
      <c r="AZ1618" s="34"/>
      <c r="BA1618" s="34"/>
      <c r="BB1618" s="34"/>
      <c r="BC1618" s="34"/>
      <c r="BD1618" s="34"/>
      <c r="BE1618" s="34"/>
      <c r="BF1618" s="34"/>
      <c r="BG1618" s="34"/>
      <c r="BH1618" s="34"/>
      <c r="BI1618" s="34"/>
      <c r="BJ1618" s="34"/>
      <c r="BK1618" s="34"/>
      <c r="BL1618" s="34"/>
      <c r="BM1618" s="34"/>
      <c r="BN1618" s="34"/>
      <c r="BO1618" s="34"/>
      <c r="BP1618" s="34"/>
      <c r="BQ1618" s="34"/>
      <c r="BR1618" s="34"/>
      <c r="BS1618" s="34"/>
      <c r="BT1618" s="34"/>
      <c r="BU1618" s="34"/>
      <c r="BV1618" s="34"/>
      <c r="BW1618" s="34"/>
      <c r="BX1618" s="34"/>
      <c r="BY1618" s="34"/>
      <c r="BZ1618" s="34"/>
      <c r="CA1618" s="34"/>
      <c r="CB1618" s="34"/>
      <c r="CC1618" s="34"/>
      <c r="CD1618" s="34"/>
      <c r="CE1618" s="34"/>
      <c r="CF1618" s="34"/>
      <c r="CG1618" s="34"/>
      <c r="CH1618" s="34"/>
      <c r="CI1618" s="8"/>
    </row>
    <row r="1619" spans="1:87" x14ac:dyDescent="0.2">
      <c r="A1619" s="8" t="str">
        <f>IF(AND(COUNTIF(W$3:W$13,A$24)&gt;0,A$24&lt;&gt;B1562),A$24,IFERROR(IF(MATCH(A$24,Z$3:Z$13,0)=3,A$24," ")," "))</f>
        <v xml:space="preserve"> </v>
      </c>
      <c r="B1619" s="8" t="str">
        <f>IF(A1619=" "," ",MAX(B1610:B1618)+1)</f>
        <v xml:space="preserve"> </v>
      </c>
      <c r="C1619" s="8" t="str">
        <f>IFERROR(INDEX(A1610:A1631,MATCH(SMALL(B1610:B1631,10),B1610:B1631,0),1)," ")</f>
        <v>C21</v>
      </c>
      <c r="D1619" s="8">
        <f t="shared" si="6975"/>
        <v>0</v>
      </c>
      <c r="E1619" s="8">
        <f t="shared" si="6976"/>
        <v>0</v>
      </c>
      <c r="F1619" s="8">
        <f t="shared" si="6977"/>
        <v>0</v>
      </c>
      <c r="G1619" s="8">
        <f t="shared" si="6978"/>
        <v>0</v>
      </c>
      <c r="H1619" s="8">
        <f t="shared" si="6979"/>
        <v>0</v>
      </c>
      <c r="I1619" s="8">
        <f t="shared" si="6980"/>
        <v>0</v>
      </c>
      <c r="J1619" s="8">
        <f t="shared" si="6981"/>
        <v>0</v>
      </c>
      <c r="K1619" s="8">
        <f t="shared" si="6982"/>
        <v>0</v>
      </c>
      <c r="L1619" s="8">
        <f t="shared" si="6983"/>
        <v>0</v>
      </c>
      <c r="M1619" s="8">
        <f t="shared" si="6984"/>
        <v>1</v>
      </c>
      <c r="N1619" s="8">
        <f t="shared" si="6985"/>
        <v>0</v>
      </c>
      <c r="O1619" s="8">
        <f t="shared" si="6986"/>
        <v>0</v>
      </c>
      <c r="P1619" s="8" t="e">
        <v>#NUM!</v>
      </c>
      <c r="Q1619" s="8" t="e">
        <f t="shared" ref="Q1619" si="7017">IF(COUNTIF(P1610:P1620,"&lt;"&amp;-0.001)=0,IF(ABS(P1619)&lt;0.001,0,P1619)," ")</f>
        <v>#NUM!</v>
      </c>
      <c r="R1619" s="8"/>
      <c r="S1619" s="8"/>
      <c r="U1619" s="34"/>
      <c r="V1619" s="34"/>
      <c r="W1619" s="34"/>
      <c r="X1619" s="34"/>
      <c r="Y1619" s="34"/>
      <c r="Z1619" s="34"/>
      <c r="AA1619" s="34"/>
      <c r="AB1619" s="34"/>
      <c r="AC1619" s="34"/>
      <c r="AD1619" s="34"/>
      <c r="AE1619" s="34"/>
      <c r="AF1619" s="34"/>
      <c r="AG1619" s="34"/>
      <c r="AH1619" s="34"/>
      <c r="AI1619" s="34"/>
      <c r="AJ1619" s="34"/>
      <c r="AK1619" s="34"/>
      <c r="AL1619" s="34"/>
      <c r="AM1619" s="34"/>
      <c r="AN1619" s="34"/>
      <c r="AO1619" s="34"/>
      <c r="AP1619" s="34"/>
      <c r="AQ1619" s="34"/>
      <c r="AR1619" s="34"/>
      <c r="AS1619" s="34"/>
      <c r="AT1619" s="34"/>
      <c r="AU1619" s="34"/>
      <c r="AV1619" s="34"/>
      <c r="AW1619" s="34"/>
      <c r="AX1619" s="34"/>
      <c r="AY1619" s="34"/>
      <c r="AZ1619" s="34"/>
      <c r="BA1619" s="34"/>
      <c r="BB1619" s="34"/>
      <c r="BC1619" s="34"/>
      <c r="BD1619" s="34"/>
      <c r="BE1619" s="34"/>
      <c r="BF1619" s="34"/>
      <c r="BG1619" s="34"/>
      <c r="BH1619" s="34"/>
      <c r="BI1619" s="34"/>
      <c r="BJ1619" s="34"/>
      <c r="BK1619" s="34"/>
      <c r="BL1619" s="34"/>
      <c r="BM1619" s="34"/>
      <c r="BN1619" s="34"/>
      <c r="BO1619" s="34"/>
      <c r="BP1619" s="34"/>
      <c r="BQ1619" s="34"/>
      <c r="BR1619" s="34"/>
      <c r="BS1619" s="34"/>
      <c r="BT1619" s="34"/>
      <c r="BU1619" s="34"/>
      <c r="BV1619" s="34"/>
      <c r="BW1619" s="34"/>
      <c r="BX1619" s="34"/>
      <c r="BY1619" s="34"/>
      <c r="BZ1619" s="34"/>
      <c r="CA1619" s="34"/>
      <c r="CB1619" s="34"/>
      <c r="CC1619" s="34"/>
      <c r="CD1619" s="34"/>
      <c r="CE1619" s="34"/>
      <c r="CF1619" s="34"/>
      <c r="CG1619" s="34"/>
      <c r="CH1619" s="34"/>
      <c r="CI1619" s="8"/>
    </row>
    <row r="1620" spans="1:87" x14ac:dyDescent="0.2">
      <c r="A1620" s="8" t="str">
        <f>IF(AND(COUNTIF(W$3:W$13,A$25)&gt;0,A$25&lt;&gt;B1562),A$25,IFERROR(IF(MATCH(A$25,Z$3:Z$13,0)=3,A$25," ")," "))</f>
        <v xml:space="preserve"> </v>
      </c>
      <c r="B1620" s="8" t="str">
        <f>IF(A1620=" "," ",MAX(B1610:B1619)+1)</f>
        <v xml:space="preserve"> </v>
      </c>
      <c r="C1620" s="8" t="str">
        <f>IFERROR(INDEX(A1610:A1631,MATCH(SMALL(B1610:B1631,11),B1610:B1631,0),1)," ")</f>
        <v>C22</v>
      </c>
      <c r="D1620" s="8">
        <f t="shared" si="6975"/>
        <v>0</v>
      </c>
      <c r="E1620" s="8">
        <f t="shared" si="6976"/>
        <v>0</v>
      </c>
      <c r="F1620" s="8">
        <f t="shared" si="6977"/>
        <v>0</v>
      </c>
      <c r="G1620" s="8">
        <f t="shared" si="6978"/>
        <v>0</v>
      </c>
      <c r="H1620" s="8">
        <f t="shared" si="6979"/>
        <v>0</v>
      </c>
      <c r="I1620" s="8">
        <f t="shared" si="6980"/>
        <v>0</v>
      </c>
      <c r="J1620" s="8">
        <f t="shared" si="6981"/>
        <v>0</v>
      </c>
      <c r="K1620" s="8">
        <f t="shared" si="6982"/>
        <v>0</v>
      </c>
      <c r="L1620" s="8">
        <f t="shared" si="6983"/>
        <v>0</v>
      </c>
      <c r="M1620" s="8">
        <f t="shared" si="6984"/>
        <v>0</v>
      </c>
      <c r="N1620" s="8">
        <f t="shared" si="6985"/>
        <v>1</v>
      </c>
      <c r="O1620" s="8">
        <f t="shared" si="6986"/>
        <v>0</v>
      </c>
      <c r="P1620" s="8" t="e">
        <v>#NUM!</v>
      </c>
      <c r="Q1620" s="8" t="e">
        <f t="shared" ref="Q1620" si="7018">IF(COUNTIF(P1610:P1620,"&lt;"&amp;-0.001)=0,IF(ABS(P1620)&lt;0.001,0,P1620)," ")</f>
        <v>#NUM!</v>
      </c>
      <c r="R1620" s="8"/>
      <c r="S1620" s="8"/>
      <c r="U1620" s="34"/>
      <c r="V1620" s="34"/>
      <c r="W1620" s="34"/>
      <c r="X1620" s="34"/>
      <c r="Y1620" s="34"/>
      <c r="Z1620" s="34"/>
      <c r="AA1620" s="34"/>
      <c r="AB1620" s="34"/>
      <c r="AC1620" s="34"/>
      <c r="AD1620" s="34"/>
      <c r="AE1620" s="34"/>
      <c r="AF1620" s="34"/>
      <c r="AG1620" s="34"/>
      <c r="AH1620" s="34"/>
      <c r="AI1620" s="34"/>
      <c r="AJ1620" s="34"/>
      <c r="AK1620" s="34"/>
      <c r="AL1620" s="34"/>
      <c r="AM1620" s="34"/>
      <c r="AN1620" s="34"/>
      <c r="AO1620" s="34"/>
      <c r="AP1620" s="34"/>
      <c r="AQ1620" s="34"/>
      <c r="AR1620" s="34"/>
      <c r="AS1620" s="34"/>
      <c r="AT1620" s="34"/>
      <c r="AU1620" s="34"/>
      <c r="AV1620" s="34"/>
      <c r="AW1620" s="34"/>
      <c r="AX1620" s="34"/>
      <c r="AY1620" s="34"/>
      <c r="AZ1620" s="34"/>
      <c r="BA1620" s="34"/>
      <c r="BB1620" s="34"/>
      <c r="BC1620" s="34"/>
      <c r="BD1620" s="34"/>
      <c r="BE1620" s="34"/>
      <c r="BF1620" s="34"/>
      <c r="BG1620" s="34"/>
      <c r="BH1620" s="34"/>
      <c r="BI1620" s="34"/>
      <c r="BJ1620" s="34"/>
      <c r="BK1620" s="34"/>
      <c r="BL1620" s="34"/>
      <c r="BM1620" s="34"/>
      <c r="BN1620" s="34"/>
      <c r="BO1620" s="34"/>
      <c r="BP1620" s="34"/>
      <c r="BQ1620" s="34"/>
      <c r="BR1620" s="34"/>
      <c r="BS1620" s="34"/>
      <c r="BT1620" s="34"/>
      <c r="BU1620" s="34"/>
      <c r="BV1620" s="34"/>
      <c r="BW1620" s="34"/>
      <c r="BX1620" s="34"/>
      <c r="BY1620" s="34"/>
      <c r="BZ1620" s="34"/>
      <c r="CA1620" s="34"/>
      <c r="CB1620" s="34"/>
      <c r="CC1620" s="34"/>
      <c r="CD1620" s="34"/>
      <c r="CE1620" s="34"/>
      <c r="CF1620" s="34"/>
      <c r="CG1620" s="34"/>
      <c r="CH1620" s="34"/>
      <c r="CI1620" s="8"/>
    </row>
    <row r="1621" spans="1:87" x14ac:dyDescent="0.2">
      <c r="A1621" s="8" t="str">
        <f>IF(AND(COUNTIF(W$3:W$13,A$26)&gt;0,A$26&lt;&gt;B1562),A$26,IFERROR(IF(MATCH(A$26,Z$3:Z$13,0)=3,A$26," ")," "))</f>
        <v xml:space="preserve"> </v>
      </c>
      <c r="B1621" s="8" t="str">
        <f>IF(A1621=" "," ",MAX(B1610:B1620)+1)</f>
        <v xml:space="preserve"> </v>
      </c>
      <c r="C1621" s="8"/>
      <c r="D1621" s="8"/>
      <c r="E1621" s="8"/>
      <c r="F1621" s="8"/>
      <c r="G1621" s="8"/>
      <c r="H1621" s="8"/>
      <c r="I1621" s="8"/>
      <c r="J1621" s="8"/>
      <c r="K1621" s="8"/>
      <c r="L1621" s="8"/>
      <c r="M1621" s="8"/>
      <c r="N1621" s="8"/>
      <c r="O1621" s="8"/>
      <c r="P1621" s="8"/>
      <c r="Q1621" s="8"/>
      <c r="R1621" s="8"/>
      <c r="S1621" s="8"/>
      <c r="U1621" s="34"/>
      <c r="V1621" s="34"/>
      <c r="W1621" s="34"/>
      <c r="X1621" s="34"/>
      <c r="Y1621" s="34"/>
      <c r="Z1621" s="34"/>
      <c r="AA1621" s="34"/>
      <c r="AB1621" s="34"/>
      <c r="AC1621" s="34"/>
      <c r="AD1621" s="34"/>
      <c r="AE1621" s="34"/>
      <c r="AF1621" s="34"/>
      <c r="AG1621" s="34"/>
      <c r="AH1621" s="34"/>
      <c r="AI1621" s="34"/>
      <c r="AJ1621" s="34"/>
      <c r="AK1621" s="34"/>
      <c r="AL1621" s="34"/>
      <c r="AM1621" s="34"/>
      <c r="AN1621" s="34"/>
      <c r="AO1621" s="34"/>
      <c r="AP1621" s="34"/>
      <c r="AQ1621" s="34"/>
      <c r="AR1621" s="34"/>
      <c r="AS1621" s="34"/>
      <c r="AT1621" s="34"/>
      <c r="AU1621" s="34"/>
      <c r="AV1621" s="34"/>
      <c r="AW1621" s="34"/>
      <c r="AX1621" s="34"/>
      <c r="AY1621" s="34"/>
      <c r="AZ1621" s="34"/>
      <c r="BA1621" s="34"/>
      <c r="BB1621" s="34"/>
      <c r="BC1621" s="34"/>
      <c r="BD1621" s="34"/>
      <c r="BE1621" s="34"/>
      <c r="BF1621" s="34"/>
      <c r="BG1621" s="34"/>
      <c r="BH1621" s="34"/>
      <c r="BI1621" s="34"/>
      <c r="BJ1621" s="34"/>
      <c r="BK1621" s="34"/>
      <c r="BL1621" s="34"/>
      <c r="BM1621" s="34"/>
      <c r="BN1621" s="34"/>
      <c r="BO1621" s="34"/>
      <c r="BP1621" s="34"/>
      <c r="BQ1621" s="34"/>
      <c r="BR1621" s="34"/>
      <c r="BS1621" s="34"/>
      <c r="BT1621" s="34"/>
      <c r="BU1621" s="34"/>
      <c r="BV1621" s="34"/>
      <c r="BW1621" s="34"/>
      <c r="BX1621" s="34"/>
      <c r="BY1621" s="34"/>
      <c r="BZ1621" s="34"/>
      <c r="CA1621" s="34"/>
      <c r="CB1621" s="34"/>
      <c r="CC1621" s="34"/>
      <c r="CD1621" s="34"/>
      <c r="CE1621" s="34"/>
      <c r="CF1621" s="34"/>
      <c r="CG1621" s="34"/>
      <c r="CH1621" s="34"/>
      <c r="CI1621" s="8"/>
    </row>
    <row r="1622" spans="1:87" x14ac:dyDescent="0.2">
      <c r="A1622" s="8" t="str">
        <f>IF(AND(COUNTIF(W$3:W$13,A$27)&gt;0,A$27&lt;&gt;B1562),A$27,IFERROR(IF(MATCH(A$27,Z$3:Z$13,0)=3,A$27," ")," "))</f>
        <v>C13</v>
      </c>
      <c r="B1622" s="8">
        <f>IF(A1622=" "," ",MAX(B1610:B1621)+1)</f>
        <v>4</v>
      </c>
      <c r="C1622" s="8"/>
      <c r="D1622" s="8"/>
      <c r="E1622" s="8"/>
      <c r="F1622" s="8"/>
      <c r="G1622" s="8"/>
      <c r="H1622" s="8"/>
      <c r="I1622" s="8"/>
      <c r="J1622" s="8"/>
      <c r="K1622" s="8"/>
      <c r="L1622" s="8"/>
      <c r="M1622" s="8"/>
      <c r="N1622" s="8"/>
      <c r="O1622" s="8"/>
      <c r="P1622" s="8"/>
      <c r="Q1622" s="8"/>
      <c r="R1622" s="8"/>
      <c r="S1622" s="8"/>
      <c r="U1622" s="34"/>
      <c r="V1622" s="34"/>
      <c r="W1622" s="34"/>
      <c r="X1622" s="34"/>
      <c r="Y1622" s="34"/>
      <c r="Z1622" s="34"/>
      <c r="AA1622" s="34"/>
      <c r="AB1622" s="34"/>
      <c r="AC1622" s="34"/>
      <c r="AD1622" s="34"/>
      <c r="AE1622" s="34"/>
      <c r="AF1622" s="34"/>
      <c r="AG1622" s="34"/>
      <c r="AH1622" s="34"/>
      <c r="AI1622" s="34"/>
      <c r="AJ1622" s="34"/>
      <c r="AK1622" s="34"/>
      <c r="AL1622" s="34"/>
      <c r="AM1622" s="34"/>
      <c r="AN1622" s="34"/>
      <c r="AO1622" s="34"/>
      <c r="AP1622" s="34"/>
      <c r="AQ1622" s="34"/>
      <c r="AR1622" s="34"/>
      <c r="AS1622" s="34"/>
      <c r="AT1622" s="34"/>
      <c r="AU1622" s="34"/>
      <c r="AV1622" s="34"/>
      <c r="AW1622" s="34"/>
      <c r="AX1622" s="34"/>
      <c r="AY1622" s="34"/>
      <c r="AZ1622" s="34"/>
      <c r="BA1622" s="34"/>
      <c r="BB1622" s="34"/>
      <c r="BC1622" s="34"/>
      <c r="BD1622" s="34"/>
      <c r="BE1622" s="34"/>
      <c r="BF1622" s="34"/>
      <c r="BG1622" s="34"/>
      <c r="BH1622" s="34"/>
      <c r="BI1622" s="34"/>
      <c r="BJ1622" s="34"/>
      <c r="BK1622" s="34"/>
      <c r="BL1622" s="34"/>
      <c r="BM1622" s="34"/>
      <c r="BN1622" s="34"/>
      <c r="BO1622" s="34"/>
      <c r="BP1622" s="34"/>
      <c r="BQ1622" s="34"/>
      <c r="BR1622" s="34"/>
      <c r="BS1622" s="34"/>
      <c r="BT1622" s="34"/>
      <c r="BU1622" s="34"/>
      <c r="BV1622" s="34"/>
      <c r="BW1622" s="34"/>
      <c r="BX1622" s="34"/>
      <c r="BY1622" s="34"/>
      <c r="BZ1622" s="34"/>
      <c r="CA1622" s="34"/>
      <c r="CB1622" s="34"/>
      <c r="CC1622" s="34"/>
      <c r="CD1622" s="34"/>
      <c r="CE1622" s="34"/>
      <c r="CF1622" s="34"/>
      <c r="CG1622" s="34"/>
      <c r="CH1622" s="34"/>
      <c r="CI1622" s="8"/>
    </row>
    <row r="1623" spans="1:87" x14ac:dyDescent="0.2">
      <c r="A1623" s="8" t="str">
        <f>IF(AND(COUNTIF(W$3:W$13,A$28)&gt;0,A$28&lt;&gt;B1562),A$28,IFERROR(IF(MATCH(A$28,Z$3:Z$13,0)=3,A$28," ")," "))</f>
        <v xml:space="preserve"> </v>
      </c>
      <c r="B1623" s="8" t="str">
        <f>IF(A1623=" "," ",MAX(B1610:B1622)+1)</f>
        <v xml:space="preserve"> </v>
      </c>
      <c r="C1623" s="8"/>
      <c r="D1623" s="8"/>
      <c r="E1623" s="8"/>
      <c r="F1623" s="8"/>
      <c r="G1623" s="8"/>
      <c r="H1623" s="8"/>
      <c r="I1623" s="8"/>
      <c r="J1623" s="8"/>
      <c r="K1623" s="8"/>
      <c r="L1623" s="8"/>
      <c r="M1623" s="8"/>
      <c r="N1623" s="8"/>
      <c r="O1623" s="8"/>
      <c r="P1623" s="8"/>
      <c r="Q1623" s="8"/>
      <c r="R1623" s="8"/>
      <c r="S1623" s="8"/>
      <c r="U1623" s="34"/>
      <c r="V1623" s="34"/>
      <c r="W1623" s="34"/>
      <c r="X1623" s="34"/>
      <c r="Y1623" s="34"/>
      <c r="Z1623" s="34"/>
      <c r="AA1623" s="34"/>
      <c r="AB1623" s="34"/>
      <c r="AC1623" s="34"/>
      <c r="AD1623" s="34"/>
      <c r="AE1623" s="34"/>
      <c r="AF1623" s="34"/>
      <c r="AG1623" s="34"/>
      <c r="AH1623" s="34"/>
      <c r="AI1623" s="34"/>
      <c r="AJ1623" s="34"/>
      <c r="AK1623" s="34"/>
      <c r="AL1623" s="34"/>
      <c r="AM1623" s="34"/>
      <c r="AN1623" s="34"/>
      <c r="AO1623" s="34"/>
      <c r="AP1623" s="34"/>
      <c r="AQ1623" s="34"/>
      <c r="AR1623" s="34"/>
      <c r="AS1623" s="34"/>
      <c r="AT1623" s="34"/>
      <c r="AU1623" s="34"/>
      <c r="AV1623" s="34"/>
      <c r="AW1623" s="34"/>
      <c r="AX1623" s="34"/>
      <c r="AY1623" s="34"/>
      <c r="AZ1623" s="34"/>
      <c r="BA1623" s="34"/>
      <c r="BB1623" s="34"/>
      <c r="BC1623" s="34"/>
      <c r="BD1623" s="34"/>
      <c r="BE1623" s="34"/>
      <c r="BF1623" s="34"/>
      <c r="BG1623" s="34"/>
      <c r="BH1623" s="34"/>
      <c r="BI1623" s="34"/>
      <c r="BJ1623" s="34"/>
      <c r="BK1623" s="34"/>
      <c r="BL1623" s="34"/>
      <c r="BM1623" s="34"/>
      <c r="BN1623" s="34"/>
      <c r="BO1623" s="34"/>
      <c r="BP1623" s="34"/>
      <c r="BQ1623" s="34"/>
      <c r="BR1623" s="34"/>
      <c r="BS1623" s="34"/>
      <c r="BT1623" s="34"/>
      <c r="BU1623" s="34"/>
      <c r="BV1623" s="34"/>
      <c r="BW1623" s="34"/>
      <c r="BX1623" s="34"/>
      <c r="BY1623" s="34"/>
      <c r="BZ1623" s="34"/>
      <c r="CA1623" s="34"/>
      <c r="CB1623" s="34"/>
      <c r="CC1623" s="34"/>
      <c r="CD1623" s="34"/>
      <c r="CE1623" s="34"/>
      <c r="CF1623" s="34"/>
      <c r="CG1623" s="34"/>
      <c r="CH1623" s="34"/>
      <c r="CI1623" s="8"/>
    </row>
    <row r="1624" spans="1:87" x14ac:dyDescent="0.2">
      <c r="A1624" s="8" t="str">
        <f>IF(AND(COUNTIF(W$3:W$13,A$29)&gt;0,A$29&lt;&gt;B1562),A$29,IFERROR(IF(MATCH(A$29,Z$3:Z$13,0)=3,A$29," ")," "))</f>
        <v>C15</v>
      </c>
      <c r="B1624" s="8">
        <f>IF(A1624=" "," ",MAX(B1610:B1623)+1)</f>
        <v>5</v>
      </c>
      <c r="C1624" s="8"/>
      <c r="D1624" s="8"/>
      <c r="E1624" s="8"/>
      <c r="F1624" s="8"/>
      <c r="G1624" s="8"/>
      <c r="H1624" s="8"/>
      <c r="I1624" s="8"/>
      <c r="J1624" s="8"/>
      <c r="K1624" s="8"/>
      <c r="L1624" s="8"/>
      <c r="M1624" s="8"/>
      <c r="N1624" s="8"/>
      <c r="O1624" s="8"/>
      <c r="P1624" s="8"/>
      <c r="Q1624" s="8"/>
      <c r="R1624" s="8"/>
      <c r="S1624" s="8"/>
      <c r="U1624" s="34"/>
      <c r="V1624" s="34"/>
      <c r="W1624" s="34"/>
      <c r="X1624" s="34"/>
      <c r="Y1624" s="34"/>
      <c r="Z1624" s="34"/>
      <c r="AA1624" s="34"/>
      <c r="AB1624" s="34"/>
      <c r="AC1624" s="34"/>
      <c r="AD1624" s="34"/>
      <c r="AE1624" s="34"/>
      <c r="AF1624" s="34"/>
      <c r="AG1624" s="34"/>
      <c r="AH1624" s="34"/>
      <c r="AI1624" s="34"/>
      <c r="AJ1624" s="34"/>
      <c r="AK1624" s="34"/>
      <c r="AL1624" s="34"/>
      <c r="AM1624" s="34"/>
      <c r="AN1624" s="34"/>
      <c r="AO1624" s="34"/>
      <c r="AP1624" s="34"/>
      <c r="AQ1624" s="34"/>
      <c r="AR1624" s="34"/>
      <c r="AS1624" s="34"/>
      <c r="AT1624" s="34"/>
      <c r="AU1624" s="34"/>
      <c r="AV1624" s="34"/>
      <c r="AW1624" s="34"/>
      <c r="AX1624" s="34"/>
      <c r="AY1624" s="34"/>
      <c r="AZ1624" s="34"/>
      <c r="BA1624" s="34"/>
      <c r="BB1624" s="34"/>
      <c r="BC1624" s="34"/>
      <c r="BD1624" s="34"/>
      <c r="BE1624" s="34"/>
      <c r="BF1624" s="34"/>
      <c r="BG1624" s="34"/>
      <c r="BH1624" s="34"/>
      <c r="BI1624" s="34"/>
      <c r="BJ1624" s="34"/>
      <c r="BK1624" s="34"/>
      <c r="BL1624" s="34"/>
      <c r="BM1624" s="34"/>
      <c r="BN1624" s="34"/>
      <c r="BO1624" s="34"/>
      <c r="BP1624" s="34"/>
      <c r="BQ1624" s="34"/>
      <c r="BR1624" s="34"/>
      <c r="BS1624" s="34"/>
      <c r="BT1624" s="34"/>
      <c r="BU1624" s="34"/>
      <c r="BV1624" s="34"/>
      <c r="BW1624" s="34"/>
      <c r="BX1624" s="34"/>
      <c r="BY1624" s="34"/>
      <c r="BZ1624" s="34"/>
      <c r="CA1624" s="34"/>
      <c r="CB1624" s="34"/>
      <c r="CC1624" s="34"/>
      <c r="CD1624" s="34"/>
      <c r="CE1624" s="34"/>
      <c r="CF1624" s="34"/>
      <c r="CG1624" s="34"/>
      <c r="CH1624" s="34"/>
      <c r="CI1624" s="8"/>
    </row>
    <row r="1625" spans="1:87" x14ac:dyDescent="0.2">
      <c r="A1625" s="8" t="str">
        <f>IF(AND(COUNTIF(W$3:W$13,A$30)&gt;0,A$30&lt;&gt;B1562),A$30,IFERROR(IF(MATCH(A$30,Z$3:Z$13,0)=3,A$30," ")," "))</f>
        <v>C16</v>
      </c>
      <c r="B1625" s="8">
        <f>IF(A1625=" "," ",MAX(B1610:B1624)+1)</f>
        <v>6</v>
      </c>
      <c r="C1625" s="8"/>
      <c r="D1625" s="8"/>
      <c r="E1625" s="8"/>
      <c r="F1625" s="8"/>
      <c r="G1625" s="8"/>
      <c r="H1625" s="8"/>
      <c r="I1625" s="8"/>
      <c r="J1625" s="8"/>
      <c r="K1625" s="8"/>
      <c r="L1625" s="8"/>
      <c r="M1625" s="8"/>
      <c r="N1625" s="8"/>
      <c r="O1625" s="8"/>
      <c r="P1625" s="8"/>
      <c r="Q1625" s="8"/>
      <c r="R1625" s="8"/>
      <c r="S1625" s="8"/>
      <c r="U1625" s="34"/>
      <c r="V1625" s="34"/>
      <c r="W1625" s="34"/>
      <c r="X1625" s="34"/>
      <c r="Y1625" s="34"/>
      <c r="Z1625" s="34"/>
      <c r="AA1625" s="34"/>
      <c r="AB1625" s="34"/>
      <c r="AC1625" s="34"/>
      <c r="AD1625" s="34"/>
      <c r="AE1625" s="34"/>
      <c r="AF1625" s="34"/>
      <c r="AG1625" s="34"/>
      <c r="AH1625" s="34"/>
      <c r="AI1625" s="34"/>
      <c r="AJ1625" s="34"/>
      <c r="AK1625" s="34"/>
      <c r="AL1625" s="34"/>
      <c r="AM1625" s="34"/>
      <c r="AN1625" s="34"/>
      <c r="AO1625" s="34"/>
      <c r="AP1625" s="34"/>
      <c r="AQ1625" s="34"/>
      <c r="AR1625" s="34"/>
      <c r="AS1625" s="34"/>
      <c r="AT1625" s="34"/>
      <c r="AU1625" s="34"/>
      <c r="AV1625" s="34"/>
      <c r="AW1625" s="34"/>
      <c r="AX1625" s="34"/>
      <c r="AY1625" s="34"/>
      <c r="AZ1625" s="34"/>
      <c r="BA1625" s="34"/>
      <c r="BB1625" s="34"/>
      <c r="BC1625" s="34"/>
      <c r="BD1625" s="34"/>
      <c r="BE1625" s="34"/>
      <c r="BF1625" s="34"/>
      <c r="BG1625" s="34"/>
      <c r="BH1625" s="34"/>
      <c r="BI1625" s="34"/>
      <c r="BJ1625" s="34"/>
      <c r="BK1625" s="34"/>
      <c r="BL1625" s="34"/>
      <c r="BM1625" s="34"/>
      <c r="BN1625" s="34"/>
      <c r="BO1625" s="34"/>
      <c r="BP1625" s="34"/>
      <c r="BQ1625" s="34"/>
      <c r="BR1625" s="34"/>
      <c r="BS1625" s="34"/>
      <c r="BT1625" s="34"/>
      <c r="BU1625" s="34"/>
      <c r="BV1625" s="34"/>
      <c r="BW1625" s="34"/>
      <c r="BX1625" s="34"/>
      <c r="BY1625" s="34"/>
      <c r="BZ1625" s="34"/>
      <c r="CA1625" s="34"/>
      <c r="CB1625" s="34"/>
      <c r="CC1625" s="34"/>
      <c r="CD1625" s="34"/>
      <c r="CE1625" s="34"/>
      <c r="CF1625" s="34"/>
      <c r="CG1625" s="34"/>
      <c r="CH1625" s="34"/>
      <c r="CI1625" s="8"/>
    </row>
    <row r="1626" spans="1:87" x14ac:dyDescent="0.2">
      <c r="A1626" s="8" t="str">
        <f>IF(AND(COUNTIF(W$3:W$13,A$31)&gt;0,A$31&lt;&gt;B1562),A$31,IFERROR(IF(MATCH(A$31,Z$3:Z$13,0)=3,A$31," ")," "))</f>
        <v>C17</v>
      </c>
      <c r="B1626" s="8">
        <f>IF(A1626=" "," ",MAX(B1610:B1625)+1)</f>
        <v>7</v>
      </c>
      <c r="C1626" s="8"/>
      <c r="D1626" s="8"/>
      <c r="E1626" s="8"/>
      <c r="F1626" s="8"/>
      <c r="G1626" s="8"/>
      <c r="H1626" s="8"/>
      <c r="I1626" s="8"/>
      <c r="J1626" s="8"/>
      <c r="K1626" s="8"/>
      <c r="L1626" s="8"/>
      <c r="M1626" s="8"/>
      <c r="N1626" s="8"/>
      <c r="O1626" s="8"/>
      <c r="P1626" s="8"/>
      <c r="Q1626" s="8"/>
      <c r="R1626" s="8"/>
      <c r="S1626" s="8"/>
      <c r="U1626" s="34"/>
      <c r="V1626" s="34"/>
      <c r="W1626" s="34"/>
      <c r="X1626" s="34"/>
      <c r="Y1626" s="34"/>
      <c r="Z1626" s="34"/>
      <c r="AA1626" s="34"/>
      <c r="AB1626" s="34"/>
      <c r="AC1626" s="34"/>
      <c r="AD1626" s="34"/>
      <c r="AE1626" s="34"/>
      <c r="AF1626" s="34"/>
      <c r="AG1626" s="34"/>
      <c r="AH1626" s="34"/>
      <c r="AI1626" s="34"/>
      <c r="AJ1626" s="34"/>
      <c r="AK1626" s="34"/>
      <c r="AL1626" s="34"/>
      <c r="AM1626" s="34"/>
      <c r="AN1626" s="34"/>
      <c r="AO1626" s="34"/>
      <c r="AP1626" s="34"/>
      <c r="AQ1626" s="34"/>
      <c r="AR1626" s="34"/>
      <c r="AS1626" s="34"/>
      <c r="AT1626" s="34"/>
      <c r="AU1626" s="34"/>
      <c r="AV1626" s="34"/>
      <c r="AW1626" s="34"/>
      <c r="AX1626" s="34"/>
      <c r="AY1626" s="34"/>
      <c r="AZ1626" s="34"/>
      <c r="BA1626" s="34"/>
      <c r="BB1626" s="34"/>
      <c r="BC1626" s="34"/>
      <c r="BD1626" s="34"/>
      <c r="BE1626" s="34"/>
      <c r="BF1626" s="34"/>
      <c r="BG1626" s="34"/>
      <c r="BH1626" s="34"/>
      <c r="BI1626" s="34"/>
      <c r="BJ1626" s="34"/>
      <c r="BK1626" s="34"/>
      <c r="BL1626" s="34"/>
      <c r="BM1626" s="34"/>
      <c r="BN1626" s="34"/>
      <c r="BO1626" s="34"/>
      <c r="BP1626" s="34"/>
      <c r="BQ1626" s="34"/>
      <c r="BR1626" s="34"/>
      <c r="BS1626" s="34"/>
      <c r="BT1626" s="34"/>
      <c r="BU1626" s="34"/>
      <c r="BV1626" s="34"/>
      <c r="BW1626" s="34"/>
      <c r="BX1626" s="34"/>
      <c r="BY1626" s="34"/>
      <c r="BZ1626" s="34"/>
      <c r="CA1626" s="34"/>
      <c r="CB1626" s="34"/>
      <c r="CC1626" s="34"/>
      <c r="CD1626" s="34"/>
      <c r="CE1626" s="34"/>
      <c r="CF1626" s="34"/>
      <c r="CG1626" s="34"/>
      <c r="CH1626" s="34"/>
      <c r="CI1626" s="8"/>
    </row>
    <row r="1627" spans="1:87" x14ac:dyDescent="0.2">
      <c r="A1627" s="8" t="str">
        <f>IF(AND(COUNTIF(W$3:W$13,A$32)&gt;0,A$32&lt;&gt;B1562),A$32,IFERROR(IF(MATCH(A$32,Z$3:Z$13,0)=3,A$32," ")," "))</f>
        <v xml:space="preserve"> </v>
      </c>
      <c r="B1627" s="8" t="str">
        <f>IF(A1627=" "," ",MAX(B1610:B1626)+1)</f>
        <v xml:space="preserve"> </v>
      </c>
      <c r="C1627" s="8"/>
      <c r="D1627" s="8"/>
      <c r="E1627" s="8"/>
      <c r="F1627" s="8"/>
      <c r="G1627" s="8"/>
      <c r="H1627" s="8"/>
      <c r="I1627" s="8"/>
      <c r="J1627" s="8"/>
      <c r="K1627" s="8"/>
      <c r="L1627" s="8"/>
      <c r="M1627" s="8"/>
      <c r="N1627" s="8"/>
      <c r="O1627" s="8"/>
      <c r="P1627" s="8"/>
      <c r="Q1627" s="8"/>
      <c r="R1627" s="8"/>
      <c r="S1627" s="8"/>
      <c r="U1627" s="34"/>
      <c r="V1627" s="34"/>
      <c r="W1627" s="34"/>
      <c r="X1627" s="34"/>
      <c r="Y1627" s="34"/>
      <c r="Z1627" s="34"/>
      <c r="AA1627" s="34"/>
      <c r="AB1627" s="34"/>
      <c r="AC1627" s="34"/>
      <c r="AD1627" s="34"/>
      <c r="AE1627" s="34"/>
      <c r="AF1627" s="34"/>
      <c r="AG1627" s="34"/>
      <c r="AH1627" s="34"/>
      <c r="AI1627" s="34"/>
      <c r="AJ1627" s="34"/>
      <c r="AK1627" s="34"/>
      <c r="AL1627" s="34"/>
      <c r="AM1627" s="34"/>
      <c r="AN1627" s="34"/>
      <c r="AO1627" s="34"/>
      <c r="AP1627" s="34"/>
      <c r="AQ1627" s="34"/>
      <c r="AR1627" s="34"/>
      <c r="AS1627" s="34"/>
      <c r="AT1627" s="34"/>
      <c r="AU1627" s="34"/>
      <c r="AV1627" s="34"/>
      <c r="AW1627" s="34"/>
      <c r="AX1627" s="34"/>
      <c r="AY1627" s="34"/>
      <c r="AZ1627" s="34"/>
      <c r="BA1627" s="34"/>
      <c r="BB1627" s="34"/>
      <c r="BC1627" s="34"/>
      <c r="BD1627" s="34"/>
      <c r="BE1627" s="34"/>
      <c r="BF1627" s="34"/>
      <c r="BG1627" s="34"/>
      <c r="BH1627" s="34"/>
      <c r="BI1627" s="34"/>
      <c r="BJ1627" s="34"/>
      <c r="BK1627" s="34"/>
      <c r="BL1627" s="34"/>
      <c r="BM1627" s="34"/>
      <c r="BN1627" s="34"/>
      <c r="BO1627" s="34"/>
      <c r="BP1627" s="34"/>
      <c r="BQ1627" s="34"/>
      <c r="BR1627" s="34"/>
      <c r="BS1627" s="34"/>
      <c r="BT1627" s="34"/>
      <c r="BU1627" s="34"/>
      <c r="BV1627" s="34"/>
      <c r="BW1627" s="34"/>
      <c r="BX1627" s="34"/>
      <c r="BY1627" s="34"/>
      <c r="BZ1627" s="34"/>
      <c r="CA1627" s="34"/>
      <c r="CB1627" s="34"/>
      <c r="CC1627" s="34"/>
      <c r="CD1627" s="34"/>
      <c r="CE1627" s="34"/>
      <c r="CF1627" s="34"/>
      <c r="CG1627" s="34"/>
      <c r="CH1627" s="34"/>
      <c r="CI1627" s="8"/>
    </row>
    <row r="1628" spans="1:87" x14ac:dyDescent="0.2">
      <c r="A1628" s="8" t="str">
        <f>IF(AND(COUNTIF(W$3:W$13,A$33)&gt;0,A$33&lt;&gt;B1562),A$33,IFERROR(IF(MATCH(A$33,Z$3:Z$13,0)=3,A$33," ")," "))</f>
        <v>C19</v>
      </c>
      <c r="B1628" s="8">
        <f>IF(A1628=" "," ",MAX(B1610:B1627)+1)</f>
        <v>8</v>
      </c>
      <c r="C1628" s="14"/>
      <c r="D1628" s="14"/>
      <c r="E1628" s="14"/>
      <c r="F1628" s="14"/>
      <c r="G1628" s="14"/>
      <c r="H1628" s="14"/>
      <c r="I1628" s="14"/>
      <c r="J1628" s="12"/>
      <c r="K1628" s="12"/>
      <c r="L1628" s="12"/>
      <c r="M1628" s="12"/>
      <c r="N1628" s="12"/>
      <c r="O1628" s="12"/>
      <c r="P1628" s="12"/>
      <c r="Q1628" s="8"/>
      <c r="R1628" s="12"/>
      <c r="S1628" s="12"/>
      <c r="T1628" s="21"/>
      <c r="U1628" s="34"/>
      <c r="V1628" s="34"/>
      <c r="W1628" s="34"/>
      <c r="X1628" s="34"/>
      <c r="Y1628" s="34"/>
      <c r="Z1628" s="34"/>
      <c r="AA1628" s="34"/>
      <c r="AB1628" s="34"/>
      <c r="AC1628" s="34"/>
      <c r="AD1628" s="34"/>
      <c r="AE1628" s="34"/>
      <c r="AF1628" s="34"/>
      <c r="AG1628" s="34"/>
      <c r="AH1628" s="34"/>
      <c r="AI1628" s="34"/>
      <c r="AJ1628" s="34"/>
      <c r="AK1628" s="34"/>
      <c r="AL1628" s="34"/>
      <c r="AM1628" s="34"/>
      <c r="AN1628" s="34"/>
      <c r="AO1628" s="34"/>
      <c r="AP1628" s="34"/>
      <c r="AQ1628" s="34"/>
      <c r="AR1628" s="34"/>
      <c r="AS1628" s="34"/>
      <c r="AT1628" s="34"/>
      <c r="AU1628" s="34"/>
      <c r="AV1628" s="34"/>
      <c r="AW1628" s="34"/>
      <c r="AX1628" s="34"/>
      <c r="AY1628" s="34"/>
      <c r="AZ1628" s="34"/>
      <c r="BA1628" s="34"/>
      <c r="BB1628" s="34"/>
      <c r="BC1628" s="34"/>
      <c r="BD1628" s="34"/>
      <c r="BE1628" s="34"/>
      <c r="BF1628" s="34"/>
      <c r="BG1628" s="34"/>
      <c r="BH1628" s="34"/>
      <c r="BI1628" s="34"/>
      <c r="BJ1628" s="34"/>
      <c r="BK1628" s="34"/>
      <c r="BL1628" s="34"/>
      <c r="BM1628" s="34"/>
      <c r="BN1628" s="34"/>
      <c r="BO1628" s="34"/>
      <c r="BP1628" s="34"/>
      <c r="BQ1628" s="34"/>
      <c r="BR1628" s="34"/>
      <c r="BS1628" s="34"/>
      <c r="BT1628" s="34"/>
      <c r="BU1628" s="34"/>
      <c r="BV1628" s="34"/>
      <c r="BW1628" s="34"/>
      <c r="BX1628" s="34"/>
      <c r="BY1628" s="34"/>
      <c r="BZ1628" s="34"/>
      <c r="CA1628" s="34"/>
      <c r="CB1628" s="34"/>
      <c r="CC1628" s="34"/>
      <c r="CD1628" s="34"/>
      <c r="CE1628" s="34"/>
      <c r="CF1628" s="34"/>
      <c r="CG1628" s="34"/>
      <c r="CH1628" s="34"/>
      <c r="CI1628" s="8"/>
    </row>
    <row r="1629" spans="1:87" x14ac:dyDescent="0.2">
      <c r="A1629" s="8" t="str">
        <f>IF(AND(COUNTIF(W$3:W$13,A$34)&gt;0,A$34&lt;&gt;B1562),A$34,IFERROR(IF(MATCH(A$34,Z$3:Z$13,0)=3,A$34," ")," "))</f>
        <v>C20</v>
      </c>
      <c r="B1629" s="8">
        <f>IF(A1629=" "," ",MAX(B1610:B1628)+1)</f>
        <v>9</v>
      </c>
      <c r="C1629" s="8"/>
      <c r="D1629" s="8"/>
      <c r="E1629" s="8"/>
      <c r="F1629" s="8"/>
      <c r="G1629" s="8"/>
      <c r="H1629" s="8"/>
      <c r="I1629" s="8"/>
      <c r="J1629" s="8"/>
      <c r="K1629" s="8"/>
      <c r="L1629" s="8"/>
      <c r="M1629" s="8"/>
      <c r="N1629" s="8"/>
      <c r="O1629" s="8"/>
      <c r="P1629" s="8"/>
      <c r="Q1629" s="8"/>
      <c r="R1629" s="8"/>
      <c r="S1629" s="8"/>
      <c r="U1629" s="34"/>
      <c r="V1629" s="34"/>
      <c r="W1629" s="34"/>
      <c r="X1629" s="34"/>
      <c r="Y1629" s="34"/>
      <c r="Z1629" s="34"/>
      <c r="AA1629" s="34"/>
      <c r="AB1629" s="34"/>
      <c r="AC1629" s="34"/>
      <c r="AD1629" s="34"/>
      <c r="AE1629" s="34"/>
      <c r="AF1629" s="34"/>
      <c r="AG1629" s="34"/>
      <c r="AH1629" s="34"/>
      <c r="AI1629" s="34"/>
      <c r="AJ1629" s="34"/>
      <c r="AK1629" s="34"/>
      <c r="AL1629" s="34"/>
      <c r="AM1629" s="34"/>
      <c r="AN1629" s="34"/>
      <c r="AO1629" s="34"/>
      <c r="AP1629" s="34"/>
      <c r="AQ1629" s="34"/>
      <c r="AR1629" s="34"/>
      <c r="AS1629" s="34"/>
      <c r="AT1629" s="34"/>
      <c r="AU1629" s="34"/>
      <c r="AV1629" s="34"/>
      <c r="AW1629" s="34"/>
      <c r="AX1629" s="34"/>
      <c r="AY1629" s="34"/>
      <c r="AZ1629" s="34"/>
      <c r="BA1629" s="34"/>
      <c r="BB1629" s="34"/>
      <c r="BC1629" s="34"/>
      <c r="BD1629" s="34"/>
      <c r="BE1629" s="34"/>
      <c r="BF1629" s="34"/>
      <c r="BG1629" s="34"/>
      <c r="BH1629" s="34"/>
      <c r="BI1629" s="34"/>
      <c r="BJ1629" s="34"/>
      <c r="BK1629" s="34"/>
      <c r="BL1629" s="34"/>
      <c r="BM1629" s="34"/>
      <c r="BN1629" s="34"/>
      <c r="BO1629" s="34"/>
      <c r="BP1629" s="34"/>
      <c r="BQ1629" s="34"/>
      <c r="BR1629" s="34"/>
      <c r="BS1629" s="34"/>
      <c r="BT1629" s="34"/>
      <c r="BU1629" s="34"/>
      <c r="BV1629" s="34"/>
      <c r="BW1629" s="34"/>
      <c r="BX1629" s="34"/>
      <c r="BY1629" s="34"/>
      <c r="BZ1629" s="34"/>
      <c r="CA1629" s="34"/>
      <c r="CB1629" s="34"/>
      <c r="CC1629" s="34"/>
      <c r="CD1629" s="34"/>
      <c r="CE1629" s="34"/>
      <c r="CF1629" s="34"/>
      <c r="CG1629" s="34"/>
      <c r="CH1629" s="34"/>
      <c r="CI1629" s="8"/>
    </row>
    <row r="1630" spans="1:87" x14ac:dyDescent="0.2">
      <c r="A1630" s="8" t="str">
        <f>IF(AND(COUNTIF(W$3:W$13,A$35)&gt;0,A$35&lt;&gt;B1562),A$35,IFERROR(IF(MATCH(A$35,Z$3:Z$13,0)=3,A$35," ")," "))</f>
        <v>C21</v>
      </c>
      <c r="B1630" s="8">
        <f>IF(A1630=" "," ",MAX(B1610:B1629)+1)</f>
        <v>10</v>
      </c>
      <c r="C1630" s="8"/>
      <c r="D1630" s="8"/>
      <c r="E1630" s="8"/>
      <c r="F1630" s="8"/>
      <c r="G1630" s="8"/>
      <c r="H1630" s="8"/>
      <c r="I1630" s="8"/>
      <c r="J1630" s="8"/>
      <c r="K1630" s="8"/>
      <c r="L1630" s="8"/>
      <c r="M1630" s="8"/>
      <c r="N1630" s="8"/>
      <c r="O1630" s="8"/>
      <c r="P1630" s="8"/>
      <c r="Q1630" s="8"/>
      <c r="R1630" s="8"/>
      <c r="S1630" s="8"/>
      <c r="U1630" s="34"/>
      <c r="V1630" s="34"/>
      <c r="W1630" s="34"/>
      <c r="X1630" s="34"/>
      <c r="Y1630" s="34"/>
      <c r="Z1630" s="34"/>
      <c r="AA1630" s="34"/>
      <c r="AB1630" s="34"/>
      <c r="AC1630" s="34"/>
      <c r="AD1630" s="34"/>
      <c r="AE1630" s="34"/>
      <c r="AF1630" s="34"/>
      <c r="AG1630" s="34"/>
      <c r="AH1630" s="34"/>
      <c r="AI1630" s="34"/>
      <c r="AJ1630" s="34"/>
      <c r="AK1630" s="34"/>
      <c r="AL1630" s="34"/>
      <c r="AM1630" s="34"/>
      <c r="AN1630" s="34"/>
      <c r="AO1630" s="34"/>
      <c r="AP1630" s="34"/>
      <c r="AQ1630" s="34"/>
      <c r="AR1630" s="34"/>
      <c r="AS1630" s="34"/>
      <c r="AT1630" s="34"/>
      <c r="AU1630" s="34"/>
      <c r="AV1630" s="34"/>
      <c r="AW1630" s="34"/>
      <c r="AX1630" s="34"/>
      <c r="AY1630" s="34"/>
      <c r="AZ1630" s="34"/>
      <c r="BA1630" s="34"/>
      <c r="BB1630" s="34"/>
      <c r="BC1630" s="34"/>
      <c r="BD1630" s="34"/>
      <c r="BE1630" s="34"/>
      <c r="BF1630" s="34"/>
      <c r="BG1630" s="34"/>
      <c r="BH1630" s="34"/>
      <c r="BI1630" s="34"/>
      <c r="BJ1630" s="34"/>
      <c r="BK1630" s="34"/>
      <c r="BL1630" s="34"/>
      <c r="BM1630" s="34"/>
      <c r="BN1630" s="34"/>
      <c r="BO1630" s="34"/>
      <c r="BP1630" s="34"/>
      <c r="BQ1630" s="34"/>
      <c r="BR1630" s="34"/>
      <c r="BS1630" s="34"/>
      <c r="BT1630" s="34"/>
      <c r="BU1630" s="34"/>
      <c r="BV1630" s="34"/>
      <c r="BW1630" s="34"/>
      <c r="BX1630" s="34"/>
      <c r="BY1630" s="34"/>
      <c r="BZ1630" s="34"/>
      <c r="CA1630" s="34"/>
      <c r="CB1630" s="34"/>
      <c r="CC1630" s="34"/>
      <c r="CD1630" s="34"/>
      <c r="CE1630" s="34"/>
      <c r="CF1630" s="34"/>
      <c r="CG1630" s="34"/>
      <c r="CH1630" s="34"/>
      <c r="CI1630" s="8"/>
    </row>
    <row r="1631" spans="1:87" x14ac:dyDescent="0.2">
      <c r="A1631" s="8" t="str">
        <f>IF(AND(COUNTIF(W$3:W$13,A$36)&gt;0,A$36&lt;&gt;B1562),A$36,IFERROR(IF(MATCH(A$36,Z$3:Z$13,0)=3,A$36," ")," "))</f>
        <v>C22</v>
      </c>
      <c r="B1631" s="8">
        <f>IF(A1631=" "," ",MAX(B1610:B1630)+1)</f>
        <v>11</v>
      </c>
      <c r="C1631" s="8"/>
      <c r="D1631" s="8"/>
      <c r="E1631" s="8"/>
      <c r="F1631" s="8"/>
      <c r="G1631" s="8"/>
      <c r="H1631" s="8"/>
      <c r="I1631" s="8"/>
      <c r="J1631" s="8"/>
      <c r="K1631" s="8"/>
      <c r="L1631" s="8"/>
      <c r="M1631" s="8"/>
      <c r="N1631" s="8"/>
      <c r="O1631" s="8"/>
      <c r="P1631" s="8"/>
      <c r="Q1631" s="8"/>
      <c r="R1631" s="8"/>
      <c r="S1631" s="8"/>
      <c r="U1631" s="34"/>
      <c r="V1631" s="34"/>
      <c r="W1631" s="34"/>
      <c r="X1631" s="34"/>
      <c r="Y1631" s="34"/>
      <c r="Z1631" s="34"/>
      <c r="AA1631" s="34"/>
      <c r="AB1631" s="34"/>
      <c r="AC1631" s="34"/>
      <c r="AD1631" s="34"/>
      <c r="AE1631" s="34"/>
      <c r="AF1631" s="34"/>
      <c r="AG1631" s="34"/>
      <c r="AH1631" s="34"/>
      <c r="AI1631" s="34"/>
      <c r="AJ1631" s="34"/>
      <c r="AK1631" s="34"/>
      <c r="AL1631" s="34"/>
      <c r="AM1631" s="34"/>
      <c r="AN1631" s="34"/>
      <c r="AO1631" s="34"/>
      <c r="AP1631" s="34"/>
      <c r="AQ1631" s="34"/>
      <c r="AR1631" s="34"/>
      <c r="AS1631" s="34"/>
      <c r="AT1631" s="34"/>
      <c r="AU1631" s="34"/>
      <c r="AV1631" s="34"/>
      <c r="AW1631" s="34"/>
      <c r="AX1631" s="34"/>
      <c r="AY1631" s="34"/>
      <c r="AZ1631" s="34"/>
      <c r="BA1631" s="34"/>
      <c r="BB1631" s="34"/>
      <c r="BC1631" s="34"/>
      <c r="BD1631" s="34"/>
      <c r="BE1631" s="34"/>
      <c r="BF1631" s="34"/>
      <c r="BG1631" s="34"/>
      <c r="BH1631" s="34"/>
      <c r="BI1631" s="34"/>
      <c r="BJ1631" s="34"/>
      <c r="BK1631" s="34"/>
      <c r="BL1631" s="34"/>
      <c r="BM1631" s="34"/>
      <c r="BN1631" s="34"/>
      <c r="BO1631" s="34"/>
      <c r="BP1631" s="34"/>
      <c r="BQ1631" s="34"/>
      <c r="BR1631" s="34"/>
      <c r="BS1631" s="34"/>
      <c r="BT1631" s="34"/>
      <c r="BU1631" s="34"/>
      <c r="BV1631" s="34"/>
      <c r="BW1631" s="34"/>
      <c r="BX1631" s="34"/>
      <c r="BY1631" s="34"/>
      <c r="BZ1631" s="34"/>
      <c r="CA1631" s="34"/>
      <c r="CB1631" s="34"/>
      <c r="CC1631" s="34"/>
      <c r="CD1631" s="34"/>
      <c r="CE1631" s="34"/>
      <c r="CF1631" s="34"/>
      <c r="CG1631" s="34"/>
      <c r="CH1631" s="34"/>
      <c r="CI1631" s="8"/>
    </row>
    <row r="1632" spans="1:87" x14ac:dyDescent="0.2">
      <c r="A1632" s="11" t="s">
        <v>17</v>
      </c>
      <c r="B1632" s="11"/>
      <c r="C1632" s="27" t="s">
        <v>18</v>
      </c>
      <c r="D1632" s="27" t="s">
        <v>2</v>
      </c>
      <c r="E1632" s="27" t="s">
        <v>6</v>
      </c>
      <c r="F1632" s="27" t="s">
        <v>15</v>
      </c>
      <c r="G1632" s="27" t="s">
        <v>36</v>
      </c>
      <c r="H1632" s="27" t="s">
        <v>37</v>
      </c>
      <c r="I1632" s="27" t="s">
        <v>38</v>
      </c>
      <c r="J1632" s="27" t="s">
        <v>39</v>
      </c>
      <c r="K1632" s="27" t="s">
        <v>40</v>
      </c>
      <c r="L1632" s="27" t="s">
        <v>41</v>
      </c>
      <c r="M1632" s="27" t="s">
        <v>42</v>
      </c>
      <c r="N1632" s="27" t="s">
        <v>43</v>
      </c>
      <c r="O1632" s="27" t="s">
        <v>9</v>
      </c>
      <c r="P1632" s="27" t="s">
        <v>12</v>
      </c>
      <c r="Q1632" s="27" t="s">
        <v>19</v>
      </c>
      <c r="R1632" s="27" t="s">
        <v>55</v>
      </c>
      <c r="S1632" s="27" t="s">
        <v>26</v>
      </c>
      <c r="T1632" s="19" t="s">
        <v>25</v>
      </c>
      <c r="U1632" s="33" t="s">
        <v>27</v>
      </c>
      <c r="V1632" s="33" t="s">
        <v>9</v>
      </c>
      <c r="W1632" s="33" t="s">
        <v>23</v>
      </c>
      <c r="X1632" s="33" t="s">
        <v>12</v>
      </c>
      <c r="Y1632" s="33" t="s">
        <v>26</v>
      </c>
      <c r="Z1632" s="33" t="s">
        <v>25</v>
      </c>
      <c r="AA1632" s="33" t="s">
        <v>27</v>
      </c>
      <c r="AB1632" s="33" t="s">
        <v>9</v>
      </c>
      <c r="AC1632" s="33" t="s">
        <v>23</v>
      </c>
      <c r="AD1632" s="33" t="s">
        <v>12</v>
      </c>
      <c r="AE1632" s="33" t="s">
        <v>26</v>
      </c>
      <c r="AF1632" s="33" t="s">
        <v>25</v>
      </c>
      <c r="AG1632" s="33" t="s">
        <v>27</v>
      </c>
      <c r="AH1632" s="33" t="s">
        <v>9</v>
      </c>
      <c r="AI1632" s="33" t="s">
        <v>23</v>
      </c>
      <c r="AJ1632" s="33" t="s">
        <v>12</v>
      </c>
      <c r="AK1632" s="33" t="s">
        <v>26</v>
      </c>
      <c r="AL1632" s="33" t="s">
        <v>25</v>
      </c>
      <c r="AM1632" s="33" t="s">
        <v>27</v>
      </c>
      <c r="AN1632" s="33" t="s">
        <v>9</v>
      </c>
      <c r="AO1632" s="33" t="s">
        <v>23</v>
      </c>
      <c r="AP1632" s="33" t="s">
        <v>12</v>
      </c>
      <c r="AQ1632" s="33" t="s">
        <v>26</v>
      </c>
      <c r="AR1632" s="33" t="s">
        <v>25</v>
      </c>
      <c r="AS1632" s="33" t="s">
        <v>27</v>
      </c>
      <c r="AT1632" s="33" t="s">
        <v>9</v>
      </c>
      <c r="AU1632" s="33" t="s">
        <v>23</v>
      </c>
      <c r="AV1632" s="33" t="s">
        <v>12</v>
      </c>
      <c r="AW1632" s="33" t="s">
        <v>26</v>
      </c>
      <c r="AX1632" s="33" t="s">
        <v>25</v>
      </c>
      <c r="AY1632" s="33" t="s">
        <v>27</v>
      </c>
      <c r="AZ1632" s="33" t="s">
        <v>9</v>
      </c>
      <c r="BA1632" s="33" t="s">
        <v>23</v>
      </c>
      <c r="BB1632" s="33" t="s">
        <v>12</v>
      </c>
      <c r="BC1632" s="33" t="s">
        <v>26</v>
      </c>
      <c r="BD1632" s="33" t="s">
        <v>25</v>
      </c>
      <c r="BE1632" s="33" t="s">
        <v>27</v>
      </c>
      <c r="BF1632" s="33" t="s">
        <v>9</v>
      </c>
      <c r="BG1632" s="33" t="s">
        <v>23</v>
      </c>
      <c r="BH1632" s="33" t="s">
        <v>12</v>
      </c>
      <c r="BI1632" s="33" t="s">
        <v>26</v>
      </c>
      <c r="BJ1632" s="33" t="s">
        <v>25</v>
      </c>
      <c r="BK1632" s="33" t="s">
        <v>27</v>
      </c>
      <c r="BL1632" s="33" t="s">
        <v>9</v>
      </c>
      <c r="BM1632" s="33" t="s">
        <v>23</v>
      </c>
      <c r="BN1632" s="33" t="s">
        <v>12</v>
      </c>
      <c r="BO1632" s="33" t="s">
        <v>26</v>
      </c>
      <c r="BP1632" s="33" t="s">
        <v>25</v>
      </c>
      <c r="BQ1632" s="33" t="s">
        <v>27</v>
      </c>
      <c r="BR1632" s="33" t="s">
        <v>9</v>
      </c>
      <c r="BS1632" s="33" t="s">
        <v>23</v>
      </c>
      <c r="BT1632" s="33" t="s">
        <v>12</v>
      </c>
      <c r="BU1632" s="33" t="s">
        <v>26</v>
      </c>
      <c r="BV1632" s="33" t="s">
        <v>25</v>
      </c>
      <c r="BW1632" s="33" t="s">
        <v>27</v>
      </c>
      <c r="BX1632" s="33" t="s">
        <v>9</v>
      </c>
      <c r="BY1632" s="33" t="s">
        <v>23</v>
      </c>
      <c r="BZ1632" s="33" t="s">
        <v>12</v>
      </c>
      <c r="CA1632" s="33" t="s">
        <v>26</v>
      </c>
      <c r="CB1632" s="33" t="s">
        <v>25</v>
      </c>
      <c r="CC1632" s="33" t="s">
        <v>27</v>
      </c>
      <c r="CD1632" s="33" t="s">
        <v>9</v>
      </c>
      <c r="CE1632" s="33" t="s">
        <v>23</v>
      </c>
      <c r="CF1632" s="33" t="s">
        <v>12</v>
      </c>
      <c r="CG1632" s="33" t="s">
        <v>26</v>
      </c>
      <c r="CH1632" s="33" t="s">
        <v>25</v>
      </c>
      <c r="CI1632" s="8"/>
    </row>
    <row r="1633" spans="1:87" x14ac:dyDescent="0.2">
      <c r="A1633" s="8" t="str">
        <f>IF(AND(COUNTIF(W$3:W$13,A$15)&gt;0,A$15&lt;&gt;B1562),A$15,IFERROR(IF(MATCH(A$15,Z$3:Z$13,0)=4,A$15," ")," "))</f>
        <v xml:space="preserve"> </v>
      </c>
      <c r="B1633" s="8" t="str">
        <f>IF(A1633=" "," ",1)</f>
        <v xml:space="preserve"> </v>
      </c>
      <c r="C1633" s="8" t="str">
        <f>IFERROR(INDEX(A1633:A1654,MATCH(SMALL(B1633:B1654,1),B1633:B1654,0),1)," ")</f>
        <v>C3</v>
      </c>
      <c r="D1633" s="8">
        <f>IFERROR(VLOOKUP($C1633,$A$15:$O$36,2,FALSE)," ")</f>
        <v>2</v>
      </c>
      <c r="E1633" s="8">
        <f>IFERROR(VLOOKUP($C1633,$A$15:$O$36,3,FALSE)," ")</f>
        <v>5</v>
      </c>
      <c r="F1633" s="8">
        <f>IFERROR(VLOOKUP($C1633,$A$15:$O$36,4,FALSE)," ")</f>
        <v>6</v>
      </c>
      <c r="G1633" s="8">
        <f>IFERROR(VLOOKUP($C1633,$A$15:$O$36,5,FALSE)," ")</f>
        <v>0</v>
      </c>
      <c r="H1633" s="8">
        <f>IFERROR(VLOOKUP($C1633,$A$15:$O$36,6,FALSE)," ")</f>
        <v>0</v>
      </c>
      <c r="I1633" s="8">
        <f>IFERROR(VLOOKUP($C1633,$A$15:$O$36,7,FALSE)," ")</f>
        <v>0</v>
      </c>
      <c r="J1633" s="8">
        <f>IFERROR(VLOOKUP($C1633,$A$15:$O$36,8,FALSE)," ")</f>
        <v>0</v>
      </c>
      <c r="K1633" s="8">
        <f>IFERROR(VLOOKUP($C1633,$A$15:$O$36,9,FALSE)," ")</f>
        <v>0</v>
      </c>
      <c r="L1633" s="8">
        <f>IFERROR(VLOOKUP($C1633,$A$15:$O$36,10,FALSE)," ")</f>
        <v>0</v>
      </c>
      <c r="M1633" s="8">
        <f>IFERROR(VLOOKUP($C1633,$A$15:$O$36,11,FALSE)," ")</f>
        <v>0</v>
      </c>
      <c r="N1633" s="8">
        <f>IFERROR(VLOOKUP($C1633,$A$15:$O$36,12,FALSE)," ")</f>
        <v>0</v>
      </c>
      <c r="O1633" s="8">
        <f>IFERROR(VLOOKUP($C1633,$A$15:$O$36,15,FALSE)," ")</f>
        <v>2000</v>
      </c>
      <c r="P1633" s="8" t="e">
        <f t="array" ref="P1633:P1643">MMULT(MINVERSE(D1633:N1643),O1633:O1643)</f>
        <v>#NUM!</v>
      </c>
      <c r="Q1633" s="8" t="e">
        <f t="shared" ref="Q1633" si="7019">IF(COUNTIF(P1633:P1643,"&lt;"&amp;-0.001)=0,IF(ABS(P1633)&lt;0.001,0,P1633)," ")</f>
        <v>#NUM!</v>
      </c>
      <c r="R1633" s="8" t="str">
        <f>IFERROR(VLOOKUP(B1562,A$15:L$36,2,FALSE)*Q1633+VLOOKUP(B1562,A$15:L$36,3,FALSE)*Q1634+VLOOKUP(B1562,A$15:L$36,4,FALSE)*Q1635+VLOOKUP(B1562,A$15:L$36,5,FALSE)*Q1636+VLOOKUP(B1562,A$15:L$36,6,FALSE)*Q1637+VLOOKUP(B1562,A$15:L$36,7,FALSE)*Q1638+VLOOKUP(B1562,A$15:L$36,8,FALSE)*Q1639+VLOOKUP(B1562,A$15:L$36,9,FALSE)*Q1640+VLOOKUP(B1562,A$15:L$36,10,FALSE)*Q1641+VLOOKUP(B1562,A$15:L$36,11,FALSE)*Q1642+VLOOKUP(B1562,A$15:L$36,12,FALSE)*Q1643," ")</f>
        <v xml:space="preserve"> </v>
      </c>
      <c r="S1633" s="8" t="str">
        <f>IFERROR(IF(R1633-VLOOKUP(B1562,A$15:O$36,15,FALSE)&lt;0,R1633-VLOOKUP(B1562,A$15:O$36,15,FALSE)," ")," ")</f>
        <v xml:space="preserve"> </v>
      </c>
      <c r="T1633" s="18" t="str">
        <f>IFERROR(IF(R1633-VLOOKUP(B1562,A$15:O$36,15,FALSE)&gt;0,R1633-VLOOKUP(B1562,A$15:O$36,15,FALSE)," ")," ")</f>
        <v xml:space="preserve"> </v>
      </c>
      <c r="U1633" s="34">
        <f t="shared" ref="U1633" si="7020">$M$2</f>
        <v>100.00000000000001</v>
      </c>
      <c r="V1633" s="34">
        <v>-1</v>
      </c>
      <c r="W1633" s="34">
        <f t="shared" ref="W1633" si="7021">-SUMPRODUCT($M$3:$M$12,$N$3:$N$12)</f>
        <v>-105000</v>
      </c>
      <c r="X1633" s="34" t="e">
        <f t="shared" ref="X1633" si="7022">IF(U1633&lt;&gt;U1634,MMULT(MINVERSE(U1633:V1634),W1633:W1634)," ")</f>
        <v>#NUM!</v>
      </c>
      <c r="Y1633" s="34" t="str">
        <f t="shared" ref="Y1633" si="7023">IFERROR(IF(X1633-VLOOKUP(U$38,$A$2:$N$12,14,FALSE)&lt;0,X1633-VLOOKUP(U$38,$A$2:$N$12,14,FALSE)," ")," ")</f>
        <v xml:space="preserve"> </v>
      </c>
      <c r="Z1633" s="34" t="str">
        <f t="shared" ref="Z1633" si="7024">IFERROR(IF(X1633-VLOOKUP(U$38,$A$2:$N$12,14,FALSE)&gt;0,X1633-VLOOKUP(U$38,$A$2:$N$12,14,FALSE)," ")," ")</f>
        <v xml:space="preserve"> </v>
      </c>
      <c r="AA1633" s="34">
        <f t="shared" ref="AA1633" si="7025">$M$3</f>
        <v>0</v>
      </c>
      <c r="AB1633" s="34">
        <v>-1</v>
      </c>
      <c r="AC1633" s="34">
        <f t="shared" ref="AC1633" si="7026">-SUMPRODUCT($M$2:$M$2,$N$2:$N$2)-SUMPRODUCT($M$4:$M$12,$N$4:$N$12)</f>
        <v>-120000</v>
      </c>
      <c r="AD1633" s="34" t="e">
        <f t="shared" ref="AD1633" si="7027">IF(AA1633&lt;&gt;AA1634,MMULT(MINVERSE(AA1633:AB1634),AC1633:AC1634)," ")</f>
        <v>#NUM!</v>
      </c>
      <c r="AE1633" s="34" t="str">
        <f t="shared" ref="AE1633" si="7028">IFERROR(IF(AD1633-VLOOKUP(AA$38,$A$2:$N$12,14,FALSE)&lt;0,AD1633-VLOOKUP(AA$38,$A$2:$N$12,14,FALSE)," ")," ")</f>
        <v xml:space="preserve"> </v>
      </c>
      <c r="AF1633" s="34" t="str">
        <f t="shared" ref="AF1633" si="7029">IFERROR(IF(AD1633-VLOOKUP(AA$38,$A$2:$N$12,14,FALSE)&gt;0,AD1633-VLOOKUP(AA$38,$A$2:$N$12,14,FALSE)," ")," ")</f>
        <v xml:space="preserve"> </v>
      </c>
      <c r="AG1633" s="34">
        <f t="shared" ref="AG1633" si="7030">$M$4</f>
        <v>300</v>
      </c>
      <c r="AH1633" s="34">
        <v>-1</v>
      </c>
      <c r="AI1633" s="34">
        <f t="shared" ref="AI1633" si="7031">-SUMPRODUCT($M$2:$M$3,$N$2:$N$3)-SUMPRODUCT($M$5:$M$12,$N$5:$N$12)</f>
        <v>-15000.000000000002</v>
      </c>
      <c r="AJ1633" s="34" t="e">
        <f t="shared" ref="AJ1633" si="7032">IF(AG1633&lt;&gt;AG1634,MMULT(MINVERSE(AG1633:AH1634),AI1633:AI1634)," ")</f>
        <v>#NUM!</v>
      </c>
      <c r="AK1633" s="34" t="str">
        <f t="shared" ref="AK1633" si="7033">IFERROR(IF(AJ1633-VLOOKUP(AG$38,$A$2:$N$12,14,FALSE)&lt;0,AJ1633-VLOOKUP(AG$38,$A$2:$N$12,14,FALSE)," ")," ")</f>
        <v xml:space="preserve"> </v>
      </c>
      <c r="AL1633" s="34" t="str">
        <f t="shared" ref="AL1633" si="7034">IFERROR(IF(AJ1633-VLOOKUP(AG$38,$A$2:$N$12,14,FALSE)&gt;0,AJ1633-VLOOKUP(AG$38,$A$2:$N$12,14,FALSE)," ")," ")</f>
        <v xml:space="preserve"> </v>
      </c>
      <c r="AM1633" s="34">
        <f t="shared" ref="AM1633" si="7035">$M$5</f>
        <v>0</v>
      </c>
      <c r="AN1633" s="34">
        <v>-1</v>
      </c>
      <c r="AO1633" s="34">
        <f t="shared" ref="AO1633" si="7036">-SUMPRODUCT($M$2:$M$4,$N$2:$N$4)-SUMPRODUCT($M$6:$M$12,$N$6:$N$12)</f>
        <v>-120000</v>
      </c>
      <c r="AP1633" s="34" t="e">
        <f t="shared" ref="AP1633" si="7037">IF(AM1633&lt;&gt;AM1634,MMULT(MINVERSE(AM1633:AN1634),AO1633:AO1634)," ")</f>
        <v>#NUM!</v>
      </c>
      <c r="AQ1633" s="34" t="str">
        <f t="shared" ref="AQ1633" si="7038">IFERROR(IF(AP1633-VLOOKUP(AM$38,$A$2:$N$12,14,FALSE)&lt;0,AP1633-VLOOKUP(AM$38,$A$2:$N$12,14,FALSE)," ")," ")</f>
        <v xml:space="preserve"> </v>
      </c>
      <c r="AR1633" s="34" t="str">
        <f t="shared" ref="AR1633" si="7039">IFERROR(IF(AP1633-VLOOKUP(AM$38,$A$2:$N$12,14,FALSE)&gt;0,AP1633-VLOOKUP(AM$38,$A$2:$N$12,14,FALSE)," ")," ")</f>
        <v xml:space="preserve"> </v>
      </c>
      <c r="AS1633" s="34">
        <f t="shared" ref="AS1633" si="7040">$M$6</f>
        <v>0</v>
      </c>
      <c r="AT1633" s="34">
        <v>-1</v>
      </c>
      <c r="AU1633" s="34">
        <f t="shared" ref="AU1633" si="7041">-SUMPRODUCT($M$2:$M$5,$N$2:$N$5)-SUMPRODUCT($M$7:$M$12,$N$7:$N$12)</f>
        <v>-120000</v>
      </c>
      <c r="AV1633" s="34" t="e">
        <f t="shared" ref="AV1633" si="7042">IF(AS1633&lt;&gt;AS1634,MMULT(MINVERSE(AS1633:AT1634),AU1633:AU1634)," ")</f>
        <v>#NUM!</v>
      </c>
      <c r="AW1633" s="34" t="str">
        <f t="shared" ref="AW1633" si="7043">IFERROR(IF(AV1633-VLOOKUP(AS$38,$A$2:$N$12,14,FALSE)&lt;0,AV1633-VLOOKUP(AS$38,$A$2:$N$12,14,FALSE)," ")," ")</f>
        <v xml:space="preserve"> </v>
      </c>
      <c r="AX1633" s="34" t="str">
        <f t="shared" ref="AX1633" si="7044">IFERROR(IF(AV1633-VLOOKUP(AS$38,$A$2:$N$12,14,FALSE)&gt;0,AV1633-VLOOKUP(AS$38,$A$2:$N$12,14,FALSE)," ")," ")</f>
        <v xml:space="preserve"> </v>
      </c>
      <c r="AY1633" s="34">
        <f t="shared" ref="AY1633" si="7045">$M$7</f>
        <v>0</v>
      </c>
      <c r="AZ1633" s="34">
        <v>-1</v>
      </c>
      <c r="BA1633" s="34">
        <f t="shared" ref="BA1633" si="7046">-SUMPRODUCT($M$2:$M$6,$N$2:$N$6)-SUMPRODUCT($M$8:$M$12,$N$8:$N$12)</f>
        <v>-120000</v>
      </c>
      <c r="BB1633" s="34" t="e">
        <f t="shared" ref="BB1633" si="7047">IF(AY1633&lt;&gt;AY1634,MMULT(MINVERSE(AY1633:AZ1634),BA1633:BA1634)," ")</f>
        <v>#NUM!</v>
      </c>
      <c r="BC1633" s="34" t="str">
        <f t="shared" ref="BC1633" si="7048">IFERROR(IF(BB1633-VLOOKUP(AY$38,$A$2:$N$12,14,FALSE)&lt;0,BB1633-VLOOKUP(AY$38,$A$2:$N$12,14,FALSE)," ")," ")</f>
        <v xml:space="preserve"> </v>
      </c>
      <c r="BD1633" s="34" t="str">
        <f t="shared" ref="BD1633" si="7049">IFERROR(IF(BB1633-VLOOKUP(AY$38,$A$2:$N$12,14,FALSE)&gt;0,BB1633-VLOOKUP(AY$38,$A$2:$N$12,14,FALSE)," ")," ")</f>
        <v xml:space="preserve"> </v>
      </c>
      <c r="BE1633" s="34">
        <f t="shared" ref="BE1633" si="7050">$M$8</f>
        <v>0</v>
      </c>
      <c r="BF1633" s="34">
        <v>-1</v>
      </c>
      <c r="BG1633" s="34">
        <f t="shared" ref="BG1633" si="7051">-SUMPRODUCT($M$2:$M$7,$N$2:$N$7)-SUMPRODUCT($M$9:$M$12,$N$9:$N$12)</f>
        <v>-120000</v>
      </c>
      <c r="BH1633" s="34" t="e">
        <f t="shared" ref="BH1633" si="7052">IF(BE1633&lt;&gt;BE1634,MMULT(MINVERSE(BE1633:BF1634),BG1633:BG1634)," ")</f>
        <v>#NUM!</v>
      </c>
      <c r="BI1633" s="34" t="str">
        <f t="shared" ref="BI1633" si="7053">IFERROR(IF(BH1633-VLOOKUP(BE$38,$A$2:$N$12,14,FALSE)&lt;0,BH1633-VLOOKUP(BE$38,$A$2:$N$12,14,FALSE)," ")," ")</f>
        <v xml:space="preserve"> </v>
      </c>
      <c r="BJ1633" s="34" t="str">
        <f t="shared" ref="BJ1633" si="7054">IFERROR(IF(BH1633-VLOOKUP(BE$38,$A$2:$N$12,14,FALSE)&gt;0,BH1633-VLOOKUP(BE$38,$A$2:$N$12,14,FALSE)," ")," ")</f>
        <v xml:space="preserve"> </v>
      </c>
      <c r="BK1633" s="34">
        <f t="shared" ref="BK1633" si="7055">$M$9</f>
        <v>0</v>
      </c>
      <c r="BL1633" s="34">
        <v>-1</v>
      </c>
      <c r="BM1633" s="34">
        <f t="shared" ref="BM1633" si="7056">-SUMPRODUCT($M$2:$M$8,$N$2:$N$8)-SUMPRODUCT($M$10:$M$12,$N$10:$N$12)</f>
        <v>-120000</v>
      </c>
      <c r="BN1633" s="34" t="e">
        <f t="shared" ref="BN1633" si="7057">IF(BK1633&lt;&gt;BK1634,MMULT(MINVERSE(BK1633:BL1634),BM1633:BM1634)," ")</f>
        <v>#NUM!</v>
      </c>
      <c r="BO1633" s="34" t="str">
        <f t="shared" ref="BO1633" si="7058">IFERROR(IF(BN1633-VLOOKUP(BK$38,$A$2:$N$12,14,FALSE)&lt;0,BN1633-VLOOKUP(BK$38,$A$2:$N$12,14,FALSE)," ")," ")</f>
        <v xml:space="preserve"> </v>
      </c>
      <c r="BP1633" s="34" t="str">
        <f t="shared" ref="BP1633" si="7059">IFERROR(IF(BN1633-VLOOKUP(BK$38,$A$2:$N$12,14,FALSE)&gt;0,BN1633-VLOOKUP(BK$38,$A$2:$N$12,14,FALSE)," ")," ")</f>
        <v xml:space="preserve"> </v>
      </c>
      <c r="BQ1633" s="34">
        <f t="shared" ref="BQ1633" si="7060">$M$10</f>
        <v>0</v>
      </c>
      <c r="BR1633" s="34">
        <v>-1</v>
      </c>
      <c r="BS1633" s="34">
        <f t="shared" ref="BS1633" si="7061">-SUMPRODUCT($M$2:$M$9,$N$2:$N$9)-SUMPRODUCT($M$11:$M$12,$N$11:$N$12)</f>
        <v>-120000</v>
      </c>
      <c r="BT1633" s="34" t="e">
        <f t="shared" ref="BT1633" si="7062">IF(BQ1633&lt;&gt;BQ1634,MMULT(MINVERSE(BQ1633:BR1634),BS1633:BS1634)," ")</f>
        <v>#NUM!</v>
      </c>
      <c r="BU1633" s="34" t="str">
        <f t="shared" ref="BU1633" si="7063">IFERROR(IF(BT1633-VLOOKUP(BQ$38,$A$2:$N$12,14,FALSE)&lt;0,BT1633-VLOOKUP(BQ$38,$A$2:$N$12,14,FALSE)," ")," ")</f>
        <v xml:space="preserve"> </v>
      </c>
      <c r="BV1633" s="34" t="str">
        <f t="shared" ref="BV1633" si="7064">IFERROR(IF(BT1633-VLOOKUP(BQ$38,$A$2:$N$12,14,FALSE)&gt;0,BT1633-VLOOKUP(BQ$38,$A$2:$N$12,14,FALSE)," ")," ")</f>
        <v xml:space="preserve"> </v>
      </c>
      <c r="BW1633" s="34">
        <f t="shared" ref="BW1633" si="7065">$M$11</f>
        <v>0</v>
      </c>
      <c r="BX1633" s="34">
        <v>-1</v>
      </c>
      <c r="BY1633" s="34">
        <f t="shared" ref="BY1633" si="7066">-SUMPRODUCT($M$2:$M$10,$N$2:$N$10)-SUMPRODUCT($M$12,$N$12)</f>
        <v>-120000</v>
      </c>
      <c r="BZ1633" s="34" t="e">
        <f t="shared" ref="BZ1633" si="7067">IF(BW1633&lt;&gt;BW1634,MMULT(MINVERSE(BW1633:BX1634),BY1633:BY1634)," ")</f>
        <v>#NUM!</v>
      </c>
      <c r="CA1633" s="34" t="str">
        <f t="shared" ref="CA1633" si="7068">IFERROR(IF(BZ1633-VLOOKUP(BW$38,$A$2:$N$12,14,FALSE)&lt;0,BZ1633-VLOOKUP(BW$38,$A$2:$N$12,14,FALSE)," ")," ")</f>
        <v xml:space="preserve"> </v>
      </c>
      <c r="CB1633" s="34" t="str">
        <f t="shared" ref="CB1633" si="7069">IFERROR(IF(BZ1633-VLOOKUP(BW$38,$A$2:$N$12,14,FALSE)&gt;0,BZ1633-VLOOKUP(BW$38,$A$2:$N$12,14,FALSE)," ")," ")</f>
        <v xml:space="preserve"> </v>
      </c>
      <c r="CC1633" s="34">
        <f t="shared" ref="CC1633" si="7070">$M$12</f>
        <v>0</v>
      </c>
      <c r="CD1633" s="34">
        <v>-1</v>
      </c>
      <c r="CE1633" s="34">
        <f t="shared" ref="CE1633" si="7071">-SUMPRODUCT($M$2:$M$11,$N$2:$N$11)</f>
        <v>-120000</v>
      </c>
      <c r="CF1633" s="34" t="e">
        <f t="shared" ref="CF1633" si="7072">IF(CC1633&lt;&gt;CC1634,MMULT(MINVERSE(CC1633:CD1634),CE1633:CE1634)," ")</f>
        <v>#NUM!</v>
      </c>
      <c r="CG1633" s="34" t="str">
        <f t="shared" ref="CG1633" si="7073">IFERROR(IF(CF1633-VLOOKUP(CC$38,$A$2:$N$12,14,FALSE)&lt;0,CF1633-VLOOKUP(CC$38,$A$2:$N$12,14,FALSE)," ")," ")</f>
        <v xml:space="preserve"> </v>
      </c>
      <c r="CH1633" s="34" t="str">
        <f t="shared" ref="CH1633" si="7074">IFERROR(IF(CF1633-VLOOKUP(CC$38,$A$2:$N$12,14,FALSE)&gt;0,CF1633-VLOOKUP(CC$38,$A$2:$N$12,14,FALSE)," ")," ")</f>
        <v xml:space="preserve"> </v>
      </c>
      <c r="CI1633" s="8"/>
    </row>
    <row r="1634" spans="1:87" x14ac:dyDescent="0.2">
      <c r="A1634" s="8" t="str">
        <f>IF(AND(COUNTIF(W$3:W$13,A$16)&gt;0,A$16&lt;&gt;B1562),A$16,IFERROR(IF(MATCH(A$16,Z$3:Z$13,0)=4,A$16," ")," "))</f>
        <v xml:space="preserve"> </v>
      </c>
      <c r="B1634" s="8" t="str">
        <f>IF(A1634=" "," ",MAX(B1633:B1633)+1)</f>
        <v xml:space="preserve"> </v>
      </c>
      <c r="C1634" s="8" t="str">
        <f>IFERROR(INDEX(A1633:A1654,MATCH(SMALL(B1633:B1654,2),B1633:B1654,0),1)," ")</f>
        <v>C4</v>
      </c>
      <c r="D1634" s="8">
        <f t="shared" ref="D1634:D1643" si="7075">IFERROR(VLOOKUP($C1634,$A$15:$O$36,2,FALSE)," ")</f>
        <v>1</v>
      </c>
      <c r="E1634" s="8">
        <f t="shared" ref="E1634:E1643" si="7076">IFERROR(VLOOKUP($C1634,$A$15:$O$36,3,FALSE)," ")</f>
        <v>0</v>
      </c>
      <c r="F1634" s="8">
        <f t="shared" ref="F1634:F1643" si="7077">IFERROR(VLOOKUP($C1634,$A$15:$O$36,4,FALSE)," ")</f>
        <v>1</v>
      </c>
      <c r="G1634" s="8">
        <f t="shared" ref="G1634:G1643" si="7078">IFERROR(VLOOKUP($C1634,$A$15:$O$36,5,FALSE)," ")</f>
        <v>0</v>
      </c>
      <c r="H1634" s="8">
        <f t="shared" ref="H1634:H1643" si="7079">IFERROR(VLOOKUP($C1634,$A$15:$O$36,6,FALSE)," ")</f>
        <v>0</v>
      </c>
      <c r="I1634" s="8">
        <f t="shared" ref="I1634:I1643" si="7080">IFERROR(VLOOKUP($C1634,$A$15:$O$36,7,FALSE)," ")</f>
        <v>0</v>
      </c>
      <c r="J1634" s="8">
        <f t="shared" ref="J1634:J1643" si="7081">IFERROR(VLOOKUP($C1634,$A$15:$O$36,8,FALSE)," ")</f>
        <v>0</v>
      </c>
      <c r="K1634" s="8">
        <f t="shared" ref="K1634:K1643" si="7082">IFERROR(VLOOKUP($C1634,$A$15:$O$36,9,FALSE)," ")</f>
        <v>0</v>
      </c>
      <c r="L1634" s="8">
        <f t="shared" ref="L1634:L1643" si="7083">IFERROR(VLOOKUP($C1634,$A$15:$O$36,10,FALSE)," ")</f>
        <v>0</v>
      </c>
      <c r="M1634" s="8">
        <f t="shared" ref="M1634:M1643" si="7084">IFERROR(VLOOKUP($C1634,$A$15:$O$36,11,FALSE)," ")</f>
        <v>0</v>
      </c>
      <c r="N1634" s="8">
        <f t="shared" ref="N1634:N1643" si="7085">IFERROR(VLOOKUP($C1634,$A$15:$O$36,12,FALSE)," ")</f>
        <v>0</v>
      </c>
      <c r="O1634" s="8">
        <f t="shared" ref="O1634:O1643" si="7086">IFERROR(VLOOKUP($C1634,$A$15:$O$36,15,FALSE)," ")</f>
        <v>400</v>
      </c>
      <c r="P1634" s="8" t="e">
        <v>#NUM!</v>
      </c>
      <c r="Q1634" s="8" t="e">
        <f t="shared" ref="Q1634" si="7087">IF(COUNTIF(P1633:P1643,"&lt;"&amp;-0.001)=0,IF(ABS(P1634)&lt;0.001,0,P1634)," ")</f>
        <v>#NUM!</v>
      </c>
      <c r="R1634" s="8"/>
      <c r="S1634" s="8"/>
      <c r="U1634" s="34" t="e">
        <f t="shared" ref="U1634" si="7088">$Q1633</f>
        <v>#NUM!</v>
      </c>
      <c r="V1634" s="34">
        <v>-1</v>
      </c>
      <c r="W1634" s="34" t="e">
        <f t="shared" ref="W1634" si="7089">-SUMPRODUCT($Q1634:$Q1643,$N$3:$N$12)</f>
        <v>#NUM!</v>
      </c>
      <c r="X1634" s="34"/>
      <c r="Y1634" s="34"/>
      <c r="Z1634" s="34"/>
      <c r="AA1634" s="34" t="e">
        <f t="shared" ref="AA1634" si="7090">$Q1634</f>
        <v>#NUM!</v>
      </c>
      <c r="AB1634" s="34">
        <v>-1</v>
      </c>
      <c r="AC1634" s="34" t="e">
        <f t="shared" ref="AC1634" si="7091">-SUMPRODUCT($Q1633:$Q1633,$N$2:$N$2)-SUMPRODUCT($Q1635:$Q1643,$N$4:$N$12)</f>
        <v>#NUM!</v>
      </c>
      <c r="AD1634" s="34"/>
      <c r="AE1634" s="34"/>
      <c r="AF1634" s="34"/>
      <c r="AG1634" s="34" t="e">
        <f t="shared" ref="AG1634" si="7092">$Q1635</f>
        <v>#NUM!</v>
      </c>
      <c r="AH1634" s="34">
        <v>-1</v>
      </c>
      <c r="AI1634" s="34" t="e">
        <f t="shared" ref="AI1634" si="7093">-SUMPRODUCT($Q1633:$Q1634,$N$2:$N$3)-SUMPRODUCT($Q1636:$Q1643,$N$5:$N$12)</f>
        <v>#NUM!</v>
      </c>
      <c r="AJ1634" s="34"/>
      <c r="AK1634" s="34"/>
      <c r="AL1634" s="34"/>
      <c r="AM1634" s="34" t="e">
        <f t="shared" ref="AM1634" si="7094">$Q1636</f>
        <v>#NUM!</v>
      </c>
      <c r="AN1634" s="34">
        <v>-1</v>
      </c>
      <c r="AO1634" s="34" t="e">
        <f t="shared" ref="AO1634" si="7095">-SUMPRODUCT($Q1633:$Q1635,$N$2:$N$4)-SUMPRODUCT($Q1637:$Q1643,$N$6:$N$12)</f>
        <v>#NUM!</v>
      </c>
      <c r="AP1634" s="34"/>
      <c r="AQ1634" s="34"/>
      <c r="AR1634" s="34"/>
      <c r="AS1634" s="34" t="e">
        <f t="shared" ref="AS1634" si="7096">$Q1637</f>
        <v>#NUM!</v>
      </c>
      <c r="AT1634" s="34">
        <v>-1</v>
      </c>
      <c r="AU1634" s="34" t="e">
        <f t="shared" ref="AU1634" si="7097">-SUMPRODUCT($Q1633:$Q1636,$N$2:$N$5)-SUMPRODUCT($Q1638:$Q1643,$N$7:$N$12)</f>
        <v>#NUM!</v>
      </c>
      <c r="AV1634" s="34"/>
      <c r="AW1634" s="34"/>
      <c r="AX1634" s="34"/>
      <c r="AY1634" s="34" t="e">
        <f t="shared" ref="AY1634" si="7098">$Q1638</f>
        <v>#NUM!</v>
      </c>
      <c r="AZ1634" s="34">
        <v>-1</v>
      </c>
      <c r="BA1634" s="34" t="e">
        <f t="shared" ref="BA1634" si="7099">-SUMPRODUCT($Q1633:$Q1637,$N$2:$N$6)-SUMPRODUCT($Q1639:$Q1643,$N$8:$N$12)</f>
        <v>#NUM!</v>
      </c>
      <c r="BB1634" s="34"/>
      <c r="BC1634" s="34"/>
      <c r="BD1634" s="34"/>
      <c r="BE1634" s="34" t="e">
        <f t="shared" ref="BE1634" si="7100">$Q1639</f>
        <v>#NUM!</v>
      </c>
      <c r="BF1634" s="34">
        <v>-1</v>
      </c>
      <c r="BG1634" s="34" t="e">
        <f t="shared" ref="BG1634" si="7101">-SUMPRODUCT($Q1633:$Q1638,$N$2:$N$7)-SUMPRODUCT($Q1640:$Q1643,$N$9:$N$12)</f>
        <v>#NUM!</v>
      </c>
      <c r="BH1634" s="34"/>
      <c r="BI1634" s="34"/>
      <c r="BJ1634" s="34"/>
      <c r="BK1634" s="34" t="e">
        <f t="shared" ref="BK1634" si="7102">$Q1640</f>
        <v>#NUM!</v>
      </c>
      <c r="BL1634" s="34">
        <v>-1</v>
      </c>
      <c r="BM1634" s="34" t="e">
        <f t="shared" ref="BM1634" si="7103">-SUMPRODUCT($Q1633:$Q1639,$N$2:$N$8)-SUMPRODUCT($Q1641:$Q1643,$N$10:$N$12)</f>
        <v>#NUM!</v>
      </c>
      <c r="BN1634" s="34"/>
      <c r="BO1634" s="34"/>
      <c r="BP1634" s="34"/>
      <c r="BQ1634" s="34" t="e">
        <f t="shared" ref="BQ1634" si="7104">$Q1641</f>
        <v>#NUM!</v>
      </c>
      <c r="BR1634" s="34">
        <v>-1</v>
      </c>
      <c r="BS1634" s="34" t="e">
        <f t="shared" ref="BS1634" si="7105">-SUMPRODUCT($Q1633:$Q1640,$N$2:$N$9)-SUMPRODUCT($Q1642:$Q1643,$N$11:$N$12)</f>
        <v>#NUM!</v>
      </c>
      <c r="BT1634" s="34"/>
      <c r="BU1634" s="34"/>
      <c r="BV1634" s="34"/>
      <c r="BW1634" s="34" t="e">
        <f t="shared" ref="BW1634" si="7106">$Q1642</f>
        <v>#NUM!</v>
      </c>
      <c r="BX1634" s="34">
        <v>-1</v>
      </c>
      <c r="BY1634" s="34" t="e">
        <f t="shared" ref="BY1634" si="7107">-SUMPRODUCT($Q1633:$Q1641,$N$2:$N$10)-SUMPRODUCT($Q1643,$N$12)</f>
        <v>#NUM!</v>
      </c>
      <c r="BZ1634" s="34"/>
      <c r="CA1634" s="34"/>
      <c r="CB1634" s="34"/>
      <c r="CC1634" s="34" t="e">
        <f t="shared" ref="CC1634" si="7108">$Q1643</f>
        <v>#NUM!</v>
      </c>
      <c r="CD1634" s="34">
        <v>-1</v>
      </c>
      <c r="CE1634" s="34" t="e">
        <f t="shared" ref="CE1634" si="7109">-SUMPRODUCT($Q1633:$Q1642,$N$2:$N$11)</f>
        <v>#NUM!</v>
      </c>
      <c r="CF1634" s="34"/>
      <c r="CG1634" s="34"/>
      <c r="CH1634" s="34"/>
      <c r="CI1634" s="8"/>
    </row>
    <row r="1635" spans="1:87" x14ac:dyDescent="0.2">
      <c r="A1635" s="8" t="str">
        <f>IF(AND(COUNTIF(W$3:W$13,A$17)&gt;0,A$17&lt;&gt;B1562),A$17,IFERROR(IF(MATCH(A$17,Z$3:Z$13,0)=4,A$17," ")," "))</f>
        <v>C3</v>
      </c>
      <c r="B1635" s="8">
        <f>IF(A1635=" "," ",MAX(B1633:B1634)+1)</f>
        <v>1</v>
      </c>
      <c r="C1635" s="8" t="str">
        <f>IFERROR(INDEX(A1633:A1654,MATCH(SMALL(B1633:B1654,3),B1633:B1654,0),1)," ")</f>
        <v>C6</v>
      </c>
      <c r="D1635" s="8">
        <f t="shared" si="7075"/>
        <v>0</v>
      </c>
      <c r="E1635" s="8">
        <f t="shared" si="7076"/>
        <v>0</v>
      </c>
      <c r="F1635" s="8">
        <f t="shared" si="7077"/>
        <v>0</v>
      </c>
      <c r="G1635" s="8">
        <f t="shared" si="7078"/>
        <v>0</v>
      </c>
      <c r="H1635" s="8">
        <f t="shared" si="7079"/>
        <v>0</v>
      </c>
      <c r="I1635" s="8">
        <f t="shared" si="7080"/>
        <v>0</v>
      </c>
      <c r="J1635" s="8">
        <f t="shared" si="7081"/>
        <v>0</v>
      </c>
      <c r="K1635" s="8">
        <f t="shared" si="7082"/>
        <v>0</v>
      </c>
      <c r="L1635" s="8">
        <f t="shared" si="7083"/>
        <v>0</v>
      </c>
      <c r="M1635" s="8">
        <f t="shared" si="7084"/>
        <v>0</v>
      </c>
      <c r="N1635" s="8">
        <f t="shared" si="7085"/>
        <v>0</v>
      </c>
      <c r="O1635" s="8">
        <f t="shared" si="7086"/>
        <v>0</v>
      </c>
      <c r="P1635" s="8" t="e">
        <v>#NUM!</v>
      </c>
      <c r="Q1635" s="8" t="e">
        <f t="shared" ref="Q1635" si="7110">IF(COUNTIF(P1633:P1643,"&lt;"&amp;-0.001)=0,IF(ABS(P1635)&lt;0.001,0,P1635)," ")</f>
        <v>#NUM!</v>
      </c>
      <c r="R1635" s="8"/>
      <c r="S1635" s="8"/>
      <c r="U1635" s="34"/>
      <c r="V1635" s="34"/>
      <c r="W1635" s="34"/>
      <c r="X1635" s="34"/>
      <c r="Y1635" s="34"/>
      <c r="Z1635" s="34"/>
      <c r="AA1635" s="34"/>
      <c r="AB1635" s="34"/>
      <c r="AC1635" s="34"/>
      <c r="AD1635" s="34"/>
      <c r="AE1635" s="34"/>
      <c r="AF1635" s="34"/>
      <c r="AG1635" s="34"/>
      <c r="AH1635" s="34"/>
      <c r="AI1635" s="34"/>
      <c r="AJ1635" s="34"/>
      <c r="AK1635" s="34"/>
      <c r="AL1635" s="34"/>
      <c r="AM1635" s="34"/>
      <c r="AN1635" s="34"/>
      <c r="AO1635" s="34"/>
      <c r="AP1635" s="34"/>
      <c r="AQ1635" s="34"/>
      <c r="AR1635" s="34"/>
      <c r="AS1635" s="34"/>
      <c r="AT1635" s="34"/>
      <c r="AU1635" s="34"/>
      <c r="AV1635" s="34"/>
      <c r="AW1635" s="34"/>
      <c r="AX1635" s="34"/>
      <c r="AY1635" s="34"/>
      <c r="AZ1635" s="34"/>
      <c r="BA1635" s="34"/>
      <c r="BB1635" s="34"/>
      <c r="BC1635" s="34"/>
      <c r="BD1635" s="34"/>
      <c r="BE1635" s="34"/>
      <c r="BF1635" s="34"/>
      <c r="BG1635" s="34"/>
      <c r="BH1635" s="34"/>
      <c r="BI1635" s="34"/>
      <c r="BJ1635" s="34"/>
      <c r="BK1635" s="34"/>
      <c r="BL1635" s="34"/>
      <c r="BM1635" s="34"/>
      <c r="BN1635" s="34"/>
      <c r="BO1635" s="34"/>
      <c r="BP1635" s="34"/>
      <c r="BQ1635" s="34"/>
      <c r="BR1635" s="34"/>
      <c r="BS1635" s="34"/>
      <c r="BT1635" s="34"/>
      <c r="BU1635" s="34"/>
      <c r="BV1635" s="34"/>
      <c r="BW1635" s="34"/>
      <c r="BX1635" s="34"/>
      <c r="BY1635" s="34"/>
      <c r="BZ1635" s="34"/>
      <c r="CA1635" s="34"/>
      <c r="CB1635" s="34"/>
      <c r="CC1635" s="34"/>
      <c r="CD1635" s="34"/>
      <c r="CE1635" s="34"/>
      <c r="CF1635" s="34"/>
      <c r="CG1635" s="34"/>
      <c r="CH1635" s="34"/>
      <c r="CI1635" s="8"/>
    </row>
    <row r="1636" spans="1:87" x14ac:dyDescent="0.2">
      <c r="A1636" s="8" t="str">
        <f>IF(AND(COUNTIF(W$3:W$13,A$18)&gt;0,A$18&lt;&gt;B1562),A$18,IFERROR(IF(MATCH(A$18,Z$3:Z$13,0)=4,A$18," ")," "))</f>
        <v>C4</v>
      </c>
      <c r="B1636" s="8">
        <f>IF(A1636=" "," ",MAX(B1633:B1635)+1)</f>
        <v>2</v>
      </c>
      <c r="C1636" s="8" t="str">
        <f>IFERROR(INDEX(A1633:A1654,MATCH(SMALL(B1633:B1654,4),B1633:B1654,0),1)," ")</f>
        <v>C13</v>
      </c>
      <c r="D1636" s="8">
        <f t="shared" si="7075"/>
        <v>0</v>
      </c>
      <c r="E1636" s="8">
        <f t="shared" si="7076"/>
        <v>1</v>
      </c>
      <c r="F1636" s="8">
        <f t="shared" si="7077"/>
        <v>0</v>
      </c>
      <c r="G1636" s="8">
        <f t="shared" si="7078"/>
        <v>0</v>
      </c>
      <c r="H1636" s="8">
        <f t="shared" si="7079"/>
        <v>0</v>
      </c>
      <c r="I1636" s="8">
        <f t="shared" si="7080"/>
        <v>0</v>
      </c>
      <c r="J1636" s="8">
        <f t="shared" si="7081"/>
        <v>0</v>
      </c>
      <c r="K1636" s="8">
        <f t="shared" si="7082"/>
        <v>0</v>
      </c>
      <c r="L1636" s="8">
        <f t="shared" si="7083"/>
        <v>0</v>
      </c>
      <c r="M1636" s="8">
        <f t="shared" si="7084"/>
        <v>0</v>
      </c>
      <c r="N1636" s="8">
        <f t="shared" si="7085"/>
        <v>0</v>
      </c>
      <c r="O1636" s="8">
        <f t="shared" si="7086"/>
        <v>0</v>
      </c>
      <c r="P1636" s="8" t="e">
        <v>#NUM!</v>
      </c>
      <c r="Q1636" s="8" t="e">
        <f t="shared" ref="Q1636" si="7111">IF(COUNTIF(P1633:P1643,"&lt;"&amp;-0.001)=0,IF(ABS(P1636)&lt;0.001,0,P1636)," ")</f>
        <v>#NUM!</v>
      </c>
      <c r="R1636" s="8"/>
      <c r="S1636" s="8"/>
      <c r="U1636" s="34"/>
      <c r="V1636" s="34"/>
      <c r="W1636" s="34"/>
      <c r="X1636" s="34"/>
      <c r="Y1636" s="34"/>
      <c r="Z1636" s="34"/>
      <c r="AA1636" s="34"/>
      <c r="AB1636" s="34"/>
      <c r="AC1636" s="34"/>
      <c r="AD1636" s="34"/>
      <c r="AE1636" s="34"/>
      <c r="AF1636" s="34"/>
      <c r="AG1636" s="34"/>
      <c r="AH1636" s="34"/>
      <c r="AI1636" s="34"/>
      <c r="AJ1636" s="34"/>
      <c r="AK1636" s="34"/>
      <c r="AL1636" s="34"/>
      <c r="AM1636" s="34"/>
      <c r="AN1636" s="34"/>
      <c r="AO1636" s="34"/>
      <c r="AP1636" s="34"/>
      <c r="AQ1636" s="34"/>
      <c r="AR1636" s="34"/>
      <c r="AS1636" s="34"/>
      <c r="AT1636" s="34"/>
      <c r="AU1636" s="34"/>
      <c r="AV1636" s="34"/>
      <c r="AW1636" s="34"/>
      <c r="AX1636" s="34"/>
      <c r="AY1636" s="34"/>
      <c r="AZ1636" s="34"/>
      <c r="BA1636" s="34"/>
      <c r="BB1636" s="34"/>
      <c r="BC1636" s="34"/>
      <c r="BD1636" s="34"/>
      <c r="BE1636" s="34"/>
      <c r="BF1636" s="34"/>
      <c r="BG1636" s="34"/>
      <c r="BH1636" s="34"/>
      <c r="BI1636" s="34"/>
      <c r="BJ1636" s="34"/>
      <c r="BK1636" s="34"/>
      <c r="BL1636" s="34"/>
      <c r="BM1636" s="34"/>
      <c r="BN1636" s="34"/>
      <c r="BO1636" s="34"/>
      <c r="BP1636" s="34"/>
      <c r="BQ1636" s="34"/>
      <c r="BR1636" s="34"/>
      <c r="BS1636" s="34"/>
      <c r="BT1636" s="34"/>
      <c r="BU1636" s="34"/>
      <c r="BV1636" s="34"/>
      <c r="BW1636" s="34"/>
      <c r="BX1636" s="34"/>
      <c r="BY1636" s="34"/>
      <c r="BZ1636" s="34"/>
      <c r="CA1636" s="34"/>
      <c r="CB1636" s="34"/>
      <c r="CC1636" s="34"/>
      <c r="CD1636" s="34"/>
      <c r="CE1636" s="34"/>
      <c r="CF1636" s="34"/>
      <c r="CG1636" s="34"/>
      <c r="CH1636" s="34"/>
      <c r="CI1636" s="8"/>
    </row>
    <row r="1637" spans="1:87" x14ac:dyDescent="0.2">
      <c r="A1637" s="8" t="str">
        <f>IF(AND(COUNTIF(W$3:W$13,A$19)&gt;0,A$19&lt;&gt;B1562),A$19,IFERROR(IF(MATCH(A$19,Z$3:Z$13,0)=4,A$19," ")," "))</f>
        <v xml:space="preserve"> </v>
      </c>
      <c r="B1637" s="8" t="str">
        <f>IF(A1637=" "," ",MAX(B1633:B1636)+1)</f>
        <v xml:space="preserve"> </v>
      </c>
      <c r="C1637" s="8" t="str">
        <f>IFERROR(INDEX(A1633:A1654,MATCH(SMALL(B1633:B1654,5),B1633:B1654,0),1)," ")</f>
        <v>C15</v>
      </c>
      <c r="D1637" s="8">
        <f t="shared" si="7075"/>
        <v>0</v>
      </c>
      <c r="E1637" s="8">
        <f t="shared" si="7076"/>
        <v>0</v>
      </c>
      <c r="F1637" s="8">
        <f t="shared" si="7077"/>
        <v>0</v>
      </c>
      <c r="G1637" s="8">
        <f t="shared" si="7078"/>
        <v>1</v>
      </c>
      <c r="H1637" s="8">
        <f t="shared" si="7079"/>
        <v>0</v>
      </c>
      <c r="I1637" s="8">
        <f t="shared" si="7080"/>
        <v>0</v>
      </c>
      <c r="J1637" s="8">
        <f t="shared" si="7081"/>
        <v>0</v>
      </c>
      <c r="K1637" s="8">
        <f t="shared" si="7082"/>
        <v>0</v>
      </c>
      <c r="L1637" s="8">
        <f t="shared" si="7083"/>
        <v>0</v>
      </c>
      <c r="M1637" s="8">
        <f t="shared" si="7084"/>
        <v>0</v>
      </c>
      <c r="N1637" s="8">
        <f t="shared" si="7085"/>
        <v>0</v>
      </c>
      <c r="O1637" s="8">
        <f t="shared" si="7086"/>
        <v>0</v>
      </c>
      <c r="P1637" s="8" t="e">
        <v>#NUM!</v>
      </c>
      <c r="Q1637" s="8" t="e">
        <f t="shared" ref="Q1637" si="7112">IF(COUNTIF(P1633:P1643,"&lt;"&amp;-0.001)=0,IF(ABS(P1637)&lt;0.001,0,P1637)," ")</f>
        <v>#NUM!</v>
      </c>
      <c r="R1637" s="8"/>
      <c r="S1637" s="8"/>
      <c r="U1637" s="34"/>
      <c r="V1637" s="34"/>
      <c r="W1637" s="34"/>
      <c r="X1637" s="34"/>
      <c r="Y1637" s="34"/>
      <c r="Z1637" s="34"/>
      <c r="AA1637" s="34"/>
      <c r="AB1637" s="34"/>
      <c r="AC1637" s="34"/>
      <c r="AD1637" s="34"/>
      <c r="AE1637" s="34"/>
      <c r="AF1637" s="34"/>
      <c r="AG1637" s="34"/>
      <c r="AH1637" s="34"/>
      <c r="AI1637" s="34"/>
      <c r="AJ1637" s="34"/>
      <c r="AK1637" s="34"/>
      <c r="AL1637" s="34"/>
      <c r="AM1637" s="34"/>
      <c r="AN1637" s="34"/>
      <c r="AO1637" s="34"/>
      <c r="AP1637" s="34"/>
      <c r="AQ1637" s="34"/>
      <c r="AR1637" s="34"/>
      <c r="AS1637" s="34"/>
      <c r="AT1637" s="34"/>
      <c r="AU1637" s="34"/>
      <c r="AV1637" s="34"/>
      <c r="AW1637" s="34"/>
      <c r="AX1637" s="34"/>
      <c r="AY1637" s="34"/>
      <c r="AZ1637" s="34"/>
      <c r="BA1637" s="34"/>
      <c r="BB1637" s="34"/>
      <c r="BC1637" s="34"/>
      <c r="BD1637" s="34"/>
      <c r="BE1637" s="34"/>
      <c r="BF1637" s="34"/>
      <c r="BG1637" s="34"/>
      <c r="BH1637" s="34"/>
      <c r="BI1637" s="34"/>
      <c r="BJ1637" s="34"/>
      <c r="BK1637" s="34"/>
      <c r="BL1637" s="34"/>
      <c r="BM1637" s="34"/>
      <c r="BN1637" s="34"/>
      <c r="BO1637" s="34"/>
      <c r="BP1637" s="34"/>
      <c r="BQ1637" s="34"/>
      <c r="BR1637" s="34"/>
      <c r="BS1637" s="34"/>
      <c r="BT1637" s="34"/>
      <c r="BU1637" s="34"/>
      <c r="BV1637" s="34"/>
      <c r="BW1637" s="34"/>
      <c r="BX1637" s="34"/>
      <c r="BY1637" s="34"/>
      <c r="BZ1637" s="34"/>
      <c r="CA1637" s="34"/>
      <c r="CB1637" s="34"/>
      <c r="CC1637" s="34"/>
      <c r="CD1637" s="34"/>
      <c r="CE1637" s="34"/>
      <c r="CF1637" s="34"/>
      <c r="CG1637" s="34"/>
      <c r="CH1637" s="34"/>
      <c r="CI1637" s="8"/>
    </row>
    <row r="1638" spans="1:87" x14ac:dyDescent="0.2">
      <c r="A1638" s="8" t="str">
        <f>IF(AND(COUNTIF(W$3:W$13,A$20)&gt;0,A$20&lt;&gt;B1562),A$20,IFERROR(IF(MATCH(A$20,Z$3:Z$13,0)=4,A$20," ")," "))</f>
        <v>C6</v>
      </c>
      <c r="B1638" s="8">
        <f>IF(A1638=" "," ",MAX(B1633:B1637)+1)</f>
        <v>3</v>
      </c>
      <c r="C1638" s="8" t="str">
        <f>IFERROR(INDEX(A1633:A1654,MATCH(SMALL(B1633:B1654,6),B1633:B1654,0),1)," ")</f>
        <v>C16</v>
      </c>
      <c r="D1638" s="8">
        <f t="shared" si="7075"/>
        <v>0</v>
      </c>
      <c r="E1638" s="8">
        <f t="shared" si="7076"/>
        <v>0</v>
      </c>
      <c r="F1638" s="8">
        <f t="shared" si="7077"/>
        <v>0</v>
      </c>
      <c r="G1638" s="8">
        <f t="shared" si="7078"/>
        <v>0</v>
      </c>
      <c r="H1638" s="8">
        <f t="shared" si="7079"/>
        <v>1</v>
      </c>
      <c r="I1638" s="8">
        <f t="shared" si="7080"/>
        <v>0</v>
      </c>
      <c r="J1638" s="8">
        <f t="shared" si="7081"/>
        <v>0</v>
      </c>
      <c r="K1638" s="8">
        <f t="shared" si="7082"/>
        <v>0</v>
      </c>
      <c r="L1638" s="8">
        <f t="shared" si="7083"/>
        <v>0</v>
      </c>
      <c r="M1638" s="8">
        <f t="shared" si="7084"/>
        <v>0</v>
      </c>
      <c r="N1638" s="8">
        <f t="shared" si="7085"/>
        <v>0</v>
      </c>
      <c r="O1638" s="8">
        <f t="shared" si="7086"/>
        <v>0</v>
      </c>
      <c r="P1638" s="8" t="e">
        <v>#NUM!</v>
      </c>
      <c r="Q1638" s="8" t="e">
        <f t="shared" ref="Q1638" si="7113">IF(COUNTIF(P1633:P1643,"&lt;"&amp;-0.001)=0,IF(ABS(P1638)&lt;0.001,0,P1638)," ")</f>
        <v>#NUM!</v>
      </c>
      <c r="R1638" s="8"/>
      <c r="S1638" s="8"/>
      <c r="U1638" s="34"/>
      <c r="V1638" s="34"/>
      <c r="W1638" s="34"/>
      <c r="X1638" s="34"/>
      <c r="Y1638" s="34"/>
      <c r="Z1638" s="34"/>
      <c r="AA1638" s="34"/>
      <c r="AB1638" s="34"/>
      <c r="AC1638" s="34"/>
      <c r="AD1638" s="34"/>
      <c r="AE1638" s="34"/>
      <c r="AF1638" s="34"/>
      <c r="AG1638" s="34"/>
      <c r="AH1638" s="34"/>
      <c r="AI1638" s="34"/>
      <c r="AJ1638" s="34"/>
      <c r="AK1638" s="34"/>
      <c r="AL1638" s="34"/>
      <c r="AM1638" s="34"/>
      <c r="AN1638" s="34"/>
      <c r="AO1638" s="34"/>
      <c r="AP1638" s="34"/>
      <c r="AQ1638" s="34"/>
      <c r="AR1638" s="34"/>
      <c r="AS1638" s="34"/>
      <c r="AT1638" s="34"/>
      <c r="AU1638" s="34"/>
      <c r="AV1638" s="34"/>
      <c r="AW1638" s="34"/>
      <c r="AX1638" s="34"/>
      <c r="AY1638" s="34"/>
      <c r="AZ1638" s="34"/>
      <c r="BA1638" s="34"/>
      <c r="BB1638" s="34"/>
      <c r="BC1638" s="34"/>
      <c r="BD1638" s="34"/>
      <c r="BE1638" s="34"/>
      <c r="BF1638" s="34"/>
      <c r="BG1638" s="34"/>
      <c r="BH1638" s="34"/>
      <c r="BI1638" s="34"/>
      <c r="BJ1638" s="34"/>
      <c r="BK1638" s="34"/>
      <c r="BL1638" s="34"/>
      <c r="BM1638" s="34"/>
      <c r="BN1638" s="34"/>
      <c r="BO1638" s="34"/>
      <c r="BP1638" s="34"/>
      <c r="BQ1638" s="34"/>
      <c r="BR1638" s="34"/>
      <c r="BS1638" s="34"/>
      <c r="BT1638" s="34"/>
      <c r="BU1638" s="34"/>
      <c r="BV1638" s="34"/>
      <c r="BW1638" s="34"/>
      <c r="BX1638" s="34"/>
      <c r="BY1638" s="34"/>
      <c r="BZ1638" s="34"/>
      <c r="CA1638" s="34"/>
      <c r="CB1638" s="34"/>
      <c r="CC1638" s="34"/>
      <c r="CD1638" s="34"/>
      <c r="CE1638" s="34"/>
      <c r="CF1638" s="34"/>
      <c r="CG1638" s="34"/>
      <c r="CH1638" s="34"/>
      <c r="CI1638" s="8"/>
    </row>
    <row r="1639" spans="1:87" x14ac:dyDescent="0.2">
      <c r="A1639" s="8" t="str">
        <f>IF(AND(COUNTIF(W$3:W$13,A$21)&gt;0,A$21&lt;&gt;B1562),A$21,IFERROR(IF(MATCH(A$21,Z$3:Z$13,0)=4,A$21," ")," "))</f>
        <v xml:space="preserve"> </v>
      </c>
      <c r="B1639" s="8" t="str">
        <f>IF(A1639=" "," ",MAX(B1633:B1638)+1)</f>
        <v xml:space="preserve"> </v>
      </c>
      <c r="C1639" s="8" t="str">
        <f>IFERROR(INDEX(A1633:A1654,MATCH(SMALL(B1633:B1654,7),B1633:B1654,0),1)," ")</f>
        <v>C17</v>
      </c>
      <c r="D1639" s="8">
        <f t="shared" si="7075"/>
        <v>0</v>
      </c>
      <c r="E1639" s="8">
        <f t="shared" si="7076"/>
        <v>0</v>
      </c>
      <c r="F1639" s="8">
        <f t="shared" si="7077"/>
        <v>0</v>
      </c>
      <c r="G1639" s="8">
        <f t="shared" si="7078"/>
        <v>0</v>
      </c>
      <c r="H1639" s="8">
        <f t="shared" si="7079"/>
        <v>0</v>
      </c>
      <c r="I1639" s="8">
        <f t="shared" si="7080"/>
        <v>1</v>
      </c>
      <c r="J1639" s="8">
        <f t="shared" si="7081"/>
        <v>0</v>
      </c>
      <c r="K1639" s="8">
        <f t="shared" si="7082"/>
        <v>0</v>
      </c>
      <c r="L1639" s="8">
        <f t="shared" si="7083"/>
        <v>0</v>
      </c>
      <c r="M1639" s="8">
        <f t="shared" si="7084"/>
        <v>0</v>
      </c>
      <c r="N1639" s="8">
        <f t="shared" si="7085"/>
        <v>0</v>
      </c>
      <c r="O1639" s="8">
        <f t="shared" si="7086"/>
        <v>0</v>
      </c>
      <c r="P1639" s="8" t="e">
        <v>#NUM!</v>
      </c>
      <c r="Q1639" s="8" t="e">
        <f t="shared" ref="Q1639" si="7114">IF(COUNTIF(P1633:P1643,"&lt;"&amp;-0.001)=0,IF(ABS(P1639)&lt;0.001,0,P1639)," ")</f>
        <v>#NUM!</v>
      </c>
      <c r="R1639" s="8"/>
      <c r="S1639" s="8"/>
      <c r="U1639" s="34"/>
      <c r="V1639" s="34"/>
      <c r="W1639" s="34"/>
      <c r="X1639" s="34"/>
      <c r="Y1639" s="34"/>
      <c r="Z1639" s="34"/>
      <c r="AA1639" s="34"/>
      <c r="AB1639" s="34"/>
      <c r="AC1639" s="34"/>
      <c r="AD1639" s="34"/>
      <c r="AE1639" s="34"/>
      <c r="AF1639" s="34"/>
      <c r="AG1639" s="34"/>
      <c r="AH1639" s="34"/>
      <c r="AI1639" s="34"/>
      <c r="AJ1639" s="34"/>
      <c r="AK1639" s="34"/>
      <c r="AL1639" s="34"/>
      <c r="AM1639" s="34"/>
      <c r="AN1639" s="34"/>
      <c r="AO1639" s="34"/>
      <c r="AP1639" s="34"/>
      <c r="AQ1639" s="34"/>
      <c r="AR1639" s="34"/>
      <c r="AS1639" s="34"/>
      <c r="AT1639" s="34"/>
      <c r="AU1639" s="34"/>
      <c r="AV1639" s="34"/>
      <c r="AW1639" s="34"/>
      <c r="AX1639" s="34"/>
      <c r="AY1639" s="34"/>
      <c r="AZ1639" s="34"/>
      <c r="BA1639" s="34"/>
      <c r="BB1639" s="34"/>
      <c r="BC1639" s="34"/>
      <c r="BD1639" s="34"/>
      <c r="BE1639" s="34"/>
      <c r="BF1639" s="34"/>
      <c r="BG1639" s="34"/>
      <c r="BH1639" s="34"/>
      <c r="BI1639" s="34"/>
      <c r="BJ1639" s="34"/>
      <c r="BK1639" s="34"/>
      <c r="BL1639" s="34"/>
      <c r="BM1639" s="34"/>
      <c r="BN1639" s="34"/>
      <c r="BO1639" s="34"/>
      <c r="BP1639" s="34"/>
      <c r="BQ1639" s="34"/>
      <c r="BR1639" s="34"/>
      <c r="BS1639" s="34"/>
      <c r="BT1639" s="34"/>
      <c r="BU1639" s="34"/>
      <c r="BV1639" s="34"/>
      <c r="BW1639" s="34"/>
      <c r="BX1639" s="34"/>
      <c r="BY1639" s="34"/>
      <c r="BZ1639" s="34"/>
      <c r="CA1639" s="34"/>
      <c r="CB1639" s="34"/>
      <c r="CC1639" s="34"/>
      <c r="CD1639" s="34"/>
      <c r="CE1639" s="34"/>
      <c r="CF1639" s="34"/>
      <c r="CG1639" s="34"/>
      <c r="CH1639" s="34"/>
      <c r="CI1639" s="8"/>
    </row>
    <row r="1640" spans="1:87" x14ac:dyDescent="0.2">
      <c r="A1640" s="8" t="str">
        <f>IF(AND(COUNTIF(W$3:W$13,A$22)&gt;0,A$22&lt;&gt;B1562),A$22,IFERROR(IF(MATCH(A$22,Z$3:Z$13,0)=4,A$22," ")," "))</f>
        <v xml:space="preserve"> </v>
      </c>
      <c r="B1640" s="8" t="str">
        <f>IF(A1640=" "," ",MAX(B1633:B1639)+1)</f>
        <v xml:space="preserve"> </v>
      </c>
      <c r="C1640" s="8" t="str">
        <f>IFERROR(INDEX(A1633:A1654,MATCH(SMALL(B1633:B1654,8),B1633:B1654,0),1)," ")</f>
        <v>C19</v>
      </c>
      <c r="D1640" s="8">
        <f t="shared" si="7075"/>
        <v>0</v>
      </c>
      <c r="E1640" s="8">
        <f t="shared" si="7076"/>
        <v>0</v>
      </c>
      <c r="F1640" s="8">
        <f t="shared" si="7077"/>
        <v>0</v>
      </c>
      <c r="G1640" s="8">
        <f t="shared" si="7078"/>
        <v>0</v>
      </c>
      <c r="H1640" s="8">
        <f t="shared" si="7079"/>
        <v>0</v>
      </c>
      <c r="I1640" s="8">
        <f t="shared" si="7080"/>
        <v>0</v>
      </c>
      <c r="J1640" s="8">
        <f t="shared" si="7081"/>
        <v>0</v>
      </c>
      <c r="K1640" s="8">
        <f t="shared" si="7082"/>
        <v>1</v>
      </c>
      <c r="L1640" s="8">
        <f t="shared" si="7083"/>
        <v>0</v>
      </c>
      <c r="M1640" s="8">
        <f t="shared" si="7084"/>
        <v>0</v>
      </c>
      <c r="N1640" s="8">
        <f t="shared" si="7085"/>
        <v>0</v>
      </c>
      <c r="O1640" s="8">
        <f t="shared" si="7086"/>
        <v>0</v>
      </c>
      <c r="P1640" s="8" t="e">
        <v>#NUM!</v>
      </c>
      <c r="Q1640" s="8" t="e">
        <f t="shared" ref="Q1640" si="7115">IF(COUNTIF(P1633:P1643,"&lt;"&amp;-0.001)=0,IF(ABS(P1640)&lt;0.001,0,P1640)," ")</f>
        <v>#NUM!</v>
      </c>
      <c r="R1640" s="8"/>
      <c r="S1640" s="8"/>
      <c r="U1640" s="34"/>
      <c r="V1640" s="34"/>
      <c r="W1640" s="34"/>
      <c r="X1640" s="34"/>
      <c r="Y1640" s="34"/>
      <c r="Z1640" s="34"/>
      <c r="AA1640" s="34"/>
      <c r="AB1640" s="34"/>
      <c r="AC1640" s="34"/>
      <c r="AD1640" s="34"/>
      <c r="AE1640" s="34"/>
      <c r="AF1640" s="34"/>
      <c r="AG1640" s="34"/>
      <c r="AH1640" s="34"/>
      <c r="AI1640" s="34"/>
      <c r="AJ1640" s="34"/>
      <c r="AK1640" s="34"/>
      <c r="AL1640" s="34"/>
      <c r="AM1640" s="34"/>
      <c r="AN1640" s="34"/>
      <c r="AO1640" s="34"/>
      <c r="AP1640" s="34"/>
      <c r="AQ1640" s="34"/>
      <c r="AR1640" s="34"/>
      <c r="AS1640" s="34"/>
      <c r="AT1640" s="34"/>
      <c r="AU1640" s="34"/>
      <c r="AV1640" s="34"/>
      <c r="AW1640" s="34"/>
      <c r="AX1640" s="34"/>
      <c r="AY1640" s="34"/>
      <c r="AZ1640" s="34"/>
      <c r="BA1640" s="34"/>
      <c r="BB1640" s="34"/>
      <c r="BC1640" s="34"/>
      <c r="BD1640" s="34"/>
      <c r="BE1640" s="34"/>
      <c r="BF1640" s="34"/>
      <c r="BG1640" s="34"/>
      <c r="BH1640" s="34"/>
      <c r="BI1640" s="34"/>
      <c r="BJ1640" s="34"/>
      <c r="BK1640" s="34"/>
      <c r="BL1640" s="34"/>
      <c r="BM1640" s="34"/>
      <c r="BN1640" s="34"/>
      <c r="BO1640" s="34"/>
      <c r="BP1640" s="34"/>
      <c r="BQ1640" s="34"/>
      <c r="BR1640" s="34"/>
      <c r="BS1640" s="34"/>
      <c r="BT1640" s="34"/>
      <c r="BU1640" s="34"/>
      <c r="BV1640" s="34"/>
      <c r="BW1640" s="34"/>
      <c r="BX1640" s="34"/>
      <c r="BY1640" s="34"/>
      <c r="BZ1640" s="34"/>
      <c r="CA1640" s="34"/>
      <c r="CB1640" s="34"/>
      <c r="CC1640" s="34"/>
      <c r="CD1640" s="34"/>
      <c r="CE1640" s="34"/>
      <c r="CF1640" s="34"/>
      <c r="CG1640" s="34"/>
      <c r="CH1640" s="34"/>
      <c r="CI1640" s="8"/>
    </row>
    <row r="1641" spans="1:87" x14ac:dyDescent="0.2">
      <c r="A1641" s="8" t="str">
        <f>IF(AND(COUNTIF(W$3:W$13,A$23)&gt;0,A$23&lt;&gt;B1562),A$23,IFERROR(IF(MATCH(A$23,Z$3:Z$13,0)=4,A$23," ")," "))</f>
        <v xml:space="preserve"> </v>
      </c>
      <c r="B1641" s="8" t="str">
        <f>IF(A1641=" "," ",MAX(B1633:B1640)+1)</f>
        <v xml:space="preserve"> </v>
      </c>
      <c r="C1641" s="8" t="str">
        <f>IFERROR(INDEX(A1633:A1654,MATCH(SMALL(B1633:B1654,9),B1633:B1654,0),1)," ")</f>
        <v>C20</v>
      </c>
      <c r="D1641" s="8">
        <f t="shared" si="7075"/>
        <v>0</v>
      </c>
      <c r="E1641" s="8">
        <f t="shared" si="7076"/>
        <v>0</v>
      </c>
      <c r="F1641" s="8">
        <f t="shared" si="7077"/>
        <v>0</v>
      </c>
      <c r="G1641" s="8">
        <f t="shared" si="7078"/>
        <v>0</v>
      </c>
      <c r="H1641" s="8">
        <f t="shared" si="7079"/>
        <v>0</v>
      </c>
      <c r="I1641" s="8">
        <f t="shared" si="7080"/>
        <v>0</v>
      </c>
      <c r="J1641" s="8">
        <f t="shared" si="7081"/>
        <v>0</v>
      </c>
      <c r="K1641" s="8">
        <f t="shared" si="7082"/>
        <v>0</v>
      </c>
      <c r="L1641" s="8">
        <f t="shared" si="7083"/>
        <v>1</v>
      </c>
      <c r="M1641" s="8">
        <f t="shared" si="7084"/>
        <v>0</v>
      </c>
      <c r="N1641" s="8">
        <f t="shared" si="7085"/>
        <v>0</v>
      </c>
      <c r="O1641" s="8">
        <f t="shared" si="7086"/>
        <v>0</v>
      </c>
      <c r="P1641" s="6" t="e">
        <v>#NUM!</v>
      </c>
      <c r="Q1641" s="8" t="e">
        <f t="shared" ref="Q1641" si="7116">IF(COUNTIF(P1633:P1643,"&lt;"&amp;-0.001)=0,IF(ABS(P1641)&lt;0.001,0,P1641)," ")</f>
        <v>#NUM!</v>
      </c>
      <c r="R1641" s="8"/>
      <c r="S1641" s="8"/>
      <c r="U1641" s="34"/>
      <c r="V1641" s="34"/>
      <c r="W1641" s="34"/>
      <c r="X1641" s="34"/>
      <c r="Y1641" s="34"/>
      <c r="Z1641" s="34"/>
      <c r="AA1641" s="34"/>
      <c r="AB1641" s="34"/>
      <c r="AC1641" s="34"/>
      <c r="AD1641" s="34"/>
      <c r="AE1641" s="34"/>
      <c r="AF1641" s="34"/>
      <c r="AG1641" s="34"/>
      <c r="AH1641" s="34"/>
      <c r="AI1641" s="34"/>
      <c r="AJ1641" s="34"/>
      <c r="AK1641" s="34"/>
      <c r="AL1641" s="34"/>
      <c r="AM1641" s="34"/>
      <c r="AN1641" s="34"/>
      <c r="AO1641" s="34"/>
      <c r="AP1641" s="34"/>
      <c r="AQ1641" s="34"/>
      <c r="AR1641" s="34"/>
      <c r="AS1641" s="34"/>
      <c r="AT1641" s="34"/>
      <c r="AU1641" s="34"/>
      <c r="AV1641" s="34"/>
      <c r="AW1641" s="34"/>
      <c r="AX1641" s="34"/>
      <c r="AY1641" s="34"/>
      <c r="AZ1641" s="34"/>
      <c r="BA1641" s="34"/>
      <c r="BB1641" s="34"/>
      <c r="BC1641" s="34"/>
      <c r="BD1641" s="34"/>
      <c r="BE1641" s="34"/>
      <c r="BF1641" s="34"/>
      <c r="BG1641" s="34"/>
      <c r="BH1641" s="34"/>
      <c r="BI1641" s="34"/>
      <c r="BJ1641" s="34"/>
      <c r="BK1641" s="34"/>
      <c r="BL1641" s="34"/>
      <c r="BM1641" s="34"/>
      <c r="BN1641" s="34"/>
      <c r="BO1641" s="34"/>
      <c r="BP1641" s="34"/>
      <c r="BQ1641" s="34"/>
      <c r="BR1641" s="34"/>
      <c r="BS1641" s="34"/>
      <c r="BT1641" s="34"/>
      <c r="BU1641" s="34"/>
      <c r="BV1641" s="34"/>
      <c r="BW1641" s="34"/>
      <c r="BX1641" s="34"/>
      <c r="BY1641" s="34"/>
      <c r="BZ1641" s="34"/>
      <c r="CA1641" s="34"/>
      <c r="CB1641" s="34"/>
      <c r="CC1641" s="34"/>
      <c r="CD1641" s="34"/>
      <c r="CE1641" s="34"/>
      <c r="CF1641" s="34"/>
      <c r="CG1641" s="34"/>
      <c r="CH1641" s="34"/>
      <c r="CI1641" s="8"/>
    </row>
    <row r="1642" spans="1:87" x14ac:dyDescent="0.2">
      <c r="A1642" s="8" t="str">
        <f>IF(AND(COUNTIF(W$3:W$13,A$24)&gt;0,A$24&lt;&gt;B1562),A$24,IFERROR(IF(MATCH(A$24,Z$3:Z$13,0)=4,A$24," ")," "))</f>
        <v xml:space="preserve"> </v>
      </c>
      <c r="B1642" s="8" t="str">
        <f>IF(A1642=" "," ",MAX(B1633:B1641)+1)</f>
        <v xml:space="preserve"> </v>
      </c>
      <c r="C1642" s="8" t="str">
        <f>IFERROR(INDEX(A1633:A1654,MATCH(SMALL(B1633:B1654,10),B1633:B1654,0),1)," ")</f>
        <v>C21</v>
      </c>
      <c r="D1642" s="8">
        <f t="shared" si="7075"/>
        <v>0</v>
      </c>
      <c r="E1642" s="8">
        <f t="shared" si="7076"/>
        <v>0</v>
      </c>
      <c r="F1642" s="8">
        <f t="shared" si="7077"/>
        <v>0</v>
      </c>
      <c r="G1642" s="8">
        <f t="shared" si="7078"/>
        <v>0</v>
      </c>
      <c r="H1642" s="8">
        <f t="shared" si="7079"/>
        <v>0</v>
      </c>
      <c r="I1642" s="8">
        <f t="shared" si="7080"/>
        <v>0</v>
      </c>
      <c r="J1642" s="8">
        <f t="shared" si="7081"/>
        <v>0</v>
      </c>
      <c r="K1642" s="8">
        <f t="shared" si="7082"/>
        <v>0</v>
      </c>
      <c r="L1642" s="8">
        <f t="shared" si="7083"/>
        <v>0</v>
      </c>
      <c r="M1642" s="8">
        <f t="shared" si="7084"/>
        <v>1</v>
      </c>
      <c r="N1642" s="8">
        <f t="shared" si="7085"/>
        <v>0</v>
      </c>
      <c r="O1642" s="8">
        <f t="shared" si="7086"/>
        <v>0</v>
      </c>
      <c r="P1642" s="8" t="e">
        <v>#NUM!</v>
      </c>
      <c r="Q1642" s="8" t="e">
        <f t="shared" ref="Q1642" si="7117">IF(COUNTIF(P1633:P1643,"&lt;"&amp;-0.001)=0,IF(ABS(P1642)&lt;0.001,0,P1642)," ")</f>
        <v>#NUM!</v>
      </c>
      <c r="R1642" s="8"/>
      <c r="S1642" s="8"/>
      <c r="U1642" s="34"/>
      <c r="V1642" s="34"/>
      <c r="W1642" s="34"/>
      <c r="X1642" s="34"/>
      <c r="Y1642" s="34"/>
      <c r="Z1642" s="34"/>
      <c r="AA1642" s="34"/>
      <c r="AB1642" s="34"/>
      <c r="AC1642" s="34"/>
      <c r="AD1642" s="34"/>
      <c r="AE1642" s="34"/>
      <c r="AF1642" s="34"/>
      <c r="AG1642" s="34"/>
      <c r="AH1642" s="34"/>
      <c r="AI1642" s="34"/>
      <c r="AJ1642" s="34"/>
      <c r="AK1642" s="34"/>
      <c r="AL1642" s="34"/>
      <c r="AM1642" s="34"/>
      <c r="AN1642" s="34"/>
      <c r="AO1642" s="34"/>
      <c r="AP1642" s="34"/>
      <c r="AQ1642" s="34"/>
      <c r="AR1642" s="34"/>
      <c r="AS1642" s="34"/>
      <c r="AT1642" s="34"/>
      <c r="AU1642" s="34"/>
      <c r="AV1642" s="34"/>
      <c r="AW1642" s="34"/>
      <c r="AX1642" s="34"/>
      <c r="AY1642" s="34"/>
      <c r="AZ1642" s="34"/>
      <c r="BA1642" s="34"/>
      <c r="BB1642" s="34"/>
      <c r="BC1642" s="34"/>
      <c r="BD1642" s="34"/>
      <c r="BE1642" s="34"/>
      <c r="BF1642" s="34"/>
      <c r="BG1642" s="34"/>
      <c r="BH1642" s="34"/>
      <c r="BI1642" s="34"/>
      <c r="BJ1642" s="34"/>
      <c r="BK1642" s="34"/>
      <c r="BL1642" s="34"/>
      <c r="BM1642" s="34"/>
      <c r="BN1642" s="34"/>
      <c r="BO1642" s="34"/>
      <c r="BP1642" s="34"/>
      <c r="BQ1642" s="34"/>
      <c r="BR1642" s="34"/>
      <c r="BS1642" s="34"/>
      <c r="BT1642" s="34"/>
      <c r="BU1642" s="34"/>
      <c r="BV1642" s="34"/>
      <c r="BW1642" s="34"/>
      <c r="BX1642" s="34"/>
      <c r="BY1642" s="34"/>
      <c r="BZ1642" s="34"/>
      <c r="CA1642" s="34"/>
      <c r="CB1642" s="34"/>
      <c r="CC1642" s="34"/>
      <c r="CD1642" s="34"/>
      <c r="CE1642" s="34"/>
      <c r="CF1642" s="34"/>
      <c r="CG1642" s="34"/>
      <c r="CH1642" s="34"/>
      <c r="CI1642" s="8"/>
    </row>
    <row r="1643" spans="1:87" x14ac:dyDescent="0.2">
      <c r="A1643" s="8" t="str">
        <f>IF(AND(COUNTIF(W$3:W$13,A$25)&gt;0,A$25&lt;&gt;B1562),A$25,IFERROR(IF(MATCH(A$25,Z$3:Z$13,0)=4,A$25," ")," "))</f>
        <v xml:space="preserve"> </v>
      </c>
      <c r="B1643" s="8" t="str">
        <f>IF(A1643=" "," ",MAX(B1633:B1642)+1)</f>
        <v xml:space="preserve"> </v>
      </c>
      <c r="C1643" s="8" t="str">
        <f>IFERROR(INDEX(A1633:A1654,MATCH(SMALL(B1633:B1654,11),B1633:B1654,0),1)," ")</f>
        <v>C22</v>
      </c>
      <c r="D1643" s="8">
        <f t="shared" si="7075"/>
        <v>0</v>
      </c>
      <c r="E1643" s="8">
        <f t="shared" si="7076"/>
        <v>0</v>
      </c>
      <c r="F1643" s="8">
        <f t="shared" si="7077"/>
        <v>0</v>
      </c>
      <c r="G1643" s="8">
        <f t="shared" si="7078"/>
        <v>0</v>
      </c>
      <c r="H1643" s="8">
        <f t="shared" si="7079"/>
        <v>0</v>
      </c>
      <c r="I1643" s="8">
        <f t="shared" si="7080"/>
        <v>0</v>
      </c>
      <c r="J1643" s="8">
        <f t="shared" si="7081"/>
        <v>0</v>
      </c>
      <c r="K1643" s="8">
        <f t="shared" si="7082"/>
        <v>0</v>
      </c>
      <c r="L1643" s="8">
        <f t="shared" si="7083"/>
        <v>0</v>
      </c>
      <c r="M1643" s="8">
        <f t="shared" si="7084"/>
        <v>0</v>
      </c>
      <c r="N1643" s="8">
        <f t="shared" si="7085"/>
        <v>1</v>
      </c>
      <c r="O1643" s="8">
        <f t="shared" si="7086"/>
        <v>0</v>
      </c>
      <c r="P1643" s="8" t="e">
        <v>#NUM!</v>
      </c>
      <c r="Q1643" s="8" t="e">
        <f t="shared" ref="Q1643" si="7118">IF(COUNTIF(P1633:P1643,"&lt;"&amp;-0.001)=0,IF(ABS(P1643)&lt;0.001,0,P1643)," ")</f>
        <v>#NUM!</v>
      </c>
      <c r="R1643" s="8"/>
      <c r="S1643" s="8"/>
      <c r="U1643" s="34"/>
      <c r="V1643" s="34"/>
      <c r="W1643" s="34"/>
      <c r="X1643" s="34"/>
      <c r="Y1643" s="34"/>
      <c r="Z1643" s="34"/>
      <c r="AA1643" s="34"/>
      <c r="AB1643" s="34"/>
      <c r="AC1643" s="34"/>
      <c r="AD1643" s="34"/>
      <c r="AE1643" s="34"/>
      <c r="AF1643" s="34"/>
      <c r="AG1643" s="34"/>
      <c r="AH1643" s="34"/>
      <c r="AI1643" s="34"/>
      <c r="AJ1643" s="34"/>
      <c r="AK1643" s="34"/>
      <c r="AL1643" s="34"/>
      <c r="AM1643" s="34"/>
      <c r="AN1643" s="34"/>
      <c r="AO1643" s="34"/>
      <c r="AP1643" s="34"/>
      <c r="AQ1643" s="34"/>
      <c r="AR1643" s="34"/>
      <c r="AS1643" s="34"/>
      <c r="AT1643" s="34"/>
      <c r="AU1643" s="34"/>
      <c r="AV1643" s="34"/>
      <c r="AW1643" s="34"/>
      <c r="AX1643" s="34"/>
      <c r="AY1643" s="34"/>
      <c r="AZ1643" s="34"/>
      <c r="BA1643" s="34"/>
      <c r="BB1643" s="34"/>
      <c r="BC1643" s="34"/>
      <c r="BD1643" s="34"/>
      <c r="BE1643" s="34"/>
      <c r="BF1643" s="34"/>
      <c r="BG1643" s="34"/>
      <c r="BH1643" s="34"/>
      <c r="BI1643" s="34"/>
      <c r="BJ1643" s="34"/>
      <c r="BK1643" s="34"/>
      <c r="BL1643" s="34"/>
      <c r="BM1643" s="34"/>
      <c r="BN1643" s="34"/>
      <c r="BO1643" s="34"/>
      <c r="BP1643" s="34"/>
      <c r="BQ1643" s="34"/>
      <c r="BR1643" s="34"/>
      <c r="BS1643" s="34"/>
      <c r="BT1643" s="34"/>
      <c r="BU1643" s="34"/>
      <c r="BV1643" s="34"/>
      <c r="BW1643" s="34"/>
      <c r="BX1643" s="34"/>
      <c r="BY1643" s="34"/>
      <c r="BZ1643" s="34"/>
      <c r="CA1643" s="34"/>
      <c r="CB1643" s="34"/>
      <c r="CC1643" s="34"/>
      <c r="CD1643" s="34"/>
      <c r="CE1643" s="34"/>
      <c r="CF1643" s="34"/>
      <c r="CG1643" s="34"/>
      <c r="CH1643" s="34"/>
      <c r="CI1643" s="8"/>
    </row>
    <row r="1644" spans="1:87" x14ac:dyDescent="0.2">
      <c r="A1644" s="8" t="str">
        <f>IF(AND(COUNTIF(W$3:W$13,A$26)&gt;0,A$26&lt;&gt;B1562),A$26,IFERROR(IF(MATCH(A$26,Z$3:Z$13,0)=4,A$26," ")," "))</f>
        <v xml:space="preserve"> </v>
      </c>
      <c r="B1644" s="8" t="str">
        <f>IF(A1644=" "," ",MAX(B1633:B1643)+1)</f>
        <v xml:space="preserve"> </v>
      </c>
      <c r="C1644" s="8"/>
      <c r="D1644" s="8"/>
      <c r="E1644" s="8"/>
      <c r="F1644" s="8"/>
      <c r="G1644" s="8"/>
      <c r="H1644" s="8"/>
      <c r="I1644" s="8"/>
      <c r="J1644" s="8"/>
      <c r="K1644" s="8"/>
      <c r="L1644" s="8"/>
      <c r="M1644" s="8"/>
      <c r="N1644" s="8"/>
      <c r="O1644" s="8"/>
      <c r="P1644" s="8"/>
      <c r="Q1644" s="8"/>
      <c r="R1644" s="8"/>
      <c r="S1644" s="8"/>
      <c r="U1644" s="34"/>
      <c r="V1644" s="34"/>
      <c r="W1644" s="34"/>
      <c r="X1644" s="34"/>
      <c r="Y1644" s="34"/>
      <c r="Z1644" s="34"/>
      <c r="AA1644" s="34"/>
      <c r="AB1644" s="34"/>
      <c r="AC1644" s="34"/>
      <c r="AD1644" s="34"/>
      <c r="AE1644" s="34"/>
      <c r="AF1644" s="34"/>
      <c r="AG1644" s="34"/>
      <c r="AH1644" s="34"/>
      <c r="AI1644" s="34"/>
      <c r="AJ1644" s="34"/>
      <c r="AK1644" s="34"/>
      <c r="AL1644" s="34"/>
      <c r="AM1644" s="34"/>
      <c r="AN1644" s="34"/>
      <c r="AO1644" s="34"/>
      <c r="AP1644" s="34"/>
      <c r="AQ1644" s="34"/>
      <c r="AR1644" s="34"/>
      <c r="AS1644" s="34"/>
      <c r="AT1644" s="34"/>
      <c r="AU1644" s="34"/>
      <c r="AV1644" s="34"/>
      <c r="AW1644" s="34"/>
      <c r="AX1644" s="34"/>
      <c r="AY1644" s="34"/>
      <c r="AZ1644" s="34"/>
      <c r="BA1644" s="34"/>
      <c r="BB1644" s="34"/>
      <c r="BC1644" s="34"/>
      <c r="BD1644" s="34"/>
      <c r="BE1644" s="34"/>
      <c r="BF1644" s="34"/>
      <c r="BG1644" s="34"/>
      <c r="BH1644" s="34"/>
      <c r="BI1644" s="34"/>
      <c r="BJ1644" s="34"/>
      <c r="BK1644" s="34"/>
      <c r="BL1644" s="34"/>
      <c r="BM1644" s="34"/>
      <c r="BN1644" s="34"/>
      <c r="BO1644" s="34"/>
      <c r="BP1644" s="34"/>
      <c r="BQ1644" s="34"/>
      <c r="BR1644" s="34"/>
      <c r="BS1644" s="34"/>
      <c r="BT1644" s="34"/>
      <c r="BU1644" s="34"/>
      <c r="BV1644" s="34"/>
      <c r="BW1644" s="34"/>
      <c r="BX1644" s="34"/>
      <c r="BY1644" s="34"/>
      <c r="BZ1644" s="34"/>
      <c r="CA1644" s="34"/>
      <c r="CB1644" s="34"/>
      <c r="CC1644" s="34"/>
      <c r="CD1644" s="34"/>
      <c r="CE1644" s="34"/>
      <c r="CF1644" s="34"/>
      <c r="CG1644" s="34"/>
      <c r="CH1644" s="34"/>
      <c r="CI1644" s="8"/>
    </row>
    <row r="1645" spans="1:87" x14ac:dyDescent="0.2">
      <c r="A1645" s="8" t="str">
        <f>IF(AND(COUNTIF(W$3:W$13,A$27)&gt;0,A$27&lt;&gt;B1562),A$27,IFERROR(IF(MATCH(A$27,Z$3:Z$13,0)=4,A$27," ")," "))</f>
        <v>C13</v>
      </c>
      <c r="B1645" s="8">
        <f>IF(A1645=" "," ",MAX(B1633:B1644)+1)</f>
        <v>4</v>
      </c>
      <c r="C1645" s="8"/>
      <c r="D1645" s="8"/>
      <c r="E1645" s="8"/>
      <c r="F1645" s="8"/>
      <c r="G1645" s="8"/>
      <c r="H1645" s="8"/>
      <c r="I1645" s="8"/>
      <c r="J1645" s="8"/>
      <c r="K1645" s="8"/>
      <c r="L1645" s="8"/>
      <c r="M1645" s="8"/>
      <c r="N1645" s="8"/>
      <c r="O1645" s="8"/>
      <c r="P1645" s="8"/>
      <c r="Q1645" s="8"/>
      <c r="R1645" s="8"/>
      <c r="S1645" s="8"/>
      <c r="U1645" s="34"/>
      <c r="V1645" s="34"/>
      <c r="W1645" s="34"/>
      <c r="X1645" s="34"/>
      <c r="Y1645" s="34"/>
      <c r="Z1645" s="34"/>
      <c r="AA1645" s="34"/>
      <c r="AB1645" s="34"/>
      <c r="AC1645" s="34"/>
      <c r="AD1645" s="34"/>
      <c r="AE1645" s="34"/>
      <c r="AF1645" s="34"/>
      <c r="AG1645" s="34"/>
      <c r="AH1645" s="34"/>
      <c r="AI1645" s="34"/>
      <c r="AJ1645" s="34"/>
      <c r="AK1645" s="34"/>
      <c r="AL1645" s="34"/>
      <c r="AM1645" s="34"/>
      <c r="AN1645" s="34"/>
      <c r="AO1645" s="34"/>
      <c r="AP1645" s="34"/>
      <c r="AQ1645" s="34"/>
      <c r="AR1645" s="34"/>
      <c r="AS1645" s="34"/>
      <c r="AT1645" s="34"/>
      <c r="AU1645" s="34"/>
      <c r="AV1645" s="34"/>
      <c r="AW1645" s="34"/>
      <c r="AX1645" s="34"/>
      <c r="AY1645" s="34"/>
      <c r="AZ1645" s="34"/>
      <c r="BA1645" s="34"/>
      <c r="BB1645" s="34"/>
      <c r="BC1645" s="34"/>
      <c r="BD1645" s="34"/>
      <c r="BE1645" s="34"/>
      <c r="BF1645" s="34"/>
      <c r="BG1645" s="34"/>
      <c r="BH1645" s="34"/>
      <c r="BI1645" s="34"/>
      <c r="BJ1645" s="34"/>
      <c r="BK1645" s="34"/>
      <c r="BL1645" s="34"/>
      <c r="BM1645" s="34"/>
      <c r="BN1645" s="34"/>
      <c r="BO1645" s="34"/>
      <c r="BP1645" s="34"/>
      <c r="BQ1645" s="34"/>
      <c r="BR1645" s="34"/>
      <c r="BS1645" s="34"/>
      <c r="BT1645" s="34"/>
      <c r="BU1645" s="34"/>
      <c r="BV1645" s="34"/>
      <c r="BW1645" s="34"/>
      <c r="BX1645" s="34"/>
      <c r="BY1645" s="34"/>
      <c r="BZ1645" s="34"/>
      <c r="CA1645" s="34"/>
      <c r="CB1645" s="34"/>
      <c r="CC1645" s="34"/>
      <c r="CD1645" s="34"/>
      <c r="CE1645" s="34"/>
      <c r="CF1645" s="34"/>
      <c r="CG1645" s="34"/>
      <c r="CH1645" s="34"/>
      <c r="CI1645" s="8"/>
    </row>
    <row r="1646" spans="1:87" x14ac:dyDescent="0.2">
      <c r="A1646" s="8" t="str">
        <f>IF(AND(COUNTIF(W$3:W$13,A$28)&gt;0,A$28&lt;&gt;B1562),A$28,IFERROR(IF(MATCH(A$28,Z$3:Z$13,0)=4,A$28," ")," "))</f>
        <v xml:space="preserve"> </v>
      </c>
      <c r="B1646" s="8" t="str">
        <f>IF(A1646=" "," ",MAX(B1633:B1645)+1)</f>
        <v xml:space="preserve"> </v>
      </c>
      <c r="C1646" s="8"/>
      <c r="D1646" s="8"/>
      <c r="E1646" s="8"/>
      <c r="F1646" s="8"/>
      <c r="G1646" s="8"/>
      <c r="H1646" s="8"/>
      <c r="I1646" s="8"/>
      <c r="J1646" s="8"/>
      <c r="K1646" s="8"/>
      <c r="L1646" s="8"/>
      <c r="M1646" s="8"/>
      <c r="N1646" s="8"/>
      <c r="O1646" s="8"/>
      <c r="P1646" s="8"/>
      <c r="Q1646" s="8"/>
      <c r="R1646" s="8"/>
      <c r="S1646" s="8"/>
      <c r="U1646" s="34"/>
      <c r="V1646" s="34"/>
      <c r="W1646" s="34"/>
      <c r="X1646" s="34"/>
      <c r="Y1646" s="34"/>
      <c r="Z1646" s="34"/>
      <c r="AA1646" s="34"/>
      <c r="AB1646" s="34"/>
      <c r="AC1646" s="34"/>
      <c r="AD1646" s="34"/>
      <c r="AE1646" s="34"/>
      <c r="AF1646" s="34"/>
      <c r="AG1646" s="34"/>
      <c r="AH1646" s="34"/>
      <c r="AI1646" s="34"/>
      <c r="AJ1646" s="34"/>
      <c r="AK1646" s="34"/>
      <c r="AL1646" s="34"/>
      <c r="AM1646" s="34"/>
      <c r="AN1646" s="34"/>
      <c r="AO1646" s="34"/>
      <c r="AP1646" s="34"/>
      <c r="AQ1646" s="34"/>
      <c r="AR1646" s="34"/>
      <c r="AS1646" s="34"/>
      <c r="AT1646" s="34"/>
      <c r="AU1646" s="34"/>
      <c r="AV1646" s="34"/>
      <c r="AW1646" s="34"/>
      <c r="AX1646" s="34"/>
      <c r="AY1646" s="34"/>
      <c r="AZ1646" s="34"/>
      <c r="BA1646" s="34"/>
      <c r="BB1646" s="34"/>
      <c r="BC1646" s="34"/>
      <c r="BD1646" s="34"/>
      <c r="BE1646" s="34"/>
      <c r="BF1646" s="34"/>
      <c r="BG1646" s="34"/>
      <c r="BH1646" s="34"/>
      <c r="BI1646" s="34"/>
      <c r="BJ1646" s="34"/>
      <c r="BK1646" s="34"/>
      <c r="BL1646" s="34"/>
      <c r="BM1646" s="34"/>
      <c r="BN1646" s="34"/>
      <c r="BO1646" s="34"/>
      <c r="BP1646" s="34"/>
      <c r="BQ1646" s="34"/>
      <c r="BR1646" s="34"/>
      <c r="BS1646" s="34"/>
      <c r="BT1646" s="34"/>
      <c r="BU1646" s="34"/>
      <c r="BV1646" s="34"/>
      <c r="BW1646" s="34"/>
      <c r="BX1646" s="34"/>
      <c r="BY1646" s="34"/>
      <c r="BZ1646" s="34"/>
      <c r="CA1646" s="34"/>
      <c r="CB1646" s="34"/>
      <c r="CC1646" s="34"/>
      <c r="CD1646" s="34"/>
      <c r="CE1646" s="34"/>
      <c r="CF1646" s="34"/>
      <c r="CG1646" s="34"/>
      <c r="CH1646" s="34"/>
      <c r="CI1646" s="8"/>
    </row>
    <row r="1647" spans="1:87" x14ac:dyDescent="0.2">
      <c r="A1647" s="8" t="str">
        <f>IF(AND(COUNTIF(W$3:W$13,A$29)&gt;0,A$29&lt;&gt;B1562),A$29,IFERROR(IF(MATCH(A$29,Z$3:Z$13,0)=4,A$29," ")," "))</f>
        <v>C15</v>
      </c>
      <c r="B1647" s="8">
        <f>IF(A1647=" "," ",MAX(B1633:B1646)+1)</f>
        <v>5</v>
      </c>
      <c r="C1647" s="8"/>
      <c r="D1647" s="8"/>
      <c r="E1647" s="8"/>
      <c r="F1647" s="8"/>
      <c r="G1647" s="8"/>
      <c r="H1647" s="8"/>
      <c r="I1647" s="8"/>
      <c r="J1647" s="8"/>
      <c r="K1647" s="8"/>
      <c r="L1647" s="8"/>
      <c r="M1647" s="8"/>
      <c r="N1647" s="8"/>
      <c r="O1647" s="8"/>
      <c r="P1647" s="8"/>
      <c r="Q1647" s="8"/>
      <c r="R1647" s="8"/>
      <c r="S1647" s="8"/>
      <c r="U1647" s="34"/>
      <c r="V1647" s="34"/>
      <c r="W1647" s="34"/>
      <c r="X1647" s="34"/>
      <c r="Y1647" s="34"/>
      <c r="Z1647" s="34"/>
      <c r="AA1647" s="34"/>
      <c r="AB1647" s="34"/>
      <c r="AC1647" s="34"/>
      <c r="AD1647" s="34"/>
      <c r="AE1647" s="34"/>
      <c r="AF1647" s="34"/>
      <c r="AG1647" s="34"/>
      <c r="AH1647" s="34"/>
      <c r="AI1647" s="34"/>
      <c r="AJ1647" s="34"/>
      <c r="AK1647" s="34"/>
      <c r="AL1647" s="34"/>
      <c r="AM1647" s="34"/>
      <c r="AN1647" s="34"/>
      <c r="AO1647" s="34"/>
      <c r="AP1647" s="34"/>
      <c r="AQ1647" s="34"/>
      <c r="AR1647" s="34"/>
      <c r="AS1647" s="34"/>
      <c r="AT1647" s="34"/>
      <c r="AU1647" s="34"/>
      <c r="AV1647" s="34"/>
      <c r="AW1647" s="34"/>
      <c r="AX1647" s="34"/>
      <c r="AY1647" s="34"/>
      <c r="AZ1647" s="34"/>
      <c r="BA1647" s="34"/>
      <c r="BB1647" s="34"/>
      <c r="BC1647" s="34"/>
      <c r="BD1647" s="34"/>
      <c r="BE1647" s="34"/>
      <c r="BF1647" s="34"/>
      <c r="BG1647" s="34"/>
      <c r="BH1647" s="34"/>
      <c r="BI1647" s="34"/>
      <c r="BJ1647" s="34"/>
      <c r="BK1647" s="34"/>
      <c r="BL1647" s="34"/>
      <c r="BM1647" s="34"/>
      <c r="BN1647" s="34"/>
      <c r="BO1647" s="34"/>
      <c r="BP1647" s="34"/>
      <c r="BQ1647" s="34"/>
      <c r="BR1647" s="34"/>
      <c r="BS1647" s="34"/>
      <c r="BT1647" s="34"/>
      <c r="BU1647" s="34"/>
      <c r="BV1647" s="34"/>
      <c r="BW1647" s="34"/>
      <c r="BX1647" s="34"/>
      <c r="BY1647" s="34"/>
      <c r="BZ1647" s="34"/>
      <c r="CA1647" s="34"/>
      <c r="CB1647" s="34"/>
      <c r="CC1647" s="34"/>
      <c r="CD1647" s="34"/>
      <c r="CE1647" s="34"/>
      <c r="CF1647" s="34"/>
      <c r="CG1647" s="34"/>
      <c r="CH1647" s="34"/>
      <c r="CI1647" s="8"/>
    </row>
    <row r="1648" spans="1:87" x14ac:dyDescent="0.2">
      <c r="A1648" s="8" t="str">
        <f>IF(AND(COUNTIF(W$3:W$13,A$30)&gt;0,A$30&lt;&gt;B1562),A$30,IFERROR(IF(MATCH(A$30,Z$3:Z$13,0)=4,A$30," ")," "))</f>
        <v>C16</v>
      </c>
      <c r="B1648" s="8">
        <f>IF(A1648=" "," ",MAX(B1633:B1647)+1)</f>
        <v>6</v>
      </c>
      <c r="C1648" s="8"/>
      <c r="D1648" s="8"/>
      <c r="E1648" s="8"/>
      <c r="F1648" s="8"/>
      <c r="G1648" s="8"/>
      <c r="H1648" s="8"/>
      <c r="I1648" s="8"/>
      <c r="J1648" s="8"/>
      <c r="K1648" s="8"/>
      <c r="L1648" s="8"/>
      <c r="M1648" s="8"/>
      <c r="N1648" s="8"/>
      <c r="O1648" s="8"/>
      <c r="P1648" s="8"/>
      <c r="Q1648" s="8"/>
      <c r="R1648" s="8"/>
      <c r="S1648" s="8"/>
      <c r="U1648" s="34"/>
      <c r="V1648" s="34"/>
      <c r="W1648" s="34"/>
      <c r="X1648" s="34"/>
      <c r="Y1648" s="34"/>
      <c r="Z1648" s="34"/>
      <c r="AA1648" s="34"/>
      <c r="AB1648" s="34"/>
      <c r="AC1648" s="34"/>
      <c r="AD1648" s="34"/>
      <c r="AE1648" s="34"/>
      <c r="AF1648" s="34"/>
      <c r="AG1648" s="34"/>
      <c r="AH1648" s="34"/>
      <c r="AI1648" s="34"/>
      <c r="AJ1648" s="34"/>
      <c r="AK1648" s="34"/>
      <c r="AL1648" s="34"/>
      <c r="AM1648" s="34"/>
      <c r="AN1648" s="34"/>
      <c r="AO1648" s="34"/>
      <c r="AP1648" s="34"/>
      <c r="AQ1648" s="34"/>
      <c r="AR1648" s="34"/>
      <c r="AS1648" s="34"/>
      <c r="AT1648" s="34"/>
      <c r="AU1648" s="34"/>
      <c r="AV1648" s="34"/>
      <c r="AW1648" s="34"/>
      <c r="AX1648" s="34"/>
      <c r="AY1648" s="34"/>
      <c r="AZ1648" s="34"/>
      <c r="BA1648" s="34"/>
      <c r="BB1648" s="34"/>
      <c r="BC1648" s="34"/>
      <c r="BD1648" s="34"/>
      <c r="BE1648" s="34"/>
      <c r="BF1648" s="34"/>
      <c r="BG1648" s="34"/>
      <c r="BH1648" s="34"/>
      <c r="BI1648" s="34"/>
      <c r="BJ1648" s="34"/>
      <c r="BK1648" s="34"/>
      <c r="BL1648" s="34"/>
      <c r="BM1648" s="34"/>
      <c r="BN1648" s="34"/>
      <c r="BO1648" s="34"/>
      <c r="BP1648" s="34"/>
      <c r="BQ1648" s="34"/>
      <c r="BR1648" s="34"/>
      <c r="BS1648" s="34"/>
      <c r="BT1648" s="34"/>
      <c r="BU1648" s="34"/>
      <c r="BV1648" s="34"/>
      <c r="BW1648" s="34"/>
      <c r="BX1648" s="34"/>
      <c r="BY1648" s="34"/>
      <c r="BZ1648" s="34"/>
      <c r="CA1648" s="34"/>
      <c r="CB1648" s="34"/>
      <c r="CC1648" s="34"/>
      <c r="CD1648" s="34"/>
      <c r="CE1648" s="34"/>
      <c r="CF1648" s="34"/>
      <c r="CG1648" s="34"/>
      <c r="CH1648" s="34"/>
      <c r="CI1648" s="8"/>
    </row>
    <row r="1649" spans="1:87" x14ac:dyDescent="0.2">
      <c r="A1649" s="8" t="str">
        <f>IF(AND(COUNTIF(W$3:W$13,A$31)&gt;0,A$31&lt;&gt;B1562),A$31,IFERROR(IF(MATCH(A$31,Z$3:Z$13,0)=4,A$31," ")," "))</f>
        <v>C17</v>
      </c>
      <c r="B1649" s="8">
        <f>IF(A1649=" "," ",MAX(B1633:B1648)+1)</f>
        <v>7</v>
      </c>
      <c r="C1649" s="8"/>
      <c r="D1649" s="8"/>
      <c r="E1649" s="8"/>
      <c r="F1649" s="8"/>
      <c r="G1649" s="8"/>
      <c r="H1649" s="8"/>
      <c r="I1649" s="8"/>
      <c r="J1649" s="8"/>
      <c r="K1649" s="8"/>
      <c r="L1649" s="8"/>
      <c r="M1649" s="8"/>
      <c r="N1649" s="8"/>
      <c r="O1649" s="8"/>
      <c r="P1649" s="8"/>
      <c r="Q1649" s="8"/>
      <c r="R1649" s="8"/>
      <c r="S1649" s="8"/>
      <c r="U1649" s="34"/>
      <c r="V1649" s="34"/>
      <c r="W1649" s="34"/>
      <c r="X1649" s="34"/>
      <c r="Y1649" s="34"/>
      <c r="Z1649" s="34"/>
      <c r="AA1649" s="34"/>
      <c r="AB1649" s="34"/>
      <c r="AC1649" s="34"/>
      <c r="AD1649" s="34"/>
      <c r="AE1649" s="34"/>
      <c r="AF1649" s="34"/>
      <c r="AG1649" s="34"/>
      <c r="AH1649" s="34"/>
      <c r="AI1649" s="34"/>
      <c r="AJ1649" s="34"/>
      <c r="AK1649" s="34"/>
      <c r="AL1649" s="34"/>
      <c r="AM1649" s="34"/>
      <c r="AN1649" s="34"/>
      <c r="AO1649" s="34"/>
      <c r="AP1649" s="34"/>
      <c r="AQ1649" s="34"/>
      <c r="AR1649" s="34"/>
      <c r="AS1649" s="34"/>
      <c r="AT1649" s="34"/>
      <c r="AU1649" s="34"/>
      <c r="AV1649" s="34"/>
      <c r="AW1649" s="34"/>
      <c r="AX1649" s="34"/>
      <c r="AY1649" s="34"/>
      <c r="AZ1649" s="34"/>
      <c r="BA1649" s="34"/>
      <c r="BB1649" s="34"/>
      <c r="BC1649" s="34"/>
      <c r="BD1649" s="34"/>
      <c r="BE1649" s="34"/>
      <c r="BF1649" s="34"/>
      <c r="BG1649" s="34"/>
      <c r="BH1649" s="34"/>
      <c r="BI1649" s="34"/>
      <c r="BJ1649" s="34"/>
      <c r="BK1649" s="34"/>
      <c r="BL1649" s="34"/>
      <c r="BM1649" s="34"/>
      <c r="BN1649" s="34"/>
      <c r="BO1649" s="34"/>
      <c r="BP1649" s="34"/>
      <c r="BQ1649" s="34"/>
      <c r="BR1649" s="34"/>
      <c r="BS1649" s="34"/>
      <c r="BT1649" s="34"/>
      <c r="BU1649" s="34"/>
      <c r="BV1649" s="34"/>
      <c r="BW1649" s="34"/>
      <c r="BX1649" s="34"/>
      <c r="BY1649" s="34"/>
      <c r="BZ1649" s="34"/>
      <c r="CA1649" s="34"/>
      <c r="CB1649" s="34"/>
      <c r="CC1649" s="34"/>
      <c r="CD1649" s="34"/>
      <c r="CE1649" s="34"/>
      <c r="CF1649" s="34"/>
      <c r="CG1649" s="34"/>
      <c r="CH1649" s="34"/>
      <c r="CI1649" s="8"/>
    </row>
    <row r="1650" spans="1:87" x14ac:dyDescent="0.2">
      <c r="A1650" s="8" t="str">
        <f>IF(AND(COUNTIF(W$3:W$13,A$32)&gt;0,A$32&lt;&gt;B1562),A$32,IFERROR(IF(MATCH(A$32,Z$3:Z$13,0)=4,A$32," ")," "))</f>
        <v xml:space="preserve"> </v>
      </c>
      <c r="B1650" s="8" t="str">
        <f>IF(A1650=" "," ",MAX(B1633:B1649)+1)</f>
        <v xml:space="preserve"> </v>
      </c>
      <c r="C1650" s="8"/>
      <c r="D1650" s="8"/>
      <c r="E1650" s="8"/>
      <c r="F1650" s="8"/>
      <c r="G1650" s="8"/>
      <c r="H1650" s="8"/>
      <c r="I1650" s="8"/>
      <c r="J1650" s="8"/>
      <c r="K1650" s="8"/>
      <c r="L1650" s="8"/>
      <c r="M1650" s="8"/>
      <c r="N1650" s="8"/>
      <c r="O1650" s="8"/>
      <c r="P1650" s="8"/>
      <c r="Q1650" s="8"/>
      <c r="R1650" s="8"/>
      <c r="S1650" s="8"/>
      <c r="U1650" s="34"/>
      <c r="V1650" s="34"/>
      <c r="W1650" s="34"/>
      <c r="X1650" s="34"/>
      <c r="Y1650" s="34"/>
      <c r="Z1650" s="34"/>
      <c r="AA1650" s="34"/>
      <c r="AB1650" s="34"/>
      <c r="AC1650" s="34"/>
      <c r="AD1650" s="34"/>
      <c r="AE1650" s="34"/>
      <c r="AF1650" s="34"/>
      <c r="AG1650" s="34"/>
      <c r="AH1650" s="34"/>
      <c r="AI1650" s="34"/>
      <c r="AJ1650" s="34"/>
      <c r="AK1650" s="34"/>
      <c r="AL1650" s="34"/>
      <c r="AM1650" s="34"/>
      <c r="AN1650" s="34"/>
      <c r="AO1650" s="34"/>
      <c r="AP1650" s="34"/>
      <c r="AQ1650" s="34"/>
      <c r="AR1650" s="34"/>
      <c r="AS1650" s="34"/>
      <c r="AT1650" s="34"/>
      <c r="AU1650" s="34"/>
      <c r="AV1650" s="34"/>
      <c r="AW1650" s="34"/>
      <c r="AX1650" s="34"/>
      <c r="AY1650" s="34"/>
      <c r="AZ1650" s="34"/>
      <c r="BA1650" s="34"/>
      <c r="BB1650" s="34"/>
      <c r="BC1650" s="34"/>
      <c r="BD1650" s="34"/>
      <c r="BE1650" s="34"/>
      <c r="BF1650" s="34"/>
      <c r="BG1650" s="34"/>
      <c r="BH1650" s="34"/>
      <c r="BI1650" s="34"/>
      <c r="BJ1650" s="34"/>
      <c r="BK1650" s="34"/>
      <c r="BL1650" s="34"/>
      <c r="BM1650" s="34"/>
      <c r="BN1650" s="34"/>
      <c r="BO1650" s="34"/>
      <c r="BP1650" s="34"/>
      <c r="BQ1650" s="34"/>
      <c r="BR1650" s="34"/>
      <c r="BS1650" s="34"/>
      <c r="BT1650" s="34"/>
      <c r="BU1650" s="34"/>
      <c r="BV1650" s="34"/>
      <c r="BW1650" s="34"/>
      <c r="BX1650" s="34"/>
      <c r="BY1650" s="34"/>
      <c r="BZ1650" s="34"/>
      <c r="CA1650" s="34"/>
      <c r="CB1650" s="34"/>
      <c r="CC1650" s="34"/>
      <c r="CD1650" s="34"/>
      <c r="CE1650" s="34"/>
      <c r="CF1650" s="34"/>
      <c r="CG1650" s="34"/>
      <c r="CH1650" s="34"/>
      <c r="CI1650" s="8"/>
    </row>
    <row r="1651" spans="1:87" x14ac:dyDescent="0.2">
      <c r="A1651" s="8" t="str">
        <f>IF(AND(COUNTIF(W$3:W$13,A$33)&gt;0,A$33&lt;&gt;B1562),A$33,IFERROR(IF(MATCH(A$33,Z$3:Z$13,0)=4,A$33," ")," "))</f>
        <v>C19</v>
      </c>
      <c r="B1651" s="8">
        <f>IF(A1651=" "," ",MAX(B1633:B1650)+1)</f>
        <v>8</v>
      </c>
      <c r="C1651" s="8"/>
      <c r="D1651" s="8"/>
      <c r="E1651" s="8"/>
      <c r="F1651" s="8"/>
      <c r="G1651" s="8"/>
      <c r="H1651" s="8"/>
      <c r="I1651" s="8"/>
      <c r="J1651" s="8"/>
      <c r="K1651" s="8"/>
      <c r="L1651" s="8"/>
      <c r="M1651" s="8"/>
      <c r="N1651" s="8"/>
      <c r="O1651" s="8"/>
      <c r="P1651" s="8"/>
      <c r="Q1651" s="8"/>
      <c r="R1651" s="8"/>
      <c r="S1651" s="8"/>
      <c r="U1651" s="34"/>
      <c r="V1651" s="34"/>
      <c r="W1651" s="34"/>
      <c r="X1651" s="34"/>
      <c r="Y1651" s="34"/>
      <c r="Z1651" s="34"/>
      <c r="AA1651" s="34"/>
      <c r="AB1651" s="34"/>
      <c r="AC1651" s="34"/>
      <c r="AD1651" s="34"/>
      <c r="AE1651" s="34"/>
      <c r="AF1651" s="34"/>
      <c r="AG1651" s="34"/>
      <c r="AH1651" s="34"/>
      <c r="AI1651" s="34"/>
      <c r="AJ1651" s="34"/>
      <c r="AK1651" s="34"/>
      <c r="AL1651" s="34"/>
      <c r="AM1651" s="34"/>
      <c r="AN1651" s="34"/>
      <c r="AO1651" s="34"/>
      <c r="AP1651" s="34"/>
      <c r="AQ1651" s="34"/>
      <c r="AR1651" s="34"/>
      <c r="AS1651" s="34"/>
      <c r="AT1651" s="34"/>
      <c r="AU1651" s="34"/>
      <c r="AV1651" s="34"/>
      <c r="AW1651" s="34"/>
      <c r="AX1651" s="34"/>
      <c r="AY1651" s="34"/>
      <c r="AZ1651" s="34"/>
      <c r="BA1651" s="34"/>
      <c r="BB1651" s="34"/>
      <c r="BC1651" s="34"/>
      <c r="BD1651" s="34"/>
      <c r="BE1651" s="34"/>
      <c r="BF1651" s="34"/>
      <c r="BG1651" s="34"/>
      <c r="BH1651" s="34"/>
      <c r="BI1651" s="34"/>
      <c r="BJ1651" s="34"/>
      <c r="BK1651" s="34"/>
      <c r="BL1651" s="34"/>
      <c r="BM1651" s="34"/>
      <c r="BN1651" s="34"/>
      <c r="BO1651" s="34"/>
      <c r="BP1651" s="34"/>
      <c r="BQ1651" s="34"/>
      <c r="BR1651" s="34"/>
      <c r="BS1651" s="34"/>
      <c r="BT1651" s="34"/>
      <c r="BU1651" s="34"/>
      <c r="BV1651" s="34"/>
      <c r="BW1651" s="34"/>
      <c r="BX1651" s="34"/>
      <c r="BY1651" s="34"/>
      <c r="BZ1651" s="34"/>
      <c r="CA1651" s="34"/>
      <c r="CB1651" s="34"/>
      <c r="CC1651" s="34"/>
      <c r="CD1651" s="34"/>
      <c r="CE1651" s="34"/>
      <c r="CF1651" s="34"/>
      <c r="CG1651" s="34"/>
      <c r="CH1651" s="34"/>
      <c r="CI1651" s="8"/>
    </row>
    <row r="1652" spans="1:87" x14ac:dyDescent="0.2">
      <c r="A1652" s="8" t="str">
        <f>IF(AND(COUNTIF(W$3:W$13,A$34)&gt;0,A$34&lt;&gt;B1562),A$34,IFERROR(IF(MATCH(A$34,Z$3:Z$13,0)=4,A$34," ")," "))</f>
        <v>C20</v>
      </c>
      <c r="B1652" s="8">
        <f>IF(A1652=" "," ",MAX(B1633:B1651)+1)</f>
        <v>9</v>
      </c>
      <c r="C1652" s="8"/>
      <c r="D1652" s="8"/>
      <c r="E1652" s="8"/>
      <c r="F1652" s="8"/>
      <c r="G1652" s="8"/>
      <c r="H1652" s="8"/>
      <c r="I1652" s="8"/>
      <c r="J1652" s="8"/>
      <c r="K1652" s="8"/>
      <c r="L1652" s="8"/>
      <c r="M1652" s="8"/>
      <c r="N1652" s="8"/>
      <c r="O1652" s="8"/>
      <c r="P1652" s="8"/>
      <c r="Q1652" s="8"/>
      <c r="R1652" s="8"/>
      <c r="S1652" s="8"/>
      <c r="U1652" s="34"/>
      <c r="V1652" s="34"/>
      <c r="W1652" s="34"/>
      <c r="X1652" s="34"/>
      <c r="Y1652" s="34"/>
      <c r="Z1652" s="34"/>
      <c r="AA1652" s="34"/>
      <c r="AB1652" s="34"/>
      <c r="AC1652" s="34"/>
      <c r="AD1652" s="34"/>
      <c r="AE1652" s="34"/>
      <c r="AF1652" s="34"/>
      <c r="AG1652" s="34"/>
      <c r="AH1652" s="34"/>
      <c r="AI1652" s="34"/>
      <c r="AJ1652" s="34"/>
      <c r="AK1652" s="34"/>
      <c r="AL1652" s="34"/>
      <c r="AM1652" s="34"/>
      <c r="AN1652" s="34"/>
      <c r="AO1652" s="34"/>
      <c r="AP1652" s="34"/>
      <c r="AQ1652" s="34"/>
      <c r="AR1652" s="34"/>
      <c r="AS1652" s="34"/>
      <c r="AT1652" s="34"/>
      <c r="AU1652" s="34"/>
      <c r="AV1652" s="34"/>
      <c r="AW1652" s="34"/>
      <c r="AX1652" s="34"/>
      <c r="AY1652" s="34"/>
      <c r="AZ1652" s="34"/>
      <c r="BA1652" s="34"/>
      <c r="BB1652" s="34"/>
      <c r="BC1652" s="34"/>
      <c r="BD1652" s="34"/>
      <c r="BE1652" s="34"/>
      <c r="BF1652" s="34"/>
      <c r="BG1652" s="34"/>
      <c r="BH1652" s="34"/>
      <c r="BI1652" s="34"/>
      <c r="BJ1652" s="34"/>
      <c r="BK1652" s="34"/>
      <c r="BL1652" s="34"/>
      <c r="BM1652" s="34"/>
      <c r="BN1652" s="34"/>
      <c r="BO1652" s="34"/>
      <c r="BP1652" s="34"/>
      <c r="BQ1652" s="34"/>
      <c r="BR1652" s="34"/>
      <c r="BS1652" s="34"/>
      <c r="BT1652" s="34"/>
      <c r="BU1652" s="34"/>
      <c r="BV1652" s="34"/>
      <c r="BW1652" s="34"/>
      <c r="BX1652" s="34"/>
      <c r="BY1652" s="34"/>
      <c r="BZ1652" s="34"/>
      <c r="CA1652" s="34"/>
      <c r="CB1652" s="34"/>
      <c r="CC1652" s="34"/>
      <c r="CD1652" s="34"/>
      <c r="CE1652" s="34"/>
      <c r="CF1652" s="34"/>
      <c r="CG1652" s="34"/>
      <c r="CH1652" s="34"/>
      <c r="CI1652" s="8"/>
    </row>
    <row r="1653" spans="1:87" x14ac:dyDescent="0.2">
      <c r="A1653" s="8" t="str">
        <f>IF(AND(COUNTIF(W$3:W$13,A$35)&gt;0,A$35&lt;&gt;B1562),A$35,IFERROR(IF(MATCH(A$35,Z$3:Z$13,0)=4,A$35," ")," "))</f>
        <v>C21</v>
      </c>
      <c r="B1653" s="8">
        <f>IF(A1653=" "," ",MAX(B1633:B1652)+1)</f>
        <v>10</v>
      </c>
      <c r="C1653" s="8"/>
      <c r="D1653" s="8"/>
      <c r="E1653" s="8"/>
      <c r="F1653" s="8"/>
      <c r="G1653" s="8"/>
      <c r="H1653" s="8"/>
      <c r="I1653" s="8"/>
      <c r="J1653" s="8"/>
      <c r="K1653" s="8"/>
      <c r="L1653" s="8"/>
      <c r="M1653" s="8"/>
      <c r="N1653" s="8"/>
      <c r="O1653" s="8"/>
      <c r="P1653" s="8"/>
      <c r="Q1653" s="8"/>
      <c r="R1653" s="8"/>
      <c r="S1653" s="8"/>
      <c r="U1653" s="34"/>
      <c r="V1653" s="34"/>
      <c r="W1653" s="34"/>
      <c r="X1653" s="34"/>
      <c r="Y1653" s="34"/>
      <c r="Z1653" s="34"/>
      <c r="AA1653" s="34"/>
      <c r="AB1653" s="34"/>
      <c r="AC1653" s="34"/>
      <c r="AD1653" s="34"/>
      <c r="AE1653" s="34"/>
      <c r="AF1653" s="34"/>
      <c r="AG1653" s="34"/>
      <c r="AH1653" s="34"/>
      <c r="AI1653" s="34"/>
      <c r="AJ1653" s="34"/>
      <c r="AK1653" s="34"/>
      <c r="AL1653" s="34"/>
      <c r="AM1653" s="34"/>
      <c r="AN1653" s="34"/>
      <c r="AO1653" s="34"/>
      <c r="AP1653" s="34"/>
      <c r="AQ1653" s="34"/>
      <c r="AR1653" s="34"/>
      <c r="AS1653" s="34"/>
      <c r="AT1653" s="34"/>
      <c r="AU1653" s="34"/>
      <c r="AV1653" s="34"/>
      <c r="AW1653" s="34"/>
      <c r="AX1653" s="34"/>
      <c r="AY1653" s="34"/>
      <c r="AZ1653" s="34"/>
      <c r="BA1653" s="34"/>
      <c r="BB1653" s="34"/>
      <c r="BC1653" s="34"/>
      <c r="BD1653" s="34"/>
      <c r="BE1653" s="34"/>
      <c r="BF1653" s="34"/>
      <c r="BG1653" s="34"/>
      <c r="BH1653" s="34"/>
      <c r="BI1653" s="34"/>
      <c r="BJ1653" s="34"/>
      <c r="BK1653" s="34"/>
      <c r="BL1653" s="34"/>
      <c r="BM1653" s="34"/>
      <c r="BN1653" s="34"/>
      <c r="BO1653" s="34"/>
      <c r="BP1653" s="34"/>
      <c r="BQ1653" s="34"/>
      <c r="BR1653" s="34"/>
      <c r="BS1653" s="34"/>
      <c r="BT1653" s="34"/>
      <c r="BU1653" s="34"/>
      <c r="BV1653" s="34"/>
      <c r="BW1653" s="34"/>
      <c r="BX1653" s="34"/>
      <c r="BY1653" s="34"/>
      <c r="BZ1653" s="34"/>
      <c r="CA1653" s="34"/>
      <c r="CB1653" s="34"/>
      <c r="CC1653" s="34"/>
      <c r="CD1653" s="34"/>
      <c r="CE1653" s="34"/>
      <c r="CF1653" s="34"/>
      <c r="CG1653" s="34"/>
      <c r="CH1653" s="34"/>
      <c r="CI1653" s="8"/>
    </row>
    <row r="1654" spans="1:87" x14ac:dyDescent="0.2">
      <c r="A1654" s="8" t="str">
        <f>IF(AND(COUNTIF(W$3:W$13,A$36)&gt;0,A$36&lt;&gt;B1562),A$36,IFERROR(IF(MATCH(A$36,Z$3:Z$13,0)=4,A$36," ")," "))</f>
        <v>C22</v>
      </c>
      <c r="B1654" s="8">
        <f>IF(A1654=" "," ",MAX(B1633:B1653)+1)</f>
        <v>11</v>
      </c>
      <c r="C1654" s="8"/>
      <c r="D1654" s="8"/>
      <c r="E1654" s="8"/>
      <c r="F1654" s="8"/>
      <c r="G1654" s="8"/>
      <c r="H1654" s="8"/>
      <c r="I1654" s="8"/>
      <c r="J1654" s="8"/>
      <c r="K1654" s="8"/>
      <c r="L1654" s="8"/>
      <c r="M1654" s="8"/>
      <c r="N1654" s="8"/>
      <c r="O1654" s="8"/>
      <c r="P1654" s="8"/>
      <c r="Q1654" s="8"/>
      <c r="R1654" s="8"/>
      <c r="S1654" s="8"/>
      <c r="U1654" s="34"/>
      <c r="V1654" s="34"/>
      <c r="W1654" s="34"/>
      <c r="X1654" s="34"/>
      <c r="Y1654" s="34"/>
      <c r="Z1654" s="34"/>
      <c r="AA1654" s="34"/>
      <c r="AB1654" s="34"/>
      <c r="AC1654" s="34"/>
      <c r="AD1654" s="34"/>
      <c r="AE1654" s="34"/>
      <c r="AF1654" s="34"/>
      <c r="AG1654" s="34"/>
      <c r="AH1654" s="34"/>
      <c r="AI1654" s="34"/>
      <c r="AJ1654" s="34"/>
      <c r="AK1654" s="34"/>
      <c r="AL1654" s="34"/>
      <c r="AM1654" s="34"/>
      <c r="AN1654" s="34"/>
      <c r="AO1654" s="34"/>
      <c r="AP1654" s="34"/>
      <c r="AQ1654" s="34"/>
      <c r="AR1654" s="34"/>
      <c r="AS1654" s="34"/>
      <c r="AT1654" s="34"/>
      <c r="AU1654" s="34"/>
      <c r="AV1654" s="34"/>
      <c r="AW1654" s="34"/>
      <c r="AX1654" s="34"/>
      <c r="AY1654" s="34"/>
      <c r="AZ1654" s="34"/>
      <c r="BA1654" s="34"/>
      <c r="BB1654" s="34"/>
      <c r="BC1654" s="34"/>
      <c r="BD1654" s="34"/>
      <c r="BE1654" s="34"/>
      <c r="BF1654" s="34"/>
      <c r="BG1654" s="34"/>
      <c r="BH1654" s="34"/>
      <c r="BI1654" s="34"/>
      <c r="BJ1654" s="34"/>
      <c r="BK1654" s="34"/>
      <c r="BL1654" s="34"/>
      <c r="BM1654" s="34"/>
      <c r="BN1654" s="34"/>
      <c r="BO1654" s="34"/>
      <c r="BP1654" s="34"/>
      <c r="BQ1654" s="34"/>
      <c r="BR1654" s="34"/>
      <c r="BS1654" s="34"/>
      <c r="BT1654" s="34"/>
      <c r="BU1654" s="34"/>
      <c r="BV1654" s="34"/>
      <c r="BW1654" s="34"/>
      <c r="BX1654" s="34"/>
      <c r="BY1654" s="34"/>
      <c r="BZ1654" s="34"/>
      <c r="CA1654" s="34"/>
      <c r="CB1654" s="34"/>
      <c r="CC1654" s="34"/>
      <c r="CD1654" s="34"/>
      <c r="CE1654" s="34"/>
      <c r="CF1654" s="34"/>
      <c r="CG1654" s="34"/>
      <c r="CH1654" s="34"/>
      <c r="CI1654" s="8"/>
    </row>
    <row r="1655" spans="1:87" x14ac:dyDescent="0.2">
      <c r="A1655" s="11" t="s">
        <v>17</v>
      </c>
      <c r="B1655" s="11"/>
      <c r="C1655" s="27" t="s">
        <v>18</v>
      </c>
      <c r="D1655" s="27" t="s">
        <v>2</v>
      </c>
      <c r="E1655" s="27" t="s">
        <v>6</v>
      </c>
      <c r="F1655" s="27" t="s">
        <v>15</v>
      </c>
      <c r="G1655" s="27" t="s">
        <v>36</v>
      </c>
      <c r="H1655" s="27" t="s">
        <v>37</v>
      </c>
      <c r="I1655" s="27" t="s">
        <v>38</v>
      </c>
      <c r="J1655" s="27" t="s">
        <v>39</v>
      </c>
      <c r="K1655" s="27" t="s">
        <v>40</v>
      </c>
      <c r="L1655" s="27" t="s">
        <v>41</v>
      </c>
      <c r="M1655" s="27" t="s">
        <v>42</v>
      </c>
      <c r="N1655" s="27" t="s">
        <v>43</v>
      </c>
      <c r="O1655" s="27" t="s">
        <v>9</v>
      </c>
      <c r="P1655" s="27" t="s">
        <v>12</v>
      </c>
      <c r="Q1655" s="27" t="s">
        <v>19</v>
      </c>
      <c r="R1655" s="27" t="s">
        <v>55</v>
      </c>
      <c r="S1655" s="27" t="s">
        <v>26</v>
      </c>
      <c r="T1655" s="19" t="s">
        <v>25</v>
      </c>
      <c r="U1655" s="33" t="s">
        <v>27</v>
      </c>
      <c r="V1655" s="33" t="s">
        <v>9</v>
      </c>
      <c r="W1655" s="33" t="s">
        <v>23</v>
      </c>
      <c r="X1655" s="33" t="s">
        <v>12</v>
      </c>
      <c r="Y1655" s="33" t="s">
        <v>26</v>
      </c>
      <c r="Z1655" s="33" t="s">
        <v>25</v>
      </c>
      <c r="AA1655" s="33" t="s">
        <v>27</v>
      </c>
      <c r="AB1655" s="33" t="s">
        <v>9</v>
      </c>
      <c r="AC1655" s="33" t="s">
        <v>23</v>
      </c>
      <c r="AD1655" s="33" t="s">
        <v>12</v>
      </c>
      <c r="AE1655" s="33" t="s">
        <v>26</v>
      </c>
      <c r="AF1655" s="33" t="s">
        <v>25</v>
      </c>
      <c r="AG1655" s="33" t="s">
        <v>27</v>
      </c>
      <c r="AH1655" s="33" t="s">
        <v>9</v>
      </c>
      <c r="AI1655" s="33" t="s">
        <v>23</v>
      </c>
      <c r="AJ1655" s="33" t="s">
        <v>12</v>
      </c>
      <c r="AK1655" s="33" t="s">
        <v>26</v>
      </c>
      <c r="AL1655" s="33" t="s">
        <v>25</v>
      </c>
      <c r="AM1655" s="33" t="s">
        <v>27</v>
      </c>
      <c r="AN1655" s="33" t="s">
        <v>9</v>
      </c>
      <c r="AO1655" s="33" t="s">
        <v>23</v>
      </c>
      <c r="AP1655" s="33" t="s">
        <v>12</v>
      </c>
      <c r="AQ1655" s="33" t="s">
        <v>26</v>
      </c>
      <c r="AR1655" s="33" t="s">
        <v>25</v>
      </c>
      <c r="AS1655" s="33" t="s">
        <v>27</v>
      </c>
      <c r="AT1655" s="33" t="s">
        <v>9</v>
      </c>
      <c r="AU1655" s="33" t="s">
        <v>23</v>
      </c>
      <c r="AV1655" s="33" t="s">
        <v>12</v>
      </c>
      <c r="AW1655" s="33" t="s">
        <v>26</v>
      </c>
      <c r="AX1655" s="33" t="s">
        <v>25</v>
      </c>
      <c r="AY1655" s="33" t="s">
        <v>27</v>
      </c>
      <c r="AZ1655" s="33" t="s">
        <v>9</v>
      </c>
      <c r="BA1655" s="33" t="s">
        <v>23</v>
      </c>
      <c r="BB1655" s="33" t="s">
        <v>12</v>
      </c>
      <c r="BC1655" s="33" t="s">
        <v>26</v>
      </c>
      <c r="BD1655" s="33" t="s">
        <v>25</v>
      </c>
      <c r="BE1655" s="33" t="s">
        <v>27</v>
      </c>
      <c r="BF1655" s="33" t="s">
        <v>9</v>
      </c>
      <c r="BG1655" s="33" t="s">
        <v>23</v>
      </c>
      <c r="BH1655" s="33" t="s">
        <v>12</v>
      </c>
      <c r="BI1655" s="33" t="s">
        <v>26</v>
      </c>
      <c r="BJ1655" s="33" t="s">
        <v>25</v>
      </c>
      <c r="BK1655" s="33" t="s">
        <v>27</v>
      </c>
      <c r="BL1655" s="33" t="s">
        <v>9</v>
      </c>
      <c r="BM1655" s="33" t="s">
        <v>23</v>
      </c>
      <c r="BN1655" s="33" t="s">
        <v>12</v>
      </c>
      <c r="BO1655" s="33" t="s">
        <v>26</v>
      </c>
      <c r="BP1655" s="33" t="s">
        <v>25</v>
      </c>
      <c r="BQ1655" s="33" t="s">
        <v>27</v>
      </c>
      <c r="BR1655" s="33" t="s">
        <v>9</v>
      </c>
      <c r="BS1655" s="33" t="s">
        <v>23</v>
      </c>
      <c r="BT1655" s="33" t="s">
        <v>12</v>
      </c>
      <c r="BU1655" s="33" t="s">
        <v>26</v>
      </c>
      <c r="BV1655" s="33" t="s">
        <v>25</v>
      </c>
      <c r="BW1655" s="33" t="s">
        <v>27</v>
      </c>
      <c r="BX1655" s="33" t="s">
        <v>9</v>
      </c>
      <c r="BY1655" s="33" t="s">
        <v>23</v>
      </c>
      <c r="BZ1655" s="33" t="s">
        <v>12</v>
      </c>
      <c r="CA1655" s="33" t="s">
        <v>26</v>
      </c>
      <c r="CB1655" s="33" t="s">
        <v>25</v>
      </c>
      <c r="CC1655" s="33" t="s">
        <v>27</v>
      </c>
      <c r="CD1655" s="33" t="s">
        <v>9</v>
      </c>
      <c r="CE1655" s="33" t="s">
        <v>23</v>
      </c>
      <c r="CF1655" s="33" t="s">
        <v>12</v>
      </c>
      <c r="CG1655" s="33" t="s">
        <v>26</v>
      </c>
      <c r="CH1655" s="33" t="s">
        <v>25</v>
      </c>
      <c r="CI1655" s="8"/>
    </row>
    <row r="1656" spans="1:87" x14ac:dyDescent="0.2">
      <c r="A1656" s="8" t="str">
        <f>IF(AND(COUNTIF(W$3:W$13,A$15)&gt;0,A$15&lt;&gt;B1562),A$15,IFERROR(IF(MATCH(A$15,Z$3:Z$13,0)=5,A$15," ")," "))</f>
        <v xml:space="preserve"> </v>
      </c>
      <c r="B1656" s="8" t="str">
        <f>IF(A1656=" "," ",1)</f>
        <v xml:space="preserve"> </v>
      </c>
      <c r="C1656" s="8" t="str">
        <f>IFERROR(INDEX(A1656:A1677,MATCH(SMALL(B1656:B1677,1),B1656:B1677,0),1)," ")</f>
        <v>C3</v>
      </c>
      <c r="D1656" s="8">
        <f>IFERROR(VLOOKUP($C1656,$A$15:$O$36,2,FALSE)," ")</f>
        <v>2</v>
      </c>
      <c r="E1656" s="8">
        <f>IFERROR(VLOOKUP($C1656,$A$15:$O$36,3,FALSE)," ")</f>
        <v>5</v>
      </c>
      <c r="F1656" s="8">
        <f>IFERROR(VLOOKUP($C1656,$A$15:$O$36,4,FALSE)," ")</f>
        <v>6</v>
      </c>
      <c r="G1656" s="8">
        <f>IFERROR(VLOOKUP($C1656,$A$15:$O$36,5,FALSE)," ")</f>
        <v>0</v>
      </c>
      <c r="H1656" s="8">
        <f>IFERROR(VLOOKUP($C1656,$A$15:$O$36,6,FALSE)," ")</f>
        <v>0</v>
      </c>
      <c r="I1656" s="8">
        <f>IFERROR(VLOOKUP($C1656,$A$15:$O$36,7,FALSE)," ")</f>
        <v>0</v>
      </c>
      <c r="J1656" s="8">
        <f>IFERROR(VLOOKUP($C1656,$A$15:$O$36,8,FALSE)," ")</f>
        <v>0</v>
      </c>
      <c r="K1656" s="8">
        <f>IFERROR(VLOOKUP($C1656,$A$15:$O$36,9,FALSE)," ")</f>
        <v>0</v>
      </c>
      <c r="L1656" s="8">
        <f>IFERROR(VLOOKUP($C1656,$A$15:$O$36,10,FALSE)," ")</f>
        <v>0</v>
      </c>
      <c r="M1656" s="8">
        <f>IFERROR(VLOOKUP($C1656,$A$15:$O$36,11,FALSE)," ")</f>
        <v>0</v>
      </c>
      <c r="N1656" s="8">
        <f>IFERROR(VLOOKUP($C1656,$A$15:$O$36,12,FALSE)," ")</f>
        <v>0</v>
      </c>
      <c r="O1656" s="8">
        <f>IFERROR(VLOOKUP($C1656,$A$15:$O$36,15,FALSE)," ")</f>
        <v>2000</v>
      </c>
      <c r="P1656" s="8" t="e">
        <f t="array" ref="P1656:P1666">MMULT(MINVERSE(D1656:N1666),O1656:O1666)</f>
        <v>#NUM!</v>
      </c>
      <c r="Q1656" s="8" t="e">
        <f t="shared" ref="Q1656" si="7119">IF(COUNTIF(P1656:P1666,"&lt;"&amp;-0.001)=0,IF(ABS(P1656)&lt;0.001,0,P1656)," ")</f>
        <v>#NUM!</v>
      </c>
      <c r="R1656" s="8" t="str">
        <f>IFERROR(VLOOKUP(B1562,A$15:L$36,2,FALSE)*Q1656+VLOOKUP(B1562,A$15:L$36,3,FALSE)*Q1657+VLOOKUP(B1562,A$15:L$36,4,FALSE)*Q1658+VLOOKUP(B1562,A$15:L$36,5,FALSE)*Q1659+VLOOKUP(B1562,A$15:L$36,6,FALSE)*Q1660+VLOOKUP(B1562,A$15:L$36,7,FALSE)*Q1661+VLOOKUP(B1562,A$15:L$36,8,FALSE)*Q1662+VLOOKUP(B1562,A$15:L$36,9,FALSE)*Q1663+VLOOKUP(B1562,A$15:L$36,10,FALSE)*Q1664+VLOOKUP(B1562,A$15:L$36,11,FALSE)*Q1665+VLOOKUP(B1562,A$15:L$36,12,FALSE)*Q1666," ")</f>
        <v xml:space="preserve"> </v>
      </c>
      <c r="S1656" s="8" t="str">
        <f>IFERROR(IF(R1656-VLOOKUP(B1562,A$15:O$36,15,FALSE)&lt;0,R1656-VLOOKUP(B1562,A$15:O$36,15,FALSE)," ")," ")</f>
        <v xml:space="preserve"> </v>
      </c>
      <c r="T1656" s="18" t="str">
        <f>IFERROR(IF(R1656-VLOOKUP(B1562,A$15:O$36,15,FALSE)&gt;0,R1656-VLOOKUP(B1562,A$15:O$36,15,FALSE)," ")," ")</f>
        <v xml:space="preserve"> </v>
      </c>
      <c r="U1656" s="34">
        <f t="shared" ref="U1656" si="7120">$M$2</f>
        <v>100.00000000000001</v>
      </c>
      <c r="V1656" s="34">
        <v>-1</v>
      </c>
      <c r="W1656" s="34">
        <f t="shared" ref="W1656" si="7121">-SUMPRODUCT($M$3:$M$12,$N$3:$N$12)</f>
        <v>-105000</v>
      </c>
      <c r="X1656" s="34" t="e">
        <f t="shared" ref="X1656" si="7122">IF(U1656&lt;&gt;U1657,MMULT(MINVERSE(U1656:V1657),W1656:W1657)," ")</f>
        <v>#NUM!</v>
      </c>
      <c r="Y1656" s="34" t="str">
        <f t="shared" ref="Y1656" si="7123">IFERROR(IF(X1656-VLOOKUP(U$38,$A$2:$N$12,14,FALSE)&lt;0,X1656-VLOOKUP(U$38,$A$2:$N$12,14,FALSE)," ")," ")</f>
        <v xml:space="preserve"> </v>
      </c>
      <c r="Z1656" s="34" t="str">
        <f t="shared" ref="Z1656" si="7124">IFERROR(IF(X1656-VLOOKUP(U$38,$A$2:$N$12,14,FALSE)&gt;0,X1656-VLOOKUP(U$38,$A$2:$N$12,14,FALSE)," ")," ")</f>
        <v xml:space="preserve"> </v>
      </c>
      <c r="AA1656" s="34">
        <f t="shared" ref="AA1656" si="7125">$M$3</f>
        <v>0</v>
      </c>
      <c r="AB1656" s="34">
        <v>-1</v>
      </c>
      <c r="AC1656" s="34">
        <f t="shared" ref="AC1656" si="7126">-SUMPRODUCT($M$2:$M$2,$N$2:$N$2)-SUMPRODUCT($M$4:$M$12,$N$4:$N$12)</f>
        <v>-120000</v>
      </c>
      <c r="AD1656" s="34" t="e">
        <f t="shared" ref="AD1656" si="7127">IF(AA1656&lt;&gt;AA1657,MMULT(MINVERSE(AA1656:AB1657),AC1656:AC1657)," ")</f>
        <v>#NUM!</v>
      </c>
      <c r="AE1656" s="34" t="str">
        <f t="shared" ref="AE1656" si="7128">IFERROR(IF(AD1656-VLOOKUP(AA$38,$A$2:$N$12,14,FALSE)&lt;0,AD1656-VLOOKUP(AA$38,$A$2:$N$12,14,FALSE)," ")," ")</f>
        <v xml:space="preserve"> </v>
      </c>
      <c r="AF1656" s="34" t="str">
        <f t="shared" ref="AF1656" si="7129">IFERROR(IF(AD1656-VLOOKUP(AA$38,$A$2:$N$12,14,FALSE)&gt;0,AD1656-VLOOKUP(AA$38,$A$2:$N$12,14,FALSE)," ")," ")</f>
        <v xml:space="preserve"> </v>
      </c>
      <c r="AG1656" s="34">
        <f t="shared" ref="AG1656" si="7130">$M$4</f>
        <v>300</v>
      </c>
      <c r="AH1656" s="34">
        <v>-1</v>
      </c>
      <c r="AI1656" s="34">
        <f t="shared" ref="AI1656" si="7131">-SUMPRODUCT($M$2:$M$3,$N$2:$N$3)-SUMPRODUCT($M$5:$M$12,$N$5:$N$12)</f>
        <v>-15000.000000000002</v>
      </c>
      <c r="AJ1656" s="34" t="e">
        <f t="shared" ref="AJ1656" si="7132">IF(AG1656&lt;&gt;AG1657,MMULT(MINVERSE(AG1656:AH1657),AI1656:AI1657)," ")</f>
        <v>#NUM!</v>
      </c>
      <c r="AK1656" s="34" t="str">
        <f t="shared" ref="AK1656" si="7133">IFERROR(IF(AJ1656-VLOOKUP(AG$38,$A$2:$N$12,14,FALSE)&lt;0,AJ1656-VLOOKUP(AG$38,$A$2:$N$12,14,FALSE)," ")," ")</f>
        <v xml:space="preserve"> </v>
      </c>
      <c r="AL1656" s="34" t="str">
        <f t="shared" ref="AL1656" si="7134">IFERROR(IF(AJ1656-VLOOKUP(AG$38,$A$2:$N$12,14,FALSE)&gt;0,AJ1656-VLOOKUP(AG$38,$A$2:$N$12,14,FALSE)," ")," ")</f>
        <v xml:space="preserve"> </v>
      </c>
      <c r="AM1656" s="34">
        <f t="shared" ref="AM1656" si="7135">$M$5</f>
        <v>0</v>
      </c>
      <c r="AN1656" s="34">
        <v>-1</v>
      </c>
      <c r="AO1656" s="34">
        <f t="shared" ref="AO1656" si="7136">-SUMPRODUCT($M$2:$M$4,$N$2:$N$4)-SUMPRODUCT($M$6:$M$12,$N$6:$N$12)</f>
        <v>-120000</v>
      </c>
      <c r="AP1656" s="34" t="e">
        <f t="shared" ref="AP1656" si="7137">IF(AM1656&lt;&gt;AM1657,MMULT(MINVERSE(AM1656:AN1657),AO1656:AO1657)," ")</f>
        <v>#NUM!</v>
      </c>
      <c r="AQ1656" s="34" t="str">
        <f t="shared" ref="AQ1656" si="7138">IFERROR(IF(AP1656-VLOOKUP(AM$38,$A$2:$N$12,14,FALSE)&lt;0,AP1656-VLOOKUP(AM$38,$A$2:$N$12,14,FALSE)," ")," ")</f>
        <v xml:space="preserve"> </v>
      </c>
      <c r="AR1656" s="34" t="str">
        <f t="shared" ref="AR1656" si="7139">IFERROR(IF(AP1656-VLOOKUP(AM$38,$A$2:$N$12,14,FALSE)&gt;0,AP1656-VLOOKUP(AM$38,$A$2:$N$12,14,FALSE)," ")," ")</f>
        <v xml:space="preserve"> </v>
      </c>
      <c r="AS1656" s="34">
        <f t="shared" ref="AS1656" si="7140">$M$6</f>
        <v>0</v>
      </c>
      <c r="AT1656" s="34">
        <v>-1</v>
      </c>
      <c r="AU1656" s="34">
        <f t="shared" ref="AU1656" si="7141">-SUMPRODUCT($M$2:$M$5,$N$2:$N$5)-SUMPRODUCT($M$7:$M$12,$N$7:$N$12)</f>
        <v>-120000</v>
      </c>
      <c r="AV1656" s="34" t="e">
        <f t="shared" ref="AV1656" si="7142">IF(AS1656&lt;&gt;AS1657,MMULT(MINVERSE(AS1656:AT1657),AU1656:AU1657)," ")</f>
        <v>#NUM!</v>
      </c>
      <c r="AW1656" s="34" t="str">
        <f t="shared" ref="AW1656" si="7143">IFERROR(IF(AV1656-VLOOKUP(AS$38,$A$2:$N$12,14,FALSE)&lt;0,AV1656-VLOOKUP(AS$38,$A$2:$N$12,14,FALSE)," ")," ")</f>
        <v xml:space="preserve"> </v>
      </c>
      <c r="AX1656" s="34" t="str">
        <f t="shared" ref="AX1656" si="7144">IFERROR(IF(AV1656-VLOOKUP(AS$38,$A$2:$N$12,14,FALSE)&gt;0,AV1656-VLOOKUP(AS$38,$A$2:$N$12,14,FALSE)," ")," ")</f>
        <v xml:space="preserve"> </v>
      </c>
      <c r="AY1656" s="34">
        <f t="shared" ref="AY1656" si="7145">$M$7</f>
        <v>0</v>
      </c>
      <c r="AZ1656" s="34">
        <v>-1</v>
      </c>
      <c r="BA1656" s="34">
        <f t="shared" ref="BA1656" si="7146">-SUMPRODUCT($M$2:$M$6,$N$2:$N$6)-SUMPRODUCT($M$8:$M$12,$N$8:$N$12)</f>
        <v>-120000</v>
      </c>
      <c r="BB1656" s="34" t="e">
        <f t="shared" ref="BB1656" si="7147">IF(AY1656&lt;&gt;AY1657,MMULT(MINVERSE(AY1656:AZ1657),BA1656:BA1657)," ")</f>
        <v>#NUM!</v>
      </c>
      <c r="BC1656" s="34" t="str">
        <f t="shared" ref="BC1656" si="7148">IFERROR(IF(BB1656-VLOOKUP(AY$38,$A$2:$N$12,14,FALSE)&lt;0,BB1656-VLOOKUP(AY$38,$A$2:$N$12,14,FALSE)," ")," ")</f>
        <v xml:space="preserve"> </v>
      </c>
      <c r="BD1656" s="34" t="str">
        <f t="shared" ref="BD1656" si="7149">IFERROR(IF(BB1656-VLOOKUP(AY$38,$A$2:$N$12,14,FALSE)&gt;0,BB1656-VLOOKUP(AY$38,$A$2:$N$12,14,FALSE)," ")," ")</f>
        <v xml:space="preserve"> </v>
      </c>
      <c r="BE1656" s="34">
        <f t="shared" ref="BE1656" si="7150">$M$8</f>
        <v>0</v>
      </c>
      <c r="BF1656" s="34">
        <v>-1</v>
      </c>
      <c r="BG1656" s="34">
        <f t="shared" ref="BG1656" si="7151">-SUMPRODUCT($M$2:$M$7,$N$2:$N$7)-SUMPRODUCT($M$9:$M$12,$N$9:$N$12)</f>
        <v>-120000</v>
      </c>
      <c r="BH1656" s="34" t="e">
        <f t="shared" ref="BH1656" si="7152">IF(BE1656&lt;&gt;BE1657,MMULT(MINVERSE(BE1656:BF1657),BG1656:BG1657)," ")</f>
        <v>#NUM!</v>
      </c>
      <c r="BI1656" s="34" t="str">
        <f t="shared" ref="BI1656" si="7153">IFERROR(IF(BH1656-VLOOKUP(BE$38,$A$2:$N$12,14,FALSE)&lt;0,BH1656-VLOOKUP(BE$38,$A$2:$N$12,14,FALSE)," ")," ")</f>
        <v xml:space="preserve"> </v>
      </c>
      <c r="BJ1656" s="34" t="str">
        <f t="shared" ref="BJ1656" si="7154">IFERROR(IF(BH1656-VLOOKUP(BE$38,$A$2:$N$12,14,FALSE)&gt;0,BH1656-VLOOKUP(BE$38,$A$2:$N$12,14,FALSE)," ")," ")</f>
        <v xml:space="preserve"> </v>
      </c>
      <c r="BK1656" s="34">
        <f t="shared" ref="BK1656" si="7155">$M$9</f>
        <v>0</v>
      </c>
      <c r="BL1656" s="34">
        <v>-1</v>
      </c>
      <c r="BM1656" s="34">
        <f t="shared" ref="BM1656" si="7156">-SUMPRODUCT($M$2:$M$8,$N$2:$N$8)-SUMPRODUCT($M$10:$M$12,$N$10:$N$12)</f>
        <v>-120000</v>
      </c>
      <c r="BN1656" s="34" t="e">
        <f t="shared" ref="BN1656" si="7157">IF(BK1656&lt;&gt;BK1657,MMULT(MINVERSE(BK1656:BL1657),BM1656:BM1657)," ")</f>
        <v>#NUM!</v>
      </c>
      <c r="BO1656" s="34" t="str">
        <f t="shared" ref="BO1656" si="7158">IFERROR(IF(BN1656-VLOOKUP(BK$38,$A$2:$N$12,14,FALSE)&lt;0,BN1656-VLOOKUP(BK$38,$A$2:$N$12,14,FALSE)," ")," ")</f>
        <v xml:space="preserve"> </v>
      </c>
      <c r="BP1656" s="34" t="str">
        <f t="shared" ref="BP1656" si="7159">IFERROR(IF(BN1656-VLOOKUP(BK$38,$A$2:$N$12,14,FALSE)&gt;0,BN1656-VLOOKUP(BK$38,$A$2:$N$12,14,FALSE)," ")," ")</f>
        <v xml:space="preserve"> </v>
      </c>
      <c r="BQ1656" s="34">
        <f t="shared" ref="BQ1656" si="7160">$M$10</f>
        <v>0</v>
      </c>
      <c r="BR1656" s="34">
        <v>-1</v>
      </c>
      <c r="BS1656" s="34">
        <f t="shared" ref="BS1656" si="7161">-SUMPRODUCT($M$2:$M$9,$N$2:$N$9)-SUMPRODUCT($M$11:$M$12,$N$11:$N$12)</f>
        <v>-120000</v>
      </c>
      <c r="BT1656" s="34" t="e">
        <f t="shared" ref="BT1656" si="7162">IF(BQ1656&lt;&gt;BQ1657,MMULT(MINVERSE(BQ1656:BR1657),BS1656:BS1657)," ")</f>
        <v>#NUM!</v>
      </c>
      <c r="BU1656" s="34" t="str">
        <f t="shared" ref="BU1656" si="7163">IFERROR(IF(BT1656-VLOOKUP(BQ$38,$A$2:$N$12,14,FALSE)&lt;0,BT1656-VLOOKUP(BQ$38,$A$2:$N$12,14,FALSE)," ")," ")</f>
        <v xml:space="preserve"> </v>
      </c>
      <c r="BV1656" s="34" t="str">
        <f t="shared" ref="BV1656" si="7164">IFERROR(IF(BT1656-VLOOKUP(BQ$38,$A$2:$N$12,14,FALSE)&gt;0,BT1656-VLOOKUP(BQ$38,$A$2:$N$12,14,FALSE)," ")," ")</f>
        <v xml:space="preserve"> </v>
      </c>
      <c r="BW1656" s="34">
        <f t="shared" ref="BW1656" si="7165">$M$11</f>
        <v>0</v>
      </c>
      <c r="BX1656" s="34">
        <v>-1</v>
      </c>
      <c r="BY1656" s="34">
        <f t="shared" ref="BY1656" si="7166">-SUMPRODUCT($M$2:$M$10,$N$2:$N$10)-SUMPRODUCT($M$12,$N$12)</f>
        <v>-120000</v>
      </c>
      <c r="BZ1656" s="34" t="e">
        <f t="shared" ref="BZ1656" si="7167">IF(BW1656&lt;&gt;BW1657,MMULT(MINVERSE(BW1656:BX1657),BY1656:BY1657)," ")</f>
        <v>#NUM!</v>
      </c>
      <c r="CA1656" s="34" t="str">
        <f t="shared" ref="CA1656" si="7168">IFERROR(IF(BZ1656-VLOOKUP(BW$38,$A$2:$N$12,14,FALSE)&lt;0,BZ1656-VLOOKUP(BW$38,$A$2:$N$12,14,FALSE)," ")," ")</f>
        <v xml:space="preserve"> </v>
      </c>
      <c r="CB1656" s="34" t="str">
        <f t="shared" ref="CB1656" si="7169">IFERROR(IF(BZ1656-VLOOKUP(BW$38,$A$2:$N$12,14,FALSE)&gt;0,BZ1656-VLOOKUP(BW$38,$A$2:$N$12,14,FALSE)," ")," ")</f>
        <v xml:space="preserve"> </v>
      </c>
      <c r="CC1656" s="34">
        <f t="shared" ref="CC1656" si="7170">$M$12</f>
        <v>0</v>
      </c>
      <c r="CD1656" s="34">
        <v>-1</v>
      </c>
      <c r="CE1656" s="34">
        <f t="shared" ref="CE1656" si="7171">-SUMPRODUCT($M$2:$M$11,$N$2:$N$11)</f>
        <v>-120000</v>
      </c>
      <c r="CF1656" s="34" t="e">
        <f t="shared" ref="CF1656" si="7172">IF(CC1656&lt;&gt;CC1657,MMULT(MINVERSE(CC1656:CD1657),CE1656:CE1657)," ")</f>
        <v>#NUM!</v>
      </c>
      <c r="CG1656" s="34" t="str">
        <f t="shared" ref="CG1656" si="7173">IFERROR(IF(CF1656-VLOOKUP(CC$38,$A$2:$N$12,14,FALSE)&lt;0,CF1656-VLOOKUP(CC$38,$A$2:$N$12,14,FALSE)," ")," ")</f>
        <v xml:space="preserve"> </v>
      </c>
      <c r="CH1656" s="34" t="str">
        <f t="shared" ref="CH1656" si="7174">IFERROR(IF(CF1656-VLOOKUP(CC$38,$A$2:$N$12,14,FALSE)&gt;0,CF1656-VLOOKUP(CC$38,$A$2:$N$12,14,FALSE)," ")," ")</f>
        <v xml:space="preserve"> </v>
      </c>
      <c r="CI1656" s="8"/>
    </row>
    <row r="1657" spans="1:87" x14ac:dyDescent="0.2">
      <c r="A1657" s="8" t="str">
        <f>IF(AND(COUNTIF(W$3:W$13,A$16)&gt;0,A$16&lt;&gt;B1562),A$16,IFERROR(IF(MATCH(A$16,Z$3:Z$13,0)=5,A$16," ")," "))</f>
        <v xml:space="preserve"> </v>
      </c>
      <c r="B1657" s="8" t="str">
        <f>IF(A1657=" "," ",MAX(B1656:B1656)+1)</f>
        <v xml:space="preserve"> </v>
      </c>
      <c r="C1657" s="8" t="str">
        <f>IFERROR(INDEX(A1656:A1677,MATCH(SMALL(B1656:B1677,2),B1656:B1677,0),1)," ")</f>
        <v>C4</v>
      </c>
      <c r="D1657" s="8">
        <f t="shared" ref="D1657:D1666" si="7175">IFERROR(VLOOKUP($C1657,$A$15:$O$36,2,FALSE)," ")</f>
        <v>1</v>
      </c>
      <c r="E1657" s="8">
        <f t="shared" ref="E1657:E1666" si="7176">IFERROR(VLOOKUP($C1657,$A$15:$O$36,3,FALSE)," ")</f>
        <v>0</v>
      </c>
      <c r="F1657" s="8">
        <f t="shared" ref="F1657:F1666" si="7177">IFERROR(VLOOKUP($C1657,$A$15:$O$36,4,FALSE)," ")</f>
        <v>1</v>
      </c>
      <c r="G1657" s="8">
        <f t="shared" ref="G1657:G1666" si="7178">IFERROR(VLOOKUP($C1657,$A$15:$O$36,5,FALSE)," ")</f>
        <v>0</v>
      </c>
      <c r="H1657" s="8">
        <f t="shared" ref="H1657:H1666" si="7179">IFERROR(VLOOKUP($C1657,$A$15:$O$36,6,FALSE)," ")</f>
        <v>0</v>
      </c>
      <c r="I1657" s="8">
        <f t="shared" ref="I1657:I1666" si="7180">IFERROR(VLOOKUP($C1657,$A$15:$O$36,7,FALSE)," ")</f>
        <v>0</v>
      </c>
      <c r="J1657" s="8">
        <f t="shared" ref="J1657:J1666" si="7181">IFERROR(VLOOKUP($C1657,$A$15:$O$36,8,FALSE)," ")</f>
        <v>0</v>
      </c>
      <c r="K1657" s="8">
        <f t="shared" ref="K1657:K1666" si="7182">IFERROR(VLOOKUP($C1657,$A$15:$O$36,9,FALSE)," ")</f>
        <v>0</v>
      </c>
      <c r="L1657" s="8">
        <f t="shared" ref="L1657:L1666" si="7183">IFERROR(VLOOKUP($C1657,$A$15:$O$36,10,FALSE)," ")</f>
        <v>0</v>
      </c>
      <c r="M1657" s="8">
        <f t="shared" ref="M1657:M1666" si="7184">IFERROR(VLOOKUP($C1657,$A$15:$O$36,11,FALSE)," ")</f>
        <v>0</v>
      </c>
      <c r="N1657" s="8">
        <f t="shared" ref="N1657:N1666" si="7185">IFERROR(VLOOKUP($C1657,$A$15:$O$36,12,FALSE)," ")</f>
        <v>0</v>
      </c>
      <c r="O1657" s="8">
        <f t="shared" ref="O1657:O1666" si="7186">IFERROR(VLOOKUP($C1657,$A$15:$O$36,15,FALSE)," ")</f>
        <v>400</v>
      </c>
      <c r="P1657" s="8" t="e">
        <v>#NUM!</v>
      </c>
      <c r="Q1657" s="8" t="e">
        <f t="shared" ref="Q1657" si="7187">IF(COUNTIF(P1656:P1666,"&lt;"&amp;-0.001)=0,IF(ABS(P1657)&lt;0.001,0,P1657)," ")</f>
        <v>#NUM!</v>
      </c>
      <c r="R1657" s="8"/>
      <c r="S1657" s="8"/>
      <c r="U1657" s="34" t="e">
        <f t="shared" ref="U1657" si="7188">$Q1656</f>
        <v>#NUM!</v>
      </c>
      <c r="V1657" s="34">
        <v>-1</v>
      </c>
      <c r="W1657" s="34" t="e">
        <f t="shared" ref="W1657" si="7189">-SUMPRODUCT($Q1657:$Q1666,$N$3:$N$12)</f>
        <v>#NUM!</v>
      </c>
      <c r="X1657" s="34"/>
      <c r="Y1657" s="34"/>
      <c r="Z1657" s="34"/>
      <c r="AA1657" s="34" t="e">
        <f t="shared" ref="AA1657" si="7190">$Q1657</f>
        <v>#NUM!</v>
      </c>
      <c r="AB1657" s="34">
        <v>-1</v>
      </c>
      <c r="AC1657" s="34" t="e">
        <f t="shared" ref="AC1657" si="7191">-SUMPRODUCT($Q1656:$Q1656,$N$2:$N$2)-SUMPRODUCT($Q1658:$Q1666,$N$4:$N$12)</f>
        <v>#NUM!</v>
      </c>
      <c r="AD1657" s="34"/>
      <c r="AE1657" s="34"/>
      <c r="AF1657" s="34"/>
      <c r="AG1657" s="34" t="e">
        <f t="shared" ref="AG1657" si="7192">$Q1658</f>
        <v>#NUM!</v>
      </c>
      <c r="AH1657" s="34">
        <v>-1</v>
      </c>
      <c r="AI1657" s="34" t="e">
        <f t="shared" ref="AI1657" si="7193">-SUMPRODUCT($Q1656:$Q1657,$N$2:$N$3)-SUMPRODUCT($Q1659:$Q1666,$N$5:$N$12)</f>
        <v>#NUM!</v>
      </c>
      <c r="AJ1657" s="34"/>
      <c r="AK1657" s="34"/>
      <c r="AL1657" s="34"/>
      <c r="AM1657" s="34" t="e">
        <f t="shared" ref="AM1657" si="7194">$Q1659</f>
        <v>#NUM!</v>
      </c>
      <c r="AN1657" s="34">
        <v>-1</v>
      </c>
      <c r="AO1657" s="34" t="e">
        <f t="shared" ref="AO1657" si="7195">-SUMPRODUCT($Q1656:$Q1658,$N$2:$N$4)-SUMPRODUCT($Q1660:$Q1666,$N$6:$N$12)</f>
        <v>#NUM!</v>
      </c>
      <c r="AP1657" s="34"/>
      <c r="AQ1657" s="34"/>
      <c r="AR1657" s="34"/>
      <c r="AS1657" s="34" t="e">
        <f t="shared" ref="AS1657" si="7196">$Q1660</f>
        <v>#NUM!</v>
      </c>
      <c r="AT1657" s="34">
        <v>-1</v>
      </c>
      <c r="AU1657" s="34" t="e">
        <f t="shared" ref="AU1657" si="7197">-SUMPRODUCT($Q1656:$Q1659,$N$2:$N$5)-SUMPRODUCT($Q1661:$Q1666,$N$7:$N$12)</f>
        <v>#NUM!</v>
      </c>
      <c r="AV1657" s="34"/>
      <c r="AW1657" s="34"/>
      <c r="AX1657" s="34"/>
      <c r="AY1657" s="34" t="e">
        <f t="shared" ref="AY1657" si="7198">$Q1661</f>
        <v>#NUM!</v>
      </c>
      <c r="AZ1657" s="34">
        <v>-1</v>
      </c>
      <c r="BA1657" s="34" t="e">
        <f t="shared" ref="BA1657" si="7199">-SUMPRODUCT($Q1656:$Q1660,$N$2:$N$6)-SUMPRODUCT($Q1662:$Q1666,$N$8:$N$12)</f>
        <v>#NUM!</v>
      </c>
      <c r="BB1657" s="34"/>
      <c r="BC1657" s="34"/>
      <c r="BD1657" s="34"/>
      <c r="BE1657" s="34" t="e">
        <f t="shared" ref="BE1657" si="7200">$Q1662</f>
        <v>#NUM!</v>
      </c>
      <c r="BF1657" s="34">
        <v>-1</v>
      </c>
      <c r="BG1657" s="34" t="e">
        <f t="shared" ref="BG1657" si="7201">-SUMPRODUCT($Q1656:$Q1661,$N$2:$N$7)-SUMPRODUCT($Q1663:$Q1666,$N$9:$N$12)</f>
        <v>#NUM!</v>
      </c>
      <c r="BH1657" s="34"/>
      <c r="BI1657" s="34"/>
      <c r="BJ1657" s="34"/>
      <c r="BK1657" s="34" t="e">
        <f t="shared" ref="BK1657" si="7202">$Q1663</f>
        <v>#NUM!</v>
      </c>
      <c r="BL1657" s="34">
        <v>-1</v>
      </c>
      <c r="BM1657" s="34" t="e">
        <f t="shared" ref="BM1657" si="7203">-SUMPRODUCT($Q1656:$Q1662,$N$2:$N$8)-SUMPRODUCT($Q1664:$Q1666,$N$10:$N$12)</f>
        <v>#NUM!</v>
      </c>
      <c r="BN1657" s="34"/>
      <c r="BO1657" s="34"/>
      <c r="BP1657" s="34"/>
      <c r="BQ1657" s="34" t="e">
        <f t="shared" ref="BQ1657" si="7204">$Q1664</f>
        <v>#NUM!</v>
      </c>
      <c r="BR1657" s="34">
        <v>-1</v>
      </c>
      <c r="BS1657" s="34" t="e">
        <f t="shared" ref="BS1657" si="7205">-SUMPRODUCT($Q1656:$Q1663,$N$2:$N$9)-SUMPRODUCT($Q1665:$Q1666,$N$11:$N$12)</f>
        <v>#NUM!</v>
      </c>
      <c r="BT1657" s="34"/>
      <c r="BU1657" s="34"/>
      <c r="BV1657" s="34"/>
      <c r="BW1657" s="34" t="e">
        <f t="shared" ref="BW1657" si="7206">$Q1665</f>
        <v>#NUM!</v>
      </c>
      <c r="BX1657" s="34">
        <v>-1</v>
      </c>
      <c r="BY1657" s="34" t="e">
        <f t="shared" ref="BY1657" si="7207">-SUMPRODUCT($Q1656:$Q1664,$N$2:$N$10)-SUMPRODUCT($Q1666,$N$12)</f>
        <v>#NUM!</v>
      </c>
      <c r="BZ1657" s="34"/>
      <c r="CA1657" s="34"/>
      <c r="CB1657" s="34"/>
      <c r="CC1657" s="34" t="e">
        <f t="shared" ref="CC1657" si="7208">$Q1666</f>
        <v>#NUM!</v>
      </c>
      <c r="CD1657" s="34">
        <v>-1</v>
      </c>
      <c r="CE1657" s="34" t="e">
        <f t="shared" ref="CE1657" si="7209">-SUMPRODUCT($Q1656:$Q1665,$N$2:$N$11)</f>
        <v>#NUM!</v>
      </c>
      <c r="CF1657" s="34"/>
      <c r="CG1657" s="34"/>
      <c r="CH1657" s="34"/>
      <c r="CI1657" s="8"/>
    </row>
    <row r="1658" spans="1:87" x14ac:dyDescent="0.2">
      <c r="A1658" s="8" t="str">
        <f>IF(AND(COUNTIF(W$3:W$13,A$17)&gt;0,A$17&lt;&gt;B1562),A$17,IFERROR(IF(MATCH(A$17,Z$3:Z$13,0)=5,A$17," ")," "))</f>
        <v>C3</v>
      </c>
      <c r="B1658" s="8">
        <f>IF(A1658=" "," ",MAX(B1656:B1657)+1)</f>
        <v>1</v>
      </c>
      <c r="C1658" s="8" t="str">
        <f>IFERROR(INDEX(A1656:A1677,MATCH(SMALL(B1656:B1677,3),B1656:B1677,0),1)," ")</f>
        <v>C7</v>
      </c>
      <c r="D1658" s="8">
        <f t="shared" si="7175"/>
        <v>0</v>
      </c>
      <c r="E1658" s="8">
        <f t="shared" si="7176"/>
        <v>0</v>
      </c>
      <c r="F1658" s="8">
        <f t="shared" si="7177"/>
        <v>0</v>
      </c>
      <c r="G1658" s="8">
        <f t="shared" si="7178"/>
        <v>0</v>
      </c>
      <c r="H1658" s="8">
        <f t="shared" si="7179"/>
        <v>0</v>
      </c>
      <c r="I1658" s="8">
        <f t="shared" si="7180"/>
        <v>0</v>
      </c>
      <c r="J1658" s="8">
        <f t="shared" si="7181"/>
        <v>0</v>
      </c>
      <c r="K1658" s="8">
        <f t="shared" si="7182"/>
        <v>0</v>
      </c>
      <c r="L1658" s="8">
        <f t="shared" si="7183"/>
        <v>0</v>
      </c>
      <c r="M1658" s="8">
        <f t="shared" si="7184"/>
        <v>0</v>
      </c>
      <c r="N1658" s="8">
        <f t="shared" si="7185"/>
        <v>0</v>
      </c>
      <c r="O1658" s="8">
        <f t="shared" si="7186"/>
        <v>0</v>
      </c>
      <c r="P1658" s="8" t="e">
        <v>#NUM!</v>
      </c>
      <c r="Q1658" s="8" t="e">
        <f t="shared" ref="Q1658" si="7210">IF(COUNTIF(P1656:P1666,"&lt;"&amp;-0.001)=0,IF(ABS(P1658)&lt;0.001,0,P1658)," ")</f>
        <v>#NUM!</v>
      </c>
      <c r="R1658" s="8"/>
      <c r="S1658" s="8"/>
      <c r="U1658" s="34"/>
      <c r="V1658" s="34"/>
      <c r="W1658" s="34"/>
      <c r="X1658" s="34"/>
      <c r="Y1658" s="34"/>
      <c r="Z1658" s="34"/>
      <c r="AA1658" s="34"/>
      <c r="AB1658" s="34"/>
      <c r="AC1658" s="34"/>
      <c r="AD1658" s="34"/>
      <c r="AE1658" s="34"/>
      <c r="AF1658" s="34"/>
      <c r="AG1658" s="34"/>
      <c r="AH1658" s="34"/>
      <c r="AI1658" s="34"/>
      <c r="AJ1658" s="34"/>
      <c r="AK1658" s="34"/>
      <c r="AL1658" s="34"/>
      <c r="AM1658" s="34"/>
      <c r="AN1658" s="34"/>
      <c r="AO1658" s="34"/>
      <c r="AP1658" s="34"/>
      <c r="AQ1658" s="34"/>
      <c r="AR1658" s="34"/>
      <c r="AS1658" s="34"/>
      <c r="AT1658" s="34"/>
      <c r="AU1658" s="34"/>
      <c r="AV1658" s="34"/>
      <c r="AW1658" s="34"/>
      <c r="AX1658" s="34"/>
      <c r="AY1658" s="34"/>
      <c r="AZ1658" s="34"/>
      <c r="BA1658" s="34"/>
      <c r="BB1658" s="34"/>
      <c r="BC1658" s="34"/>
      <c r="BD1658" s="34"/>
      <c r="BE1658" s="34"/>
      <c r="BF1658" s="34"/>
      <c r="BG1658" s="34"/>
      <c r="BH1658" s="34"/>
      <c r="BI1658" s="34"/>
      <c r="BJ1658" s="34"/>
      <c r="BK1658" s="34"/>
      <c r="BL1658" s="34"/>
      <c r="BM1658" s="34"/>
      <c r="BN1658" s="34"/>
      <c r="BO1658" s="34"/>
      <c r="BP1658" s="34"/>
      <c r="BQ1658" s="34"/>
      <c r="BR1658" s="34"/>
      <c r="BS1658" s="34"/>
      <c r="BT1658" s="34"/>
      <c r="BU1658" s="34"/>
      <c r="BV1658" s="34"/>
      <c r="BW1658" s="34"/>
      <c r="BX1658" s="34"/>
      <c r="BY1658" s="34"/>
      <c r="BZ1658" s="34"/>
      <c r="CA1658" s="34"/>
      <c r="CB1658" s="34"/>
      <c r="CC1658" s="34"/>
      <c r="CD1658" s="34"/>
      <c r="CE1658" s="34"/>
      <c r="CF1658" s="34"/>
      <c r="CG1658" s="34"/>
      <c r="CH1658" s="34"/>
      <c r="CI1658" s="8"/>
    </row>
    <row r="1659" spans="1:87" x14ac:dyDescent="0.2">
      <c r="A1659" s="8" t="str">
        <f>IF(AND(COUNTIF(W$3:W$13,A$18)&gt;0,A$18&lt;&gt;B1562),A$18,IFERROR(IF(MATCH(A$18,Z$3:Z$13,0)=5,A$18," ")," "))</f>
        <v>C4</v>
      </c>
      <c r="B1659" s="8">
        <f>IF(A1659=" "," ",MAX(B1656:B1658)+1)</f>
        <v>2</v>
      </c>
      <c r="C1659" s="8" t="str">
        <f>IFERROR(INDEX(A1656:A1677,MATCH(SMALL(B1656:B1677,4),B1656:B1677,0),1)," ")</f>
        <v>C13</v>
      </c>
      <c r="D1659" s="8">
        <f t="shared" si="7175"/>
        <v>0</v>
      </c>
      <c r="E1659" s="8">
        <f t="shared" si="7176"/>
        <v>1</v>
      </c>
      <c r="F1659" s="8">
        <f t="shared" si="7177"/>
        <v>0</v>
      </c>
      <c r="G1659" s="8">
        <f t="shared" si="7178"/>
        <v>0</v>
      </c>
      <c r="H1659" s="8">
        <f t="shared" si="7179"/>
        <v>0</v>
      </c>
      <c r="I1659" s="8">
        <f t="shared" si="7180"/>
        <v>0</v>
      </c>
      <c r="J1659" s="8">
        <f t="shared" si="7181"/>
        <v>0</v>
      </c>
      <c r="K1659" s="8">
        <f t="shared" si="7182"/>
        <v>0</v>
      </c>
      <c r="L1659" s="8">
        <f t="shared" si="7183"/>
        <v>0</v>
      </c>
      <c r="M1659" s="8">
        <f t="shared" si="7184"/>
        <v>0</v>
      </c>
      <c r="N1659" s="8">
        <f t="shared" si="7185"/>
        <v>0</v>
      </c>
      <c r="O1659" s="8">
        <f t="shared" si="7186"/>
        <v>0</v>
      </c>
      <c r="P1659" s="8" t="e">
        <v>#NUM!</v>
      </c>
      <c r="Q1659" s="8" t="e">
        <f t="shared" ref="Q1659" si="7211">IF(COUNTIF(P1656:P1666,"&lt;"&amp;-0.001)=0,IF(ABS(P1659)&lt;0.001,0,P1659)," ")</f>
        <v>#NUM!</v>
      </c>
      <c r="R1659" s="8"/>
      <c r="S1659" s="8"/>
      <c r="U1659" s="34"/>
      <c r="V1659" s="34"/>
      <c r="W1659" s="34"/>
      <c r="X1659" s="34"/>
      <c r="Y1659" s="34"/>
      <c r="Z1659" s="34"/>
      <c r="AA1659" s="34"/>
      <c r="AB1659" s="34"/>
      <c r="AC1659" s="34"/>
      <c r="AD1659" s="34"/>
      <c r="AE1659" s="34"/>
      <c r="AF1659" s="34"/>
      <c r="AG1659" s="34"/>
      <c r="AH1659" s="34"/>
      <c r="AI1659" s="34"/>
      <c r="AJ1659" s="34"/>
      <c r="AK1659" s="34"/>
      <c r="AL1659" s="34"/>
      <c r="AM1659" s="34"/>
      <c r="AN1659" s="34"/>
      <c r="AO1659" s="34"/>
      <c r="AP1659" s="34"/>
      <c r="AQ1659" s="34"/>
      <c r="AR1659" s="34"/>
      <c r="AS1659" s="34"/>
      <c r="AT1659" s="34"/>
      <c r="AU1659" s="34"/>
      <c r="AV1659" s="34"/>
      <c r="AW1659" s="34"/>
      <c r="AX1659" s="34"/>
      <c r="AY1659" s="34"/>
      <c r="AZ1659" s="34"/>
      <c r="BA1659" s="34"/>
      <c r="BB1659" s="34"/>
      <c r="BC1659" s="34"/>
      <c r="BD1659" s="34"/>
      <c r="BE1659" s="34"/>
      <c r="BF1659" s="34"/>
      <c r="BG1659" s="34"/>
      <c r="BH1659" s="34"/>
      <c r="BI1659" s="34"/>
      <c r="BJ1659" s="34"/>
      <c r="BK1659" s="34"/>
      <c r="BL1659" s="34"/>
      <c r="BM1659" s="34"/>
      <c r="BN1659" s="34"/>
      <c r="BO1659" s="34"/>
      <c r="BP1659" s="34"/>
      <c r="BQ1659" s="34"/>
      <c r="BR1659" s="34"/>
      <c r="BS1659" s="34"/>
      <c r="BT1659" s="34"/>
      <c r="BU1659" s="34"/>
      <c r="BV1659" s="34"/>
      <c r="BW1659" s="34"/>
      <c r="BX1659" s="34"/>
      <c r="BY1659" s="34"/>
      <c r="BZ1659" s="34"/>
      <c r="CA1659" s="34"/>
      <c r="CB1659" s="34"/>
      <c r="CC1659" s="34"/>
      <c r="CD1659" s="34"/>
      <c r="CE1659" s="34"/>
      <c r="CF1659" s="34"/>
      <c r="CG1659" s="34"/>
      <c r="CH1659" s="34"/>
      <c r="CI1659" s="8"/>
    </row>
    <row r="1660" spans="1:87" x14ac:dyDescent="0.2">
      <c r="A1660" s="8" t="str">
        <f>IF(AND(COUNTIF(W$3:W$13,A$19)&gt;0,A$19&lt;&gt;B1562),A$19,IFERROR(IF(MATCH(A$19,Z$3:Z$13,0)=5,A$19," ")," "))</f>
        <v xml:space="preserve"> </v>
      </c>
      <c r="B1660" s="8" t="str">
        <f>IF(A1660=" "," ",MAX(B1656:B1659)+1)</f>
        <v xml:space="preserve"> </v>
      </c>
      <c r="C1660" s="8" t="str">
        <f>IFERROR(INDEX(A1656:A1677,MATCH(SMALL(B1656:B1677,5),B1656:B1677,0),1)," ")</f>
        <v>C15</v>
      </c>
      <c r="D1660" s="8">
        <f t="shared" si="7175"/>
        <v>0</v>
      </c>
      <c r="E1660" s="8">
        <f t="shared" si="7176"/>
        <v>0</v>
      </c>
      <c r="F1660" s="8">
        <f t="shared" si="7177"/>
        <v>0</v>
      </c>
      <c r="G1660" s="8">
        <f t="shared" si="7178"/>
        <v>1</v>
      </c>
      <c r="H1660" s="8">
        <f t="shared" si="7179"/>
        <v>0</v>
      </c>
      <c r="I1660" s="8">
        <f t="shared" si="7180"/>
        <v>0</v>
      </c>
      <c r="J1660" s="8">
        <f t="shared" si="7181"/>
        <v>0</v>
      </c>
      <c r="K1660" s="8">
        <f t="shared" si="7182"/>
        <v>0</v>
      </c>
      <c r="L1660" s="8">
        <f t="shared" si="7183"/>
        <v>0</v>
      </c>
      <c r="M1660" s="8">
        <f t="shared" si="7184"/>
        <v>0</v>
      </c>
      <c r="N1660" s="8">
        <f t="shared" si="7185"/>
        <v>0</v>
      </c>
      <c r="O1660" s="8">
        <f t="shared" si="7186"/>
        <v>0</v>
      </c>
      <c r="P1660" s="8" t="e">
        <v>#NUM!</v>
      </c>
      <c r="Q1660" s="8" t="e">
        <f t="shared" ref="Q1660" si="7212">IF(COUNTIF(P1656:P1666,"&lt;"&amp;-0.001)=0,IF(ABS(P1660)&lt;0.001,0,P1660)," ")</f>
        <v>#NUM!</v>
      </c>
      <c r="R1660" s="8"/>
      <c r="S1660" s="8"/>
      <c r="U1660" s="34"/>
      <c r="V1660" s="34"/>
      <c r="W1660" s="34"/>
      <c r="X1660" s="34"/>
      <c r="Y1660" s="34"/>
      <c r="Z1660" s="34"/>
      <c r="AA1660" s="34"/>
      <c r="AB1660" s="34"/>
      <c r="AC1660" s="34"/>
      <c r="AD1660" s="34"/>
      <c r="AE1660" s="34"/>
      <c r="AF1660" s="34"/>
      <c r="AG1660" s="34"/>
      <c r="AH1660" s="34"/>
      <c r="AI1660" s="34"/>
      <c r="AJ1660" s="34"/>
      <c r="AK1660" s="34"/>
      <c r="AL1660" s="34"/>
      <c r="AM1660" s="34"/>
      <c r="AN1660" s="34"/>
      <c r="AO1660" s="34"/>
      <c r="AP1660" s="34"/>
      <c r="AQ1660" s="34"/>
      <c r="AR1660" s="34"/>
      <c r="AS1660" s="34"/>
      <c r="AT1660" s="34"/>
      <c r="AU1660" s="34"/>
      <c r="AV1660" s="34"/>
      <c r="AW1660" s="34"/>
      <c r="AX1660" s="34"/>
      <c r="AY1660" s="34"/>
      <c r="AZ1660" s="34"/>
      <c r="BA1660" s="34"/>
      <c r="BB1660" s="34"/>
      <c r="BC1660" s="34"/>
      <c r="BD1660" s="34"/>
      <c r="BE1660" s="34"/>
      <c r="BF1660" s="34"/>
      <c r="BG1660" s="34"/>
      <c r="BH1660" s="34"/>
      <c r="BI1660" s="34"/>
      <c r="BJ1660" s="34"/>
      <c r="BK1660" s="34"/>
      <c r="BL1660" s="34"/>
      <c r="BM1660" s="34"/>
      <c r="BN1660" s="34"/>
      <c r="BO1660" s="34"/>
      <c r="BP1660" s="34"/>
      <c r="BQ1660" s="34"/>
      <c r="BR1660" s="34"/>
      <c r="BS1660" s="34"/>
      <c r="BT1660" s="34"/>
      <c r="BU1660" s="34"/>
      <c r="BV1660" s="34"/>
      <c r="BW1660" s="34"/>
      <c r="BX1660" s="34"/>
      <c r="BY1660" s="34"/>
      <c r="BZ1660" s="34"/>
      <c r="CA1660" s="34"/>
      <c r="CB1660" s="34"/>
      <c r="CC1660" s="34"/>
      <c r="CD1660" s="34"/>
      <c r="CE1660" s="34"/>
      <c r="CF1660" s="34"/>
      <c r="CG1660" s="34"/>
      <c r="CH1660" s="34"/>
      <c r="CI1660" s="8"/>
    </row>
    <row r="1661" spans="1:87" x14ac:dyDescent="0.2">
      <c r="A1661" s="8" t="str">
        <f>IF(AND(COUNTIF(W$3:W$13,A$20)&gt;0,A$20&lt;&gt;B1562),A$20,IFERROR(IF(MATCH(A$20,Z$3:Z$13,0)=5,A$20," ")," "))</f>
        <v xml:space="preserve"> </v>
      </c>
      <c r="B1661" s="8" t="str">
        <f>IF(A1661=" "," ",MAX(B1656:B1660)+1)</f>
        <v xml:space="preserve"> </v>
      </c>
      <c r="C1661" s="8" t="str">
        <f>IFERROR(INDEX(A1656:A1677,MATCH(SMALL(B1656:B1677,6),B1656:B1677,0),1)," ")</f>
        <v>C16</v>
      </c>
      <c r="D1661" s="8">
        <f t="shared" si="7175"/>
        <v>0</v>
      </c>
      <c r="E1661" s="8">
        <f t="shared" si="7176"/>
        <v>0</v>
      </c>
      <c r="F1661" s="8">
        <f t="shared" si="7177"/>
        <v>0</v>
      </c>
      <c r="G1661" s="8">
        <f t="shared" si="7178"/>
        <v>0</v>
      </c>
      <c r="H1661" s="8">
        <f t="shared" si="7179"/>
        <v>1</v>
      </c>
      <c r="I1661" s="8">
        <f t="shared" si="7180"/>
        <v>0</v>
      </c>
      <c r="J1661" s="8">
        <f t="shared" si="7181"/>
        <v>0</v>
      </c>
      <c r="K1661" s="8">
        <f t="shared" si="7182"/>
        <v>0</v>
      </c>
      <c r="L1661" s="8">
        <f t="shared" si="7183"/>
        <v>0</v>
      </c>
      <c r="M1661" s="8">
        <f t="shared" si="7184"/>
        <v>0</v>
      </c>
      <c r="N1661" s="8">
        <f t="shared" si="7185"/>
        <v>0</v>
      </c>
      <c r="O1661" s="8">
        <f t="shared" si="7186"/>
        <v>0</v>
      </c>
      <c r="P1661" s="8" t="e">
        <v>#NUM!</v>
      </c>
      <c r="Q1661" s="8" t="e">
        <f t="shared" ref="Q1661" si="7213">IF(COUNTIF(P1656:P1666,"&lt;"&amp;-0.001)=0,IF(ABS(P1661)&lt;0.001,0,P1661)," ")</f>
        <v>#NUM!</v>
      </c>
      <c r="R1661" s="8"/>
      <c r="S1661" s="8"/>
      <c r="U1661" s="34"/>
      <c r="V1661" s="34"/>
      <c r="W1661" s="34"/>
      <c r="X1661" s="34"/>
      <c r="Y1661" s="34"/>
      <c r="Z1661" s="34"/>
      <c r="AA1661" s="34"/>
      <c r="AB1661" s="34"/>
      <c r="AC1661" s="34"/>
      <c r="AD1661" s="34"/>
      <c r="AE1661" s="34"/>
      <c r="AF1661" s="34"/>
      <c r="AG1661" s="34"/>
      <c r="AH1661" s="34"/>
      <c r="AI1661" s="34"/>
      <c r="AJ1661" s="34"/>
      <c r="AK1661" s="34"/>
      <c r="AL1661" s="34"/>
      <c r="AM1661" s="34"/>
      <c r="AN1661" s="34"/>
      <c r="AO1661" s="34"/>
      <c r="AP1661" s="34"/>
      <c r="AQ1661" s="34"/>
      <c r="AR1661" s="34"/>
      <c r="AS1661" s="34"/>
      <c r="AT1661" s="34"/>
      <c r="AU1661" s="34"/>
      <c r="AV1661" s="34"/>
      <c r="AW1661" s="34"/>
      <c r="AX1661" s="34"/>
      <c r="AY1661" s="34"/>
      <c r="AZ1661" s="34"/>
      <c r="BA1661" s="34"/>
      <c r="BB1661" s="34"/>
      <c r="BC1661" s="34"/>
      <c r="BD1661" s="34"/>
      <c r="BE1661" s="34"/>
      <c r="BF1661" s="34"/>
      <c r="BG1661" s="34"/>
      <c r="BH1661" s="34"/>
      <c r="BI1661" s="34"/>
      <c r="BJ1661" s="34"/>
      <c r="BK1661" s="34"/>
      <c r="BL1661" s="34"/>
      <c r="BM1661" s="34"/>
      <c r="BN1661" s="34"/>
      <c r="BO1661" s="34"/>
      <c r="BP1661" s="34"/>
      <c r="BQ1661" s="34"/>
      <c r="BR1661" s="34"/>
      <c r="BS1661" s="34"/>
      <c r="BT1661" s="34"/>
      <c r="BU1661" s="34"/>
      <c r="BV1661" s="34"/>
      <c r="BW1661" s="34"/>
      <c r="BX1661" s="34"/>
      <c r="BY1661" s="34"/>
      <c r="BZ1661" s="34"/>
      <c r="CA1661" s="34"/>
      <c r="CB1661" s="34"/>
      <c r="CC1661" s="34"/>
      <c r="CD1661" s="34"/>
      <c r="CE1661" s="34"/>
      <c r="CF1661" s="34"/>
      <c r="CG1661" s="34"/>
      <c r="CH1661" s="34"/>
      <c r="CI1661" s="8"/>
    </row>
    <row r="1662" spans="1:87" x14ac:dyDescent="0.2">
      <c r="A1662" s="8" t="str">
        <f>IF(AND(COUNTIF(W$3:W$13,A$21)&gt;0,A$21&lt;&gt;B1562),A$21,IFERROR(IF(MATCH(A$21,Z$3:Z$13,0)=5,A$21," ")," "))</f>
        <v>C7</v>
      </c>
      <c r="B1662" s="8">
        <f>IF(A1662=" "," ",MAX(B1656:B1661)+1)</f>
        <v>3</v>
      </c>
      <c r="C1662" s="8" t="str">
        <f>IFERROR(INDEX(A1656:A1677,MATCH(SMALL(B1656:B1677,7),B1656:B1677,0),1)," ")</f>
        <v>C17</v>
      </c>
      <c r="D1662" s="8">
        <f t="shared" si="7175"/>
        <v>0</v>
      </c>
      <c r="E1662" s="8">
        <f t="shared" si="7176"/>
        <v>0</v>
      </c>
      <c r="F1662" s="8">
        <f t="shared" si="7177"/>
        <v>0</v>
      </c>
      <c r="G1662" s="8">
        <f t="shared" si="7178"/>
        <v>0</v>
      </c>
      <c r="H1662" s="8">
        <f t="shared" si="7179"/>
        <v>0</v>
      </c>
      <c r="I1662" s="8">
        <f t="shared" si="7180"/>
        <v>1</v>
      </c>
      <c r="J1662" s="8">
        <f t="shared" si="7181"/>
        <v>0</v>
      </c>
      <c r="K1662" s="8">
        <f t="shared" si="7182"/>
        <v>0</v>
      </c>
      <c r="L1662" s="8">
        <f t="shared" si="7183"/>
        <v>0</v>
      </c>
      <c r="M1662" s="8">
        <f t="shared" si="7184"/>
        <v>0</v>
      </c>
      <c r="N1662" s="8">
        <f t="shared" si="7185"/>
        <v>0</v>
      </c>
      <c r="O1662" s="8">
        <f t="shared" si="7186"/>
        <v>0</v>
      </c>
      <c r="P1662" s="8" t="e">
        <v>#NUM!</v>
      </c>
      <c r="Q1662" s="8" t="e">
        <f t="shared" ref="Q1662" si="7214">IF(COUNTIF(P1656:P1666,"&lt;"&amp;-0.001)=0,IF(ABS(P1662)&lt;0.001,0,P1662)," ")</f>
        <v>#NUM!</v>
      </c>
      <c r="R1662" s="8"/>
      <c r="S1662" s="8"/>
      <c r="U1662" s="34"/>
      <c r="V1662" s="34"/>
      <c r="W1662" s="34"/>
      <c r="X1662" s="34"/>
      <c r="Y1662" s="34"/>
      <c r="Z1662" s="34"/>
      <c r="AA1662" s="34"/>
      <c r="AB1662" s="34"/>
      <c r="AC1662" s="34"/>
      <c r="AD1662" s="34"/>
      <c r="AE1662" s="34"/>
      <c r="AF1662" s="34"/>
      <c r="AG1662" s="34"/>
      <c r="AH1662" s="34"/>
      <c r="AI1662" s="34"/>
      <c r="AJ1662" s="34"/>
      <c r="AK1662" s="34"/>
      <c r="AL1662" s="34"/>
      <c r="AM1662" s="34"/>
      <c r="AN1662" s="34"/>
      <c r="AO1662" s="34"/>
      <c r="AP1662" s="34"/>
      <c r="AQ1662" s="34"/>
      <c r="AR1662" s="34"/>
      <c r="AS1662" s="34"/>
      <c r="AT1662" s="34"/>
      <c r="AU1662" s="34"/>
      <c r="AV1662" s="34"/>
      <c r="AW1662" s="34"/>
      <c r="AX1662" s="34"/>
      <c r="AY1662" s="34"/>
      <c r="AZ1662" s="34"/>
      <c r="BA1662" s="34"/>
      <c r="BB1662" s="34"/>
      <c r="BC1662" s="34"/>
      <c r="BD1662" s="34"/>
      <c r="BE1662" s="34"/>
      <c r="BF1662" s="34"/>
      <c r="BG1662" s="34"/>
      <c r="BH1662" s="34"/>
      <c r="BI1662" s="34"/>
      <c r="BJ1662" s="34"/>
      <c r="BK1662" s="34"/>
      <c r="BL1662" s="34"/>
      <c r="BM1662" s="34"/>
      <c r="BN1662" s="34"/>
      <c r="BO1662" s="34"/>
      <c r="BP1662" s="34"/>
      <c r="BQ1662" s="34"/>
      <c r="BR1662" s="34"/>
      <c r="BS1662" s="34"/>
      <c r="BT1662" s="34"/>
      <c r="BU1662" s="34"/>
      <c r="BV1662" s="34"/>
      <c r="BW1662" s="34"/>
      <c r="BX1662" s="34"/>
      <c r="BY1662" s="34"/>
      <c r="BZ1662" s="34"/>
      <c r="CA1662" s="34"/>
      <c r="CB1662" s="34"/>
      <c r="CC1662" s="34"/>
      <c r="CD1662" s="34"/>
      <c r="CE1662" s="34"/>
      <c r="CF1662" s="34"/>
      <c r="CG1662" s="34"/>
      <c r="CH1662" s="34"/>
      <c r="CI1662" s="8"/>
    </row>
    <row r="1663" spans="1:87" x14ac:dyDescent="0.2">
      <c r="A1663" s="8" t="str">
        <f>IF(AND(COUNTIF(W$3:W$13,A$22)&gt;0,A$22&lt;&gt;B1562),A$22,IFERROR(IF(MATCH(A$22,Z$3:Z$13,0)=5,A$22," ")," "))</f>
        <v xml:space="preserve"> </v>
      </c>
      <c r="B1663" s="8" t="str">
        <f>IF(A1663=" "," ",MAX(B1656:B1662)+1)</f>
        <v xml:space="preserve"> </v>
      </c>
      <c r="C1663" s="8" t="str">
        <f>IFERROR(INDEX(A1656:A1677,MATCH(SMALL(B1656:B1677,8),B1656:B1677,0),1)," ")</f>
        <v>C19</v>
      </c>
      <c r="D1663" s="8">
        <f t="shared" si="7175"/>
        <v>0</v>
      </c>
      <c r="E1663" s="8">
        <f t="shared" si="7176"/>
        <v>0</v>
      </c>
      <c r="F1663" s="8">
        <f t="shared" si="7177"/>
        <v>0</v>
      </c>
      <c r="G1663" s="8">
        <f t="shared" si="7178"/>
        <v>0</v>
      </c>
      <c r="H1663" s="8">
        <f t="shared" si="7179"/>
        <v>0</v>
      </c>
      <c r="I1663" s="8">
        <f t="shared" si="7180"/>
        <v>0</v>
      </c>
      <c r="J1663" s="8">
        <f t="shared" si="7181"/>
        <v>0</v>
      </c>
      <c r="K1663" s="8">
        <f t="shared" si="7182"/>
        <v>1</v>
      </c>
      <c r="L1663" s="8">
        <f t="shared" si="7183"/>
        <v>0</v>
      </c>
      <c r="M1663" s="8">
        <f t="shared" si="7184"/>
        <v>0</v>
      </c>
      <c r="N1663" s="8">
        <f t="shared" si="7185"/>
        <v>0</v>
      </c>
      <c r="O1663" s="8">
        <f t="shared" si="7186"/>
        <v>0</v>
      </c>
      <c r="P1663" s="8" t="e">
        <v>#NUM!</v>
      </c>
      <c r="Q1663" s="8" t="e">
        <f t="shared" ref="Q1663" si="7215">IF(COUNTIF(P1656:P1666,"&lt;"&amp;-0.001)=0,IF(ABS(P1663)&lt;0.001,0,P1663)," ")</f>
        <v>#NUM!</v>
      </c>
      <c r="R1663" s="8"/>
      <c r="S1663" s="8"/>
      <c r="U1663" s="34"/>
      <c r="V1663" s="34"/>
      <c r="W1663" s="34"/>
      <c r="X1663" s="34"/>
      <c r="Y1663" s="34"/>
      <c r="Z1663" s="34"/>
      <c r="AA1663" s="34"/>
      <c r="AB1663" s="34"/>
      <c r="AC1663" s="34"/>
      <c r="AD1663" s="34"/>
      <c r="AE1663" s="34"/>
      <c r="AF1663" s="34"/>
      <c r="AG1663" s="34"/>
      <c r="AH1663" s="34"/>
      <c r="AI1663" s="34"/>
      <c r="AJ1663" s="34"/>
      <c r="AK1663" s="34"/>
      <c r="AL1663" s="34"/>
      <c r="AM1663" s="34"/>
      <c r="AN1663" s="34"/>
      <c r="AO1663" s="34"/>
      <c r="AP1663" s="34"/>
      <c r="AQ1663" s="34"/>
      <c r="AR1663" s="34"/>
      <c r="AS1663" s="34"/>
      <c r="AT1663" s="34"/>
      <c r="AU1663" s="34"/>
      <c r="AV1663" s="34"/>
      <c r="AW1663" s="34"/>
      <c r="AX1663" s="34"/>
      <c r="AY1663" s="34"/>
      <c r="AZ1663" s="34"/>
      <c r="BA1663" s="34"/>
      <c r="BB1663" s="34"/>
      <c r="BC1663" s="34"/>
      <c r="BD1663" s="34"/>
      <c r="BE1663" s="34"/>
      <c r="BF1663" s="34"/>
      <c r="BG1663" s="34"/>
      <c r="BH1663" s="34"/>
      <c r="BI1663" s="34"/>
      <c r="BJ1663" s="34"/>
      <c r="BK1663" s="34"/>
      <c r="BL1663" s="34"/>
      <c r="BM1663" s="34"/>
      <c r="BN1663" s="34"/>
      <c r="BO1663" s="34"/>
      <c r="BP1663" s="34"/>
      <c r="BQ1663" s="34"/>
      <c r="BR1663" s="34"/>
      <c r="BS1663" s="34"/>
      <c r="BT1663" s="34"/>
      <c r="BU1663" s="34"/>
      <c r="BV1663" s="34"/>
      <c r="BW1663" s="34"/>
      <c r="BX1663" s="34"/>
      <c r="BY1663" s="34"/>
      <c r="BZ1663" s="34"/>
      <c r="CA1663" s="34"/>
      <c r="CB1663" s="34"/>
      <c r="CC1663" s="34"/>
      <c r="CD1663" s="34"/>
      <c r="CE1663" s="34"/>
      <c r="CF1663" s="34"/>
      <c r="CG1663" s="34"/>
      <c r="CH1663" s="34"/>
      <c r="CI1663" s="8"/>
    </row>
    <row r="1664" spans="1:87" x14ac:dyDescent="0.2">
      <c r="A1664" s="8" t="str">
        <f>IF(AND(COUNTIF(W$3:W$13,A$23)&gt;0,A$23&lt;&gt;B1562),A$23,IFERROR(IF(MATCH(A$23,Z$3:Z$13,0)=5,A$23," ")," "))</f>
        <v xml:space="preserve"> </v>
      </c>
      <c r="B1664" s="8" t="str">
        <f>IF(A1664=" "," ",MAX(B1656:B1663)+1)</f>
        <v xml:space="preserve"> </v>
      </c>
      <c r="C1664" s="8" t="str">
        <f>IFERROR(INDEX(A1656:A1677,MATCH(SMALL(B1656:B1677,9),B1656:B1677,0),1)," ")</f>
        <v>C20</v>
      </c>
      <c r="D1664" s="8">
        <f t="shared" si="7175"/>
        <v>0</v>
      </c>
      <c r="E1664" s="8">
        <f t="shared" si="7176"/>
        <v>0</v>
      </c>
      <c r="F1664" s="8">
        <f t="shared" si="7177"/>
        <v>0</v>
      </c>
      <c r="G1664" s="8">
        <f t="shared" si="7178"/>
        <v>0</v>
      </c>
      <c r="H1664" s="8">
        <f t="shared" si="7179"/>
        <v>0</v>
      </c>
      <c r="I1664" s="8">
        <f t="shared" si="7180"/>
        <v>0</v>
      </c>
      <c r="J1664" s="8">
        <f t="shared" si="7181"/>
        <v>0</v>
      </c>
      <c r="K1664" s="8">
        <f t="shared" si="7182"/>
        <v>0</v>
      </c>
      <c r="L1664" s="8">
        <f t="shared" si="7183"/>
        <v>1</v>
      </c>
      <c r="M1664" s="8">
        <f t="shared" si="7184"/>
        <v>0</v>
      </c>
      <c r="N1664" s="8">
        <f t="shared" si="7185"/>
        <v>0</v>
      </c>
      <c r="O1664" s="8">
        <f t="shared" si="7186"/>
        <v>0</v>
      </c>
      <c r="P1664" s="6" t="e">
        <v>#NUM!</v>
      </c>
      <c r="Q1664" s="8" t="e">
        <f t="shared" ref="Q1664" si="7216">IF(COUNTIF(P1656:P1666,"&lt;"&amp;-0.001)=0,IF(ABS(P1664)&lt;0.001,0,P1664)," ")</f>
        <v>#NUM!</v>
      </c>
      <c r="R1664" s="8"/>
      <c r="S1664" s="8"/>
      <c r="U1664" s="34"/>
      <c r="V1664" s="34"/>
      <c r="W1664" s="34"/>
      <c r="X1664" s="34"/>
      <c r="Y1664" s="34"/>
      <c r="Z1664" s="34"/>
      <c r="AA1664" s="34"/>
      <c r="AB1664" s="34"/>
      <c r="AC1664" s="34"/>
      <c r="AD1664" s="34"/>
      <c r="AE1664" s="34"/>
      <c r="AF1664" s="34"/>
      <c r="AG1664" s="34"/>
      <c r="AH1664" s="34"/>
      <c r="AI1664" s="34"/>
      <c r="AJ1664" s="34"/>
      <c r="AK1664" s="34"/>
      <c r="AL1664" s="34"/>
      <c r="AM1664" s="34"/>
      <c r="AN1664" s="34"/>
      <c r="AO1664" s="34"/>
      <c r="AP1664" s="34"/>
      <c r="AQ1664" s="34"/>
      <c r="AR1664" s="34"/>
      <c r="AS1664" s="34"/>
      <c r="AT1664" s="34"/>
      <c r="AU1664" s="34"/>
      <c r="AV1664" s="34"/>
      <c r="AW1664" s="34"/>
      <c r="AX1664" s="34"/>
      <c r="AY1664" s="34"/>
      <c r="AZ1664" s="34"/>
      <c r="BA1664" s="34"/>
      <c r="BB1664" s="34"/>
      <c r="BC1664" s="34"/>
      <c r="BD1664" s="34"/>
      <c r="BE1664" s="34"/>
      <c r="BF1664" s="34"/>
      <c r="BG1664" s="34"/>
      <c r="BH1664" s="34"/>
      <c r="BI1664" s="34"/>
      <c r="BJ1664" s="34"/>
      <c r="BK1664" s="34"/>
      <c r="BL1664" s="34"/>
      <c r="BM1664" s="34"/>
      <c r="BN1664" s="34"/>
      <c r="BO1664" s="34"/>
      <c r="BP1664" s="34"/>
      <c r="BQ1664" s="34"/>
      <c r="BR1664" s="34"/>
      <c r="BS1664" s="34"/>
      <c r="BT1664" s="34"/>
      <c r="BU1664" s="34"/>
      <c r="BV1664" s="34"/>
      <c r="BW1664" s="34"/>
      <c r="BX1664" s="34"/>
      <c r="BY1664" s="34"/>
      <c r="BZ1664" s="34"/>
      <c r="CA1664" s="34"/>
      <c r="CB1664" s="34"/>
      <c r="CC1664" s="34"/>
      <c r="CD1664" s="34"/>
      <c r="CE1664" s="34"/>
      <c r="CF1664" s="34"/>
      <c r="CG1664" s="34"/>
      <c r="CH1664" s="34"/>
      <c r="CI1664" s="8"/>
    </row>
    <row r="1665" spans="1:87" x14ac:dyDescent="0.2">
      <c r="A1665" s="8" t="str">
        <f>IF(AND(COUNTIF(W$3:W$13,A$24)&gt;0,A$24&lt;&gt;B1562),A$24,IFERROR(IF(MATCH(A$24,Z$3:Z$13,0)=5,A$24," ")," "))</f>
        <v xml:space="preserve"> </v>
      </c>
      <c r="B1665" s="8" t="str">
        <f>IF(A1665=" "," ",MAX(B1656:B1664)+1)</f>
        <v xml:space="preserve"> </v>
      </c>
      <c r="C1665" s="8" t="str">
        <f>IFERROR(INDEX(A1656:A1677,MATCH(SMALL(B1656:B1677,10),B1656:B1677,0),1)," ")</f>
        <v>C21</v>
      </c>
      <c r="D1665" s="8">
        <f t="shared" si="7175"/>
        <v>0</v>
      </c>
      <c r="E1665" s="8">
        <f t="shared" si="7176"/>
        <v>0</v>
      </c>
      <c r="F1665" s="8">
        <f t="shared" si="7177"/>
        <v>0</v>
      </c>
      <c r="G1665" s="8">
        <f t="shared" si="7178"/>
        <v>0</v>
      </c>
      <c r="H1665" s="8">
        <f t="shared" si="7179"/>
        <v>0</v>
      </c>
      <c r="I1665" s="8">
        <f t="shared" si="7180"/>
        <v>0</v>
      </c>
      <c r="J1665" s="8">
        <f t="shared" si="7181"/>
        <v>0</v>
      </c>
      <c r="K1665" s="8">
        <f t="shared" si="7182"/>
        <v>0</v>
      </c>
      <c r="L1665" s="8">
        <f t="shared" si="7183"/>
        <v>0</v>
      </c>
      <c r="M1665" s="8">
        <f t="shared" si="7184"/>
        <v>1</v>
      </c>
      <c r="N1665" s="8">
        <f t="shared" si="7185"/>
        <v>0</v>
      </c>
      <c r="O1665" s="8">
        <f t="shared" si="7186"/>
        <v>0</v>
      </c>
      <c r="P1665" s="8" t="e">
        <v>#NUM!</v>
      </c>
      <c r="Q1665" s="8" t="e">
        <f t="shared" ref="Q1665" si="7217">IF(COUNTIF(P1656:P1666,"&lt;"&amp;-0.001)=0,IF(ABS(P1665)&lt;0.001,0,P1665)," ")</f>
        <v>#NUM!</v>
      </c>
      <c r="R1665" s="8"/>
      <c r="S1665" s="8"/>
      <c r="U1665" s="34"/>
      <c r="V1665" s="34"/>
      <c r="W1665" s="34"/>
      <c r="X1665" s="34"/>
      <c r="Y1665" s="34"/>
      <c r="Z1665" s="34"/>
      <c r="AA1665" s="34"/>
      <c r="AB1665" s="34"/>
      <c r="AC1665" s="34"/>
      <c r="AD1665" s="34"/>
      <c r="AE1665" s="34"/>
      <c r="AF1665" s="34"/>
      <c r="AG1665" s="34"/>
      <c r="AH1665" s="34"/>
      <c r="AI1665" s="34"/>
      <c r="AJ1665" s="34"/>
      <c r="AK1665" s="34"/>
      <c r="AL1665" s="34"/>
      <c r="AM1665" s="34"/>
      <c r="AN1665" s="34"/>
      <c r="AO1665" s="34"/>
      <c r="AP1665" s="34"/>
      <c r="AQ1665" s="34"/>
      <c r="AR1665" s="34"/>
      <c r="AS1665" s="34"/>
      <c r="AT1665" s="34"/>
      <c r="AU1665" s="34"/>
      <c r="AV1665" s="34"/>
      <c r="AW1665" s="34"/>
      <c r="AX1665" s="34"/>
      <c r="AY1665" s="34"/>
      <c r="AZ1665" s="34"/>
      <c r="BA1665" s="34"/>
      <c r="BB1665" s="34"/>
      <c r="BC1665" s="34"/>
      <c r="BD1665" s="34"/>
      <c r="BE1665" s="34"/>
      <c r="BF1665" s="34"/>
      <c r="BG1665" s="34"/>
      <c r="BH1665" s="34"/>
      <c r="BI1665" s="34"/>
      <c r="BJ1665" s="34"/>
      <c r="BK1665" s="34"/>
      <c r="BL1665" s="34"/>
      <c r="BM1665" s="34"/>
      <c r="BN1665" s="34"/>
      <c r="BO1665" s="34"/>
      <c r="BP1665" s="34"/>
      <c r="BQ1665" s="34"/>
      <c r="BR1665" s="34"/>
      <c r="BS1665" s="34"/>
      <c r="BT1665" s="34"/>
      <c r="BU1665" s="34"/>
      <c r="BV1665" s="34"/>
      <c r="BW1665" s="34"/>
      <c r="BX1665" s="34"/>
      <c r="BY1665" s="34"/>
      <c r="BZ1665" s="34"/>
      <c r="CA1665" s="34"/>
      <c r="CB1665" s="34"/>
      <c r="CC1665" s="34"/>
      <c r="CD1665" s="34"/>
      <c r="CE1665" s="34"/>
      <c r="CF1665" s="34"/>
      <c r="CG1665" s="34"/>
      <c r="CH1665" s="34"/>
      <c r="CI1665" s="8"/>
    </row>
    <row r="1666" spans="1:87" x14ac:dyDescent="0.2">
      <c r="A1666" s="8" t="str">
        <f>IF(AND(COUNTIF(W$3:W$13,A$25)&gt;0,A$25&lt;&gt;B1562),A$25,IFERROR(IF(MATCH(A$25,Z$3:Z$13,0)=5,A$25," ")," "))</f>
        <v xml:space="preserve"> </v>
      </c>
      <c r="B1666" s="8" t="str">
        <f>IF(A1666=" "," ",MAX(B1656:B1665)+1)</f>
        <v xml:space="preserve"> </v>
      </c>
      <c r="C1666" s="8" t="str">
        <f>IFERROR(INDEX(A1656:A1677,MATCH(SMALL(B1656:B1677,11),B1656:B1677,0),1)," ")</f>
        <v>C22</v>
      </c>
      <c r="D1666" s="8">
        <f t="shared" si="7175"/>
        <v>0</v>
      </c>
      <c r="E1666" s="8">
        <f t="shared" si="7176"/>
        <v>0</v>
      </c>
      <c r="F1666" s="8">
        <f t="shared" si="7177"/>
        <v>0</v>
      </c>
      <c r="G1666" s="8">
        <f t="shared" si="7178"/>
        <v>0</v>
      </c>
      <c r="H1666" s="8">
        <f t="shared" si="7179"/>
        <v>0</v>
      </c>
      <c r="I1666" s="8">
        <f t="shared" si="7180"/>
        <v>0</v>
      </c>
      <c r="J1666" s="8">
        <f t="shared" si="7181"/>
        <v>0</v>
      </c>
      <c r="K1666" s="8">
        <f t="shared" si="7182"/>
        <v>0</v>
      </c>
      <c r="L1666" s="8">
        <f t="shared" si="7183"/>
        <v>0</v>
      </c>
      <c r="M1666" s="8">
        <f t="shared" si="7184"/>
        <v>0</v>
      </c>
      <c r="N1666" s="8">
        <f t="shared" si="7185"/>
        <v>1</v>
      </c>
      <c r="O1666" s="8">
        <f t="shared" si="7186"/>
        <v>0</v>
      </c>
      <c r="P1666" s="8" t="e">
        <v>#NUM!</v>
      </c>
      <c r="Q1666" s="8" t="e">
        <f t="shared" ref="Q1666" si="7218">IF(COUNTIF(P1656:P1666,"&lt;"&amp;-0.001)=0,IF(ABS(P1666)&lt;0.001,0,P1666)," ")</f>
        <v>#NUM!</v>
      </c>
      <c r="R1666" s="8"/>
      <c r="S1666" s="8"/>
      <c r="U1666" s="34"/>
      <c r="V1666" s="34"/>
      <c r="W1666" s="34"/>
      <c r="X1666" s="34"/>
      <c r="Y1666" s="34"/>
      <c r="Z1666" s="34"/>
      <c r="AA1666" s="34"/>
      <c r="AB1666" s="34"/>
      <c r="AC1666" s="34"/>
      <c r="AD1666" s="34"/>
      <c r="AE1666" s="34"/>
      <c r="AF1666" s="34"/>
      <c r="AG1666" s="34"/>
      <c r="AH1666" s="34"/>
      <c r="AI1666" s="34"/>
      <c r="AJ1666" s="34"/>
      <c r="AK1666" s="34"/>
      <c r="AL1666" s="34"/>
      <c r="AM1666" s="34"/>
      <c r="AN1666" s="34"/>
      <c r="AO1666" s="34"/>
      <c r="AP1666" s="34"/>
      <c r="AQ1666" s="34"/>
      <c r="AR1666" s="34"/>
      <c r="AS1666" s="34"/>
      <c r="AT1666" s="34"/>
      <c r="AU1666" s="34"/>
      <c r="AV1666" s="34"/>
      <c r="AW1666" s="34"/>
      <c r="AX1666" s="34"/>
      <c r="AY1666" s="34"/>
      <c r="AZ1666" s="34"/>
      <c r="BA1666" s="34"/>
      <c r="BB1666" s="34"/>
      <c r="BC1666" s="34"/>
      <c r="BD1666" s="34"/>
      <c r="BE1666" s="34"/>
      <c r="BF1666" s="34"/>
      <c r="BG1666" s="34"/>
      <c r="BH1666" s="34"/>
      <c r="BI1666" s="34"/>
      <c r="BJ1666" s="34"/>
      <c r="BK1666" s="34"/>
      <c r="BL1666" s="34"/>
      <c r="BM1666" s="34"/>
      <c r="BN1666" s="34"/>
      <c r="BO1666" s="34"/>
      <c r="BP1666" s="34"/>
      <c r="BQ1666" s="34"/>
      <c r="BR1666" s="34"/>
      <c r="BS1666" s="34"/>
      <c r="BT1666" s="34"/>
      <c r="BU1666" s="34"/>
      <c r="BV1666" s="34"/>
      <c r="BW1666" s="34"/>
      <c r="BX1666" s="34"/>
      <c r="BY1666" s="34"/>
      <c r="BZ1666" s="34"/>
      <c r="CA1666" s="34"/>
      <c r="CB1666" s="34"/>
      <c r="CC1666" s="34"/>
      <c r="CD1666" s="34"/>
      <c r="CE1666" s="34"/>
      <c r="CF1666" s="34"/>
      <c r="CG1666" s="34"/>
      <c r="CH1666" s="34"/>
      <c r="CI1666" s="8"/>
    </row>
    <row r="1667" spans="1:87" x14ac:dyDescent="0.2">
      <c r="A1667" s="8" t="str">
        <f>IF(AND(COUNTIF(W$3:W$13,A$26)&gt;0,A$26&lt;&gt;B1562),A$26,IFERROR(IF(MATCH(A$26,Z$3:Z$13,0)=5,A$26," ")," "))</f>
        <v xml:space="preserve"> </v>
      </c>
      <c r="B1667" s="8" t="str">
        <f>IF(A1667=" "," ",MAX(B1656:B1666)+1)</f>
        <v xml:space="preserve"> </v>
      </c>
      <c r="C1667" s="8"/>
      <c r="D1667" s="8"/>
      <c r="E1667" s="8"/>
      <c r="F1667" s="8"/>
      <c r="G1667" s="8"/>
      <c r="H1667" s="8"/>
      <c r="I1667" s="8"/>
      <c r="J1667" s="8"/>
      <c r="K1667" s="8"/>
      <c r="L1667" s="8"/>
      <c r="M1667" s="8"/>
      <c r="N1667" s="8"/>
      <c r="O1667" s="8"/>
      <c r="P1667" s="8"/>
      <c r="Q1667" s="8"/>
      <c r="R1667" s="8"/>
      <c r="S1667" s="8"/>
      <c r="U1667" s="34"/>
      <c r="V1667" s="34"/>
      <c r="W1667" s="34"/>
      <c r="X1667" s="34"/>
      <c r="Y1667" s="34"/>
      <c r="Z1667" s="34"/>
      <c r="AA1667" s="34"/>
      <c r="AB1667" s="34"/>
      <c r="AC1667" s="34"/>
      <c r="AD1667" s="34"/>
      <c r="AE1667" s="34"/>
      <c r="AF1667" s="34"/>
      <c r="AG1667" s="34"/>
      <c r="AH1667" s="34"/>
      <c r="AI1667" s="34"/>
      <c r="AJ1667" s="34"/>
      <c r="AK1667" s="34"/>
      <c r="AL1667" s="34"/>
      <c r="AM1667" s="34"/>
      <c r="AN1667" s="34"/>
      <c r="AO1667" s="34"/>
      <c r="AP1667" s="34"/>
      <c r="AQ1667" s="34"/>
      <c r="AR1667" s="34"/>
      <c r="AS1667" s="34"/>
      <c r="AT1667" s="34"/>
      <c r="AU1667" s="34"/>
      <c r="AV1667" s="34"/>
      <c r="AW1667" s="34"/>
      <c r="AX1667" s="34"/>
      <c r="AY1667" s="34"/>
      <c r="AZ1667" s="34"/>
      <c r="BA1667" s="34"/>
      <c r="BB1667" s="34"/>
      <c r="BC1667" s="34"/>
      <c r="BD1667" s="34"/>
      <c r="BE1667" s="34"/>
      <c r="BF1667" s="34"/>
      <c r="BG1667" s="34"/>
      <c r="BH1667" s="34"/>
      <c r="BI1667" s="34"/>
      <c r="BJ1667" s="34"/>
      <c r="BK1667" s="34"/>
      <c r="BL1667" s="34"/>
      <c r="BM1667" s="34"/>
      <c r="BN1667" s="34"/>
      <c r="BO1667" s="34"/>
      <c r="BP1667" s="34"/>
      <c r="BQ1667" s="34"/>
      <c r="BR1667" s="34"/>
      <c r="BS1667" s="34"/>
      <c r="BT1667" s="34"/>
      <c r="BU1667" s="34"/>
      <c r="BV1667" s="34"/>
      <c r="BW1667" s="34"/>
      <c r="BX1667" s="34"/>
      <c r="BY1667" s="34"/>
      <c r="BZ1667" s="34"/>
      <c r="CA1667" s="34"/>
      <c r="CB1667" s="34"/>
      <c r="CC1667" s="34"/>
      <c r="CD1667" s="34"/>
      <c r="CE1667" s="34"/>
      <c r="CF1667" s="34"/>
      <c r="CG1667" s="34"/>
      <c r="CH1667" s="34"/>
      <c r="CI1667" s="8"/>
    </row>
    <row r="1668" spans="1:87" x14ac:dyDescent="0.2">
      <c r="A1668" s="8" t="str">
        <f>IF(AND(COUNTIF(W$3:W$13,A$27)&gt;0,A$27&lt;&gt;B1562),A$27,IFERROR(IF(MATCH(A$27,Z$3:Z$13,0)=5,A$27," ")," "))</f>
        <v>C13</v>
      </c>
      <c r="B1668" s="8">
        <f>IF(A1668=" "," ",MAX(B1656:B1667)+1)</f>
        <v>4</v>
      </c>
      <c r="C1668" s="8"/>
      <c r="D1668" s="8"/>
      <c r="E1668" s="8"/>
      <c r="F1668" s="8"/>
      <c r="G1668" s="8"/>
      <c r="H1668" s="8"/>
      <c r="I1668" s="8"/>
      <c r="J1668" s="8"/>
      <c r="K1668" s="8"/>
      <c r="L1668" s="8"/>
      <c r="M1668" s="8"/>
      <c r="N1668" s="8"/>
      <c r="O1668" s="8"/>
      <c r="P1668" s="8"/>
      <c r="Q1668" s="8"/>
      <c r="R1668" s="8"/>
      <c r="S1668" s="8"/>
      <c r="U1668" s="34"/>
      <c r="V1668" s="34"/>
      <c r="W1668" s="34"/>
      <c r="X1668" s="34"/>
      <c r="Y1668" s="34"/>
      <c r="Z1668" s="34"/>
      <c r="AA1668" s="34"/>
      <c r="AB1668" s="34"/>
      <c r="AC1668" s="34"/>
      <c r="AD1668" s="34"/>
      <c r="AE1668" s="34"/>
      <c r="AF1668" s="34"/>
      <c r="AG1668" s="34"/>
      <c r="AH1668" s="34"/>
      <c r="AI1668" s="34"/>
      <c r="AJ1668" s="34"/>
      <c r="AK1668" s="34"/>
      <c r="AL1668" s="34"/>
      <c r="AM1668" s="34"/>
      <c r="AN1668" s="34"/>
      <c r="AO1668" s="34"/>
      <c r="AP1668" s="34"/>
      <c r="AQ1668" s="34"/>
      <c r="AR1668" s="34"/>
      <c r="AS1668" s="34"/>
      <c r="AT1668" s="34"/>
      <c r="AU1668" s="34"/>
      <c r="AV1668" s="34"/>
      <c r="AW1668" s="34"/>
      <c r="AX1668" s="34"/>
      <c r="AY1668" s="34"/>
      <c r="AZ1668" s="34"/>
      <c r="BA1668" s="34"/>
      <c r="BB1668" s="34"/>
      <c r="BC1668" s="34"/>
      <c r="BD1668" s="34"/>
      <c r="BE1668" s="34"/>
      <c r="BF1668" s="34"/>
      <c r="BG1668" s="34"/>
      <c r="BH1668" s="34"/>
      <c r="BI1668" s="34"/>
      <c r="BJ1668" s="34"/>
      <c r="BK1668" s="34"/>
      <c r="BL1668" s="34"/>
      <c r="BM1668" s="34"/>
      <c r="BN1668" s="34"/>
      <c r="BO1668" s="34"/>
      <c r="BP1668" s="34"/>
      <c r="BQ1668" s="34"/>
      <c r="BR1668" s="34"/>
      <c r="BS1668" s="34"/>
      <c r="BT1668" s="34"/>
      <c r="BU1668" s="34"/>
      <c r="BV1668" s="34"/>
      <c r="BW1668" s="34"/>
      <c r="BX1668" s="34"/>
      <c r="BY1668" s="34"/>
      <c r="BZ1668" s="34"/>
      <c r="CA1668" s="34"/>
      <c r="CB1668" s="34"/>
      <c r="CC1668" s="34"/>
      <c r="CD1668" s="34"/>
      <c r="CE1668" s="34"/>
      <c r="CF1668" s="34"/>
      <c r="CG1668" s="34"/>
      <c r="CH1668" s="34"/>
      <c r="CI1668" s="8"/>
    </row>
    <row r="1669" spans="1:87" x14ac:dyDescent="0.2">
      <c r="A1669" s="8" t="str">
        <f>IF(AND(COUNTIF(W$3:W$13,A$28)&gt;0,A$28&lt;&gt;B1562),A$28,IFERROR(IF(MATCH(A$28,Z$3:Z$13,0)=5,A$28," ")," "))</f>
        <v xml:space="preserve"> </v>
      </c>
      <c r="B1669" s="8" t="str">
        <f>IF(A1669=" "," ",MAX(B1656:B1668)+1)</f>
        <v xml:space="preserve"> </v>
      </c>
      <c r="C1669" s="8"/>
      <c r="D1669" s="8"/>
      <c r="E1669" s="8"/>
      <c r="F1669" s="8"/>
      <c r="G1669" s="8"/>
      <c r="H1669" s="8"/>
      <c r="I1669" s="8"/>
      <c r="J1669" s="8"/>
      <c r="K1669" s="8"/>
      <c r="L1669" s="8"/>
      <c r="M1669" s="8"/>
      <c r="N1669" s="8"/>
      <c r="O1669" s="8"/>
      <c r="P1669" s="8"/>
      <c r="Q1669" s="8"/>
      <c r="R1669" s="8"/>
      <c r="S1669" s="8"/>
      <c r="U1669" s="34"/>
      <c r="V1669" s="34"/>
      <c r="W1669" s="34"/>
      <c r="X1669" s="34"/>
      <c r="Y1669" s="34"/>
      <c r="Z1669" s="34"/>
      <c r="AA1669" s="34"/>
      <c r="AB1669" s="34"/>
      <c r="AC1669" s="34"/>
      <c r="AD1669" s="34"/>
      <c r="AE1669" s="34"/>
      <c r="AF1669" s="34"/>
      <c r="AG1669" s="34"/>
      <c r="AH1669" s="34"/>
      <c r="AI1669" s="34"/>
      <c r="AJ1669" s="34"/>
      <c r="AK1669" s="34"/>
      <c r="AL1669" s="34"/>
      <c r="AM1669" s="34"/>
      <c r="AN1669" s="34"/>
      <c r="AO1669" s="34"/>
      <c r="AP1669" s="34"/>
      <c r="AQ1669" s="34"/>
      <c r="AR1669" s="34"/>
      <c r="AS1669" s="34"/>
      <c r="AT1669" s="34"/>
      <c r="AU1669" s="34"/>
      <c r="AV1669" s="34"/>
      <c r="AW1669" s="34"/>
      <c r="AX1669" s="34"/>
      <c r="AY1669" s="34"/>
      <c r="AZ1669" s="34"/>
      <c r="BA1669" s="34"/>
      <c r="BB1669" s="34"/>
      <c r="BC1669" s="34"/>
      <c r="BD1669" s="34"/>
      <c r="BE1669" s="34"/>
      <c r="BF1669" s="34"/>
      <c r="BG1669" s="34"/>
      <c r="BH1669" s="34"/>
      <c r="BI1669" s="34"/>
      <c r="BJ1669" s="34"/>
      <c r="BK1669" s="34"/>
      <c r="BL1669" s="34"/>
      <c r="BM1669" s="34"/>
      <c r="BN1669" s="34"/>
      <c r="BO1669" s="34"/>
      <c r="BP1669" s="34"/>
      <c r="BQ1669" s="34"/>
      <c r="BR1669" s="34"/>
      <c r="BS1669" s="34"/>
      <c r="BT1669" s="34"/>
      <c r="BU1669" s="34"/>
      <c r="BV1669" s="34"/>
      <c r="BW1669" s="34"/>
      <c r="BX1669" s="34"/>
      <c r="BY1669" s="34"/>
      <c r="BZ1669" s="34"/>
      <c r="CA1669" s="34"/>
      <c r="CB1669" s="34"/>
      <c r="CC1669" s="34"/>
      <c r="CD1669" s="34"/>
      <c r="CE1669" s="34"/>
      <c r="CF1669" s="34"/>
      <c r="CG1669" s="34"/>
      <c r="CH1669" s="34"/>
      <c r="CI1669" s="8"/>
    </row>
    <row r="1670" spans="1:87" x14ac:dyDescent="0.2">
      <c r="A1670" s="8" t="str">
        <f>IF(AND(COUNTIF(W$3:W$13,A$29)&gt;0,A$29&lt;&gt;B1562),A$29,IFERROR(IF(MATCH(A$29,Z$3:Z$13,0)=5,A$29," ")," "))</f>
        <v>C15</v>
      </c>
      <c r="B1670" s="8">
        <f>IF(A1670=" "," ",MAX(B1656:B1669)+1)</f>
        <v>5</v>
      </c>
      <c r="C1670" s="8"/>
      <c r="D1670" s="8"/>
      <c r="E1670" s="8"/>
      <c r="F1670" s="8"/>
      <c r="G1670" s="8"/>
      <c r="H1670" s="8"/>
      <c r="I1670" s="8"/>
      <c r="J1670" s="8"/>
      <c r="K1670" s="8"/>
      <c r="L1670" s="8"/>
      <c r="M1670" s="8"/>
      <c r="N1670" s="8"/>
      <c r="O1670" s="8"/>
      <c r="P1670" s="8"/>
      <c r="Q1670" s="8"/>
      <c r="R1670" s="8"/>
      <c r="S1670" s="8"/>
      <c r="U1670" s="34"/>
      <c r="V1670" s="34"/>
      <c r="W1670" s="34"/>
      <c r="X1670" s="34"/>
      <c r="Y1670" s="34"/>
      <c r="Z1670" s="34"/>
      <c r="AA1670" s="34"/>
      <c r="AB1670" s="34"/>
      <c r="AC1670" s="34"/>
      <c r="AD1670" s="34"/>
      <c r="AE1670" s="34"/>
      <c r="AF1670" s="34"/>
      <c r="AG1670" s="34"/>
      <c r="AH1670" s="34"/>
      <c r="AI1670" s="34"/>
      <c r="AJ1670" s="34"/>
      <c r="AK1670" s="34"/>
      <c r="AL1670" s="34"/>
      <c r="AM1670" s="34"/>
      <c r="AN1670" s="34"/>
      <c r="AO1670" s="34"/>
      <c r="AP1670" s="34"/>
      <c r="AQ1670" s="34"/>
      <c r="AR1670" s="34"/>
      <c r="AS1670" s="34"/>
      <c r="AT1670" s="34"/>
      <c r="AU1670" s="34"/>
      <c r="AV1670" s="34"/>
      <c r="AW1670" s="34"/>
      <c r="AX1670" s="34"/>
      <c r="AY1670" s="34"/>
      <c r="AZ1670" s="34"/>
      <c r="BA1670" s="34"/>
      <c r="BB1670" s="34"/>
      <c r="BC1670" s="34"/>
      <c r="BD1670" s="34"/>
      <c r="BE1670" s="34"/>
      <c r="BF1670" s="34"/>
      <c r="BG1670" s="34"/>
      <c r="BH1670" s="34"/>
      <c r="BI1670" s="34"/>
      <c r="BJ1670" s="34"/>
      <c r="BK1670" s="34"/>
      <c r="BL1670" s="34"/>
      <c r="BM1670" s="34"/>
      <c r="BN1670" s="34"/>
      <c r="BO1670" s="34"/>
      <c r="BP1670" s="34"/>
      <c r="BQ1670" s="34"/>
      <c r="BR1670" s="34"/>
      <c r="BS1670" s="34"/>
      <c r="BT1670" s="34"/>
      <c r="BU1670" s="34"/>
      <c r="BV1670" s="34"/>
      <c r="BW1670" s="34"/>
      <c r="BX1670" s="34"/>
      <c r="BY1670" s="34"/>
      <c r="BZ1670" s="34"/>
      <c r="CA1670" s="34"/>
      <c r="CB1670" s="34"/>
      <c r="CC1670" s="34"/>
      <c r="CD1670" s="34"/>
      <c r="CE1670" s="34"/>
      <c r="CF1670" s="34"/>
      <c r="CG1670" s="34"/>
      <c r="CH1670" s="34"/>
      <c r="CI1670" s="8"/>
    </row>
    <row r="1671" spans="1:87" x14ac:dyDescent="0.2">
      <c r="A1671" s="8" t="str">
        <f>IF(AND(COUNTIF(W$3:W$13,A$30)&gt;0,A$30&lt;&gt;B1562),A$30,IFERROR(IF(MATCH(A$30,Z$3:Z$13,0)=5,A$30," ")," "))</f>
        <v>C16</v>
      </c>
      <c r="B1671" s="8">
        <f>IF(A1671=" "," ",MAX(B1656:B1670)+1)</f>
        <v>6</v>
      </c>
      <c r="C1671" s="8"/>
      <c r="D1671" s="8"/>
      <c r="E1671" s="8"/>
      <c r="F1671" s="8"/>
      <c r="G1671" s="8"/>
      <c r="H1671" s="8"/>
      <c r="I1671" s="8"/>
      <c r="J1671" s="8"/>
      <c r="K1671" s="8"/>
      <c r="L1671" s="8"/>
      <c r="M1671" s="8"/>
      <c r="N1671" s="8"/>
      <c r="O1671" s="8"/>
      <c r="P1671" s="8"/>
      <c r="Q1671" s="8"/>
      <c r="R1671" s="8"/>
      <c r="S1671" s="8"/>
      <c r="U1671" s="34"/>
      <c r="V1671" s="34"/>
      <c r="W1671" s="34"/>
      <c r="X1671" s="34"/>
      <c r="Y1671" s="34"/>
      <c r="Z1671" s="34"/>
      <c r="AA1671" s="34"/>
      <c r="AB1671" s="34"/>
      <c r="AC1671" s="34"/>
      <c r="AD1671" s="34"/>
      <c r="AE1671" s="34"/>
      <c r="AF1671" s="34"/>
      <c r="AG1671" s="34"/>
      <c r="AH1671" s="34"/>
      <c r="AI1671" s="34"/>
      <c r="AJ1671" s="34"/>
      <c r="AK1671" s="34"/>
      <c r="AL1671" s="34"/>
      <c r="AM1671" s="34"/>
      <c r="AN1671" s="34"/>
      <c r="AO1671" s="34"/>
      <c r="AP1671" s="34"/>
      <c r="AQ1671" s="34"/>
      <c r="AR1671" s="34"/>
      <c r="AS1671" s="34"/>
      <c r="AT1671" s="34"/>
      <c r="AU1671" s="34"/>
      <c r="AV1671" s="34"/>
      <c r="AW1671" s="34"/>
      <c r="AX1671" s="34"/>
      <c r="AY1671" s="34"/>
      <c r="AZ1671" s="34"/>
      <c r="BA1671" s="34"/>
      <c r="BB1671" s="34"/>
      <c r="BC1671" s="34"/>
      <c r="BD1671" s="34"/>
      <c r="BE1671" s="34"/>
      <c r="BF1671" s="34"/>
      <c r="BG1671" s="34"/>
      <c r="BH1671" s="34"/>
      <c r="BI1671" s="34"/>
      <c r="BJ1671" s="34"/>
      <c r="BK1671" s="34"/>
      <c r="BL1671" s="34"/>
      <c r="BM1671" s="34"/>
      <c r="BN1671" s="34"/>
      <c r="BO1671" s="34"/>
      <c r="BP1671" s="34"/>
      <c r="BQ1671" s="34"/>
      <c r="BR1671" s="34"/>
      <c r="BS1671" s="34"/>
      <c r="BT1671" s="34"/>
      <c r="BU1671" s="34"/>
      <c r="BV1671" s="34"/>
      <c r="BW1671" s="34"/>
      <c r="BX1671" s="34"/>
      <c r="BY1671" s="34"/>
      <c r="BZ1671" s="34"/>
      <c r="CA1671" s="34"/>
      <c r="CB1671" s="34"/>
      <c r="CC1671" s="34"/>
      <c r="CD1671" s="34"/>
      <c r="CE1671" s="34"/>
      <c r="CF1671" s="34"/>
      <c r="CG1671" s="34"/>
      <c r="CH1671" s="34"/>
      <c r="CI1671" s="8"/>
    </row>
    <row r="1672" spans="1:87" x14ac:dyDescent="0.2">
      <c r="A1672" s="8" t="str">
        <f>IF(AND(COUNTIF(W$3:W$13,A$31)&gt;0,A$31&lt;&gt;B1562),A$31,IFERROR(IF(MATCH(A$31,Z$3:Z$13,0)=5,A$31," ")," "))</f>
        <v>C17</v>
      </c>
      <c r="B1672" s="8">
        <f>IF(A1672=" "," ",MAX(B1656:B1671)+1)</f>
        <v>7</v>
      </c>
      <c r="C1672" s="8"/>
      <c r="D1672" s="8"/>
      <c r="E1672" s="8"/>
      <c r="F1672" s="8"/>
      <c r="G1672" s="8"/>
      <c r="H1672" s="8"/>
      <c r="I1672" s="8"/>
      <c r="J1672" s="8"/>
      <c r="K1672" s="8"/>
      <c r="L1672" s="8"/>
      <c r="M1672" s="8"/>
      <c r="N1672" s="8"/>
      <c r="O1672" s="8"/>
      <c r="P1672" s="8"/>
      <c r="Q1672" s="8"/>
      <c r="R1672" s="8"/>
      <c r="S1672" s="8"/>
      <c r="U1672" s="34"/>
      <c r="V1672" s="34"/>
      <c r="W1672" s="34"/>
      <c r="X1672" s="34"/>
      <c r="Y1672" s="34"/>
      <c r="Z1672" s="34"/>
      <c r="AA1672" s="34"/>
      <c r="AB1672" s="34"/>
      <c r="AC1672" s="34"/>
      <c r="AD1672" s="34"/>
      <c r="AE1672" s="34"/>
      <c r="AF1672" s="34"/>
      <c r="AG1672" s="34"/>
      <c r="AH1672" s="34"/>
      <c r="AI1672" s="34"/>
      <c r="AJ1672" s="34"/>
      <c r="AK1672" s="34"/>
      <c r="AL1672" s="34"/>
      <c r="AM1672" s="34"/>
      <c r="AN1672" s="34"/>
      <c r="AO1672" s="34"/>
      <c r="AP1672" s="34"/>
      <c r="AQ1672" s="34"/>
      <c r="AR1672" s="34"/>
      <c r="AS1672" s="34"/>
      <c r="AT1672" s="34"/>
      <c r="AU1672" s="34"/>
      <c r="AV1672" s="34"/>
      <c r="AW1672" s="34"/>
      <c r="AX1672" s="34"/>
      <c r="AY1672" s="34"/>
      <c r="AZ1672" s="34"/>
      <c r="BA1672" s="34"/>
      <c r="BB1672" s="34"/>
      <c r="BC1672" s="34"/>
      <c r="BD1672" s="34"/>
      <c r="BE1672" s="34"/>
      <c r="BF1672" s="34"/>
      <c r="BG1672" s="34"/>
      <c r="BH1672" s="34"/>
      <c r="BI1672" s="34"/>
      <c r="BJ1672" s="34"/>
      <c r="BK1672" s="34"/>
      <c r="BL1672" s="34"/>
      <c r="BM1672" s="34"/>
      <c r="BN1672" s="34"/>
      <c r="BO1672" s="34"/>
      <c r="BP1672" s="34"/>
      <c r="BQ1672" s="34"/>
      <c r="BR1672" s="34"/>
      <c r="BS1672" s="34"/>
      <c r="BT1672" s="34"/>
      <c r="BU1672" s="34"/>
      <c r="BV1672" s="34"/>
      <c r="BW1672" s="34"/>
      <c r="BX1672" s="34"/>
      <c r="BY1672" s="34"/>
      <c r="BZ1672" s="34"/>
      <c r="CA1672" s="34"/>
      <c r="CB1672" s="34"/>
      <c r="CC1672" s="34"/>
      <c r="CD1672" s="34"/>
      <c r="CE1672" s="34"/>
      <c r="CF1672" s="34"/>
      <c r="CG1672" s="34"/>
      <c r="CH1672" s="34"/>
      <c r="CI1672" s="8"/>
    </row>
    <row r="1673" spans="1:87" x14ac:dyDescent="0.2">
      <c r="A1673" s="8" t="str">
        <f>IF(AND(COUNTIF(W$3:W$13,A$32)&gt;0,A$32&lt;&gt;B1562),A$32,IFERROR(IF(MATCH(A$32,Z$3:Z$13,0)=5,A$32," ")," "))</f>
        <v xml:space="preserve"> </v>
      </c>
      <c r="B1673" s="8" t="str">
        <f>IF(A1673=" "," ",MAX(B1656:B1672)+1)</f>
        <v xml:space="preserve"> </v>
      </c>
      <c r="C1673" s="8"/>
      <c r="D1673" s="8"/>
      <c r="E1673" s="8"/>
      <c r="F1673" s="8"/>
      <c r="G1673" s="8"/>
      <c r="H1673" s="8"/>
      <c r="I1673" s="8"/>
      <c r="J1673" s="8"/>
      <c r="K1673" s="8"/>
      <c r="L1673" s="8"/>
      <c r="M1673" s="8"/>
      <c r="N1673" s="8"/>
      <c r="O1673" s="8"/>
      <c r="P1673" s="8"/>
      <c r="Q1673" s="8"/>
      <c r="R1673" s="8"/>
      <c r="S1673" s="8"/>
      <c r="U1673" s="34"/>
      <c r="V1673" s="34"/>
      <c r="W1673" s="34"/>
      <c r="X1673" s="34"/>
      <c r="Y1673" s="34"/>
      <c r="Z1673" s="34"/>
      <c r="AA1673" s="34"/>
      <c r="AB1673" s="34"/>
      <c r="AC1673" s="34"/>
      <c r="AD1673" s="34"/>
      <c r="AE1673" s="34"/>
      <c r="AF1673" s="34"/>
      <c r="AG1673" s="34"/>
      <c r="AH1673" s="34"/>
      <c r="AI1673" s="34"/>
      <c r="AJ1673" s="34"/>
      <c r="AK1673" s="34"/>
      <c r="AL1673" s="34"/>
      <c r="AM1673" s="34"/>
      <c r="AN1673" s="34"/>
      <c r="AO1673" s="34"/>
      <c r="AP1673" s="34"/>
      <c r="AQ1673" s="34"/>
      <c r="AR1673" s="34"/>
      <c r="AS1673" s="34"/>
      <c r="AT1673" s="34"/>
      <c r="AU1673" s="34"/>
      <c r="AV1673" s="34"/>
      <c r="AW1673" s="34"/>
      <c r="AX1673" s="34"/>
      <c r="AY1673" s="34"/>
      <c r="AZ1673" s="34"/>
      <c r="BA1673" s="34"/>
      <c r="BB1673" s="34"/>
      <c r="BC1673" s="34"/>
      <c r="BD1673" s="34"/>
      <c r="BE1673" s="34"/>
      <c r="BF1673" s="34"/>
      <c r="BG1673" s="34"/>
      <c r="BH1673" s="34"/>
      <c r="BI1673" s="34"/>
      <c r="BJ1673" s="34"/>
      <c r="BK1673" s="34"/>
      <c r="BL1673" s="34"/>
      <c r="BM1673" s="34"/>
      <c r="BN1673" s="34"/>
      <c r="BO1673" s="34"/>
      <c r="BP1673" s="34"/>
      <c r="BQ1673" s="34"/>
      <c r="BR1673" s="34"/>
      <c r="BS1673" s="34"/>
      <c r="BT1673" s="34"/>
      <c r="BU1673" s="34"/>
      <c r="BV1673" s="34"/>
      <c r="BW1673" s="34"/>
      <c r="BX1673" s="34"/>
      <c r="BY1673" s="34"/>
      <c r="BZ1673" s="34"/>
      <c r="CA1673" s="34"/>
      <c r="CB1673" s="34"/>
      <c r="CC1673" s="34"/>
      <c r="CD1673" s="34"/>
      <c r="CE1673" s="34"/>
      <c r="CF1673" s="34"/>
      <c r="CG1673" s="34"/>
      <c r="CH1673" s="34"/>
      <c r="CI1673" s="8"/>
    </row>
    <row r="1674" spans="1:87" x14ac:dyDescent="0.2">
      <c r="A1674" s="8" t="str">
        <f>IF(AND(COUNTIF(W$3:W$13,A$33)&gt;0,A$33&lt;&gt;B1562),A$33,IFERROR(IF(MATCH(A$33,Z$3:Z$13,0)=5,A$33," ")," "))</f>
        <v>C19</v>
      </c>
      <c r="B1674" s="8">
        <f>IF(A1674=" "," ",MAX(B1656:B1673)+1)</f>
        <v>8</v>
      </c>
      <c r="C1674" s="8"/>
      <c r="D1674" s="8"/>
      <c r="E1674" s="8"/>
      <c r="F1674" s="8"/>
      <c r="G1674" s="8"/>
      <c r="H1674" s="8"/>
      <c r="I1674" s="8"/>
      <c r="J1674" s="8"/>
      <c r="K1674" s="8"/>
      <c r="L1674" s="8"/>
      <c r="M1674" s="8"/>
      <c r="N1674" s="8"/>
      <c r="O1674" s="8"/>
      <c r="P1674" s="8"/>
      <c r="Q1674" s="8"/>
      <c r="R1674" s="8"/>
      <c r="S1674" s="8"/>
      <c r="U1674" s="34"/>
      <c r="V1674" s="34"/>
      <c r="W1674" s="34"/>
      <c r="X1674" s="34"/>
      <c r="Y1674" s="34"/>
      <c r="Z1674" s="34"/>
      <c r="AA1674" s="34"/>
      <c r="AB1674" s="34"/>
      <c r="AC1674" s="34"/>
      <c r="AD1674" s="34"/>
      <c r="AE1674" s="34"/>
      <c r="AF1674" s="34"/>
      <c r="AG1674" s="34"/>
      <c r="AH1674" s="34"/>
      <c r="AI1674" s="34"/>
      <c r="AJ1674" s="34"/>
      <c r="AK1674" s="34"/>
      <c r="AL1674" s="34"/>
      <c r="AM1674" s="34"/>
      <c r="AN1674" s="34"/>
      <c r="AO1674" s="34"/>
      <c r="AP1674" s="34"/>
      <c r="AQ1674" s="34"/>
      <c r="AR1674" s="34"/>
      <c r="AS1674" s="34"/>
      <c r="AT1674" s="34"/>
      <c r="AU1674" s="34"/>
      <c r="AV1674" s="34"/>
      <c r="AW1674" s="34"/>
      <c r="AX1674" s="34"/>
      <c r="AY1674" s="34"/>
      <c r="AZ1674" s="34"/>
      <c r="BA1674" s="34"/>
      <c r="BB1674" s="34"/>
      <c r="BC1674" s="34"/>
      <c r="BD1674" s="34"/>
      <c r="BE1674" s="34"/>
      <c r="BF1674" s="34"/>
      <c r="BG1674" s="34"/>
      <c r="BH1674" s="34"/>
      <c r="BI1674" s="34"/>
      <c r="BJ1674" s="34"/>
      <c r="BK1674" s="34"/>
      <c r="BL1674" s="34"/>
      <c r="BM1674" s="34"/>
      <c r="BN1674" s="34"/>
      <c r="BO1674" s="34"/>
      <c r="BP1674" s="34"/>
      <c r="BQ1674" s="34"/>
      <c r="BR1674" s="34"/>
      <c r="BS1674" s="34"/>
      <c r="BT1674" s="34"/>
      <c r="BU1674" s="34"/>
      <c r="BV1674" s="34"/>
      <c r="BW1674" s="34"/>
      <c r="BX1674" s="34"/>
      <c r="BY1674" s="34"/>
      <c r="BZ1674" s="34"/>
      <c r="CA1674" s="34"/>
      <c r="CB1674" s="34"/>
      <c r="CC1674" s="34"/>
      <c r="CD1674" s="34"/>
      <c r="CE1674" s="34"/>
      <c r="CF1674" s="34"/>
      <c r="CG1674" s="34"/>
      <c r="CH1674" s="34"/>
      <c r="CI1674" s="8"/>
    </row>
    <row r="1675" spans="1:87" x14ac:dyDescent="0.2">
      <c r="A1675" s="8" t="str">
        <f>IF(AND(COUNTIF(W$3:W$13,A$34)&gt;0,A$34&lt;&gt;B1562),A$34,IFERROR(IF(MATCH(A$34,Z$3:Z$13,0)=5,A$34," ")," "))</f>
        <v>C20</v>
      </c>
      <c r="B1675" s="8">
        <f>IF(A1675=" "," ",MAX(B1656:B1674)+1)</f>
        <v>9</v>
      </c>
      <c r="C1675" s="8"/>
      <c r="D1675" s="8"/>
      <c r="E1675" s="8"/>
      <c r="F1675" s="8"/>
      <c r="G1675" s="8"/>
      <c r="H1675" s="8"/>
      <c r="I1675" s="8"/>
      <c r="J1675" s="8"/>
      <c r="K1675" s="8"/>
      <c r="L1675" s="8"/>
      <c r="M1675" s="8"/>
      <c r="N1675" s="8"/>
      <c r="O1675" s="8"/>
      <c r="P1675" s="8"/>
      <c r="Q1675" s="8"/>
      <c r="R1675" s="8"/>
      <c r="S1675" s="8"/>
      <c r="U1675" s="34"/>
      <c r="V1675" s="34"/>
      <c r="W1675" s="34"/>
      <c r="X1675" s="34"/>
      <c r="Y1675" s="34"/>
      <c r="Z1675" s="34"/>
      <c r="AA1675" s="34"/>
      <c r="AB1675" s="34"/>
      <c r="AC1675" s="34"/>
      <c r="AD1675" s="34"/>
      <c r="AE1675" s="34"/>
      <c r="AF1675" s="34"/>
      <c r="AG1675" s="34"/>
      <c r="AH1675" s="34"/>
      <c r="AI1675" s="34"/>
      <c r="AJ1675" s="34"/>
      <c r="AK1675" s="34"/>
      <c r="AL1675" s="34"/>
      <c r="AM1675" s="34"/>
      <c r="AN1675" s="34"/>
      <c r="AO1675" s="34"/>
      <c r="AP1675" s="34"/>
      <c r="AQ1675" s="34"/>
      <c r="AR1675" s="34"/>
      <c r="AS1675" s="34"/>
      <c r="AT1675" s="34"/>
      <c r="AU1675" s="34"/>
      <c r="AV1675" s="34"/>
      <c r="AW1675" s="34"/>
      <c r="AX1675" s="34"/>
      <c r="AY1675" s="34"/>
      <c r="AZ1675" s="34"/>
      <c r="BA1675" s="34"/>
      <c r="BB1675" s="34"/>
      <c r="BC1675" s="34"/>
      <c r="BD1675" s="34"/>
      <c r="BE1675" s="34"/>
      <c r="BF1675" s="34"/>
      <c r="BG1675" s="34"/>
      <c r="BH1675" s="34"/>
      <c r="BI1675" s="34"/>
      <c r="BJ1675" s="34"/>
      <c r="BK1675" s="34"/>
      <c r="BL1675" s="34"/>
      <c r="BM1675" s="34"/>
      <c r="BN1675" s="34"/>
      <c r="BO1675" s="34"/>
      <c r="BP1675" s="34"/>
      <c r="BQ1675" s="34"/>
      <c r="BR1675" s="34"/>
      <c r="BS1675" s="34"/>
      <c r="BT1675" s="34"/>
      <c r="BU1675" s="34"/>
      <c r="BV1675" s="34"/>
      <c r="BW1675" s="34"/>
      <c r="BX1675" s="34"/>
      <c r="BY1675" s="34"/>
      <c r="BZ1675" s="34"/>
      <c r="CA1675" s="34"/>
      <c r="CB1675" s="34"/>
      <c r="CC1675" s="34"/>
      <c r="CD1675" s="34"/>
      <c r="CE1675" s="34"/>
      <c r="CF1675" s="34"/>
      <c r="CG1675" s="34"/>
      <c r="CH1675" s="34"/>
      <c r="CI1675" s="8"/>
    </row>
    <row r="1676" spans="1:87" x14ac:dyDescent="0.2">
      <c r="A1676" s="8" t="str">
        <f>IF(AND(COUNTIF(W$3:W$13,A$35)&gt;0,A$35&lt;&gt;B1562),A$35,IFERROR(IF(MATCH(A$35,Z$3:Z$13,0)=5,A$35," ")," "))</f>
        <v>C21</v>
      </c>
      <c r="B1676" s="8">
        <f>IF(A1676=" "," ",MAX(B1656:B1675)+1)</f>
        <v>10</v>
      </c>
      <c r="C1676" s="8"/>
      <c r="D1676" s="8"/>
      <c r="E1676" s="8"/>
      <c r="F1676" s="8"/>
      <c r="G1676" s="8"/>
      <c r="H1676" s="8"/>
      <c r="I1676" s="8"/>
      <c r="J1676" s="8"/>
      <c r="K1676" s="8"/>
      <c r="L1676" s="8"/>
      <c r="M1676" s="8"/>
      <c r="N1676" s="8"/>
      <c r="O1676" s="8"/>
      <c r="P1676" s="8"/>
      <c r="Q1676" s="8"/>
      <c r="R1676" s="8"/>
      <c r="S1676" s="8"/>
      <c r="U1676" s="34"/>
      <c r="V1676" s="34"/>
      <c r="W1676" s="34"/>
      <c r="X1676" s="34"/>
      <c r="Y1676" s="34"/>
      <c r="Z1676" s="34"/>
      <c r="AA1676" s="34"/>
      <c r="AB1676" s="34"/>
      <c r="AC1676" s="34"/>
      <c r="AD1676" s="34"/>
      <c r="AE1676" s="34"/>
      <c r="AF1676" s="34"/>
      <c r="AG1676" s="34"/>
      <c r="AH1676" s="34"/>
      <c r="AI1676" s="34"/>
      <c r="AJ1676" s="34"/>
      <c r="AK1676" s="34"/>
      <c r="AL1676" s="34"/>
      <c r="AM1676" s="34"/>
      <c r="AN1676" s="34"/>
      <c r="AO1676" s="34"/>
      <c r="AP1676" s="34"/>
      <c r="AQ1676" s="34"/>
      <c r="AR1676" s="34"/>
      <c r="AS1676" s="34"/>
      <c r="AT1676" s="34"/>
      <c r="AU1676" s="34"/>
      <c r="AV1676" s="34"/>
      <c r="AW1676" s="34"/>
      <c r="AX1676" s="34"/>
      <c r="AY1676" s="34"/>
      <c r="AZ1676" s="34"/>
      <c r="BA1676" s="34"/>
      <c r="BB1676" s="34"/>
      <c r="BC1676" s="34"/>
      <c r="BD1676" s="34"/>
      <c r="BE1676" s="34"/>
      <c r="BF1676" s="34"/>
      <c r="BG1676" s="34"/>
      <c r="BH1676" s="34"/>
      <c r="BI1676" s="34"/>
      <c r="BJ1676" s="34"/>
      <c r="BK1676" s="34"/>
      <c r="BL1676" s="34"/>
      <c r="BM1676" s="34"/>
      <c r="BN1676" s="34"/>
      <c r="BO1676" s="34"/>
      <c r="BP1676" s="34"/>
      <c r="BQ1676" s="34"/>
      <c r="BR1676" s="34"/>
      <c r="BS1676" s="34"/>
      <c r="BT1676" s="34"/>
      <c r="BU1676" s="34"/>
      <c r="BV1676" s="34"/>
      <c r="BW1676" s="34"/>
      <c r="BX1676" s="34"/>
      <c r="BY1676" s="34"/>
      <c r="BZ1676" s="34"/>
      <c r="CA1676" s="34"/>
      <c r="CB1676" s="34"/>
      <c r="CC1676" s="34"/>
      <c r="CD1676" s="34"/>
      <c r="CE1676" s="34"/>
      <c r="CF1676" s="34"/>
      <c r="CG1676" s="34"/>
      <c r="CH1676" s="34"/>
      <c r="CI1676" s="8"/>
    </row>
    <row r="1677" spans="1:87" x14ac:dyDescent="0.2">
      <c r="A1677" s="8" t="str">
        <f>IF(AND(COUNTIF(W$3:W$13,A$36)&gt;0,A$36&lt;&gt;B1562),A$36,IFERROR(IF(MATCH(A$36,Z$3:Z$13,0)=5,A$36," ")," "))</f>
        <v>C22</v>
      </c>
      <c r="B1677" s="8">
        <f>IF(A1677=" "," ",MAX(B1656:B1676)+1)</f>
        <v>11</v>
      </c>
      <c r="C1677" s="8"/>
      <c r="D1677" s="8"/>
      <c r="E1677" s="8"/>
      <c r="F1677" s="8"/>
      <c r="G1677" s="8"/>
      <c r="H1677" s="8"/>
      <c r="I1677" s="8"/>
      <c r="J1677" s="8"/>
      <c r="K1677" s="8"/>
      <c r="L1677" s="8"/>
      <c r="M1677" s="8"/>
      <c r="N1677" s="8"/>
      <c r="O1677" s="8"/>
      <c r="P1677" s="8"/>
      <c r="Q1677" s="8"/>
      <c r="R1677" s="8"/>
      <c r="S1677" s="8"/>
      <c r="U1677" s="34"/>
      <c r="V1677" s="34"/>
      <c r="W1677" s="34"/>
      <c r="X1677" s="34"/>
      <c r="Y1677" s="34"/>
      <c r="Z1677" s="34"/>
      <c r="AA1677" s="34"/>
      <c r="AB1677" s="34"/>
      <c r="AC1677" s="34"/>
      <c r="AD1677" s="34"/>
      <c r="AE1677" s="34"/>
      <c r="AF1677" s="34"/>
      <c r="AG1677" s="34"/>
      <c r="AH1677" s="34"/>
      <c r="AI1677" s="34"/>
      <c r="AJ1677" s="34"/>
      <c r="AK1677" s="34"/>
      <c r="AL1677" s="34"/>
      <c r="AM1677" s="34"/>
      <c r="AN1677" s="34"/>
      <c r="AO1677" s="34"/>
      <c r="AP1677" s="34"/>
      <c r="AQ1677" s="34"/>
      <c r="AR1677" s="34"/>
      <c r="AS1677" s="34"/>
      <c r="AT1677" s="34"/>
      <c r="AU1677" s="34"/>
      <c r="AV1677" s="34"/>
      <c r="AW1677" s="34"/>
      <c r="AX1677" s="34"/>
      <c r="AY1677" s="34"/>
      <c r="AZ1677" s="34"/>
      <c r="BA1677" s="34"/>
      <c r="BB1677" s="34"/>
      <c r="BC1677" s="34"/>
      <c r="BD1677" s="34"/>
      <c r="BE1677" s="34"/>
      <c r="BF1677" s="34"/>
      <c r="BG1677" s="34"/>
      <c r="BH1677" s="34"/>
      <c r="BI1677" s="34"/>
      <c r="BJ1677" s="34"/>
      <c r="BK1677" s="34"/>
      <c r="BL1677" s="34"/>
      <c r="BM1677" s="34"/>
      <c r="BN1677" s="34"/>
      <c r="BO1677" s="34"/>
      <c r="BP1677" s="34"/>
      <c r="BQ1677" s="34"/>
      <c r="BR1677" s="34"/>
      <c r="BS1677" s="34"/>
      <c r="BT1677" s="34"/>
      <c r="BU1677" s="34"/>
      <c r="BV1677" s="34"/>
      <c r="BW1677" s="34"/>
      <c r="BX1677" s="34"/>
      <c r="BY1677" s="34"/>
      <c r="BZ1677" s="34"/>
      <c r="CA1677" s="34"/>
      <c r="CB1677" s="34"/>
      <c r="CC1677" s="34"/>
      <c r="CD1677" s="34"/>
      <c r="CE1677" s="34"/>
      <c r="CF1677" s="34"/>
      <c r="CG1677" s="34"/>
      <c r="CH1677" s="34"/>
      <c r="CI1677" s="8"/>
    </row>
    <row r="1678" spans="1:87" x14ac:dyDescent="0.2">
      <c r="A1678" s="11" t="s">
        <v>17</v>
      </c>
      <c r="B1678" s="11"/>
      <c r="C1678" s="27" t="s">
        <v>18</v>
      </c>
      <c r="D1678" s="27" t="s">
        <v>2</v>
      </c>
      <c r="E1678" s="27" t="s">
        <v>6</v>
      </c>
      <c r="F1678" s="27" t="s">
        <v>15</v>
      </c>
      <c r="G1678" s="27" t="s">
        <v>36</v>
      </c>
      <c r="H1678" s="27" t="s">
        <v>37</v>
      </c>
      <c r="I1678" s="27" t="s">
        <v>38</v>
      </c>
      <c r="J1678" s="27" t="s">
        <v>39</v>
      </c>
      <c r="K1678" s="27" t="s">
        <v>40</v>
      </c>
      <c r="L1678" s="27" t="s">
        <v>41</v>
      </c>
      <c r="M1678" s="27" t="s">
        <v>42</v>
      </c>
      <c r="N1678" s="27" t="s">
        <v>43</v>
      </c>
      <c r="O1678" s="27" t="s">
        <v>9</v>
      </c>
      <c r="P1678" s="27" t="s">
        <v>12</v>
      </c>
      <c r="Q1678" s="27" t="s">
        <v>19</v>
      </c>
      <c r="R1678" s="27" t="s">
        <v>55</v>
      </c>
      <c r="S1678" s="27" t="s">
        <v>26</v>
      </c>
      <c r="T1678" s="19" t="s">
        <v>25</v>
      </c>
      <c r="U1678" s="33" t="s">
        <v>27</v>
      </c>
      <c r="V1678" s="33" t="s">
        <v>9</v>
      </c>
      <c r="W1678" s="33" t="s">
        <v>23</v>
      </c>
      <c r="X1678" s="33" t="s">
        <v>12</v>
      </c>
      <c r="Y1678" s="33" t="s">
        <v>26</v>
      </c>
      <c r="Z1678" s="33" t="s">
        <v>25</v>
      </c>
      <c r="AA1678" s="33" t="s">
        <v>27</v>
      </c>
      <c r="AB1678" s="33" t="s">
        <v>9</v>
      </c>
      <c r="AC1678" s="33" t="s">
        <v>23</v>
      </c>
      <c r="AD1678" s="33" t="s">
        <v>12</v>
      </c>
      <c r="AE1678" s="33" t="s">
        <v>26</v>
      </c>
      <c r="AF1678" s="33" t="s">
        <v>25</v>
      </c>
      <c r="AG1678" s="33" t="s">
        <v>27</v>
      </c>
      <c r="AH1678" s="33" t="s">
        <v>9</v>
      </c>
      <c r="AI1678" s="33" t="s">
        <v>23</v>
      </c>
      <c r="AJ1678" s="33" t="s">
        <v>12</v>
      </c>
      <c r="AK1678" s="33" t="s">
        <v>26</v>
      </c>
      <c r="AL1678" s="33" t="s">
        <v>25</v>
      </c>
      <c r="AM1678" s="33" t="s">
        <v>27</v>
      </c>
      <c r="AN1678" s="33" t="s">
        <v>9</v>
      </c>
      <c r="AO1678" s="33" t="s">
        <v>23</v>
      </c>
      <c r="AP1678" s="33" t="s">
        <v>12</v>
      </c>
      <c r="AQ1678" s="33" t="s">
        <v>26</v>
      </c>
      <c r="AR1678" s="33" t="s">
        <v>25</v>
      </c>
      <c r="AS1678" s="33" t="s">
        <v>27</v>
      </c>
      <c r="AT1678" s="33" t="s">
        <v>9</v>
      </c>
      <c r="AU1678" s="33" t="s">
        <v>23</v>
      </c>
      <c r="AV1678" s="33" t="s">
        <v>12</v>
      </c>
      <c r="AW1678" s="33" t="s">
        <v>26</v>
      </c>
      <c r="AX1678" s="33" t="s">
        <v>25</v>
      </c>
      <c r="AY1678" s="33" t="s">
        <v>27</v>
      </c>
      <c r="AZ1678" s="33" t="s">
        <v>9</v>
      </c>
      <c r="BA1678" s="33" t="s">
        <v>23</v>
      </c>
      <c r="BB1678" s="33" t="s">
        <v>12</v>
      </c>
      <c r="BC1678" s="33" t="s">
        <v>26</v>
      </c>
      <c r="BD1678" s="33" t="s">
        <v>25</v>
      </c>
      <c r="BE1678" s="33" t="s">
        <v>27</v>
      </c>
      <c r="BF1678" s="33" t="s">
        <v>9</v>
      </c>
      <c r="BG1678" s="33" t="s">
        <v>23</v>
      </c>
      <c r="BH1678" s="33" t="s">
        <v>12</v>
      </c>
      <c r="BI1678" s="33" t="s">
        <v>26</v>
      </c>
      <c r="BJ1678" s="33" t="s">
        <v>25</v>
      </c>
      <c r="BK1678" s="33" t="s">
        <v>27</v>
      </c>
      <c r="BL1678" s="33" t="s">
        <v>9</v>
      </c>
      <c r="BM1678" s="33" t="s">
        <v>23</v>
      </c>
      <c r="BN1678" s="33" t="s">
        <v>12</v>
      </c>
      <c r="BO1678" s="33" t="s">
        <v>26</v>
      </c>
      <c r="BP1678" s="33" t="s">
        <v>25</v>
      </c>
      <c r="BQ1678" s="33" t="s">
        <v>27</v>
      </c>
      <c r="BR1678" s="33" t="s">
        <v>9</v>
      </c>
      <c r="BS1678" s="33" t="s">
        <v>23</v>
      </c>
      <c r="BT1678" s="33" t="s">
        <v>12</v>
      </c>
      <c r="BU1678" s="33" t="s">
        <v>26</v>
      </c>
      <c r="BV1678" s="33" t="s">
        <v>25</v>
      </c>
      <c r="BW1678" s="33" t="s">
        <v>27</v>
      </c>
      <c r="BX1678" s="33" t="s">
        <v>9</v>
      </c>
      <c r="BY1678" s="33" t="s">
        <v>23</v>
      </c>
      <c r="BZ1678" s="33" t="s">
        <v>12</v>
      </c>
      <c r="CA1678" s="33" t="s">
        <v>26</v>
      </c>
      <c r="CB1678" s="33" t="s">
        <v>25</v>
      </c>
      <c r="CC1678" s="33" t="s">
        <v>27</v>
      </c>
      <c r="CD1678" s="33" t="s">
        <v>9</v>
      </c>
      <c r="CE1678" s="33" t="s">
        <v>23</v>
      </c>
      <c r="CF1678" s="33" t="s">
        <v>12</v>
      </c>
      <c r="CG1678" s="33" t="s">
        <v>26</v>
      </c>
      <c r="CH1678" s="33" t="s">
        <v>25</v>
      </c>
      <c r="CI1678" s="8"/>
    </row>
    <row r="1679" spans="1:87" x14ac:dyDescent="0.2">
      <c r="A1679" s="8" t="str">
        <f>IF(AND(COUNTIF(W$3:W$13,A$15)&gt;0,A$15&lt;&gt;B1562),A$15,IFERROR(IF(MATCH(A$15,Z$3:Z$13,0)=6,A$15," ")," "))</f>
        <v xml:space="preserve"> </v>
      </c>
      <c r="B1679" s="8" t="str">
        <f>IF(A1679=" "," ",1)</f>
        <v xml:space="preserve"> </v>
      </c>
      <c r="C1679" s="8" t="str">
        <f>IFERROR(INDEX(A1679:A1700,MATCH(SMALL(B1679:B1700,1),B1679:B1700,0),1)," ")</f>
        <v>C3</v>
      </c>
      <c r="D1679" s="8">
        <f>IFERROR(VLOOKUP($C1679,$A$15:$O$36,2,FALSE)," ")</f>
        <v>2</v>
      </c>
      <c r="E1679" s="8">
        <f>IFERROR(VLOOKUP($C1679,$A$15:$O$36,3,FALSE)," ")</f>
        <v>5</v>
      </c>
      <c r="F1679" s="8">
        <f>IFERROR(VLOOKUP($C1679,$A$15:$O$36,4,FALSE)," ")</f>
        <v>6</v>
      </c>
      <c r="G1679" s="8">
        <f>IFERROR(VLOOKUP($C1679,$A$15:$O$36,5,FALSE)," ")</f>
        <v>0</v>
      </c>
      <c r="H1679" s="8">
        <f>IFERROR(VLOOKUP($C1679,$A$15:$O$36,6,FALSE)," ")</f>
        <v>0</v>
      </c>
      <c r="I1679" s="8">
        <f>IFERROR(VLOOKUP($C1679,$A$15:$O$36,7,FALSE)," ")</f>
        <v>0</v>
      </c>
      <c r="J1679" s="8">
        <f>IFERROR(VLOOKUP($C1679,$A$15:$O$36,8,FALSE)," ")</f>
        <v>0</v>
      </c>
      <c r="K1679" s="8">
        <f>IFERROR(VLOOKUP($C1679,$A$15:$O$36,9,FALSE)," ")</f>
        <v>0</v>
      </c>
      <c r="L1679" s="8">
        <f>IFERROR(VLOOKUP($C1679,$A$15:$O$36,10,FALSE)," ")</f>
        <v>0</v>
      </c>
      <c r="M1679" s="8">
        <f>IFERROR(VLOOKUP($C1679,$A$15:$O$36,11,FALSE)," ")</f>
        <v>0</v>
      </c>
      <c r="N1679" s="8">
        <f>IFERROR(VLOOKUP($C1679,$A$15:$O$36,12,FALSE)," ")</f>
        <v>0</v>
      </c>
      <c r="O1679" s="8">
        <f>IFERROR(VLOOKUP($C1679,$A$15:$O$36,15,FALSE)," ")</f>
        <v>2000</v>
      </c>
      <c r="P1679" s="8" t="e">
        <f t="array" ref="P1679:P1689">MMULT(MINVERSE(D1679:N1689),O1679:O1689)</f>
        <v>#NUM!</v>
      </c>
      <c r="Q1679" s="8" t="e">
        <f t="shared" ref="Q1679" si="7219">IF(COUNTIF(P1679:P1689,"&lt;"&amp;-0.001)=0,IF(ABS(P1679)&lt;0.001,0,P1679)," ")</f>
        <v>#NUM!</v>
      </c>
      <c r="R1679" s="8" t="str">
        <f>IFERROR(VLOOKUP(B1562,A$15:L$36,2,FALSE)*Q1679+VLOOKUP(B1562,A$15:L$36,3,FALSE)*Q1680+VLOOKUP(B1562,A$15:L$36,4,FALSE)*Q1681+VLOOKUP(B1562,A$15:L$36,5,FALSE)*Q1682+VLOOKUP(B1562,A$15:L$36,6,FALSE)*Q1683+VLOOKUP(B1562,A$15:L$36,7,FALSE)*Q1684+VLOOKUP(B1562,A$15:L$36,8,FALSE)*Q1685+VLOOKUP(B1562,A$15:L$36,9,FALSE)*Q1686+VLOOKUP(B1562,A$15:L$36,10,FALSE)*Q1687+VLOOKUP(B1562,A$15:L$36,11,FALSE)*Q1688+VLOOKUP(B1562,A$15:L$36,12,FALSE)*Q1689," ")</f>
        <v xml:space="preserve"> </v>
      </c>
      <c r="S1679" s="8" t="str">
        <f>IFERROR(IF(R1679-VLOOKUP(B1562,A$15:O$36,15,FALSE)&lt;0,R1679-VLOOKUP(B1562,A$15:O$36,15,FALSE)," ")," ")</f>
        <v xml:space="preserve"> </v>
      </c>
      <c r="T1679" s="18" t="str">
        <f>IFERROR(IF(R1679-VLOOKUP(B1562,A$15:O$36,15,FALSE)&gt;0,R1679-VLOOKUP(B1562,A$15:O$36,15,FALSE)," ")," ")</f>
        <v xml:space="preserve"> </v>
      </c>
      <c r="U1679" s="34">
        <f t="shared" ref="U1679" si="7220">$M$2</f>
        <v>100.00000000000001</v>
      </c>
      <c r="V1679" s="34">
        <v>-1</v>
      </c>
      <c r="W1679" s="34">
        <f t="shared" ref="W1679" si="7221">-SUMPRODUCT($M$3:$M$12,$N$3:$N$12)</f>
        <v>-105000</v>
      </c>
      <c r="X1679" s="34" t="e">
        <f t="shared" ref="X1679" si="7222">IF(U1679&lt;&gt;U1680,MMULT(MINVERSE(U1679:V1680),W1679:W1680)," ")</f>
        <v>#NUM!</v>
      </c>
      <c r="Y1679" s="34" t="str">
        <f t="shared" ref="Y1679" si="7223">IFERROR(IF(X1679-VLOOKUP(U$38,$A$2:$N$12,14,FALSE)&lt;0,X1679-VLOOKUP(U$38,$A$2:$N$12,14,FALSE)," ")," ")</f>
        <v xml:space="preserve"> </v>
      </c>
      <c r="Z1679" s="34" t="str">
        <f t="shared" ref="Z1679" si="7224">IFERROR(IF(X1679-VLOOKUP(U$38,$A$2:$N$12,14,FALSE)&gt;0,X1679-VLOOKUP(U$38,$A$2:$N$12,14,FALSE)," ")," ")</f>
        <v xml:space="preserve"> </v>
      </c>
      <c r="AA1679" s="34">
        <f t="shared" ref="AA1679" si="7225">$M$3</f>
        <v>0</v>
      </c>
      <c r="AB1679" s="34">
        <v>-1</v>
      </c>
      <c r="AC1679" s="34">
        <f t="shared" ref="AC1679" si="7226">-SUMPRODUCT($M$2:$M$2,$N$2:$N$2)-SUMPRODUCT($M$4:$M$12,$N$4:$N$12)</f>
        <v>-120000</v>
      </c>
      <c r="AD1679" s="34" t="e">
        <f t="shared" ref="AD1679" si="7227">IF(AA1679&lt;&gt;AA1680,MMULT(MINVERSE(AA1679:AB1680),AC1679:AC1680)," ")</f>
        <v>#NUM!</v>
      </c>
      <c r="AE1679" s="34" t="str">
        <f t="shared" ref="AE1679" si="7228">IFERROR(IF(AD1679-VLOOKUP(AA$38,$A$2:$N$12,14,FALSE)&lt;0,AD1679-VLOOKUP(AA$38,$A$2:$N$12,14,FALSE)," ")," ")</f>
        <v xml:space="preserve"> </v>
      </c>
      <c r="AF1679" s="34" t="str">
        <f t="shared" ref="AF1679" si="7229">IFERROR(IF(AD1679-VLOOKUP(AA$38,$A$2:$N$12,14,FALSE)&gt;0,AD1679-VLOOKUP(AA$38,$A$2:$N$12,14,FALSE)," ")," ")</f>
        <v xml:space="preserve"> </v>
      </c>
      <c r="AG1679" s="34">
        <f t="shared" ref="AG1679" si="7230">$M$4</f>
        <v>300</v>
      </c>
      <c r="AH1679" s="34">
        <v>-1</v>
      </c>
      <c r="AI1679" s="34">
        <f t="shared" ref="AI1679" si="7231">-SUMPRODUCT($M$2:$M$3,$N$2:$N$3)-SUMPRODUCT($M$5:$M$12,$N$5:$N$12)</f>
        <v>-15000.000000000002</v>
      </c>
      <c r="AJ1679" s="34" t="e">
        <f t="shared" ref="AJ1679" si="7232">IF(AG1679&lt;&gt;AG1680,MMULT(MINVERSE(AG1679:AH1680),AI1679:AI1680)," ")</f>
        <v>#NUM!</v>
      </c>
      <c r="AK1679" s="34" t="str">
        <f t="shared" ref="AK1679" si="7233">IFERROR(IF(AJ1679-VLOOKUP(AG$38,$A$2:$N$12,14,FALSE)&lt;0,AJ1679-VLOOKUP(AG$38,$A$2:$N$12,14,FALSE)," ")," ")</f>
        <v xml:space="preserve"> </v>
      </c>
      <c r="AL1679" s="34" t="str">
        <f t="shared" ref="AL1679" si="7234">IFERROR(IF(AJ1679-VLOOKUP(AG$38,$A$2:$N$12,14,FALSE)&gt;0,AJ1679-VLOOKUP(AG$38,$A$2:$N$12,14,FALSE)," ")," ")</f>
        <v xml:space="preserve"> </v>
      </c>
      <c r="AM1679" s="34">
        <f t="shared" ref="AM1679" si="7235">$M$5</f>
        <v>0</v>
      </c>
      <c r="AN1679" s="34">
        <v>-1</v>
      </c>
      <c r="AO1679" s="34">
        <f t="shared" ref="AO1679" si="7236">-SUMPRODUCT($M$2:$M$4,$N$2:$N$4)-SUMPRODUCT($M$6:$M$12,$N$6:$N$12)</f>
        <v>-120000</v>
      </c>
      <c r="AP1679" s="34" t="e">
        <f t="shared" ref="AP1679" si="7237">IF(AM1679&lt;&gt;AM1680,MMULT(MINVERSE(AM1679:AN1680),AO1679:AO1680)," ")</f>
        <v>#NUM!</v>
      </c>
      <c r="AQ1679" s="34" t="str">
        <f t="shared" ref="AQ1679" si="7238">IFERROR(IF(AP1679-VLOOKUP(AM$38,$A$2:$N$12,14,FALSE)&lt;0,AP1679-VLOOKUP(AM$38,$A$2:$N$12,14,FALSE)," ")," ")</f>
        <v xml:space="preserve"> </v>
      </c>
      <c r="AR1679" s="34" t="str">
        <f t="shared" ref="AR1679" si="7239">IFERROR(IF(AP1679-VLOOKUP(AM$38,$A$2:$N$12,14,FALSE)&gt;0,AP1679-VLOOKUP(AM$38,$A$2:$N$12,14,FALSE)," ")," ")</f>
        <v xml:space="preserve"> </v>
      </c>
      <c r="AS1679" s="34">
        <f t="shared" ref="AS1679" si="7240">$M$6</f>
        <v>0</v>
      </c>
      <c r="AT1679" s="34">
        <v>-1</v>
      </c>
      <c r="AU1679" s="34">
        <f t="shared" ref="AU1679" si="7241">-SUMPRODUCT($M$2:$M$5,$N$2:$N$5)-SUMPRODUCT($M$7:$M$12,$N$7:$N$12)</f>
        <v>-120000</v>
      </c>
      <c r="AV1679" s="34" t="e">
        <f t="shared" ref="AV1679" si="7242">IF(AS1679&lt;&gt;AS1680,MMULT(MINVERSE(AS1679:AT1680),AU1679:AU1680)," ")</f>
        <v>#NUM!</v>
      </c>
      <c r="AW1679" s="34" t="str">
        <f t="shared" ref="AW1679" si="7243">IFERROR(IF(AV1679-VLOOKUP(AS$38,$A$2:$N$12,14,FALSE)&lt;0,AV1679-VLOOKUP(AS$38,$A$2:$N$12,14,FALSE)," ")," ")</f>
        <v xml:space="preserve"> </v>
      </c>
      <c r="AX1679" s="34" t="str">
        <f t="shared" ref="AX1679" si="7244">IFERROR(IF(AV1679-VLOOKUP(AS$38,$A$2:$N$12,14,FALSE)&gt;0,AV1679-VLOOKUP(AS$38,$A$2:$N$12,14,FALSE)," ")," ")</f>
        <v xml:space="preserve"> </v>
      </c>
      <c r="AY1679" s="34">
        <f t="shared" ref="AY1679" si="7245">$M$7</f>
        <v>0</v>
      </c>
      <c r="AZ1679" s="34">
        <v>-1</v>
      </c>
      <c r="BA1679" s="34">
        <f t="shared" ref="BA1679" si="7246">-SUMPRODUCT($M$2:$M$6,$N$2:$N$6)-SUMPRODUCT($M$8:$M$12,$N$8:$N$12)</f>
        <v>-120000</v>
      </c>
      <c r="BB1679" s="34" t="e">
        <f t="shared" ref="BB1679" si="7247">IF(AY1679&lt;&gt;AY1680,MMULT(MINVERSE(AY1679:AZ1680),BA1679:BA1680)," ")</f>
        <v>#NUM!</v>
      </c>
      <c r="BC1679" s="34" t="str">
        <f t="shared" ref="BC1679" si="7248">IFERROR(IF(BB1679-VLOOKUP(AY$38,$A$2:$N$12,14,FALSE)&lt;0,BB1679-VLOOKUP(AY$38,$A$2:$N$12,14,FALSE)," ")," ")</f>
        <v xml:space="preserve"> </v>
      </c>
      <c r="BD1679" s="34" t="str">
        <f t="shared" ref="BD1679" si="7249">IFERROR(IF(BB1679-VLOOKUP(AY$38,$A$2:$N$12,14,FALSE)&gt;0,BB1679-VLOOKUP(AY$38,$A$2:$N$12,14,FALSE)," ")," ")</f>
        <v xml:space="preserve"> </v>
      </c>
      <c r="BE1679" s="34">
        <f t="shared" ref="BE1679" si="7250">$M$8</f>
        <v>0</v>
      </c>
      <c r="BF1679" s="34">
        <v>-1</v>
      </c>
      <c r="BG1679" s="34">
        <f t="shared" ref="BG1679" si="7251">-SUMPRODUCT($M$2:$M$7,$N$2:$N$7)-SUMPRODUCT($M$9:$M$12,$N$9:$N$12)</f>
        <v>-120000</v>
      </c>
      <c r="BH1679" s="34" t="e">
        <f t="shared" ref="BH1679" si="7252">IF(BE1679&lt;&gt;BE1680,MMULT(MINVERSE(BE1679:BF1680),BG1679:BG1680)," ")</f>
        <v>#NUM!</v>
      </c>
      <c r="BI1679" s="34" t="str">
        <f t="shared" ref="BI1679" si="7253">IFERROR(IF(BH1679-VLOOKUP(BE$38,$A$2:$N$12,14,FALSE)&lt;0,BH1679-VLOOKUP(BE$38,$A$2:$N$12,14,FALSE)," ")," ")</f>
        <v xml:space="preserve"> </v>
      </c>
      <c r="BJ1679" s="34" t="str">
        <f t="shared" ref="BJ1679" si="7254">IFERROR(IF(BH1679-VLOOKUP(BE$38,$A$2:$N$12,14,FALSE)&gt;0,BH1679-VLOOKUP(BE$38,$A$2:$N$12,14,FALSE)," ")," ")</f>
        <v xml:space="preserve"> </v>
      </c>
      <c r="BK1679" s="34">
        <f t="shared" ref="BK1679" si="7255">$M$9</f>
        <v>0</v>
      </c>
      <c r="BL1679" s="34">
        <v>-1</v>
      </c>
      <c r="BM1679" s="34">
        <f t="shared" ref="BM1679" si="7256">-SUMPRODUCT($M$2:$M$8,$N$2:$N$8)-SUMPRODUCT($M$10:$M$12,$N$10:$N$12)</f>
        <v>-120000</v>
      </c>
      <c r="BN1679" s="34" t="e">
        <f t="shared" ref="BN1679" si="7257">IF(BK1679&lt;&gt;BK1680,MMULT(MINVERSE(BK1679:BL1680),BM1679:BM1680)," ")</f>
        <v>#NUM!</v>
      </c>
      <c r="BO1679" s="34" t="str">
        <f t="shared" ref="BO1679" si="7258">IFERROR(IF(BN1679-VLOOKUP(BK$38,$A$2:$N$12,14,FALSE)&lt;0,BN1679-VLOOKUP(BK$38,$A$2:$N$12,14,FALSE)," ")," ")</f>
        <v xml:space="preserve"> </v>
      </c>
      <c r="BP1679" s="34" t="str">
        <f t="shared" ref="BP1679" si="7259">IFERROR(IF(BN1679-VLOOKUP(BK$38,$A$2:$N$12,14,FALSE)&gt;0,BN1679-VLOOKUP(BK$38,$A$2:$N$12,14,FALSE)," ")," ")</f>
        <v xml:space="preserve"> </v>
      </c>
      <c r="BQ1679" s="34">
        <f t="shared" ref="BQ1679" si="7260">$M$10</f>
        <v>0</v>
      </c>
      <c r="BR1679" s="34">
        <v>-1</v>
      </c>
      <c r="BS1679" s="34">
        <f t="shared" ref="BS1679" si="7261">-SUMPRODUCT($M$2:$M$9,$N$2:$N$9)-SUMPRODUCT($M$11:$M$12,$N$11:$N$12)</f>
        <v>-120000</v>
      </c>
      <c r="BT1679" s="34" t="e">
        <f t="shared" ref="BT1679" si="7262">IF(BQ1679&lt;&gt;BQ1680,MMULT(MINVERSE(BQ1679:BR1680),BS1679:BS1680)," ")</f>
        <v>#NUM!</v>
      </c>
      <c r="BU1679" s="34" t="str">
        <f t="shared" ref="BU1679" si="7263">IFERROR(IF(BT1679-VLOOKUP(BQ$38,$A$2:$N$12,14,FALSE)&lt;0,BT1679-VLOOKUP(BQ$38,$A$2:$N$12,14,FALSE)," ")," ")</f>
        <v xml:space="preserve"> </v>
      </c>
      <c r="BV1679" s="34" t="str">
        <f t="shared" ref="BV1679" si="7264">IFERROR(IF(BT1679-VLOOKUP(BQ$38,$A$2:$N$12,14,FALSE)&gt;0,BT1679-VLOOKUP(BQ$38,$A$2:$N$12,14,FALSE)," ")," ")</f>
        <v xml:space="preserve"> </v>
      </c>
      <c r="BW1679" s="34">
        <f t="shared" ref="BW1679" si="7265">$M$11</f>
        <v>0</v>
      </c>
      <c r="BX1679" s="34">
        <v>-1</v>
      </c>
      <c r="BY1679" s="34">
        <f t="shared" ref="BY1679" si="7266">-SUMPRODUCT($M$2:$M$10,$N$2:$N$10)-SUMPRODUCT($M$12,$N$12)</f>
        <v>-120000</v>
      </c>
      <c r="BZ1679" s="34" t="e">
        <f t="shared" ref="BZ1679" si="7267">IF(BW1679&lt;&gt;BW1680,MMULT(MINVERSE(BW1679:BX1680),BY1679:BY1680)," ")</f>
        <v>#NUM!</v>
      </c>
      <c r="CA1679" s="34" t="str">
        <f t="shared" ref="CA1679" si="7268">IFERROR(IF(BZ1679-VLOOKUP(BW$38,$A$2:$N$12,14,FALSE)&lt;0,BZ1679-VLOOKUP(BW$38,$A$2:$N$12,14,FALSE)," ")," ")</f>
        <v xml:space="preserve"> </v>
      </c>
      <c r="CB1679" s="34" t="str">
        <f t="shared" ref="CB1679" si="7269">IFERROR(IF(BZ1679-VLOOKUP(BW$38,$A$2:$N$12,14,FALSE)&gt;0,BZ1679-VLOOKUP(BW$38,$A$2:$N$12,14,FALSE)," ")," ")</f>
        <v xml:space="preserve"> </v>
      </c>
      <c r="CC1679" s="34">
        <f t="shared" ref="CC1679" si="7270">$M$12</f>
        <v>0</v>
      </c>
      <c r="CD1679" s="34">
        <v>-1</v>
      </c>
      <c r="CE1679" s="34">
        <f t="shared" ref="CE1679" si="7271">-SUMPRODUCT($M$2:$M$11,$N$2:$N$11)</f>
        <v>-120000</v>
      </c>
      <c r="CF1679" s="34" t="e">
        <f t="shared" ref="CF1679" si="7272">IF(CC1679&lt;&gt;CC1680,MMULT(MINVERSE(CC1679:CD1680),CE1679:CE1680)," ")</f>
        <v>#NUM!</v>
      </c>
      <c r="CG1679" s="34" t="str">
        <f t="shared" ref="CG1679" si="7273">IFERROR(IF(CF1679-VLOOKUP(CC$38,$A$2:$N$12,14,FALSE)&lt;0,CF1679-VLOOKUP(CC$38,$A$2:$N$12,14,FALSE)," ")," ")</f>
        <v xml:space="preserve"> </v>
      </c>
      <c r="CH1679" s="34" t="str">
        <f t="shared" ref="CH1679" si="7274">IFERROR(IF(CF1679-VLOOKUP(CC$38,$A$2:$N$12,14,FALSE)&gt;0,CF1679-VLOOKUP(CC$38,$A$2:$N$12,14,FALSE)," ")," ")</f>
        <v xml:space="preserve"> </v>
      </c>
      <c r="CI1679" s="8"/>
    </row>
    <row r="1680" spans="1:87" x14ac:dyDescent="0.2">
      <c r="A1680" s="8" t="str">
        <f>IF(AND(COUNTIF(W$3:W$13,A$16)&gt;0,A$16&lt;&gt;B1562),A$16,IFERROR(IF(MATCH(A$16,Z$3:Z$13,0)=6,A$16," ")," "))</f>
        <v xml:space="preserve"> </v>
      </c>
      <c r="B1680" s="8" t="str">
        <f>IF(A1680=" "," ",MAX(B1679:B1679)+1)</f>
        <v xml:space="preserve"> </v>
      </c>
      <c r="C1680" s="8" t="str">
        <f>IFERROR(INDEX(A1679:A1700,MATCH(SMALL(B1679:B1700,2),B1679:B1700,0),1)," ")</f>
        <v>C4</v>
      </c>
      <c r="D1680" s="8">
        <f t="shared" ref="D1680:D1689" si="7275">IFERROR(VLOOKUP($C1680,$A$15:$O$36,2,FALSE)," ")</f>
        <v>1</v>
      </c>
      <c r="E1680" s="8">
        <f t="shared" ref="E1680:E1689" si="7276">IFERROR(VLOOKUP($C1680,$A$15:$O$36,3,FALSE)," ")</f>
        <v>0</v>
      </c>
      <c r="F1680" s="8">
        <f t="shared" ref="F1680:F1689" si="7277">IFERROR(VLOOKUP($C1680,$A$15:$O$36,4,FALSE)," ")</f>
        <v>1</v>
      </c>
      <c r="G1680" s="8">
        <f t="shared" ref="G1680:G1689" si="7278">IFERROR(VLOOKUP($C1680,$A$15:$O$36,5,FALSE)," ")</f>
        <v>0</v>
      </c>
      <c r="H1680" s="8">
        <f t="shared" ref="H1680:H1689" si="7279">IFERROR(VLOOKUP($C1680,$A$15:$O$36,6,FALSE)," ")</f>
        <v>0</v>
      </c>
      <c r="I1680" s="8">
        <f t="shared" ref="I1680:I1689" si="7280">IFERROR(VLOOKUP($C1680,$A$15:$O$36,7,FALSE)," ")</f>
        <v>0</v>
      </c>
      <c r="J1680" s="8">
        <f t="shared" ref="J1680:J1689" si="7281">IFERROR(VLOOKUP($C1680,$A$15:$O$36,8,FALSE)," ")</f>
        <v>0</v>
      </c>
      <c r="K1680" s="8">
        <f t="shared" ref="K1680:K1689" si="7282">IFERROR(VLOOKUP($C1680,$A$15:$O$36,9,FALSE)," ")</f>
        <v>0</v>
      </c>
      <c r="L1680" s="8">
        <f t="shared" ref="L1680:L1689" si="7283">IFERROR(VLOOKUP($C1680,$A$15:$O$36,10,FALSE)," ")</f>
        <v>0</v>
      </c>
      <c r="M1680" s="8">
        <f t="shared" ref="M1680:M1689" si="7284">IFERROR(VLOOKUP($C1680,$A$15:$O$36,11,FALSE)," ")</f>
        <v>0</v>
      </c>
      <c r="N1680" s="8">
        <f t="shared" ref="N1680:N1689" si="7285">IFERROR(VLOOKUP($C1680,$A$15:$O$36,12,FALSE)," ")</f>
        <v>0</v>
      </c>
      <c r="O1680" s="8">
        <f t="shared" ref="O1680:O1689" si="7286">IFERROR(VLOOKUP($C1680,$A$15:$O$36,15,FALSE)," ")</f>
        <v>400</v>
      </c>
      <c r="P1680" s="8" t="e">
        <v>#NUM!</v>
      </c>
      <c r="Q1680" s="8" t="e">
        <f t="shared" ref="Q1680" si="7287">IF(COUNTIF(P1679:P1689,"&lt;"&amp;-0.001)=0,IF(ABS(P1680)&lt;0.001,0,P1680)," ")</f>
        <v>#NUM!</v>
      </c>
      <c r="R1680" s="8"/>
      <c r="S1680" s="8"/>
      <c r="U1680" s="34" t="e">
        <f t="shared" ref="U1680" si="7288">$Q1679</f>
        <v>#NUM!</v>
      </c>
      <c r="V1680" s="34">
        <v>-1</v>
      </c>
      <c r="W1680" s="34" t="e">
        <f t="shared" ref="W1680" si="7289">-SUMPRODUCT($Q1680:$Q1689,$N$3:$N$12)</f>
        <v>#NUM!</v>
      </c>
      <c r="X1680" s="34"/>
      <c r="Y1680" s="34"/>
      <c r="Z1680" s="34"/>
      <c r="AA1680" s="34" t="e">
        <f t="shared" ref="AA1680" si="7290">$Q1680</f>
        <v>#NUM!</v>
      </c>
      <c r="AB1680" s="34">
        <v>-1</v>
      </c>
      <c r="AC1680" s="34" t="e">
        <f t="shared" ref="AC1680" si="7291">-SUMPRODUCT($Q1679:$Q1679,$N$2:$N$2)-SUMPRODUCT($Q1681:$Q1689,$N$4:$N$12)</f>
        <v>#NUM!</v>
      </c>
      <c r="AD1680" s="34"/>
      <c r="AE1680" s="34"/>
      <c r="AF1680" s="34"/>
      <c r="AG1680" s="34" t="e">
        <f t="shared" ref="AG1680" si="7292">$Q1681</f>
        <v>#NUM!</v>
      </c>
      <c r="AH1680" s="34">
        <v>-1</v>
      </c>
      <c r="AI1680" s="34" t="e">
        <f t="shared" ref="AI1680" si="7293">-SUMPRODUCT($Q1679:$Q1680,$N$2:$N$3)-SUMPRODUCT($Q1682:$Q1689,$N$5:$N$12)</f>
        <v>#NUM!</v>
      </c>
      <c r="AJ1680" s="34"/>
      <c r="AK1680" s="34"/>
      <c r="AL1680" s="34"/>
      <c r="AM1680" s="34" t="e">
        <f t="shared" ref="AM1680" si="7294">$Q1682</f>
        <v>#NUM!</v>
      </c>
      <c r="AN1680" s="34">
        <v>-1</v>
      </c>
      <c r="AO1680" s="34" t="e">
        <f t="shared" ref="AO1680" si="7295">-SUMPRODUCT($Q1679:$Q1681,$N$2:$N$4)-SUMPRODUCT($Q1683:$Q1689,$N$6:$N$12)</f>
        <v>#NUM!</v>
      </c>
      <c r="AP1680" s="34"/>
      <c r="AQ1680" s="34"/>
      <c r="AR1680" s="34"/>
      <c r="AS1680" s="34" t="e">
        <f t="shared" ref="AS1680" si="7296">$Q1683</f>
        <v>#NUM!</v>
      </c>
      <c r="AT1680" s="34">
        <v>-1</v>
      </c>
      <c r="AU1680" s="34" t="e">
        <f t="shared" ref="AU1680" si="7297">-SUMPRODUCT($Q1679:$Q1682,$N$2:$N$5)-SUMPRODUCT($Q1684:$Q1689,$N$7:$N$12)</f>
        <v>#NUM!</v>
      </c>
      <c r="AV1680" s="34"/>
      <c r="AW1680" s="34"/>
      <c r="AX1680" s="34"/>
      <c r="AY1680" s="34" t="e">
        <f t="shared" ref="AY1680" si="7298">$Q1684</f>
        <v>#NUM!</v>
      </c>
      <c r="AZ1680" s="34">
        <v>-1</v>
      </c>
      <c r="BA1680" s="34" t="e">
        <f t="shared" ref="BA1680" si="7299">-SUMPRODUCT($Q1679:$Q1683,$N$2:$N$6)-SUMPRODUCT($Q1685:$Q1689,$N$8:$N$12)</f>
        <v>#NUM!</v>
      </c>
      <c r="BB1680" s="34"/>
      <c r="BC1680" s="34"/>
      <c r="BD1680" s="34"/>
      <c r="BE1680" s="34" t="e">
        <f t="shared" ref="BE1680" si="7300">$Q1685</f>
        <v>#NUM!</v>
      </c>
      <c r="BF1680" s="34">
        <v>-1</v>
      </c>
      <c r="BG1680" s="34" t="e">
        <f t="shared" ref="BG1680" si="7301">-SUMPRODUCT($Q1679:$Q1684,$N$2:$N$7)-SUMPRODUCT($Q1686:$Q1689,$N$9:$N$12)</f>
        <v>#NUM!</v>
      </c>
      <c r="BH1680" s="34"/>
      <c r="BI1680" s="34"/>
      <c r="BJ1680" s="34"/>
      <c r="BK1680" s="34" t="e">
        <f t="shared" ref="BK1680" si="7302">$Q1686</f>
        <v>#NUM!</v>
      </c>
      <c r="BL1680" s="34">
        <v>-1</v>
      </c>
      <c r="BM1680" s="34" t="e">
        <f t="shared" ref="BM1680" si="7303">-SUMPRODUCT($Q1679:$Q1685,$N$2:$N$8)-SUMPRODUCT($Q1687:$Q1689,$N$10:$N$12)</f>
        <v>#NUM!</v>
      </c>
      <c r="BN1680" s="34"/>
      <c r="BO1680" s="34"/>
      <c r="BP1680" s="34"/>
      <c r="BQ1680" s="34" t="e">
        <f t="shared" ref="BQ1680" si="7304">$Q1687</f>
        <v>#NUM!</v>
      </c>
      <c r="BR1680" s="34">
        <v>-1</v>
      </c>
      <c r="BS1680" s="34" t="e">
        <f t="shared" ref="BS1680" si="7305">-SUMPRODUCT($Q1679:$Q1686,$N$2:$N$9)-SUMPRODUCT($Q1688:$Q1689,$N$11:$N$12)</f>
        <v>#NUM!</v>
      </c>
      <c r="BT1680" s="34"/>
      <c r="BU1680" s="34"/>
      <c r="BV1680" s="34"/>
      <c r="BW1680" s="34" t="e">
        <f t="shared" ref="BW1680" si="7306">$Q1688</f>
        <v>#NUM!</v>
      </c>
      <c r="BX1680" s="34">
        <v>-1</v>
      </c>
      <c r="BY1680" s="34" t="e">
        <f t="shared" ref="BY1680" si="7307">-SUMPRODUCT($Q1679:$Q1687,$N$2:$N$10)-SUMPRODUCT($Q1689,$N$12)</f>
        <v>#NUM!</v>
      </c>
      <c r="BZ1680" s="34"/>
      <c r="CA1680" s="34"/>
      <c r="CB1680" s="34"/>
      <c r="CC1680" s="34" t="e">
        <f t="shared" ref="CC1680" si="7308">$Q1689</f>
        <v>#NUM!</v>
      </c>
      <c r="CD1680" s="34">
        <v>-1</v>
      </c>
      <c r="CE1680" s="34" t="e">
        <f t="shared" ref="CE1680" si="7309">-SUMPRODUCT($Q1679:$Q1688,$N$2:$N$11)</f>
        <v>#NUM!</v>
      </c>
      <c r="CF1680" s="34"/>
      <c r="CG1680" s="34"/>
      <c r="CH1680" s="34"/>
      <c r="CI1680" s="8"/>
    </row>
    <row r="1681" spans="1:87" x14ac:dyDescent="0.2">
      <c r="A1681" s="8" t="str">
        <f>IF(AND(COUNTIF(W$3:W$13,A$17)&gt;0,A$17&lt;&gt;B1562),A$17,IFERROR(IF(MATCH(A$17,Z$3:Z$13,0)=6,A$17," ")," "))</f>
        <v>C3</v>
      </c>
      <c r="B1681" s="8">
        <f>IF(A1681=" "," ",MAX(B1679:B1680)+1)</f>
        <v>1</v>
      </c>
      <c r="C1681" s="8" t="str">
        <f>IFERROR(INDEX(A1679:A1700,MATCH(SMALL(B1679:B1700,3),B1679:B1700,0),1)," ")</f>
        <v>C8</v>
      </c>
      <c r="D1681" s="8">
        <f t="shared" si="7275"/>
        <v>0</v>
      </c>
      <c r="E1681" s="8">
        <f t="shared" si="7276"/>
        <v>0</v>
      </c>
      <c r="F1681" s="8">
        <f t="shared" si="7277"/>
        <v>0</v>
      </c>
      <c r="G1681" s="8">
        <f t="shared" si="7278"/>
        <v>0</v>
      </c>
      <c r="H1681" s="8">
        <f t="shared" si="7279"/>
        <v>0</v>
      </c>
      <c r="I1681" s="8">
        <f t="shared" si="7280"/>
        <v>0</v>
      </c>
      <c r="J1681" s="8">
        <f t="shared" si="7281"/>
        <v>0</v>
      </c>
      <c r="K1681" s="8">
        <f t="shared" si="7282"/>
        <v>0</v>
      </c>
      <c r="L1681" s="8">
        <f t="shared" si="7283"/>
        <v>0</v>
      </c>
      <c r="M1681" s="8">
        <f t="shared" si="7284"/>
        <v>0</v>
      </c>
      <c r="N1681" s="8">
        <f t="shared" si="7285"/>
        <v>0</v>
      </c>
      <c r="O1681" s="8">
        <f t="shared" si="7286"/>
        <v>0</v>
      </c>
      <c r="P1681" s="8" t="e">
        <v>#NUM!</v>
      </c>
      <c r="Q1681" s="8" t="e">
        <f t="shared" ref="Q1681" si="7310">IF(COUNTIF(P1679:P1689,"&lt;"&amp;-0.001)=0,IF(ABS(P1681)&lt;0.001,0,P1681)," ")</f>
        <v>#NUM!</v>
      </c>
      <c r="R1681" s="8"/>
      <c r="S1681" s="8"/>
      <c r="U1681" s="34"/>
      <c r="V1681" s="34"/>
      <c r="W1681" s="34"/>
      <c r="X1681" s="34"/>
      <c r="Y1681" s="34"/>
      <c r="Z1681" s="34"/>
      <c r="AA1681" s="34"/>
      <c r="AB1681" s="34"/>
      <c r="AC1681" s="34"/>
      <c r="AD1681" s="34"/>
      <c r="AE1681" s="34"/>
      <c r="AF1681" s="34"/>
      <c r="AG1681" s="34"/>
      <c r="AH1681" s="34"/>
      <c r="AI1681" s="34"/>
      <c r="AJ1681" s="34"/>
      <c r="AK1681" s="34"/>
      <c r="AL1681" s="34"/>
      <c r="AM1681" s="34"/>
      <c r="AN1681" s="34"/>
      <c r="AO1681" s="34"/>
      <c r="AP1681" s="34"/>
      <c r="AQ1681" s="34"/>
      <c r="AR1681" s="34"/>
      <c r="AS1681" s="34"/>
      <c r="AT1681" s="34"/>
      <c r="AU1681" s="34"/>
      <c r="AV1681" s="34"/>
      <c r="AW1681" s="34"/>
      <c r="AX1681" s="34"/>
      <c r="AY1681" s="34"/>
      <c r="AZ1681" s="34"/>
      <c r="BA1681" s="34"/>
      <c r="BB1681" s="34"/>
      <c r="BC1681" s="34"/>
      <c r="BD1681" s="34"/>
      <c r="BE1681" s="34"/>
      <c r="BF1681" s="34"/>
      <c r="BG1681" s="34"/>
      <c r="BH1681" s="34"/>
      <c r="BI1681" s="34"/>
      <c r="BJ1681" s="34"/>
      <c r="BK1681" s="34"/>
      <c r="BL1681" s="34"/>
      <c r="BM1681" s="34"/>
      <c r="BN1681" s="34"/>
      <c r="BO1681" s="34"/>
      <c r="BP1681" s="34"/>
      <c r="BQ1681" s="34"/>
      <c r="BR1681" s="34"/>
      <c r="BS1681" s="34"/>
      <c r="BT1681" s="34"/>
      <c r="BU1681" s="34"/>
      <c r="BV1681" s="34"/>
      <c r="BW1681" s="34"/>
      <c r="BX1681" s="34"/>
      <c r="BY1681" s="34"/>
      <c r="BZ1681" s="34"/>
      <c r="CA1681" s="34"/>
      <c r="CB1681" s="34"/>
      <c r="CC1681" s="34"/>
      <c r="CD1681" s="34"/>
      <c r="CE1681" s="34"/>
      <c r="CF1681" s="34"/>
      <c r="CG1681" s="34"/>
      <c r="CH1681" s="34"/>
      <c r="CI1681" s="8"/>
    </row>
    <row r="1682" spans="1:87" x14ac:dyDescent="0.2">
      <c r="A1682" s="8" t="str">
        <f>IF(AND(COUNTIF(W$3:W$13,A$18)&gt;0,A$18&lt;&gt;B1562),A$18,IFERROR(IF(MATCH(A$18,Z$3:Z$13,0)=6,A$18," ")," "))</f>
        <v>C4</v>
      </c>
      <c r="B1682" s="8">
        <f>IF(A1682=" "," ",MAX(B1679:B1681)+1)</f>
        <v>2</v>
      </c>
      <c r="C1682" s="8" t="str">
        <f>IFERROR(INDEX(A1679:A1700,MATCH(SMALL(B1679:B1700,4),B1679:B1700,0),1)," ")</f>
        <v>C13</v>
      </c>
      <c r="D1682" s="8">
        <f t="shared" si="7275"/>
        <v>0</v>
      </c>
      <c r="E1682" s="8">
        <f t="shared" si="7276"/>
        <v>1</v>
      </c>
      <c r="F1682" s="8">
        <f t="shared" si="7277"/>
        <v>0</v>
      </c>
      <c r="G1682" s="8">
        <f t="shared" si="7278"/>
        <v>0</v>
      </c>
      <c r="H1682" s="8">
        <f t="shared" si="7279"/>
        <v>0</v>
      </c>
      <c r="I1682" s="8">
        <f t="shared" si="7280"/>
        <v>0</v>
      </c>
      <c r="J1682" s="8">
        <f t="shared" si="7281"/>
        <v>0</v>
      </c>
      <c r="K1682" s="8">
        <f t="shared" si="7282"/>
        <v>0</v>
      </c>
      <c r="L1682" s="8">
        <f t="shared" si="7283"/>
        <v>0</v>
      </c>
      <c r="M1682" s="8">
        <f t="shared" si="7284"/>
        <v>0</v>
      </c>
      <c r="N1682" s="8">
        <f t="shared" si="7285"/>
        <v>0</v>
      </c>
      <c r="O1682" s="8">
        <f t="shared" si="7286"/>
        <v>0</v>
      </c>
      <c r="P1682" s="8" t="e">
        <v>#NUM!</v>
      </c>
      <c r="Q1682" s="8" t="e">
        <f t="shared" ref="Q1682" si="7311">IF(COUNTIF(P1679:P1689,"&lt;"&amp;-0.001)=0,IF(ABS(P1682)&lt;0.001,0,P1682)," ")</f>
        <v>#NUM!</v>
      </c>
      <c r="R1682" s="8"/>
      <c r="S1682" s="8"/>
      <c r="U1682" s="34"/>
      <c r="V1682" s="34"/>
      <c r="W1682" s="34"/>
      <c r="X1682" s="34"/>
      <c r="Y1682" s="34"/>
      <c r="Z1682" s="34"/>
      <c r="AA1682" s="34"/>
      <c r="AB1682" s="34"/>
      <c r="AC1682" s="34"/>
      <c r="AD1682" s="34"/>
      <c r="AE1682" s="34"/>
      <c r="AF1682" s="34"/>
      <c r="AG1682" s="34"/>
      <c r="AH1682" s="34"/>
      <c r="AI1682" s="34"/>
      <c r="AJ1682" s="34"/>
      <c r="AK1682" s="34"/>
      <c r="AL1682" s="34"/>
      <c r="AM1682" s="34"/>
      <c r="AN1682" s="34"/>
      <c r="AO1682" s="34"/>
      <c r="AP1682" s="34"/>
      <c r="AQ1682" s="34"/>
      <c r="AR1682" s="34"/>
      <c r="AS1682" s="34"/>
      <c r="AT1682" s="34"/>
      <c r="AU1682" s="34"/>
      <c r="AV1682" s="34"/>
      <c r="AW1682" s="34"/>
      <c r="AX1682" s="34"/>
      <c r="AY1682" s="34"/>
      <c r="AZ1682" s="34"/>
      <c r="BA1682" s="34"/>
      <c r="BB1682" s="34"/>
      <c r="BC1682" s="34"/>
      <c r="BD1682" s="34"/>
      <c r="BE1682" s="34"/>
      <c r="BF1682" s="34"/>
      <c r="BG1682" s="34"/>
      <c r="BH1682" s="34"/>
      <c r="BI1682" s="34"/>
      <c r="BJ1682" s="34"/>
      <c r="BK1682" s="34"/>
      <c r="BL1682" s="34"/>
      <c r="BM1682" s="34"/>
      <c r="BN1682" s="34"/>
      <c r="BO1682" s="34"/>
      <c r="BP1682" s="34"/>
      <c r="BQ1682" s="34"/>
      <c r="BR1682" s="34"/>
      <c r="BS1682" s="34"/>
      <c r="BT1682" s="34"/>
      <c r="BU1682" s="34"/>
      <c r="BV1682" s="34"/>
      <c r="BW1682" s="34"/>
      <c r="BX1682" s="34"/>
      <c r="BY1682" s="34"/>
      <c r="BZ1682" s="34"/>
      <c r="CA1682" s="34"/>
      <c r="CB1682" s="34"/>
      <c r="CC1682" s="34"/>
      <c r="CD1682" s="34"/>
      <c r="CE1682" s="34"/>
      <c r="CF1682" s="34"/>
      <c r="CG1682" s="34"/>
      <c r="CH1682" s="34"/>
      <c r="CI1682" s="8"/>
    </row>
    <row r="1683" spans="1:87" x14ac:dyDescent="0.2">
      <c r="A1683" s="8" t="str">
        <f>IF(AND(COUNTIF(W$3:W$13,A$19)&gt;0,A$19&lt;&gt;B1562),A$19,IFERROR(IF(MATCH(A$19,Z$3:Z$13,0)=6,A$19," ")," "))</f>
        <v xml:space="preserve"> </v>
      </c>
      <c r="B1683" s="8" t="str">
        <f>IF(A1683=" "," ",MAX(B1679:B1682)+1)</f>
        <v xml:space="preserve"> </v>
      </c>
      <c r="C1683" s="8" t="str">
        <f>IFERROR(INDEX(A1679:A1700,MATCH(SMALL(B1679:B1700,5),B1679:B1700,0),1)," ")</f>
        <v>C15</v>
      </c>
      <c r="D1683" s="8">
        <f t="shared" si="7275"/>
        <v>0</v>
      </c>
      <c r="E1683" s="8">
        <f t="shared" si="7276"/>
        <v>0</v>
      </c>
      <c r="F1683" s="8">
        <f t="shared" si="7277"/>
        <v>0</v>
      </c>
      <c r="G1683" s="8">
        <f t="shared" si="7278"/>
        <v>1</v>
      </c>
      <c r="H1683" s="8">
        <f t="shared" si="7279"/>
        <v>0</v>
      </c>
      <c r="I1683" s="8">
        <f t="shared" si="7280"/>
        <v>0</v>
      </c>
      <c r="J1683" s="8">
        <f t="shared" si="7281"/>
        <v>0</v>
      </c>
      <c r="K1683" s="8">
        <f t="shared" si="7282"/>
        <v>0</v>
      </c>
      <c r="L1683" s="8">
        <f t="shared" si="7283"/>
        <v>0</v>
      </c>
      <c r="M1683" s="8">
        <f t="shared" si="7284"/>
        <v>0</v>
      </c>
      <c r="N1683" s="8">
        <f t="shared" si="7285"/>
        <v>0</v>
      </c>
      <c r="O1683" s="8">
        <f t="shared" si="7286"/>
        <v>0</v>
      </c>
      <c r="P1683" s="8" t="e">
        <v>#NUM!</v>
      </c>
      <c r="Q1683" s="8" t="e">
        <f t="shared" ref="Q1683" si="7312">IF(COUNTIF(P1679:P1689,"&lt;"&amp;-0.001)=0,IF(ABS(P1683)&lt;0.001,0,P1683)," ")</f>
        <v>#NUM!</v>
      </c>
      <c r="R1683" s="8"/>
      <c r="S1683" s="8"/>
      <c r="U1683" s="34"/>
      <c r="V1683" s="34"/>
      <c r="W1683" s="34"/>
      <c r="X1683" s="34"/>
      <c r="Y1683" s="34"/>
      <c r="Z1683" s="34"/>
      <c r="AA1683" s="34"/>
      <c r="AB1683" s="34"/>
      <c r="AC1683" s="34"/>
      <c r="AD1683" s="34"/>
      <c r="AE1683" s="34"/>
      <c r="AF1683" s="34"/>
      <c r="AG1683" s="34"/>
      <c r="AH1683" s="34"/>
      <c r="AI1683" s="34"/>
      <c r="AJ1683" s="34"/>
      <c r="AK1683" s="34"/>
      <c r="AL1683" s="34"/>
      <c r="AM1683" s="34"/>
      <c r="AN1683" s="34"/>
      <c r="AO1683" s="34"/>
      <c r="AP1683" s="34"/>
      <c r="AQ1683" s="34"/>
      <c r="AR1683" s="34"/>
      <c r="AS1683" s="34"/>
      <c r="AT1683" s="34"/>
      <c r="AU1683" s="34"/>
      <c r="AV1683" s="34"/>
      <c r="AW1683" s="34"/>
      <c r="AX1683" s="34"/>
      <c r="AY1683" s="34"/>
      <c r="AZ1683" s="34"/>
      <c r="BA1683" s="34"/>
      <c r="BB1683" s="34"/>
      <c r="BC1683" s="34"/>
      <c r="BD1683" s="34"/>
      <c r="BE1683" s="34"/>
      <c r="BF1683" s="34"/>
      <c r="BG1683" s="34"/>
      <c r="BH1683" s="34"/>
      <c r="BI1683" s="34"/>
      <c r="BJ1683" s="34"/>
      <c r="BK1683" s="34"/>
      <c r="BL1683" s="34"/>
      <c r="BM1683" s="34"/>
      <c r="BN1683" s="34"/>
      <c r="BO1683" s="34"/>
      <c r="BP1683" s="34"/>
      <c r="BQ1683" s="34"/>
      <c r="BR1683" s="34"/>
      <c r="BS1683" s="34"/>
      <c r="BT1683" s="34"/>
      <c r="BU1683" s="34"/>
      <c r="BV1683" s="34"/>
      <c r="BW1683" s="34"/>
      <c r="BX1683" s="34"/>
      <c r="BY1683" s="34"/>
      <c r="BZ1683" s="34"/>
      <c r="CA1683" s="34"/>
      <c r="CB1683" s="34"/>
      <c r="CC1683" s="34"/>
      <c r="CD1683" s="34"/>
      <c r="CE1683" s="34"/>
      <c r="CF1683" s="34"/>
      <c r="CG1683" s="34"/>
      <c r="CH1683" s="34"/>
      <c r="CI1683" s="8"/>
    </row>
    <row r="1684" spans="1:87" x14ac:dyDescent="0.2">
      <c r="A1684" s="8" t="str">
        <f>IF(AND(COUNTIF(W$3:W$13,A$20)&gt;0,A$20&lt;&gt;B1562),A$20,IFERROR(IF(MATCH(A$20,Z$3:Z$13,0)=6,A$20," ")," "))</f>
        <v xml:space="preserve"> </v>
      </c>
      <c r="B1684" s="8" t="str">
        <f>IF(A1684=" "," ",MAX(B1679:B1683)+1)</f>
        <v xml:space="preserve"> </v>
      </c>
      <c r="C1684" s="8" t="str">
        <f>IFERROR(INDEX(A1679:A1700,MATCH(SMALL(B1679:B1700,6),B1679:B1700,0),1)," ")</f>
        <v>C16</v>
      </c>
      <c r="D1684" s="8">
        <f t="shared" si="7275"/>
        <v>0</v>
      </c>
      <c r="E1684" s="8">
        <f t="shared" si="7276"/>
        <v>0</v>
      </c>
      <c r="F1684" s="8">
        <f t="shared" si="7277"/>
        <v>0</v>
      </c>
      <c r="G1684" s="8">
        <f t="shared" si="7278"/>
        <v>0</v>
      </c>
      <c r="H1684" s="8">
        <f t="shared" si="7279"/>
        <v>1</v>
      </c>
      <c r="I1684" s="8">
        <f t="shared" si="7280"/>
        <v>0</v>
      </c>
      <c r="J1684" s="8">
        <f t="shared" si="7281"/>
        <v>0</v>
      </c>
      <c r="K1684" s="8">
        <f t="shared" si="7282"/>
        <v>0</v>
      </c>
      <c r="L1684" s="8">
        <f t="shared" si="7283"/>
        <v>0</v>
      </c>
      <c r="M1684" s="8">
        <f t="shared" si="7284"/>
        <v>0</v>
      </c>
      <c r="N1684" s="8">
        <f t="shared" si="7285"/>
        <v>0</v>
      </c>
      <c r="O1684" s="8">
        <f t="shared" si="7286"/>
        <v>0</v>
      </c>
      <c r="P1684" s="8" t="e">
        <v>#NUM!</v>
      </c>
      <c r="Q1684" s="8" t="e">
        <f t="shared" ref="Q1684" si="7313">IF(COUNTIF(P1679:P1689,"&lt;"&amp;-0.001)=0,IF(ABS(P1684)&lt;0.001,0,P1684)," ")</f>
        <v>#NUM!</v>
      </c>
      <c r="R1684" s="8"/>
      <c r="S1684" s="8"/>
      <c r="U1684" s="34"/>
      <c r="V1684" s="34"/>
      <c r="W1684" s="34"/>
      <c r="X1684" s="34"/>
      <c r="Y1684" s="34"/>
      <c r="Z1684" s="34"/>
      <c r="AA1684" s="34"/>
      <c r="AB1684" s="34"/>
      <c r="AC1684" s="34"/>
      <c r="AD1684" s="34"/>
      <c r="AE1684" s="34"/>
      <c r="AF1684" s="34"/>
      <c r="AG1684" s="34"/>
      <c r="AH1684" s="34"/>
      <c r="AI1684" s="34"/>
      <c r="AJ1684" s="34"/>
      <c r="AK1684" s="34"/>
      <c r="AL1684" s="34"/>
      <c r="AM1684" s="34"/>
      <c r="AN1684" s="34"/>
      <c r="AO1684" s="34"/>
      <c r="AP1684" s="34"/>
      <c r="AQ1684" s="34"/>
      <c r="AR1684" s="34"/>
      <c r="AS1684" s="34"/>
      <c r="AT1684" s="34"/>
      <c r="AU1684" s="34"/>
      <c r="AV1684" s="34"/>
      <c r="AW1684" s="34"/>
      <c r="AX1684" s="34"/>
      <c r="AY1684" s="34"/>
      <c r="AZ1684" s="34"/>
      <c r="BA1684" s="34"/>
      <c r="BB1684" s="34"/>
      <c r="BC1684" s="34"/>
      <c r="BD1684" s="34"/>
      <c r="BE1684" s="34"/>
      <c r="BF1684" s="34"/>
      <c r="BG1684" s="34"/>
      <c r="BH1684" s="34"/>
      <c r="BI1684" s="34"/>
      <c r="BJ1684" s="34"/>
      <c r="BK1684" s="34"/>
      <c r="BL1684" s="34"/>
      <c r="BM1684" s="34"/>
      <c r="BN1684" s="34"/>
      <c r="BO1684" s="34"/>
      <c r="BP1684" s="34"/>
      <c r="BQ1684" s="34"/>
      <c r="BR1684" s="34"/>
      <c r="BS1684" s="34"/>
      <c r="BT1684" s="34"/>
      <c r="BU1684" s="34"/>
      <c r="BV1684" s="34"/>
      <c r="BW1684" s="34"/>
      <c r="BX1684" s="34"/>
      <c r="BY1684" s="34"/>
      <c r="BZ1684" s="34"/>
      <c r="CA1684" s="34"/>
      <c r="CB1684" s="34"/>
      <c r="CC1684" s="34"/>
      <c r="CD1684" s="34"/>
      <c r="CE1684" s="34"/>
      <c r="CF1684" s="34"/>
      <c r="CG1684" s="34"/>
      <c r="CH1684" s="34"/>
      <c r="CI1684" s="8"/>
    </row>
    <row r="1685" spans="1:87" x14ac:dyDescent="0.2">
      <c r="A1685" s="8" t="str">
        <f>IF(AND(COUNTIF(W$3:W$13,A$21)&gt;0,A$21&lt;&gt;B1562),A$21,IFERROR(IF(MATCH(A$21,Z$3:Z$13,0)=6,A$21," ")," "))</f>
        <v xml:space="preserve"> </v>
      </c>
      <c r="B1685" s="8" t="str">
        <f>IF(A1685=" "," ",MAX(B1679:B1684)+1)</f>
        <v xml:space="preserve"> </v>
      </c>
      <c r="C1685" s="8" t="str">
        <f>IFERROR(INDEX(A1679:A1700,MATCH(SMALL(B1679:B1700,7),B1679:B1700,0),1)," ")</f>
        <v>C17</v>
      </c>
      <c r="D1685" s="8">
        <f t="shared" si="7275"/>
        <v>0</v>
      </c>
      <c r="E1685" s="8">
        <f t="shared" si="7276"/>
        <v>0</v>
      </c>
      <c r="F1685" s="8">
        <f t="shared" si="7277"/>
        <v>0</v>
      </c>
      <c r="G1685" s="8">
        <f t="shared" si="7278"/>
        <v>0</v>
      </c>
      <c r="H1685" s="8">
        <f t="shared" si="7279"/>
        <v>0</v>
      </c>
      <c r="I1685" s="8">
        <f t="shared" si="7280"/>
        <v>1</v>
      </c>
      <c r="J1685" s="8">
        <f t="shared" si="7281"/>
        <v>0</v>
      </c>
      <c r="K1685" s="8">
        <f t="shared" si="7282"/>
        <v>0</v>
      </c>
      <c r="L1685" s="8">
        <f t="shared" si="7283"/>
        <v>0</v>
      </c>
      <c r="M1685" s="8">
        <f t="shared" si="7284"/>
        <v>0</v>
      </c>
      <c r="N1685" s="8">
        <f t="shared" si="7285"/>
        <v>0</v>
      </c>
      <c r="O1685" s="8">
        <f t="shared" si="7286"/>
        <v>0</v>
      </c>
      <c r="P1685" s="8" t="e">
        <v>#NUM!</v>
      </c>
      <c r="Q1685" s="8" t="e">
        <f t="shared" ref="Q1685" si="7314">IF(COUNTIF(P1679:P1689,"&lt;"&amp;-0.001)=0,IF(ABS(P1685)&lt;0.001,0,P1685)," ")</f>
        <v>#NUM!</v>
      </c>
      <c r="R1685" s="8"/>
      <c r="S1685" s="8"/>
      <c r="U1685" s="34"/>
      <c r="V1685" s="34"/>
      <c r="W1685" s="34"/>
      <c r="X1685" s="34"/>
      <c r="Y1685" s="34"/>
      <c r="Z1685" s="34"/>
      <c r="AA1685" s="34"/>
      <c r="AB1685" s="34"/>
      <c r="AC1685" s="34"/>
      <c r="AD1685" s="34"/>
      <c r="AE1685" s="34"/>
      <c r="AF1685" s="34"/>
      <c r="AG1685" s="34"/>
      <c r="AH1685" s="34"/>
      <c r="AI1685" s="34"/>
      <c r="AJ1685" s="34"/>
      <c r="AK1685" s="34"/>
      <c r="AL1685" s="34"/>
      <c r="AM1685" s="34"/>
      <c r="AN1685" s="34"/>
      <c r="AO1685" s="34"/>
      <c r="AP1685" s="34"/>
      <c r="AQ1685" s="34"/>
      <c r="AR1685" s="34"/>
      <c r="AS1685" s="34"/>
      <c r="AT1685" s="34"/>
      <c r="AU1685" s="34"/>
      <c r="AV1685" s="34"/>
      <c r="AW1685" s="34"/>
      <c r="AX1685" s="34"/>
      <c r="AY1685" s="34"/>
      <c r="AZ1685" s="34"/>
      <c r="BA1685" s="34"/>
      <c r="BB1685" s="34"/>
      <c r="BC1685" s="34"/>
      <c r="BD1685" s="34"/>
      <c r="BE1685" s="34"/>
      <c r="BF1685" s="34"/>
      <c r="BG1685" s="34"/>
      <c r="BH1685" s="34"/>
      <c r="BI1685" s="34"/>
      <c r="BJ1685" s="34"/>
      <c r="BK1685" s="34"/>
      <c r="BL1685" s="34"/>
      <c r="BM1685" s="34"/>
      <c r="BN1685" s="34"/>
      <c r="BO1685" s="34"/>
      <c r="BP1685" s="34"/>
      <c r="BQ1685" s="34"/>
      <c r="BR1685" s="34"/>
      <c r="BS1685" s="34"/>
      <c r="BT1685" s="34"/>
      <c r="BU1685" s="34"/>
      <c r="BV1685" s="34"/>
      <c r="BW1685" s="34"/>
      <c r="BX1685" s="34"/>
      <c r="BY1685" s="34"/>
      <c r="BZ1685" s="34"/>
      <c r="CA1685" s="34"/>
      <c r="CB1685" s="34"/>
      <c r="CC1685" s="34"/>
      <c r="CD1685" s="34"/>
      <c r="CE1685" s="34"/>
      <c r="CF1685" s="34"/>
      <c r="CG1685" s="34"/>
      <c r="CH1685" s="34"/>
      <c r="CI1685" s="8"/>
    </row>
    <row r="1686" spans="1:87" x14ac:dyDescent="0.2">
      <c r="A1686" s="8" t="str">
        <f>IF(AND(COUNTIF(W$3:W$13,A$22)&gt;0,A$22&lt;&gt;B1562),A$22,IFERROR(IF(MATCH(A$22,Z$3:Z$13,0)=6,A$22," ")," "))</f>
        <v>C8</v>
      </c>
      <c r="B1686" s="8">
        <f>IF(A1686=" "," ",MAX(B1679:B1685)+1)</f>
        <v>3</v>
      </c>
      <c r="C1686" s="8" t="str">
        <f>IFERROR(INDEX(A1679:A1700,MATCH(SMALL(B1679:B1700,8),B1679:B1700,0),1)," ")</f>
        <v>C19</v>
      </c>
      <c r="D1686" s="8">
        <f t="shared" si="7275"/>
        <v>0</v>
      </c>
      <c r="E1686" s="8">
        <f t="shared" si="7276"/>
        <v>0</v>
      </c>
      <c r="F1686" s="8">
        <f t="shared" si="7277"/>
        <v>0</v>
      </c>
      <c r="G1686" s="8">
        <f t="shared" si="7278"/>
        <v>0</v>
      </c>
      <c r="H1686" s="8">
        <f t="shared" si="7279"/>
        <v>0</v>
      </c>
      <c r="I1686" s="8">
        <f t="shared" si="7280"/>
        <v>0</v>
      </c>
      <c r="J1686" s="8">
        <f t="shared" si="7281"/>
        <v>0</v>
      </c>
      <c r="K1686" s="8">
        <f t="shared" si="7282"/>
        <v>1</v>
      </c>
      <c r="L1686" s="8">
        <f t="shared" si="7283"/>
        <v>0</v>
      </c>
      <c r="M1686" s="8">
        <f t="shared" si="7284"/>
        <v>0</v>
      </c>
      <c r="N1686" s="8">
        <f t="shared" si="7285"/>
        <v>0</v>
      </c>
      <c r="O1686" s="8">
        <f t="shared" si="7286"/>
        <v>0</v>
      </c>
      <c r="P1686" s="8" t="e">
        <v>#NUM!</v>
      </c>
      <c r="Q1686" s="8" t="e">
        <f t="shared" ref="Q1686" si="7315">IF(COUNTIF(P1679:P1689,"&lt;"&amp;-0.001)=0,IF(ABS(P1686)&lt;0.001,0,P1686)," ")</f>
        <v>#NUM!</v>
      </c>
      <c r="R1686" s="8"/>
      <c r="S1686" s="8"/>
      <c r="U1686" s="34"/>
      <c r="V1686" s="34"/>
      <c r="W1686" s="34"/>
      <c r="X1686" s="34"/>
      <c r="Y1686" s="34"/>
      <c r="Z1686" s="34"/>
      <c r="AA1686" s="34"/>
      <c r="AB1686" s="34"/>
      <c r="AC1686" s="34"/>
      <c r="AD1686" s="34"/>
      <c r="AE1686" s="34"/>
      <c r="AF1686" s="34"/>
      <c r="AG1686" s="34"/>
      <c r="AH1686" s="34"/>
      <c r="AI1686" s="34"/>
      <c r="AJ1686" s="34"/>
      <c r="AK1686" s="34"/>
      <c r="AL1686" s="34"/>
      <c r="AM1686" s="34"/>
      <c r="AN1686" s="34"/>
      <c r="AO1686" s="34"/>
      <c r="AP1686" s="34"/>
      <c r="AQ1686" s="34"/>
      <c r="AR1686" s="34"/>
      <c r="AS1686" s="34"/>
      <c r="AT1686" s="34"/>
      <c r="AU1686" s="34"/>
      <c r="AV1686" s="34"/>
      <c r="AW1686" s="34"/>
      <c r="AX1686" s="34"/>
      <c r="AY1686" s="34"/>
      <c r="AZ1686" s="34"/>
      <c r="BA1686" s="34"/>
      <c r="BB1686" s="34"/>
      <c r="BC1686" s="34"/>
      <c r="BD1686" s="34"/>
      <c r="BE1686" s="34"/>
      <c r="BF1686" s="34"/>
      <c r="BG1686" s="34"/>
      <c r="BH1686" s="34"/>
      <c r="BI1686" s="34"/>
      <c r="BJ1686" s="34"/>
      <c r="BK1686" s="34"/>
      <c r="BL1686" s="34"/>
      <c r="BM1686" s="34"/>
      <c r="BN1686" s="34"/>
      <c r="BO1686" s="34"/>
      <c r="BP1686" s="34"/>
      <c r="BQ1686" s="34"/>
      <c r="BR1686" s="34"/>
      <c r="BS1686" s="34"/>
      <c r="BT1686" s="34"/>
      <c r="BU1686" s="34"/>
      <c r="BV1686" s="34"/>
      <c r="BW1686" s="34"/>
      <c r="BX1686" s="34"/>
      <c r="BY1686" s="34"/>
      <c r="BZ1686" s="34"/>
      <c r="CA1686" s="34"/>
      <c r="CB1686" s="34"/>
      <c r="CC1686" s="34"/>
      <c r="CD1686" s="34"/>
      <c r="CE1686" s="34"/>
      <c r="CF1686" s="34"/>
      <c r="CG1686" s="34"/>
      <c r="CH1686" s="34"/>
      <c r="CI1686" s="8"/>
    </row>
    <row r="1687" spans="1:87" x14ac:dyDescent="0.2">
      <c r="A1687" s="8" t="str">
        <f>IF(AND(COUNTIF(W$3:W$13,A$23)&gt;0,A$23&lt;&gt;B1562),A$23,IFERROR(IF(MATCH(A$23,Z$3:Z$13,0)=6,A$23," ")," "))</f>
        <v xml:space="preserve"> </v>
      </c>
      <c r="B1687" s="8" t="str">
        <f>IF(A1687=" "," ",MAX(B1679:B1686)+1)</f>
        <v xml:space="preserve"> </v>
      </c>
      <c r="C1687" s="8" t="str">
        <f>IFERROR(INDEX(A1679:A1700,MATCH(SMALL(B1679:B1700,9),B1679:B1700,0),1)," ")</f>
        <v>C20</v>
      </c>
      <c r="D1687" s="8">
        <f t="shared" si="7275"/>
        <v>0</v>
      </c>
      <c r="E1687" s="8">
        <f t="shared" si="7276"/>
        <v>0</v>
      </c>
      <c r="F1687" s="8">
        <f t="shared" si="7277"/>
        <v>0</v>
      </c>
      <c r="G1687" s="8">
        <f t="shared" si="7278"/>
        <v>0</v>
      </c>
      <c r="H1687" s="8">
        <f t="shared" si="7279"/>
        <v>0</v>
      </c>
      <c r="I1687" s="8">
        <f t="shared" si="7280"/>
        <v>0</v>
      </c>
      <c r="J1687" s="8">
        <f t="shared" si="7281"/>
        <v>0</v>
      </c>
      <c r="K1687" s="8">
        <f t="shared" si="7282"/>
        <v>0</v>
      </c>
      <c r="L1687" s="8">
        <f t="shared" si="7283"/>
        <v>1</v>
      </c>
      <c r="M1687" s="8">
        <f t="shared" si="7284"/>
        <v>0</v>
      </c>
      <c r="N1687" s="8">
        <f t="shared" si="7285"/>
        <v>0</v>
      </c>
      <c r="O1687" s="8">
        <f t="shared" si="7286"/>
        <v>0</v>
      </c>
      <c r="P1687" s="6" t="e">
        <v>#NUM!</v>
      </c>
      <c r="Q1687" s="8" t="e">
        <f t="shared" ref="Q1687" si="7316">IF(COUNTIF(P1679:P1689,"&lt;"&amp;-0.001)=0,IF(ABS(P1687)&lt;0.001,0,P1687)," ")</f>
        <v>#NUM!</v>
      </c>
      <c r="R1687" s="8"/>
      <c r="S1687" s="8"/>
      <c r="U1687" s="34"/>
      <c r="V1687" s="34"/>
      <c r="W1687" s="34"/>
      <c r="X1687" s="34"/>
      <c r="Y1687" s="34"/>
      <c r="Z1687" s="34"/>
      <c r="AA1687" s="34"/>
      <c r="AB1687" s="34"/>
      <c r="AC1687" s="34"/>
      <c r="AD1687" s="34"/>
      <c r="AE1687" s="34"/>
      <c r="AF1687" s="34"/>
      <c r="AG1687" s="34"/>
      <c r="AH1687" s="34"/>
      <c r="AI1687" s="34"/>
      <c r="AJ1687" s="34"/>
      <c r="AK1687" s="34"/>
      <c r="AL1687" s="34"/>
      <c r="AM1687" s="34"/>
      <c r="AN1687" s="34"/>
      <c r="AO1687" s="34"/>
      <c r="AP1687" s="34"/>
      <c r="AQ1687" s="34"/>
      <c r="AR1687" s="34"/>
      <c r="AS1687" s="34"/>
      <c r="AT1687" s="34"/>
      <c r="AU1687" s="34"/>
      <c r="AV1687" s="34"/>
      <c r="AW1687" s="34"/>
      <c r="AX1687" s="34"/>
      <c r="AY1687" s="34"/>
      <c r="AZ1687" s="34"/>
      <c r="BA1687" s="34"/>
      <c r="BB1687" s="34"/>
      <c r="BC1687" s="34"/>
      <c r="BD1687" s="34"/>
      <c r="BE1687" s="34"/>
      <c r="BF1687" s="34"/>
      <c r="BG1687" s="34"/>
      <c r="BH1687" s="34"/>
      <c r="BI1687" s="34"/>
      <c r="BJ1687" s="34"/>
      <c r="BK1687" s="34"/>
      <c r="BL1687" s="34"/>
      <c r="BM1687" s="34"/>
      <c r="BN1687" s="34"/>
      <c r="BO1687" s="34"/>
      <c r="BP1687" s="34"/>
      <c r="BQ1687" s="34"/>
      <c r="BR1687" s="34"/>
      <c r="BS1687" s="34"/>
      <c r="BT1687" s="34"/>
      <c r="BU1687" s="34"/>
      <c r="BV1687" s="34"/>
      <c r="BW1687" s="34"/>
      <c r="BX1687" s="34"/>
      <c r="BY1687" s="34"/>
      <c r="BZ1687" s="34"/>
      <c r="CA1687" s="34"/>
      <c r="CB1687" s="34"/>
      <c r="CC1687" s="34"/>
      <c r="CD1687" s="34"/>
      <c r="CE1687" s="34"/>
      <c r="CF1687" s="34"/>
      <c r="CG1687" s="34"/>
      <c r="CH1687" s="34"/>
      <c r="CI1687" s="8"/>
    </row>
    <row r="1688" spans="1:87" x14ac:dyDescent="0.2">
      <c r="A1688" s="8" t="str">
        <f>IF(AND(COUNTIF(W$3:W$13,A$24)&gt;0,A$24&lt;&gt;B1562),A$24,IFERROR(IF(MATCH(A$24,Z$3:Z$13,0)=6,A$24," ")," "))</f>
        <v xml:space="preserve"> </v>
      </c>
      <c r="B1688" s="8" t="str">
        <f>IF(A1688=" "," ",MAX(B1679:B1687)+1)</f>
        <v xml:space="preserve"> </v>
      </c>
      <c r="C1688" s="8" t="str">
        <f>IFERROR(INDEX(A1679:A1700,MATCH(SMALL(B1679:B1700,10),B1679:B1700,0),1)," ")</f>
        <v>C21</v>
      </c>
      <c r="D1688" s="8">
        <f t="shared" si="7275"/>
        <v>0</v>
      </c>
      <c r="E1688" s="8">
        <f t="shared" si="7276"/>
        <v>0</v>
      </c>
      <c r="F1688" s="8">
        <f t="shared" si="7277"/>
        <v>0</v>
      </c>
      <c r="G1688" s="8">
        <f t="shared" si="7278"/>
        <v>0</v>
      </c>
      <c r="H1688" s="8">
        <f t="shared" si="7279"/>
        <v>0</v>
      </c>
      <c r="I1688" s="8">
        <f t="shared" si="7280"/>
        <v>0</v>
      </c>
      <c r="J1688" s="8">
        <f t="shared" si="7281"/>
        <v>0</v>
      </c>
      <c r="K1688" s="8">
        <f t="shared" si="7282"/>
        <v>0</v>
      </c>
      <c r="L1688" s="8">
        <f t="shared" si="7283"/>
        <v>0</v>
      </c>
      <c r="M1688" s="8">
        <f t="shared" si="7284"/>
        <v>1</v>
      </c>
      <c r="N1688" s="8">
        <f t="shared" si="7285"/>
        <v>0</v>
      </c>
      <c r="O1688" s="8">
        <f t="shared" si="7286"/>
        <v>0</v>
      </c>
      <c r="P1688" s="8" t="e">
        <v>#NUM!</v>
      </c>
      <c r="Q1688" s="8" t="e">
        <f t="shared" ref="Q1688" si="7317">IF(COUNTIF(P1679:P1689,"&lt;"&amp;-0.001)=0,IF(ABS(P1688)&lt;0.001,0,P1688)," ")</f>
        <v>#NUM!</v>
      </c>
      <c r="R1688" s="8"/>
      <c r="S1688" s="8"/>
      <c r="U1688" s="34"/>
      <c r="V1688" s="34"/>
      <c r="W1688" s="34"/>
      <c r="X1688" s="34"/>
      <c r="Y1688" s="34"/>
      <c r="Z1688" s="34"/>
      <c r="AA1688" s="34"/>
      <c r="AB1688" s="34"/>
      <c r="AC1688" s="34"/>
      <c r="AD1688" s="34"/>
      <c r="AE1688" s="34"/>
      <c r="AF1688" s="34"/>
      <c r="AG1688" s="34"/>
      <c r="AH1688" s="34"/>
      <c r="AI1688" s="34"/>
      <c r="AJ1688" s="34"/>
      <c r="AK1688" s="34"/>
      <c r="AL1688" s="34"/>
      <c r="AM1688" s="34"/>
      <c r="AN1688" s="34"/>
      <c r="AO1688" s="34"/>
      <c r="AP1688" s="34"/>
      <c r="AQ1688" s="34"/>
      <c r="AR1688" s="34"/>
      <c r="AS1688" s="34"/>
      <c r="AT1688" s="34"/>
      <c r="AU1688" s="34"/>
      <c r="AV1688" s="34"/>
      <c r="AW1688" s="34"/>
      <c r="AX1688" s="34"/>
      <c r="AY1688" s="34"/>
      <c r="AZ1688" s="34"/>
      <c r="BA1688" s="34"/>
      <c r="BB1688" s="34"/>
      <c r="BC1688" s="34"/>
      <c r="BD1688" s="34"/>
      <c r="BE1688" s="34"/>
      <c r="BF1688" s="34"/>
      <c r="BG1688" s="34"/>
      <c r="BH1688" s="34"/>
      <c r="BI1688" s="34"/>
      <c r="BJ1688" s="34"/>
      <c r="BK1688" s="34"/>
      <c r="BL1688" s="34"/>
      <c r="BM1688" s="34"/>
      <c r="BN1688" s="34"/>
      <c r="BO1688" s="34"/>
      <c r="BP1688" s="34"/>
      <c r="BQ1688" s="34"/>
      <c r="BR1688" s="34"/>
      <c r="BS1688" s="34"/>
      <c r="BT1688" s="34"/>
      <c r="BU1688" s="34"/>
      <c r="BV1688" s="34"/>
      <c r="BW1688" s="34"/>
      <c r="BX1688" s="34"/>
      <c r="BY1688" s="34"/>
      <c r="BZ1688" s="34"/>
      <c r="CA1688" s="34"/>
      <c r="CB1688" s="34"/>
      <c r="CC1688" s="34"/>
      <c r="CD1688" s="34"/>
      <c r="CE1688" s="34"/>
      <c r="CF1688" s="34"/>
      <c r="CG1688" s="34"/>
      <c r="CH1688" s="34"/>
      <c r="CI1688" s="8"/>
    </row>
    <row r="1689" spans="1:87" x14ac:dyDescent="0.2">
      <c r="A1689" s="8" t="str">
        <f>IF(AND(COUNTIF(W$3:W$13,A$25)&gt;0,A$25&lt;&gt;B1562),A$25,IFERROR(IF(MATCH(A$25,Z$3:Z$13,0)=6,A$25," ")," "))</f>
        <v xml:space="preserve"> </v>
      </c>
      <c r="B1689" s="8" t="str">
        <f>IF(A1689=" "," ",MAX(B1679:B1688)+1)</f>
        <v xml:space="preserve"> </v>
      </c>
      <c r="C1689" s="8" t="str">
        <f>IFERROR(INDEX(A1679:A1700,MATCH(SMALL(B1679:B1700,11),B1679:B1700,0),1)," ")</f>
        <v>C22</v>
      </c>
      <c r="D1689" s="8">
        <f t="shared" si="7275"/>
        <v>0</v>
      </c>
      <c r="E1689" s="8">
        <f t="shared" si="7276"/>
        <v>0</v>
      </c>
      <c r="F1689" s="8">
        <f t="shared" si="7277"/>
        <v>0</v>
      </c>
      <c r="G1689" s="8">
        <f t="shared" si="7278"/>
        <v>0</v>
      </c>
      <c r="H1689" s="8">
        <f t="shared" si="7279"/>
        <v>0</v>
      </c>
      <c r="I1689" s="8">
        <f t="shared" si="7280"/>
        <v>0</v>
      </c>
      <c r="J1689" s="8">
        <f t="shared" si="7281"/>
        <v>0</v>
      </c>
      <c r="K1689" s="8">
        <f t="shared" si="7282"/>
        <v>0</v>
      </c>
      <c r="L1689" s="8">
        <f t="shared" si="7283"/>
        <v>0</v>
      </c>
      <c r="M1689" s="8">
        <f t="shared" si="7284"/>
        <v>0</v>
      </c>
      <c r="N1689" s="8">
        <f t="shared" si="7285"/>
        <v>1</v>
      </c>
      <c r="O1689" s="8">
        <f t="shared" si="7286"/>
        <v>0</v>
      </c>
      <c r="P1689" s="8" t="e">
        <v>#NUM!</v>
      </c>
      <c r="Q1689" s="8" t="e">
        <f t="shared" ref="Q1689" si="7318">IF(COUNTIF(P1679:P1689,"&lt;"&amp;-0.001)=0,IF(ABS(P1689)&lt;0.001,0,P1689)," ")</f>
        <v>#NUM!</v>
      </c>
      <c r="R1689" s="8"/>
      <c r="S1689" s="8"/>
      <c r="U1689" s="34"/>
      <c r="V1689" s="34"/>
      <c r="W1689" s="34"/>
      <c r="X1689" s="34"/>
      <c r="Y1689" s="34"/>
      <c r="Z1689" s="34"/>
      <c r="AA1689" s="34"/>
      <c r="AB1689" s="34"/>
      <c r="AC1689" s="34"/>
      <c r="AD1689" s="34"/>
      <c r="AE1689" s="34"/>
      <c r="AF1689" s="34"/>
      <c r="AG1689" s="34"/>
      <c r="AH1689" s="34"/>
      <c r="AI1689" s="34"/>
      <c r="AJ1689" s="34"/>
      <c r="AK1689" s="34"/>
      <c r="AL1689" s="34"/>
      <c r="AM1689" s="34"/>
      <c r="AN1689" s="34"/>
      <c r="AO1689" s="34"/>
      <c r="AP1689" s="34"/>
      <c r="AQ1689" s="34"/>
      <c r="AR1689" s="34"/>
      <c r="AS1689" s="34"/>
      <c r="AT1689" s="34"/>
      <c r="AU1689" s="34"/>
      <c r="AV1689" s="34"/>
      <c r="AW1689" s="34"/>
      <c r="AX1689" s="34"/>
      <c r="AY1689" s="34"/>
      <c r="AZ1689" s="34"/>
      <c r="BA1689" s="34"/>
      <c r="BB1689" s="34"/>
      <c r="BC1689" s="34"/>
      <c r="BD1689" s="34"/>
      <c r="BE1689" s="34"/>
      <c r="BF1689" s="34"/>
      <c r="BG1689" s="34"/>
      <c r="BH1689" s="34"/>
      <c r="BI1689" s="34"/>
      <c r="BJ1689" s="34"/>
      <c r="BK1689" s="34"/>
      <c r="BL1689" s="34"/>
      <c r="BM1689" s="34"/>
      <c r="BN1689" s="34"/>
      <c r="BO1689" s="34"/>
      <c r="BP1689" s="34"/>
      <c r="BQ1689" s="34"/>
      <c r="BR1689" s="34"/>
      <c r="BS1689" s="34"/>
      <c r="BT1689" s="34"/>
      <c r="BU1689" s="34"/>
      <c r="BV1689" s="34"/>
      <c r="BW1689" s="34"/>
      <c r="BX1689" s="34"/>
      <c r="BY1689" s="34"/>
      <c r="BZ1689" s="34"/>
      <c r="CA1689" s="34"/>
      <c r="CB1689" s="34"/>
      <c r="CC1689" s="34"/>
      <c r="CD1689" s="34"/>
      <c r="CE1689" s="34"/>
      <c r="CF1689" s="34"/>
      <c r="CG1689" s="34"/>
      <c r="CH1689" s="34"/>
      <c r="CI1689" s="8"/>
    </row>
    <row r="1690" spans="1:87" x14ac:dyDescent="0.2">
      <c r="A1690" s="8" t="str">
        <f>IF(AND(COUNTIF(W$3:W$13,A$26)&gt;0,A$26&lt;&gt;B1562),A$26,IFERROR(IF(MATCH(A$26,Z$3:Z$13,0)=6,A$26," ")," "))</f>
        <v xml:space="preserve"> </v>
      </c>
      <c r="B1690" s="8" t="str">
        <f>IF(A1690=" "," ",MAX(B1679:B1689)+1)</f>
        <v xml:space="preserve"> </v>
      </c>
      <c r="C1690" s="8"/>
      <c r="D1690" s="8"/>
      <c r="E1690" s="8"/>
      <c r="F1690" s="8"/>
      <c r="G1690" s="8"/>
      <c r="H1690" s="8"/>
      <c r="I1690" s="8"/>
      <c r="J1690" s="8"/>
      <c r="K1690" s="8"/>
      <c r="L1690" s="8"/>
      <c r="M1690" s="8"/>
      <c r="N1690" s="8"/>
      <c r="O1690" s="8"/>
      <c r="P1690" s="8"/>
      <c r="Q1690" s="8"/>
      <c r="R1690" s="8"/>
      <c r="S1690" s="8"/>
      <c r="U1690" s="34"/>
      <c r="V1690" s="34"/>
      <c r="W1690" s="34"/>
      <c r="X1690" s="34"/>
      <c r="Y1690" s="34"/>
      <c r="Z1690" s="34"/>
      <c r="AA1690" s="34"/>
      <c r="AB1690" s="34"/>
      <c r="AC1690" s="34"/>
      <c r="AD1690" s="34"/>
      <c r="AE1690" s="34"/>
      <c r="AF1690" s="34"/>
      <c r="AG1690" s="34"/>
      <c r="AH1690" s="34"/>
      <c r="AI1690" s="34"/>
      <c r="AJ1690" s="34"/>
      <c r="AK1690" s="34"/>
      <c r="AL1690" s="34"/>
      <c r="AM1690" s="34"/>
      <c r="AN1690" s="34"/>
      <c r="AO1690" s="34"/>
      <c r="AP1690" s="34"/>
      <c r="AQ1690" s="34"/>
      <c r="AR1690" s="34"/>
      <c r="AS1690" s="34"/>
      <c r="AT1690" s="34"/>
      <c r="AU1690" s="34"/>
      <c r="AV1690" s="34"/>
      <c r="AW1690" s="34"/>
      <c r="AX1690" s="34"/>
      <c r="AY1690" s="34"/>
      <c r="AZ1690" s="34"/>
      <c r="BA1690" s="34"/>
      <c r="BB1690" s="34"/>
      <c r="BC1690" s="34"/>
      <c r="BD1690" s="34"/>
      <c r="BE1690" s="34"/>
      <c r="BF1690" s="34"/>
      <c r="BG1690" s="34"/>
      <c r="BH1690" s="34"/>
      <c r="BI1690" s="34"/>
      <c r="BJ1690" s="34"/>
      <c r="BK1690" s="34"/>
      <c r="BL1690" s="34"/>
      <c r="BM1690" s="34"/>
      <c r="BN1690" s="34"/>
      <c r="BO1690" s="34"/>
      <c r="BP1690" s="34"/>
      <c r="BQ1690" s="34"/>
      <c r="BR1690" s="34"/>
      <c r="BS1690" s="34"/>
      <c r="BT1690" s="34"/>
      <c r="BU1690" s="34"/>
      <c r="BV1690" s="34"/>
      <c r="BW1690" s="34"/>
      <c r="BX1690" s="34"/>
      <c r="BY1690" s="34"/>
      <c r="BZ1690" s="34"/>
      <c r="CA1690" s="34"/>
      <c r="CB1690" s="34"/>
      <c r="CC1690" s="34"/>
      <c r="CD1690" s="34"/>
      <c r="CE1690" s="34"/>
      <c r="CF1690" s="34"/>
      <c r="CG1690" s="34"/>
      <c r="CH1690" s="34"/>
      <c r="CI1690" s="8"/>
    </row>
    <row r="1691" spans="1:87" x14ac:dyDescent="0.2">
      <c r="A1691" s="8" t="str">
        <f>IF(AND(COUNTIF(W$3:W$13,A$27)&gt;0,A$27&lt;&gt;B1562),A$27,IFERROR(IF(MATCH(A$27,Z$3:Z$13,0)=6,A$27," ")," "))</f>
        <v>C13</v>
      </c>
      <c r="B1691" s="8">
        <f>IF(A1691=" "," ",MAX(B1679:B1690)+1)</f>
        <v>4</v>
      </c>
      <c r="C1691" s="8"/>
      <c r="D1691" s="8"/>
      <c r="E1691" s="8"/>
      <c r="F1691" s="8"/>
      <c r="G1691" s="8"/>
      <c r="H1691" s="8"/>
      <c r="I1691" s="8"/>
      <c r="J1691" s="8"/>
      <c r="K1691" s="8"/>
      <c r="L1691" s="8"/>
      <c r="M1691" s="8"/>
      <c r="N1691" s="8"/>
      <c r="O1691" s="8"/>
      <c r="P1691" s="8"/>
      <c r="Q1691" s="8"/>
      <c r="R1691" s="8"/>
      <c r="S1691" s="8"/>
      <c r="U1691" s="34"/>
      <c r="V1691" s="34"/>
      <c r="W1691" s="34"/>
      <c r="X1691" s="34"/>
      <c r="Y1691" s="34"/>
      <c r="Z1691" s="34"/>
      <c r="AA1691" s="34"/>
      <c r="AB1691" s="34"/>
      <c r="AC1691" s="34"/>
      <c r="AD1691" s="34"/>
      <c r="AE1691" s="34"/>
      <c r="AF1691" s="34"/>
      <c r="AG1691" s="34"/>
      <c r="AH1691" s="34"/>
      <c r="AI1691" s="34"/>
      <c r="AJ1691" s="34"/>
      <c r="AK1691" s="34"/>
      <c r="AL1691" s="34"/>
      <c r="AM1691" s="34"/>
      <c r="AN1691" s="34"/>
      <c r="AO1691" s="34"/>
      <c r="AP1691" s="34"/>
      <c r="AQ1691" s="34"/>
      <c r="AR1691" s="34"/>
      <c r="AS1691" s="34"/>
      <c r="AT1691" s="34"/>
      <c r="AU1691" s="34"/>
      <c r="AV1691" s="34"/>
      <c r="AW1691" s="34"/>
      <c r="AX1691" s="34"/>
      <c r="AY1691" s="34"/>
      <c r="AZ1691" s="34"/>
      <c r="BA1691" s="34"/>
      <c r="BB1691" s="34"/>
      <c r="BC1691" s="34"/>
      <c r="BD1691" s="34"/>
      <c r="BE1691" s="34"/>
      <c r="BF1691" s="34"/>
      <c r="BG1691" s="34"/>
      <c r="BH1691" s="34"/>
      <c r="BI1691" s="34"/>
      <c r="BJ1691" s="34"/>
      <c r="BK1691" s="34"/>
      <c r="BL1691" s="34"/>
      <c r="BM1691" s="34"/>
      <c r="BN1691" s="34"/>
      <c r="BO1691" s="34"/>
      <c r="BP1691" s="34"/>
      <c r="BQ1691" s="34"/>
      <c r="BR1691" s="34"/>
      <c r="BS1691" s="34"/>
      <c r="BT1691" s="34"/>
      <c r="BU1691" s="34"/>
      <c r="BV1691" s="34"/>
      <c r="BW1691" s="34"/>
      <c r="BX1691" s="34"/>
      <c r="BY1691" s="34"/>
      <c r="BZ1691" s="34"/>
      <c r="CA1691" s="34"/>
      <c r="CB1691" s="34"/>
      <c r="CC1691" s="34"/>
      <c r="CD1691" s="34"/>
      <c r="CE1691" s="34"/>
      <c r="CF1691" s="34"/>
      <c r="CG1691" s="34"/>
      <c r="CH1691" s="34"/>
      <c r="CI1691" s="8"/>
    </row>
    <row r="1692" spans="1:87" x14ac:dyDescent="0.2">
      <c r="A1692" s="8" t="str">
        <f>IF(AND(COUNTIF(W$3:W$13,A$28)&gt;0,A$28&lt;&gt;B1562),A$28,IFERROR(IF(MATCH(A$28,Z$3:Z$13,0)=6,A$28," ")," "))</f>
        <v xml:space="preserve"> </v>
      </c>
      <c r="B1692" s="8" t="str">
        <f>IF(A1692=" "," ",MAX(B1679:B1691)+1)</f>
        <v xml:space="preserve"> </v>
      </c>
      <c r="C1692" s="8"/>
      <c r="D1692" s="8"/>
      <c r="E1692" s="8"/>
      <c r="F1692" s="8"/>
      <c r="G1692" s="8"/>
      <c r="H1692" s="8"/>
      <c r="I1692" s="8"/>
      <c r="J1692" s="8"/>
      <c r="K1692" s="8"/>
      <c r="L1692" s="8"/>
      <c r="M1692" s="8"/>
      <c r="N1692" s="8"/>
      <c r="O1692" s="8"/>
      <c r="P1692" s="8"/>
      <c r="Q1692" s="8"/>
      <c r="R1692" s="8"/>
      <c r="S1692" s="8"/>
      <c r="U1692" s="34"/>
      <c r="V1692" s="34"/>
      <c r="W1692" s="34"/>
      <c r="X1692" s="34"/>
      <c r="Y1692" s="34"/>
      <c r="Z1692" s="34"/>
      <c r="AA1692" s="34"/>
      <c r="AB1692" s="34"/>
      <c r="AC1692" s="34"/>
      <c r="AD1692" s="34"/>
      <c r="AE1692" s="34"/>
      <c r="AF1692" s="34"/>
      <c r="AG1692" s="34"/>
      <c r="AH1692" s="34"/>
      <c r="AI1692" s="34"/>
      <c r="AJ1692" s="34"/>
      <c r="AK1692" s="34"/>
      <c r="AL1692" s="34"/>
      <c r="AM1692" s="34"/>
      <c r="AN1692" s="34"/>
      <c r="AO1692" s="34"/>
      <c r="AP1692" s="34"/>
      <c r="AQ1692" s="34"/>
      <c r="AR1692" s="34"/>
      <c r="AS1692" s="34"/>
      <c r="AT1692" s="34"/>
      <c r="AU1692" s="34"/>
      <c r="AV1692" s="34"/>
      <c r="AW1692" s="34"/>
      <c r="AX1692" s="34"/>
      <c r="AY1692" s="34"/>
      <c r="AZ1692" s="34"/>
      <c r="BA1692" s="34"/>
      <c r="BB1692" s="34"/>
      <c r="BC1692" s="34"/>
      <c r="BD1692" s="34"/>
      <c r="BE1692" s="34"/>
      <c r="BF1692" s="34"/>
      <c r="BG1692" s="34"/>
      <c r="BH1692" s="34"/>
      <c r="BI1692" s="34"/>
      <c r="BJ1692" s="34"/>
      <c r="BK1692" s="34"/>
      <c r="BL1692" s="34"/>
      <c r="BM1692" s="34"/>
      <c r="BN1692" s="34"/>
      <c r="BO1692" s="34"/>
      <c r="BP1692" s="34"/>
      <c r="BQ1692" s="34"/>
      <c r="BR1692" s="34"/>
      <c r="BS1692" s="34"/>
      <c r="BT1692" s="34"/>
      <c r="BU1692" s="34"/>
      <c r="BV1692" s="34"/>
      <c r="BW1692" s="34"/>
      <c r="BX1692" s="34"/>
      <c r="BY1692" s="34"/>
      <c r="BZ1692" s="34"/>
      <c r="CA1692" s="34"/>
      <c r="CB1692" s="34"/>
      <c r="CC1692" s="34"/>
      <c r="CD1692" s="34"/>
      <c r="CE1692" s="34"/>
      <c r="CF1692" s="34"/>
      <c r="CG1692" s="34"/>
      <c r="CH1692" s="34"/>
      <c r="CI1692" s="8"/>
    </row>
    <row r="1693" spans="1:87" x14ac:dyDescent="0.2">
      <c r="A1693" s="8" t="str">
        <f>IF(AND(COUNTIF(W$3:W$13,A$29)&gt;0,A$29&lt;&gt;B1562),A$29,IFERROR(IF(MATCH(A$29,Z$3:Z$13,0)=6,A$29," ")," "))</f>
        <v>C15</v>
      </c>
      <c r="B1693" s="8">
        <f>IF(A1693=" "," ",MAX(B1679:B1692)+1)</f>
        <v>5</v>
      </c>
      <c r="C1693" s="8"/>
      <c r="D1693" s="8"/>
      <c r="E1693" s="8"/>
      <c r="F1693" s="8"/>
      <c r="G1693" s="8"/>
      <c r="H1693" s="8"/>
      <c r="I1693" s="8"/>
      <c r="J1693" s="8"/>
      <c r="K1693" s="8"/>
      <c r="L1693" s="8"/>
      <c r="M1693" s="8"/>
      <c r="N1693" s="8"/>
      <c r="O1693" s="8"/>
      <c r="P1693" s="8"/>
      <c r="Q1693" s="8"/>
      <c r="R1693" s="8"/>
      <c r="S1693" s="8"/>
      <c r="U1693" s="34"/>
      <c r="V1693" s="34"/>
      <c r="W1693" s="34"/>
      <c r="X1693" s="34"/>
      <c r="Y1693" s="34"/>
      <c r="Z1693" s="34"/>
      <c r="AA1693" s="34"/>
      <c r="AB1693" s="34"/>
      <c r="AC1693" s="34"/>
      <c r="AD1693" s="34"/>
      <c r="AE1693" s="34"/>
      <c r="AF1693" s="34"/>
      <c r="AG1693" s="34"/>
      <c r="AH1693" s="34"/>
      <c r="AI1693" s="34"/>
      <c r="AJ1693" s="34"/>
      <c r="AK1693" s="34"/>
      <c r="AL1693" s="34"/>
      <c r="AM1693" s="34"/>
      <c r="AN1693" s="34"/>
      <c r="AO1693" s="34"/>
      <c r="AP1693" s="34"/>
      <c r="AQ1693" s="34"/>
      <c r="AR1693" s="34"/>
      <c r="AS1693" s="34"/>
      <c r="AT1693" s="34"/>
      <c r="AU1693" s="34"/>
      <c r="AV1693" s="34"/>
      <c r="AW1693" s="34"/>
      <c r="AX1693" s="34"/>
      <c r="AY1693" s="34"/>
      <c r="AZ1693" s="34"/>
      <c r="BA1693" s="34"/>
      <c r="BB1693" s="34"/>
      <c r="BC1693" s="34"/>
      <c r="BD1693" s="34"/>
      <c r="BE1693" s="34"/>
      <c r="BF1693" s="34"/>
      <c r="BG1693" s="34"/>
      <c r="BH1693" s="34"/>
      <c r="BI1693" s="34"/>
      <c r="BJ1693" s="34"/>
      <c r="BK1693" s="34"/>
      <c r="BL1693" s="34"/>
      <c r="BM1693" s="34"/>
      <c r="BN1693" s="34"/>
      <c r="BO1693" s="34"/>
      <c r="BP1693" s="34"/>
      <c r="BQ1693" s="34"/>
      <c r="BR1693" s="34"/>
      <c r="BS1693" s="34"/>
      <c r="BT1693" s="34"/>
      <c r="BU1693" s="34"/>
      <c r="BV1693" s="34"/>
      <c r="BW1693" s="34"/>
      <c r="BX1693" s="34"/>
      <c r="BY1693" s="34"/>
      <c r="BZ1693" s="34"/>
      <c r="CA1693" s="34"/>
      <c r="CB1693" s="34"/>
      <c r="CC1693" s="34"/>
      <c r="CD1693" s="34"/>
      <c r="CE1693" s="34"/>
      <c r="CF1693" s="34"/>
      <c r="CG1693" s="34"/>
      <c r="CH1693" s="34"/>
      <c r="CI1693" s="8"/>
    </row>
    <row r="1694" spans="1:87" x14ac:dyDescent="0.2">
      <c r="A1694" s="8" t="str">
        <f>IF(AND(COUNTIF(W$3:W$13,A$30)&gt;0,A$30&lt;&gt;B1562),A$30,IFERROR(IF(MATCH(A$30,Z$3:Z$13,0)=6,A$30," ")," "))</f>
        <v>C16</v>
      </c>
      <c r="B1694" s="8">
        <f>IF(A1694=" "," ",MAX(B1679:B1693)+1)</f>
        <v>6</v>
      </c>
      <c r="C1694" s="8"/>
      <c r="D1694" s="8"/>
      <c r="E1694" s="8"/>
      <c r="F1694" s="8"/>
      <c r="G1694" s="8"/>
      <c r="H1694" s="8"/>
      <c r="I1694" s="8"/>
      <c r="J1694" s="8"/>
      <c r="K1694" s="8"/>
      <c r="L1694" s="8"/>
      <c r="M1694" s="8"/>
      <c r="N1694" s="8"/>
      <c r="O1694" s="8"/>
      <c r="P1694" s="8"/>
      <c r="Q1694" s="8"/>
      <c r="R1694" s="8"/>
      <c r="S1694" s="8"/>
      <c r="U1694" s="34"/>
      <c r="V1694" s="34"/>
      <c r="W1694" s="34"/>
      <c r="X1694" s="34"/>
      <c r="Y1694" s="34"/>
      <c r="Z1694" s="34"/>
      <c r="AA1694" s="34"/>
      <c r="AB1694" s="34"/>
      <c r="AC1694" s="34"/>
      <c r="AD1694" s="34"/>
      <c r="AE1694" s="34"/>
      <c r="AF1694" s="34"/>
      <c r="AG1694" s="34"/>
      <c r="AH1694" s="34"/>
      <c r="AI1694" s="34"/>
      <c r="AJ1694" s="34"/>
      <c r="AK1694" s="34"/>
      <c r="AL1694" s="34"/>
      <c r="AM1694" s="34"/>
      <c r="AN1694" s="34"/>
      <c r="AO1694" s="34"/>
      <c r="AP1694" s="34"/>
      <c r="AQ1694" s="34"/>
      <c r="AR1694" s="34"/>
      <c r="AS1694" s="34"/>
      <c r="AT1694" s="34"/>
      <c r="AU1694" s="34"/>
      <c r="AV1694" s="34"/>
      <c r="AW1694" s="34"/>
      <c r="AX1694" s="34"/>
      <c r="AY1694" s="34"/>
      <c r="AZ1694" s="34"/>
      <c r="BA1694" s="34"/>
      <c r="BB1694" s="34"/>
      <c r="BC1694" s="34"/>
      <c r="BD1694" s="34"/>
      <c r="BE1694" s="34"/>
      <c r="BF1694" s="34"/>
      <c r="BG1694" s="34"/>
      <c r="BH1694" s="34"/>
      <c r="BI1694" s="34"/>
      <c r="BJ1694" s="34"/>
      <c r="BK1694" s="34"/>
      <c r="BL1694" s="34"/>
      <c r="BM1694" s="34"/>
      <c r="BN1694" s="34"/>
      <c r="BO1694" s="34"/>
      <c r="BP1694" s="34"/>
      <c r="BQ1694" s="34"/>
      <c r="BR1694" s="34"/>
      <c r="BS1694" s="34"/>
      <c r="BT1694" s="34"/>
      <c r="BU1694" s="34"/>
      <c r="BV1694" s="34"/>
      <c r="BW1694" s="34"/>
      <c r="BX1694" s="34"/>
      <c r="BY1694" s="34"/>
      <c r="BZ1694" s="34"/>
      <c r="CA1694" s="34"/>
      <c r="CB1694" s="34"/>
      <c r="CC1694" s="34"/>
      <c r="CD1694" s="34"/>
      <c r="CE1694" s="34"/>
      <c r="CF1694" s="34"/>
      <c r="CG1694" s="34"/>
      <c r="CH1694" s="34"/>
      <c r="CI1694" s="8"/>
    </row>
    <row r="1695" spans="1:87" x14ac:dyDescent="0.2">
      <c r="A1695" s="8" t="str">
        <f>IF(AND(COUNTIF(W$3:W$13,A$31)&gt;0,A$31&lt;&gt;B1562),A$31,IFERROR(IF(MATCH(A$31,Z$3:Z$13,0)=6,A$31," ")," "))</f>
        <v>C17</v>
      </c>
      <c r="B1695" s="8">
        <f>IF(A1695=" "," ",MAX(B1679:B1694)+1)</f>
        <v>7</v>
      </c>
      <c r="C1695" s="8"/>
      <c r="D1695" s="8"/>
      <c r="E1695" s="8"/>
      <c r="F1695" s="8"/>
      <c r="G1695" s="8"/>
      <c r="H1695" s="8"/>
      <c r="I1695" s="8"/>
      <c r="J1695" s="8"/>
      <c r="K1695" s="8"/>
      <c r="L1695" s="8"/>
      <c r="M1695" s="8"/>
      <c r="N1695" s="8"/>
      <c r="O1695" s="8"/>
      <c r="P1695" s="8"/>
      <c r="Q1695" s="8"/>
      <c r="R1695" s="8"/>
      <c r="S1695" s="8"/>
      <c r="U1695" s="34"/>
      <c r="V1695" s="34"/>
      <c r="W1695" s="34"/>
      <c r="X1695" s="34"/>
      <c r="Y1695" s="34"/>
      <c r="Z1695" s="34"/>
      <c r="AA1695" s="34"/>
      <c r="AB1695" s="34"/>
      <c r="AC1695" s="34"/>
      <c r="AD1695" s="34"/>
      <c r="AE1695" s="34"/>
      <c r="AF1695" s="34"/>
      <c r="AG1695" s="34"/>
      <c r="AH1695" s="34"/>
      <c r="AI1695" s="34"/>
      <c r="AJ1695" s="34"/>
      <c r="AK1695" s="34"/>
      <c r="AL1695" s="34"/>
      <c r="AM1695" s="34"/>
      <c r="AN1695" s="34"/>
      <c r="AO1695" s="34"/>
      <c r="AP1695" s="34"/>
      <c r="AQ1695" s="34"/>
      <c r="AR1695" s="34"/>
      <c r="AS1695" s="34"/>
      <c r="AT1695" s="34"/>
      <c r="AU1695" s="34"/>
      <c r="AV1695" s="34"/>
      <c r="AW1695" s="34"/>
      <c r="AX1695" s="34"/>
      <c r="AY1695" s="34"/>
      <c r="AZ1695" s="34"/>
      <c r="BA1695" s="34"/>
      <c r="BB1695" s="34"/>
      <c r="BC1695" s="34"/>
      <c r="BD1695" s="34"/>
      <c r="BE1695" s="34"/>
      <c r="BF1695" s="34"/>
      <c r="BG1695" s="34"/>
      <c r="BH1695" s="34"/>
      <c r="BI1695" s="34"/>
      <c r="BJ1695" s="34"/>
      <c r="BK1695" s="34"/>
      <c r="BL1695" s="34"/>
      <c r="BM1695" s="34"/>
      <c r="BN1695" s="34"/>
      <c r="BO1695" s="34"/>
      <c r="BP1695" s="34"/>
      <c r="BQ1695" s="34"/>
      <c r="BR1695" s="34"/>
      <c r="BS1695" s="34"/>
      <c r="BT1695" s="34"/>
      <c r="BU1695" s="34"/>
      <c r="BV1695" s="34"/>
      <c r="BW1695" s="34"/>
      <c r="BX1695" s="34"/>
      <c r="BY1695" s="34"/>
      <c r="BZ1695" s="34"/>
      <c r="CA1695" s="34"/>
      <c r="CB1695" s="34"/>
      <c r="CC1695" s="34"/>
      <c r="CD1695" s="34"/>
      <c r="CE1695" s="34"/>
      <c r="CF1695" s="34"/>
      <c r="CG1695" s="34"/>
      <c r="CH1695" s="34"/>
      <c r="CI1695" s="8"/>
    </row>
    <row r="1696" spans="1:87" x14ac:dyDescent="0.2">
      <c r="A1696" s="8" t="str">
        <f>IF(AND(COUNTIF(W$3:W$13,A$32)&gt;0,A$32&lt;&gt;B1562),A$32,IFERROR(IF(MATCH(A$32,Z$3:Z$13,0)=6,A$32," ")," "))</f>
        <v xml:space="preserve"> </v>
      </c>
      <c r="B1696" s="8" t="str">
        <f>IF(A1696=" "," ",MAX(B1679:B1695)+1)</f>
        <v xml:space="preserve"> </v>
      </c>
      <c r="C1696" s="8"/>
      <c r="D1696" s="8"/>
      <c r="E1696" s="8"/>
      <c r="F1696" s="8"/>
      <c r="G1696" s="8"/>
      <c r="H1696" s="8"/>
      <c r="I1696" s="8"/>
      <c r="J1696" s="8"/>
      <c r="K1696" s="8"/>
      <c r="L1696" s="8"/>
      <c r="M1696" s="8"/>
      <c r="N1696" s="8"/>
      <c r="O1696" s="8"/>
      <c r="P1696" s="8"/>
      <c r="Q1696" s="8"/>
      <c r="R1696" s="8"/>
      <c r="S1696" s="8"/>
      <c r="U1696" s="34"/>
      <c r="V1696" s="34"/>
      <c r="W1696" s="34"/>
      <c r="X1696" s="34"/>
      <c r="Y1696" s="34"/>
      <c r="Z1696" s="34"/>
      <c r="AA1696" s="34"/>
      <c r="AB1696" s="34"/>
      <c r="AC1696" s="34"/>
      <c r="AD1696" s="34"/>
      <c r="AE1696" s="34"/>
      <c r="AF1696" s="34"/>
      <c r="AG1696" s="34"/>
      <c r="AH1696" s="34"/>
      <c r="AI1696" s="34"/>
      <c r="AJ1696" s="34"/>
      <c r="AK1696" s="34"/>
      <c r="AL1696" s="34"/>
      <c r="AM1696" s="34"/>
      <c r="AN1696" s="34"/>
      <c r="AO1696" s="34"/>
      <c r="AP1696" s="34"/>
      <c r="AQ1696" s="34"/>
      <c r="AR1696" s="34"/>
      <c r="AS1696" s="34"/>
      <c r="AT1696" s="34"/>
      <c r="AU1696" s="34"/>
      <c r="AV1696" s="34"/>
      <c r="AW1696" s="34"/>
      <c r="AX1696" s="34"/>
      <c r="AY1696" s="34"/>
      <c r="AZ1696" s="34"/>
      <c r="BA1696" s="34"/>
      <c r="BB1696" s="34"/>
      <c r="BC1696" s="34"/>
      <c r="BD1696" s="34"/>
      <c r="BE1696" s="34"/>
      <c r="BF1696" s="34"/>
      <c r="BG1696" s="34"/>
      <c r="BH1696" s="34"/>
      <c r="BI1696" s="34"/>
      <c r="BJ1696" s="34"/>
      <c r="BK1696" s="34"/>
      <c r="BL1696" s="34"/>
      <c r="BM1696" s="34"/>
      <c r="BN1696" s="34"/>
      <c r="BO1696" s="34"/>
      <c r="BP1696" s="34"/>
      <c r="BQ1696" s="34"/>
      <c r="BR1696" s="34"/>
      <c r="BS1696" s="34"/>
      <c r="BT1696" s="34"/>
      <c r="BU1696" s="34"/>
      <c r="BV1696" s="34"/>
      <c r="BW1696" s="34"/>
      <c r="BX1696" s="34"/>
      <c r="BY1696" s="34"/>
      <c r="BZ1696" s="34"/>
      <c r="CA1696" s="34"/>
      <c r="CB1696" s="34"/>
      <c r="CC1696" s="34"/>
      <c r="CD1696" s="34"/>
      <c r="CE1696" s="34"/>
      <c r="CF1696" s="34"/>
      <c r="CG1696" s="34"/>
      <c r="CH1696" s="34"/>
      <c r="CI1696" s="8"/>
    </row>
    <row r="1697" spans="1:87" x14ac:dyDescent="0.2">
      <c r="A1697" s="8" t="str">
        <f>IF(AND(COUNTIF(W$3:W$13,A$33)&gt;0,A$33&lt;&gt;B1562),A$33,IFERROR(IF(MATCH(A$33,Z$3:Z$13,0)=6,A$33," ")," "))</f>
        <v>C19</v>
      </c>
      <c r="B1697" s="8">
        <f>IF(A1697=" "," ",MAX(B1679:B1696)+1)</f>
        <v>8</v>
      </c>
      <c r="C1697" s="8"/>
      <c r="D1697" s="8"/>
      <c r="E1697" s="8"/>
      <c r="F1697" s="8"/>
      <c r="G1697" s="8"/>
      <c r="H1697" s="8"/>
      <c r="I1697" s="8"/>
      <c r="J1697" s="8"/>
      <c r="K1697" s="8"/>
      <c r="L1697" s="8"/>
      <c r="M1697" s="8"/>
      <c r="N1697" s="8"/>
      <c r="O1697" s="8"/>
      <c r="P1697" s="8"/>
      <c r="Q1697" s="8"/>
      <c r="R1697" s="8"/>
      <c r="S1697" s="8"/>
      <c r="U1697" s="34"/>
      <c r="V1697" s="34"/>
      <c r="W1697" s="34"/>
      <c r="X1697" s="34"/>
      <c r="Y1697" s="34"/>
      <c r="Z1697" s="34"/>
      <c r="AA1697" s="34"/>
      <c r="AB1697" s="34"/>
      <c r="AC1697" s="34"/>
      <c r="AD1697" s="34"/>
      <c r="AE1697" s="34"/>
      <c r="AF1697" s="34"/>
      <c r="AG1697" s="34"/>
      <c r="AH1697" s="34"/>
      <c r="AI1697" s="34"/>
      <c r="AJ1697" s="34"/>
      <c r="AK1697" s="34"/>
      <c r="AL1697" s="34"/>
      <c r="AM1697" s="34"/>
      <c r="AN1697" s="34"/>
      <c r="AO1697" s="34"/>
      <c r="AP1697" s="34"/>
      <c r="AQ1697" s="34"/>
      <c r="AR1697" s="34"/>
      <c r="AS1697" s="34"/>
      <c r="AT1697" s="34"/>
      <c r="AU1697" s="34"/>
      <c r="AV1697" s="34"/>
      <c r="AW1697" s="34"/>
      <c r="AX1697" s="34"/>
      <c r="AY1697" s="34"/>
      <c r="AZ1697" s="34"/>
      <c r="BA1697" s="34"/>
      <c r="BB1697" s="34"/>
      <c r="BC1697" s="34"/>
      <c r="BD1697" s="34"/>
      <c r="BE1697" s="34"/>
      <c r="BF1697" s="34"/>
      <c r="BG1697" s="34"/>
      <c r="BH1697" s="34"/>
      <c r="BI1697" s="34"/>
      <c r="BJ1697" s="34"/>
      <c r="BK1697" s="34"/>
      <c r="BL1697" s="34"/>
      <c r="BM1697" s="34"/>
      <c r="BN1697" s="34"/>
      <c r="BO1697" s="34"/>
      <c r="BP1697" s="34"/>
      <c r="BQ1697" s="34"/>
      <c r="BR1697" s="34"/>
      <c r="BS1697" s="34"/>
      <c r="BT1697" s="34"/>
      <c r="BU1697" s="34"/>
      <c r="BV1697" s="34"/>
      <c r="BW1697" s="34"/>
      <c r="BX1697" s="34"/>
      <c r="BY1697" s="34"/>
      <c r="BZ1697" s="34"/>
      <c r="CA1697" s="34"/>
      <c r="CB1697" s="34"/>
      <c r="CC1697" s="34"/>
      <c r="CD1697" s="34"/>
      <c r="CE1697" s="34"/>
      <c r="CF1697" s="34"/>
      <c r="CG1697" s="34"/>
      <c r="CH1697" s="34"/>
      <c r="CI1697" s="8"/>
    </row>
    <row r="1698" spans="1:87" x14ac:dyDescent="0.2">
      <c r="A1698" s="8" t="str">
        <f>IF(AND(COUNTIF(W$3:W$13,A$34)&gt;0,A$34&lt;&gt;B1562),A$34,IFERROR(IF(MATCH(A$34,Z$3:Z$13,0)=6,A$34," ")," "))</f>
        <v>C20</v>
      </c>
      <c r="B1698" s="8">
        <f>IF(A1698=" "," ",MAX(B1679:B1697)+1)</f>
        <v>9</v>
      </c>
      <c r="C1698" s="8"/>
      <c r="D1698" s="8"/>
      <c r="E1698" s="8"/>
      <c r="F1698" s="8"/>
      <c r="G1698" s="8"/>
      <c r="H1698" s="8"/>
      <c r="I1698" s="8"/>
      <c r="J1698" s="8"/>
      <c r="K1698" s="8"/>
      <c r="L1698" s="8"/>
      <c r="M1698" s="8"/>
      <c r="N1698" s="8"/>
      <c r="O1698" s="8"/>
      <c r="P1698" s="8"/>
      <c r="Q1698" s="8"/>
      <c r="R1698" s="8"/>
      <c r="S1698" s="8"/>
      <c r="U1698" s="34"/>
      <c r="V1698" s="34"/>
      <c r="W1698" s="34"/>
      <c r="X1698" s="34"/>
      <c r="Y1698" s="34"/>
      <c r="Z1698" s="34"/>
      <c r="AA1698" s="34"/>
      <c r="AB1698" s="34"/>
      <c r="AC1698" s="34"/>
      <c r="AD1698" s="34"/>
      <c r="AE1698" s="34"/>
      <c r="AF1698" s="34"/>
      <c r="AG1698" s="34"/>
      <c r="AH1698" s="34"/>
      <c r="AI1698" s="34"/>
      <c r="AJ1698" s="34"/>
      <c r="AK1698" s="34"/>
      <c r="AL1698" s="34"/>
      <c r="AM1698" s="34"/>
      <c r="AN1698" s="34"/>
      <c r="AO1698" s="34"/>
      <c r="AP1698" s="34"/>
      <c r="AQ1698" s="34"/>
      <c r="AR1698" s="34"/>
      <c r="AS1698" s="34"/>
      <c r="AT1698" s="34"/>
      <c r="AU1698" s="34"/>
      <c r="AV1698" s="34"/>
      <c r="AW1698" s="34"/>
      <c r="AX1698" s="34"/>
      <c r="AY1698" s="34"/>
      <c r="AZ1698" s="34"/>
      <c r="BA1698" s="34"/>
      <c r="BB1698" s="34"/>
      <c r="BC1698" s="34"/>
      <c r="BD1698" s="34"/>
      <c r="BE1698" s="34"/>
      <c r="BF1698" s="34"/>
      <c r="BG1698" s="34"/>
      <c r="BH1698" s="34"/>
      <c r="BI1698" s="34"/>
      <c r="BJ1698" s="34"/>
      <c r="BK1698" s="34"/>
      <c r="BL1698" s="34"/>
      <c r="BM1698" s="34"/>
      <c r="BN1698" s="34"/>
      <c r="BO1698" s="34"/>
      <c r="BP1698" s="34"/>
      <c r="BQ1698" s="34"/>
      <c r="BR1698" s="34"/>
      <c r="BS1698" s="34"/>
      <c r="BT1698" s="34"/>
      <c r="BU1698" s="34"/>
      <c r="BV1698" s="34"/>
      <c r="BW1698" s="34"/>
      <c r="BX1698" s="34"/>
      <c r="BY1698" s="34"/>
      <c r="BZ1698" s="34"/>
      <c r="CA1698" s="34"/>
      <c r="CB1698" s="34"/>
      <c r="CC1698" s="34"/>
      <c r="CD1698" s="34"/>
      <c r="CE1698" s="34"/>
      <c r="CF1698" s="34"/>
      <c r="CG1698" s="34"/>
      <c r="CH1698" s="34"/>
      <c r="CI1698" s="8"/>
    </row>
    <row r="1699" spans="1:87" x14ac:dyDescent="0.2">
      <c r="A1699" s="8" t="str">
        <f>IF(AND(COUNTIF(W$3:W$13,A$35)&gt;0,A$35&lt;&gt;B1562),A$35,IFERROR(IF(MATCH(A$35,Z$3:Z$13,0)=6,A$35," ")," "))</f>
        <v>C21</v>
      </c>
      <c r="B1699" s="8">
        <f>IF(A1699=" "," ",MAX(B1679:B1698)+1)</f>
        <v>10</v>
      </c>
      <c r="C1699" s="8"/>
      <c r="D1699" s="8"/>
      <c r="E1699" s="8"/>
      <c r="F1699" s="8"/>
      <c r="G1699" s="8"/>
      <c r="H1699" s="8"/>
      <c r="I1699" s="8"/>
      <c r="J1699" s="8"/>
      <c r="K1699" s="8"/>
      <c r="L1699" s="8"/>
      <c r="M1699" s="8"/>
      <c r="N1699" s="8"/>
      <c r="O1699" s="8"/>
      <c r="P1699" s="8"/>
      <c r="Q1699" s="8"/>
      <c r="R1699" s="8"/>
      <c r="S1699" s="8"/>
      <c r="U1699" s="34"/>
      <c r="V1699" s="34"/>
      <c r="W1699" s="34"/>
      <c r="X1699" s="34"/>
      <c r="Y1699" s="34"/>
      <c r="Z1699" s="34"/>
      <c r="AA1699" s="34"/>
      <c r="AB1699" s="34"/>
      <c r="AC1699" s="34"/>
      <c r="AD1699" s="34"/>
      <c r="AE1699" s="34"/>
      <c r="AF1699" s="34"/>
      <c r="AG1699" s="34"/>
      <c r="AH1699" s="34"/>
      <c r="AI1699" s="34"/>
      <c r="AJ1699" s="34"/>
      <c r="AK1699" s="34"/>
      <c r="AL1699" s="34"/>
      <c r="AM1699" s="34"/>
      <c r="AN1699" s="34"/>
      <c r="AO1699" s="34"/>
      <c r="AP1699" s="34"/>
      <c r="AQ1699" s="34"/>
      <c r="AR1699" s="34"/>
      <c r="AS1699" s="34"/>
      <c r="AT1699" s="34"/>
      <c r="AU1699" s="34"/>
      <c r="AV1699" s="34"/>
      <c r="AW1699" s="34"/>
      <c r="AX1699" s="34"/>
      <c r="AY1699" s="34"/>
      <c r="AZ1699" s="34"/>
      <c r="BA1699" s="34"/>
      <c r="BB1699" s="34"/>
      <c r="BC1699" s="34"/>
      <c r="BD1699" s="34"/>
      <c r="BE1699" s="34"/>
      <c r="BF1699" s="34"/>
      <c r="BG1699" s="34"/>
      <c r="BH1699" s="34"/>
      <c r="BI1699" s="34"/>
      <c r="BJ1699" s="34"/>
      <c r="BK1699" s="34"/>
      <c r="BL1699" s="34"/>
      <c r="BM1699" s="34"/>
      <c r="BN1699" s="34"/>
      <c r="BO1699" s="34"/>
      <c r="BP1699" s="34"/>
      <c r="BQ1699" s="34"/>
      <c r="BR1699" s="34"/>
      <c r="BS1699" s="34"/>
      <c r="BT1699" s="34"/>
      <c r="BU1699" s="34"/>
      <c r="BV1699" s="34"/>
      <c r="BW1699" s="34"/>
      <c r="BX1699" s="34"/>
      <c r="BY1699" s="34"/>
      <c r="BZ1699" s="34"/>
      <c r="CA1699" s="34"/>
      <c r="CB1699" s="34"/>
      <c r="CC1699" s="34"/>
      <c r="CD1699" s="34"/>
      <c r="CE1699" s="34"/>
      <c r="CF1699" s="34"/>
      <c r="CG1699" s="34"/>
      <c r="CH1699" s="34"/>
      <c r="CI1699" s="8"/>
    </row>
    <row r="1700" spans="1:87" x14ac:dyDescent="0.2">
      <c r="A1700" s="8" t="str">
        <f>IF(AND(COUNTIF(W$3:W$13,A$36)&gt;0,A$36&lt;&gt;B1562),A$36,IFERROR(IF(MATCH(A$36,Z$3:Z$13,0)=6,A$36," ")," "))</f>
        <v>C22</v>
      </c>
      <c r="B1700" s="8">
        <f>IF(A1700=" "," ",MAX(B1679:B1699)+1)</f>
        <v>11</v>
      </c>
      <c r="C1700" s="8"/>
      <c r="D1700" s="8"/>
      <c r="E1700" s="8"/>
      <c r="F1700" s="8"/>
      <c r="G1700" s="8"/>
      <c r="H1700" s="8"/>
      <c r="I1700" s="8"/>
      <c r="J1700" s="8"/>
      <c r="K1700" s="8"/>
      <c r="L1700" s="8"/>
      <c r="M1700" s="8"/>
      <c r="N1700" s="8"/>
      <c r="O1700" s="8"/>
      <c r="P1700" s="8"/>
      <c r="Q1700" s="8"/>
      <c r="R1700" s="8"/>
      <c r="S1700" s="8"/>
      <c r="U1700" s="34"/>
      <c r="V1700" s="34"/>
      <c r="W1700" s="34"/>
      <c r="X1700" s="34"/>
      <c r="Y1700" s="34"/>
      <c r="Z1700" s="34"/>
      <c r="AA1700" s="34"/>
      <c r="AB1700" s="34"/>
      <c r="AC1700" s="34"/>
      <c r="AD1700" s="34"/>
      <c r="AE1700" s="34"/>
      <c r="AF1700" s="34"/>
      <c r="AG1700" s="34"/>
      <c r="AH1700" s="34"/>
      <c r="AI1700" s="34"/>
      <c r="AJ1700" s="34"/>
      <c r="AK1700" s="34"/>
      <c r="AL1700" s="34"/>
      <c r="AM1700" s="34"/>
      <c r="AN1700" s="34"/>
      <c r="AO1700" s="34"/>
      <c r="AP1700" s="34"/>
      <c r="AQ1700" s="34"/>
      <c r="AR1700" s="34"/>
      <c r="AS1700" s="34"/>
      <c r="AT1700" s="34"/>
      <c r="AU1700" s="34"/>
      <c r="AV1700" s="34"/>
      <c r="AW1700" s="34"/>
      <c r="AX1700" s="34"/>
      <c r="AY1700" s="34"/>
      <c r="AZ1700" s="34"/>
      <c r="BA1700" s="34"/>
      <c r="BB1700" s="34"/>
      <c r="BC1700" s="34"/>
      <c r="BD1700" s="34"/>
      <c r="BE1700" s="34"/>
      <c r="BF1700" s="34"/>
      <c r="BG1700" s="34"/>
      <c r="BH1700" s="34"/>
      <c r="BI1700" s="34"/>
      <c r="BJ1700" s="34"/>
      <c r="BK1700" s="34"/>
      <c r="BL1700" s="34"/>
      <c r="BM1700" s="34"/>
      <c r="BN1700" s="34"/>
      <c r="BO1700" s="34"/>
      <c r="BP1700" s="34"/>
      <c r="BQ1700" s="34"/>
      <c r="BR1700" s="34"/>
      <c r="BS1700" s="34"/>
      <c r="BT1700" s="34"/>
      <c r="BU1700" s="34"/>
      <c r="BV1700" s="34"/>
      <c r="BW1700" s="34"/>
      <c r="BX1700" s="34"/>
      <c r="BY1700" s="34"/>
      <c r="BZ1700" s="34"/>
      <c r="CA1700" s="34"/>
      <c r="CB1700" s="34"/>
      <c r="CC1700" s="34"/>
      <c r="CD1700" s="34"/>
      <c r="CE1700" s="34"/>
      <c r="CF1700" s="34"/>
      <c r="CG1700" s="34"/>
      <c r="CH1700" s="34"/>
      <c r="CI1700" s="8"/>
    </row>
    <row r="1701" spans="1:87" x14ac:dyDescent="0.2">
      <c r="A1701" s="11" t="s">
        <v>17</v>
      </c>
      <c r="B1701" s="11"/>
      <c r="C1701" s="27" t="s">
        <v>18</v>
      </c>
      <c r="D1701" s="27" t="s">
        <v>2</v>
      </c>
      <c r="E1701" s="27" t="s">
        <v>6</v>
      </c>
      <c r="F1701" s="27" t="s">
        <v>15</v>
      </c>
      <c r="G1701" s="27" t="s">
        <v>36</v>
      </c>
      <c r="H1701" s="27" t="s">
        <v>37</v>
      </c>
      <c r="I1701" s="27" t="s">
        <v>38</v>
      </c>
      <c r="J1701" s="27" t="s">
        <v>39</v>
      </c>
      <c r="K1701" s="27" t="s">
        <v>40</v>
      </c>
      <c r="L1701" s="27" t="s">
        <v>41</v>
      </c>
      <c r="M1701" s="27" t="s">
        <v>42</v>
      </c>
      <c r="N1701" s="27" t="s">
        <v>43</v>
      </c>
      <c r="O1701" s="27" t="s">
        <v>9</v>
      </c>
      <c r="P1701" s="27" t="s">
        <v>12</v>
      </c>
      <c r="Q1701" s="27" t="s">
        <v>19</v>
      </c>
      <c r="R1701" s="27" t="s">
        <v>55</v>
      </c>
      <c r="S1701" s="27" t="s">
        <v>26</v>
      </c>
      <c r="T1701" s="19" t="s">
        <v>25</v>
      </c>
      <c r="U1701" s="33" t="s">
        <v>27</v>
      </c>
      <c r="V1701" s="33" t="s">
        <v>9</v>
      </c>
      <c r="W1701" s="33" t="s">
        <v>23</v>
      </c>
      <c r="X1701" s="33" t="s">
        <v>12</v>
      </c>
      <c r="Y1701" s="33" t="s">
        <v>26</v>
      </c>
      <c r="Z1701" s="33" t="s">
        <v>25</v>
      </c>
      <c r="AA1701" s="33" t="s">
        <v>27</v>
      </c>
      <c r="AB1701" s="33" t="s">
        <v>9</v>
      </c>
      <c r="AC1701" s="33" t="s">
        <v>23</v>
      </c>
      <c r="AD1701" s="33" t="s">
        <v>12</v>
      </c>
      <c r="AE1701" s="33" t="s">
        <v>26</v>
      </c>
      <c r="AF1701" s="33" t="s">
        <v>25</v>
      </c>
      <c r="AG1701" s="33" t="s">
        <v>27</v>
      </c>
      <c r="AH1701" s="33" t="s">
        <v>9</v>
      </c>
      <c r="AI1701" s="33" t="s">
        <v>23</v>
      </c>
      <c r="AJ1701" s="33" t="s">
        <v>12</v>
      </c>
      <c r="AK1701" s="33" t="s">
        <v>26</v>
      </c>
      <c r="AL1701" s="33" t="s">
        <v>25</v>
      </c>
      <c r="AM1701" s="33" t="s">
        <v>27</v>
      </c>
      <c r="AN1701" s="33" t="s">
        <v>9</v>
      </c>
      <c r="AO1701" s="33" t="s">
        <v>23</v>
      </c>
      <c r="AP1701" s="33" t="s">
        <v>12</v>
      </c>
      <c r="AQ1701" s="33" t="s">
        <v>26</v>
      </c>
      <c r="AR1701" s="33" t="s">
        <v>25</v>
      </c>
      <c r="AS1701" s="33" t="s">
        <v>27</v>
      </c>
      <c r="AT1701" s="33" t="s">
        <v>9</v>
      </c>
      <c r="AU1701" s="33" t="s">
        <v>23</v>
      </c>
      <c r="AV1701" s="33" t="s">
        <v>12</v>
      </c>
      <c r="AW1701" s="33" t="s">
        <v>26</v>
      </c>
      <c r="AX1701" s="33" t="s">
        <v>25</v>
      </c>
      <c r="AY1701" s="33" t="s">
        <v>27</v>
      </c>
      <c r="AZ1701" s="33" t="s">
        <v>9</v>
      </c>
      <c r="BA1701" s="33" t="s">
        <v>23</v>
      </c>
      <c r="BB1701" s="33" t="s">
        <v>12</v>
      </c>
      <c r="BC1701" s="33" t="s">
        <v>26</v>
      </c>
      <c r="BD1701" s="33" t="s">
        <v>25</v>
      </c>
      <c r="BE1701" s="33" t="s">
        <v>27</v>
      </c>
      <c r="BF1701" s="33" t="s">
        <v>9</v>
      </c>
      <c r="BG1701" s="33" t="s">
        <v>23</v>
      </c>
      <c r="BH1701" s="33" t="s">
        <v>12</v>
      </c>
      <c r="BI1701" s="33" t="s">
        <v>26</v>
      </c>
      <c r="BJ1701" s="33" t="s">
        <v>25</v>
      </c>
      <c r="BK1701" s="33" t="s">
        <v>27</v>
      </c>
      <c r="BL1701" s="33" t="s">
        <v>9</v>
      </c>
      <c r="BM1701" s="33" t="s">
        <v>23</v>
      </c>
      <c r="BN1701" s="33" t="s">
        <v>12</v>
      </c>
      <c r="BO1701" s="33" t="s">
        <v>26</v>
      </c>
      <c r="BP1701" s="33" t="s">
        <v>25</v>
      </c>
      <c r="BQ1701" s="33" t="s">
        <v>27</v>
      </c>
      <c r="BR1701" s="33" t="s">
        <v>9</v>
      </c>
      <c r="BS1701" s="33" t="s">
        <v>23</v>
      </c>
      <c r="BT1701" s="33" t="s">
        <v>12</v>
      </c>
      <c r="BU1701" s="33" t="s">
        <v>26</v>
      </c>
      <c r="BV1701" s="33" t="s">
        <v>25</v>
      </c>
      <c r="BW1701" s="33" t="s">
        <v>27</v>
      </c>
      <c r="BX1701" s="33" t="s">
        <v>9</v>
      </c>
      <c r="BY1701" s="33" t="s">
        <v>23</v>
      </c>
      <c r="BZ1701" s="33" t="s">
        <v>12</v>
      </c>
      <c r="CA1701" s="33" t="s">
        <v>26</v>
      </c>
      <c r="CB1701" s="33" t="s">
        <v>25</v>
      </c>
      <c r="CC1701" s="33" t="s">
        <v>27</v>
      </c>
      <c r="CD1701" s="33" t="s">
        <v>9</v>
      </c>
      <c r="CE1701" s="33" t="s">
        <v>23</v>
      </c>
      <c r="CF1701" s="33" t="s">
        <v>12</v>
      </c>
      <c r="CG1701" s="33" t="s">
        <v>26</v>
      </c>
      <c r="CH1701" s="33" t="s">
        <v>25</v>
      </c>
      <c r="CI1701" s="8"/>
    </row>
    <row r="1702" spans="1:87" x14ac:dyDescent="0.2">
      <c r="A1702" s="8" t="str">
        <f>IF(AND(COUNTIF(W$3:W$13,A$15)&gt;0,A$15&lt;&gt;B1562),A$15,IFERROR(IF(MATCH(A$15,Z$3:Z$13,0)=7,A$15," ")," "))</f>
        <v xml:space="preserve"> </v>
      </c>
      <c r="B1702" s="8" t="str">
        <f>IF(A1702=" "," ",1)</f>
        <v xml:space="preserve"> </v>
      </c>
      <c r="C1702" s="8" t="str">
        <f>IFERROR(INDEX(A1702:A1723,MATCH(SMALL(B1702:B1723,1),B1702:B1723,0),1)," ")</f>
        <v>C3</v>
      </c>
      <c r="D1702" s="8">
        <f>IFERROR(VLOOKUP($C1702,$A$15:$O$36,2,FALSE)," ")</f>
        <v>2</v>
      </c>
      <c r="E1702" s="8">
        <f>IFERROR(VLOOKUP($C1702,$A$15:$O$36,3,FALSE)," ")</f>
        <v>5</v>
      </c>
      <c r="F1702" s="8">
        <f>IFERROR(VLOOKUP($C1702,$A$15:$O$36,4,FALSE)," ")</f>
        <v>6</v>
      </c>
      <c r="G1702" s="8">
        <f>IFERROR(VLOOKUP($C1702,$A$15:$O$36,5,FALSE)," ")</f>
        <v>0</v>
      </c>
      <c r="H1702" s="8">
        <f>IFERROR(VLOOKUP($C1702,$A$15:$O$36,6,FALSE)," ")</f>
        <v>0</v>
      </c>
      <c r="I1702" s="8">
        <f>IFERROR(VLOOKUP($C1702,$A$15:$O$36,7,FALSE)," ")</f>
        <v>0</v>
      </c>
      <c r="J1702" s="8">
        <f>IFERROR(VLOOKUP($C1702,$A$15:$O$36,8,FALSE)," ")</f>
        <v>0</v>
      </c>
      <c r="K1702" s="8">
        <f>IFERROR(VLOOKUP($C1702,$A$15:$O$36,9,FALSE)," ")</f>
        <v>0</v>
      </c>
      <c r="L1702" s="8">
        <f>IFERROR(VLOOKUP($C1702,$A$15:$O$36,10,FALSE)," ")</f>
        <v>0</v>
      </c>
      <c r="M1702" s="8">
        <f>IFERROR(VLOOKUP($C1702,$A$15:$O$36,11,FALSE)," ")</f>
        <v>0</v>
      </c>
      <c r="N1702" s="8">
        <f>IFERROR(VLOOKUP($C1702,$A$15:$O$36,12,FALSE)," ")</f>
        <v>0</v>
      </c>
      <c r="O1702" s="8">
        <f>IFERROR(VLOOKUP($C1702,$A$15:$O$36,15,FALSE)," ")</f>
        <v>2000</v>
      </c>
      <c r="P1702" s="8" t="e">
        <f t="array" ref="P1702:P1712">MMULT(MINVERSE(D1702:N1712),O1702:O1712)</f>
        <v>#NUM!</v>
      </c>
      <c r="Q1702" s="8" t="e">
        <f t="shared" ref="Q1702" si="7319">IF(COUNTIF(P1702:P1712,"&lt;"&amp;-0.001)=0,IF(ABS(P1702)&lt;0.001,0,P1702)," ")</f>
        <v>#NUM!</v>
      </c>
      <c r="R1702" s="8" t="str">
        <f>IFERROR(VLOOKUP(B1562,A$15:L$36,2,FALSE)*Q1702+VLOOKUP(B1562,A$15:L$36,3,FALSE)*Q1703+VLOOKUP(B1562,A$15:L$36,4,FALSE)*Q1704+VLOOKUP(B1562,A$15:L$36,5,FALSE)*Q1705+VLOOKUP(B1562,A$15:L$36,6,FALSE)*Q1706+VLOOKUP(B1562,A$15:L$36,7,FALSE)*Q1707+VLOOKUP(B1562,A$15:L$36,8,FALSE)*Q1708+VLOOKUP(B1562,A$15:L$36,9,FALSE)*Q1709+VLOOKUP(B1562,A$15:L$36,10,FALSE)*Q1710+VLOOKUP(B1562,A$15:L$36,11,FALSE)*Q1711+VLOOKUP(B1562,A$15:L$36,12,FALSE)*Q1712," ")</f>
        <v xml:space="preserve"> </v>
      </c>
      <c r="S1702" s="8" t="str">
        <f>IFERROR(IF(R1702-VLOOKUP(B1562,A$15:O$36,15,FALSE)&lt;0,R1702-VLOOKUP(B1562,A$15:O$36,15,FALSE)," ")," ")</f>
        <v xml:space="preserve"> </v>
      </c>
      <c r="T1702" s="18" t="str">
        <f>IFERROR(IF(R1702-VLOOKUP(B1562,A$15:O$36,15,FALSE)&gt;0,R1702-VLOOKUP(B1562,A$15:O$36,15,FALSE)," ")," ")</f>
        <v xml:space="preserve"> </v>
      </c>
      <c r="U1702" s="34">
        <f t="shared" ref="U1702" si="7320">$M$2</f>
        <v>100.00000000000001</v>
      </c>
      <c r="V1702" s="34">
        <v>-1</v>
      </c>
      <c r="W1702" s="34">
        <f t="shared" ref="W1702" si="7321">-SUMPRODUCT($M$3:$M$12,$N$3:$N$12)</f>
        <v>-105000</v>
      </c>
      <c r="X1702" s="34" t="e">
        <f t="shared" ref="X1702" si="7322">IF(U1702&lt;&gt;U1703,MMULT(MINVERSE(U1702:V1703),W1702:W1703)," ")</f>
        <v>#NUM!</v>
      </c>
      <c r="Y1702" s="34" t="str">
        <f t="shared" ref="Y1702" si="7323">IFERROR(IF(X1702-VLOOKUP(U$38,$A$2:$N$12,14,FALSE)&lt;0,X1702-VLOOKUP(U$38,$A$2:$N$12,14,FALSE)," ")," ")</f>
        <v xml:space="preserve"> </v>
      </c>
      <c r="Z1702" s="34" t="str">
        <f t="shared" ref="Z1702" si="7324">IFERROR(IF(X1702-VLOOKUP(U$38,$A$2:$N$12,14,FALSE)&gt;0,X1702-VLOOKUP(U$38,$A$2:$N$12,14,FALSE)," ")," ")</f>
        <v xml:space="preserve"> </v>
      </c>
      <c r="AA1702" s="34">
        <f t="shared" ref="AA1702" si="7325">$M$3</f>
        <v>0</v>
      </c>
      <c r="AB1702" s="34">
        <v>-1</v>
      </c>
      <c r="AC1702" s="34">
        <f t="shared" ref="AC1702" si="7326">-SUMPRODUCT($M$2:$M$2,$N$2:$N$2)-SUMPRODUCT($M$4:$M$12,$N$4:$N$12)</f>
        <v>-120000</v>
      </c>
      <c r="AD1702" s="34" t="e">
        <f t="shared" ref="AD1702" si="7327">IF(AA1702&lt;&gt;AA1703,MMULT(MINVERSE(AA1702:AB1703),AC1702:AC1703)," ")</f>
        <v>#NUM!</v>
      </c>
      <c r="AE1702" s="34" t="str">
        <f t="shared" ref="AE1702" si="7328">IFERROR(IF(AD1702-VLOOKUP(AA$38,$A$2:$N$12,14,FALSE)&lt;0,AD1702-VLOOKUP(AA$38,$A$2:$N$12,14,FALSE)," ")," ")</f>
        <v xml:space="preserve"> </v>
      </c>
      <c r="AF1702" s="34" t="str">
        <f t="shared" ref="AF1702" si="7329">IFERROR(IF(AD1702-VLOOKUP(AA$38,$A$2:$N$12,14,FALSE)&gt;0,AD1702-VLOOKUP(AA$38,$A$2:$N$12,14,FALSE)," ")," ")</f>
        <v xml:space="preserve"> </v>
      </c>
      <c r="AG1702" s="34">
        <f t="shared" ref="AG1702" si="7330">$M$4</f>
        <v>300</v>
      </c>
      <c r="AH1702" s="34">
        <v>-1</v>
      </c>
      <c r="AI1702" s="34">
        <f t="shared" ref="AI1702" si="7331">-SUMPRODUCT($M$2:$M$3,$N$2:$N$3)-SUMPRODUCT($M$5:$M$12,$N$5:$N$12)</f>
        <v>-15000.000000000002</v>
      </c>
      <c r="AJ1702" s="34" t="e">
        <f t="shared" ref="AJ1702" si="7332">IF(AG1702&lt;&gt;AG1703,MMULT(MINVERSE(AG1702:AH1703),AI1702:AI1703)," ")</f>
        <v>#NUM!</v>
      </c>
      <c r="AK1702" s="34" t="str">
        <f t="shared" ref="AK1702" si="7333">IFERROR(IF(AJ1702-VLOOKUP(AG$38,$A$2:$N$12,14,FALSE)&lt;0,AJ1702-VLOOKUP(AG$38,$A$2:$N$12,14,FALSE)," ")," ")</f>
        <v xml:space="preserve"> </v>
      </c>
      <c r="AL1702" s="34" t="str">
        <f t="shared" ref="AL1702" si="7334">IFERROR(IF(AJ1702-VLOOKUP(AG$38,$A$2:$N$12,14,FALSE)&gt;0,AJ1702-VLOOKUP(AG$38,$A$2:$N$12,14,FALSE)," ")," ")</f>
        <v xml:space="preserve"> </v>
      </c>
      <c r="AM1702" s="34">
        <f t="shared" ref="AM1702" si="7335">$M$5</f>
        <v>0</v>
      </c>
      <c r="AN1702" s="34">
        <v>-1</v>
      </c>
      <c r="AO1702" s="34">
        <f t="shared" ref="AO1702" si="7336">-SUMPRODUCT($M$2:$M$4,$N$2:$N$4)-SUMPRODUCT($M$6:$M$12,$N$6:$N$12)</f>
        <v>-120000</v>
      </c>
      <c r="AP1702" s="34" t="e">
        <f t="shared" ref="AP1702" si="7337">IF(AM1702&lt;&gt;AM1703,MMULT(MINVERSE(AM1702:AN1703),AO1702:AO1703)," ")</f>
        <v>#NUM!</v>
      </c>
      <c r="AQ1702" s="34" t="str">
        <f t="shared" ref="AQ1702" si="7338">IFERROR(IF(AP1702-VLOOKUP(AM$38,$A$2:$N$12,14,FALSE)&lt;0,AP1702-VLOOKUP(AM$38,$A$2:$N$12,14,FALSE)," ")," ")</f>
        <v xml:space="preserve"> </v>
      </c>
      <c r="AR1702" s="34" t="str">
        <f t="shared" ref="AR1702" si="7339">IFERROR(IF(AP1702-VLOOKUP(AM$38,$A$2:$N$12,14,FALSE)&gt;0,AP1702-VLOOKUP(AM$38,$A$2:$N$12,14,FALSE)," ")," ")</f>
        <v xml:space="preserve"> </v>
      </c>
      <c r="AS1702" s="34">
        <f t="shared" ref="AS1702" si="7340">$M$6</f>
        <v>0</v>
      </c>
      <c r="AT1702" s="34">
        <v>-1</v>
      </c>
      <c r="AU1702" s="34">
        <f t="shared" ref="AU1702" si="7341">-SUMPRODUCT($M$2:$M$5,$N$2:$N$5)-SUMPRODUCT($M$7:$M$12,$N$7:$N$12)</f>
        <v>-120000</v>
      </c>
      <c r="AV1702" s="34" t="e">
        <f t="shared" ref="AV1702" si="7342">IF(AS1702&lt;&gt;AS1703,MMULT(MINVERSE(AS1702:AT1703),AU1702:AU1703)," ")</f>
        <v>#NUM!</v>
      </c>
      <c r="AW1702" s="34" t="str">
        <f t="shared" ref="AW1702" si="7343">IFERROR(IF(AV1702-VLOOKUP(AS$38,$A$2:$N$12,14,FALSE)&lt;0,AV1702-VLOOKUP(AS$38,$A$2:$N$12,14,FALSE)," ")," ")</f>
        <v xml:space="preserve"> </v>
      </c>
      <c r="AX1702" s="34" t="str">
        <f t="shared" ref="AX1702" si="7344">IFERROR(IF(AV1702-VLOOKUP(AS$38,$A$2:$N$12,14,FALSE)&gt;0,AV1702-VLOOKUP(AS$38,$A$2:$N$12,14,FALSE)," ")," ")</f>
        <v xml:space="preserve"> </v>
      </c>
      <c r="AY1702" s="34">
        <f t="shared" ref="AY1702" si="7345">$M$7</f>
        <v>0</v>
      </c>
      <c r="AZ1702" s="34">
        <v>-1</v>
      </c>
      <c r="BA1702" s="34">
        <f t="shared" ref="BA1702" si="7346">-SUMPRODUCT($M$2:$M$6,$N$2:$N$6)-SUMPRODUCT($M$8:$M$12,$N$8:$N$12)</f>
        <v>-120000</v>
      </c>
      <c r="BB1702" s="34" t="e">
        <f t="shared" ref="BB1702" si="7347">IF(AY1702&lt;&gt;AY1703,MMULT(MINVERSE(AY1702:AZ1703),BA1702:BA1703)," ")</f>
        <v>#NUM!</v>
      </c>
      <c r="BC1702" s="34" t="str">
        <f t="shared" ref="BC1702" si="7348">IFERROR(IF(BB1702-VLOOKUP(AY$38,$A$2:$N$12,14,FALSE)&lt;0,BB1702-VLOOKUP(AY$38,$A$2:$N$12,14,FALSE)," ")," ")</f>
        <v xml:space="preserve"> </v>
      </c>
      <c r="BD1702" s="34" t="str">
        <f t="shared" ref="BD1702" si="7349">IFERROR(IF(BB1702-VLOOKUP(AY$38,$A$2:$N$12,14,FALSE)&gt;0,BB1702-VLOOKUP(AY$38,$A$2:$N$12,14,FALSE)," ")," ")</f>
        <v xml:space="preserve"> </v>
      </c>
      <c r="BE1702" s="34">
        <f t="shared" ref="BE1702" si="7350">$M$8</f>
        <v>0</v>
      </c>
      <c r="BF1702" s="34">
        <v>-1</v>
      </c>
      <c r="BG1702" s="34">
        <f t="shared" ref="BG1702" si="7351">-SUMPRODUCT($M$2:$M$7,$N$2:$N$7)-SUMPRODUCT($M$9:$M$12,$N$9:$N$12)</f>
        <v>-120000</v>
      </c>
      <c r="BH1702" s="34" t="e">
        <f t="shared" ref="BH1702" si="7352">IF(BE1702&lt;&gt;BE1703,MMULT(MINVERSE(BE1702:BF1703),BG1702:BG1703)," ")</f>
        <v>#NUM!</v>
      </c>
      <c r="BI1702" s="34" t="str">
        <f t="shared" ref="BI1702" si="7353">IFERROR(IF(BH1702-VLOOKUP(BE$38,$A$2:$N$12,14,FALSE)&lt;0,BH1702-VLOOKUP(BE$38,$A$2:$N$12,14,FALSE)," ")," ")</f>
        <v xml:space="preserve"> </v>
      </c>
      <c r="BJ1702" s="34" t="str">
        <f t="shared" ref="BJ1702" si="7354">IFERROR(IF(BH1702-VLOOKUP(BE$38,$A$2:$N$12,14,FALSE)&gt;0,BH1702-VLOOKUP(BE$38,$A$2:$N$12,14,FALSE)," ")," ")</f>
        <v xml:space="preserve"> </v>
      </c>
      <c r="BK1702" s="34">
        <f t="shared" ref="BK1702" si="7355">$M$9</f>
        <v>0</v>
      </c>
      <c r="BL1702" s="34">
        <v>-1</v>
      </c>
      <c r="BM1702" s="34">
        <f t="shared" ref="BM1702" si="7356">-SUMPRODUCT($M$2:$M$8,$N$2:$N$8)-SUMPRODUCT($M$10:$M$12,$N$10:$N$12)</f>
        <v>-120000</v>
      </c>
      <c r="BN1702" s="34" t="e">
        <f t="shared" ref="BN1702" si="7357">IF(BK1702&lt;&gt;BK1703,MMULT(MINVERSE(BK1702:BL1703),BM1702:BM1703)," ")</f>
        <v>#NUM!</v>
      </c>
      <c r="BO1702" s="34" t="str">
        <f t="shared" ref="BO1702" si="7358">IFERROR(IF(BN1702-VLOOKUP(BK$38,$A$2:$N$12,14,FALSE)&lt;0,BN1702-VLOOKUP(BK$38,$A$2:$N$12,14,FALSE)," ")," ")</f>
        <v xml:space="preserve"> </v>
      </c>
      <c r="BP1702" s="34" t="str">
        <f t="shared" ref="BP1702" si="7359">IFERROR(IF(BN1702-VLOOKUP(BK$38,$A$2:$N$12,14,FALSE)&gt;0,BN1702-VLOOKUP(BK$38,$A$2:$N$12,14,FALSE)," ")," ")</f>
        <v xml:space="preserve"> </v>
      </c>
      <c r="BQ1702" s="34">
        <f t="shared" ref="BQ1702" si="7360">$M$10</f>
        <v>0</v>
      </c>
      <c r="BR1702" s="34">
        <v>-1</v>
      </c>
      <c r="BS1702" s="34">
        <f t="shared" ref="BS1702" si="7361">-SUMPRODUCT($M$2:$M$9,$N$2:$N$9)-SUMPRODUCT($M$11:$M$12,$N$11:$N$12)</f>
        <v>-120000</v>
      </c>
      <c r="BT1702" s="34" t="e">
        <f t="shared" ref="BT1702" si="7362">IF(BQ1702&lt;&gt;BQ1703,MMULT(MINVERSE(BQ1702:BR1703),BS1702:BS1703)," ")</f>
        <v>#NUM!</v>
      </c>
      <c r="BU1702" s="34" t="str">
        <f t="shared" ref="BU1702" si="7363">IFERROR(IF(BT1702-VLOOKUP(BQ$38,$A$2:$N$12,14,FALSE)&lt;0,BT1702-VLOOKUP(BQ$38,$A$2:$N$12,14,FALSE)," ")," ")</f>
        <v xml:space="preserve"> </v>
      </c>
      <c r="BV1702" s="34" t="str">
        <f t="shared" ref="BV1702" si="7364">IFERROR(IF(BT1702-VLOOKUP(BQ$38,$A$2:$N$12,14,FALSE)&gt;0,BT1702-VLOOKUP(BQ$38,$A$2:$N$12,14,FALSE)," ")," ")</f>
        <v xml:space="preserve"> </v>
      </c>
      <c r="BW1702" s="34">
        <f t="shared" ref="BW1702" si="7365">$M$11</f>
        <v>0</v>
      </c>
      <c r="BX1702" s="34">
        <v>-1</v>
      </c>
      <c r="BY1702" s="34">
        <f t="shared" ref="BY1702" si="7366">-SUMPRODUCT($M$2:$M$10,$N$2:$N$10)-SUMPRODUCT($M$12,$N$12)</f>
        <v>-120000</v>
      </c>
      <c r="BZ1702" s="34" t="e">
        <f t="shared" ref="BZ1702" si="7367">IF(BW1702&lt;&gt;BW1703,MMULT(MINVERSE(BW1702:BX1703),BY1702:BY1703)," ")</f>
        <v>#NUM!</v>
      </c>
      <c r="CA1702" s="34" t="str">
        <f t="shared" ref="CA1702" si="7368">IFERROR(IF(BZ1702-VLOOKUP(BW$38,$A$2:$N$12,14,FALSE)&lt;0,BZ1702-VLOOKUP(BW$38,$A$2:$N$12,14,FALSE)," ")," ")</f>
        <v xml:space="preserve"> </v>
      </c>
      <c r="CB1702" s="34" t="str">
        <f t="shared" ref="CB1702" si="7369">IFERROR(IF(BZ1702-VLOOKUP(BW$38,$A$2:$N$12,14,FALSE)&gt;0,BZ1702-VLOOKUP(BW$38,$A$2:$N$12,14,FALSE)," ")," ")</f>
        <v xml:space="preserve"> </v>
      </c>
      <c r="CC1702" s="34">
        <f t="shared" ref="CC1702" si="7370">$M$12</f>
        <v>0</v>
      </c>
      <c r="CD1702" s="34">
        <v>-1</v>
      </c>
      <c r="CE1702" s="34">
        <f t="shared" ref="CE1702" si="7371">-SUMPRODUCT($M$2:$M$11,$N$2:$N$11)</f>
        <v>-120000</v>
      </c>
      <c r="CF1702" s="34" t="e">
        <f t="shared" ref="CF1702" si="7372">IF(CC1702&lt;&gt;CC1703,MMULT(MINVERSE(CC1702:CD1703),CE1702:CE1703)," ")</f>
        <v>#NUM!</v>
      </c>
      <c r="CG1702" s="34" t="str">
        <f t="shared" ref="CG1702" si="7373">IFERROR(IF(CF1702-VLOOKUP(CC$38,$A$2:$N$12,14,FALSE)&lt;0,CF1702-VLOOKUP(CC$38,$A$2:$N$12,14,FALSE)," ")," ")</f>
        <v xml:space="preserve"> </v>
      </c>
      <c r="CH1702" s="34" t="str">
        <f t="shared" ref="CH1702" si="7374">IFERROR(IF(CF1702-VLOOKUP(CC$38,$A$2:$N$12,14,FALSE)&gt;0,CF1702-VLOOKUP(CC$38,$A$2:$N$12,14,FALSE)," ")," ")</f>
        <v xml:space="preserve"> </v>
      </c>
      <c r="CI1702" s="8"/>
    </row>
    <row r="1703" spans="1:87" x14ac:dyDescent="0.2">
      <c r="A1703" s="8" t="str">
        <f>IF(AND(COUNTIF(W$3:W$13,A$16)&gt;0,A$16&lt;&gt;B2162),A$16,IFERROR(IF(MATCH(A$16,Z$3:Z$13,0)=7,A$16," ")," "))</f>
        <v xml:space="preserve"> </v>
      </c>
      <c r="B1703" s="8" t="str">
        <f>IF(A1703=" "," ",MAX(B1702:B1702)+1)</f>
        <v xml:space="preserve"> </v>
      </c>
      <c r="C1703" s="8" t="str">
        <f>IFERROR(INDEX(A1702:A1723,MATCH(SMALL(B1702:B1723,2),B1702:B1723,0),1)," ")</f>
        <v>C4</v>
      </c>
      <c r="D1703" s="8">
        <f t="shared" ref="D1703:D1712" si="7375">IFERROR(VLOOKUP($C1703,$A$15:$O$36,2,FALSE)," ")</f>
        <v>1</v>
      </c>
      <c r="E1703" s="8">
        <f t="shared" ref="E1703:E1712" si="7376">IFERROR(VLOOKUP($C1703,$A$15:$O$36,3,FALSE)," ")</f>
        <v>0</v>
      </c>
      <c r="F1703" s="8">
        <f t="shared" ref="F1703:F1712" si="7377">IFERROR(VLOOKUP($C1703,$A$15:$O$36,4,FALSE)," ")</f>
        <v>1</v>
      </c>
      <c r="G1703" s="8">
        <f t="shared" ref="G1703:G1712" si="7378">IFERROR(VLOOKUP($C1703,$A$15:$O$36,5,FALSE)," ")</f>
        <v>0</v>
      </c>
      <c r="H1703" s="8">
        <f t="shared" ref="H1703:H1712" si="7379">IFERROR(VLOOKUP($C1703,$A$15:$O$36,6,FALSE)," ")</f>
        <v>0</v>
      </c>
      <c r="I1703" s="8">
        <f t="shared" ref="I1703:I1712" si="7380">IFERROR(VLOOKUP($C1703,$A$15:$O$36,7,FALSE)," ")</f>
        <v>0</v>
      </c>
      <c r="J1703" s="8">
        <f t="shared" ref="J1703:J1712" si="7381">IFERROR(VLOOKUP($C1703,$A$15:$O$36,8,FALSE)," ")</f>
        <v>0</v>
      </c>
      <c r="K1703" s="8">
        <f t="shared" ref="K1703:K1712" si="7382">IFERROR(VLOOKUP($C1703,$A$15:$O$36,9,FALSE)," ")</f>
        <v>0</v>
      </c>
      <c r="L1703" s="8">
        <f t="shared" ref="L1703:L1712" si="7383">IFERROR(VLOOKUP($C1703,$A$15:$O$36,10,FALSE)," ")</f>
        <v>0</v>
      </c>
      <c r="M1703" s="8">
        <f t="shared" ref="M1703:M1712" si="7384">IFERROR(VLOOKUP($C1703,$A$15:$O$36,11,FALSE)," ")</f>
        <v>0</v>
      </c>
      <c r="N1703" s="8">
        <f t="shared" ref="N1703:N1712" si="7385">IFERROR(VLOOKUP($C1703,$A$15:$O$36,12,FALSE)," ")</f>
        <v>0</v>
      </c>
      <c r="O1703" s="8">
        <f t="shared" ref="O1703:O1712" si="7386">IFERROR(VLOOKUP($C1703,$A$15:$O$36,15,FALSE)," ")</f>
        <v>400</v>
      </c>
      <c r="P1703" s="8" t="e">
        <v>#NUM!</v>
      </c>
      <c r="Q1703" s="8" t="e">
        <f t="shared" ref="Q1703" si="7387">IF(COUNTIF(P1702:P1712,"&lt;"&amp;-0.001)=0,IF(ABS(P1703)&lt;0.001,0,P1703)," ")</f>
        <v>#NUM!</v>
      </c>
      <c r="R1703" s="8"/>
      <c r="S1703" s="8"/>
      <c r="U1703" s="34" t="e">
        <f t="shared" ref="U1703" si="7388">$Q1702</f>
        <v>#NUM!</v>
      </c>
      <c r="V1703" s="34">
        <v>-1</v>
      </c>
      <c r="W1703" s="34" t="e">
        <f t="shared" ref="W1703" si="7389">-SUMPRODUCT($Q1703:$Q1712,$N$3:$N$12)</f>
        <v>#NUM!</v>
      </c>
      <c r="X1703" s="34"/>
      <c r="Y1703" s="34"/>
      <c r="Z1703" s="34"/>
      <c r="AA1703" s="34" t="e">
        <f t="shared" ref="AA1703" si="7390">$Q1703</f>
        <v>#NUM!</v>
      </c>
      <c r="AB1703" s="34">
        <v>-1</v>
      </c>
      <c r="AC1703" s="34" t="e">
        <f t="shared" ref="AC1703" si="7391">-SUMPRODUCT($Q1702:$Q1702,$N$2:$N$2)-SUMPRODUCT($Q1704:$Q1712,$N$4:$N$12)</f>
        <v>#NUM!</v>
      </c>
      <c r="AD1703" s="34"/>
      <c r="AE1703" s="34"/>
      <c r="AF1703" s="34"/>
      <c r="AG1703" s="34" t="e">
        <f t="shared" ref="AG1703" si="7392">$Q1704</f>
        <v>#NUM!</v>
      </c>
      <c r="AH1703" s="34">
        <v>-1</v>
      </c>
      <c r="AI1703" s="34" t="e">
        <f t="shared" ref="AI1703" si="7393">-SUMPRODUCT($Q1702:$Q1703,$N$2:$N$3)-SUMPRODUCT($Q1705:$Q1712,$N$5:$N$12)</f>
        <v>#NUM!</v>
      </c>
      <c r="AJ1703" s="34"/>
      <c r="AK1703" s="34"/>
      <c r="AL1703" s="34"/>
      <c r="AM1703" s="34" t="e">
        <f t="shared" ref="AM1703" si="7394">$Q1705</f>
        <v>#NUM!</v>
      </c>
      <c r="AN1703" s="34">
        <v>-1</v>
      </c>
      <c r="AO1703" s="34" t="e">
        <f t="shared" ref="AO1703" si="7395">-SUMPRODUCT($Q1702:$Q1704,$N$2:$N$4)-SUMPRODUCT($Q1706:$Q1712,$N$6:$N$12)</f>
        <v>#NUM!</v>
      </c>
      <c r="AP1703" s="34"/>
      <c r="AQ1703" s="34"/>
      <c r="AR1703" s="34"/>
      <c r="AS1703" s="34" t="e">
        <f t="shared" ref="AS1703" si="7396">$Q1706</f>
        <v>#NUM!</v>
      </c>
      <c r="AT1703" s="34">
        <v>-1</v>
      </c>
      <c r="AU1703" s="34" t="e">
        <f t="shared" ref="AU1703" si="7397">-SUMPRODUCT($Q1702:$Q1705,$N$2:$N$5)-SUMPRODUCT($Q1707:$Q1712,$N$7:$N$12)</f>
        <v>#NUM!</v>
      </c>
      <c r="AV1703" s="34"/>
      <c r="AW1703" s="34"/>
      <c r="AX1703" s="34"/>
      <c r="AY1703" s="34" t="e">
        <f t="shared" ref="AY1703" si="7398">$Q1707</f>
        <v>#NUM!</v>
      </c>
      <c r="AZ1703" s="34">
        <v>-1</v>
      </c>
      <c r="BA1703" s="34" t="e">
        <f t="shared" ref="BA1703" si="7399">-SUMPRODUCT($Q1702:$Q1706,$N$2:$N$6)-SUMPRODUCT($Q1708:$Q1712,$N$8:$N$12)</f>
        <v>#NUM!</v>
      </c>
      <c r="BB1703" s="34"/>
      <c r="BC1703" s="34"/>
      <c r="BD1703" s="34"/>
      <c r="BE1703" s="34" t="e">
        <f t="shared" ref="BE1703" si="7400">$Q1708</f>
        <v>#NUM!</v>
      </c>
      <c r="BF1703" s="34">
        <v>-1</v>
      </c>
      <c r="BG1703" s="34" t="e">
        <f t="shared" ref="BG1703" si="7401">-SUMPRODUCT($Q1702:$Q1707,$N$2:$N$7)-SUMPRODUCT($Q1709:$Q1712,$N$9:$N$12)</f>
        <v>#NUM!</v>
      </c>
      <c r="BH1703" s="34"/>
      <c r="BI1703" s="34"/>
      <c r="BJ1703" s="34"/>
      <c r="BK1703" s="34" t="e">
        <f t="shared" ref="BK1703" si="7402">$Q1709</f>
        <v>#NUM!</v>
      </c>
      <c r="BL1703" s="34">
        <v>-1</v>
      </c>
      <c r="BM1703" s="34" t="e">
        <f t="shared" ref="BM1703" si="7403">-SUMPRODUCT($Q1702:$Q1708,$N$2:$N$8)-SUMPRODUCT($Q1710:$Q1712,$N$10:$N$12)</f>
        <v>#NUM!</v>
      </c>
      <c r="BN1703" s="34"/>
      <c r="BO1703" s="34"/>
      <c r="BP1703" s="34"/>
      <c r="BQ1703" s="34" t="e">
        <f t="shared" ref="BQ1703" si="7404">$Q1710</f>
        <v>#NUM!</v>
      </c>
      <c r="BR1703" s="34">
        <v>-1</v>
      </c>
      <c r="BS1703" s="34" t="e">
        <f t="shared" ref="BS1703" si="7405">-SUMPRODUCT($Q1702:$Q1709,$N$2:$N$9)-SUMPRODUCT($Q1711:$Q1712,$N$11:$N$12)</f>
        <v>#NUM!</v>
      </c>
      <c r="BT1703" s="34"/>
      <c r="BU1703" s="34"/>
      <c r="BV1703" s="34"/>
      <c r="BW1703" s="34" t="e">
        <f t="shared" ref="BW1703" si="7406">$Q1711</f>
        <v>#NUM!</v>
      </c>
      <c r="BX1703" s="34">
        <v>-1</v>
      </c>
      <c r="BY1703" s="34" t="e">
        <f t="shared" ref="BY1703" si="7407">-SUMPRODUCT($Q1702:$Q1710,$N$2:$N$10)-SUMPRODUCT($Q1712,$N$12)</f>
        <v>#NUM!</v>
      </c>
      <c r="BZ1703" s="34"/>
      <c r="CA1703" s="34"/>
      <c r="CB1703" s="34"/>
      <c r="CC1703" s="34" t="e">
        <f t="shared" ref="CC1703" si="7408">$Q1712</f>
        <v>#NUM!</v>
      </c>
      <c r="CD1703" s="34">
        <v>-1</v>
      </c>
      <c r="CE1703" s="34" t="e">
        <f t="shared" ref="CE1703" si="7409">-SUMPRODUCT($Q1702:$Q1711,$N$2:$N$11)</f>
        <v>#NUM!</v>
      </c>
      <c r="CF1703" s="34"/>
      <c r="CG1703" s="34"/>
      <c r="CH1703" s="34"/>
      <c r="CI1703" s="8"/>
    </row>
    <row r="1704" spans="1:87" x14ac:dyDescent="0.2">
      <c r="A1704" s="8" t="str">
        <f>IF(AND(COUNTIF(W$3:W$13,A$17)&gt;0,A$17&lt;&gt;B1562),A$17,IFERROR(IF(MATCH(A$17,Z$3:Z$13,0)=7,A$17," ")," "))</f>
        <v>C3</v>
      </c>
      <c r="B1704" s="8">
        <f>IF(A1704=" "," ",MAX(B1702:B1703)+1)</f>
        <v>1</v>
      </c>
      <c r="C1704" s="8" t="str">
        <f>IFERROR(INDEX(A1702:A1723,MATCH(SMALL(B1702:B1723,3),B1702:B1723,0),1)," ")</f>
        <v>C9</v>
      </c>
      <c r="D1704" s="8">
        <f t="shared" si="7375"/>
        <v>0</v>
      </c>
      <c r="E1704" s="8">
        <f t="shared" si="7376"/>
        <v>0</v>
      </c>
      <c r="F1704" s="8">
        <f t="shared" si="7377"/>
        <v>0</v>
      </c>
      <c r="G1704" s="8">
        <f t="shared" si="7378"/>
        <v>0</v>
      </c>
      <c r="H1704" s="8">
        <f t="shared" si="7379"/>
        <v>0</v>
      </c>
      <c r="I1704" s="8">
        <f t="shared" si="7380"/>
        <v>0</v>
      </c>
      <c r="J1704" s="8">
        <f t="shared" si="7381"/>
        <v>0</v>
      </c>
      <c r="K1704" s="8">
        <f t="shared" si="7382"/>
        <v>0</v>
      </c>
      <c r="L1704" s="8">
        <f t="shared" si="7383"/>
        <v>0</v>
      </c>
      <c r="M1704" s="8">
        <f t="shared" si="7384"/>
        <v>0</v>
      </c>
      <c r="N1704" s="8">
        <f t="shared" si="7385"/>
        <v>0</v>
      </c>
      <c r="O1704" s="8">
        <f t="shared" si="7386"/>
        <v>0</v>
      </c>
      <c r="P1704" s="8" t="e">
        <v>#NUM!</v>
      </c>
      <c r="Q1704" s="8" t="e">
        <f t="shared" ref="Q1704" si="7410">IF(COUNTIF(P1702:P1712,"&lt;"&amp;-0.001)=0,IF(ABS(P1704)&lt;0.001,0,P1704)," ")</f>
        <v>#NUM!</v>
      </c>
      <c r="R1704" s="8"/>
      <c r="S1704" s="8"/>
      <c r="U1704" s="34"/>
      <c r="V1704" s="34"/>
      <c r="W1704" s="34"/>
      <c r="X1704" s="34"/>
      <c r="Y1704" s="34"/>
      <c r="Z1704" s="34"/>
      <c r="AA1704" s="34"/>
      <c r="AB1704" s="34"/>
      <c r="AC1704" s="34"/>
      <c r="AD1704" s="34"/>
      <c r="AE1704" s="34"/>
      <c r="AF1704" s="34"/>
      <c r="AG1704" s="34"/>
      <c r="AH1704" s="34"/>
      <c r="AI1704" s="34"/>
      <c r="AJ1704" s="34"/>
      <c r="AK1704" s="34"/>
      <c r="AL1704" s="34"/>
      <c r="AM1704" s="34"/>
      <c r="AN1704" s="34"/>
      <c r="AO1704" s="34"/>
      <c r="AP1704" s="34"/>
      <c r="AQ1704" s="34"/>
      <c r="AR1704" s="34"/>
      <c r="AS1704" s="34"/>
      <c r="AT1704" s="34"/>
      <c r="AU1704" s="34"/>
      <c r="AV1704" s="34"/>
      <c r="AW1704" s="34"/>
      <c r="AX1704" s="34"/>
      <c r="AY1704" s="34"/>
      <c r="AZ1704" s="34"/>
      <c r="BA1704" s="34"/>
      <c r="BB1704" s="34"/>
      <c r="BC1704" s="34"/>
      <c r="BD1704" s="34"/>
      <c r="BE1704" s="34"/>
      <c r="BF1704" s="34"/>
      <c r="BG1704" s="34"/>
      <c r="BH1704" s="34"/>
      <c r="BI1704" s="34"/>
      <c r="BJ1704" s="34"/>
      <c r="BK1704" s="34"/>
      <c r="BL1704" s="34"/>
      <c r="BM1704" s="34"/>
      <c r="BN1704" s="34"/>
      <c r="BO1704" s="34"/>
      <c r="BP1704" s="34"/>
      <c r="BQ1704" s="34"/>
      <c r="BR1704" s="34"/>
      <c r="BS1704" s="34"/>
      <c r="BT1704" s="34"/>
      <c r="BU1704" s="34"/>
      <c r="BV1704" s="34"/>
      <c r="BW1704" s="34"/>
      <c r="BX1704" s="34"/>
      <c r="BY1704" s="34"/>
      <c r="BZ1704" s="34"/>
      <c r="CA1704" s="34"/>
      <c r="CB1704" s="34"/>
      <c r="CC1704" s="34"/>
      <c r="CD1704" s="34"/>
      <c r="CE1704" s="34"/>
      <c r="CF1704" s="34"/>
      <c r="CG1704" s="34"/>
      <c r="CH1704" s="34"/>
      <c r="CI1704" s="8"/>
    </row>
    <row r="1705" spans="1:87" x14ac:dyDescent="0.2">
      <c r="A1705" s="8" t="str">
        <f>IF(AND(COUNTIF(W$3:W$13,A$18)&gt;0,A$18&lt;&gt;B1562),A$18,IFERROR(IF(MATCH(A$18,Z$3:Z$13,0)=7,A$18," ")," "))</f>
        <v>C4</v>
      </c>
      <c r="B1705" s="8">
        <f>IF(A1705=" "," ",MAX(B1702:B1704)+1)</f>
        <v>2</v>
      </c>
      <c r="C1705" s="8" t="str">
        <f>IFERROR(INDEX(A1702:A1723,MATCH(SMALL(B1702:B1723,4),B1702:B1723,0),1)," ")</f>
        <v>C13</v>
      </c>
      <c r="D1705" s="8">
        <f t="shared" si="7375"/>
        <v>0</v>
      </c>
      <c r="E1705" s="8">
        <f t="shared" si="7376"/>
        <v>1</v>
      </c>
      <c r="F1705" s="8">
        <f t="shared" si="7377"/>
        <v>0</v>
      </c>
      <c r="G1705" s="8">
        <f t="shared" si="7378"/>
        <v>0</v>
      </c>
      <c r="H1705" s="8">
        <f t="shared" si="7379"/>
        <v>0</v>
      </c>
      <c r="I1705" s="8">
        <f t="shared" si="7380"/>
        <v>0</v>
      </c>
      <c r="J1705" s="8">
        <f t="shared" si="7381"/>
        <v>0</v>
      </c>
      <c r="K1705" s="8">
        <f t="shared" si="7382"/>
        <v>0</v>
      </c>
      <c r="L1705" s="8">
        <f t="shared" si="7383"/>
        <v>0</v>
      </c>
      <c r="M1705" s="8">
        <f t="shared" si="7384"/>
        <v>0</v>
      </c>
      <c r="N1705" s="8">
        <f t="shared" si="7385"/>
        <v>0</v>
      </c>
      <c r="O1705" s="8">
        <f t="shared" si="7386"/>
        <v>0</v>
      </c>
      <c r="P1705" s="8" t="e">
        <v>#NUM!</v>
      </c>
      <c r="Q1705" s="8" t="e">
        <f t="shared" ref="Q1705" si="7411">IF(COUNTIF(P1702:P1712,"&lt;"&amp;-0.001)=0,IF(ABS(P1705)&lt;0.001,0,P1705)," ")</f>
        <v>#NUM!</v>
      </c>
      <c r="R1705" s="8"/>
      <c r="S1705" s="8"/>
      <c r="U1705" s="34"/>
      <c r="V1705" s="34"/>
      <c r="W1705" s="34"/>
      <c r="X1705" s="34"/>
      <c r="Y1705" s="34"/>
      <c r="Z1705" s="34"/>
      <c r="AA1705" s="34"/>
      <c r="AB1705" s="34"/>
      <c r="AC1705" s="34"/>
      <c r="AD1705" s="34"/>
      <c r="AE1705" s="34"/>
      <c r="AF1705" s="34"/>
      <c r="AG1705" s="34"/>
      <c r="AH1705" s="34"/>
      <c r="AI1705" s="34"/>
      <c r="AJ1705" s="34"/>
      <c r="AK1705" s="34"/>
      <c r="AL1705" s="34"/>
      <c r="AM1705" s="34"/>
      <c r="AN1705" s="34"/>
      <c r="AO1705" s="34"/>
      <c r="AP1705" s="34"/>
      <c r="AQ1705" s="34"/>
      <c r="AR1705" s="34"/>
      <c r="AS1705" s="34"/>
      <c r="AT1705" s="34"/>
      <c r="AU1705" s="34"/>
      <c r="AV1705" s="34"/>
      <c r="AW1705" s="34"/>
      <c r="AX1705" s="34"/>
      <c r="AY1705" s="34"/>
      <c r="AZ1705" s="34"/>
      <c r="BA1705" s="34"/>
      <c r="BB1705" s="34"/>
      <c r="BC1705" s="34"/>
      <c r="BD1705" s="34"/>
      <c r="BE1705" s="34"/>
      <c r="BF1705" s="34"/>
      <c r="BG1705" s="34"/>
      <c r="BH1705" s="34"/>
      <c r="BI1705" s="34"/>
      <c r="BJ1705" s="34"/>
      <c r="BK1705" s="34"/>
      <c r="BL1705" s="34"/>
      <c r="BM1705" s="34"/>
      <c r="BN1705" s="34"/>
      <c r="BO1705" s="34"/>
      <c r="BP1705" s="34"/>
      <c r="BQ1705" s="34"/>
      <c r="BR1705" s="34"/>
      <c r="BS1705" s="34"/>
      <c r="BT1705" s="34"/>
      <c r="BU1705" s="34"/>
      <c r="BV1705" s="34"/>
      <c r="BW1705" s="34"/>
      <c r="BX1705" s="34"/>
      <c r="BY1705" s="34"/>
      <c r="BZ1705" s="34"/>
      <c r="CA1705" s="34"/>
      <c r="CB1705" s="34"/>
      <c r="CC1705" s="34"/>
      <c r="CD1705" s="34"/>
      <c r="CE1705" s="34"/>
      <c r="CF1705" s="34"/>
      <c r="CG1705" s="34"/>
      <c r="CH1705" s="34"/>
      <c r="CI1705" s="8"/>
    </row>
    <row r="1706" spans="1:87" x14ac:dyDescent="0.2">
      <c r="A1706" s="8" t="str">
        <f>IF(AND(COUNTIF(W$3:W$13,A$19)&gt;0,A$19&lt;&gt;B1562),A$19,IFERROR(IF(MATCH(A$19,Z$3:Z$13,0)=7,A$19," ")," "))</f>
        <v xml:space="preserve"> </v>
      </c>
      <c r="B1706" s="8" t="str">
        <f>IF(A1706=" "," ",MAX(B1702:B1705)+1)</f>
        <v xml:space="preserve"> </v>
      </c>
      <c r="C1706" s="8" t="str">
        <f>IFERROR(INDEX(A1702:A1723,MATCH(SMALL(B1702:B1723,5),B1702:B1723,0),1)," ")</f>
        <v>C15</v>
      </c>
      <c r="D1706" s="8">
        <f t="shared" si="7375"/>
        <v>0</v>
      </c>
      <c r="E1706" s="8">
        <f t="shared" si="7376"/>
        <v>0</v>
      </c>
      <c r="F1706" s="8">
        <f t="shared" si="7377"/>
        <v>0</v>
      </c>
      <c r="G1706" s="8">
        <f t="shared" si="7378"/>
        <v>1</v>
      </c>
      <c r="H1706" s="8">
        <f t="shared" si="7379"/>
        <v>0</v>
      </c>
      <c r="I1706" s="8">
        <f t="shared" si="7380"/>
        <v>0</v>
      </c>
      <c r="J1706" s="8">
        <f t="shared" si="7381"/>
        <v>0</v>
      </c>
      <c r="K1706" s="8">
        <f t="shared" si="7382"/>
        <v>0</v>
      </c>
      <c r="L1706" s="8">
        <f t="shared" si="7383"/>
        <v>0</v>
      </c>
      <c r="M1706" s="8">
        <f t="shared" si="7384"/>
        <v>0</v>
      </c>
      <c r="N1706" s="8">
        <f t="shared" si="7385"/>
        <v>0</v>
      </c>
      <c r="O1706" s="8">
        <f t="shared" si="7386"/>
        <v>0</v>
      </c>
      <c r="P1706" s="8" t="e">
        <v>#NUM!</v>
      </c>
      <c r="Q1706" s="8" t="e">
        <f t="shared" ref="Q1706" si="7412">IF(COUNTIF(P1702:P1712,"&lt;"&amp;-0.001)=0,IF(ABS(P1706)&lt;0.001,0,P1706)," ")</f>
        <v>#NUM!</v>
      </c>
      <c r="R1706" s="8"/>
      <c r="S1706" s="8"/>
      <c r="U1706" s="34"/>
      <c r="V1706" s="34"/>
      <c r="W1706" s="34"/>
      <c r="X1706" s="34"/>
      <c r="Y1706" s="34"/>
      <c r="Z1706" s="34"/>
      <c r="AA1706" s="34"/>
      <c r="AB1706" s="34"/>
      <c r="AC1706" s="34"/>
      <c r="AD1706" s="34"/>
      <c r="AE1706" s="34"/>
      <c r="AF1706" s="34"/>
      <c r="AG1706" s="34"/>
      <c r="AH1706" s="34"/>
      <c r="AI1706" s="34"/>
      <c r="AJ1706" s="34"/>
      <c r="AK1706" s="34"/>
      <c r="AL1706" s="34"/>
      <c r="AM1706" s="34"/>
      <c r="AN1706" s="34"/>
      <c r="AO1706" s="34"/>
      <c r="AP1706" s="34"/>
      <c r="AQ1706" s="34"/>
      <c r="AR1706" s="34"/>
      <c r="AS1706" s="34"/>
      <c r="AT1706" s="34"/>
      <c r="AU1706" s="34"/>
      <c r="AV1706" s="34"/>
      <c r="AW1706" s="34"/>
      <c r="AX1706" s="34"/>
      <c r="AY1706" s="34"/>
      <c r="AZ1706" s="34"/>
      <c r="BA1706" s="34"/>
      <c r="BB1706" s="34"/>
      <c r="BC1706" s="34"/>
      <c r="BD1706" s="34"/>
      <c r="BE1706" s="34"/>
      <c r="BF1706" s="34"/>
      <c r="BG1706" s="34"/>
      <c r="BH1706" s="34"/>
      <c r="BI1706" s="34"/>
      <c r="BJ1706" s="34"/>
      <c r="BK1706" s="34"/>
      <c r="BL1706" s="34"/>
      <c r="BM1706" s="34"/>
      <c r="BN1706" s="34"/>
      <c r="BO1706" s="34"/>
      <c r="BP1706" s="34"/>
      <c r="BQ1706" s="34"/>
      <c r="BR1706" s="34"/>
      <c r="BS1706" s="34"/>
      <c r="BT1706" s="34"/>
      <c r="BU1706" s="34"/>
      <c r="BV1706" s="34"/>
      <c r="BW1706" s="34"/>
      <c r="BX1706" s="34"/>
      <c r="BY1706" s="34"/>
      <c r="BZ1706" s="34"/>
      <c r="CA1706" s="34"/>
      <c r="CB1706" s="34"/>
      <c r="CC1706" s="34"/>
      <c r="CD1706" s="34"/>
      <c r="CE1706" s="34"/>
      <c r="CF1706" s="34"/>
      <c r="CG1706" s="34"/>
      <c r="CH1706" s="34"/>
      <c r="CI1706" s="8"/>
    </row>
    <row r="1707" spans="1:87" x14ac:dyDescent="0.2">
      <c r="A1707" s="8" t="str">
        <f>IF(AND(COUNTIF(W$3:W$13,A$20)&gt;0,A$20&lt;&gt;B1562),A$20,IFERROR(IF(MATCH(A$20,Z$3:Z$13,0)=7,A$20," ")," "))</f>
        <v xml:space="preserve"> </v>
      </c>
      <c r="B1707" s="8" t="str">
        <f>IF(A1707=" "," ",MAX(B1702:B1706)+1)</f>
        <v xml:space="preserve"> </v>
      </c>
      <c r="C1707" s="8" t="str">
        <f>IFERROR(INDEX(A1702:A1723,MATCH(SMALL(B1702:B1723,6),B1702:B1723,0),1)," ")</f>
        <v>C16</v>
      </c>
      <c r="D1707" s="8">
        <f t="shared" si="7375"/>
        <v>0</v>
      </c>
      <c r="E1707" s="8">
        <f t="shared" si="7376"/>
        <v>0</v>
      </c>
      <c r="F1707" s="8">
        <f t="shared" si="7377"/>
        <v>0</v>
      </c>
      <c r="G1707" s="8">
        <f t="shared" si="7378"/>
        <v>0</v>
      </c>
      <c r="H1707" s="8">
        <f t="shared" si="7379"/>
        <v>1</v>
      </c>
      <c r="I1707" s="8">
        <f t="shared" si="7380"/>
        <v>0</v>
      </c>
      <c r="J1707" s="8">
        <f t="shared" si="7381"/>
        <v>0</v>
      </c>
      <c r="K1707" s="8">
        <f t="shared" si="7382"/>
        <v>0</v>
      </c>
      <c r="L1707" s="8">
        <f t="shared" si="7383"/>
        <v>0</v>
      </c>
      <c r="M1707" s="8">
        <f t="shared" si="7384"/>
        <v>0</v>
      </c>
      <c r="N1707" s="8">
        <f t="shared" si="7385"/>
        <v>0</v>
      </c>
      <c r="O1707" s="8">
        <f t="shared" si="7386"/>
        <v>0</v>
      </c>
      <c r="P1707" s="8" t="e">
        <v>#NUM!</v>
      </c>
      <c r="Q1707" s="8" t="e">
        <f t="shared" ref="Q1707" si="7413">IF(COUNTIF(P1702:P1712,"&lt;"&amp;-0.001)=0,IF(ABS(P1707)&lt;0.001,0,P1707)," ")</f>
        <v>#NUM!</v>
      </c>
      <c r="R1707" s="8"/>
      <c r="S1707" s="8"/>
      <c r="U1707" s="34"/>
      <c r="V1707" s="34"/>
      <c r="W1707" s="34"/>
      <c r="X1707" s="34"/>
      <c r="Y1707" s="34"/>
      <c r="Z1707" s="34"/>
      <c r="AA1707" s="34"/>
      <c r="AB1707" s="34"/>
      <c r="AC1707" s="34"/>
      <c r="AD1707" s="34"/>
      <c r="AE1707" s="34"/>
      <c r="AF1707" s="34"/>
      <c r="AG1707" s="34"/>
      <c r="AH1707" s="34"/>
      <c r="AI1707" s="34"/>
      <c r="AJ1707" s="34"/>
      <c r="AK1707" s="34"/>
      <c r="AL1707" s="34"/>
      <c r="AM1707" s="34"/>
      <c r="AN1707" s="34"/>
      <c r="AO1707" s="34"/>
      <c r="AP1707" s="34"/>
      <c r="AQ1707" s="34"/>
      <c r="AR1707" s="34"/>
      <c r="AS1707" s="34"/>
      <c r="AT1707" s="34"/>
      <c r="AU1707" s="34"/>
      <c r="AV1707" s="34"/>
      <c r="AW1707" s="34"/>
      <c r="AX1707" s="34"/>
      <c r="AY1707" s="34"/>
      <c r="AZ1707" s="34"/>
      <c r="BA1707" s="34"/>
      <c r="BB1707" s="34"/>
      <c r="BC1707" s="34"/>
      <c r="BD1707" s="34"/>
      <c r="BE1707" s="34"/>
      <c r="BF1707" s="34"/>
      <c r="BG1707" s="34"/>
      <c r="BH1707" s="34"/>
      <c r="BI1707" s="34"/>
      <c r="BJ1707" s="34"/>
      <c r="BK1707" s="34"/>
      <c r="BL1707" s="34"/>
      <c r="BM1707" s="34"/>
      <c r="BN1707" s="34"/>
      <c r="BO1707" s="34"/>
      <c r="BP1707" s="34"/>
      <c r="BQ1707" s="34"/>
      <c r="BR1707" s="34"/>
      <c r="BS1707" s="34"/>
      <c r="BT1707" s="34"/>
      <c r="BU1707" s="34"/>
      <c r="BV1707" s="34"/>
      <c r="BW1707" s="34"/>
      <c r="BX1707" s="34"/>
      <c r="BY1707" s="34"/>
      <c r="BZ1707" s="34"/>
      <c r="CA1707" s="34"/>
      <c r="CB1707" s="34"/>
      <c r="CC1707" s="34"/>
      <c r="CD1707" s="34"/>
      <c r="CE1707" s="34"/>
      <c r="CF1707" s="34"/>
      <c r="CG1707" s="34"/>
      <c r="CH1707" s="34"/>
      <c r="CI1707" s="8"/>
    </row>
    <row r="1708" spans="1:87" x14ac:dyDescent="0.2">
      <c r="A1708" s="8" t="str">
        <f>IF(AND(COUNTIF(W$3:W$13,A$21)&gt;0,A$21&lt;&gt;B1562),A$21,IFERROR(IF(MATCH(A$21,Z$3:Z$13,0)=7,A$21," ")," "))</f>
        <v xml:space="preserve"> </v>
      </c>
      <c r="B1708" s="8" t="str">
        <f>IF(A1708=" "," ",MAX(B1702:B1707)+1)</f>
        <v xml:space="preserve"> </v>
      </c>
      <c r="C1708" s="8" t="str">
        <f>IFERROR(INDEX(A1702:A1723,MATCH(SMALL(B1702:B1723,7),B1702:B1723,0),1)," ")</f>
        <v>C17</v>
      </c>
      <c r="D1708" s="8">
        <f t="shared" si="7375"/>
        <v>0</v>
      </c>
      <c r="E1708" s="8">
        <f t="shared" si="7376"/>
        <v>0</v>
      </c>
      <c r="F1708" s="8">
        <f t="shared" si="7377"/>
        <v>0</v>
      </c>
      <c r="G1708" s="8">
        <f t="shared" si="7378"/>
        <v>0</v>
      </c>
      <c r="H1708" s="8">
        <f t="shared" si="7379"/>
        <v>0</v>
      </c>
      <c r="I1708" s="8">
        <f t="shared" si="7380"/>
        <v>1</v>
      </c>
      <c r="J1708" s="8">
        <f t="shared" si="7381"/>
        <v>0</v>
      </c>
      <c r="K1708" s="8">
        <f t="shared" si="7382"/>
        <v>0</v>
      </c>
      <c r="L1708" s="8">
        <f t="shared" si="7383"/>
        <v>0</v>
      </c>
      <c r="M1708" s="8">
        <f t="shared" si="7384"/>
        <v>0</v>
      </c>
      <c r="N1708" s="8">
        <f t="shared" si="7385"/>
        <v>0</v>
      </c>
      <c r="O1708" s="8">
        <f t="shared" si="7386"/>
        <v>0</v>
      </c>
      <c r="P1708" s="8" t="e">
        <v>#NUM!</v>
      </c>
      <c r="Q1708" s="8" t="e">
        <f t="shared" ref="Q1708" si="7414">IF(COUNTIF(P1702:P1712,"&lt;"&amp;-0.001)=0,IF(ABS(P1708)&lt;0.001,0,P1708)," ")</f>
        <v>#NUM!</v>
      </c>
      <c r="R1708" s="8"/>
      <c r="S1708" s="8"/>
      <c r="U1708" s="34"/>
      <c r="V1708" s="34"/>
      <c r="W1708" s="34"/>
      <c r="X1708" s="34"/>
      <c r="Y1708" s="34"/>
      <c r="Z1708" s="34"/>
      <c r="AA1708" s="34"/>
      <c r="AB1708" s="34"/>
      <c r="AC1708" s="34"/>
      <c r="AD1708" s="34"/>
      <c r="AE1708" s="34"/>
      <c r="AF1708" s="34"/>
      <c r="AG1708" s="34"/>
      <c r="AH1708" s="34"/>
      <c r="AI1708" s="34"/>
      <c r="AJ1708" s="34"/>
      <c r="AK1708" s="34"/>
      <c r="AL1708" s="34"/>
      <c r="AM1708" s="34"/>
      <c r="AN1708" s="34"/>
      <c r="AO1708" s="34"/>
      <c r="AP1708" s="34"/>
      <c r="AQ1708" s="34"/>
      <c r="AR1708" s="34"/>
      <c r="AS1708" s="34"/>
      <c r="AT1708" s="34"/>
      <c r="AU1708" s="34"/>
      <c r="AV1708" s="34"/>
      <c r="AW1708" s="34"/>
      <c r="AX1708" s="34"/>
      <c r="AY1708" s="34"/>
      <c r="AZ1708" s="34"/>
      <c r="BA1708" s="34"/>
      <c r="BB1708" s="34"/>
      <c r="BC1708" s="34"/>
      <c r="BD1708" s="34"/>
      <c r="BE1708" s="34"/>
      <c r="BF1708" s="34"/>
      <c r="BG1708" s="34"/>
      <c r="BH1708" s="34"/>
      <c r="BI1708" s="34"/>
      <c r="BJ1708" s="34"/>
      <c r="BK1708" s="34"/>
      <c r="BL1708" s="34"/>
      <c r="BM1708" s="34"/>
      <c r="BN1708" s="34"/>
      <c r="BO1708" s="34"/>
      <c r="BP1708" s="34"/>
      <c r="BQ1708" s="34"/>
      <c r="BR1708" s="34"/>
      <c r="BS1708" s="34"/>
      <c r="BT1708" s="34"/>
      <c r="BU1708" s="34"/>
      <c r="BV1708" s="34"/>
      <c r="BW1708" s="34"/>
      <c r="BX1708" s="34"/>
      <c r="BY1708" s="34"/>
      <c r="BZ1708" s="34"/>
      <c r="CA1708" s="34"/>
      <c r="CB1708" s="34"/>
      <c r="CC1708" s="34"/>
      <c r="CD1708" s="34"/>
      <c r="CE1708" s="34"/>
      <c r="CF1708" s="34"/>
      <c r="CG1708" s="34"/>
      <c r="CH1708" s="34"/>
      <c r="CI1708" s="8"/>
    </row>
    <row r="1709" spans="1:87" x14ac:dyDescent="0.2">
      <c r="A1709" s="8" t="str">
        <f>IF(AND(COUNTIF(W$3:W$13,A$22)&gt;0,A$22&lt;&gt;B1562),A$22,IFERROR(IF(MATCH(A$22,Z$3:Z$13,0)=7,A$22," ")," "))</f>
        <v xml:space="preserve"> </v>
      </c>
      <c r="B1709" s="8" t="str">
        <f>IF(A1709=" "," ",MAX(B1702:B1708)+1)</f>
        <v xml:space="preserve"> </v>
      </c>
      <c r="C1709" s="8" t="str">
        <f>IFERROR(INDEX(A1702:A1723,MATCH(SMALL(B1702:B1723,8),B1702:B1723,0),1)," ")</f>
        <v>C19</v>
      </c>
      <c r="D1709" s="8">
        <f t="shared" si="7375"/>
        <v>0</v>
      </c>
      <c r="E1709" s="8">
        <f t="shared" si="7376"/>
        <v>0</v>
      </c>
      <c r="F1709" s="8">
        <f t="shared" si="7377"/>
        <v>0</v>
      </c>
      <c r="G1709" s="8">
        <f t="shared" si="7378"/>
        <v>0</v>
      </c>
      <c r="H1709" s="8">
        <f t="shared" si="7379"/>
        <v>0</v>
      </c>
      <c r="I1709" s="8">
        <f t="shared" si="7380"/>
        <v>0</v>
      </c>
      <c r="J1709" s="8">
        <f t="shared" si="7381"/>
        <v>0</v>
      </c>
      <c r="K1709" s="8">
        <f t="shared" si="7382"/>
        <v>1</v>
      </c>
      <c r="L1709" s="8">
        <f t="shared" si="7383"/>
        <v>0</v>
      </c>
      <c r="M1709" s="8">
        <f t="shared" si="7384"/>
        <v>0</v>
      </c>
      <c r="N1709" s="8">
        <f t="shared" si="7385"/>
        <v>0</v>
      </c>
      <c r="O1709" s="8">
        <f t="shared" si="7386"/>
        <v>0</v>
      </c>
      <c r="P1709" s="8" t="e">
        <v>#NUM!</v>
      </c>
      <c r="Q1709" s="8" t="e">
        <f t="shared" ref="Q1709" si="7415">IF(COUNTIF(P1702:P1712,"&lt;"&amp;-0.001)=0,IF(ABS(P1709)&lt;0.001,0,P1709)," ")</f>
        <v>#NUM!</v>
      </c>
      <c r="R1709" s="8"/>
      <c r="S1709" s="8"/>
      <c r="U1709" s="34"/>
      <c r="V1709" s="34"/>
      <c r="W1709" s="34"/>
      <c r="X1709" s="34"/>
      <c r="Y1709" s="34"/>
      <c r="Z1709" s="34"/>
      <c r="AA1709" s="34"/>
      <c r="AB1709" s="34"/>
      <c r="AC1709" s="34"/>
      <c r="AD1709" s="34"/>
      <c r="AE1709" s="34"/>
      <c r="AF1709" s="34"/>
      <c r="AG1709" s="34"/>
      <c r="AH1709" s="34"/>
      <c r="AI1709" s="34"/>
      <c r="AJ1709" s="34"/>
      <c r="AK1709" s="34"/>
      <c r="AL1709" s="34"/>
      <c r="AM1709" s="34"/>
      <c r="AN1709" s="34"/>
      <c r="AO1709" s="34"/>
      <c r="AP1709" s="34"/>
      <c r="AQ1709" s="34"/>
      <c r="AR1709" s="34"/>
      <c r="AS1709" s="34"/>
      <c r="AT1709" s="34"/>
      <c r="AU1709" s="34"/>
      <c r="AV1709" s="34"/>
      <c r="AW1709" s="34"/>
      <c r="AX1709" s="34"/>
      <c r="AY1709" s="34"/>
      <c r="AZ1709" s="34"/>
      <c r="BA1709" s="34"/>
      <c r="BB1709" s="34"/>
      <c r="BC1709" s="34"/>
      <c r="BD1709" s="34"/>
      <c r="BE1709" s="34"/>
      <c r="BF1709" s="34"/>
      <c r="BG1709" s="34"/>
      <c r="BH1709" s="34"/>
      <c r="BI1709" s="34"/>
      <c r="BJ1709" s="34"/>
      <c r="BK1709" s="34"/>
      <c r="BL1709" s="34"/>
      <c r="BM1709" s="34"/>
      <c r="BN1709" s="34"/>
      <c r="BO1709" s="34"/>
      <c r="BP1709" s="34"/>
      <c r="BQ1709" s="34"/>
      <c r="BR1709" s="34"/>
      <c r="BS1709" s="34"/>
      <c r="BT1709" s="34"/>
      <c r="BU1709" s="34"/>
      <c r="BV1709" s="34"/>
      <c r="BW1709" s="34"/>
      <c r="BX1709" s="34"/>
      <c r="BY1709" s="34"/>
      <c r="BZ1709" s="34"/>
      <c r="CA1709" s="34"/>
      <c r="CB1709" s="34"/>
      <c r="CC1709" s="34"/>
      <c r="CD1709" s="34"/>
      <c r="CE1709" s="34"/>
      <c r="CF1709" s="34"/>
      <c r="CG1709" s="34"/>
      <c r="CH1709" s="34"/>
      <c r="CI1709" s="8"/>
    </row>
    <row r="1710" spans="1:87" x14ac:dyDescent="0.2">
      <c r="A1710" s="8" t="str">
        <f>IF(AND(COUNTIF(W$3:W$13,A$23)&gt;0,A$23&lt;&gt;B1562),A$23,IFERROR(IF(MATCH(A$23,Z$3:Z$13,0)=7,A$23," ")," "))</f>
        <v>C9</v>
      </c>
      <c r="B1710" s="8">
        <f>IF(A1710=" "," ",MAX(B1702:B1709)+1)</f>
        <v>3</v>
      </c>
      <c r="C1710" s="8" t="str">
        <f>IFERROR(INDEX(A1702:A1723,MATCH(SMALL(B1702:B1723,9),B1702:B1723,0),1)," ")</f>
        <v>C20</v>
      </c>
      <c r="D1710" s="8">
        <f t="shared" si="7375"/>
        <v>0</v>
      </c>
      <c r="E1710" s="8">
        <f t="shared" si="7376"/>
        <v>0</v>
      </c>
      <c r="F1710" s="8">
        <f t="shared" si="7377"/>
        <v>0</v>
      </c>
      <c r="G1710" s="8">
        <f t="shared" si="7378"/>
        <v>0</v>
      </c>
      <c r="H1710" s="8">
        <f t="shared" si="7379"/>
        <v>0</v>
      </c>
      <c r="I1710" s="8">
        <f t="shared" si="7380"/>
        <v>0</v>
      </c>
      <c r="J1710" s="8">
        <f t="shared" si="7381"/>
        <v>0</v>
      </c>
      <c r="K1710" s="8">
        <f t="shared" si="7382"/>
        <v>0</v>
      </c>
      <c r="L1710" s="8">
        <f t="shared" si="7383"/>
        <v>1</v>
      </c>
      <c r="M1710" s="8">
        <f t="shared" si="7384"/>
        <v>0</v>
      </c>
      <c r="N1710" s="8">
        <f t="shared" si="7385"/>
        <v>0</v>
      </c>
      <c r="O1710" s="8">
        <f t="shared" si="7386"/>
        <v>0</v>
      </c>
      <c r="P1710" s="6" t="e">
        <v>#NUM!</v>
      </c>
      <c r="Q1710" s="8" t="e">
        <f t="shared" ref="Q1710" si="7416">IF(COUNTIF(P1702:P1712,"&lt;"&amp;-0.001)=0,IF(ABS(P1710)&lt;0.001,0,P1710)," ")</f>
        <v>#NUM!</v>
      </c>
      <c r="R1710" s="8"/>
      <c r="S1710" s="8"/>
      <c r="U1710" s="34"/>
      <c r="V1710" s="34"/>
      <c r="W1710" s="34"/>
      <c r="X1710" s="34"/>
      <c r="Y1710" s="34"/>
      <c r="Z1710" s="34"/>
      <c r="AA1710" s="34"/>
      <c r="AB1710" s="34"/>
      <c r="AC1710" s="34"/>
      <c r="AD1710" s="34"/>
      <c r="AE1710" s="34"/>
      <c r="AF1710" s="34"/>
      <c r="AG1710" s="34"/>
      <c r="AH1710" s="34"/>
      <c r="AI1710" s="34"/>
      <c r="AJ1710" s="34"/>
      <c r="AK1710" s="34"/>
      <c r="AL1710" s="34"/>
      <c r="AM1710" s="34"/>
      <c r="AN1710" s="34"/>
      <c r="AO1710" s="34"/>
      <c r="AP1710" s="34"/>
      <c r="AQ1710" s="34"/>
      <c r="AR1710" s="34"/>
      <c r="AS1710" s="34"/>
      <c r="AT1710" s="34"/>
      <c r="AU1710" s="34"/>
      <c r="AV1710" s="34"/>
      <c r="AW1710" s="34"/>
      <c r="AX1710" s="34"/>
      <c r="AY1710" s="34"/>
      <c r="AZ1710" s="34"/>
      <c r="BA1710" s="34"/>
      <c r="BB1710" s="34"/>
      <c r="BC1710" s="34"/>
      <c r="BD1710" s="34"/>
      <c r="BE1710" s="34"/>
      <c r="BF1710" s="34"/>
      <c r="BG1710" s="34"/>
      <c r="BH1710" s="34"/>
      <c r="BI1710" s="34"/>
      <c r="BJ1710" s="34"/>
      <c r="BK1710" s="34"/>
      <c r="BL1710" s="34"/>
      <c r="BM1710" s="34"/>
      <c r="BN1710" s="34"/>
      <c r="BO1710" s="34"/>
      <c r="BP1710" s="34"/>
      <c r="BQ1710" s="34"/>
      <c r="BR1710" s="34"/>
      <c r="BS1710" s="34"/>
      <c r="BT1710" s="34"/>
      <c r="BU1710" s="34"/>
      <c r="BV1710" s="34"/>
      <c r="BW1710" s="34"/>
      <c r="BX1710" s="34"/>
      <c r="BY1710" s="34"/>
      <c r="BZ1710" s="34"/>
      <c r="CA1710" s="34"/>
      <c r="CB1710" s="34"/>
      <c r="CC1710" s="34"/>
      <c r="CD1710" s="34"/>
      <c r="CE1710" s="34"/>
      <c r="CF1710" s="34"/>
      <c r="CG1710" s="34"/>
      <c r="CH1710" s="34"/>
      <c r="CI1710" s="8"/>
    </row>
    <row r="1711" spans="1:87" x14ac:dyDescent="0.2">
      <c r="A1711" s="8" t="str">
        <f>IF(AND(COUNTIF(W$3:W$13,A$24)&gt;0,A$24&lt;&gt;B1562),A$24,IFERROR(IF(MATCH(A$24,Z$3:Z$13,0)=7,A$24," ")," "))</f>
        <v xml:space="preserve"> </v>
      </c>
      <c r="B1711" s="8" t="str">
        <f>IF(A1711=" "," ",MAX(B1702:B1710)+1)</f>
        <v xml:space="preserve"> </v>
      </c>
      <c r="C1711" s="8" t="str">
        <f>IFERROR(INDEX(A1702:A1723,MATCH(SMALL(B1702:B1723,10),B1702:B1723,0),1)," ")</f>
        <v>C21</v>
      </c>
      <c r="D1711" s="8">
        <f t="shared" si="7375"/>
        <v>0</v>
      </c>
      <c r="E1711" s="8">
        <f t="shared" si="7376"/>
        <v>0</v>
      </c>
      <c r="F1711" s="8">
        <f t="shared" si="7377"/>
        <v>0</v>
      </c>
      <c r="G1711" s="8">
        <f t="shared" si="7378"/>
        <v>0</v>
      </c>
      <c r="H1711" s="8">
        <f t="shared" si="7379"/>
        <v>0</v>
      </c>
      <c r="I1711" s="8">
        <f t="shared" si="7380"/>
        <v>0</v>
      </c>
      <c r="J1711" s="8">
        <f t="shared" si="7381"/>
        <v>0</v>
      </c>
      <c r="K1711" s="8">
        <f t="shared" si="7382"/>
        <v>0</v>
      </c>
      <c r="L1711" s="8">
        <f t="shared" si="7383"/>
        <v>0</v>
      </c>
      <c r="M1711" s="8">
        <f t="shared" si="7384"/>
        <v>1</v>
      </c>
      <c r="N1711" s="8">
        <f t="shared" si="7385"/>
        <v>0</v>
      </c>
      <c r="O1711" s="8">
        <f t="shared" si="7386"/>
        <v>0</v>
      </c>
      <c r="P1711" s="8" t="e">
        <v>#NUM!</v>
      </c>
      <c r="Q1711" s="8" t="e">
        <f t="shared" ref="Q1711" si="7417">IF(COUNTIF(P1702:P1712,"&lt;"&amp;-0.001)=0,IF(ABS(P1711)&lt;0.001,0,P1711)," ")</f>
        <v>#NUM!</v>
      </c>
      <c r="R1711" s="8"/>
      <c r="S1711" s="8"/>
      <c r="U1711" s="34"/>
      <c r="V1711" s="34"/>
      <c r="W1711" s="34"/>
      <c r="X1711" s="34"/>
      <c r="Y1711" s="34"/>
      <c r="Z1711" s="34"/>
      <c r="AA1711" s="34"/>
      <c r="AB1711" s="34"/>
      <c r="AC1711" s="34"/>
      <c r="AD1711" s="34"/>
      <c r="AE1711" s="34"/>
      <c r="AF1711" s="34"/>
      <c r="AG1711" s="34"/>
      <c r="AH1711" s="34"/>
      <c r="AI1711" s="34"/>
      <c r="AJ1711" s="34"/>
      <c r="AK1711" s="34"/>
      <c r="AL1711" s="34"/>
      <c r="AM1711" s="34"/>
      <c r="AN1711" s="34"/>
      <c r="AO1711" s="34"/>
      <c r="AP1711" s="34"/>
      <c r="AQ1711" s="34"/>
      <c r="AR1711" s="34"/>
      <c r="AS1711" s="34"/>
      <c r="AT1711" s="34"/>
      <c r="AU1711" s="34"/>
      <c r="AV1711" s="34"/>
      <c r="AW1711" s="34"/>
      <c r="AX1711" s="34"/>
      <c r="AY1711" s="34"/>
      <c r="AZ1711" s="34"/>
      <c r="BA1711" s="34"/>
      <c r="BB1711" s="34"/>
      <c r="BC1711" s="34"/>
      <c r="BD1711" s="34"/>
      <c r="BE1711" s="34"/>
      <c r="BF1711" s="34"/>
      <c r="BG1711" s="34"/>
      <c r="BH1711" s="34"/>
      <c r="BI1711" s="34"/>
      <c r="BJ1711" s="34"/>
      <c r="BK1711" s="34"/>
      <c r="BL1711" s="34"/>
      <c r="BM1711" s="34"/>
      <c r="BN1711" s="34"/>
      <c r="BO1711" s="34"/>
      <c r="BP1711" s="34"/>
      <c r="BQ1711" s="34"/>
      <c r="BR1711" s="34"/>
      <c r="BS1711" s="34"/>
      <c r="BT1711" s="34"/>
      <c r="BU1711" s="34"/>
      <c r="BV1711" s="34"/>
      <c r="BW1711" s="34"/>
      <c r="BX1711" s="34"/>
      <c r="BY1711" s="34"/>
      <c r="BZ1711" s="34"/>
      <c r="CA1711" s="34"/>
      <c r="CB1711" s="34"/>
      <c r="CC1711" s="34"/>
      <c r="CD1711" s="34"/>
      <c r="CE1711" s="34"/>
      <c r="CF1711" s="34"/>
      <c r="CG1711" s="34"/>
      <c r="CH1711" s="34"/>
      <c r="CI1711" s="8"/>
    </row>
    <row r="1712" spans="1:87" x14ac:dyDescent="0.2">
      <c r="A1712" s="8" t="str">
        <f>IF(AND(COUNTIF(W$3:W$13,A$25)&gt;0,A$25&lt;&gt;B1562),A$25,IFERROR(IF(MATCH(A$25,Z$3:Z$13,0)=7,A$25," ")," "))</f>
        <v xml:space="preserve"> </v>
      </c>
      <c r="B1712" s="8" t="str">
        <f>IF(A1712=" "," ",MAX(B1702:B1711)+1)</f>
        <v xml:space="preserve"> </v>
      </c>
      <c r="C1712" s="8" t="str">
        <f>IFERROR(INDEX(A1702:A1723,MATCH(SMALL(B1702:B1723,11),B1702:B1723,0),1)," ")</f>
        <v>C22</v>
      </c>
      <c r="D1712" s="8">
        <f t="shared" si="7375"/>
        <v>0</v>
      </c>
      <c r="E1712" s="8">
        <f t="shared" si="7376"/>
        <v>0</v>
      </c>
      <c r="F1712" s="8">
        <f t="shared" si="7377"/>
        <v>0</v>
      </c>
      <c r="G1712" s="8">
        <f t="shared" si="7378"/>
        <v>0</v>
      </c>
      <c r="H1712" s="8">
        <f t="shared" si="7379"/>
        <v>0</v>
      </c>
      <c r="I1712" s="8">
        <f t="shared" si="7380"/>
        <v>0</v>
      </c>
      <c r="J1712" s="8">
        <f t="shared" si="7381"/>
        <v>0</v>
      </c>
      <c r="K1712" s="8">
        <f t="shared" si="7382"/>
        <v>0</v>
      </c>
      <c r="L1712" s="8">
        <f t="shared" si="7383"/>
        <v>0</v>
      </c>
      <c r="M1712" s="8">
        <f t="shared" si="7384"/>
        <v>0</v>
      </c>
      <c r="N1712" s="8">
        <f t="shared" si="7385"/>
        <v>1</v>
      </c>
      <c r="O1712" s="8">
        <f t="shared" si="7386"/>
        <v>0</v>
      </c>
      <c r="P1712" s="8" t="e">
        <v>#NUM!</v>
      </c>
      <c r="Q1712" s="8" t="e">
        <f t="shared" ref="Q1712" si="7418">IF(COUNTIF(P1702:P1712,"&lt;"&amp;-0.001)=0,IF(ABS(P1712)&lt;0.001,0,P1712)," ")</f>
        <v>#NUM!</v>
      </c>
      <c r="R1712" s="8"/>
      <c r="S1712" s="8"/>
      <c r="U1712" s="34"/>
      <c r="V1712" s="34"/>
      <c r="W1712" s="34"/>
      <c r="X1712" s="34"/>
      <c r="Y1712" s="34"/>
      <c r="Z1712" s="34"/>
      <c r="AA1712" s="34"/>
      <c r="AB1712" s="34"/>
      <c r="AC1712" s="34"/>
      <c r="AD1712" s="34"/>
      <c r="AE1712" s="34"/>
      <c r="AF1712" s="34"/>
      <c r="AG1712" s="34"/>
      <c r="AH1712" s="34"/>
      <c r="AI1712" s="34"/>
      <c r="AJ1712" s="34"/>
      <c r="AK1712" s="34"/>
      <c r="AL1712" s="34"/>
      <c r="AM1712" s="34"/>
      <c r="AN1712" s="34"/>
      <c r="AO1712" s="34"/>
      <c r="AP1712" s="34"/>
      <c r="AQ1712" s="34"/>
      <c r="AR1712" s="34"/>
      <c r="AS1712" s="34"/>
      <c r="AT1712" s="34"/>
      <c r="AU1712" s="34"/>
      <c r="AV1712" s="34"/>
      <c r="AW1712" s="34"/>
      <c r="AX1712" s="34"/>
      <c r="AY1712" s="34"/>
      <c r="AZ1712" s="34"/>
      <c r="BA1712" s="34"/>
      <c r="BB1712" s="34"/>
      <c r="BC1712" s="34"/>
      <c r="BD1712" s="34"/>
      <c r="BE1712" s="34"/>
      <c r="BF1712" s="34"/>
      <c r="BG1712" s="34"/>
      <c r="BH1712" s="34"/>
      <c r="BI1712" s="34"/>
      <c r="BJ1712" s="34"/>
      <c r="BK1712" s="34"/>
      <c r="BL1712" s="34"/>
      <c r="BM1712" s="34"/>
      <c r="BN1712" s="34"/>
      <c r="BO1712" s="34"/>
      <c r="BP1712" s="34"/>
      <c r="BQ1712" s="34"/>
      <c r="BR1712" s="34"/>
      <c r="BS1712" s="34"/>
      <c r="BT1712" s="34"/>
      <c r="BU1712" s="34"/>
      <c r="BV1712" s="34"/>
      <c r="BW1712" s="34"/>
      <c r="BX1712" s="34"/>
      <c r="BY1712" s="34"/>
      <c r="BZ1712" s="34"/>
      <c r="CA1712" s="34"/>
      <c r="CB1712" s="34"/>
      <c r="CC1712" s="34"/>
      <c r="CD1712" s="34"/>
      <c r="CE1712" s="34"/>
      <c r="CF1712" s="34"/>
      <c r="CG1712" s="34"/>
      <c r="CH1712" s="34"/>
      <c r="CI1712" s="8"/>
    </row>
    <row r="1713" spans="1:87" x14ac:dyDescent="0.2">
      <c r="A1713" s="8" t="str">
        <f>IF(AND(COUNTIF(W$3:W$13,A$26)&gt;0,A$26&lt;&gt;B1562),A$26,IFERROR(IF(MATCH(A$26,Z$3:Z$13,0)=7,A$26," ")," "))</f>
        <v xml:space="preserve"> </v>
      </c>
      <c r="B1713" s="8" t="str">
        <f>IF(A1713=" "," ",MAX(B1702:B1712)+1)</f>
        <v xml:space="preserve"> </v>
      </c>
      <c r="C1713" s="8"/>
      <c r="D1713" s="8"/>
      <c r="E1713" s="8"/>
      <c r="F1713" s="8"/>
      <c r="G1713" s="8"/>
      <c r="H1713" s="8"/>
      <c r="I1713" s="8"/>
      <c r="J1713" s="8"/>
      <c r="K1713" s="8"/>
      <c r="L1713" s="8"/>
      <c r="M1713" s="8"/>
      <c r="N1713" s="8"/>
      <c r="O1713" s="8"/>
      <c r="P1713" s="8"/>
      <c r="Q1713" s="8"/>
      <c r="R1713" s="8"/>
      <c r="S1713" s="8"/>
      <c r="U1713" s="34"/>
      <c r="V1713" s="34"/>
      <c r="W1713" s="34"/>
      <c r="X1713" s="34"/>
      <c r="Y1713" s="34"/>
      <c r="Z1713" s="34"/>
      <c r="AA1713" s="34"/>
      <c r="AB1713" s="34"/>
      <c r="AC1713" s="34"/>
      <c r="AD1713" s="34"/>
      <c r="AE1713" s="34"/>
      <c r="AF1713" s="34"/>
      <c r="AG1713" s="34"/>
      <c r="AH1713" s="34"/>
      <c r="AI1713" s="34"/>
      <c r="AJ1713" s="34"/>
      <c r="AK1713" s="34"/>
      <c r="AL1713" s="34"/>
      <c r="AM1713" s="34"/>
      <c r="AN1713" s="34"/>
      <c r="AO1713" s="34"/>
      <c r="AP1713" s="34"/>
      <c r="AQ1713" s="34"/>
      <c r="AR1713" s="34"/>
      <c r="AS1713" s="34"/>
      <c r="AT1713" s="34"/>
      <c r="AU1713" s="34"/>
      <c r="AV1713" s="34"/>
      <c r="AW1713" s="34"/>
      <c r="AX1713" s="34"/>
      <c r="AY1713" s="34"/>
      <c r="AZ1713" s="34"/>
      <c r="BA1713" s="34"/>
      <c r="BB1713" s="34"/>
      <c r="BC1713" s="34"/>
      <c r="BD1713" s="34"/>
      <c r="BE1713" s="34"/>
      <c r="BF1713" s="34"/>
      <c r="BG1713" s="34"/>
      <c r="BH1713" s="34"/>
      <c r="BI1713" s="34"/>
      <c r="BJ1713" s="34"/>
      <c r="BK1713" s="34"/>
      <c r="BL1713" s="34"/>
      <c r="BM1713" s="34"/>
      <c r="BN1713" s="34"/>
      <c r="BO1713" s="34"/>
      <c r="BP1713" s="34"/>
      <c r="BQ1713" s="34"/>
      <c r="BR1713" s="34"/>
      <c r="BS1713" s="34"/>
      <c r="BT1713" s="34"/>
      <c r="BU1713" s="34"/>
      <c r="BV1713" s="34"/>
      <c r="BW1713" s="34"/>
      <c r="BX1713" s="34"/>
      <c r="BY1713" s="34"/>
      <c r="BZ1713" s="34"/>
      <c r="CA1713" s="34"/>
      <c r="CB1713" s="34"/>
      <c r="CC1713" s="34"/>
      <c r="CD1713" s="34"/>
      <c r="CE1713" s="34"/>
      <c r="CF1713" s="34"/>
      <c r="CG1713" s="34"/>
      <c r="CH1713" s="34"/>
      <c r="CI1713" s="8"/>
    </row>
    <row r="1714" spans="1:87" x14ac:dyDescent="0.2">
      <c r="A1714" s="8" t="str">
        <f>IF(AND(COUNTIF(W$3:W$13,A$27)&gt;0,A$27&lt;&gt;B1562),A$27,IFERROR(IF(MATCH(A$27,Z$3:Z$13,0)=7,A$27," ")," "))</f>
        <v>C13</v>
      </c>
      <c r="B1714" s="8">
        <f>IF(A1714=" "," ",MAX(B1702:B1713)+1)</f>
        <v>4</v>
      </c>
      <c r="C1714" s="8"/>
      <c r="D1714" s="8"/>
      <c r="E1714" s="8"/>
      <c r="F1714" s="8"/>
      <c r="G1714" s="8"/>
      <c r="H1714" s="8"/>
      <c r="I1714" s="8"/>
      <c r="J1714" s="8"/>
      <c r="K1714" s="8"/>
      <c r="L1714" s="8"/>
      <c r="M1714" s="8"/>
      <c r="N1714" s="8"/>
      <c r="O1714" s="8"/>
      <c r="P1714" s="8"/>
      <c r="Q1714" s="8"/>
      <c r="R1714" s="8"/>
      <c r="S1714" s="8"/>
      <c r="U1714" s="34"/>
      <c r="V1714" s="34"/>
      <c r="W1714" s="34"/>
      <c r="X1714" s="34"/>
      <c r="Y1714" s="34"/>
      <c r="Z1714" s="34"/>
      <c r="AA1714" s="34"/>
      <c r="AB1714" s="34"/>
      <c r="AC1714" s="34"/>
      <c r="AD1714" s="34"/>
      <c r="AE1714" s="34"/>
      <c r="AF1714" s="34"/>
      <c r="AG1714" s="34"/>
      <c r="AH1714" s="34"/>
      <c r="AI1714" s="34"/>
      <c r="AJ1714" s="34"/>
      <c r="AK1714" s="34"/>
      <c r="AL1714" s="34"/>
      <c r="AM1714" s="34"/>
      <c r="AN1714" s="34"/>
      <c r="AO1714" s="34"/>
      <c r="AP1714" s="34"/>
      <c r="AQ1714" s="34"/>
      <c r="AR1714" s="34"/>
      <c r="AS1714" s="34"/>
      <c r="AT1714" s="34"/>
      <c r="AU1714" s="34"/>
      <c r="AV1714" s="34"/>
      <c r="AW1714" s="34"/>
      <c r="AX1714" s="34"/>
      <c r="AY1714" s="34"/>
      <c r="AZ1714" s="34"/>
      <c r="BA1714" s="34"/>
      <c r="BB1714" s="34"/>
      <c r="BC1714" s="34"/>
      <c r="BD1714" s="34"/>
      <c r="BE1714" s="34"/>
      <c r="BF1714" s="34"/>
      <c r="BG1714" s="34"/>
      <c r="BH1714" s="34"/>
      <c r="BI1714" s="34"/>
      <c r="BJ1714" s="34"/>
      <c r="BK1714" s="34"/>
      <c r="BL1714" s="34"/>
      <c r="BM1714" s="34"/>
      <c r="BN1714" s="34"/>
      <c r="BO1714" s="34"/>
      <c r="BP1714" s="34"/>
      <c r="BQ1714" s="34"/>
      <c r="BR1714" s="34"/>
      <c r="BS1714" s="34"/>
      <c r="BT1714" s="34"/>
      <c r="BU1714" s="34"/>
      <c r="BV1714" s="34"/>
      <c r="BW1714" s="34"/>
      <c r="BX1714" s="34"/>
      <c r="BY1714" s="34"/>
      <c r="BZ1714" s="34"/>
      <c r="CA1714" s="34"/>
      <c r="CB1714" s="34"/>
      <c r="CC1714" s="34"/>
      <c r="CD1714" s="34"/>
      <c r="CE1714" s="34"/>
      <c r="CF1714" s="34"/>
      <c r="CG1714" s="34"/>
      <c r="CH1714" s="34"/>
      <c r="CI1714" s="8"/>
    </row>
    <row r="1715" spans="1:87" x14ac:dyDescent="0.2">
      <c r="A1715" s="8" t="str">
        <f>IF(AND(COUNTIF(W$3:W$13,A$28)&gt;0,A$28&lt;&gt;B1562),A$28,IFERROR(IF(MATCH(A$28,Z$3:Z$13,0)=7,A$28," ")," "))</f>
        <v xml:space="preserve"> </v>
      </c>
      <c r="B1715" s="8" t="str">
        <f>IF(A1715=" "," ",MAX(B1702:B1714)+1)</f>
        <v xml:space="preserve"> </v>
      </c>
      <c r="C1715" s="8"/>
      <c r="D1715" s="8"/>
      <c r="E1715" s="8"/>
      <c r="F1715" s="8"/>
      <c r="G1715" s="8"/>
      <c r="H1715" s="8"/>
      <c r="I1715" s="8"/>
      <c r="J1715" s="8"/>
      <c r="K1715" s="8"/>
      <c r="L1715" s="8"/>
      <c r="M1715" s="8"/>
      <c r="N1715" s="8"/>
      <c r="O1715" s="8"/>
      <c r="P1715" s="8"/>
      <c r="Q1715" s="8"/>
      <c r="R1715" s="8"/>
      <c r="S1715" s="8"/>
      <c r="U1715" s="34"/>
      <c r="V1715" s="34"/>
      <c r="W1715" s="34"/>
      <c r="X1715" s="34"/>
      <c r="Y1715" s="34"/>
      <c r="Z1715" s="34"/>
      <c r="AA1715" s="34"/>
      <c r="AB1715" s="34"/>
      <c r="AC1715" s="34"/>
      <c r="AD1715" s="34"/>
      <c r="AE1715" s="34"/>
      <c r="AF1715" s="34"/>
      <c r="AG1715" s="34"/>
      <c r="AH1715" s="34"/>
      <c r="AI1715" s="34"/>
      <c r="AJ1715" s="34"/>
      <c r="AK1715" s="34"/>
      <c r="AL1715" s="34"/>
      <c r="AM1715" s="34"/>
      <c r="AN1715" s="34"/>
      <c r="AO1715" s="34"/>
      <c r="AP1715" s="34"/>
      <c r="AQ1715" s="34"/>
      <c r="AR1715" s="34"/>
      <c r="AS1715" s="34"/>
      <c r="AT1715" s="34"/>
      <c r="AU1715" s="34"/>
      <c r="AV1715" s="34"/>
      <c r="AW1715" s="34"/>
      <c r="AX1715" s="34"/>
      <c r="AY1715" s="34"/>
      <c r="AZ1715" s="34"/>
      <c r="BA1715" s="34"/>
      <c r="BB1715" s="34"/>
      <c r="BC1715" s="34"/>
      <c r="BD1715" s="34"/>
      <c r="BE1715" s="34"/>
      <c r="BF1715" s="34"/>
      <c r="BG1715" s="34"/>
      <c r="BH1715" s="34"/>
      <c r="BI1715" s="34"/>
      <c r="BJ1715" s="34"/>
      <c r="BK1715" s="34"/>
      <c r="BL1715" s="34"/>
      <c r="BM1715" s="34"/>
      <c r="BN1715" s="34"/>
      <c r="BO1715" s="34"/>
      <c r="BP1715" s="34"/>
      <c r="BQ1715" s="34"/>
      <c r="BR1715" s="34"/>
      <c r="BS1715" s="34"/>
      <c r="BT1715" s="34"/>
      <c r="BU1715" s="34"/>
      <c r="BV1715" s="34"/>
      <c r="BW1715" s="34"/>
      <c r="BX1715" s="34"/>
      <c r="BY1715" s="34"/>
      <c r="BZ1715" s="34"/>
      <c r="CA1715" s="34"/>
      <c r="CB1715" s="34"/>
      <c r="CC1715" s="34"/>
      <c r="CD1715" s="34"/>
      <c r="CE1715" s="34"/>
      <c r="CF1715" s="34"/>
      <c r="CG1715" s="34"/>
      <c r="CH1715" s="34"/>
      <c r="CI1715" s="8"/>
    </row>
    <row r="1716" spans="1:87" x14ac:dyDescent="0.2">
      <c r="A1716" s="8" t="str">
        <f>IF(AND(COUNTIF(W$3:W$13,A$29)&gt;0,A$29&lt;&gt;B1562),A$29,IFERROR(IF(MATCH(A$29,Z$3:Z$13,0)=7,A$29," ")," "))</f>
        <v>C15</v>
      </c>
      <c r="B1716" s="8">
        <f>IF(A1716=" "," ",MAX(B1702:B1715)+1)</f>
        <v>5</v>
      </c>
      <c r="C1716" s="8"/>
      <c r="D1716" s="8"/>
      <c r="E1716" s="8"/>
      <c r="F1716" s="8"/>
      <c r="G1716" s="8"/>
      <c r="H1716" s="8"/>
      <c r="I1716" s="8"/>
      <c r="J1716" s="8"/>
      <c r="K1716" s="8"/>
      <c r="L1716" s="8"/>
      <c r="M1716" s="8"/>
      <c r="N1716" s="8"/>
      <c r="O1716" s="8"/>
      <c r="P1716" s="8"/>
      <c r="Q1716" s="8"/>
      <c r="R1716" s="8"/>
      <c r="S1716" s="8"/>
      <c r="U1716" s="34"/>
      <c r="V1716" s="34"/>
      <c r="W1716" s="34"/>
      <c r="X1716" s="34"/>
      <c r="Y1716" s="34"/>
      <c r="Z1716" s="34"/>
      <c r="AA1716" s="34"/>
      <c r="AB1716" s="34"/>
      <c r="AC1716" s="34"/>
      <c r="AD1716" s="34"/>
      <c r="AE1716" s="34"/>
      <c r="AF1716" s="34"/>
      <c r="AG1716" s="34"/>
      <c r="AH1716" s="34"/>
      <c r="AI1716" s="34"/>
      <c r="AJ1716" s="34"/>
      <c r="AK1716" s="34"/>
      <c r="AL1716" s="34"/>
      <c r="AM1716" s="34"/>
      <c r="AN1716" s="34"/>
      <c r="AO1716" s="34"/>
      <c r="AP1716" s="34"/>
      <c r="AQ1716" s="34"/>
      <c r="AR1716" s="34"/>
      <c r="AS1716" s="34"/>
      <c r="AT1716" s="34"/>
      <c r="AU1716" s="34"/>
      <c r="AV1716" s="34"/>
      <c r="AW1716" s="34"/>
      <c r="AX1716" s="34"/>
      <c r="AY1716" s="34"/>
      <c r="AZ1716" s="34"/>
      <c r="BA1716" s="34"/>
      <c r="BB1716" s="34"/>
      <c r="BC1716" s="34"/>
      <c r="BD1716" s="34"/>
      <c r="BE1716" s="34"/>
      <c r="BF1716" s="34"/>
      <c r="BG1716" s="34"/>
      <c r="BH1716" s="34"/>
      <c r="BI1716" s="34"/>
      <c r="BJ1716" s="34"/>
      <c r="BK1716" s="34"/>
      <c r="BL1716" s="34"/>
      <c r="BM1716" s="34"/>
      <c r="BN1716" s="34"/>
      <c r="BO1716" s="34"/>
      <c r="BP1716" s="34"/>
      <c r="BQ1716" s="34"/>
      <c r="BR1716" s="34"/>
      <c r="BS1716" s="34"/>
      <c r="BT1716" s="34"/>
      <c r="BU1716" s="34"/>
      <c r="BV1716" s="34"/>
      <c r="BW1716" s="34"/>
      <c r="BX1716" s="34"/>
      <c r="BY1716" s="34"/>
      <c r="BZ1716" s="34"/>
      <c r="CA1716" s="34"/>
      <c r="CB1716" s="34"/>
      <c r="CC1716" s="34"/>
      <c r="CD1716" s="34"/>
      <c r="CE1716" s="34"/>
      <c r="CF1716" s="34"/>
      <c r="CG1716" s="34"/>
      <c r="CH1716" s="34"/>
      <c r="CI1716" s="8"/>
    </row>
    <row r="1717" spans="1:87" x14ac:dyDescent="0.2">
      <c r="A1717" s="8" t="str">
        <f>IF(AND(COUNTIF(W$3:W$13,A$30)&gt;0,A$30&lt;&gt;B1562),A$30,IFERROR(IF(MATCH(A$30,Z$3:Z$13,0)=7,A$30," ")," "))</f>
        <v>C16</v>
      </c>
      <c r="B1717" s="8">
        <f>IF(A1717=" "," ",MAX(B1702:B1716)+1)</f>
        <v>6</v>
      </c>
      <c r="C1717" s="8"/>
      <c r="D1717" s="8"/>
      <c r="E1717" s="8"/>
      <c r="F1717" s="8"/>
      <c r="G1717" s="8"/>
      <c r="H1717" s="8"/>
      <c r="I1717" s="8"/>
      <c r="J1717" s="8"/>
      <c r="K1717" s="8"/>
      <c r="L1717" s="8"/>
      <c r="M1717" s="8"/>
      <c r="N1717" s="8"/>
      <c r="O1717" s="8"/>
      <c r="P1717" s="8"/>
      <c r="Q1717" s="8"/>
      <c r="R1717" s="8"/>
      <c r="S1717" s="8"/>
      <c r="U1717" s="34"/>
      <c r="V1717" s="34"/>
      <c r="W1717" s="34"/>
      <c r="X1717" s="34"/>
      <c r="Y1717" s="34"/>
      <c r="Z1717" s="34"/>
      <c r="AA1717" s="34"/>
      <c r="AB1717" s="34"/>
      <c r="AC1717" s="34"/>
      <c r="AD1717" s="34"/>
      <c r="AE1717" s="34"/>
      <c r="AF1717" s="34"/>
      <c r="AG1717" s="34"/>
      <c r="AH1717" s="34"/>
      <c r="AI1717" s="34"/>
      <c r="AJ1717" s="34"/>
      <c r="AK1717" s="34"/>
      <c r="AL1717" s="34"/>
      <c r="AM1717" s="34"/>
      <c r="AN1717" s="34"/>
      <c r="AO1717" s="34"/>
      <c r="AP1717" s="34"/>
      <c r="AQ1717" s="34"/>
      <c r="AR1717" s="34"/>
      <c r="AS1717" s="34"/>
      <c r="AT1717" s="34"/>
      <c r="AU1717" s="34"/>
      <c r="AV1717" s="34"/>
      <c r="AW1717" s="34"/>
      <c r="AX1717" s="34"/>
      <c r="AY1717" s="34"/>
      <c r="AZ1717" s="34"/>
      <c r="BA1717" s="34"/>
      <c r="BB1717" s="34"/>
      <c r="BC1717" s="34"/>
      <c r="BD1717" s="34"/>
      <c r="BE1717" s="34"/>
      <c r="BF1717" s="34"/>
      <c r="BG1717" s="34"/>
      <c r="BH1717" s="34"/>
      <c r="BI1717" s="34"/>
      <c r="BJ1717" s="34"/>
      <c r="BK1717" s="34"/>
      <c r="BL1717" s="34"/>
      <c r="BM1717" s="34"/>
      <c r="BN1717" s="34"/>
      <c r="BO1717" s="34"/>
      <c r="BP1717" s="34"/>
      <c r="BQ1717" s="34"/>
      <c r="BR1717" s="34"/>
      <c r="BS1717" s="34"/>
      <c r="BT1717" s="34"/>
      <c r="BU1717" s="34"/>
      <c r="BV1717" s="34"/>
      <c r="BW1717" s="34"/>
      <c r="BX1717" s="34"/>
      <c r="BY1717" s="34"/>
      <c r="BZ1717" s="34"/>
      <c r="CA1717" s="34"/>
      <c r="CB1717" s="34"/>
      <c r="CC1717" s="34"/>
      <c r="CD1717" s="34"/>
      <c r="CE1717" s="34"/>
      <c r="CF1717" s="34"/>
      <c r="CG1717" s="34"/>
      <c r="CH1717" s="34"/>
      <c r="CI1717" s="8"/>
    </row>
    <row r="1718" spans="1:87" x14ac:dyDescent="0.2">
      <c r="A1718" s="8" t="str">
        <f>IF(AND(COUNTIF(W$3:W$13,A$31)&gt;0,A$31&lt;&gt;B1562),A$31,IFERROR(IF(MATCH(A$31,Z$3:Z$13,0)=7,A$31," ")," "))</f>
        <v>C17</v>
      </c>
      <c r="B1718" s="8">
        <f>IF(A1718=" "," ",MAX(B1702:B1717)+1)</f>
        <v>7</v>
      </c>
      <c r="C1718" s="8"/>
      <c r="D1718" s="8"/>
      <c r="E1718" s="8"/>
      <c r="F1718" s="8"/>
      <c r="G1718" s="8"/>
      <c r="H1718" s="8"/>
      <c r="I1718" s="8"/>
      <c r="J1718" s="8"/>
      <c r="K1718" s="8"/>
      <c r="L1718" s="8"/>
      <c r="M1718" s="8"/>
      <c r="N1718" s="8"/>
      <c r="O1718" s="8"/>
      <c r="P1718" s="8"/>
      <c r="Q1718" s="8"/>
      <c r="R1718" s="8"/>
      <c r="S1718" s="8"/>
      <c r="U1718" s="34"/>
      <c r="V1718" s="34"/>
      <c r="W1718" s="34"/>
      <c r="X1718" s="34"/>
      <c r="Y1718" s="34"/>
      <c r="Z1718" s="34"/>
      <c r="AA1718" s="34"/>
      <c r="AB1718" s="34"/>
      <c r="AC1718" s="34"/>
      <c r="AD1718" s="34"/>
      <c r="AE1718" s="34"/>
      <c r="AF1718" s="34"/>
      <c r="AG1718" s="34"/>
      <c r="AH1718" s="34"/>
      <c r="AI1718" s="34"/>
      <c r="AJ1718" s="34"/>
      <c r="AK1718" s="34"/>
      <c r="AL1718" s="34"/>
      <c r="AM1718" s="34"/>
      <c r="AN1718" s="34"/>
      <c r="AO1718" s="34"/>
      <c r="AP1718" s="34"/>
      <c r="AQ1718" s="34"/>
      <c r="AR1718" s="34"/>
      <c r="AS1718" s="34"/>
      <c r="AT1718" s="34"/>
      <c r="AU1718" s="34"/>
      <c r="AV1718" s="34"/>
      <c r="AW1718" s="34"/>
      <c r="AX1718" s="34"/>
      <c r="AY1718" s="34"/>
      <c r="AZ1718" s="34"/>
      <c r="BA1718" s="34"/>
      <c r="BB1718" s="34"/>
      <c r="BC1718" s="34"/>
      <c r="BD1718" s="34"/>
      <c r="BE1718" s="34"/>
      <c r="BF1718" s="34"/>
      <c r="BG1718" s="34"/>
      <c r="BH1718" s="34"/>
      <c r="BI1718" s="34"/>
      <c r="BJ1718" s="34"/>
      <c r="BK1718" s="34"/>
      <c r="BL1718" s="34"/>
      <c r="BM1718" s="34"/>
      <c r="BN1718" s="34"/>
      <c r="BO1718" s="34"/>
      <c r="BP1718" s="34"/>
      <c r="BQ1718" s="34"/>
      <c r="BR1718" s="34"/>
      <c r="BS1718" s="34"/>
      <c r="BT1718" s="34"/>
      <c r="BU1718" s="34"/>
      <c r="BV1718" s="34"/>
      <c r="BW1718" s="34"/>
      <c r="BX1718" s="34"/>
      <c r="BY1718" s="34"/>
      <c r="BZ1718" s="34"/>
      <c r="CA1718" s="34"/>
      <c r="CB1718" s="34"/>
      <c r="CC1718" s="34"/>
      <c r="CD1718" s="34"/>
      <c r="CE1718" s="34"/>
      <c r="CF1718" s="34"/>
      <c r="CG1718" s="34"/>
      <c r="CH1718" s="34"/>
      <c r="CI1718" s="8"/>
    </row>
    <row r="1719" spans="1:87" x14ac:dyDescent="0.2">
      <c r="A1719" s="8" t="str">
        <f>IF(AND(COUNTIF(W$3:W$13,A$32)&gt;0,A$32&lt;&gt;B1562),A$32,IFERROR(IF(MATCH(A$32,Z$3:Z$13,0)=7,A$32," ")," "))</f>
        <v xml:space="preserve"> </v>
      </c>
      <c r="B1719" s="8" t="str">
        <f>IF(A1719=" "," ",MAX(B1702:B1718)+1)</f>
        <v xml:space="preserve"> </v>
      </c>
      <c r="C1719" s="8"/>
      <c r="D1719" s="8"/>
      <c r="E1719" s="8"/>
      <c r="F1719" s="8"/>
      <c r="G1719" s="8"/>
      <c r="H1719" s="8"/>
      <c r="I1719" s="8"/>
      <c r="J1719" s="8"/>
      <c r="K1719" s="8"/>
      <c r="L1719" s="8"/>
      <c r="M1719" s="8"/>
      <c r="N1719" s="8"/>
      <c r="O1719" s="8"/>
      <c r="P1719" s="8"/>
      <c r="Q1719" s="8"/>
      <c r="R1719" s="8"/>
      <c r="S1719" s="8"/>
      <c r="U1719" s="34"/>
      <c r="V1719" s="34"/>
      <c r="W1719" s="34"/>
      <c r="X1719" s="34"/>
      <c r="Y1719" s="34"/>
      <c r="Z1719" s="34"/>
      <c r="AA1719" s="34"/>
      <c r="AB1719" s="34"/>
      <c r="AC1719" s="34"/>
      <c r="AD1719" s="34"/>
      <c r="AE1719" s="34"/>
      <c r="AF1719" s="34"/>
      <c r="AG1719" s="34"/>
      <c r="AH1719" s="34"/>
      <c r="AI1719" s="34"/>
      <c r="AJ1719" s="34"/>
      <c r="AK1719" s="34"/>
      <c r="AL1719" s="34"/>
      <c r="AM1719" s="34"/>
      <c r="AN1719" s="34"/>
      <c r="AO1719" s="34"/>
      <c r="AP1719" s="34"/>
      <c r="AQ1719" s="34"/>
      <c r="AR1719" s="34"/>
      <c r="AS1719" s="34"/>
      <c r="AT1719" s="34"/>
      <c r="AU1719" s="34"/>
      <c r="AV1719" s="34"/>
      <c r="AW1719" s="34"/>
      <c r="AX1719" s="34"/>
      <c r="AY1719" s="34"/>
      <c r="AZ1719" s="34"/>
      <c r="BA1719" s="34"/>
      <c r="BB1719" s="34"/>
      <c r="BC1719" s="34"/>
      <c r="BD1719" s="34"/>
      <c r="BE1719" s="34"/>
      <c r="BF1719" s="34"/>
      <c r="BG1719" s="34"/>
      <c r="BH1719" s="34"/>
      <c r="BI1719" s="34"/>
      <c r="BJ1719" s="34"/>
      <c r="BK1719" s="34"/>
      <c r="BL1719" s="34"/>
      <c r="BM1719" s="34"/>
      <c r="BN1719" s="34"/>
      <c r="BO1719" s="34"/>
      <c r="BP1719" s="34"/>
      <c r="BQ1719" s="34"/>
      <c r="BR1719" s="34"/>
      <c r="BS1719" s="34"/>
      <c r="BT1719" s="34"/>
      <c r="BU1719" s="34"/>
      <c r="BV1719" s="34"/>
      <c r="BW1719" s="34"/>
      <c r="BX1719" s="34"/>
      <c r="BY1719" s="34"/>
      <c r="BZ1719" s="34"/>
      <c r="CA1719" s="34"/>
      <c r="CB1719" s="34"/>
      <c r="CC1719" s="34"/>
      <c r="CD1719" s="34"/>
      <c r="CE1719" s="34"/>
      <c r="CF1719" s="34"/>
      <c r="CG1719" s="34"/>
      <c r="CH1719" s="34"/>
      <c r="CI1719" s="8"/>
    </row>
    <row r="1720" spans="1:87" x14ac:dyDescent="0.2">
      <c r="A1720" s="8" t="str">
        <f>IF(AND(COUNTIF(W$3:W$13,A$33)&gt;0,A$33&lt;&gt;B1562),A$33,IFERROR(IF(MATCH(A$33,Z$3:Z$13,0)=7,A$33," ")," "))</f>
        <v>C19</v>
      </c>
      <c r="B1720" s="8">
        <f>IF(A1720=" "," ",MAX(B1702:B1719)+1)</f>
        <v>8</v>
      </c>
      <c r="C1720" s="8"/>
      <c r="D1720" s="8"/>
      <c r="E1720" s="8"/>
      <c r="F1720" s="8"/>
      <c r="G1720" s="8"/>
      <c r="H1720" s="8"/>
      <c r="I1720" s="8"/>
      <c r="J1720" s="8"/>
      <c r="K1720" s="8"/>
      <c r="L1720" s="8"/>
      <c r="M1720" s="8"/>
      <c r="N1720" s="8"/>
      <c r="O1720" s="8"/>
      <c r="P1720" s="8"/>
      <c r="Q1720" s="8"/>
      <c r="R1720" s="8"/>
      <c r="S1720" s="8"/>
      <c r="U1720" s="34"/>
      <c r="V1720" s="34"/>
      <c r="W1720" s="34"/>
      <c r="X1720" s="34"/>
      <c r="Y1720" s="34"/>
      <c r="Z1720" s="34"/>
      <c r="AA1720" s="34"/>
      <c r="AB1720" s="34"/>
      <c r="AC1720" s="34"/>
      <c r="AD1720" s="34"/>
      <c r="AE1720" s="34"/>
      <c r="AF1720" s="34"/>
      <c r="AG1720" s="34"/>
      <c r="AH1720" s="34"/>
      <c r="AI1720" s="34"/>
      <c r="AJ1720" s="34"/>
      <c r="AK1720" s="34"/>
      <c r="AL1720" s="34"/>
      <c r="AM1720" s="34"/>
      <c r="AN1720" s="34"/>
      <c r="AO1720" s="34"/>
      <c r="AP1720" s="34"/>
      <c r="AQ1720" s="34"/>
      <c r="AR1720" s="34"/>
      <c r="AS1720" s="34"/>
      <c r="AT1720" s="34"/>
      <c r="AU1720" s="34"/>
      <c r="AV1720" s="34"/>
      <c r="AW1720" s="34"/>
      <c r="AX1720" s="34"/>
      <c r="AY1720" s="34"/>
      <c r="AZ1720" s="34"/>
      <c r="BA1720" s="34"/>
      <c r="BB1720" s="34"/>
      <c r="BC1720" s="34"/>
      <c r="BD1720" s="34"/>
      <c r="BE1720" s="34"/>
      <c r="BF1720" s="34"/>
      <c r="BG1720" s="34"/>
      <c r="BH1720" s="34"/>
      <c r="BI1720" s="34"/>
      <c r="BJ1720" s="34"/>
      <c r="BK1720" s="34"/>
      <c r="BL1720" s="34"/>
      <c r="BM1720" s="34"/>
      <c r="BN1720" s="34"/>
      <c r="BO1720" s="34"/>
      <c r="BP1720" s="34"/>
      <c r="BQ1720" s="34"/>
      <c r="BR1720" s="34"/>
      <c r="BS1720" s="34"/>
      <c r="BT1720" s="34"/>
      <c r="BU1720" s="34"/>
      <c r="BV1720" s="34"/>
      <c r="BW1720" s="34"/>
      <c r="BX1720" s="34"/>
      <c r="BY1720" s="34"/>
      <c r="BZ1720" s="34"/>
      <c r="CA1720" s="34"/>
      <c r="CB1720" s="34"/>
      <c r="CC1720" s="34"/>
      <c r="CD1720" s="34"/>
      <c r="CE1720" s="34"/>
      <c r="CF1720" s="34"/>
      <c r="CG1720" s="34"/>
      <c r="CH1720" s="34"/>
      <c r="CI1720" s="8"/>
    </row>
    <row r="1721" spans="1:87" x14ac:dyDescent="0.2">
      <c r="A1721" s="8" t="str">
        <f>IF(AND(COUNTIF(W$3:W$13,A$34)&gt;0,A$34&lt;&gt;B1562),A$34,IFERROR(IF(MATCH(A$34,Z$3:Z$13,0)=7,A$34," ")," "))</f>
        <v>C20</v>
      </c>
      <c r="B1721" s="8">
        <f>IF(A1721=" "," ",MAX(B1702:B1720)+1)</f>
        <v>9</v>
      </c>
      <c r="C1721" s="8"/>
      <c r="D1721" s="8"/>
      <c r="E1721" s="8"/>
      <c r="F1721" s="8"/>
      <c r="G1721" s="8"/>
      <c r="H1721" s="8"/>
      <c r="I1721" s="8"/>
      <c r="J1721" s="8"/>
      <c r="K1721" s="8"/>
      <c r="L1721" s="8"/>
      <c r="M1721" s="8"/>
      <c r="N1721" s="8"/>
      <c r="O1721" s="8"/>
      <c r="P1721" s="8"/>
      <c r="Q1721" s="8"/>
      <c r="R1721" s="8"/>
      <c r="S1721" s="8"/>
      <c r="U1721" s="34"/>
      <c r="V1721" s="34"/>
      <c r="W1721" s="34"/>
      <c r="X1721" s="34"/>
      <c r="Y1721" s="34"/>
      <c r="Z1721" s="34"/>
      <c r="AA1721" s="34"/>
      <c r="AB1721" s="34"/>
      <c r="AC1721" s="34"/>
      <c r="AD1721" s="34"/>
      <c r="AE1721" s="34"/>
      <c r="AF1721" s="34"/>
      <c r="AG1721" s="34"/>
      <c r="AH1721" s="34"/>
      <c r="AI1721" s="34"/>
      <c r="AJ1721" s="34"/>
      <c r="AK1721" s="34"/>
      <c r="AL1721" s="34"/>
      <c r="AM1721" s="34"/>
      <c r="AN1721" s="34"/>
      <c r="AO1721" s="34"/>
      <c r="AP1721" s="34"/>
      <c r="AQ1721" s="34"/>
      <c r="AR1721" s="34"/>
      <c r="AS1721" s="34"/>
      <c r="AT1721" s="34"/>
      <c r="AU1721" s="34"/>
      <c r="AV1721" s="34"/>
      <c r="AW1721" s="34"/>
      <c r="AX1721" s="34"/>
      <c r="AY1721" s="34"/>
      <c r="AZ1721" s="34"/>
      <c r="BA1721" s="34"/>
      <c r="BB1721" s="34"/>
      <c r="BC1721" s="34"/>
      <c r="BD1721" s="34"/>
      <c r="BE1721" s="34"/>
      <c r="BF1721" s="34"/>
      <c r="BG1721" s="34"/>
      <c r="BH1721" s="34"/>
      <c r="BI1721" s="34"/>
      <c r="BJ1721" s="34"/>
      <c r="BK1721" s="34"/>
      <c r="BL1721" s="34"/>
      <c r="BM1721" s="34"/>
      <c r="BN1721" s="34"/>
      <c r="BO1721" s="34"/>
      <c r="BP1721" s="34"/>
      <c r="BQ1721" s="34"/>
      <c r="BR1721" s="34"/>
      <c r="BS1721" s="34"/>
      <c r="BT1721" s="34"/>
      <c r="BU1721" s="34"/>
      <c r="BV1721" s="34"/>
      <c r="BW1721" s="34"/>
      <c r="BX1721" s="34"/>
      <c r="BY1721" s="34"/>
      <c r="BZ1721" s="34"/>
      <c r="CA1721" s="34"/>
      <c r="CB1721" s="34"/>
      <c r="CC1721" s="34"/>
      <c r="CD1721" s="34"/>
      <c r="CE1721" s="34"/>
      <c r="CF1721" s="34"/>
      <c r="CG1721" s="34"/>
      <c r="CH1721" s="34"/>
      <c r="CI1721" s="8"/>
    </row>
    <row r="1722" spans="1:87" x14ac:dyDescent="0.2">
      <c r="A1722" s="8" t="str">
        <f>IF(AND(COUNTIF(W$3:W$13,A$35)&gt;0,A$35&lt;&gt;B1562),A$35,IFERROR(IF(MATCH(A$35,Z$3:Z$13,0)=7,A$35," ")," "))</f>
        <v>C21</v>
      </c>
      <c r="B1722" s="8">
        <f>IF(A1722=" "," ",MAX(B1702:B1721)+1)</f>
        <v>10</v>
      </c>
      <c r="C1722" s="8"/>
      <c r="D1722" s="8"/>
      <c r="E1722" s="8"/>
      <c r="F1722" s="8"/>
      <c r="G1722" s="8"/>
      <c r="H1722" s="8"/>
      <c r="I1722" s="8"/>
      <c r="J1722" s="8"/>
      <c r="K1722" s="8"/>
      <c r="L1722" s="8"/>
      <c r="M1722" s="8"/>
      <c r="N1722" s="8"/>
      <c r="O1722" s="8"/>
      <c r="P1722" s="8"/>
      <c r="Q1722" s="8"/>
      <c r="R1722" s="8"/>
      <c r="S1722" s="8"/>
      <c r="U1722" s="34"/>
      <c r="V1722" s="34"/>
      <c r="W1722" s="34"/>
      <c r="X1722" s="34"/>
      <c r="Y1722" s="34"/>
      <c r="Z1722" s="34"/>
      <c r="AA1722" s="34"/>
      <c r="AB1722" s="34"/>
      <c r="AC1722" s="34"/>
      <c r="AD1722" s="34"/>
      <c r="AE1722" s="34"/>
      <c r="AF1722" s="34"/>
      <c r="AG1722" s="34"/>
      <c r="AH1722" s="34"/>
      <c r="AI1722" s="34"/>
      <c r="AJ1722" s="34"/>
      <c r="AK1722" s="34"/>
      <c r="AL1722" s="34"/>
      <c r="AM1722" s="34"/>
      <c r="AN1722" s="34"/>
      <c r="AO1722" s="34"/>
      <c r="AP1722" s="34"/>
      <c r="AQ1722" s="34"/>
      <c r="AR1722" s="34"/>
      <c r="AS1722" s="34"/>
      <c r="AT1722" s="34"/>
      <c r="AU1722" s="34"/>
      <c r="AV1722" s="34"/>
      <c r="AW1722" s="34"/>
      <c r="AX1722" s="34"/>
      <c r="AY1722" s="34"/>
      <c r="AZ1722" s="34"/>
      <c r="BA1722" s="34"/>
      <c r="BB1722" s="34"/>
      <c r="BC1722" s="34"/>
      <c r="BD1722" s="34"/>
      <c r="BE1722" s="34"/>
      <c r="BF1722" s="34"/>
      <c r="BG1722" s="34"/>
      <c r="BH1722" s="34"/>
      <c r="BI1722" s="34"/>
      <c r="BJ1722" s="34"/>
      <c r="BK1722" s="34"/>
      <c r="BL1722" s="34"/>
      <c r="BM1722" s="34"/>
      <c r="BN1722" s="34"/>
      <c r="BO1722" s="34"/>
      <c r="BP1722" s="34"/>
      <c r="BQ1722" s="34"/>
      <c r="BR1722" s="34"/>
      <c r="BS1722" s="34"/>
      <c r="BT1722" s="34"/>
      <c r="BU1722" s="34"/>
      <c r="BV1722" s="34"/>
      <c r="BW1722" s="34"/>
      <c r="BX1722" s="34"/>
      <c r="BY1722" s="34"/>
      <c r="BZ1722" s="34"/>
      <c r="CA1722" s="34"/>
      <c r="CB1722" s="34"/>
      <c r="CC1722" s="34"/>
      <c r="CD1722" s="34"/>
      <c r="CE1722" s="34"/>
      <c r="CF1722" s="34"/>
      <c r="CG1722" s="34"/>
      <c r="CH1722" s="34"/>
      <c r="CI1722" s="8"/>
    </row>
    <row r="1723" spans="1:87" x14ac:dyDescent="0.2">
      <c r="A1723" s="8" t="str">
        <f>IF(AND(COUNTIF(W$3:W$13,A$36)&gt;0,A$36&lt;&gt;B1562),A$36,IFERROR(IF(MATCH(A$36,Z$3:Z$13,0)=7,A$36," ")," "))</f>
        <v>C22</v>
      </c>
      <c r="B1723" s="8">
        <f>IF(A1723=" "," ",MAX(B1702:B1722)+1)</f>
        <v>11</v>
      </c>
      <c r="C1723" s="8"/>
      <c r="D1723" s="8"/>
      <c r="E1723" s="8"/>
      <c r="F1723" s="8"/>
      <c r="G1723" s="8"/>
      <c r="H1723" s="8"/>
      <c r="I1723" s="8"/>
      <c r="J1723" s="8"/>
      <c r="K1723" s="8"/>
      <c r="L1723" s="8"/>
      <c r="M1723" s="8"/>
      <c r="N1723" s="8"/>
      <c r="O1723" s="8"/>
      <c r="P1723" s="8"/>
      <c r="Q1723" s="8"/>
      <c r="R1723" s="8"/>
      <c r="S1723" s="8"/>
      <c r="U1723" s="34"/>
      <c r="V1723" s="34"/>
      <c r="W1723" s="34"/>
      <c r="X1723" s="34"/>
      <c r="Y1723" s="34"/>
      <c r="Z1723" s="34"/>
      <c r="AA1723" s="34"/>
      <c r="AB1723" s="34"/>
      <c r="AC1723" s="34"/>
      <c r="AD1723" s="34"/>
      <c r="AE1723" s="34"/>
      <c r="AF1723" s="34"/>
      <c r="AG1723" s="34"/>
      <c r="AH1723" s="34"/>
      <c r="AI1723" s="34"/>
      <c r="AJ1723" s="34"/>
      <c r="AK1723" s="34"/>
      <c r="AL1723" s="34"/>
      <c r="AM1723" s="34"/>
      <c r="AN1723" s="34"/>
      <c r="AO1723" s="34"/>
      <c r="AP1723" s="34"/>
      <c r="AQ1723" s="34"/>
      <c r="AR1723" s="34"/>
      <c r="AS1723" s="34"/>
      <c r="AT1723" s="34"/>
      <c r="AU1723" s="34"/>
      <c r="AV1723" s="34"/>
      <c r="AW1723" s="34"/>
      <c r="AX1723" s="34"/>
      <c r="AY1723" s="34"/>
      <c r="AZ1723" s="34"/>
      <c r="BA1723" s="34"/>
      <c r="BB1723" s="34"/>
      <c r="BC1723" s="34"/>
      <c r="BD1723" s="34"/>
      <c r="BE1723" s="34"/>
      <c r="BF1723" s="34"/>
      <c r="BG1723" s="34"/>
      <c r="BH1723" s="34"/>
      <c r="BI1723" s="34"/>
      <c r="BJ1723" s="34"/>
      <c r="BK1723" s="34"/>
      <c r="BL1723" s="34"/>
      <c r="BM1723" s="34"/>
      <c r="BN1723" s="34"/>
      <c r="BO1723" s="34"/>
      <c r="BP1723" s="34"/>
      <c r="BQ1723" s="34"/>
      <c r="BR1723" s="34"/>
      <c r="BS1723" s="34"/>
      <c r="BT1723" s="34"/>
      <c r="BU1723" s="34"/>
      <c r="BV1723" s="34"/>
      <c r="BW1723" s="34"/>
      <c r="BX1723" s="34"/>
      <c r="BY1723" s="34"/>
      <c r="BZ1723" s="34"/>
      <c r="CA1723" s="34"/>
      <c r="CB1723" s="34"/>
      <c r="CC1723" s="34"/>
      <c r="CD1723" s="34"/>
      <c r="CE1723" s="34"/>
      <c r="CF1723" s="34"/>
      <c r="CG1723" s="34"/>
      <c r="CH1723" s="34"/>
      <c r="CI1723" s="8"/>
    </row>
    <row r="1724" spans="1:87" x14ac:dyDescent="0.2">
      <c r="A1724" s="11" t="s">
        <v>17</v>
      </c>
      <c r="B1724" s="11"/>
      <c r="C1724" s="27" t="s">
        <v>18</v>
      </c>
      <c r="D1724" s="27" t="s">
        <v>2</v>
      </c>
      <c r="E1724" s="27" t="s">
        <v>6</v>
      </c>
      <c r="F1724" s="27" t="s">
        <v>15</v>
      </c>
      <c r="G1724" s="27" t="s">
        <v>36</v>
      </c>
      <c r="H1724" s="27" t="s">
        <v>37</v>
      </c>
      <c r="I1724" s="27" t="s">
        <v>38</v>
      </c>
      <c r="J1724" s="27" t="s">
        <v>39</v>
      </c>
      <c r="K1724" s="27" t="s">
        <v>40</v>
      </c>
      <c r="L1724" s="27" t="s">
        <v>41</v>
      </c>
      <c r="M1724" s="27" t="s">
        <v>42</v>
      </c>
      <c r="N1724" s="27" t="s">
        <v>43</v>
      </c>
      <c r="O1724" s="27" t="s">
        <v>9</v>
      </c>
      <c r="P1724" s="27" t="s">
        <v>12</v>
      </c>
      <c r="Q1724" s="27" t="s">
        <v>19</v>
      </c>
      <c r="R1724" s="27" t="s">
        <v>55</v>
      </c>
      <c r="S1724" s="27" t="s">
        <v>26</v>
      </c>
      <c r="T1724" s="19" t="s">
        <v>25</v>
      </c>
      <c r="U1724" s="33" t="s">
        <v>27</v>
      </c>
      <c r="V1724" s="33" t="s">
        <v>9</v>
      </c>
      <c r="W1724" s="33" t="s">
        <v>23</v>
      </c>
      <c r="X1724" s="33" t="s">
        <v>12</v>
      </c>
      <c r="Y1724" s="33" t="s">
        <v>26</v>
      </c>
      <c r="Z1724" s="33" t="s">
        <v>25</v>
      </c>
      <c r="AA1724" s="33" t="s">
        <v>27</v>
      </c>
      <c r="AB1724" s="33" t="s">
        <v>9</v>
      </c>
      <c r="AC1724" s="33" t="s">
        <v>23</v>
      </c>
      <c r="AD1724" s="33" t="s">
        <v>12</v>
      </c>
      <c r="AE1724" s="33" t="s">
        <v>26</v>
      </c>
      <c r="AF1724" s="33" t="s">
        <v>25</v>
      </c>
      <c r="AG1724" s="33" t="s">
        <v>27</v>
      </c>
      <c r="AH1724" s="33" t="s">
        <v>9</v>
      </c>
      <c r="AI1724" s="33" t="s">
        <v>23</v>
      </c>
      <c r="AJ1724" s="33" t="s">
        <v>12</v>
      </c>
      <c r="AK1724" s="33" t="s">
        <v>26</v>
      </c>
      <c r="AL1724" s="33" t="s">
        <v>25</v>
      </c>
      <c r="AM1724" s="33" t="s">
        <v>27</v>
      </c>
      <c r="AN1724" s="33" t="s">
        <v>9</v>
      </c>
      <c r="AO1724" s="33" t="s">
        <v>23</v>
      </c>
      <c r="AP1724" s="33" t="s">
        <v>12</v>
      </c>
      <c r="AQ1724" s="33" t="s">
        <v>26</v>
      </c>
      <c r="AR1724" s="33" t="s">
        <v>25</v>
      </c>
      <c r="AS1724" s="33" t="s">
        <v>27</v>
      </c>
      <c r="AT1724" s="33" t="s">
        <v>9</v>
      </c>
      <c r="AU1724" s="33" t="s">
        <v>23</v>
      </c>
      <c r="AV1724" s="33" t="s">
        <v>12</v>
      </c>
      <c r="AW1724" s="33" t="s">
        <v>26</v>
      </c>
      <c r="AX1724" s="33" t="s">
        <v>25</v>
      </c>
      <c r="AY1724" s="33" t="s">
        <v>27</v>
      </c>
      <c r="AZ1724" s="33" t="s">
        <v>9</v>
      </c>
      <c r="BA1724" s="33" t="s">
        <v>23</v>
      </c>
      <c r="BB1724" s="33" t="s">
        <v>12</v>
      </c>
      <c r="BC1724" s="33" t="s">
        <v>26</v>
      </c>
      <c r="BD1724" s="33" t="s">
        <v>25</v>
      </c>
      <c r="BE1724" s="33" t="s">
        <v>27</v>
      </c>
      <c r="BF1724" s="33" t="s">
        <v>9</v>
      </c>
      <c r="BG1724" s="33" t="s">
        <v>23</v>
      </c>
      <c r="BH1724" s="33" t="s">
        <v>12</v>
      </c>
      <c r="BI1724" s="33" t="s">
        <v>26</v>
      </c>
      <c r="BJ1724" s="33" t="s">
        <v>25</v>
      </c>
      <c r="BK1724" s="33" t="s">
        <v>27</v>
      </c>
      <c r="BL1724" s="33" t="s">
        <v>9</v>
      </c>
      <c r="BM1724" s="33" t="s">
        <v>23</v>
      </c>
      <c r="BN1724" s="33" t="s">
        <v>12</v>
      </c>
      <c r="BO1724" s="33" t="s">
        <v>26</v>
      </c>
      <c r="BP1724" s="33" t="s">
        <v>25</v>
      </c>
      <c r="BQ1724" s="33" t="s">
        <v>27</v>
      </c>
      <c r="BR1724" s="33" t="s">
        <v>9</v>
      </c>
      <c r="BS1724" s="33" t="s">
        <v>23</v>
      </c>
      <c r="BT1724" s="33" t="s">
        <v>12</v>
      </c>
      <c r="BU1724" s="33" t="s">
        <v>26</v>
      </c>
      <c r="BV1724" s="33" t="s">
        <v>25</v>
      </c>
      <c r="BW1724" s="33" t="s">
        <v>27</v>
      </c>
      <c r="BX1724" s="33" t="s">
        <v>9</v>
      </c>
      <c r="BY1724" s="33" t="s">
        <v>23</v>
      </c>
      <c r="BZ1724" s="33" t="s">
        <v>12</v>
      </c>
      <c r="CA1724" s="33" t="s">
        <v>26</v>
      </c>
      <c r="CB1724" s="33" t="s">
        <v>25</v>
      </c>
      <c r="CC1724" s="33" t="s">
        <v>27</v>
      </c>
      <c r="CD1724" s="33" t="s">
        <v>9</v>
      </c>
      <c r="CE1724" s="33" t="s">
        <v>23</v>
      </c>
      <c r="CF1724" s="33" t="s">
        <v>12</v>
      </c>
      <c r="CG1724" s="33" t="s">
        <v>26</v>
      </c>
      <c r="CH1724" s="33" t="s">
        <v>25</v>
      </c>
      <c r="CI1724" s="8"/>
    </row>
    <row r="1725" spans="1:87" x14ac:dyDescent="0.2">
      <c r="A1725" s="8" t="str">
        <f>IF(AND(COUNTIF(W$3:W$13,A$15)&gt;0,A$15&lt;&gt;B1562),A$15,IFERROR(IF(MATCH(A$15,Z$3:Z$13,0)=8,A$15," ")," "))</f>
        <v xml:space="preserve"> </v>
      </c>
      <c r="B1725" s="8" t="str">
        <f>IF(A1725=" "," ",1)</f>
        <v xml:space="preserve"> </v>
      </c>
      <c r="C1725" s="8" t="str">
        <f>IFERROR(INDEX(A1725:A1746,MATCH(SMALL(B1725:B1746,1),B1725:B1746,0),1)," ")</f>
        <v>C3</v>
      </c>
      <c r="D1725" s="8">
        <f>IFERROR(VLOOKUP($C1725,$A$15:$O$36,2,FALSE)," ")</f>
        <v>2</v>
      </c>
      <c r="E1725" s="8">
        <f>IFERROR(VLOOKUP($C1725,$A$15:$O$36,3,FALSE)," ")</f>
        <v>5</v>
      </c>
      <c r="F1725" s="8">
        <f>IFERROR(VLOOKUP($C1725,$A$15:$O$36,4,FALSE)," ")</f>
        <v>6</v>
      </c>
      <c r="G1725" s="8">
        <f>IFERROR(VLOOKUP($C1725,$A$15:$O$36,5,FALSE)," ")</f>
        <v>0</v>
      </c>
      <c r="H1725" s="8">
        <f>IFERROR(VLOOKUP($C1725,$A$15:$O$36,6,FALSE)," ")</f>
        <v>0</v>
      </c>
      <c r="I1725" s="8">
        <f>IFERROR(VLOOKUP($C1725,$A$15:$O$36,7,FALSE)," ")</f>
        <v>0</v>
      </c>
      <c r="J1725" s="8">
        <f>IFERROR(VLOOKUP($C1725,$A$15:$O$36,8,FALSE)," ")</f>
        <v>0</v>
      </c>
      <c r="K1725" s="8">
        <f>IFERROR(VLOOKUP($C1725,$A$15:$O$36,9,FALSE)," ")</f>
        <v>0</v>
      </c>
      <c r="L1725" s="8">
        <f>IFERROR(VLOOKUP($C1725,$A$15:$O$36,10,FALSE)," ")</f>
        <v>0</v>
      </c>
      <c r="M1725" s="8">
        <f>IFERROR(VLOOKUP($C1725,$A$15:$O$36,11,FALSE)," ")</f>
        <v>0</v>
      </c>
      <c r="N1725" s="8">
        <f>IFERROR(VLOOKUP($C1725,$A$15:$O$36,12,FALSE)," ")</f>
        <v>0</v>
      </c>
      <c r="O1725" s="8">
        <f>IFERROR(VLOOKUP($C1725,$A$15:$O$36,15,FALSE)," ")</f>
        <v>2000</v>
      </c>
      <c r="P1725" s="8" t="e">
        <f t="array" ref="P1725:P1735">MMULT(MINVERSE(D1725:N1735),O1725:O1735)</f>
        <v>#NUM!</v>
      </c>
      <c r="Q1725" s="8" t="e">
        <f t="shared" ref="Q1725" si="7419">IF(COUNTIF(P1725:P1735,"&lt;"&amp;-0.001)=0,IF(ABS(P1725)&lt;0.001,0,P1725)," ")</f>
        <v>#NUM!</v>
      </c>
      <c r="R1725" s="8" t="str">
        <f>IFERROR(VLOOKUP(B1562,A$15:L$36,2,FALSE)*Q1725+VLOOKUP(B1562,A$15:L$36,3,FALSE)*Q1726+VLOOKUP(B1562,A$15:L$36,4,FALSE)*Q1727+VLOOKUP(B1562,A$15:L$36,5,FALSE)*Q1728+VLOOKUP(B1562,A$15:L$36,6,FALSE)*Q1729+VLOOKUP(B1562,A$15:L$36,7,FALSE)*Q1730+VLOOKUP(B1562,A$15:L$36,8,FALSE)*Q1731+VLOOKUP(B1562,A$15:L$36,9,FALSE)*Q1732+VLOOKUP(B1562,A$15:L$36,10,FALSE)*Q1733+VLOOKUP(B1562,A$15:L$36,11,FALSE)*Q1734+VLOOKUP(B1562,A$15:L$36,12,FALSE)*Q1735," ")</f>
        <v xml:space="preserve"> </v>
      </c>
      <c r="S1725" s="8" t="str">
        <f>IFERROR(IF(R1725-VLOOKUP(B1562,A$15:O$36,15,FALSE)&lt;0,R1725-VLOOKUP(B1562,A$15:O$36,15,FALSE)," ")," ")</f>
        <v xml:space="preserve"> </v>
      </c>
      <c r="T1725" s="18" t="str">
        <f>IFERROR(IF(R1725-VLOOKUP(B1562,A$15:O$36,15,FALSE)&gt;0,R1725-VLOOKUP(B1562,A$15:O$36,15,FALSE)," ")," ")</f>
        <v xml:space="preserve"> </v>
      </c>
      <c r="U1725" s="34">
        <f t="shared" ref="U1725" si="7420">$M$2</f>
        <v>100.00000000000001</v>
      </c>
      <c r="V1725" s="34">
        <v>-1</v>
      </c>
      <c r="W1725" s="34">
        <f t="shared" ref="W1725" si="7421">-SUMPRODUCT($M$3:$M$12,$N$3:$N$12)</f>
        <v>-105000</v>
      </c>
      <c r="X1725" s="34" t="e">
        <f t="shared" ref="X1725" si="7422">IF(U1725&lt;&gt;U1726,MMULT(MINVERSE(U1725:V1726),W1725:W1726)," ")</f>
        <v>#NUM!</v>
      </c>
      <c r="Y1725" s="34" t="str">
        <f t="shared" ref="Y1725" si="7423">IFERROR(IF(X1725-VLOOKUP(U$38,$A$2:$N$12,14,FALSE)&lt;0,X1725-VLOOKUP(U$38,$A$2:$N$12,14,FALSE)," ")," ")</f>
        <v xml:space="preserve"> </v>
      </c>
      <c r="Z1725" s="34" t="str">
        <f t="shared" ref="Z1725" si="7424">IFERROR(IF(X1725-VLOOKUP(U$38,$A$2:$N$12,14,FALSE)&gt;0,X1725-VLOOKUP(U$38,$A$2:$N$12,14,FALSE)," ")," ")</f>
        <v xml:space="preserve"> </v>
      </c>
      <c r="AA1725" s="34">
        <f t="shared" ref="AA1725" si="7425">$M$3</f>
        <v>0</v>
      </c>
      <c r="AB1725" s="34">
        <v>-1</v>
      </c>
      <c r="AC1725" s="34">
        <f t="shared" ref="AC1725" si="7426">-SUMPRODUCT($M$2:$M$2,$N$2:$N$2)-SUMPRODUCT($M$4:$M$12,$N$4:$N$12)</f>
        <v>-120000</v>
      </c>
      <c r="AD1725" s="34" t="e">
        <f t="shared" ref="AD1725" si="7427">IF(AA1725&lt;&gt;AA1726,MMULT(MINVERSE(AA1725:AB1726),AC1725:AC1726)," ")</f>
        <v>#NUM!</v>
      </c>
      <c r="AE1725" s="34" t="str">
        <f t="shared" ref="AE1725" si="7428">IFERROR(IF(AD1725-VLOOKUP(AA$38,$A$2:$N$12,14,FALSE)&lt;0,AD1725-VLOOKUP(AA$38,$A$2:$N$12,14,FALSE)," ")," ")</f>
        <v xml:space="preserve"> </v>
      </c>
      <c r="AF1725" s="34" t="str">
        <f t="shared" ref="AF1725" si="7429">IFERROR(IF(AD1725-VLOOKUP(AA$38,$A$2:$N$12,14,FALSE)&gt;0,AD1725-VLOOKUP(AA$38,$A$2:$N$12,14,FALSE)," ")," ")</f>
        <v xml:space="preserve"> </v>
      </c>
      <c r="AG1725" s="34">
        <f t="shared" ref="AG1725" si="7430">$M$4</f>
        <v>300</v>
      </c>
      <c r="AH1725" s="34">
        <v>-1</v>
      </c>
      <c r="AI1725" s="34">
        <f t="shared" ref="AI1725" si="7431">-SUMPRODUCT($M$2:$M$3,$N$2:$N$3)-SUMPRODUCT($M$5:$M$12,$N$5:$N$12)</f>
        <v>-15000.000000000002</v>
      </c>
      <c r="AJ1725" s="34" t="e">
        <f t="shared" ref="AJ1725" si="7432">IF(AG1725&lt;&gt;AG1726,MMULT(MINVERSE(AG1725:AH1726),AI1725:AI1726)," ")</f>
        <v>#NUM!</v>
      </c>
      <c r="AK1725" s="34" t="str">
        <f t="shared" ref="AK1725" si="7433">IFERROR(IF(AJ1725-VLOOKUP(AG$38,$A$2:$N$12,14,FALSE)&lt;0,AJ1725-VLOOKUP(AG$38,$A$2:$N$12,14,FALSE)," ")," ")</f>
        <v xml:space="preserve"> </v>
      </c>
      <c r="AL1725" s="34" t="str">
        <f t="shared" ref="AL1725" si="7434">IFERROR(IF(AJ1725-VLOOKUP(AG$38,$A$2:$N$12,14,FALSE)&gt;0,AJ1725-VLOOKUP(AG$38,$A$2:$N$12,14,FALSE)," ")," ")</f>
        <v xml:space="preserve"> </v>
      </c>
      <c r="AM1725" s="34">
        <f t="shared" ref="AM1725" si="7435">$M$5</f>
        <v>0</v>
      </c>
      <c r="AN1725" s="34">
        <v>-1</v>
      </c>
      <c r="AO1725" s="34">
        <f t="shared" ref="AO1725" si="7436">-SUMPRODUCT($M$2:$M$4,$N$2:$N$4)-SUMPRODUCT($M$6:$M$12,$N$6:$N$12)</f>
        <v>-120000</v>
      </c>
      <c r="AP1725" s="34" t="e">
        <f t="shared" ref="AP1725" si="7437">IF(AM1725&lt;&gt;AM1726,MMULT(MINVERSE(AM1725:AN1726),AO1725:AO1726)," ")</f>
        <v>#NUM!</v>
      </c>
      <c r="AQ1725" s="34" t="str">
        <f t="shared" ref="AQ1725" si="7438">IFERROR(IF(AP1725-VLOOKUP(AM$38,$A$2:$N$12,14,FALSE)&lt;0,AP1725-VLOOKUP(AM$38,$A$2:$N$12,14,FALSE)," ")," ")</f>
        <v xml:space="preserve"> </v>
      </c>
      <c r="AR1725" s="34" t="str">
        <f t="shared" ref="AR1725" si="7439">IFERROR(IF(AP1725-VLOOKUP(AM$38,$A$2:$N$12,14,FALSE)&gt;0,AP1725-VLOOKUP(AM$38,$A$2:$N$12,14,FALSE)," ")," ")</f>
        <v xml:space="preserve"> </v>
      </c>
      <c r="AS1725" s="34">
        <f t="shared" ref="AS1725" si="7440">$M$6</f>
        <v>0</v>
      </c>
      <c r="AT1725" s="34">
        <v>-1</v>
      </c>
      <c r="AU1725" s="34">
        <f t="shared" ref="AU1725" si="7441">-SUMPRODUCT($M$2:$M$5,$N$2:$N$5)-SUMPRODUCT($M$7:$M$12,$N$7:$N$12)</f>
        <v>-120000</v>
      </c>
      <c r="AV1725" s="34" t="e">
        <f t="shared" ref="AV1725" si="7442">IF(AS1725&lt;&gt;AS1726,MMULT(MINVERSE(AS1725:AT1726),AU1725:AU1726)," ")</f>
        <v>#NUM!</v>
      </c>
      <c r="AW1725" s="34" t="str">
        <f t="shared" ref="AW1725" si="7443">IFERROR(IF(AV1725-VLOOKUP(AS$38,$A$2:$N$12,14,FALSE)&lt;0,AV1725-VLOOKUP(AS$38,$A$2:$N$12,14,FALSE)," ")," ")</f>
        <v xml:space="preserve"> </v>
      </c>
      <c r="AX1725" s="34" t="str">
        <f t="shared" ref="AX1725" si="7444">IFERROR(IF(AV1725-VLOOKUP(AS$38,$A$2:$N$12,14,FALSE)&gt;0,AV1725-VLOOKUP(AS$38,$A$2:$N$12,14,FALSE)," ")," ")</f>
        <v xml:space="preserve"> </v>
      </c>
      <c r="AY1725" s="34">
        <f t="shared" ref="AY1725" si="7445">$M$7</f>
        <v>0</v>
      </c>
      <c r="AZ1725" s="34">
        <v>-1</v>
      </c>
      <c r="BA1725" s="34">
        <f t="shared" ref="BA1725" si="7446">-SUMPRODUCT($M$2:$M$6,$N$2:$N$6)-SUMPRODUCT($M$8:$M$12,$N$8:$N$12)</f>
        <v>-120000</v>
      </c>
      <c r="BB1725" s="34" t="e">
        <f t="shared" ref="BB1725" si="7447">IF(AY1725&lt;&gt;AY1726,MMULT(MINVERSE(AY1725:AZ1726),BA1725:BA1726)," ")</f>
        <v>#NUM!</v>
      </c>
      <c r="BC1725" s="34" t="str">
        <f t="shared" ref="BC1725" si="7448">IFERROR(IF(BB1725-VLOOKUP(AY$38,$A$2:$N$12,14,FALSE)&lt;0,BB1725-VLOOKUP(AY$38,$A$2:$N$12,14,FALSE)," ")," ")</f>
        <v xml:space="preserve"> </v>
      </c>
      <c r="BD1725" s="34" t="str">
        <f t="shared" ref="BD1725" si="7449">IFERROR(IF(BB1725-VLOOKUP(AY$38,$A$2:$N$12,14,FALSE)&gt;0,BB1725-VLOOKUP(AY$38,$A$2:$N$12,14,FALSE)," ")," ")</f>
        <v xml:space="preserve"> </v>
      </c>
      <c r="BE1725" s="34">
        <f t="shared" ref="BE1725" si="7450">$M$8</f>
        <v>0</v>
      </c>
      <c r="BF1725" s="34">
        <v>-1</v>
      </c>
      <c r="BG1725" s="34">
        <f t="shared" ref="BG1725" si="7451">-SUMPRODUCT($M$2:$M$7,$N$2:$N$7)-SUMPRODUCT($M$9:$M$12,$N$9:$N$12)</f>
        <v>-120000</v>
      </c>
      <c r="BH1725" s="34" t="e">
        <f t="shared" ref="BH1725" si="7452">IF(BE1725&lt;&gt;BE1726,MMULT(MINVERSE(BE1725:BF1726),BG1725:BG1726)," ")</f>
        <v>#NUM!</v>
      </c>
      <c r="BI1725" s="34" t="str">
        <f t="shared" ref="BI1725" si="7453">IFERROR(IF(BH1725-VLOOKUP(BE$38,$A$2:$N$12,14,FALSE)&lt;0,BH1725-VLOOKUP(BE$38,$A$2:$N$12,14,FALSE)," ")," ")</f>
        <v xml:space="preserve"> </v>
      </c>
      <c r="BJ1725" s="34" t="str">
        <f t="shared" ref="BJ1725" si="7454">IFERROR(IF(BH1725-VLOOKUP(BE$38,$A$2:$N$12,14,FALSE)&gt;0,BH1725-VLOOKUP(BE$38,$A$2:$N$12,14,FALSE)," ")," ")</f>
        <v xml:space="preserve"> </v>
      </c>
      <c r="BK1725" s="34">
        <f t="shared" ref="BK1725" si="7455">$M$9</f>
        <v>0</v>
      </c>
      <c r="BL1725" s="34">
        <v>-1</v>
      </c>
      <c r="BM1725" s="34">
        <f t="shared" ref="BM1725" si="7456">-SUMPRODUCT($M$2:$M$8,$N$2:$N$8)-SUMPRODUCT($M$10:$M$12,$N$10:$N$12)</f>
        <v>-120000</v>
      </c>
      <c r="BN1725" s="34" t="e">
        <f t="shared" ref="BN1725" si="7457">IF(BK1725&lt;&gt;BK1726,MMULT(MINVERSE(BK1725:BL1726),BM1725:BM1726)," ")</f>
        <v>#NUM!</v>
      </c>
      <c r="BO1725" s="34" t="str">
        <f t="shared" ref="BO1725" si="7458">IFERROR(IF(BN1725-VLOOKUP(BK$38,$A$2:$N$12,14,FALSE)&lt;0,BN1725-VLOOKUP(BK$38,$A$2:$N$12,14,FALSE)," ")," ")</f>
        <v xml:space="preserve"> </v>
      </c>
      <c r="BP1725" s="34" t="str">
        <f t="shared" ref="BP1725" si="7459">IFERROR(IF(BN1725-VLOOKUP(BK$38,$A$2:$N$12,14,FALSE)&gt;0,BN1725-VLOOKUP(BK$38,$A$2:$N$12,14,FALSE)," ")," ")</f>
        <v xml:space="preserve"> </v>
      </c>
      <c r="BQ1725" s="34">
        <f t="shared" ref="BQ1725" si="7460">$M$10</f>
        <v>0</v>
      </c>
      <c r="BR1725" s="34">
        <v>-1</v>
      </c>
      <c r="BS1725" s="34">
        <f t="shared" ref="BS1725" si="7461">-SUMPRODUCT($M$2:$M$9,$N$2:$N$9)-SUMPRODUCT($M$11:$M$12,$N$11:$N$12)</f>
        <v>-120000</v>
      </c>
      <c r="BT1725" s="34" t="e">
        <f t="shared" ref="BT1725" si="7462">IF(BQ1725&lt;&gt;BQ1726,MMULT(MINVERSE(BQ1725:BR1726),BS1725:BS1726)," ")</f>
        <v>#NUM!</v>
      </c>
      <c r="BU1725" s="34" t="str">
        <f t="shared" ref="BU1725" si="7463">IFERROR(IF(BT1725-VLOOKUP(BQ$38,$A$2:$N$12,14,FALSE)&lt;0,BT1725-VLOOKUP(BQ$38,$A$2:$N$12,14,FALSE)," ")," ")</f>
        <v xml:space="preserve"> </v>
      </c>
      <c r="BV1725" s="34" t="str">
        <f t="shared" ref="BV1725" si="7464">IFERROR(IF(BT1725-VLOOKUP(BQ$38,$A$2:$N$12,14,FALSE)&gt;0,BT1725-VLOOKUP(BQ$38,$A$2:$N$12,14,FALSE)," ")," ")</f>
        <v xml:space="preserve"> </v>
      </c>
      <c r="BW1725" s="34">
        <f t="shared" ref="BW1725" si="7465">$M$11</f>
        <v>0</v>
      </c>
      <c r="BX1725" s="34">
        <v>-1</v>
      </c>
      <c r="BY1725" s="34">
        <f t="shared" ref="BY1725" si="7466">-SUMPRODUCT($M$2:$M$10,$N$2:$N$10)-SUMPRODUCT($M$12,$N$12)</f>
        <v>-120000</v>
      </c>
      <c r="BZ1725" s="34" t="e">
        <f t="shared" ref="BZ1725" si="7467">IF(BW1725&lt;&gt;BW1726,MMULT(MINVERSE(BW1725:BX1726),BY1725:BY1726)," ")</f>
        <v>#NUM!</v>
      </c>
      <c r="CA1725" s="34" t="str">
        <f t="shared" ref="CA1725" si="7468">IFERROR(IF(BZ1725-VLOOKUP(BW$38,$A$2:$N$12,14,FALSE)&lt;0,BZ1725-VLOOKUP(BW$38,$A$2:$N$12,14,FALSE)," ")," ")</f>
        <v xml:space="preserve"> </v>
      </c>
      <c r="CB1725" s="34" t="str">
        <f t="shared" ref="CB1725" si="7469">IFERROR(IF(BZ1725-VLOOKUP(BW$38,$A$2:$N$12,14,FALSE)&gt;0,BZ1725-VLOOKUP(BW$38,$A$2:$N$12,14,FALSE)," ")," ")</f>
        <v xml:space="preserve"> </v>
      </c>
      <c r="CC1725" s="34">
        <f t="shared" ref="CC1725" si="7470">$M$12</f>
        <v>0</v>
      </c>
      <c r="CD1725" s="34">
        <v>-1</v>
      </c>
      <c r="CE1725" s="34">
        <f t="shared" ref="CE1725" si="7471">-SUMPRODUCT($M$2:$M$11,$N$2:$N$11)</f>
        <v>-120000</v>
      </c>
      <c r="CF1725" s="34" t="e">
        <f t="shared" ref="CF1725" si="7472">IF(CC1725&lt;&gt;CC1726,MMULT(MINVERSE(CC1725:CD1726),CE1725:CE1726)," ")</f>
        <v>#NUM!</v>
      </c>
      <c r="CG1725" s="34" t="str">
        <f t="shared" ref="CG1725" si="7473">IFERROR(IF(CF1725-VLOOKUP(CC$38,$A$2:$N$12,14,FALSE)&lt;0,CF1725-VLOOKUP(CC$38,$A$2:$N$12,14,FALSE)," ")," ")</f>
        <v xml:space="preserve"> </v>
      </c>
      <c r="CH1725" s="34" t="str">
        <f t="shared" ref="CH1725" si="7474">IFERROR(IF(CF1725-VLOOKUP(CC$38,$A$2:$N$12,14,FALSE)&gt;0,CF1725-VLOOKUP(CC$38,$A$2:$N$12,14,FALSE)," ")," ")</f>
        <v xml:space="preserve"> </v>
      </c>
      <c r="CI1725" s="8"/>
    </row>
    <row r="1726" spans="1:87" x14ac:dyDescent="0.2">
      <c r="A1726" s="8" t="str">
        <f>IF(AND(COUNTIF(W$3:W$13,A$16)&gt;0,A$16&lt;&gt;B1562),A$16,IFERROR(IF(MATCH(A$16,Z$3:Z$13,0)=8,A$16," ")," "))</f>
        <v xml:space="preserve"> </v>
      </c>
      <c r="B1726" s="8" t="str">
        <f>IF(A1726=" "," ",MAX(B1725:B1725)+1)</f>
        <v xml:space="preserve"> </v>
      </c>
      <c r="C1726" s="8" t="str">
        <f>IFERROR(INDEX(A1725:A1746,MATCH(SMALL(B1725:B1746,2),B1725:B1746,0),1)," ")</f>
        <v>C4</v>
      </c>
      <c r="D1726" s="8">
        <f t="shared" ref="D1726:D1735" si="7475">IFERROR(VLOOKUP($C1726,$A$15:$O$36,2,FALSE)," ")</f>
        <v>1</v>
      </c>
      <c r="E1726" s="8">
        <f t="shared" ref="E1726:E1735" si="7476">IFERROR(VLOOKUP($C1726,$A$15:$O$36,3,FALSE)," ")</f>
        <v>0</v>
      </c>
      <c r="F1726" s="8">
        <f t="shared" ref="F1726:F1735" si="7477">IFERROR(VLOOKUP($C1726,$A$15:$O$36,4,FALSE)," ")</f>
        <v>1</v>
      </c>
      <c r="G1726" s="8">
        <f t="shared" ref="G1726:G1735" si="7478">IFERROR(VLOOKUP($C1726,$A$15:$O$36,5,FALSE)," ")</f>
        <v>0</v>
      </c>
      <c r="H1726" s="8">
        <f t="shared" ref="H1726:H1735" si="7479">IFERROR(VLOOKUP($C1726,$A$15:$O$36,6,FALSE)," ")</f>
        <v>0</v>
      </c>
      <c r="I1726" s="8">
        <f t="shared" ref="I1726:I1735" si="7480">IFERROR(VLOOKUP($C1726,$A$15:$O$36,7,FALSE)," ")</f>
        <v>0</v>
      </c>
      <c r="J1726" s="8">
        <f t="shared" ref="J1726:J1735" si="7481">IFERROR(VLOOKUP($C1726,$A$15:$O$36,8,FALSE)," ")</f>
        <v>0</v>
      </c>
      <c r="K1726" s="8">
        <f t="shared" ref="K1726:K1735" si="7482">IFERROR(VLOOKUP($C1726,$A$15:$O$36,9,FALSE)," ")</f>
        <v>0</v>
      </c>
      <c r="L1726" s="8">
        <f t="shared" ref="L1726:L1735" si="7483">IFERROR(VLOOKUP($C1726,$A$15:$O$36,10,FALSE)," ")</f>
        <v>0</v>
      </c>
      <c r="M1726" s="8">
        <f t="shared" ref="M1726:M1735" si="7484">IFERROR(VLOOKUP($C1726,$A$15:$O$36,11,FALSE)," ")</f>
        <v>0</v>
      </c>
      <c r="N1726" s="8">
        <f t="shared" ref="N1726:N1735" si="7485">IFERROR(VLOOKUP($C1726,$A$15:$O$36,12,FALSE)," ")</f>
        <v>0</v>
      </c>
      <c r="O1726" s="8">
        <f t="shared" ref="O1726:O1735" si="7486">IFERROR(VLOOKUP($C1726,$A$15:$O$36,15,FALSE)," ")</f>
        <v>400</v>
      </c>
      <c r="P1726" s="8" t="e">
        <v>#NUM!</v>
      </c>
      <c r="Q1726" s="8" t="e">
        <f t="shared" ref="Q1726" si="7487">IF(COUNTIF(P1725:P1735,"&lt;"&amp;-0.001)=0,IF(ABS(P1726)&lt;0.001,0,P1726)," ")</f>
        <v>#NUM!</v>
      </c>
      <c r="R1726" s="8"/>
      <c r="S1726" s="8"/>
      <c r="U1726" s="34" t="e">
        <f t="shared" ref="U1726" si="7488">$Q1725</f>
        <v>#NUM!</v>
      </c>
      <c r="V1726" s="34">
        <v>-1</v>
      </c>
      <c r="W1726" s="34" t="e">
        <f t="shared" ref="W1726" si="7489">-SUMPRODUCT($Q1726:$Q1735,$N$3:$N$12)</f>
        <v>#NUM!</v>
      </c>
      <c r="X1726" s="34"/>
      <c r="Y1726" s="34"/>
      <c r="Z1726" s="34"/>
      <c r="AA1726" s="34" t="e">
        <f t="shared" ref="AA1726" si="7490">$Q1726</f>
        <v>#NUM!</v>
      </c>
      <c r="AB1726" s="34">
        <v>-1</v>
      </c>
      <c r="AC1726" s="34" t="e">
        <f t="shared" ref="AC1726" si="7491">-SUMPRODUCT($Q1725:$Q1725,$N$2:$N$2)-SUMPRODUCT($Q1727:$Q1735,$N$4:$N$12)</f>
        <v>#NUM!</v>
      </c>
      <c r="AD1726" s="34"/>
      <c r="AE1726" s="34"/>
      <c r="AF1726" s="34"/>
      <c r="AG1726" s="34" t="e">
        <f t="shared" ref="AG1726" si="7492">$Q1727</f>
        <v>#NUM!</v>
      </c>
      <c r="AH1726" s="34">
        <v>-1</v>
      </c>
      <c r="AI1726" s="34" t="e">
        <f t="shared" ref="AI1726" si="7493">-SUMPRODUCT($Q1725:$Q1726,$N$2:$N$3)-SUMPRODUCT($Q1728:$Q1735,$N$5:$N$12)</f>
        <v>#NUM!</v>
      </c>
      <c r="AJ1726" s="34"/>
      <c r="AK1726" s="34"/>
      <c r="AL1726" s="34"/>
      <c r="AM1726" s="34" t="e">
        <f t="shared" ref="AM1726" si="7494">$Q1728</f>
        <v>#NUM!</v>
      </c>
      <c r="AN1726" s="34">
        <v>-1</v>
      </c>
      <c r="AO1726" s="34" t="e">
        <f t="shared" ref="AO1726" si="7495">-SUMPRODUCT($Q1725:$Q1727,$N$2:$N$4)-SUMPRODUCT($Q1729:$Q1735,$N$6:$N$12)</f>
        <v>#NUM!</v>
      </c>
      <c r="AP1726" s="34"/>
      <c r="AQ1726" s="34"/>
      <c r="AR1726" s="34"/>
      <c r="AS1726" s="34" t="e">
        <f t="shared" ref="AS1726" si="7496">$Q1729</f>
        <v>#NUM!</v>
      </c>
      <c r="AT1726" s="34">
        <v>-1</v>
      </c>
      <c r="AU1726" s="34" t="e">
        <f t="shared" ref="AU1726" si="7497">-SUMPRODUCT($Q1725:$Q1728,$N$2:$N$5)-SUMPRODUCT($Q1730:$Q1735,$N$7:$N$12)</f>
        <v>#NUM!</v>
      </c>
      <c r="AV1726" s="34"/>
      <c r="AW1726" s="34"/>
      <c r="AX1726" s="34"/>
      <c r="AY1726" s="34" t="e">
        <f t="shared" ref="AY1726" si="7498">$Q1730</f>
        <v>#NUM!</v>
      </c>
      <c r="AZ1726" s="34">
        <v>-1</v>
      </c>
      <c r="BA1726" s="34" t="e">
        <f t="shared" ref="BA1726" si="7499">-SUMPRODUCT($Q1725:$Q1729,$N$2:$N$6)-SUMPRODUCT($Q1731:$Q1735,$N$8:$N$12)</f>
        <v>#NUM!</v>
      </c>
      <c r="BB1726" s="34"/>
      <c r="BC1726" s="34"/>
      <c r="BD1726" s="34"/>
      <c r="BE1726" s="34" t="e">
        <f t="shared" ref="BE1726" si="7500">$Q1731</f>
        <v>#NUM!</v>
      </c>
      <c r="BF1726" s="34">
        <v>-1</v>
      </c>
      <c r="BG1726" s="34" t="e">
        <f t="shared" ref="BG1726" si="7501">-SUMPRODUCT($Q1725:$Q1730,$N$2:$N$7)-SUMPRODUCT($Q1732:$Q1735,$N$9:$N$12)</f>
        <v>#NUM!</v>
      </c>
      <c r="BH1726" s="34"/>
      <c r="BI1726" s="34"/>
      <c r="BJ1726" s="34"/>
      <c r="BK1726" s="34" t="e">
        <f t="shared" ref="BK1726" si="7502">$Q1732</f>
        <v>#NUM!</v>
      </c>
      <c r="BL1726" s="34">
        <v>-1</v>
      </c>
      <c r="BM1726" s="34" t="e">
        <f t="shared" ref="BM1726" si="7503">-SUMPRODUCT($Q1725:$Q1731,$N$2:$N$8)-SUMPRODUCT($Q1733:$Q1735,$N$10:$N$12)</f>
        <v>#NUM!</v>
      </c>
      <c r="BN1726" s="34"/>
      <c r="BO1726" s="34"/>
      <c r="BP1726" s="34"/>
      <c r="BQ1726" s="34" t="e">
        <f t="shared" ref="BQ1726" si="7504">$Q1733</f>
        <v>#NUM!</v>
      </c>
      <c r="BR1726" s="34">
        <v>-1</v>
      </c>
      <c r="BS1726" s="34" t="e">
        <f t="shared" ref="BS1726" si="7505">-SUMPRODUCT($Q1725:$Q1732,$N$2:$N$9)-SUMPRODUCT($Q1734:$Q1735,$N$11:$N$12)</f>
        <v>#NUM!</v>
      </c>
      <c r="BT1726" s="34"/>
      <c r="BU1726" s="34"/>
      <c r="BV1726" s="34"/>
      <c r="BW1726" s="34" t="e">
        <f t="shared" ref="BW1726" si="7506">$Q1734</f>
        <v>#NUM!</v>
      </c>
      <c r="BX1726" s="34">
        <v>-1</v>
      </c>
      <c r="BY1726" s="34" t="e">
        <f t="shared" ref="BY1726" si="7507">-SUMPRODUCT($Q1725:$Q1733,$N$2:$N$10)-SUMPRODUCT($Q1735,$N$12)</f>
        <v>#NUM!</v>
      </c>
      <c r="BZ1726" s="34"/>
      <c r="CA1726" s="34"/>
      <c r="CB1726" s="34"/>
      <c r="CC1726" s="34" t="e">
        <f t="shared" ref="CC1726" si="7508">$Q1735</f>
        <v>#NUM!</v>
      </c>
      <c r="CD1726" s="34">
        <v>-1</v>
      </c>
      <c r="CE1726" s="34" t="e">
        <f t="shared" ref="CE1726" si="7509">-SUMPRODUCT($Q1725:$Q1734,$N$2:$N$11)</f>
        <v>#NUM!</v>
      </c>
      <c r="CF1726" s="34"/>
      <c r="CG1726" s="34"/>
      <c r="CH1726" s="34"/>
      <c r="CI1726" s="8"/>
    </row>
    <row r="1727" spans="1:87" x14ac:dyDescent="0.2">
      <c r="A1727" s="8" t="str">
        <f>IF(AND(COUNTIF(W$3:W$13,A$17)&gt;0,A$17&lt;&gt;B1562),A$17,IFERROR(IF(MATCH(A$17,Z$3:Z$13,0)=8,A$17," ")," "))</f>
        <v>C3</v>
      </c>
      <c r="B1727" s="8">
        <f>IF(A1727=" "," ",MAX(B1725:B1726)+1)</f>
        <v>1</v>
      </c>
      <c r="C1727" s="8" t="str">
        <f>IFERROR(INDEX(A1725:A1746,MATCH(SMALL(B1725:B1746,3),B1725:B1746,0),1)," ")</f>
        <v>C10</v>
      </c>
      <c r="D1727" s="8">
        <f t="shared" si="7475"/>
        <v>0</v>
      </c>
      <c r="E1727" s="8">
        <f t="shared" si="7476"/>
        <v>0</v>
      </c>
      <c r="F1727" s="8">
        <f t="shared" si="7477"/>
        <v>0</v>
      </c>
      <c r="G1727" s="8">
        <f t="shared" si="7478"/>
        <v>0</v>
      </c>
      <c r="H1727" s="8">
        <f t="shared" si="7479"/>
        <v>0</v>
      </c>
      <c r="I1727" s="8">
        <f t="shared" si="7480"/>
        <v>0</v>
      </c>
      <c r="J1727" s="8">
        <f t="shared" si="7481"/>
        <v>0</v>
      </c>
      <c r="K1727" s="8">
        <f t="shared" si="7482"/>
        <v>0</v>
      </c>
      <c r="L1727" s="8">
        <f t="shared" si="7483"/>
        <v>0</v>
      </c>
      <c r="M1727" s="8">
        <f t="shared" si="7484"/>
        <v>0</v>
      </c>
      <c r="N1727" s="8">
        <f t="shared" si="7485"/>
        <v>0</v>
      </c>
      <c r="O1727" s="8">
        <f t="shared" si="7486"/>
        <v>0</v>
      </c>
      <c r="P1727" s="8" t="e">
        <v>#NUM!</v>
      </c>
      <c r="Q1727" s="8" t="e">
        <f t="shared" ref="Q1727" si="7510">IF(COUNTIF(P1725:P1735,"&lt;"&amp;-0.001)=0,IF(ABS(P1727)&lt;0.001,0,P1727)," ")</f>
        <v>#NUM!</v>
      </c>
      <c r="R1727" s="8"/>
      <c r="S1727" s="8"/>
      <c r="U1727" s="34"/>
      <c r="V1727" s="34"/>
      <c r="W1727" s="34"/>
      <c r="X1727" s="34"/>
      <c r="Y1727" s="34"/>
      <c r="Z1727" s="34"/>
      <c r="AA1727" s="34"/>
      <c r="AB1727" s="34"/>
      <c r="AC1727" s="34"/>
      <c r="AD1727" s="34"/>
      <c r="AE1727" s="34"/>
      <c r="AF1727" s="34"/>
      <c r="AG1727" s="34"/>
      <c r="AH1727" s="34"/>
      <c r="AI1727" s="34"/>
      <c r="AJ1727" s="34"/>
      <c r="AK1727" s="34"/>
      <c r="AL1727" s="34"/>
      <c r="AM1727" s="34"/>
      <c r="AN1727" s="34"/>
      <c r="AO1727" s="34"/>
      <c r="AP1727" s="34"/>
      <c r="AQ1727" s="34"/>
      <c r="AR1727" s="34"/>
      <c r="AS1727" s="34"/>
      <c r="AT1727" s="34"/>
      <c r="AU1727" s="34"/>
      <c r="AV1727" s="34"/>
      <c r="AW1727" s="34"/>
      <c r="AX1727" s="34"/>
      <c r="AY1727" s="34"/>
      <c r="AZ1727" s="34"/>
      <c r="BA1727" s="34"/>
      <c r="BB1727" s="34"/>
      <c r="BC1727" s="34"/>
      <c r="BD1727" s="34"/>
      <c r="BE1727" s="34"/>
      <c r="BF1727" s="34"/>
      <c r="BG1727" s="34"/>
      <c r="BH1727" s="34"/>
      <c r="BI1727" s="34"/>
      <c r="BJ1727" s="34"/>
      <c r="BK1727" s="34"/>
      <c r="BL1727" s="34"/>
      <c r="BM1727" s="34"/>
      <c r="BN1727" s="34"/>
      <c r="BO1727" s="34"/>
      <c r="BP1727" s="34"/>
      <c r="BQ1727" s="34"/>
      <c r="BR1727" s="34"/>
      <c r="BS1727" s="34"/>
      <c r="BT1727" s="34"/>
      <c r="BU1727" s="34"/>
      <c r="BV1727" s="34"/>
      <c r="BW1727" s="34"/>
      <c r="BX1727" s="34"/>
      <c r="BY1727" s="34"/>
      <c r="BZ1727" s="34"/>
      <c r="CA1727" s="34"/>
      <c r="CB1727" s="34"/>
      <c r="CC1727" s="34"/>
      <c r="CD1727" s="34"/>
      <c r="CE1727" s="34"/>
      <c r="CF1727" s="34"/>
      <c r="CG1727" s="34"/>
      <c r="CH1727" s="34"/>
      <c r="CI1727" s="8"/>
    </row>
    <row r="1728" spans="1:87" x14ac:dyDescent="0.2">
      <c r="A1728" s="8" t="str">
        <f>IF(AND(COUNTIF(W$3:W$13,A$18)&gt;0,A$18&lt;&gt;B1562),A$18,IFERROR(IF(MATCH(A$18,Z$3:Z$13,0)=8,A$18," ")," "))</f>
        <v>C4</v>
      </c>
      <c r="B1728" s="8">
        <f>IF(A1728=" "," ",MAX(B1725:B1727)+1)</f>
        <v>2</v>
      </c>
      <c r="C1728" s="8" t="str">
        <f>IFERROR(INDEX(A1725:A1746,MATCH(SMALL(B1725:B1746,4),B1725:B1746,0),1)," ")</f>
        <v>C13</v>
      </c>
      <c r="D1728" s="8">
        <f t="shared" si="7475"/>
        <v>0</v>
      </c>
      <c r="E1728" s="8">
        <f t="shared" si="7476"/>
        <v>1</v>
      </c>
      <c r="F1728" s="8">
        <f t="shared" si="7477"/>
        <v>0</v>
      </c>
      <c r="G1728" s="8">
        <f t="shared" si="7478"/>
        <v>0</v>
      </c>
      <c r="H1728" s="8">
        <f t="shared" si="7479"/>
        <v>0</v>
      </c>
      <c r="I1728" s="8">
        <f t="shared" si="7480"/>
        <v>0</v>
      </c>
      <c r="J1728" s="8">
        <f t="shared" si="7481"/>
        <v>0</v>
      </c>
      <c r="K1728" s="8">
        <f t="shared" si="7482"/>
        <v>0</v>
      </c>
      <c r="L1728" s="8">
        <f t="shared" si="7483"/>
        <v>0</v>
      </c>
      <c r="M1728" s="8">
        <f t="shared" si="7484"/>
        <v>0</v>
      </c>
      <c r="N1728" s="8">
        <f t="shared" si="7485"/>
        <v>0</v>
      </c>
      <c r="O1728" s="8">
        <f t="shared" si="7486"/>
        <v>0</v>
      </c>
      <c r="P1728" s="8" t="e">
        <v>#NUM!</v>
      </c>
      <c r="Q1728" s="8" t="e">
        <f t="shared" ref="Q1728" si="7511">IF(COUNTIF(P1725:P1735,"&lt;"&amp;-0.001)=0,IF(ABS(P1728)&lt;0.001,0,P1728)," ")</f>
        <v>#NUM!</v>
      </c>
      <c r="R1728" s="8"/>
      <c r="S1728" s="8"/>
      <c r="U1728" s="34"/>
      <c r="V1728" s="34"/>
      <c r="W1728" s="34"/>
      <c r="X1728" s="34"/>
      <c r="Y1728" s="34"/>
      <c r="Z1728" s="34"/>
      <c r="AA1728" s="34"/>
      <c r="AB1728" s="34"/>
      <c r="AC1728" s="34"/>
      <c r="AD1728" s="34"/>
      <c r="AE1728" s="34"/>
      <c r="AF1728" s="34"/>
      <c r="AG1728" s="34"/>
      <c r="AH1728" s="34"/>
      <c r="AI1728" s="34"/>
      <c r="AJ1728" s="34"/>
      <c r="AK1728" s="34"/>
      <c r="AL1728" s="34"/>
      <c r="AM1728" s="34"/>
      <c r="AN1728" s="34"/>
      <c r="AO1728" s="34"/>
      <c r="AP1728" s="34"/>
      <c r="AQ1728" s="34"/>
      <c r="AR1728" s="34"/>
      <c r="AS1728" s="34"/>
      <c r="AT1728" s="34"/>
      <c r="AU1728" s="34"/>
      <c r="AV1728" s="34"/>
      <c r="AW1728" s="34"/>
      <c r="AX1728" s="34"/>
      <c r="AY1728" s="34"/>
      <c r="AZ1728" s="34"/>
      <c r="BA1728" s="34"/>
      <c r="BB1728" s="34"/>
      <c r="BC1728" s="34"/>
      <c r="BD1728" s="34"/>
      <c r="BE1728" s="34"/>
      <c r="BF1728" s="34"/>
      <c r="BG1728" s="34"/>
      <c r="BH1728" s="34"/>
      <c r="BI1728" s="34"/>
      <c r="BJ1728" s="34"/>
      <c r="BK1728" s="34"/>
      <c r="BL1728" s="34"/>
      <c r="BM1728" s="34"/>
      <c r="BN1728" s="34"/>
      <c r="BO1728" s="34"/>
      <c r="BP1728" s="34"/>
      <c r="BQ1728" s="34"/>
      <c r="BR1728" s="34"/>
      <c r="BS1728" s="34"/>
      <c r="BT1728" s="34"/>
      <c r="BU1728" s="34"/>
      <c r="BV1728" s="34"/>
      <c r="BW1728" s="34"/>
      <c r="BX1728" s="34"/>
      <c r="BY1728" s="34"/>
      <c r="BZ1728" s="34"/>
      <c r="CA1728" s="34"/>
      <c r="CB1728" s="34"/>
      <c r="CC1728" s="34"/>
      <c r="CD1728" s="34"/>
      <c r="CE1728" s="34"/>
      <c r="CF1728" s="34"/>
      <c r="CG1728" s="34"/>
      <c r="CH1728" s="34"/>
      <c r="CI1728" s="8"/>
    </row>
    <row r="1729" spans="1:87" x14ac:dyDescent="0.2">
      <c r="A1729" s="8" t="str">
        <f>IF(AND(COUNTIF(W$3:W$13,A$19)&gt;0,A$19&lt;&gt;B1562),A$19,IFERROR(IF(MATCH(A$19,Z$3:Z$13,0)=8,A$19," ")," "))</f>
        <v xml:space="preserve"> </v>
      </c>
      <c r="B1729" s="8" t="str">
        <f>IF(A1729=" "," ",MAX(B1725:B1728)+1)</f>
        <v xml:space="preserve"> </v>
      </c>
      <c r="C1729" s="8" t="str">
        <f>IFERROR(INDEX(A1725:A1746,MATCH(SMALL(B1725:B1746,5),B1725:B1746,0),1)," ")</f>
        <v>C15</v>
      </c>
      <c r="D1729" s="8">
        <f t="shared" si="7475"/>
        <v>0</v>
      </c>
      <c r="E1729" s="8">
        <f t="shared" si="7476"/>
        <v>0</v>
      </c>
      <c r="F1729" s="8">
        <f t="shared" si="7477"/>
        <v>0</v>
      </c>
      <c r="G1729" s="8">
        <f t="shared" si="7478"/>
        <v>1</v>
      </c>
      <c r="H1729" s="8">
        <f t="shared" si="7479"/>
        <v>0</v>
      </c>
      <c r="I1729" s="8">
        <f t="shared" si="7480"/>
        <v>0</v>
      </c>
      <c r="J1729" s="8">
        <f t="shared" si="7481"/>
        <v>0</v>
      </c>
      <c r="K1729" s="8">
        <f t="shared" si="7482"/>
        <v>0</v>
      </c>
      <c r="L1729" s="8">
        <f t="shared" si="7483"/>
        <v>0</v>
      </c>
      <c r="M1729" s="8">
        <f t="shared" si="7484"/>
        <v>0</v>
      </c>
      <c r="N1729" s="8">
        <f t="shared" si="7485"/>
        <v>0</v>
      </c>
      <c r="O1729" s="8">
        <f t="shared" si="7486"/>
        <v>0</v>
      </c>
      <c r="P1729" s="8" t="e">
        <v>#NUM!</v>
      </c>
      <c r="Q1729" s="8" t="e">
        <f t="shared" ref="Q1729" si="7512">IF(COUNTIF(P1725:P1735,"&lt;"&amp;-0.001)=0,IF(ABS(P1729)&lt;0.001,0,P1729)," ")</f>
        <v>#NUM!</v>
      </c>
      <c r="R1729" s="8"/>
      <c r="S1729" s="8"/>
      <c r="U1729" s="34"/>
      <c r="V1729" s="34"/>
      <c r="W1729" s="34"/>
      <c r="X1729" s="34"/>
      <c r="Y1729" s="34"/>
      <c r="Z1729" s="34"/>
      <c r="AA1729" s="34"/>
      <c r="AB1729" s="34"/>
      <c r="AC1729" s="34"/>
      <c r="AD1729" s="34"/>
      <c r="AE1729" s="34"/>
      <c r="AF1729" s="34"/>
      <c r="AG1729" s="34"/>
      <c r="AH1729" s="34"/>
      <c r="AI1729" s="34"/>
      <c r="AJ1729" s="34"/>
      <c r="AK1729" s="34"/>
      <c r="AL1729" s="34"/>
      <c r="AM1729" s="34"/>
      <c r="AN1729" s="34"/>
      <c r="AO1729" s="34"/>
      <c r="AP1729" s="34"/>
      <c r="AQ1729" s="34"/>
      <c r="AR1729" s="34"/>
      <c r="AS1729" s="34"/>
      <c r="AT1729" s="34"/>
      <c r="AU1729" s="34"/>
      <c r="AV1729" s="34"/>
      <c r="AW1729" s="34"/>
      <c r="AX1729" s="34"/>
      <c r="AY1729" s="34"/>
      <c r="AZ1729" s="34"/>
      <c r="BA1729" s="34"/>
      <c r="BB1729" s="34"/>
      <c r="BC1729" s="34"/>
      <c r="BD1729" s="34"/>
      <c r="BE1729" s="34"/>
      <c r="BF1729" s="34"/>
      <c r="BG1729" s="34"/>
      <c r="BH1729" s="34"/>
      <c r="BI1729" s="34"/>
      <c r="BJ1729" s="34"/>
      <c r="BK1729" s="34"/>
      <c r="BL1729" s="34"/>
      <c r="BM1729" s="34"/>
      <c r="BN1729" s="34"/>
      <c r="BO1729" s="34"/>
      <c r="BP1729" s="34"/>
      <c r="BQ1729" s="34"/>
      <c r="BR1729" s="34"/>
      <c r="BS1729" s="34"/>
      <c r="BT1729" s="34"/>
      <c r="BU1729" s="34"/>
      <c r="BV1729" s="34"/>
      <c r="BW1729" s="34"/>
      <c r="BX1729" s="34"/>
      <c r="BY1729" s="34"/>
      <c r="BZ1729" s="34"/>
      <c r="CA1729" s="34"/>
      <c r="CB1729" s="34"/>
      <c r="CC1729" s="34"/>
      <c r="CD1729" s="34"/>
      <c r="CE1729" s="34"/>
      <c r="CF1729" s="34"/>
      <c r="CG1729" s="34"/>
      <c r="CH1729" s="34"/>
      <c r="CI1729" s="8"/>
    </row>
    <row r="1730" spans="1:87" x14ac:dyDescent="0.2">
      <c r="A1730" s="8" t="str">
        <f>IF(AND(COUNTIF(W$3:W$13,A$20)&gt;0,A$20&lt;&gt;B1562),A$20,IFERROR(IF(MATCH(A$20,Z$3:Z$13,0)=8,A$20," ")," "))</f>
        <v xml:space="preserve"> </v>
      </c>
      <c r="B1730" s="8" t="str">
        <f>IF(A1730=" "," ",MAX(B1725:B1729)+1)</f>
        <v xml:space="preserve"> </v>
      </c>
      <c r="C1730" s="8" t="str">
        <f>IFERROR(INDEX(A1725:A1746,MATCH(SMALL(B1725:B1746,6),B1725:B1746,0),1)," ")</f>
        <v>C16</v>
      </c>
      <c r="D1730" s="8">
        <f t="shared" si="7475"/>
        <v>0</v>
      </c>
      <c r="E1730" s="8">
        <f t="shared" si="7476"/>
        <v>0</v>
      </c>
      <c r="F1730" s="8">
        <f t="shared" si="7477"/>
        <v>0</v>
      </c>
      <c r="G1730" s="8">
        <f t="shared" si="7478"/>
        <v>0</v>
      </c>
      <c r="H1730" s="8">
        <f t="shared" si="7479"/>
        <v>1</v>
      </c>
      <c r="I1730" s="8">
        <f t="shared" si="7480"/>
        <v>0</v>
      </c>
      <c r="J1730" s="8">
        <f t="shared" si="7481"/>
        <v>0</v>
      </c>
      <c r="K1730" s="8">
        <f t="shared" si="7482"/>
        <v>0</v>
      </c>
      <c r="L1730" s="8">
        <f t="shared" si="7483"/>
        <v>0</v>
      </c>
      <c r="M1730" s="8">
        <f t="shared" si="7484"/>
        <v>0</v>
      </c>
      <c r="N1730" s="8">
        <f t="shared" si="7485"/>
        <v>0</v>
      </c>
      <c r="O1730" s="8">
        <f t="shared" si="7486"/>
        <v>0</v>
      </c>
      <c r="P1730" s="8" t="e">
        <v>#NUM!</v>
      </c>
      <c r="Q1730" s="8" t="e">
        <f t="shared" ref="Q1730" si="7513">IF(COUNTIF(P1725:P1735,"&lt;"&amp;-0.001)=0,IF(ABS(P1730)&lt;0.001,0,P1730)," ")</f>
        <v>#NUM!</v>
      </c>
      <c r="R1730" s="8"/>
      <c r="S1730" s="8"/>
      <c r="U1730" s="34"/>
      <c r="V1730" s="34"/>
      <c r="W1730" s="34"/>
      <c r="X1730" s="34"/>
      <c r="Y1730" s="34"/>
      <c r="Z1730" s="34"/>
      <c r="AA1730" s="34"/>
      <c r="AB1730" s="34"/>
      <c r="AC1730" s="34"/>
      <c r="AD1730" s="34"/>
      <c r="AE1730" s="34"/>
      <c r="AF1730" s="34"/>
      <c r="AG1730" s="34"/>
      <c r="AH1730" s="34"/>
      <c r="AI1730" s="34"/>
      <c r="AJ1730" s="34"/>
      <c r="AK1730" s="34"/>
      <c r="AL1730" s="34"/>
      <c r="AM1730" s="34"/>
      <c r="AN1730" s="34"/>
      <c r="AO1730" s="34"/>
      <c r="AP1730" s="34"/>
      <c r="AQ1730" s="34"/>
      <c r="AR1730" s="34"/>
      <c r="AS1730" s="34"/>
      <c r="AT1730" s="34"/>
      <c r="AU1730" s="34"/>
      <c r="AV1730" s="34"/>
      <c r="AW1730" s="34"/>
      <c r="AX1730" s="34"/>
      <c r="AY1730" s="34"/>
      <c r="AZ1730" s="34"/>
      <c r="BA1730" s="34"/>
      <c r="BB1730" s="34"/>
      <c r="BC1730" s="34"/>
      <c r="BD1730" s="34"/>
      <c r="BE1730" s="34"/>
      <c r="BF1730" s="34"/>
      <c r="BG1730" s="34"/>
      <c r="BH1730" s="34"/>
      <c r="BI1730" s="34"/>
      <c r="BJ1730" s="34"/>
      <c r="BK1730" s="34"/>
      <c r="BL1730" s="34"/>
      <c r="BM1730" s="34"/>
      <c r="BN1730" s="34"/>
      <c r="BO1730" s="34"/>
      <c r="BP1730" s="34"/>
      <c r="BQ1730" s="34"/>
      <c r="BR1730" s="34"/>
      <c r="BS1730" s="34"/>
      <c r="BT1730" s="34"/>
      <c r="BU1730" s="34"/>
      <c r="BV1730" s="34"/>
      <c r="BW1730" s="34"/>
      <c r="BX1730" s="34"/>
      <c r="BY1730" s="34"/>
      <c r="BZ1730" s="34"/>
      <c r="CA1730" s="34"/>
      <c r="CB1730" s="34"/>
      <c r="CC1730" s="34"/>
      <c r="CD1730" s="34"/>
      <c r="CE1730" s="34"/>
      <c r="CF1730" s="34"/>
      <c r="CG1730" s="34"/>
      <c r="CH1730" s="34"/>
      <c r="CI1730" s="8"/>
    </row>
    <row r="1731" spans="1:87" x14ac:dyDescent="0.2">
      <c r="A1731" s="8" t="str">
        <f>IF(AND(COUNTIF(W$3:W$13,A$21)&gt;0,A$21&lt;&gt;B1562),A$21,IFERROR(IF(MATCH(A$21,Z$3:Z$13,0)=8,A$21," ")," "))</f>
        <v xml:space="preserve"> </v>
      </c>
      <c r="B1731" s="8" t="str">
        <f>IF(A1731=" "," ",MAX(B1725:B1730)+1)</f>
        <v xml:space="preserve"> </v>
      </c>
      <c r="C1731" s="8" t="str">
        <f>IFERROR(INDEX(A1725:A1746,MATCH(SMALL(B1725:B1746,7),B1725:B1746,0),1)," ")</f>
        <v>C17</v>
      </c>
      <c r="D1731" s="8">
        <f t="shared" si="7475"/>
        <v>0</v>
      </c>
      <c r="E1731" s="8">
        <f t="shared" si="7476"/>
        <v>0</v>
      </c>
      <c r="F1731" s="8">
        <f t="shared" si="7477"/>
        <v>0</v>
      </c>
      <c r="G1731" s="8">
        <f t="shared" si="7478"/>
        <v>0</v>
      </c>
      <c r="H1731" s="8">
        <f t="shared" si="7479"/>
        <v>0</v>
      </c>
      <c r="I1731" s="8">
        <f t="shared" si="7480"/>
        <v>1</v>
      </c>
      <c r="J1731" s="8">
        <f t="shared" si="7481"/>
        <v>0</v>
      </c>
      <c r="K1731" s="8">
        <f t="shared" si="7482"/>
        <v>0</v>
      </c>
      <c r="L1731" s="8">
        <f t="shared" si="7483"/>
        <v>0</v>
      </c>
      <c r="M1731" s="8">
        <f t="shared" si="7484"/>
        <v>0</v>
      </c>
      <c r="N1731" s="8">
        <f t="shared" si="7485"/>
        <v>0</v>
      </c>
      <c r="O1731" s="8">
        <f t="shared" si="7486"/>
        <v>0</v>
      </c>
      <c r="P1731" s="8" t="e">
        <v>#NUM!</v>
      </c>
      <c r="Q1731" s="8" t="e">
        <f t="shared" ref="Q1731" si="7514">IF(COUNTIF(P1725:P1735,"&lt;"&amp;-0.001)=0,IF(ABS(P1731)&lt;0.001,0,P1731)," ")</f>
        <v>#NUM!</v>
      </c>
      <c r="R1731" s="8"/>
      <c r="S1731" s="8"/>
      <c r="U1731" s="34"/>
      <c r="V1731" s="34"/>
      <c r="W1731" s="34"/>
      <c r="X1731" s="34"/>
      <c r="Y1731" s="34"/>
      <c r="Z1731" s="34"/>
      <c r="AA1731" s="34"/>
      <c r="AB1731" s="34"/>
      <c r="AC1731" s="34"/>
      <c r="AD1731" s="34"/>
      <c r="AE1731" s="34"/>
      <c r="AF1731" s="34"/>
      <c r="AG1731" s="34"/>
      <c r="AH1731" s="34"/>
      <c r="AI1731" s="34"/>
      <c r="AJ1731" s="34"/>
      <c r="AK1731" s="34"/>
      <c r="AL1731" s="34"/>
      <c r="AM1731" s="34"/>
      <c r="AN1731" s="34"/>
      <c r="AO1731" s="34"/>
      <c r="AP1731" s="34"/>
      <c r="AQ1731" s="34"/>
      <c r="AR1731" s="34"/>
      <c r="AS1731" s="34"/>
      <c r="AT1731" s="34"/>
      <c r="AU1731" s="34"/>
      <c r="AV1731" s="34"/>
      <c r="AW1731" s="34"/>
      <c r="AX1731" s="34"/>
      <c r="AY1731" s="34"/>
      <c r="AZ1731" s="34"/>
      <c r="BA1731" s="34"/>
      <c r="BB1731" s="34"/>
      <c r="BC1731" s="34"/>
      <c r="BD1731" s="34"/>
      <c r="BE1731" s="34"/>
      <c r="BF1731" s="34"/>
      <c r="BG1731" s="34"/>
      <c r="BH1731" s="34"/>
      <c r="BI1731" s="34"/>
      <c r="BJ1731" s="34"/>
      <c r="BK1731" s="34"/>
      <c r="BL1731" s="34"/>
      <c r="BM1731" s="34"/>
      <c r="BN1731" s="34"/>
      <c r="BO1731" s="34"/>
      <c r="BP1731" s="34"/>
      <c r="BQ1731" s="34"/>
      <c r="BR1731" s="34"/>
      <c r="BS1731" s="34"/>
      <c r="BT1731" s="34"/>
      <c r="BU1731" s="34"/>
      <c r="BV1731" s="34"/>
      <c r="BW1731" s="34"/>
      <c r="BX1731" s="34"/>
      <c r="BY1731" s="34"/>
      <c r="BZ1731" s="34"/>
      <c r="CA1731" s="34"/>
      <c r="CB1731" s="34"/>
      <c r="CC1731" s="34"/>
      <c r="CD1731" s="34"/>
      <c r="CE1731" s="34"/>
      <c r="CF1731" s="34"/>
      <c r="CG1731" s="34"/>
      <c r="CH1731" s="34"/>
      <c r="CI1731" s="8"/>
    </row>
    <row r="1732" spans="1:87" x14ac:dyDescent="0.2">
      <c r="A1732" s="8" t="str">
        <f>IF(AND(COUNTIF(W$3:W$13,A$22)&gt;0,A$22&lt;&gt;B1562),A$22,IFERROR(IF(MATCH(A$22,Z$3:Z$13,0)=8,A$22," ")," "))</f>
        <v xml:space="preserve"> </v>
      </c>
      <c r="B1732" s="8" t="str">
        <f>IF(A1732=" "," ",MAX(B1725:B1731)+1)</f>
        <v xml:space="preserve"> </v>
      </c>
      <c r="C1732" s="8" t="str">
        <f>IFERROR(INDEX(A1725:A1746,MATCH(SMALL(B1725:B1746,8),B1725:B1746,0),1)," ")</f>
        <v>C19</v>
      </c>
      <c r="D1732" s="8">
        <f t="shared" si="7475"/>
        <v>0</v>
      </c>
      <c r="E1732" s="8">
        <f t="shared" si="7476"/>
        <v>0</v>
      </c>
      <c r="F1732" s="8">
        <f t="shared" si="7477"/>
        <v>0</v>
      </c>
      <c r="G1732" s="8">
        <f t="shared" si="7478"/>
        <v>0</v>
      </c>
      <c r="H1732" s="8">
        <f t="shared" si="7479"/>
        <v>0</v>
      </c>
      <c r="I1732" s="8">
        <f t="shared" si="7480"/>
        <v>0</v>
      </c>
      <c r="J1732" s="8">
        <f t="shared" si="7481"/>
        <v>0</v>
      </c>
      <c r="K1732" s="8">
        <f t="shared" si="7482"/>
        <v>1</v>
      </c>
      <c r="L1732" s="8">
        <f t="shared" si="7483"/>
        <v>0</v>
      </c>
      <c r="M1732" s="8">
        <f t="shared" si="7484"/>
        <v>0</v>
      </c>
      <c r="N1732" s="8">
        <f t="shared" si="7485"/>
        <v>0</v>
      </c>
      <c r="O1732" s="8">
        <f t="shared" si="7486"/>
        <v>0</v>
      </c>
      <c r="P1732" s="8" t="e">
        <v>#NUM!</v>
      </c>
      <c r="Q1732" s="8" t="e">
        <f t="shared" ref="Q1732" si="7515">IF(COUNTIF(P1725:P1735,"&lt;"&amp;-0.001)=0,IF(ABS(P1732)&lt;0.001,0,P1732)," ")</f>
        <v>#NUM!</v>
      </c>
      <c r="R1732" s="8"/>
      <c r="S1732" s="8"/>
      <c r="U1732" s="34"/>
      <c r="V1732" s="34"/>
      <c r="W1732" s="34"/>
      <c r="X1732" s="34"/>
      <c r="Y1732" s="34"/>
      <c r="Z1732" s="34"/>
      <c r="AA1732" s="34"/>
      <c r="AB1732" s="34"/>
      <c r="AC1732" s="34"/>
      <c r="AD1732" s="34"/>
      <c r="AE1732" s="34"/>
      <c r="AF1732" s="34"/>
      <c r="AG1732" s="34"/>
      <c r="AH1732" s="34"/>
      <c r="AI1732" s="34"/>
      <c r="AJ1732" s="34"/>
      <c r="AK1732" s="34"/>
      <c r="AL1732" s="34"/>
      <c r="AM1732" s="34"/>
      <c r="AN1732" s="34"/>
      <c r="AO1732" s="34"/>
      <c r="AP1732" s="34"/>
      <c r="AQ1732" s="34"/>
      <c r="AR1732" s="34"/>
      <c r="AS1732" s="34"/>
      <c r="AT1732" s="34"/>
      <c r="AU1732" s="34"/>
      <c r="AV1732" s="34"/>
      <c r="AW1732" s="34"/>
      <c r="AX1732" s="34"/>
      <c r="AY1732" s="34"/>
      <c r="AZ1732" s="34"/>
      <c r="BA1732" s="34"/>
      <c r="BB1732" s="34"/>
      <c r="BC1732" s="34"/>
      <c r="BD1732" s="34"/>
      <c r="BE1732" s="34"/>
      <c r="BF1732" s="34"/>
      <c r="BG1732" s="34"/>
      <c r="BH1732" s="34"/>
      <c r="BI1732" s="34"/>
      <c r="BJ1732" s="34"/>
      <c r="BK1732" s="34"/>
      <c r="BL1732" s="34"/>
      <c r="BM1732" s="34"/>
      <c r="BN1732" s="34"/>
      <c r="BO1732" s="34"/>
      <c r="BP1732" s="34"/>
      <c r="BQ1732" s="34"/>
      <c r="BR1732" s="34"/>
      <c r="BS1732" s="34"/>
      <c r="BT1732" s="34"/>
      <c r="BU1732" s="34"/>
      <c r="BV1732" s="34"/>
      <c r="BW1732" s="34"/>
      <c r="BX1732" s="34"/>
      <c r="BY1732" s="34"/>
      <c r="BZ1732" s="34"/>
      <c r="CA1732" s="34"/>
      <c r="CB1732" s="34"/>
      <c r="CC1732" s="34"/>
      <c r="CD1732" s="34"/>
      <c r="CE1732" s="34"/>
      <c r="CF1732" s="34"/>
      <c r="CG1732" s="34"/>
      <c r="CH1732" s="34"/>
      <c r="CI1732" s="8"/>
    </row>
    <row r="1733" spans="1:87" x14ac:dyDescent="0.2">
      <c r="A1733" s="8" t="str">
        <f>IF(AND(COUNTIF(W$3:W$13,A$23)&gt;0,A$23&lt;&gt;B1562),A$23,IFERROR(IF(MATCH(A$23,Z$3:Z$13,0)=8,A$23," ")," "))</f>
        <v xml:space="preserve"> </v>
      </c>
      <c r="B1733" s="8" t="str">
        <f>IF(A1733=" "," ",MAX(B1725:B1732)+1)</f>
        <v xml:space="preserve"> </v>
      </c>
      <c r="C1733" s="8" t="str">
        <f>IFERROR(INDEX(A1725:A1746,MATCH(SMALL(B1725:B1746,9),B1725:B1746,0),1)," ")</f>
        <v>C20</v>
      </c>
      <c r="D1733" s="8">
        <f t="shared" si="7475"/>
        <v>0</v>
      </c>
      <c r="E1733" s="8">
        <f t="shared" si="7476"/>
        <v>0</v>
      </c>
      <c r="F1733" s="8">
        <f t="shared" si="7477"/>
        <v>0</v>
      </c>
      <c r="G1733" s="8">
        <f t="shared" si="7478"/>
        <v>0</v>
      </c>
      <c r="H1733" s="8">
        <f t="shared" si="7479"/>
        <v>0</v>
      </c>
      <c r="I1733" s="8">
        <f t="shared" si="7480"/>
        <v>0</v>
      </c>
      <c r="J1733" s="8">
        <f t="shared" si="7481"/>
        <v>0</v>
      </c>
      <c r="K1733" s="8">
        <f t="shared" si="7482"/>
        <v>0</v>
      </c>
      <c r="L1733" s="8">
        <f t="shared" si="7483"/>
        <v>1</v>
      </c>
      <c r="M1733" s="8">
        <f t="shared" si="7484"/>
        <v>0</v>
      </c>
      <c r="N1733" s="8">
        <f t="shared" si="7485"/>
        <v>0</v>
      </c>
      <c r="O1733" s="8">
        <f t="shared" si="7486"/>
        <v>0</v>
      </c>
      <c r="P1733" s="6" t="e">
        <v>#NUM!</v>
      </c>
      <c r="Q1733" s="8" t="e">
        <f t="shared" ref="Q1733" si="7516">IF(COUNTIF(P1725:P1735,"&lt;"&amp;-0.001)=0,IF(ABS(P1733)&lt;0.001,0,P1733)," ")</f>
        <v>#NUM!</v>
      </c>
      <c r="R1733" s="8"/>
      <c r="S1733" s="8"/>
      <c r="U1733" s="34"/>
      <c r="V1733" s="34"/>
      <c r="W1733" s="34"/>
      <c r="X1733" s="34"/>
      <c r="Y1733" s="34"/>
      <c r="Z1733" s="34"/>
      <c r="AA1733" s="34"/>
      <c r="AB1733" s="34"/>
      <c r="AC1733" s="34"/>
      <c r="AD1733" s="34"/>
      <c r="AE1733" s="34"/>
      <c r="AF1733" s="34"/>
      <c r="AG1733" s="34"/>
      <c r="AH1733" s="34"/>
      <c r="AI1733" s="34"/>
      <c r="AJ1733" s="34"/>
      <c r="AK1733" s="34"/>
      <c r="AL1733" s="34"/>
      <c r="AM1733" s="34"/>
      <c r="AN1733" s="34"/>
      <c r="AO1733" s="34"/>
      <c r="AP1733" s="34"/>
      <c r="AQ1733" s="34"/>
      <c r="AR1733" s="34"/>
      <c r="AS1733" s="34"/>
      <c r="AT1733" s="34"/>
      <c r="AU1733" s="34"/>
      <c r="AV1733" s="34"/>
      <c r="AW1733" s="34"/>
      <c r="AX1733" s="34"/>
      <c r="AY1733" s="34"/>
      <c r="AZ1733" s="34"/>
      <c r="BA1733" s="34"/>
      <c r="BB1733" s="34"/>
      <c r="BC1733" s="34"/>
      <c r="BD1733" s="34"/>
      <c r="BE1733" s="34"/>
      <c r="BF1733" s="34"/>
      <c r="BG1733" s="34"/>
      <c r="BH1733" s="34"/>
      <c r="BI1733" s="34"/>
      <c r="BJ1733" s="34"/>
      <c r="BK1733" s="34"/>
      <c r="BL1733" s="34"/>
      <c r="BM1733" s="34"/>
      <c r="BN1733" s="34"/>
      <c r="BO1733" s="34"/>
      <c r="BP1733" s="34"/>
      <c r="BQ1733" s="34"/>
      <c r="BR1733" s="34"/>
      <c r="BS1733" s="34"/>
      <c r="BT1733" s="34"/>
      <c r="BU1733" s="34"/>
      <c r="BV1733" s="34"/>
      <c r="BW1733" s="34"/>
      <c r="BX1733" s="34"/>
      <c r="BY1733" s="34"/>
      <c r="BZ1733" s="34"/>
      <c r="CA1733" s="34"/>
      <c r="CB1733" s="34"/>
      <c r="CC1733" s="34"/>
      <c r="CD1733" s="34"/>
      <c r="CE1733" s="34"/>
      <c r="CF1733" s="34"/>
      <c r="CG1733" s="34"/>
      <c r="CH1733" s="34"/>
      <c r="CI1733" s="8"/>
    </row>
    <row r="1734" spans="1:87" x14ac:dyDescent="0.2">
      <c r="A1734" s="8" t="str">
        <f>IF(AND(COUNTIF(W$3:W$13,A$24)&gt;0,A$24&lt;&gt;B1562),A$24,IFERROR(IF(MATCH(A$24,Z$3:Z$13,0)=8,A$24," ")," "))</f>
        <v>C10</v>
      </c>
      <c r="B1734" s="8">
        <f>IF(A1734=" "," ",MAX(B1725:B1733)+1)</f>
        <v>3</v>
      </c>
      <c r="C1734" s="8" t="str">
        <f>IFERROR(INDEX(A1725:A1746,MATCH(SMALL(B1725:B1746,10),B1725:B1746,0),1)," ")</f>
        <v>C21</v>
      </c>
      <c r="D1734" s="8">
        <f t="shared" si="7475"/>
        <v>0</v>
      </c>
      <c r="E1734" s="8">
        <f t="shared" si="7476"/>
        <v>0</v>
      </c>
      <c r="F1734" s="8">
        <f t="shared" si="7477"/>
        <v>0</v>
      </c>
      <c r="G1734" s="8">
        <f t="shared" si="7478"/>
        <v>0</v>
      </c>
      <c r="H1734" s="8">
        <f t="shared" si="7479"/>
        <v>0</v>
      </c>
      <c r="I1734" s="8">
        <f t="shared" si="7480"/>
        <v>0</v>
      </c>
      <c r="J1734" s="8">
        <f t="shared" si="7481"/>
        <v>0</v>
      </c>
      <c r="K1734" s="8">
        <f t="shared" si="7482"/>
        <v>0</v>
      </c>
      <c r="L1734" s="8">
        <f t="shared" si="7483"/>
        <v>0</v>
      </c>
      <c r="M1734" s="8">
        <f t="shared" si="7484"/>
        <v>1</v>
      </c>
      <c r="N1734" s="8">
        <f t="shared" si="7485"/>
        <v>0</v>
      </c>
      <c r="O1734" s="8">
        <f t="shared" si="7486"/>
        <v>0</v>
      </c>
      <c r="P1734" s="8" t="e">
        <v>#NUM!</v>
      </c>
      <c r="Q1734" s="8" t="e">
        <f t="shared" ref="Q1734" si="7517">IF(COUNTIF(P1725:P1735,"&lt;"&amp;-0.001)=0,IF(ABS(P1734)&lt;0.001,0,P1734)," ")</f>
        <v>#NUM!</v>
      </c>
      <c r="R1734" s="8"/>
      <c r="S1734" s="8"/>
      <c r="U1734" s="34"/>
      <c r="V1734" s="34"/>
      <c r="W1734" s="34"/>
      <c r="X1734" s="34"/>
      <c r="Y1734" s="34"/>
      <c r="Z1734" s="34"/>
      <c r="AA1734" s="34"/>
      <c r="AB1734" s="34"/>
      <c r="AC1734" s="34"/>
      <c r="AD1734" s="34"/>
      <c r="AE1734" s="34"/>
      <c r="AF1734" s="34"/>
      <c r="AG1734" s="34"/>
      <c r="AH1734" s="34"/>
      <c r="AI1734" s="34"/>
      <c r="AJ1734" s="34"/>
      <c r="AK1734" s="34"/>
      <c r="AL1734" s="34"/>
      <c r="AM1734" s="34"/>
      <c r="AN1734" s="34"/>
      <c r="AO1734" s="34"/>
      <c r="AP1734" s="34"/>
      <c r="AQ1734" s="34"/>
      <c r="AR1734" s="34"/>
      <c r="AS1734" s="34"/>
      <c r="AT1734" s="34"/>
      <c r="AU1734" s="34"/>
      <c r="AV1734" s="34"/>
      <c r="AW1734" s="34"/>
      <c r="AX1734" s="34"/>
      <c r="AY1734" s="34"/>
      <c r="AZ1734" s="34"/>
      <c r="BA1734" s="34"/>
      <c r="BB1734" s="34"/>
      <c r="BC1734" s="34"/>
      <c r="BD1734" s="34"/>
      <c r="BE1734" s="34"/>
      <c r="BF1734" s="34"/>
      <c r="BG1734" s="34"/>
      <c r="BH1734" s="34"/>
      <c r="BI1734" s="34"/>
      <c r="BJ1734" s="34"/>
      <c r="BK1734" s="34"/>
      <c r="BL1734" s="34"/>
      <c r="BM1734" s="34"/>
      <c r="BN1734" s="34"/>
      <c r="BO1734" s="34"/>
      <c r="BP1734" s="34"/>
      <c r="BQ1734" s="34"/>
      <c r="BR1734" s="34"/>
      <c r="BS1734" s="34"/>
      <c r="BT1734" s="34"/>
      <c r="BU1734" s="34"/>
      <c r="BV1734" s="34"/>
      <c r="BW1734" s="34"/>
      <c r="BX1734" s="34"/>
      <c r="BY1734" s="34"/>
      <c r="BZ1734" s="34"/>
      <c r="CA1734" s="34"/>
      <c r="CB1734" s="34"/>
      <c r="CC1734" s="34"/>
      <c r="CD1734" s="34"/>
      <c r="CE1734" s="34"/>
      <c r="CF1734" s="34"/>
      <c r="CG1734" s="34"/>
      <c r="CH1734" s="34"/>
      <c r="CI1734" s="8"/>
    </row>
    <row r="1735" spans="1:87" x14ac:dyDescent="0.2">
      <c r="A1735" s="8" t="str">
        <f>IF(AND(COUNTIF(W$3:W$13,A$25)&gt;0,A$25&lt;&gt;B1562),A$25,IFERROR(IF(MATCH(A$25,Z$3:Z$13,0)=8,A$25," ")," "))</f>
        <v xml:space="preserve"> </v>
      </c>
      <c r="B1735" s="8" t="str">
        <f>IF(A1735=" "," ",MAX(B1725:B1734)+1)</f>
        <v xml:space="preserve"> </v>
      </c>
      <c r="C1735" s="8" t="str">
        <f>IFERROR(INDEX(A1725:A1746,MATCH(SMALL(B1725:B1746,11),B1725:B1746,0),1)," ")</f>
        <v>C22</v>
      </c>
      <c r="D1735" s="8">
        <f t="shared" si="7475"/>
        <v>0</v>
      </c>
      <c r="E1735" s="8">
        <f t="shared" si="7476"/>
        <v>0</v>
      </c>
      <c r="F1735" s="8">
        <f t="shared" si="7477"/>
        <v>0</v>
      </c>
      <c r="G1735" s="8">
        <f t="shared" si="7478"/>
        <v>0</v>
      </c>
      <c r="H1735" s="8">
        <f t="shared" si="7479"/>
        <v>0</v>
      </c>
      <c r="I1735" s="8">
        <f t="shared" si="7480"/>
        <v>0</v>
      </c>
      <c r="J1735" s="8">
        <f t="shared" si="7481"/>
        <v>0</v>
      </c>
      <c r="K1735" s="8">
        <f t="shared" si="7482"/>
        <v>0</v>
      </c>
      <c r="L1735" s="8">
        <f t="shared" si="7483"/>
        <v>0</v>
      </c>
      <c r="M1735" s="8">
        <f t="shared" si="7484"/>
        <v>0</v>
      </c>
      <c r="N1735" s="8">
        <f t="shared" si="7485"/>
        <v>1</v>
      </c>
      <c r="O1735" s="8">
        <f t="shared" si="7486"/>
        <v>0</v>
      </c>
      <c r="P1735" s="8" t="e">
        <v>#NUM!</v>
      </c>
      <c r="Q1735" s="8" t="e">
        <f t="shared" ref="Q1735" si="7518">IF(COUNTIF(P1725:P1735,"&lt;"&amp;-0.001)=0,IF(ABS(P1735)&lt;0.001,0,P1735)," ")</f>
        <v>#NUM!</v>
      </c>
      <c r="R1735" s="8"/>
      <c r="S1735" s="8"/>
      <c r="U1735" s="34"/>
      <c r="V1735" s="34"/>
      <c r="W1735" s="34"/>
      <c r="X1735" s="34"/>
      <c r="Y1735" s="34"/>
      <c r="Z1735" s="34"/>
      <c r="AA1735" s="34"/>
      <c r="AB1735" s="34"/>
      <c r="AC1735" s="34"/>
      <c r="AD1735" s="34"/>
      <c r="AE1735" s="34"/>
      <c r="AF1735" s="34"/>
      <c r="AG1735" s="34"/>
      <c r="AH1735" s="34"/>
      <c r="AI1735" s="34"/>
      <c r="AJ1735" s="34"/>
      <c r="AK1735" s="34"/>
      <c r="AL1735" s="34"/>
      <c r="AM1735" s="34"/>
      <c r="AN1735" s="34"/>
      <c r="AO1735" s="34"/>
      <c r="AP1735" s="34"/>
      <c r="AQ1735" s="34"/>
      <c r="AR1735" s="34"/>
      <c r="AS1735" s="34"/>
      <c r="AT1735" s="34"/>
      <c r="AU1735" s="34"/>
      <c r="AV1735" s="34"/>
      <c r="AW1735" s="34"/>
      <c r="AX1735" s="34"/>
      <c r="AY1735" s="34"/>
      <c r="AZ1735" s="34"/>
      <c r="BA1735" s="34"/>
      <c r="BB1735" s="34"/>
      <c r="BC1735" s="34"/>
      <c r="BD1735" s="34"/>
      <c r="BE1735" s="34"/>
      <c r="BF1735" s="34"/>
      <c r="BG1735" s="34"/>
      <c r="BH1735" s="34"/>
      <c r="BI1735" s="34"/>
      <c r="BJ1735" s="34"/>
      <c r="BK1735" s="34"/>
      <c r="BL1735" s="34"/>
      <c r="BM1735" s="34"/>
      <c r="BN1735" s="34"/>
      <c r="BO1735" s="34"/>
      <c r="BP1735" s="34"/>
      <c r="BQ1735" s="34"/>
      <c r="BR1735" s="34"/>
      <c r="BS1735" s="34"/>
      <c r="BT1735" s="34"/>
      <c r="BU1735" s="34"/>
      <c r="BV1735" s="34"/>
      <c r="BW1735" s="34"/>
      <c r="BX1735" s="34"/>
      <c r="BY1735" s="34"/>
      <c r="BZ1735" s="34"/>
      <c r="CA1735" s="34"/>
      <c r="CB1735" s="34"/>
      <c r="CC1735" s="34"/>
      <c r="CD1735" s="34"/>
      <c r="CE1735" s="34"/>
      <c r="CF1735" s="34"/>
      <c r="CG1735" s="34"/>
      <c r="CH1735" s="34"/>
      <c r="CI1735" s="8"/>
    </row>
    <row r="1736" spans="1:87" x14ac:dyDescent="0.2">
      <c r="A1736" s="8" t="str">
        <f>IF(AND(COUNTIF(W$3:W$13,A$26)&gt;0,A$26&lt;&gt;B1562),A$26,IFERROR(IF(MATCH(A$26,Z$3:Z$13,0)=8,A$26," ")," "))</f>
        <v xml:space="preserve"> </v>
      </c>
      <c r="B1736" s="8" t="str">
        <f>IF(A1736=" "," ",MAX(B1725:B1735)+1)</f>
        <v xml:space="preserve"> </v>
      </c>
      <c r="C1736" s="8"/>
      <c r="D1736" s="8"/>
      <c r="E1736" s="8"/>
      <c r="F1736" s="8"/>
      <c r="G1736" s="8"/>
      <c r="H1736" s="8"/>
      <c r="I1736" s="8"/>
      <c r="J1736" s="8"/>
      <c r="K1736" s="8"/>
      <c r="L1736" s="8"/>
      <c r="M1736" s="8"/>
      <c r="N1736" s="8"/>
      <c r="O1736" s="8"/>
      <c r="P1736" s="8"/>
      <c r="Q1736" s="8"/>
      <c r="R1736" s="8"/>
      <c r="S1736" s="8"/>
      <c r="U1736" s="34"/>
      <c r="V1736" s="34"/>
      <c r="W1736" s="34"/>
      <c r="X1736" s="34"/>
      <c r="Y1736" s="34"/>
      <c r="Z1736" s="34"/>
      <c r="AA1736" s="34"/>
      <c r="AB1736" s="34"/>
      <c r="AC1736" s="34"/>
      <c r="AD1736" s="34"/>
      <c r="AE1736" s="34"/>
      <c r="AF1736" s="34"/>
      <c r="AG1736" s="34"/>
      <c r="AH1736" s="34"/>
      <c r="AI1736" s="34"/>
      <c r="AJ1736" s="34"/>
      <c r="AK1736" s="34"/>
      <c r="AL1736" s="34"/>
      <c r="AM1736" s="34"/>
      <c r="AN1736" s="34"/>
      <c r="AO1736" s="34"/>
      <c r="AP1736" s="34"/>
      <c r="AQ1736" s="34"/>
      <c r="AR1736" s="34"/>
      <c r="AS1736" s="34"/>
      <c r="AT1736" s="34"/>
      <c r="AU1736" s="34"/>
      <c r="AV1736" s="34"/>
      <c r="AW1736" s="34"/>
      <c r="AX1736" s="34"/>
      <c r="AY1736" s="34"/>
      <c r="AZ1736" s="34"/>
      <c r="BA1736" s="34"/>
      <c r="BB1736" s="34"/>
      <c r="BC1736" s="34"/>
      <c r="BD1736" s="34"/>
      <c r="BE1736" s="34"/>
      <c r="BF1736" s="34"/>
      <c r="BG1736" s="34"/>
      <c r="BH1736" s="34"/>
      <c r="BI1736" s="34"/>
      <c r="BJ1736" s="34"/>
      <c r="BK1736" s="34"/>
      <c r="BL1736" s="34"/>
      <c r="BM1736" s="34"/>
      <c r="BN1736" s="34"/>
      <c r="BO1736" s="34"/>
      <c r="BP1736" s="34"/>
      <c r="BQ1736" s="34"/>
      <c r="BR1736" s="34"/>
      <c r="BS1736" s="34"/>
      <c r="BT1736" s="34"/>
      <c r="BU1736" s="34"/>
      <c r="BV1736" s="34"/>
      <c r="BW1736" s="34"/>
      <c r="BX1736" s="34"/>
      <c r="BY1736" s="34"/>
      <c r="BZ1736" s="34"/>
      <c r="CA1736" s="34"/>
      <c r="CB1736" s="34"/>
      <c r="CC1736" s="34"/>
      <c r="CD1736" s="34"/>
      <c r="CE1736" s="34"/>
      <c r="CF1736" s="34"/>
      <c r="CG1736" s="34"/>
      <c r="CH1736" s="34"/>
      <c r="CI1736" s="8"/>
    </row>
    <row r="1737" spans="1:87" x14ac:dyDescent="0.2">
      <c r="A1737" s="8" t="str">
        <f>IF(AND(COUNTIF(W$3:W$13,A$27)&gt;0,A$27&lt;&gt;B1562),A$27,IFERROR(IF(MATCH(A$27,Z$3:Z$13,0)=8,A$27," ")," "))</f>
        <v>C13</v>
      </c>
      <c r="B1737" s="8">
        <f>IF(A1737=" "," ",MAX(B1725:B1736)+1)</f>
        <v>4</v>
      </c>
      <c r="C1737" s="8"/>
      <c r="D1737" s="8"/>
      <c r="E1737" s="8"/>
      <c r="F1737" s="8"/>
      <c r="G1737" s="8"/>
      <c r="H1737" s="8"/>
      <c r="I1737" s="8"/>
      <c r="J1737" s="8"/>
      <c r="K1737" s="8"/>
      <c r="L1737" s="8"/>
      <c r="M1737" s="8"/>
      <c r="N1737" s="8"/>
      <c r="O1737" s="8"/>
      <c r="P1737" s="8"/>
      <c r="Q1737" s="8"/>
      <c r="R1737" s="8"/>
      <c r="S1737" s="8"/>
      <c r="U1737" s="34"/>
      <c r="V1737" s="34"/>
      <c r="W1737" s="34"/>
      <c r="X1737" s="34"/>
      <c r="Y1737" s="34"/>
      <c r="Z1737" s="34"/>
      <c r="AA1737" s="34"/>
      <c r="AB1737" s="34"/>
      <c r="AC1737" s="34"/>
      <c r="AD1737" s="34"/>
      <c r="AE1737" s="34"/>
      <c r="AF1737" s="34"/>
      <c r="AG1737" s="34"/>
      <c r="AH1737" s="34"/>
      <c r="AI1737" s="34"/>
      <c r="AJ1737" s="34"/>
      <c r="AK1737" s="34"/>
      <c r="AL1737" s="34"/>
      <c r="AM1737" s="34"/>
      <c r="AN1737" s="34"/>
      <c r="AO1737" s="34"/>
      <c r="AP1737" s="34"/>
      <c r="AQ1737" s="34"/>
      <c r="AR1737" s="34"/>
      <c r="AS1737" s="34"/>
      <c r="AT1737" s="34"/>
      <c r="AU1737" s="34"/>
      <c r="AV1737" s="34"/>
      <c r="AW1737" s="34"/>
      <c r="AX1737" s="34"/>
      <c r="AY1737" s="34"/>
      <c r="AZ1737" s="34"/>
      <c r="BA1737" s="34"/>
      <c r="BB1737" s="34"/>
      <c r="BC1737" s="34"/>
      <c r="BD1737" s="34"/>
      <c r="BE1737" s="34"/>
      <c r="BF1737" s="34"/>
      <c r="BG1737" s="34"/>
      <c r="BH1737" s="34"/>
      <c r="BI1737" s="34"/>
      <c r="BJ1737" s="34"/>
      <c r="BK1737" s="34"/>
      <c r="BL1737" s="34"/>
      <c r="BM1737" s="34"/>
      <c r="BN1737" s="34"/>
      <c r="BO1737" s="34"/>
      <c r="BP1737" s="34"/>
      <c r="BQ1737" s="34"/>
      <c r="BR1737" s="34"/>
      <c r="BS1737" s="34"/>
      <c r="BT1737" s="34"/>
      <c r="BU1737" s="34"/>
      <c r="BV1737" s="34"/>
      <c r="BW1737" s="34"/>
      <c r="BX1737" s="34"/>
      <c r="BY1737" s="34"/>
      <c r="BZ1737" s="34"/>
      <c r="CA1737" s="34"/>
      <c r="CB1737" s="34"/>
      <c r="CC1737" s="34"/>
      <c r="CD1737" s="34"/>
      <c r="CE1737" s="34"/>
      <c r="CF1737" s="34"/>
      <c r="CG1737" s="34"/>
      <c r="CH1737" s="34"/>
      <c r="CI1737" s="8"/>
    </row>
    <row r="1738" spans="1:87" x14ac:dyDescent="0.2">
      <c r="A1738" s="8" t="str">
        <f>IF(AND(COUNTIF(W$3:W$13,A$28)&gt;0,A$28&lt;&gt;B1562),A$28,IFERROR(IF(MATCH(A$28,Z$3:Z$13,0)=8,A$28," ")," "))</f>
        <v xml:space="preserve"> </v>
      </c>
      <c r="B1738" s="8" t="str">
        <f>IF(A1738=" "," ",MAX(B1725:B1737)+1)</f>
        <v xml:space="preserve"> </v>
      </c>
      <c r="C1738" s="8"/>
      <c r="D1738" s="8"/>
      <c r="E1738" s="8"/>
      <c r="F1738" s="8"/>
      <c r="G1738" s="8"/>
      <c r="H1738" s="8"/>
      <c r="I1738" s="8"/>
      <c r="J1738" s="8"/>
      <c r="K1738" s="8"/>
      <c r="L1738" s="8"/>
      <c r="M1738" s="8"/>
      <c r="N1738" s="8"/>
      <c r="O1738" s="8"/>
      <c r="P1738" s="8"/>
      <c r="Q1738" s="8"/>
      <c r="R1738" s="8"/>
      <c r="S1738" s="8"/>
      <c r="U1738" s="34"/>
      <c r="V1738" s="34"/>
      <c r="W1738" s="34"/>
      <c r="X1738" s="34"/>
      <c r="Y1738" s="34"/>
      <c r="Z1738" s="34"/>
      <c r="AA1738" s="34"/>
      <c r="AB1738" s="34"/>
      <c r="AC1738" s="34"/>
      <c r="AD1738" s="34"/>
      <c r="AE1738" s="34"/>
      <c r="AF1738" s="34"/>
      <c r="AG1738" s="34"/>
      <c r="AH1738" s="34"/>
      <c r="AI1738" s="34"/>
      <c r="AJ1738" s="34"/>
      <c r="AK1738" s="34"/>
      <c r="AL1738" s="34"/>
      <c r="AM1738" s="34"/>
      <c r="AN1738" s="34"/>
      <c r="AO1738" s="34"/>
      <c r="AP1738" s="34"/>
      <c r="AQ1738" s="34"/>
      <c r="AR1738" s="34"/>
      <c r="AS1738" s="34"/>
      <c r="AT1738" s="34"/>
      <c r="AU1738" s="34"/>
      <c r="AV1738" s="34"/>
      <c r="AW1738" s="34"/>
      <c r="AX1738" s="34"/>
      <c r="AY1738" s="34"/>
      <c r="AZ1738" s="34"/>
      <c r="BA1738" s="34"/>
      <c r="BB1738" s="34"/>
      <c r="BC1738" s="34"/>
      <c r="BD1738" s="34"/>
      <c r="BE1738" s="34"/>
      <c r="BF1738" s="34"/>
      <c r="BG1738" s="34"/>
      <c r="BH1738" s="34"/>
      <c r="BI1738" s="34"/>
      <c r="BJ1738" s="34"/>
      <c r="BK1738" s="34"/>
      <c r="BL1738" s="34"/>
      <c r="BM1738" s="34"/>
      <c r="BN1738" s="34"/>
      <c r="BO1738" s="34"/>
      <c r="BP1738" s="34"/>
      <c r="BQ1738" s="34"/>
      <c r="BR1738" s="34"/>
      <c r="BS1738" s="34"/>
      <c r="BT1738" s="34"/>
      <c r="BU1738" s="34"/>
      <c r="BV1738" s="34"/>
      <c r="BW1738" s="34"/>
      <c r="BX1738" s="34"/>
      <c r="BY1738" s="34"/>
      <c r="BZ1738" s="34"/>
      <c r="CA1738" s="34"/>
      <c r="CB1738" s="34"/>
      <c r="CC1738" s="34"/>
      <c r="CD1738" s="34"/>
      <c r="CE1738" s="34"/>
      <c r="CF1738" s="34"/>
      <c r="CG1738" s="34"/>
      <c r="CH1738" s="34"/>
      <c r="CI1738" s="8"/>
    </row>
    <row r="1739" spans="1:87" x14ac:dyDescent="0.2">
      <c r="A1739" s="8" t="str">
        <f>IF(AND(COUNTIF(W$3:W$13,A$29)&gt;0,A$29&lt;&gt;B1562),A$29,IFERROR(IF(MATCH(A$29,Z$3:Z$13,0)=8,A$29," ")," "))</f>
        <v>C15</v>
      </c>
      <c r="B1739" s="8">
        <f>IF(A1739=" "," ",MAX(B1725:B1738)+1)</f>
        <v>5</v>
      </c>
      <c r="C1739" s="8"/>
      <c r="D1739" s="8"/>
      <c r="E1739" s="8"/>
      <c r="F1739" s="8"/>
      <c r="G1739" s="8"/>
      <c r="H1739" s="8"/>
      <c r="I1739" s="8"/>
      <c r="J1739" s="8"/>
      <c r="K1739" s="8"/>
      <c r="L1739" s="8"/>
      <c r="M1739" s="8"/>
      <c r="N1739" s="8"/>
      <c r="O1739" s="8"/>
      <c r="P1739" s="8"/>
      <c r="Q1739" s="8"/>
      <c r="R1739" s="8"/>
      <c r="S1739" s="8"/>
      <c r="U1739" s="34"/>
      <c r="V1739" s="34"/>
      <c r="W1739" s="34"/>
      <c r="X1739" s="34"/>
      <c r="Y1739" s="34"/>
      <c r="Z1739" s="34"/>
      <c r="AA1739" s="34"/>
      <c r="AB1739" s="34"/>
      <c r="AC1739" s="34"/>
      <c r="AD1739" s="34"/>
      <c r="AE1739" s="34"/>
      <c r="AF1739" s="34"/>
      <c r="AG1739" s="34"/>
      <c r="AH1739" s="34"/>
      <c r="AI1739" s="34"/>
      <c r="AJ1739" s="34"/>
      <c r="AK1739" s="34"/>
      <c r="AL1739" s="34"/>
      <c r="AM1739" s="34"/>
      <c r="AN1739" s="34"/>
      <c r="AO1739" s="34"/>
      <c r="AP1739" s="34"/>
      <c r="AQ1739" s="34"/>
      <c r="AR1739" s="34"/>
      <c r="AS1739" s="34"/>
      <c r="AT1739" s="34"/>
      <c r="AU1739" s="34"/>
      <c r="AV1739" s="34"/>
      <c r="AW1739" s="34"/>
      <c r="AX1739" s="34"/>
      <c r="AY1739" s="34"/>
      <c r="AZ1739" s="34"/>
      <c r="BA1739" s="34"/>
      <c r="BB1739" s="34"/>
      <c r="BC1739" s="34"/>
      <c r="BD1739" s="34"/>
      <c r="BE1739" s="34"/>
      <c r="BF1739" s="34"/>
      <c r="BG1739" s="34"/>
      <c r="BH1739" s="34"/>
      <c r="BI1739" s="34"/>
      <c r="BJ1739" s="34"/>
      <c r="BK1739" s="34"/>
      <c r="BL1739" s="34"/>
      <c r="BM1739" s="34"/>
      <c r="BN1739" s="34"/>
      <c r="BO1739" s="34"/>
      <c r="BP1739" s="34"/>
      <c r="BQ1739" s="34"/>
      <c r="BR1739" s="34"/>
      <c r="BS1739" s="34"/>
      <c r="BT1739" s="34"/>
      <c r="BU1739" s="34"/>
      <c r="BV1739" s="34"/>
      <c r="BW1739" s="34"/>
      <c r="BX1739" s="34"/>
      <c r="BY1739" s="34"/>
      <c r="BZ1739" s="34"/>
      <c r="CA1739" s="34"/>
      <c r="CB1739" s="34"/>
      <c r="CC1739" s="34"/>
      <c r="CD1739" s="34"/>
      <c r="CE1739" s="34"/>
      <c r="CF1739" s="34"/>
      <c r="CG1739" s="34"/>
      <c r="CH1739" s="34"/>
      <c r="CI1739" s="8"/>
    </row>
    <row r="1740" spans="1:87" x14ac:dyDescent="0.2">
      <c r="A1740" s="8" t="str">
        <f>IF(AND(COUNTIF(W$3:W$13,A$30)&gt;0,A$30&lt;&gt;B1562),A$30,IFERROR(IF(MATCH(A$30,Z$3:Z$13,0)=8,A$30," ")," "))</f>
        <v>C16</v>
      </c>
      <c r="B1740" s="8">
        <f>IF(A1740=" "," ",MAX(B1725:B1739)+1)</f>
        <v>6</v>
      </c>
      <c r="C1740" s="8"/>
      <c r="D1740" s="8"/>
      <c r="E1740" s="8"/>
      <c r="F1740" s="8"/>
      <c r="G1740" s="8"/>
      <c r="H1740" s="8"/>
      <c r="I1740" s="8"/>
      <c r="J1740" s="8"/>
      <c r="K1740" s="8"/>
      <c r="L1740" s="8"/>
      <c r="M1740" s="8"/>
      <c r="N1740" s="8"/>
      <c r="O1740" s="8"/>
      <c r="P1740" s="8"/>
      <c r="Q1740" s="8"/>
      <c r="R1740" s="8"/>
      <c r="S1740" s="8"/>
      <c r="U1740" s="34"/>
      <c r="V1740" s="34"/>
      <c r="W1740" s="34"/>
      <c r="X1740" s="34"/>
      <c r="Y1740" s="34"/>
      <c r="Z1740" s="34"/>
      <c r="AA1740" s="34"/>
      <c r="AB1740" s="34"/>
      <c r="AC1740" s="34"/>
      <c r="AD1740" s="34"/>
      <c r="AE1740" s="34"/>
      <c r="AF1740" s="34"/>
      <c r="AG1740" s="34"/>
      <c r="AH1740" s="34"/>
      <c r="AI1740" s="34"/>
      <c r="AJ1740" s="34"/>
      <c r="AK1740" s="34"/>
      <c r="AL1740" s="34"/>
      <c r="AM1740" s="34"/>
      <c r="AN1740" s="34"/>
      <c r="AO1740" s="34"/>
      <c r="AP1740" s="34"/>
      <c r="AQ1740" s="34"/>
      <c r="AR1740" s="34"/>
      <c r="AS1740" s="34"/>
      <c r="AT1740" s="34"/>
      <c r="AU1740" s="34"/>
      <c r="AV1740" s="34"/>
      <c r="AW1740" s="34"/>
      <c r="AX1740" s="34"/>
      <c r="AY1740" s="34"/>
      <c r="AZ1740" s="34"/>
      <c r="BA1740" s="34"/>
      <c r="BB1740" s="34"/>
      <c r="BC1740" s="34"/>
      <c r="BD1740" s="34"/>
      <c r="BE1740" s="34"/>
      <c r="BF1740" s="34"/>
      <c r="BG1740" s="34"/>
      <c r="BH1740" s="34"/>
      <c r="BI1740" s="34"/>
      <c r="BJ1740" s="34"/>
      <c r="BK1740" s="34"/>
      <c r="BL1740" s="34"/>
      <c r="BM1740" s="34"/>
      <c r="BN1740" s="34"/>
      <c r="BO1740" s="34"/>
      <c r="BP1740" s="34"/>
      <c r="BQ1740" s="34"/>
      <c r="BR1740" s="34"/>
      <c r="BS1740" s="34"/>
      <c r="BT1740" s="34"/>
      <c r="BU1740" s="34"/>
      <c r="BV1740" s="34"/>
      <c r="BW1740" s="34"/>
      <c r="BX1740" s="34"/>
      <c r="BY1740" s="34"/>
      <c r="BZ1740" s="34"/>
      <c r="CA1740" s="34"/>
      <c r="CB1740" s="34"/>
      <c r="CC1740" s="34"/>
      <c r="CD1740" s="34"/>
      <c r="CE1740" s="34"/>
      <c r="CF1740" s="34"/>
      <c r="CG1740" s="34"/>
      <c r="CH1740" s="34"/>
      <c r="CI1740" s="8"/>
    </row>
    <row r="1741" spans="1:87" x14ac:dyDescent="0.2">
      <c r="A1741" s="8" t="str">
        <f>IF(AND(COUNTIF(W$3:W$13,A$31)&gt;0,A$31&lt;&gt;B1562),A$31,IFERROR(IF(MATCH(A$31,Z$3:Z$13,0)=8,A$31," ")," "))</f>
        <v>C17</v>
      </c>
      <c r="B1741" s="8">
        <f>IF(A1741=" "," ",MAX(B1725:B1740)+1)</f>
        <v>7</v>
      </c>
      <c r="C1741" s="8"/>
      <c r="D1741" s="8"/>
      <c r="E1741" s="8"/>
      <c r="F1741" s="8"/>
      <c r="G1741" s="8"/>
      <c r="H1741" s="8"/>
      <c r="I1741" s="8"/>
      <c r="J1741" s="8"/>
      <c r="K1741" s="8"/>
      <c r="L1741" s="8"/>
      <c r="M1741" s="8"/>
      <c r="N1741" s="8"/>
      <c r="O1741" s="8"/>
      <c r="P1741" s="8"/>
      <c r="Q1741" s="8"/>
      <c r="R1741" s="8"/>
      <c r="S1741" s="8"/>
      <c r="U1741" s="34"/>
      <c r="V1741" s="34"/>
      <c r="W1741" s="34"/>
      <c r="X1741" s="34"/>
      <c r="Y1741" s="34"/>
      <c r="Z1741" s="34"/>
      <c r="AA1741" s="34"/>
      <c r="AB1741" s="34"/>
      <c r="AC1741" s="34"/>
      <c r="AD1741" s="34"/>
      <c r="AE1741" s="34"/>
      <c r="AF1741" s="34"/>
      <c r="AG1741" s="34"/>
      <c r="AH1741" s="34"/>
      <c r="AI1741" s="34"/>
      <c r="AJ1741" s="34"/>
      <c r="AK1741" s="34"/>
      <c r="AL1741" s="34"/>
      <c r="AM1741" s="34"/>
      <c r="AN1741" s="34"/>
      <c r="AO1741" s="34"/>
      <c r="AP1741" s="34"/>
      <c r="AQ1741" s="34"/>
      <c r="AR1741" s="34"/>
      <c r="AS1741" s="34"/>
      <c r="AT1741" s="34"/>
      <c r="AU1741" s="34"/>
      <c r="AV1741" s="34"/>
      <c r="AW1741" s="34"/>
      <c r="AX1741" s="34"/>
      <c r="AY1741" s="34"/>
      <c r="AZ1741" s="34"/>
      <c r="BA1741" s="34"/>
      <c r="BB1741" s="34"/>
      <c r="BC1741" s="34"/>
      <c r="BD1741" s="34"/>
      <c r="BE1741" s="34"/>
      <c r="BF1741" s="34"/>
      <c r="BG1741" s="34"/>
      <c r="BH1741" s="34"/>
      <c r="BI1741" s="34"/>
      <c r="BJ1741" s="34"/>
      <c r="BK1741" s="34"/>
      <c r="BL1741" s="34"/>
      <c r="BM1741" s="34"/>
      <c r="BN1741" s="34"/>
      <c r="BO1741" s="34"/>
      <c r="BP1741" s="34"/>
      <c r="BQ1741" s="34"/>
      <c r="BR1741" s="34"/>
      <c r="BS1741" s="34"/>
      <c r="BT1741" s="34"/>
      <c r="BU1741" s="34"/>
      <c r="BV1741" s="34"/>
      <c r="BW1741" s="34"/>
      <c r="BX1741" s="34"/>
      <c r="BY1741" s="34"/>
      <c r="BZ1741" s="34"/>
      <c r="CA1741" s="34"/>
      <c r="CB1741" s="34"/>
      <c r="CC1741" s="34"/>
      <c r="CD1741" s="34"/>
      <c r="CE1741" s="34"/>
      <c r="CF1741" s="34"/>
      <c r="CG1741" s="34"/>
      <c r="CH1741" s="34"/>
      <c r="CI1741" s="8"/>
    </row>
    <row r="1742" spans="1:87" x14ac:dyDescent="0.2">
      <c r="A1742" s="8" t="str">
        <f>IF(AND(COUNTIF(W$3:W$13,A$32)&gt;0,A$32&lt;&gt;B1562),A$32,IFERROR(IF(MATCH(A$32,Z$3:Z$13,0)=8,A$32," ")," "))</f>
        <v xml:space="preserve"> </v>
      </c>
      <c r="B1742" s="8" t="str">
        <f>IF(A1742=" "," ",MAX(B1725:B1741)+1)</f>
        <v xml:space="preserve"> </v>
      </c>
      <c r="C1742" s="8"/>
      <c r="D1742" s="8"/>
      <c r="E1742" s="8"/>
      <c r="F1742" s="8"/>
      <c r="G1742" s="8"/>
      <c r="H1742" s="8"/>
      <c r="I1742" s="8"/>
      <c r="J1742" s="8"/>
      <c r="K1742" s="8"/>
      <c r="L1742" s="8"/>
      <c r="M1742" s="8"/>
      <c r="N1742" s="8"/>
      <c r="O1742" s="8"/>
      <c r="P1742" s="8"/>
      <c r="Q1742" s="8"/>
      <c r="R1742" s="8"/>
      <c r="S1742" s="8"/>
      <c r="U1742" s="34"/>
      <c r="V1742" s="34"/>
      <c r="W1742" s="34"/>
      <c r="X1742" s="34"/>
      <c r="Y1742" s="34"/>
      <c r="Z1742" s="34"/>
      <c r="AA1742" s="34"/>
      <c r="AB1742" s="34"/>
      <c r="AC1742" s="34"/>
      <c r="AD1742" s="34"/>
      <c r="AE1742" s="34"/>
      <c r="AF1742" s="34"/>
      <c r="AG1742" s="34"/>
      <c r="AH1742" s="34"/>
      <c r="AI1742" s="34"/>
      <c r="AJ1742" s="34"/>
      <c r="AK1742" s="34"/>
      <c r="AL1742" s="34"/>
      <c r="AM1742" s="34"/>
      <c r="AN1742" s="34"/>
      <c r="AO1742" s="34"/>
      <c r="AP1742" s="34"/>
      <c r="AQ1742" s="34"/>
      <c r="AR1742" s="34"/>
      <c r="AS1742" s="34"/>
      <c r="AT1742" s="34"/>
      <c r="AU1742" s="34"/>
      <c r="AV1742" s="34"/>
      <c r="AW1742" s="34"/>
      <c r="AX1742" s="34"/>
      <c r="AY1742" s="34"/>
      <c r="AZ1742" s="34"/>
      <c r="BA1742" s="34"/>
      <c r="BB1742" s="34"/>
      <c r="BC1742" s="34"/>
      <c r="BD1742" s="34"/>
      <c r="BE1742" s="34"/>
      <c r="BF1742" s="34"/>
      <c r="BG1742" s="34"/>
      <c r="BH1742" s="34"/>
      <c r="BI1742" s="34"/>
      <c r="BJ1742" s="34"/>
      <c r="BK1742" s="34"/>
      <c r="BL1742" s="34"/>
      <c r="BM1742" s="34"/>
      <c r="BN1742" s="34"/>
      <c r="BO1742" s="34"/>
      <c r="BP1742" s="34"/>
      <c r="BQ1742" s="34"/>
      <c r="BR1742" s="34"/>
      <c r="BS1742" s="34"/>
      <c r="BT1742" s="34"/>
      <c r="BU1742" s="34"/>
      <c r="BV1742" s="34"/>
      <c r="BW1742" s="34"/>
      <c r="BX1742" s="34"/>
      <c r="BY1742" s="34"/>
      <c r="BZ1742" s="34"/>
      <c r="CA1742" s="34"/>
      <c r="CB1742" s="34"/>
      <c r="CC1742" s="34"/>
      <c r="CD1742" s="34"/>
      <c r="CE1742" s="34"/>
      <c r="CF1742" s="34"/>
      <c r="CG1742" s="34"/>
      <c r="CH1742" s="34"/>
      <c r="CI1742" s="8"/>
    </row>
    <row r="1743" spans="1:87" x14ac:dyDescent="0.2">
      <c r="A1743" s="8" t="str">
        <f>IF(AND(COUNTIF(W$3:W$13,A$33)&gt;0,A$33&lt;&gt;B1562),A$33,IFERROR(IF(MATCH(A$33,Z$3:Z$13,0)=8,A$33," ")," "))</f>
        <v>C19</v>
      </c>
      <c r="B1743" s="8">
        <f>IF(A1743=" "," ",MAX(B1725:B1742)+1)</f>
        <v>8</v>
      </c>
      <c r="C1743" s="8"/>
      <c r="D1743" s="8"/>
      <c r="E1743" s="8"/>
      <c r="F1743" s="8"/>
      <c r="G1743" s="8"/>
      <c r="H1743" s="8"/>
      <c r="I1743" s="8"/>
      <c r="J1743" s="8"/>
      <c r="K1743" s="8"/>
      <c r="L1743" s="8"/>
      <c r="M1743" s="8"/>
      <c r="N1743" s="8"/>
      <c r="O1743" s="8"/>
      <c r="P1743" s="8"/>
      <c r="Q1743" s="8"/>
      <c r="R1743" s="8"/>
      <c r="S1743" s="8"/>
      <c r="U1743" s="34"/>
      <c r="V1743" s="34"/>
      <c r="W1743" s="34"/>
      <c r="X1743" s="34"/>
      <c r="Y1743" s="34"/>
      <c r="Z1743" s="34"/>
      <c r="AA1743" s="34"/>
      <c r="AB1743" s="34"/>
      <c r="AC1743" s="34"/>
      <c r="AD1743" s="34"/>
      <c r="AE1743" s="34"/>
      <c r="AF1743" s="34"/>
      <c r="AG1743" s="34"/>
      <c r="AH1743" s="34"/>
      <c r="AI1743" s="34"/>
      <c r="AJ1743" s="34"/>
      <c r="AK1743" s="34"/>
      <c r="AL1743" s="34"/>
      <c r="AM1743" s="34"/>
      <c r="AN1743" s="34"/>
      <c r="AO1743" s="34"/>
      <c r="AP1743" s="34"/>
      <c r="AQ1743" s="34"/>
      <c r="AR1743" s="34"/>
      <c r="AS1743" s="34"/>
      <c r="AT1743" s="34"/>
      <c r="AU1743" s="34"/>
      <c r="AV1743" s="34"/>
      <c r="AW1743" s="34"/>
      <c r="AX1743" s="34"/>
      <c r="AY1743" s="34"/>
      <c r="AZ1743" s="34"/>
      <c r="BA1743" s="34"/>
      <c r="BB1743" s="34"/>
      <c r="BC1743" s="34"/>
      <c r="BD1743" s="34"/>
      <c r="BE1743" s="34"/>
      <c r="BF1743" s="34"/>
      <c r="BG1743" s="34"/>
      <c r="BH1743" s="34"/>
      <c r="BI1743" s="34"/>
      <c r="BJ1743" s="34"/>
      <c r="BK1743" s="34"/>
      <c r="BL1743" s="34"/>
      <c r="BM1743" s="34"/>
      <c r="BN1743" s="34"/>
      <c r="BO1743" s="34"/>
      <c r="BP1743" s="34"/>
      <c r="BQ1743" s="34"/>
      <c r="BR1743" s="34"/>
      <c r="BS1743" s="34"/>
      <c r="BT1743" s="34"/>
      <c r="BU1743" s="34"/>
      <c r="BV1743" s="34"/>
      <c r="BW1743" s="34"/>
      <c r="BX1743" s="34"/>
      <c r="BY1743" s="34"/>
      <c r="BZ1743" s="34"/>
      <c r="CA1743" s="34"/>
      <c r="CB1743" s="34"/>
      <c r="CC1743" s="34"/>
      <c r="CD1743" s="34"/>
      <c r="CE1743" s="34"/>
      <c r="CF1743" s="34"/>
      <c r="CG1743" s="34"/>
      <c r="CH1743" s="34"/>
      <c r="CI1743" s="8"/>
    </row>
    <row r="1744" spans="1:87" x14ac:dyDescent="0.2">
      <c r="A1744" s="8" t="str">
        <f>IF(AND(COUNTIF(W$3:W$13,A$34)&gt;0,A$34&lt;&gt;B1562),A$34,IFERROR(IF(MATCH(A$34,Z$3:Z$13,0)=8,A$34," ")," "))</f>
        <v>C20</v>
      </c>
      <c r="B1744" s="8">
        <f>IF(A1744=" "," ",MAX(B1725:B1743)+1)</f>
        <v>9</v>
      </c>
      <c r="C1744" s="8"/>
      <c r="D1744" s="8"/>
      <c r="E1744" s="8"/>
      <c r="F1744" s="8"/>
      <c r="G1744" s="8"/>
      <c r="H1744" s="8"/>
      <c r="I1744" s="8"/>
      <c r="J1744" s="8"/>
      <c r="K1744" s="8"/>
      <c r="L1744" s="8"/>
      <c r="M1744" s="8"/>
      <c r="N1744" s="8"/>
      <c r="O1744" s="8"/>
      <c r="P1744" s="8"/>
      <c r="Q1744" s="8"/>
      <c r="R1744" s="8"/>
      <c r="S1744" s="8"/>
      <c r="U1744" s="34"/>
      <c r="V1744" s="34"/>
      <c r="W1744" s="34"/>
      <c r="X1744" s="34"/>
      <c r="Y1744" s="34"/>
      <c r="Z1744" s="34"/>
      <c r="AA1744" s="34"/>
      <c r="AB1744" s="34"/>
      <c r="AC1744" s="34"/>
      <c r="AD1744" s="34"/>
      <c r="AE1744" s="34"/>
      <c r="AF1744" s="34"/>
      <c r="AG1744" s="34"/>
      <c r="AH1744" s="34"/>
      <c r="AI1744" s="34"/>
      <c r="AJ1744" s="34"/>
      <c r="AK1744" s="34"/>
      <c r="AL1744" s="34"/>
      <c r="AM1744" s="34"/>
      <c r="AN1744" s="34"/>
      <c r="AO1744" s="34"/>
      <c r="AP1744" s="34"/>
      <c r="AQ1744" s="34"/>
      <c r="AR1744" s="34"/>
      <c r="AS1744" s="34"/>
      <c r="AT1744" s="34"/>
      <c r="AU1744" s="34"/>
      <c r="AV1744" s="34"/>
      <c r="AW1744" s="34"/>
      <c r="AX1744" s="34"/>
      <c r="AY1744" s="34"/>
      <c r="AZ1744" s="34"/>
      <c r="BA1744" s="34"/>
      <c r="BB1744" s="34"/>
      <c r="BC1744" s="34"/>
      <c r="BD1744" s="34"/>
      <c r="BE1744" s="34"/>
      <c r="BF1744" s="34"/>
      <c r="BG1744" s="34"/>
      <c r="BH1744" s="34"/>
      <c r="BI1744" s="34"/>
      <c r="BJ1744" s="34"/>
      <c r="BK1744" s="34"/>
      <c r="BL1744" s="34"/>
      <c r="BM1744" s="34"/>
      <c r="BN1744" s="34"/>
      <c r="BO1744" s="34"/>
      <c r="BP1744" s="34"/>
      <c r="BQ1744" s="34"/>
      <c r="BR1744" s="34"/>
      <c r="BS1744" s="34"/>
      <c r="BT1744" s="34"/>
      <c r="BU1744" s="34"/>
      <c r="BV1744" s="34"/>
      <c r="BW1744" s="34"/>
      <c r="BX1744" s="34"/>
      <c r="BY1744" s="34"/>
      <c r="BZ1744" s="34"/>
      <c r="CA1744" s="34"/>
      <c r="CB1744" s="34"/>
      <c r="CC1744" s="34"/>
      <c r="CD1744" s="34"/>
      <c r="CE1744" s="34"/>
      <c r="CF1744" s="34"/>
      <c r="CG1744" s="34"/>
      <c r="CH1744" s="34"/>
      <c r="CI1744" s="8"/>
    </row>
    <row r="1745" spans="1:87" x14ac:dyDescent="0.2">
      <c r="A1745" s="8" t="str">
        <f>IF(AND(COUNTIF(W$3:W$13,A$35)&gt;0,A$35&lt;&gt;B1562),A$35,IFERROR(IF(MATCH(A$35,Z$3:Z$13,0)=8,A$35," ")," "))</f>
        <v>C21</v>
      </c>
      <c r="B1745" s="8">
        <f>IF(A1745=" "," ",MAX(B1725:B1744)+1)</f>
        <v>10</v>
      </c>
      <c r="C1745" s="8"/>
      <c r="D1745" s="8"/>
      <c r="E1745" s="8"/>
      <c r="F1745" s="8"/>
      <c r="G1745" s="8"/>
      <c r="H1745" s="8"/>
      <c r="I1745" s="8"/>
      <c r="J1745" s="8"/>
      <c r="K1745" s="8"/>
      <c r="L1745" s="8"/>
      <c r="M1745" s="8"/>
      <c r="N1745" s="8"/>
      <c r="O1745" s="8"/>
      <c r="P1745" s="8"/>
      <c r="Q1745" s="8"/>
      <c r="R1745" s="8"/>
      <c r="S1745" s="8"/>
      <c r="U1745" s="34"/>
      <c r="V1745" s="34"/>
      <c r="W1745" s="34"/>
      <c r="X1745" s="34"/>
      <c r="Y1745" s="34"/>
      <c r="Z1745" s="34"/>
      <c r="AA1745" s="34"/>
      <c r="AB1745" s="34"/>
      <c r="AC1745" s="34"/>
      <c r="AD1745" s="34"/>
      <c r="AE1745" s="34"/>
      <c r="AF1745" s="34"/>
      <c r="AG1745" s="34"/>
      <c r="AH1745" s="34"/>
      <c r="AI1745" s="34"/>
      <c r="AJ1745" s="34"/>
      <c r="AK1745" s="34"/>
      <c r="AL1745" s="34"/>
      <c r="AM1745" s="34"/>
      <c r="AN1745" s="34"/>
      <c r="AO1745" s="34"/>
      <c r="AP1745" s="34"/>
      <c r="AQ1745" s="34"/>
      <c r="AR1745" s="34"/>
      <c r="AS1745" s="34"/>
      <c r="AT1745" s="34"/>
      <c r="AU1745" s="34"/>
      <c r="AV1745" s="34"/>
      <c r="AW1745" s="34"/>
      <c r="AX1745" s="34"/>
      <c r="AY1745" s="34"/>
      <c r="AZ1745" s="34"/>
      <c r="BA1745" s="34"/>
      <c r="BB1745" s="34"/>
      <c r="BC1745" s="34"/>
      <c r="BD1745" s="34"/>
      <c r="BE1745" s="34"/>
      <c r="BF1745" s="34"/>
      <c r="BG1745" s="34"/>
      <c r="BH1745" s="34"/>
      <c r="BI1745" s="34"/>
      <c r="BJ1745" s="34"/>
      <c r="BK1745" s="34"/>
      <c r="BL1745" s="34"/>
      <c r="BM1745" s="34"/>
      <c r="BN1745" s="34"/>
      <c r="BO1745" s="34"/>
      <c r="BP1745" s="34"/>
      <c r="BQ1745" s="34"/>
      <c r="BR1745" s="34"/>
      <c r="BS1745" s="34"/>
      <c r="BT1745" s="34"/>
      <c r="BU1745" s="34"/>
      <c r="BV1745" s="34"/>
      <c r="BW1745" s="34"/>
      <c r="BX1745" s="34"/>
      <c r="BY1745" s="34"/>
      <c r="BZ1745" s="34"/>
      <c r="CA1745" s="34"/>
      <c r="CB1745" s="34"/>
      <c r="CC1745" s="34"/>
      <c r="CD1745" s="34"/>
      <c r="CE1745" s="34"/>
      <c r="CF1745" s="34"/>
      <c r="CG1745" s="34"/>
      <c r="CH1745" s="34"/>
      <c r="CI1745" s="8"/>
    </row>
    <row r="1746" spans="1:87" x14ac:dyDescent="0.2">
      <c r="A1746" s="8" t="str">
        <f>IF(AND(COUNTIF(W$3:W$13,A$36)&gt;0,A$36&lt;&gt;B1562),A$36,IFERROR(IF(MATCH(A$36,Z$3:Z$13,0)=8,A$36," ")," "))</f>
        <v>C22</v>
      </c>
      <c r="B1746" s="8">
        <f>IF(A1746=" "," ",MAX(B1725:B1745)+1)</f>
        <v>11</v>
      </c>
      <c r="C1746" s="8"/>
      <c r="D1746" s="8"/>
      <c r="E1746" s="8"/>
      <c r="F1746" s="8"/>
      <c r="G1746" s="8"/>
      <c r="H1746" s="8"/>
      <c r="I1746" s="8"/>
      <c r="J1746" s="8"/>
      <c r="K1746" s="8"/>
      <c r="L1746" s="8"/>
      <c r="M1746" s="8"/>
      <c r="N1746" s="8"/>
      <c r="O1746" s="8"/>
      <c r="P1746" s="8"/>
      <c r="Q1746" s="8"/>
      <c r="R1746" s="8"/>
      <c r="S1746" s="8"/>
      <c r="U1746" s="34"/>
      <c r="V1746" s="34"/>
      <c r="W1746" s="34"/>
      <c r="X1746" s="34"/>
      <c r="Y1746" s="34"/>
      <c r="Z1746" s="34"/>
      <c r="AA1746" s="34"/>
      <c r="AB1746" s="34"/>
      <c r="AC1746" s="34"/>
      <c r="AD1746" s="34"/>
      <c r="AE1746" s="34"/>
      <c r="AF1746" s="34"/>
      <c r="AG1746" s="34"/>
      <c r="AH1746" s="34"/>
      <c r="AI1746" s="34"/>
      <c r="AJ1746" s="34"/>
      <c r="AK1746" s="34"/>
      <c r="AL1746" s="34"/>
      <c r="AM1746" s="34"/>
      <c r="AN1746" s="34"/>
      <c r="AO1746" s="34"/>
      <c r="AP1746" s="34"/>
      <c r="AQ1746" s="34"/>
      <c r="AR1746" s="34"/>
      <c r="AS1746" s="34"/>
      <c r="AT1746" s="34"/>
      <c r="AU1746" s="34"/>
      <c r="AV1746" s="34"/>
      <c r="AW1746" s="34"/>
      <c r="AX1746" s="34"/>
      <c r="AY1746" s="34"/>
      <c r="AZ1746" s="34"/>
      <c r="BA1746" s="34"/>
      <c r="BB1746" s="34"/>
      <c r="BC1746" s="34"/>
      <c r="BD1746" s="34"/>
      <c r="BE1746" s="34"/>
      <c r="BF1746" s="34"/>
      <c r="BG1746" s="34"/>
      <c r="BH1746" s="34"/>
      <c r="BI1746" s="34"/>
      <c r="BJ1746" s="34"/>
      <c r="BK1746" s="34"/>
      <c r="BL1746" s="34"/>
      <c r="BM1746" s="34"/>
      <c r="BN1746" s="34"/>
      <c r="BO1746" s="34"/>
      <c r="BP1746" s="34"/>
      <c r="BQ1746" s="34"/>
      <c r="BR1746" s="34"/>
      <c r="BS1746" s="34"/>
      <c r="BT1746" s="34"/>
      <c r="BU1746" s="34"/>
      <c r="BV1746" s="34"/>
      <c r="BW1746" s="34"/>
      <c r="BX1746" s="34"/>
      <c r="BY1746" s="34"/>
      <c r="BZ1746" s="34"/>
      <c r="CA1746" s="34"/>
      <c r="CB1746" s="34"/>
      <c r="CC1746" s="34"/>
      <c r="CD1746" s="34"/>
      <c r="CE1746" s="34"/>
      <c r="CF1746" s="34"/>
      <c r="CG1746" s="34"/>
      <c r="CH1746" s="34"/>
      <c r="CI1746" s="8"/>
    </row>
    <row r="1747" spans="1:87" x14ac:dyDescent="0.2">
      <c r="A1747" s="11" t="s">
        <v>17</v>
      </c>
      <c r="B1747" s="11"/>
      <c r="C1747" s="27" t="s">
        <v>18</v>
      </c>
      <c r="D1747" s="27" t="s">
        <v>2</v>
      </c>
      <c r="E1747" s="27" t="s">
        <v>6</v>
      </c>
      <c r="F1747" s="27" t="s">
        <v>15</v>
      </c>
      <c r="G1747" s="27" t="s">
        <v>36</v>
      </c>
      <c r="H1747" s="27" t="s">
        <v>37</v>
      </c>
      <c r="I1747" s="27" t="s">
        <v>38</v>
      </c>
      <c r="J1747" s="27" t="s">
        <v>39</v>
      </c>
      <c r="K1747" s="27" t="s">
        <v>40</v>
      </c>
      <c r="L1747" s="27" t="s">
        <v>41</v>
      </c>
      <c r="M1747" s="27" t="s">
        <v>42</v>
      </c>
      <c r="N1747" s="27" t="s">
        <v>43</v>
      </c>
      <c r="O1747" s="27" t="s">
        <v>9</v>
      </c>
      <c r="P1747" s="27" t="s">
        <v>12</v>
      </c>
      <c r="Q1747" s="27" t="s">
        <v>19</v>
      </c>
      <c r="R1747" s="27" t="s">
        <v>55</v>
      </c>
      <c r="S1747" s="27" t="s">
        <v>26</v>
      </c>
      <c r="T1747" s="19" t="s">
        <v>25</v>
      </c>
      <c r="U1747" s="33" t="s">
        <v>27</v>
      </c>
      <c r="V1747" s="33" t="s">
        <v>9</v>
      </c>
      <c r="W1747" s="33" t="s">
        <v>23</v>
      </c>
      <c r="X1747" s="33" t="s">
        <v>12</v>
      </c>
      <c r="Y1747" s="33" t="s">
        <v>26</v>
      </c>
      <c r="Z1747" s="33" t="s">
        <v>25</v>
      </c>
      <c r="AA1747" s="33" t="s">
        <v>27</v>
      </c>
      <c r="AB1747" s="33" t="s">
        <v>9</v>
      </c>
      <c r="AC1747" s="33" t="s">
        <v>23</v>
      </c>
      <c r="AD1747" s="33" t="s">
        <v>12</v>
      </c>
      <c r="AE1747" s="33" t="s">
        <v>26</v>
      </c>
      <c r="AF1747" s="33" t="s">
        <v>25</v>
      </c>
      <c r="AG1747" s="33" t="s">
        <v>27</v>
      </c>
      <c r="AH1747" s="33" t="s">
        <v>9</v>
      </c>
      <c r="AI1747" s="33" t="s">
        <v>23</v>
      </c>
      <c r="AJ1747" s="33" t="s">
        <v>12</v>
      </c>
      <c r="AK1747" s="33" t="s">
        <v>26</v>
      </c>
      <c r="AL1747" s="33" t="s">
        <v>25</v>
      </c>
      <c r="AM1747" s="33" t="s">
        <v>27</v>
      </c>
      <c r="AN1747" s="33" t="s">
        <v>9</v>
      </c>
      <c r="AO1747" s="33" t="s">
        <v>23</v>
      </c>
      <c r="AP1747" s="33" t="s">
        <v>12</v>
      </c>
      <c r="AQ1747" s="33" t="s">
        <v>26</v>
      </c>
      <c r="AR1747" s="33" t="s">
        <v>25</v>
      </c>
      <c r="AS1747" s="33" t="s">
        <v>27</v>
      </c>
      <c r="AT1747" s="33" t="s">
        <v>9</v>
      </c>
      <c r="AU1747" s="33" t="s">
        <v>23</v>
      </c>
      <c r="AV1747" s="33" t="s">
        <v>12</v>
      </c>
      <c r="AW1747" s="33" t="s">
        <v>26</v>
      </c>
      <c r="AX1747" s="33" t="s">
        <v>25</v>
      </c>
      <c r="AY1747" s="33" t="s">
        <v>27</v>
      </c>
      <c r="AZ1747" s="33" t="s">
        <v>9</v>
      </c>
      <c r="BA1747" s="33" t="s">
        <v>23</v>
      </c>
      <c r="BB1747" s="33" t="s">
        <v>12</v>
      </c>
      <c r="BC1747" s="33" t="s">
        <v>26</v>
      </c>
      <c r="BD1747" s="33" t="s">
        <v>25</v>
      </c>
      <c r="BE1747" s="33" t="s">
        <v>27</v>
      </c>
      <c r="BF1747" s="33" t="s">
        <v>9</v>
      </c>
      <c r="BG1747" s="33" t="s">
        <v>23</v>
      </c>
      <c r="BH1747" s="33" t="s">
        <v>12</v>
      </c>
      <c r="BI1747" s="33" t="s">
        <v>26</v>
      </c>
      <c r="BJ1747" s="33" t="s">
        <v>25</v>
      </c>
      <c r="BK1747" s="33" t="s">
        <v>27</v>
      </c>
      <c r="BL1747" s="33" t="s">
        <v>9</v>
      </c>
      <c r="BM1747" s="33" t="s">
        <v>23</v>
      </c>
      <c r="BN1747" s="33" t="s">
        <v>12</v>
      </c>
      <c r="BO1747" s="33" t="s">
        <v>26</v>
      </c>
      <c r="BP1747" s="33" t="s">
        <v>25</v>
      </c>
      <c r="BQ1747" s="33" t="s">
        <v>27</v>
      </c>
      <c r="BR1747" s="33" t="s">
        <v>9</v>
      </c>
      <c r="BS1747" s="33" t="s">
        <v>23</v>
      </c>
      <c r="BT1747" s="33" t="s">
        <v>12</v>
      </c>
      <c r="BU1747" s="33" t="s">
        <v>26</v>
      </c>
      <c r="BV1747" s="33" t="s">
        <v>25</v>
      </c>
      <c r="BW1747" s="33" t="s">
        <v>27</v>
      </c>
      <c r="BX1747" s="33" t="s">
        <v>9</v>
      </c>
      <c r="BY1747" s="33" t="s">
        <v>23</v>
      </c>
      <c r="BZ1747" s="33" t="s">
        <v>12</v>
      </c>
      <c r="CA1747" s="33" t="s">
        <v>26</v>
      </c>
      <c r="CB1747" s="33" t="s">
        <v>25</v>
      </c>
      <c r="CC1747" s="33" t="s">
        <v>27</v>
      </c>
      <c r="CD1747" s="33" t="s">
        <v>9</v>
      </c>
      <c r="CE1747" s="33" t="s">
        <v>23</v>
      </c>
      <c r="CF1747" s="33" t="s">
        <v>12</v>
      </c>
      <c r="CG1747" s="33" t="s">
        <v>26</v>
      </c>
      <c r="CH1747" s="33" t="s">
        <v>25</v>
      </c>
      <c r="CI1747" s="8"/>
    </row>
    <row r="1748" spans="1:87" x14ac:dyDescent="0.2">
      <c r="A1748" s="8" t="str">
        <f>IF(AND(COUNTIF(W$3:W$13,A$15)&gt;0,A$15&lt;&gt;B1562),A$15,IFERROR(IF(MATCH(A$15,Z$3:Z$13,0)=9,A$15," ")," "))</f>
        <v xml:space="preserve"> </v>
      </c>
      <c r="B1748" s="8" t="str">
        <f>IF(A1748=" "," ",1)</f>
        <v xml:space="preserve"> </v>
      </c>
      <c r="C1748" s="8" t="str">
        <f>IFERROR(INDEX(A1748:A1769,MATCH(SMALL(B1748:B1769,1),B1748:B1769,0),1)," ")</f>
        <v>C3</v>
      </c>
      <c r="D1748" s="8">
        <f>IFERROR(VLOOKUP($C1748,$A$15:$O$36,2,FALSE)," ")</f>
        <v>2</v>
      </c>
      <c r="E1748" s="8">
        <f>IFERROR(VLOOKUP($C1748,$A$15:$O$36,3,FALSE)," ")</f>
        <v>5</v>
      </c>
      <c r="F1748" s="8">
        <f>IFERROR(VLOOKUP($C1748,$A$15:$O$36,4,FALSE)," ")</f>
        <v>6</v>
      </c>
      <c r="G1748" s="8">
        <f>IFERROR(VLOOKUP($C1748,$A$15:$O$36,5,FALSE)," ")</f>
        <v>0</v>
      </c>
      <c r="H1748" s="8">
        <f>IFERROR(VLOOKUP($C1748,$A$15:$O$36,6,FALSE)," ")</f>
        <v>0</v>
      </c>
      <c r="I1748" s="8">
        <f>IFERROR(VLOOKUP($C1748,$A$15:$O$36,7,FALSE)," ")</f>
        <v>0</v>
      </c>
      <c r="J1748" s="8">
        <f>IFERROR(VLOOKUP($C1748,$A$15:$O$36,8,FALSE)," ")</f>
        <v>0</v>
      </c>
      <c r="K1748" s="8">
        <f>IFERROR(VLOOKUP($C1748,$A$15:$O$36,9,FALSE)," ")</f>
        <v>0</v>
      </c>
      <c r="L1748" s="8">
        <f>IFERROR(VLOOKUP($C1748,$A$15:$O$36,10,FALSE)," ")</f>
        <v>0</v>
      </c>
      <c r="M1748" s="8">
        <f>IFERROR(VLOOKUP($C1748,$A$15:$O$36,11,FALSE)," ")</f>
        <v>0</v>
      </c>
      <c r="N1748" s="8">
        <f>IFERROR(VLOOKUP($C1748,$A$15:$O$36,12,FALSE)," ")</f>
        <v>0</v>
      </c>
      <c r="O1748" s="8">
        <f>IFERROR(VLOOKUP($C1748,$A$15:$O$36,15,FALSE)," ")</f>
        <v>2000</v>
      </c>
      <c r="P1748" s="8" t="e">
        <f t="array" ref="P1748:P1758">MMULT(MINVERSE(D1748:N1758),O1748:O1758)</f>
        <v>#NUM!</v>
      </c>
      <c r="Q1748" s="8" t="e">
        <f t="shared" ref="Q1748" si="7519">IF(COUNTIF(P1748:P1758,"&lt;"&amp;-0.001)=0,IF(ABS(P1748)&lt;0.001,0,P1748)," ")</f>
        <v>#NUM!</v>
      </c>
      <c r="R1748" s="8" t="str">
        <f>IFERROR(VLOOKUP(B1562,A$15:L$36,2,FALSE)*Q1748+VLOOKUP(B1562,A$15:L$36,3,FALSE)*Q1749+VLOOKUP(B1562,A$15:L$36,4,FALSE)*Q1750+VLOOKUP(B1562,A$15:L$36,5,FALSE)*Q1751+VLOOKUP(B1562,A$15:L$36,6,FALSE)*Q1752+VLOOKUP(B1562,A$15:L$36,7,FALSE)*Q1753+VLOOKUP(B1562,A$15:L$36,8,FALSE)*Q1754+VLOOKUP(B1562,A$15:L$36,9,FALSE)*Q1755+VLOOKUP(B1562,A$15:L$36,10,FALSE)*Q1756+VLOOKUP(B1562,A$15:L$36,11,FALSE)*Q1757+VLOOKUP(B1562,A$15:L$36,12,FALSE)*Q1758," ")</f>
        <v xml:space="preserve"> </v>
      </c>
      <c r="S1748" s="8" t="str">
        <f>IFERROR(IF(R1748-VLOOKUP(B1562,A$15:O$36,15,FALSE)&lt;0,R1748-VLOOKUP(B1562,A$15:O$36,15,FALSE)," ")," ")</f>
        <v xml:space="preserve"> </v>
      </c>
      <c r="T1748" s="18" t="str">
        <f>IFERROR(IF(R1748-VLOOKUP(B1562,A$15:O$36,15,FALSE)&gt;0,R1748-VLOOKUP(B1562,A$15:O$36,15,FALSE)," ")," ")</f>
        <v xml:space="preserve"> </v>
      </c>
      <c r="U1748" s="34">
        <f t="shared" ref="U1748" si="7520">$M$2</f>
        <v>100.00000000000001</v>
      </c>
      <c r="V1748" s="34">
        <v>-1</v>
      </c>
      <c r="W1748" s="34">
        <f t="shared" ref="W1748" si="7521">-SUMPRODUCT($M$3:$M$12,$N$3:$N$12)</f>
        <v>-105000</v>
      </c>
      <c r="X1748" s="34" t="e">
        <f t="shared" ref="X1748" si="7522">IF(U1748&lt;&gt;U1749,MMULT(MINVERSE(U1748:V1749),W1748:W1749)," ")</f>
        <v>#NUM!</v>
      </c>
      <c r="Y1748" s="34" t="str">
        <f t="shared" ref="Y1748" si="7523">IFERROR(IF(X1748-VLOOKUP(U$38,$A$2:$N$12,14,FALSE)&lt;0,X1748-VLOOKUP(U$38,$A$2:$N$12,14,FALSE)," ")," ")</f>
        <v xml:space="preserve"> </v>
      </c>
      <c r="Z1748" s="34" t="str">
        <f t="shared" ref="Z1748" si="7524">IFERROR(IF(X1748-VLOOKUP(U$38,$A$2:$N$12,14,FALSE)&gt;0,X1748-VLOOKUP(U$38,$A$2:$N$12,14,FALSE)," ")," ")</f>
        <v xml:space="preserve"> </v>
      </c>
      <c r="AA1748" s="34">
        <f t="shared" ref="AA1748" si="7525">$M$3</f>
        <v>0</v>
      </c>
      <c r="AB1748" s="34">
        <v>-1</v>
      </c>
      <c r="AC1748" s="34">
        <f t="shared" ref="AC1748" si="7526">-SUMPRODUCT($M$2:$M$2,$N$2:$N$2)-SUMPRODUCT($M$4:$M$12,$N$4:$N$12)</f>
        <v>-120000</v>
      </c>
      <c r="AD1748" s="34" t="e">
        <f t="shared" ref="AD1748" si="7527">IF(AA1748&lt;&gt;AA1749,MMULT(MINVERSE(AA1748:AB1749),AC1748:AC1749)," ")</f>
        <v>#NUM!</v>
      </c>
      <c r="AE1748" s="34" t="str">
        <f t="shared" ref="AE1748" si="7528">IFERROR(IF(AD1748-VLOOKUP(AA$38,$A$2:$N$12,14,FALSE)&lt;0,AD1748-VLOOKUP(AA$38,$A$2:$N$12,14,FALSE)," ")," ")</f>
        <v xml:space="preserve"> </v>
      </c>
      <c r="AF1748" s="34" t="str">
        <f t="shared" ref="AF1748" si="7529">IFERROR(IF(AD1748-VLOOKUP(AA$38,$A$2:$N$12,14,FALSE)&gt;0,AD1748-VLOOKUP(AA$38,$A$2:$N$12,14,FALSE)," ")," ")</f>
        <v xml:space="preserve"> </v>
      </c>
      <c r="AG1748" s="34">
        <f t="shared" ref="AG1748" si="7530">$M$4</f>
        <v>300</v>
      </c>
      <c r="AH1748" s="34">
        <v>-1</v>
      </c>
      <c r="AI1748" s="34">
        <f t="shared" ref="AI1748" si="7531">-SUMPRODUCT($M$2:$M$3,$N$2:$N$3)-SUMPRODUCT($M$5:$M$12,$N$5:$N$12)</f>
        <v>-15000.000000000002</v>
      </c>
      <c r="AJ1748" s="34" t="e">
        <f t="shared" ref="AJ1748" si="7532">IF(AG1748&lt;&gt;AG1749,MMULT(MINVERSE(AG1748:AH1749),AI1748:AI1749)," ")</f>
        <v>#NUM!</v>
      </c>
      <c r="AK1748" s="34" t="str">
        <f t="shared" ref="AK1748" si="7533">IFERROR(IF(AJ1748-VLOOKUP(AG$38,$A$2:$N$12,14,FALSE)&lt;0,AJ1748-VLOOKUP(AG$38,$A$2:$N$12,14,FALSE)," ")," ")</f>
        <v xml:space="preserve"> </v>
      </c>
      <c r="AL1748" s="34" t="str">
        <f t="shared" ref="AL1748" si="7534">IFERROR(IF(AJ1748-VLOOKUP(AG$38,$A$2:$N$12,14,FALSE)&gt;0,AJ1748-VLOOKUP(AG$38,$A$2:$N$12,14,FALSE)," ")," ")</f>
        <v xml:space="preserve"> </v>
      </c>
      <c r="AM1748" s="34">
        <f t="shared" ref="AM1748" si="7535">$M$5</f>
        <v>0</v>
      </c>
      <c r="AN1748" s="34">
        <v>-1</v>
      </c>
      <c r="AO1748" s="34">
        <f t="shared" ref="AO1748" si="7536">-SUMPRODUCT($M$2:$M$4,$N$2:$N$4)-SUMPRODUCT($M$6:$M$12,$N$6:$N$12)</f>
        <v>-120000</v>
      </c>
      <c r="AP1748" s="34" t="e">
        <f t="shared" ref="AP1748" si="7537">IF(AM1748&lt;&gt;AM1749,MMULT(MINVERSE(AM1748:AN1749),AO1748:AO1749)," ")</f>
        <v>#NUM!</v>
      </c>
      <c r="AQ1748" s="34" t="str">
        <f t="shared" ref="AQ1748" si="7538">IFERROR(IF(AP1748-VLOOKUP(AM$38,$A$2:$N$12,14,FALSE)&lt;0,AP1748-VLOOKUP(AM$38,$A$2:$N$12,14,FALSE)," ")," ")</f>
        <v xml:space="preserve"> </v>
      </c>
      <c r="AR1748" s="34" t="str">
        <f t="shared" ref="AR1748" si="7539">IFERROR(IF(AP1748-VLOOKUP(AM$38,$A$2:$N$12,14,FALSE)&gt;0,AP1748-VLOOKUP(AM$38,$A$2:$N$12,14,FALSE)," ")," ")</f>
        <v xml:space="preserve"> </v>
      </c>
      <c r="AS1748" s="34">
        <f t="shared" ref="AS1748" si="7540">$M$6</f>
        <v>0</v>
      </c>
      <c r="AT1748" s="34">
        <v>-1</v>
      </c>
      <c r="AU1748" s="34">
        <f t="shared" ref="AU1748" si="7541">-SUMPRODUCT($M$2:$M$5,$N$2:$N$5)-SUMPRODUCT($M$7:$M$12,$N$7:$N$12)</f>
        <v>-120000</v>
      </c>
      <c r="AV1748" s="34" t="e">
        <f t="shared" ref="AV1748" si="7542">IF(AS1748&lt;&gt;AS1749,MMULT(MINVERSE(AS1748:AT1749),AU1748:AU1749)," ")</f>
        <v>#NUM!</v>
      </c>
      <c r="AW1748" s="34" t="str">
        <f t="shared" ref="AW1748" si="7543">IFERROR(IF(AV1748-VLOOKUP(AS$38,$A$2:$N$12,14,FALSE)&lt;0,AV1748-VLOOKUP(AS$38,$A$2:$N$12,14,FALSE)," ")," ")</f>
        <v xml:space="preserve"> </v>
      </c>
      <c r="AX1748" s="34" t="str">
        <f t="shared" ref="AX1748" si="7544">IFERROR(IF(AV1748-VLOOKUP(AS$38,$A$2:$N$12,14,FALSE)&gt;0,AV1748-VLOOKUP(AS$38,$A$2:$N$12,14,FALSE)," ")," ")</f>
        <v xml:space="preserve"> </v>
      </c>
      <c r="AY1748" s="34">
        <f t="shared" ref="AY1748" si="7545">$M$7</f>
        <v>0</v>
      </c>
      <c r="AZ1748" s="34">
        <v>-1</v>
      </c>
      <c r="BA1748" s="34">
        <f t="shared" ref="BA1748" si="7546">-SUMPRODUCT($M$2:$M$6,$N$2:$N$6)-SUMPRODUCT($M$8:$M$12,$N$8:$N$12)</f>
        <v>-120000</v>
      </c>
      <c r="BB1748" s="34" t="e">
        <f t="shared" ref="BB1748" si="7547">IF(AY1748&lt;&gt;AY1749,MMULT(MINVERSE(AY1748:AZ1749),BA1748:BA1749)," ")</f>
        <v>#NUM!</v>
      </c>
      <c r="BC1748" s="34" t="str">
        <f t="shared" ref="BC1748" si="7548">IFERROR(IF(BB1748-VLOOKUP(AY$38,$A$2:$N$12,14,FALSE)&lt;0,BB1748-VLOOKUP(AY$38,$A$2:$N$12,14,FALSE)," ")," ")</f>
        <v xml:space="preserve"> </v>
      </c>
      <c r="BD1748" s="34" t="str">
        <f t="shared" ref="BD1748" si="7549">IFERROR(IF(BB1748-VLOOKUP(AY$38,$A$2:$N$12,14,FALSE)&gt;0,BB1748-VLOOKUP(AY$38,$A$2:$N$12,14,FALSE)," ")," ")</f>
        <v xml:space="preserve"> </v>
      </c>
      <c r="BE1748" s="34">
        <f t="shared" ref="BE1748" si="7550">$M$8</f>
        <v>0</v>
      </c>
      <c r="BF1748" s="34">
        <v>-1</v>
      </c>
      <c r="BG1748" s="34">
        <f t="shared" ref="BG1748" si="7551">-SUMPRODUCT($M$2:$M$7,$N$2:$N$7)-SUMPRODUCT($M$9:$M$12,$N$9:$N$12)</f>
        <v>-120000</v>
      </c>
      <c r="BH1748" s="34" t="e">
        <f t="shared" ref="BH1748" si="7552">IF(BE1748&lt;&gt;BE1749,MMULT(MINVERSE(BE1748:BF1749),BG1748:BG1749)," ")</f>
        <v>#NUM!</v>
      </c>
      <c r="BI1748" s="34" t="str">
        <f t="shared" ref="BI1748" si="7553">IFERROR(IF(BH1748-VLOOKUP(BE$38,$A$2:$N$12,14,FALSE)&lt;0,BH1748-VLOOKUP(BE$38,$A$2:$N$12,14,FALSE)," ")," ")</f>
        <v xml:space="preserve"> </v>
      </c>
      <c r="BJ1748" s="34" t="str">
        <f t="shared" ref="BJ1748" si="7554">IFERROR(IF(BH1748-VLOOKUP(BE$38,$A$2:$N$12,14,FALSE)&gt;0,BH1748-VLOOKUP(BE$38,$A$2:$N$12,14,FALSE)," ")," ")</f>
        <v xml:space="preserve"> </v>
      </c>
      <c r="BK1748" s="34">
        <f t="shared" ref="BK1748" si="7555">$M$9</f>
        <v>0</v>
      </c>
      <c r="BL1748" s="34">
        <v>-1</v>
      </c>
      <c r="BM1748" s="34">
        <f t="shared" ref="BM1748" si="7556">-SUMPRODUCT($M$2:$M$8,$N$2:$N$8)-SUMPRODUCT($M$10:$M$12,$N$10:$N$12)</f>
        <v>-120000</v>
      </c>
      <c r="BN1748" s="34" t="e">
        <f t="shared" ref="BN1748" si="7557">IF(BK1748&lt;&gt;BK1749,MMULT(MINVERSE(BK1748:BL1749),BM1748:BM1749)," ")</f>
        <v>#NUM!</v>
      </c>
      <c r="BO1748" s="34" t="str">
        <f t="shared" ref="BO1748" si="7558">IFERROR(IF(BN1748-VLOOKUP(BK$38,$A$2:$N$12,14,FALSE)&lt;0,BN1748-VLOOKUP(BK$38,$A$2:$N$12,14,FALSE)," ")," ")</f>
        <v xml:space="preserve"> </v>
      </c>
      <c r="BP1748" s="34" t="str">
        <f t="shared" ref="BP1748" si="7559">IFERROR(IF(BN1748-VLOOKUP(BK$38,$A$2:$N$12,14,FALSE)&gt;0,BN1748-VLOOKUP(BK$38,$A$2:$N$12,14,FALSE)," ")," ")</f>
        <v xml:space="preserve"> </v>
      </c>
      <c r="BQ1748" s="34">
        <f t="shared" ref="BQ1748" si="7560">$M$10</f>
        <v>0</v>
      </c>
      <c r="BR1748" s="34">
        <v>-1</v>
      </c>
      <c r="BS1748" s="34">
        <f t="shared" ref="BS1748" si="7561">-SUMPRODUCT($M$2:$M$9,$N$2:$N$9)-SUMPRODUCT($M$11:$M$12,$N$11:$N$12)</f>
        <v>-120000</v>
      </c>
      <c r="BT1748" s="34" t="e">
        <f t="shared" ref="BT1748" si="7562">IF(BQ1748&lt;&gt;BQ1749,MMULT(MINVERSE(BQ1748:BR1749),BS1748:BS1749)," ")</f>
        <v>#NUM!</v>
      </c>
      <c r="BU1748" s="34" t="str">
        <f t="shared" ref="BU1748" si="7563">IFERROR(IF(BT1748-VLOOKUP(BQ$38,$A$2:$N$12,14,FALSE)&lt;0,BT1748-VLOOKUP(BQ$38,$A$2:$N$12,14,FALSE)," ")," ")</f>
        <v xml:space="preserve"> </v>
      </c>
      <c r="BV1748" s="34" t="str">
        <f t="shared" ref="BV1748" si="7564">IFERROR(IF(BT1748-VLOOKUP(BQ$38,$A$2:$N$12,14,FALSE)&gt;0,BT1748-VLOOKUP(BQ$38,$A$2:$N$12,14,FALSE)," ")," ")</f>
        <v xml:space="preserve"> </v>
      </c>
      <c r="BW1748" s="34">
        <f t="shared" ref="BW1748" si="7565">$M$11</f>
        <v>0</v>
      </c>
      <c r="BX1748" s="34">
        <v>-1</v>
      </c>
      <c r="BY1748" s="34">
        <f t="shared" ref="BY1748" si="7566">-SUMPRODUCT($M$2:$M$10,$N$2:$N$10)-SUMPRODUCT($M$12,$N$12)</f>
        <v>-120000</v>
      </c>
      <c r="BZ1748" s="34" t="e">
        <f t="shared" ref="BZ1748" si="7567">IF(BW1748&lt;&gt;BW1749,MMULT(MINVERSE(BW1748:BX1749),BY1748:BY1749)," ")</f>
        <v>#NUM!</v>
      </c>
      <c r="CA1748" s="34" t="str">
        <f t="shared" ref="CA1748" si="7568">IFERROR(IF(BZ1748-VLOOKUP(BW$38,$A$2:$N$12,14,FALSE)&lt;0,BZ1748-VLOOKUP(BW$38,$A$2:$N$12,14,FALSE)," ")," ")</f>
        <v xml:space="preserve"> </v>
      </c>
      <c r="CB1748" s="34" t="str">
        <f t="shared" ref="CB1748" si="7569">IFERROR(IF(BZ1748-VLOOKUP(BW$38,$A$2:$N$12,14,FALSE)&gt;0,BZ1748-VLOOKUP(BW$38,$A$2:$N$12,14,FALSE)," ")," ")</f>
        <v xml:space="preserve"> </v>
      </c>
      <c r="CC1748" s="34">
        <f t="shared" ref="CC1748" si="7570">$M$12</f>
        <v>0</v>
      </c>
      <c r="CD1748" s="34">
        <v>-1</v>
      </c>
      <c r="CE1748" s="34">
        <f t="shared" ref="CE1748" si="7571">-SUMPRODUCT($M$2:$M$11,$N$2:$N$11)</f>
        <v>-120000</v>
      </c>
      <c r="CF1748" s="34" t="e">
        <f t="shared" ref="CF1748" si="7572">IF(CC1748&lt;&gt;CC1749,MMULT(MINVERSE(CC1748:CD1749),CE1748:CE1749)," ")</f>
        <v>#NUM!</v>
      </c>
      <c r="CG1748" s="34" t="str">
        <f t="shared" ref="CG1748" si="7573">IFERROR(IF(CF1748-VLOOKUP(CC$38,$A$2:$N$12,14,FALSE)&lt;0,CF1748-VLOOKUP(CC$38,$A$2:$N$12,14,FALSE)," ")," ")</f>
        <v xml:space="preserve"> </v>
      </c>
      <c r="CH1748" s="34" t="str">
        <f t="shared" ref="CH1748" si="7574">IFERROR(IF(CF1748-VLOOKUP(CC$38,$A$2:$N$12,14,FALSE)&gt;0,CF1748-VLOOKUP(CC$38,$A$2:$N$12,14,FALSE)," ")," ")</f>
        <v xml:space="preserve"> </v>
      </c>
      <c r="CI1748" s="8"/>
    </row>
    <row r="1749" spans="1:87" x14ac:dyDescent="0.2">
      <c r="A1749" s="8" t="str">
        <f>IF(AND(COUNTIF(W$3:W$13,A$16)&gt;0,A$16&lt;&gt;B1562),A$16,IFERROR(IF(MATCH(A$16,Z$3:Z$13,0)=9,A$16," ")," "))</f>
        <v xml:space="preserve"> </v>
      </c>
      <c r="B1749" s="8" t="str">
        <f>IF(A1749=" "," ",MAX(B1748:B1748)+1)</f>
        <v xml:space="preserve"> </v>
      </c>
      <c r="C1749" s="8" t="str">
        <f>IFERROR(INDEX(A1748:A1769,MATCH(SMALL(B1748:B1769,2),B1748:B1769,0),1)," ")</f>
        <v>C4</v>
      </c>
      <c r="D1749" s="8">
        <f t="shared" ref="D1749:D1758" si="7575">IFERROR(VLOOKUP($C1749,$A$15:$O$36,2,FALSE)," ")</f>
        <v>1</v>
      </c>
      <c r="E1749" s="8">
        <f t="shared" ref="E1749:E1758" si="7576">IFERROR(VLOOKUP($C1749,$A$15:$O$36,3,FALSE)," ")</f>
        <v>0</v>
      </c>
      <c r="F1749" s="8">
        <f t="shared" ref="F1749:F1758" si="7577">IFERROR(VLOOKUP($C1749,$A$15:$O$36,4,FALSE)," ")</f>
        <v>1</v>
      </c>
      <c r="G1749" s="8">
        <f t="shared" ref="G1749:G1758" si="7578">IFERROR(VLOOKUP($C1749,$A$15:$O$36,5,FALSE)," ")</f>
        <v>0</v>
      </c>
      <c r="H1749" s="8">
        <f t="shared" ref="H1749:H1758" si="7579">IFERROR(VLOOKUP($C1749,$A$15:$O$36,6,FALSE)," ")</f>
        <v>0</v>
      </c>
      <c r="I1749" s="8">
        <f t="shared" ref="I1749:I1758" si="7580">IFERROR(VLOOKUP($C1749,$A$15:$O$36,7,FALSE)," ")</f>
        <v>0</v>
      </c>
      <c r="J1749" s="8">
        <f t="shared" ref="J1749:J1758" si="7581">IFERROR(VLOOKUP($C1749,$A$15:$O$36,8,FALSE)," ")</f>
        <v>0</v>
      </c>
      <c r="K1749" s="8">
        <f t="shared" ref="K1749:K1758" si="7582">IFERROR(VLOOKUP($C1749,$A$15:$O$36,9,FALSE)," ")</f>
        <v>0</v>
      </c>
      <c r="L1749" s="8">
        <f t="shared" ref="L1749:L1758" si="7583">IFERROR(VLOOKUP($C1749,$A$15:$O$36,10,FALSE)," ")</f>
        <v>0</v>
      </c>
      <c r="M1749" s="8">
        <f t="shared" ref="M1749:M1758" si="7584">IFERROR(VLOOKUP($C1749,$A$15:$O$36,11,FALSE)," ")</f>
        <v>0</v>
      </c>
      <c r="N1749" s="8">
        <f t="shared" ref="N1749:N1758" si="7585">IFERROR(VLOOKUP($C1749,$A$15:$O$36,12,FALSE)," ")</f>
        <v>0</v>
      </c>
      <c r="O1749" s="8">
        <f t="shared" ref="O1749:O1758" si="7586">IFERROR(VLOOKUP($C1749,$A$15:$O$36,15,FALSE)," ")</f>
        <v>400</v>
      </c>
      <c r="P1749" s="8" t="e">
        <v>#NUM!</v>
      </c>
      <c r="Q1749" s="8" t="e">
        <f t="shared" ref="Q1749" si="7587">IF(COUNTIF(P1748:P1758,"&lt;"&amp;-0.001)=0,IF(ABS(P1749)&lt;0.001,0,P1749)," ")</f>
        <v>#NUM!</v>
      </c>
      <c r="R1749" s="8"/>
      <c r="S1749" s="8"/>
      <c r="U1749" s="34" t="e">
        <f t="shared" ref="U1749" si="7588">$Q1748</f>
        <v>#NUM!</v>
      </c>
      <c r="V1749" s="34">
        <v>-1</v>
      </c>
      <c r="W1749" s="34" t="e">
        <f t="shared" ref="W1749" si="7589">-SUMPRODUCT($Q1749:$Q1758,$N$3:$N$12)</f>
        <v>#NUM!</v>
      </c>
      <c r="X1749" s="34"/>
      <c r="Y1749" s="34"/>
      <c r="Z1749" s="34"/>
      <c r="AA1749" s="34" t="e">
        <f t="shared" ref="AA1749" si="7590">$Q1749</f>
        <v>#NUM!</v>
      </c>
      <c r="AB1749" s="34">
        <v>-1</v>
      </c>
      <c r="AC1749" s="34" t="e">
        <f t="shared" ref="AC1749" si="7591">-SUMPRODUCT($Q1748:$Q1748,$N$2:$N$2)-SUMPRODUCT($Q1750:$Q1758,$N$4:$N$12)</f>
        <v>#NUM!</v>
      </c>
      <c r="AD1749" s="34"/>
      <c r="AE1749" s="34"/>
      <c r="AF1749" s="34"/>
      <c r="AG1749" s="34" t="e">
        <f t="shared" ref="AG1749" si="7592">$Q1750</f>
        <v>#NUM!</v>
      </c>
      <c r="AH1749" s="34">
        <v>-1</v>
      </c>
      <c r="AI1749" s="34" t="e">
        <f t="shared" ref="AI1749" si="7593">-SUMPRODUCT($Q1748:$Q1749,$N$2:$N$3)-SUMPRODUCT($Q1751:$Q1758,$N$5:$N$12)</f>
        <v>#NUM!</v>
      </c>
      <c r="AJ1749" s="34"/>
      <c r="AK1749" s="34"/>
      <c r="AL1749" s="34"/>
      <c r="AM1749" s="34" t="e">
        <f t="shared" ref="AM1749" si="7594">$Q1751</f>
        <v>#NUM!</v>
      </c>
      <c r="AN1749" s="34">
        <v>-1</v>
      </c>
      <c r="AO1749" s="34" t="e">
        <f t="shared" ref="AO1749" si="7595">-SUMPRODUCT($Q1748:$Q1750,$N$2:$N$4)-SUMPRODUCT($Q1752:$Q1758,$N$6:$N$12)</f>
        <v>#NUM!</v>
      </c>
      <c r="AP1749" s="34"/>
      <c r="AQ1749" s="34"/>
      <c r="AR1749" s="34"/>
      <c r="AS1749" s="34" t="e">
        <f t="shared" ref="AS1749" si="7596">$Q1752</f>
        <v>#NUM!</v>
      </c>
      <c r="AT1749" s="34">
        <v>-1</v>
      </c>
      <c r="AU1749" s="34" t="e">
        <f t="shared" ref="AU1749" si="7597">-SUMPRODUCT($Q1748:$Q1751,$N$2:$N$5)-SUMPRODUCT($Q1753:$Q1758,$N$7:$N$12)</f>
        <v>#NUM!</v>
      </c>
      <c r="AV1749" s="34"/>
      <c r="AW1749" s="34"/>
      <c r="AX1749" s="34"/>
      <c r="AY1749" s="34" t="e">
        <f t="shared" ref="AY1749" si="7598">$Q1753</f>
        <v>#NUM!</v>
      </c>
      <c r="AZ1749" s="34">
        <v>-1</v>
      </c>
      <c r="BA1749" s="34" t="e">
        <f t="shared" ref="BA1749" si="7599">-SUMPRODUCT($Q1748:$Q1752,$N$2:$N$6)-SUMPRODUCT($Q1754:$Q1758,$N$8:$N$12)</f>
        <v>#NUM!</v>
      </c>
      <c r="BB1749" s="34"/>
      <c r="BC1749" s="34"/>
      <c r="BD1749" s="34"/>
      <c r="BE1749" s="34" t="e">
        <f t="shared" ref="BE1749" si="7600">$Q1754</f>
        <v>#NUM!</v>
      </c>
      <c r="BF1749" s="34">
        <v>-1</v>
      </c>
      <c r="BG1749" s="34" t="e">
        <f t="shared" ref="BG1749" si="7601">-SUMPRODUCT($Q1748:$Q1753,$N$2:$N$7)-SUMPRODUCT($Q1755:$Q1758,$N$9:$N$12)</f>
        <v>#NUM!</v>
      </c>
      <c r="BH1749" s="34"/>
      <c r="BI1749" s="34"/>
      <c r="BJ1749" s="34"/>
      <c r="BK1749" s="34" t="e">
        <f t="shared" ref="BK1749" si="7602">$Q1755</f>
        <v>#NUM!</v>
      </c>
      <c r="BL1749" s="34">
        <v>-1</v>
      </c>
      <c r="BM1749" s="34" t="e">
        <f t="shared" ref="BM1749" si="7603">-SUMPRODUCT($Q1748:$Q1754,$N$2:$N$8)-SUMPRODUCT($Q1756:$Q1758,$N$10:$N$12)</f>
        <v>#NUM!</v>
      </c>
      <c r="BN1749" s="34"/>
      <c r="BO1749" s="34"/>
      <c r="BP1749" s="34"/>
      <c r="BQ1749" s="34" t="e">
        <f t="shared" ref="BQ1749" si="7604">$Q1756</f>
        <v>#NUM!</v>
      </c>
      <c r="BR1749" s="34">
        <v>-1</v>
      </c>
      <c r="BS1749" s="34" t="e">
        <f t="shared" ref="BS1749" si="7605">-SUMPRODUCT($Q1748:$Q1755,$N$2:$N$9)-SUMPRODUCT($Q1757:$Q1758,$N$11:$N$12)</f>
        <v>#NUM!</v>
      </c>
      <c r="BT1749" s="34"/>
      <c r="BU1749" s="34"/>
      <c r="BV1749" s="34"/>
      <c r="BW1749" s="34" t="e">
        <f t="shared" ref="BW1749" si="7606">$Q1757</f>
        <v>#NUM!</v>
      </c>
      <c r="BX1749" s="34">
        <v>-1</v>
      </c>
      <c r="BY1749" s="34" t="e">
        <f t="shared" ref="BY1749" si="7607">-SUMPRODUCT($Q1748:$Q1756,$N$2:$N$10)-SUMPRODUCT($Q1758,$N$12)</f>
        <v>#NUM!</v>
      </c>
      <c r="BZ1749" s="34"/>
      <c r="CA1749" s="34"/>
      <c r="CB1749" s="34"/>
      <c r="CC1749" s="34" t="e">
        <f t="shared" ref="CC1749" si="7608">$Q1758</f>
        <v>#NUM!</v>
      </c>
      <c r="CD1749" s="34">
        <v>-1</v>
      </c>
      <c r="CE1749" s="34" t="e">
        <f t="shared" ref="CE1749" si="7609">-SUMPRODUCT($Q1748:$Q1757,$N$2:$N$11)</f>
        <v>#NUM!</v>
      </c>
      <c r="CF1749" s="34"/>
      <c r="CG1749" s="34"/>
      <c r="CH1749" s="34"/>
      <c r="CI1749" s="8"/>
    </row>
    <row r="1750" spans="1:87" x14ac:dyDescent="0.2">
      <c r="A1750" s="8" t="str">
        <f>IF(AND(COUNTIF(W$3:W$13,A$17)&gt;0,A$17&lt;&gt;B1562),A$17,IFERROR(IF(MATCH(A$17,Z$3:Z$13,0)=9,A$17," ")," "))</f>
        <v>C3</v>
      </c>
      <c r="B1750" s="8">
        <f>IF(A1750=" "," ",MAX(B1748:B1749)+1)</f>
        <v>1</v>
      </c>
      <c r="C1750" s="8" t="str">
        <f>IFERROR(INDEX(A1748:A1769,MATCH(SMALL(B1748:B1769,3),B1748:B1769,0),1)," ")</f>
        <v>C11</v>
      </c>
      <c r="D1750" s="8">
        <f t="shared" si="7575"/>
        <v>0</v>
      </c>
      <c r="E1750" s="8">
        <f t="shared" si="7576"/>
        <v>0</v>
      </c>
      <c r="F1750" s="8">
        <f t="shared" si="7577"/>
        <v>0</v>
      </c>
      <c r="G1750" s="8">
        <f t="shared" si="7578"/>
        <v>0</v>
      </c>
      <c r="H1750" s="8">
        <f t="shared" si="7579"/>
        <v>0</v>
      </c>
      <c r="I1750" s="8">
        <f t="shared" si="7580"/>
        <v>0</v>
      </c>
      <c r="J1750" s="8">
        <f t="shared" si="7581"/>
        <v>0</v>
      </c>
      <c r="K1750" s="8">
        <f t="shared" si="7582"/>
        <v>0</v>
      </c>
      <c r="L1750" s="8">
        <f t="shared" si="7583"/>
        <v>0</v>
      </c>
      <c r="M1750" s="8">
        <f t="shared" si="7584"/>
        <v>0</v>
      </c>
      <c r="N1750" s="8">
        <f t="shared" si="7585"/>
        <v>0</v>
      </c>
      <c r="O1750" s="8">
        <f t="shared" si="7586"/>
        <v>0</v>
      </c>
      <c r="P1750" s="8" t="e">
        <v>#NUM!</v>
      </c>
      <c r="Q1750" s="8" t="e">
        <f t="shared" ref="Q1750" si="7610">IF(COUNTIF(P1748:P1758,"&lt;"&amp;-0.001)=0,IF(ABS(P1750)&lt;0.001,0,P1750)," ")</f>
        <v>#NUM!</v>
      </c>
      <c r="R1750" s="8"/>
      <c r="S1750" s="8"/>
      <c r="U1750" s="34"/>
      <c r="V1750" s="34"/>
      <c r="W1750" s="34"/>
      <c r="X1750" s="34"/>
      <c r="Y1750" s="34"/>
      <c r="Z1750" s="34"/>
      <c r="AA1750" s="34"/>
      <c r="AB1750" s="34"/>
      <c r="AC1750" s="34"/>
      <c r="AD1750" s="34"/>
      <c r="AE1750" s="34"/>
      <c r="AF1750" s="34"/>
      <c r="AG1750" s="34"/>
      <c r="AH1750" s="34"/>
      <c r="AI1750" s="34"/>
      <c r="AJ1750" s="34"/>
      <c r="AK1750" s="34"/>
      <c r="AL1750" s="34"/>
      <c r="AM1750" s="34"/>
      <c r="AN1750" s="34"/>
      <c r="AO1750" s="34"/>
      <c r="AP1750" s="34"/>
      <c r="AQ1750" s="34"/>
      <c r="AR1750" s="34"/>
      <c r="AS1750" s="34"/>
      <c r="AT1750" s="34"/>
      <c r="AU1750" s="34"/>
      <c r="AV1750" s="34"/>
      <c r="AW1750" s="34"/>
      <c r="AX1750" s="34"/>
      <c r="AY1750" s="34"/>
      <c r="AZ1750" s="34"/>
      <c r="BA1750" s="34"/>
      <c r="BB1750" s="34"/>
      <c r="BC1750" s="34"/>
      <c r="BD1750" s="34"/>
      <c r="BE1750" s="34"/>
      <c r="BF1750" s="34"/>
      <c r="BG1750" s="34"/>
      <c r="BH1750" s="34"/>
      <c r="BI1750" s="34"/>
      <c r="BJ1750" s="34"/>
      <c r="BK1750" s="34"/>
      <c r="BL1750" s="34"/>
      <c r="BM1750" s="34"/>
      <c r="BN1750" s="34"/>
      <c r="BO1750" s="34"/>
      <c r="BP1750" s="34"/>
      <c r="BQ1750" s="34"/>
      <c r="BR1750" s="34"/>
      <c r="BS1750" s="34"/>
      <c r="BT1750" s="34"/>
      <c r="BU1750" s="34"/>
      <c r="BV1750" s="34"/>
      <c r="BW1750" s="34"/>
      <c r="BX1750" s="34"/>
      <c r="BY1750" s="34"/>
      <c r="BZ1750" s="34"/>
      <c r="CA1750" s="34"/>
      <c r="CB1750" s="34"/>
      <c r="CC1750" s="34"/>
      <c r="CD1750" s="34"/>
      <c r="CE1750" s="34"/>
      <c r="CF1750" s="34"/>
      <c r="CG1750" s="34"/>
      <c r="CH1750" s="34"/>
      <c r="CI1750" s="8"/>
    </row>
    <row r="1751" spans="1:87" x14ac:dyDescent="0.2">
      <c r="A1751" s="8" t="str">
        <f>IF(AND(COUNTIF(W$3:W$13,A$18)&gt;0,A$18&lt;&gt;B1562),A$18,IFERROR(IF(MATCH(A$18,Z$3:Z$13,0)=9,A$18," ")," "))</f>
        <v>C4</v>
      </c>
      <c r="B1751" s="8">
        <f>IF(A1751=" "," ",MAX(B1748:B1750)+1)</f>
        <v>2</v>
      </c>
      <c r="C1751" s="8" t="str">
        <f>IFERROR(INDEX(A1748:A1769,MATCH(SMALL(B1748:B1769,4),B1748:B1769,0),1)," ")</f>
        <v>C13</v>
      </c>
      <c r="D1751" s="8">
        <f t="shared" si="7575"/>
        <v>0</v>
      </c>
      <c r="E1751" s="8">
        <f t="shared" si="7576"/>
        <v>1</v>
      </c>
      <c r="F1751" s="8">
        <f t="shared" si="7577"/>
        <v>0</v>
      </c>
      <c r="G1751" s="8">
        <f t="shared" si="7578"/>
        <v>0</v>
      </c>
      <c r="H1751" s="8">
        <f t="shared" si="7579"/>
        <v>0</v>
      </c>
      <c r="I1751" s="8">
        <f t="shared" si="7580"/>
        <v>0</v>
      </c>
      <c r="J1751" s="8">
        <f t="shared" si="7581"/>
        <v>0</v>
      </c>
      <c r="K1751" s="8">
        <f t="shared" si="7582"/>
        <v>0</v>
      </c>
      <c r="L1751" s="8">
        <f t="shared" si="7583"/>
        <v>0</v>
      </c>
      <c r="M1751" s="8">
        <f t="shared" si="7584"/>
        <v>0</v>
      </c>
      <c r="N1751" s="8">
        <f t="shared" si="7585"/>
        <v>0</v>
      </c>
      <c r="O1751" s="8">
        <f t="shared" si="7586"/>
        <v>0</v>
      </c>
      <c r="P1751" s="8" t="e">
        <v>#NUM!</v>
      </c>
      <c r="Q1751" s="8" t="e">
        <f t="shared" ref="Q1751" si="7611">IF(COUNTIF(P1748:P1758,"&lt;"&amp;-0.001)=0,IF(ABS(P1751)&lt;0.001,0,P1751)," ")</f>
        <v>#NUM!</v>
      </c>
      <c r="R1751" s="8"/>
      <c r="S1751" s="8"/>
      <c r="U1751" s="34"/>
      <c r="V1751" s="34"/>
      <c r="W1751" s="34"/>
      <c r="X1751" s="34"/>
      <c r="Y1751" s="34"/>
      <c r="Z1751" s="34"/>
      <c r="AA1751" s="34"/>
      <c r="AB1751" s="34"/>
      <c r="AC1751" s="34"/>
      <c r="AD1751" s="34"/>
      <c r="AE1751" s="34"/>
      <c r="AF1751" s="34"/>
      <c r="AG1751" s="34"/>
      <c r="AH1751" s="34"/>
      <c r="AI1751" s="34"/>
      <c r="AJ1751" s="34"/>
      <c r="AK1751" s="34"/>
      <c r="AL1751" s="34"/>
      <c r="AM1751" s="34"/>
      <c r="AN1751" s="34"/>
      <c r="AO1751" s="34"/>
      <c r="AP1751" s="34"/>
      <c r="AQ1751" s="34"/>
      <c r="AR1751" s="34"/>
      <c r="AS1751" s="34"/>
      <c r="AT1751" s="34"/>
      <c r="AU1751" s="34"/>
      <c r="AV1751" s="34"/>
      <c r="AW1751" s="34"/>
      <c r="AX1751" s="34"/>
      <c r="AY1751" s="34"/>
      <c r="AZ1751" s="34"/>
      <c r="BA1751" s="34"/>
      <c r="BB1751" s="34"/>
      <c r="BC1751" s="34"/>
      <c r="BD1751" s="34"/>
      <c r="BE1751" s="34"/>
      <c r="BF1751" s="34"/>
      <c r="BG1751" s="34"/>
      <c r="BH1751" s="34"/>
      <c r="BI1751" s="34"/>
      <c r="BJ1751" s="34"/>
      <c r="BK1751" s="34"/>
      <c r="BL1751" s="34"/>
      <c r="BM1751" s="34"/>
      <c r="BN1751" s="34"/>
      <c r="BO1751" s="34"/>
      <c r="BP1751" s="34"/>
      <c r="BQ1751" s="34"/>
      <c r="BR1751" s="34"/>
      <c r="BS1751" s="34"/>
      <c r="BT1751" s="34"/>
      <c r="BU1751" s="34"/>
      <c r="BV1751" s="34"/>
      <c r="BW1751" s="34"/>
      <c r="BX1751" s="34"/>
      <c r="BY1751" s="34"/>
      <c r="BZ1751" s="34"/>
      <c r="CA1751" s="34"/>
      <c r="CB1751" s="34"/>
      <c r="CC1751" s="34"/>
      <c r="CD1751" s="34"/>
      <c r="CE1751" s="34"/>
      <c r="CF1751" s="34"/>
      <c r="CG1751" s="34"/>
      <c r="CH1751" s="34"/>
      <c r="CI1751" s="8"/>
    </row>
    <row r="1752" spans="1:87" x14ac:dyDescent="0.2">
      <c r="A1752" s="8" t="str">
        <f>IF(AND(COUNTIF(W$3:W$13,A$19)&gt;0,A$19&lt;&gt;B1562),A$19,IFERROR(IF(MATCH(A$19,Z$3:Z$13,0)=9,A$19," ")," "))</f>
        <v xml:space="preserve"> </v>
      </c>
      <c r="B1752" s="8" t="str">
        <f>IF(A1752=" "," ",MAX(B1748:B1751)+1)</f>
        <v xml:space="preserve"> </v>
      </c>
      <c r="C1752" s="8" t="str">
        <f>IFERROR(INDEX(A1748:A1769,MATCH(SMALL(B1748:B1769,5),B1748:B1769,0),1)," ")</f>
        <v>C15</v>
      </c>
      <c r="D1752" s="8">
        <f t="shared" si="7575"/>
        <v>0</v>
      </c>
      <c r="E1752" s="8">
        <f t="shared" si="7576"/>
        <v>0</v>
      </c>
      <c r="F1752" s="8">
        <f t="shared" si="7577"/>
        <v>0</v>
      </c>
      <c r="G1752" s="8">
        <f t="shared" si="7578"/>
        <v>1</v>
      </c>
      <c r="H1752" s="8">
        <f t="shared" si="7579"/>
        <v>0</v>
      </c>
      <c r="I1752" s="8">
        <f t="shared" si="7580"/>
        <v>0</v>
      </c>
      <c r="J1752" s="8">
        <f t="shared" si="7581"/>
        <v>0</v>
      </c>
      <c r="K1752" s="8">
        <f t="shared" si="7582"/>
        <v>0</v>
      </c>
      <c r="L1752" s="8">
        <f t="shared" si="7583"/>
        <v>0</v>
      </c>
      <c r="M1752" s="8">
        <f t="shared" si="7584"/>
        <v>0</v>
      </c>
      <c r="N1752" s="8">
        <f t="shared" si="7585"/>
        <v>0</v>
      </c>
      <c r="O1752" s="8">
        <f t="shared" si="7586"/>
        <v>0</v>
      </c>
      <c r="P1752" s="8" t="e">
        <v>#NUM!</v>
      </c>
      <c r="Q1752" s="8" t="e">
        <f t="shared" ref="Q1752" si="7612">IF(COUNTIF(P1748:P1758,"&lt;"&amp;-0.001)=0,IF(ABS(P1752)&lt;0.001,0,P1752)," ")</f>
        <v>#NUM!</v>
      </c>
      <c r="R1752" s="8"/>
      <c r="S1752" s="8"/>
      <c r="U1752" s="34"/>
      <c r="V1752" s="34"/>
      <c r="W1752" s="34"/>
      <c r="X1752" s="34"/>
      <c r="Y1752" s="34"/>
      <c r="Z1752" s="34"/>
      <c r="AA1752" s="34"/>
      <c r="AB1752" s="34"/>
      <c r="AC1752" s="34"/>
      <c r="AD1752" s="34"/>
      <c r="AE1752" s="34"/>
      <c r="AF1752" s="34"/>
      <c r="AG1752" s="34"/>
      <c r="AH1752" s="34"/>
      <c r="AI1752" s="34"/>
      <c r="AJ1752" s="34"/>
      <c r="AK1752" s="34"/>
      <c r="AL1752" s="34"/>
      <c r="AM1752" s="34"/>
      <c r="AN1752" s="34"/>
      <c r="AO1752" s="34"/>
      <c r="AP1752" s="34"/>
      <c r="AQ1752" s="34"/>
      <c r="AR1752" s="34"/>
      <c r="AS1752" s="34"/>
      <c r="AT1752" s="34"/>
      <c r="AU1752" s="34"/>
      <c r="AV1752" s="34"/>
      <c r="AW1752" s="34"/>
      <c r="AX1752" s="34"/>
      <c r="AY1752" s="34"/>
      <c r="AZ1752" s="34"/>
      <c r="BA1752" s="34"/>
      <c r="BB1752" s="34"/>
      <c r="BC1752" s="34"/>
      <c r="BD1752" s="34"/>
      <c r="BE1752" s="34"/>
      <c r="BF1752" s="34"/>
      <c r="BG1752" s="34"/>
      <c r="BH1752" s="34"/>
      <c r="BI1752" s="34"/>
      <c r="BJ1752" s="34"/>
      <c r="BK1752" s="34"/>
      <c r="BL1752" s="34"/>
      <c r="BM1752" s="34"/>
      <c r="BN1752" s="34"/>
      <c r="BO1752" s="34"/>
      <c r="BP1752" s="34"/>
      <c r="BQ1752" s="34"/>
      <c r="BR1752" s="34"/>
      <c r="BS1752" s="34"/>
      <c r="BT1752" s="34"/>
      <c r="BU1752" s="34"/>
      <c r="BV1752" s="34"/>
      <c r="BW1752" s="34"/>
      <c r="BX1752" s="34"/>
      <c r="BY1752" s="34"/>
      <c r="BZ1752" s="34"/>
      <c r="CA1752" s="34"/>
      <c r="CB1752" s="34"/>
      <c r="CC1752" s="34"/>
      <c r="CD1752" s="34"/>
      <c r="CE1752" s="34"/>
      <c r="CF1752" s="34"/>
      <c r="CG1752" s="34"/>
      <c r="CH1752" s="34"/>
      <c r="CI1752" s="8"/>
    </row>
    <row r="1753" spans="1:87" x14ac:dyDescent="0.2">
      <c r="A1753" s="8" t="str">
        <f>IF(AND(COUNTIF(W$3:W$13,A$20)&gt;0,A$20&lt;&gt;B1562),A$20,IFERROR(IF(MATCH(A$20,Z$3:Z$13,0)=9,A$20," ")," "))</f>
        <v xml:space="preserve"> </v>
      </c>
      <c r="B1753" s="8" t="str">
        <f>IF(A1753=" "," ",MAX(B1748:B1752)+1)</f>
        <v xml:space="preserve"> </v>
      </c>
      <c r="C1753" s="8" t="str">
        <f>IFERROR(INDEX(A1748:A1769,MATCH(SMALL(B1748:B1769,6),B1748:B1769,0),1)," ")</f>
        <v>C16</v>
      </c>
      <c r="D1753" s="8">
        <f t="shared" si="7575"/>
        <v>0</v>
      </c>
      <c r="E1753" s="8">
        <f t="shared" si="7576"/>
        <v>0</v>
      </c>
      <c r="F1753" s="8">
        <f t="shared" si="7577"/>
        <v>0</v>
      </c>
      <c r="G1753" s="8">
        <f t="shared" si="7578"/>
        <v>0</v>
      </c>
      <c r="H1753" s="8">
        <f t="shared" si="7579"/>
        <v>1</v>
      </c>
      <c r="I1753" s="8">
        <f t="shared" si="7580"/>
        <v>0</v>
      </c>
      <c r="J1753" s="8">
        <f t="shared" si="7581"/>
        <v>0</v>
      </c>
      <c r="K1753" s="8">
        <f t="shared" si="7582"/>
        <v>0</v>
      </c>
      <c r="L1753" s="8">
        <f t="shared" si="7583"/>
        <v>0</v>
      </c>
      <c r="M1753" s="8">
        <f t="shared" si="7584"/>
        <v>0</v>
      </c>
      <c r="N1753" s="8">
        <f t="shared" si="7585"/>
        <v>0</v>
      </c>
      <c r="O1753" s="8">
        <f t="shared" si="7586"/>
        <v>0</v>
      </c>
      <c r="P1753" s="8" t="e">
        <v>#NUM!</v>
      </c>
      <c r="Q1753" s="8" t="e">
        <f t="shared" ref="Q1753" si="7613">IF(COUNTIF(P1748:P1758,"&lt;"&amp;-0.001)=0,IF(ABS(P1753)&lt;0.001,0,P1753)," ")</f>
        <v>#NUM!</v>
      </c>
      <c r="R1753" s="8"/>
      <c r="S1753" s="8"/>
      <c r="U1753" s="34"/>
      <c r="V1753" s="34"/>
      <c r="W1753" s="34"/>
      <c r="X1753" s="34"/>
      <c r="Y1753" s="34"/>
      <c r="Z1753" s="34"/>
      <c r="AA1753" s="34"/>
      <c r="AB1753" s="34"/>
      <c r="AC1753" s="34"/>
      <c r="AD1753" s="34"/>
      <c r="AE1753" s="34"/>
      <c r="AF1753" s="34"/>
      <c r="AG1753" s="34"/>
      <c r="AH1753" s="34"/>
      <c r="AI1753" s="34"/>
      <c r="AJ1753" s="34"/>
      <c r="AK1753" s="34"/>
      <c r="AL1753" s="34"/>
      <c r="AM1753" s="34"/>
      <c r="AN1753" s="34"/>
      <c r="AO1753" s="34"/>
      <c r="AP1753" s="34"/>
      <c r="AQ1753" s="34"/>
      <c r="AR1753" s="34"/>
      <c r="AS1753" s="34"/>
      <c r="AT1753" s="34"/>
      <c r="AU1753" s="34"/>
      <c r="AV1753" s="34"/>
      <c r="AW1753" s="34"/>
      <c r="AX1753" s="34"/>
      <c r="AY1753" s="34"/>
      <c r="AZ1753" s="34"/>
      <c r="BA1753" s="34"/>
      <c r="BB1753" s="34"/>
      <c r="BC1753" s="34"/>
      <c r="BD1753" s="34"/>
      <c r="BE1753" s="34"/>
      <c r="BF1753" s="34"/>
      <c r="BG1753" s="34"/>
      <c r="BH1753" s="34"/>
      <c r="BI1753" s="34"/>
      <c r="BJ1753" s="34"/>
      <c r="BK1753" s="34"/>
      <c r="BL1753" s="34"/>
      <c r="BM1753" s="34"/>
      <c r="BN1753" s="34"/>
      <c r="BO1753" s="34"/>
      <c r="BP1753" s="34"/>
      <c r="BQ1753" s="34"/>
      <c r="BR1753" s="34"/>
      <c r="BS1753" s="34"/>
      <c r="BT1753" s="34"/>
      <c r="BU1753" s="34"/>
      <c r="BV1753" s="34"/>
      <c r="BW1753" s="34"/>
      <c r="BX1753" s="34"/>
      <c r="BY1753" s="34"/>
      <c r="BZ1753" s="34"/>
      <c r="CA1753" s="34"/>
      <c r="CB1753" s="34"/>
      <c r="CC1753" s="34"/>
      <c r="CD1753" s="34"/>
      <c r="CE1753" s="34"/>
      <c r="CF1753" s="34"/>
      <c r="CG1753" s="34"/>
      <c r="CH1753" s="34"/>
      <c r="CI1753" s="8"/>
    </row>
    <row r="1754" spans="1:87" x14ac:dyDescent="0.2">
      <c r="A1754" s="8" t="str">
        <f>IF(AND(COUNTIF(W$3:W$13,A$21)&gt;0,A$21&lt;&gt;B1562),A$21,IFERROR(IF(MATCH(A$21,Z$3:Z$13,0)=9,A$21," ")," "))</f>
        <v xml:space="preserve"> </v>
      </c>
      <c r="B1754" s="8" t="str">
        <f>IF(A1754=" "," ",MAX(B1748:B1753)+1)</f>
        <v xml:space="preserve"> </v>
      </c>
      <c r="C1754" s="8" t="str">
        <f>IFERROR(INDEX(A1748:A1769,MATCH(SMALL(B1748:B1769,7),B1748:B1769,0),1)," ")</f>
        <v>C17</v>
      </c>
      <c r="D1754" s="8">
        <f t="shared" si="7575"/>
        <v>0</v>
      </c>
      <c r="E1754" s="8">
        <f t="shared" si="7576"/>
        <v>0</v>
      </c>
      <c r="F1754" s="8">
        <f t="shared" si="7577"/>
        <v>0</v>
      </c>
      <c r="G1754" s="8">
        <f t="shared" si="7578"/>
        <v>0</v>
      </c>
      <c r="H1754" s="8">
        <f t="shared" si="7579"/>
        <v>0</v>
      </c>
      <c r="I1754" s="8">
        <f t="shared" si="7580"/>
        <v>1</v>
      </c>
      <c r="J1754" s="8">
        <f t="shared" si="7581"/>
        <v>0</v>
      </c>
      <c r="K1754" s="8">
        <f t="shared" si="7582"/>
        <v>0</v>
      </c>
      <c r="L1754" s="8">
        <f t="shared" si="7583"/>
        <v>0</v>
      </c>
      <c r="M1754" s="8">
        <f t="shared" si="7584"/>
        <v>0</v>
      </c>
      <c r="N1754" s="8">
        <f t="shared" si="7585"/>
        <v>0</v>
      </c>
      <c r="O1754" s="8">
        <f t="shared" si="7586"/>
        <v>0</v>
      </c>
      <c r="P1754" s="8" t="e">
        <v>#NUM!</v>
      </c>
      <c r="Q1754" s="8" t="e">
        <f t="shared" ref="Q1754" si="7614">IF(COUNTIF(P1748:P1758,"&lt;"&amp;-0.001)=0,IF(ABS(P1754)&lt;0.001,0,P1754)," ")</f>
        <v>#NUM!</v>
      </c>
      <c r="R1754" s="8"/>
      <c r="S1754" s="8"/>
      <c r="U1754" s="34"/>
      <c r="V1754" s="34"/>
      <c r="W1754" s="34"/>
      <c r="X1754" s="34"/>
      <c r="Y1754" s="34"/>
      <c r="Z1754" s="34"/>
      <c r="AA1754" s="34"/>
      <c r="AB1754" s="34"/>
      <c r="AC1754" s="34"/>
      <c r="AD1754" s="34"/>
      <c r="AE1754" s="34"/>
      <c r="AF1754" s="34"/>
      <c r="AG1754" s="34"/>
      <c r="AH1754" s="34"/>
      <c r="AI1754" s="34"/>
      <c r="AJ1754" s="34"/>
      <c r="AK1754" s="34"/>
      <c r="AL1754" s="34"/>
      <c r="AM1754" s="34"/>
      <c r="AN1754" s="34"/>
      <c r="AO1754" s="34"/>
      <c r="AP1754" s="34"/>
      <c r="AQ1754" s="34"/>
      <c r="AR1754" s="34"/>
      <c r="AS1754" s="34"/>
      <c r="AT1754" s="34"/>
      <c r="AU1754" s="34"/>
      <c r="AV1754" s="34"/>
      <c r="AW1754" s="34"/>
      <c r="AX1754" s="34"/>
      <c r="AY1754" s="34"/>
      <c r="AZ1754" s="34"/>
      <c r="BA1754" s="34"/>
      <c r="BB1754" s="34"/>
      <c r="BC1754" s="34"/>
      <c r="BD1754" s="34"/>
      <c r="BE1754" s="34"/>
      <c r="BF1754" s="34"/>
      <c r="BG1754" s="34"/>
      <c r="BH1754" s="34"/>
      <c r="BI1754" s="34"/>
      <c r="BJ1754" s="34"/>
      <c r="BK1754" s="34"/>
      <c r="BL1754" s="34"/>
      <c r="BM1754" s="34"/>
      <c r="BN1754" s="34"/>
      <c r="BO1754" s="34"/>
      <c r="BP1754" s="34"/>
      <c r="BQ1754" s="34"/>
      <c r="BR1754" s="34"/>
      <c r="BS1754" s="34"/>
      <c r="BT1754" s="34"/>
      <c r="BU1754" s="34"/>
      <c r="BV1754" s="34"/>
      <c r="BW1754" s="34"/>
      <c r="BX1754" s="34"/>
      <c r="BY1754" s="34"/>
      <c r="BZ1754" s="34"/>
      <c r="CA1754" s="34"/>
      <c r="CB1754" s="34"/>
      <c r="CC1754" s="34"/>
      <c r="CD1754" s="34"/>
      <c r="CE1754" s="34"/>
      <c r="CF1754" s="34"/>
      <c r="CG1754" s="34"/>
      <c r="CH1754" s="34"/>
      <c r="CI1754" s="8"/>
    </row>
    <row r="1755" spans="1:87" x14ac:dyDescent="0.2">
      <c r="A1755" s="8" t="str">
        <f>IF(AND(COUNTIF(W$3:W$13,A$22)&gt;0,A$22&lt;&gt;B1562),A$22,IFERROR(IF(MATCH(A$22,Z$3:Z$13,0)=9,A$22," ")," "))</f>
        <v xml:space="preserve"> </v>
      </c>
      <c r="B1755" s="8" t="str">
        <f>IF(A1755=" "," ",MAX(B1748:B1754)+1)</f>
        <v xml:space="preserve"> </v>
      </c>
      <c r="C1755" s="8" t="str">
        <f>IFERROR(INDEX(A1748:A1769,MATCH(SMALL(B1748:B1769,8),B1748:B1769,0),1)," ")</f>
        <v>C19</v>
      </c>
      <c r="D1755" s="8">
        <f t="shared" si="7575"/>
        <v>0</v>
      </c>
      <c r="E1755" s="8">
        <f t="shared" si="7576"/>
        <v>0</v>
      </c>
      <c r="F1755" s="8">
        <f t="shared" si="7577"/>
        <v>0</v>
      </c>
      <c r="G1755" s="8">
        <f t="shared" si="7578"/>
        <v>0</v>
      </c>
      <c r="H1755" s="8">
        <f t="shared" si="7579"/>
        <v>0</v>
      </c>
      <c r="I1755" s="8">
        <f t="shared" si="7580"/>
        <v>0</v>
      </c>
      <c r="J1755" s="8">
        <f t="shared" si="7581"/>
        <v>0</v>
      </c>
      <c r="K1755" s="8">
        <f t="shared" si="7582"/>
        <v>1</v>
      </c>
      <c r="L1755" s="8">
        <f t="shared" si="7583"/>
        <v>0</v>
      </c>
      <c r="M1755" s="8">
        <f t="shared" si="7584"/>
        <v>0</v>
      </c>
      <c r="N1755" s="8">
        <f t="shared" si="7585"/>
        <v>0</v>
      </c>
      <c r="O1755" s="8">
        <f t="shared" si="7586"/>
        <v>0</v>
      </c>
      <c r="P1755" s="8" t="e">
        <v>#NUM!</v>
      </c>
      <c r="Q1755" s="8" t="e">
        <f t="shared" ref="Q1755" si="7615">IF(COUNTIF(P1748:P1758,"&lt;"&amp;-0.001)=0,IF(ABS(P1755)&lt;0.001,0,P1755)," ")</f>
        <v>#NUM!</v>
      </c>
      <c r="R1755" s="8"/>
      <c r="S1755" s="8"/>
      <c r="U1755" s="34"/>
      <c r="V1755" s="34"/>
      <c r="W1755" s="34"/>
      <c r="X1755" s="34"/>
      <c r="Y1755" s="34"/>
      <c r="Z1755" s="34"/>
      <c r="AA1755" s="34"/>
      <c r="AB1755" s="34"/>
      <c r="AC1755" s="34"/>
      <c r="AD1755" s="34"/>
      <c r="AE1755" s="34"/>
      <c r="AF1755" s="34"/>
      <c r="AG1755" s="34"/>
      <c r="AH1755" s="34"/>
      <c r="AI1755" s="34"/>
      <c r="AJ1755" s="34"/>
      <c r="AK1755" s="34"/>
      <c r="AL1755" s="34"/>
      <c r="AM1755" s="34"/>
      <c r="AN1755" s="34"/>
      <c r="AO1755" s="34"/>
      <c r="AP1755" s="34"/>
      <c r="AQ1755" s="34"/>
      <c r="AR1755" s="34"/>
      <c r="AS1755" s="34"/>
      <c r="AT1755" s="34"/>
      <c r="AU1755" s="34"/>
      <c r="AV1755" s="34"/>
      <c r="AW1755" s="34"/>
      <c r="AX1755" s="34"/>
      <c r="AY1755" s="34"/>
      <c r="AZ1755" s="34"/>
      <c r="BA1755" s="34"/>
      <c r="BB1755" s="34"/>
      <c r="BC1755" s="34"/>
      <c r="BD1755" s="34"/>
      <c r="BE1755" s="34"/>
      <c r="BF1755" s="34"/>
      <c r="BG1755" s="34"/>
      <c r="BH1755" s="34"/>
      <c r="BI1755" s="34"/>
      <c r="BJ1755" s="34"/>
      <c r="BK1755" s="34"/>
      <c r="BL1755" s="34"/>
      <c r="BM1755" s="34"/>
      <c r="BN1755" s="34"/>
      <c r="BO1755" s="34"/>
      <c r="BP1755" s="34"/>
      <c r="BQ1755" s="34"/>
      <c r="BR1755" s="34"/>
      <c r="BS1755" s="34"/>
      <c r="BT1755" s="34"/>
      <c r="BU1755" s="34"/>
      <c r="BV1755" s="34"/>
      <c r="BW1755" s="34"/>
      <c r="BX1755" s="34"/>
      <c r="BY1755" s="34"/>
      <c r="BZ1755" s="34"/>
      <c r="CA1755" s="34"/>
      <c r="CB1755" s="34"/>
      <c r="CC1755" s="34"/>
      <c r="CD1755" s="34"/>
      <c r="CE1755" s="34"/>
      <c r="CF1755" s="34"/>
      <c r="CG1755" s="34"/>
      <c r="CH1755" s="34"/>
      <c r="CI1755" s="8"/>
    </row>
    <row r="1756" spans="1:87" x14ac:dyDescent="0.2">
      <c r="A1756" s="8" t="str">
        <f>IF(AND(COUNTIF(W$3:W$13,A$23)&gt;0,A$23&lt;&gt;B1562),A$23,IFERROR(IF(MATCH(A$23,Z$3:Z$13,0)=9,A$23," ")," "))</f>
        <v xml:space="preserve"> </v>
      </c>
      <c r="B1756" s="8" t="str">
        <f>IF(A1756=" "," ",MAX(B1748:B1755)+1)</f>
        <v xml:space="preserve"> </v>
      </c>
      <c r="C1756" s="8" t="str">
        <f>IFERROR(INDEX(A1748:A1769,MATCH(SMALL(B1748:B1769,9),B1748:B1769,0),1)," ")</f>
        <v>C20</v>
      </c>
      <c r="D1756" s="8">
        <f t="shared" si="7575"/>
        <v>0</v>
      </c>
      <c r="E1756" s="8">
        <f t="shared" si="7576"/>
        <v>0</v>
      </c>
      <c r="F1756" s="8">
        <f t="shared" si="7577"/>
        <v>0</v>
      </c>
      <c r="G1756" s="8">
        <f t="shared" si="7578"/>
        <v>0</v>
      </c>
      <c r="H1756" s="8">
        <f t="shared" si="7579"/>
        <v>0</v>
      </c>
      <c r="I1756" s="8">
        <f t="shared" si="7580"/>
        <v>0</v>
      </c>
      <c r="J1756" s="8">
        <f t="shared" si="7581"/>
        <v>0</v>
      </c>
      <c r="K1756" s="8">
        <f t="shared" si="7582"/>
        <v>0</v>
      </c>
      <c r="L1756" s="8">
        <f t="shared" si="7583"/>
        <v>1</v>
      </c>
      <c r="M1756" s="8">
        <f t="shared" si="7584"/>
        <v>0</v>
      </c>
      <c r="N1756" s="8">
        <f t="shared" si="7585"/>
        <v>0</v>
      </c>
      <c r="O1756" s="8">
        <f t="shared" si="7586"/>
        <v>0</v>
      </c>
      <c r="P1756" s="6" t="e">
        <v>#NUM!</v>
      </c>
      <c r="Q1756" s="8" t="e">
        <f t="shared" ref="Q1756" si="7616">IF(COUNTIF(P1748:P1758,"&lt;"&amp;-0.001)=0,IF(ABS(P1756)&lt;0.001,0,P1756)," ")</f>
        <v>#NUM!</v>
      </c>
      <c r="R1756" s="8"/>
      <c r="S1756" s="8"/>
      <c r="U1756" s="34"/>
      <c r="V1756" s="34"/>
      <c r="W1756" s="34"/>
      <c r="X1756" s="34"/>
      <c r="Y1756" s="34"/>
      <c r="Z1756" s="34"/>
      <c r="AA1756" s="34"/>
      <c r="AB1756" s="34"/>
      <c r="AC1756" s="34"/>
      <c r="AD1756" s="34"/>
      <c r="AE1756" s="34"/>
      <c r="AF1756" s="34"/>
      <c r="AG1756" s="34"/>
      <c r="AH1756" s="34"/>
      <c r="AI1756" s="34"/>
      <c r="AJ1756" s="34"/>
      <c r="AK1756" s="34"/>
      <c r="AL1756" s="34"/>
      <c r="AM1756" s="34"/>
      <c r="AN1756" s="34"/>
      <c r="AO1756" s="34"/>
      <c r="AP1756" s="34"/>
      <c r="AQ1756" s="34"/>
      <c r="AR1756" s="34"/>
      <c r="AS1756" s="34"/>
      <c r="AT1756" s="34"/>
      <c r="AU1756" s="34"/>
      <c r="AV1756" s="34"/>
      <c r="AW1756" s="34"/>
      <c r="AX1756" s="34"/>
      <c r="AY1756" s="34"/>
      <c r="AZ1756" s="34"/>
      <c r="BA1756" s="34"/>
      <c r="BB1756" s="34"/>
      <c r="BC1756" s="34"/>
      <c r="BD1756" s="34"/>
      <c r="BE1756" s="34"/>
      <c r="BF1756" s="34"/>
      <c r="BG1756" s="34"/>
      <c r="BH1756" s="34"/>
      <c r="BI1756" s="34"/>
      <c r="BJ1756" s="34"/>
      <c r="BK1756" s="34"/>
      <c r="BL1756" s="34"/>
      <c r="BM1756" s="34"/>
      <c r="BN1756" s="34"/>
      <c r="BO1756" s="34"/>
      <c r="BP1756" s="34"/>
      <c r="BQ1756" s="34"/>
      <c r="BR1756" s="34"/>
      <c r="BS1756" s="34"/>
      <c r="BT1756" s="34"/>
      <c r="BU1756" s="34"/>
      <c r="BV1756" s="34"/>
      <c r="BW1756" s="34"/>
      <c r="BX1756" s="34"/>
      <c r="BY1756" s="34"/>
      <c r="BZ1756" s="34"/>
      <c r="CA1756" s="34"/>
      <c r="CB1756" s="34"/>
      <c r="CC1756" s="34"/>
      <c r="CD1756" s="34"/>
      <c r="CE1756" s="34"/>
      <c r="CF1756" s="34"/>
      <c r="CG1756" s="34"/>
      <c r="CH1756" s="34"/>
      <c r="CI1756" s="8"/>
    </row>
    <row r="1757" spans="1:87" x14ac:dyDescent="0.2">
      <c r="A1757" s="8" t="str">
        <f>IF(AND(COUNTIF(W$3:W$13,A$24)&gt;0,A$24&lt;&gt;B1562),A$24,IFERROR(IF(MATCH(A$24,Z$3:Z$13,0)=9,A$24," ")," "))</f>
        <v xml:space="preserve"> </v>
      </c>
      <c r="B1757" s="8" t="str">
        <f>IF(A1757=" "," ",MAX(B1748:B1756)+1)</f>
        <v xml:space="preserve"> </v>
      </c>
      <c r="C1757" s="8" t="str">
        <f>IFERROR(INDEX(A1748:A1769,MATCH(SMALL(B1748:B1769,10),B1748:B1769,0),1)," ")</f>
        <v>C21</v>
      </c>
      <c r="D1757" s="8">
        <f t="shared" si="7575"/>
        <v>0</v>
      </c>
      <c r="E1757" s="8">
        <f t="shared" si="7576"/>
        <v>0</v>
      </c>
      <c r="F1757" s="8">
        <f t="shared" si="7577"/>
        <v>0</v>
      </c>
      <c r="G1757" s="8">
        <f t="shared" si="7578"/>
        <v>0</v>
      </c>
      <c r="H1757" s="8">
        <f t="shared" si="7579"/>
        <v>0</v>
      </c>
      <c r="I1757" s="8">
        <f t="shared" si="7580"/>
        <v>0</v>
      </c>
      <c r="J1757" s="8">
        <f t="shared" si="7581"/>
        <v>0</v>
      </c>
      <c r="K1757" s="8">
        <f t="shared" si="7582"/>
        <v>0</v>
      </c>
      <c r="L1757" s="8">
        <f t="shared" si="7583"/>
        <v>0</v>
      </c>
      <c r="M1757" s="8">
        <f t="shared" si="7584"/>
        <v>1</v>
      </c>
      <c r="N1757" s="8">
        <f t="shared" si="7585"/>
        <v>0</v>
      </c>
      <c r="O1757" s="8">
        <f t="shared" si="7586"/>
        <v>0</v>
      </c>
      <c r="P1757" s="8" t="e">
        <v>#NUM!</v>
      </c>
      <c r="Q1757" s="8" t="e">
        <f t="shared" ref="Q1757" si="7617">IF(COUNTIF(P1748:P1758,"&lt;"&amp;-0.001)=0,IF(ABS(P1757)&lt;0.001,0,P1757)," ")</f>
        <v>#NUM!</v>
      </c>
      <c r="R1757" s="8"/>
      <c r="S1757" s="8"/>
      <c r="U1757" s="34"/>
      <c r="V1757" s="34"/>
      <c r="W1757" s="34"/>
      <c r="X1757" s="34"/>
      <c r="Y1757" s="34"/>
      <c r="Z1757" s="34"/>
      <c r="AA1757" s="34"/>
      <c r="AB1757" s="34"/>
      <c r="AC1757" s="34"/>
      <c r="AD1757" s="34"/>
      <c r="AE1757" s="34"/>
      <c r="AF1757" s="34"/>
      <c r="AG1757" s="34"/>
      <c r="AH1757" s="34"/>
      <c r="AI1757" s="34"/>
      <c r="AJ1757" s="34"/>
      <c r="AK1757" s="34"/>
      <c r="AL1757" s="34"/>
      <c r="AM1757" s="34"/>
      <c r="AN1757" s="34"/>
      <c r="AO1757" s="34"/>
      <c r="AP1757" s="34"/>
      <c r="AQ1757" s="34"/>
      <c r="AR1757" s="34"/>
      <c r="AS1757" s="34"/>
      <c r="AT1757" s="34"/>
      <c r="AU1757" s="34"/>
      <c r="AV1757" s="34"/>
      <c r="AW1757" s="34"/>
      <c r="AX1757" s="34"/>
      <c r="AY1757" s="34"/>
      <c r="AZ1757" s="34"/>
      <c r="BA1757" s="34"/>
      <c r="BB1757" s="34"/>
      <c r="BC1757" s="34"/>
      <c r="BD1757" s="34"/>
      <c r="BE1757" s="34"/>
      <c r="BF1757" s="34"/>
      <c r="BG1757" s="34"/>
      <c r="BH1757" s="34"/>
      <c r="BI1757" s="34"/>
      <c r="BJ1757" s="34"/>
      <c r="BK1757" s="34"/>
      <c r="BL1757" s="34"/>
      <c r="BM1757" s="34"/>
      <c r="BN1757" s="34"/>
      <c r="BO1757" s="34"/>
      <c r="BP1757" s="34"/>
      <c r="BQ1757" s="34"/>
      <c r="BR1757" s="34"/>
      <c r="BS1757" s="34"/>
      <c r="BT1757" s="34"/>
      <c r="BU1757" s="34"/>
      <c r="BV1757" s="34"/>
      <c r="BW1757" s="34"/>
      <c r="BX1757" s="34"/>
      <c r="BY1757" s="34"/>
      <c r="BZ1757" s="34"/>
      <c r="CA1757" s="34"/>
      <c r="CB1757" s="34"/>
      <c r="CC1757" s="34"/>
      <c r="CD1757" s="34"/>
      <c r="CE1757" s="34"/>
      <c r="CF1757" s="34"/>
      <c r="CG1757" s="34"/>
      <c r="CH1757" s="34"/>
      <c r="CI1757" s="8"/>
    </row>
    <row r="1758" spans="1:87" x14ac:dyDescent="0.2">
      <c r="A1758" s="8" t="str">
        <f>IF(AND(COUNTIF(W$3:W$13,A$25)&gt;0,A$25&lt;&gt;B1562),A$25,IFERROR(IF(MATCH(A$25,Z$3:Z$13,0)=9,A$25," ")," "))</f>
        <v>C11</v>
      </c>
      <c r="B1758" s="8">
        <f>IF(A1758=" "," ",MAX(B1748:B1757)+1)</f>
        <v>3</v>
      </c>
      <c r="C1758" s="8" t="str">
        <f>IFERROR(INDEX(A1748:A1769,MATCH(SMALL(B1748:B1769,11),B1748:B1769,0),1)," ")</f>
        <v>C22</v>
      </c>
      <c r="D1758" s="8">
        <f t="shared" si="7575"/>
        <v>0</v>
      </c>
      <c r="E1758" s="8">
        <f t="shared" si="7576"/>
        <v>0</v>
      </c>
      <c r="F1758" s="8">
        <f t="shared" si="7577"/>
        <v>0</v>
      </c>
      <c r="G1758" s="8">
        <f t="shared" si="7578"/>
        <v>0</v>
      </c>
      <c r="H1758" s="8">
        <f t="shared" si="7579"/>
        <v>0</v>
      </c>
      <c r="I1758" s="8">
        <f t="shared" si="7580"/>
        <v>0</v>
      </c>
      <c r="J1758" s="8">
        <f t="shared" si="7581"/>
        <v>0</v>
      </c>
      <c r="K1758" s="8">
        <f t="shared" si="7582"/>
        <v>0</v>
      </c>
      <c r="L1758" s="8">
        <f t="shared" si="7583"/>
        <v>0</v>
      </c>
      <c r="M1758" s="8">
        <f t="shared" si="7584"/>
        <v>0</v>
      </c>
      <c r="N1758" s="8">
        <f t="shared" si="7585"/>
        <v>1</v>
      </c>
      <c r="O1758" s="8">
        <f t="shared" si="7586"/>
        <v>0</v>
      </c>
      <c r="P1758" s="8" t="e">
        <v>#NUM!</v>
      </c>
      <c r="Q1758" s="8" t="e">
        <f t="shared" ref="Q1758" si="7618">IF(COUNTIF(P1748:P1758,"&lt;"&amp;-0.001)=0,IF(ABS(P1758)&lt;0.001,0,P1758)," ")</f>
        <v>#NUM!</v>
      </c>
      <c r="R1758" s="8"/>
      <c r="S1758" s="8"/>
      <c r="U1758" s="34"/>
      <c r="V1758" s="34"/>
      <c r="W1758" s="34"/>
      <c r="X1758" s="34"/>
      <c r="Y1758" s="34"/>
      <c r="Z1758" s="34"/>
      <c r="AA1758" s="34"/>
      <c r="AB1758" s="34"/>
      <c r="AC1758" s="34"/>
      <c r="AD1758" s="34"/>
      <c r="AE1758" s="34"/>
      <c r="AF1758" s="34"/>
      <c r="AG1758" s="34"/>
      <c r="AH1758" s="34"/>
      <c r="AI1758" s="34"/>
      <c r="AJ1758" s="34"/>
      <c r="AK1758" s="34"/>
      <c r="AL1758" s="34"/>
      <c r="AM1758" s="34"/>
      <c r="AN1758" s="34"/>
      <c r="AO1758" s="34"/>
      <c r="AP1758" s="34"/>
      <c r="AQ1758" s="34"/>
      <c r="AR1758" s="34"/>
      <c r="AS1758" s="34"/>
      <c r="AT1758" s="34"/>
      <c r="AU1758" s="34"/>
      <c r="AV1758" s="34"/>
      <c r="AW1758" s="34"/>
      <c r="AX1758" s="34"/>
      <c r="AY1758" s="34"/>
      <c r="AZ1758" s="34"/>
      <c r="BA1758" s="34"/>
      <c r="BB1758" s="34"/>
      <c r="BC1758" s="34"/>
      <c r="BD1758" s="34"/>
      <c r="BE1758" s="34"/>
      <c r="BF1758" s="34"/>
      <c r="BG1758" s="34"/>
      <c r="BH1758" s="34"/>
      <c r="BI1758" s="34"/>
      <c r="BJ1758" s="34"/>
      <c r="BK1758" s="34"/>
      <c r="BL1758" s="34"/>
      <c r="BM1758" s="34"/>
      <c r="BN1758" s="34"/>
      <c r="BO1758" s="34"/>
      <c r="BP1758" s="34"/>
      <c r="BQ1758" s="34"/>
      <c r="BR1758" s="34"/>
      <c r="BS1758" s="34"/>
      <c r="BT1758" s="34"/>
      <c r="BU1758" s="34"/>
      <c r="BV1758" s="34"/>
      <c r="BW1758" s="34"/>
      <c r="BX1758" s="34"/>
      <c r="BY1758" s="34"/>
      <c r="BZ1758" s="34"/>
      <c r="CA1758" s="34"/>
      <c r="CB1758" s="34"/>
      <c r="CC1758" s="34"/>
      <c r="CD1758" s="34"/>
      <c r="CE1758" s="34"/>
      <c r="CF1758" s="34"/>
      <c r="CG1758" s="34"/>
      <c r="CH1758" s="34"/>
      <c r="CI1758" s="8"/>
    </row>
    <row r="1759" spans="1:87" x14ac:dyDescent="0.2">
      <c r="A1759" s="8" t="str">
        <f>IF(AND(COUNTIF(W$3:W$13,A$26)&gt;0,A$26&lt;&gt;B1562),A$26,IFERROR(IF(MATCH(A$26,Z$3:Z$13,0)=9,A$26," ")," "))</f>
        <v xml:space="preserve"> </v>
      </c>
      <c r="B1759" s="8" t="str">
        <f>IF(A1759=" "," ",MAX(B1748:B1758)+1)</f>
        <v xml:space="preserve"> </v>
      </c>
      <c r="C1759" s="8"/>
      <c r="D1759" s="8"/>
      <c r="E1759" s="8"/>
      <c r="F1759" s="8"/>
      <c r="G1759" s="8"/>
      <c r="H1759" s="8"/>
      <c r="I1759" s="8"/>
      <c r="J1759" s="8"/>
      <c r="K1759" s="8"/>
      <c r="L1759" s="8"/>
      <c r="M1759" s="8"/>
      <c r="N1759" s="8"/>
      <c r="O1759" s="8"/>
      <c r="P1759" s="8"/>
      <c r="Q1759" s="8"/>
      <c r="R1759" s="8"/>
      <c r="S1759" s="8"/>
      <c r="U1759" s="34"/>
      <c r="V1759" s="34"/>
      <c r="W1759" s="34"/>
      <c r="X1759" s="34"/>
      <c r="Y1759" s="34"/>
      <c r="Z1759" s="34"/>
      <c r="AA1759" s="34"/>
      <c r="AB1759" s="34"/>
      <c r="AC1759" s="34"/>
      <c r="AD1759" s="34"/>
      <c r="AE1759" s="34"/>
      <c r="AF1759" s="34"/>
      <c r="AG1759" s="34"/>
      <c r="AH1759" s="34"/>
      <c r="AI1759" s="34"/>
      <c r="AJ1759" s="34"/>
      <c r="AK1759" s="34"/>
      <c r="AL1759" s="34"/>
      <c r="AM1759" s="34"/>
      <c r="AN1759" s="34"/>
      <c r="AO1759" s="34"/>
      <c r="AP1759" s="34"/>
      <c r="AQ1759" s="34"/>
      <c r="AR1759" s="34"/>
      <c r="AS1759" s="34"/>
      <c r="AT1759" s="34"/>
      <c r="AU1759" s="34"/>
      <c r="AV1759" s="34"/>
      <c r="AW1759" s="34"/>
      <c r="AX1759" s="34"/>
      <c r="AY1759" s="34"/>
      <c r="AZ1759" s="34"/>
      <c r="BA1759" s="34"/>
      <c r="BB1759" s="34"/>
      <c r="BC1759" s="34"/>
      <c r="BD1759" s="34"/>
      <c r="BE1759" s="34"/>
      <c r="BF1759" s="34"/>
      <c r="BG1759" s="34"/>
      <c r="BH1759" s="34"/>
      <c r="BI1759" s="34"/>
      <c r="BJ1759" s="34"/>
      <c r="BK1759" s="34"/>
      <c r="BL1759" s="34"/>
      <c r="BM1759" s="34"/>
      <c r="BN1759" s="34"/>
      <c r="BO1759" s="34"/>
      <c r="BP1759" s="34"/>
      <c r="BQ1759" s="34"/>
      <c r="BR1759" s="34"/>
      <c r="BS1759" s="34"/>
      <c r="BT1759" s="34"/>
      <c r="BU1759" s="34"/>
      <c r="BV1759" s="34"/>
      <c r="BW1759" s="34"/>
      <c r="BX1759" s="34"/>
      <c r="BY1759" s="34"/>
      <c r="BZ1759" s="34"/>
      <c r="CA1759" s="34"/>
      <c r="CB1759" s="34"/>
      <c r="CC1759" s="34"/>
      <c r="CD1759" s="34"/>
      <c r="CE1759" s="34"/>
      <c r="CF1759" s="34"/>
      <c r="CG1759" s="34"/>
      <c r="CH1759" s="34"/>
      <c r="CI1759" s="8"/>
    </row>
    <row r="1760" spans="1:87" x14ac:dyDescent="0.2">
      <c r="A1760" s="8" t="str">
        <f>IF(AND(COUNTIF(W$3:W$13,A$27)&gt;0,A$27&lt;&gt;B1562),A$27,IFERROR(IF(MATCH(A$27,Z$3:Z$13,0)=9,A$27," ")," "))</f>
        <v>C13</v>
      </c>
      <c r="B1760" s="8">
        <f>IF(A1760=" "," ",MAX(B1748:B1759)+1)</f>
        <v>4</v>
      </c>
      <c r="C1760" s="8"/>
      <c r="D1760" s="8"/>
      <c r="E1760" s="8"/>
      <c r="F1760" s="8"/>
      <c r="G1760" s="8"/>
      <c r="H1760" s="8"/>
      <c r="I1760" s="8"/>
      <c r="J1760" s="8"/>
      <c r="K1760" s="8"/>
      <c r="L1760" s="8"/>
      <c r="M1760" s="8"/>
      <c r="N1760" s="8"/>
      <c r="O1760" s="8"/>
      <c r="P1760" s="8"/>
      <c r="Q1760" s="8"/>
      <c r="R1760" s="8"/>
      <c r="S1760" s="8"/>
      <c r="U1760" s="34"/>
      <c r="V1760" s="34"/>
      <c r="W1760" s="34"/>
      <c r="X1760" s="34"/>
      <c r="Y1760" s="34"/>
      <c r="Z1760" s="34"/>
      <c r="AA1760" s="34"/>
      <c r="AB1760" s="34"/>
      <c r="AC1760" s="34"/>
      <c r="AD1760" s="34"/>
      <c r="AE1760" s="34"/>
      <c r="AF1760" s="34"/>
      <c r="AG1760" s="34"/>
      <c r="AH1760" s="34"/>
      <c r="AI1760" s="34"/>
      <c r="AJ1760" s="34"/>
      <c r="AK1760" s="34"/>
      <c r="AL1760" s="34"/>
      <c r="AM1760" s="34"/>
      <c r="AN1760" s="34"/>
      <c r="AO1760" s="34"/>
      <c r="AP1760" s="34"/>
      <c r="AQ1760" s="34"/>
      <c r="AR1760" s="34"/>
      <c r="AS1760" s="34"/>
      <c r="AT1760" s="34"/>
      <c r="AU1760" s="34"/>
      <c r="AV1760" s="34"/>
      <c r="AW1760" s="34"/>
      <c r="AX1760" s="34"/>
      <c r="AY1760" s="34"/>
      <c r="AZ1760" s="34"/>
      <c r="BA1760" s="34"/>
      <c r="BB1760" s="34"/>
      <c r="BC1760" s="34"/>
      <c r="BD1760" s="34"/>
      <c r="BE1760" s="34"/>
      <c r="BF1760" s="34"/>
      <c r="BG1760" s="34"/>
      <c r="BH1760" s="34"/>
      <c r="BI1760" s="34"/>
      <c r="BJ1760" s="34"/>
      <c r="BK1760" s="34"/>
      <c r="BL1760" s="34"/>
      <c r="BM1760" s="34"/>
      <c r="BN1760" s="34"/>
      <c r="BO1760" s="34"/>
      <c r="BP1760" s="34"/>
      <c r="BQ1760" s="34"/>
      <c r="BR1760" s="34"/>
      <c r="BS1760" s="34"/>
      <c r="BT1760" s="34"/>
      <c r="BU1760" s="34"/>
      <c r="BV1760" s="34"/>
      <c r="BW1760" s="34"/>
      <c r="BX1760" s="34"/>
      <c r="BY1760" s="34"/>
      <c r="BZ1760" s="34"/>
      <c r="CA1760" s="34"/>
      <c r="CB1760" s="34"/>
      <c r="CC1760" s="34"/>
      <c r="CD1760" s="34"/>
      <c r="CE1760" s="34"/>
      <c r="CF1760" s="34"/>
      <c r="CG1760" s="34"/>
      <c r="CH1760" s="34"/>
      <c r="CI1760" s="8"/>
    </row>
    <row r="1761" spans="1:87" x14ac:dyDescent="0.2">
      <c r="A1761" s="8" t="str">
        <f>IF(AND(COUNTIF(W$3:W$13,A$28)&gt;0,A$28&lt;&gt;B1562),A$28,IFERROR(IF(MATCH(A$28,Z$3:Z$13,0)=9,A$28," ")," "))</f>
        <v xml:space="preserve"> </v>
      </c>
      <c r="B1761" s="8" t="str">
        <f>IF(A1761=" "," ",MAX(B1748:B1760)+1)</f>
        <v xml:space="preserve"> </v>
      </c>
      <c r="C1761" s="8"/>
      <c r="D1761" s="8"/>
      <c r="E1761" s="8"/>
      <c r="F1761" s="8"/>
      <c r="G1761" s="8"/>
      <c r="H1761" s="8"/>
      <c r="I1761" s="8"/>
      <c r="J1761" s="8"/>
      <c r="K1761" s="8"/>
      <c r="L1761" s="8"/>
      <c r="M1761" s="8"/>
      <c r="N1761" s="8"/>
      <c r="O1761" s="8"/>
      <c r="P1761" s="8"/>
      <c r="Q1761" s="8"/>
      <c r="R1761" s="8"/>
      <c r="S1761" s="8"/>
      <c r="U1761" s="34"/>
      <c r="V1761" s="34"/>
      <c r="W1761" s="34"/>
      <c r="X1761" s="34"/>
      <c r="Y1761" s="34"/>
      <c r="Z1761" s="34"/>
      <c r="AA1761" s="34"/>
      <c r="AB1761" s="34"/>
      <c r="AC1761" s="34"/>
      <c r="AD1761" s="34"/>
      <c r="AE1761" s="34"/>
      <c r="AF1761" s="34"/>
      <c r="AG1761" s="34"/>
      <c r="AH1761" s="34"/>
      <c r="AI1761" s="34"/>
      <c r="AJ1761" s="34"/>
      <c r="AK1761" s="34"/>
      <c r="AL1761" s="34"/>
      <c r="AM1761" s="34"/>
      <c r="AN1761" s="34"/>
      <c r="AO1761" s="34"/>
      <c r="AP1761" s="34"/>
      <c r="AQ1761" s="34"/>
      <c r="AR1761" s="34"/>
      <c r="AS1761" s="34"/>
      <c r="AT1761" s="34"/>
      <c r="AU1761" s="34"/>
      <c r="AV1761" s="34"/>
      <c r="AW1761" s="34"/>
      <c r="AX1761" s="34"/>
      <c r="AY1761" s="34"/>
      <c r="AZ1761" s="34"/>
      <c r="BA1761" s="34"/>
      <c r="BB1761" s="34"/>
      <c r="BC1761" s="34"/>
      <c r="BD1761" s="34"/>
      <c r="BE1761" s="34"/>
      <c r="BF1761" s="34"/>
      <c r="BG1761" s="34"/>
      <c r="BH1761" s="34"/>
      <c r="BI1761" s="34"/>
      <c r="BJ1761" s="34"/>
      <c r="BK1761" s="34"/>
      <c r="BL1761" s="34"/>
      <c r="BM1761" s="34"/>
      <c r="BN1761" s="34"/>
      <c r="BO1761" s="34"/>
      <c r="BP1761" s="34"/>
      <c r="BQ1761" s="34"/>
      <c r="BR1761" s="34"/>
      <c r="BS1761" s="34"/>
      <c r="BT1761" s="34"/>
      <c r="BU1761" s="34"/>
      <c r="BV1761" s="34"/>
      <c r="BW1761" s="34"/>
      <c r="BX1761" s="34"/>
      <c r="BY1761" s="34"/>
      <c r="BZ1761" s="34"/>
      <c r="CA1761" s="34"/>
      <c r="CB1761" s="34"/>
      <c r="CC1761" s="34"/>
      <c r="CD1761" s="34"/>
      <c r="CE1761" s="34"/>
      <c r="CF1761" s="34"/>
      <c r="CG1761" s="34"/>
      <c r="CH1761" s="34"/>
      <c r="CI1761" s="8"/>
    </row>
    <row r="1762" spans="1:87" x14ac:dyDescent="0.2">
      <c r="A1762" s="8" t="str">
        <f>IF(AND(COUNTIF(W$3:W$13,A$29)&gt;0,A$29&lt;&gt;B1562),A$29,IFERROR(IF(MATCH(A$29,Z$3:Z$13,0)=9,A$29," ")," "))</f>
        <v>C15</v>
      </c>
      <c r="B1762" s="8">
        <f>IF(A1762=" "," ",MAX(B1748:B1761)+1)</f>
        <v>5</v>
      </c>
      <c r="C1762" s="8"/>
      <c r="D1762" s="8"/>
      <c r="E1762" s="8"/>
      <c r="F1762" s="8"/>
      <c r="G1762" s="8"/>
      <c r="H1762" s="8"/>
      <c r="I1762" s="8"/>
      <c r="J1762" s="8"/>
      <c r="K1762" s="8"/>
      <c r="L1762" s="8"/>
      <c r="M1762" s="8"/>
      <c r="N1762" s="8"/>
      <c r="O1762" s="8"/>
      <c r="P1762" s="8"/>
      <c r="Q1762" s="8"/>
      <c r="R1762" s="8"/>
      <c r="S1762" s="8"/>
      <c r="U1762" s="34"/>
      <c r="V1762" s="34"/>
      <c r="W1762" s="34"/>
      <c r="X1762" s="34"/>
      <c r="Y1762" s="34"/>
      <c r="Z1762" s="34"/>
      <c r="AA1762" s="34"/>
      <c r="AB1762" s="34"/>
      <c r="AC1762" s="34"/>
      <c r="AD1762" s="34"/>
      <c r="AE1762" s="34"/>
      <c r="AF1762" s="34"/>
      <c r="AG1762" s="34"/>
      <c r="AH1762" s="34"/>
      <c r="AI1762" s="34"/>
      <c r="AJ1762" s="34"/>
      <c r="AK1762" s="34"/>
      <c r="AL1762" s="34"/>
      <c r="AM1762" s="34"/>
      <c r="AN1762" s="34"/>
      <c r="AO1762" s="34"/>
      <c r="AP1762" s="34"/>
      <c r="AQ1762" s="34"/>
      <c r="AR1762" s="34"/>
      <c r="AS1762" s="34"/>
      <c r="AT1762" s="34"/>
      <c r="AU1762" s="34"/>
      <c r="AV1762" s="34"/>
      <c r="AW1762" s="34"/>
      <c r="AX1762" s="34"/>
      <c r="AY1762" s="34"/>
      <c r="AZ1762" s="34"/>
      <c r="BA1762" s="34"/>
      <c r="BB1762" s="34"/>
      <c r="BC1762" s="34"/>
      <c r="BD1762" s="34"/>
      <c r="BE1762" s="34"/>
      <c r="BF1762" s="34"/>
      <c r="BG1762" s="34"/>
      <c r="BH1762" s="34"/>
      <c r="BI1762" s="34"/>
      <c r="BJ1762" s="34"/>
      <c r="BK1762" s="34"/>
      <c r="BL1762" s="34"/>
      <c r="BM1762" s="34"/>
      <c r="BN1762" s="34"/>
      <c r="BO1762" s="34"/>
      <c r="BP1762" s="34"/>
      <c r="BQ1762" s="34"/>
      <c r="BR1762" s="34"/>
      <c r="BS1762" s="34"/>
      <c r="BT1762" s="34"/>
      <c r="BU1762" s="34"/>
      <c r="BV1762" s="34"/>
      <c r="BW1762" s="34"/>
      <c r="BX1762" s="34"/>
      <c r="BY1762" s="34"/>
      <c r="BZ1762" s="34"/>
      <c r="CA1762" s="34"/>
      <c r="CB1762" s="34"/>
      <c r="CC1762" s="34"/>
      <c r="CD1762" s="34"/>
      <c r="CE1762" s="34"/>
      <c r="CF1762" s="34"/>
      <c r="CG1762" s="34"/>
      <c r="CH1762" s="34"/>
      <c r="CI1762" s="8"/>
    </row>
    <row r="1763" spans="1:87" x14ac:dyDescent="0.2">
      <c r="A1763" s="8" t="str">
        <f>IF(AND(COUNTIF(W$3:W$13,A$30)&gt;0,A$30&lt;&gt;B1562),A$30,IFERROR(IF(MATCH(A$30,Z$3:Z$13,0)=9,A$30," ")," "))</f>
        <v>C16</v>
      </c>
      <c r="B1763" s="8">
        <f>IF(A1763=" "," ",MAX(B1748:B1762)+1)</f>
        <v>6</v>
      </c>
      <c r="C1763" s="8"/>
      <c r="D1763" s="8"/>
      <c r="E1763" s="8"/>
      <c r="F1763" s="8"/>
      <c r="G1763" s="8"/>
      <c r="H1763" s="8"/>
      <c r="I1763" s="8"/>
      <c r="J1763" s="8"/>
      <c r="K1763" s="8"/>
      <c r="L1763" s="8"/>
      <c r="M1763" s="8"/>
      <c r="N1763" s="8"/>
      <c r="O1763" s="8"/>
      <c r="P1763" s="8"/>
      <c r="Q1763" s="8"/>
      <c r="R1763" s="8"/>
      <c r="S1763" s="8"/>
      <c r="U1763" s="34"/>
      <c r="V1763" s="34"/>
      <c r="W1763" s="34"/>
      <c r="X1763" s="34"/>
      <c r="Y1763" s="34"/>
      <c r="Z1763" s="34"/>
      <c r="AA1763" s="34"/>
      <c r="AB1763" s="34"/>
      <c r="AC1763" s="34"/>
      <c r="AD1763" s="34"/>
      <c r="AE1763" s="34"/>
      <c r="AF1763" s="34"/>
      <c r="AG1763" s="34"/>
      <c r="AH1763" s="34"/>
      <c r="AI1763" s="34"/>
      <c r="AJ1763" s="34"/>
      <c r="AK1763" s="34"/>
      <c r="AL1763" s="34"/>
      <c r="AM1763" s="34"/>
      <c r="AN1763" s="34"/>
      <c r="AO1763" s="34"/>
      <c r="AP1763" s="34"/>
      <c r="AQ1763" s="34"/>
      <c r="AR1763" s="34"/>
      <c r="AS1763" s="34"/>
      <c r="AT1763" s="34"/>
      <c r="AU1763" s="34"/>
      <c r="AV1763" s="34"/>
      <c r="AW1763" s="34"/>
      <c r="AX1763" s="34"/>
      <c r="AY1763" s="34"/>
      <c r="AZ1763" s="34"/>
      <c r="BA1763" s="34"/>
      <c r="BB1763" s="34"/>
      <c r="BC1763" s="34"/>
      <c r="BD1763" s="34"/>
      <c r="BE1763" s="34"/>
      <c r="BF1763" s="34"/>
      <c r="BG1763" s="34"/>
      <c r="BH1763" s="34"/>
      <c r="BI1763" s="34"/>
      <c r="BJ1763" s="34"/>
      <c r="BK1763" s="34"/>
      <c r="BL1763" s="34"/>
      <c r="BM1763" s="34"/>
      <c r="BN1763" s="34"/>
      <c r="BO1763" s="34"/>
      <c r="BP1763" s="34"/>
      <c r="BQ1763" s="34"/>
      <c r="BR1763" s="34"/>
      <c r="BS1763" s="34"/>
      <c r="BT1763" s="34"/>
      <c r="BU1763" s="34"/>
      <c r="BV1763" s="34"/>
      <c r="BW1763" s="34"/>
      <c r="BX1763" s="34"/>
      <c r="BY1763" s="34"/>
      <c r="BZ1763" s="34"/>
      <c r="CA1763" s="34"/>
      <c r="CB1763" s="34"/>
      <c r="CC1763" s="34"/>
      <c r="CD1763" s="34"/>
      <c r="CE1763" s="34"/>
      <c r="CF1763" s="34"/>
      <c r="CG1763" s="34"/>
      <c r="CH1763" s="34"/>
      <c r="CI1763" s="8"/>
    </row>
    <row r="1764" spans="1:87" x14ac:dyDescent="0.2">
      <c r="A1764" s="8" t="str">
        <f>IF(AND(COUNTIF(W$3:W$13,A$31)&gt;0,A$31&lt;&gt;B1562),A$31,IFERROR(IF(MATCH(A$31,Z$3:Z$13,0)=9,A$31," ")," "))</f>
        <v>C17</v>
      </c>
      <c r="B1764" s="8">
        <f>IF(A1764=" "," ",MAX(B1748:B1763)+1)</f>
        <v>7</v>
      </c>
      <c r="C1764" s="8"/>
      <c r="D1764" s="8"/>
      <c r="E1764" s="8"/>
      <c r="F1764" s="8"/>
      <c r="G1764" s="8"/>
      <c r="H1764" s="8"/>
      <c r="I1764" s="8"/>
      <c r="J1764" s="8"/>
      <c r="K1764" s="8"/>
      <c r="L1764" s="8"/>
      <c r="M1764" s="8"/>
      <c r="N1764" s="8"/>
      <c r="O1764" s="8"/>
      <c r="P1764" s="8"/>
      <c r="Q1764" s="8"/>
      <c r="R1764" s="8"/>
      <c r="S1764" s="8"/>
      <c r="U1764" s="34"/>
      <c r="V1764" s="34"/>
      <c r="W1764" s="34"/>
      <c r="X1764" s="34"/>
      <c r="Y1764" s="34"/>
      <c r="Z1764" s="34"/>
      <c r="AA1764" s="34"/>
      <c r="AB1764" s="34"/>
      <c r="AC1764" s="34"/>
      <c r="AD1764" s="34"/>
      <c r="AE1764" s="34"/>
      <c r="AF1764" s="34"/>
      <c r="AG1764" s="34"/>
      <c r="AH1764" s="34"/>
      <c r="AI1764" s="34"/>
      <c r="AJ1764" s="34"/>
      <c r="AK1764" s="34"/>
      <c r="AL1764" s="34"/>
      <c r="AM1764" s="34"/>
      <c r="AN1764" s="34"/>
      <c r="AO1764" s="34"/>
      <c r="AP1764" s="34"/>
      <c r="AQ1764" s="34"/>
      <c r="AR1764" s="34"/>
      <c r="AS1764" s="34"/>
      <c r="AT1764" s="34"/>
      <c r="AU1764" s="34"/>
      <c r="AV1764" s="34"/>
      <c r="AW1764" s="34"/>
      <c r="AX1764" s="34"/>
      <c r="AY1764" s="34"/>
      <c r="AZ1764" s="34"/>
      <c r="BA1764" s="34"/>
      <c r="BB1764" s="34"/>
      <c r="BC1764" s="34"/>
      <c r="BD1764" s="34"/>
      <c r="BE1764" s="34"/>
      <c r="BF1764" s="34"/>
      <c r="BG1764" s="34"/>
      <c r="BH1764" s="34"/>
      <c r="BI1764" s="34"/>
      <c r="BJ1764" s="34"/>
      <c r="BK1764" s="34"/>
      <c r="BL1764" s="34"/>
      <c r="BM1764" s="34"/>
      <c r="BN1764" s="34"/>
      <c r="BO1764" s="34"/>
      <c r="BP1764" s="34"/>
      <c r="BQ1764" s="34"/>
      <c r="BR1764" s="34"/>
      <c r="BS1764" s="34"/>
      <c r="BT1764" s="34"/>
      <c r="BU1764" s="34"/>
      <c r="BV1764" s="34"/>
      <c r="BW1764" s="34"/>
      <c r="BX1764" s="34"/>
      <c r="BY1764" s="34"/>
      <c r="BZ1764" s="34"/>
      <c r="CA1764" s="34"/>
      <c r="CB1764" s="34"/>
      <c r="CC1764" s="34"/>
      <c r="CD1764" s="34"/>
      <c r="CE1764" s="34"/>
      <c r="CF1764" s="34"/>
      <c r="CG1764" s="34"/>
      <c r="CH1764" s="34"/>
      <c r="CI1764" s="8"/>
    </row>
    <row r="1765" spans="1:87" x14ac:dyDescent="0.2">
      <c r="A1765" s="8" t="str">
        <f>IF(AND(COUNTIF(W$3:W$13,A$32)&gt;0,A$32&lt;&gt;B1562),A$32,IFERROR(IF(MATCH(A$32,Z$3:Z$13,0)=9,A$32," ")," "))</f>
        <v xml:space="preserve"> </v>
      </c>
      <c r="B1765" s="8" t="str">
        <f>IF(A1765=" "," ",MAX(B1748:B1764)+1)</f>
        <v xml:space="preserve"> </v>
      </c>
      <c r="C1765" s="8"/>
      <c r="D1765" s="8"/>
      <c r="E1765" s="8"/>
      <c r="F1765" s="8"/>
      <c r="G1765" s="8"/>
      <c r="H1765" s="8"/>
      <c r="I1765" s="8"/>
      <c r="J1765" s="8"/>
      <c r="K1765" s="8"/>
      <c r="L1765" s="8"/>
      <c r="M1765" s="8"/>
      <c r="N1765" s="8"/>
      <c r="O1765" s="8"/>
      <c r="P1765" s="8"/>
      <c r="Q1765" s="8"/>
      <c r="R1765" s="8"/>
      <c r="S1765" s="8"/>
      <c r="U1765" s="34"/>
      <c r="V1765" s="34"/>
      <c r="W1765" s="34"/>
      <c r="X1765" s="34"/>
      <c r="Y1765" s="34"/>
      <c r="Z1765" s="34"/>
      <c r="AA1765" s="34"/>
      <c r="AB1765" s="34"/>
      <c r="AC1765" s="34"/>
      <c r="AD1765" s="34"/>
      <c r="AE1765" s="34"/>
      <c r="AF1765" s="34"/>
      <c r="AG1765" s="34"/>
      <c r="AH1765" s="34"/>
      <c r="AI1765" s="34"/>
      <c r="AJ1765" s="34"/>
      <c r="AK1765" s="34"/>
      <c r="AL1765" s="34"/>
      <c r="AM1765" s="34"/>
      <c r="AN1765" s="34"/>
      <c r="AO1765" s="34"/>
      <c r="AP1765" s="34"/>
      <c r="AQ1765" s="34"/>
      <c r="AR1765" s="34"/>
      <c r="AS1765" s="34"/>
      <c r="AT1765" s="34"/>
      <c r="AU1765" s="34"/>
      <c r="AV1765" s="34"/>
      <c r="AW1765" s="34"/>
      <c r="AX1765" s="34"/>
      <c r="AY1765" s="34"/>
      <c r="AZ1765" s="34"/>
      <c r="BA1765" s="34"/>
      <c r="BB1765" s="34"/>
      <c r="BC1765" s="34"/>
      <c r="BD1765" s="34"/>
      <c r="BE1765" s="34"/>
      <c r="BF1765" s="34"/>
      <c r="BG1765" s="34"/>
      <c r="BH1765" s="34"/>
      <c r="BI1765" s="34"/>
      <c r="BJ1765" s="34"/>
      <c r="BK1765" s="34"/>
      <c r="BL1765" s="34"/>
      <c r="BM1765" s="34"/>
      <c r="BN1765" s="34"/>
      <c r="BO1765" s="34"/>
      <c r="BP1765" s="34"/>
      <c r="BQ1765" s="34"/>
      <c r="BR1765" s="34"/>
      <c r="BS1765" s="34"/>
      <c r="BT1765" s="34"/>
      <c r="BU1765" s="34"/>
      <c r="BV1765" s="34"/>
      <c r="BW1765" s="34"/>
      <c r="BX1765" s="34"/>
      <c r="BY1765" s="34"/>
      <c r="BZ1765" s="34"/>
      <c r="CA1765" s="34"/>
      <c r="CB1765" s="34"/>
      <c r="CC1765" s="34"/>
      <c r="CD1765" s="34"/>
      <c r="CE1765" s="34"/>
      <c r="CF1765" s="34"/>
      <c r="CG1765" s="34"/>
      <c r="CH1765" s="34"/>
      <c r="CI1765" s="8"/>
    </row>
    <row r="1766" spans="1:87" x14ac:dyDescent="0.2">
      <c r="A1766" s="8" t="str">
        <f>IF(AND(COUNTIF(W$3:W$13,A$33)&gt;0,A$33&lt;&gt;B1562),A$33,IFERROR(IF(MATCH(A$33,Z$3:Z$13,0)=9,A$33," ")," "))</f>
        <v>C19</v>
      </c>
      <c r="B1766" s="8">
        <f>IF(A1766=" "," ",MAX(B1748:B1765)+1)</f>
        <v>8</v>
      </c>
      <c r="C1766" s="8"/>
      <c r="D1766" s="8"/>
      <c r="E1766" s="8"/>
      <c r="F1766" s="8"/>
      <c r="G1766" s="8"/>
      <c r="H1766" s="8"/>
      <c r="I1766" s="8"/>
      <c r="J1766" s="8"/>
      <c r="K1766" s="8"/>
      <c r="L1766" s="8"/>
      <c r="M1766" s="8"/>
      <c r="N1766" s="8"/>
      <c r="O1766" s="8"/>
      <c r="P1766" s="8"/>
      <c r="Q1766" s="8"/>
      <c r="R1766" s="8"/>
      <c r="S1766" s="8"/>
      <c r="U1766" s="34"/>
      <c r="V1766" s="34"/>
      <c r="W1766" s="34"/>
      <c r="X1766" s="34"/>
      <c r="Y1766" s="34"/>
      <c r="Z1766" s="34"/>
      <c r="AA1766" s="34"/>
      <c r="AB1766" s="34"/>
      <c r="AC1766" s="34"/>
      <c r="AD1766" s="34"/>
      <c r="AE1766" s="34"/>
      <c r="AF1766" s="34"/>
      <c r="AG1766" s="34"/>
      <c r="AH1766" s="34"/>
      <c r="AI1766" s="34"/>
      <c r="AJ1766" s="34"/>
      <c r="AK1766" s="34"/>
      <c r="AL1766" s="34"/>
      <c r="AM1766" s="34"/>
      <c r="AN1766" s="34"/>
      <c r="AO1766" s="34"/>
      <c r="AP1766" s="34"/>
      <c r="AQ1766" s="34"/>
      <c r="AR1766" s="34"/>
      <c r="AS1766" s="34"/>
      <c r="AT1766" s="34"/>
      <c r="AU1766" s="34"/>
      <c r="AV1766" s="34"/>
      <c r="AW1766" s="34"/>
      <c r="AX1766" s="34"/>
      <c r="AY1766" s="34"/>
      <c r="AZ1766" s="34"/>
      <c r="BA1766" s="34"/>
      <c r="BB1766" s="34"/>
      <c r="BC1766" s="34"/>
      <c r="BD1766" s="34"/>
      <c r="BE1766" s="34"/>
      <c r="BF1766" s="34"/>
      <c r="BG1766" s="34"/>
      <c r="BH1766" s="34"/>
      <c r="BI1766" s="34"/>
      <c r="BJ1766" s="34"/>
      <c r="BK1766" s="34"/>
      <c r="BL1766" s="34"/>
      <c r="BM1766" s="34"/>
      <c r="BN1766" s="34"/>
      <c r="BO1766" s="34"/>
      <c r="BP1766" s="34"/>
      <c r="BQ1766" s="34"/>
      <c r="BR1766" s="34"/>
      <c r="BS1766" s="34"/>
      <c r="BT1766" s="34"/>
      <c r="BU1766" s="34"/>
      <c r="BV1766" s="34"/>
      <c r="BW1766" s="34"/>
      <c r="BX1766" s="34"/>
      <c r="BY1766" s="34"/>
      <c r="BZ1766" s="34"/>
      <c r="CA1766" s="34"/>
      <c r="CB1766" s="34"/>
      <c r="CC1766" s="34"/>
      <c r="CD1766" s="34"/>
      <c r="CE1766" s="34"/>
      <c r="CF1766" s="34"/>
      <c r="CG1766" s="34"/>
      <c r="CH1766" s="34"/>
      <c r="CI1766" s="8"/>
    </row>
    <row r="1767" spans="1:87" x14ac:dyDescent="0.2">
      <c r="A1767" s="8" t="str">
        <f>IF(AND(COUNTIF(W$3:W$13,A$34)&gt;0,A$34&lt;&gt;B1562),A$34,IFERROR(IF(MATCH(A$34,Z$3:Z$13,0)=9,A$34," ")," "))</f>
        <v>C20</v>
      </c>
      <c r="B1767" s="8">
        <f>IF(A1767=" "," ",MAX(B1748:B1766)+1)</f>
        <v>9</v>
      </c>
      <c r="C1767" s="8"/>
      <c r="D1767" s="8"/>
      <c r="E1767" s="8"/>
      <c r="F1767" s="8"/>
      <c r="G1767" s="8"/>
      <c r="H1767" s="8"/>
      <c r="I1767" s="8"/>
      <c r="J1767" s="8"/>
      <c r="K1767" s="8"/>
      <c r="L1767" s="8"/>
      <c r="M1767" s="8"/>
      <c r="N1767" s="8"/>
      <c r="O1767" s="8"/>
      <c r="P1767" s="8"/>
      <c r="Q1767" s="8"/>
      <c r="R1767" s="8"/>
      <c r="S1767" s="8"/>
      <c r="U1767" s="34"/>
      <c r="V1767" s="34"/>
      <c r="W1767" s="34"/>
      <c r="X1767" s="34"/>
      <c r="Y1767" s="34"/>
      <c r="Z1767" s="34"/>
      <c r="AA1767" s="34"/>
      <c r="AB1767" s="34"/>
      <c r="AC1767" s="34"/>
      <c r="AD1767" s="34"/>
      <c r="AE1767" s="34"/>
      <c r="AF1767" s="34"/>
      <c r="AG1767" s="34"/>
      <c r="AH1767" s="34"/>
      <c r="AI1767" s="34"/>
      <c r="AJ1767" s="34"/>
      <c r="AK1767" s="34"/>
      <c r="AL1767" s="34"/>
      <c r="AM1767" s="34"/>
      <c r="AN1767" s="34"/>
      <c r="AO1767" s="34"/>
      <c r="AP1767" s="34"/>
      <c r="AQ1767" s="34"/>
      <c r="AR1767" s="34"/>
      <c r="AS1767" s="34"/>
      <c r="AT1767" s="34"/>
      <c r="AU1767" s="34"/>
      <c r="AV1767" s="34"/>
      <c r="AW1767" s="34"/>
      <c r="AX1767" s="34"/>
      <c r="AY1767" s="34"/>
      <c r="AZ1767" s="34"/>
      <c r="BA1767" s="34"/>
      <c r="BB1767" s="34"/>
      <c r="BC1767" s="34"/>
      <c r="BD1767" s="34"/>
      <c r="BE1767" s="34"/>
      <c r="BF1767" s="34"/>
      <c r="BG1767" s="34"/>
      <c r="BH1767" s="34"/>
      <c r="BI1767" s="34"/>
      <c r="BJ1767" s="34"/>
      <c r="BK1767" s="34"/>
      <c r="BL1767" s="34"/>
      <c r="BM1767" s="34"/>
      <c r="BN1767" s="34"/>
      <c r="BO1767" s="34"/>
      <c r="BP1767" s="34"/>
      <c r="BQ1767" s="34"/>
      <c r="BR1767" s="34"/>
      <c r="BS1767" s="34"/>
      <c r="BT1767" s="34"/>
      <c r="BU1767" s="34"/>
      <c r="BV1767" s="34"/>
      <c r="BW1767" s="34"/>
      <c r="BX1767" s="34"/>
      <c r="BY1767" s="34"/>
      <c r="BZ1767" s="34"/>
      <c r="CA1767" s="34"/>
      <c r="CB1767" s="34"/>
      <c r="CC1767" s="34"/>
      <c r="CD1767" s="34"/>
      <c r="CE1767" s="34"/>
      <c r="CF1767" s="34"/>
      <c r="CG1767" s="34"/>
      <c r="CH1767" s="34"/>
      <c r="CI1767" s="8"/>
    </row>
    <row r="1768" spans="1:87" x14ac:dyDescent="0.2">
      <c r="A1768" s="8" t="str">
        <f>IF(AND(COUNTIF(W$3:W$13,A$35)&gt;0,A$35&lt;&gt;B1562),A$35,IFERROR(IF(MATCH(A$35,Z$3:Z$13,0)=9,A$35," ")," "))</f>
        <v>C21</v>
      </c>
      <c r="B1768" s="8">
        <f>IF(A1768=" "," ",MAX(B1748:B1767)+1)</f>
        <v>10</v>
      </c>
      <c r="C1768" s="8"/>
      <c r="D1768" s="8"/>
      <c r="E1768" s="8"/>
      <c r="F1768" s="8"/>
      <c r="G1768" s="8"/>
      <c r="H1768" s="8"/>
      <c r="I1768" s="8"/>
      <c r="J1768" s="8"/>
      <c r="K1768" s="8"/>
      <c r="L1768" s="8"/>
      <c r="M1768" s="8"/>
      <c r="N1768" s="8"/>
      <c r="O1768" s="8"/>
      <c r="P1768" s="8"/>
      <c r="Q1768" s="8"/>
      <c r="R1768" s="8"/>
      <c r="S1768" s="8"/>
      <c r="U1768" s="34"/>
      <c r="V1768" s="34"/>
      <c r="W1768" s="34"/>
      <c r="X1768" s="34"/>
      <c r="Y1768" s="34"/>
      <c r="Z1768" s="34"/>
      <c r="AA1768" s="34"/>
      <c r="AB1768" s="34"/>
      <c r="AC1768" s="34"/>
      <c r="AD1768" s="34"/>
      <c r="AE1768" s="34"/>
      <c r="AF1768" s="34"/>
      <c r="AG1768" s="34"/>
      <c r="AH1768" s="34"/>
      <c r="AI1768" s="34"/>
      <c r="AJ1768" s="34"/>
      <c r="AK1768" s="34"/>
      <c r="AL1768" s="34"/>
      <c r="AM1768" s="34"/>
      <c r="AN1768" s="34"/>
      <c r="AO1768" s="34"/>
      <c r="AP1768" s="34"/>
      <c r="AQ1768" s="34"/>
      <c r="AR1768" s="34"/>
      <c r="AS1768" s="34"/>
      <c r="AT1768" s="34"/>
      <c r="AU1768" s="34"/>
      <c r="AV1768" s="34"/>
      <c r="AW1768" s="34"/>
      <c r="AX1768" s="34"/>
      <c r="AY1768" s="34"/>
      <c r="AZ1768" s="34"/>
      <c r="BA1768" s="34"/>
      <c r="BB1768" s="34"/>
      <c r="BC1768" s="34"/>
      <c r="BD1768" s="34"/>
      <c r="BE1768" s="34"/>
      <c r="BF1768" s="34"/>
      <c r="BG1768" s="34"/>
      <c r="BH1768" s="34"/>
      <c r="BI1768" s="34"/>
      <c r="BJ1768" s="34"/>
      <c r="BK1768" s="34"/>
      <c r="BL1768" s="34"/>
      <c r="BM1768" s="34"/>
      <c r="BN1768" s="34"/>
      <c r="BO1768" s="34"/>
      <c r="BP1768" s="34"/>
      <c r="BQ1768" s="34"/>
      <c r="BR1768" s="34"/>
      <c r="BS1768" s="34"/>
      <c r="BT1768" s="34"/>
      <c r="BU1768" s="34"/>
      <c r="BV1768" s="34"/>
      <c r="BW1768" s="34"/>
      <c r="BX1768" s="34"/>
      <c r="BY1768" s="34"/>
      <c r="BZ1768" s="34"/>
      <c r="CA1768" s="34"/>
      <c r="CB1768" s="34"/>
      <c r="CC1768" s="34"/>
      <c r="CD1768" s="34"/>
      <c r="CE1768" s="34"/>
      <c r="CF1768" s="34"/>
      <c r="CG1768" s="34"/>
      <c r="CH1768" s="34"/>
      <c r="CI1768" s="8"/>
    </row>
    <row r="1769" spans="1:87" x14ac:dyDescent="0.2">
      <c r="A1769" s="8" t="str">
        <f>IF(AND(COUNTIF(W$3:W$13,A$36)&gt;0,A$36&lt;&gt;B1562),A$36,IFERROR(IF(MATCH(A$36,Z$3:Z$13,0)=9,A$36," ")," "))</f>
        <v>C22</v>
      </c>
      <c r="B1769" s="8">
        <f>IF(A1769=" "," ",MAX(B1748:B1768)+1)</f>
        <v>11</v>
      </c>
      <c r="C1769" s="8"/>
      <c r="D1769" s="8"/>
      <c r="E1769" s="8"/>
      <c r="F1769" s="8"/>
      <c r="G1769" s="8"/>
      <c r="H1769" s="8"/>
      <c r="I1769" s="8"/>
      <c r="J1769" s="8"/>
      <c r="K1769" s="8"/>
      <c r="L1769" s="8"/>
      <c r="M1769" s="8"/>
      <c r="N1769" s="8"/>
      <c r="O1769" s="8"/>
      <c r="P1769" s="8"/>
      <c r="Q1769" s="8"/>
      <c r="R1769" s="8"/>
      <c r="S1769" s="8"/>
      <c r="U1769" s="34"/>
      <c r="V1769" s="34"/>
      <c r="W1769" s="34"/>
      <c r="X1769" s="34"/>
      <c r="Y1769" s="34"/>
      <c r="Z1769" s="34"/>
      <c r="AA1769" s="34"/>
      <c r="AB1769" s="34"/>
      <c r="AC1769" s="34"/>
      <c r="AD1769" s="34"/>
      <c r="AE1769" s="34"/>
      <c r="AF1769" s="34"/>
      <c r="AG1769" s="34"/>
      <c r="AH1769" s="34"/>
      <c r="AI1769" s="34"/>
      <c r="AJ1769" s="34"/>
      <c r="AK1769" s="34"/>
      <c r="AL1769" s="34"/>
      <c r="AM1769" s="34"/>
      <c r="AN1769" s="34"/>
      <c r="AO1769" s="34"/>
      <c r="AP1769" s="34"/>
      <c r="AQ1769" s="34"/>
      <c r="AR1769" s="34"/>
      <c r="AS1769" s="34"/>
      <c r="AT1769" s="34"/>
      <c r="AU1769" s="34"/>
      <c r="AV1769" s="34"/>
      <c r="AW1769" s="34"/>
      <c r="AX1769" s="34"/>
      <c r="AY1769" s="34"/>
      <c r="AZ1769" s="34"/>
      <c r="BA1769" s="34"/>
      <c r="BB1769" s="34"/>
      <c r="BC1769" s="34"/>
      <c r="BD1769" s="34"/>
      <c r="BE1769" s="34"/>
      <c r="BF1769" s="34"/>
      <c r="BG1769" s="34"/>
      <c r="BH1769" s="34"/>
      <c r="BI1769" s="34"/>
      <c r="BJ1769" s="34"/>
      <c r="BK1769" s="34"/>
      <c r="BL1769" s="34"/>
      <c r="BM1769" s="34"/>
      <c r="BN1769" s="34"/>
      <c r="BO1769" s="34"/>
      <c r="BP1769" s="34"/>
      <c r="BQ1769" s="34"/>
      <c r="BR1769" s="34"/>
      <c r="BS1769" s="34"/>
      <c r="BT1769" s="34"/>
      <c r="BU1769" s="34"/>
      <c r="BV1769" s="34"/>
      <c r="BW1769" s="34"/>
      <c r="BX1769" s="34"/>
      <c r="BY1769" s="34"/>
      <c r="BZ1769" s="34"/>
      <c r="CA1769" s="34"/>
      <c r="CB1769" s="34"/>
      <c r="CC1769" s="34"/>
      <c r="CD1769" s="34"/>
      <c r="CE1769" s="34"/>
      <c r="CF1769" s="34"/>
      <c r="CG1769" s="34"/>
      <c r="CH1769" s="34"/>
      <c r="CI1769" s="8"/>
    </row>
    <row r="1770" spans="1:87" x14ac:dyDescent="0.2">
      <c r="A1770" s="11" t="s">
        <v>17</v>
      </c>
      <c r="B1770" s="11"/>
      <c r="C1770" s="27" t="s">
        <v>18</v>
      </c>
      <c r="D1770" s="27" t="s">
        <v>2</v>
      </c>
      <c r="E1770" s="27" t="s">
        <v>6</v>
      </c>
      <c r="F1770" s="27" t="s">
        <v>15</v>
      </c>
      <c r="G1770" s="27" t="s">
        <v>36</v>
      </c>
      <c r="H1770" s="27" t="s">
        <v>37</v>
      </c>
      <c r="I1770" s="27" t="s">
        <v>38</v>
      </c>
      <c r="J1770" s="27" t="s">
        <v>39</v>
      </c>
      <c r="K1770" s="27" t="s">
        <v>40</v>
      </c>
      <c r="L1770" s="27" t="s">
        <v>41</v>
      </c>
      <c r="M1770" s="27" t="s">
        <v>42</v>
      </c>
      <c r="N1770" s="27" t="s">
        <v>43</v>
      </c>
      <c r="O1770" s="27" t="s">
        <v>9</v>
      </c>
      <c r="P1770" s="27" t="s">
        <v>12</v>
      </c>
      <c r="Q1770" s="27" t="s">
        <v>19</v>
      </c>
      <c r="R1770" s="27" t="s">
        <v>55</v>
      </c>
      <c r="S1770" s="27" t="s">
        <v>26</v>
      </c>
      <c r="T1770" s="19" t="s">
        <v>25</v>
      </c>
      <c r="U1770" s="33" t="s">
        <v>27</v>
      </c>
      <c r="V1770" s="33" t="s">
        <v>9</v>
      </c>
      <c r="W1770" s="33" t="s">
        <v>23</v>
      </c>
      <c r="X1770" s="33" t="s">
        <v>12</v>
      </c>
      <c r="Y1770" s="33" t="s">
        <v>26</v>
      </c>
      <c r="Z1770" s="33" t="s">
        <v>25</v>
      </c>
      <c r="AA1770" s="33" t="s">
        <v>27</v>
      </c>
      <c r="AB1770" s="33" t="s">
        <v>9</v>
      </c>
      <c r="AC1770" s="33" t="s">
        <v>23</v>
      </c>
      <c r="AD1770" s="33" t="s">
        <v>12</v>
      </c>
      <c r="AE1770" s="33" t="s">
        <v>26</v>
      </c>
      <c r="AF1770" s="33" t="s">
        <v>25</v>
      </c>
      <c r="AG1770" s="33" t="s">
        <v>27</v>
      </c>
      <c r="AH1770" s="33" t="s">
        <v>9</v>
      </c>
      <c r="AI1770" s="33" t="s">
        <v>23</v>
      </c>
      <c r="AJ1770" s="33" t="s">
        <v>12</v>
      </c>
      <c r="AK1770" s="33" t="s">
        <v>26</v>
      </c>
      <c r="AL1770" s="33" t="s">
        <v>25</v>
      </c>
      <c r="AM1770" s="33" t="s">
        <v>27</v>
      </c>
      <c r="AN1770" s="33" t="s">
        <v>9</v>
      </c>
      <c r="AO1770" s="33" t="s">
        <v>23</v>
      </c>
      <c r="AP1770" s="33" t="s">
        <v>12</v>
      </c>
      <c r="AQ1770" s="33" t="s">
        <v>26</v>
      </c>
      <c r="AR1770" s="33" t="s">
        <v>25</v>
      </c>
      <c r="AS1770" s="33" t="s">
        <v>27</v>
      </c>
      <c r="AT1770" s="33" t="s">
        <v>9</v>
      </c>
      <c r="AU1770" s="33" t="s">
        <v>23</v>
      </c>
      <c r="AV1770" s="33" t="s">
        <v>12</v>
      </c>
      <c r="AW1770" s="33" t="s">
        <v>26</v>
      </c>
      <c r="AX1770" s="33" t="s">
        <v>25</v>
      </c>
      <c r="AY1770" s="33" t="s">
        <v>27</v>
      </c>
      <c r="AZ1770" s="33" t="s">
        <v>9</v>
      </c>
      <c r="BA1770" s="33" t="s">
        <v>23</v>
      </c>
      <c r="BB1770" s="33" t="s">
        <v>12</v>
      </c>
      <c r="BC1770" s="33" t="s">
        <v>26</v>
      </c>
      <c r="BD1770" s="33" t="s">
        <v>25</v>
      </c>
      <c r="BE1770" s="33" t="s">
        <v>27</v>
      </c>
      <c r="BF1770" s="33" t="s">
        <v>9</v>
      </c>
      <c r="BG1770" s="33" t="s">
        <v>23</v>
      </c>
      <c r="BH1770" s="33" t="s">
        <v>12</v>
      </c>
      <c r="BI1770" s="33" t="s">
        <v>26</v>
      </c>
      <c r="BJ1770" s="33" t="s">
        <v>25</v>
      </c>
      <c r="BK1770" s="33" t="s">
        <v>27</v>
      </c>
      <c r="BL1770" s="33" t="s">
        <v>9</v>
      </c>
      <c r="BM1770" s="33" t="s">
        <v>23</v>
      </c>
      <c r="BN1770" s="33" t="s">
        <v>12</v>
      </c>
      <c r="BO1770" s="33" t="s">
        <v>26</v>
      </c>
      <c r="BP1770" s="33" t="s">
        <v>25</v>
      </c>
      <c r="BQ1770" s="33" t="s">
        <v>27</v>
      </c>
      <c r="BR1770" s="33" t="s">
        <v>9</v>
      </c>
      <c r="BS1770" s="33" t="s">
        <v>23</v>
      </c>
      <c r="BT1770" s="33" t="s">
        <v>12</v>
      </c>
      <c r="BU1770" s="33" t="s">
        <v>26</v>
      </c>
      <c r="BV1770" s="33" t="s">
        <v>25</v>
      </c>
      <c r="BW1770" s="33" t="s">
        <v>27</v>
      </c>
      <c r="BX1770" s="33" t="s">
        <v>9</v>
      </c>
      <c r="BY1770" s="33" t="s">
        <v>23</v>
      </c>
      <c r="BZ1770" s="33" t="s">
        <v>12</v>
      </c>
      <c r="CA1770" s="33" t="s">
        <v>26</v>
      </c>
      <c r="CB1770" s="33" t="s">
        <v>25</v>
      </c>
      <c r="CC1770" s="33" t="s">
        <v>27</v>
      </c>
      <c r="CD1770" s="33" t="s">
        <v>9</v>
      </c>
      <c r="CE1770" s="33" t="s">
        <v>23</v>
      </c>
      <c r="CF1770" s="33" t="s">
        <v>12</v>
      </c>
      <c r="CG1770" s="33" t="s">
        <v>26</v>
      </c>
      <c r="CH1770" s="33" t="s">
        <v>25</v>
      </c>
      <c r="CI1770" s="8"/>
    </row>
    <row r="1771" spans="1:87" x14ac:dyDescent="0.2">
      <c r="A1771" s="8" t="str">
        <f>IF(AND(COUNTIF(W$3:W$13,A$15)&gt;0,A$15&lt;&gt;B1562),A$15,IFERROR(IF(MATCH(A$15,Z$3:Z$13,0)=10,A$15," ")," "))</f>
        <v xml:space="preserve"> </v>
      </c>
      <c r="B1771" s="8" t="str">
        <f>IF(A1771=" "," ",1)</f>
        <v xml:space="preserve"> </v>
      </c>
      <c r="C1771" s="8" t="str">
        <f>IFERROR(INDEX(A1771:A1792,MATCH(SMALL(B1771:B1792,1),B1771:B1792,0),1)," ")</f>
        <v>C3</v>
      </c>
      <c r="D1771" s="8">
        <f>IFERROR(VLOOKUP($C1771,$A$15:$O$36,2,FALSE)," ")</f>
        <v>2</v>
      </c>
      <c r="E1771" s="8">
        <f>IFERROR(VLOOKUP($C1771,$A$15:$O$36,3,FALSE)," ")</f>
        <v>5</v>
      </c>
      <c r="F1771" s="8">
        <f>IFERROR(VLOOKUP($C1771,$A$15:$O$36,4,FALSE)," ")</f>
        <v>6</v>
      </c>
      <c r="G1771" s="8">
        <f>IFERROR(VLOOKUP($C1771,$A$15:$O$36,5,FALSE)," ")</f>
        <v>0</v>
      </c>
      <c r="H1771" s="8">
        <f>IFERROR(VLOOKUP($C1771,$A$15:$O$36,6,FALSE)," ")</f>
        <v>0</v>
      </c>
      <c r="I1771" s="8">
        <f>IFERROR(VLOOKUP($C1771,$A$15:$O$36,7,FALSE)," ")</f>
        <v>0</v>
      </c>
      <c r="J1771" s="8">
        <f>IFERROR(VLOOKUP($C1771,$A$15:$O$36,8,FALSE)," ")</f>
        <v>0</v>
      </c>
      <c r="K1771" s="8">
        <f>IFERROR(VLOOKUP($C1771,$A$15:$O$36,9,FALSE)," ")</f>
        <v>0</v>
      </c>
      <c r="L1771" s="8">
        <f>IFERROR(VLOOKUP($C1771,$A$15:$O$36,10,FALSE)," ")</f>
        <v>0</v>
      </c>
      <c r="M1771" s="8">
        <f>IFERROR(VLOOKUP($C1771,$A$15:$O$36,11,FALSE)," ")</f>
        <v>0</v>
      </c>
      <c r="N1771" s="8">
        <f>IFERROR(VLOOKUP($C1771,$A$15:$O$36,12,FALSE)," ")</f>
        <v>0</v>
      </c>
      <c r="O1771" s="8">
        <f>IFERROR(VLOOKUP($C1771,$A$15:$O$36,15,FALSE)," ")</f>
        <v>2000</v>
      </c>
      <c r="P1771" s="8" t="e">
        <f t="array" ref="P1771:P1781">MMULT(MINVERSE(D1771:N1781),O1771:O1781)</f>
        <v>#NUM!</v>
      </c>
      <c r="Q1771" s="8" t="e">
        <f t="shared" ref="Q1771" si="7619">IF(COUNTIF(P1771:P1781,"&lt;"&amp;-0.001)=0,IF(ABS(P1771)&lt;0.001,0,P1771)," ")</f>
        <v>#NUM!</v>
      </c>
      <c r="R1771" s="8" t="str">
        <f>IFERROR(VLOOKUP(B1562,A$15:L$36,2,FALSE)*Q1771+VLOOKUP(B1562,A$15:L$36,3,FALSE)*Q1772+VLOOKUP(B1562,A$15:L$36,4,FALSE)*Q1773+VLOOKUP(B1562,A$15:L$36,5,FALSE)*Q1774+VLOOKUP(B1562,A$15:L$36,6,FALSE)*Q1775+VLOOKUP(B1562,A$15:L$36,7,FALSE)*Q1776+VLOOKUP(B1562,A$15:L$36,8,FALSE)*Q1777+VLOOKUP(B1562,A$15:L$36,9,FALSE)*Q1778+VLOOKUP(B1562,A$15:L$36,10,FALSE)*Q1779+VLOOKUP(B1562,A$15:L$36,11,FALSE)*Q1780+VLOOKUP(B1562,A$15:L$36,12,FALSE)*Q1781," ")</f>
        <v xml:space="preserve"> </v>
      </c>
      <c r="S1771" s="8" t="str">
        <f>IFERROR(IF(R1771-VLOOKUP(B1562,A$15:O$36,15,FALSE)&lt;0,R1771-VLOOKUP(B1562,A$15:O$36,15,FALSE)," ")," ")</f>
        <v xml:space="preserve"> </v>
      </c>
      <c r="T1771" s="18" t="str">
        <f>IFERROR(IF(R1771-VLOOKUP(B1562,A$15:O$36,15,FALSE)&gt;0,R1771-VLOOKUP(B1562,A$15:O$36,15,FALSE)," ")," ")</f>
        <v xml:space="preserve"> </v>
      </c>
      <c r="U1771" s="34">
        <f t="shared" ref="U1771" si="7620">$M$2</f>
        <v>100.00000000000001</v>
      </c>
      <c r="V1771" s="34">
        <v>-1</v>
      </c>
      <c r="W1771" s="34">
        <f t="shared" ref="W1771" si="7621">-SUMPRODUCT($M$3:$M$12,$N$3:$N$12)</f>
        <v>-105000</v>
      </c>
      <c r="X1771" s="34" t="e">
        <f t="shared" ref="X1771" si="7622">IF(U1771&lt;&gt;U1772,MMULT(MINVERSE(U1771:V1772),W1771:W1772)," ")</f>
        <v>#NUM!</v>
      </c>
      <c r="Y1771" s="34" t="str">
        <f t="shared" ref="Y1771" si="7623">IFERROR(IF(X1771-VLOOKUP(U$38,$A$2:$N$12,14,FALSE)&lt;0,X1771-VLOOKUP(U$38,$A$2:$N$12,14,FALSE)," ")," ")</f>
        <v xml:space="preserve"> </v>
      </c>
      <c r="Z1771" s="34" t="str">
        <f t="shared" ref="Z1771" si="7624">IFERROR(IF(X1771-VLOOKUP(U$38,$A$2:$N$12,14,FALSE)&gt;0,X1771-VLOOKUP(U$38,$A$2:$N$12,14,FALSE)," ")," ")</f>
        <v xml:space="preserve"> </v>
      </c>
      <c r="AA1771" s="34">
        <f t="shared" ref="AA1771" si="7625">$M$3</f>
        <v>0</v>
      </c>
      <c r="AB1771" s="34">
        <v>-1</v>
      </c>
      <c r="AC1771" s="34">
        <f t="shared" ref="AC1771" si="7626">-SUMPRODUCT($M$2:$M$2,$N$2:$N$2)-SUMPRODUCT($M$4:$M$12,$N$4:$N$12)</f>
        <v>-120000</v>
      </c>
      <c r="AD1771" s="34" t="e">
        <f t="shared" ref="AD1771" si="7627">IF(AA1771&lt;&gt;AA1772,MMULT(MINVERSE(AA1771:AB1772),AC1771:AC1772)," ")</f>
        <v>#NUM!</v>
      </c>
      <c r="AE1771" s="34" t="str">
        <f t="shared" ref="AE1771" si="7628">IFERROR(IF(AD1771-VLOOKUP(AA$38,$A$2:$N$12,14,FALSE)&lt;0,AD1771-VLOOKUP(AA$38,$A$2:$N$12,14,FALSE)," ")," ")</f>
        <v xml:space="preserve"> </v>
      </c>
      <c r="AF1771" s="34" t="str">
        <f t="shared" ref="AF1771" si="7629">IFERROR(IF(AD1771-VLOOKUP(AA$38,$A$2:$N$12,14,FALSE)&gt;0,AD1771-VLOOKUP(AA$38,$A$2:$N$12,14,FALSE)," ")," ")</f>
        <v xml:space="preserve"> </v>
      </c>
      <c r="AG1771" s="34">
        <f t="shared" ref="AG1771" si="7630">$M$4</f>
        <v>300</v>
      </c>
      <c r="AH1771" s="34">
        <v>-1</v>
      </c>
      <c r="AI1771" s="34">
        <f t="shared" ref="AI1771" si="7631">-SUMPRODUCT($M$2:$M$3,$N$2:$N$3)-SUMPRODUCT($M$5:$M$12,$N$5:$N$12)</f>
        <v>-15000.000000000002</v>
      </c>
      <c r="AJ1771" s="34" t="e">
        <f t="shared" ref="AJ1771" si="7632">IF(AG1771&lt;&gt;AG1772,MMULT(MINVERSE(AG1771:AH1772),AI1771:AI1772)," ")</f>
        <v>#NUM!</v>
      </c>
      <c r="AK1771" s="34" t="str">
        <f t="shared" ref="AK1771" si="7633">IFERROR(IF(AJ1771-VLOOKUP(AG$38,$A$2:$N$12,14,FALSE)&lt;0,AJ1771-VLOOKUP(AG$38,$A$2:$N$12,14,FALSE)," ")," ")</f>
        <v xml:space="preserve"> </v>
      </c>
      <c r="AL1771" s="34" t="str">
        <f t="shared" ref="AL1771" si="7634">IFERROR(IF(AJ1771-VLOOKUP(AG$38,$A$2:$N$12,14,FALSE)&gt;0,AJ1771-VLOOKUP(AG$38,$A$2:$N$12,14,FALSE)," ")," ")</f>
        <v xml:space="preserve"> </v>
      </c>
      <c r="AM1771" s="34">
        <f t="shared" ref="AM1771" si="7635">$M$5</f>
        <v>0</v>
      </c>
      <c r="AN1771" s="34">
        <v>-1</v>
      </c>
      <c r="AO1771" s="34">
        <f t="shared" ref="AO1771" si="7636">-SUMPRODUCT($M$2:$M$4,$N$2:$N$4)-SUMPRODUCT($M$6:$M$12,$N$6:$N$12)</f>
        <v>-120000</v>
      </c>
      <c r="AP1771" s="34" t="e">
        <f t="shared" ref="AP1771" si="7637">IF(AM1771&lt;&gt;AM1772,MMULT(MINVERSE(AM1771:AN1772),AO1771:AO1772)," ")</f>
        <v>#NUM!</v>
      </c>
      <c r="AQ1771" s="34" t="str">
        <f t="shared" ref="AQ1771" si="7638">IFERROR(IF(AP1771-VLOOKUP(AM$38,$A$2:$N$12,14,FALSE)&lt;0,AP1771-VLOOKUP(AM$38,$A$2:$N$12,14,FALSE)," ")," ")</f>
        <v xml:space="preserve"> </v>
      </c>
      <c r="AR1771" s="34" t="str">
        <f t="shared" ref="AR1771" si="7639">IFERROR(IF(AP1771-VLOOKUP(AM$38,$A$2:$N$12,14,FALSE)&gt;0,AP1771-VLOOKUP(AM$38,$A$2:$N$12,14,FALSE)," ")," ")</f>
        <v xml:space="preserve"> </v>
      </c>
      <c r="AS1771" s="34">
        <f t="shared" ref="AS1771" si="7640">$M$6</f>
        <v>0</v>
      </c>
      <c r="AT1771" s="34">
        <v>-1</v>
      </c>
      <c r="AU1771" s="34">
        <f t="shared" ref="AU1771" si="7641">-SUMPRODUCT($M$2:$M$5,$N$2:$N$5)-SUMPRODUCT($M$7:$M$12,$N$7:$N$12)</f>
        <v>-120000</v>
      </c>
      <c r="AV1771" s="34" t="e">
        <f t="shared" ref="AV1771" si="7642">IF(AS1771&lt;&gt;AS1772,MMULT(MINVERSE(AS1771:AT1772),AU1771:AU1772)," ")</f>
        <v>#NUM!</v>
      </c>
      <c r="AW1771" s="34" t="str">
        <f t="shared" ref="AW1771" si="7643">IFERROR(IF(AV1771-VLOOKUP(AS$38,$A$2:$N$12,14,FALSE)&lt;0,AV1771-VLOOKUP(AS$38,$A$2:$N$12,14,FALSE)," ")," ")</f>
        <v xml:space="preserve"> </v>
      </c>
      <c r="AX1771" s="34" t="str">
        <f t="shared" ref="AX1771" si="7644">IFERROR(IF(AV1771-VLOOKUP(AS$38,$A$2:$N$12,14,FALSE)&gt;0,AV1771-VLOOKUP(AS$38,$A$2:$N$12,14,FALSE)," ")," ")</f>
        <v xml:space="preserve"> </v>
      </c>
      <c r="AY1771" s="34">
        <f t="shared" ref="AY1771" si="7645">$M$7</f>
        <v>0</v>
      </c>
      <c r="AZ1771" s="34">
        <v>-1</v>
      </c>
      <c r="BA1771" s="34">
        <f t="shared" ref="BA1771" si="7646">-SUMPRODUCT($M$2:$M$6,$N$2:$N$6)-SUMPRODUCT($M$8:$M$12,$N$8:$N$12)</f>
        <v>-120000</v>
      </c>
      <c r="BB1771" s="34" t="e">
        <f t="shared" ref="BB1771" si="7647">IF(AY1771&lt;&gt;AY1772,MMULT(MINVERSE(AY1771:AZ1772),BA1771:BA1772)," ")</f>
        <v>#NUM!</v>
      </c>
      <c r="BC1771" s="34" t="str">
        <f t="shared" ref="BC1771" si="7648">IFERROR(IF(BB1771-VLOOKUP(AY$38,$A$2:$N$12,14,FALSE)&lt;0,BB1771-VLOOKUP(AY$38,$A$2:$N$12,14,FALSE)," ")," ")</f>
        <v xml:space="preserve"> </v>
      </c>
      <c r="BD1771" s="34" t="str">
        <f t="shared" ref="BD1771" si="7649">IFERROR(IF(BB1771-VLOOKUP(AY$38,$A$2:$N$12,14,FALSE)&gt;0,BB1771-VLOOKUP(AY$38,$A$2:$N$12,14,FALSE)," ")," ")</f>
        <v xml:space="preserve"> </v>
      </c>
      <c r="BE1771" s="34">
        <f t="shared" ref="BE1771" si="7650">$M$8</f>
        <v>0</v>
      </c>
      <c r="BF1771" s="34">
        <v>-1</v>
      </c>
      <c r="BG1771" s="34">
        <f t="shared" ref="BG1771" si="7651">-SUMPRODUCT($M$2:$M$7,$N$2:$N$7)-SUMPRODUCT($M$9:$M$12,$N$9:$N$12)</f>
        <v>-120000</v>
      </c>
      <c r="BH1771" s="34" t="e">
        <f t="shared" ref="BH1771" si="7652">IF(BE1771&lt;&gt;BE1772,MMULT(MINVERSE(BE1771:BF1772),BG1771:BG1772)," ")</f>
        <v>#NUM!</v>
      </c>
      <c r="BI1771" s="34" t="str">
        <f t="shared" ref="BI1771" si="7653">IFERROR(IF(BH1771-VLOOKUP(BE$38,$A$2:$N$12,14,FALSE)&lt;0,BH1771-VLOOKUP(BE$38,$A$2:$N$12,14,FALSE)," ")," ")</f>
        <v xml:space="preserve"> </v>
      </c>
      <c r="BJ1771" s="34" t="str">
        <f t="shared" ref="BJ1771" si="7654">IFERROR(IF(BH1771-VLOOKUP(BE$38,$A$2:$N$12,14,FALSE)&gt;0,BH1771-VLOOKUP(BE$38,$A$2:$N$12,14,FALSE)," ")," ")</f>
        <v xml:space="preserve"> </v>
      </c>
      <c r="BK1771" s="34">
        <f t="shared" ref="BK1771" si="7655">$M$9</f>
        <v>0</v>
      </c>
      <c r="BL1771" s="34">
        <v>-1</v>
      </c>
      <c r="BM1771" s="34">
        <f t="shared" ref="BM1771" si="7656">-SUMPRODUCT($M$2:$M$8,$N$2:$N$8)-SUMPRODUCT($M$10:$M$12,$N$10:$N$12)</f>
        <v>-120000</v>
      </c>
      <c r="BN1771" s="34" t="e">
        <f t="shared" ref="BN1771" si="7657">IF(BK1771&lt;&gt;BK1772,MMULT(MINVERSE(BK1771:BL1772),BM1771:BM1772)," ")</f>
        <v>#NUM!</v>
      </c>
      <c r="BO1771" s="34" t="str">
        <f t="shared" ref="BO1771" si="7658">IFERROR(IF(BN1771-VLOOKUP(BK$38,$A$2:$N$12,14,FALSE)&lt;0,BN1771-VLOOKUP(BK$38,$A$2:$N$12,14,FALSE)," ")," ")</f>
        <v xml:space="preserve"> </v>
      </c>
      <c r="BP1771" s="34" t="str">
        <f t="shared" ref="BP1771" si="7659">IFERROR(IF(BN1771-VLOOKUP(BK$38,$A$2:$N$12,14,FALSE)&gt;0,BN1771-VLOOKUP(BK$38,$A$2:$N$12,14,FALSE)," ")," ")</f>
        <v xml:space="preserve"> </v>
      </c>
      <c r="BQ1771" s="34">
        <f t="shared" ref="BQ1771" si="7660">$M$10</f>
        <v>0</v>
      </c>
      <c r="BR1771" s="34">
        <v>-1</v>
      </c>
      <c r="BS1771" s="34">
        <f t="shared" ref="BS1771" si="7661">-SUMPRODUCT($M$2:$M$9,$N$2:$N$9)-SUMPRODUCT($M$11:$M$12,$N$11:$N$12)</f>
        <v>-120000</v>
      </c>
      <c r="BT1771" s="34" t="e">
        <f t="shared" ref="BT1771" si="7662">IF(BQ1771&lt;&gt;BQ1772,MMULT(MINVERSE(BQ1771:BR1772),BS1771:BS1772)," ")</f>
        <v>#NUM!</v>
      </c>
      <c r="BU1771" s="34" t="str">
        <f t="shared" ref="BU1771" si="7663">IFERROR(IF(BT1771-VLOOKUP(BQ$38,$A$2:$N$12,14,FALSE)&lt;0,BT1771-VLOOKUP(BQ$38,$A$2:$N$12,14,FALSE)," ")," ")</f>
        <v xml:space="preserve"> </v>
      </c>
      <c r="BV1771" s="34" t="str">
        <f t="shared" ref="BV1771" si="7664">IFERROR(IF(BT1771-VLOOKUP(BQ$38,$A$2:$N$12,14,FALSE)&gt;0,BT1771-VLOOKUP(BQ$38,$A$2:$N$12,14,FALSE)," ")," ")</f>
        <v xml:space="preserve"> </v>
      </c>
      <c r="BW1771" s="34">
        <f t="shared" ref="BW1771" si="7665">$M$11</f>
        <v>0</v>
      </c>
      <c r="BX1771" s="34">
        <v>-1</v>
      </c>
      <c r="BY1771" s="34">
        <f t="shared" ref="BY1771" si="7666">-SUMPRODUCT($M$2:$M$10,$N$2:$N$10)-SUMPRODUCT($M$12,$N$12)</f>
        <v>-120000</v>
      </c>
      <c r="BZ1771" s="34" t="e">
        <f t="shared" ref="BZ1771" si="7667">IF(BW1771&lt;&gt;BW1772,MMULT(MINVERSE(BW1771:BX1772),BY1771:BY1772)," ")</f>
        <v>#NUM!</v>
      </c>
      <c r="CA1771" s="34" t="str">
        <f t="shared" ref="CA1771" si="7668">IFERROR(IF(BZ1771-VLOOKUP(BW$38,$A$2:$N$12,14,FALSE)&lt;0,BZ1771-VLOOKUP(BW$38,$A$2:$N$12,14,FALSE)," ")," ")</f>
        <v xml:space="preserve"> </v>
      </c>
      <c r="CB1771" s="34" t="str">
        <f t="shared" ref="CB1771" si="7669">IFERROR(IF(BZ1771-VLOOKUP(BW$38,$A$2:$N$12,14,FALSE)&gt;0,BZ1771-VLOOKUP(BW$38,$A$2:$N$12,14,FALSE)," ")," ")</f>
        <v xml:space="preserve"> </v>
      </c>
      <c r="CC1771" s="34">
        <f t="shared" ref="CC1771" si="7670">$M$12</f>
        <v>0</v>
      </c>
      <c r="CD1771" s="34">
        <v>-1</v>
      </c>
      <c r="CE1771" s="34">
        <f t="shared" ref="CE1771" si="7671">-SUMPRODUCT($M$2:$M$11,$N$2:$N$11)</f>
        <v>-120000</v>
      </c>
      <c r="CF1771" s="34" t="e">
        <f t="shared" ref="CF1771" si="7672">IF(CC1771&lt;&gt;CC1772,MMULT(MINVERSE(CC1771:CD1772),CE1771:CE1772)," ")</f>
        <v>#NUM!</v>
      </c>
      <c r="CG1771" s="34" t="str">
        <f t="shared" ref="CG1771" si="7673">IFERROR(IF(CF1771-VLOOKUP(CC$38,$A$2:$N$12,14,FALSE)&lt;0,CF1771-VLOOKUP(CC$38,$A$2:$N$12,14,FALSE)," ")," ")</f>
        <v xml:space="preserve"> </v>
      </c>
      <c r="CH1771" s="34" t="str">
        <f t="shared" ref="CH1771" si="7674">IFERROR(IF(CF1771-VLOOKUP(CC$38,$A$2:$N$12,14,FALSE)&gt;0,CF1771-VLOOKUP(CC$38,$A$2:$N$12,14,FALSE)," ")," ")</f>
        <v xml:space="preserve"> </v>
      </c>
      <c r="CI1771" s="8"/>
    </row>
    <row r="1772" spans="1:87" x14ac:dyDescent="0.2">
      <c r="A1772" s="8" t="str">
        <f>IF(AND(COUNTIF(W$3:W$13,A$16)&gt;0,A$16&lt;&gt;B1562),A$16,IFERROR(IF(MATCH(A$16,Z$3:Z$13,0)=10,A$16," ")," "))</f>
        <v xml:space="preserve"> </v>
      </c>
      <c r="B1772" s="8" t="str">
        <f>IF(A1772=" "," ",MAX(B1771:B1771)+1)</f>
        <v xml:space="preserve"> </v>
      </c>
      <c r="C1772" s="8" t="str">
        <f>IFERROR(INDEX(A1771:A1792,MATCH(SMALL(B1771:B1792,2),B1771:B1792,0),1)," ")</f>
        <v>C4</v>
      </c>
      <c r="D1772" s="8">
        <f t="shared" ref="D1772:D1781" si="7675">IFERROR(VLOOKUP($C1772,$A$15:$O$36,2,FALSE)," ")</f>
        <v>1</v>
      </c>
      <c r="E1772" s="8">
        <f t="shared" ref="E1772:E1781" si="7676">IFERROR(VLOOKUP($C1772,$A$15:$O$36,3,FALSE)," ")</f>
        <v>0</v>
      </c>
      <c r="F1772" s="8">
        <f t="shared" ref="F1772:F1781" si="7677">IFERROR(VLOOKUP($C1772,$A$15:$O$36,4,FALSE)," ")</f>
        <v>1</v>
      </c>
      <c r="G1772" s="8">
        <f t="shared" ref="G1772:G1781" si="7678">IFERROR(VLOOKUP($C1772,$A$15:$O$36,5,FALSE)," ")</f>
        <v>0</v>
      </c>
      <c r="H1772" s="8">
        <f t="shared" ref="H1772:H1781" si="7679">IFERROR(VLOOKUP($C1772,$A$15:$O$36,6,FALSE)," ")</f>
        <v>0</v>
      </c>
      <c r="I1772" s="8">
        <f t="shared" ref="I1772:I1781" si="7680">IFERROR(VLOOKUP($C1772,$A$15:$O$36,7,FALSE)," ")</f>
        <v>0</v>
      </c>
      <c r="J1772" s="8">
        <f t="shared" ref="J1772:J1781" si="7681">IFERROR(VLOOKUP($C1772,$A$15:$O$36,8,FALSE)," ")</f>
        <v>0</v>
      </c>
      <c r="K1772" s="8">
        <f t="shared" ref="K1772:K1781" si="7682">IFERROR(VLOOKUP($C1772,$A$15:$O$36,9,FALSE)," ")</f>
        <v>0</v>
      </c>
      <c r="L1772" s="8">
        <f t="shared" ref="L1772:L1781" si="7683">IFERROR(VLOOKUP($C1772,$A$15:$O$36,10,FALSE)," ")</f>
        <v>0</v>
      </c>
      <c r="M1772" s="8">
        <f t="shared" ref="M1772:M1781" si="7684">IFERROR(VLOOKUP($C1772,$A$15:$O$36,11,FALSE)," ")</f>
        <v>0</v>
      </c>
      <c r="N1772" s="8">
        <f t="shared" ref="N1772:N1781" si="7685">IFERROR(VLOOKUP($C1772,$A$15:$O$36,12,FALSE)," ")</f>
        <v>0</v>
      </c>
      <c r="O1772" s="8">
        <f t="shared" ref="O1772:O1781" si="7686">IFERROR(VLOOKUP($C1772,$A$15:$O$36,15,FALSE)," ")</f>
        <v>400</v>
      </c>
      <c r="P1772" s="8" t="e">
        <v>#NUM!</v>
      </c>
      <c r="Q1772" s="8" t="e">
        <f t="shared" ref="Q1772" si="7687">IF(COUNTIF(P1771:P1781,"&lt;"&amp;-0.001)=0,IF(ABS(P1772)&lt;0.001,0,P1772)," ")</f>
        <v>#NUM!</v>
      </c>
      <c r="R1772" s="8"/>
      <c r="S1772" s="8"/>
      <c r="U1772" s="34" t="e">
        <f t="shared" ref="U1772" si="7688">$Q1771</f>
        <v>#NUM!</v>
      </c>
      <c r="V1772" s="34">
        <v>-1</v>
      </c>
      <c r="W1772" s="34" t="e">
        <f t="shared" ref="W1772" si="7689">-SUMPRODUCT($Q1772:$Q1781,$N$3:$N$12)</f>
        <v>#NUM!</v>
      </c>
      <c r="X1772" s="34"/>
      <c r="Y1772" s="34"/>
      <c r="Z1772" s="34"/>
      <c r="AA1772" s="34" t="e">
        <f t="shared" ref="AA1772" si="7690">$Q1772</f>
        <v>#NUM!</v>
      </c>
      <c r="AB1772" s="34">
        <v>-1</v>
      </c>
      <c r="AC1772" s="34" t="e">
        <f t="shared" ref="AC1772" si="7691">-SUMPRODUCT($Q1771:$Q1771,$N$2:$N$2)-SUMPRODUCT($Q1773:$Q1781,$N$4:$N$12)</f>
        <v>#NUM!</v>
      </c>
      <c r="AD1772" s="34"/>
      <c r="AE1772" s="34"/>
      <c r="AF1772" s="34"/>
      <c r="AG1772" s="34" t="e">
        <f t="shared" ref="AG1772" si="7692">$Q1773</f>
        <v>#NUM!</v>
      </c>
      <c r="AH1772" s="34">
        <v>-1</v>
      </c>
      <c r="AI1772" s="34" t="e">
        <f t="shared" ref="AI1772" si="7693">-SUMPRODUCT($Q1771:$Q1772,$N$2:$N$3)-SUMPRODUCT($Q1774:$Q1781,$N$5:$N$12)</f>
        <v>#NUM!</v>
      </c>
      <c r="AJ1772" s="34"/>
      <c r="AK1772" s="34"/>
      <c r="AL1772" s="34"/>
      <c r="AM1772" s="34" t="e">
        <f t="shared" ref="AM1772" si="7694">$Q1774</f>
        <v>#NUM!</v>
      </c>
      <c r="AN1772" s="34">
        <v>-1</v>
      </c>
      <c r="AO1772" s="34" t="e">
        <f t="shared" ref="AO1772" si="7695">-SUMPRODUCT($Q1771:$Q1773,$N$2:$N$4)-SUMPRODUCT($Q1775:$Q1781,$N$6:$N$12)</f>
        <v>#NUM!</v>
      </c>
      <c r="AP1772" s="34"/>
      <c r="AQ1772" s="34"/>
      <c r="AR1772" s="34"/>
      <c r="AS1772" s="34" t="e">
        <f t="shared" ref="AS1772" si="7696">$Q1775</f>
        <v>#NUM!</v>
      </c>
      <c r="AT1772" s="34">
        <v>-1</v>
      </c>
      <c r="AU1772" s="34" t="e">
        <f t="shared" ref="AU1772" si="7697">-SUMPRODUCT($Q1771:$Q1774,$N$2:$N$5)-SUMPRODUCT($Q1776:$Q1781,$N$7:$N$12)</f>
        <v>#NUM!</v>
      </c>
      <c r="AV1772" s="34"/>
      <c r="AW1772" s="34"/>
      <c r="AX1772" s="34"/>
      <c r="AY1772" s="34" t="e">
        <f t="shared" ref="AY1772" si="7698">$Q1776</f>
        <v>#NUM!</v>
      </c>
      <c r="AZ1772" s="34">
        <v>-1</v>
      </c>
      <c r="BA1772" s="34" t="e">
        <f t="shared" ref="BA1772" si="7699">-SUMPRODUCT($Q1771:$Q1775,$N$2:$N$6)-SUMPRODUCT($Q1777:$Q1781,$N$8:$N$12)</f>
        <v>#NUM!</v>
      </c>
      <c r="BB1772" s="34"/>
      <c r="BC1772" s="34"/>
      <c r="BD1772" s="34"/>
      <c r="BE1772" s="34" t="e">
        <f t="shared" ref="BE1772" si="7700">$Q1777</f>
        <v>#NUM!</v>
      </c>
      <c r="BF1772" s="34">
        <v>-1</v>
      </c>
      <c r="BG1772" s="34" t="e">
        <f t="shared" ref="BG1772" si="7701">-SUMPRODUCT($Q1771:$Q1776,$N$2:$N$7)-SUMPRODUCT($Q1778:$Q1781,$N$9:$N$12)</f>
        <v>#NUM!</v>
      </c>
      <c r="BH1772" s="34"/>
      <c r="BI1772" s="34"/>
      <c r="BJ1772" s="34"/>
      <c r="BK1772" s="34" t="e">
        <f t="shared" ref="BK1772" si="7702">$Q1778</f>
        <v>#NUM!</v>
      </c>
      <c r="BL1772" s="34">
        <v>-1</v>
      </c>
      <c r="BM1772" s="34" t="e">
        <f t="shared" ref="BM1772" si="7703">-SUMPRODUCT($Q1771:$Q1777,$N$2:$N$8)-SUMPRODUCT($Q1779:$Q1781,$N$10:$N$12)</f>
        <v>#NUM!</v>
      </c>
      <c r="BN1772" s="34"/>
      <c r="BO1772" s="34"/>
      <c r="BP1772" s="34"/>
      <c r="BQ1772" s="34" t="e">
        <f t="shared" ref="BQ1772" si="7704">$Q1779</f>
        <v>#NUM!</v>
      </c>
      <c r="BR1772" s="34">
        <v>-1</v>
      </c>
      <c r="BS1772" s="34" t="e">
        <f t="shared" ref="BS1772" si="7705">-SUMPRODUCT($Q1771:$Q1778,$N$2:$N$9)-SUMPRODUCT($Q1780:$Q1781,$N$11:$N$12)</f>
        <v>#NUM!</v>
      </c>
      <c r="BT1772" s="34"/>
      <c r="BU1772" s="34"/>
      <c r="BV1772" s="34"/>
      <c r="BW1772" s="34" t="e">
        <f t="shared" ref="BW1772" si="7706">$Q1780</f>
        <v>#NUM!</v>
      </c>
      <c r="BX1772" s="34">
        <v>-1</v>
      </c>
      <c r="BY1772" s="34" t="e">
        <f t="shared" ref="BY1772" si="7707">-SUMPRODUCT($Q1771:$Q1779,$N$2:$N$10)-SUMPRODUCT($Q1781,$N$12)</f>
        <v>#NUM!</v>
      </c>
      <c r="BZ1772" s="34"/>
      <c r="CA1772" s="34"/>
      <c r="CB1772" s="34"/>
      <c r="CC1772" s="34" t="e">
        <f t="shared" ref="CC1772" si="7708">$Q1781</f>
        <v>#NUM!</v>
      </c>
      <c r="CD1772" s="34">
        <v>-1</v>
      </c>
      <c r="CE1772" s="34" t="e">
        <f t="shared" ref="CE1772" si="7709">-SUMPRODUCT($Q1771:$Q1780,$N$2:$N$11)</f>
        <v>#NUM!</v>
      </c>
      <c r="CF1772" s="34"/>
      <c r="CG1772" s="34"/>
      <c r="CH1772" s="34"/>
      <c r="CI1772" s="8"/>
    </row>
    <row r="1773" spans="1:87" x14ac:dyDescent="0.2">
      <c r="A1773" s="8" t="str">
        <f>IF(AND(COUNTIF(W$3:W$13,A$17)&gt;0,A$17&lt;&gt;B1562),A$17,IFERROR(IF(MATCH(A$17,Z$3:Z$13,0)=10,A$17," ")," "))</f>
        <v>C3</v>
      </c>
      <c r="B1773" s="8">
        <f>IF(A1773=" "," ",MAX(B1771:B1772)+1)</f>
        <v>1</v>
      </c>
      <c r="C1773" s="8" t="str">
        <f>IFERROR(INDEX(A1771:A1792,MATCH(SMALL(B1771:B1792,3),B1771:B1792,0),1)," ")</f>
        <v>C12</v>
      </c>
      <c r="D1773" s="8">
        <f t="shared" si="7675"/>
        <v>1</v>
      </c>
      <c r="E1773" s="8">
        <f t="shared" si="7676"/>
        <v>0</v>
      </c>
      <c r="F1773" s="8">
        <f t="shared" si="7677"/>
        <v>0</v>
      </c>
      <c r="G1773" s="8">
        <f t="shared" si="7678"/>
        <v>0</v>
      </c>
      <c r="H1773" s="8">
        <f t="shared" si="7679"/>
        <v>0</v>
      </c>
      <c r="I1773" s="8">
        <f t="shared" si="7680"/>
        <v>0</v>
      </c>
      <c r="J1773" s="8">
        <f t="shared" si="7681"/>
        <v>0</v>
      </c>
      <c r="K1773" s="8">
        <f t="shared" si="7682"/>
        <v>0</v>
      </c>
      <c r="L1773" s="8">
        <f t="shared" si="7683"/>
        <v>0</v>
      </c>
      <c r="M1773" s="8">
        <f t="shared" si="7684"/>
        <v>0</v>
      </c>
      <c r="N1773" s="8">
        <f t="shared" si="7685"/>
        <v>0</v>
      </c>
      <c r="O1773" s="8">
        <f t="shared" si="7686"/>
        <v>0</v>
      </c>
      <c r="P1773" s="8" t="e">
        <v>#NUM!</v>
      </c>
      <c r="Q1773" s="8" t="e">
        <f t="shared" ref="Q1773" si="7710">IF(COUNTIF(P1771:P1781,"&lt;"&amp;-0.001)=0,IF(ABS(P1773)&lt;0.001,0,P1773)," ")</f>
        <v>#NUM!</v>
      </c>
      <c r="R1773" s="8"/>
      <c r="S1773" s="8"/>
      <c r="U1773" s="34"/>
      <c r="V1773" s="34"/>
      <c r="W1773" s="34"/>
      <c r="X1773" s="34"/>
      <c r="Y1773" s="34"/>
      <c r="Z1773" s="34"/>
      <c r="AA1773" s="34"/>
      <c r="AB1773" s="34"/>
      <c r="AC1773" s="34"/>
      <c r="AD1773" s="34"/>
      <c r="AE1773" s="34"/>
      <c r="AF1773" s="34"/>
      <c r="AG1773" s="34"/>
      <c r="AH1773" s="34"/>
      <c r="AI1773" s="34"/>
      <c r="AJ1773" s="34"/>
      <c r="AK1773" s="34"/>
      <c r="AL1773" s="34"/>
      <c r="AM1773" s="34"/>
      <c r="AN1773" s="34"/>
      <c r="AO1773" s="34"/>
      <c r="AP1773" s="34"/>
      <c r="AQ1773" s="34"/>
      <c r="AR1773" s="34"/>
      <c r="AS1773" s="34"/>
      <c r="AT1773" s="34"/>
      <c r="AU1773" s="34"/>
      <c r="AV1773" s="34"/>
      <c r="AW1773" s="34"/>
      <c r="AX1773" s="34"/>
      <c r="AY1773" s="34"/>
      <c r="AZ1773" s="34"/>
      <c r="BA1773" s="34"/>
      <c r="BB1773" s="34"/>
      <c r="BC1773" s="34"/>
      <c r="BD1773" s="34"/>
      <c r="BE1773" s="34"/>
      <c r="BF1773" s="34"/>
      <c r="BG1773" s="34"/>
      <c r="BH1773" s="34"/>
      <c r="BI1773" s="34"/>
      <c r="BJ1773" s="34"/>
      <c r="BK1773" s="34"/>
      <c r="BL1773" s="34"/>
      <c r="BM1773" s="34"/>
      <c r="BN1773" s="34"/>
      <c r="BO1773" s="34"/>
      <c r="BP1773" s="34"/>
      <c r="BQ1773" s="34"/>
      <c r="BR1773" s="34"/>
      <c r="BS1773" s="34"/>
      <c r="BT1773" s="34"/>
      <c r="BU1773" s="34"/>
      <c r="BV1773" s="34"/>
      <c r="BW1773" s="34"/>
      <c r="BX1773" s="34"/>
      <c r="BY1773" s="34"/>
      <c r="BZ1773" s="34"/>
      <c r="CA1773" s="34"/>
      <c r="CB1773" s="34"/>
      <c r="CC1773" s="34"/>
      <c r="CD1773" s="34"/>
      <c r="CE1773" s="34"/>
      <c r="CF1773" s="34"/>
      <c r="CG1773" s="34"/>
      <c r="CH1773" s="34"/>
      <c r="CI1773" s="8"/>
    </row>
    <row r="1774" spans="1:87" x14ac:dyDescent="0.2">
      <c r="A1774" s="8" t="str">
        <f>IF(AND(COUNTIF(W$3:W$13,A$18)&gt;0,A$18&lt;&gt;B1562),A$18,IFERROR(IF(MATCH(A$18,Z$3:Z$13,0)=10,A$18," ")," "))</f>
        <v>C4</v>
      </c>
      <c r="B1774" s="8">
        <f>IF(A1774=" "," ",MAX(B1771:B1773)+1)</f>
        <v>2</v>
      </c>
      <c r="C1774" s="8" t="str">
        <f>IFERROR(INDEX(A1771:A1792,MATCH(SMALL(B1771:B1792,4),B1771:B1792,0),1)," ")</f>
        <v>C13</v>
      </c>
      <c r="D1774" s="8">
        <f t="shared" si="7675"/>
        <v>0</v>
      </c>
      <c r="E1774" s="8">
        <f t="shared" si="7676"/>
        <v>1</v>
      </c>
      <c r="F1774" s="8">
        <f t="shared" si="7677"/>
        <v>0</v>
      </c>
      <c r="G1774" s="8">
        <f t="shared" si="7678"/>
        <v>0</v>
      </c>
      <c r="H1774" s="8">
        <f t="shared" si="7679"/>
        <v>0</v>
      </c>
      <c r="I1774" s="8">
        <f t="shared" si="7680"/>
        <v>0</v>
      </c>
      <c r="J1774" s="8">
        <f t="shared" si="7681"/>
        <v>0</v>
      </c>
      <c r="K1774" s="8">
        <f t="shared" si="7682"/>
        <v>0</v>
      </c>
      <c r="L1774" s="8">
        <f t="shared" si="7683"/>
        <v>0</v>
      </c>
      <c r="M1774" s="8">
        <f t="shared" si="7684"/>
        <v>0</v>
      </c>
      <c r="N1774" s="8">
        <f t="shared" si="7685"/>
        <v>0</v>
      </c>
      <c r="O1774" s="8">
        <f t="shared" si="7686"/>
        <v>0</v>
      </c>
      <c r="P1774" s="8" t="e">
        <v>#NUM!</v>
      </c>
      <c r="Q1774" s="8" t="e">
        <f t="shared" ref="Q1774" si="7711">IF(COUNTIF(P1771:P1781,"&lt;"&amp;-0.001)=0,IF(ABS(P1774)&lt;0.001,0,P1774)," ")</f>
        <v>#NUM!</v>
      </c>
      <c r="R1774" s="8"/>
      <c r="S1774" s="8"/>
      <c r="U1774" s="34"/>
      <c r="V1774" s="34"/>
      <c r="W1774" s="34"/>
      <c r="X1774" s="34"/>
      <c r="Y1774" s="34"/>
      <c r="Z1774" s="34"/>
      <c r="AA1774" s="34"/>
      <c r="AB1774" s="34"/>
      <c r="AC1774" s="34"/>
      <c r="AD1774" s="34"/>
      <c r="AE1774" s="34"/>
      <c r="AF1774" s="34"/>
      <c r="AG1774" s="34"/>
      <c r="AH1774" s="34"/>
      <c r="AI1774" s="34"/>
      <c r="AJ1774" s="34"/>
      <c r="AK1774" s="34"/>
      <c r="AL1774" s="34"/>
      <c r="AM1774" s="34"/>
      <c r="AN1774" s="34"/>
      <c r="AO1774" s="34"/>
      <c r="AP1774" s="34"/>
      <c r="AQ1774" s="34"/>
      <c r="AR1774" s="34"/>
      <c r="AS1774" s="34"/>
      <c r="AT1774" s="34"/>
      <c r="AU1774" s="34"/>
      <c r="AV1774" s="34"/>
      <c r="AW1774" s="34"/>
      <c r="AX1774" s="34"/>
      <c r="AY1774" s="34"/>
      <c r="AZ1774" s="34"/>
      <c r="BA1774" s="34"/>
      <c r="BB1774" s="34"/>
      <c r="BC1774" s="34"/>
      <c r="BD1774" s="34"/>
      <c r="BE1774" s="34"/>
      <c r="BF1774" s="34"/>
      <c r="BG1774" s="34"/>
      <c r="BH1774" s="34"/>
      <c r="BI1774" s="34"/>
      <c r="BJ1774" s="34"/>
      <c r="BK1774" s="34"/>
      <c r="BL1774" s="34"/>
      <c r="BM1774" s="34"/>
      <c r="BN1774" s="34"/>
      <c r="BO1774" s="34"/>
      <c r="BP1774" s="34"/>
      <c r="BQ1774" s="34"/>
      <c r="BR1774" s="34"/>
      <c r="BS1774" s="34"/>
      <c r="BT1774" s="34"/>
      <c r="BU1774" s="34"/>
      <c r="BV1774" s="34"/>
      <c r="BW1774" s="34"/>
      <c r="BX1774" s="34"/>
      <c r="BY1774" s="34"/>
      <c r="BZ1774" s="34"/>
      <c r="CA1774" s="34"/>
      <c r="CB1774" s="34"/>
      <c r="CC1774" s="34"/>
      <c r="CD1774" s="34"/>
      <c r="CE1774" s="34"/>
      <c r="CF1774" s="34"/>
      <c r="CG1774" s="34"/>
      <c r="CH1774" s="34"/>
      <c r="CI1774" s="8"/>
    </row>
    <row r="1775" spans="1:87" x14ac:dyDescent="0.2">
      <c r="A1775" s="8" t="str">
        <f>IF(AND(COUNTIF(W$3:W$13,A$19)&gt;0,A$19&lt;&gt;B1562),A$19,IFERROR(IF(MATCH(A$19,Z$3:Z$13,0)=10,A$19," ")," "))</f>
        <v xml:space="preserve"> </v>
      </c>
      <c r="B1775" s="8" t="str">
        <f>IF(A1775=" "," ",MAX(B1771:B1774)+1)</f>
        <v xml:space="preserve"> </v>
      </c>
      <c r="C1775" s="8" t="str">
        <f>IFERROR(INDEX(A1771:A1792,MATCH(SMALL(B1771:B1792,5),B1771:B1792,0),1)," ")</f>
        <v>C15</v>
      </c>
      <c r="D1775" s="8">
        <f t="shared" si="7675"/>
        <v>0</v>
      </c>
      <c r="E1775" s="8">
        <f t="shared" si="7676"/>
        <v>0</v>
      </c>
      <c r="F1775" s="8">
        <f t="shared" si="7677"/>
        <v>0</v>
      </c>
      <c r="G1775" s="8">
        <f t="shared" si="7678"/>
        <v>1</v>
      </c>
      <c r="H1775" s="8">
        <f t="shared" si="7679"/>
        <v>0</v>
      </c>
      <c r="I1775" s="8">
        <f t="shared" si="7680"/>
        <v>0</v>
      </c>
      <c r="J1775" s="8">
        <f t="shared" si="7681"/>
        <v>0</v>
      </c>
      <c r="K1775" s="8">
        <f t="shared" si="7682"/>
        <v>0</v>
      </c>
      <c r="L1775" s="8">
        <f t="shared" si="7683"/>
        <v>0</v>
      </c>
      <c r="M1775" s="8">
        <f t="shared" si="7684"/>
        <v>0</v>
      </c>
      <c r="N1775" s="8">
        <f t="shared" si="7685"/>
        <v>0</v>
      </c>
      <c r="O1775" s="8">
        <f t="shared" si="7686"/>
        <v>0</v>
      </c>
      <c r="P1775" s="8" t="e">
        <v>#NUM!</v>
      </c>
      <c r="Q1775" s="8" t="e">
        <f t="shared" ref="Q1775" si="7712">IF(COUNTIF(P1771:P1781,"&lt;"&amp;-0.001)=0,IF(ABS(P1775)&lt;0.001,0,P1775)," ")</f>
        <v>#NUM!</v>
      </c>
      <c r="R1775" s="8"/>
      <c r="S1775" s="8"/>
      <c r="U1775" s="34"/>
      <c r="V1775" s="34"/>
      <c r="W1775" s="34"/>
      <c r="X1775" s="34"/>
      <c r="Y1775" s="34"/>
      <c r="Z1775" s="34"/>
      <c r="AA1775" s="34"/>
      <c r="AB1775" s="34"/>
      <c r="AC1775" s="34"/>
      <c r="AD1775" s="34"/>
      <c r="AE1775" s="34"/>
      <c r="AF1775" s="34"/>
      <c r="AG1775" s="34"/>
      <c r="AH1775" s="34"/>
      <c r="AI1775" s="34"/>
      <c r="AJ1775" s="34"/>
      <c r="AK1775" s="34"/>
      <c r="AL1775" s="34"/>
      <c r="AM1775" s="34"/>
      <c r="AN1775" s="34"/>
      <c r="AO1775" s="34"/>
      <c r="AP1775" s="34"/>
      <c r="AQ1775" s="34"/>
      <c r="AR1775" s="34"/>
      <c r="AS1775" s="34"/>
      <c r="AT1775" s="34"/>
      <c r="AU1775" s="34"/>
      <c r="AV1775" s="34"/>
      <c r="AW1775" s="34"/>
      <c r="AX1775" s="34"/>
      <c r="AY1775" s="34"/>
      <c r="AZ1775" s="34"/>
      <c r="BA1775" s="34"/>
      <c r="BB1775" s="34"/>
      <c r="BC1775" s="34"/>
      <c r="BD1775" s="34"/>
      <c r="BE1775" s="34"/>
      <c r="BF1775" s="34"/>
      <c r="BG1775" s="34"/>
      <c r="BH1775" s="34"/>
      <c r="BI1775" s="34"/>
      <c r="BJ1775" s="34"/>
      <c r="BK1775" s="34"/>
      <c r="BL1775" s="34"/>
      <c r="BM1775" s="34"/>
      <c r="BN1775" s="34"/>
      <c r="BO1775" s="34"/>
      <c r="BP1775" s="34"/>
      <c r="BQ1775" s="34"/>
      <c r="BR1775" s="34"/>
      <c r="BS1775" s="34"/>
      <c r="BT1775" s="34"/>
      <c r="BU1775" s="34"/>
      <c r="BV1775" s="34"/>
      <c r="BW1775" s="34"/>
      <c r="BX1775" s="34"/>
      <c r="BY1775" s="34"/>
      <c r="BZ1775" s="34"/>
      <c r="CA1775" s="34"/>
      <c r="CB1775" s="34"/>
      <c r="CC1775" s="34"/>
      <c r="CD1775" s="34"/>
      <c r="CE1775" s="34"/>
      <c r="CF1775" s="34"/>
      <c r="CG1775" s="34"/>
      <c r="CH1775" s="34"/>
      <c r="CI1775" s="8"/>
    </row>
    <row r="1776" spans="1:87" x14ac:dyDescent="0.2">
      <c r="A1776" s="8" t="str">
        <f>IF(AND(COUNTIF(W$3:W$13,A$20)&gt;0,A$20&lt;&gt;B1562),A$20,IFERROR(IF(MATCH(A$20,Z$3:Z$13,0)=10,A$20," ")," "))</f>
        <v xml:space="preserve"> </v>
      </c>
      <c r="B1776" s="8" t="str">
        <f>IF(A1776=" "," ",MAX(B1771:B1775)+1)</f>
        <v xml:space="preserve"> </v>
      </c>
      <c r="C1776" s="8" t="str">
        <f>IFERROR(INDEX(A1771:A1792,MATCH(SMALL(B1771:B1792,6),B1771:B1792,0),1)," ")</f>
        <v>C16</v>
      </c>
      <c r="D1776" s="8">
        <f t="shared" si="7675"/>
        <v>0</v>
      </c>
      <c r="E1776" s="8">
        <f t="shared" si="7676"/>
        <v>0</v>
      </c>
      <c r="F1776" s="8">
        <f t="shared" si="7677"/>
        <v>0</v>
      </c>
      <c r="G1776" s="8">
        <f t="shared" si="7678"/>
        <v>0</v>
      </c>
      <c r="H1776" s="8">
        <f t="shared" si="7679"/>
        <v>1</v>
      </c>
      <c r="I1776" s="8">
        <f t="shared" si="7680"/>
        <v>0</v>
      </c>
      <c r="J1776" s="8">
        <f t="shared" si="7681"/>
        <v>0</v>
      </c>
      <c r="K1776" s="8">
        <f t="shared" si="7682"/>
        <v>0</v>
      </c>
      <c r="L1776" s="8">
        <f t="shared" si="7683"/>
        <v>0</v>
      </c>
      <c r="M1776" s="8">
        <f t="shared" si="7684"/>
        <v>0</v>
      </c>
      <c r="N1776" s="8">
        <f t="shared" si="7685"/>
        <v>0</v>
      </c>
      <c r="O1776" s="8">
        <f t="shared" si="7686"/>
        <v>0</v>
      </c>
      <c r="P1776" s="8" t="e">
        <v>#NUM!</v>
      </c>
      <c r="Q1776" s="8" t="e">
        <f t="shared" ref="Q1776" si="7713">IF(COUNTIF(P1771:P1781,"&lt;"&amp;-0.001)=0,IF(ABS(P1776)&lt;0.001,0,P1776)," ")</f>
        <v>#NUM!</v>
      </c>
      <c r="R1776" s="8"/>
      <c r="S1776" s="8"/>
      <c r="U1776" s="34"/>
      <c r="V1776" s="34"/>
      <c r="W1776" s="34"/>
      <c r="X1776" s="34"/>
      <c r="Y1776" s="34"/>
      <c r="Z1776" s="34"/>
      <c r="AA1776" s="34"/>
      <c r="AB1776" s="34"/>
      <c r="AC1776" s="34"/>
      <c r="AD1776" s="34"/>
      <c r="AE1776" s="34"/>
      <c r="AF1776" s="34"/>
      <c r="AG1776" s="34"/>
      <c r="AH1776" s="34"/>
      <c r="AI1776" s="34"/>
      <c r="AJ1776" s="34"/>
      <c r="AK1776" s="34"/>
      <c r="AL1776" s="34"/>
      <c r="AM1776" s="34"/>
      <c r="AN1776" s="34"/>
      <c r="AO1776" s="34"/>
      <c r="AP1776" s="34"/>
      <c r="AQ1776" s="34"/>
      <c r="AR1776" s="34"/>
      <c r="AS1776" s="34"/>
      <c r="AT1776" s="34"/>
      <c r="AU1776" s="34"/>
      <c r="AV1776" s="34"/>
      <c r="AW1776" s="34"/>
      <c r="AX1776" s="34"/>
      <c r="AY1776" s="34"/>
      <c r="AZ1776" s="34"/>
      <c r="BA1776" s="34"/>
      <c r="BB1776" s="34"/>
      <c r="BC1776" s="34"/>
      <c r="BD1776" s="34"/>
      <c r="BE1776" s="34"/>
      <c r="BF1776" s="34"/>
      <c r="BG1776" s="34"/>
      <c r="BH1776" s="34"/>
      <c r="BI1776" s="34"/>
      <c r="BJ1776" s="34"/>
      <c r="BK1776" s="34"/>
      <c r="BL1776" s="34"/>
      <c r="BM1776" s="34"/>
      <c r="BN1776" s="34"/>
      <c r="BO1776" s="34"/>
      <c r="BP1776" s="34"/>
      <c r="BQ1776" s="34"/>
      <c r="BR1776" s="34"/>
      <c r="BS1776" s="34"/>
      <c r="BT1776" s="34"/>
      <c r="BU1776" s="34"/>
      <c r="BV1776" s="34"/>
      <c r="BW1776" s="34"/>
      <c r="BX1776" s="34"/>
      <c r="BY1776" s="34"/>
      <c r="BZ1776" s="34"/>
      <c r="CA1776" s="34"/>
      <c r="CB1776" s="34"/>
      <c r="CC1776" s="34"/>
      <c r="CD1776" s="34"/>
      <c r="CE1776" s="34"/>
      <c r="CF1776" s="34"/>
      <c r="CG1776" s="34"/>
      <c r="CH1776" s="34"/>
      <c r="CI1776" s="8"/>
    </row>
    <row r="1777" spans="1:87" x14ac:dyDescent="0.2">
      <c r="A1777" s="8" t="str">
        <f>IF(AND(COUNTIF(W$3:W$13,A$21)&gt;0,A$21&lt;&gt;B1562),A$21,IFERROR(IF(MATCH(A$21,Z$3:Z$13,0)=10,A$21," ")," "))</f>
        <v xml:space="preserve"> </v>
      </c>
      <c r="B1777" s="8" t="str">
        <f>IF(A1777=" "," ",MAX(B1771:B1776)+1)</f>
        <v xml:space="preserve"> </v>
      </c>
      <c r="C1777" s="8" t="str">
        <f>IFERROR(INDEX(A1771:A1792,MATCH(SMALL(B1771:B1792,7),B1771:B1792,0),1)," ")</f>
        <v>C17</v>
      </c>
      <c r="D1777" s="8">
        <f t="shared" si="7675"/>
        <v>0</v>
      </c>
      <c r="E1777" s="8">
        <f t="shared" si="7676"/>
        <v>0</v>
      </c>
      <c r="F1777" s="8">
        <f t="shared" si="7677"/>
        <v>0</v>
      </c>
      <c r="G1777" s="8">
        <f t="shared" si="7678"/>
        <v>0</v>
      </c>
      <c r="H1777" s="8">
        <f t="shared" si="7679"/>
        <v>0</v>
      </c>
      <c r="I1777" s="8">
        <f t="shared" si="7680"/>
        <v>1</v>
      </c>
      <c r="J1777" s="8">
        <f t="shared" si="7681"/>
        <v>0</v>
      </c>
      <c r="K1777" s="8">
        <f t="shared" si="7682"/>
        <v>0</v>
      </c>
      <c r="L1777" s="8">
        <f t="shared" si="7683"/>
        <v>0</v>
      </c>
      <c r="M1777" s="8">
        <f t="shared" si="7684"/>
        <v>0</v>
      </c>
      <c r="N1777" s="8">
        <f t="shared" si="7685"/>
        <v>0</v>
      </c>
      <c r="O1777" s="8">
        <f t="shared" si="7686"/>
        <v>0</v>
      </c>
      <c r="P1777" s="8" t="e">
        <v>#NUM!</v>
      </c>
      <c r="Q1777" s="8" t="e">
        <f t="shared" ref="Q1777" si="7714">IF(COUNTIF(P1771:P1781,"&lt;"&amp;-0.001)=0,IF(ABS(P1777)&lt;0.001,0,P1777)," ")</f>
        <v>#NUM!</v>
      </c>
      <c r="R1777" s="8"/>
      <c r="S1777" s="8"/>
      <c r="U1777" s="34"/>
      <c r="V1777" s="34"/>
      <c r="W1777" s="34"/>
      <c r="X1777" s="34"/>
      <c r="Y1777" s="34"/>
      <c r="Z1777" s="34"/>
      <c r="AA1777" s="34"/>
      <c r="AB1777" s="34"/>
      <c r="AC1777" s="34"/>
      <c r="AD1777" s="34"/>
      <c r="AE1777" s="34"/>
      <c r="AF1777" s="34"/>
      <c r="AG1777" s="34"/>
      <c r="AH1777" s="34"/>
      <c r="AI1777" s="34"/>
      <c r="AJ1777" s="34"/>
      <c r="AK1777" s="34"/>
      <c r="AL1777" s="34"/>
      <c r="AM1777" s="34"/>
      <c r="AN1777" s="34"/>
      <c r="AO1777" s="34"/>
      <c r="AP1777" s="34"/>
      <c r="AQ1777" s="34"/>
      <c r="AR1777" s="34"/>
      <c r="AS1777" s="34"/>
      <c r="AT1777" s="34"/>
      <c r="AU1777" s="34"/>
      <c r="AV1777" s="34"/>
      <c r="AW1777" s="34"/>
      <c r="AX1777" s="34"/>
      <c r="AY1777" s="34"/>
      <c r="AZ1777" s="34"/>
      <c r="BA1777" s="34"/>
      <c r="BB1777" s="34"/>
      <c r="BC1777" s="34"/>
      <c r="BD1777" s="34"/>
      <c r="BE1777" s="34"/>
      <c r="BF1777" s="34"/>
      <c r="BG1777" s="34"/>
      <c r="BH1777" s="34"/>
      <c r="BI1777" s="34"/>
      <c r="BJ1777" s="34"/>
      <c r="BK1777" s="34"/>
      <c r="BL1777" s="34"/>
      <c r="BM1777" s="34"/>
      <c r="BN1777" s="34"/>
      <c r="BO1777" s="34"/>
      <c r="BP1777" s="34"/>
      <c r="BQ1777" s="34"/>
      <c r="BR1777" s="34"/>
      <c r="BS1777" s="34"/>
      <c r="BT1777" s="34"/>
      <c r="BU1777" s="34"/>
      <c r="BV1777" s="34"/>
      <c r="BW1777" s="34"/>
      <c r="BX1777" s="34"/>
      <c r="BY1777" s="34"/>
      <c r="BZ1777" s="34"/>
      <c r="CA1777" s="34"/>
      <c r="CB1777" s="34"/>
      <c r="CC1777" s="34"/>
      <c r="CD1777" s="34"/>
      <c r="CE1777" s="34"/>
      <c r="CF1777" s="34"/>
      <c r="CG1777" s="34"/>
      <c r="CH1777" s="34"/>
      <c r="CI1777" s="8"/>
    </row>
    <row r="1778" spans="1:87" x14ac:dyDescent="0.2">
      <c r="A1778" s="8" t="str">
        <f>IF(AND(COUNTIF(W$3:W$13,A$22)&gt;0,A$22&lt;&gt;B1562),A$22,IFERROR(IF(MATCH(A$22,Z$3:Z$13,0)=10,A$22," ")," "))</f>
        <v xml:space="preserve"> </v>
      </c>
      <c r="B1778" s="8" t="str">
        <f>IF(A1778=" "," ",MAX(B1771:B1777)+1)</f>
        <v xml:space="preserve"> </v>
      </c>
      <c r="C1778" s="8" t="str">
        <f>IFERROR(INDEX(A1771:A1792,MATCH(SMALL(B1771:B1792,8),B1771:B1792,0),1)," ")</f>
        <v>C19</v>
      </c>
      <c r="D1778" s="8">
        <f t="shared" si="7675"/>
        <v>0</v>
      </c>
      <c r="E1778" s="8">
        <f t="shared" si="7676"/>
        <v>0</v>
      </c>
      <c r="F1778" s="8">
        <f t="shared" si="7677"/>
        <v>0</v>
      </c>
      <c r="G1778" s="8">
        <f t="shared" si="7678"/>
        <v>0</v>
      </c>
      <c r="H1778" s="8">
        <f t="shared" si="7679"/>
        <v>0</v>
      </c>
      <c r="I1778" s="8">
        <f t="shared" si="7680"/>
        <v>0</v>
      </c>
      <c r="J1778" s="8">
        <f t="shared" si="7681"/>
        <v>0</v>
      </c>
      <c r="K1778" s="8">
        <f t="shared" si="7682"/>
        <v>1</v>
      </c>
      <c r="L1778" s="8">
        <f t="shared" si="7683"/>
        <v>0</v>
      </c>
      <c r="M1778" s="8">
        <f t="shared" si="7684"/>
        <v>0</v>
      </c>
      <c r="N1778" s="8">
        <f t="shared" si="7685"/>
        <v>0</v>
      </c>
      <c r="O1778" s="8">
        <f t="shared" si="7686"/>
        <v>0</v>
      </c>
      <c r="P1778" s="8" t="e">
        <v>#NUM!</v>
      </c>
      <c r="Q1778" s="8" t="e">
        <f t="shared" ref="Q1778" si="7715">IF(COUNTIF(P1771:P1781,"&lt;"&amp;-0.001)=0,IF(ABS(P1778)&lt;0.001,0,P1778)," ")</f>
        <v>#NUM!</v>
      </c>
      <c r="R1778" s="8"/>
      <c r="S1778" s="8"/>
      <c r="U1778" s="34"/>
      <c r="V1778" s="34"/>
      <c r="W1778" s="34"/>
      <c r="X1778" s="34"/>
      <c r="Y1778" s="34"/>
      <c r="Z1778" s="34"/>
      <c r="AA1778" s="34"/>
      <c r="AB1778" s="34"/>
      <c r="AC1778" s="34"/>
      <c r="AD1778" s="34"/>
      <c r="AE1778" s="34"/>
      <c r="AF1778" s="34"/>
      <c r="AG1778" s="34"/>
      <c r="AH1778" s="34"/>
      <c r="AI1778" s="34"/>
      <c r="AJ1778" s="34"/>
      <c r="AK1778" s="34"/>
      <c r="AL1778" s="34"/>
      <c r="AM1778" s="34"/>
      <c r="AN1778" s="34"/>
      <c r="AO1778" s="34"/>
      <c r="AP1778" s="34"/>
      <c r="AQ1778" s="34"/>
      <c r="AR1778" s="34"/>
      <c r="AS1778" s="34"/>
      <c r="AT1778" s="34"/>
      <c r="AU1778" s="34"/>
      <c r="AV1778" s="34"/>
      <c r="AW1778" s="34"/>
      <c r="AX1778" s="34"/>
      <c r="AY1778" s="34"/>
      <c r="AZ1778" s="34"/>
      <c r="BA1778" s="34"/>
      <c r="BB1778" s="34"/>
      <c r="BC1778" s="34"/>
      <c r="BD1778" s="34"/>
      <c r="BE1778" s="34"/>
      <c r="BF1778" s="34"/>
      <c r="BG1778" s="34"/>
      <c r="BH1778" s="34"/>
      <c r="BI1778" s="34"/>
      <c r="BJ1778" s="34"/>
      <c r="BK1778" s="34"/>
      <c r="BL1778" s="34"/>
      <c r="BM1778" s="34"/>
      <c r="BN1778" s="34"/>
      <c r="BO1778" s="34"/>
      <c r="BP1778" s="34"/>
      <c r="BQ1778" s="34"/>
      <c r="BR1778" s="34"/>
      <c r="BS1778" s="34"/>
      <c r="BT1778" s="34"/>
      <c r="BU1778" s="34"/>
      <c r="BV1778" s="34"/>
      <c r="BW1778" s="34"/>
      <c r="BX1778" s="34"/>
      <c r="BY1778" s="34"/>
      <c r="BZ1778" s="34"/>
      <c r="CA1778" s="34"/>
      <c r="CB1778" s="34"/>
      <c r="CC1778" s="34"/>
      <c r="CD1778" s="34"/>
      <c r="CE1778" s="34"/>
      <c r="CF1778" s="34"/>
      <c r="CG1778" s="34"/>
      <c r="CH1778" s="34"/>
      <c r="CI1778" s="8"/>
    </row>
    <row r="1779" spans="1:87" x14ac:dyDescent="0.2">
      <c r="A1779" s="8" t="str">
        <f>IF(AND(COUNTIF(W$3:W$13,A$23)&gt;0,A$23&lt;&gt;B1562),A$23,IFERROR(IF(MATCH(A$23,Z$3:Z$13,0)=10,A$23," ")," "))</f>
        <v xml:space="preserve"> </v>
      </c>
      <c r="B1779" s="8" t="str">
        <f>IF(A1779=" "," ",MAX(B1771:B1778)+1)</f>
        <v xml:space="preserve"> </v>
      </c>
      <c r="C1779" s="8" t="str">
        <f>IFERROR(INDEX(A1771:A1792,MATCH(SMALL(B1771:B1792,9),B1771:B1792,0),1)," ")</f>
        <v>C20</v>
      </c>
      <c r="D1779" s="8">
        <f t="shared" si="7675"/>
        <v>0</v>
      </c>
      <c r="E1779" s="8">
        <f t="shared" si="7676"/>
        <v>0</v>
      </c>
      <c r="F1779" s="8">
        <f t="shared" si="7677"/>
        <v>0</v>
      </c>
      <c r="G1779" s="8">
        <f t="shared" si="7678"/>
        <v>0</v>
      </c>
      <c r="H1779" s="8">
        <f t="shared" si="7679"/>
        <v>0</v>
      </c>
      <c r="I1779" s="8">
        <f t="shared" si="7680"/>
        <v>0</v>
      </c>
      <c r="J1779" s="8">
        <f t="shared" si="7681"/>
        <v>0</v>
      </c>
      <c r="K1779" s="8">
        <f t="shared" si="7682"/>
        <v>0</v>
      </c>
      <c r="L1779" s="8">
        <f t="shared" si="7683"/>
        <v>1</v>
      </c>
      <c r="M1779" s="8">
        <f t="shared" si="7684"/>
        <v>0</v>
      </c>
      <c r="N1779" s="8">
        <f t="shared" si="7685"/>
        <v>0</v>
      </c>
      <c r="O1779" s="8">
        <f t="shared" si="7686"/>
        <v>0</v>
      </c>
      <c r="P1779" s="6" t="e">
        <v>#NUM!</v>
      </c>
      <c r="Q1779" s="8" t="e">
        <f t="shared" ref="Q1779" si="7716">IF(COUNTIF(P1771:P1781,"&lt;"&amp;-0.001)=0,IF(ABS(P1779)&lt;0.001,0,P1779)," ")</f>
        <v>#NUM!</v>
      </c>
      <c r="R1779" s="8"/>
      <c r="S1779" s="8"/>
      <c r="U1779" s="34"/>
      <c r="V1779" s="34"/>
      <c r="W1779" s="34"/>
      <c r="X1779" s="34"/>
      <c r="Y1779" s="34"/>
      <c r="Z1779" s="34"/>
      <c r="AA1779" s="34"/>
      <c r="AB1779" s="34"/>
      <c r="AC1779" s="34"/>
      <c r="AD1779" s="34"/>
      <c r="AE1779" s="34"/>
      <c r="AF1779" s="34"/>
      <c r="AG1779" s="34"/>
      <c r="AH1779" s="34"/>
      <c r="AI1779" s="34"/>
      <c r="AJ1779" s="34"/>
      <c r="AK1779" s="34"/>
      <c r="AL1779" s="34"/>
      <c r="AM1779" s="34"/>
      <c r="AN1779" s="34"/>
      <c r="AO1779" s="34"/>
      <c r="AP1779" s="34"/>
      <c r="AQ1779" s="34"/>
      <c r="AR1779" s="34"/>
      <c r="AS1779" s="34"/>
      <c r="AT1779" s="34"/>
      <c r="AU1779" s="34"/>
      <c r="AV1779" s="34"/>
      <c r="AW1779" s="34"/>
      <c r="AX1779" s="34"/>
      <c r="AY1779" s="34"/>
      <c r="AZ1779" s="34"/>
      <c r="BA1779" s="34"/>
      <c r="BB1779" s="34"/>
      <c r="BC1779" s="34"/>
      <c r="BD1779" s="34"/>
      <c r="BE1779" s="34"/>
      <c r="BF1779" s="34"/>
      <c r="BG1779" s="34"/>
      <c r="BH1779" s="34"/>
      <c r="BI1779" s="34"/>
      <c r="BJ1779" s="34"/>
      <c r="BK1779" s="34"/>
      <c r="BL1779" s="34"/>
      <c r="BM1779" s="34"/>
      <c r="BN1779" s="34"/>
      <c r="BO1779" s="34"/>
      <c r="BP1779" s="34"/>
      <c r="BQ1779" s="34"/>
      <c r="BR1779" s="34"/>
      <c r="BS1779" s="34"/>
      <c r="BT1779" s="34"/>
      <c r="BU1779" s="34"/>
      <c r="BV1779" s="34"/>
      <c r="BW1779" s="34"/>
      <c r="BX1779" s="34"/>
      <c r="BY1779" s="34"/>
      <c r="BZ1779" s="34"/>
      <c r="CA1779" s="34"/>
      <c r="CB1779" s="34"/>
      <c r="CC1779" s="34"/>
      <c r="CD1779" s="34"/>
      <c r="CE1779" s="34"/>
      <c r="CF1779" s="34"/>
      <c r="CG1779" s="34"/>
      <c r="CH1779" s="34"/>
      <c r="CI1779" s="8"/>
    </row>
    <row r="1780" spans="1:87" x14ac:dyDescent="0.2">
      <c r="A1780" s="8" t="str">
        <f>IF(AND(COUNTIF(W$3:W$13,A$24)&gt;0,A$24&lt;&gt;B1562),A$24,IFERROR(IF(MATCH(A$24,Z$3:Z$13,0)=10,A$24," ")," "))</f>
        <v xml:space="preserve"> </v>
      </c>
      <c r="B1780" s="8" t="str">
        <f>IF(A1780=" "," ",MAX(B1771:B1779)+1)</f>
        <v xml:space="preserve"> </v>
      </c>
      <c r="C1780" s="8" t="str">
        <f>IFERROR(INDEX(A1771:A1792,MATCH(SMALL(B1771:B1792,10),B1771:B1792,0),1)," ")</f>
        <v>C21</v>
      </c>
      <c r="D1780" s="8">
        <f t="shared" si="7675"/>
        <v>0</v>
      </c>
      <c r="E1780" s="8">
        <f t="shared" si="7676"/>
        <v>0</v>
      </c>
      <c r="F1780" s="8">
        <f t="shared" si="7677"/>
        <v>0</v>
      </c>
      <c r="G1780" s="8">
        <f t="shared" si="7678"/>
        <v>0</v>
      </c>
      <c r="H1780" s="8">
        <f t="shared" si="7679"/>
        <v>0</v>
      </c>
      <c r="I1780" s="8">
        <f t="shared" si="7680"/>
        <v>0</v>
      </c>
      <c r="J1780" s="8">
        <f t="shared" si="7681"/>
        <v>0</v>
      </c>
      <c r="K1780" s="8">
        <f t="shared" si="7682"/>
        <v>0</v>
      </c>
      <c r="L1780" s="8">
        <f t="shared" si="7683"/>
        <v>0</v>
      </c>
      <c r="M1780" s="8">
        <f t="shared" si="7684"/>
        <v>1</v>
      </c>
      <c r="N1780" s="8">
        <f t="shared" si="7685"/>
        <v>0</v>
      </c>
      <c r="O1780" s="8">
        <f t="shared" si="7686"/>
        <v>0</v>
      </c>
      <c r="P1780" s="8" t="e">
        <v>#NUM!</v>
      </c>
      <c r="Q1780" s="8" t="e">
        <f t="shared" ref="Q1780" si="7717">IF(COUNTIF(P1771:P1781,"&lt;"&amp;-0.001)=0,IF(ABS(P1780)&lt;0.001,0,P1780)," ")</f>
        <v>#NUM!</v>
      </c>
      <c r="R1780" s="8"/>
      <c r="S1780" s="8"/>
      <c r="U1780" s="34"/>
      <c r="V1780" s="34"/>
      <c r="W1780" s="34"/>
      <c r="X1780" s="34"/>
      <c r="Y1780" s="34"/>
      <c r="Z1780" s="34"/>
      <c r="AA1780" s="34"/>
      <c r="AB1780" s="34"/>
      <c r="AC1780" s="34"/>
      <c r="AD1780" s="34"/>
      <c r="AE1780" s="34"/>
      <c r="AF1780" s="34"/>
      <c r="AG1780" s="34"/>
      <c r="AH1780" s="34"/>
      <c r="AI1780" s="34"/>
      <c r="AJ1780" s="34"/>
      <c r="AK1780" s="34"/>
      <c r="AL1780" s="34"/>
      <c r="AM1780" s="34"/>
      <c r="AN1780" s="34"/>
      <c r="AO1780" s="34"/>
      <c r="AP1780" s="34"/>
      <c r="AQ1780" s="34"/>
      <c r="AR1780" s="34"/>
      <c r="AS1780" s="34"/>
      <c r="AT1780" s="34"/>
      <c r="AU1780" s="34"/>
      <c r="AV1780" s="34"/>
      <c r="AW1780" s="34"/>
      <c r="AX1780" s="34"/>
      <c r="AY1780" s="34"/>
      <c r="AZ1780" s="34"/>
      <c r="BA1780" s="34"/>
      <c r="BB1780" s="34"/>
      <c r="BC1780" s="34"/>
      <c r="BD1780" s="34"/>
      <c r="BE1780" s="34"/>
      <c r="BF1780" s="34"/>
      <c r="BG1780" s="34"/>
      <c r="BH1780" s="34"/>
      <c r="BI1780" s="34"/>
      <c r="BJ1780" s="34"/>
      <c r="BK1780" s="34"/>
      <c r="BL1780" s="34"/>
      <c r="BM1780" s="34"/>
      <c r="BN1780" s="34"/>
      <c r="BO1780" s="34"/>
      <c r="BP1780" s="34"/>
      <c r="BQ1780" s="34"/>
      <c r="BR1780" s="34"/>
      <c r="BS1780" s="34"/>
      <c r="BT1780" s="34"/>
      <c r="BU1780" s="34"/>
      <c r="BV1780" s="34"/>
      <c r="BW1780" s="34"/>
      <c r="BX1780" s="34"/>
      <c r="BY1780" s="34"/>
      <c r="BZ1780" s="34"/>
      <c r="CA1780" s="34"/>
      <c r="CB1780" s="34"/>
      <c r="CC1780" s="34"/>
      <c r="CD1780" s="34"/>
      <c r="CE1780" s="34"/>
      <c r="CF1780" s="34"/>
      <c r="CG1780" s="34"/>
      <c r="CH1780" s="34"/>
      <c r="CI1780" s="8"/>
    </row>
    <row r="1781" spans="1:87" x14ac:dyDescent="0.2">
      <c r="A1781" s="8" t="str">
        <f>IF(AND(COUNTIF(W$3:W$13,A$25)&gt;0,A$25&lt;&gt;B1562),A$25,IFERROR(IF(MATCH(A$25,Z$3:Z$13,0)=10,A$25," ")," "))</f>
        <v xml:space="preserve"> </v>
      </c>
      <c r="B1781" s="8" t="str">
        <f>IF(A1781=" "," ",MAX(B1771:B1780)+1)</f>
        <v xml:space="preserve"> </v>
      </c>
      <c r="C1781" s="8" t="str">
        <f>IFERROR(INDEX(A1771:A1792,MATCH(SMALL(B1771:B1792,11),B1771:B1792,0),1)," ")</f>
        <v>C22</v>
      </c>
      <c r="D1781" s="8">
        <f t="shared" si="7675"/>
        <v>0</v>
      </c>
      <c r="E1781" s="8">
        <f t="shared" si="7676"/>
        <v>0</v>
      </c>
      <c r="F1781" s="8">
        <f t="shared" si="7677"/>
        <v>0</v>
      </c>
      <c r="G1781" s="8">
        <f t="shared" si="7678"/>
        <v>0</v>
      </c>
      <c r="H1781" s="8">
        <f t="shared" si="7679"/>
        <v>0</v>
      </c>
      <c r="I1781" s="8">
        <f t="shared" si="7680"/>
        <v>0</v>
      </c>
      <c r="J1781" s="8">
        <f t="shared" si="7681"/>
        <v>0</v>
      </c>
      <c r="K1781" s="8">
        <f t="shared" si="7682"/>
        <v>0</v>
      </c>
      <c r="L1781" s="8">
        <f t="shared" si="7683"/>
        <v>0</v>
      </c>
      <c r="M1781" s="8">
        <f t="shared" si="7684"/>
        <v>0</v>
      </c>
      <c r="N1781" s="8">
        <f t="shared" si="7685"/>
        <v>1</v>
      </c>
      <c r="O1781" s="8">
        <f t="shared" si="7686"/>
        <v>0</v>
      </c>
      <c r="P1781" s="8" t="e">
        <v>#NUM!</v>
      </c>
      <c r="Q1781" s="8" t="e">
        <f t="shared" ref="Q1781" si="7718">IF(COUNTIF(P1771:P1781,"&lt;"&amp;-0.001)=0,IF(ABS(P1781)&lt;0.001,0,P1781)," ")</f>
        <v>#NUM!</v>
      </c>
      <c r="R1781" s="8"/>
      <c r="S1781" s="8"/>
      <c r="U1781" s="34"/>
      <c r="V1781" s="34"/>
      <c r="W1781" s="34"/>
      <c r="X1781" s="34"/>
      <c r="Y1781" s="34"/>
      <c r="Z1781" s="34"/>
      <c r="AA1781" s="34"/>
      <c r="AB1781" s="34"/>
      <c r="AC1781" s="34"/>
      <c r="AD1781" s="34"/>
      <c r="AE1781" s="34"/>
      <c r="AF1781" s="34"/>
      <c r="AG1781" s="34"/>
      <c r="AH1781" s="34"/>
      <c r="AI1781" s="34"/>
      <c r="AJ1781" s="34"/>
      <c r="AK1781" s="34"/>
      <c r="AL1781" s="34"/>
      <c r="AM1781" s="34"/>
      <c r="AN1781" s="34"/>
      <c r="AO1781" s="34"/>
      <c r="AP1781" s="34"/>
      <c r="AQ1781" s="34"/>
      <c r="AR1781" s="34"/>
      <c r="AS1781" s="34"/>
      <c r="AT1781" s="34"/>
      <c r="AU1781" s="34"/>
      <c r="AV1781" s="34"/>
      <c r="AW1781" s="34"/>
      <c r="AX1781" s="34"/>
      <c r="AY1781" s="34"/>
      <c r="AZ1781" s="34"/>
      <c r="BA1781" s="34"/>
      <c r="BB1781" s="34"/>
      <c r="BC1781" s="34"/>
      <c r="BD1781" s="34"/>
      <c r="BE1781" s="34"/>
      <c r="BF1781" s="34"/>
      <c r="BG1781" s="34"/>
      <c r="BH1781" s="34"/>
      <c r="BI1781" s="34"/>
      <c r="BJ1781" s="34"/>
      <c r="BK1781" s="34"/>
      <c r="BL1781" s="34"/>
      <c r="BM1781" s="34"/>
      <c r="BN1781" s="34"/>
      <c r="BO1781" s="34"/>
      <c r="BP1781" s="34"/>
      <c r="BQ1781" s="34"/>
      <c r="BR1781" s="34"/>
      <c r="BS1781" s="34"/>
      <c r="BT1781" s="34"/>
      <c r="BU1781" s="34"/>
      <c r="BV1781" s="34"/>
      <c r="BW1781" s="34"/>
      <c r="BX1781" s="34"/>
      <c r="BY1781" s="34"/>
      <c r="BZ1781" s="34"/>
      <c r="CA1781" s="34"/>
      <c r="CB1781" s="34"/>
      <c r="CC1781" s="34"/>
      <c r="CD1781" s="34"/>
      <c r="CE1781" s="34"/>
      <c r="CF1781" s="34"/>
      <c r="CG1781" s="34"/>
      <c r="CH1781" s="34"/>
      <c r="CI1781" s="8"/>
    </row>
    <row r="1782" spans="1:87" x14ac:dyDescent="0.2">
      <c r="A1782" s="8" t="str">
        <f>IF(AND(COUNTIF(W$3:W$13,A$26)&gt;0,A$26&lt;&gt;B1562),A$26,IFERROR(IF(MATCH(A$26,Z$3:Z$13,0)=10,A$26," ")," "))</f>
        <v>C12</v>
      </c>
      <c r="B1782" s="8">
        <f>IF(A1782=" "," ",MAX(B1771:B1781)+1)</f>
        <v>3</v>
      </c>
      <c r="C1782" s="8"/>
      <c r="D1782" s="8"/>
      <c r="E1782" s="8"/>
      <c r="F1782" s="8"/>
      <c r="G1782" s="8"/>
      <c r="H1782" s="8"/>
      <c r="I1782" s="8"/>
      <c r="J1782" s="8"/>
      <c r="K1782" s="8"/>
      <c r="L1782" s="8"/>
      <c r="M1782" s="8"/>
      <c r="N1782" s="8"/>
      <c r="O1782" s="8"/>
      <c r="P1782" s="8"/>
      <c r="Q1782" s="8"/>
      <c r="R1782" s="8"/>
      <c r="S1782" s="8"/>
      <c r="U1782" s="34"/>
      <c r="V1782" s="34"/>
      <c r="W1782" s="34"/>
      <c r="X1782" s="34"/>
      <c r="Y1782" s="34"/>
      <c r="Z1782" s="34"/>
      <c r="AA1782" s="34"/>
      <c r="AB1782" s="34"/>
      <c r="AC1782" s="34"/>
      <c r="AD1782" s="34"/>
      <c r="AE1782" s="34"/>
      <c r="AF1782" s="34"/>
      <c r="AG1782" s="34"/>
      <c r="AH1782" s="34"/>
      <c r="AI1782" s="34"/>
      <c r="AJ1782" s="34"/>
      <c r="AK1782" s="34"/>
      <c r="AL1782" s="34"/>
      <c r="AM1782" s="34"/>
      <c r="AN1782" s="34"/>
      <c r="AO1782" s="34"/>
      <c r="AP1782" s="34"/>
      <c r="AQ1782" s="34"/>
      <c r="AR1782" s="34"/>
      <c r="AS1782" s="34"/>
      <c r="AT1782" s="34"/>
      <c r="AU1782" s="34"/>
      <c r="AV1782" s="34"/>
      <c r="AW1782" s="34"/>
      <c r="AX1782" s="34"/>
      <c r="AY1782" s="34"/>
      <c r="AZ1782" s="34"/>
      <c r="BA1782" s="34"/>
      <c r="BB1782" s="34"/>
      <c r="BC1782" s="34"/>
      <c r="BD1782" s="34"/>
      <c r="BE1782" s="34"/>
      <c r="BF1782" s="34"/>
      <c r="BG1782" s="34"/>
      <c r="BH1782" s="34"/>
      <c r="BI1782" s="34"/>
      <c r="BJ1782" s="34"/>
      <c r="BK1782" s="34"/>
      <c r="BL1782" s="34"/>
      <c r="BM1782" s="34"/>
      <c r="BN1782" s="34"/>
      <c r="BO1782" s="34"/>
      <c r="BP1782" s="34"/>
      <c r="BQ1782" s="34"/>
      <c r="BR1782" s="34"/>
      <c r="BS1782" s="34"/>
      <c r="BT1782" s="34"/>
      <c r="BU1782" s="34"/>
      <c r="BV1782" s="34"/>
      <c r="BW1782" s="34"/>
      <c r="BX1782" s="34"/>
      <c r="BY1782" s="34"/>
      <c r="BZ1782" s="34"/>
      <c r="CA1782" s="34"/>
      <c r="CB1782" s="34"/>
      <c r="CC1782" s="34"/>
      <c r="CD1782" s="34"/>
      <c r="CE1782" s="34"/>
      <c r="CF1782" s="34"/>
      <c r="CG1782" s="34"/>
      <c r="CH1782" s="34"/>
      <c r="CI1782" s="8"/>
    </row>
    <row r="1783" spans="1:87" x14ac:dyDescent="0.2">
      <c r="A1783" s="8" t="str">
        <f>IF(AND(COUNTIF(W$3:W$13,A$27)&gt;0,A$27&lt;&gt;B1562),A$27,IFERROR(IF(MATCH(A$27,Z$3:Z$13,0)=10,A$27," ")," "))</f>
        <v>C13</v>
      </c>
      <c r="B1783" s="8">
        <f>IF(A1783=" "," ",MAX(B1771:B1782)+1)</f>
        <v>4</v>
      </c>
      <c r="C1783" s="8"/>
      <c r="D1783" s="8"/>
      <c r="E1783" s="8"/>
      <c r="F1783" s="8"/>
      <c r="G1783" s="8"/>
      <c r="H1783" s="8"/>
      <c r="I1783" s="8"/>
      <c r="J1783" s="8"/>
      <c r="K1783" s="8"/>
      <c r="L1783" s="8"/>
      <c r="M1783" s="8"/>
      <c r="N1783" s="8"/>
      <c r="O1783" s="8"/>
      <c r="P1783" s="8"/>
      <c r="Q1783" s="8"/>
      <c r="R1783" s="8"/>
      <c r="S1783" s="8"/>
      <c r="U1783" s="34"/>
      <c r="V1783" s="34"/>
      <c r="W1783" s="34"/>
      <c r="X1783" s="34"/>
      <c r="Y1783" s="34"/>
      <c r="Z1783" s="34"/>
      <c r="AA1783" s="34"/>
      <c r="AB1783" s="34"/>
      <c r="AC1783" s="34"/>
      <c r="AD1783" s="34"/>
      <c r="AE1783" s="34"/>
      <c r="AF1783" s="34"/>
      <c r="AG1783" s="34"/>
      <c r="AH1783" s="34"/>
      <c r="AI1783" s="34"/>
      <c r="AJ1783" s="34"/>
      <c r="AK1783" s="34"/>
      <c r="AL1783" s="34"/>
      <c r="AM1783" s="34"/>
      <c r="AN1783" s="34"/>
      <c r="AO1783" s="34"/>
      <c r="AP1783" s="34"/>
      <c r="AQ1783" s="34"/>
      <c r="AR1783" s="34"/>
      <c r="AS1783" s="34"/>
      <c r="AT1783" s="34"/>
      <c r="AU1783" s="34"/>
      <c r="AV1783" s="34"/>
      <c r="AW1783" s="34"/>
      <c r="AX1783" s="34"/>
      <c r="AY1783" s="34"/>
      <c r="AZ1783" s="34"/>
      <c r="BA1783" s="34"/>
      <c r="BB1783" s="34"/>
      <c r="BC1783" s="34"/>
      <c r="BD1783" s="34"/>
      <c r="BE1783" s="34"/>
      <c r="BF1783" s="34"/>
      <c r="BG1783" s="34"/>
      <c r="BH1783" s="34"/>
      <c r="BI1783" s="34"/>
      <c r="BJ1783" s="34"/>
      <c r="BK1783" s="34"/>
      <c r="BL1783" s="34"/>
      <c r="BM1783" s="34"/>
      <c r="BN1783" s="34"/>
      <c r="BO1783" s="34"/>
      <c r="BP1783" s="34"/>
      <c r="BQ1783" s="34"/>
      <c r="BR1783" s="34"/>
      <c r="BS1783" s="34"/>
      <c r="BT1783" s="34"/>
      <c r="BU1783" s="34"/>
      <c r="BV1783" s="34"/>
      <c r="BW1783" s="34"/>
      <c r="BX1783" s="34"/>
      <c r="BY1783" s="34"/>
      <c r="BZ1783" s="34"/>
      <c r="CA1783" s="34"/>
      <c r="CB1783" s="34"/>
      <c r="CC1783" s="34"/>
      <c r="CD1783" s="34"/>
      <c r="CE1783" s="34"/>
      <c r="CF1783" s="34"/>
      <c r="CG1783" s="34"/>
      <c r="CH1783" s="34"/>
      <c r="CI1783" s="8"/>
    </row>
    <row r="1784" spans="1:87" x14ac:dyDescent="0.2">
      <c r="A1784" s="8" t="str">
        <f>IF(AND(COUNTIF(W$3:W$13,A$28)&gt;0,A$28&lt;&gt;B1562),A$28,IFERROR(IF(MATCH(A$28,Z$3:Z$13,0)=10,A$28," ")," "))</f>
        <v xml:space="preserve"> </v>
      </c>
      <c r="B1784" s="8" t="str">
        <f>IF(A1784=" "," ",MAX(B1771:B1783)+1)</f>
        <v xml:space="preserve"> </v>
      </c>
      <c r="C1784" s="8"/>
      <c r="D1784" s="8"/>
      <c r="E1784" s="8"/>
      <c r="F1784" s="8"/>
      <c r="G1784" s="8"/>
      <c r="H1784" s="8"/>
      <c r="I1784" s="8"/>
      <c r="J1784" s="8"/>
      <c r="K1784" s="8"/>
      <c r="L1784" s="8"/>
      <c r="M1784" s="8"/>
      <c r="N1784" s="8"/>
      <c r="O1784" s="8"/>
      <c r="P1784" s="8"/>
      <c r="Q1784" s="8"/>
      <c r="R1784" s="8"/>
      <c r="S1784" s="8"/>
      <c r="U1784" s="34"/>
      <c r="V1784" s="34"/>
      <c r="W1784" s="34"/>
      <c r="X1784" s="34"/>
      <c r="Y1784" s="34"/>
      <c r="Z1784" s="34"/>
      <c r="AA1784" s="34"/>
      <c r="AB1784" s="34"/>
      <c r="AC1784" s="34"/>
      <c r="AD1784" s="34"/>
      <c r="AE1784" s="34"/>
      <c r="AF1784" s="34"/>
      <c r="AG1784" s="34"/>
      <c r="AH1784" s="34"/>
      <c r="AI1784" s="34"/>
      <c r="AJ1784" s="34"/>
      <c r="AK1784" s="34"/>
      <c r="AL1784" s="34"/>
      <c r="AM1784" s="34"/>
      <c r="AN1784" s="34"/>
      <c r="AO1784" s="34"/>
      <c r="AP1784" s="34"/>
      <c r="AQ1784" s="34"/>
      <c r="AR1784" s="34"/>
      <c r="AS1784" s="34"/>
      <c r="AT1784" s="34"/>
      <c r="AU1784" s="34"/>
      <c r="AV1784" s="34"/>
      <c r="AW1784" s="34"/>
      <c r="AX1784" s="34"/>
      <c r="AY1784" s="34"/>
      <c r="AZ1784" s="34"/>
      <c r="BA1784" s="34"/>
      <c r="BB1784" s="34"/>
      <c r="BC1784" s="34"/>
      <c r="BD1784" s="34"/>
      <c r="BE1784" s="34"/>
      <c r="BF1784" s="34"/>
      <c r="BG1784" s="34"/>
      <c r="BH1784" s="34"/>
      <c r="BI1784" s="34"/>
      <c r="BJ1784" s="34"/>
      <c r="BK1784" s="34"/>
      <c r="BL1784" s="34"/>
      <c r="BM1784" s="34"/>
      <c r="BN1784" s="34"/>
      <c r="BO1784" s="34"/>
      <c r="BP1784" s="34"/>
      <c r="BQ1784" s="34"/>
      <c r="BR1784" s="34"/>
      <c r="BS1784" s="34"/>
      <c r="BT1784" s="34"/>
      <c r="BU1784" s="34"/>
      <c r="BV1784" s="34"/>
      <c r="BW1784" s="34"/>
      <c r="BX1784" s="34"/>
      <c r="BY1784" s="34"/>
      <c r="BZ1784" s="34"/>
      <c r="CA1784" s="34"/>
      <c r="CB1784" s="34"/>
      <c r="CC1784" s="34"/>
      <c r="CD1784" s="34"/>
      <c r="CE1784" s="34"/>
      <c r="CF1784" s="34"/>
      <c r="CG1784" s="34"/>
      <c r="CH1784" s="34"/>
      <c r="CI1784" s="8"/>
    </row>
    <row r="1785" spans="1:87" x14ac:dyDescent="0.2">
      <c r="A1785" s="8" t="str">
        <f>IF(AND(COUNTIF(W$3:W$13,A$29)&gt;0,A$29&lt;&gt;B1562),A$29,IFERROR(IF(MATCH(A$29,Z$3:Z$13,0)=10,A$29," ")," "))</f>
        <v>C15</v>
      </c>
      <c r="B1785" s="8">
        <f>IF(A1785=" "," ",MAX(B1771:B1784)+1)</f>
        <v>5</v>
      </c>
      <c r="C1785" s="8"/>
      <c r="D1785" s="8"/>
      <c r="E1785" s="8"/>
      <c r="F1785" s="8"/>
      <c r="G1785" s="8"/>
      <c r="H1785" s="8"/>
      <c r="I1785" s="8"/>
      <c r="J1785" s="8"/>
      <c r="K1785" s="8"/>
      <c r="L1785" s="8"/>
      <c r="M1785" s="8"/>
      <c r="N1785" s="8"/>
      <c r="O1785" s="8"/>
      <c r="P1785" s="8"/>
      <c r="Q1785" s="8"/>
      <c r="R1785" s="8"/>
      <c r="S1785" s="8"/>
      <c r="U1785" s="34"/>
      <c r="V1785" s="34"/>
      <c r="W1785" s="34"/>
      <c r="X1785" s="34"/>
      <c r="Y1785" s="34"/>
      <c r="Z1785" s="34"/>
      <c r="AA1785" s="34"/>
      <c r="AB1785" s="34"/>
      <c r="AC1785" s="34"/>
      <c r="AD1785" s="34"/>
      <c r="AE1785" s="34"/>
      <c r="AF1785" s="34"/>
      <c r="AG1785" s="34"/>
      <c r="AH1785" s="34"/>
      <c r="AI1785" s="34"/>
      <c r="AJ1785" s="34"/>
      <c r="AK1785" s="34"/>
      <c r="AL1785" s="34"/>
      <c r="AM1785" s="34"/>
      <c r="AN1785" s="34"/>
      <c r="AO1785" s="34"/>
      <c r="AP1785" s="34"/>
      <c r="AQ1785" s="34"/>
      <c r="AR1785" s="34"/>
      <c r="AS1785" s="34"/>
      <c r="AT1785" s="34"/>
      <c r="AU1785" s="34"/>
      <c r="AV1785" s="34"/>
      <c r="AW1785" s="34"/>
      <c r="AX1785" s="34"/>
      <c r="AY1785" s="34"/>
      <c r="AZ1785" s="34"/>
      <c r="BA1785" s="34"/>
      <c r="BB1785" s="34"/>
      <c r="BC1785" s="34"/>
      <c r="BD1785" s="34"/>
      <c r="BE1785" s="34"/>
      <c r="BF1785" s="34"/>
      <c r="BG1785" s="34"/>
      <c r="BH1785" s="34"/>
      <c r="BI1785" s="34"/>
      <c r="BJ1785" s="34"/>
      <c r="BK1785" s="34"/>
      <c r="BL1785" s="34"/>
      <c r="BM1785" s="34"/>
      <c r="BN1785" s="34"/>
      <c r="BO1785" s="34"/>
      <c r="BP1785" s="34"/>
      <c r="BQ1785" s="34"/>
      <c r="BR1785" s="34"/>
      <c r="BS1785" s="34"/>
      <c r="BT1785" s="34"/>
      <c r="BU1785" s="34"/>
      <c r="BV1785" s="34"/>
      <c r="BW1785" s="34"/>
      <c r="BX1785" s="34"/>
      <c r="BY1785" s="34"/>
      <c r="BZ1785" s="34"/>
      <c r="CA1785" s="34"/>
      <c r="CB1785" s="34"/>
      <c r="CC1785" s="34"/>
      <c r="CD1785" s="34"/>
      <c r="CE1785" s="34"/>
      <c r="CF1785" s="34"/>
      <c r="CG1785" s="34"/>
      <c r="CH1785" s="34"/>
      <c r="CI1785" s="8"/>
    </row>
    <row r="1786" spans="1:87" x14ac:dyDescent="0.2">
      <c r="A1786" s="8" t="str">
        <f>IF(AND(COUNTIF(W$3:W$13,A$30)&gt;0,A$30&lt;&gt;B1562),A$30,IFERROR(IF(MATCH(A$30,Z$3:Z$13,0)=10,A$30," ")," "))</f>
        <v>C16</v>
      </c>
      <c r="B1786" s="8">
        <f>IF(A1786=" "," ",MAX(B1771:B1785)+1)</f>
        <v>6</v>
      </c>
      <c r="C1786" s="8"/>
      <c r="D1786" s="8"/>
      <c r="E1786" s="8"/>
      <c r="F1786" s="8"/>
      <c r="G1786" s="8"/>
      <c r="H1786" s="8"/>
      <c r="I1786" s="8"/>
      <c r="J1786" s="8"/>
      <c r="K1786" s="8"/>
      <c r="L1786" s="8"/>
      <c r="M1786" s="8"/>
      <c r="N1786" s="8"/>
      <c r="O1786" s="8"/>
      <c r="P1786" s="8"/>
      <c r="Q1786" s="8"/>
      <c r="R1786" s="8"/>
      <c r="S1786" s="8"/>
      <c r="U1786" s="34"/>
      <c r="V1786" s="34"/>
      <c r="W1786" s="34"/>
      <c r="X1786" s="34"/>
      <c r="Y1786" s="34"/>
      <c r="Z1786" s="34"/>
      <c r="AA1786" s="34"/>
      <c r="AB1786" s="34"/>
      <c r="AC1786" s="34"/>
      <c r="AD1786" s="34"/>
      <c r="AE1786" s="34"/>
      <c r="AF1786" s="34"/>
      <c r="AG1786" s="34"/>
      <c r="AH1786" s="34"/>
      <c r="AI1786" s="34"/>
      <c r="AJ1786" s="34"/>
      <c r="AK1786" s="34"/>
      <c r="AL1786" s="34"/>
      <c r="AM1786" s="34"/>
      <c r="AN1786" s="34"/>
      <c r="AO1786" s="34"/>
      <c r="AP1786" s="34"/>
      <c r="AQ1786" s="34"/>
      <c r="AR1786" s="34"/>
      <c r="AS1786" s="34"/>
      <c r="AT1786" s="34"/>
      <c r="AU1786" s="34"/>
      <c r="AV1786" s="34"/>
      <c r="AW1786" s="34"/>
      <c r="AX1786" s="34"/>
      <c r="AY1786" s="34"/>
      <c r="AZ1786" s="34"/>
      <c r="BA1786" s="34"/>
      <c r="BB1786" s="34"/>
      <c r="BC1786" s="34"/>
      <c r="BD1786" s="34"/>
      <c r="BE1786" s="34"/>
      <c r="BF1786" s="34"/>
      <c r="BG1786" s="34"/>
      <c r="BH1786" s="34"/>
      <c r="BI1786" s="34"/>
      <c r="BJ1786" s="34"/>
      <c r="BK1786" s="34"/>
      <c r="BL1786" s="34"/>
      <c r="BM1786" s="34"/>
      <c r="BN1786" s="34"/>
      <c r="BO1786" s="34"/>
      <c r="BP1786" s="34"/>
      <c r="BQ1786" s="34"/>
      <c r="BR1786" s="34"/>
      <c r="BS1786" s="34"/>
      <c r="BT1786" s="34"/>
      <c r="BU1786" s="34"/>
      <c r="BV1786" s="34"/>
      <c r="BW1786" s="34"/>
      <c r="BX1786" s="34"/>
      <c r="BY1786" s="34"/>
      <c r="BZ1786" s="34"/>
      <c r="CA1786" s="34"/>
      <c r="CB1786" s="34"/>
      <c r="CC1786" s="34"/>
      <c r="CD1786" s="34"/>
      <c r="CE1786" s="34"/>
      <c r="CF1786" s="34"/>
      <c r="CG1786" s="34"/>
      <c r="CH1786" s="34"/>
      <c r="CI1786" s="8"/>
    </row>
    <row r="1787" spans="1:87" x14ac:dyDescent="0.2">
      <c r="A1787" s="8" t="str">
        <f>IF(AND(COUNTIF(W$3:W$13,A$31)&gt;0,A$31&lt;&gt;B1562),A$31,IFERROR(IF(MATCH(A$31,Z$3:Z$13,0)=10,A$31," ")," "))</f>
        <v>C17</v>
      </c>
      <c r="B1787" s="8">
        <f>IF(A1787=" "," ",MAX(B1771:B1786)+1)</f>
        <v>7</v>
      </c>
      <c r="C1787" s="8"/>
      <c r="D1787" s="8"/>
      <c r="E1787" s="8"/>
      <c r="F1787" s="8"/>
      <c r="G1787" s="8"/>
      <c r="H1787" s="8"/>
      <c r="I1787" s="8"/>
      <c r="J1787" s="8"/>
      <c r="K1787" s="8"/>
      <c r="L1787" s="8"/>
      <c r="M1787" s="8"/>
      <c r="N1787" s="8"/>
      <c r="O1787" s="8"/>
      <c r="P1787" s="8"/>
      <c r="Q1787" s="8"/>
      <c r="R1787" s="8"/>
      <c r="S1787" s="8"/>
      <c r="U1787" s="34"/>
      <c r="V1787" s="34"/>
      <c r="W1787" s="34"/>
      <c r="X1787" s="34"/>
      <c r="Y1787" s="34"/>
      <c r="Z1787" s="34"/>
      <c r="AA1787" s="34"/>
      <c r="AB1787" s="34"/>
      <c r="AC1787" s="34"/>
      <c r="AD1787" s="34"/>
      <c r="AE1787" s="34"/>
      <c r="AF1787" s="34"/>
      <c r="AG1787" s="34"/>
      <c r="AH1787" s="34"/>
      <c r="AI1787" s="34"/>
      <c r="AJ1787" s="34"/>
      <c r="AK1787" s="34"/>
      <c r="AL1787" s="34"/>
      <c r="AM1787" s="34"/>
      <c r="AN1787" s="34"/>
      <c r="AO1787" s="34"/>
      <c r="AP1787" s="34"/>
      <c r="AQ1787" s="34"/>
      <c r="AR1787" s="34"/>
      <c r="AS1787" s="34"/>
      <c r="AT1787" s="34"/>
      <c r="AU1787" s="34"/>
      <c r="AV1787" s="34"/>
      <c r="AW1787" s="34"/>
      <c r="AX1787" s="34"/>
      <c r="AY1787" s="34"/>
      <c r="AZ1787" s="34"/>
      <c r="BA1787" s="34"/>
      <c r="BB1787" s="34"/>
      <c r="BC1787" s="34"/>
      <c r="BD1787" s="34"/>
      <c r="BE1787" s="34"/>
      <c r="BF1787" s="34"/>
      <c r="BG1787" s="34"/>
      <c r="BH1787" s="34"/>
      <c r="BI1787" s="34"/>
      <c r="BJ1787" s="34"/>
      <c r="BK1787" s="34"/>
      <c r="BL1787" s="34"/>
      <c r="BM1787" s="34"/>
      <c r="BN1787" s="34"/>
      <c r="BO1787" s="34"/>
      <c r="BP1787" s="34"/>
      <c r="BQ1787" s="34"/>
      <c r="BR1787" s="34"/>
      <c r="BS1787" s="34"/>
      <c r="BT1787" s="34"/>
      <c r="BU1787" s="34"/>
      <c r="BV1787" s="34"/>
      <c r="BW1787" s="34"/>
      <c r="BX1787" s="34"/>
      <c r="BY1787" s="34"/>
      <c r="BZ1787" s="34"/>
      <c r="CA1787" s="34"/>
      <c r="CB1787" s="34"/>
      <c r="CC1787" s="34"/>
      <c r="CD1787" s="34"/>
      <c r="CE1787" s="34"/>
      <c r="CF1787" s="34"/>
      <c r="CG1787" s="34"/>
      <c r="CH1787" s="34"/>
      <c r="CI1787" s="8"/>
    </row>
    <row r="1788" spans="1:87" x14ac:dyDescent="0.2">
      <c r="A1788" s="8" t="str">
        <f>IF(AND(COUNTIF(W$3:W$13,A$32)&gt;0,A$32&lt;&gt;B1562),A$32,IFERROR(IF(MATCH(A$32,Z$3:Z$13,0)=10,A$32," ")," "))</f>
        <v xml:space="preserve"> </v>
      </c>
      <c r="B1788" s="8" t="str">
        <f>IF(A1788=" "," ",MAX(B1771:B1787)+1)</f>
        <v xml:space="preserve"> </v>
      </c>
      <c r="C1788" s="8"/>
      <c r="D1788" s="8"/>
      <c r="E1788" s="8"/>
      <c r="F1788" s="8"/>
      <c r="G1788" s="8"/>
      <c r="H1788" s="8"/>
      <c r="I1788" s="8"/>
      <c r="J1788" s="8"/>
      <c r="K1788" s="8"/>
      <c r="L1788" s="8"/>
      <c r="M1788" s="8"/>
      <c r="N1788" s="8"/>
      <c r="O1788" s="8"/>
      <c r="P1788" s="8"/>
      <c r="Q1788" s="8"/>
      <c r="R1788" s="8"/>
      <c r="S1788" s="8"/>
      <c r="U1788" s="34"/>
      <c r="V1788" s="34"/>
      <c r="W1788" s="34"/>
      <c r="X1788" s="34"/>
      <c r="Y1788" s="34"/>
      <c r="Z1788" s="34"/>
      <c r="AA1788" s="34"/>
      <c r="AB1788" s="34"/>
      <c r="AC1788" s="34"/>
      <c r="AD1788" s="34"/>
      <c r="AE1788" s="34"/>
      <c r="AF1788" s="34"/>
      <c r="AG1788" s="34"/>
      <c r="AH1788" s="34"/>
      <c r="AI1788" s="34"/>
      <c r="AJ1788" s="34"/>
      <c r="AK1788" s="34"/>
      <c r="AL1788" s="34"/>
      <c r="AM1788" s="34"/>
      <c r="AN1788" s="34"/>
      <c r="AO1788" s="34"/>
      <c r="AP1788" s="34"/>
      <c r="AQ1788" s="34"/>
      <c r="AR1788" s="34"/>
      <c r="AS1788" s="34"/>
      <c r="AT1788" s="34"/>
      <c r="AU1788" s="34"/>
      <c r="AV1788" s="34"/>
      <c r="AW1788" s="34"/>
      <c r="AX1788" s="34"/>
      <c r="AY1788" s="34"/>
      <c r="AZ1788" s="34"/>
      <c r="BA1788" s="34"/>
      <c r="BB1788" s="34"/>
      <c r="BC1788" s="34"/>
      <c r="BD1788" s="34"/>
      <c r="BE1788" s="34"/>
      <c r="BF1788" s="34"/>
      <c r="BG1788" s="34"/>
      <c r="BH1788" s="34"/>
      <c r="BI1788" s="34"/>
      <c r="BJ1788" s="34"/>
      <c r="BK1788" s="34"/>
      <c r="BL1788" s="34"/>
      <c r="BM1788" s="34"/>
      <c r="BN1788" s="34"/>
      <c r="BO1788" s="34"/>
      <c r="BP1788" s="34"/>
      <c r="BQ1788" s="34"/>
      <c r="BR1788" s="34"/>
      <c r="BS1788" s="34"/>
      <c r="BT1788" s="34"/>
      <c r="BU1788" s="34"/>
      <c r="BV1788" s="34"/>
      <c r="BW1788" s="34"/>
      <c r="BX1788" s="34"/>
      <c r="BY1788" s="34"/>
      <c r="BZ1788" s="34"/>
      <c r="CA1788" s="34"/>
      <c r="CB1788" s="34"/>
      <c r="CC1788" s="34"/>
      <c r="CD1788" s="34"/>
      <c r="CE1788" s="34"/>
      <c r="CF1788" s="34"/>
      <c r="CG1788" s="34"/>
      <c r="CH1788" s="34"/>
      <c r="CI1788" s="8"/>
    </row>
    <row r="1789" spans="1:87" x14ac:dyDescent="0.2">
      <c r="A1789" s="8" t="str">
        <f>IF(AND(COUNTIF(W$3:W$13,A$33)&gt;0,A$33&lt;&gt;B1562),A$33,IFERROR(IF(MATCH(A$33,Z$3:Z$13,0)=10,A$33," ")," "))</f>
        <v>C19</v>
      </c>
      <c r="B1789" s="8">
        <f>IF(A1789=" "," ",MAX(B1771:B1788)+1)</f>
        <v>8</v>
      </c>
      <c r="C1789" s="8"/>
      <c r="D1789" s="8"/>
      <c r="E1789" s="8"/>
      <c r="F1789" s="8"/>
      <c r="G1789" s="8"/>
      <c r="H1789" s="8"/>
      <c r="I1789" s="8"/>
      <c r="J1789" s="8"/>
      <c r="K1789" s="8"/>
      <c r="L1789" s="8"/>
      <c r="M1789" s="8"/>
      <c r="N1789" s="8"/>
      <c r="O1789" s="8"/>
      <c r="P1789" s="8"/>
      <c r="Q1789" s="8"/>
      <c r="R1789" s="8"/>
      <c r="S1789" s="8"/>
      <c r="U1789" s="34"/>
      <c r="V1789" s="34"/>
      <c r="W1789" s="34"/>
      <c r="X1789" s="34"/>
      <c r="Y1789" s="34"/>
      <c r="Z1789" s="34"/>
      <c r="AA1789" s="34"/>
      <c r="AB1789" s="34"/>
      <c r="AC1789" s="34"/>
      <c r="AD1789" s="34"/>
      <c r="AE1789" s="34"/>
      <c r="AF1789" s="34"/>
      <c r="AG1789" s="34"/>
      <c r="AH1789" s="34"/>
      <c r="AI1789" s="34"/>
      <c r="AJ1789" s="34"/>
      <c r="AK1789" s="34"/>
      <c r="AL1789" s="34"/>
      <c r="AM1789" s="34"/>
      <c r="AN1789" s="34"/>
      <c r="AO1789" s="34"/>
      <c r="AP1789" s="34"/>
      <c r="AQ1789" s="34"/>
      <c r="AR1789" s="34"/>
      <c r="AS1789" s="34"/>
      <c r="AT1789" s="34"/>
      <c r="AU1789" s="34"/>
      <c r="AV1789" s="34"/>
      <c r="AW1789" s="34"/>
      <c r="AX1789" s="34"/>
      <c r="AY1789" s="34"/>
      <c r="AZ1789" s="34"/>
      <c r="BA1789" s="34"/>
      <c r="BB1789" s="34"/>
      <c r="BC1789" s="34"/>
      <c r="BD1789" s="34"/>
      <c r="BE1789" s="34"/>
      <c r="BF1789" s="34"/>
      <c r="BG1789" s="34"/>
      <c r="BH1789" s="34"/>
      <c r="BI1789" s="34"/>
      <c r="BJ1789" s="34"/>
      <c r="BK1789" s="34"/>
      <c r="BL1789" s="34"/>
      <c r="BM1789" s="34"/>
      <c r="BN1789" s="34"/>
      <c r="BO1789" s="34"/>
      <c r="BP1789" s="34"/>
      <c r="BQ1789" s="34"/>
      <c r="BR1789" s="34"/>
      <c r="BS1789" s="34"/>
      <c r="BT1789" s="34"/>
      <c r="BU1789" s="34"/>
      <c r="BV1789" s="34"/>
      <c r="BW1789" s="34"/>
      <c r="BX1789" s="34"/>
      <c r="BY1789" s="34"/>
      <c r="BZ1789" s="34"/>
      <c r="CA1789" s="34"/>
      <c r="CB1789" s="34"/>
      <c r="CC1789" s="34"/>
      <c r="CD1789" s="34"/>
      <c r="CE1789" s="34"/>
      <c r="CF1789" s="34"/>
      <c r="CG1789" s="34"/>
      <c r="CH1789" s="34"/>
      <c r="CI1789" s="8"/>
    </row>
    <row r="1790" spans="1:87" x14ac:dyDescent="0.2">
      <c r="A1790" s="8" t="str">
        <f>IF(AND(COUNTIF(W$3:W$13,A$34)&gt;0,A$34&lt;&gt;B1562),A$34,IFERROR(IF(MATCH(A$34,Z$3:Z$13,0)=10,A$34," ")," "))</f>
        <v>C20</v>
      </c>
      <c r="B1790" s="8">
        <f>IF(A1790=" "," ",MAX(B1771:B1789)+1)</f>
        <v>9</v>
      </c>
      <c r="C1790" s="8"/>
      <c r="D1790" s="8"/>
      <c r="E1790" s="8"/>
      <c r="F1790" s="8"/>
      <c r="G1790" s="8"/>
      <c r="H1790" s="8"/>
      <c r="I1790" s="8"/>
      <c r="J1790" s="8"/>
      <c r="K1790" s="8"/>
      <c r="L1790" s="8"/>
      <c r="M1790" s="8"/>
      <c r="N1790" s="8"/>
      <c r="O1790" s="8"/>
      <c r="P1790" s="8"/>
      <c r="Q1790" s="8"/>
      <c r="R1790" s="8"/>
      <c r="S1790" s="8"/>
      <c r="U1790" s="34"/>
      <c r="V1790" s="34"/>
      <c r="W1790" s="34"/>
      <c r="X1790" s="34"/>
      <c r="Y1790" s="34"/>
      <c r="Z1790" s="34"/>
      <c r="AA1790" s="34"/>
      <c r="AB1790" s="34"/>
      <c r="AC1790" s="34"/>
      <c r="AD1790" s="34"/>
      <c r="AE1790" s="34"/>
      <c r="AF1790" s="34"/>
      <c r="AG1790" s="34"/>
      <c r="AH1790" s="34"/>
      <c r="AI1790" s="34"/>
      <c r="AJ1790" s="34"/>
      <c r="AK1790" s="34"/>
      <c r="AL1790" s="34"/>
      <c r="AM1790" s="34"/>
      <c r="AN1790" s="34"/>
      <c r="AO1790" s="34"/>
      <c r="AP1790" s="34"/>
      <c r="AQ1790" s="34"/>
      <c r="AR1790" s="34"/>
      <c r="AS1790" s="34"/>
      <c r="AT1790" s="34"/>
      <c r="AU1790" s="34"/>
      <c r="AV1790" s="34"/>
      <c r="AW1790" s="34"/>
      <c r="AX1790" s="34"/>
      <c r="AY1790" s="34"/>
      <c r="AZ1790" s="34"/>
      <c r="BA1790" s="34"/>
      <c r="BB1790" s="34"/>
      <c r="BC1790" s="34"/>
      <c r="BD1790" s="34"/>
      <c r="BE1790" s="34"/>
      <c r="BF1790" s="34"/>
      <c r="BG1790" s="34"/>
      <c r="BH1790" s="34"/>
      <c r="BI1790" s="34"/>
      <c r="BJ1790" s="34"/>
      <c r="BK1790" s="34"/>
      <c r="BL1790" s="34"/>
      <c r="BM1790" s="34"/>
      <c r="BN1790" s="34"/>
      <c r="BO1790" s="34"/>
      <c r="BP1790" s="34"/>
      <c r="BQ1790" s="34"/>
      <c r="BR1790" s="34"/>
      <c r="BS1790" s="34"/>
      <c r="BT1790" s="34"/>
      <c r="BU1790" s="34"/>
      <c r="BV1790" s="34"/>
      <c r="BW1790" s="34"/>
      <c r="BX1790" s="34"/>
      <c r="BY1790" s="34"/>
      <c r="BZ1790" s="34"/>
      <c r="CA1790" s="34"/>
      <c r="CB1790" s="34"/>
      <c r="CC1790" s="34"/>
      <c r="CD1790" s="34"/>
      <c r="CE1790" s="34"/>
      <c r="CF1790" s="34"/>
      <c r="CG1790" s="34"/>
      <c r="CH1790" s="34"/>
      <c r="CI1790" s="8"/>
    </row>
    <row r="1791" spans="1:87" x14ac:dyDescent="0.2">
      <c r="A1791" s="8" t="str">
        <f>IF(AND(COUNTIF(W$3:W$13,A$35)&gt;0,A$35&lt;&gt;B1562),A$35,IFERROR(IF(MATCH(A$35,Z$3:Z$13,0)=10,A$35," ")," "))</f>
        <v>C21</v>
      </c>
      <c r="B1791" s="8">
        <f>IF(A1791=" "," ",MAX(B1771:B1790)+1)</f>
        <v>10</v>
      </c>
      <c r="C1791" s="8"/>
      <c r="D1791" s="8"/>
      <c r="E1791" s="8"/>
      <c r="F1791" s="8"/>
      <c r="G1791" s="8"/>
      <c r="H1791" s="8"/>
      <c r="I1791" s="8"/>
      <c r="J1791" s="8"/>
      <c r="K1791" s="8"/>
      <c r="L1791" s="8"/>
      <c r="M1791" s="8"/>
      <c r="N1791" s="8"/>
      <c r="O1791" s="8"/>
      <c r="P1791" s="8"/>
      <c r="Q1791" s="8"/>
      <c r="R1791" s="8"/>
      <c r="S1791" s="8"/>
      <c r="U1791" s="34"/>
      <c r="V1791" s="34"/>
      <c r="W1791" s="34"/>
      <c r="X1791" s="34"/>
      <c r="Y1791" s="34"/>
      <c r="Z1791" s="34"/>
      <c r="AA1791" s="34"/>
      <c r="AB1791" s="34"/>
      <c r="AC1791" s="34"/>
      <c r="AD1791" s="34"/>
      <c r="AE1791" s="34"/>
      <c r="AF1791" s="34"/>
      <c r="AG1791" s="34"/>
      <c r="AH1791" s="34"/>
      <c r="AI1791" s="34"/>
      <c r="AJ1791" s="34"/>
      <c r="AK1791" s="34"/>
      <c r="AL1791" s="34"/>
      <c r="AM1791" s="34"/>
      <c r="AN1791" s="34"/>
      <c r="AO1791" s="34"/>
      <c r="AP1791" s="34"/>
      <c r="AQ1791" s="34"/>
      <c r="AR1791" s="34"/>
      <c r="AS1791" s="34"/>
      <c r="AT1791" s="34"/>
      <c r="AU1791" s="34"/>
      <c r="AV1791" s="34"/>
      <c r="AW1791" s="34"/>
      <c r="AX1791" s="34"/>
      <c r="AY1791" s="34"/>
      <c r="AZ1791" s="34"/>
      <c r="BA1791" s="34"/>
      <c r="BB1791" s="34"/>
      <c r="BC1791" s="34"/>
      <c r="BD1791" s="34"/>
      <c r="BE1791" s="34"/>
      <c r="BF1791" s="34"/>
      <c r="BG1791" s="34"/>
      <c r="BH1791" s="34"/>
      <c r="BI1791" s="34"/>
      <c r="BJ1791" s="34"/>
      <c r="BK1791" s="34"/>
      <c r="BL1791" s="34"/>
      <c r="BM1791" s="34"/>
      <c r="BN1791" s="34"/>
      <c r="BO1791" s="34"/>
      <c r="BP1791" s="34"/>
      <c r="BQ1791" s="34"/>
      <c r="BR1791" s="34"/>
      <c r="BS1791" s="34"/>
      <c r="BT1791" s="34"/>
      <c r="BU1791" s="34"/>
      <c r="BV1791" s="34"/>
      <c r="BW1791" s="34"/>
      <c r="BX1791" s="34"/>
      <c r="BY1791" s="34"/>
      <c r="BZ1791" s="34"/>
      <c r="CA1791" s="34"/>
      <c r="CB1791" s="34"/>
      <c r="CC1791" s="34"/>
      <c r="CD1791" s="34"/>
      <c r="CE1791" s="34"/>
      <c r="CF1791" s="34"/>
      <c r="CG1791" s="34"/>
      <c r="CH1791" s="34"/>
      <c r="CI1791" s="8"/>
    </row>
    <row r="1792" spans="1:87" x14ac:dyDescent="0.2">
      <c r="A1792" s="8" t="str">
        <f>IF(AND(COUNTIF(W$3:W$13,A$36)&gt;0,A$36&lt;&gt;B1562),A$36,IFERROR(IF(MATCH(A$36,Z$3:Z$13,0)=10,A$36," ")," "))</f>
        <v>C22</v>
      </c>
      <c r="B1792" s="8">
        <f>IF(A1792=" "," ",MAX(B1771:B1791)+1)</f>
        <v>11</v>
      </c>
      <c r="C1792" s="8"/>
      <c r="D1792" s="8"/>
      <c r="E1792" s="8"/>
      <c r="F1792" s="8"/>
      <c r="G1792" s="8"/>
      <c r="H1792" s="8"/>
      <c r="I1792" s="8"/>
      <c r="J1792" s="8"/>
      <c r="K1792" s="8"/>
      <c r="L1792" s="8"/>
      <c r="M1792" s="8"/>
      <c r="N1792" s="8"/>
      <c r="O1792" s="8"/>
      <c r="P1792" s="8"/>
      <c r="Q1792" s="8"/>
      <c r="R1792" s="8"/>
      <c r="S1792" s="8"/>
      <c r="U1792" s="34"/>
      <c r="V1792" s="34"/>
      <c r="W1792" s="34"/>
      <c r="X1792" s="34"/>
      <c r="Y1792" s="34"/>
      <c r="Z1792" s="34"/>
      <c r="AA1792" s="34"/>
      <c r="AB1792" s="34"/>
      <c r="AC1792" s="34"/>
      <c r="AD1792" s="34"/>
      <c r="AE1792" s="34"/>
      <c r="AF1792" s="34"/>
      <c r="AG1792" s="34"/>
      <c r="AH1792" s="34"/>
      <c r="AI1792" s="34"/>
      <c r="AJ1792" s="34"/>
      <c r="AK1792" s="34"/>
      <c r="AL1792" s="34"/>
      <c r="AM1792" s="34"/>
      <c r="AN1792" s="34"/>
      <c r="AO1792" s="34"/>
      <c r="AP1792" s="34"/>
      <c r="AQ1792" s="34"/>
      <c r="AR1792" s="34"/>
      <c r="AS1792" s="34"/>
      <c r="AT1792" s="34"/>
      <c r="AU1792" s="34"/>
      <c r="AV1792" s="34"/>
      <c r="AW1792" s="34"/>
      <c r="AX1792" s="34"/>
      <c r="AY1792" s="34"/>
      <c r="AZ1792" s="34"/>
      <c r="BA1792" s="34"/>
      <c r="BB1792" s="34"/>
      <c r="BC1792" s="34"/>
      <c r="BD1792" s="34"/>
      <c r="BE1792" s="34"/>
      <c r="BF1792" s="34"/>
      <c r="BG1792" s="34"/>
      <c r="BH1792" s="34"/>
      <c r="BI1792" s="34"/>
      <c r="BJ1792" s="34"/>
      <c r="BK1792" s="34"/>
      <c r="BL1792" s="34"/>
      <c r="BM1792" s="34"/>
      <c r="BN1792" s="34"/>
      <c r="BO1792" s="34"/>
      <c r="BP1792" s="34"/>
      <c r="BQ1792" s="34"/>
      <c r="BR1792" s="34"/>
      <c r="BS1792" s="34"/>
      <c r="BT1792" s="34"/>
      <c r="BU1792" s="34"/>
      <c r="BV1792" s="34"/>
      <c r="BW1792" s="34"/>
      <c r="BX1792" s="34"/>
      <c r="BY1792" s="34"/>
      <c r="BZ1792" s="34"/>
      <c r="CA1792" s="34"/>
      <c r="CB1792" s="34"/>
      <c r="CC1792" s="34"/>
      <c r="CD1792" s="34"/>
      <c r="CE1792" s="34"/>
      <c r="CF1792" s="34"/>
      <c r="CG1792" s="34"/>
      <c r="CH1792" s="34"/>
      <c r="CI1792" s="8"/>
    </row>
    <row r="1793" spans="1:87" x14ac:dyDescent="0.2">
      <c r="A1793" s="11" t="s">
        <v>17</v>
      </c>
      <c r="B1793" s="11"/>
      <c r="C1793" s="27" t="s">
        <v>18</v>
      </c>
      <c r="D1793" s="27" t="s">
        <v>2</v>
      </c>
      <c r="E1793" s="27" t="s">
        <v>6</v>
      </c>
      <c r="F1793" s="27" t="s">
        <v>15</v>
      </c>
      <c r="G1793" s="27" t="s">
        <v>36</v>
      </c>
      <c r="H1793" s="27" t="s">
        <v>37</v>
      </c>
      <c r="I1793" s="27" t="s">
        <v>38</v>
      </c>
      <c r="J1793" s="27" t="s">
        <v>39</v>
      </c>
      <c r="K1793" s="27" t="s">
        <v>40</v>
      </c>
      <c r="L1793" s="27" t="s">
        <v>41</v>
      </c>
      <c r="M1793" s="27" t="s">
        <v>42</v>
      </c>
      <c r="N1793" s="27" t="s">
        <v>43</v>
      </c>
      <c r="O1793" s="27" t="s">
        <v>9</v>
      </c>
      <c r="P1793" s="27" t="s">
        <v>12</v>
      </c>
      <c r="Q1793" s="27" t="s">
        <v>19</v>
      </c>
      <c r="R1793" s="27" t="s">
        <v>55</v>
      </c>
      <c r="S1793" s="27" t="s">
        <v>26</v>
      </c>
      <c r="T1793" s="19" t="s">
        <v>25</v>
      </c>
      <c r="U1793" s="33" t="s">
        <v>27</v>
      </c>
      <c r="V1793" s="33" t="s">
        <v>9</v>
      </c>
      <c r="W1793" s="33" t="s">
        <v>23</v>
      </c>
      <c r="X1793" s="33" t="s">
        <v>12</v>
      </c>
      <c r="Y1793" s="33" t="s">
        <v>26</v>
      </c>
      <c r="Z1793" s="33" t="s">
        <v>25</v>
      </c>
      <c r="AA1793" s="33" t="s">
        <v>27</v>
      </c>
      <c r="AB1793" s="33" t="s">
        <v>9</v>
      </c>
      <c r="AC1793" s="33" t="s">
        <v>23</v>
      </c>
      <c r="AD1793" s="33" t="s">
        <v>12</v>
      </c>
      <c r="AE1793" s="33" t="s">
        <v>26</v>
      </c>
      <c r="AF1793" s="33" t="s">
        <v>25</v>
      </c>
      <c r="AG1793" s="33" t="s">
        <v>27</v>
      </c>
      <c r="AH1793" s="33" t="s">
        <v>9</v>
      </c>
      <c r="AI1793" s="33" t="s">
        <v>23</v>
      </c>
      <c r="AJ1793" s="33" t="s">
        <v>12</v>
      </c>
      <c r="AK1793" s="33" t="s">
        <v>26</v>
      </c>
      <c r="AL1793" s="33" t="s">
        <v>25</v>
      </c>
      <c r="AM1793" s="33" t="s">
        <v>27</v>
      </c>
      <c r="AN1793" s="33" t="s">
        <v>9</v>
      </c>
      <c r="AO1793" s="33" t="s">
        <v>23</v>
      </c>
      <c r="AP1793" s="33" t="s">
        <v>12</v>
      </c>
      <c r="AQ1793" s="33" t="s">
        <v>26</v>
      </c>
      <c r="AR1793" s="33" t="s">
        <v>25</v>
      </c>
      <c r="AS1793" s="33" t="s">
        <v>27</v>
      </c>
      <c r="AT1793" s="33" t="s">
        <v>9</v>
      </c>
      <c r="AU1793" s="33" t="s">
        <v>23</v>
      </c>
      <c r="AV1793" s="33" t="s">
        <v>12</v>
      </c>
      <c r="AW1793" s="33" t="s">
        <v>26</v>
      </c>
      <c r="AX1793" s="33" t="s">
        <v>25</v>
      </c>
      <c r="AY1793" s="33" t="s">
        <v>27</v>
      </c>
      <c r="AZ1793" s="33" t="s">
        <v>9</v>
      </c>
      <c r="BA1793" s="33" t="s">
        <v>23</v>
      </c>
      <c r="BB1793" s="33" t="s">
        <v>12</v>
      </c>
      <c r="BC1793" s="33" t="s">
        <v>26</v>
      </c>
      <c r="BD1793" s="33" t="s">
        <v>25</v>
      </c>
      <c r="BE1793" s="33" t="s">
        <v>27</v>
      </c>
      <c r="BF1793" s="33" t="s">
        <v>9</v>
      </c>
      <c r="BG1793" s="33" t="s">
        <v>23</v>
      </c>
      <c r="BH1793" s="33" t="s">
        <v>12</v>
      </c>
      <c r="BI1793" s="33" t="s">
        <v>26</v>
      </c>
      <c r="BJ1793" s="33" t="s">
        <v>25</v>
      </c>
      <c r="BK1793" s="33" t="s">
        <v>27</v>
      </c>
      <c r="BL1793" s="33" t="s">
        <v>9</v>
      </c>
      <c r="BM1793" s="33" t="s">
        <v>23</v>
      </c>
      <c r="BN1793" s="33" t="s">
        <v>12</v>
      </c>
      <c r="BO1793" s="33" t="s">
        <v>26</v>
      </c>
      <c r="BP1793" s="33" t="s">
        <v>25</v>
      </c>
      <c r="BQ1793" s="33" t="s">
        <v>27</v>
      </c>
      <c r="BR1793" s="33" t="s">
        <v>9</v>
      </c>
      <c r="BS1793" s="33" t="s">
        <v>23</v>
      </c>
      <c r="BT1793" s="33" t="s">
        <v>12</v>
      </c>
      <c r="BU1793" s="33" t="s">
        <v>26</v>
      </c>
      <c r="BV1793" s="33" t="s">
        <v>25</v>
      </c>
      <c r="BW1793" s="33" t="s">
        <v>27</v>
      </c>
      <c r="BX1793" s="33" t="s">
        <v>9</v>
      </c>
      <c r="BY1793" s="33" t="s">
        <v>23</v>
      </c>
      <c r="BZ1793" s="33" t="s">
        <v>12</v>
      </c>
      <c r="CA1793" s="33" t="s">
        <v>26</v>
      </c>
      <c r="CB1793" s="33" t="s">
        <v>25</v>
      </c>
      <c r="CC1793" s="33" t="s">
        <v>27</v>
      </c>
      <c r="CD1793" s="33" t="s">
        <v>9</v>
      </c>
      <c r="CE1793" s="33" t="s">
        <v>23</v>
      </c>
      <c r="CF1793" s="33" t="s">
        <v>12</v>
      </c>
      <c r="CG1793" s="33" t="s">
        <v>26</v>
      </c>
      <c r="CH1793" s="33" t="s">
        <v>25</v>
      </c>
      <c r="CI1793" s="8"/>
    </row>
    <row r="1794" spans="1:87" x14ac:dyDescent="0.2">
      <c r="A1794" s="8" t="str">
        <f>IF(AND(COUNTIF(W$3:W$13,A$15)&gt;0,A$15&lt;&gt;B1562),A$15,IFERROR(IF(MATCH(A$15,Z$3:Z$13,0)=11,A$15," ")," "))</f>
        <v xml:space="preserve"> </v>
      </c>
      <c r="B1794" s="8" t="str">
        <f>IF(A1794=" "," ",1)</f>
        <v xml:space="preserve"> </v>
      </c>
      <c r="C1794" s="8" t="str">
        <f>IFERROR(INDEX(A1794:A1815,MATCH(SMALL(B1794:B1815,1),B1794:B1815,0),1)," ")</f>
        <v>C3</v>
      </c>
      <c r="D1794" s="8">
        <f>IFERROR(VLOOKUP($C1794,$A$15:$O$36,2,FALSE)," ")</f>
        <v>2</v>
      </c>
      <c r="E1794" s="8">
        <f>IFERROR(VLOOKUP($C1794,$A$15:$O$36,3,FALSE)," ")</f>
        <v>5</v>
      </c>
      <c r="F1794" s="8">
        <f>IFERROR(VLOOKUP($C1794,$A$15:$O$36,4,FALSE)," ")</f>
        <v>6</v>
      </c>
      <c r="G1794" s="8">
        <f>IFERROR(VLOOKUP($C1794,$A$15:$O$36,5,FALSE)," ")</f>
        <v>0</v>
      </c>
      <c r="H1794" s="8">
        <f>IFERROR(VLOOKUP($C1794,$A$15:$O$36,6,FALSE)," ")</f>
        <v>0</v>
      </c>
      <c r="I1794" s="8">
        <f>IFERROR(VLOOKUP($C1794,$A$15:$O$36,7,FALSE)," ")</f>
        <v>0</v>
      </c>
      <c r="J1794" s="8">
        <f>IFERROR(VLOOKUP($C1794,$A$15:$O$36,8,FALSE)," ")</f>
        <v>0</v>
      </c>
      <c r="K1794" s="8">
        <f>IFERROR(VLOOKUP($C1794,$A$15:$O$36,9,FALSE)," ")</f>
        <v>0</v>
      </c>
      <c r="L1794" s="8">
        <f>IFERROR(VLOOKUP($C1794,$A$15:$O$36,10,FALSE)," ")</f>
        <v>0</v>
      </c>
      <c r="M1794" s="8">
        <f>IFERROR(VLOOKUP($C1794,$A$15:$O$36,11,FALSE)," ")</f>
        <v>0</v>
      </c>
      <c r="N1794" s="8">
        <f>IFERROR(VLOOKUP($C1794,$A$15:$O$36,12,FALSE)," ")</f>
        <v>0</v>
      </c>
      <c r="O1794" s="8">
        <f>IFERROR(VLOOKUP($C1794,$A$15:$O$36,15,FALSE)," ")</f>
        <v>2000</v>
      </c>
      <c r="P1794" s="8" t="e">
        <f t="array" ref="P1794:P1804">MMULT(MINVERSE(D1794:N1804),O1794:O1804)</f>
        <v>#NUM!</v>
      </c>
      <c r="Q1794" s="8" t="e">
        <f t="shared" ref="Q1794" si="7719">IF(COUNTIF(P1794:P1804,"&lt;"&amp;-0.001)=0,IF(ABS(P1794)&lt;0.001,0,P1794)," ")</f>
        <v>#NUM!</v>
      </c>
      <c r="R1794" s="8" t="str">
        <f>IFERROR(VLOOKUP(B1562,A$15:L$36,2,FALSE)*Q1794+VLOOKUP(B1562,A$15:L$36,3,FALSE)*Q1795+VLOOKUP(B1562,A$15:L$36,4,FALSE)*Q1796+VLOOKUP(B1562,A$15:L$36,5,FALSE)*Q1797+VLOOKUP(B1562,A$15:L$36,6,FALSE)*Q1798+VLOOKUP(B1562,A$15:L$36,7,FALSE)*Q1799+VLOOKUP(B1562,A$15:L$36,8,FALSE)*Q1800+VLOOKUP(B1562,A$15:L$36,9,FALSE)*Q1801+VLOOKUP(B1562,A$15:L$36,10,FALSE)*Q1802+VLOOKUP(B1562,A$15:L$36,11,FALSE)*Q1803+VLOOKUP(B1562,A$15:L$36,12,FALSE)*Q1804," ")</f>
        <v xml:space="preserve"> </v>
      </c>
      <c r="S1794" s="8" t="str">
        <f>IFERROR(IF(R1794-VLOOKUP(B1562,A$15:O$36,15,FALSE)&lt;0,R1794-VLOOKUP(B1562,A$15:O$36,15,FALSE)," ")," ")</f>
        <v xml:space="preserve"> </v>
      </c>
      <c r="T1794" s="18" t="str">
        <f>IFERROR(IF(R1794-VLOOKUP(B1562,A$15:O$36,15,FALSE)&gt;0,R1794-VLOOKUP(B1562,A$15:O$36,15,FALSE)," ")," ")</f>
        <v xml:space="preserve"> </v>
      </c>
      <c r="U1794" s="34">
        <f t="shared" ref="U1794" si="7720">$M$2</f>
        <v>100.00000000000001</v>
      </c>
      <c r="V1794" s="34">
        <v>-1</v>
      </c>
      <c r="W1794" s="34">
        <f t="shared" ref="W1794" si="7721">-SUMPRODUCT($M$3:$M$12,$N$3:$N$12)</f>
        <v>-105000</v>
      </c>
      <c r="X1794" s="34" t="e">
        <f t="shared" ref="X1794" si="7722">IF(U1794&lt;&gt;U1795,MMULT(MINVERSE(U1794:V1795),W1794:W1795)," ")</f>
        <v>#NUM!</v>
      </c>
      <c r="Y1794" s="34" t="str">
        <f t="shared" ref="Y1794" si="7723">IFERROR(IF(X1794-VLOOKUP(U$38,$A$2:$N$12,14,FALSE)&lt;0,X1794-VLOOKUP(U$38,$A$2:$N$12,14,FALSE)," ")," ")</f>
        <v xml:space="preserve"> </v>
      </c>
      <c r="Z1794" s="34" t="str">
        <f t="shared" ref="Z1794" si="7724">IFERROR(IF(X1794-VLOOKUP(U$38,$A$2:$N$12,14,FALSE)&gt;0,X1794-VLOOKUP(U$38,$A$2:$N$12,14,FALSE)," ")," ")</f>
        <v xml:space="preserve"> </v>
      </c>
      <c r="AA1794" s="34">
        <f t="shared" ref="AA1794" si="7725">$M$3</f>
        <v>0</v>
      </c>
      <c r="AB1794" s="34">
        <v>-1</v>
      </c>
      <c r="AC1794" s="34">
        <f t="shared" ref="AC1794" si="7726">-SUMPRODUCT($M$2:$M$2,$N$2:$N$2)-SUMPRODUCT($M$4:$M$12,$N$4:$N$12)</f>
        <v>-120000</v>
      </c>
      <c r="AD1794" s="34" t="e">
        <f t="shared" ref="AD1794" si="7727">IF(AA1794&lt;&gt;AA1795,MMULT(MINVERSE(AA1794:AB1795),AC1794:AC1795)," ")</f>
        <v>#NUM!</v>
      </c>
      <c r="AE1794" s="34" t="str">
        <f t="shared" ref="AE1794" si="7728">IFERROR(IF(AD1794-VLOOKUP(AA$38,$A$2:$N$12,14,FALSE)&lt;0,AD1794-VLOOKUP(AA$38,$A$2:$N$12,14,FALSE)," ")," ")</f>
        <v xml:space="preserve"> </v>
      </c>
      <c r="AF1794" s="34" t="str">
        <f t="shared" ref="AF1794" si="7729">IFERROR(IF(AD1794-VLOOKUP(AA$38,$A$2:$N$12,14,FALSE)&gt;0,AD1794-VLOOKUP(AA$38,$A$2:$N$12,14,FALSE)," ")," ")</f>
        <v xml:space="preserve"> </v>
      </c>
      <c r="AG1794" s="34">
        <f t="shared" ref="AG1794" si="7730">$M$4</f>
        <v>300</v>
      </c>
      <c r="AH1794" s="34">
        <v>-1</v>
      </c>
      <c r="AI1794" s="34">
        <f t="shared" ref="AI1794" si="7731">-SUMPRODUCT($M$2:$M$3,$N$2:$N$3)-SUMPRODUCT($M$5:$M$12,$N$5:$N$12)</f>
        <v>-15000.000000000002</v>
      </c>
      <c r="AJ1794" s="34" t="e">
        <f t="shared" ref="AJ1794" si="7732">IF(AG1794&lt;&gt;AG1795,MMULT(MINVERSE(AG1794:AH1795),AI1794:AI1795)," ")</f>
        <v>#NUM!</v>
      </c>
      <c r="AK1794" s="34" t="str">
        <f t="shared" ref="AK1794" si="7733">IFERROR(IF(AJ1794-VLOOKUP(AG$38,$A$2:$N$12,14,FALSE)&lt;0,AJ1794-VLOOKUP(AG$38,$A$2:$N$12,14,FALSE)," ")," ")</f>
        <v xml:space="preserve"> </v>
      </c>
      <c r="AL1794" s="34" t="str">
        <f t="shared" ref="AL1794" si="7734">IFERROR(IF(AJ1794-VLOOKUP(AG$38,$A$2:$N$12,14,FALSE)&gt;0,AJ1794-VLOOKUP(AG$38,$A$2:$N$12,14,FALSE)," ")," ")</f>
        <v xml:space="preserve"> </v>
      </c>
      <c r="AM1794" s="34">
        <f t="shared" ref="AM1794" si="7735">$M$5</f>
        <v>0</v>
      </c>
      <c r="AN1794" s="34">
        <v>-1</v>
      </c>
      <c r="AO1794" s="34">
        <f t="shared" ref="AO1794" si="7736">-SUMPRODUCT($M$2:$M$4,$N$2:$N$4)-SUMPRODUCT($M$6:$M$12,$N$6:$N$12)</f>
        <v>-120000</v>
      </c>
      <c r="AP1794" s="34" t="e">
        <f t="shared" ref="AP1794" si="7737">IF(AM1794&lt;&gt;AM1795,MMULT(MINVERSE(AM1794:AN1795),AO1794:AO1795)," ")</f>
        <v>#NUM!</v>
      </c>
      <c r="AQ1794" s="34" t="str">
        <f t="shared" ref="AQ1794" si="7738">IFERROR(IF(AP1794-VLOOKUP(AM$38,$A$2:$N$12,14,FALSE)&lt;0,AP1794-VLOOKUP(AM$38,$A$2:$N$12,14,FALSE)," ")," ")</f>
        <v xml:space="preserve"> </v>
      </c>
      <c r="AR1794" s="34" t="str">
        <f t="shared" ref="AR1794" si="7739">IFERROR(IF(AP1794-VLOOKUP(AM$38,$A$2:$N$12,14,FALSE)&gt;0,AP1794-VLOOKUP(AM$38,$A$2:$N$12,14,FALSE)," ")," ")</f>
        <v xml:space="preserve"> </v>
      </c>
      <c r="AS1794" s="34">
        <f t="shared" ref="AS1794" si="7740">$M$6</f>
        <v>0</v>
      </c>
      <c r="AT1794" s="34">
        <v>-1</v>
      </c>
      <c r="AU1794" s="34">
        <f t="shared" ref="AU1794" si="7741">-SUMPRODUCT($M$2:$M$5,$N$2:$N$5)-SUMPRODUCT($M$7:$M$12,$N$7:$N$12)</f>
        <v>-120000</v>
      </c>
      <c r="AV1794" s="34" t="e">
        <f t="shared" ref="AV1794" si="7742">IF(AS1794&lt;&gt;AS1795,MMULT(MINVERSE(AS1794:AT1795),AU1794:AU1795)," ")</f>
        <v>#NUM!</v>
      </c>
      <c r="AW1794" s="34" t="str">
        <f t="shared" ref="AW1794" si="7743">IFERROR(IF(AV1794-VLOOKUP(AS$38,$A$2:$N$12,14,FALSE)&lt;0,AV1794-VLOOKUP(AS$38,$A$2:$N$12,14,FALSE)," ")," ")</f>
        <v xml:space="preserve"> </v>
      </c>
      <c r="AX1794" s="34" t="str">
        <f t="shared" ref="AX1794" si="7744">IFERROR(IF(AV1794-VLOOKUP(AS$38,$A$2:$N$12,14,FALSE)&gt;0,AV1794-VLOOKUP(AS$38,$A$2:$N$12,14,FALSE)," ")," ")</f>
        <v xml:space="preserve"> </v>
      </c>
      <c r="AY1794" s="34">
        <f t="shared" ref="AY1794" si="7745">$M$7</f>
        <v>0</v>
      </c>
      <c r="AZ1794" s="34">
        <v>-1</v>
      </c>
      <c r="BA1794" s="34">
        <f t="shared" ref="BA1794" si="7746">-SUMPRODUCT($M$2:$M$6,$N$2:$N$6)-SUMPRODUCT($M$8:$M$12,$N$8:$N$12)</f>
        <v>-120000</v>
      </c>
      <c r="BB1794" s="34" t="e">
        <f t="shared" ref="BB1794" si="7747">IF(AY1794&lt;&gt;AY1795,MMULT(MINVERSE(AY1794:AZ1795),BA1794:BA1795)," ")</f>
        <v>#NUM!</v>
      </c>
      <c r="BC1794" s="34" t="str">
        <f t="shared" ref="BC1794" si="7748">IFERROR(IF(BB1794-VLOOKUP(AY$38,$A$2:$N$12,14,FALSE)&lt;0,BB1794-VLOOKUP(AY$38,$A$2:$N$12,14,FALSE)," ")," ")</f>
        <v xml:space="preserve"> </v>
      </c>
      <c r="BD1794" s="34" t="str">
        <f t="shared" ref="BD1794" si="7749">IFERROR(IF(BB1794-VLOOKUP(AY$38,$A$2:$N$12,14,FALSE)&gt;0,BB1794-VLOOKUP(AY$38,$A$2:$N$12,14,FALSE)," ")," ")</f>
        <v xml:space="preserve"> </v>
      </c>
      <c r="BE1794" s="34">
        <f t="shared" ref="BE1794" si="7750">$M$8</f>
        <v>0</v>
      </c>
      <c r="BF1794" s="34">
        <v>-1</v>
      </c>
      <c r="BG1794" s="34">
        <f t="shared" ref="BG1794" si="7751">-SUMPRODUCT($M$2:$M$7,$N$2:$N$7)-SUMPRODUCT($M$9:$M$12,$N$9:$N$12)</f>
        <v>-120000</v>
      </c>
      <c r="BH1794" s="34" t="e">
        <f t="shared" ref="BH1794" si="7752">IF(BE1794&lt;&gt;BE1795,MMULT(MINVERSE(BE1794:BF1795),BG1794:BG1795)," ")</f>
        <v>#NUM!</v>
      </c>
      <c r="BI1794" s="34" t="str">
        <f t="shared" ref="BI1794" si="7753">IFERROR(IF(BH1794-VLOOKUP(BE$38,$A$2:$N$12,14,FALSE)&lt;0,BH1794-VLOOKUP(BE$38,$A$2:$N$12,14,FALSE)," ")," ")</f>
        <v xml:space="preserve"> </v>
      </c>
      <c r="BJ1794" s="34" t="str">
        <f t="shared" ref="BJ1794" si="7754">IFERROR(IF(BH1794-VLOOKUP(BE$38,$A$2:$N$12,14,FALSE)&gt;0,BH1794-VLOOKUP(BE$38,$A$2:$N$12,14,FALSE)," ")," ")</f>
        <v xml:space="preserve"> </v>
      </c>
      <c r="BK1794" s="34">
        <f t="shared" ref="BK1794" si="7755">$M$9</f>
        <v>0</v>
      </c>
      <c r="BL1794" s="34">
        <v>-1</v>
      </c>
      <c r="BM1794" s="34">
        <f t="shared" ref="BM1794" si="7756">-SUMPRODUCT($M$2:$M$8,$N$2:$N$8)-SUMPRODUCT($M$10:$M$12,$N$10:$N$12)</f>
        <v>-120000</v>
      </c>
      <c r="BN1794" s="34" t="e">
        <f t="shared" ref="BN1794" si="7757">IF(BK1794&lt;&gt;BK1795,MMULT(MINVERSE(BK1794:BL1795),BM1794:BM1795)," ")</f>
        <v>#NUM!</v>
      </c>
      <c r="BO1794" s="34" t="str">
        <f t="shared" ref="BO1794" si="7758">IFERROR(IF(BN1794-VLOOKUP(BK$38,$A$2:$N$12,14,FALSE)&lt;0,BN1794-VLOOKUP(BK$38,$A$2:$N$12,14,FALSE)," ")," ")</f>
        <v xml:space="preserve"> </v>
      </c>
      <c r="BP1794" s="34" t="str">
        <f t="shared" ref="BP1794" si="7759">IFERROR(IF(BN1794-VLOOKUP(BK$38,$A$2:$N$12,14,FALSE)&gt;0,BN1794-VLOOKUP(BK$38,$A$2:$N$12,14,FALSE)," ")," ")</f>
        <v xml:space="preserve"> </v>
      </c>
      <c r="BQ1794" s="34">
        <f t="shared" ref="BQ1794" si="7760">$M$10</f>
        <v>0</v>
      </c>
      <c r="BR1794" s="34">
        <v>-1</v>
      </c>
      <c r="BS1794" s="34">
        <f t="shared" ref="BS1794" si="7761">-SUMPRODUCT($M$2:$M$9,$N$2:$N$9)-SUMPRODUCT($M$11:$M$12,$N$11:$N$12)</f>
        <v>-120000</v>
      </c>
      <c r="BT1794" s="34" t="e">
        <f t="shared" ref="BT1794" si="7762">IF(BQ1794&lt;&gt;BQ1795,MMULT(MINVERSE(BQ1794:BR1795),BS1794:BS1795)," ")</f>
        <v>#NUM!</v>
      </c>
      <c r="BU1794" s="34" t="str">
        <f t="shared" ref="BU1794" si="7763">IFERROR(IF(BT1794-VLOOKUP(BQ$38,$A$2:$N$12,14,FALSE)&lt;0,BT1794-VLOOKUP(BQ$38,$A$2:$N$12,14,FALSE)," ")," ")</f>
        <v xml:space="preserve"> </v>
      </c>
      <c r="BV1794" s="34" t="str">
        <f t="shared" ref="BV1794" si="7764">IFERROR(IF(BT1794-VLOOKUP(BQ$38,$A$2:$N$12,14,FALSE)&gt;0,BT1794-VLOOKUP(BQ$38,$A$2:$N$12,14,FALSE)," ")," ")</f>
        <v xml:space="preserve"> </v>
      </c>
      <c r="BW1794" s="34">
        <f t="shared" ref="BW1794" si="7765">$M$11</f>
        <v>0</v>
      </c>
      <c r="BX1794" s="34">
        <v>-1</v>
      </c>
      <c r="BY1794" s="34">
        <f t="shared" ref="BY1794" si="7766">-SUMPRODUCT($M$2:$M$10,$N$2:$N$10)-SUMPRODUCT($M$12,$N$12)</f>
        <v>-120000</v>
      </c>
      <c r="BZ1794" s="34" t="e">
        <f t="shared" ref="BZ1794" si="7767">IF(BW1794&lt;&gt;BW1795,MMULT(MINVERSE(BW1794:BX1795),BY1794:BY1795)," ")</f>
        <v>#NUM!</v>
      </c>
      <c r="CA1794" s="34" t="str">
        <f t="shared" ref="CA1794" si="7768">IFERROR(IF(BZ1794-VLOOKUP(BW$38,$A$2:$N$12,14,FALSE)&lt;0,BZ1794-VLOOKUP(BW$38,$A$2:$N$12,14,FALSE)," ")," ")</f>
        <v xml:space="preserve"> </v>
      </c>
      <c r="CB1794" s="34" t="str">
        <f t="shared" ref="CB1794" si="7769">IFERROR(IF(BZ1794-VLOOKUP(BW$38,$A$2:$N$12,14,FALSE)&gt;0,BZ1794-VLOOKUP(BW$38,$A$2:$N$12,14,FALSE)," ")," ")</f>
        <v xml:space="preserve"> </v>
      </c>
      <c r="CC1794" s="34">
        <f t="shared" ref="CC1794" si="7770">$M$12</f>
        <v>0</v>
      </c>
      <c r="CD1794" s="34">
        <v>-1</v>
      </c>
      <c r="CE1794" s="34">
        <f t="shared" ref="CE1794" si="7771">-SUMPRODUCT($M$2:$M$11,$N$2:$N$11)</f>
        <v>-120000</v>
      </c>
      <c r="CF1794" s="34" t="e">
        <f t="shared" ref="CF1794" si="7772">IF(CC1794&lt;&gt;CC1795,MMULT(MINVERSE(CC1794:CD1795),CE1794:CE1795)," ")</f>
        <v>#NUM!</v>
      </c>
      <c r="CG1794" s="34" t="str">
        <f t="shared" ref="CG1794" si="7773">IFERROR(IF(CF1794-VLOOKUP(CC$38,$A$2:$N$12,14,FALSE)&lt;0,CF1794-VLOOKUP(CC$38,$A$2:$N$12,14,FALSE)," ")," ")</f>
        <v xml:space="preserve"> </v>
      </c>
      <c r="CH1794" s="34" t="str">
        <f t="shared" ref="CH1794" si="7774">IFERROR(IF(CF1794-VLOOKUP(CC$38,$A$2:$N$12,14,FALSE)&gt;0,CF1794-VLOOKUP(CC$38,$A$2:$N$12,14,FALSE)," ")," ")</f>
        <v xml:space="preserve"> </v>
      </c>
      <c r="CI1794" s="8"/>
    </row>
    <row r="1795" spans="1:87" x14ac:dyDescent="0.2">
      <c r="A1795" s="8" t="str">
        <f>IF(AND(COUNTIF(W$3:W$13,A$16)&gt;0,A$16&lt;&gt;B1562),A$16,IFERROR(IF(MATCH(A$16,Z$3:Z$13,0)=11,A$16," ")," "))</f>
        <v xml:space="preserve"> </v>
      </c>
      <c r="B1795" s="8" t="str">
        <f>IF(A1795=" "," ",MAX(B1794:B1794)+1)</f>
        <v xml:space="preserve"> </v>
      </c>
      <c r="C1795" s="8" t="str">
        <f>IFERROR(INDEX(A1794:A1815,MATCH(SMALL(B1794:B1815,2),B1794:B1815,0),1)," ")</f>
        <v>C4</v>
      </c>
      <c r="D1795" s="8">
        <f t="shared" ref="D1795:D1804" si="7775">IFERROR(VLOOKUP($C1795,$A$15:$O$36,2,FALSE)," ")</f>
        <v>1</v>
      </c>
      <c r="E1795" s="8">
        <f t="shared" ref="E1795:E1804" si="7776">IFERROR(VLOOKUP($C1795,$A$15:$O$36,3,FALSE)," ")</f>
        <v>0</v>
      </c>
      <c r="F1795" s="8">
        <f t="shared" ref="F1795:F1804" si="7777">IFERROR(VLOOKUP($C1795,$A$15:$O$36,4,FALSE)," ")</f>
        <v>1</v>
      </c>
      <c r="G1795" s="8">
        <f t="shared" ref="G1795:G1804" si="7778">IFERROR(VLOOKUP($C1795,$A$15:$O$36,5,FALSE)," ")</f>
        <v>0</v>
      </c>
      <c r="H1795" s="8">
        <f t="shared" ref="H1795:H1804" si="7779">IFERROR(VLOOKUP($C1795,$A$15:$O$36,6,FALSE)," ")</f>
        <v>0</v>
      </c>
      <c r="I1795" s="8">
        <f t="shared" ref="I1795:I1804" si="7780">IFERROR(VLOOKUP($C1795,$A$15:$O$36,7,FALSE)," ")</f>
        <v>0</v>
      </c>
      <c r="J1795" s="8">
        <f t="shared" ref="J1795:J1804" si="7781">IFERROR(VLOOKUP($C1795,$A$15:$O$36,8,FALSE)," ")</f>
        <v>0</v>
      </c>
      <c r="K1795" s="8">
        <f t="shared" ref="K1795:K1804" si="7782">IFERROR(VLOOKUP($C1795,$A$15:$O$36,9,FALSE)," ")</f>
        <v>0</v>
      </c>
      <c r="L1795" s="8">
        <f t="shared" ref="L1795:L1804" si="7783">IFERROR(VLOOKUP($C1795,$A$15:$O$36,10,FALSE)," ")</f>
        <v>0</v>
      </c>
      <c r="M1795" s="8">
        <f t="shared" ref="M1795:M1804" si="7784">IFERROR(VLOOKUP($C1795,$A$15:$O$36,11,FALSE)," ")</f>
        <v>0</v>
      </c>
      <c r="N1795" s="8">
        <f t="shared" ref="N1795:N1804" si="7785">IFERROR(VLOOKUP($C1795,$A$15:$O$36,12,FALSE)," ")</f>
        <v>0</v>
      </c>
      <c r="O1795" s="8">
        <f t="shared" ref="O1795:O1804" si="7786">IFERROR(VLOOKUP($C1795,$A$15:$O$36,15,FALSE)," ")</f>
        <v>400</v>
      </c>
      <c r="P1795" s="8" t="e">
        <v>#NUM!</v>
      </c>
      <c r="Q1795" s="8" t="e">
        <f t="shared" ref="Q1795" si="7787">IF(COUNTIF(P1794:P1804,"&lt;"&amp;-0.001)=0,IF(ABS(P1795)&lt;0.001,0,P1795)," ")</f>
        <v>#NUM!</v>
      </c>
      <c r="R1795" s="8"/>
      <c r="S1795" s="8"/>
      <c r="U1795" s="34" t="e">
        <f t="shared" ref="U1795" si="7788">$Q1794</f>
        <v>#NUM!</v>
      </c>
      <c r="V1795" s="34">
        <v>-1</v>
      </c>
      <c r="W1795" s="34" t="e">
        <f t="shared" ref="W1795" si="7789">-SUMPRODUCT($Q1795:$Q1804,$N$3:$N$12)</f>
        <v>#NUM!</v>
      </c>
      <c r="X1795" s="34"/>
      <c r="Y1795" s="34"/>
      <c r="Z1795" s="34"/>
      <c r="AA1795" s="34" t="e">
        <f t="shared" ref="AA1795" si="7790">$Q1795</f>
        <v>#NUM!</v>
      </c>
      <c r="AB1795" s="34">
        <v>-1</v>
      </c>
      <c r="AC1795" s="34" t="e">
        <f t="shared" ref="AC1795" si="7791">-SUMPRODUCT($Q1794:$Q1794,$N$2:$N$2)-SUMPRODUCT($Q1796:$Q1804,$N$4:$N$12)</f>
        <v>#NUM!</v>
      </c>
      <c r="AD1795" s="34"/>
      <c r="AE1795" s="34"/>
      <c r="AF1795" s="34"/>
      <c r="AG1795" s="34" t="e">
        <f t="shared" ref="AG1795" si="7792">$Q1796</f>
        <v>#NUM!</v>
      </c>
      <c r="AH1795" s="34">
        <v>-1</v>
      </c>
      <c r="AI1795" s="34" t="e">
        <f t="shared" ref="AI1795" si="7793">-SUMPRODUCT($Q1794:$Q1795,$N$2:$N$3)-SUMPRODUCT($Q1797:$Q1804,$N$5:$N$12)</f>
        <v>#NUM!</v>
      </c>
      <c r="AJ1795" s="34"/>
      <c r="AK1795" s="34"/>
      <c r="AL1795" s="34"/>
      <c r="AM1795" s="34" t="e">
        <f t="shared" ref="AM1795" si="7794">$Q1797</f>
        <v>#NUM!</v>
      </c>
      <c r="AN1795" s="34">
        <v>-1</v>
      </c>
      <c r="AO1795" s="34" t="e">
        <f t="shared" ref="AO1795" si="7795">-SUMPRODUCT($Q1794:$Q1796,$N$2:$N$4)-SUMPRODUCT($Q1798:$Q1804,$N$6:$N$12)</f>
        <v>#NUM!</v>
      </c>
      <c r="AP1795" s="34"/>
      <c r="AQ1795" s="34"/>
      <c r="AR1795" s="34"/>
      <c r="AS1795" s="34" t="e">
        <f t="shared" ref="AS1795" si="7796">$Q1798</f>
        <v>#NUM!</v>
      </c>
      <c r="AT1795" s="34">
        <v>-1</v>
      </c>
      <c r="AU1795" s="34" t="e">
        <f t="shared" ref="AU1795" si="7797">-SUMPRODUCT($Q1794:$Q1797,$N$2:$N$5)-SUMPRODUCT($Q1799:$Q1804,$N$7:$N$12)</f>
        <v>#NUM!</v>
      </c>
      <c r="AV1795" s="34"/>
      <c r="AW1795" s="34"/>
      <c r="AX1795" s="34"/>
      <c r="AY1795" s="34" t="e">
        <f t="shared" ref="AY1795" si="7798">$Q1799</f>
        <v>#NUM!</v>
      </c>
      <c r="AZ1795" s="34">
        <v>-1</v>
      </c>
      <c r="BA1795" s="34" t="e">
        <f t="shared" ref="BA1795" si="7799">-SUMPRODUCT($Q1794:$Q1798,$N$2:$N$6)-SUMPRODUCT($Q1800:$Q1804,$N$8:$N$12)</f>
        <v>#NUM!</v>
      </c>
      <c r="BB1795" s="34"/>
      <c r="BC1795" s="34"/>
      <c r="BD1795" s="34"/>
      <c r="BE1795" s="34" t="e">
        <f t="shared" ref="BE1795" si="7800">$Q1800</f>
        <v>#NUM!</v>
      </c>
      <c r="BF1795" s="34">
        <v>-1</v>
      </c>
      <c r="BG1795" s="34" t="e">
        <f t="shared" ref="BG1795" si="7801">-SUMPRODUCT($Q1794:$Q1799,$N$2:$N$7)-SUMPRODUCT($Q1801:$Q1804,$N$9:$N$12)</f>
        <v>#NUM!</v>
      </c>
      <c r="BH1795" s="34"/>
      <c r="BI1795" s="34"/>
      <c r="BJ1795" s="34"/>
      <c r="BK1795" s="34" t="e">
        <f t="shared" ref="BK1795" si="7802">$Q1801</f>
        <v>#NUM!</v>
      </c>
      <c r="BL1795" s="34">
        <v>-1</v>
      </c>
      <c r="BM1795" s="34" t="e">
        <f t="shared" ref="BM1795" si="7803">-SUMPRODUCT($Q1794:$Q1800,$N$2:$N$8)-SUMPRODUCT($Q1802:$Q1804,$N$10:$N$12)</f>
        <v>#NUM!</v>
      </c>
      <c r="BN1795" s="34"/>
      <c r="BO1795" s="34"/>
      <c r="BP1795" s="34"/>
      <c r="BQ1795" s="34" t="e">
        <f t="shared" ref="BQ1795" si="7804">$Q1802</f>
        <v>#NUM!</v>
      </c>
      <c r="BR1795" s="34">
        <v>-1</v>
      </c>
      <c r="BS1795" s="34" t="e">
        <f t="shared" ref="BS1795" si="7805">-SUMPRODUCT($Q1794:$Q1801,$N$2:$N$9)-SUMPRODUCT($Q1803:$Q1804,$N$11:$N$12)</f>
        <v>#NUM!</v>
      </c>
      <c r="BT1795" s="34"/>
      <c r="BU1795" s="34"/>
      <c r="BV1795" s="34"/>
      <c r="BW1795" s="34" t="e">
        <f t="shared" ref="BW1795" si="7806">$Q1803</f>
        <v>#NUM!</v>
      </c>
      <c r="BX1795" s="34">
        <v>-1</v>
      </c>
      <c r="BY1795" s="34" t="e">
        <f t="shared" ref="BY1795" si="7807">-SUMPRODUCT($Q1794:$Q1802,$N$2:$N$10)-SUMPRODUCT($Q1804,$N$12)</f>
        <v>#NUM!</v>
      </c>
      <c r="BZ1795" s="34"/>
      <c r="CA1795" s="34"/>
      <c r="CB1795" s="34"/>
      <c r="CC1795" s="34" t="e">
        <f t="shared" ref="CC1795" si="7808">$Q1804</f>
        <v>#NUM!</v>
      </c>
      <c r="CD1795" s="34">
        <v>-1</v>
      </c>
      <c r="CE1795" s="34" t="e">
        <f t="shared" ref="CE1795" si="7809">-SUMPRODUCT($Q1794:$Q1803,$N$2:$N$11)</f>
        <v>#NUM!</v>
      </c>
      <c r="CF1795" s="34"/>
      <c r="CG1795" s="34"/>
      <c r="CH1795" s="34"/>
      <c r="CI1795" s="8"/>
    </row>
    <row r="1796" spans="1:87" x14ac:dyDescent="0.2">
      <c r="A1796" s="8" t="str">
        <f>IF(AND(COUNTIF(W$3:W$13,A$17)&gt;0,A$17&lt;&gt;B1562),A$17,IFERROR(IF(MATCH(A$17,Z$3:Z$13,0)=11,A$17," ")," "))</f>
        <v>C3</v>
      </c>
      <c r="B1796" s="8">
        <f>IF(A1796=" "," ",MAX(B1794:B1795)+1)</f>
        <v>1</v>
      </c>
      <c r="C1796" s="8" t="str">
        <f>IFERROR(INDEX(A1794:A1815,MATCH(SMALL(B1794:B1815,3),B1794:B1815,0),1)," ")</f>
        <v>C13</v>
      </c>
      <c r="D1796" s="8">
        <f t="shared" si="7775"/>
        <v>0</v>
      </c>
      <c r="E1796" s="8">
        <f t="shared" si="7776"/>
        <v>1</v>
      </c>
      <c r="F1796" s="8">
        <f t="shared" si="7777"/>
        <v>0</v>
      </c>
      <c r="G1796" s="8">
        <f t="shared" si="7778"/>
        <v>0</v>
      </c>
      <c r="H1796" s="8">
        <f t="shared" si="7779"/>
        <v>0</v>
      </c>
      <c r="I1796" s="8">
        <f t="shared" si="7780"/>
        <v>0</v>
      </c>
      <c r="J1796" s="8">
        <f t="shared" si="7781"/>
        <v>0</v>
      </c>
      <c r="K1796" s="8">
        <f t="shared" si="7782"/>
        <v>0</v>
      </c>
      <c r="L1796" s="8">
        <f t="shared" si="7783"/>
        <v>0</v>
      </c>
      <c r="M1796" s="8">
        <f t="shared" si="7784"/>
        <v>0</v>
      </c>
      <c r="N1796" s="8">
        <f t="shared" si="7785"/>
        <v>0</v>
      </c>
      <c r="O1796" s="8">
        <f t="shared" si="7786"/>
        <v>0</v>
      </c>
      <c r="P1796" s="8" t="e">
        <v>#NUM!</v>
      </c>
      <c r="Q1796" s="8" t="e">
        <f t="shared" ref="Q1796" si="7810">IF(COUNTIF(P1794:P1804,"&lt;"&amp;-0.001)=0,IF(ABS(P1796)&lt;0.001,0,P1796)," ")</f>
        <v>#NUM!</v>
      </c>
      <c r="R1796" s="8"/>
      <c r="S1796" s="8"/>
      <c r="U1796" s="34"/>
      <c r="V1796" s="34"/>
      <c r="W1796" s="34"/>
      <c r="X1796" s="34"/>
      <c r="Y1796" s="34"/>
      <c r="Z1796" s="34"/>
      <c r="AA1796" s="34"/>
      <c r="AB1796" s="34"/>
      <c r="AC1796" s="34"/>
      <c r="AD1796" s="34"/>
      <c r="AE1796" s="34"/>
      <c r="AF1796" s="34"/>
      <c r="AG1796" s="34"/>
      <c r="AH1796" s="34"/>
      <c r="AI1796" s="34"/>
      <c r="AJ1796" s="34"/>
      <c r="AK1796" s="34"/>
      <c r="AL1796" s="34"/>
      <c r="AM1796" s="34"/>
      <c r="AN1796" s="34"/>
      <c r="AO1796" s="34"/>
      <c r="AP1796" s="34"/>
      <c r="AQ1796" s="34"/>
      <c r="AR1796" s="34"/>
      <c r="AS1796" s="34"/>
      <c r="AT1796" s="34"/>
      <c r="AU1796" s="34"/>
      <c r="AV1796" s="34"/>
      <c r="AW1796" s="34"/>
      <c r="AX1796" s="34"/>
      <c r="AY1796" s="34"/>
      <c r="AZ1796" s="34"/>
      <c r="BA1796" s="34"/>
      <c r="BB1796" s="34"/>
      <c r="BC1796" s="34"/>
      <c r="BD1796" s="34"/>
      <c r="BE1796" s="34"/>
      <c r="BF1796" s="34"/>
      <c r="BG1796" s="34"/>
      <c r="BH1796" s="34"/>
      <c r="BI1796" s="34"/>
      <c r="BJ1796" s="34"/>
      <c r="BK1796" s="34"/>
      <c r="BL1796" s="34"/>
      <c r="BM1796" s="34"/>
      <c r="BN1796" s="34"/>
      <c r="BO1796" s="34"/>
      <c r="BP1796" s="34"/>
      <c r="BQ1796" s="34"/>
      <c r="BR1796" s="34"/>
      <c r="BS1796" s="34"/>
      <c r="BT1796" s="34"/>
      <c r="BU1796" s="34"/>
      <c r="BV1796" s="34"/>
      <c r="BW1796" s="34"/>
      <c r="BX1796" s="34"/>
      <c r="BY1796" s="34"/>
      <c r="BZ1796" s="34"/>
      <c r="CA1796" s="34"/>
      <c r="CB1796" s="34"/>
      <c r="CC1796" s="34"/>
      <c r="CD1796" s="34"/>
      <c r="CE1796" s="34"/>
      <c r="CF1796" s="34"/>
      <c r="CG1796" s="34"/>
      <c r="CH1796" s="34"/>
      <c r="CI1796" s="8"/>
    </row>
    <row r="1797" spans="1:87" x14ac:dyDescent="0.2">
      <c r="A1797" s="8" t="str">
        <f>IF(AND(COUNTIF(W$3:W$13,A$18)&gt;0,A$18&lt;&gt;B1562),A$18,IFERROR(IF(MATCH(A$18,Z$3:Z$13,0)=11,A$18," ")," "))</f>
        <v>C4</v>
      </c>
      <c r="B1797" s="8">
        <f>IF(A1797=" "," ",MAX(B1794:B1796)+1)</f>
        <v>2</v>
      </c>
      <c r="C1797" s="8" t="str">
        <f>IFERROR(INDEX(A1794:A1815,MATCH(SMALL(B1794:B1815,4),B1794:B1815,0),1)," ")</f>
        <v>C14</v>
      </c>
      <c r="D1797" s="8">
        <f t="shared" si="7775"/>
        <v>0</v>
      </c>
      <c r="E1797" s="8">
        <f t="shared" si="7776"/>
        <v>0</v>
      </c>
      <c r="F1797" s="8">
        <f t="shared" si="7777"/>
        <v>1</v>
      </c>
      <c r="G1797" s="8">
        <f t="shared" si="7778"/>
        <v>0</v>
      </c>
      <c r="H1797" s="8">
        <f t="shared" si="7779"/>
        <v>0</v>
      </c>
      <c r="I1797" s="8">
        <f t="shared" si="7780"/>
        <v>0</v>
      </c>
      <c r="J1797" s="8">
        <f t="shared" si="7781"/>
        <v>0</v>
      </c>
      <c r="K1797" s="8">
        <f t="shared" si="7782"/>
        <v>0</v>
      </c>
      <c r="L1797" s="8">
        <f t="shared" si="7783"/>
        <v>0</v>
      </c>
      <c r="M1797" s="8">
        <f t="shared" si="7784"/>
        <v>0</v>
      </c>
      <c r="N1797" s="8">
        <f t="shared" si="7785"/>
        <v>0</v>
      </c>
      <c r="O1797" s="8">
        <f t="shared" si="7786"/>
        <v>0</v>
      </c>
      <c r="P1797" s="8" t="e">
        <v>#NUM!</v>
      </c>
      <c r="Q1797" s="8" t="e">
        <f t="shared" ref="Q1797" si="7811">IF(COUNTIF(P1794:P1804,"&lt;"&amp;-0.001)=0,IF(ABS(P1797)&lt;0.001,0,P1797)," ")</f>
        <v>#NUM!</v>
      </c>
      <c r="R1797" s="8"/>
      <c r="S1797" s="8"/>
      <c r="U1797" s="34"/>
      <c r="V1797" s="34"/>
      <c r="W1797" s="34"/>
      <c r="X1797" s="34"/>
      <c r="Y1797" s="34"/>
      <c r="Z1797" s="34"/>
      <c r="AA1797" s="34"/>
      <c r="AB1797" s="34"/>
      <c r="AC1797" s="34"/>
      <c r="AD1797" s="34"/>
      <c r="AE1797" s="34"/>
      <c r="AF1797" s="34"/>
      <c r="AG1797" s="34"/>
      <c r="AH1797" s="34"/>
      <c r="AI1797" s="34"/>
      <c r="AJ1797" s="34"/>
      <c r="AK1797" s="34"/>
      <c r="AL1797" s="34"/>
      <c r="AM1797" s="34"/>
      <c r="AN1797" s="34"/>
      <c r="AO1797" s="34"/>
      <c r="AP1797" s="34"/>
      <c r="AQ1797" s="34"/>
      <c r="AR1797" s="34"/>
      <c r="AS1797" s="34"/>
      <c r="AT1797" s="34"/>
      <c r="AU1797" s="34"/>
      <c r="AV1797" s="34"/>
      <c r="AW1797" s="34"/>
      <c r="AX1797" s="34"/>
      <c r="AY1797" s="34"/>
      <c r="AZ1797" s="34"/>
      <c r="BA1797" s="34"/>
      <c r="BB1797" s="34"/>
      <c r="BC1797" s="34"/>
      <c r="BD1797" s="34"/>
      <c r="BE1797" s="34"/>
      <c r="BF1797" s="34"/>
      <c r="BG1797" s="34"/>
      <c r="BH1797" s="34"/>
      <c r="BI1797" s="34"/>
      <c r="BJ1797" s="34"/>
      <c r="BK1797" s="34"/>
      <c r="BL1797" s="34"/>
      <c r="BM1797" s="34"/>
      <c r="BN1797" s="34"/>
      <c r="BO1797" s="34"/>
      <c r="BP1797" s="34"/>
      <c r="BQ1797" s="34"/>
      <c r="BR1797" s="34"/>
      <c r="BS1797" s="34"/>
      <c r="BT1797" s="34"/>
      <c r="BU1797" s="34"/>
      <c r="BV1797" s="34"/>
      <c r="BW1797" s="34"/>
      <c r="BX1797" s="34"/>
      <c r="BY1797" s="34"/>
      <c r="BZ1797" s="34"/>
      <c r="CA1797" s="34"/>
      <c r="CB1797" s="34"/>
      <c r="CC1797" s="34"/>
      <c r="CD1797" s="34"/>
      <c r="CE1797" s="34"/>
      <c r="CF1797" s="34"/>
      <c r="CG1797" s="34"/>
      <c r="CH1797" s="34"/>
      <c r="CI1797" s="8"/>
    </row>
    <row r="1798" spans="1:87" x14ac:dyDescent="0.2">
      <c r="A1798" s="8" t="str">
        <f>IF(AND(COUNTIF(W$3:W$13,A$19)&gt;0,A$19&lt;&gt;B1562),A$19,IFERROR(IF(MATCH(A$19,Z$3:Z$13,0)=11,A$19," ")," "))</f>
        <v xml:space="preserve"> </v>
      </c>
      <c r="B1798" s="8" t="str">
        <f>IF(A1798=" "," ",MAX(B1794:B1797)+1)</f>
        <v xml:space="preserve"> </v>
      </c>
      <c r="C1798" s="8" t="str">
        <f>IFERROR(INDEX(A1794:A1815,MATCH(SMALL(B1794:B1815,5),B1794:B1815,0),1)," ")</f>
        <v>C15</v>
      </c>
      <c r="D1798" s="8">
        <f t="shared" si="7775"/>
        <v>0</v>
      </c>
      <c r="E1798" s="8">
        <f t="shared" si="7776"/>
        <v>0</v>
      </c>
      <c r="F1798" s="8">
        <f t="shared" si="7777"/>
        <v>0</v>
      </c>
      <c r="G1798" s="8">
        <f t="shared" si="7778"/>
        <v>1</v>
      </c>
      <c r="H1798" s="8">
        <f t="shared" si="7779"/>
        <v>0</v>
      </c>
      <c r="I1798" s="8">
        <f t="shared" si="7780"/>
        <v>0</v>
      </c>
      <c r="J1798" s="8">
        <f t="shared" si="7781"/>
        <v>0</v>
      </c>
      <c r="K1798" s="8">
        <f t="shared" si="7782"/>
        <v>0</v>
      </c>
      <c r="L1798" s="8">
        <f t="shared" si="7783"/>
        <v>0</v>
      </c>
      <c r="M1798" s="8">
        <f t="shared" si="7784"/>
        <v>0</v>
      </c>
      <c r="N1798" s="8">
        <f t="shared" si="7785"/>
        <v>0</v>
      </c>
      <c r="O1798" s="8">
        <f t="shared" si="7786"/>
        <v>0</v>
      </c>
      <c r="P1798" s="8" t="e">
        <v>#NUM!</v>
      </c>
      <c r="Q1798" s="8" t="e">
        <f t="shared" ref="Q1798" si="7812">IF(COUNTIF(P1794:P1804,"&lt;"&amp;-0.001)=0,IF(ABS(P1798)&lt;0.001,0,P1798)," ")</f>
        <v>#NUM!</v>
      </c>
      <c r="R1798" s="8"/>
      <c r="S1798" s="8"/>
      <c r="U1798" s="34"/>
      <c r="V1798" s="34"/>
      <c r="W1798" s="34"/>
      <c r="X1798" s="34"/>
      <c r="Y1798" s="34"/>
      <c r="Z1798" s="34"/>
      <c r="AA1798" s="34"/>
      <c r="AB1798" s="34"/>
      <c r="AC1798" s="34"/>
      <c r="AD1798" s="34"/>
      <c r="AE1798" s="34"/>
      <c r="AF1798" s="34"/>
      <c r="AG1798" s="34"/>
      <c r="AH1798" s="34"/>
      <c r="AI1798" s="34"/>
      <c r="AJ1798" s="34"/>
      <c r="AK1798" s="34"/>
      <c r="AL1798" s="34"/>
      <c r="AM1798" s="34"/>
      <c r="AN1798" s="34"/>
      <c r="AO1798" s="34"/>
      <c r="AP1798" s="34"/>
      <c r="AQ1798" s="34"/>
      <c r="AR1798" s="34"/>
      <c r="AS1798" s="34"/>
      <c r="AT1798" s="34"/>
      <c r="AU1798" s="34"/>
      <c r="AV1798" s="34"/>
      <c r="AW1798" s="34"/>
      <c r="AX1798" s="34"/>
      <c r="AY1798" s="34"/>
      <c r="AZ1798" s="34"/>
      <c r="BA1798" s="34"/>
      <c r="BB1798" s="34"/>
      <c r="BC1798" s="34"/>
      <c r="BD1798" s="34"/>
      <c r="BE1798" s="34"/>
      <c r="BF1798" s="34"/>
      <c r="BG1798" s="34"/>
      <c r="BH1798" s="34"/>
      <c r="BI1798" s="34"/>
      <c r="BJ1798" s="34"/>
      <c r="BK1798" s="34"/>
      <c r="BL1798" s="34"/>
      <c r="BM1798" s="34"/>
      <c r="BN1798" s="34"/>
      <c r="BO1798" s="34"/>
      <c r="BP1798" s="34"/>
      <c r="BQ1798" s="34"/>
      <c r="BR1798" s="34"/>
      <c r="BS1798" s="34"/>
      <c r="BT1798" s="34"/>
      <c r="BU1798" s="34"/>
      <c r="BV1798" s="34"/>
      <c r="BW1798" s="34"/>
      <c r="BX1798" s="34"/>
      <c r="BY1798" s="34"/>
      <c r="BZ1798" s="34"/>
      <c r="CA1798" s="34"/>
      <c r="CB1798" s="34"/>
      <c r="CC1798" s="34"/>
      <c r="CD1798" s="34"/>
      <c r="CE1798" s="34"/>
      <c r="CF1798" s="34"/>
      <c r="CG1798" s="34"/>
      <c r="CH1798" s="34"/>
      <c r="CI1798" s="8"/>
    </row>
    <row r="1799" spans="1:87" x14ac:dyDescent="0.2">
      <c r="A1799" s="8" t="str">
        <f>IF(AND(COUNTIF(W$3:W$13,A$20)&gt;0,A$20&lt;&gt;B1562),A$20,IFERROR(IF(MATCH(A$20,Z$3:Z$13,0)=11,A$20," ")," "))</f>
        <v xml:space="preserve"> </v>
      </c>
      <c r="B1799" s="8" t="str">
        <f>IF(A1799=" "," ",MAX(B1794:B1798)+1)</f>
        <v xml:space="preserve"> </v>
      </c>
      <c r="C1799" s="8" t="str">
        <f>IFERROR(INDEX(A1794:A1815,MATCH(SMALL(B1794:B1815,6),B1794:B1815,0),1)," ")</f>
        <v>C16</v>
      </c>
      <c r="D1799" s="8">
        <f t="shared" si="7775"/>
        <v>0</v>
      </c>
      <c r="E1799" s="8">
        <f t="shared" si="7776"/>
        <v>0</v>
      </c>
      <c r="F1799" s="8">
        <f t="shared" si="7777"/>
        <v>0</v>
      </c>
      <c r="G1799" s="8">
        <f t="shared" si="7778"/>
        <v>0</v>
      </c>
      <c r="H1799" s="8">
        <f t="shared" si="7779"/>
        <v>1</v>
      </c>
      <c r="I1799" s="8">
        <f t="shared" si="7780"/>
        <v>0</v>
      </c>
      <c r="J1799" s="8">
        <f t="shared" si="7781"/>
        <v>0</v>
      </c>
      <c r="K1799" s="8">
        <f t="shared" si="7782"/>
        <v>0</v>
      </c>
      <c r="L1799" s="8">
        <f t="shared" si="7783"/>
        <v>0</v>
      </c>
      <c r="M1799" s="8">
        <f t="shared" si="7784"/>
        <v>0</v>
      </c>
      <c r="N1799" s="8">
        <f t="shared" si="7785"/>
        <v>0</v>
      </c>
      <c r="O1799" s="8">
        <f t="shared" si="7786"/>
        <v>0</v>
      </c>
      <c r="P1799" s="8" t="e">
        <v>#NUM!</v>
      </c>
      <c r="Q1799" s="8" t="e">
        <f t="shared" ref="Q1799" si="7813">IF(COUNTIF(P1794:P1804,"&lt;"&amp;-0.001)=0,IF(ABS(P1799)&lt;0.001,0,P1799)," ")</f>
        <v>#NUM!</v>
      </c>
      <c r="R1799" s="8"/>
      <c r="S1799" s="8"/>
      <c r="U1799" s="34"/>
      <c r="V1799" s="34"/>
      <c r="W1799" s="34"/>
      <c r="X1799" s="34"/>
      <c r="Y1799" s="34"/>
      <c r="Z1799" s="34"/>
      <c r="AA1799" s="34"/>
      <c r="AB1799" s="34"/>
      <c r="AC1799" s="34"/>
      <c r="AD1799" s="34"/>
      <c r="AE1799" s="34"/>
      <c r="AF1799" s="34"/>
      <c r="AG1799" s="34"/>
      <c r="AH1799" s="34"/>
      <c r="AI1799" s="34"/>
      <c r="AJ1799" s="34"/>
      <c r="AK1799" s="34"/>
      <c r="AL1799" s="34"/>
      <c r="AM1799" s="34"/>
      <c r="AN1799" s="34"/>
      <c r="AO1799" s="34"/>
      <c r="AP1799" s="34"/>
      <c r="AQ1799" s="34"/>
      <c r="AR1799" s="34"/>
      <c r="AS1799" s="34"/>
      <c r="AT1799" s="34"/>
      <c r="AU1799" s="34"/>
      <c r="AV1799" s="34"/>
      <c r="AW1799" s="34"/>
      <c r="AX1799" s="34"/>
      <c r="AY1799" s="34"/>
      <c r="AZ1799" s="34"/>
      <c r="BA1799" s="34"/>
      <c r="BB1799" s="34"/>
      <c r="BC1799" s="34"/>
      <c r="BD1799" s="34"/>
      <c r="BE1799" s="34"/>
      <c r="BF1799" s="34"/>
      <c r="BG1799" s="34"/>
      <c r="BH1799" s="34"/>
      <c r="BI1799" s="34"/>
      <c r="BJ1799" s="34"/>
      <c r="BK1799" s="34"/>
      <c r="BL1799" s="34"/>
      <c r="BM1799" s="34"/>
      <c r="BN1799" s="34"/>
      <c r="BO1799" s="34"/>
      <c r="BP1799" s="34"/>
      <c r="BQ1799" s="34"/>
      <c r="BR1799" s="34"/>
      <c r="BS1799" s="34"/>
      <c r="BT1799" s="34"/>
      <c r="BU1799" s="34"/>
      <c r="BV1799" s="34"/>
      <c r="BW1799" s="34"/>
      <c r="BX1799" s="34"/>
      <c r="BY1799" s="34"/>
      <c r="BZ1799" s="34"/>
      <c r="CA1799" s="34"/>
      <c r="CB1799" s="34"/>
      <c r="CC1799" s="34"/>
      <c r="CD1799" s="34"/>
      <c r="CE1799" s="34"/>
      <c r="CF1799" s="34"/>
      <c r="CG1799" s="34"/>
      <c r="CH1799" s="34"/>
      <c r="CI1799" s="8"/>
    </row>
    <row r="1800" spans="1:87" x14ac:dyDescent="0.2">
      <c r="A1800" s="8" t="str">
        <f>IF(AND(COUNTIF(W$3:W$13,A$21)&gt;0,A$21&lt;&gt;B1562),A$21,IFERROR(IF(MATCH(A$21,Z$3:Z$13,0)=11,A$21," ")," "))</f>
        <v xml:space="preserve"> </v>
      </c>
      <c r="B1800" s="8" t="str">
        <f>IF(A1800=" "," ",MAX(B1794:B1799)+1)</f>
        <v xml:space="preserve"> </v>
      </c>
      <c r="C1800" s="8" t="str">
        <f>IFERROR(INDEX(A1794:A1815,MATCH(SMALL(B1794:B1815,7),B1794:B1815,0),1)," ")</f>
        <v>C17</v>
      </c>
      <c r="D1800" s="8">
        <f t="shared" si="7775"/>
        <v>0</v>
      </c>
      <c r="E1800" s="8">
        <f t="shared" si="7776"/>
        <v>0</v>
      </c>
      <c r="F1800" s="8">
        <f t="shared" si="7777"/>
        <v>0</v>
      </c>
      <c r="G1800" s="8">
        <f t="shared" si="7778"/>
        <v>0</v>
      </c>
      <c r="H1800" s="8">
        <f t="shared" si="7779"/>
        <v>0</v>
      </c>
      <c r="I1800" s="8">
        <f t="shared" si="7780"/>
        <v>1</v>
      </c>
      <c r="J1800" s="8">
        <f t="shared" si="7781"/>
        <v>0</v>
      </c>
      <c r="K1800" s="8">
        <f t="shared" si="7782"/>
        <v>0</v>
      </c>
      <c r="L1800" s="8">
        <f t="shared" si="7783"/>
        <v>0</v>
      </c>
      <c r="M1800" s="8">
        <f t="shared" si="7784"/>
        <v>0</v>
      </c>
      <c r="N1800" s="8">
        <f t="shared" si="7785"/>
        <v>0</v>
      </c>
      <c r="O1800" s="8">
        <f t="shared" si="7786"/>
        <v>0</v>
      </c>
      <c r="P1800" s="8" t="e">
        <v>#NUM!</v>
      </c>
      <c r="Q1800" s="8" t="e">
        <f t="shared" ref="Q1800" si="7814">IF(COUNTIF(P1794:P1804,"&lt;"&amp;-0.001)=0,IF(ABS(P1800)&lt;0.001,0,P1800)," ")</f>
        <v>#NUM!</v>
      </c>
      <c r="R1800" s="8"/>
      <c r="S1800" s="8"/>
      <c r="U1800" s="34"/>
      <c r="V1800" s="34"/>
      <c r="W1800" s="34"/>
      <c r="X1800" s="34"/>
      <c r="Y1800" s="34"/>
      <c r="Z1800" s="34"/>
      <c r="AA1800" s="34"/>
      <c r="AB1800" s="34"/>
      <c r="AC1800" s="34"/>
      <c r="AD1800" s="34"/>
      <c r="AE1800" s="34"/>
      <c r="AF1800" s="34"/>
      <c r="AG1800" s="34"/>
      <c r="AH1800" s="34"/>
      <c r="AI1800" s="34"/>
      <c r="AJ1800" s="34"/>
      <c r="AK1800" s="34"/>
      <c r="AL1800" s="34"/>
      <c r="AM1800" s="34"/>
      <c r="AN1800" s="34"/>
      <c r="AO1800" s="34"/>
      <c r="AP1800" s="34"/>
      <c r="AQ1800" s="34"/>
      <c r="AR1800" s="34"/>
      <c r="AS1800" s="34"/>
      <c r="AT1800" s="34"/>
      <c r="AU1800" s="34"/>
      <c r="AV1800" s="34"/>
      <c r="AW1800" s="34"/>
      <c r="AX1800" s="34"/>
      <c r="AY1800" s="34"/>
      <c r="AZ1800" s="34"/>
      <c r="BA1800" s="34"/>
      <c r="BB1800" s="34"/>
      <c r="BC1800" s="34"/>
      <c r="BD1800" s="34"/>
      <c r="BE1800" s="34"/>
      <c r="BF1800" s="34"/>
      <c r="BG1800" s="34"/>
      <c r="BH1800" s="34"/>
      <c r="BI1800" s="34"/>
      <c r="BJ1800" s="34"/>
      <c r="BK1800" s="34"/>
      <c r="BL1800" s="34"/>
      <c r="BM1800" s="34"/>
      <c r="BN1800" s="34"/>
      <c r="BO1800" s="34"/>
      <c r="BP1800" s="34"/>
      <c r="BQ1800" s="34"/>
      <c r="BR1800" s="34"/>
      <c r="BS1800" s="34"/>
      <c r="BT1800" s="34"/>
      <c r="BU1800" s="34"/>
      <c r="BV1800" s="34"/>
      <c r="BW1800" s="34"/>
      <c r="BX1800" s="34"/>
      <c r="BY1800" s="34"/>
      <c r="BZ1800" s="34"/>
      <c r="CA1800" s="34"/>
      <c r="CB1800" s="34"/>
      <c r="CC1800" s="34"/>
      <c r="CD1800" s="34"/>
      <c r="CE1800" s="34"/>
      <c r="CF1800" s="34"/>
      <c r="CG1800" s="34"/>
      <c r="CH1800" s="34"/>
      <c r="CI1800" s="8"/>
    </row>
    <row r="1801" spans="1:87" x14ac:dyDescent="0.2">
      <c r="A1801" s="8" t="str">
        <f>IF(AND(COUNTIF(W$3:W$13,A$22)&gt;0,A$22&lt;&gt;B1562),A$22,IFERROR(IF(MATCH(A$22,Z$3:Z$13,0)=11,A$22," ")," "))</f>
        <v xml:space="preserve"> </v>
      </c>
      <c r="B1801" s="8" t="str">
        <f>IF(A1801=" "," ",MAX(B1794:B1800)+1)</f>
        <v xml:space="preserve"> </v>
      </c>
      <c r="C1801" s="8" t="str">
        <f>IFERROR(INDEX(A1794:A1815,MATCH(SMALL(B1794:B1815,8),B1794:B1815,0),1)," ")</f>
        <v>C19</v>
      </c>
      <c r="D1801" s="8">
        <f t="shared" si="7775"/>
        <v>0</v>
      </c>
      <c r="E1801" s="8">
        <f t="shared" si="7776"/>
        <v>0</v>
      </c>
      <c r="F1801" s="8">
        <f t="shared" si="7777"/>
        <v>0</v>
      </c>
      <c r="G1801" s="8">
        <f t="shared" si="7778"/>
        <v>0</v>
      </c>
      <c r="H1801" s="8">
        <f t="shared" si="7779"/>
        <v>0</v>
      </c>
      <c r="I1801" s="8">
        <f t="shared" si="7780"/>
        <v>0</v>
      </c>
      <c r="J1801" s="8">
        <f t="shared" si="7781"/>
        <v>0</v>
      </c>
      <c r="K1801" s="8">
        <f t="shared" si="7782"/>
        <v>1</v>
      </c>
      <c r="L1801" s="8">
        <f t="shared" si="7783"/>
        <v>0</v>
      </c>
      <c r="M1801" s="8">
        <f t="shared" si="7784"/>
        <v>0</v>
      </c>
      <c r="N1801" s="8">
        <f t="shared" si="7785"/>
        <v>0</v>
      </c>
      <c r="O1801" s="8">
        <f t="shared" si="7786"/>
        <v>0</v>
      </c>
      <c r="P1801" s="8" t="e">
        <v>#NUM!</v>
      </c>
      <c r="Q1801" s="8" t="e">
        <f t="shared" ref="Q1801" si="7815">IF(COUNTIF(P1794:P1804,"&lt;"&amp;-0.001)=0,IF(ABS(P1801)&lt;0.001,0,P1801)," ")</f>
        <v>#NUM!</v>
      </c>
      <c r="R1801" s="8"/>
      <c r="S1801" s="8"/>
      <c r="U1801" s="34"/>
      <c r="V1801" s="34"/>
      <c r="W1801" s="34"/>
      <c r="X1801" s="34"/>
      <c r="Y1801" s="34"/>
      <c r="Z1801" s="34"/>
      <c r="AA1801" s="34"/>
      <c r="AB1801" s="34"/>
      <c r="AC1801" s="34"/>
      <c r="AD1801" s="34"/>
      <c r="AE1801" s="34"/>
      <c r="AF1801" s="34"/>
      <c r="AG1801" s="34"/>
      <c r="AH1801" s="34"/>
      <c r="AI1801" s="34"/>
      <c r="AJ1801" s="34"/>
      <c r="AK1801" s="34"/>
      <c r="AL1801" s="34"/>
      <c r="AM1801" s="34"/>
      <c r="AN1801" s="34"/>
      <c r="AO1801" s="34"/>
      <c r="AP1801" s="34"/>
      <c r="AQ1801" s="34"/>
      <c r="AR1801" s="34"/>
      <c r="AS1801" s="34"/>
      <c r="AT1801" s="34"/>
      <c r="AU1801" s="34"/>
      <c r="AV1801" s="34"/>
      <c r="AW1801" s="34"/>
      <c r="AX1801" s="34"/>
      <c r="AY1801" s="34"/>
      <c r="AZ1801" s="34"/>
      <c r="BA1801" s="34"/>
      <c r="BB1801" s="34"/>
      <c r="BC1801" s="34"/>
      <c r="BD1801" s="34"/>
      <c r="BE1801" s="34"/>
      <c r="BF1801" s="34"/>
      <c r="BG1801" s="34"/>
      <c r="BH1801" s="34"/>
      <c r="BI1801" s="34"/>
      <c r="BJ1801" s="34"/>
      <c r="BK1801" s="34"/>
      <c r="BL1801" s="34"/>
      <c r="BM1801" s="34"/>
      <c r="BN1801" s="34"/>
      <c r="BO1801" s="34"/>
      <c r="BP1801" s="34"/>
      <c r="BQ1801" s="34"/>
      <c r="BR1801" s="34"/>
      <c r="BS1801" s="34"/>
      <c r="BT1801" s="34"/>
      <c r="BU1801" s="34"/>
      <c r="BV1801" s="34"/>
      <c r="BW1801" s="34"/>
      <c r="BX1801" s="34"/>
      <c r="BY1801" s="34"/>
      <c r="BZ1801" s="34"/>
      <c r="CA1801" s="34"/>
      <c r="CB1801" s="34"/>
      <c r="CC1801" s="34"/>
      <c r="CD1801" s="34"/>
      <c r="CE1801" s="34"/>
      <c r="CF1801" s="34"/>
      <c r="CG1801" s="34"/>
      <c r="CH1801" s="34"/>
      <c r="CI1801" s="8"/>
    </row>
    <row r="1802" spans="1:87" x14ac:dyDescent="0.2">
      <c r="A1802" s="8" t="str">
        <f>IF(AND(COUNTIF(W$3:W$13,A$23)&gt;0,A$23&lt;&gt;B1562),A$23,IFERROR(IF(MATCH(A$23,Z$3:Z$13,0)=11,A$23," ")," "))</f>
        <v xml:space="preserve"> </v>
      </c>
      <c r="B1802" s="8" t="str">
        <f>IF(A1802=" "," ",MAX(B1794:B1801)+1)</f>
        <v xml:space="preserve"> </v>
      </c>
      <c r="C1802" s="8" t="str">
        <f>IFERROR(INDEX(A1794:A1815,MATCH(SMALL(B1794:B1815,9),B1794:B1815,0),1)," ")</f>
        <v>C20</v>
      </c>
      <c r="D1802" s="8">
        <f t="shared" si="7775"/>
        <v>0</v>
      </c>
      <c r="E1802" s="8">
        <f t="shared" si="7776"/>
        <v>0</v>
      </c>
      <c r="F1802" s="8">
        <f t="shared" si="7777"/>
        <v>0</v>
      </c>
      <c r="G1802" s="8">
        <f t="shared" si="7778"/>
        <v>0</v>
      </c>
      <c r="H1802" s="8">
        <f t="shared" si="7779"/>
        <v>0</v>
      </c>
      <c r="I1802" s="8">
        <f t="shared" si="7780"/>
        <v>0</v>
      </c>
      <c r="J1802" s="8">
        <f t="shared" si="7781"/>
        <v>0</v>
      </c>
      <c r="K1802" s="8">
        <f t="shared" si="7782"/>
        <v>0</v>
      </c>
      <c r="L1802" s="8">
        <f t="shared" si="7783"/>
        <v>1</v>
      </c>
      <c r="M1802" s="8">
        <f t="shared" si="7784"/>
        <v>0</v>
      </c>
      <c r="N1802" s="8">
        <f t="shared" si="7785"/>
        <v>0</v>
      </c>
      <c r="O1802" s="8">
        <f t="shared" si="7786"/>
        <v>0</v>
      </c>
      <c r="P1802" s="6" t="e">
        <v>#NUM!</v>
      </c>
      <c r="Q1802" s="8" t="e">
        <f t="shared" ref="Q1802" si="7816">IF(COUNTIF(P1794:P1804,"&lt;"&amp;-0.001)=0,IF(ABS(P1802)&lt;0.001,0,P1802)," ")</f>
        <v>#NUM!</v>
      </c>
      <c r="R1802" s="8"/>
      <c r="S1802" s="8"/>
      <c r="U1802" s="34"/>
      <c r="V1802" s="34"/>
      <c r="W1802" s="34"/>
      <c r="X1802" s="34"/>
      <c r="Y1802" s="34"/>
      <c r="Z1802" s="34"/>
      <c r="AA1802" s="34"/>
      <c r="AB1802" s="34"/>
      <c r="AC1802" s="34"/>
      <c r="AD1802" s="34"/>
      <c r="AE1802" s="34"/>
      <c r="AF1802" s="34"/>
      <c r="AG1802" s="34"/>
      <c r="AH1802" s="34"/>
      <c r="AI1802" s="34"/>
      <c r="AJ1802" s="34"/>
      <c r="AK1802" s="34"/>
      <c r="AL1802" s="34"/>
      <c r="AM1802" s="34"/>
      <c r="AN1802" s="34"/>
      <c r="AO1802" s="34"/>
      <c r="AP1802" s="34"/>
      <c r="AQ1802" s="34"/>
      <c r="AR1802" s="34"/>
      <c r="AS1802" s="34"/>
      <c r="AT1802" s="34"/>
      <c r="AU1802" s="34"/>
      <c r="AV1802" s="34"/>
      <c r="AW1802" s="34"/>
      <c r="AX1802" s="34"/>
      <c r="AY1802" s="34"/>
      <c r="AZ1802" s="34"/>
      <c r="BA1802" s="34"/>
      <c r="BB1802" s="34"/>
      <c r="BC1802" s="34"/>
      <c r="BD1802" s="34"/>
      <c r="BE1802" s="34"/>
      <c r="BF1802" s="34"/>
      <c r="BG1802" s="34"/>
      <c r="BH1802" s="34"/>
      <c r="BI1802" s="34"/>
      <c r="BJ1802" s="34"/>
      <c r="BK1802" s="34"/>
      <c r="BL1802" s="34"/>
      <c r="BM1802" s="34"/>
      <c r="BN1802" s="34"/>
      <c r="BO1802" s="34"/>
      <c r="BP1802" s="34"/>
      <c r="BQ1802" s="34"/>
      <c r="BR1802" s="34"/>
      <c r="BS1802" s="34"/>
      <c r="BT1802" s="34"/>
      <c r="BU1802" s="34"/>
      <c r="BV1802" s="34"/>
      <c r="BW1802" s="34"/>
      <c r="BX1802" s="34"/>
      <c r="BY1802" s="34"/>
      <c r="BZ1802" s="34"/>
      <c r="CA1802" s="34"/>
      <c r="CB1802" s="34"/>
      <c r="CC1802" s="34"/>
      <c r="CD1802" s="34"/>
      <c r="CE1802" s="34"/>
      <c r="CF1802" s="34"/>
      <c r="CG1802" s="34"/>
      <c r="CH1802" s="34"/>
      <c r="CI1802" s="8"/>
    </row>
    <row r="1803" spans="1:87" x14ac:dyDescent="0.2">
      <c r="A1803" s="8" t="str">
        <f>IF(AND(COUNTIF(W$3:W$13,A$24)&gt;0,A$24&lt;&gt;B1562),A$24,IFERROR(IF(MATCH(A$24,Z$3:Z$13,0)=11,A$24," ")," "))</f>
        <v xml:space="preserve"> </v>
      </c>
      <c r="B1803" s="8" t="str">
        <f>IF(A1803=" "," ",MAX(B1794:B1802)+1)</f>
        <v xml:space="preserve"> </v>
      </c>
      <c r="C1803" s="8" t="str">
        <f>IFERROR(INDEX(A1794:A1815,MATCH(SMALL(B1794:B1815,10),B1794:B1815,0),1)," ")</f>
        <v>C21</v>
      </c>
      <c r="D1803" s="8">
        <f t="shared" si="7775"/>
        <v>0</v>
      </c>
      <c r="E1803" s="8">
        <f t="shared" si="7776"/>
        <v>0</v>
      </c>
      <c r="F1803" s="8">
        <f t="shared" si="7777"/>
        <v>0</v>
      </c>
      <c r="G1803" s="8">
        <f t="shared" si="7778"/>
        <v>0</v>
      </c>
      <c r="H1803" s="8">
        <f t="shared" si="7779"/>
        <v>0</v>
      </c>
      <c r="I1803" s="8">
        <f t="shared" si="7780"/>
        <v>0</v>
      </c>
      <c r="J1803" s="8">
        <f t="shared" si="7781"/>
        <v>0</v>
      </c>
      <c r="K1803" s="8">
        <f t="shared" si="7782"/>
        <v>0</v>
      </c>
      <c r="L1803" s="8">
        <f t="shared" si="7783"/>
        <v>0</v>
      </c>
      <c r="M1803" s="8">
        <f t="shared" si="7784"/>
        <v>1</v>
      </c>
      <c r="N1803" s="8">
        <f t="shared" si="7785"/>
        <v>0</v>
      </c>
      <c r="O1803" s="8">
        <f t="shared" si="7786"/>
        <v>0</v>
      </c>
      <c r="P1803" s="8" t="e">
        <v>#NUM!</v>
      </c>
      <c r="Q1803" s="8" t="e">
        <f t="shared" ref="Q1803" si="7817">IF(COUNTIF(P1794:P1804,"&lt;"&amp;-0.001)=0,IF(ABS(P1803)&lt;0.001,0,P1803)," ")</f>
        <v>#NUM!</v>
      </c>
      <c r="R1803" s="8"/>
      <c r="S1803" s="8"/>
      <c r="U1803" s="34"/>
      <c r="V1803" s="34"/>
      <c r="W1803" s="34"/>
      <c r="X1803" s="34"/>
      <c r="Y1803" s="34"/>
      <c r="Z1803" s="34"/>
      <c r="AA1803" s="34"/>
      <c r="AB1803" s="34"/>
      <c r="AC1803" s="34"/>
      <c r="AD1803" s="34"/>
      <c r="AE1803" s="34"/>
      <c r="AF1803" s="34"/>
      <c r="AG1803" s="34"/>
      <c r="AH1803" s="34"/>
      <c r="AI1803" s="34"/>
      <c r="AJ1803" s="34"/>
      <c r="AK1803" s="34"/>
      <c r="AL1803" s="34"/>
      <c r="AM1803" s="34"/>
      <c r="AN1803" s="34"/>
      <c r="AO1803" s="34"/>
      <c r="AP1803" s="34"/>
      <c r="AQ1803" s="34"/>
      <c r="AR1803" s="34"/>
      <c r="AS1803" s="34"/>
      <c r="AT1803" s="34"/>
      <c r="AU1803" s="34"/>
      <c r="AV1803" s="34"/>
      <c r="AW1803" s="34"/>
      <c r="AX1803" s="34"/>
      <c r="AY1803" s="34"/>
      <c r="AZ1803" s="34"/>
      <c r="BA1803" s="34"/>
      <c r="BB1803" s="34"/>
      <c r="BC1803" s="34"/>
      <c r="BD1803" s="34"/>
      <c r="BE1803" s="34"/>
      <c r="BF1803" s="34"/>
      <c r="BG1803" s="34"/>
      <c r="BH1803" s="34"/>
      <c r="BI1803" s="34"/>
      <c r="BJ1803" s="34"/>
      <c r="BK1803" s="34"/>
      <c r="BL1803" s="34"/>
      <c r="BM1803" s="34"/>
      <c r="BN1803" s="34"/>
      <c r="BO1803" s="34"/>
      <c r="BP1803" s="34"/>
      <c r="BQ1803" s="34"/>
      <c r="BR1803" s="34"/>
      <c r="BS1803" s="34"/>
      <c r="BT1803" s="34"/>
      <c r="BU1803" s="34"/>
      <c r="BV1803" s="34"/>
      <c r="BW1803" s="34"/>
      <c r="BX1803" s="34"/>
      <c r="BY1803" s="34"/>
      <c r="BZ1803" s="34"/>
      <c r="CA1803" s="34"/>
      <c r="CB1803" s="34"/>
      <c r="CC1803" s="34"/>
      <c r="CD1803" s="34"/>
      <c r="CE1803" s="34"/>
      <c r="CF1803" s="34"/>
      <c r="CG1803" s="34"/>
      <c r="CH1803" s="34"/>
      <c r="CI1803" s="8"/>
    </row>
    <row r="1804" spans="1:87" x14ac:dyDescent="0.2">
      <c r="A1804" s="8" t="str">
        <f>IF(AND(COUNTIF(W$3:W$13,A$25)&gt;0,A$25&lt;&gt;B1562),A$25,IFERROR(IF(MATCH(A$25,Z$3:Z$13,0)=11,A$25," ")," "))</f>
        <v xml:space="preserve"> </v>
      </c>
      <c r="B1804" s="8" t="str">
        <f>IF(A1804=" "," ",MAX(B1794:B1803)+1)</f>
        <v xml:space="preserve"> </v>
      </c>
      <c r="C1804" s="8" t="str">
        <f>IFERROR(INDEX(A1794:A1815,MATCH(SMALL(B1794:B1815,11),B1794:B1815,0),1)," ")</f>
        <v>C22</v>
      </c>
      <c r="D1804" s="8">
        <f t="shared" si="7775"/>
        <v>0</v>
      </c>
      <c r="E1804" s="8">
        <f t="shared" si="7776"/>
        <v>0</v>
      </c>
      <c r="F1804" s="8">
        <f t="shared" si="7777"/>
        <v>0</v>
      </c>
      <c r="G1804" s="8">
        <f t="shared" si="7778"/>
        <v>0</v>
      </c>
      <c r="H1804" s="8">
        <f t="shared" si="7779"/>
        <v>0</v>
      </c>
      <c r="I1804" s="8">
        <f t="shared" si="7780"/>
        <v>0</v>
      </c>
      <c r="J1804" s="8">
        <f t="shared" si="7781"/>
        <v>0</v>
      </c>
      <c r="K1804" s="8">
        <f t="shared" si="7782"/>
        <v>0</v>
      </c>
      <c r="L1804" s="8">
        <f t="shared" si="7783"/>
        <v>0</v>
      </c>
      <c r="M1804" s="8">
        <f t="shared" si="7784"/>
        <v>0</v>
      </c>
      <c r="N1804" s="8">
        <f t="shared" si="7785"/>
        <v>1</v>
      </c>
      <c r="O1804" s="8">
        <f t="shared" si="7786"/>
        <v>0</v>
      </c>
      <c r="P1804" s="8" t="e">
        <v>#NUM!</v>
      </c>
      <c r="Q1804" s="8" t="e">
        <f t="shared" ref="Q1804" si="7818">IF(COUNTIF(P1794:P1804,"&lt;"&amp;-0.001)=0,IF(ABS(P1804)&lt;0.001,0,P1804)," ")</f>
        <v>#NUM!</v>
      </c>
      <c r="R1804" s="8"/>
      <c r="S1804" s="8"/>
      <c r="U1804" s="34"/>
      <c r="V1804" s="34"/>
      <c r="W1804" s="34"/>
      <c r="X1804" s="34"/>
      <c r="Y1804" s="34"/>
      <c r="Z1804" s="34"/>
      <c r="AA1804" s="34"/>
      <c r="AB1804" s="34"/>
      <c r="AC1804" s="34"/>
      <c r="AD1804" s="34"/>
      <c r="AE1804" s="34"/>
      <c r="AF1804" s="34"/>
      <c r="AG1804" s="34"/>
      <c r="AH1804" s="34"/>
      <c r="AI1804" s="34"/>
      <c r="AJ1804" s="34"/>
      <c r="AK1804" s="34"/>
      <c r="AL1804" s="34"/>
      <c r="AM1804" s="34"/>
      <c r="AN1804" s="34"/>
      <c r="AO1804" s="34"/>
      <c r="AP1804" s="34"/>
      <c r="AQ1804" s="34"/>
      <c r="AR1804" s="34"/>
      <c r="AS1804" s="34"/>
      <c r="AT1804" s="34"/>
      <c r="AU1804" s="34"/>
      <c r="AV1804" s="34"/>
      <c r="AW1804" s="34"/>
      <c r="AX1804" s="34"/>
      <c r="AY1804" s="34"/>
      <c r="AZ1804" s="34"/>
      <c r="BA1804" s="34"/>
      <c r="BB1804" s="34"/>
      <c r="BC1804" s="34"/>
      <c r="BD1804" s="34"/>
      <c r="BE1804" s="34"/>
      <c r="BF1804" s="34"/>
      <c r="BG1804" s="34"/>
      <c r="BH1804" s="34"/>
      <c r="BI1804" s="34"/>
      <c r="BJ1804" s="34"/>
      <c r="BK1804" s="34"/>
      <c r="BL1804" s="34"/>
      <c r="BM1804" s="34"/>
      <c r="BN1804" s="34"/>
      <c r="BO1804" s="34"/>
      <c r="BP1804" s="34"/>
      <c r="BQ1804" s="34"/>
      <c r="BR1804" s="34"/>
      <c r="BS1804" s="34"/>
      <c r="BT1804" s="34"/>
      <c r="BU1804" s="34"/>
      <c r="BV1804" s="34"/>
      <c r="BW1804" s="34"/>
      <c r="BX1804" s="34"/>
      <c r="BY1804" s="34"/>
      <c r="BZ1804" s="34"/>
      <c r="CA1804" s="34"/>
      <c r="CB1804" s="34"/>
      <c r="CC1804" s="34"/>
      <c r="CD1804" s="34"/>
      <c r="CE1804" s="34"/>
      <c r="CF1804" s="34"/>
      <c r="CG1804" s="34"/>
      <c r="CH1804" s="34"/>
      <c r="CI1804" s="8"/>
    </row>
    <row r="1805" spans="1:87" x14ac:dyDescent="0.2">
      <c r="A1805" s="8" t="str">
        <f>IF(AND(COUNTIF(W$3:W$13,A$26)&gt;0,A$26&lt;&gt;B1562),A$26,IFERROR(IF(MATCH(A$26,Z$3:Z$13,0)=11,A$26," ")," "))</f>
        <v xml:space="preserve"> </v>
      </c>
      <c r="B1805" s="8" t="str">
        <f>IF(A1805=" "," ",MAX(B1794:B1804)+1)</f>
        <v xml:space="preserve"> </v>
      </c>
      <c r="C1805" s="8"/>
      <c r="D1805" s="8"/>
      <c r="E1805" s="8"/>
      <c r="F1805" s="8"/>
      <c r="G1805" s="8"/>
      <c r="H1805" s="8"/>
      <c r="I1805" s="8"/>
      <c r="J1805" s="8"/>
      <c r="K1805" s="8"/>
      <c r="L1805" s="8"/>
      <c r="M1805" s="8"/>
      <c r="N1805" s="8"/>
      <c r="O1805" s="8"/>
      <c r="P1805" s="8"/>
      <c r="Q1805" s="8"/>
      <c r="R1805" s="8"/>
      <c r="S1805" s="8"/>
      <c r="U1805" s="34"/>
      <c r="V1805" s="34"/>
      <c r="W1805" s="34"/>
      <c r="X1805" s="34"/>
      <c r="Y1805" s="34"/>
      <c r="Z1805" s="34"/>
      <c r="AA1805" s="34"/>
      <c r="AB1805" s="34"/>
      <c r="AC1805" s="34"/>
      <c r="AD1805" s="34"/>
      <c r="AE1805" s="34"/>
      <c r="AF1805" s="34"/>
      <c r="AG1805" s="34"/>
      <c r="AH1805" s="34"/>
      <c r="AI1805" s="34"/>
      <c r="AJ1805" s="34"/>
      <c r="AK1805" s="34"/>
      <c r="AL1805" s="34"/>
      <c r="AM1805" s="34"/>
      <c r="AN1805" s="34"/>
      <c r="AO1805" s="34"/>
      <c r="AP1805" s="34"/>
      <c r="AQ1805" s="34"/>
      <c r="AR1805" s="34"/>
      <c r="AS1805" s="34"/>
      <c r="AT1805" s="34"/>
      <c r="AU1805" s="34"/>
      <c r="AV1805" s="34"/>
      <c r="AW1805" s="34"/>
      <c r="AX1805" s="34"/>
      <c r="AY1805" s="34"/>
      <c r="AZ1805" s="34"/>
      <c r="BA1805" s="34"/>
      <c r="BB1805" s="34"/>
      <c r="BC1805" s="34"/>
      <c r="BD1805" s="34"/>
      <c r="BE1805" s="34"/>
      <c r="BF1805" s="34"/>
      <c r="BG1805" s="34"/>
      <c r="BH1805" s="34"/>
      <c r="BI1805" s="34"/>
      <c r="BJ1805" s="34"/>
      <c r="BK1805" s="34"/>
      <c r="BL1805" s="34"/>
      <c r="BM1805" s="34"/>
      <c r="BN1805" s="34"/>
      <c r="BO1805" s="34"/>
      <c r="BP1805" s="34"/>
      <c r="BQ1805" s="34"/>
      <c r="BR1805" s="34"/>
      <c r="BS1805" s="34"/>
      <c r="BT1805" s="34"/>
      <c r="BU1805" s="34"/>
      <c r="BV1805" s="34"/>
      <c r="BW1805" s="34"/>
      <c r="BX1805" s="34"/>
      <c r="BY1805" s="34"/>
      <c r="BZ1805" s="34"/>
      <c r="CA1805" s="34"/>
      <c r="CB1805" s="34"/>
      <c r="CC1805" s="34"/>
      <c r="CD1805" s="34"/>
      <c r="CE1805" s="34"/>
      <c r="CF1805" s="34"/>
      <c r="CG1805" s="34"/>
      <c r="CH1805" s="34"/>
      <c r="CI1805" s="8"/>
    </row>
    <row r="1806" spans="1:87" x14ac:dyDescent="0.2">
      <c r="A1806" s="8" t="str">
        <f>IF(AND(COUNTIF(W$3:W$13,A$27)&gt;0,A$27&lt;&gt;B1562),A$27,IFERROR(IF(MATCH(A$27,Z$3:Z$13,0)=11,A$27," ")," "))</f>
        <v>C13</v>
      </c>
      <c r="B1806" s="8">
        <f>IF(A1806=" "," ",MAX(B1794:B1805)+1)</f>
        <v>3</v>
      </c>
      <c r="C1806" s="8"/>
      <c r="D1806" s="8"/>
      <c r="E1806" s="8"/>
      <c r="F1806" s="8"/>
      <c r="G1806" s="8"/>
      <c r="H1806" s="8"/>
      <c r="I1806" s="8"/>
      <c r="J1806" s="8"/>
      <c r="K1806" s="8"/>
      <c r="L1806" s="8"/>
      <c r="M1806" s="8"/>
      <c r="N1806" s="8"/>
      <c r="O1806" s="8"/>
      <c r="P1806" s="8"/>
      <c r="Q1806" s="8"/>
      <c r="R1806" s="8"/>
      <c r="S1806" s="8"/>
      <c r="U1806" s="34"/>
      <c r="V1806" s="34"/>
      <c r="W1806" s="34"/>
      <c r="X1806" s="34"/>
      <c r="Y1806" s="34"/>
      <c r="Z1806" s="34"/>
      <c r="AA1806" s="34"/>
      <c r="AB1806" s="34"/>
      <c r="AC1806" s="34"/>
      <c r="AD1806" s="34"/>
      <c r="AE1806" s="34"/>
      <c r="AF1806" s="34"/>
      <c r="AG1806" s="34"/>
      <c r="AH1806" s="34"/>
      <c r="AI1806" s="34"/>
      <c r="AJ1806" s="34"/>
      <c r="AK1806" s="34"/>
      <c r="AL1806" s="34"/>
      <c r="AM1806" s="34"/>
      <c r="AN1806" s="34"/>
      <c r="AO1806" s="34"/>
      <c r="AP1806" s="34"/>
      <c r="AQ1806" s="34"/>
      <c r="AR1806" s="34"/>
      <c r="AS1806" s="34"/>
      <c r="AT1806" s="34"/>
      <c r="AU1806" s="34"/>
      <c r="AV1806" s="34"/>
      <c r="AW1806" s="34"/>
      <c r="AX1806" s="34"/>
      <c r="AY1806" s="34"/>
      <c r="AZ1806" s="34"/>
      <c r="BA1806" s="34"/>
      <c r="BB1806" s="34"/>
      <c r="BC1806" s="34"/>
      <c r="BD1806" s="34"/>
      <c r="BE1806" s="34"/>
      <c r="BF1806" s="34"/>
      <c r="BG1806" s="34"/>
      <c r="BH1806" s="34"/>
      <c r="BI1806" s="34"/>
      <c r="BJ1806" s="34"/>
      <c r="BK1806" s="34"/>
      <c r="BL1806" s="34"/>
      <c r="BM1806" s="34"/>
      <c r="BN1806" s="34"/>
      <c r="BO1806" s="34"/>
      <c r="BP1806" s="34"/>
      <c r="BQ1806" s="34"/>
      <c r="BR1806" s="34"/>
      <c r="BS1806" s="34"/>
      <c r="BT1806" s="34"/>
      <c r="BU1806" s="34"/>
      <c r="BV1806" s="34"/>
      <c r="BW1806" s="34"/>
      <c r="BX1806" s="34"/>
      <c r="BY1806" s="34"/>
      <c r="BZ1806" s="34"/>
      <c r="CA1806" s="34"/>
      <c r="CB1806" s="34"/>
      <c r="CC1806" s="34"/>
      <c r="CD1806" s="34"/>
      <c r="CE1806" s="34"/>
      <c r="CF1806" s="34"/>
      <c r="CG1806" s="34"/>
      <c r="CH1806" s="34"/>
      <c r="CI1806" s="8"/>
    </row>
    <row r="1807" spans="1:87" x14ac:dyDescent="0.2">
      <c r="A1807" s="8" t="str">
        <f>IF(AND(COUNTIF(W$3:W$13,A$28)&gt;0,A$28&lt;&gt;B1562),A$28,IFERROR(IF(MATCH(A$28,Z$3:Z$13,0)=11,A$28," ")," "))</f>
        <v>C14</v>
      </c>
      <c r="B1807" s="8">
        <f>IF(A1807=" "," ",MAX(B1794:B1806)+1)</f>
        <v>4</v>
      </c>
      <c r="C1807" s="8"/>
      <c r="D1807" s="8"/>
      <c r="E1807" s="8"/>
      <c r="F1807" s="8"/>
      <c r="G1807" s="8"/>
      <c r="H1807" s="8"/>
      <c r="I1807" s="8"/>
      <c r="J1807" s="8"/>
      <c r="K1807" s="8"/>
      <c r="L1807" s="8"/>
      <c r="M1807" s="8"/>
      <c r="N1807" s="8"/>
      <c r="O1807" s="8"/>
      <c r="P1807" s="8"/>
      <c r="Q1807" s="8"/>
      <c r="R1807" s="8"/>
      <c r="S1807" s="8"/>
      <c r="U1807" s="34"/>
      <c r="V1807" s="34"/>
      <c r="W1807" s="34"/>
      <c r="X1807" s="34"/>
      <c r="Y1807" s="34"/>
      <c r="Z1807" s="34"/>
      <c r="AA1807" s="34"/>
      <c r="AB1807" s="34"/>
      <c r="AC1807" s="34"/>
      <c r="AD1807" s="34"/>
      <c r="AE1807" s="34"/>
      <c r="AF1807" s="34"/>
      <c r="AG1807" s="34"/>
      <c r="AH1807" s="34"/>
      <c r="AI1807" s="34"/>
      <c r="AJ1807" s="34"/>
      <c r="AK1807" s="34"/>
      <c r="AL1807" s="34"/>
      <c r="AM1807" s="34"/>
      <c r="AN1807" s="34"/>
      <c r="AO1807" s="34"/>
      <c r="AP1807" s="34"/>
      <c r="AQ1807" s="34"/>
      <c r="AR1807" s="34"/>
      <c r="AS1807" s="34"/>
      <c r="AT1807" s="34"/>
      <c r="AU1807" s="34"/>
      <c r="AV1807" s="34"/>
      <c r="AW1807" s="34"/>
      <c r="AX1807" s="34"/>
      <c r="AY1807" s="34"/>
      <c r="AZ1807" s="34"/>
      <c r="BA1807" s="34"/>
      <c r="BB1807" s="34"/>
      <c r="BC1807" s="34"/>
      <c r="BD1807" s="34"/>
      <c r="BE1807" s="34"/>
      <c r="BF1807" s="34"/>
      <c r="BG1807" s="34"/>
      <c r="BH1807" s="34"/>
      <c r="BI1807" s="34"/>
      <c r="BJ1807" s="34"/>
      <c r="BK1807" s="34"/>
      <c r="BL1807" s="34"/>
      <c r="BM1807" s="34"/>
      <c r="BN1807" s="34"/>
      <c r="BO1807" s="34"/>
      <c r="BP1807" s="34"/>
      <c r="BQ1807" s="34"/>
      <c r="BR1807" s="34"/>
      <c r="BS1807" s="34"/>
      <c r="BT1807" s="34"/>
      <c r="BU1807" s="34"/>
      <c r="BV1807" s="34"/>
      <c r="BW1807" s="34"/>
      <c r="BX1807" s="34"/>
      <c r="BY1807" s="34"/>
      <c r="BZ1807" s="34"/>
      <c r="CA1807" s="34"/>
      <c r="CB1807" s="34"/>
      <c r="CC1807" s="34"/>
      <c r="CD1807" s="34"/>
      <c r="CE1807" s="34"/>
      <c r="CF1807" s="34"/>
      <c r="CG1807" s="34"/>
      <c r="CH1807" s="34"/>
      <c r="CI1807" s="8"/>
    </row>
    <row r="1808" spans="1:87" x14ac:dyDescent="0.2">
      <c r="A1808" s="8" t="str">
        <f>IF(AND(COUNTIF(W$3:W$13,A$29)&gt;0,A$29&lt;&gt;B1562),A$29,IFERROR(IF(MATCH(A$29,Z$3:Z$13,0)=11,A$29," ")," "))</f>
        <v>C15</v>
      </c>
      <c r="B1808" s="8">
        <f>IF(A1808=" "," ",MAX(B1794:B1807)+1)</f>
        <v>5</v>
      </c>
      <c r="C1808" s="8"/>
      <c r="D1808" s="8"/>
      <c r="E1808" s="8"/>
      <c r="F1808" s="8"/>
      <c r="G1808" s="8"/>
      <c r="H1808" s="8"/>
      <c r="I1808" s="8"/>
      <c r="J1808" s="8"/>
      <c r="K1808" s="8"/>
      <c r="L1808" s="8"/>
      <c r="M1808" s="8"/>
      <c r="N1808" s="8"/>
      <c r="O1808" s="8"/>
      <c r="P1808" s="8"/>
      <c r="Q1808" s="8"/>
      <c r="R1808" s="8"/>
      <c r="S1808" s="8"/>
      <c r="U1808" s="34"/>
      <c r="V1808" s="34"/>
      <c r="W1808" s="34"/>
      <c r="X1808" s="34"/>
      <c r="Y1808" s="34"/>
      <c r="Z1808" s="34"/>
      <c r="AA1808" s="34"/>
      <c r="AB1808" s="34"/>
      <c r="AC1808" s="34"/>
      <c r="AD1808" s="34"/>
      <c r="AE1808" s="34"/>
      <c r="AF1808" s="34"/>
      <c r="AG1808" s="34"/>
      <c r="AH1808" s="34"/>
      <c r="AI1808" s="34"/>
      <c r="AJ1808" s="34"/>
      <c r="AK1808" s="34"/>
      <c r="AL1808" s="34"/>
      <c r="AM1808" s="34"/>
      <c r="AN1808" s="34"/>
      <c r="AO1808" s="34"/>
      <c r="AP1808" s="34"/>
      <c r="AQ1808" s="34"/>
      <c r="AR1808" s="34"/>
      <c r="AS1808" s="34"/>
      <c r="AT1808" s="34"/>
      <c r="AU1808" s="34"/>
      <c r="AV1808" s="34"/>
      <c r="AW1808" s="34"/>
      <c r="AX1808" s="34"/>
      <c r="AY1808" s="34"/>
      <c r="AZ1808" s="34"/>
      <c r="BA1808" s="34"/>
      <c r="BB1808" s="34"/>
      <c r="BC1808" s="34"/>
      <c r="BD1808" s="34"/>
      <c r="BE1808" s="34"/>
      <c r="BF1808" s="34"/>
      <c r="BG1808" s="34"/>
      <c r="BH1808" s="34"/>
      <c r="BI1808" s="34"/>
      <c r="BJ1808" s="34"/>
      <c r="BK1808" s="34"/>
      <c r="BL1808" s="34"/>
      <c r="BM1808" s="34"/>
      <c r="BN1808" s="34"/>
      <c r="BO1808" s="34"/>
      <c r="BP1808" s="34"/>
      <c r="BQ1808" s="34"/>
      <c r="BR1808" s="34"/>
      <c r="BS1808" s="34"/>
      <c r="BT1808" s="34"/>
      <c r="BU1808" s="34"/>
      <c r="BV1808" s="34"/>
      <c r="BW1808" s="34"/>
      <c r="BX1808" s="34"/>
      <c r="BY1808" s="34"/>
      <c r="BZ1808" s="34"/>
      <c r="CA1808" s="34"/>
      <c r="CB1808" s="34"/>
      <c r="CC1808" s="34"/>
      <c r="CD1808" s="34"/>
      <c r="CE1808" s="34"/>
      <c r="CF1808" s="34"/>
      <c r="CG1808" s="34"/>
      <c r="CH1808" s="34"/>
      <c r="CI1808" s="8"/>
    </row>
    <row r="1809" spans="1:87" x14ac:dyDescent="0.2">
      <c r="A1809" s="8" t="str">
        <f>IF(AND(COUNTIF(W$3:W$13,A$30)&gt;0,A$30&lt;&gt;B1562),A$30,IFERROR(IF(MATCH(A$30,Z$3:Z$13,0)=11,A$30," ")," "))</f>
        <v>C16</v>
      </c>
      <c r="B1809" s="8">
        <f>IF(A1809=" "," ",MAX(B1794:B1808)+1)</f>
        <v>6</v>
      </c>
      <c r="C1809" s="8"/>
      <c r="D1809" s="8"/>
      <c r="E1809" s="8"/>
      <c r="F1809" s="8"/>
      <c r="G1809" s="8"/>
      <c r="H1809" s="8"/>
      <c r="I1809" s="8"/>
      <c r="J1809" s="8"/>
      <c r="K1809" s="8"/>
      <c r="L1809" s="8"/>
      <c r="M1809" s="8"/>
      <c r="N1809" s="8"/>
      <c r="O1809" s="8"/>
      <c r="P1809" s="8"/>
      <c r="Q1809" s="8"/>
      <c r="R1809" s="8"/>
      <c r="S1809" s="8"/>
      <c r="U1809" s="34"/>
      <c r="V1809" s="34"/>
      <c r="W1809" s="34"/>
      <c r="X1809" s="34"/>
      <c r="Y1809" s="34"/>
      <c r="Z1809" s="34"/>
      <c r="AA1809" s="34"/>
      <c r="AB1809" s="34"/>
      <c r="AC1809" s="34"/>
      <c r="AD1809" s="34"/>
      <c r="AE1809" s="34"/>
      <c r="AF1809" s="34"/>
      <c r="AG1809" s="34"/>
      <c r="AH1809" s="34"/>
      <c r="AI1809" s="34"/>
      <c r="AJ1809" s="34"/>
      <c r="AK1809" s="34"/>
      <c r="AL1809" s="34"/>
      <c r="AM1809" s="34"/>
      <c r="AN1809" s="34"/>
      <c r="AO1809" s="34"/>
      <c r="AP1809" s="34"/>
      <c r="AQ1809" s="34"/>
      <c r="AR1809" s="34"/>
      <c r="AS1809" s="34"/>
      <c r="AT1809" s="34"/>
      <c r="AU1809" s="34"/>
      <c r="AV1809" s="34"/>
      <c r="AW1809" s="34"/>
      <c r="AX1809" s="34"/>
      <c r="AY1809" s="34"/>
      <c r="AZ1809" s="34"/>
      <c r="BA1809" s="34"/>
      <c r="BB1809" s="34"/>
      <c r="BC1809" s="34"/>
      <c r="BD1809" s="34"/>
      <c r="BE1809" s="34"/>
      <c r="BF1809" s="34"/>
      <c r="BG1809" s="34"/>
      <c r="BH1809" s="34"/>
      <c r="BI1809" s="34"/>
      <c r="BJ1809" s="34"/>
      <c r="BK1809" s="34"/>
      <c r="BL1809" s="34"/>
      <c r="BM1809" s="34"/>
      <c r="BN1809" s="34"/>
      <c r="BO1809" s="34"/>
      <c r="BP1809" s="34"/>
      <c r="BQ1809" s="34"/>
      <c r="BR1809" s="34"/>
      <c r="BS1809" s="34"/>
      <c r="BT1809" s="34"/>
      <c r="BU1809" s="34"/>
      <c r="BV1809" s="34"/>
      <c r="BW1809" s="34"/>
      <c r="BX1809" s="34"/>
      <c r="BY1809" s="34"/>
      <c r="BZ1809" s="34"/>
      <c r="CA1809" s="34"/>
      <c r="CB1809" s="34"/>
      <c r="CC1809" s="34"/>
      <c r="CD1809" s="34"/>
      <c r="CE1809" s="34"/>
      <c r="CF1809" s="34"/>
      <c r="CG1809" s="34"/>
      <c r="CH1809" s="34"/>
      <c r="CI1809" s="8"/>
    </row>
    <row r="1810" spans="1:87" x14ac:dyDescent="0.2">
      <c r="A1810" s="8" t="str">
        <f>IF(AND(COUNTIF(W$3:W$13,A$31)&gt;0,A$31&lt;&gt;B1562),A$31,IFERROR(IF(MATCH(A$31,Z$3:Z$13,0)=11,A$31," ")," "))</f>
        <v>C17</v>
      </c>
      <c r="B1810" s="8">
        <f>IF(A1810=" "," ",MAX(B1794:B1809)+1)</f>
        <v>7</v>
      </c>
      <c r="C1810" s="8"/>
      <c r="D1810" s="8"/>
      <c r="E1810" s="8"/>
      <c r="F1810" s="8"/>
      <c r="G1810" s="8"/>
      <c r="H1810" s="8"/>
      <c r="I1810" s="8"/>
      <c r="J1810" s="8"/>
      <c r="K1810" s="8"/>
      <c r="L1810" s="8"/>
      <c r="M1810" s="8"/>
      <c r="N1810" s="8"/>
      <c r="O1810" s="8"/>
      <c r="P1810" s="8"/>
      <c r="Q1810" s="8"/>
      <c r="R1810" s="8"/>
      <c r="S1810" s="8"/>
      <c r="U1810" s="34"/>
      <c r="V1810" s="34"/>
      <c r="W1810" s="34"/>
      <c r="X1810" s="34"/>
      <c r="Y1810" s="34"/>
      <c r="Z1810" s="34"/>
      <c r="AA1810" s="34"/>
      <c r="AB1810" s="34"/>
      <c r="AC1810" s="34"/>
      <c r="AD1810" s="34"/>
      <c r="AE1810" s="34"/>
      <c r="AF1810" s="34"/>
      <c r="AG1810" s="34"/>
      <c r="AH1810" s="34"/>
      <c r="AI1810" s="34"/>
      <c r="AJ1810" s="34"/>
      <c r="AK1810" s="34"/>
      <c r="AL1810" s="34"/>
      <c r="AM1810" s="34"/>
      <c r="AN1810" s="34"/>
      <c r="AO1810" s="34"/>
      <c r="AP1810" s="34"/>
      <c r="AQ1810" s="34"/>
      <c r="AR1810" s="34"/>
      <c r="AS1810" s="34"/>
      <c r="AT1810" s="34"/>
      <c r="AU1810" s="34"/>
      <c r="AV1810" s="34"/>
      <c r="AW1810" s="34"/>
      <c r="AX1810" s="34"/>
      <c r="AY1810" s="34"/>
      <c r="AZ1810" s="34"/>
      <c r="BA1810" s="34"/>
      <c r="BB1810" s="34"/>
      <c r="BC1810" s="34"/>
      <c r="BD1810" s="34"/>
      <c r="BE1810" s="34"/>
      <c r="BF1810" s="34"/>
      <c r="BG1810" s="34"/>
      <c r="BH1810" s="34"/>
      <c r="BI1810" s="34"/>
      <c r="BJ1810" s="34"/>
      <c r="BK1810" s="34"/>
      <c r="BL1810" s="34"/>
      <c r="BM1810" s="34"/>
      <c r="BN1810" s="34"/>
      <c r="BO1810" s="34"/>
      <c r="BP1810" s="34"/>
      <c r="BQ1810" s="34"/>
      <c r="BR1810" s="34"/>
      <c r="BS1810" s="34"/>
      <c r="BT1810" s="34"/>
      <c r="BU1810" s="34"/>
      <c r="BV1810" s="34"/>
      <c r="BW1810" s="34"/>
      <c r="BX1810" s="34"/>
      <c r="BY1810" s="34"/>
      <c r="BZ1810" s="34"/>
      <c r="CA1810" s="34"/>
      <c r="CB1810" s="34"/>
      <c r="CC1810" s="34"/>
      <c r="CD1810" s="34"/>
      <c r="CE1810" s="34"/>
      <c r="CF1810" s="34"/>
      <c r="CG1810" s="34"/>
      <c r="CH1810" s="34"/>
      <c r="CI1810" s="8"/>
    </row>
    <row r="1811" spans="1:87" x14ac:dyDescent="0.2">
      <c r="A1811" s="8" t="str">
        <f>IF(AND(COUNTIF(W$3:W$13,A$32)&gt;0,A$32&lt;&gt;B1562),A$32,IFERROR(IF(MATCH(A$32,Z$3:Z$13,0)=11,A$32," ")," "))</f>
        <v xml:space="preserve"> </v>
      </c>
      <c r="B1811" s="8" t="str">
        <f>IF(A1811=" "," ",MAX(B1794:B1810)+1)</f>
        <v xml:space="preserve"> </v>
      </c>
      <c r="C1811" s="8"/>
      <c r="D1811" s="8"/>
      <c r="E1811" s="8"/>
      <c r="F1811" s="8"/>
      <c r="G1811" s="8"/>
      <c r="H1811" s="8"/>
      <c r="I1811" s="8"/>
      <c r="J1811" s="8"/>
      <c r="K1811" s="8"/>
      <c r="L1811" s="8"/>
      <c r="M1811" s="8"/>
      <c r="N1811" s="8"/>
      <c r="O1811" s="8"/>
      <c r="P1811" s="8"/>
      <c r="Q1811" s="8"/>
      <c r="R1811" s="8"/>
      <c r="S1811" s="8"/>
      <c r="U1811" s="34"/>
      <c r="V1811" s="34"/>
      <c r="W1811" s="34"/>
      <c r="X1811" s="34"/>
      <c r="Y1811" s="34"/>
      <c r="Z1811" s="34"/>
      <c r="AA1811" s="34"/>
      <c r="AB1811" s="34"/>
      <c r="AC1811" s="34"/>
      <c r="AD1811" s="34"/>
      <c r="AE1811" s="34"/>
      <c r="AF1811" s="34"/>
      <c r="AG1811" s="34"/>
      <c r="AH1811" s="34"/>
      <c r="AI1811" s="34"/>
      <c r="AJ1811" s="34"/>
      <c r="AK1811" s="34"/>
      <c r="AL1811" s="34"/>
      <c r="AM1811" s="34"/>
      <c r="AN1811" s="34"/>
      <c r="AO1811" s="34"/>
      <c r="AP1811" s="34"/>
      <c r="AQ1811" s="34"/>
      <c r="AR1811" s="34"/>
      <c r="AS1811" s="34"/>
      <c r="AT1811" s="34"/>
      <c r="AU1811" s="34"/>
      <c r="AV1811" s="34"/>
      <c r="AW1811" s="34"/>
      <c r="AX1811" s="34"/>
      <c r="AY1811" s="34"/>
      <c r="AZ1811" s="34"/>
      <c r="BA1811" s="34"/>
      <c r="BB1811" s="34"/>
      <c r="BC1811" s="34"/>
      <c r="BD1811" s="34"/>
      <c r="BE1811" s="34"/>
      <c r="BF1811" s="34"/>
      <c r="BG1811" s="34"/>
      <c r="BH1811" s="34"/>
      <c r="BI1811" s="34"/>
      <c r="BJ1811" s="34"/>
      <c r="BK1811" s="34"/>
      <c r="BL1811" s="34"/>
      <c r="BM1811" s="34"/>
      <c r="BN1811" s="34"/>
      <c r="BO1811" s="34"/>
      <c r="BP1811" s="34"/>
      <c r="BQ1811" s="34"/>
      <c r="BR1811" s="34"/>
      <c r="BS1811" s="34"/>
      <c r="BT1811" s="34"/>
      <c r="BU1811" s="34"/>
      <c r="BV1811" s="34"/>
      <c r="BW1811" s="34"/>
      <c r="BX1811" s="34"/>
      <c r="BY1811" s="34"/>
      <c r="BZ1811" s="34"/>
      <c r="CA1811" s="34"/>
      <c r="CB1811" s="34"/>
      <c r="CC1811" s="34"/>
      <c r="CD1811" s="34"/>
      <c r="CE1811" s="34"/>
      <c r="CF1811" s="34"/>
      <c r="CG1811" s="34"/>
      <c r="CH1811" s="34"/>
      <c r="CI1811" s="8"/>
    </row>
    <row r="1812" spans="1:87" x14ac:dyDescent="0.2">
      <c r="A1812" s="8" t="str">
        <f>IF(AND(COUNTIF(W$3:W$13,A$33)&gt;0,A$33&lt;&gt;B1562),A$33,IFERROR(IF(MATCH(A$33,Z$3:Z$13,0)=11,A$33," ")," "))</f>
        <v>C19</v>
      </c>
      <c r="B1812" s="8">
        <f>IF(A1812=" "," ",MAX(B1794:B1811)+1)</f>
        <v>8</v>
      </c>
      <c r="C1812" s="8"/>
      <c r="D1812" s="8"/>
      <c r="E1812" s="8"/>
      <c r="F1812" s="8"/>
      <c r="G1812" s="8"/>
      <c r="H1812" s="8"/>
      <c r="I1812" s="8"/>
      <c r="J1812" s="8"/>
      <c r="K1812" s="8"/>
      <c r="L1812" s="8"/>
      <c r="M1812" s="8"/>
      <c r="N1812" s="8"/>
      <c r="O1812" s="8"/>
      <c r="P1812" s="8"/>
      <c r="Q1812" s="8"/>
      <c r="R1812" s="8"/>
      <c r="S1812" s="8"/>
      <c r="U1812" s="34"/>
      <c r="V1812" s="34"/>
      <c r="W1812" s="34"/>
      <c r="X1812" s="34"/>
      <c r="Y1812" s="34"/>
      <c r="Z1812" s="34"/>
      <c r="AA1812" s="34"/>
      <c r="AB1812" s="34"/>
      <c r="AC1812" s="34"/>
      <c r="AD1812" s="34"/>
      <c r="AE1812" s="34"/>
      <c r="AF1812" s="34"/>
      <c r="AG1812" s="34"/>
      <c r="AH1812" s="34"/>
      <c r="AI1812" s="34"/>
      <c r="AJ1812" s="34"/>
      <c r="AK1812" s="34"/>
      <c r="AL1812" s="34"/>
      <c r="AM1812" s="34"/>
      <c r="AN1812" s="34"/>
      <c r="AO1812" s="34"/>
      <c r="AP1812" s="34"/>
      <c r="AQ1812" s="34"/>
      <c r="AR1812" s="34"/>
      <c r="AS1812" s="34"/>
      <c r="AT1812" s="34"/>
      <c r="AU1812" s="34"/>
      <c r="AV1812" s="34"/>
      <c r="AW1812" s="34"/>
      <c r="AX1812" s="34"/>
      <c r="AY1812" s="34"/>
      <c r="AZ1812" s="34"/>
      <c r="BA1812" s="34"/>
      <c r="BB1812" s="34"/>
      <c r="BC1812" s="34"/>
      <c r="BD1812" s="34"/>
      <c r="BE1812" s="34"/>
      <c r="BF1812" s="34"/>
      <c r="BG1812" s="34"/>
      <c r="BH1812" s="34"/>
      <c r="BI1812" s="34"/>
      <c r="BJ1812" s="34"/>
      <c r="BK1812" s="34"/>
      <c r="BL1812" s="34"/>
      <c r="BM1812" s="34"/>
      <c r="BN1812" s="34"/>
      <c r="BO1812" s="34"/>
      <c r="BP1812" s="34"/>
      <c r="BQ1812" s="34"/>
      <c r="BR1812" s="34"/>
      <c r="BS1812" s="34"/>
      <c r="BT1812" s="34"/>
      <c r="BU1812" s="34"/>
      <c r="BV1812" s="34"/>
      <c r="BW1812" s="34"/>
      <c r="BX1812" s="34"/>
      <c r="BY1812" s="34"/>
      <c r="BZ1812" s="34"/>
      <c r="CA1812" s="34"/>
      <c r="CB1812" s="34"/>
      <c r="CC1812" s="34"/>
      <c r="CD1812" s="34"/>
      <c r="CE1812" s="34"/>
      <c r="CF1812" s="34"/>
      <c r="CG1812" s="34"/>
      <c r="CH1812" s="34"/>
      <c r="CI1812" s="8"/>
    </row>
    <row r="1813" spans="1:87" x14ac:dyDescent="0.2">
      <c r="A1813" s="8" t="str">
        <f>IF(AND(COUNTIF(W$3:W$13,A$34)&gt;0,A$34&lt;&gt;B1562),A$34,IFERROR(IF(MATCH(A$34,Z$3:Z$13,0)=11,A$34," ")," "))</f>
        <v>C20</v>
      </c>
      <c r="B1813" s="8">
        <f>IF(A1813=" "," ",MAX(B1794:B1812)+1)</f>
        <v>9</v>
      </c>
      <c r="C1813" s="8"/>
      <c r="D1813" s="8"/>
      <c r="E1813" s="8"/>
      <c r="F1813" s="8"/>
      <c r="G1813" s="8"/>
      <c r="H1813" s="8"/>
      <c r="I1813" s="8"/>
      <c r="J1813" s="8"/>
      <c r="K1813" s="8"/>
      <c r="L1813" s="8"/>
      <c r="M1813" s="8"/>
      <c r="N1813" s="8"/>
      <c r="O1813" s="8"/>
      <c r="P1813" s="8"/>
      <c r="Q1813" s="8"/>
      <c r="R1813" s="8"/>
      <c r="S1813" s="8"/>
      <c r="U1813" s="34"/>
      <c r="V1813" s="34"/>
      <c r="W1813" s="34"/>
      <c r="X1813" s="34"/>
      <c r="Y1813" s="34"/>
      <c r="Z1813" s="34"/>
      <c r="AA1813" s="34"/>
      <c r="AB1813" s="34"/>
      <c r="AC1813" s="34"/>
      <c r="AD1813" s="34"/>
      <c r="AE1813" s="34"/>
      <c r="AF1813" s="34"/>
      <c r="AG1813" s="34"/>
      <c r="AH1813" s="34"/>
      <c r="AI1813" s="34"/>
      <c r="AJ1813" s="34"/>
      <c r="AK1813" s="34"/>
      <c r="AL1813" s="34"/>
      <c r="AM1813" s="34"/>
      <c r="AN1813" s="34"/>
      <c r="AO1813" s="34"/>
      <c r="AP1813" s="34"/>
      <c r="AQ1813" s="34"/>
      <c r="AR1813" s="34"/>
      <c r="AS1813" s="34"/>
      <c r="AT1813" s="34"/>
      <c r="AU1813" s="34"/>
      <c r="AV1813" s="34"/>
      <c r="AW1813" s="34"/>
      <c r="AX1813" s="34"/>
      <c r="AY1813" s="34"/>
      <c r="AZ1813" s="34"/>
      <c r="BA1813" s="34"/>
      <c r="BB1813" s="34"/>
      <c r="BC1813" s="34"/>
      <c r="BD1813" s="34"/>
      <c r="BE1813" s="34"/>
      <c r="BF1813" s="34"/>
      <c r="BG1813" s="34"/>
      <c r="BH1813" s="34"/>
      <c r="BI1813" s="34"/>
      <c r="BJ1813" s="34"/>
      <c r="BK1813" s="34"/>
      <c r="BL1813" s="34"/>
      <c r="BM1813" s="34"/>
      <c r="BN1813" s="34"/>
      <c r="BO1813" s="34"/>
      <c r="BP1813" s="34"/>
      <c r="BQ1813" s="34"/>
      <c r="BR1813" s="34"/>
      <c r="BS1813" s="34"/>
      <c r="BT1813" s="34"/>
      <c r="BU1813" s="34"/>
      <c r="BV1813" s="34"/>
      <c r="BW1813" s="34"/>
      <c r="BX1813" s="34"/>
      <c r="BY1813" s="34"/>
      <c r="BZ1813" s="34"/>
      <c r="CA1813" s="34"/>
      <c r="CB1813" s="34"/>
      <c r="CC1813" s="34"/>
      <c r="CD1813" s="34"/>
      <c r="CE1813" s="34"/>
      <c r="CF1813" s="34"/>
      <c r="CG1813" s="34"/>
      <c r="CH1813" s="34"/>
      <c r="CI1813" s="8"/>
    </row>
    <row r="1814" spans="1:87" x14ac:dyDescent="0.2">
      <c r="A1814" s="8" t="str">
        <f>IF(AND(COUNTIF(W$3:W$13,A$35)&gt;0,A$35&lt;&gt;B1562),A$35,IFERROR(IF(MATCH(A$35,Z$3:Z$13,0)=11,A$35," ")," "))</f>
        <v>C21</v>
      </c>
      <c r="B1814" s="8">
        <f>IF(A1814=" "," ",MAX(B1794:B1813)+1)</f>
        <v>10</v>
      </c>
      <c r="C1814" s="8"/>
      <c r="D1814" s="8"/>
      <c r="E1814" s="8"/>
      <c r="F1814" s="8"/>
      <c r="G1814" s="8"/>
      <c r="H1814" s="8"/>
      <c r="I1814" s="8"/>
      <c r="J1814" s="8"/>
      <c r="K1814" s="8"/>
      <c r="L1814" s="8"/>
      <c r="M1814" s="8"/>
      <c r="N1814" s="8"/>
      <c r="O1814" s="8"/>
      <c r="P1814" s="8"/>
      <c r="Q1814" s="8"/>
      <c r="R1814" s="8"/>
      <c r="S1814" s="8"/>
      <c r="U1814" s="34"/>
      <c r="V1814" s="34"/>
      <c r="W1814" s="34"/>
      <c r="X1814" s="34"/>
      <c r="Y1814" s="34"/>
      <c r="Z1814" s="34"/>
      <c r="AA1814" s="34"/>
      <c r="AB1814" s="34"/>
      <c r="AC1814" s="34"/>
      <c r="AD1814" s="34"/>
      <c r="AE1814" s="34"/>
      <c r="AF1814" s="34"/>
      <c r="AG1814" s="34"/>
      <c r="AH1814" s="34"/>
      <c r="AI1814" s="34"/>
      <c r="AJ1814" s="34"/>
      <c r="AK1814" s="34"/>
      <c r="AL1814" s="34"/>
      <c r="AM1814" s="34"/>
      <c r="AN1814" s="34"/>
      <c r="AO1814" s="34"/>
      <c r="AP1814" s="34"/>
      <c r="AQ1814" s="34"/>
      <c r="AR1814" s="34"/>
      <c r="AS1814" s="34"/>
      <c r="AT1814" s="34"/>
      <c r="AU1814" s="34"/>
      <c r="AV1814" s="34"/>
      <c r="AW1814" s="34"/>
      <c r="AX1814" s="34"/>
      <c r="AY1814" s="34"/>
      <c r="AZ1814" s="34"/>
      <c r="BA1814" s="34"/>
      <c r="BB1814" s="34"/>
      <c r="BC1814" s="34"/>
      <c r="BD1814" s="34"/>
      <c r="BE1814" s="34"/>
      <c r="BF1814" s="34"/>
      <c r="BG1814" s="34"/>
      <c r="BH1814" s="34"/>
      <c r="BI1814" s="34"/>
      <c r="BJ1814" s="34"/>
      <c r="BK1814" s="34"/>
      <c r="BL1814" s="34"/>
      <c r="BM1814" s="34"/>
      <c r="BN1814" s="34"/>
      <c r="BO1814" s="34"/>
      <c r="BP1814" s="34"/>
      <c r="BQ1814" s="34"/>
      <c r="BR1814" s="34"/>
      <c r="BS1814" s="34"/>
      <c r="BT1814" s="34"/>
      <c r="BU1814" s="34"/>
      <c r="BV1814" s="34"/>
      <c r="BW1814" s="34"/>
      <c r="BX1814" s="34"/>
      <c r="BY1814" s="34"/>
      <c r="BZ1814" s="34"/>
      <c r="CA1814" s="34"/>
      <c r="CB1814" s="34"/>
      <c r="CC1814" s="34"/>
      <c r="CD1814" s="34"/>
      <c r="CE1814" s="34"/>
      <c r="CF1814" s="34"/>
      <c r="CG1814" s="34"/>
      <c r="CH1814" s="34"/>
      <c r="CI1814" s="8"/>
    </row>
    <row r="1815" spans="1:87" x14ac:dyDescent="0.2">
      <c r="A1815" s="8" t="str">
        <f>IF(AND(COUNTIF(W$3:W$13,A$36)&gt;0,A$36&lt;&gt;B1562),A$36,IFERROR(IF(MATCH(A$36,Z$3:Z$13,0)=11,A$36," ")," "))</f>
        <v>C22</v>
      </c>
      <c r="B1815" s="8">
        <f>IF(A1815=" "," ",MAX(B1794:B1814)+1)</f>
        <v>11</v>
      </c>
      <c r="C1815" s="8"/>
      <c r="D1815" s="8"/>
      <c r="E1815" s="8"/>
      <c r="F1815" s="8"/>
      <c r="G1815" s="8"/>
      <c r="H1815" s="8"/>
      <c r="I1815" s="8"/>
      <c r="J1815" s="8"/>
      <c r="K1815" s="8"/>
      <c r="L1815" s="8"/>
      <c r="M1815" s="8"/>
      <c r="N1815" s="8"/>
      <c r="O1815" s="8"/>
      <c r="P1815" s="8"/>
      <c r="Q1815" s="8"/>
      <c r="R1815" s="8"/>
      <c r="S1815" s="8"/>
      <c r="U1815" s="34"/>
      <c r="V1815" s="34"/>
      <c r="W1815" s="34"/>
      <c r="X1815" s="34"/>
      <c r="Y1815" s="34"/>
      <c r="Z1815" s="34"/>
      <c r="AA1815" s="34"/>
      <c r="AB1815" s="34"/>
      <c r="AC1815" s="34"/>
      <c r="AD1815" s="34"/>
      <c r="AE1815" s="34"/>
      <c r="AF1815" s="34"/>
      <c r="AG1815" s="34"/>
      <c r="AH1815" s="34"/>
      <c r="AI1815" s="34"/>
      <c r="AJ1815" s="34"/>
      <c r="AK1815" s="34"/>
      <c r="AL1815" s="34"/>
      <c r="AM1815" s="34"/>
      <c r="AN1815" s="34"/>
      <c r="AO1815" s="34"/>
      <c r="AP1815" s="34"/>
      <c r="AQ1815" s="34"/>
      <c r="AR1815" s="34"/>
      <c r="AS1815" s="34"/>
      <c r="AT1815" s="34"/>
      <c r="AU1815" s="34"/>
      <c r="AV1815" s="34"/>
      <c r="AW1815" s="34"/>
      <c r="AX1815" s="34"/>
      <c r="AY1815" s="34"/>
      <c r="AZ1815" s="34"/>
      <c r="BA1815" s="34"/>
      <c r="BB1815" s="34"/>
      <c r="BC1815" s="34"/>
      <c r="BD1815" s="34"/>
      <c r="BE1815" s="34"/>
      <c r="BF1815" s="34"/>
      <c r="BG1815" s="34"/>
      <c r="BH1815" s="34"/>
      <c r="BI1815" s="34"/>
      <c r="BJ1815" s="34"/>
      <c r="BK1815" s="34"/>
      <c r="BL1815" s="34"/>
      <c r="BM1815" s="34"/>
      <c r="BN1815" s="34"/>
      <c r="BO1815" s="34"/>
      <c r="BP1815" s="34"/>
      <c r="BQ1815" s="34"/>
      <c r="BR1815" s="34"/>
      <c r="BS1815" s="34"/>
      <c r="BT1815" s="34"/>
      <c r="BU1815" s="34"/>
      <c r="BV1815" s="34"/>
      <c r="BW1815" s="34"/>
      <c r="BX1815" s="34"/>
      <c r="BY1815" s="34"/>
      <c r="BZ1815" s="34"/>
      <c r="CA1815" s="34"/>
      <c r="CB1815" s="34"/>
      <c r="CC1815" s="34"/>
      <c r="CD1815" s="34"/>
      <c r="CE1815" s="34"/>
      <c r="CF1815" s="34"/>
      <c r="CG1815" s="34"/>
      <c r="CH1815" s="34"/>
      <c r="CI1815" s="8"/>
    </row>
    <row r="1816" spans="1:87" s="16" customFormat="1" x14ac:dyDescent="0.2">
      <c r="A1816" s="28"/>
      <c r="B1816" s="49" t="str">
        <f>W10</f>
        <v>C19</v>
      </c>
      <c r="C1816" s="49"/>
      <c r="D1816" s="49"/>
      <c r="E1816" s="49"/>
      <c r="F1816" s="49"/>
      <c r="G1816" s="49"/>
      <c r="H1816" s="49"/>
      <c r="I1816" s="49"/>
      <c r="J1816" s="49"/>
      <c r="K1816" s="49"/>
      <c r="L1816" s="49"/>
      <c r="M1816" s="49"/>
      <c r="N1816" s="49"/>
      <c r="O1816" s="49"/>
      <c r="P1816" s="49"/>
      <c r="Q1816" s="49"/>
      <c r="R1816" s="28" t="e">
        <f>(N$2*INDEX(Q1817:R2069,MATCH(T1816,R1817:R2069,0),1)+N$3*INDEX(Q1817:R2069,MATCH(T1816,R1817:R2069,0)+1,1)+N$4*INDEX(Q1817:R2069,MATCH(T1816,R1817:R2069,0)+2,1)+N$5*INDEX(Q1817:R2069,MATCH(T1816,R1817:R2069,0)+3,1)+N$6*INDEX(Q1817:R2069,MATCH(T1816,R1817:R2069,0)+4,1)+N$7*INDEX(Q1817:R2069,MATCH(T1816,R1817:R2069,0)+5,1)+N$8*INDEX(Q1817:R2069,MATCH(T1816,R1817:R2069,0)+6,1)+N$9*INDEX(Q1817:R2069,MATCH(T1816,R1817:R2069,0)+7,1)+N$10*INDEX(Q1817:R2069,MATCH(T1816,R1817:R2069,0)+8,1)+N$11*INDEX(Q1817:R2069,MATCH(T1816,R1817:R2069,0)+9,1)+N$12*INDEX(Q1817:R2069,MATCH(T1816,R1817:R2069,0)+10,1)-N$2*INDEX(Q1817:R2069,MATCH(S1816,R1817:R2069,0),1)-N$3*INDEX(Q1817:R2069,MATCH(S1816,R1817:R2069,0)+1,1)-N$4*INDEX(Q1817:R2069,MATCH(S1816,R1817:R2069,0)+2,1)-N$5*INDEX(Q1817:R2069,MATCH(S1816,R1817:R2069,0)+3,1)-N$6*INDEX(Q1817:R2069,MATCH(S1816,R1817:R2069,0)+4,1)-N$7*INDEX(Q1817:R2069,MATCH(S1816,R1817:R2069,0)+5,1)-N$8*INDEX(Q1817:R2069,MATCH(S1816,R1817:R2069,0)+6,1)-N$9*INDEX(Q1817:R2069,MATCH(S1816,R1817:R2069,0)+7,1)-N$10*INDEX(Q1817:R2069,MATCH(S1816,R1817:R2069,0)+8,1)-N$11*INDEX(Q1817:R2069,MATCH(S1816,R1817:R2069,0)+9,1)-N$12*INDEX(Q1817:R2069,MATCH(S1816,R1817:R2069,0)+10,1))/(T1816-S1816)</f>
        <v>#N/A</v>
      </c>
      <c r="S1816" s="28" t="e">
        <f>INDEX(R1818:T2069,MATCH(MAX(S1818:S2069),S1818:S2069,0),1)</f>
        <v>#N/A</v>
      </c>
      <c r="T1816" s="20" t="e">
        <f>INDEX(R1818:T2069,MATCH(MIN(T1818:T2069),T1818:T2069,0),1)</f>
        <v>#N/A</v>
      </c>
      <c r="U1816" s="50" t="str">
        <f t="shared" ref="U1816" si="7819">A$2</f>
        <v>X1</v>
      </c>
      <c r="V1816" s="49"/>
      <c r="W1816" s="49"/>
      <c r="X1816" s="49"/>
      <c r="Y1816" s="35" t="str">
        <f t="shared" ref="Y1816" si="7820">IF(INDEX($A$15:$N$36,MATCH($B1816,$A$15:$A$36,0),14)&lt;&gt;"=",IFERROR(INDEX(X1817:Z2069,MATCH(MAX(Y1817:Y2069),Y1817:Y2069,0),1)," ")," ")</f>
        <v xml:space="preserve"> </v>
      </c>
      <c r="Z1816" s="35" t="str">
        <f t="shared" ref="Z1816" si="7821">IF(INDEX($A$15:$N$36,MATCH($B1816,$A$15:$A$36,0),14)&lt;&gt;"=",IFERROR(INDEX(X1817:Z2069,MATCH(MIN(Z1817:Z2069),Z1817:Z2069,0),1)," ")," ")</f>
        <v xml:space="preserve"> </v>
      </c>
      <c r="AA1816" s="49" t="str">
        <f t="shared" ref="AA1816" si="7822">A$3</f>
        <v>X2</v>
      </c>
      <c r="AB1816" s="49"/>
      <c r="AC1816" s="49"/>
      <c r="AD1816" s="49"/>
      <c r="AE1816" s="35" t="str">
        <f t="shared" ref="AE1816" si="7823">IF(INDEX($A$15:$N$36,MATCH($B1816,$A$15:$A$36,0),14)&lt;&gt;"=",IFERROR(INDEX(AD1817:AF2069,MATCH(MAX(AE1817:AE2069),AE1817:AE2069,0),1)," ")," ")</f>
        <v xml:space="preserve"> </v>
      </c>
      <c r="AF1816" s="35" t="str">
        <f t="shared" ref="AF1816" si="7824">IF(INDEX($A$15:$N$36,MATCH($B1816,$A$15:$A$36,0),14)&lt;&gt;"=",IFERROR(INDEX(AD1817:AF2069,MATCH(MIN(AF1817:AF2069),AF1817:AF2069,0),1)," ")," ")</f>
        <v xml:space="preserve"> </v>
      </c>
      <c r="AG1816" s="49" t="str">
        <f t="shared" ref="AG1816" si="7825">A$4</f>
        <v>X3</v>
      </c>
      <c r="AH1816" s="49"/>
      <c r="AI1816" s="49"/>
      <c r="AJ1816" s="49"/>
      <c r="AK1816" s="35" t="str">
        <f t="shared" ref="AK1816" si="7826">IF(INDEX($A$15:$N$36,MATCH($B1816,$A$15:$A$36,0),14)&lt;&gt;"=",IFERROR(INDEX(AJ1817:AL2069,MATCH(MAX(AK1817:AK2069),AK1817:AK2069,0),1)," ")," ")</f>
        <v xml:space="preserve"> </v>
      </c>
      <c r="AL1816" s="35" t="str">
        <f t="shared" ref="AL1816" si="7827">IF(INDEX($A$15:$N$36,MATCH($B1816,$A$15:$A$36,0),14)&lt;&gt;"=",IFERROR(INDEX(AJ1817:AL2069,MATCH(MIN(AL1817:AL2069),AL1817:AL2069,0),1)," ")," ")</f>
        <v xml:space="preserve"> </v>
      </c>
      <c r="AM1816" s="49" t="str">
        <f t="shared" ref="AM1816" si="7828">A$5</f>
        <v>X4</v>
      </c>
      <c r="AN1816" s="49"/>
      <c r="AO1816" s="49"/>
      <c r="AP1816" s="49"/>
      <c r="AQ1816" s="35" t="str">
        <f t="shared" ref="AQ1816" si="7829">IF(INDEX($A$15:$N$36,MATCH($B1816,$A$15:$A$36,0),14)&lt;&gt;"=",IFERROR(INDEX(AP1817:AR2069,MATCH(MAX(AQ1817:AQ2069),AQ1817:AQ2069,0),1)," ")," ")</f>
        <v xml:space="preserve"> </v>
      </c>
      <c r="AR1816" s="41" t="str">
        <f t="shared" ref="AR1816" si="7830">IF(INDEX($A$15:$N$36,MATCH($B1816,$A$15:$A$36,0),14)&lt;&gt;"=",IFERROR(INDEX(AP1817:AR2069,MATCH(MIN(AR1817:AR2069),AR1817:AR2069,0),1)," ")," ")</f>
        <v xml:space="preserve"> </v>
      </c>
      <c r="AS1816" s="49" t="str">
        <f t="shared" ref="AS1816" si="7831">A$6</f>
        <v>X5</v>
      </c>
      <c r="AT1816" s="49"/>
      <c r="AU1816" s="49"/>
      <c r="AV1816" s="49"/>
      <c r="AW1816" s="35" t="str">
        <f t="shared" ref="AW1816" si="7832">IF(INDEX($A$15:$N$36,MATCH($B1816,$A$15:$A$36,0),14)&lt;&gt;"=",IFERROR(INDEX(AV1817:AX2069,MATCH(MAX(AW1817:AW2069),AW1817:AW2069,0),1)," ")," ")</f>
        <v xml:space="preserve"> </v>
      </c>
      <c r="AX1816" s="35" t="str">
        <f t="shared" ref="AX1816" si="7833">IF(INDEX($A$15:$N$36,MATCH($B1816,$A$15:$A$36,0),14)&lt;&gt;"=",IFERROR(INDEX(AV1817:AX2069,MATCH(MIN(AX1817:AX2069),AX1817:AX2069,0),1)," ")," ")</f>
        <v xml:space="preserve"> </v>
      </c>
      <c r="AY1816" s="49" t="str">
        <f t="shared" ref="AY1816" si="7834">A$7</f>
        <v>X6</v>
      </c>
      <c r="AZ1816" s="49"/>
      <c r="BA1816" s="49"/>
      <c r="BB1816" s="49"/>
      <c r="BC1816" s="35" t="str">
        <f t="shared" ref="BC1816" si="7835">IF(INDEX($A$15:$N$36,MATCH($B1816,$A$15:$A$36,0),14)&lt;&gt;"=",IFERROR(INDEX(BB1817:BD2069,MATCH(MAX(BC1817:BC2069),BC1817:BC2069,0),1)," ")," ")</f>
        <v xml:space="preserve"> </v>
      </c>
      <c r="BD1816" s="35" t="str">
        <f t="shared" ref="BD1816" si="7836">IF(INDEX($A$15:$N$36,MATCH($B1816,$A$15:$A$36,0),14)&lt;&gt;"=",IFERROR(INDEX(BB1817:BD2069,MATCH(MIN(BD1817:BD2069),BD1817:BD2069,0),1)," ")," ")</f>
        <v xml:space="preserve"> </v>
      </c>
      <c r="BE1816" s="49" t="str">
        <f t="shared" ref="BE1816" si="7837">A$8</f>
        <v>X7</v>
      </c>
      <c r="BF1816" s="49"/>
      <c r="BG1816" s="49"/>
      <c r="BH1816" s="49"/>
      <c r="BI1816" s="35" t="str">
        <f t="shared" ref="BI1816" si="7838">IF(INDEX($A$15:$N$36,MATCH($B1816,$A$15:$A$36,0),14)&lt;&gt;"=",IFERROR(INDEX(BH1817:BJ2069,MATCH(MAX(BI1817:BI2069),BI1817:BI2069,0),1)," ")," ")</f>
        <v xml:space="preserve"> </v>
      </c>
      <c r="BJ1816" s="35" t="str">
        <f t="shared" ref="BJ1816" si="7839">IF(INDEX($A$15:$N$36,MATCH($B1816,$A$15:$A$36,0),14)&lt;&gt;"=",IFERROR(INDEX(BH1817:BJ2069,MATCH(MIN(BJ1817:BJ2069),BJ1817:BJ2069,0),1)," ")," ")</f>
        <v xml:space="preserve"> </v>
      </c>
      <c r="BK1816" s="49" t="str">
        <f t="shared" ref="BK1816" si="7840">A$9</f>
        <v>X8</v>
      </c>
      <c r="BL1816" s="49"/>
      <c r="BM1816" s="49"/>
      <c r="BN1816" s="49"/>
      <c r="BO1816" s="35" t="str">
        <f t="shared" ref="BO1816" si="7841">IF(INDEX($A$15:$N$36,MATCH($B1816,$A$15:$A$36,0),14)&lt;&gt;"=",IFERROR(INDEX(BN1817:BP2069,MATCH(MAX(BO1817:BO2069),BO1817:BO2069,0),1)," ")," ")</f>
        <v xml:space="preserve"> </v>
      </c>
      <c r="BP1816" s="35" t="str">
        <f t="shared" ref="BP1816" si="7842">IF(INDEX($A$15:$N$36,MATCH($B1816,$A$15:$A$36,0),14)&lt;&gt;"=",IFERROR(INDEX(BN1817:BP2069,MATCH(MIN(BP1817:BP2069),BP1817:BP2069,0),1)," ")," ")</f>
        <v xml:space="preserve"> </v>
      </c>
      <c r="BQ1816" s="49" t="str">
        <f t="shared" ref="BQ1816" si="7843">A$10</f>
        <v>X9</v>
      </c>
      <c r="BR1816" s="49"/>
      <c r="BS1816" s="49"/>
      <c r="BT1816" s="49"/>
      <c r="BU1816" s="35" t="str">
        <f t="shared" ref="BU1816" si="7844">IF(INDEX($A$15:$N$36,MATCH($B1816,$A$15:$A$36,0),14)&lt;&gt;"=",IFERROR(INDEX(BT1817:BV2069,MATCH(MAX(BU1817:BU2069),BU1817:BU2069,0),1)," ")," ")</f>
        <v xml:space="preserve"> </v>
      </c>
      <c r="BV1816" s="35" t="str">
        <f t="shared" ref="BV1816" si="7845">IF(INDEX($A$15:$N$36,MATCH($B1816,$A$15:$A$36,0),14)&lt;&gt;"=",IFERROR(INDEX(BT1817:BV2069,MATCH(MIN(BV1817:BV2069),BV1817:BV2069,0),1)," ")," ")</f>
        <v xml:space="preserve"> </v>
      </c>
      <c r="BW1816" s="49" t="str">
        <f t="shared" ref="BW1816" si="7846">A$11</f>
        <v>X10</v>
      </c>
      <c r="BX1816" s="49"/>
      <c r="BY1816" s="49"/>
      <c r="BZ1816" s="49"/>
      <c r="CA1816" s="35" t="str">
        <f t="shared" ref="CA1816" si="7847">IF(INDEX($A$15:$N$36,MATCH($B1816,$A$15:$A$36,0),14)&lt;&gt;"=",IFERROR(INDEX(BZ1817:CB2069,MATCH(MAX(CA1817:CA2069),CA1817:CA2069,0),1)," ")," ")</f>
        <v xml:space="preserve"> </v>
      </c>
      <c r="CB1816" s="35" t="str">
        <f t="shared" ref="CB1816" si="7848">IF(INDEX($A$15:$N$36,MATCH($B1816,$A$15:$A$36,0),14)&lt;&gt;"=",IFERROR(INDEX(BZ1817:CB2069,MATCH(MIN(CB1817:CB2069),CB1817:CB2069,0),1)," ")," ")</f>
        <v xml:space="preserve"> </v>
      </c>
      <c r="CC1816" s="49" t="str">
        <f t="shared" ref="CC1816" si="7849">A$12</f>
        <v>X11</v>
      </c>
      <c r="CD1816" s="49"/>
      <c r="CE1816" s="49"/>
      <c r="CF1816" s="49"/>
      <c r="CG1816" s="35" t="str">
        <f t="shared" ref="CG1816" si="7850">IF(INDEX($A$15:$N$36,MATCH($B1816,$A$15:$A$36,0),14)&lt;&gt;"=",IFERROR(INDEX(CF1817:CH2069,MATCH(MAX(CG1817:CG2069),CG1817:CG2069,0),1)," ")," ")</f>
        <v xml:space="preserve"> </v>
      </c>
      <c r="CH1816" s="35" t="str">
        <f t="shared" ref="CH1816" si="7851">IF(INDEX($A$15:$N$36,MATCH($B1816,$A$15:$A$36,0),14)&lt;&gt;"=",IFERROR(INDEX(CF1817:CH2069,MATCH(MIN(CH1817:CH2069),CH1817:CH2069,0),1)," ")," ")</f>
        <v xml:space="preserve"> </v>
      </c>
    </row>
    <row r="1817" spans="1:87" x14ac:dyDescent="0.2">
      <c r="A1817" s="11" t="s">
        <v>17</v>
      </c>
      <c r="B1817" s="11"/>
      <c r="C1817" s="27" t="s">
        <v>18</v>
      </c>
      <c r="D1817" s="27" t="s">
        <v>2</v>
      </c>
      <c r="E1817" s="27" t="s">
        <v>6</v>
      </c>
      <c r="F1817" s="27" t="s">
        <v>15</v>
      </c>
      <c r="G1817" s="27" t="s">
        <v>36</v>
      </c>
      <c r="H1817" s="27" t="s">
        <v>37</v>
      </c>
      <c r="I1817" s="27" t="s">
        <v>38</v>
      </c>
      <c r="J1817" s="27" t="s">
        <v>39</v>
      </c>
      <c r="K1817" s="27" t="s">
        <v>40</v>
      </c>
      <c r="L1817" s="27" t="s">
        <v>41</v>
      </c>
      <c r="M1817" s="27" t="s">
        <v>42</v>
      </c>
      <c r="N1817" s="27" t="s">
        <v>43</v>
      </c>
      <c r="O1817" s="27" t="s">
        <v>9</v>
      </c>
      <c r="P1817" s="27" t="s">
        <v>12</v>
      </c>
      <c r="Q1817" s="27" t="s">
        <v>19</v>
      </c>
      <c r="R1817" s="27" t="s">
        <v>55</v>
      </c>
      <c r="S1817" s="27" t="s">
        <v>26</v>
      </c>
      <c r="T1817" s="19" t="s">
        <v>25</v>
      </c>
      <c r="U1817" s="33" t="s">
        <v>27</v>
      </c>
      <c r="V1817" s="33" t="s">
        <v>9</v>
      </c>
      <c r="W1817" s="33" t="s">
        <v>23</v>
      </c>
      <c r="X1817" s="33" t="s">
        <v>12</v>
      </c>
      <c r="Y1817" s="33" t="s">
        <v>26</v>
      </c>
      <c r="Z1817" s="33" t="s">
        <v>25</v>
      </c>
      <c r="AA1817" s="33" t="s">
        <v>27</v>
      </c>
      <c r="AB1817" s="33" t="s">
        <v>9</v>
      </c>
      <c r="AC1817" s="33" t="s">
        <v>23</v>
      </c>
      <c r="AD1817" s="33" t="s">
        <v>12</v>
      </c>
      <c r="AE1817" s="33" t="s">
        <v>26</v>
      </c>
      <c r="AF1817" s="33" t="s">
        <v>25</v>
      </c>
      <c r="AG1817" s="33" t="s">
        <v>27</v>
      </c>
      <c r="AH1817" s="33" t="s">
        <v>9</v>
      </c>
      <c r="AI1817" s="33" t="s">
        <v>23</v>
      </c>
      <c r="AJ1817" s="33" t="s">
        <v>12</v>
      </c>
      <c r="AK1817" s="33" t="s">
        <v>26</v>
      </c>
      <c r="AL1817" s="33" t="s">
        <v>25</v>
      </c>
      <c r="AM1817" s="33" t="s">
        <v>27</v>
      </c>
      <c r="AN1817" s="33" t="s">
        <v>9</v>
      </c>
      <c r="AO1817" s="33" t="s">
        <v>23</v>
      </c>
      <c r="AP1817" s="33" t="s">
        <v>12</v>
      </c>
      <c r="AQ1817" s="33" t="s">
        <v>26</v>
      </c>
      <c r="AR1817" s="33" t="s">
        <v>25</v>
      </c>
      <c r="AS1817" s="33" t="s">
        <v>27</v>
      </c>
      <c r="AT1817" s="33" t="s">
        <v>9</v>
      </c>
      <c r="AU1817" s="33" t="s">
        <v>23</v>
      </c>
      <c r="AV1817" s="33" t="s">
        <v>12</v>
      </c>
      <c r="AW1817" s="33" t="s">
        <v>26</v>
      </c>
      <c r="AX1817" s="33" t="s">
        <v>25</v>
      </c>
      <c r="AY1817" s="33" t="s">
        <v>27</v>
      </c>
      <c r="AZ1817" s="33" t="s">
        <v>9</v>
      </c>
      <c r="BA1817" s="33" t="s">
        <v>23</v>
      </c>
      <c r="BB1817" s="33" t="s">
        <v>12</v>
      </c>
      <c r="BC1817" s="33" t="s">
        <v>26</v>
      </c>
      <c r="BD1817" s="33" t="s">
        <v>25</v>
      </c>
      <c r="BE1817" s="33" t="s">
        <v>27</v>
      </c>
      <c r="BF1817" s="33" t="s">
        <v>9</v>
      </c>
      <c r="BG1817" s="33" t="s">
        <v>23</v>
      </c>
      <c r="BH1817" s="33" t="s">
        <v>12</v>
      </c>
      <c r="BI1817" s="33" t="s">
        <v>26</v>
      </c>
      <c r="BJ1817" s="33" t="s">
        <v>25</v>
      </c>
      <c r="BK1817" s="33" t="s">
        <v>27</v>
      </c>
      <c r="BL1817" s="33" t="s">
        <v>9</v>
      </c>
      <c r="BM1817" s="33" t="s">
        <v>23</v>
      </c>
      <c r="BN1817" s="33" t="s">
        <v>12</v>
      </c>
      <c r="BO1817" s="33" t="s">
        <v>26</v>
      </c>
      <c r="BP1817" s="33" t="s">
        <v>25</v>
      </c>
      <c r="BQ1817" s="33" t="s">
        <v>27</v>
      </c>
      <c r="BR1817" s="33" t="s">
        <v>9</v>
      </c>
      <c r="BS1817" s="33" t="s">
        <v>23</v>
      </c>
      <c r="BT1817" s="33" t="s">
        <v>12</v>
      </c>
      <c r="BU1817" s="33" t="s">
        <v>26</v>
      </c>
      <c r="BV1817" s="33" t="s">
        <v>25</v>
      </c>
      <c r="BW1817" s="33" t="s">
        <v>27</v>
      </c>
      <c r="BX1817" s="33" t="s">
        <v>9</v>
      </c>
      <c r="BY1817" s="33" t="s">
        <v>23</v>
      </c>
      <c r="BZ1817" s="33" t="s">
        <v>12</v>
      </c>
      <c r="CA1817" s="33" t="s">
        <v>26</v>
      </c>
      <c r="CB1817" s="33" t="s">
        <v>25</v>
      </c>
      <c r="CC1817" s="33" t="s">
        <v>27</v>
      </c>
      <c r="CD1817" s="33" t="s">
        <v>9</v>
      </c>
      <c r="CE1817" s="33" t="s">
        <v>23</v>
      </c>
      <c r="CF1817" s="33" t="s">
        <v>12</v>
      </c>
      <c r="CG1817" s="33" t="s">
        <v>26</v>
      </c>
      <c r="CH1817" s="33" t="s">
        <v>25</v>
      </c>
      <c r="CI1817" s="8"/>
    </row>
    <row r="1818" spans="1:87" x14ac:dyDescent="0.2">
      <c r="A1818" s="8" t="str">
        <f>IF(AND(COUNTIF(W$3:W$13,A$15)&gt;0,A$15&lt;&gt;B1816),A$15,IFERROR(IF(MATCH(A$15,Z$3:Z$13,0)=1,A$15," ")," "))</f>
        <v>C1</v>
      </c>
      <c r="B1818" s="8">
        <f>IF(A1818=" "," ",1)</f>
        <v>1</v>
      </c>
      <c r="C1818" s="8" t="str">
        <f>IFERROR(INDEX(A1818:A1839,MATCH(SMALL(B1818:B1839,1),B1818:B1839,0),1)," ")</f>
        <v>C1</v>
      </c>
      <c r="D1818" s="8">
        <f>IFERROR(VLOOKUP($C1818,$A$15:$O$36,2,FALSE)," ")</f>
        <v>1</v>
      </c>
      <c r="E1818" s="8">
        <f>IFERROR(VLOOKUP($C1818,$A$15:$O$36,3,FALSE)," ")</f>
        <v>1</v>
      </c>
      <c r="F1818" s="8">
        <f>IFERROR(VLOOKUP($C1818,$A$15:$O$36,4,FALSE)," ")</f>
        <v>1</v>
      </c>
      <c r="G1818" s="8">
        <f>IFERROR(VLOOKUP($C1818,$A$15:$O$36,5,FALSE)," ")</f>
        <v>0</v>
      </c>
      <c r="H1818" s="8">
        <f>IFERROR(VLOOKUP($C1818,$A$15:$O$36,6,FALSE)," ")</f>
        <v>0</v>
      </c>
      <c r="I1818" s="8">
        <f>IFERROR(VLOOKUP($C1818,$A$15:$O$36,7,FALSE)," ")</f>
        <v>0</v>
      </c>
      <c r="J1818" s="8">
        <f>IFERROR(VLOOKUP($C1818,$A$15:$O$36,8,FALSE)," ")</f>
        <v>0</v>
      </c>
      <c r="K1818" s="8">
        <f>IFERROR(VLOOKUP($C1818,$A$15:$O$36,9,FALSE)," ")</f>
        <v>0</v>
      </c>
      <c r="L1818" s="8">
        <f>IFERROR(VLOOKUP($C1818,$A$15:$O$36,10,FALSE)," ")</f>
        <v>0</v>
      </c>
      <c r="M1818" s="8">
        <f>IFERROR(VLOOKUP($C1818,$A$15:$O$36,11,FALSE)," ")</f>
        <v>0</v>
      </c>
      <c r="N1818" s="8">
        <f>IFERROR(VLOOKUP($C1818,$A$15:$O$36,12,FALSE)," ")</f>
        <v>0</v>
      </c>
      <c r="O1818" s="8">
        <f>IFERROR(VLOOKUP($C1818,$A$15:$O$36,15,FALSE)," ")</f>
        <v>550</v>
      </c>
      <c r="P1818" s="8" t="e">
        <f t="array" ref="P1818:P1828">MMULT(MINVERSE(D1818:N1828),O1818:O1828)</f>
        <v>#NUM!</v>
      </c>
      <c r="Q1818" s="8" t="e">
        <f t="shared" ref="Q1818" si="7852">IF(COUNTIF(P1818:P1828,"&lt;"&amp;-0.001)=0,IF(ABS(P1818)&lt;0.001,0,P1818)," ")</f>
        <v>#NUM!</v>
      </c>
      <c r="R1818" s="8" t="str">
        <f>IFERROR(VLOOKUP(B1816,A$15:L$36,2,FALSE)*Q1818+VLOOKUP(B1816,A$15:L$36,3,FALSE)*Q1819+VLOOKUP(B1816,A$15:L$36,4,FALSE)*Q1820+VLOOKUP(B1816,A$15:L$36,5,FALSE)*Q1821+VLOOKUP(B1816,A$15:L$36,6,FALSE)*Q1822+VLOOKUP(B1816,A$15:L$36,7,FALSE)*Q1823+VLOOKUP(B1816,A$15:L$36,8,FALSE)*Q1824+VLOOKUP(B1816,A$15:L$36,9,FALSE)*Q1825+VLOOKUP(B1816,A$15:L$36,10,FALSE)*Q1826+VLOOKUP(B1816,A$15:L$36,11,FALSE)*Q1827+VLOOKUP(B1816,A$15:L$36,12,FALSE)*Q1828," ")</f>
        <v xml:space="preserve"> </v>
      </c>
      <c r="S1818" s="8" t="str">
        <f>IFERROR(IF(R1818-VLOOKUP(B1816,A$15:O$36,15,FALSE)&lt;0,R1818-VLOOKUP(B1816,A$15:O$36,15,FALSE)," ")," ")</f>
        <v xml:space="preserve"> </v>
      </c>
      <c r="T1818" s="18" t="str">
        <f>IFERROR(IF(R1818-VLOOKUP(B1816,A$15:O$36,15,FALSE)&gt;0,R1818-VLOOKUP(B1816,A$15:O$36,15,FALSE)," ")," ")</f>
        <v xml:space="preserve"> </v>
      </c>
      <c r="U1818" s="34">
        <f t="shared" ref="U1818" si="7853">$M$2</f>
        <v>100.00000000000001</v>
      </c>
      <c r="V1818" s="34">
        <v>-1</v>
      </c>
      <c r="W1818" s="34">
        <f t="shared" ref="W1818" si="7854">-SUMPRODUCT($M$3:$M$12,$N$3:$N$12)</f>
        <v>-105000</v>
      </c>
      <c r="X1818" s="34" t="e">
        <f t="shared" ref="X1818" si="7855">IF(U1818&lt;&gt;U1819,MMULT(MINVERSE(U1818:V1819),W1818:W1819)," ")</f>
        <v>#NUM!</v>
      </c>
      <c r="Y1818" s="34" t="str">
        <f t="shared" ref="Y1818" si="7856">IFERROR(IF(X1818-VLOOKUP(U$38,$A$2:$N$12,14,FALSE)&lt;0,X1818-VLOOKUP(U$38,$A$2:$N$12,14,FALSE)," ")," ")</f>
        <v xml:space="preserve"> </v>
      </c>
      <c r="Z1818" s="34" t="str">
        <f t="shared" ref="Z1818" si="7857">IFERROR(IF(X1818-VLOOKUP(U$38,$A$2:$N$12,14,FALSE)&gt;0,X1818-VLOOKUP(U$38,$A$2:$N$12,14,FALSE)," ")," ")</f>
        <v xml:space="preserve"> </v>
      </c>
      <c r="AA1818" s="34">
        <f t="shared" ref="AA1818" si="7858">$M$3</f>
        <v>0</v>
      </c>
      <c r="AB1818" s="34">
        <v>-1</v>
      </c>
      <c r="AC1818" s="34">
        <f t="shared" ref="AC1818" si="7859">-SUMPRODUCT($M$2:$M$2,$N$2:$N$2)-SUMPRODUCT($M$4:$M$12,$N$4:$N$12)</f>
        <v>-120000</v>
      </c>
      <c r="AD1818" s="34" t="e">
        <f t="shared" ref="AD1818" si="7860">IF(AA1818&lt;&gt;AA1819,MMULT(MINVERSE(AA1818:AB1819),AC1818:AC1819)," ")</f>
        <v>#NUM!</v>
      </c>
      <c r="AE1818" s="34" t="str">
        <f t="shared" ref="AE1818" si="7861">IFERROR(IF(AD1818-VLOOKUP(AA$38,$A$2:$N$12,14,FALSE)&lt;0,AD1818-VLOOKUP(AA$38,$A$2:$N$12,14,FALSE)," ")," ")</f>
        <v xml:space="preserve"> </v>
      </c>
      <c r="AF1818" s="34" t="str">
        <f t="shared" ref="AF1818" si="7862">IFERROR(IF(AD1818-VLOOKUP(AA$38,$A$2:$N$12,14,FALSE)&gt;0,AD1818-VLOOKUP(AA$38,$A$2:$N$12,14,FALSE)," ")," ")</f>
        <v xml:space="preserve"> </v>
      </c>
      <c r="AG1818" s="34">
        <f t="shared" ref="AG1818" si="7863">$M$4</f>
        <v>300</v>
      </c>
      <c r="AH1818" s="34">
        <v>-1</v>
      </c>
      <c r="AI1818" s="34">
        <f t="shared" ref="AI1818" si="7864">-SUMPRODUCT($M$2:$M$3,$N$2:$N$3)-SUMPRODUCT($M$5:$M$12,$N$5:$N$12)</f>
        <v>-15000.000000000002</v>
      </c>
      <c r="AJ1818" s="34" t="e">
        <f t="shared" ref="AJ1818" si="7865">IF(AG1818&lt;&gt;AG1819,MMULT(MINVERSE(AG1818:AH1819),AI1818:AI1819)," ")</f>
        <v>#NUM!</v>
      </c>
      <c r="AK1818" s="34" t="str">
        <f t="shared" ref="AK1818" si="7866">IFERROR(IF(AJ1818-VLOOKUP(AG$38,$A$2:$N$12,14,FALSE)&lt;0,AJ1818-VLOOKUP(AG$38,$A$2:$N$12,14,FALSE)," ")," ")</f>
        <v xml:space="preserve"> </v>
      </c>
      <c r="AL1818" s="34" t="str">
        <f t="shared" ref="AL1818" si="7867">IFERROR(IF(AJ1818-VLOOKUP(AG$38,$A$2:$N$12,14,FALSE)&gt;0,AJ1818-VLOOKUP(AG$38,$A$2:$N$12,14,FALSE)," ")," ")</f>
        <v xml:space="preserve"> </v>
      </c>
      <c r="AM1818" s="34">
        <f t="shared" ref="AM1818" si="7868">$M$5</f>
        <v>0</v>
      </c>
      <c r="AN1818" s="34">
        <v>-1</v>
      </c>
      <c r="AO1818" s="34">
        <f t="shared" ref="AO1818" si="7869">-SUMPRODUCT($M$2:$M$4,$N$2:$N$4)-SUMPRODUCT($M$6:$M$12,$N$6:$N$12)</f>
        <v>-120000</v>
      </c>
      <c r="AP1818" s="34" t="e">
        <f t="shared" ref="AP1818" si="7870">IF(AM1818&lt;&gt;AM1819,MMULT(MINVERSE(AM1818:AN1819),AO1818:AO1819)," ")</f>
        <v>#NUM!</v>
      </c>
      <c r="AQ1818" s="34" t="str">
        <f t="shared" ref="AQ1818" si="7871">IFERROR(IF(AP1818-VLOOKUP(AM$38,$A$2:$N$12,14,FALSE)&lt;0,AP1818-VLOOKUP(AM$38,$A$2:$N$12,14,FALSE)," ")," ")</f>
        <v xml:space="preserve"> </v>
      </c>
      <c r="AR1818" s="34" t="str">
        <f t="shared" ref="AR1818" si="7872">IFERROR(IF(AP1818-VLOOKUP(AM$38,$A$2:$N$12,14,FALSE)&gt;0,AP1818-VLOOKUP(AM$38,$A$2:$N$12,14,FALSE)," ")," ")</f>
        <v xml:space="preserve"> </v>
      </c>
      <c r="AS1818" s="34">
        <f t="shared" ref="AS1818" si="7873">$M$6</f>
        <v>0</v>
      </c>
      <c r="AT1818" s="34">
        <v>-1</v>
      </c>
      <c r="AU1818" s="34">
        <f t="shared" ref="AU1818" si="7874">-SUMPRODUCT($M$2:$M$5,$N$2:$N$5)-SUMPRODUCT($M$7:$M$12,$N$7:$N$12)</f>
        <v>-120000</v>
      </c>
      <c r="AV1818" s="34" t="e">
        <f t="shared" ref="AV1818" si="7875">IF(AS1818&lt;&gt;AS1819,MMULT(MINVERSE(AS1818:AT1819),AU1818:AU1819)," ")</f>
        <v>#NUM!</v>
      </c>
      <c r="AW1818" s="34" t="str">
        <f t="shared" ref="AW1818" si="7876">IFERROR(IF(AV1818-VLOOKUP(AS$38,$A$2:$N$12,14,FALSE)&lt;0,AV1818-VLOOKUP(AS$38,$A$2:$N$12,14,FALSE)," ")," ")</f>
        <v xml:space="preserve"> </v>
      </c>
      <c r="AX1818" s="34" t="str">
        <f t="shared" ref="AX1818" si="7877">IFERROR(IF(AV1818-VLOOKUP(AS$38,$A$2:$N$12,14,FALSE)&gt;0,AV1818-VLOOKUP(AS$38,$A$2:$N$12,14,FALSE)," ")," ")</f>
        <v xml:space="preserve"> </v>
      </c>
      <c r="AY1818" s="34">
        <f t="shared" ref="AY1818" si="7878">$M$7</f>
        <v>0</v>
      </c>
      <c r="AZ1818" s="34">
        <v>-1</v>
      </c>
      <c r="BA1818" s="34">
        <f t="shared" ref="BA1818" si="7879">-SUMPRODUCT($M$2:$M$6,$N$2:$N$6)-SUMPRODUCT($M$8:$M$12,$N$8:$N$12)</f>
        <v>-120000</v>
      </c>
      <c r="BB1818" s="34" t="e">
        <f t="shared" ref="BB1818" si="7880">IF(AY1818&lt;&gt;AY1819,MMULT(MINVERSE(AY1818:AZ1819),BA1818:BA1819)," ")</f>
        <v>#NUM!</v>
      </c>
      <c r="BC1818" s="34" t="str">
        <f t="shared" ref="BC1818" si="7881">IFERROR(IF(BB1818-VLOOKUP(AY$38,$A$2:$N$12,14,FALSE)&lt;0,BB1818-VLOOKUP(AY$38,$A$2:$N$12,14,FALSE)," ")," ")</f>
        <v xml:space="preserve"> </v>
      </c>
      <c r="BD1818" s="34" t="str">
        <f t="shared" ref="BD1818" si="7882">IFERROR(IF(BB1818-VLOOKUP(AY$38,$A$2:$N$12,14,FALSE)&gt;0,BB1818-VLOOKUP(AY$38,$A$2:$N$12,14,FALSE)," ")," ")</f>
        <v xml:space="preserve"> </v>
      </c>
      <c r="BE1818" s="34">
        <f t="shared" ref="BE1818" si="7883">$M$8</f>
        <v>0</v>
      </c>
      <c r="BF1818" s="34">
        <v>-1</v>
      </c>
      <c r="BG1818" s="34">
        <f t="shared" ref="BG1818" si="7884">-SUMPRODUCT($M$2:$M$7,$N$2:$N$7)-SUMPRODUCT($M$9:$M$12,$N$9:$N$12)</f>
        <v>-120000</v>
      </c>
      <c r="BH1818" s="34" t="e">
        <f t="shared" ref="BH1818" si="7885">IF(BE1818&lt;&gt;BE1819,MMULT(MINVERSE(BE1818:BF1819),BG1818:BG1819)," ")</f>
        <v>#NUM!</v>
      </c>
      <c r="BI1818" s="34" t="str">
        <f t="shared" ref="BI1818" si="7886">IFERROR(IF(BH1818-VLOOKUP(BE$38,$A$2:$N$12,14,FALSE)&lt;0,BH1818-VLOOKUP(BE$38,$A$2:$N$12,14,FALSE)," ")," ")</f>
        <v xml:space="preserve"> </v>
      </c>
      <c r="BJ1818" s="34" t="str">
        <f t="shared" ref="BJ1818" si="7887">IFERROR(IF(BH1818-VLOOKUP(BE$38,$A$2:$N$12,14,FALSE)&gt;0,BH1818-VLOOKUP(BE$38,$A$2:$N$12,14,FALSE)," ")," ")</f>
        <v xml:space="preserve"> </v>
      </c>
      <c r="BK1818" s="34">
        <f t="shared" ref="BK1818" si="7888">$M$9</f>
        <v>0</v>
      </c>
      <c r="BL1818" s="34">
        <v>-1</v>
      </c>
      <c r="BM1818" s="34">
        <f t="shared" ref="BM1818" si="7889">-SUMPRODUCT($M$2:$M$8,$N$2:$N$8)-SUMPRODUCT($M$10:$M$12,$N$10:$N$12)</f>
        <v>-120000</v>
      </c>
      <c r="BN1818" s="34" t="e">
        <f t="shared" ref="BN1818" si="7890">IF(BK1818&lt;&gt;BK1819,MMULT(MINVERSE(BK1818:BL1819),BM1818:BM1819)," ")</f>
        <v>#NUM!</v>
      </c>
      <c r="BO1818" s="34" t="str">
        <f t="shared" ref="BO1818" si="7891">IFERROR(IF(BN1818-VLOOKUP(BK$38,$A$2:$N$12,14,FALSE)&lt;0,BN1818-VLOOKUP(BK$38,$A$2:$N$12,14,FALSE)," ")," ")</f>
        <v xml:space="preserve"> </v>
      </c>
      <c r="BP1818" s="34" t="str">
        <f t="shared" ref="BP1818" si="7892">IFERROR(IF(BN1818-VLOOKUP(BK$38,$A$2:$N$12,14,FALSE)&gt;0,BN1818-VLOOKUP(BK$38,$A$2:$N$12,14,FALSE)," ")," ")</f>
        <v xml:space="preserve"> </v>
      </c>
      <c r="BQ1818" s="34">
        <f t="shared" ref="BQ1818" si="7893">$M$10</f>
        <v>0</v>
      </c>
      <c r="BR1818" s="34">
        <v>-1</v>
      </c>
      <c r="BS1818" s="34">
        <f t="shared" ref="BS1818" si="7894">-SUMPRODUCT($M$2:$M$9,$N$2:$N$9)-SUMPRODUCT($M$11:$M$12,$N$11:$N$12)</f>
        <v>-120000</v>
      </c>
      <c r="BT1818" s="34" t="e">
        <f t="shared" ref="BT1818" si="7895">IF(BQ1818&lt;&gt;BQ1819,MMULT(MINVERSE(BQ1818:BR1819),BS1818:BS1819)," ")</f>
        <v>#NUM!</v>
      </c>
      <c r="BU1818" s="34" t="str">
        <f t="shared" ref="BU1818" si="7896">IFERROR(IF(BT1818-VLOOKUP(BQ$38,$A$2:$N$12,14,FALSE)&lt;0,BT1818-VLOOKUP(BQ$38,$A$2:$N$12,14,FALSE)," ")," ")</f>
        <v xml:space="preserve"> </v>
      </c>
      <c r="BV1818" s="34" t="str">
        <f t="shared" ref="BV1818" si="7897">IFERROR(IF(BT1818-VLOOKUP(BQ$38,$A$2:$N$12,14,FALSE)&gt;0,BT1818-VLOOKUP(BQ$38,$A$2:$N$12,14,FALSE)," ")," ")</f>
        <v xml:space="preserve"> </v>
      </c>
      <c r="BW1818" s="34">
        <f t="shared" ref="BW1818" si="7898">$M$11</f>
        <v>0</v>
      </c>
      <c r="BX1818" s="34">
        <v>-1</v>
      </c>
      <c r="BY1818" s="34">
        <f t="shared" ref="BY1818" si="7899">-SUMPRODUCT($M$2:$M$10,$N$2:$N$10)-SUMPRODUCT($M$12,$N$12)</f>
        <v>-120000</v>
      </c>
      <c r="BZ1818" s="34" t="e">
        <f t="shared" ref="BZ1818" si="7900">IF(BW1818&lt;&gt;BW1819,MMULT(MINVERSE(BW1818:BX1819),BY1818:BY1819)," ")</f>
        <v>#NUM!</v>
      </c>
      <c r="CA1818" s="34" t="str">
        <f t="shared" ref="CA1818" si="7901">IFERROR(IF(BZ1818-VLOOKUP(BW$38,$A$2:$N$12,14,FALSE)&lt;0,BZ1818-VLOOKUP(BW$38,$A$2:$N$12,14,FALSE)," ")," ")</f>
        <v xml:space="preserve"> </v>
      </c>
      <c r="CB1818" s="34" t="str">
        <f t="shared" ref="CB1818" si="7902">IFERROR(IF(BZ1818-VLOOKUP(BW$38,$A$2:$N$12,14,FALSE)&gt;0,BZ1818-VLOOKUP(BW$38,$A$2:$N$12,14,FALSE)," ")," ")</f>
        <v xml:space="preserve"> </v>
      </c>
      <c r="CC1818" s="34">
        <f t="shared" ref="CC1818" si="7903">$M$12</f>
        <v>0</v>
      </c>
      <c r="CD1818" s="34">
        <v>-1</v>
      </c>
      <c r="CE1818" s="34">
        <f t="shared" ref="CE1818" si="7904">-SUMPRODUCT($M$2:$M$11,$N$2:$N$11)</f>
        <v>-120000</v>
      </c>
      <c r="CF1818" s="34" t="e">
        <f t="shared" ref="CF1818" si="7905">IF(CC1818&lt;&gt;CC1819,MMULT(MINVERSE(CC1818:CD1819),CE1818:CE1819)," ")</f>
        <v>#NUM!</v>
      </c>
      <c r="CG1818" s="34" t="str">
        <f t="shared" ref="CG1818" si="7906">IFERROR(IF(CF1818-VLOOKUP(CC$38,$A$2:$N$12,14,FALSE)&lt;0,CF1818-VLOOKUP(CC$38,$A$2:$N$12,14,FALSE)," ")," ")</f>
        <v xml:space="preserve"> </v>
      </c>
      <c r="CH1818" s="34" t="str">
        <f t="shared" ref="CH1818" si="7907">IFERROR(IF(CF1818-VLOOKUP(CC$38,$A$2:$N$12,14,FALSE)&gt;0,CF1818-VLOOKUP(CC$38,$A$2:$N$12,14,FALSE)," ")," ")</f>
        <v xml:space="preserve"> </v>
      </c>
      <c r="CI1818" s="8"/>
    </row>
    <row r="1819" spans="1:87" x14ac:dyDescent="0.2">
      <c r="A1819" s="8" t="str">
        <f>IF(AND(COUNTIF(W$3:W$13,A$16)&gt;0,A$16&lt;&gt;B1816),A$16,IFERROR(IF(MATCH(A$16,Z$3:Z$13,0)=1,A$16," ")," "))</f>
        <v xml:space="preserve"> </v>
      </c>
      <c r="B1819" s="8" t="str">
        <f>IF(A1819=" "," ",MAX(B1818:B1818)+1)</f>
        <v xml:space="preserve"> </v>
      </c>
      <c r="C1819" s="8" t="str">
        <f>IFERROR(INDEX(A1818:A1839,MATCH(SMALL(B1818:B1839,2),B1818:B1839,0),1)," ")</f>
        <v>C3</v>
      </c>
      <c r="D1819" s="8">
        <f t="shared" ref="D1819:D1828" si="7908">IFERROR(VLOOKUP($C1819,$A$15:$O$36,2,FALSE)," ")</f>
        <v>2</v>
      </c>
      <c r="E1819" s="8">
        <f t="shared" ref="E1819:E1828" si="7909">IFERROR(VLOOKUP($C1819,$A$15:$O$36,3,FALSE)," ")</f>
        <v>5</v>
      </c>
      <c r="F1819" s="8">
        <f t="shared" ref="F1819:F1828" si="7910">IFERROR(VLOOKUP($C1819,$A$15:$O$36,4,FALSE)," ")</f>
        <v>6</v>
      </c>
      <c r="G1819" s="8">
        <f t="shared" ref="G1819:G1828" si="7911">IFERROR(VLOOKUP($C1819,$A$15:$O$36,5,FALSE)," ")</f>
        <v>0</v>
      </c>
      <c r="H1819" s="8">
        <f t="shared" ref="H1819:H1828" si="7912">IFERROR(VLOOKUP($C1819,$A$15:$O$36,6,FALSE)," ")</f>
        <v>0</v>
      </c>
      <c r="I1819" s="8">
        <f t="shared" ref="I1819:I1828" si="7913">IFERROR(VLOOKUP($C1819,$A$15:$O$36,7,FALSE)," ")</f>
        <v>0</v>
      </c>
      <c r="J1819" s="8">
        <f t="shared" ref="J1819:J1828" si="7914">IFERROR(VLOOKUP($C1819,$A$15:$O$36,8,FALSE)," ")</f>
        <v>0</v>
      </c>
      <c r="K1819" s="8">
        <f t="shared" ref="K1819:K1828" si="7915">IFERROR(VLOOKUP($C1819,$A$15:$O$36,9,FALSE)," ")</f>
        <v>0</v>
      </c>
      <c r="L1819" s="8">
        <f t="shared" ref="L1819:L1828" si="7916">IFERROR(VLOOKUP($C1819,$A$15:$O$36,10,FALSE)," ")</f>
        <v>0</v>
      </c>
      <c r="M1819" s="8">
        <f t="shared" ref="M1819:M1828" si="7917">IFERROR(VLOOKUP($C1819,$A$15:$O$36,11,FALSE)," ")</f>
        <v>0</v>
      </c>
      <c r="N1819" s="8">
        <f t="shared" ref="N1819:N1828" si="7918">IFERROR(VLOOKUP($C1819,$A$15:$O$36,12,FALSE)," ")</f>
        <v>0</v>
      </c>
      <c r="O1819" s="8">
        <f t="shared" ref="O1819:O1828" si="7919">IFERROR(VLOOKUP($C1819,$A$15:$O$36,15,FALSE)," ")</f>
        <v>2000</v>
      </c>
      <c r="P1819" s="8" t="e">
        <v>#NUM!</v>
      </c>
      <c r="Q1819" s="8" t="e">
        <f t="shared" ref="Q1819" si="7920">IF(COUNTIF(P1818:P1828,"&lt;"&amp;-0.001)=0,IF(ABS(P1819)&lt;0.001,0,P1819)," ")</f>
        <v>#NUM!</v>
      </c>
      <c r="R1819" s="8"/>
      <c r="S1819" s="8"/>
      <c r="U1819" s="34" t="e">
        <f t="shared" ref="U1819" si="7921">$Q1818</f>
        <v>#NUM!</v>
      </c>
      <c r="V1819" s="34">
        <v>-1</v>
      </c>
      <c r="W1819" s="34" t="e">
        <f t="shared" ref="W1819" si="7922">-SUMPRODUCT($Q1819:$Q1828,$N$3:$N$12)</f>
        <v>#NUM!</v>
      </c>
      <c r="X1819" s="34"/>
      <c r="Y1819" s="34"/>
      <c r="Z1819" s="34"/>
      <c r="AA1819" s="34" t="e">
        <f t="shared" ref="AA1819" si="7923">$Q1819</f>
        <v>#NUM!</v>
      </c>
      <c r="AB1819" s="34">
        <v>-1</v>
      </c>
      <c r="AC1819" s="34" t="e">
        <f t="shared" ref="AC1819" si="7924">-SUMPRODUCT($Q1818:$Q1818,$N$2:$N$2)-SUMPRODUCT($Q1820:$Q1828,$N$4:$N$12)</f>
        <v>#NUM!</v>
      </c>
      <c r="AD1819" s="34"/>
      <c r="AE1819" s="34"/>
      <c r="AF1819" s="34"/>
      <c r="AG1819" s="34" t="e">
        <f t="shared" ref="AG1819" si="7925">$Q1820</f>
        <v>#NUM!</v>
      </c>
      <c r="AH1819" s="34">
        <v>-1</v>
      </c>
      <c r="AI1819" s="34" t="e">
        <f t="shared" ref="AI1819" si="7926">-SUMPRODUCT($Q1818:$Q1819,$N$2:$N$3)-SUMPRODUCT($Q1821:$Q1828,$N$5:$N$12)</f>
        <v>#NUM!</v>
      </c>
      <c r="AJ1819" s="34"/>
      <c r="AK1819" s="34"/>
      <c r="AL1819" s="34"/>
      <c r="AM1819" s="34" t="e">
        <f t="shared" ref="AM1819" si="7927">$Q1821</f>
        <v>#NUM!</v>
      </c>
      <c r="AN1819" s="34">
        <v>-1</v>
      </c>
      <c r="AO1819" s="34" t="e">
        <f t="shared" ref="AO1819" si="7928">-SUMPRODUCT($Q1818:$Q1820,$N$2:$N$4)-SUMPRODUCT($Q1822:$Q1828,$N$6:$N$12)</f>
        <v>#NUM!</v>
      </c>
      <c r="AP1819" s="34"/>
      <c r="AQ1819" s="34"/>
      <c r="AR1819" s="34"/>
      <c r="AS1819" s="34" t="e">
        <f t="shared" ref="AS1819" si="7929">$Q1822</f>
        <v>#NUM!</v>
      </c>
      <c r="AT1819" s="34">
        <v>-1</v>
      </c>
      <c r="AU1819" s="34" t="e">
        <f t="shared" ref="AU1819" si="7930">-SUMPRODUCT($Q1818:$Q1821,$N$2:$N$5)-SUMPRODUCT($Q1823:$Q1828,$N$7:$N$12)</f>
        <v>#NUM!</v>
      </c>
      <c r="AV1819" s="34"/>
      <c r="AW1819" s="34"/>
      <c r="AX1819" s="34"/>
      <c r="AY1819" s="34" t="e">
        <f t="shared" ref="AY1819" si="7931">$Q1823</f>
        <v>#NUM!</v>
      </c>
      <c r="AZ1819" s="34">
        <v>-1</v>
      </c>
      <c r="BA1819" s="34" t="e">
        <f t="shared" ref="BA1819" si="7932">-SUMPRODUCT($Q1818:$Q1822,$N$2:$N$6)-SUMPRODUCT($Q1824:$Q1828,$N$8:$N$12)</f>
        <v>#NUM!</v>
      </c>
      <c r="BB1819" s="34"/>
      <c r="BC1819" s="34"/>
      <c r="BD1819" s="34"/>
      <c r="BE1819" s="34" t="e">
        <f t="shared" ref="BE1819" si="7933">$Q1824</f>
        <v>#NUM!</v>
      </c>
      <c r="BF1819" s="34">
        <v>-1</v>
      </c>
      <c r="BG1819" s="34" t="e">
        <f t="shared" ref="BG1819" si="7934">-SUMPRODUCT($Q1818:$Q1823,$N$2:$N$7)-SUMPRODUCT($Q1825:$Q1828,$N$9:$N$12)</f>
        <v>#NUM!</v>
      </c>
      <c r="BH1819" s="34"/>
      <c r="BI1819" s="34"/>
      <c r="BJ1819" s="34"/>
      <c r="BK1819" s="34" t="e">
        <f t="shared" ref="BK1819" si="7935">$Q1825</f>
        <v>#NUM!</v>
      </c>
      <c r="BL1819" s="34">
        <v>-1</v>
      </c>
      <c r="BM1819" s="34" t="e">
        <f t="shared" ref="BM1819" si="7936">-SUMPRODUCT($Q1818:$Q1824,$N$2:$N$8)-SUMPRODUCT($Q1826:$Q1828,$N$10:$N$12)</f>
        <v>#NUM!</v>
      </c>
      <c r="BN1819" s="34"/>
      <c r="BO1819" s="34"/>
      <c r="BP1819" s="34"/>
      <c r="BQ1819" s="34" t="e">
        <f t="shared" ref="BQ1819" si="7937">$Q1826</f>
        <v>#NUM!</v>
      </c>
      <c r="BR1819" s="34">
        <v>-1</v>
      </c>
      <c r="BS1819" s="34" t="e">
        <f t="shared" ref="BS1819" si="7938">-SUMPRODUCT($Q1818:$Q1825,$N$2:$N$9)-SUMPRODUCT($Q1827:$Q1828,$N$11:$N$12)</f>
        <v>#NUM!</v>
      </c>
      <c r="BT1819" s="34"/>
      <c r="BU1819" s="34"/>
      <c r="BV1819" s="34"/>
      <c r="BW1819" s="34" t="e">
        <f t="shared" ref="BW1819" si="7939">$Q1827</f>
        <v>#NUM!</v>
      </c>
      <c r="BX1819" s="34">
        <v>-1</v>
      </c>
      <c r="BY1819" s="34" t="e">
        <f t="shared" ref="BY1819" si="7940">-SUMPRODUCT($Q1818:$Q1826,$N$2:$N$10)-SUMPRODUCT($Q1828,$N$12)</f>
        <v>#NUM!</v>
      </c>
      <c r="BZ1819" s="34"/>
      <c r="CA1819" s="34"/>
      <c r="CB1819" s="34"/>
      <c r="CC1819" s="34" t="e">
        <f t="shared" ref="CC1819" si="7941">$Q1828</f>
        <v>#NUM!</v>
      </c>
      <c r="CD1819" s="34">
        <v>-1</v>
      </c>
      <c r="CE1819" s="34" t="e">
        <f t="shared" ref="CE1819" si="7942">-SUMPRODUCT($Q1818:$Q1827,$N$2:$N$11)</f>
        <v>#NUM!</v>
      </c>
      <c r="CF1819" s="34"/>
      <c r="CG1819" s="34"/>
      <c r="CH1819" s="34"/>
      <c r="CI1819" s="8"/>
    </row>
    <row r="1820" spans="1:87" x14ac:dyDescent="0.2">
      <c r="A1820" s="8" t="str">
        <f>IF(AND(COUNTIF(W$3:W$13,A$17)&gt;0,A$17&lt;&gt;B1816),A$17,IFERROR(IF(MATCH(A$17,Z$3:Z$13,0)=1,A$17," ")," "))</f>
        <v>C3</v>
      </c>
      <c r="B1820" s="8">
        <f>IF(A1820=" "," ",MAX(B1818:B1819)+1)</f>
        <v>2</v>
      </c>
      <c r="C1820" s="8" t="str">
        <f>IFERROR(INDEX(A1818:A1839,MATCH(SMALL(B1818:B1839,3),B1818:B1839,0),1)," ")</f>
        <v>C4</v>
      </c>
      <c r="D1820" s="8">
        <f t="shared" si="7908"/>
        <v>1</v>
      </c>
      <c r="E1820" s="8">
        <f t="shared" si="7909"/>
        <v>0</v>
      </c>
      <c r="F1820" s="8">
        <f t="shared" si="7910"/>
        <v>1</v>
      </c>
      <c r="G1820" s="8">
        <f t="shared" si="7911"/>
        <v>0</v>
      </c>
      <c r="H1820" s="8">
        <f t="shared" si="7912"/>
        <v>0</v>
      </c>
      <c r="I1820" s="8">
        <f t="shared" si="7913"/>
        <v>0</v>
      </c>
      <c r="J1820" s="8">
        <f t="shared" si="7914"/>
        <v>0</v>
      </c>
      <c r="K1820" s="8">
        <f t="shared" si="7915"/>
        <v>0</v>
      </c>
      <c r="L1820" s="8">
        <f t="shared" si="7916"/>
        <v>0</v>
      </c>
      <c r="M1820" s="8">
        <f t="shared" si="7917"/>
        <v>0</v>
      </c>
      <c r="N1820" s="8">
        <f t="shared" si="7918"/>
        <v>0</v>
      </c>
      <c r="O1820" s="8">
        <f t="shared" si="7919"/>
        <v>400</v>
      </c>
      <c r="P1820" s="8" t="e">
        <v>#NUM!</v>
      </c>
      <c r="Q1820" s="8" t="e">
        <f t="shared" ref="Q1820" si="7943">IF(COUNTIF(P1818:P1828,"&lt;"&amp;-0.001)=0,IF(ABS(P1820)&lt;0.001,0,P1820)," ")</f>
        <v>#NUM!</v>
      </c>
      <c r="R1820" s="8"/>
      <c r="S1820" s="8"/>
      <c r="U1820" s="34"/>
      <c r="V1820" s="34"/>
      <c r="W1820" s="34"/>
      <c r="X1820" s="34"/>
      <c r="Y1820" s="34"/>
      <c r="Z1820" s="34"/>
      <c r="AA1820" s="34"/>
      <c r="AB1820" s="34"/>
      <c r="AC1820" s="34"/>
      <c r="AD1820" s="34"/>
      <c r="AE1820" s="34"/>
      <c r="AF1820" s="34"/>
      <c r="AG1820" s="34"/>
      <c r="AH1820" s="34"/>
      <c r="AI1820" s="34"/>
      <c r="AJ1820" s="34"/>
      <c r="AK1820" s="34"/>
      <c r="AL1820" s="34"/>
      <c r="AM1820" s="34"/>
      <c r="AN1820" s="34"/>
      <c r="AO1820" s="34"/>
      <c r="AP1820" s="34"/>
      <c r="AQ1820" s="34"/>
      <c r="AR1820" s="34"/>
      <c r="AS1820" s="34"/>
      <c r="AT1820" s="34"/>
      <c r="AU1820" s="34"/>
      <c r="AV1820" s="34"/>
      <c r="AW1820" s="34"/>
      <c r="AX1820" s="34"/>
      <c r="AY1820" s="34"/>
      <c r="AZ1820" s="34"/>
      <c r="BA1820" s="34"/>
      <c r="BB1820" s="34"/>
      <c r="BC1820" s="34"/>
      <c r="BD1820" s="34"/>
      <c r="BE1820" s="34"/>
      <c r="BF1820" s="34"/>
      <c r="BG1820" s="34"/>
      <c r="BH1820" s="34"/>
      <c r="BI1820" s="34"/>
      <c r="BJ1820" s="34"/>
      <c r="BK1820" s="34"/>
      <c r="BL1820" s="34"/>
      <c r="BM1820" s="34"/>
      <c r="BN1820" s="34"/>
      <c r="BO1820" s="34"/>
      <c r="BP1820" s="34"/>
      <c r="BQ1820" s="34"/>
      <c r="BR1820" s="34"/>
      <c r="BS1820" s="34"/>
      <c r="BT1820" s="34"/>
      <c r="BU1820" s="34"/>
      <c r="BV1820" s="34"/>
      <c r="BW1820" s="34"/>
      <c r="BX1820" s="34"/>
      <c r="BY1820" s="34"/>
      <c r="BZ1820" s="34"/>
      <c r="CA1820" s="34"/>
      <c r="CB1820" s="34"/>
      <c r="CC1820" s="34"/>
      <c r="CD1820" s="34"/>
      <c r="CE1820" s="34"/>
      <c r="CF1820" s="34"/>
      <c r="CG1820" s="34"/>
      <c r="CH1820" s="34"/>
      <c r="CI1820" s="8"/>
    </row>
    <row r="1821" spans="1:87" x14ac:dyDescent="0.2">
      <c r="A1821" s="8" t="str">
        <f>IF(AND(COUNTIF(W$3:W$13,A$18)&gt;0,A$18&lt;&gt;B1816),A$18,IFERROR(IF(MATCH(A$18,Z$3:Z$13,0)=1,A$18," ")," "))</f>
        <v>C4</v>
      </c>
      <c r="B1821" s="8">
        <f>IF(A1821=" "," ",MAX(B1818:B1820)+1)</f>
        <v>3</v>
      </c>
      <c r="C1821" s="8" t="str">
        <f>IFERROR(INDEX(A1818:A1839,MATCH(SMALL(B1818:B1839,4),B1818:B1839,0),1)," ")</f>
        <v>C13</v>
      </c>
      <c r="D1821" s="8">
        <f t="shared" si="7908"/>
        <v>0</v>
      </c>
      <c r="E1821" s="8">
        <f t="shared" si="7909"/>
        <v>1</v>
      </c>
      <c r="F1821" s="8">
        <f t="shared" si="7910"/>
        <v>0</v>
      </c>
      <c r="G1821" s="8">
        <f t="shared" si="7911"/>
        <v>0</v>
      </c>
      <c r="H1821" s="8">
        <f t="shared" si="7912"/>
        <v>0</v>
      </c>
      <c r="I1821" s="8">
        <f t="shared" si="7913"/>
        <v>0</v>
      </c>
      <c r="J1821" s="8">
        <f t="shared" si="7914"/>
        <v>0</v>
      </c>
      <c r="K1821" s="8">
        <f t="shared" si="7915"/>
        <v>0</v>
      </c>
      <c r="L1821" s="8">
        <f t="shared" si="7916"/>
        <v>0</v>
      </c>
      <c r="M1821" s="8">
        <f t="shared" si="7917"/>
        <v>0</v>
      </c>
      <c r="N1821" s="8">
        <f t="shared" si="7918"/>
        <v>0</v>
      </c>
      <c r="O1821" s="8">
        <f t="shared" si="7919"/>
        <v>0</v>
      </c>
      <c r="P1821" s="8" t="e">
        <v>#NUM!</v>
      </c>
      <c r="Q1821" s="8" t="e">
        <f t="shared" ref="Q1821" si="7944">IF(COUNTIF(P1818:P1828,"&lt;"&amp;-0.001)=0,IF(ABS(P1821)&lt;0.001,0,P1821)," ")</f>
        <v>#NUM!</v>
      </c>
      <c r="R1821" s="8"/>
      <c r="S1821" s="8"/>
      <c r="U1821" s="34"/>
      <c r="V1821" s="34"/>
      <c r="W1821" s="34"/>
      <c r="X1821" s="34"/>
      <c r="Y1821" s="34"/>
      <c r="Z1821" s="34"/>
      <c r="AA1821" s="34"/>
      <c r="AB1821" s="34"/>
      <c r="AC1821" s="34"/>
      <c r="AD1821" s="34"/>
      <c r="AE1821" s="34"/>
      <c r="AF1821" s="34"/>
      <c r="AG1821" s="34"/>
      <c r="AH1821" s="34"/>
      <c r="AI1821" s="34"/>
      <c r="AJ1821" s="34"/>
      <c r="AK1821" s="34"/>
      <c r="AL1821" s="34"/>
      <c r="AM1821" s="34"/>
      <c r="AN1821" s="34"/>
      <c r="AO1821" s="34"/>
      <c r="AP1821" s="34"/>
      <c r="AQ1821" s="34"/>
      <c r="AR1821" s="34"/>
      <c r="AS1821" s="34"/>
      <c r="AT1821" s="34"/>
      <c r="AU1821" s="34"/>
      <c r="AV1821" s="34"/>
      <c r="AW1821" s="34"/>
      <c r="AX1821" s="34"/>
      <c r="AY1821" s="34"/>
      <c r="AZ1821" s="34"/>
      <c r="BA1821" s="34"/>
      <c r="BB1821" s="34"/>
      <c r="BC1821" s="34"/>
      <c r="BD1821" s="34"/>
      <c r="BE1821" s="34"/>
      <c r="BF1821" s="34"/>
      <c r="BG1821" s="34"/>
      <c r="BH1821" s="34"/>
      <c r="BI1821" s="34"/>
      <c r="BJ1821" s="34"/>
      <c r="BK1821" s="34"/>
      <c r="BL1821" s="34"/>
      <c r="BM1821" s="34"/>
      <c r="BN1821" s="34"/>
      <c r="BO1821" s="34"/>
      <c r="BP1821" s="34"/>
      <c r="BQ1821" s="34"/>
      <c r="BR1821" s="34"/>
      <c r="BS1821" s="34"/>
      <c r="BT1821" s="34"/>
      <c r="BU1821" s="34"/>
      <c r="BV1821" s="34"/>
      <c r="BW1821" s="34"/>
      <c r="BX1821" s="34"/>
      <c r="BY1821" s="34"/>
      <c r="BZ1821" s="34"/>
      <c r="CA1821" s="34"/>
      <c r="CB1821" s="34"/>
      <c r="CC1821" s="34"/>
      <c r="CD1821" s="34"/>
      <c r="CE1821" s="34"/>
      <c r="CF1821" s="34"/>
      <c r="CG1821" s="34"/>
      <c r="CH1821" s="34"/>
      <c r="CI1821" s="8"/>
    </row>
    <row r="1822" spans="1:87" x14ac:dyDescent="0.2">
      <c r="A1822" s="8" t="str">
        <f>IF(AND(COUNTIF(W$3:W$13,A$19)&gt;0,A$19&lt;&gt;B1816),A$19,IFERROR(IF(MATCH(A$19,Z$3:Z$13,0)=1,A$19," ")," "))</f>
        <v xml:space="preserve"> </v>
      </c>
      <c r="B1822" s="8" t="str">
        <f>IF(A1822=" "," ",MAX(B1818:B1821)+1)</f>
        <v xml:space="preserve"> </v>
      </c>
      <c r="C1822" s="8" t="str">
        <f>IFERROR(INDEX(A1818:A1839,MATCH(SMALL(B1818:B1839,5),B1818:B1839,0),1)," ")</f>
        <v>C15</v>
      </c>
      <c r="D1822" s="8">
        <f t="shared" si="7908"/>
        <v>0</v>
      </c>
      <c r="E1822" s="8">
        <f t="shared" si="7909"/>
        <v>0</v>
      </c>
      <c r="F1822" s="8">
        <f t="shared" si="7910"/>
        <v>0</v>
      </c>
      <c r="G1822" s="8">
        <f t="shared" si="7911"/>
        <v>1</v>
      </c>
      <c r="H1822" s="8">
        <f t="shared" si="7912"/>
        <v>0</v>
      </c>
      <c r="I1822" s="8">
        <f t="shared" si="7913"/>
        <v>0</v>
      </c>
      <c r="J1822" s="8">
        <f t="shared" si="7914"/>
        <v>0</v>
      </c>
      <c r="K1822" s="8">
        <f t="shared" si="7915"/>
        <v>0</v>
      </c>
      <c r="L1822" s="8">
        <f t="shared" si="7916"/>
        <v>0</v>
      </c>
      <c r="M1822" s="8">
        <f t="shared" si="7917"/>
        <v>0</v>
      </c>
      <c r="N1822" s="8">
        <f t="shared" si="7918"/>
        <v>0</v>
      </c>
      <c r="O1822" s="8">
        <f t="shared" si="7919"/>
        <v>0</v>
      </c>
      <c r="P1822" s="8" t="e">
        <v>#NUM!</v>
      </c>
      <c r="Q1822" s="8" t="e">
        <f t="shared" ref="Q1822" si="7945">IF(COUNTIF(P1818:P1828,"&lt;"&amp;-0.001)=0,IF(ABS(P1822)&lt;0.001,0,P1822)," ")</f>
        <v>#NUM!</v>
      </c>
      <c r="R1822" s="8"/>
      <c r="S1822" s="8"/>
      <c r="U1822" s="34"/>
      <c r="V1822" s="34"/>
      <c r="W1822" s="34"/>
      <c r="X1822" s="34"/>
      <c r="Y1822" s="34"/>
      <c r="Z1822" s="34"/>
      <c r="AA1822" s="34"/>
      <c r="AB1822" s="34"/>
      <c r="AC1822" s="34"/>
      <c r="AD1822" s="34"/>
      <c r="AE1822" s="34"/>
      <c r="AF1822" s="34"/>
      <c r="AG1822" s="34"/>
      <c r="AH1822" s="34"/>
      <c r="AI1822" s="34"/>
      <c r="AJ1822" s="34"/>
      <c r="AK1822" s="34"/>
      <c r="AL1822" s="34"/>
      <c r="AM1822" s="34"/>
      <c r="AN1822" s="34"/>
      <c r="AO1822" s="34"/>
      <c r="AP1822" s="34"/>
      <c r="AQ1822" s="34"/>
      <c r="AR1822" s="34"/>
      <c r="AS1822" s="34"/>
      <c r="AT1822" s="34"/>
      <c r="AU1822" s="34"/>
      <c r="AV1822" s="34"/>
      <c r="AW1822" s="34"/>
      <c r="AX1822" s="34"/>
      <c r="AY1822" s="34"/>
      <c r="AZ1822" s="34"/>
      <c r="BA1822" s="34"/>
      <c r="BB1822" s="34"/>
      <c r="BC1822" s="34"/>
      <c r="BD1822" s="34"/>
      <c r="BE1822" s="34"/>
      <c r="BF1822" s="34"/>
      <c r="BG1822" s="34"/>
      <c r="BH1822" s="34"/>
      <c r="BI1822" s="34"/>
      <c r="BJ1822" s="34"/>
      <c r="BK1822" s="34"/>
      <c r="BL1822" s="34"/>
      <c r="BM1822" s="34"/>
      <c r="BN1822" s="34"/>
      <c r="BO1822" s="34"/>
      <c r="BP1822" s="34"/>
      <c r="BQ1822" s="34"/>
      <c r="BR1822" s="34"/>
      <c r="BS1822" s="34"/>
      <c r="BT1822" s="34"/>
      <c r="BU1822" s="34"/>
      <c r="BV1822" s="34"/>
      <c r="BW1822" s="34"/>
      <c r="BX1822" s="34"/>
      <c r="BY1822" s="34"/>
      <c r="BZ1822" s="34"/>
      <c r="CA1822" s="34"/>
      <c r="CB1822" s="34"/>
      <c r="CC1822" s="34"/>
      <c r="CD1822" s="34"/>
      <c r="CE1822" s="34"/>
      <c r="CF1822" s="34"/>
      <c r="CG1822" s="34"/>
      <c r="CH1822" s="34"/>
      <c r="CI1822" s="8"/>
    </row>
    <row r="1823" spans="1:87" x14ac:dyDescent="0.2">
      <c r="A1823" s="8" t="str">
        <f>IF(AND(COUNTIF(W$3:W$13,A$20)&gt;0,A$20&lt;&gt;B1816),A$20,IFERROR(IF(MATCH(A$20,Z$3:Z$13,0)=1,A$20," ")," "))</f>
        <v xml:space="preserve"> </v>
      </c>
      <c r="B1823" s="8" t="str">
        <f>IF(A1823=" "," ",MAX(B1818:B1822)+1)</f>
        <v xml:space="preserve"> </v>
      </c>
      <c r="C1823" s="8" t="str">
        <f>IFERROR(INDEX(A1818:A1839,MATCH(SMALL(B1818:B1839,6),B1818:B1839,0),1)," ")</f>
        <v>C16</v>
      </c>
      <c r="D1823" s="8">
        <f t="shared" si="7908"/>
        <v>0</v>
      </c>
      <c r="E1823" s="8">
        <f t="shared" si="7909"/>
        <v>0</v>
      </c>
      <c r="F1823" s="8">
        <f t="shared" si="7910"/>
        <v>0</v>
      </c>
      <c r="G1823" s="8">
        <f t="shared" si="7911"/>
        <v>0</v>
      </c>
      <c r="H1823" s="8">
        <f t="shared" si="7912"/>
        <v>1</v>
      </c>
      <c r="I1823" s="8">
        <f t="shared" si="7913"/>
        <v>0</v>
      </c>
      <c r="J1823" s="8">
        <f t="shared" si="7914"/>
        <v>0</v>
      </c>
      <c r="K1823" s="8">
        <f t="shared" si="7915"/>
        <v>0</v>
      </c>
      <c r="L1823" s="8">
        <f t="shared" si="7916"/>
        <v>0</v>
      </c>
      <c r="M1823" s="8">
        <f t="shared" si="7917"/>
        <v>0</v>
      </c>
      <c r="N1823" s="8">
        <f t="shared" si="7918"/>
        <v>0</v>
      </c>
      <c r="O1823" s="8">
        <f t="shared" si="7919"/>
        <v>0</v>
      </c>
      <c r="P1823" s="8" t="e">
        <v>#NUM!</v>
      </c>
      <c r="Q1823" s="8" t="e">
        <f t="shared" ref="Q1823" si="7946">IF(COUNTIF(P1818:P1828,"&lt;"&amp;-0.001)=0,IF(ABS(P1823)&lt;0.001,0,P1823)," ")</f>
        <v>#NUM!</v>
      </c>
      <c r="R1823" s="8"/>
      <c r="S1823" s="8"/>
      <c r="U1823" s="34"/>
      <c r="V1823" s="34"/>
      <c r="W1823" s="34"/>
      <c r="X1823" s="34"/>
      <c r="Y1823" s="34"/>
      <c r="Z1823" s="34"/>
      <c r="AA1823" s="34"/>
      <c r="AB1823" s="34"/>
      <c r="AC1823" s="34"/>
      <c r="AD1823" s="34"/>
      <c r="AE1823" s="34"/>
      <c r="AF1823" s="34"/>
      <c r="AG1823" s="34"/>
      <c r="AH1823" s="34"/>
      <c r="AI1823" s="34"/>
      <c r="AJ1823" s="34"/>
      <c r="AK1823" s="34"/>
      <c r="AL1823" s="34"/>
      <c r="AM1823" s="34"/>
      <c r="AN1823" s="34"/>
      <c r="AO1823" s="34"/>
      <c r="AP1823" s="34"/>
      <c r="AQ1823" s="34"/>
      <c r="AR1823" s="34"/>
      <c r="AS1823" s="34"/>
      <c r="AT1823" s="34"/>
      <c r="AU1823" s="34"/>
      <c r="AV1823" s="34"/>
      <c r="AW1823" s="34"/>
      <c r="AX1823" s="34"/>
      <c r="AY1823" s="34"/>
      <c r="AZ1823" s="34"/>
      <c r="BA1823" s="34"/>
      <c r="BB1823" s="34"/>
      <c r="BC1823" s="34"/>
      <c r="BD1823" s="34"/>
      <c r="BE1823" s="34"/>
      <c r="BF1823" s="34"/>
      <c r="BG1823" s="34"/>
      <c r="BH1823" s="34"/>
      <c r="BI1823" s="34"/>
      <c r="BJ1823" s="34"/>
      <c r="BK1823" s="34"/>
      <c r="BL1823" s="34"/>
      <c r="BM1823" s="34"/>
      <c r="BN1823" s="34"/>
      <c r="BO1823" s="34"/>
      <c r="BP1823" s="34"/>
      <c r="BQ1823" s="34"/>
      <c r="BR1823" s="34"/>
      <c r="BS1823" s="34"/>
      <c r="BT1823" s="34"/>
      <c r="BU1823" s="34"/>
      <c r="BV1823" s="34"/>
      <c r="BW1823" s="34"/>
      <c r="BX1823" s="34"/>
      <c r="BY1823" s="34"/>
      <c r="BZ1823" s="34"/>
      <c r="CA1823" s="34"/>
      <c r="CB1823" s="34"/>
      <c r="CC1823" s="34"/>
      <c r="CD1823" s="34"/>
      <c r="CE1823" s="34"/>
      <c r="CF1823" s="34"/>
      <c r="CG1823" s="34"/>
      <c r="CH1823" s="34"/>
      <c r="CI1823" s="8"/>
    </row>
    <row r="1824" spans="1:87" x14ac:dyDescent="0.2">
      <c r="A1824" s="8" t="str">
        <f>IF(AND(COUNTIF(W$3:W$13,A$21)&gt;0,A$21&lt;&gt;B1816),A$21,IFERROR(IF(MATCH(A$21,Z$3:Z$13,0)=1,A$21," ")," "))</f>
        <v xml:space="preserve"> </v>
      </c>
      <c r="B1824" s="8" t="str">
        <f>IF(A1824=" "," ",MAX(B1818:B1823)+1)</f>
        <v xml:space="preserve"> </v>
      </c>
      <c r="C1824" s="8" t="str">
        <f>IFERROR(INDEX(A1818:A1839,MATCH(SMALL(B1818:B1839,7),B1818:B1839,0),1)," ")</f>
        <v>C17</v>
      </c>
      <c r="D1824" s="8">
        <f t="shared" si="7908"/>
        <v>0</v>
      </c>
      <c r="E1824" s="8">
        <f t="shared" si="7909"/>
        <v>0</v>
      </c>
      <c r="F1824" s="8">
        <f t="shared" si="7910"/>
        <v>0</v>
      </c>
      <c r="G1824" s="8">
        <f t="shared" si="7911"/>
        <v>0</v>
      </c>
      <c r="H1824" s="8">
        <f t="shared" si="7912"/>
        <v>0</v>
      </c>
      <c r="I1824" s="8">
        <f t="shared" si="7913"/>
        <v>1</v>
      </c>
      <c r="J1824" s="8">
        <f t="shared" si="7914"/>
        <v>0</v>
      </c>
      <c r="K1824" s="8">
        <f t="shared" si="7915"/>
        <v>0</v>
      </c>
      <c r="L1824" s="8">
        <f t="shared" si="7916"/>
        <v>0</v>
      </c>
      <c r="M1824" s="8">
        <f t="shared" si="7917"/>
        <v>0</v>
      </c>
      <c r="N1824" s="8">
        <f t="shared" si="7918"/>
        <v>0</v>
      </c>
      <c r="O1824" s="8">
        <f t="shared" si="7919"/>
        <v>0</v>
      </c>
      <c r="P1824" s="8" t="e">
        <v>#NUM!</v>
      </c>
      <c r="Q1824" s="8" t="e">
        <f t="shared" ref="Q1824" si="7947">IF(COUNTIF(P1818:P1828,"&lt;"&amp;-0.001)=0,IF(ABS(P1824)&lt;0.001,0,P1824)," ")</f>
        <v>#NUM!</v>
      </c>
      <c r="R1824" s="8"/>
      <c r="S1824" s="8"/>
      <c r="U1824" s="34"/>
      <c r="V1824" s="34"/>
      <c r="W1824" s="34"/>
      <c r="X1824" s="34"/>
      <c r="Y1824" s="34"/>
      <c r="Z1824" s="34"/>
      <c r="AA1824" s="34"/>
      <c r="AB1824" s="34"/>
      <c r="AC1824" s="34"/>
      <c r="AD1824" s="34"/>
      <c r="AE1824" s="34"/>
      <c r="AF1824" s="34"/>
      <c r="AG1824" s="34"/>
      <c r="AH1824" s="34"/>
      <c r="AI1824" s="34"/>
      <c r="AJ1824" s="34"/>
      <c r="AK1824" s="34"/>
      <c r="AL1824" s="34"/>
      <c r="AM1824" s="34"/>
      <c r="AN1824" s="34"/>
      <c r="AO1824" s="34"/>
      <c r="AP1824" s="34"/>
      <c r="AQ1824" s="34"/>
      <c r="AR1824" s="34"/>
      <c r="AS1824" s="34"/>
      <c r="AT1824" s="34"/>
      <c r="AU1824" s="34"/>
      <c r="AV1824" s="34"/>
      <c r="AW1824" s="34"/>
      <c r="AX1824" s="34"/>
      <c r="AY1824" s="34"/>
      <c r="AZ1824" s="34"/>
      <c r="BA1824" s="34"/>
      <c r="BB1824" s="34"/>
      <c r="BC1824" s="34"/>
      <c r="BD1824" s="34"/>
      <c r="BE1824" s="34"/>
      <c r="BF1824" s="34"/>
      <c r="BG1824" s="34"/>
      <c r="BH1824" s="34"/>
      <c r="BI1824" s="34"/>
      <c r="BJ1824" s="34"/>
      <c r="BK1824" s="34"/>
      <c r="BL1824" s="34"/>
      <c r="BM1824" s="34"/>
      <c r="BN1824" s="34"/>
      <c r="BO1824" s="34"/>
      <c r="BP1824" s="34"/>
      <c r="BQ1824" s="34"/>
      <c r="BR1824" s="34"/>
      <c r="BS1824" s="34"/>
      <c r="BT1824" s="34"/>
      <c r="BU1824" s="34"/>
      <c r="BV1824" s="34"/>
      <c r="BW1824" s="34"/>
      <c r="BX1824" s="34"/>
      <c r="BY1824" s="34"/>
      <c r="BZ1824" s="34"/>
      <c r="CA1824" s="34"/>
      <c r="CB1824" s="34"/>
      <c r="CC1824" s="34"/>
      <c r="CD1824" s="34"/>
      <c r="CE1824" s="34"/>
      <c r="CF1824" s="34"/>
      <c r="CG1824" s="34"/>
      <c r="CH1824" s="34"/>
      <c r="CI1824" s="8"/>
    </row>
    <row r="1825" spans="1:87" x14ac:dyDescent="0.2">
      <c r="A1825" s="8" t="str">
        <f>IF(AND(COUNTIF(W$3:W$13,A$22)&gt;0,A$22&lt;&gt;B1816),A$22,IFERROR(IF(MATCH(A$22,Z$3:Z$13,0)=1,A$22," ")," "))</f>
        <v xml:space="preserve"> </v>
      </c>
      <c r="B1825" s="8" t="str">
        <f>IF(A1825=" "," ",MAX(B1818:B1824)+1)</f>
        <v xml:space="preserve"> </v>
      </c>
      <c r="C1825" s="8" t="str">
        <f>IFERROR(INDEX(A1818:A1839,MATCH(SMALL(B1818:B1839,8),B1818:B1839,0),1)," ")</f>
        <v>C18</v>
      </c>
      <c r="D1825" s="8">
        <f t="shared" si="7908"/>
        <v>0</v>
      </c>
      <c r="E1825" s="8">
        <f t="shared" si="7909"/>
        <v>0</v>
      </c>
      <c r="F1825" s="8">
        <f t="shared" si="7910"/>
        <v>0</v>
      </c>
      <c r="G1825" s="8">
        <f t="shared" si="7911"/>
        <v>0</v>
      </c>
      <c r="H1825" s="8">
        <f t="shared" si="7912"/>
        <v>0</v>
      </c>
      <c r="I1825" s="8">
        <f t="shared" si="7913"/>
        <v>0</v>
      </c>
      <c r="J1825" s="8">
        <f t="shared" si="7914"/>
        <v>1</v>
      </c>
      <c r="K1825" s="8">
        <f t="shared" si="7915"/>
        <v>0</v>
      </c>
      <c r="L1825" s="8">
        <f t="shared" si="7916"/>
        <v>0</v>
      </c>
      <c r="M1825" s="8">
        <f t="shared" si="7917"/>
        <v>0</v>
      </c>
      <c r="N1825" s="8">
        <f t="shared" si="7918"/>
        <v>0</v>
      </c>
      <c r="O1825" s="8">
        <f t="shared" si="7919"/>
        <v>0</v>
      </c>
      <c r="P1825" s="8" t="e">
        <v>#NUM!</v>
      </c>
      <c r="Q1825" s="8" t="e">
        <f t="shared" ref="Q1825" si="7948">IF(COUNTIF(P1818:P1828,"&lt;"&amp;-0.001)=0,IF(ABS(P1825)&lt;0.001,0,P1825)," ")</f>
        <v>#NUM!</v>
      </c>
      <c r="R1825" s="8"/>
      <c r="S1825" s="8"/>
      <c r="U1825" s="34"/>
      <c r="V1825" s="34"/>
      <c r="W1825" s="34"/>
      <c r="X1825" s="34"/>
      <c r="Y1825" s="34"/>
      <c r="Z1825" s="34"/>
      <c r="AA1825" s="34"/>
      <c r="AB1825" s="34"/>
      <c r="AC1825" s="34"/>
      <c r="AD1825" s="34"/>
      <c r="AE1825" s="34"/>
      <c r="AF1825" s="34"/>
      <c r="AG1825" s="34"/>
      <c r="AH1825" s="34"/>
      <c r="AI1825" s="34"/>
      <c r="AJ1825" s="34"/>
      <c r="AK1825" s="34"/>
      <c r="AL1825" s="34"/>
      <c r="AM1825" s="34"/>
      <c r="AN1825" s="34"/>
      <c r="AO1825" s="34"/>
      <c r="AP1825" s="34"/>
      <c r="AQ1825" s="34"/>
      <c r="AR1825" s="34"/>
      <c r="AS1825" s="34"/>
      <c r="AT1825" s="34"/>
      <c r="AU1825" s="34"/>
      <c r="AV1825" s="34"/>
      <c r="AW1825" s="34"/>
      <c r="AX1825" s="34"/>
      <c r="AY1825" s="34"/>
      <c r="AZ1825" s="34"/>
      <c r="BA1825" s="34"/>
      <c r="BB1825" s="34"/>
      <c r="BC1825" s="34"/>
      <c r="BD1825" s="34"/>
      <c r="BE1825" s="34"/>
      <c r="BF1825" s="34"/>
      <c r="BG1825" s="34"/>
      <c r="BH1825" s="34"/>
      <c r="BI1825" s="34"/>
      <c r="BJ1825" s="34"/>
      <c r="BK1825" s="34"/>
      <c r="BL1825" s="34"/>
      <c r="BM1825" s="34"/>
      <c r="BN1825" s="34"/>
      <c r="BO1825" s="34"/>
      <c r="BP1825" s="34"/>
      <c r="BQ1825" s="34"/>
      <c r="BR1825" s="34"/>
      <c r="BS1825" s="34"/>
      <c r="BT1825" s="34"/>
      <c r="BU1825" s="34"/>
      <c r="BV1825" s="34"/>
      <c r="BW1825" s="34"/>
      <c r="BX1825" s="34"/>
      <c r="BY1825" s="34"/>
      <c r="BZ1825" s="34"/>
      <c r="CA1825" s="34"/>
      <c r="CB1825" s="34"/>
      <c r="CC1825" s="34"/>
      <c r="CD1825" s="34"/>
      <c r="CE1825" s="34"/>
      <c r="CF1825" s="34"/>
      <c r="CG1825" s="34"/>
      <c r="CH1825" s="34"/>
      <c r="CI1825" s="8"/>
    </row>
    <row r="1826" spans="1:87" x14ac:dyDescent="0.2">
      <c r="A1826" s="8" t="str">
        <f>IF(AND(COUNTIF(W$3:W$13,A$23)&gt;0,A$23&lt;&gt;B1816),A$23,IFERROR(IF(MATCH(A$23,Z$3:Z$13,0)=1,A$23," ")," "))</f>
        <v xml:space="preserve"> </v>
      </c>
      <c r="B1826" s="8" t="str">
        <f>IF(A1826=" "," ",MAX(B1818:B1825)+1)</f>
        <v xml:space="preserve"> </v>
      </c>
      <c r="C1826" s="8" t="str">
        <f>IFERROR(INDEX(A1818:A1839,MATCH(SMALL(B1818:B1839,9),B1818:B1839,0),1)," ")</f>
        <v>C20</v>
      </c>
      <c r="D1826" s="8">
        <f t="shared" si="7908"/>
        <v>0</v>
      </c>
      <c r="E1826" s="8">
        <f t="shared" si="7909"/>
        <v>0</v>
      </c>
      <c r="F1826" s="8">
        <f t="shared" si="7910"/>
        <v>0</v>
      </c>
      <c r="G1826" s="8">
        <f t="shared" si="7911"/>
        <v>0</v>
      </c>
      <c r="H1826" s="8">
        <f t="shared" si="7912"/>
        <v>0</v>
      </c>
      <c r="I1826" s="8">
        <f t="shared" si="7913"/>
        <v>0</v>
      </c>
      <c r="J1826" s="8">
        <f t="shared" si="7914"/>
        <v>0</v>
      </c>
      <c r="K1826" s="8">
        <f t="shared" si="7915"/>
        <v>0</v>
      </c>
      <c r="L1826" s="8">
        <f t="shared" si="7916"/>
        <v>1</v>
      </c>
      <c r="M1826" s="8">
        <f t="shared" si="7917"/>
        <v>0</v>
      </c>
      <c r="N1826" s="8">
        <f t="shared" si="7918"/>
        <v>0</v>
      </c>
      <c r="O1826" s="8">
        <f t="shared" si="7919"/>
        <v>0</v>
      </c>
      <c r="P1826" s="6" t="e">
        <v>#NUM!</v>
      </c>
      <c r="Q1826" s="8" t="e">
        <f t="shared" ref="Q1826" si="7949">IF(COUNTIF(P1818:P1828,"&lt;"&amp;-0.001)=0,IF(ABS(P1826)&lt;0.001,0,P1826)," ")</f>
        <v>#NUM!</v>
      </c>
      <c r="R1826" s="8"/>
      <c r="S1826" s="8"/>
      <c r="U1826" s="34"/>
      <c r="V1826" s="34"/>
      <c r="W1826" s="34"/>
      <c r="X1826" s="34"/>
      <c r="Y1826" s="34"/>
      <c r="Z1826" s="34"/>
      <c r="AA1826" s="34"/>
      <c r="AB1826" s="34"/>
      <c r="AC1826" s="34"/>
      <c r="AD1826" s="34"/>
      <c r="AE1826" s="34"/>
      <c r="AF1826" s="34"/>
      <c r="AG1826" s="34"/>
      <c r="AH1826" s="34"/>
      <c r="AI1826" s="34"/>
      <c r="AJ1826" s="34"/>
      <c r="AK1826" s="34"/>
      <c r="AL1826" s="34"/>
      <c r="AM1826" s="34"/>
      <c r="AN1826" s="34"/>
      <c r="AO1826" s="34"/>
      <c r="AP1826" s="34"/>
      <c r="AQ1826" s="34"/>
      <c r="AR1826" s="34"/>
      <c r="AS1826" s="34"/>
      <c r="AT1826" s="34"/>
      <c r="AU1826" s="34"/>
      <c r="AV1826" s="34"/>
      <c r="AW1826" s="34"/>
      <c r="AX1826" s="34"/>
      <c r="AY1826" s="34"/>
      <c r="AZ1826" s="34"/>
      <c r="BA1826" s="34"/>
      <c r="BB1826" s="34"/>
      <c r="BC1826" s="34"/>
      <c r="BD1826" s="34"/>
      <c r="BE1826" s="34"/>
      <c r="BF1826" s="34"/>
      <c r="BG1826" s="34"/>
      <c r="BH1826" s="34"/>
      <c r="BI1826" s="34"/>
      <c r="BJ1826" s="34"/>
      <c r="BK1826" s="34"/>
      <c r="BL1826" s="34"/>
      <c r="BM1826" s="34"/>
      <c r="BN1826" s="34"/>
      <c r="BO1826" s="34"/>
      <c r="BP1826" s="34"/>
      <c r="BQ1826" s="34"/>
      <c r="BR1826" s="34"/>
      <c r="BS1826" s="34"/>
      <c r="BT1826" s="34"/>
      <c r="BU1826" s="34"/>
      <c r="BV1826" s="34"/>
      <c r="BW1826" s="34"/>
      <c r="BX1826" s="34"/>
      <c r="BY1826" s="34"/>
      <c r="BZ1826" s="34"/>
      <c r="CA1826" s="34"/>
      <c r="CB1826" s="34"/>
      <c r="CC1826" s="34"/>
      <c r="CD1826" s="34"/>
      <c r="CE1826" s="34"/>
      <c r="CF1826" s="34"/>
      <c r="CG1826" s="34"/>
      <c r="CH1826" s="34"/>
      <c r="CI1826" s="8"/>
    </row>
    <row r="1827" spans="1:87" x14ac:dyDescent="0.2">
      <c r="A1827" s="8" t="str">
        <f>IF(AND(COUNTIF(W$3:W$13,A$24)&gt;0,A$24&lt;&gt;B1816),A$24,IFERROR(IF(MATCH(A$24,Z$3:Z$13,0)=1,A$24," ")," "))</f>
        <v xml:space="preserve"> </v>
      </c>
      <c r="B1827" s="8" t="str">
        <f>IF(A1827=" "," ",MAX(B1818:B1826)+1)</f>
        <v xml:space="preserve"> </v>
      </c>
      <c r="C1827" s="8" t="str">
        <f>IFERROR(INDEX(A1818:A1839,MATCH(SMALL(B1818:B1839,10),B1818:B1839,0),1)," ")</f>
        <v>C21</v>
      </c>
      <c r="D1827" s="8">
        <f t="shared" si="7908"/>
        <v>0</v>
      </c>
      <c r="E1827" s="8">
        <f t="shared" si="7909"/>
        <v>0</v>
      </c>
      <c r="F1827" s="8">
        <f t="shared" si="7910"/>
        <v>0</v>
      </c>
      <c r="G1827" s="8">
        <f t="shared" si="7911"/>
        <v>0</v>
      </c>
      <c r="H1827" s="8">
        <f t="shared" si="7912"/>
        <v>0</v>
      </c>
      <c r="I1827" s="8">
        <f t="shared" si="7913"/>
        <v>0</v>
      </c>
      <c r="J1827" s="8">
        <f t="shared" si="7914"/>
        <v>0</v>
      </c>
      <c r="K1827" s="8">
        <f t="shared" si="7915"/>
        <v>0</v>
      </c>
      <c r="L1827" s="8">
        <f t="shared" si="7916"/>
        <v>0</v>
      </c>
      <c r="M1827" s="8">
        <f t="shared" si="7917"/>
        <v>1</v>
      </c>
      <c r="N1827" s="8">
        <f t="shared" si="7918"/>
        <v>0</v>
      </c>
      <c r="O1827" s="8">
        <f t="shared" si="7919"/>
        <v>0</v>
      </c>
      <c r="P1827" s="8" t="e">
        <v>#NUM!</v>
      </c>
      <c r="Q1827" s="8" t="e">
        <f t="shared" ref="Q1827" si="7950">IF(COUNTIF(P1818:P1828,"&lt;"&amp;-0.001)=0,IF(ABS(P1827)&lt;0.001,0,P1827)," ")</f>
        <v>#NUM!</v>
      </c>
      <c r="R1827" s="8"/>
      <c r="S1827" s="8"/>
      <c r="U1827" s="34"/>
      <c r="V1827" s="34"/>
      <c r="W1827" s="34"/>
      <c r="X1827" s="34"/>
      <c r="Y1827" s="34"/>
      <c r="Z1827" s="34"/>
      <c r="AA1827" s="34"/>
      <c r="AB1827" s="34"/>
      <c r="AC1827" s="34"/>
      <c r="AD1827" s="34"/>
      <c r="AE1827" s="34"/>
      <c r="AF1827" s="34"/>
      <c r="AG1827" s="34"/>
      <c r="AH1827" s="34"/>
      <c r="AI1827" s="34"/>
      <c r="AJ1827" s="34"/>
      <c r="AK1827" s="34"/>
      <c r="AL1827" s="34"/>
      <c r="AM1827" s="34"/>
      <c r="AN1827" s="34"/>
      <c r="AO1827" s="34"/>
      <c r="AP1827" s="34"/>
      <c r="AQ1827" s="34"/>
      <c r="AR1827" s="34"/>
      <c r="AS1827" s="34"/>
      <c r="AT1827" s="34"/>
      <c r="AU1827" s="34"/>
      <c r="AV1827" s="34"/>
      <c r="AW1827" s="34"/>
      <c r="AX1827" s="34"/>
      <c r="AY1827" s="34"/>
      <c r="AZ1827" s="34"/>
      <c r="BA1827" s="34"/>
      <c r="BB1827" s="34"/>
      <c r="BC1827" s="34"/>
      <c r="BD1827" s="34"/>
      <c r="BE1827" s="34"/>
      <c r="BF1827" s="34"/>
      <c r="BG1827" s="34"/>
      <c r="BH1827" s="34"/>
      <c r="BI1827" s="34"/>
      <c r="BJ1827" s="34"/>
      <c r="BK1827" s="34"/>
      <c r="BL1827" s="34"/>
      <c r="BM1827" s="34"/>
      <c r="BN1827" s="34"/>
      <c r="BO1827" s="34"/>
      <c r="BP1827" s="34"/>
      <c r="BQ1827" s="34"/>
      <c r="BR1827" s="34"/>
      <c r="BS1827" s="34"/>
      <c r="BT1827" s="34"/>
      <c r="BU1827" s="34"/>
      <c r="BV1827" s="34"/>
      <c r="BW1827" s="34"/>
      <c r="BX1827" s="34"/>
      <c r="BY1827" s="34"/>
      <c r="BZ1827" s="34"/>
      <c r="CA1827" s="34"/>
      <c r="CB1827" s="34"/>
      <c r="CC1827" s="34"/>
      <c r="CD1827" s="34"/>
      <c r="CE1827" s="34"/>
      <c r="CF1827" s="34"/>
      <c r="CG1827" s="34"/>
      <c r="CH1827" s="34"/>
      <c r="CI1827" s="8"/>
    </row>
    <row r="1828" spans="1:87" x14ac:dyDescent="0.2">
      <c r="A1828" s="8" t="str">
        <f>IF(AND(COUNTIF(W$3:W$13,A$25)&gt;0,A$25&lt;&gt;B1816),A$25,IFERROR(IF(MATCH(A$25,Z$3:Z$13,0)=1,A$25," ")," "))</f>
        <v xml:space="preserve"> </v>
      </c>
      <c r="B1828" s="8" t="str">
        <f>IF(A1828=" "," ",MAX(B1818:B1827)+1)</f>
        <v xml:space="preserve"> </v>
      </c>
      <c r="C1828" s="8" t="str">
        <f>IFERROR(INDEX(A1818:A1839,MATCH(SMALL(B1818:B1839,11),B1818:B1839,0),1)," ")</f>
        <v>C22</v>
      </c>
      <c r="D1828" s="8">
        <f t="shared" si="7908"/>
        <v>0</v>
      </c>
      <c r="E1828" s="8">
        <f t="shared" si="7909"/>
        <v>0</v>
      </c>
      <c r="F1828" s="8">
        <f t="shared" si="7910"/>
        <v>0</v>
      </c>
      <c r="G1828" s="8">
        <f t="shared" si="7911"/>
        <v>0</v>
      </c>
      <c r="H1828" s="8">
        <f t="shared" si="7912"/>
        <v>0</v>
      </c>
      <c r="I1828" s="8">
        <f t="shared" si="7913"/>
        <v>0</v>
      </c>
      <c r="J1828" s="8">
        <f t="shared" si="7914"/>
        <v>0</v>
      </c>
      <c r="K1828" s="8">
        <f t="shared" si="7915"/>
        <v>0</v>
      </c>
      <c r="L1828" s="8">
        <f t="shared" si="7916"/>
        <v>0</v>
      </c>
      <c r="M1828" s="8">
        <f t="shared" si="7917"/>
        <v>0</v>
      </c>
      <c r="N1828" s="8">
        <f t="shared" si="7918"/>
        <v>1</v>
      </c>
      <c r="O1828" s="8">
        <f t="shared" si="7919"/>
        <v>0</v>
      </c>
      <c r="P1828" s="8" t="e">
        <v>#NUM!</v>
      </c>
      <c r="Q1828" s="8" t="e">
        <f t="shared" ref="Q1828" si="7951">IF(COUNTIF(P1818:P1828,"&lt;"&amp;-0.001)=0,IF(ABS(P1828)&lt;0.001,0,P1828)," ")</f>
        <v>#NUM!</v>
      </c>
      <c r="R1828" s="8"/>
      <c r="S1828" s="8"/>
      <c r="U1828" s="34"/>
      <c r="V1828" s="34"/>
      <c r="W1828" s="34"/>
      <c r="X1828" s="34"/>
      <c r="Y1828" s="34"/>
      <c r="Z1828" s="34"/>
      <c r="AA1828" s="34"/>
      <c r="AB1828" s="34"/>
      <c r="AC1828" s="34"/>
      <c r="AD1828" s="34"/>
      <c r="AE1828" s="34"/>
      <c r="AF1828" s="34"/>
      <c r="AG1828" s="34"/>
      <c r="AH1828" s="34"/>
      <c r="AI1828" s="34"/>
      <c r="AJ1828" s="34"/>
      <c r="AK1828" s="34"/>
      <c r="AL1828" s="34"/>
      <c r="AM1828" s="34"/>
      <c r="AN1828" s="34"/>
      <c r="AO1828" s="34"/>
      <c r="AP1828" s="34"/>
      <c r="AQ1828" s="34"/>
      <c r="AR1828" s="34"/>
      <c r="AS1828" s="34"/>
      <c r="AT1828" s="34"/>
      <c r="AU1828" s="34"/>
      <c r="AV1828" s="34"/>
      <c r="AW1828" s="34"/>
      <c r="AX1828" s="34"/>
      <c r="AY1828" s="34"/>
      <c r="AZ1828" s="34"/>
      <c r="BA1828" s="34"/>
      <c r="BB1828" s="34"/>
      <c r="BC1828" s="34"/>
      <c r="BD1828" s="34"/>
      <c r="BE1828" s="34"/>
      <c r="BF1828" s="34"/>
      <c r="BG1828" s="34"/>
      <c r="BH1828" s="34"/>
      <c r="BI1828" s="34"/>
      <c r="BJ1828" s="34"/>
      <c r="BK1828" s="34"/>
      <c r="BL1828" s="34"/>
      <c r="BM1828" s="34"/>
      <c r="BN1828" s="34"/>
      <c r="BO1828" s="34"/>
      <c r="BP1828" s="34"/>
      <c r="BQ1828" s="34"/>
      <c r="BR1828" s="34"/>
      <c r="BS1828" s="34"/>
      <c r="BT1828" s="34"/>
      <c r="BU1828" s="34"/>
      <c r="BV1828" s="34"/>
      <c r="BW1828" s="34"/>
      <c r="BX1828" s="34"/>
      <c r="BY1828" s="34"/>
      <c r="BZ1828" s="34"/>
      <c r="CA1828" s="34"/>
      <c r="CB1828" s="34"/>
      <c r="CC1828" s="34"/>
      <c r="CD1828" s="34"/>
      <c r="CE1828" s="34"/>
      <c r="CF1828" s="34"/>
      <c r="CG1828" s="34"/>
      <c r="CH1828" s="34"/>
      <c r="CI1828" s="8"/>
    </row>
    <row r="1829" spans="1:87" x14ac:dyDescent="0.2">
      <c r="A1829" s="8" t="str">
        <f>IF(AND(COUNTIF(W$3:W$13,A$26)&gt;0,A$26&lt;&gt;B1816),A$26,IFERROR(IF(MATCH(A$26,Z$3:Z$13,0)=1,A$26," ")," "))</f>
        <v xml:space="preserve"> </v>
      </c>
      <c r="B1829" s="8" t="str">
        <f>IF(A1829=" "," ",MAX(B1818:B1828)+1)</f>
        <v xml:space="preserve"> </v>
      </c>
      <c r="C1829" s="8"/>
      <c r="D1829" s="8"/>
      <c r="E1829" s="8"/>
      <c r="F1829" s="8"/>
      <c r="G1829" s="8"/>
      <c r="H1829" s="8"/>
      <c r="I1829" s="8"/>
      <c r="J1829" s="8"/>
      <c r="K1829" s="8"/>
      <c r="L1829" s="8"/>
      <c r="M1829" s="8"/>
      <c r="N1829" s="8"/>
      <c r="O1829" s="8"/>
      <c r="P1829" s="8"/>
      <c r="Q1829" s="8"/>
      <c r="R1829" s="8"/>
      <c r="S1829" s="8"/>
      <c r="U1829" s="34"/>
      <c r="V1829" s="34"/>
      <c r="W1829" s="34"/>
      <c r="X1829" s="34"/>
      <c r="Y1829" s="34"/>
      <c r="Z1829" s="34"/>
      <c r="AA1829" s="34"/>
      <c r="AB1829" s="34"/>
      <c r="AC1829" s="34"/>
      <c r="AD1829" s="34"/>
      <c r="AE1829" s="34"/>
      <c r="AF1829" s="34"/>
      <c r="AG1829" s="34"/>
      <c r="AH1829" s="34"/>
      <c r="AI1829" s="34"/>
      <c r="AJ1829" s="34"/>
      <c r="AK1829" s="34"/>
      <c r="AL1829" s="34"/>
      <c r="AM1829" s="34"/>
      <c r="AN1829" s="34"/>
      <c r="AO1829" s="34"/>
      <c r="AP1829" s="34"/>
      <c r="AQ1829" s="34"/>
      <c r="AR1829" s="34"/>
      <c r="AS1829" s="34"/>
      <c r="AT1829" s="34"/>
      <c r="AU1829" s="34"/>
      <c r="AV1829" s="34"/>
      <c r="AW1829" s="34"/>
      <c r="AX1829" s="34"/>
      <c r="AY1829" s="34"/>
      <c r="AZ1829" s="34"/>
      <c r="BA1829" s="34"/>
      <c r="BB1829" s="34"/>
      <c r="BC1829" s="34"/>
      <c r="BD1829" s="34"/>
      <c r="BE1829" s="34"/>
      <c r="BF1829" s="34"/>
      <c r="BG1829" s="34"/>
      <c r="BH1829" s="34"/>
      <c r="BI1829" s="34"/>
      <c r="BJ1829" s="34"/>
      <c r="BK1829" s="34"/>
      <c r="BL1829" s="34"/>
      <c r="BM1829" s="34"/>
      <c r="BN1829" s="34"/>
      <c r="BO1829" s="34"/>
      <c r="BP1829" s="34"/>
      <c r="BQ1829" s="34"/>
      <c r="BR1829" s="34"/>
      <c r="BS1829" s="34"/>
      <c r="BT1829" s="34"/>
      <c r="BU1829" s="34"/>
      <c r="BV1829" s="34"/>
      <c r="BW1829" s="34"/>
      <c r="BX1829" s="34"/>
      <c r="BY1829" s="34"/>
      <c r="BZ1829" s="34"/>
      <c r="CA1829" s="34"/>
      <c r="CB1829" s="34"/>
      <c r="CC1829" s="34"/>
      <c r="CD1829" s="34"/>
      <c r="CE1829" s="34"/>
      <c r="CF1829" s="34"/>
      <c r="CG1829" s="34"/>
      <c r="CH1829" s="34"/>
      <c r="CI1829" s="8"/>
    </row>
    <row r="1830" spans="1:87" x14ac:dyDescent="0.2">
      <c r="A1830" s="8" t="str">
        <f>IF(AND(COUNTIF(W$3:W$13,A$27)&gt;0,A$27&lt;&gt;B1816),A$27,IFERROR(IF(MATCH(A$27,Z$3:Z$13,0)=1,A$27," ")," "))</f>
        <v>C13</v>
      </c>
      <c r="B1830" s="8">
        <f>IF(A1830=" "," ",MAX(B1818:B1829)+1)</f>
        <v>4</v>
      </c>
      <c r="C1830" s="8"/>
      <c r="D1830" s="8"/>
      <c r="E1830" s="8"/>
      <c r="F1830" s="8"/>
      <c r="G1830" s="8"/>
      <c r="H1830" s="8"/>
      <c r="I1830" s="8"/>
      <c r="J1830" s="8"/>
      <c r="K1830" s="8"/>
      <c r="L1830" s="8"/>
      <c r="M1830" s="8"/>
      <c r="N1830" s="8"/>
      <c r="O1830" s="8"/>
      <c r="P1830" s="6"/>
      <c r="Q1830" s="8"/>
      <c r="R1830" s="8"/>
      <c r="S1830" s="8"/>
      <c r="U1830" s="34"/>
      <c r="V1830" s="34"/>
      <c r="W1830" s="34"/>
      <c r="X1830" s="34"/>
      <c r="Y1830" s="34"/>
      <c r="Z1830" s="34"/>
      <c r="AA1830" s="34"/>
      <c r="AB1830" s="34"/>
      <c r="AC1830" s="34"/>
      <c r="AD1830" s="34"/>
      <c r="AE1830" s="34"/>
      <c r="AF1830" s="34"/>
      <c r="AG1830" s="34"/>
      <c r="AH1830" s="34"/>
      <c r="AI1830" s="34"/>
      <c r="AJ1830" s="34"/>
      <c r="AK1830" s="34"/>
      <c r="AL1830" s="34"/>
      <c r="AM1830" s="34"/>
      <c r="AN1830" s="34"/>
      <c r="AO1830" s="34"/>
      <c r="AP1830" s="34"/>
      <c r="AQ1830" s="34"/>
      <c r="AR1830" s="34"/>
      <c r="AS1830" s="34"/>
      <c r="AT1830" s="34"/>
      <c r="AU1830" s="34"/>
      <c r="AV1830" s="34"/>
      <c r="AW1830" s="34"/>
      <c r="AX1830" s="34"/>
      <c r="AY1830" s="34"/>
      <c r="AZ1830" s="34"/>
      <c r="BA1830" s="34"/>
      <c r="BB1830" s="34"/>
      <c r="BC1830" s="34"/>
      <c r="BD1830" s="34"/>
      <c r="BE1830" s="34"/>
      <c r="BF1830" s="34"/>
      <c r="BG1830" s="34"/>
      <c r="BH1830" s="34"/>
      <c r="BI1830" s="34"/>
      <c r="BJ1830" s="34"/>
      <c r="BK1830" s="34"/>
      <c r="BL1830" s="34"/>
      <c r="BM1830" s="34"/>
      <c r="BN1830" s="34"/>
      <c r="BO1830" s="34"/>
      <c r="BP1830" s="34"/>
      <c r="BQ1830" s="34"/>
      <c r="BR1830" s="34"/>
      <c r="BS1830" s="34"/>
      <c r="BT1830" s="34"/>
      <c r="BU1830" s="34"/>
      <c r="BV1830" s="34"/>
      <c r="BW1830" s="34"/>
      <c r="BX1830" s="34"/>
      <c r="BY1830" s="34"/>
      <c r="BZ1830" s="34"/>
      <c r="CA1830" s="34"/>
      <c r="CB1830" s="34"/>
      <c r="CC1830" s="34"/>
      <c r="CD1830" s="34"/>
      <c r="CE1830" s="34"/>
      <c r="CF1830" s="34"/>
      <c r="CG1830" s="34"/>
      <c r="CH1830" s="34"/>
      <c r="CI1830" s="8"/>
    </row>
    <row r="1831" spans="1:87" x14ac:dyDescent="0.2">
      <c r="A1831" s="8" t="str">
        <f>IF(AND(COUNTIF(W$3:W$13,A$28)&gt;0,A$28&lt;&gt;B1816),A$28,IFERROR(IF(MATCH(A$28,Z$3:Z$13,0)=1,A$28," ")," "))</f>
        <v xml:space="preserve"> </v>
      </c>
      <c r="B1831" s="8" t="str">
        <f>IF(A1831=" "," ",MAX(B1818:B1830)+1)</f>
        <v xml:space="preserve"> </v>
      </c>
      <c r="C1831" s="8"/>
      <c r="D1831" s="8"/>
      <c r="E1831" s="8"/>
      <c r="F1831" s="8"/>
      <c r="G1831" s="8"/>
      <c r="H1831" s="8"/>
      <c r="I1831" s="8"/>
      <c r="J1831" s="8"/>
      <c r="K1831" s="8"/>
      <c r="L1831" s="8"/>
      <c r="M1831" s="8"/>
      <c r="N1831" s="8"/>
      <c r="O1831" s="8"/>
      <c r="P1831" s="8"/>
      <c r="Q1831" s="8"/>
      <c r="R1831" s="8"/>
      <c r="S1831" s="8"/>
      <c r="U1831" s="34"/>
      <c r="V1831" s="34"/>
      <c r="W1831" s="34"/>
      <c r="X1831" s="34"/>
      <c r="Y1831" s="34"/>
      <c r="Z1831" s="34"/>
      <c r="AA1831" s="34"/>
      <c r="AB1831" s="34"/>
      <c r="AC1831" s="34"/>
      <c r="AD1831" s="34"/>
      <c r="AE1831" s="34"/>
      <c r="AF1831" s="34"/>
      <c r="AG1831" s="34"/>
      <c r="AH1831" s="34"/>
      <c r="AI1831" s="34"/>
      <c r="AJ1831" s="34"/>
      <c r="AK1831" s="34"/>
      <c r="AL1831" s="34"/>
      <c r="AM1831" s="34"/>
      <c r="AN1831" s="34"/>
      <c r="AO1831" s="34"/>
      <c r="AP1831" s="34"/>
      <c r="AQ1831" s="34"/>
      <c r="AR1831" s="34"/>
      <c r="AS1831" s="34"/>
      <c r="AT1831" s="34"/>
      <c r="AU1831" s="34"/>
      <c r="AV1831" s="34"/>
      <c r="AW1831" s="34"/>
      <c r="AX1831" s="34"/>
      <c r="AY1831" s="34"/>
      <c r="AZ1831" s="34"/>
      <c r="BA1831" s="34"/>
      <c r="BB1831" s="34"/>
      <c r="BC1831" s="34"/>
      <c r="BD1831" s="34"/>
      <c r="BE1831" s="34"/>
      <c r="BF1831" s="34"/>
      <c r="BG1831" s="34"/>
      <c r="BH1831" s="34"/>
      <c r="BI1831" s="34"/>
      <c r="BJ1831" s="34"/>
      <c r="BK1831" s="34"/>
      <c r="BL1831" s="34"/>
      <c r="BM1831" s="34"/>
      <c r="BN1831" s="34"/>
      <c r="BO1831" s="34"/>
      <c r="BP1831" s="34"/>
      <c r="BQ1831" s="34"/>
      <c r="BR1831" s="34"/>
      <c r="BS1831" s="34"/>
      <c r="BT1831" s="34"/>
      <c r="BU1831" s="34"/>
      <c r="BV1831" s="34"/>
      <c r="BW1831" s="34"/>
      <c r="BX1831" s="34"/>
      <c r="BY1831" s="34"/>
      <c r="BZ1831" s="34"/>
      <c r="CA1831" s="34"/>
      <c r="CB1831" s="34"/>
      <c r="CC1831" s="34"/>
      <c r="CD1831" s="34"/>
      <c r="CE1831" s="34"/>
      <c r="CF1831" s="34"/>
      <c r="CG1831" s="34"/>
      <c r="CH1831" s="34"/>
      <c r="CI1831" s="8"/>
    </row>
    <row r="1832" spans="1:87" x14ac:dyDescent="0.2">
      <c r="A1832" s="8" t="str">
        <f>IF(AND(COUNTIF(W$3:W$13,A$29)&gt;0,A$29&lt;&gt;B1816),A$29,IFERROR(IF(MATCH(A$29,Z$3:Z$13,0)=1,A$29," ")," "))</f>
        <v>C15</v>
      </c>
      <c r="B1832" s="8">
        <f>IF(A1832=" "," ",MAX(B1818:B1831)+1)</f>
        <v>5</v>
      </c>
      <c r="C1832" s="8"/>
      <c r="D1832" s="8"/>
      <c r="E1832" s="8"/>
      <c r="F1832" s="8"/>
      <c r="G1832" s="8"/>
      <c r="H1832" s="8"/>
      <c r="I1832" s="8"/>
      <c r="J1832" s="8"/>
      <c r="K1832" s="8"/>
      <c r="L1832" s="8"/>
      <c r="M1832" s="8"/>
      <c r="N1832" s="8"/>
      <c r="O1832" s="8"/>
      <c r="P1832" s="8"/>
      <c r="Q1832" s="8"/>
      <c r="R1832" s="8"/>
      <c r="S1832" s="8"/>
      <c r="U1832" s="34"/>
      <c r="V1832" s="34"/>
      <c r="W1832" s="34"/>
      <c r="X1832" s="34"/>
      <c r="Y1832" s="34"/>
      <c r="Z1832" s="34"/>
      <c r="AA1832" s="34"/>
      <c r="AB1832" s="34"/>
      <c r="AC1832" s="34"/>
      <c r="AD1832" s="34"/>
      <c r="AE1832" s="34"/>
      <c r="AF1832" s="34"/>
      <c r="AG1832" s="34"/>
      <c r="AH1832" s="34"/>
      <c r="AI1832" s="34"/>
      <c r="AJ1832" s="34"/>
      <c r="AK1832" s="34"/>
      <c r="AL1832" s="34"/>
      <c r="AM1832" s="34"/>
      <c r="AN1832" s="34"/>
      <c r="AO1832" s="34"/>
      <c r="AP1832" s="34"/>
      <c r="AQ1832" s="34"/>
      <c r="AR1832" s="34"/>
      <c r="AS1832" s="34"/>
      <c r="AT1832" s="34"/>
      <c r="AU1832" s="34"/>
      <c r="AV1832" s="34"/>
      <c r="AW1832" s="34"/>
      <c r="AX1832" s="34"/>
      <c r="AY1832" s="34"/>
      <c r="AZ1832" s="34"/>
      <c r="BA1832" s="34"/>
      <c r="BB1832" s="34"/>
      <c r="BC1832" s="34"/>
      <c r="BD1832" s="34"/>
      <c r="BE1832" s="34"/>
      <c r="BF1832" s="34"/>
      <c r="BG1832" s="34"/>
      <c r="BH1832" s="34"/>
      <c r="BI1832" s="34"/>
      <c r="BJ1832" s="34"/>
      <c r="BK1832" s="34"/>
      <c r="BL1832" s="34"/>
      <c r="BM1832" s="34"/>
      <c r="BN1832" s="34"/>
      <c r="BO1832" s="34"/>
      <c r="BP1832" s="34"/>
      <c r="BQ1832" s="34"/>
      <c r="BR1832" s="34"/>
      <c r="BS1832" s="34"/>
      <c r="BT1832" s="34"/>
      <c r="BU1832" s="34"/>
      <c r="BV1832" s="34"/>
      <c r="BW1832" s="34"/>
      <c r="BX1832" s="34"/>
      <c r="BY1832" s="34"/>
      <c r="BZ1832" s="34"/>
      <c r="CA1832" s="34"/>
      <c r="CB1832" s="34"/>
      <c r="CC1832" s="34"/>
      <c r="CD1832" s="34"/>
      <c r="CE1832" s="34"/>
      <c r="CF1832" s="34"/>
      <c r="CG1832" s="34"/>
      <c r="CH1832" s="34"/>
      <c r="CI1832" s="8"/>
    </row>
    <row r="1833" spans="1:87" x14ac:dyDescent="0.2">
      <c r="A1833" s="8" t="str">
        <f>IF(AND(COUNTIF(W$3:W$13,A$30)&gt;0,A$30&lt;&gt;B1816),A$30,IFERROR(IF(MATCH(A$30,Z$3:Z$13,0)=1,A$30," ")," "))</f>
        <v>C16</v>
      </c>
      <c r="B1833" s="8">
        <f>IF(A1833=" "," ",MAX(B1818:B1832)+1)</f>
        <v>6</v>
      </c>
      <c r="C1833" s="8"/>
      <c r="D1833" s="8"/>
      <c r="E1833" s="8"/>
      <c r="F1833" s="8"/>
      <c r="G1833" s="8"/>
      <c r="H1833" s="8"/>
      <c r="I1833" s="8"/>
      <c r="J1833" s="8"/>
      <c r="K1833" s="8"/>
      <c r="L1833" s="8"/>
      <c r="M1833" s="8"/>
      <c r="N1833" s="8"/>
      <c r="O1833" s="8"/>
      <c r="P1833" s="8"/>
      <c r="Q1833" s="8"/>
      <c r="R1833" s="8"/>
      <c r="S1833" s="8"/>
      <c r="U1833" s="34"/>
      <c r="V1833" s="34"/>
      <c r="W1833" s="34"/>
      <c r="X1833" s="34"/>
      <c r="Y1833" s="34"/>
      <c r="Z1833" s="34"/>
      <c r="AA1833" s="34"/>
      <c r="AB1833" s="34"/>
      <c r="AC1833" s="34"/>
      <c r="AD1833" s="34"/>
      <c r="AE1833" s="34"/>
      <c r="AF1833" s="34"/>
      <c r="AG1833" s="34"/>
      <c r="AH1833" s="34"/>
      <c r="AI1833" s="34"/>
      <c r="AJ1833" s="34"/>
      <c r="AK1833" s="34"/>
      <c r="AL1833" s="34"/>
      <c r="AM1833" s="34"/>
      <c r="AN1833" s="34"/>
      <c r="AO1833" s="34"/>
      <c r="AP1833" s="34"/>
      <c r="AQ1833" s="34"/>
      <c r="AR1833" s="34"/>
      <c r="AS1833" s="34"/>
      <c r="AT1833" s="34"/>
      <c r="AU1833" s="34"/>
      <c r="AV1833" s="34"/>
      <c r="AW1833" s="34"/>
      <c r="AX1833" s="34"/>
      <c r="AY1833" s="34"/>
      <c r="AZ1833" s="34"/>
      <c r="BA1833" s="34"/>
      <c r="BB1833" s="34"/>
      <c r="BC1833" s="34"/>
      <c r="BD1833" s="34"/>
      <c r="BE1833" s="34"/>
      <c r="BF1833" s="34"/>
      <c r="BG1833" s="34"/>
      <c r="BH1833" s="34"/>
      <c r="BI1833" s="34"/>
      <c r="BJ1833" s="34"/>
      <c r="BK1833" s="34"/>
      <c r="BL1833" s="34"/>
      <c r="BM1833" s="34"/>
      <c r="BN1833" s="34"/>
      <c r="BO1833" s="34"/>
      <c r="BP1833" s="34"/>
      <c r="BQ1833" s="34"/>
      <c r="BR1833" s="34"/>
      <c r="BS1833" s="34"/>
      <c r="BT1833" s="34"/>
      <c r="BU1833" s="34"/>
      <c r="BV1833" s="34"/>
      <c r="BW1833" s="34"/>
      <c r="BX1833" s="34"/>
      <c r="BY1833" s="34"/>
      <c r="BZ1833" s="34"/>
      <c r="CA1833" s="34"/>
      <c r="CB1833" s="34"/>
      <c r="CC1833" s="34"/>
      <c r="CD1833" s="34"/>
      <c r="CE1833" s="34"/>
      <c r="CF1833" s="34"/>
      <c r="CG1833" s="34"/>
      <c r="CH1833" s="34"/>
      <c r="CI1833" s="8"/>
    </row>
    <row r="1834" spans="1:87" x14ac:dyDescent="0.2">
      <c r="A1834" s="8" t="str">
        <f>IF(AND(COUNTIF(W$3:W$13,A$31)&gt;0,A$31&lt;&gt;B1816),A$31,IFERROR(IF(MATCH(A$31,Z$3:Z$13,0)=1,A$31," ")," "))</f>
        <v>C17</v>
      </c>
      <c r="B1834" s="8">
        <f>IF(A1834=" "," ",MAX(B1818:B1833)+1)</f>
        <v>7</v>
      </c>
      <c r="C1834" s="8"/>
      <c r="D1834" s="8"/>
      <c r="E1834" s="8"/>
      <c r="F1834" s="8"/>
      <c r="G1834" s="8"/>
      <c r="H1834" s="8"/>
      <c r="I1834" s="8"/>
      <c r="J1834" s="8"/>
      <c r="K1834" s="8"/>
      <c r="L1834" s="8"/>
      <c r="M1834" s="8"/>
      <c r="N1834" s="8"/>
      <c r="O1834" s="8"/>
      <c r="P1834" s="8"/>
      <c r="Q1834" s="8"/>
      <c r="R1834" s="8"/>
      <c r="S1834" s="8"/>
      <c r="U1834" s="34"/>
      <c r="V1834" s="34"/>
      <c r="W1834" s="34"/>
      <c r="X1834" s="34"/>
      <c r="Y1834" s="34"/>
      <c r="Z1834" s="34"/>
      <c r="AA1834" s="34"/>
      <c r="AB1834" s="34"/>
      <c r="AC1834" s="34"/>
      <c r="AD1834" s="34"/>
      <c r="AE1834" s="34"/>
      <c r="AF1834" s="34"/>
      <c r="AG1834" s="34"/>
      <c r="AH1834" s="34"/>
      <c r="AI1834" s="34"/>
      <c r="AJ1834" s="34"/>
      <c r="AK1834" s="34"/>
      <c r="AL1834" s="34"/>
      <c r="AM1834" s="34"/>
      <c r="AN1834" s="34"/>
      <c r="AO1834" s="34"/>
      <c r="AP1834" s="34"/>
      <c r="AQ1834" s="34"/>
      <c r="AR1834" s="34"/>
      <c r="AS1834" s="34"/>
      <c r="AT1834" s="34"/>
      <c r="AU1834" s="34"/>
      <c r="AV1834" s="34"/>
      <c r="AW1834" s="34"/>
      <c r="AX1834" s="34"/>
      <c r="AY1834" s="34"/>
      <c r="AZ1834" s="34"/>
      <c r="BA1834" s="34"/>
      <c r="BB1834" s="34"/>
      <c r="BC1834" s="34"/>
      <c r="BD1834" s="34"/>
      <c r="BE1834" s="34"/>
      <c r="BF1834" s="34"/>
      <c r="BG1834" s="34"/>
      <c r="BH1834" s="34"/>
      <c r="BI1834" s="34"/>
      <c r="BJ1834" s="34"/>
      <c r="BK1834" s="34"/>
      <c r="BL1834" s="34"/>
      <c r="BM1834" s="34"/>
      <c r="BN1834" s="34"/>
      <c r="BO1834" s="34"/>
      <c r="BP1834" s="34"/>
      <c r="BQ1834" s="34"/>
      <c r="BR1834" s="34"/>
      <c r="BS1834" s="34"/>
      <c r="BT1834" s="34"/>
      <c r="BU1834" s="34"/>
      <c r="BV1834" s="34"/>
      <c r="BW1834" s="34"/>
      <c r="BX1834" s="34"/>
      <c r="BY1834" s="34"/>
      <c r="BZ1834" s="34"/>
      <c r="CA1834" s="34"/>
      <c r="CB1834" s="34"/>
      <c r="CC1834" s="34"/>
      <c r="CD1834" s="34"/>
      <c r="CE1834" s="34"/>
      <c r="CF1834" s="34"/>
      <c r="CG1834" s="34"/>
      <c r="CH1834" s="34"/>
      <c r="CI1834" s="8"/>
    </row>
    <row r="1835" spans="1:87" x14ac:dyDescent="0.2">
      <c r="A1835" s="8" t="str">
        <f>IF(AND(COUNTIF(W$3:W$13,A$32)&gt;0,A$32&lt;&gt;B1816),A$32,IFERROR(IF(MATCH(A$32,Z$3:Z$13,0)=1,A$32," ")," "))</f>
        <v>C18</v>
      </c>
      <c r="B1835" s="8">
        <f>IF(A1835=" "," ",MAX(B1818:B1834)+1)</f>
        <v>8</v>
      </c>
      <c r="C1835" s="8"/>
      <c r="D1835" s="8"/>
      <c r="E1835" s="8"/>
      <c r="F1835" s="8"/>
      <c r="G1835" s="8"/>
      <c r="H1835" s="8"/>
      <c r="I1835" s="8"/>
      <c r="J1835" s="8"/>
      <c r="K1835" s="8"/>
      <c r="L1835" s="8"/>
      <c r="M1835" s="8"/>
      <c r="N1835" s="8"/>
      <c r="O1835" s="8"/>
      <c r="P1835" s="8"/>
      <c r="Q1835" s="8"/>
      <c r="R1835" s="8"/>
      <c r="S1835" s="8"/>
      <c r="U1835" s="34"/>
      <c r="V1835" s="34"/>
      <c r="W1835" s="34"/>
      <c r="X1835" s="34"/>
      <c r="Y1835" s="34"/>
      <c r="Z1835" s="34"/>
      <c r="AA1835" s="34"/>
      <c r="AB1835" s="34"/>
      <c r="AC1835" s="34"/>
      <c r="AD1835" s="34"/>
      <c r="AE1835" s="34"/>
      <c r="AF1835" s="34"/>
      <c r="AG1835" s="34"/>
      <c r="AH1835" s="34"/>
      <c r="AI1835" s="34"/>
      <c r="AJ1835" s="34"/>
      <c r="AK1835" s="34"/>
      <c r="AL1835" s="34"/>
      <c r="AM1835" s="34"/>
      <c r="AN1835" s="34"/>
      <c r="AO1835" s="34"/>
      <c r="AP1835" s="34"/>
      <c r="AQ1835" s="34"/>
      <c r="AR1835" s="34"/>
      <c r="AS1835" s="34"/>
      <c r="AT1835" s="34"/>
      <c r="AU1835" s="34"/>
      <c r="AV1835" s="34"/>
      <c r="AW1835" s="34"/>
      <c r="AX1835" s="34"/>
      <c r="AY1835" s="34"/>
      <c r="AZ1835" s="34"/>
      <c r="BA1835" s="34"/>
      <c r="BB1835" s="34"/>
      <c r="BC1835" s="34"/>
      <c r="BD1835" s="34"/>
      <c r="BE1835" s="34"/>
      <c r="BF1835" s="34"/>
      <c r="BG1835" s="34"/>
      <c r="BH1835" s="34"/>
      <c r="BI1835" s="34"/>
      <c r="BJ1835" s="34"/>
      <c r="BK1835" s="34"/>
      <c r="BL1835" s="34"/>
      <c r="BM1835" s="34"/>
      <c r="BN1835" s="34"/>
      <c r="BO1835" s="34"/>
      <c r="BP1835" s="34"/>
      <c r="BQ1835" s="34"/>
      <c r="BR1835" s="34"/>
      <c r="BS1835" s="34"/>
      <c r="BT1835" s="34"/>
      <c r="BU1835" s="34"/>
      <c r="BV1835" s="34"/>
      <c r="BW1835" s="34"/>
      <c r="BX1835" s="34"/>
      <c r="BY1835" s="34"/>
      <c r="BZ1835" s="34"/>
      <c r="CA1835" s="34"/>
      <c r="CB1835" s="34"/>
      <c r="CC1835" s="34"/>
      <c r="CD1835" s="34"/>
      <c r="CE1835" s="34"/>
      <c r="CF1835" s="34"/>
      <c r="CG1835" s="34"/>
      <c r="CH1835" s="34"/>
      <c r="CI1835" s="8"/>
    </row>
    <row r="1836" spans="1:87" x14ac:dyDescent="0.2">
      <c r="A1836" s="8" t="str">
        <f>IF(AND(COUNTIF(W$3:W$13,A$33)&gt;0,A$33&lt;&gt;B1816),A$33,IFERROR(IF(MATCH(A$33,Z$3:Z$13,0)=1,A$33," ")," "))</f>
        <v xml:space="preserve"> </v>
      </c>
      <c r="B1836" s="8" t="str">
        <f>IF(A1836=" "," ",MAX(B1818:B1835)+1)</f>
        <v xml:space="preserve"> </v>
      </c>
      <c r="C1836" s="8"/>
      <c r="D1836" s="8"/>
      <c r="E1836" s="8"/>
      <c r="F1836" s="8"/>
      <c r="G1836" s="8"/>
      <c r="H1836" s="8"/>
      <c r="I1836" s="8"/>
      <c r="J1836" s="8"/>
      <c r="K1836" s="8"/>
      <c r="L1836" s="8"/>
      <c r="M1836" s="8"/>
      <c r="N1836" s="8"/>
      <c r="O1836" s="8"/>
      <c r="P1836" s="8"/>
      <c r="Q1836" s="8"/>
      <c r="R1836" s="8"/>
      <c r="S1836" s="8"/>
      <c r="U1836" s="34"/>
      <c r="V1836" s="34"/>
      <c r="W1836" s="34"/>
      <c r="X1836" s="34"/>
      <c r="Y1836" s="34"/>
      <c r="Z1836" s="34"/>
      <c r="AA1836" s="34"/>
      <c r="AB1836" s="34"/>
      <c r="AC1836" s="34"/>
      <c r="AD1836" s="34"/>
      <c r="AE1836" s="34"/>
      <c r="AF1836" s="34"/>
      <c r="AG1836" s="34"/>
      <c r="AH1836" s="34"/>
      <c r="AI1836" s="34"/>
      <c r="AJ1836" s="34"/>
      <c r="AK1836" s="34"/>
      <c r="AL1836" s="34"/>
      <c r="AM1836" s="34"/>
      <c r="AN1836" s="34"/>
      <c r="AO1836" s="34"/>
      <c r="AP1836" s="34"/>
      <c r="AQ1836" s="34"/>
      <c r="AR1836" s="34"/>
      <c r="AS1836" s="34"/>
      <c r="AT1836" s="34"/>
      <c r="AU1836" s="34"/>
      <c r="AV1836" s="34"/>
      <c r="AW1836" s="34"/>
      <c r="AX1836" s="34"/>
      <c r="AY1836" s="34"/>
      <c r="AZ1836" s="34"/>
      <c r="BA1836" s="34"/>
      <c r="BB1836" s="34"/>
      <c r="BC1836" s="34"/>
      <c r="BD1836" s="34"/>
      <c r="BE1836" s="34"/>
      <c r="BF1836" s="34"/>
      <c r="BG1836" s="34"/>
      <c r="BH1836" s="34"/>
      <c r="BI1836" s="34"/>
      <c r="BJ1836" s="34"/>
      <c r="BK1836" s="34"/>
      <c r="BL1836" s="34"/>
      <c r="BM1836" s="34"/>
      <c r="BN1836" s="34"/>
      <c r="BO1836" s="34"/>
      <c r="BP1836" s="34"/>
      <c r="BQ1836" s="34"/>
      <c r="BR1836" s="34"/>
      <c r="BS1836" s="34"/>
      <c r="BT1836" s="34"/>
      <c r="BU1836" s="34"/>
      <c r="BV1836" s="34"/>
      <c r="BW1836" s="34"/>
      <c r="BX1836" s="34"/>
      <c r="BY1836" s="34"/>
      <c r="BZ1836" s="34"/>
      <c r="CA1836" s="34"/>
      <c r="CB1836" s="34"/>
      <c r="CC1836" s="34"/>
      <c r="CD1836" s="34"/>
      <c r="CE1836" s="34"/>
      <c r="CF1836" s="34"/>
      <c r="CG1836" s="34"/>
      <c r="CH1836" s="34"/>
      <c r="CI1836" s="8"/>
    </row>
    <row r="1837" spans="1:87" x14ac:dyDescent="0.2">
      <c r="A1837" s="8" t="str">
        <f>IF(AND(COUNTIF(W$3:W$13,A$34)&gt;0,A$34&lt;&gt;B1816),A$34,IFERROR(IF(MATCH(A$34,Z$3:Z$13,0)=1,A$34," ")," "))</f>
        <v>C20</v>
      </c>
      <c r="B1837" s="8">
        <f>IF(A1837=" "," ",MAX(B1818:B1836)+1)</f>
        <v>9</v>
      </c>
      <c r="C1837" s="8"/>
      <c r="D1837" s="8"/>
      <c r="E1837" s="8"/>
      <c r="F1837" s="8"/>
      <c r="G1837" s="8"/>
      <c r="H1837" s="8"/>
      <c r="I1837" s="8"/>
      <c r="J1837" s="8"/>
      <c r="K1837" s="8"/>
      <c r="L1837" s="8"/>
      <c r="M1837" s="8"/>
      <c r="N1837" s="8"/>
      <c r="O1837" s="8"/>
      <c r="P1837" s="8"/>
      <c r="Q1837" s="8"/>
      <c r="R1837" s="8"/>
      <c r="S1837" s="8"/>
      <c r="U1837" s="34"/>
      <c r="V1837" s="34"/>
      <c r="W1837" s="34"/>
      <c r="X1837" s="34"/>
      <c r="Y1837" s="34"/>
      <c r="Z1837" s="34"/>
      <c r="AA1837" s="34"/>
      <c r="AB1837" s="34"/>
      <c r="AC1837" s="34"/>
      <c r="AD1837" s="34"/>
      <c r="AE1837" s="34"/>
      <c r="AF1837" s="34"/>
      <c r="AG1837" s="34"/>
      <c r="AH1837" s="34"/>
      <c r="AI1837" s="34"/>
      <c r="AJ1837" s="34"/>
      <c r="AK1837" s="34"/>
      <c r="AL1837" s="34"/>
      <c r="AM1837" s="34"/>
      <c r="AN1837" s="34"/>
      <c r="AO1837" s="34"/>
      <c r="AP1837" s="34"/>
      <c r="AQ1837" s="34"/>
      <c r="AR1837" s="34"/>
      <c r="AS1837" s="34"/>
      <c r="AT1837" s="34"/>
      <c r="AU1837" s="34"/>
      <c r="AV1837" s="34"/>
      <c r="AW1837" s="34"/>
      <c r="AX1837" s="34"/>
      <c r="AY1837" s="34"/>
      <c r="AZ1837" s="34"/>
      <c r="BA1837" s="34"/>
      <c r="BB1837" s="34"/>
      <c r="BC1837" s="34"/>
      <c r="BD1837" s="34"/>
      <c r="BE1837" s="34"/>
      <c r="BF1837" s="34"/>
      <c r="BG1837" s="34"/>
      <c r="BH1837" s="34"/>
      <c r="BI1837" s="34"/>
      <c r="BJ1837" s="34"/>
      <c r="BK1837" s="34"/>
      <c r="BL1837" s="34"/>
      <c r="BM1837" s="34"/>
      <c r="BN1837" s="34"/>
      <c r="BO1837" s="34"/>
      <c r="BP1837" s="34"/>
      <c r="BQ1837" s="34"/>
      <c r="BR1837" s="34"/>
      <c r="BS1837" s="34"/>
      <c r="BT1837" s="34"/>
      <c r="BU1837" s="34"/>
      <c r="BV1837" s="34"/>
      <c r="BW1837" s="34"/>
      <c r="BX1837" s="34"/>
      <c r="BY1837" s="34"/>
      <c r="BZ1837" s="34"/>
      <c r="CA1837" s="34"/>
      <c r="CB1837" s="34"/>
      <c r="CC1837" s="34"/>
      <c r="CD1837" s="34"/>
      <c r="CE1837" s="34"/>
      <c r="CF1837" s="34"/>
      <c r="CG1837" s="34"/>
      <c r="CH1837" s="34"/>
      <c r="CI1837" s="8"/>
    </row>
    <row r="1838" spans="1:87" x14ac:dyDescent="0.2">
      <c r="A1838" s="8" t="str">
        <f>IF(AND(COUNTIF(W$3:W$13,A$35)&gt;0,A$35&lt;&gt;B1816),A$35,IFERROR(IF(MATCH(A$35,Z$3:Z$13,0)=1,A$35," ")," "))</f>
        <v>C21</v>
      </c>
      <c r="B1838" s="8">
        <f>IF(A1838=" "," ",MAX(B1818:B1837)+1)</f>
        <v>10</v>
      </c>
      <c r="C1838" s="8"/>
      <c r="D1838" s="8"/>
      <c r="E1838" s="8"/>
      <c r="F1838" s="8"/>
      <c r="G1838" s="8"/>
      <c r="H1838" s="8"/>
      <c r="I1838" s="8"/>
      <c r="J1838" s="8"/>
      <c r="K1838" s="8"/>
      <c r="L1838" s="8"/>
      <c r="M1838" s="8"/>
      <c r="N1838" s="8"/>
      <c r="O1838" s="8"/>
      <c r="P1838" s="8"/>
      <c r="Q1838" s="8"/>
      <c r="R1838" s="8"/>
      <c r="S1838" s="8"/>
      <c r="U1838" s="34"/>
      <c r="V1838" s="34"/>
      <c r="W1838" s="34"/>
      <c r="X1838" s="34"/>
      <c r="Y1838" s="34"/>
      <c r="Z1838" s="34"/>
      <c r="AA1838" s="34"/>
      <c r="AB1838" s="34"/>
      <c r="AC1838" s="34"/>
      <c r="AD1838" s="34"/>
      <c r="AE1838" s="34"/>
      <c r="AF1838" s="34"/>
      <c r="AG1838" s="34"/>
      <c r="AH1838" s="34"/>
      <c r="AI1838" s="34"/>
      <c r="AJ1838" s="34"/>
      <c r="AK1838" s="34"/>
      <c r="AL1838" s="34"/>
      <c r="AM1838" s="34"/>
      <c r="AN1838" s="34"/>
      <c r="AO1838" s="34"/>
      <c r="AP1838" s="34"/>
      <c r="AQ1838" s="34"/>
      <c r="AR1838" s="34"/>
      <c r="AS1838" s="34"/>
      <c r="AT1838" s="34"/>
      <c r="AU1838" s="34"/>
      <c r="AV1838" s="34"/>
      <c r="AW1838" s="34"/>
      <c r="AX1838" s="34"/>
      <c r="AY1838" s="34"/>
      <c r="AZ1838" s="34"/>
      <c r="BA1838" s="34"/>
      <c r="BB1838" s="34"/>
      <c r="BC1838" s="34"/>
      <c r="BD1838" s="34"/>
      <c r="BE1838" s="34"/>
      <c r="BF1838" s="34"/>
      <c r="BG1838" s="34"/>
      <c r="BH1838" s="34"/>
      <c r="BI1838" s="34"/>
      <c r="BJ1838" s="34"/>
      <c r="BK1838" s="34"/>
      <c r="BL1838" s="34"/>
      <c r="BM1838" s="34"/>
      <c r="BN1838" s="34"/>
      <c r="BO1838" s="34"/>
      <c r="BP1838" s="34"/>
      <c r="BQ1838" s="34"/>
      <c r="BR1838" s="34"/>
      <c r="BS1838" s="34"/>
      <c r="BT1838" s="34"/>
      <c r="BU1838" s="34"/>
      <c r="BV1838" s="34"/>
      <c r="BW1838" s="34"/>
      <c r="BX1838" s="34"/>
      <c r="BY1838" s="34"/>
      <c r="BZ1838" s="34"/>
      <c r="CA1838" s="34"/>
      <c r="CB1838" s="34"/>
      <c r="CC1838" s="34"/>
      <c r="CD1838" s="34"/>
      <c r="CE1838" s="34"/>
      <c r="CF1838" s="34"/>
      <c r="CG1838" s="34"/>
      <c r="CH1838" s="34"/>
      <c r="CI1838" s="8"/>
    </row>
    <row r="1839" spans="1:87" x14ac:dyDescent="0.2">
      <c r="A1839" s="8" t="str">
        <f>IF(AND(COUNTIF(W$3:W$13,A$36)&gt;0,A$36&lt;&gt;B1816),A$36,IFERROR(IF(MATCH(A$36,Z$3:Z$13,0)=1,A$36," ")," "))</f>
        <v>C22</v>
      </c>
      <c r="B1839" s="8">
        <f>IF(A1839=" "," ",MAX(B1818:B1838)+1)</f>
        <v>11</v>
      </c>
      <c r="C1839" s="8"/>
      <c r="D1839" s="8"/>
      <c r="E1839" s="8"/>
      <c r="F1839" s="8"/>
      <c r="G1839" s="8"/>
      <c r="H1839" s="8"/>
      <c r="I1839" s="8"/>
      <c r="J1839" s="8"/>
      <c r="K1839" s="8"/>
      <c r="L1839" s="8"/>
      <c r="M1839" s="8"/>
      <c r="N1839" s="8"/>
      <c r="O1839" s="8"/>
      <c r="P1839" s="8"/>
      <c r="Q1839" s="8"/>
      <c r="R1839" s="8"/>
      <c r="S1839" s="8"/>
      <c r="U1839" s="34"/>
      <c r="V1839" s="34"/>
      <c r="W1839" s="34"/>
      <c r="X1839" s="34"/>
      <c r="Y1839" s="34"/>
      <c r="Z1839" s="34"/>
      <c r="AA1839" s="34"/>
      <c r="AB1839" s="34"/>
      <c r="AC1839" s="34"/>
      <c r="AD1839" s="34"/>
      <c r="AE1839" s="34"/>
      <c r="AF1839" s="34"/>
      <c r="AG1839" s="34"/>
      <c r="AH1839" s="34"/>
      <c r="AI1839" s="34"/>
      <c r="AJ1839" s="34"/>
      <c r="AK1839" s="34"/>
      <c r="AL1839" s="34"/>
      <c r="AM1839" s="34"/>
      <c r="AN1839" s="34"/>
      <c r="AO1839" s="34"/>
      <c r="AP1839" s="34"/>
      <c r="AQ1839" s="34"/>
      <c r="AR1839" s="34"/>
      <c r="AS1839" s="34"/>
      <c r="AT1839" s="34"/>
      <c r="AU1839" s="34"/>
      <c r="AV1839" s="34"/>
      <c r="AW1839" s="34"/>
      <c r="AX1839" s="34"/>
      <c r="AY1839" s="34"/>
      <c r="AZ1839" s="34"/>
      <c r="BA1839" s="34"/>
      <c r="BB1839" s="34"/>
      <c r="BC1839" s="34"/>
      <c r="BD1839" s="34"/>
      <c r="BE1839" s="34"/>
      <c r="BF1839" s="34"/>
      <c r="BG1839" s="34"/>
      <c r="BH1839" s="34"/>
      <c r="BI1839" s="34"/>
      <c r="BJ1839" s="34"/>
      <c r="BK1839" s="34"/>
      <c r="BL1839" s="34"/>
      <c r="BM1839" s="34"/>
      <c r="BN1839" s="34"/>
      <c r="BO1839" s="34"/>
      <c r="BP1839" s="34"/>
      <c r="BQ1839" s="34"/>
      <c r="BR1839" s="34"/>
      <c r="BS1839" s="34"/>
      <c r="BT1839" s="34"/>
      <c r="BU1839" s="34"/>
      <c r="BV1839" s="34"/>
      <c r="BW1839" s="34"/>
      <c r="BX1839" s="34"/>
      <c r="BY1839" s="34"/>
      <c r="BZ1839" s="34"/>
      <c r="CA1839" s="34"/>
      <c r="CB1839" s="34"/>
      <c r="CC1839" s="34"/>
      <c r="CD1839" s="34"/>
      <c r="CE1839" s="34"/>
      <c r="CF1839" s="34"/>
      <c r="CG1839" s="34"/>
      <c r="CH1839" s="34"/>
      <c r="CI1839" s="8"/>
    </row>
    <row r="1840" spans="1:87" x14ac:dyDescent="0.2">
      <c r="A1840" s="11" t="s">
        <v>17</v>
      </c>
      <c r="B1840" s="11"/>
      <c r="C1840" s="27" t="s">
        <v>18</v>
      </c>
      <c r="D1840" s="27" t="s">
        <v>2</v>
      </c>
      <c r="E1840" s="27" t="s">
        <v>6</v>
      </c>
      <c r="F1840" s="27" t="s">
        <v>15</v>
      </c>
      <c r="G1840" s="27" t="s">
        <v>36</v>
      </c>
      <c r="H1840" s="27" t="s">
        <v>37</v>
      </c>
      <c r="I1840" s="27" t="s">
        <v>38</v>
      </c>
      <c r="J1840" s="27" t="s">
        <v>39</v>
      </c>
      <c r="K1840" s="27" t="s">
        <v>40</v>
      </c>
      <c r="L1840" s="27" t="s">
        <v>41</v>
      </c>
      <c r="M1840" s="27" t="s">
        <v>42</v>
      </c>
      <c r="N1840" s="27" t="s">
        <v>43</v>
      </c>
      <c r="O1840" s="27" t="s">
        <v>9</v>
      </c>
      <c r="P1840" s="27" t="s">
        <v>12</v>
      </c>
      <c r="Q1840" s="27" t="s">
        <v>19</v>
      </c>
      <c r="R1840" s="27" t="s">
        <v>55</v>
      </c>
      <c r="S1840" s="27" t="s">
        <v>26</v>
      </c>
      <c r="T1840" s="19" t="s">
        <v>25</v>
      </c>
      <c r="U1840" s="33" t="s">
        <v>27</v>
      </c>
      <c r="V1840" s="33" t="s">
        <v>9</v>
      </c>
      <c r="W1840" s="33" t="s">
        <v>23</v>
      </c>
      <c r="X1840" s="33" t="s">
        <v>12</v>
      </c>
      <c r="Y1840" s="33" t="s">
        <v>26</v>
      </c>
      <c r="Z1840" s="33" t="s">
        <v>25</v>
      </c>
      <c r="AA1840" s="33" t="s">
        <v>27</v>
      </c>
      <c r="AB1840" s="33" t="s">
        <v>9</v>
      </c>
      <c r="AC1840" s="33" t="s">
        <v>23</v>
      </c>
      <c r="AD1840" s="33" t="s">
        <v>12</v>
      </c>
      <c r="AE1840" s="33" t="s">
        <v>26</v>
      </c>
      <c r="AF1840" s="33" t="s">
        <v>25</v>
      </c>
      <c r="AG1840" s="33" t="s">
        <v>27</v>
      </c>
      <c r="AH1840" s="33" t="s">
        <v>9</v>
      </c>
      <c r="AI1840" s="33" t="s">
        <v>23</v>
      </c>
      <c r="AJ1840" s="33" t="s">
        <v>12</v>
      </c>
      <c r="AK1840" s="33" t="s">
        <v>26</v>
      </c>
      <c r="AL1840" s="33" t="s">
        <v>25</v>
      </c>
      <c r="AM1840" s="33" t="s">
        <v>27</v>
      </c>
      <c r="AN1840" s="33" t="s">
        <v>9</v>
      </c>
      <c r="AO1840" s="33" t="s">
        <v>23</v>
      </c>
      <c r="AP1840" s="33" t="s">
        <v>12</v>
      </c>
      <c r="AQ1840" s="33" t="s">
        <v>26</v>
      </c>
      <c r="AR1840" s="33" t="s">
        <v>25</v>
      </c>
      <c r="AS1840" s="33" t="s">
        <v>27</v>
      </c>
      <c r="AT1840" s="33" t="s">
        <v>9</v>
      </c>
      <c r="AU1840" s="33" t="s">
        <v>23</v>
      </c>
      <c r="AV1840" s="33" t="s">
        <v>12</v>
      </c>
      <c r="AW1840" s="33" t="s">
        <v>26</v>
      </c>
      <c r="AX1840" s="33" t="s">
        <v>25</v>
      </c>
      <c r="AY1840" s="33" t="s">
        <v>27</v>
      </c>
      <c r="AZ1840" s="33" t="s">
        <v>9</v>
      </c>
      <c r="BA1840" s="33" t="s">
        <v>23</v>
      </c>
      <c r="BB1840" s="33" t="s">
        <v>12</v>
      </c>
      <c r="BC1840" s="33" t="s">
        <v>26</v>
      </c>
      <c r="BD1840" s="33" t="s">
        <v>25</v>
      </c>
      <c r="BE1840" s="33" t="s">
        <v>27</v>
      </c>
      <c r="BF1840" s="33" t="s">
        <v>9</v>
      </c>
      <c r="BG1840" s="33" t="s">
        <v>23</v>
      </c>
      <c r="BH1840" s="33" t="s">
        <v>12</v>
      </c>
      <c r="BI1840" s="33" t="s">
        <v>26</v>
      </c>
      <c r="BJ1840" s="33" t="s">
        <v>25</v>
      </c>
      <c r="BK1840" s="33" t="s">
        <v>27</v>
      </c>
      <c r="BL1840" s="33" t="s">
        <v>9</v>
      </c>
      <c r="BM1840" s="33" t="s">
        <v>23</v>
      </c>
      <c r="BN1840" s="33" t="s">
        <v>12</v>
      </c>
      <c r="BO1840" s="33" t="s">
        <v>26</v>
      </c>
      <c r="BP1840" s="33" t="s">
        <v>25</v>
      </c>
      <c r="BQ1840" s="33" t="s">
        <v>27</v>
      </c>
      <c r="BR1840" s="33" t="s">
        <v>9</v>
      </c>
      <c r="BS1840" s="33" t="s">
        <v>23</v>
      </c>
      <c r="BT1840" s="33" t="s">
        <v>12</v>
      </c>
      <c r="BU1840" s="33" t="s">
        <v>26</v>
      </c>
      <c r="BV1840" s="33" t="s">
        <v>25</v>
      </c>
      <c r="BW1840" s="33" t="s">
        <v>27</v>
      </c>
      <c r="BX1840" s="33" t="s">
        <v>9</v>
      </c>
      <c r="BY1840" s="33" t="s">
        <v>23</v>
      </c>
      <c r="BZ1840" s="33" t="s">
        <v>12</v>
      </c>
      <c r="CA1840" s="33" t="s">
        <v>26</v>
      </c>
      <c r="CB1840" s="33" t="s">
        <v>25</v>
      </c>
      <c r="CC1840" s="33" t="s">
        <v>27</v>
      </c>
      <c r="CD1840" s="33" t="s">
        <v>9</v>
      </c>
      <c r="CE1840" s="33" t="s">
        <v>23</v>
      </c>
      <c r="CF1840" s="33" t="s">
        <v>12</v>
      </c>
      <c r="CG1840" s="33" t="s">
        <v>26</v>
      </c>
      <c r="CH1840" s="33" t="s">
        <v>25</v>
      </c>
      <c r="CI1840" s="8"/>
    </row>
    <row r="1841" spans="1:87" x14ac:dyDescent="0.2">
      <c r="A1841" s="8" t="str">
        <f>IF(AND(COUNTIF(W$3:W$13,A$15)&gt;0,A$15&lt;&gt;B1816),A$15,IFERROR(IF(MATCH(A$15,Z$3:Z$13,0)=2,A$15," ")," "))</f>
        <v xml:space="preserve"> </v>
      </c>
      <c r="B1841" s="8" t="str">
        <f>IF(A1841=" "," ",1)</f>
        <v xml:space="preserve"> </v>
      </c>
      <c r="C1841" s="8" t="str">
        <f>IFERROR(INDEX(A1841:A1862,MATCH(SMALL(B1841:B1862,1),B1841:B1862,0),1)," ")</f>
        <v>C2</v>
      </c>
      <c r="D1841" s="8">
        <f>IFERROR(VLOOKUP($C1841,$A$15:$O$36,2,FALSE)," ")</f>
        <v>1</v>
      </c>
      <c r="E1841" s="8">
        <f>IFERROR(VLOOKUP($C1841,$A$15:$O$36,3,FALSE)," ")</f>
        <v>3</v>
      </c>
      <c r="F1841" s="8">
        <f>IFERROR(VLOOKUP($C1841,$A$15:$O$36,4,FALSE)," ")</f>
        <v>2</v>
      </c>
      <c r="G1841" s="8">
        <f>IFERROR(VLOOKUP($C1841,$A$15:$O$36,5,FALSE)," ")</f>
        <v>0</v>
      </c>
      <c r="H1841" s="8">
        <f>IFERROR(VLOOKUP($C1841,$A$15:$O$36,6,FALSE)," ")</f>
        <v>0</v>
      </c>
      <c r="I1841" s="8">
        <f>IFERROR(VLOOKUP($C1841,$A$15:$O$36,7,FALSE)," ")</f>
        <v>0</v>
      </c>
      <c r="J1841" s="8">
        <f>IFERROR(VLOOKUP($C1841,$A$15:$O$36,8,FALSE)," ")</f>
        <v>0</v>
      </c>
      <c r="K1841" s="8">
        <f>IFERROR(VLOOKUP($C1841,$A$15:$O$36,9,FALSE)," ")</f>
        <v>0</v>
      </c>
      <c r="L1841" s="8">
        <f>IFERROR(VLOOKUP($C1841,$A$15:$O$36,10,FALSE)," ")</f>
        <v>0</v>
      </c>
      <c r="M1841" s="8">
        <f>IFERROR(VLOOKUP($C1841,$A$15:$O$36,11,FALSE)," ")</f>
        <v>0</v>
      </c>
      <c r="N1841" s="8">
        <f>IFERROR(VLOOKUP($C1841,$A$15:$O$36,12,FALSE)," ")</f>
        <v>0</v>
      </c>
      <c r="O1841" s="8">
        <f>IFERROR(VLOOKUP($C1841,$A$15:$O$36,15,FALSE)," ")</f>
        <v>1000</v>
      </c>
      <c r="P1841" s="8" t="e">
        <f t="array" ref="P1841:P1851">MMULT(MINVERSE(D1841:N1851),O1841:O1851)</f>
        <v>#NUM!</v>
      </c>
      <c r="Q1841" s="8" t="e">
        <f t="shared" ref="Q1841" si="7952">IF(COUNTIF(P1841:P1851,"&lt;"&amp;-0.001)=0,IF(ABS(P1841)&lt;0.001,0,P1841)," ")</f>
        <v>#NUM!</v>
      </c>
      <c r="R1841" s="8" t="str">
        <f>IFERROR(VLOOKUP(B1816,A$15:L$36,2,FALSE)*Q1841+VLOOKUP(B1816,A$15:L$36,3,FALSE)*Q1842+VLOOKUP(B1816,A$15:L$36,4,FALSE)*Q1843+VLOOKUP(B1816,A$15:L$36,5,FALSE)*Q1844+VLOOKUP(B1816,A$15:L$36,6,FALSE)*Q1845+VLOOKUP(B1816,A$15:L$36,7,FALSE)*Q1846+VLOOKUP(B1816,A$15:L$36,8,FALSE)*Q1847+VLOOKUP(B1816,A$15:L$36,9,FALSE)*Q1848+VLOOKUP(B1816,A$15:L$36,10,FALSE)*Q1849+VLOOKUP(B1816,A$15:L$36,11,FALSE)*Q1850+VLOOKUP(B1816,A$15:L$36,12,FALSE)*Q1851," ")</f>
        <v xml:space="preserve"> </v>
      </c>
      <c r="S1841" s="8" t="str">
        <f>IFERROR(IF(R1841-VLOOKUP(B1816,A$15:O$36,15,FALSE)&lt;0,R1841-VLOOKUP(B1816,A$15:O$36,15,FALSE)," ")," ")</f>
        <v xml:space="preserve"> </v>
      </c>
      <c r="T1841" s="18" t="str">
        <f>IFERROR(IF(R1841-VLOOKUP(B1816,A$15:O$36,15,FALSE)&gt;0,R1841-VLOOKUP(B1816,A$15:O$36,15,FALSE)," ")," ")</f>
        <v xml:space="preserve"> </v>
      </c>
      <c r="U1841" s="34">
        <f t="shared" ref="U1841" si="7953">$M$2</f>
        <v>100.00000000000001</v>
      </c>
      <c r="V1841" s="34">
        <v>-1</v>
      </c>
      <c r="W1841" s="34">
        <f t="shared" ref="W1841" si="7954">-SUMPRODUCT($M$3:$M$12,$N$3:$N$12)</f>
        <v>-105000</v>
      </c>
      <c r="X1841" s="34" t="e">
        <f t="shared" ref="X1841" si="7955">IF(U1841&lt;&gt;U1842,MMULT(MINVERSE(U1841:V1842),W1841:W1842)," ")</f>
        <v>#NUM!</v>
      </c>
      <c r="Y1841" s="34" t="str">
        <f t="shared" ref="Y1841" si="7956">IFERROR(IF(X1841-VLOOKUP(U$38,$A$2:$N$12,14,FALSE)&lt;0,X1841-VLOOKUP(U$38,$A$2:$N$12,14,FALSE)," ")," ")</f>
        <v xml:space="preserve"> </v>
      </c>
      <c r="Z1841" s="34" t="str">
        <f t="shared" ref="Z1841" si="7957">IFERROR(IF(X1841-VLOOKUP(U$38,$A$2:$N$12,14,FALSE)&gt;0,X1841-VLOOKUP(U$38,$A$2:$N$12,14,FALSE)," ")," ")</f>
        <v xml:space="preserve"> </v>
      </c>
      <c r="AA1841" s="34">
        <f t="shared" ref="AA1841" si="7958">$M$3</f>
        <v>0</v>
      </c>
      <c r="AB1841" s="34">
        <v>-1</v>
      </c>
      <c r="AC1841" s="34">
        <f t="shared" ref="AC1841" si="7959">-SUMPRODUCT($M$2:$M$2,$N$2:$N$2)-SUMPRODUCT($M$4:$M$12,$N$4:$N$12)</f>
        <v>-120000</v>
      </c>
      <c r="AD1841" s="34" t="e">
        <f t="shared" ref="AD1841" si="7960">IF(AA1841&lt;&gt;AA1842,MMULT(MINVERSE(AA1841:AB1842),AC1841:AC1842)," ")</f>
        <v>#NUM!</v>
      </c>
      <c r="AE1841" s="34" t="str">
        <f t="shared" ref="AE1841" si="7961">IFERROR(IF(AD1841-VLOOKUP(AA$38,$A$2:$N$12,14,FALSE)&lt;0,AD1841-VLOOKUP(AA$38,$A$2:$N$12,14,FALSE)," ")," ")</f>
        <v xml:space="preserve"> </v>
      </c>
      <c r="AF1841" s="34" t="str">
        <f t="shared" ref="AF1841" si="7962">IFERROR(IF(AD1841-VLOOKUP(AA$38,$A$2:$N$12,14,FALSE)&gt;0,AD1841-VLOOKUP(AA$38,$A$2:$N$12,14,FALSE)," ")," ")</f>
        <v xml:space="preserve"> </v>
      </c>
      <c r="AG1841" s="34">
        <f t="shared" ref="AG1841" si="7963">$M$4</f>
        <v>300</v>
      </c>
      <c r="AH1841" s="34">
        <v>-1</v>
      </c>
      <c r="AI1841" s="34">
        <f t="shared" ref="AI1841" si="7964">-SUMPRODUCT($M$2:$M$3,$N$2:$N$3)-SUMPRODUCT($M$5:$M$12,$N$5:$N$12)</f>
        <v>-15000.000000000002</v>
      </c>
      <c r="AJ1841" s="34" t="e">
        <f t="shared" ref="AJ1841" si="7965">IF(AG1841&lt;&gt;AG1842,MMULT(MINVERSE(AG1841:AH1842),AI1841:AI1842)," ")</f>
        <v>#NUM!</v>
      </c>
      <c r="AK1841" s="34" t="str">
        <f t="shared" ref="AK1841" si="7966">IFERROR(IF(AJ1841-VLOOKUP(AG$38,$A$2:$N$12,14,FALSE)&lt;0,AJ1841-VLOOKUP(AG$38,$A$2:$N$12,14,FALSE)," ")," ")</f>
        <v xml:space="preserve"> </v>
      </c>
      <c r="AL1841" s="34" t="str">
        <f t="shared" ref="AL1841" si="7967">IFERROR(IF(AJ1841-VLOOKUP(AG$38,$A$2:$N$12,14,FALSE)&gt;0,AJ1841-VLOOKUP(AG$38,$A$2:$N$12,14,FALSE)," ")," ")</f>
        <v xml:space="preserve"> </v>
      </c>
      <c r="AM1841" s="34">
        <f t="shared" ref="AM1841" si="7968">$M$5</f>
        <v>0</v>
      </c>
      <c r="AN1841" s="34">
        <v>-1</v>
      </c>
      <c r="AO1841" s="34">
        <f t="shared" ref="AO1841" si="7969">-SUMPRODUCT($M$2:$M$4,$N$2:$N$4)-SUMPRODUCT($M$6:$M$12,$N$6:$N$12)</f>
        <v>-120000</v>
      </c>
      <c r="AP1841" s="34" t="e">
        <f t="shared" ref="AP1841" si="7970">IF(AM1841&lt;&gt;AM1842,MMULT(MINVERSE(AM1841:AN1842),AO1841:AO1842)," ")</f>
        <v>#NUM!</v>
      </c>
      <c r="AQ1841" s="34" t="str">
        <f t="shared" ref="AQ1841" si="7971">IFERROR(IF(AP1841-VLOOKUP(AM$38,$A$2:$N$12,14,FALSE)&lt;0,AP1841-VLOOKUP(AM$38,$A$2:$N$12,14,FALSE)," ")," ")</f>
        <v xml:space="preserve"> </v>
      </c>
      <c r="AR1841" s="34" t="str">
        <f t="shared" ref="AR1841" si="7972">IFERROR(IF(AP1841-VLOOKUP(AM$38,$A$2:$N$12,14,FALSE)&gt;0,AP1841-VLOOKUP(AM$38,$A$2:$N$12,14,FALSE)," ")," ")</f>
        <v xml:space="preserve"> </v>
      </c>
      <c r="AS1841" s="34">
        <f t="shared" ref="AS1841" si="7973">$M$6</f>
        <v>0</v>
      </c>
      <c r="AT1841" s="34">
        <v>-1</v>
      </c>
      <c r="AU1841" s="34">
        <f t="shared" ref="AU1841" si="7974">-SUMPRODUCT($M$2:$M$5,$N$2:$N$5)-SUMPRODUCT($M$7:$M$12,$N$7:$N$12)</f>
        <v>-120000</v>
      </c>
      <c r="AV1841" s="34" t="e">
        <f t="shared" ref="AV1841" si="7975">IF(AS1841&lt;&gt;AS1842,MMULT(MINVERSE(AS1841:AT1842),AU1841:AU1842)," ")</f>
        <v>#NUM!</v>
      </c>
      <c r="AW1841" s="34" t="str">
        <f t="shared" ref="AW1841" si="7976">IFERROR(IF(AV1841-VLOOKUP(AS$38,$A$2:$N$12,14,FALSE)&lt;0,AV1841-VLOOKUP(AS$38,$A$2:$N$12,14,FALSE)," ")," ")</f>
        <v xml:space="preserve"> </v>
      </c>
      <c r="AX1841" s="34" t="str">
        <f t="shared" ref="AX1841" si="7977">IFERROR(IF(AV1841-VLOOKUP(AS$38,$A$2:$N$12,14,FALSE)&gt;0,AV1841-VLOOKUP(AS$38,$A$2:$N$12,14,FALSE)," ")," ")</f>
        <v xml:space="preserve"> </v>
      </c>
      <c r="AY1841" s="34">
        <f t="shared" ref="AY1841" si="7978">$M$7</f>
        <v>0</v>
      </c>
      <c r="AZ1841" s="34">
        <v>-1</v>
      </c>
      <c r="BA1841" s="34">
        <f t="shared" ref="BA1841" si="7979">-SUMPRODUCT($M$2:$M$6,$N$2:$N$6)-SUMPRODUCT($M$8:$M$12,$N$8:$N$12)</f>
        <v>-120000</v>
      </c>
      <c r="BB1841" s="34" t="e">
        <f t="shared" ref="BB1841" si="7980">IF(AY1841&lt;&gt;AY1842,MMULT(MINVERSE(AY1841:AZ1842),BA1841:BA1842)," ")</f>
        <v>#NUM!</v>
      </c>
      <c r="BC1841" s="34" t="str">
        <f t="shared" ref="BC1841" si="7981">IFERROR(IF(BB1841-VLOOKUP(AY$38,$A$2:$N$12,14,FALSE)&lt;0,BB1841-VLOOKUP(AY$38,$A$2:$N$12,14,FALSE)," ")," ")</f>
        <v xml:space="preserve"> </v>
      </c>
      <c r="BD1841" s="34" t="str">
        <f t="shared" ref="BD1841" si="7982">IFERROR(IF(BB1841-VLOOKUP(AY$38,$A$2:$N$12,14,FALSE)&gt;0,BB1841-VLOOKUP(AY$38,$A$2:$N$12,14,FALSE)," ")," ")</f>
        <v xml:space="preserve"> </v>
      </c>
      <c r="BE1841" s="34">
        <f t="shared" ref="BE1841" si="7983">$M$8</f>
        <v>0</v>
      </c>
      <c r="BF1841" s="34">
        <v>-1</v>
      </c>
      <c r="BG1841" s="34">
        <f t="shared" ref="BG1841" si="7984">-SUMPRODUCT($M$2:$M$7,$N$2:$N$7)-SUMPRODUCT($M$9:$M$12,$N$9:$N$12)</f>
        <v>-120000</v>
      </c>
      <c r="BH1841" s="34" t="e">
        <f t="shared" ref="BH1841" si="7985">IF(BE1841&lt;&gt;BE1842,MMULT(MINVERSE(BE1841:BF1842),BG1841:BG1842)," ")</f>
        <v>#NUM!</v>
      </c>
      <c r="BI1841" s="34" t="str">
        <f t="shared" ref="BI1841" si="7986">IFERROR(IF(BH1841-VLOOKUP(BE$38,$A$2:$N$12,14,FALSE)&lt;0,BH1841-VLOOKUP(BE$38,$A$2:$N$12,14,FALSE)," ")," ")</f>
        <v xml:space="preserve"> </v>
      </c>
      <c r="BJ1841" s="34" t="str">
        <f t="shared" ref="BJ1841" si="7987">IFERROR(IF(BH1841-VLOOKUP(BE$38,$A$2:$N$12,14,FALSE)&gt;0,BH1841-VLOOKUP(BE$38,$A$2:$N$12,14,FALSE)," ")," ")</f>
        <v xml:space="preserve"> </v>
      </c>
      <c r="BK1841" s="34">
        <f t="shared" ref="BK1841" si="7988">$M$9</f>
        <v>0</v>
      </c>
      <c r="BL1841" s="34">
        <v>-1</v>
      </c>
      <c r="BM1841" s="34">
        <f t="shared" ref="BM1841" si="7989">-SUMPRODUCT($M$2:$M$8,$N$2:$N$8)-SUMPRODUCT($M$10:$M$12,$N$10:$N$12)</f>
        <v>-120000</v>
      </c>
      <c r="BN1841" s="34" t="e">
        <f t="shared" ref="BN1841" si="7990">IF(BK1841&lt;&gt;BK1842,MMULT(MINVERSE(BK1841:BL1842),BM1841:BM1842)," ")</f>
        <v>#NUM!</v>
      </c>
      <c r="BO1841" s="34" t="str">
        <f t="shared" ref="BO1841" si="7991">IFERROR(IF(BN1841-VLOOKUP(BK$38,$A$2:$N$12,14,FALSE)&lt;0,BN1841-VLOOKUP(BK$38,$A$2:$N$12,14,FALSE)," ")," ")</f>
        <v xml:space="preserve"> </v>
      </c>
      <c r="BP1841" s="34" t="str">
        <f t="shared" ref="BP1841" si="7992">IFERROR(IF(BN1841-VLOOKUP(BK$38,$A$2:$N$12,14,FALSE)&gt;0,BN1841-VLOOKUP(BK$38,$A$2:$N$12,14,FALSE)," ")," ")</f>
        <v xml:space="preserve"> </v>
      </c>
      <c r="BQ1841" s="34">
        <f t="shared" ref="BQ1841" si="7993">$M$10</f>
        <v>0</v>
      </c>
      <c r="BR1841" s="34">
        <v>-1</v>
      </c>
      <c r="BS1841" s="34">
        <f t="shared" ref="BS1841" si="7994">-SUMPRODUCT($M$2:$M$9,$N$2:$N$9)-SUMPRODUCT($M$11:$M$12,$N$11:$N$12)</f>
        <v>-120000</v>
      </c>
      <c r="BT1841" s="34" t="e">
        <f t="shared" ref="BT1841" si="7995">IF(BQ1841&lt;&gt;BQ1842,MMULT(MINVERSE(BQ1841:BR1842),BS1841:BS1842)," ")</f>
        <v>#NUM!</v>
      </c>
      <c r="BU1841" s="34" t="str">
        <f t="shared" ref="BU1841" si="7996">IFERROR(IF(BT1841-VLOOKUP(BQ$38,$A$2:$N$12,14,FALSE)&lt;0,BT1841-VLOOKUP(BQ$38,$A$2:$N$12,14,FALSE)," ")," ")</f>
        <v xml:space="preserve"> </v>
      </c>
      <c r="BV1841" s="34" t="str">
        <f t="shared" ref="BV1841" si="7997">IFERROR(IF(BT1841-VLOOKUP(BQ$38,$A$2:$N$12,14,FALSE)&gt;0,BT1841-VLOOKUP(BQ$38,$A$2:$N$12,14,FALSE)," ")," ")</f>
        <v xml:space="preserve"> </v>
      </c>
      <c r="BW1841" s="34">
        <f t="shared" ref="BW1841" si="7998">$M$11</f>
        <v>0</v>
      </c>
      <c r="BX1841" s="34">
        <v>-1</v>
      </c>
      <c r="BY1841" s="34">
        <f t="shared" ref="BY1841" si="7999">-SUMPRODUCT($M$2:$M$10,$N$2:$N$10)-SUMPRODUCT($M$12,$N$12)</f>
        <v>-120000</v>
      </c>
      <c r="BZ1841" s="34" t="e">
        <f t="shared" ref="BZ1841" si="8000">IF(BW1841&lt;&gt;BW1842,MMULT(MINVERSE(BW1841:BX1842),BY1841:BY1842)," ")</f>
        <v>#NUM!</v>
      </c>
      <c r="CA1841" s="34" t="str">
        <f t="shared" ref="CA1841" si="8001">IFERROR(IF(BZ1841-VLOOKUP(BW$38,$A$2:$N$12,14,FALSE)&lt;0,BZ1841-VLOOKUP(BW$38,$A$2:$N$12,14,FALSE)," ")," ")</f>
        <v xml:space="preserve"> </v>
      </c>
      <c r="CB1841" s="34" t="str">
        <f t="shared" ref="CB1841" si="8002">IFERROR(IF(BZ1841-VLOOKUP(BW$38,$A$2:$N$12,14,FALSE)&gt;0,BZ1841-VLOOKUP(BW$38,$A$2:$N$12,14,FALSE)," ")," ")</f>
        <v xml:space="preserve"> </v>
      </c>
      <c r="CC1841" s="34">
        <f t="shared" ref="CC1841" si="8003">$M$12</f>
        <v>0</v>
      </c>
      <c r="CD1841" s="34">
        <v>-1</v>
      </c>
      <c r="CE1841" s="34">
        <f t="shared" ref="CE1841" si="8004">-SUMPRODUCT($M$2:$M$11,$N$2:$N$11)</f>
        <v>-120000</v>
      </c>
      <c r="CF1841" s="34" t="e">
        <f t="shared" ref="CF1841" si="8005">IF(CC1841&lt;&gt;CC1842,MMULT(MINVERSE(CC1841:CD1842),CE1841:CE1842)," ")</f>
        <v>#NUM!</v>
      </c>
      <c r="CG1841" s="34" t="str">
        <f t="shared" ref="CG1841" si="8006">IFERROR(IF(CF1841-VLOOKUP(CC$38,$A$2:$N$12,14,FALSE)&lt;0,CF1841-VLOOKUP(CC$38,$A$2:$N$12,14,FALSE)," ")," ")</f>
        <v xml:space="preserve"> </v>
      </c>
      <c r="CH1841" s="34" t="str">
        <f t="shared" ref="CH1841" si="8007">IFERROR(IF(CF1841-VLOOKUP(CC$38,$A$2:$N$12,14,FALSE)&gt;0,CF1841-VLOOKUP(CC$38,$A$2:$N$12,14,FALSE)," ")," ")</f>
        <v xml:space="preserve"> </v>
      </c>
      <c r="CI1841" s="8"/>
    </row>
    <row r="1842" spans="1:87" x14ac:dyDescent="0.2">
      <c r="A1842" s="8" t="str">
        <f>IF(AND(COUNTIF(W$3:W$13,A$16)&gt;0,A$16&lt;&gt;B1816),A$16,IFERROR(IF(MATCH(A$16,Z$3:Z$13,0)=2,A$16," ")," "))</f>
        <v>C2</v>
      </c>
      <c r="B1842" s="8">
        <f>IF(A1842=" "," ",MAX(B1841:B1841)+1)</f>
        <v>1</v>
      </c>
      <c r="C1842" s="8" t="str">
        <f>IFERROR(INDEX(A1841:A1862,MATCH(SMALL(B1841:B1862,2),B1841:B1862,0),1)," ")</f>
        <v>C3</v>
      </c>
      <c r="D1842" s="8">
        <f t="shared" ref="D1842:D1851" si="8008">IFERROR(VLOOKUP($C1842,$A$15:$O$36,2,FALSE)," ")</f>
        <v>2</v>
      </c>
      <c r="E1842" s="8">
        <f t="shared" ref="E1842:E1851" si="8009">IFERROR(VLOOKUP($C1842,$A$15:$O$36,3,FALSE)," ")</f>
        <v>5</v>
      </c>
      <c r="F1842" s="8">
        <f t="shared" ref="F1842:F1851" si="8010">IFERROR(VLOOKUP($C1842,$A$15:$O$36,4,FALSE)," ")</f>
        <v>6</v>
      </c>
      <c r="G1842" s="8">
        <f t="shared" ref="G1842:G1851" si="8011">IFERROR(VLOOKUP($C1842,$A$15:$O$36,5,FALSE)," ")</f>
        <v>0</v>
      </c>
      <c r="H1842" s="8">
        <f t="shared" ref="H1842:H1851" si="8012">IFERROR(VLOOKUP($C1842,$A$15:$O$36,6,FALSE)," ")</f>
        <v>0</v>
      </c>
      <c r="I1842" s="8">
        <f t="shared" ref="I1842:I1851" si="8013">IFERROR(VLOOKUP($C1842,$A$15:$O$36,7,FALSE)," ")</f>
        <v>0</v>
      </c>
      <c r="J1842" s="8">
        <f t="shared" ref="J1842:J1851" si="8014">IFERROR(VLOOKUP($C1842,$A$15:$O$36,8,FALSE)," ")</f>
        <v>0</v>
      </c>
      <c r="K1842" s="8">
        <f t="shared" ref="K1842:K1851" si="8015">IFERROR(VLOOKUP($C1842,$A$15:$O$36,9,FALSE)," ")</f>
        <v>0</v>
      </c>
      <c r="L1842" s="8">
        <f t="shared" ref="L1842:L1851" si="8016">IFERROR(VLOOKUP($C1842,$A$15:$O$36,10,FALSE)," ")</f>
        <v>0</v>
      </c>
      <c r="M1842" s="8">
        <f t="shared" ref="M1842:M1851" si="8017">IFERROR(VLOOKUP($C1842,$A$15:$O$36,11,FALSE)," ")</f>
        <v>0</v>
      </c>
      <c r="N1842" s="8">
        <f t="shared" ref="N1842:N1851" si="8018">IFERROR(VLOOKUP($C1842,$A$15:$O$36,12,FALSE)," ")</f>
        <v>0</v>
      </c>
      <c r="O1842" s="8">
        <f t="shared" ref="O1842:O1851" si="8019">IFERROR(VLOOKUP($C1842,$A$15:$O$36,15,FALSE)," ")</f>
        <v>2000</v>
      </c>
      <c r="P1842" s="8" t="e">
        <v>#NUM!</v>
      </c>
      <c r="Q1842" s="8" t="e">
        <f t="shared" ref="Q1842" si="8020">IF(COUNTIF(P1841:P1851,"&lt;"&amp;-0.001)=0,IF(ABS(P1842)&lt;0.001,0,P1842)," ")</f>
        <v>#NUM!</v>
      </c>
      <c r="R1842" s="8"/>
      <c r="S1842" s="8"/>
      <c r="U1842" s="34" t="e">
        <f t="shared" ref="U1842" si="8021">$Q1841</f>
        <v>#NUM!</v>
      </c>
      <c r="V1842" s="34">
        <v>-1</v>
      </c>
      <c r="W1842" s="34" t="e">
        <f t="shared" ref="W1842" si="8022">-SUMPRODUCT($Q1842:$Q1851,$N$3:$N$12)</f>
        <v>#NUM!</v>
      </c>
      <c r="X1842" s="34"/>
      <c r="Y1842" s="34"/>
      <c r="Z1842" s="34"/>
      <c r="AA1842" s="34" t="e">
        <f t="shared" ref="AA1842" si="8023">$Q1842</f>
        <v>#NUM!</v>
      </c>
      <c r="AB1842" s="34">
        <v>-1</v>
      </c>
      <c r="AC1842" s="34" t="e">
        <f t="shared" ref="AC1842" si="8024">-SUMPRODUCT($Q1841:$Q1841,$N$2:$N$2)-SUMPRODUCT($Q1843:$Q1851,$N$4:$N$12)</f>
        <v>#NUM!</v>
      </c>
      <c r="AD1842" s="34"/>
      <c r="AE1842" s="34"/>
      <c r="AF1842" s="34"/>
      <c r="AG1842" s="34" t="e">
        <f t="shared" ref="AG1842" si="8025">$Q1843</f>
        <v>#NUM!</v>
      </c>
      <c r="AH1842" s="34">
        <v>-1</v>
      </c>
      <c r="AI1842" s="34" t="e">
        <f t="shared" ref="AI1842" si="8026">-SUMPRODUCT($Q1841:$Q1842,$N$2:$N$3)-SUMPRODUCT($Q1844:$Q1851,$N$5:$N$12)</f>
        <v>#NUM!</v>
      </c>
      <c r="AJ1842" s="34"/>
      <c r="AK1842" s="34"/>
      <c r="AL1842" s="34"/>
      <c r="AM1842" s="34" t="e">
        <f t="shared" ref="AM1842" si="8027">$Q1844</f>
        <v>#NUM!</v>
      </c>
      <c r="AN1842" s="34">
        <v>-1</v>
      </c>
      <c r="AO1842" s="34" t="e">
        <f t="shared" ref="AO1842" si="8028">-SUMPRODUCT($Q1841:$Q1843,$N$2:$N$4)-SUMPRODUCT($Q1845:$Q1851,$N$6:$N$12)</f>
        <v>#NUM!</v>
      </c>
      <c r="AP1842" s="34"/>
      <c r="AQ1842" s="34"/>
      <c r="AR1842" s="34"/>
      <c r="AS1842" s="34" t="e">
        <f t="shared" ref="AS1842" si="8029">$Q1845</f>
        <v>#NUM!</v>
      </c>
      <c r="AT1842" s="34">
        <v>-1</v>
      </c>
      <c r="AU1842" s="34" t="e">
        <f t="shared" ref="AU1842" si="8030">-SUMPRODUCT($Q1841:$Q1844,$N$2:$N$5)-SUMPRODUCT($Q1846:$Q1851,$N$7:$N$12)</f>
        <v>#NUM!</v>
      </c>
      <c r="AV1842" s="34"/>
      <c r="AW1842" s="34"/>
      <c r="AX1842" s="34"/>
      <c r="AY1842" s="34" t="e">
        <f t="shared" ref="AY1842" si="8031">$Q1846</f>
        <v>#NUM!</v>
      </c>
      <c r="AZ1842" s="34">
        <v>-1</v>
      </c>
      <c r="BA1842" s="34" t="e">
        <f t="shared" ref="BA1842" si="8032">-SUMPRODUCT($Q1841:$Q1845,$N$2:$N$6)-SUMPRODUCT($Q1847:$Q1851,$N$8:$N$12)</f>
        <v>#NUM!</v>
      </c>
      <c r="BB1842" s="34"/>
      <c r="BC1842" s="34"/>
      <c r="BD1842" s="34"/>
      <c r="BE1842" s="34" t="e">
        <f t="shared" ref="BE1842" si="8033">$Q1847</f>
        <v>#NUM!</v>
      </c>
      <c r="BF1842" s="34">
        <v>-1</v>
      </c>
      <c r="BG1842" s="34" t="e">
        <f t="shared" ref="BG1842" si="8034">-SUMPRODUCT($Q1841:$Q1846,$N$2:$N$7)-SUMPRODUCT($Q1848:$Q1851,$N$9:$N$12)</f>
        <v>#NUM!</v>
      </c>
      <c r="BH1842" s="34"/>
      <c r="BI1842" s="34"/>
      <c r="BJ1842" s="34"/>
      <c r="BK1842" s="34" t="e">
        <f t="shared" ref="BK1842" si="8035">$Q1848</f>
        <v>#NUM!</v>
      </c>
      <c r="BL1842" s="34">
        <v>-1</v>
      </c>
      <c r="BM1842" s="34" t="e">
        <f t="shared" ref="BM1842" si="8036">-SUMPRODUCT($Q1841:$Q1847,$N$2:$N$8)-SUMPRODUCT($Q1849:$Q1851,$N$10:$N$12)</f>
        <v>#NUM!</v>
      </c>
      <c r="BN1842" s="34"/>
      <c r="BO1842" s="34"/>
      <c r="BP1842" s="34"/>
      <c r="BQ1842" s="34" t="e">
        <f t="shared" ref="BQ1842" si="8037">$Q1849</f>
        <v>#NUM!</v>
      </c>
      <c r="BR1842" s="34">
        <v>-1</v>
      </c>
      <c r="BS1842" s="34" t="e">
        <f t="shared" ref="BS1842" si="8038">-SUMPRODUCT($Q1841:$Q1848,$N$2:$N$9)-SUMPRODUCT($Q1850:$Q1851,$N$11:$N$12)</f>
        <v>#NUM!</v>
      </c>
      <c r="BT1842" s="34"/>
      <c r="BU1842" s="34"/>
      <c r="BV1842" s="34"/>
      <c r="BW1842" s="34" t="e">
        <f t="shared" ref="BW1842" si="8039">$Q1850</f>
        <v>#NUM!</v>
      </c>
      <c r="BX1842" s="34">
        <v>-1</v>
      </c>
      <c r="BY1842" s="34" t="e">
        <f t="shared" ref="BY1842" si="8040">-SUMPRODUCT($Q1841:$Q1849,$N$2:$N$10)-SUMPRODUCT($Q1851,$N$12)</f>
        <v>#NUM!</v>
      </c>
      <c r="BZ1842" s="34"/>
      <c r="CA1842" s="34"/>
      <c r="CB1842" s="34"/>
      <c r="CC1842" s="34" t="e">
        <f t="shared" ref="CC1842" si="8041">$Q1851</f>
        <v>#NUM!</v>
      </c>
      <c r="CD1842" s="34">
        <v>-1</v>
      </c>
      <c r="CE1842" s="34" t="e">
        <f t="shared" ref="CE1842" si="8042">-SUMPRODUCT($Q1841:$Q1850,$N$2:$N$11)</f>
        <v>#NUM!</v>
      </c>
      <c r="CF1842" s="34"/>
      <c r="CG1842" s="34"/>
      <c r="CH1842" s="34"/>
      <c r="CI1842" s="8"/>
    </row>
    <row r="1843" spans="1:87" x14ac:dyDescent="0.2">
      <c r="A1843" s="8" t="str">
        <f>IF(AND(COUNTIF(W$3:W$13,A$17)&gt;0,A$17&lt;&gt;B1816),A$17,IFERROR(IF(MATCH(A$17,Z$3:Z$13,0)=2,A$17," ")," "))</f>
        <v>C3</v>
      </c>
      <c r="B1843" s="8">
        <f>IF(A1843=" "," ",MAX(B1841:B1842)+1)</f>
        <v>2</v>
      </c>
      <c r="C1843" s="8" t="str">
        <f>IFERROR(INDEX(A1841:A1862,MATCH(SMALL(B1841:B1862,3),B1841:B1862,0),1)," ")</f>
        <v>C4</v>
      </c>
      <c r="D1843" s="8">
        <f t="shared" si="8008"/>
        <v>1</v>
      </c>
      <c r="E1843" s="8">
        <f t="shared" si="8009"/>
        <v>0</v>
      </c>
      <c r="F1843" s="8">
        <f t="shared" si="8010"/>
        <v>1</v>
      </c>
      <c r="G1843" s="8">
        <f t="shared" si="8011"/>
        <v>0</v>
      </c>
      <c r="H1843" s="8">
        <f t="shared" si="8012"/>
        <v>0</v>
      </c>
      <c r="I1843" s="8">
        <f t="shared" si="8013"/>
        <v>0</v>
      </c>
      <c r="J1843" s="8">
        <f t="shared" si="8014"/>
        <v>0</v>
      </c>
      <c r="K1843" s="8">
        <f t="shared" si="8015"/>
        <v>0</v>
      </c>
      <c r="L1843" s="8">
        <f t="shared" si="8016"/>
        <v>0</v>
      </c>
      <c r="M1843" s="8">
        <f t="shared" si="8017"/>
        <v>0</v>
      </c>
      <c r="N1843" s="8">
        <f t="shared" si="8018"/>
        <v>0</v>
      </c>
      <c r="O1843" s="8">
        <f t="shared" si="8019"/>
        <v>400</v>
      </c>
      <c r="P1843" s="8" t="e">
        <v>#NUM!</v>
      </c>
      <c r="Q1843" s="8" t="e">
        <f t="shared" ref="Q1843" si="8043">IF(COUNTIF(P1841:P1851,"&lt;"&amp;-0.001)=0,IF(ABS(P1843)&lt;0.001,0,P1843)," ")</f>
        <v>#NUM!</v>
      </c>
      <c r="R1843" s="8"/>
      <c r="S1843" s="8"/>
      <c r="U1843" s="34"/>
      <c r="V1843" s="34"/>
      <c r="W1843" s="34"/>
      <c r="X1843" s="34"/>
      <c r="Y1843" s="34"/>
      <c r="Z1843" s="34"/>
      <c r="AA1843" s="34"/>
      <c r="AB1843" s="34"/>
      <c r="AC1843" s="34"/>
      <c r="AD1843" s="34"/>
      <c r="AE1843" s="34"/>
      <c r="AF1843" s="34"/>
      <c r="AG1843" s="34"/>
      <c r="AH1843" s="34"/>
      <c r="AI1843" s="34"/>
      <c r="AJ1843" s="34"/>
      <c r="AK1843" s="34"/>
      <c r="AL1843" s="34"/>
      <c r="AM1843" s="34"/>
      <c r="AN1843" s="34"/>
      <c r="AO1843" s="34"/>
      <c r="AP1843" s="34"/>
      <c r="AQ1843" s="34"/>
      <c r="AR1843" s="34"/>
      <c r="AS1843" s="34"/>
      <c r="AT1843" s="34"/>
      <c r="AU1843" s="34"/>
      <c r="AV1843" s="34"/>
      <c r="AW1843" s="34"/>
      <c r="AX1843" s="34"/>
      <c r="AY1843" s="34"/>
      <c r="AZ1843" s="34"/>
      <c r="BA1843" s="34"/>
      <c r="BB1843" s="34"/>
      <c r="BC1843" s="34"/>
      <c r="BD1843" s="34"/>
      <c r="BE1843" s="34"/>
      <c r="BF1843" s="34"/>
      <c r="BG1843" s="34"/>
      <c r="BH1843" s="34"/>
      <c r="BI1843" s="34"/>
      <c r="BJ1843" s="34"/>
      <c r="BK1843" s="34"/>
      <c r="BL1843" s="34"/>
      <c r="BM1843" s="34"/>
      <c r="BN1843" s="34"/>
      <c r="BO1843" s="34"/>
      <c r="BP1843" s="34"/>
      <c r="BQ1843" s="34"/>
      <c r="BR1843" s="34"/>
      <c r="BS1843" s="34"/>
      <c r="BT1843" s="34"/>
      <c r="BU1843" s="34"/>
      <c r="BV1843" s="34"/>
      <c r="BW1843" s="34"/>
      <c r="BX1843" s="34"/>
      <c r="BY1843" s="34"/>
      <c r="BZ1843" s="34"/>
      <c r="CA1843" s="34"/>
      <c r="CB1843" s="34"/>
      <c r="CC1843" s="34"/>
      <c r="CD1843" s="34"/>
      <c r="CE1843" s="34"/>
      <c r="CF1843" s="34"/>
      <c r="CG1843" s="34"/>
      <c r="CH1843" s="34"/>
      <c r="CI1843" s="8"/>
    </row>
    <row r="1844" spans="1:87" x14ac:dyDescent="0.2">
      <c r="A1844" s="8" t="str">
        <f>IF(AND(COUNTIF(W$3:W$13,A$18)&gt;0,A$18&lt;&gt;B1816),A$18,IFERROR(IF(MATCH(A$18,Z$3:Z$13,0)=2,A$18," ")," "))</f>
        <v>C4</v>
      </c>
      <c r="B1844" s="8">
        <f>IF(A1844=" "," ",MAX(B1841:B1843)+1)</f>
        <v>3</v>
      </c>
      <c r="C1844" s="8" t="str">
        <f>IFERROR(INDEX(A1841:A1862,MATCH(SMALL(B1841:B1862,4),B1841:B1862,0),1)," ")</f>
        <v>C13</v>
      </c>
      <c r="D1844" s="8">
        <f t="shared" si="8008"/>
        <v>0</v>
      </c>
      <c r="E1844" s="8">
        <f t="shared" si="8009"/>
        <v>1</v>
      </c>
      <c r="F1844" s="8">
        <f t="shared" si="8010"/>
        <v>0</v>
      </c>
      <c r="G1844" s="8">
        <f t="shared" si="8011"/>
        <v>0</v>
      </c>
      <c r="H1844" s="8">
        <f t="shared" si="8012"/>
        <v>0</v>
      </c>
      <c r="I1844" s="8">
        <f t="shared" si="8013"/>
        <v>0</v>
      </c>
      <c r="J1844" s="8">
        <f t="shared" si="8014"/>
        <v>0</v>
      </c>
      <c r="K1844" s="8">
        <f t="shared" si="8015"/>
        <v>0</v>
      </c>
      <c r="L1844" s="8">
        <f t="shared" si="8016"/>
        <v>0</v>
      </c>
      <c r="M1844" s="8">
        <f t="shared" si="8017"/>
        <v>0</v>
      </c>
      <c r="N1844" s="8">
        <f t="shared" si="8018"/>
        <v>0</v>
      </c>
      <c r="O1844" s="8">
        <f t="shared" si="8019"/>
        <v>0</v>
      </c>
      <c r="P1844" s="8" t="e">
        <v>#NUM!</v>
      </c>
      <c r="Q1844" s="8" t="e">
        <f t="shared" ref="Q1844" si="8044">IF(COUNTIF(P1841:P1851,"&lt;"&amp;-0.001)=0,IF(ABS(P1844)&lt;0.001,0,P1844)," ")</f>
        <v>#NUM!</v>
      </c>
      <c r="R1844" s="8"/>
      <c r="S1844" s="8"/>
      <c r="U1844" s="34"/>
      <c r="V1844" s="34"/>
      <c r="W1844" s="34"/>
      <c r="X1844" s="34"/>
      <c r="Y1844" s="34"/>
      <c r="Z1844" s="34"/>
      <c r="AA1844" s="34"/>
      <c r="AB1844" s="34"/>
      <c r="AC1844" s="34"/>
      <c r="AD1844" s="34"/>
      <c r="AE1844" s="34"/>
      <c r="AF1844" s="34"/>
      <c r="AG1844" s="34"/>
      <c r="AH1844" s="34"/>
      <c r="AI1844" s="34"/>
      <c r="AJ1844" s="34"/>
      <c r="AK1844" s="34"/>
      <c r="AL1844" s="34"/>
      <c r="AM1844" s="34"/>
      <c r="AN1844" s="34"/>
      <c r="AO1844" s="34"/>
      <c r="AP1844" s="34"/>
      <c r="AQ1844" s="34"/>
      <c r="AR1844" s="34"/>
      <c r="AS1844" s="34"/>
      <c r="AT1844" s="34"/>
      <c r="AU1844" s="34"/>
      <c r="AV1844" s="34"/>
      <c r="AW1844" s="34"/>
      <c r="AX1844" s="34"/>
      <c r="AY1844" s="34"/>
      <c r="AZ1844" s="34"/>
      <c r="BA1844" s="34"/>
      <c r="BB1844" s="34"/>
      <c r="BC1844" s="34"/>
      <c r="BD1844" s="34"/>
      <c r="BE1844" s="34"/>
      <c r="BF1844" s="34"/>
      <c r="BG1844" s="34"/>
      <c r="BH1844" s="34"/>
      <c r="BI1844" s="34"/>
      <c r="BJ1844" s="34"/>
      <c r="BK1844" s="34"/>
      <c r="BL1844" s="34"/>
      <c r="BM1844" s="34"/>
      <c r="BN1844" s="34"/>
      <c r="BO1844" s="34"/>
      <c r="BP1844" s="34"/>
      <c r="BQ1844" s="34"/>
      <c r="BR1844" s="34"/>
      <c r="BS1844" s="34"/>
      <c r="BT1844" s="34"/>
      <c r="BU1844" s="34"/>
      <c r="BV1844" s="34"/>
      <c r="BW1844" s="34"/>
      <c r="BX1844" s="34"/>
      <c r="BY1844" s="34"/>
      <c r="BZ1844" s="34"/>
      <c r="CA1844" s="34"/>
      <c r="CB1844" s="34"/>
      <c r="CC1844" s="34"/>
      <c r="CD1844" s="34"/>
      <c r="CE1844" s="34"/>
      <c r="CF1844" s="34"/>
      <c r="CG1844" s="34"/>
      <c r="CH1844" s="34"/>
      <c r="CI1844" s="8"/>
    </row>
    <row r="1845" spans="1:87" x14ac:dyDescent="0.2">
      <c r="A1845" s="8" t="str">
        <f>IF(AND(COUNTIF(W$3:W$13,A$19)&gt;0,A$19&lt;&gt;B1816),A$19,IFERROR(IF(MATCH(A$19,Z$3:Z$13,0)=2,A$19," ")," "))</f>
        <v xml:space="preserve"> </v>
      </c>
      <c r="B1845" s="8" t="str">
        <f>IF(A1845=" "," ",MAX(B1841:B1844)+1)</f>
        <v xml:space="preserve"> </v>
      </c>
      <c r="C1845" s="8" t="str">
        <f>IFERROR(INDEX(A1841:A1862,MATCH(SMALL(B1841:B1862,5),B1841:B1862,0),1)," ")</f>
        <v>C15</v>
      </c>
      <c r="D1845" s="8">
        <f t="shared" si="8008"/>
        <v>0</v>
      </c>
      <c r="E1845" s="8">
        <f t="shared" si="8009"/>
        <v>0</v>
      </c>
      <c r="F1845" s="8">
        <f t="shared" si="8010"/>
        <v>0</v>
      </c>
      <c r="G1845" s="8">
        <f t="shared" si="8011"/>
        <v>1</v>
      </c>
      <c r="H1845" s="8">
        <f t="shared" si="8012"/>
        <v>0</v>
      </c>
      <c r="I1845" s="8">
        <f t="shared" si="8013"/>
        <v>0</v>
      </c>
      <c r="J1845" s="8">
        <f t="shared" si="8014"/>
        <v>0</v>
      </c>
      <c r="K1845" s="8">
        <f t="shared" si="8015"/>
        <v>0</v>
      </c>
      <c r="L1845" s="8">
        <f t="shared" si="8016"/>
        <v>0</v>
      </c>
      <c r="M1845" s="8">
        <f t="shared" si="8017"/>
        <v>0</v>
      </c>
      <c r="N1845" s="8">
        <f t="shared" si="8018"/>
        <v>0</v>
      </c>
      <c r="O1845" s="8">
        <f t="shared" si="8019"/>
        <v>0</v>
      </c>
      <c r="P1845" s="8" t="e">
        <v>#NUM!</v>
      </c>
      <c r="Q1845" s="8" t="e">
        <f t="shared" ref="Q1845" si="8045">IF(COUNTIF(P1841:P1851,"&lt;"&amp;-0.001)=0,IF(ABS(P1845)&lt;0.001,0,P1845)," ")</f>
        <v>#NUM!</v>
      </c>
      <c r="R1845" s="8"/>
      <c r="S1845" s="8"/>
      <c r="U1845" s="34"/>
      <c r="V1845" s="34"/>
      <c r="W1845" s="34"/>
      <c r="X1845" s="34"/>
      <c r="Y1845" s="34"/>
      <c r="Z1845" s="34"/>
      <c r="AA1845" s="34"/>
      <c r="AB1845" s="34"/>
      <c r="AC1845" s="34"/>
      <c r="AD1845" s="34"/>
      <c r="AE1845" s="34"/>
      <c r="AF1845" s="34"/>
      <c r="AG1845" s="34"/>
      <c r="AH1845" s="34"/>
      <c r="AI1845" s="34"/>
      <c r="AJ1845" s="34"/>
      <c r="AK1845" s="34"/>
      <c r="AL1845" s="34"/>
      <c r="AM1845" s="34"/>
      <c r="AN1845" s="34"/>
      <c r="AO1845" s="34"/>
      <c r="AP1845" s="34"/>
      <c r="AQ1845" s="34"/>
      <c r="AR1845" s="34"/>
      <c r="AS1845" s="34"/>
      <c r="AT1845" s="34"/>
      <c r="AU1845" s="34"/>
      <c r="AV1845" s="34"/>
      <c r="AW1845" s="34"/>
      <c r="AX1845" s="34"/>
      <c r="AY1845" s="34"/>
      <c r="AZ1845" s="34"/>
      <c r="BA1845" s="34"/>
      <c r="BB1845" s="34"/>
      <c r="BC1845" s="34"/>
      <c r="BD1845" s="34"/>
      <c r="BE1845" s="34"/>
      <c r="BF1845" s="34"/>
      <c r="BG1845" s="34"/>
      <c r="BH1845" s="34"/>
      <c r="BI1845" s="34"/>
      <c r="BJ1845" s="34"/>
      <c r="BK1845" s="34"/>
      <c r="BL1845" s="34"/>
      <c r="BM1845" s="34"/>
      <c r="BN1845" s="34"/>
      <c r="BO1845" s="34"/>
      <c r="BP1845" s="34"/>
      <c r="BQ1845" s="34"/>
      <c r="BR1845" s="34"/>
      <c r="BS1845" s="34"/>
      <c r="BT1845" s="34"/>
      <c r="BU1845" s="34"/>
      <c r="BV1845" s="34"/>
      <c r="BW1845" s="34"/>
      <c r="BX1845" s="34"/>
      <c r="BY1845" s="34"/>
      <c r="BZ1845" s="34"/>
      <c r="CA1845" s="34"/>
      <c r="CB1845" s="34"/>
      <c r="CC1845" s="34"/>
      <c r="CD1845" s="34"/>
      <c r="CE1845" s="34"/>
      <c r="CF1845" s="34"/>
      <c r="CG1845" s="34"/>
      <c r="CH1845" s="34"/>
      <c r="CI1845" s="8"/>
    </row>
    <row r="1846" spans="1:87" x14ac:dyDescent="0.2">
      <c r="A1846" s="8" t="str">
        <f>IF(AND(COUNTIF(W$3:W$13,A$20)&gt;0,A$20&lt;&gt;B1816),A$20,IFERROR(IF(MATCH(A$20,Z$3:Z$13,0)=2,A$20," ")," "))</f>
        <v xml:space="preserve"> </v>
      </c>
      <c r="B1846" s="8" t="str">
        <f>IF(A1846=" "," ",MAX(B1841:B1845)+1)</f>
        <v xml:space="preserve"> </v>
      </c>
      <c r="C1846" s="8" t="str">
        <f>IFERROR(INDEX(A1841:A1862,MATCH(SMALL(B1841:B1862,6),B1841:B1862,0),1)," ")</f>
        <v>C16</v>
      </c>
      <c r="D1846" s="8">
        <f t="shared" si="8008"/>
        <v>0</v>
      </c>
      <c r="E1846" s="8">
        <f t="shared" si="8009"/>
        <v>0</v>
      </c>
      <c r="F1846" s="8">
        <f t="shared" si="8010"/>
        <v>0</v>
      </c>
      <c r="G1846" s="8">
        <f t="shared" si="8011"/>
        <v>0</v>
      </c>
      <c r="H1846" s="8">
        <f t="shared" si="8012"/>
        <v>1</v>
      </c>
      <c r="I1846" s="8">
        <f t="shared" si="8013"/>
        <v>0</v>
      </c>
      <c r="J1846" s="8">
        <f t="shared" si="8014"/>
        <v>0</v>
      </c>
      <c r="K1846" s="8">
        <f t="shared" si="8015"/>
        <v>0</v>
      </c>
      <c r="L1846" s="8">
        <f t="shared" si="8016"/>
        <v>0</v>
      </c>
      <c r="M1846" s="8">
        <f t="shared" si="8017"/>
        <v>0</v>
      </c>
      <c r="N1846" s="8">
        <f t="shared" si="8018"/>
        <v>0</v>
      </c>
      <c r="O1846" s="8">
        <f t="shared" si="8019"/>
        <v>0</v>
      </c>
      <c r="P1846" s="8" t="e">
        <v>#NUM!</v>
      </c>
      <c r="Q1846" s="8" t="e">
        <f t="shared" ref="Q1846" si="8046">IF(COUNTIF(P1841:P1851,"&lt;"&amp;-0.001)=0,IF(ABS(P1846)&lt;0.001,0,P1846)," ")</f>
        <v>#NUM!</v>
      </c>
      <c r="R1846" s="8"/>
      <c r="S1846" s="8"/>
      <c r="U1846" s="34"/>
      <c r="V1846" s="34"/>
      <c r="W1846" s="34"/>
      <c r="X1846" s="34"/>
      <c r="Y1846" s="34"/>
      <c r="Z1846" s="34"/>
      <c r="AA1846" s="34"/>
      <c r="AB1846" s="34"/>
      <c r="AC1846" s="34"/>
      <c r="AD1846" s="34"/>
      <c r="AE1846" s="34"/>
      <c r="AF1846" s="34"/>
      <c r="AG1846" s="34"/>
      <c r="AH1846" s="34"/>
      <c r="AI1846" s="34"/>
      <c r="AJ1846" s="34"/>
      <c r="AK1846" s="34"/>
      <c r="AL1846" s="34"/>
      <c r="AM1846" s="34"/>
      <c r="AN1846" s="34"/>
      <c r="AO1846" s="34"/>
      <c r="AP1846" s="34"/>
      <c r="AQ1846" s="34"/>
      <c r="AR1846" s="34"/>
      <c r="AS1846" s="34"/>
      <c r="AT1846" s="34"/>
      <c r="AU1846" s="34"/>
      <c r="AV1846" s="34"/>
      <c r="AW1846" s="34"/>
      <c r="AX1846" s="34"/>
      <c r="AY1846" s="34"/>
      <c r="AZ1846" s="34"/>
      <c r="BA1846" s="34"/>
      <c r="BB1846" s="34"/>
      <c r="BC1846" s="34"/>
      <c r="BD1846" s="34"/>
      <c r="BE1846" s="34"/>
      <c r="BF1846" s="34"/>
      <c r="BG1846" s="34"/>
      <c r="BH1846" s="34"/>
      <c r="BI1846" s="34"/>
      <c r="BJ1846" s="34"/>
      <c r="BK1846" s="34"/>
      <c r="BL1846" s="34"/>
      <c r="BM1846" s="34"/>
      <c r="BN1846" s="34"/>
      <c r="BO1846" s="34"/>
      <c r="BP1846" s="34"/>
      <c r="BQ1846" s="34"/>
      <c r="BR1846" s="34"/>
      <c r="BS1846" s="34"/>
      <c r="BT1846" s="34"/>
      <c r="BU1846" s="34"/>
      <c r="BV1846" s="34"/>
      <c r="BW1846" s="34"/>
      <c r="BX1846" s="34"/>
      <c r="BY1846" s="34"/>
      <c r="BZ1846" s="34"/>
      <c r="CA1846" s="34"/>
      <c r="CB1846" s="34"/>
      <c r="CC1846" s="34"/>
      <c r="CD1846" s="34"/>
      <c r="CE1846" s="34"/>
      <c r="CF1846" s="34"/>
      <c r="CG1846" s="34"/>
      <c r="CH1846" s="34"/>
      <c r="CI1846" s="8"/>
    </row>
    <row r="1847" spans="1:87" x14ac:dyDescent="0.2">
      <c r="A1847" s="8" t="str">
        <f>IF(AND(COUNTIF(W$3:W$13,A$21)&gt;0,A$21&lt;&gt;B1816),A$21,IFERROR(IF(MATCH(A$21,Z$3:Z$13,0)=2,A$21," ")," "))</f>
        <v xml:space="preserve"> </v>
      </c>
      <c r="B1847" s="8" t="str">
        <f>IF(A1847=" "," ",MAX(B1841:B1846)+1)</f>
        <v xml:space="preserve"> </v>
      </c>
      <c r="C1847" s="8" t="str">
        <f>IFERROR(INDEX(A1841:A1862,MATCH(SMALL(B1841:B1862,7),B1841:B1862,0),1)," ")</f>
        <v>C17</v>
      </c>
      <c r="D1847" s="8">
        <f t="shared" si="8008"/>
        <v>0</v>
      </c>
      <c r="E1847" s="8">
        <f t="shared" si="8009"/>
        <v>0</v>
      </c>
      <c r="F1847" s="8">
        <f t="shared" si="8010"/>
        <v>0</v>
      </c>
      <c r="G1847" s="8">
        <f t="shared" si="8011"/>
        <v>0</v>
      </c>
      <c r="H1847" s="8">
        <f t="shared" si="8012"/>
        <v>0</v>
      </c>
      <c r="I1847" s="8">
        <f t="shared" si="8013"/>
        <v>1</v>
      </c>
      <c r="J1847" s="8">
        <f t="shared" si="8014"/>
        <v>0</v>
      </c>
      <c r="K1847" s="8">
        <f t="shared" si="8015"/>
        <v>0</v>
      </c>
      <c r="L1847" s="8">
        <f t="shared" si="8016"/>
        <v>0</v>
      </c>
      <c r="M1847" s="8">
        <f t="shared" si="8017"/>
        <v>0</v>
      </c>
      <c r="N1847" s="8">
        <f t="shared" si="8018"/>
        <v>0</v>
      </c>
      <c r="O1847" s="8">
        <f t="shared" si="8019"/>
        <v>0</v>
      </c>
      <c r="P1847" s="8" t="e">
        <v>#NUM!</v>
      </c>
      <c r="Q1847" s="8" t="e">
        <f t="shared" ref="Q1847" si="8047">IF(COUNTIF(P1841:P1851,"&lt;"&amp;-0.001)=0,IF(ABS(P1847)&lt;0.001,0,P1847)," ")</f>
        <v>#NUM!</v>
      </c>
      <c r="R1847" s="8"/>
      <c r="S1847" s="8"/>
      <c r="U1847" s="34"/>
      <c r="V1847" s="34"/>
      <c r="W1847" s="34"/>
      <c r="X1847" s="34"/>
      <c r="Y1847" s="34"/>
      <c r="Z1847" s="34"/>
      <c r="AA1847" s="34"/>
      <c r="AB1847" s="34"/>
      <c r="AC1847" s="34"/>
      <c r="AD1847" s="34"/>
      <c r="AE1847" s="34"/>
      <c r="AF1847" s="34"/>
      <c r="AG1847" s="34"/>
      <c r="AH1847" s="34"/>
      <c r="AI1847" s="34"/>
      <c r="AJ1847" s="34"/>
      <c r="AK1847" s="34"/>
      <c r="AL1847" s="34"/>
      <c r="AM1847" s="34"/>
      <c r="AN1847" s="34"/>
      <c r="AO1847" s="34"/>
      <c r="AP1847" s="34"/>
      <c r="AQ1847" s="34"/>
      <c r="AR1847" s="34"/>
      <c r="AS1847" s="34"/>
      <c r="AT1847" s="34"/>
      <c r="AU1847" s="34"/>
      <c r="AV1847" s="34"/>
      <c r="AW1847" s="34"/>
      <c r="AX1847" s="34"/>
      <c r="AY1847" s="34"/>
      <c r="AZ1847" s="34"/>
      <c r="BA1847" s="34"/>
      <c r="BB1847" s="34"/>
      <c r="BC1847" s="34"/>
      <c r="BD1847" s="34"/>
      <c r="BE1847" s="34"/>
      <c r="BF1847" s="34"/>
      <c r="BG1847" s="34"/>
      <c r="BH1847" s="34"/>
      <c r="BI1847" s="34"/>
      <c r="BJ1847" s="34"/>
      <c r="BK1847" s="34"/>
      <c r="BL1847" s="34"/>
      <c r="BM1847" s="34"/>
      <c r="BN1847" s="34"/>
      <c r="BO1847" s="34"/>
      <c r="BP1847" s="34"/>
      <c r="BQ1847" s="34"/>
      <c r="BR1847" s="34"/>
      <c r="BS1847" s="34"/>
      <c r="BT1847" s="34"/>
      <c r="BU1847" s="34"/>
      <c r="BV1847" s="34"/>
      <c r="BW1847" s="34"/>
      <c r="BX1847" s="34"/>
      <c r="BY1847" s="34"/>
      <c r="BZ1847" s="34"/>
      <c r="CA1847" s="34"/>
      <c r="CB1847" s="34"/>
      <c r="CC1847" s="34"/>
      <c r="CD1847" s="34"/>
      <c r="CE1847" s="34"/>
      <c r="CF1847" s="34"/>
      <c r="CG1847" s="34"/>
      <c r="CH1847" s="34"/>
      <c r="CI1847" s="8"/>
    </row>
    <row r="1848" spans="1:87" x14ac:dyDescent="0.2">
      <c r="A1848" s="8" t="str">
        <f>IF(AND(COUNTIF(W$3:W$13,A$22)&gt;0,A$22&lt;&gt;B1816),A$22,IFERROR(IF(MATCH(A$22,Z$3:Z$13,0)=2,A$22," ")," "))</f>
        <v xml:space="preserve"> </v>
      </c>
      <c r="B1848" s="8" t="str">
        <f>IF(A1848=" "," ",MAX(B1841:B1847)+1)</f>
        <v xml:space="preserve"> </v>
      </c>
      <c r="C1848" s="8" t="str">
        <f>IFERROR(INDEX(A1841:A1862,MATCH(SMALL(B1841:B1862,8),B1841:B1862,0),1)," ")</f>
        <v>C18</v>
      </c>
      <c r="D1848" s="8">
        <f t="shared" si="8008"/>
        <v>0</v>
      </c>
      <c r="E1848" s="8">
        <f t="shared" si="8009"/>
        <v>0</v>
      </c>
      <c r="F1848" s="8">
        <f t="shared" si="8010"/>
        <v>0</v>
      </c>
      <c r="G1848" s="8">
        <f t="shared" si="8011"/>
        <v>0</v>
      </c>
      <c r="H1848" s="8">
        <f t="shared" si="8012"/>
        <v>0</v>
      </c>
      <c r="I1848" s="8">
        <f t="shared" si="8013"/>
        <v>0</v>
      </c>
      <c r="J1848" s="8">
        <f t="shared" si="8014"/>
        <v>1</v>
      </c>
      <c r="K1848" s="8">
        <f t="shared" si="8015"/>
        <v>0</v>
      </c>
      <c r="L1848" s="8">
        <f t="shared" si="8016"/>
        <v>0</v>
      </c>
      <c r="M1848" s="8">
        <f t="shared" si="8017"/>
        <v>0</v>
      </c>
      <c r="N1848" s="8">
        <f t="shared" si="8018"/>
        <v>0</v>
      </c>
      <c r="O1848" s="8">
        <f t="shared" si="8019"/>
        <v>0</v>
      </c>
      <c r="P1848" s="8" t="e">
        <v>#NUM!</v>
      </c>
      <c r="Q1848" s="8" t="e">
        <f t="shared" ref="Q1848" si="8048">IF(COUNTIF(P1841:P1851,"&lt;"&amp;-0.001)=0,IF(ABS(P1848)&lt;0.001,0,P1848)," ")</f>
        <v>#NUM!</v>
      </c>
      <c r="R1848" s="8"/>
      <c r="S1848" s="8"/>
      <c r="U1848" s="34"/>
      <c r="V1848" s="34"/>
      <c r="W1848" s="34"/>
      <c r="X1848" s="34"/>
      <c r="Y1848" s="34"/>
      <c r="Z1848" s="34"/>
      <c r="AA1848" s="34"/>
      <c r="AB1848" s="34"/>
      <c r="AC1848" s="34"/>
      <c r="AD1848" s="34"/>
      <c r="AE1848" s="34"/>
      <c r="AF1848" s="34"/>
      <c r="AG1848" s="34"/>
      <c r="AH1848" s="34"/>
      <c r="AI1848" s="34"/>
      <c r="AJ1848" s="34"/>
      <c r="AK1848" s="34"/>
      <c r="AL1848" s="34"/>
      <c r="AM1848" s="34"/>
      <c r="AN1848" s="34"/>
      <c r="AO1848" s="34"/>
      <c r="AP1848" s="34"/>
      <c r="AQ1848" s="34"/>
      <c r="AR1848" s="34"/>
      <c r="AS1848" s="34"/>
      <c r="AT1848" s="34"/>
      <c r="AU1848" s="34"/>
      <c r="AV1848" s="34"/>
      <c r="AW1848" s="34"/>
      <c r="AX1848" s="34"/>
      <c r="AY1848" s="34"/>
      <c r="AZ1848" s="34"/>
      <c r="BA1848" s="34"/>
      <c r="BB1848" s="34"/>
      <c r="BC1848" s="34"/>
      <c r="BD1848" s="34"/>
      <c r="BE1848" s="34"/>
      <c r="BF1848" s="34"/>
      <c r="BG1848" s="34"/>
      <c r="BH1848" s="34"/>
      <c r="BI1848" s="34"/>
      <c r="BJ1848" s="34"/>
      <c r="BK1848" s="34"/>
      <c r="BL1848" s="34"/>
      <c r="BM1848" s="34"/>
      <c r="BN1848" s="34"/>
      <c r="BO1848" s="34"/>
      <c r="BP1848" s="34"/>
      <c r="BQ1848" s="34"/>
      <c r="BR1848" s="34"/>
      <c r="BS1848" s="34"/>
      <c r="BT1848" s="34"/>
      <c r="BU1848" s="34"/>
      <c r="BV1848" s="34"/>
      <c r="BW1848" s="34"/>
      <c r="BX1848" s="34"/>
      <c r="BY1848" s="34"/>
      <c r="BZ1848" s="34"/>
      <c r="CA1848" s="34"/>
      <c r="CB1848" s="34"/>
      <c r="CC1848" s="34"/>
      <c r="CD1848" s="34"/>
      <c r="CE1848" s="34"/>
      <c r="CF1848" s="34"/>
      <c r="CG1848" s="34"/>
      <c r="CH1848" s="34"/>
      <c r="CI1848" s="8"/>
    </row>
    <row r="1849" spans="1:87" x14ac:dyDescent="0.2">
      <c r="A1849" s="8" t="str">
        <f>IF(AND(COUNTIF(W$3:W$13,A$23)&gt;0,A$23&lt;&gt;B1816),A$23,IFERROR(IF(MATCH(A$23,Z$3:Z$13,0)=2,A$23," ")," "))</f>
        <v xml:space="preserve"> </v>
      </c>
      <c r="B1849" s="8" t="str">
        <f>IF(A1849=" "," ",MAX(B1841:B1848)+1)</f>
        <v xml:space="preserve"> </v>
      </c>
      <c r="C1849" s="8" t="str">
        <f>IFERROR(INDEX(A1841:A1862,MATCH(SMALL(B1841:B1862,9),B1841:B1862,0),1)," ")</f>
        <v>C20</v>
      </c>
      <c r="D1849" s="8">
        <f t="shared" si="8008"/>
        <v>0</v>
      </c>
      <c r="E1849" s="8">
        <f t="shared" si="8009"/>
        <v>0</v>
      </c>
      <c r="F1849" s="8">
        <f t="shared" si="8010"/>
        <v>0</v>
      </c>
      <c r="G1849" s="8">
        <f t="shared" si="8011"/>
        <v>0</v>
      </c>
      <c r="H1849" s="8">
        <f t="shared" si="8012"/>
        <v>0</v>
      </c>
      <c r="I1849" s="8">
        <f t="shared" si="8013"/>
        <v>0</v>
      </c>
      <c r="J1849" s="8">
        <f t="shared" si="8014"/>
        <v>0</v>
      </c>
      <c r="K1849" s="8">
        <f t="shared" si="8015"/>
        <v>0</v>
      </c>
      <c r="L1849" s="8">
        <f t="shared" si="8016"/>
        <v>1</v>
      </c>
      <c r="M1849" s="8">
        <f t="shared" si="8017"/>
        <v>0</v>
      </c>
      <c r="N1849" s="8">
        <f t="shared" si="8018"/>
        <v>0</v>
      </c>
      <c r="O1849" s="8">
        <f t="shared" si="8019"/>
        <v>0</v>
      </c>
      <c r="P1849" s="6" t="e">
        <v>#NUM!</v>
      </c>
      <c r="Q1849" s="8" t="e">
        <f t="shared" ref="Q1849" si="8049">IF(COUNTIF(P1841:P1851,"&lt;"&amp;-0.001)=0,IF(ABS(P1849)&lt;0.001,0,P1849)," ")</f>
        <v>#NUM!</v>
      </c>
      <c r="R1849" s="12"/>
      <c r="S1849" s="12"/>
      <c r="T1849" s="21"/>
      <c r="U1849" s="34"/>
      <c r="V1849" s="34"/>
      <c r="W1849" s="34"/>
      <c r="X1849" s="34"/>
      <c r="Y1849" s="34"/>
      <c r="Z1849" s="34"/>
      <c r="AA1849" s="34"/>
      <c r="AB1849" s="34"/>
      <c r="AC1849" s="34"/>
      <c r="AD1849" s="34"/>
      <c r="AE1849" s="34"/>
      <c r="AF1849" s="34"/>
      <c r="AG1849" s="34"/>
      <c r="AH1849" s="34"/>
      <c r="AI1849" s="34"/>
      <c r="AJ1849" s="34"/>
      <c r="AK1849" s="34"/>
      <c r="AL1849" s="34"/>
      <c r="AM1849" s="34"/>
      <c r="AN1849" s="34"/>
      <c r="AO1849" s="34"/>
      <c r="AP1849" s="34"/>
      <c r="AQ1849" s="34"/>
      <c r="AR1849" s="34"/>
      <c r="AS1849" s="34"/>
      <c r="AT1849" s="34"/>
      <c r="AU1849" s="34"/>
      <c r="AV1849" s="34"/>
      <c r="AW1849" s="34"/>
      <c r="AX1849" s="34"/>
      <c r="AY1849" s="34"/>
      <c r="AZ1849" s="34"/>
      <c r="BA1849" s="34"/>
      <c r="BB1849" s="34"/>
      <c r="BC1849" s="34"/>
      <c r="BD1849" s="34"/>
      <c r="BE1849" s="34"/>
      <c r="BF1849" s="34"/>
      <c r="BG1849" s="34"/>
      <c r="BH1849" s="34"/>
      <c r="BI1849" s="34"/>
      <c r="BJ1849" s="34"/>
      <c r="BK1849" s="34"/>
      <c r="BL1849" s="34"/>
      <c r="BM1849" s="34"/>
      <c r="BN1849" s="34"/>
      <c r="BO1849" s="34"/>
      <c r="BP1849" s="34"/>
      <c r="BQ1849" s="34"/>
      <c r="BR1849" s="34"/>
      <c r="BS1849" s="34"/>
      <c r="BT1849" s="34"/>
      <c r="BU1849" s="34"/>
      <c r="BV1849" s="34"/>
      <c r="BW1849" s="34"/>
      <c r="BX1849" s="34"/>
      <c r="BY1849" s="34"/>
      <c r="BZ1849" s="34"/>
      <c r="CA1849" s="34"/>
      <c r="CB1849" s="34"/>
      <c r="CC1849" s="34"/>
      <c r="CD1849" s="34"/>
      <c r="CE1849" s="34"/>
      <c r="CF1849" s="34"/>
      <c r="CG1849" s="34"/>
      <c r="CH1849" s="34"/>
      <c r="CI1849" s="8"/>
    </row>
    <row r="1850" spans="1:87" x14ac:dyDescent="0.2">
      <c r="A1850" s="8" t="str">
        <f>IF(AND(COUNTIF(W$3:W$13,A$24)&gt;0,A$24&lt;&gt;B1816),A$24,IFERROR(IF(MATCH(A$24,Z$3:Z$13,0)=2,A$24," ")," "))</f>
        <v xml:space="preserve"> </v>
      </c>
      <c r="B1850" s="8" t="str">
        <f>IF(A1850=" "," ",MAX(B1841:B1849)+1)</f>
        <v xml:space="preserve"> </v>
      </c>
      <c r="C1850" s="8" t="str">
        <f>IFERROR(INDEX(A1841:A1862,MATCH(SMALL(B1841:B1862,10),B1841:B1862,0),1)," ")</f>
        <v>C21</v>
      </c>
      <c r="D1850" s="8">
        <f t="shared" si="8008"/>
        <v>0</v>
      </c>
      <c r="E1850" s="8">
        <f t="shared" si="8009"/>
        <v>0</v>
      </c>
      <c r="F1850" s="8">
        <f t="shared" si="8010"/>
        <v>0</v>
      </c>
      <c r="G1850" s="8">
        <f t="shared" si="8011"/>
        <v>0</v>
      </c>
      <c r="H1850" s="8">
        <f t="shared" si="8012"/>
        <v>0</v>
      </c>
      <c r="I1850" s="8">
        <f t="shared" si="8013"/>
        <v>0</v>
      </c>
      <c r="J1850" s="8">
        <f t="shared" si="8014"/>
        <v>0</v>
      </c>
      <c r="K1850" s="8">
        <f t="shared" si="8015"/>
        <v>0</v>
      </c>
      <c r="L1850" s="8">
        <f t="shared" si="8016"/>
        <v>0</v>
      </c>
      <c r="M1850" s="8">
        <f t="shared" si="8017"/>
        <v>1</v>
      </c>
      <c r="N1850" s="8">
        <f t="shared" si="8018"/>
        <v>0</v>
      </c>
      <c r="O1850" s="8">
        <f t="shared" si="8019"/>
        <v>0</v>
      </c>
      <c r="P1850" s="8" t="e">
        <v>#NUM!</v>
      </c>
      <c r="Q1850" s="8" t="e">
        <f t="shared" ref="Q1850" si="8050">IF(COUNTIF(P1841:P1851,"&lt;"&amp;-0.001)=0,IF(ABS(P1850)&lt;0.001,0,P1850)," ")</f>
        <v>#NUM!</v>
      </c>
      <c r="R1850" s="8"/>
      <c r="S1850" s="8"/>
      <c r="U1850" s="34"/>
      <c r="V1850" s="34"/>
      <c r="W1850" s="34"/>
      <c r="X1850" s="34"/>
      <c r="Y1850" s="34"/>
      <c r="Z1850" s="34"/>
      <c r="AA1850" s="34"/>
      <c r="AB1850" s="34"/>
      <c r="AC1850" s="34"/>
      <c r="AD1850" s="34"/>
      <c r="AE1850" s="34"/>
      <c r="AF1850" s="34"/>
      <c r="AG1850" s="34"/>
      <c r="AH1850" s="34"/>
      <c r="AI1850" s="34"/>
      <c r="AJ1850" s="34"/>
      <c r="AK1850" s="34"/>
      <c r="AL1850" s="34"/>
      <c r="AM1850" s="34"/>
      <c r="AN1850" s="34"/>
      <c r="AO1850" s="34"/>
      <c r="AP1850" s="34"/>
      <c r="AQ1850" s="34"/>
      <c r="AR1850" s="34"/>
      <c r="AS1850" s="34"/>
      <c r="AT1850" s="34"/>
      <c r="AU1850" s="34"/>
      <c r="AV1850" s="34"/>
      <c r="AW1850" s="34"/>
      <c r="AX1850" s="34"/>
      <c r="AY1850" s="34"/>
      <c r="AZ1850" s="34"/>
      <c r="BA1850" s="34"/>
      <c r="BB1850" s="34"/>
      <c r="BC1850" s="34"/>
      <c r="BD1850" s="34"/>
      <c r="BE1850" s="34"/>
      <c r="BF1850" s="34"/>
      <c r="BG1850" s="34"/>
      <c r="BH1850" s="34"/>
      <c r="BI1850" s="34"/>
      <c r="BJ1850" s="34"/>
      <c r="BK1850" s="34"/>
      <c r="BL1850" s="34"/>
      <c r="BM1850" s="34"/>
      <c r="BN1850" s="34"/>
      <c r="BO1850" s="34"/>
      <c r="BP1850" s="34"/>
      <c r="BQ1850" s="34"/>
      <c r="BR1850" s="34"/>
      <c r="BS1850" s="34"/>
      <c r="BT1850" s="34"/>
      <c r="BU1850" s="34"/>
      <c r="BV1850" s="34"/>
      <c r="BW1850" s="34"/>
      <c r="BX1850" s="34"/>
      <c r="BY1850" s="34"/>
      <c r="BZ1850" s="34"/>
      <c r="CA1850" s="34"/>
      <c r="CB1850" s="34"/>
      <c r="CC1850" s="34"/>
      <c r="CD1850" s="34"/>
      <c r="CE1850" s="34"/>
      <c r="CF1850" s="34"/>
      <c r="CG1850" s="34"/>
      <c r="CH1850" s="34"/>
      <c r="CI1850" s="8"/>
    </row>
    <row r="1851" spans="1:87" x14ac:dyDescent="0.2">
      <c r="A1851" s="8" t="str">
        <f>IF(AND(COUNTIF(W$3:W$13,A$25)&gt;0,A$25&lt;&gt;B1816),A$25,IFERROR(IF(MATCH(A$25,Z$3:Z$13,0)=2,A$25," ")," "))</f>
        <v xml:space="preserve"> </v>
      </c>
      <c r="B1851" s="8" t="str">
        <f>IF(A1851=" "," ",MAX(B1841:B1850)+1)</f>
        <v xml:space="preserve"> </v>
      </c>
      <c r="C1851" s="8" t="str">
        <f>IFERROR(INDEX(A1841:A1862,MATCH(SMALL(B1841:B1862,11),B1841:B1862,0),1)," ")</f>
        <v>C22</v>
      </c>
      <c r="D1851" s="8">
        <f t="shared" si="8008"/>
        <v>0</v>
      </c>
      <c r="E1851" s="8">
        <f t="shared" si="8009"/>
        <v>0</v>
      </c>
      <c r="F1851" s="8">
        <f t="shared" si="8010"/>
        <v>0</v>
      </c>
      <c r="G1851" s="8">
        <f t="shared" si="8011"/>
        <v>0</v>
      </c>
      <c r="H1851" s="8">
        <f t="shared" si="8012"/>
        <v>0</v>
      </c>
      <c r="I1851" s="8">
        <f t="shared" si="8013"/>
        <v>0</v>
      </c>
      <c r="J1851" s="8">
        <f t="shared" si="8014"/>
        <v>0</v>
      </c>
      <c r="K1851" s="8">
        <f t="shared" si="8015"/>
        <v>0</v>
      </c>
      <c r="L1851" s="8">
        <f t="shared" si="8016"/>
        <v>0</v>
      </c>
      <c r="M1851" s="8">
        <f t="shared" si="8017"/>
        <v>0</v>
      </c>
      <c r="N1851" s="8">
        <f t="shared" si="8018"/>
        <v>1</v>
      </c>
      <c r="O1851" s="8">
        <f t="shared" si="8019"/>
        <v>0</v>
      </c>
      <c r="P1851" s="8" t="e">
        <v>#NUM!</v>
      </c>
      <c r="Q1851" s="8" t="e">
        <f t="shared" ref="Q1851" si="8051">IF(COUNTIF(P1841:P1851,"&lt;"&amp;-0.001)=0,IF(ABS(P1851)&lt;0.001,0,P1851)," ")</f>
        <v>#NUM!</v>
      </c>
      <c r="R1851" s="8"/>
      <c r="S1851" s="8"/>
      <c r="U1851" s="34"/>
      <c r="V1851" s="34"/>
      <c r="W1851" s="34"/>
      <c r="X1851" s="34"/>
      <c r="Y1851" s="34"/>
      <c r="Z1851" s="34"/>
      <c r="AA1851" s="34"/>
      <c r="AB1851" s="34"/>
      <c r="AC1851" s="34"/>
      <c r="AD1851" s="34"/>
      <c r="AE1851" s="34"/>
      <c r="AF1851" s="34"/>
      <c r="AG1851" s="34"/>
      <c r="AH1851" s="34"/>
      <c r="AI1851" s="34"/>
      <c r="AJ1851" s="34"/>
      <c r="AK1851" s="34"/>
      <c r="AL1851" s="34"/>
      <c r="AM1851" s="34"/>
      <c r="AN1851" s="34"/>
      <c r="AO1851" s="34"/>
      <c r="AP1851" s="34"/>
      <c r="AQ1851" s="34"/>
      <c r="AR1851" s="34"/>
      <c r="AS1851" s="34"/>
      <c r="AT1851" s="34"/>
      <c r="AU1851" s="34"/>
      <c r="AV1851" s="34"/>
      <c r="AW1851" s="34"/>
      <c r="AX1851" s="34"/>
      <c r="AY1851" s="34"/>
      <c r="AZ1851" s="34"/>
      <c r="BA1851" s="34"/>
      <c r="BB1851" s="34"/>
      <c r="BC1851" s="34"/>
      <c r="BD1851" s="34"/>
      <c r="BE1851" s="34"/>
      <c r="BF1851" s="34"/>
      <c r="BG1851" s="34"/>
      <c r="BH1851" s="34"/>
      <c r="BI1851" s="34"/>
      <c r="BJ1851" s="34"/>
      <c r="BK1851" s="34"/>
      <c r="BL1851" s="34"/>
      <c r="BM1851" s="34"/>
      <c r="BN1851" s="34"/>
      <c r="BO1851" s="34"/>
      <c r="BP1851" s="34"/>
      <c r="BQ1851" s="34"/>
      <c r="BR1851" s="34"/>
      <c r="BS1851" s="34"/>
      <c r="BT1851" s="34"/>
      <c r="BU1851" s="34"/>
      <c r="BV1851" s="34"/>
      <c r="BW1851" s="34"/>
      <c r="BX1851" s="34"/>
      <c r="BY1851" s="34"/>
      <c r="BZ1851" s="34"/>
      <c r="CA1851" s="34"/>
      <c r="CB1851" s="34"/>
      <c r="CC1851" s="34"/>
      <c r="CD1851" s="34"/>
      <c r="CE1851" s="34"/>
      <c r="CF1851" s="34"/>
      <c r="CG1851" s="34"/>
      <c r="CH1851" s="34"/>
      <c r="CI1851" s="8"/>
    </row>
    <row r="1852" spans="1:87" x14ac:dyDescent="0.2">
      <c r="A1852" s="8" t="str">
        <f>IF(AND(COUNTIF(W$3:W$13,A$26)&gt;0,A$26&lt;&gt;B1816),A$26,IFERROR(IF(MATCH(A$26,Z$3:Z$13,0)=2,A$26," ")," "))</f>
        <v xml:space="preserve"> </v>
      </c>
      <c r="B1852" s="8" t="str">
        <f>IF(A1852=" "," ",MAX(B1841:B1851)+1)</f>
        <v xml:space="preserve"> </v>
      </c>
      <c r="C1852" s="8"/>
      <c r="D1852" s="8"/>
      <c r="E1852" s="8"/>
      <c r="F1852" s="8"/>
      <c r="G1852" s="8"/>
      <c r="H1852" s="8"/>
      <c r="I1852" s="8"/>
      <c r="J1852" s="8"/>
      <c r="K1852" s="8"/>
      <c r="L1852" s="8"/>
      <c r="M1852" s="8"/>
      <c r="N1852" s="8"/>
      <c r="O1852" s="8"/>
      <c r="P1852" s="8"/>
      <c r="Q1852" s="8"/>
      <c r="R1852" s="8"/>
      <c r="S1852" s="8"/>
      <c r="U1852" s="34"/>
      <c r="V1852" s="34"/>
      <c r="W1852" s="34"/>
      <c r="X1852" s="34"/>
      <c r="Y1852" s="34"/>
      <c r="Z1852" s="34"/>
      <c r="AA1852" s="34"/>
      <c r="AB1852" s="34"/>
      <c r="AC1852" s="34"/>
      <c r="AD1852" s="34"/>
      <c r="AE1852" s="34"/>
      <c r="AF1852" s="34"/>
      <c r="AG1852" s="34"/>
      <c r="AH1852" s="34"/>
      <c r="AI1852" s="34"/>
      <c r="AJ1852" s="34"/>
      <c r="AK1852" s="34"/>
      <c r="AL1852" s="34"/>
      <c r="AM1852" s="34"/>
      <c r="AN1852" s="34"/>
      <c r="AO1852" s="34"/>
      <c r="AP1852" s="34"/>
      <c r="AQ1852" s="34"/>
      <c r="AR1852" s="34"/>
      <c r="AS1852" s="34"/>
      <c r="AT1852" s="34"/>
      <c r="AU1852" s="34"/>
      <c r="AV1852" s="34"/>
      <c r="AW1852" s="34"/>
      <c r="AX1852" s="34"/>
      <c r="AY1852" s="34"/>
      <c r="AZ1852" s="34"/>
      <c r="BA1852" s="34"/>
      <c r="BB1852" s="34"/>
      <c r="BC1852" s="34"/>
      <c r="BD1852" s="34"/>
      <c r="BE1852" s="34"/>
      <c r="BF1852" s="34"/>
      <c r="BG1852" s="34"/>
      <c r="BH1852" s="34"/>
      <c r="BI1852" s="34"/>
      <c r="BJ1852" s="34"/>
      <c r="BK1852" s="34"/>
      <c r="BL1852" s="34"/>
      <c r="BM1852" s="34"/>
      <c r="BN1852" s="34"/>
      <c r="BO1852" s="34"/>
      <c r="BP1852" s="34"/>
      <c r="BQ1852" s="34"/>
      <c r="BR1852" s="34"/>
      <c r="BS1852" s="34"/>
      <c r="BT1852" s="34"/>
      <c r="BU1852" s="34"/>
      <c r="BV1852" s="34"/>
      <c r="BW1852" s="34"/>
      <c r="BX1852" s="34"/>
      <c r="BY1852" s="34"/>
      <c r="BZ1852" s="34"/>
      <c r="CA1852" s="34"/>
      <c r="CB1852" s="34"/>
      <c r="CC1852" s="34"/>
      <c r="CD1852" s="34"/>
      <c r="CE1852" s="34"/>
      <c r="CF1852" s="34"/>
      <c r="CG1852" s="34"/>
      <c r="CH1852" s="34"/>
      <c r="CI1852" s="8"/>
    </row>
    <row r="1853" spans="1:87" x14ac:dyDescent="0.2">
      <c r="A1853" s="8" t="str">
        <f>IF(AND(COUNTIF(W$3:W$13,A$27)&gt;0,A$27&lt;&gt;B1816),A$27,IFERROR(IF(MATCH(A$27,Z$3:Z$13,0)=2,A$27," ")," "))</f>
        <v>C13</v>
      </c>
      <c r="B1853" s="8">
        <f>IF(A1853=" "," ",MAX(B1841:B1852)+1)</f>
        <v>4</v>
      </c>
      <c r="C1853" s="8"/>
      <c r="D1853" s="8"/>
      <c r="E1853" s="8"/>
      <c r="F1853" s="8"/>
      <c r="G1853" s="8"/>
      <c r="H1853" s="8"/>
      <c r="I1853" s="8"/>
      <c r="J1853" s="8"/>
      <c r="K1853" s="8"/>
      <c r="L1853" s="8"/>
      <c r="M1853" s="8"/>
      <c r="N1853" s="8"/>
      <c r="O1853" s="8"/>
      <c r="P1853" s="8"/>
      <c r="Q1853" s="8"/>
      <c r="R1853" s="8"/>
      <c r="S1853" s="8"/>
      <c r="U1853" s="34"/>
      <c r="V1853" s="34"/>
      <c r="W1853" s="34"/>
      <c r="X1853" s="34"/>
      <c r="Y1853" s="34"/>
      <c r="Z1853" s="34"/>
      <c r="AA1853" s="34"/>
      <c r="AB1853" s="34"/>
      <c r="AC1853" s="34"/>
      <c r="AD1853" s="34"/>
      <c r="AE1853" s="34"/>
      <c r="AF1853" s="34"/>
      <c r="AG1853" s="34"/>
      <c r="AH1853" s="34"/>
      <c r="AI1853" s="34"/>
      <c r="AJ1853" s="34"/>
      <c r="AK1853" s="34"/>
      <c r="AL1853" s="34"/>
      <c r="AM1853" s="34"/>
      <c r="AN1853" s="34"/>
      <c r="AO1853" s="34"/>
      <c r="AP1853" s="34"/>
      <c r="AQ1853" s="34"/>
      <c r="AR1853" s="34"/>
      <c r="AS1853" s="34"/>
      <c r="AT1853" s="34"/>
      <c r="AU1853" s="34"/>
      <c r="AV1853" s="34"/>
      <c r="AW1853" s="34"/>
      <c r="AX1853" s="34"/>
      <c r="AY1853" s="34"/>
      <c r="AZ1853" s="34"/>
      <c r="BA1853" s="34"/>
      <c r="BB1853" s="34"/>
      <c r="BC1853" s="34"/>
      <c r="BD1853" s="34"/>
      <c r="BE1853" s="34"/>
      <c r="BF1853" s="34"/>
      <c r="BG1853" s="34"/>
      <c r="BH1853" s="34"/>
      <c r="BI1853" s="34"/>
      <c r="BJ1853" s="34"/>
      <c r="BK1853" s="34"/>
      <c r="BL1853" s="34"/>
      <c r="BM1853" s="34"/>
      <c r="BN1853" s="34"/>
      <c r="BO1853" s="34"/>
      <c r="BP1853" s="34"/>
      <c r="BQ1853" s="34"/>
      <c r="BR1853" s="34"/>
      <c r="BS1853" s="34"/>
      <c r="BT1853" s="34"/>
      <c r="BU1853" s="34"/>
      <c r="BV1853" s="34"/>
      <c r="BW1853" s="34"/>
      <c r="BX1853" s="34"/>
      <c r="BY1853" s="34"/>
      <c r="BZ1853" s="34"/>
      <c r="CA1853" s="34"/>
      <c r="CB1853" s="34"/>
      <c r="CC1853" s="34"/>
      <c r="CD1853" s="34"/>
      <c r="CE1853" s="34"/>
      <c r="CF1853" s="34"/>
      <c r="CG1853" s="34"/>
      <c r="CH1853" s="34"/>
      <c r="CI1853" s="8"/>
    </row>
    <row r="1854" spans="1:87" x14ac:dyDescent="0.2">
      <c r="A1854" s="8" t="str">
        <f>IF(AND(COUNTIF(W$3:W$13,A$28)&gt;0,A$28&lt;&gt;B1816),A$28,IFERROR(IF(MATCH(A$28,Z$3:Z$13,0)=2,A$28," ")," "))</f>
        <v xml:space="preserve"> </v>
      </c>
      <c r="B1854" s="8" t="str">
        <f>IF(A1854=" "," ",MAX(B1841:B1853)+1)</f>
        <v xml:space="preserve"> </v>
      </c>
      <c r="C1854" s="8"/>
      <c r="D1854" s="8"/>
      <c r="E1854" s="8"/>
      <c r="F1854" s="8"/>
      <c r="G1854" s="8"/>
      <c r="H1854" s="8"/>
      <c r="I1854" s="8"/>
      <c r="J1854" s="8"/>
      <c r="K1854" s="8"/>
      <c r="L1854" s="8"/>
      <c r="M1854" s="8"/>
      <c r="N1854" s="8"/>
      <c r="O1854" s="8"/>
      <c r="P1854" s="8"/>
      <c r="Q1854" s="8"/>
      <c r="R1854" s="8"/>
      <c r="S1854" s="8"/>
      <c r="U1854" s="34"/>
      <c r="V1854" s="34"/>
      <c r="W1854" s="34"/>
      <c r="X1854" s="34"/>
      <c r="Y1854" s="34"/>
      <c r="Z1854" s="34"/>
      <c r="AA1854" s="34"/>
      <c r="AB1854" s="34"/>
      <c r="AC1854" s="34"/>
      <c r="AD1854" s="34"/>
      <c r="AE1854" s="34"/>
      <c r="AF1854" s="34"/>
      <c r="AG1854" s="34"/>
      <c r="AH1854" s="34"/>
      <c r="AI1854" s="34"/>
      <c r="AJ1854" s="34"/>
      <c r="AK1854" s="34"/>
      <c r="AL1854" s="34"/>
      <c r="AM1854" s="34"/>
      <c r="AN1854" s="34"/>
      <c r="AO1854" s="34"/>
      <c r="AP1854" s="34"/>
      <c r="AQ1854" s="34"/>
      <c r="AR1854" s="34"/>
      <c r="AS1854" s="34"/>
      <c r="AT1854" s="34"/>
      <c r="AU1854" s="34"/>
      <c r="AV1854" s="34"/>
      <c r="AW1854" s="34"/>
      <c r="AX1854" s="34"/>
      <c r="AY1854" s="34"/>
      <c r="AZ1854" s="34"/>
      <c r="BA1854" s="34"/>
      <c r="BB1854" s="34"/>
      <c r="BC1854" s="34"/>
      <c r="BD1854" s="34"/>
      <c r="BE1854" s="34"/>
      <c r="BF1854" s="34"/>
      <c r="BG1854" s="34"/>
      <c r="BH1854" s="34"/>
      <c r="BI1854" s="34"/>
      <c r="BJ1854" s="34"/>
      <c r="BK1854" s="34"/>
      <c r="BL1854" s="34"/>
      <c r="BM1854" s="34"/>
      <c r="BN1854" s="34"/>
      <c r="BO1854" s="34"/>
      <c r="BP1854" s="34"/>
      <c r="BQ1854" s="34"/>
      <c r="BR1854" s="34"/>
      <c r="BS1854" s="34"/>
      <c r="BT1854" s="34"/>
      <c r="BU1854" s="34"/>
      <c r="BV1854" s="34"/>
      <c r="BW1854" s="34"/>
      <c r="BX1854" s="34"/>
      <c r="BY1854" s="34"/>
      <c r="BZ1854" s="34"/>
      <c r="CA1854" s="34"/>
      <c r="CB1854" s="34"/>
      <c r="CC1854" s="34"/>
      <c r="CD1854" s="34"/>
      <c r="CE1854" s="34"/>
      <c r="CF1854" s="34"/>
      <c r="CG1854" s="34"/>
      <c r="CH1854" s="34"/>
      <c r="CI1854" s="8"/>
    </row>
    <row r="1855" spans="1:87" x14ac:dyDescent="0.2">
      <c r="A1855" s="8" t="str">
        <f>IF(AND(COUNTIF(W$3:W$13,A$29)&gt;0,A$29&lt;&gt;B1816),A$29,IFERROR(IF(MATCH(A$29,Z$3:Z$13,0)=2,A$29," ")," "))</f>
        <v>C15</v>
      </c>
      <c r="B1855" s="8">
        <f>IF(A1855=" "," ",MAX(B1841:B1854)+1)</f>
        <v>5</v>
      </c>
      <c r="C1855" s="8"/>
      <c r="D1855" s="8"/>
      <c r="E1855" s="8"/>
      <c r="F1855" s="8"/>
      <c r="G1855" s="8"/>
      <c r="H1855" s="8"/>
      <c r="I1855" s="8"/>
      <c r="J1855" s="8"/>
      <c r="K1855" s="8"/>
      <c r="L1855" s="8"/>
      <c r="M1855" s="8"/>
      <c r="N1855" s="8"/>
      <c r="O1855" s="8"/>
      <c r="P1855" s="8"/>
      <c r="Q1855" s="8"/>
      <c r="R1855" s="8"/>
      <c r="S1855" s="8"/>
      <c r="U1855" s="34"/>
      <c r="V1855" s="34"/>
      <c r="W1855" s="34"/>
      <c r="X1855" s="34"/>
      <c r="Y1855" s="34"/>
      <c r="Z1855" s="34"/>
      <c r="AA1855" s="34"/>
      <c r="AB1855" s="34"/>
      <c r="AC1855" s="34"/>
      <c r="AD1855" s="34"/>
      <c r="AE1855" s="34"/>
      <c r="AF1855" s="34"/>
      <c r="AG1855" s="34"/>
      <c r="AH1855" s="34"/>
      <c r="AI1855" s="34"/>
      <c r="AJ1855" s="34"/>
      <c r="AK1855" s="34"/>
      <c r="AL1855" s="34"/>
      <c r="AM1855" s="34"/>
      <c r="AN1855" s="34"/>
      <c r="AO1855" s="34"/>
      <c r="AP1855" s="34"/>
      <c r="AQ1855" s="34"/>
      <c r="AR1855" s="34"/>
      <c r="AS1855" s="34"/>
      <c r="AT1855" s="34"/>
      <c r="AU1855" s="34"/>
      <c r="AV1855" s="34"/>
      <c r="AW1855" s="34"/>
      <c r="AX1855" s="34"/>
      <c r="AY1855" s="34"/>
      <c r="AZ1855" s="34"/>
      <c r="BA1855" s="34"/>
      <c r="BB1855" s="34"/>
      <c r="BC1855" s="34"/>
      <c r="BD1855" s="34"/>
      <c r="BE1855" s="34"/>
      <c r="BF1855" s="34"/>
      <c r="BG1855" s="34"/>
      <c r="BH1855" s="34"/>
      <c r="BI1855" s="34"/>
      <c r="BJ1855" s="34"/>
      <c r="BK1855" s="34"/>
      <c r="BL1855" s="34"/>
      <c r="BM1855" s="34"/>
      <c r="BN1855" s="34"/>
      <c r="BO1855" s="34"/>
      <c r="BP1855" s="34"/>
      <c r="BQ1855" s="34"/>
      <c r="BR1855" s="34"/>
      <c r="BS1855" s="34"/>
      <c r="BT1855" s="34"/>
      <c r="BU1855" s="34"/>
      <c r="BV1855" s="34"/>
      <c r="BW1855" s="34"/>
      <c r="BX1855" s="34"/>
      <c r="BY1855" s="34"/>
      <c r="BZ1855" s="34"/>
      <c r="CA1855" s="34"/>
      <c r="CB1855" s="34"/>
      <c r="CC1855" s="34"/>
      <c r="CD1855" s="34"/>
      <c r="CE1855" s="34"/>
      <c r="CF1855" s="34"/>
      <c r="CG1855" s="34"/>
      <c r="CH1855" s="34"/>
      <c r="CI1855" s="8"/>
    </row>
    <row r="1856" spans="1:87" x14ac:dyDescent="0.2">
      <c r="A1856" s="8" t="str">
        <f>IF(AND(COUNTIF(W$3:W$13,A$30)&gt;0,A$30&lt;&gt;B1816),A$30,IFERROR(IF(MATCH(A$30,Z$3:Z$13,0)=2,A$30," ")," "))</f>
        <v>C16</v>
      </c>
      <c r="B1856" s="8">
        <f>IF(A1856=" "," ",MAX(B1841:B1855)+1)</f>
        <v>6</v>
      </c>
      <c r="C1856" s="8"/>
      <c r="D1856" s="8"/>
      <c r="E1856" s="8"/>
      <c r="F1856" s="8"/>
      <c r="G1856" s="8"/>
      <c r="H1856" s="8"/>
      <c r="I1856" s="8"/>
      <c r="J1856" s="8"/>
      <c r="K1856" s="8"/>
      <c r="L1856" s="8"/>
      <c r="M1856" s="8"/>
      <c r="N1856" s="8"/>
      <c r="O1856" s="8"/>
      <c r="P1856" s="8"/>
      <c r="Q1856" s="8"/>
      <c r="R1856" s="8"/>
      <c r="S1856" s="8"/>
      <c r="U1856" s="34"/>
      <c r="V1856" s="34"/>
      <c r="W1856" s="34"/>
      <c r="X1856" s="34"/>
      <c r="Y1856" s="34"/>
      <c r="Z1856" s="34"/>
      <c r="AA1856" s="34"/>
      <c r="AB1856" s="34"/>
      <c r="AC1856" s="34"/>
      <c r="AD1856" s="34"/>
      <c r="AE1856" s="34"/>
      <c r="AF1856" s="34"/>
      <c r="AG1856" s="34"/>
      <c r="AH1856" s="34"/>
      <c r="AI1856" s="34"/>
      <c r="AJ1856" s="34"/>
      <c r="AK1856" s="34"/>
      <c r="AL1856" s="34"/>
      <c r="AM1856" s="34"/>
      <c r="AN1856" s="34"/>
      <c r="AO1856" s="34"/>
      <c r="AP1856" s="34"/>
      <c r="AQ1856" s="34"/>
      <c r="AR1856" s="34"/>
      <c r="AS1856" s="34"/>
      <c r="AT1856" s="34"/>
      <c r="AU1856" s="34"/>
      <c r="AV1856" s="34"/>
      <c r="AW1856" s="34"/>
      <c r="AX1856" s="34"/>
      <c r="AY1856" s="34"/>
      <c r="AZ1856" s="34"/>
      <c r="BA1856" s="34"/>
      <c r="BB1856" s="34"/>
      <c r="BC1856" s="34"/>
      <c r="BD1856" s="34"/>
      <c r="BE1856" s="34"/>
      <c r="BF1856" s="34"/>
      <c r="BG1856" s="34"/>
      <c r="BH1856" s="34"/>
      <c r="BI1856" s="34"/>
      <c r="BJ1856" s="34"/>
      <c r="BK1856" s="34"/>
      <c r="BL1856" s="34"/>
      <c r="BM1856" s="34"/>
      <c r="BN1856" s="34"/>
      <c r="BO1856" s="34"/>
      <c r="BP1856" s="34"/>
      <c r="BQ1856" s="34"/>
      <c r="BR1856" s="34"/>
      <c r="BS1856" s="34"/>
      <c r="BT1856" s="34"/>
      <c r="BU1856" s="34"/>
      <c r="BV1856" s="34"/>
      <c r="BW1856" s="34"/>
      <c r="BX1856" s="34"/>
      <c r="BY1856" s="34"/>
      <c r="BZ1856" s="34"/>
      <c r="CA1856" s="34"/>
      <c r="CB1856" s="34"/>
      <c r="CC1856" s="34"/>
      <c r="CD1856" s="34"/>
      <c r="CE1856" s="34"/>
      <c r="CF1856" s="34"/>
      <c r="CG1856" s="34"/>
      <c r="CH1856" s="34"/>
      <c r="CI1856" s="8"/>
    </row>
    <row r="1857" spans="1:87" x14ac:dyDescent="0.2">
      <c r="A1857" s="8" t="str">
        <f>IF(AND(COUNTIF(W$3:W$13,A$31)&gt;0,A$31&lt;&gt;B1816),A$31,IFERROR(IF(MATCH(A$31,Z$3:Z$13,0)=2,A$31," ")," "))</f>
        <v>C17</v>
      </c>
      <c r="B1857" s="8">
        <f>IF(A1857=" "," ",MAX(B1841:B1856)+1)</f>
        <v>7</v>
      </c>
      <c r="C1857" s="8"/>
      <c r="D1857" s="8"/>
      <c r="E1857" s="8"/>
      <c r="F1857" s="8"/>
      <c r="G1857" s="8"/>
      <c r="H1857" s="8"/>
      <c r="I1857" s="8"/>
      <c r="J1857" s="8"/>
      <c r="K1857" s="8"/>
      <c r="L1857" s="8"/>
      <c r="M1857" s="8"/>
      <c r="N1857" s="8"/>
      <c r="O1857" s="8"/>
      <c r="P1857" s="8"/>
      <c r="Q1857" s="8"/>
      <c r="R1857" s="8"/>
      <c r="S1857" s="8"/>
      <c r="U1857" s="34"/>
      <c r="V1857" s="34"/>
      <c r="W1857" s="34"/>
      <c r="X1857" s="34"/>
      <c r="Y1857" s="34"/>
      <c r="Z1857" s="34"/>
      <c r="AA1857" s="34"/>
      <c r="AB1857" s="34"/>
      <c r="AC1857" s="34"/>
      <c r="AD1857" s="34"/>
      <c r="AE1857" s="34"/>
      <c r="AF1857" s="34"/>
      <c r="AG1857" s="34"/>
      <c r="AH1857" s="34"/>
      <c r="AI1857" s="34"/>
      <c r="AJ1857" s="34"/>
      <c r="AK1857" s="34"/>
      <c r="AL1857" s="34"/>
      <c r="AM1857" s="34"/>
      <c r="AN1857" s="34"/>
      <c r="AO1857" s="34"/>
      <c r="AP1857" s="34"/>
      <c r="AQ1857" s="34"/>
      <c r="AR1857" s="34"/>
      <c r="AS1857" s="34"/>
      <c r="AT1857" s="34"/>
      <c r="AU1857" s="34"/>
      <c r="AV1857" s="34"/>
      <c r="AW1857" s="34"/>
      <c r="AX1857" s="34"/>
      <c r="AY1857" s="34"/>
      <c r="AZ1857" s="34"/>
      <c r="BA1857" s="34"/>
      <c r="BB1857" s="34"/>
      <c r="BC1857" s="34"/>
      <c r="BD1857" s="34"/>
      <c r="BE1857" s="34"/>
      <c r="BF1857" s="34"/>
      <c r="BG1857" s="34"/>
      <c r="BH1857" s="34"/>
      <c r="BI1857" s="34"/>
      <c r="BJ1857" s="34"/>
      <c r="BK1857" s="34"/>
      <c r="BL1857" s="34"/>
      <c r="BM1857" s="34"/>
      <c r="BN1857" s="34"/>
      <c r="BO1857" s="34"/>
      <c r="BP1857" s="34"/>
      <c r="BQ1857" s="34"/>
      <c r="BR1857" s="34"/>
      <c r="BS1857" s="34"/>
      <c r="BT1857" s="34"/>
      <c r="BU1857" s="34"/>
      <c r="BV1857" s="34"/>
      <c r="BW1857" s="34"/>
      <c r="BX1857" s="34"/>
      <c r="BY1857" s="34"/>
      <c r="BZ1857" s="34"/>
      <c r="CA1857" s="34"/>
      <c r="CB1857" s="34"/>
      <c r="CC1857" s="34"/>
      <c r="CD1857" s="34"/>
      <c r="CE1857" s="34"/>
      <c r="CF1857" s="34"/>
      <c r="CG1857" s="34"/>
      <c r="CH1857" s="34"/>
      <c r="CI1857" s="8"/>
    </row>
    <row r="1858" spans="1:87" x14ac:dyDescent="0.2">
      <c r="A1858" s="8" t="str">
        <f>IF(AND(COUNTIF(W$3:W$13,A$32)&gt;0,A$32&lt;&gt;B1816),A$32,IFERROR(IF(MATCH(A$32,Z$3:Z$13,0)=2,A$32," ")," "))</f>
        <v>C18</v>
      </c>
      <c r="B1858" s="8">
        <f>IF(A1858=" "," ",MAX(B1841:B1857)+1)</f>
        <v>8</v>
      </c>
      <c r="C1858" s="8"/>
      <c r="D1858" s="8"/>
      <c r="E1858" s="8"/>
      <c r="F1858" s="8"/>
      <c r="G1858" s="8"/>
      <c r="H1858" s="8"/>
      <c r="I1858" s="8"/>
      <c r="J1858" s="8"/>
      <c r="K1858" s="8"/>
      <c r="L1858" s="8"/>
      <c r="M1858" s="8"/>
      <c r="N1858" s="8"/>
      <c r="O1858" s="8"/>
      <c r="P1858" s="8"/>
      <c r="Q1858" s="8"/>
      <c r="R1858" s="8"/>
      <c r="S1858" s="8"/>
      <c r="U1858" s="34"/>
      <c r="V1858" s="34"/>
      <c r="W1858" s="34"/>
      <c r="X1858" s="34"/>
      <c r="Y1858" s="34"/>
      <c r="Z1858" s="34"/>
      <c r="AA1858" s="34"/>
      <c r="AB1858" s="34"/>
      <c r="AC1858" s="34"/>
      <c r="AD1858" s="34"/>
      <c r="AE1858" s="34"/>
      <c r="AF1858" s="34"/>
      <c r="AG1858" s="34"/>
      <c r="AH1858" s="34"/>
      <c r="AI1858" s="34"/>
      <c r="AJ1858" s="34"/>
      <c r="AK1858" s="34"/>
      <c r="AL1858" s="34"/>
      <c r="AM1858" s="34"/>
      <c r="AN1858" s="34"/>
      <c r="AO1858" s="34"/>
      <c r="AP1858" s="34"/>
      <c r="AQ1858" s="34"/>
      <c r="AR1858" s="34"/>
      <c r="AS1858" s="34"/>
      <c r="AT1858" s="34"/>
      <c r="AU1858" s="34"/>
      <c r="AV1858" s="34"/>
      <c r="AW1858" s="34"/>
      <c r="AX1858" s="34"/>
      <c r="AY1858" s="34"/>
      <c r="AZ1858" s="34"/>
      <c r="BA1858" s="34"/>
      <c r="BB1858" s="34"/>
      <c r="BC1858" s="34"/>
      <c r="BD1858" s="34"/>
      <c r="BE1858" s="34"/>
      <c r="BF1858" s="34"/>
      <c r="BG1858" s="34"/>
      <c r="BH1858" s="34"/>
      <c r="BI1858" s="34"/>
      <c r="BJ1858" s="34"/>
      <c r="BK1858" s="34"/>
      <c r="BL1858" s="34"/>
      <c r="BM1858" s="34"/>
      <c r="BN1858" s="34"/>
      <c r="BO1858" s="34"/>
      <c r="BP1858" s="34"/>
      <c r="BQ1858" s="34"/>
      <c r="BR1858" s="34"/>
      <c r="BS1858" s="34"/>
      <c r="BT1858" s="34"/>
      <c r="BU1858" s="34"/>
      <c r="BV1858" s="34"/>
      <c r="BW1858" s="34"/>
      <c r="BX1858" s="34"/>
      <c r="BY1858" s="34"/>
      <c r="BZ1858" s="34"/>
      <c r="CA1858" s="34"/>
      <c r="CB1858" s="34"/>
      <c r="CC1858" s="34"/>
      <c r="CD1858" s="34"/>
      <c r="CE1858" s="34"/>
      <c r="CF1858" s="34"/>
      <c r="CG1858" s="34"/>
      <c r="CH1858" s="34"/>
      <c r="CI1858" s="8"/>
    </row>
    <row r="1859" spans="1:87" x14ac:dyDescent="0.2">
      <c r="A1859" s="8" t="str">
        <f>IF(AND(COUNTIF(W$3:W$13,A$33)&gt;0,A$33&lt;&gt;B1816),A$33,IFERROR(IF(MATCH(A$33,Z$3:Z$13,0)=2,A$33," ")," "))</f>
        <v xml:space="preserve"> </v>
      </c>
      <c r="B1859" s="8" t="str">
        <f>IF(A1859=" "," ",MAX(B1841:B1858)+1)</f>
        <v xml:space="preserve"> </v>
      </c>
      <c r="C1859" s="8"/>
      <c r="D1859" s="8"/>
      <c r="E1859" s="8"/>
      <c r="F1859" s="8"/>
      <c r="G1859" s="8"/>
      <c r="H1859" s="8"/>
      <c r="I1859" s="8"/>
      <c r="J1859" s="8"/>
      <c r="K1859" s="8"/>
      <c r="L1859" s="8"/>
      <c r="M1859" s="8"/>
      <c r="N1859" s="8"/>
      <c r="O1859" s="8"/>
      <c r="P1859" s="8"/>
      <c r="Q1859" s="8"/>
      <c r="R1859" s="8"/>
      <c r="S1859" s="8"/>
      <c r="U1859" s="34"/>
      <c r="V1859" s="34"/>
      <c r="W1859" s="34"/>
      <c r="X1859" s="34"/>
      <c r="Y1859" s="34"/>
      <c r="Z1859" s="34"/>
      <c r="AA1859" s="34"/>
      <c r="AB1859" s="34"/>
      <c r="AC1859" s="34"/>
      <c r="AD1859" s="34"/>
      <c r="AE1859" s="34"/>
      <c r="AF1859" s="34"/>
      <c r="AG1859" s="34"/>
      <c r="AH1859" s="34"/>
      <c r="AI1859" s="34"/>
      <c r="AJ1859" s="34"/>
      <c r="AK1859" s="34"/>
      <c r="AL1859" s="34"/>
      <c r="AM1859" s="34"/>
      <c r="AN1859" s="34"/>
      <c r="AO1859" s="34"/>
      <c r="AP1859" s="34"/>
      <c r="AQ1859" s="34"/>
      <c r="AR1859" s="34"/>
      <c r="AS1859" s="34"/>
      <c r="AT1859" s="34"/>
      <c r="AU1859" s="34"/>
      <c r="AV1859" s="34"/>
      <c r="AW1859" s="34"/>
      <c r="AX1859" s="34"/>
      <c r="AY1859" s="34"/>
      <c r="AZ1859" s="34"/>
      <c r="BA1859" s="34"/>
      <c r="BB1859" s="34"/>
      <c r="BC1859" s="34"/>
      <c r="BD1859" s="34"/>
      <c r="BE1859" s="34"/>
      <c r="BF1859" s="34"/>
      <c r="BG1859" s="34"/>
      <c r="BH1859" s="34"/>
      <c r="BI1859" s="34"/>
      <c r="BJ1859" s="34"/>
      <c r="BK1859" s="34"/>
      <c r="BL1859" s="34"/>
      <c r="BM1859" s="34"/>
      <c r="BN1859" s="34"/>
      <c r="BO1859" s="34"/>
      <c r="BP1859" s="34"/>
      <c r="BQ1859" s="34"/>
      <c r="BR1859" s="34"/>
      <c r="BS1859" s="34"/>
      <c r="BT1859" s="34"/>
      <c r="BU1859" s="34"/>
      <c r="BV1859" s="34"/>
      <c r="BW1859" s="34"/>
      <c r="BX1859" s="34"/>
      <c r="BY1859" s="34"/>
      <c r="BZ1859" s="34"/>
      <c r="CA1859" s="34"/>
      <c r="CB1859" s="34"/>
      <c r="CC1859" s="34"/>
      <c r="CD1859" s="34"/>
      <c r="CE1859" s="34"/>
      <c r="CF1859" s="34"/>
      <c r="CG1859" s="34"/>
      <c r="CH1859" s="34"/>
      <c r="CI1859" s="8"/>
    </row>
    <row r="1860" spans="1:87" x14ac:dyDescent="0.2">
      <c r="A1860" s="8" t="str">
        <f>IF(AND(COUNTIF(W$3:W$13,A$34)&gt;0,A$34&lt;&gt;B1816),A$34,IFERROR(IF(MATCH(A$34,Z$3:Z$13,0)=2,A$34," ")," "))</f>
        <v>C20</v>
      </c>
      <c r="B1860" s="8">
        <f>IF(A1860=" "," ",MAX(B1841:B1859)+1)</f>
        <v>9</v>
      </c>
      <c r="C1860" s="8"/>
      <c r="D1860" s="8"/>
      <c r="E1860" s="8"/>
      <c r="F1860" s="8"/>
      <c r="G1860" s="8"/>
      <c r="H1860" s="8"/>
      <c r="I1860" s="8"/>
      <c r="J1860" s="8"/>
      <c r="K1860" s="8"/>
      <c r="L1860" s="8"/>
      <c r="M1860" s="8"/>
      <c r="N1860" s="8"/>
      <c r="O1860" s="8"/>
      <c r="P1860" s="8"/>
      <c r="Q1860" s="8"/>
      <c r="R1860" s="8"/>
      <c r="S1860" s="8"/>
      <c r="U1860" s="34"/>
      <c r="V1860" s="34"/>
      <c r="W1860" s="34"/>
      <c r="X1860" s="34"/>
      <c r="Y1860" s="34"/>
      <c r="Z1860" s="34"/>
      <c r="AA1860" s="34"/>
      <c r="AB1860" s="34"/>
      <c r="AC1860" s="34"/>
      <c r="AD1860" s="34"/>
      <c r="AE1860" s="34"/>
      <c r="AF1860" s="34"/>
      <c r="AG1860" s="34"/>
      <c r="AH1860" s="34"/>
      <c r="AI1860" s="34"/>
      <c r="AJ1860" s="34"/>
      <c r="AK1860" s="34"/>
      <c r="AL1860" s="34"/>
      <c r="AM1860" s="34"/>
      <c r="AN1860" s="34"/>
      <c r="AO1860" s="34"/>
      <c r="AP1860" s="34"/>
      <c r="AQ1860" s="34"/>
      <c r="AR1860" s="34"/>
      <c r="AS1860" s="34"/>
      <c r="AT1860" s="34"/>
      <c r="AU1860" s="34"/>
      <c r="AV1860" s="34"/>
      <c r="AW1860" s="34"/>
      <c r="AX1860" s="34"/>
      <c r="AY1860" s="34"/>
      <c r="AZ1860" s="34"/>
      <c r="BA1860" s="34"/>
      <c r="BB1860" s="34"/>
      <c r="BC1860" s="34"/>
      <c r="BD1860" s="34"/>
      <c r="BE1860" s="34"/>
      <c r="BF1860" s="34"/>
      <c r="BG1860" s="34"/>
      <c r="BH1860" s="34"/>
      <c r="BI1860" s="34"/>
      <c r="BJ1860" s="34"/>
      <c r="BK1860" s="34"/>
      <c r="BL1860" s="34"/>
      <c r="BM1860" s="34"/>
      <c r="BN1860" s="34"/>
      <c r="BO1860" s="34"/>
      <c r="BP1860" s="34"/>
      <c r="BQ1860" s="34"/>
      <c r="BR1860" s="34"/>
      <c r="BS1860" s="34"/>
      <c r="BT1860" s="34"/>
      <c r="BU1860" s="34"/>
      <c r="BV1860" s="34"/>
      <c r="BW1860" s="34"/>
      <c r="BX1860" s="34"/>
      <c r="BY1860" s="34"/>
      <c r="BZ1860" s="34"/>
      <c r="CA1860" s="34"/>
      <c r="CB1860" s="34"/>
      <c r="CC1860" s="34"/>
      <c r="CD1860" s="34"/>
      <c r="CE1860" s="34"/>
      <c r="CF1860" s="34"/>
      <c r="CG1860" s="34"/>
      <c r="CH1860" s="34"/>
      <c r="CI1860" s="8"/>
    </row>
    <row r="1861" spans="1:87" x14ac:dyDescent="0.2">
      <c r="A1861" s="8" t="str">
        <f>IF(AND(COUNTIF(W$3:W$13,A$35)&gt;0,A$35&lt;&gt;B1816),A$35,IFERROR(IF(MATCH(A$35,Z$3:Z$13,0)=2,A$35," ")," "))</f>
        <v>C21</v>
      </c>
      <c r="B1861" s="8">
        <f>IF(A1861=" "," ",MAX(B1841:B1860)+1)</f>
        <v>10</v>
      </c>
      <c r="C1861" s="8"/>
      <c r="D1861" s="8"/>
      <c r="E1861" s="8"/>
      <c r="F1861" s="8"/>
      <c r="G1861" s="8"/>
      <c r="H1861" s="8"/>
      <c r="I1861" s="8"/>
      <c r="J1861" s="8"/>
      <c r="K1861" s="8"/>
      <c r="L1861" s="8"/>
      <c r="M1861" s="8"/>
      <c r="N1861" s="8"/>
      <c r="O1861" s="8"/>
      <c r="P1861" s="8"/>
      <c r="Q1861" s="8"/>
      <c r="R1861" s="8"/>
      <c r="S1861" s="8"/>
      <c r="U1861" s="34"/>
      <c r="V1861" s="34"/>
      <c r="W1861" s="34"/>
      <c r="X1861" s="34"/>
      <c r="Y1861" s="34"/>
      <c r="Z1861" s="34"/>
      <c r="AA1861" s="34"/>
      <c r="AB1861" s="34"/>
      <c r="AC1861" s="34"/>
      <c r="AD1861" s="34"/>
      <c r="AE1861" s="34"/>
      <c r="AF1861" s="34"/>
      <c r="AG1861" s="34"/>
      <c r="AH1861" s="34"/>
      <c r="AI1861" s="34"/>
      <c r="AJ1861" s="34"/>
      <c r="AK1861" s="34"/>
      <c r="AL1861" s="34"/>
      <c r="AM1861" s="34"/>
      <c r="AN1861" s="34"/>
      <c r="AO1861" s="34"/>
      <c r="AP1861" s="34"/>
      <c r="AQ1861" s="34"/>
      <c r="AR1861" s="34"/>
      <c r="AS1861" s="34"/>
      <c r="AT1861" s="34"/>
      <c r="AU1861" s="34"/>
      <c r="AV1861" s="34"/>
      <c r="AW1861" s="34"/>
      <c r="AX1861" s="34"/>
      <c r="AY1861" s="34"/>
      <c r="AZ1861" s="34"/>
      <c r="BA1861" s="34"/>
      <c r="BB1861" s="34"/>
      <c r="BC1861" s="34"/>
      <c r="BD1861" s="34"/>
      <c r="BE1861" s="34"/>
      <c r="BF1861" s="34"/>
      <c r="BG1861" s="34"/>
      <c r="BH1861" s="34"/>
      <c r="BI1861" s="34"/>
      <c r="BJ1861" s="34"/>
      <c r="BK1861" s="34"/>
      <c r="BL1861" s="34"/>
      <c r="BM1861" s="34"/>
      <c r="BN1861" s="34"/>
      <c r="BO1861" s="34"/>
      <c r="BP1861" s="34"/>
      <c r="BQ1861" s="34"/>
      <c r="BR1861" s="34"/>
      <c r="BS1861" s="34"/>
      <c r="BT1861" s="34"/>
      <c r="BU1861" s="34"/>
      <c r="BV1861" s="34"/>
      <c r="BW1861" s="34"/>
      <c r="BX1861" s="34"/>
      <c r="BY1861" s="34"/>
      <c r="BZ1861" s="34"/>
      <c r="CA1861" s="34"/>
      <c r="CB1861" s="34"/>
      <c r="CC1861" s="34"/>
      <c r="CD1861" s="34"/>
      <c r="CE1861" s="34"/>
      <c r="CF1861" s="34"/>
      <c r="CG1861" s="34"/>
      <c r="CH1861" s="34"/>
      <c r="CI1861" s="8"/>
    </row>
    <row r="1862" spans="1:87" x14ac:dyDescent="0.2">
      <c r="A1862" s="8" t="str">
        <f>IF(AND(COUNTIF(W$3:W$13,A$36)&gt;0,A$36&lt;&gt;B1816),A$36,IFERROR(IF(MATCH(A$36,Z$3:Z$13,0)=2,A$36," ")," "))</f>
        <v>C22</v>
      </c>
      <c r="B1862" s="8">
        <f>IF(A1862=" "," ",MAX(B1841:B1861)+1)</f>
        <v>11</v>
      </c>
      <c r="C1862" s="8"/>
      <c r="D1862" s="8"/>
      <c r="E1862" s="8"/>
      <c r="F1862" s="8"/>
      <c r="G1862" s="8"/>
      <c r="H1862" s="8"/>
      <c r="I1862" s="8"/>
      <c r="J1862" s="8"/>
      <c r="K1862" s="8"/>
      <c r="L1862" s="8"/>
      <c r="M1862" s="8"/>
      <c r="N1862" s="8"/>
      <c r="O1862" s="8"/>
      <c r="P1862" s="8"/>
      <c r="Q1862" s="8"/>
      <c r="R1862" s="8"/>
      <c r="S1862" s="8"/>
      <c r="U1862" s="34"/>
      <c r="V1862" s="34"/>
      <c r="W1862" s="34"/>
      <c r="X1862" s="34"/>
      <c r="Y1862" s="34"/>
      <c r="Z1862" s="34"/>
      <c r="AA1862" s="34"/>
      <c r="AB1862" s="34"/>
      <c r="AC1862" s="34"/>
      <c r="AD1862" s="34"/>
      <c r="AE1862" s="34"/>
      <c r="AF1862" s="34"/>
      <c r="AG1862" s="34"/>
      <c r="AH1862" s="34"/>
      <c r="AI1862" s="34"/>
      <c r="AJ1862" s="34"/>
      <c r="AK1862" s="34"/>
      <c r="AL1862" s="34"/>
      <c r="AM1862" s="34"/>
      <c r="AN1862" s="34"/>
      <c r="AO1862" s="34"/>
      <c r="AP1862" s="34"/>
      <c r="AQ1862" s="34"/>
      <c r="AR1862" s="34"/>
      <c r="AS1862" s="34"/>
      <c r="AT1862" s="34"/>
      <c r="AU1862" s="34"/>
      <c r="AV1862" s="34"/>
      <c r="AW1862" s="34"/>
      <c r="AX1862" s="34"/>
      <c r="AY1862" s="34"/>
      <c r="AZ1862" s="34"/>
      <c r="BA1862" s="34"/>
      <c r="BB1862" s="34"/>
      <c r="BC1862" s="34"/>
      <c r="BD1862" s="34"/>
      <c r="BE1862" s="34"/>
      <c r="BF1862" s="34"/>
      <c r="BG1862" s="34"/>
      <c r="BH1862" s="34"/>
      <c r="BI1862" s="34"/>
      <c r="BJ1862" s="34"/>
      <c r="BK1862" s="34"/>
      <c r="BL1862" s="34"/>
      <c r="BM1862" s="34"/>
      <c r="BN1862" s="34"/>
      <c r="BO1862" s="34"/>
      <c r="BP1862" s="34"/>
      <c r="BQ1862" s="34"/>
      <c r="BR1862" s="34"/>
      <c r="BS1862" s="34"/>
      <c r="BT1862" s="34"/>
      <c r="BU1862" s="34"/>
      <c r="BV1862" s="34"/>
      <c r="BW1862" s="34"/>
      <c r="BX1862" s="34"/>
      <c r="BY1862" s="34"/>
      <c r="BZ1862" s="34"/>
      <c r="CA1862" s="34"/>
      <c r="CB1862" s="34"/>
      <c r="CC1862" s="34"/>
      <c r="CD1862" s="34"/>
      <c r="CE1862" s="34"/>
      <c r="CF1862" s="34"/>
      <c r="CG1862" s="34"/>
      <c r="CH1862" s="34"/>
      <c r="CI1862" s="8"/>
    </row>
    <row r="1863" spans="1:87" x14ac:dyDescent="0.2">
      <c r="A1863" s="11" t="s">
        <v>17</v>
      </c>
      <c r="B1863" s="11"/>
      <c r="C1863" s="27" t="s">
        <v>18</v>
      </c>
      <c r="D1863" s="27" t="s">
        <v>2</v>
      </c>
      <c r="E1863" s="27" t="s">
        <v>6</v>
      </c>
      <c r="F1863" s="27" t="s">
        <v>15</v>
      </c>
      <c r="G1863" s="27" t="s">
        <v>36</v>
      </c>
      <c r="H1863" s="27" t="s">
        <v>37</v>
      </c>
      <c r="I1863" s="27" t="s">
        <v>38</v>
      </c>
      <c r="J1863" s="27" t="s">
        <v>39</v>
      </c>
      <c r="K1863" s="27" t="s">
        <v>40</v>
      </c>
      <c r="L1863" s="27" t="s">
        <v>41</v>
      </c>
      <c r="M1863" s="27" t="s">
        <v>42</v>
      </c>
      <c r="N1863" s="27" t="s">
        <v>43</v>
      </c>
      <c r="O1863" s="27" t="s">
        <v>9</v>
      </c>
      <c r="P1863" s="27" t="s">
        <v>12</v>
      </c>
      <c r="Q1863" s="27" t="s">
        <v>19</v>
      </c>
      <c r="R1863" s="27" t="s">
        <v>55</v>
      </c>
      <c r="S1863" s="27" t="s">
        <v>26</v>
      </c>
      <c r="T1863" s="19" t="s">
        <v>25</v>
      </c>
      <c r="U1863" s="33" t="s">
        <v>27</v>
      </c>
      <c r="V1863" s="33" t="s">
        <v>9</v>
      </c>
      <c r="W1863" s="33" t="s">
        <v>23</v>
      </c>
      <c r="X1863" s="33" t="s">
        <v>12</v>
      </c>
      <c r="Y1863" s="33" t="s">
        <v>26</v>
      </c>
      <c r="Z1863" s="33" t="s">
        <v>25</v>
      </c>
      <c r="AA1863" s="33" t="s">
        <v>27</v>
      </c>
      <c r="AB1863" s="33" t="s">
        <v>9</v>
      </c>
      <c r="AC1863" s="33" t="s">
        <v>23</v>
      </c>
      <c r="AD1863" s="33" t="s">
        <v>12</v>
      </c>
      <c r="AE1863" s="33" t="s">
        <v>26</v>
      </c>
      <c r="AF1863" s="33" t="s">
        <v>25</v>
      </c>
      <c r="AG1863" s="33" t="s">
        <v>27</v>
      </c>
      <c r="AH1863" s="33" t="s">
        <v>9</v>
      </c>
      <c r="AI1863" s="33" t="s">
        <v>23</v>
      </c>
      <c r="AJ1863" s="33" t="s">
        <v>12</v>
      </c>
      <c r="AK1863" s="33" t="s">
        <v>26</v>
      </c>
      <c r="AL1863" s="33" t="s">
        <v>25</v>
      </c>
      <c r="AM1863" s="33" t="s">
        <v>27</v>
      </c>
      <c r="AN1863" s="33" t="s">
        <v>9</v>
      </c>
      <c r="AO1863" s="33" t="s">
        <v>23</v>
      </c>
      <c r="AP1863" s="33" t="s">
        <v>12</v>
      </c>
      <c r="AQ1863" s="33" t="s">
        <v>26</v>
      </c>
      <c r="AR1863" s="33" t="s">
        <v>25</v>
      </c>
      <c r="AS1863" s="33" t="s">
        <v>27</v>
      </c>
      <c r="AT1863" s="33" t="s">
        <v>9</v>
      </c>
      <c r="AU1863" s="33" t="s">
        <v>23</v>
      </c>
      <c r="AV1863" s="33" t="s">
        <v>12</v>
      </c>
      <c r="AW1863" s="33" t="s">
        <v>26</v>
      </c>
      <c r="AX1863" s="33" t="s">
        <v>25</v>
      </c>
      <c r="AY1863" s="33" t="s">
        <v>27</v>
      </c>
      <c r="AZ1863" s="33" t="s">
        <v>9</v>
      </c>
      <c r="BA1863" s="33" t="s">
        <v>23</v>
      </c>
      <c r="BB1863" s="33" t="s">
        <v>12</v>
      </c>
      <c r="BC1863" s="33" t="s">
        <v>26</v>
      </c>
      <c r="BD1863" s="33" t="s">
        <v>25</v>
      </c>
      <c r="BE1863" s="33" t="s">
        <v>27</v>
      </c>
      <c r="BF1863" s="33" t="s">
        <v>9</v>
      </c>
      <c r="BG1863" s="33" t="s">
        <v>23</v>
      </c>
      <c r="BH1863" s="33" t="s">
        <v>12</v>
      </c>
      <c r="BI1863" s="33" t="s">
        <v>26</v>
      </c>
      <c r="BJ1863" s="33" t="s">
        <v>25</v>
      </c>
      <c r="BK1863" s="33" t="s">
        <v>27</v>
      </c>
      <c r="BL1863" s="33" t="s">
        <v>9</v>
      </c>
      <c r="BM1863" s="33" t="s">
        <v>23</v>
      </c>
      <c r="BN1863" s="33" t="s">
        <v>12</v>
      </c>
      <c r="BO1863" s="33" t="s">
        <v>26</v>
      </c>
      <c r="BP1863" s="33" t="s">
        <v>25</v>
      </c>
      <c r="BQ1863" s="33" t="s">
        <v>27</v>
      </c>
      <c r="BR1863" s="33" t="s">
        <v>9</v>
      </c>
      <c r="BS1863" s="33" t="s">
        <v>23</v>
      </c>
      <c r="BT1863" s="33" t="s">
        <v>12</v>
      </c>
      <c r="BU1863" s="33" t="s">
        <v>26</v>
      </c>
      <c r="BV1863" s="33" t="s">
        <v>25</v>
      </c>
      <c r="BW1863" s="33" t="s">
        <v>27</v>
      </c>
      <c r="BX1863" s="33" t="s">
        <v>9</v>
      </c>
      <c r="BY1863" s="33" t="s">
        <v>23</v>
      </c>
      <c r="BZ1863" s="33" t="s">
        <v>12</v>
      </c>
      <c r="CA1863" s="33" t="s">
        <v>26</v>
      </c>
      <c r="CB1863" s="33" t="s">
        <v>25</v>
      </c>
      <c r="CC1863" s="33" t="s">
        <v>27</v>
      </c>
      <c r="CD1863" s="33" t="s">
        <v>9</v>
      </c>
      <c r="CE1863" s="33" t="s">
        <v>23</v>
      </c>
      <c r="CF1863" s="33" t="s">
        <v>12</v>
      </c>
      <c r="CG1863" s="33" t="s">
        <v>26</v>
      </c>
      <c r="CH1863" s="33" t="s">
        <v>25</v>
      </c>
      <c r="CI1863" s="8"/>
    </row>
    <row r="1864" spans="1:87" x14ac:dyDescent="0.2">
      <c r="A1864" s="8" t="str">
        <f>IF(AND(COUNTIF(W$3:W$13,A$15)&gt;0,A$15&lt;&gt;B1816),A$15,IFERROR(IF(MATCH(A$15,Z$3:Z$13,0)=3,A$15," ")," "))</f>
        <v xml:space="preserve"> </v>
      </c>
      <c r="B1864" s="8" t="str">
        <f>IF(A1864=" "," ",1)</f>
        <v xml:space="preserve"> </v>
      </c>
      <c r="C1864" s="8" t="str">
        <f>IFERROR(INDEX(A1864:A1885,MATCH(SMALL(B1864:B1885,1),B1864:B1885,0),1)," ")</f>
        <v>C3</v>
      </c>
      <c r="D1864" s="8">
        <f>IFERROR(VLOOKUP($C1864,$A$15:$O$36,2,FALSE)," ")</f>
        <v>2</v>
      </c>
      <c r="E1864" s="8">
        <f>IFERROR(VLOOKUP($C1864,$A$15:$O$36,3,FALSE)," ")</f>
        <v>5</v>
      </c>
      <c r="F1864" s="8">
        <f>IFERROR(VLOOKUP($C1864,$A$15:$O$36,4,FALSE)," ")</f>
        <v>6</v>
      </c>
      <c r="G1864" s="8">
        <f>IFERROR(VLOOKUP($C1864,$A$15:$O$36,5,FALSE)," ")</f>
        <v>0</v>
      </c>
      <c r="H1864" s="8">
        <f>IFERROR(VLOOKUP($C1864,$A$15:$O$36,6,FALSE)," ")</f>
        <v>0</v>
      </c>
      <c r="I1864" s="8">
        <f>IFERROR(VLOOKUP($C1864,$A$15:$O$36,7,FALSE)," ")</f>
        <v>0</v>
      </c>
      <c r="J1864" s="8">
        <f>IFERROR(VLOOKUP($C1864,$A$15:$O$36,8,FALSE)," ")</f>
        <v>0</v>
      </c>
      <c r="K1864" s="8">
        <f>IFERROR(VLOOKUP($C1864,$A$15:$O$36,9,FALSE)," ")</f>
        <v>0</v>
      </c>
      <c r="L1864" s="8">
        <f>IFERROR(VLOOKUP($C1864,$A$15:$O$36,10,FALSE)," ")</f>
        <v>0</v>
      </c>
      <c r="M1864" s="8">
        <f>IFERROR(VLOOKUP($C1864,$A$15:$O$36,11,FALSE)," ")</f>
        <v>0</v>
      </c>
      <c r="N1864" s="8">
        <f>IFERROR(VLOOKUP($C1864,$A$15:$O$36,12,FALSE)," ")</f>
        <v>0</v>
      </c>
      <c r="O1864" s="8">
        <f>IFERROR(VLOOKUP($C1864,$A$15:$O$36,15,FALSE)," ")</f>
        <v>2000</v>
      </c>
      <c r="P1864" s="8" t="e">
        <f t="array" ref="P1864:P1874">MMULT(MINVERSE(D1864:N1874),O1864:O1874)</f>
        <v>#NUM!</v>
      </c>
      <c r="Q1864" s="8" t="e">
        <f t="shared" ref="Q1864" si="8052">IF(COUNTIF(P1864:P1874,"&lt;"&amp;-0.001)=0,IF(ABS(P1864)&lt;0.001,0,P1864)," ")</f>
        <v>#NUM!</v>
      </c>
      <c r="R1864" s="8" t="str">
        <f>IFERROR(VLOOKUP(B1816,A$15:L$36,2,FALSE)*Q1864+VLOOKUP(B1816,A$15:L$36,3,FALSE)*Q1865+VLOOKUP(B1816,A$15:L$36,4,FALSE)*Q1866+VLOOKUP(B1816,A$15:L$36,5,FALSE)*Q1867+VLOOKUP(B1816,A$15:L$36,6,FALSE)*Q1868+VLOOKUP(B1816,A$15:L$36,7,FALSE)*Q1869+VLOOKUP(B1816,A$15:L$36,8,FALSE)*Q1870+VLOOKUP(B1816,A$15:L$36,9,FALSE)*Q1871+VLOOKUP(B1816,A$15:L$36,10,FALSE)*Q1872+VLOOKUP(B1816,A$15:L$36,11,FALSE)*Q1873+VLOOKUP(B1816,A$15:L$36,12,FALSE)*Q1874," ")</f>
        <v xml:space="preserve"> </v>
      </c>
      <c r="S1864" s="8" t="str">
        <f>IFERROR(IF(R1864-VLOOKUP(B1816,A$15:O$36,15,FALSE)&lt;0,R1864-VLOOKUP(B1816,A$15:O$36,15,FALSE)," ")," ")</f>
        <v xml:space="preserve"> </v>
      </c>
      <c r="T1864" s="18" t="str">
        <f>IFERROR(IF(R1864-VLOOKUP(B1816,A$15:O$36,15,FALSE)&gt;0,R1864-VLOOKUP(B1816,A$15:O$36,15,FALSE)," ")," ")</f>
        <v xml:space="preserve"> </v>
      </c>
      <c r="U1864" s="34">
        <f t="shared" ref="U1864" si="8053">$M$2</f>
        <v>100.00000000000001</v>
      </c>
      <c r="V1864" s="34">
        <v>-1</v>
      </c>
      <c r="W1864" s="34">
        <f t="shared" ref="W1864" si="8054">-SUMPRODUCT($M$3:$M$12,$N$3:$N$12)</f>
        <v>-105000</v>
      </c>
      <c r="X1864" s="34" t="e">
        <f t="shared" ref="X1864" si="8055">IF(U1864&lt;&gt;U1865,MMULT(MINVERSE(U1864:V1865),W1864:W1865)," ")</f>
        <v>#NUM!</v>
      </c>
      <c r="Y1864" s="34" t="str">
        <f t="shared" ref="Y1864" si="8056">IFERROR(IF(X1864-VLOOKUP(U$38,$A$2:$N$12,14,FALSE)&lt;0,X1864-VLOOKUP(U$38,$A$2:$N$12,14,FALSE)," ")," ")</f>
        <v xml:space="preserve"> </v>
      </c>
      <c r="Z1864" s="34" t="str">
        <f t="shared" ref="Z1864" si="8057">IFERROR(IF(X1864-VLOOKUP(U$38,$A$2:$N$12,14,FALSE)&gt;0,X1864-VLOOKUP(U$38,$A$2:$N$12,14,FALSE)," ")," ")</f>
        <v xml:space="preserve"> </v>
      </c>
      <c r="AA1864" s="34">
        <f t="shared" ref="AA1864" si="8058">$M$3</f>
        <v>0</v>
      </c>
      <c r="AB1864" s="34">
        <v>-1</v>
      </c>
      <c r="AC1864" s="34">
        <f t="shared" ref="AC1864" si="8059">-SUMPRODUCT($M$2:$M$2,$N$2:$N$2)-SUMPRODUCT($M$4:$M$12,$N$4:$N$12)</f>
        <v>-120000</v>
      </c>
      <c r="AD1864" s="34" t="e">
        <f t="shared" ref="AD1864" si="8060">IF(AA1864&lt;&gt;AA1865,MMULT(MINVERSE(AA1864:AB1865),AC1864:AC1865)," ")</f>
        <v>#NUM!</v>
      </c>
      <c r="AE1864" s="34" t="str">
        <f t="shared" ref="AE1864" si="8061">IFERROR(IF(AD1864-VLOOKUP(AA$38,$A$2:$N$12,14,FALSE)&lt;0,AD1864-VLOOKUP(AA$38,$A$2:$N$12,14,FALSE)," ")," ")</f>
        <v xml:space="preserve"> </v>
      </c>
      <c r="AF1864" s="34" t="str">
        <f t="shared" ref="AF1864" si="8062">IFERROR(IF(AD1864-VLOOKUP(AA$38,$A$2:$N$12,14,FALSE)&gt;0,AD1864-VLOOKUP(AA$38,$A$2:$N$12,14,FALSE)," ")," ")</f>
        <v xml:space="preserve"> </v>
      </c>
      <c r="AG1864" s="34">
        <f t="shared" ref="AG1864" si="8063">$M$4</f>
        <v>300</v>
      </c>
      <c r="AH1864" s="34">
        <v>-1</v>
      </c>
      <c r="AI1864" s="34">
        <f t="shared" ref="AI1864" si="8064">-SUMPRODUCT($M$2:$M$3,$N$2:$N$3)-SUMPRODUCT($M$5:$M$12,$N$5:$N$12)</f>
        <v>-15000.000000000002</v>
      </c>
      <c r="AJ1864" s="34" t="e">
        <f t="shared" ref="AJ1864" si="8065">IF(AG1864&lt;&gt;AG1865,MMULT(MINVERSE(AG1864:AH1865),AI1864:AI1865)," ")</f>
        <v>#NUM!</v>
      </c>
      <c r="AK1864" s="34" t="str">
        <f t="shared" ref="AK1864" si="8066">IFERROR(IF(AJ1864-VLOOKUP(AG$38,$A$2:$N$12,14,FALSE)&lt;0,AJ1864-VLOOKUP(AG$38,$A$2:$N$12,14,FALSE)," ")," ")</f>
        <v xml:space="preserve"> </v>
      </c>
      <c r="AL1864" s="34" t="str">
        <f t="shared" ref="AL1864" si="8067">IFERROR(IF(AJ1864-VLOOKUP(AG$38,$A$2:$N$12,14,FALSE)&gt;0,AJ1864-VLOOKUP(AG$38,$A$2:$N$12,14,FALSE)," ")," ")</f>
        <v xml:space="preserve"> </v>
      </c>
      <c r="AM1864" s="34">
        <f t="shared" ref="AM1864" si="8068">$M$5</f>
        <v>0</v>
      </c>
      <c r="AN1864" s="34">
        <v>-1</v>
      </c>
      <c r="AO1864" s="34">
        <f t="shared" ref="AO1864" si="8069">-SUMPRODUCT($M$2:$M$4,$N$2:$N$4)-SUMPRODUCT($M$6:$M$12,$N$6:$N$12)</f>
        <v>-120000</v>
      </c>
      <c r="AP1864" s="34" t="e">
        <f t="shared" ref="AP1864" si="8070">IF(AM1864&lt;&gt;AM1865,MMULT(MINVERSE(AM1864:AN1865),AO1864:AO1865)," ")</f>
        <v>#NUM!</v>
      </c>
      <c r="AQ1864" s="34" t="str">
        <f t="shared" ref="AQ1864" si="8071">IFERROR(IF(AP1864-VLOOKUP(AM$38,$A$2:$N$12,14,FALSE)&lt;0,AP1864-VLOOKUP(AM$38,$A$2:$N$12,14,FALSE)," ")," ")</f>
        <v xml:space="preserve"> </v>
      </c>
      <c r="AR1864" s="34" t="str">
        <f t="shared" ref="AR1864" si="8072">IFERROR(IF(AP1864-VLOOKUP(AM$38,$A$2:$N$12,14,FALSE)&gt;0,AP1864-VLOOKUP(AM$38,$A$2:$N$12,14,FALSE)," ")," ")</f>
        <v xml:space="preserve"> </v>
      </c>
      <c r="AS1864" s="34">
        <f t="shared" ref="AS1864" si="8073">$M$6</f>
        <v>0</v>
      </c>
      <c r="AT1864" s="34">
        <v>-1</v>
      </c>
      <c r="AU1864" s="34">
        <f t="shared" ref="AU1864" si="8074">-SUMPRODUCT($M$2:$M$5,$N$2:$N$5)-SUMPRODUCT($M$7:$M$12,$N$7:$N$12)</f>
        <v>-120000</v>
      </c>
      <c r="AV1864" s="34" t="e">
        <f t="shared" ref="AV1864" si="8075">IF(AS1864&lt;&gt;AS1865,MMULT(MINVERSE(AS1864:AT1865),AU1864:AU1865)," ")</f>
        <v>#NUM!</v>
      </c>
      <c r="AW1864" s="34" t="str">
        <f t="shared" ref="AW1864" si="8076">IFERROR(IF(AV1864-VLOOKUP(AS$38,$A$2:$N$12,14,FALSE)&lt;0,AV1864-VLOOKUP(AS$38,$A$2:$N$12,14,FALSE)," ")," ")</f>
        <v xml:space="preserve"> </v>
      </c>
      <c r="AX1864" s="34" t="str">
        <f t="shared" ref="AX1864" si="8077">IFERROR(IF(AV1864-VLOOKUP(AS$38,$A$2:$N$12,14,FALSE)&gt;0,AV1864-VLOOKUP(AS$38,$A$2:$N$12,14,FALSE)," ")," ")</f>
        <v xml:space="preserve"> </v>
      </c>
      <c r="AY1864" s="34">
        <f t="shared" ref="AY1864" si="8078">$M$7</f>
        <v>0</v>
      </c>
      <c r="AZ1864" s="34">
        <v>-1</v>
      </c>
      <c r="BA1864" s="34">
        <f t="shared" ref="BA1864" si="8079">-SUMPRODUCT($M$2:$M$6,$N$2:$N$6)-SUMPRODUCT($M$8:$M$12,$N$8:$N$12)</f>
        <v>-120000</v>
      </c>
      <c r="BB1864" s="34" t="e">
        <f t="shared" ref="BB1864" si="8080">IF(AY1864&lt;&gt;AY1865,MMULT(MINVERSE(AY1864:AZ1865),BA1864:BA1865)," ")</f>
        <v>#NUM!</v>
      </c>
      <c r="BC1864" s="34" t="str">
        <f t="shared" ref="BC1864" si="8081">IFERROR(IF(BB1864-VLOOKUP(AY$38,$A$2:$N$12,14,FALSE)&lt;0,BB1864-VLOOKUP(AY$38,$A$2:$N$12,14,FALSE)," ")," ")</f>
        <v xml:space="preserve"> </v>
      </c>
      <c r="BD1864" s="34" t="str">
        <f t="shared" ref="BD1864" si="8082">IFERROR(IF(BB1864-VLOOKUP(AY$38,$A$2:$N$12,14,FALSE)&gt;0,BB1864-VLOOKUP(AY$38,$A$2:$N$12,14,FALSE)," ")," ")</f>
        <v xml:space="preserve"> </v>
      </c>
      <c r="BE1864" s="34">
        <f t="shared" ref="BE1864" si="8083">$M$8</f>
        <v>0</v>
      </c>
      <c r="BF1864" s="34">
        <v>-1</v>
      </c>
      <c r="BG1864" s="34">
        <f t="shared" ref="BG1864" si="8084">-SUMPRODUCT($M$2:$M$7,$N$2:$N$7)-SUMPRODUCT($M$9:$M$12,$N$9:$N$12)</f>
        <v>-120000</v>
      </c>
      <c r="BH1864" s="34" t="e">
        <f t="shared" ref="BH1864" si="8085">IF(BE1864&lt;&gt;BE1865,MMULT(MINVERSE(BE1864:BF1865),BG1864:BG1865)," ")</f>
        <v>#NUM!</v>
      </c>
      <c r="BI1864" s="34" t="str">
        <f t="shared" ref="BI1864" si="8086">IFERROR(IF(BH1864-VLOOKUP(BE$38,$A$2:$N$12,14,FALSE)&lt;0,BH1864-VLOOKUP(BE$38,$A$2:$N$12,14,FALSE)," ")," ")</f>
        <v xml:space="preserve"> </v>
      </c>
      <c r="BJ1864" s="34" t="str">
        <f t="shared" ref="BJ1864" si="8087">IFERROR(IF(BH1864-VLOOKUP(BE$38,$A$2:$N$12,14,FALSE)&gt;0,BH1864-VLOOKUP(BE$38,$A$2:$N$12,14,FALSE)," ")," ")</f>
        <v xml:space="preserve"> </v>
      </c>
      <c r="BK1864" s="34">
        <f t="shared" ref="BK1864" si="8088">$M$9</f>
        <v>0</v>
      </c>
      <c r="BL1864" s="34">
        <v>-1</v>
      </c>
      <c r="BM1864" s="34">
        <f t="shared" ref="BM1864" si="8089">-SUMPRODUCT($M$2:$M$8,$N$2:$N$8)-SUMPRODUCT($M$10:$M$12,$N$10:$N$12)</f>
        <v>-120000</v>
      </c>
      <c r="BN1864" s="34" t="e">
        <f t="shared" ref="BN1864" si="8090">IF(BK1864&lt;&gt;BK1865,MMULT(MINVERSE(BK1864:BL1865),BM1864:BM1865)," ")</f>
        <v>#NUM!</v>
      </c>
      <c r="BO1864" s="34" t="str">
        <f t="shared" ref="BO1864" si="8091">IFERROR(IF(BN1864-VLOOKUP(BK$38,$A$2:$N$12,14,FALSE)&lt;0,BN1864-VLOOKUP(BK$38,$A$2:$N$12,14,FALSE)," ")," ")</f>
        <v xml:space="preserve"> </v>
      </c>
      <c r="BP1864" s="34" t="str">
        <f t="shared" ref="BP1864" si="8092">IFERROR(IF(BN1864-VLOOKUP(BK$38,$A$2:$N$12,14,FALSE)&gt;0,BN1864-VLOOKUP(BK$38,$A$2:$N$12,14,FALSE)," ")," ")</f>
        <v xml:space="preserve"> </v>
      </c>
      <c r="BQ1864" s="34">
        <f t="shared" ref="BQ1864" si="8093">$M$10</f>
        <v>0</v>
      </c>
      <c r="BR1864" s="34">
        <v>-1</v>
      </c>
      <c r="BS1864" s="34">
        <f t="shared" ref="BS1864" si="8094">-SUMPRODUCT($M$2:$M$9,$N$2:$N$9)-SUMPRODUCT($M$11:$M$12,$N$11:$N$12)</f>
        <v>-120000</v>
      </c>
      <c r="BT1864" s="34" t="e">
        <f t="shared" ref="BT1864" si="8095">IF(BQ1864&lt;&gt;BQ1865,MMULT(MINVERSE(BQ1864:BR1865),BS1864:BS1865)," ")</f>
        <v>#NUM!</v>
      </c>
      <c r="BU1864" s="34" t="str">
        <f t="shared" ref="BU1864" si="8096">IFERROR(IF(BT1864-VLOOKUP(BQ$38,$A$2:$N$12,14,FALSE)&lt;0,BT1864-VLOOKUP(BQ$38,$A$2:$N$12,14,FALSE)," ")," ")</f>
        <v xml:space="preserve"> </v>
      </c>
      <c r="BV1864" s="34" t="str">
        <f t="shared" ref="BV1864" si="8097">IFERROR(IF(BT1864-VLOOKUP(BQ$38,$A$2:$N$12,14,FALSE)&gt;0,BT1864-VLOOKUP(BQ$38,$A$2:$N$12,14,FALSE)," ")," ")</f>
        <v xml:space="preserve"> </v>
      </c>
      <c r="BW1864" s="34">
        <f t="shared" ref="BW1864" si="8098">$M$11</f>
        <v>0</v>
      </c>
      <c r="BX1864" s="34">
        <v>-1</v>
      </c>
      <c r="BY1864" s="34">
        <f t="shared" ref="BY1864" si="8099">-SUMPRODUCT($M$2:$M$10,$N$2:$N$10)-SUMPRODUCT($M$12,$N$12)</f>
        <v>-120000</v>
      </c>
      <c r="BZ1864" s="34" t="e">
        <f t="shared" ref="BZ1864" si="8100">IF(BW1864&lt;&gt;BW1865,MMULT(MINVERSE(BW1864:BX1865),BY1864:BY1865)," ")</f>
        <v>#NUM!</v>
      </c>
      <c r="CA1864" s="34" t="str">
        <f t="shared" ref="CA1864" si="8101">IFERROR(IF(BZ1864-VLOOKUP(BW$38,$A$2:$N$12,14,FALSE)&lt;0,BZ1864-VLOOKUP(BW$38,$A$2:$N$12,14,FALSE)," ")," ")</f>
        <v xml:space="preserve"> </v>
      </c>
      <c r="CB1864" s="34" t="str">
        <f t="shared" ref="CB1864" si="8102">IFERROR(IF(BZ1864-VLOOKUP(BW$38,$A$2:$N$12,14,FALSE)&gt;0,BZ1864-VLOOKUP(BW$38,$A$2:$N$12,14,FALSE)," ")," ")</f>
        <v xml:space="preserve"> </v>
      </c>
      <c r="CC1864" s="34">
        <f t="shared" ref="CC1864" si="8103">$M$12</f>
        <v>0</v>
      </c>
      <c r="CD1864" s="34">
        <v>-1</v>
      </c>
      <c r="CE1864" s="34">
        <f t="shared" ref="CE1864" si="8104">-SUMPRODUCT($M$2:$M$11,$N$2:$N$11)</f>
        <v>-120000</v>
      </c>
      <c r="CF1864" s="34" t="e">
        <f t="shared" ref="CF1864" si="8105">IF(CC1864&lt;&gt;CC1865,MMULT(MINVERSE(CC1864:CD1865),CE1864:CE1865)," ")</f>
        <v>#NUM!</v>
      </c>
      <c r="CG1864" s="34" t="str">
        <f t="shared" ref="CG1864" si="8106">IFERROR(IF(CF1864-VLOOKUP(CC$38,$A$2:$N$12,14,FALSE)&lt;0,CF1864-VLOOKUP(CC$38,$A$2:$N$12,14,FALSE)," ")," ")</f>
        <v xml:space="preserve"> </v>
      </c>
      <c r="CH1864" s="34" t="str">
        <f t="shared" ref="CH1864" si="8107">IFERROR(IF(CF1864-VLOOKUP(CC$38,$A$2:$N$12,14,FALSE)&gt;0,CF1864-VLOOKUP(CC$38,$A$2:$N$12,14,FALSE)," ")," ")</f>
        <v xml:space="preserve"> </v>
      </c>
      <c r="CI1864" s="8"/>
    </row>
    <row r="1865" spans="1:87" x14ac:dyDescent="0.2">
      <c r="A1865" s="8" t="str">
        <f>IF(AND(COUNTIF(W$3:W$13,A$16)&gt;0,A$16&lt;&gt;B1816),A$16,IFERROR(IF(MATCH(A$16,Z$3:Z$13,0)=3,A$16," ")," "))</f>
        <v xml:space="preserve"> </v>
      </c>
      <c r="B1865" s="8" t="str">
        <f>IF(A1865=" "," ",MAX(B1864:B1864)+1)</f>
        <v xml:space="preserve"> </v>
      </c>
      <c r="C1865" s="8" t="str">
        <f>IFERROR(INDEX(A1864:A1885,MATCH(SMALL(B1864:B1885,2),B1864:B1885,0),1)," ")</f>
        <v>C4</v>
      </c>
      <c r="D1865" s="8">
        <f t="shared" ref="D1865:D1874" si="8108">IFERROR(VLOOKUP($C1865,$A$15:$O$36,2,FALSE)," ")</f>
        <v>1</v>
      </c>
      <c r="E1865" s="8">
        <f t="shared" ref="E1865:E1874" si="8109">IFERROR(VLOOKUP($C1865,$A$15:$O$36,3,FALSE)," ")</f>
        <v>0</v>
      </c>
      <c r="F1865" s="8">
        <f t="shared" ref="F1865:F1874" si="8110">IFERROR(VLOOKUP($C1865,$A$15:$O$36,4,FALSE)," ")</f>
        <v>1</v>
      </c>
      <c r="G1865" s="8">
        <f t="shared" ref="G1865:G1874" si="8111">IFERROR(VLOOKUP($C1865,$A$15:$O$36,5,FALSE)," ")</f>
        <v>0</v>
      </c>
      <c r="H1865" s="8">
        <f t="shared" ref="H1865:H1874" si="8112">IFERROR(VLOOKUP($C1865,$A$15:$O$36,6,FALSE)," ")</f>
        <v>0</v>
      </c>
      <c r="I1865" s="8">
        <f t="shared" ref="I1865:I1874" si="8113">IFERROR(VLOOKUP($C1865,$A$15:$O$36,7,FALSE)," ")</f>
        <v>0</v>
      </c>
      <c r="J1865" s="8">
        <f t="shared" ref="J1865:J1874" si="8114">IFERROR(VLOOKUP($C1865,$A$15:$O$36,8,FALSE)," ")</f>
        <v>0</v>
      </c>
      <c r="K1865" s="8">
        <f t="shared" ref="K1865:K1874" si="8115">IFERROR(VLOOKUP($C1865,$A$15:$O$36,9,FALSE)," ")</f>
        <v>0</v>
      </c>
      <c r="L1865" s="8">
        <f t="shared" ref="L1865:L1874" si="8116">IFERROR(VLOOKUP($C1865,$A$15:$O$36,10,FALSE)," ")</f>
        <v>0</v>
      </c>
      <c r="M1865" s="8">
        <f t="shared" ref="M1865:M1874" si="8117">IFERROR(VLOOKUP($C1865,$A$15:$O$36,11,FALSE)," ")</f>
        <v>0</v>
      </c>
      <c r="N1865" s="8">
        <f t="shared" ref="N1865:N1874" si="8118">IFERROR(VLOOKUP($C1865,$A$15:$O$36,12,FALSE)," ")</f>
        <v>0</v>
      </c>
      <c r="O1865" s="8">
        <f t="shared" ref="O1865:O1874" si="8119">IFERROR(VLOOKUP($C1865,$A$15:$O$36,15,FALSE)," ")</f>
        <v>400</v>
      </c>
      <c r="P1865" s="8" t="e">
        <v>#NUM!</v>
      </c>
      <c r="Q1865" s="8" t="e">
        <f t="shared" ref="Q1865" si="8120">IF(COUNTIF(P1864:P1874,"&lt;"&amp;-0.001)=0,IF(ABS(P1865)&lt;0.001,0,P1865)," ")</f>
        <v>#NUM!</v>
      </c>
      <c r="R1865" s="8"/>
      <c r="S1865" s="8"/>
      <c r="U1865" s="34" t="e">
        <f t="shared" ref="U1865" si="8121">$Q1864</f>
        <v>#NUM!</v>
      </c>
      <c r="V1865" s="34">
        <v>-1</v>
      </c>
      <c r="W1865" s="34" t="e">
        <f t="shared" ref="W1865" si="8122">-SUMPRODUCT($Q1865:$Q1874,$N$3:$N$12)</f>
        <v>#NUM!</v>
      </c>
      <c r="X1865" s="34"/>
      <c r="Y1865" s="34"/>
      <c r="Z1865" s="34"/>
      <c r="AA1865" s="34" t="e">
        <f t="shared" ref="AA1865" si="8123">$Q1865</f>
        <v>#NUM!</v>
      </c>
      <c r="AB1865" s="34">
        <v>-1</v>
      </c>
      <c r="AC1865" s="34" t="e">
        <f t="shared" ref="AC1865" si="8124">-SUMPRODUCT($Q1864:$Q1864,$N$2:$N$2)-SUMPRODUCT($Q1866:$Q1874,$N$4:$N$12)</f>
        <v>#NUM!</v>
      </c>
      <c r="AD1865" s="34"/>
      <c r="AE1865" s="34"/>
      <c r="AF1865" s="34"/>
      <c r="AG1865" s="34" t="e">
        <f t="shared" ref="AG1865" si="8125">$Q1866</f>
        <v>#NUM!</v>
      </c>
      <c r="AH1865" s="34">
        <v>-1</v>
      </c>
      <c r="AI1865" s="34" t="e">
        <f t="shared" ref="AI1865" si="8126">-SUMPRODUCT($Q1864:$Q1865,$N$2:$N$3)-SUMPRODUCT($Q1867:$Q1874,$N$5:$N$12)</f>
        <v>#NUM!</v>
      </c>
      <c r="AJ1865" s="34"/>
      <c r="AK1865" s="34"/>
      <c r="AL1865" s="34"/>
      <c r="AM1865" s="34" t="e">
        <f t="shared" ref="AM1865" si="8127">$Q1867</f>
        <v>#NUM!</v>
      </c>
      <c r="AN1865" s="34">
        <v>-1</v>
      </c>
      <c r="AO1865" s="34" t="e">
        <f t="shared" ref="AO1865" si="8128">-SUMPRODUCT($Q1864:$Q1866,$N$2:$N$4)-SUMPRODUCT($Q1868:$Q1874,$N$6:$N$12)</f>
        <v>#NUM!</v>
      </c>
      <c r="AP1865" s="34"/>
      <c r="AQ1865" s="34"/>
      <c r="AR1865" s="34"/>
      <c r="AS1865" s="34" t="e">
        <f t="shared" ref="AS1865" si="8129">$Q1868</f>
        <v>#NUM!</v>
      </c>
      <c r="AT1865" s="34">
        <v>-1</v>
      </c>
      <c r="AU1865" s="34" t="e">
        <f t="shared" ref="AU1865" si="8130">-SUMPRODUCT($Q1864:$Q1867,$N$2:$N$5)-SUMPRODUCT($Q1869:$Q1874,$N$7:$N$12)</f>
        <v>#NUM!</v>
      </c>
      <c r="AV1865" s="34"/>
      <c r="AW1865" s="34"/>
      <c r="AX1865" s="34"/>
      <c r="AY1865" s="34" t="e">
        <f t="shared" ref="AY1865" si="8131">$Q1869</f>
        <v>#NUM!</v>
      </c>
      <c r="AZ1865" s="34">
        <v>-1</v>
      </c>
      <c r="BA1865" s="34" t="e">
        <f t="shared" ref="BA1865" si="8132">-SUMPRODUCT($Q1864:$Q1868,$N$2:$N$6)-SUMPRODUCT($Q1870:$Q1874,$N$8:$N$12)</f>
        <v>#NUM!</v>
      </c>
      <c r="BB1865" s="34"/>
      <c r="BC1865" s="34"/>
      <c r="BD1865" s="34"/>
      <c r="BE1865" s="34" t="e">
        <f t="shared" ref="BE1865" si="8133">$Q1870</f>
        <v>#NUM!</v>
      </c>
      <c r="BF1865" s="34">
        <v>-1</v>
      </c>
      <c r="BG1865" s="34" t="e">
        <f t="shared" ref="BG1865" si="8134">-SUMPRODUCT($Q1864:$Q1869,$N$2:$N$7)-SUMPRODUCT($Q1871:$Q1874,$N$9:$N$12)</f>
        <v>#NUM!</v>
      </c>
      <c r="BH1865" s="34"/>
      <c r="BI1865" s="34"/>
      <c r="BJ1865" s="34"/>
      <c r="BK1865" s="34" t="e">
        <f t="shared" ref="BK1865" si="8135">$Q1871</f>
        <v>#NUM!</v>
      </c>
      <c r="BL1865" s="34">
        <v>-1</v>
      </c>
      <c r="BM1865" s="34" t="e">
        <f t="shared" ref="BM1865" si="8136">-SUMPRODUCT($Q1864:$Q1870,$N$2:$N$8)-SUMPRODUCT($Q1872:$Q1874,$N$10:$N$12)</f>
        <v>#NUM!</v>
      </c>
      <c r="BN1865" s="34"/>
      <c r="BO1865" s="34"/>
      <c r="BP1865" s="34"/>
      <c r="BQ1865" s="34" t="e">
        <f t="shared" ref="BQ1865" si="8137">$Q1872</f>
        <v>#NUM!</v>
      </c>
      <c r="BR1865" s="34">
        <v>-1</v>
      </c>
      <c r="BS1865" s="34" t="e">
        <f t="shared" ref="BS1865" si="8138">-SUMPRODUCT($Q1864:$Q1871,$N$2:$N$9)-SUMPRODUCT($Q1873:$Q1874,$N$11:$N$12)</f>
        <v>#NUM!</v>
      </c>
      <c r="BT1865" s="34"/>
      <c r="BU1865" s="34"/>
      <c r="BV1865" s="34"/>
      <c r="BW1865" s="34" t="e">
        <f t="shared" ref="BW1865" si="8139">$Q1873</f>
        <v>#NUM!</v>
      </c>
      <c r="BX1865" s="34">
        <v>-1</v>
      </c>
      <c r="BY1865" s="34" t="e">
        <f t="shared" ref="BY1865" si="8140">-SUMPRODUCT($Q1864:$Q1872,$N$2:$N$10)-SUMPRODUCT($Q1874,$N$12)</f>
        <v>#NUM!</v>
      </c>
      <c r="BZ1865" s="34"/>
      <c r="CA1865" s="34"/>
      <c r="CB1865" s="34"/>
      <c r="CC1865" s="34" t="e">
        <f t="shared" ref="CC1865" si="8141">$Q1874</f>
        <v>#NUM!</v>
      </c>
      <c r="CD1865" s="34">
        <v>-1</v>
      </c>
      <c r="CE1865" s="34" t="e">
        <f t="shared" ref="CE1865" si="8142">-SUMPRODUCT($Q1864:$Q1873,$N$2:$N$11)</f>
        <v>#NUM!</v>
      </c>
      <c r="CF1865" s="34"/>
      <c r="CG1865" s="34"/>
      <c r="CH1865" s="34"/>
      <c r="CI1865" s="8"/>
    </row>
    <row r="1866" spans="1:87" x14ac:dyDescent="0.2">
      <c r="A1866" s="8" t="str">
        <f>IF(AND(COUNTIF(W$3:W$13,A$17)&gt;0,A$17&lt;&gt;B1816),A$17,IFERROR(IF(MATCH(A$17,Z$3:Z$13,0)=3,A$17," ")," "))</f>
        <v>C3</v>
      </c>
      <c r="B1866" s="8">
        <f>IF(A1866=" "," ",MAX(B1864:B1865)+1)</f>
        <v>1</v>
      </c>
      <c r="C1866" s="8" t="str">
        <f>IFERROR(INDEX(A1864:A1885,MATCH(SMALL(B1864:B1885,3),B1864:B1885,0),1)," ")</f>
        <v>C5</v>
      </c>
      <c r="D1866" s="8">
        <f t="shared" si="8108"/>
        <v>0</v>
      </c>
      <c r="E1866" s="8">
        <f t="shared" si="8109"/>
        <v>0</v>
      </c>
      <c r="F1866" s="8">
        <f t="shared" si="8110"/>
        <v>0</v>
      </c>
      <c r="G1866" s="8">
        <f t="shared" si="8111"/>
        <v>0</v>
      </c>
      <c r="H1866" s="8">
        <f t="shared" si="8112"/>
        <v>0</v>
      </c>
      <c r="I1866" s="8">
        <f t="shared" si="8113"/>
        <v>0</v>
      </c>
      <c r="J1866" s="8">
        <f t="shared" si="8114"/>
        <v>0</v>
      </c>
      <c r="K1866" s="8">
        <f t="shared" si="8115"/>
        <v>0</v>
      </c>
      <c r="L1866" s="8">
        <f t="shared" si="8116"/>
        <v>0</v>
      </c>
      <c r="M1866" s="8">
        <f t="shared" si="8117"/>
        <v>0</v>
      </c>
      <c r="N1866" s="8">
        <f t="shared" si="8118"/>
        <v>0</v>
      </c>
      <c r="O1866" s="8">
        <f t="shared" si="8119"/>
        <v>0</v>
      </c>
      <c r="P1866" s="8" t="e">
        <v>#NUM!</v>
      </c>
      <c r="Q1866" s="8" t="e">
        <f t="shared" ref="Q1866" si="8143">IF(COUNTIF(P1864:P1874,"&lt;"&amp;-0.001)=0,IF(ABS(P1866)&lt;0.001,0,P1866)," ")</f>
        <v>#NUM!</v>
      </c>
      <c r="R1866" s="8"/>
      <c r="S1866" s="8"/>
      <c r="U1866" s="34"/>
      <c r="V1866" s="34"/>
      <c r="W1866" s="34"/>
      <c r="X1866" s="34"/>
      <c r="Y1866" s="34"/>
      <c r="Z1866" s="34"/>
      <c r="AA1866" s="34"/>
      <c r="AB1866" s="34"/>
      <c r="AC1866" s="34"/>
      <c r="AD1866" s="34"/>
      <c r="AE1866" s="34"/>
      <c r="AF1866" s="34"/>
      <c r="AG1866" s="34"/>
      <c r="AH1866" s="34"/>
      <c r="AI1866" s="34"/>
      <c r="AJ1866" s="34"/>
      <c r="AK1866" s="34"/>
      <c r="AL1866" s="34"/>
      <c r="AM1866" s="34"/>
      <c r="AN1866" s="34"/>
      <c r="AO1866" s="34"/>
      <c r="AP1866" s="34"/>
      <c r="AQ1866" s="34"/>
      <c r="AR1866" s="34"/>
      <c r="AS1866" s="34"/>
      <c r="AT1866" s="34"/>
      <c r="AU1866" s="34"/>
      <c r="AV1866" s="34"/>
      <c r="AW1866" s="34"/>
      <c r="AX1866" s="34"/>
      <c r="AY1866" s="34"/>
      <c r="AZ1866" s="34"/>
      <c r="BA1866" s="34"/>
      <c r="BB1866" s="34"/>
      <c r="BC1866" s="34"/>
      <c r="BD1866" s="34"/>
      <c r="BE1866" s="34"/>
      <c r="BF1866" s="34"/>
      <c r="BG1866" s="34"/>
      <c r="BH1866" s="34"/>
      <c r="BI1866" s="34"/>
      <c r="BJ1866" s="34"/>
      <c r="BK1866" s="34"/>
      <c r="BL1866" s="34"/>
      <c r="BM1866" s="34"/>
      <c r="BN1866" s="34"/>
      <c r="BO1866" s="34"/>
      <c r="BP1866" s="34"/>
      <c r="BQ1866" s="34"/>
      <c r="BR1866" s="34"/>
      <c r="BS1866" s="34"/>
      <c r="BT1866" s="34"/>
      <c r="BU1866" s="34"/>
      <c r="BV1866" s="34"/>
      <c r="BW1866" s="34"/>
      <c r="BX1866" s="34"/>
      <c r="BY1866" s="34"/>
      <c r="BZ1866" s="34"/>
      <c r="CA1866" s="34"/>
      <c r="CB1866" s="34"/>
      <c r="CC1866" s="34"/>
      <c r="CD1866" s="34"/>
      <c r="CE1866" s="34"/>
      <c r="CF1866" s="34"/>
      <c r="CG1866" s="34"/>
      <c r="CH1866" s="34"/>
      <c r="CI1866" s="8"/>
    </row>
    <row r="1867" spans="1:87" x14ac:dyDescent="0.2">
      <c r="A1867" s="8" t="str">
        <f>IF(AND(COUNTIF(W$3:W$13,A$18)&gt;0,A$18&lt;&gt;B1816),A$18,IFERROR(IF(MATCH(A$18,Z$3:Z$13,0)=3,A$18," ")," "))</f>
        <v>C4</v>
      </c>
      <c r="B1867" s="8">
        <f>IF(A1867=" "," ",MAX(B1864:B1866)+1)</f>
        <v>2</v>
      </c>
      <c r="C1867" s="8" t="str">
        <f>IFERROR(INDEX(A1864:A1885,MATCH(SMALL(B1864:B1885,4),B1864:B1885,0),1)," ")</f>
        <v>C13</v>
      </c>
      <c r="D1867" s="8">
        <f t="shared" si="8108"/>
        <v>0</v>
      </c>
      <c r="E1867" s="8">
        <f t="shared" si="8109"/>
        <v>1</v>
      </c>
      <c r="F1867" s="8">
        <f t="shared" si="8110"/>
        <v>0</v>
      </c>
      <c r="G1867" s="8">
        <f t="shared" si="8111"/>
        <v>0</v>
      </c>
      <c r="H1867" s="8">
        <f t="shared" si="8112"/>
        <v>0</v>
      </c>
      <c r="I1867" s="8">
        <f t="shared" si="8113"/>
        <v>0</v>
      </c>
      <c r="J1867" s="8">
        <f t="shared" si="8114"/>
        <v>0</v>
      </c>
      <c r="K1867" s="8">
        <f t="shared" si="8115"/>
        <v>0</v>
      </c>
      <c r="L1867" s="8">
        <f t="shared" si="8116"/>
        <v>0</v>
      </c>
      <c r="M1867" s="8">
        <f t="shared" si="8117"/>
        <v>0</v>
      </c>
      <c r="N1867" s="8">
        <f t="shared" si="8118"/>
        <v>0</v>
      </c>
      <c r="O1867" s="8">
        <f t="shared" si="8119"/>
        <v>0</v>
      </c>
      <c r="P1867" s="8" t="e">
        <v>#NUM!</v>
      </c>
      <c r="Q1867" s="8" t="e">
        <f t="shared" ref="Q1867" si="8144">IF(COUNTIF(P1864:P1874,"&lt;"&amp;-0.001)=0,IF(ABS(P1867)&lt;0.001,0,P1867)," ")</f>
        <v>#NUM!</v>
      </c>
      <c r="R1867" s="8"/>
      <c r="S1867" s="8"/>
      <c r="U1867" s="34"/>
      <c r="V1867" s="34"/>
      <c r="W1867" s="34"/>
      <c r="X1867" s="34"/>
      <c r="Y1867" s="34"/>
      <c r="Z1867" s="34"/>
      <c r="AA1867" s="34"/>
      <c r="AB1867" s="34"/>
      <c r="AC1867" s="34"/>
      <c r="AD1867" s="34"/>
      <c r="AE1867" s="34"/>
      <c r="AF1867" s="34"/>
      <c r="AG1867" s="34"/>
      <c r="AH1867" s="34"/>
      <c r="AI1867" s="34"/>
      <c r="AJ1867" s="34"/>
      <c r="AK1867" s="34"/>
      <c r="AL1867" s="34"/>
      <c r="AM1867" s="34"/>
      <c r="AN1867" s="34"/>
      <c r="AO1867" s="34"/>
      <c r="AP1867" s="34"/>
      <c r="AQ1867" s="34"/>
      <c r="AR1867" s="34"/>
      <c r="AS1867" s="34"/>
      <c r="AT1867" s="34"/>
      <c r="AU1867" s="34"/>
      <c r="AV1867" s="34"/>
      <c r="AW1867" s="34"/>
      <c r="AX1867" s="34"/>
      <c r="AY1867" s="34"/>
      <c r="AZ1867" s="34"/>
      <c r="BA1867" s="34"/>
      <c r="BB1867" s="34"/>
      <c r="BC1867" s="34"/>
      <c r="BD1867" s="34"/>
      <c r="BE1867" s="34"/>
      <c r="BF1867" s="34"/>
      <c r="BG1867" s="34"/>
      <c r="BH1867" s="34"/>
      <c r="BI1867" s="34"/>
      <c r="BJ1867" s="34"/>
      <c r="BK1867" s="34"/>
      <c r="BL1867" s="34"/>
      <c r="BM1867" s="34"/>
      <c r="BN1867" s="34"/>
      <c r="BO1867" s="34"/>
      <c r="BP1867" s="34"/>
      <c r="BQ1867" s="34"/>
      <c r="BR1867" s="34"/>
      <c r="BS1867" s="34"/>
      <c r="BT1867" s="34"/>
      <c r="BU1867" s="34"/>
      <c r="BV1867" s="34"/>
      <c r="BW1867" s="34"/>
      <c r="BX1867" s="34"/>
      <c r="BY1867" s="34"/>
      <c r="BZ1867" s="34"/>
      <c r="CA1867" s="34"/>
      <c r="CB1867" s="34"/>
      <c r="CC1867" s="34"/>
      <c r="CD1867" s="34"/>
      <c r="CE1867" s="34"/>
      <c r="CF1867" s="34"/>
      <c r="CG1867" s="34"/>
      <c r="CH1867" s="34"/>
      <c r="CI1867" s="8"/>
    </row>
    <row r="1868" spans="1:87" x14ac:dyDescent="0.2">
      <c r="A1868" s="8" t="str">
        <f>IF(AND(COUNTIF(W$3:W$13,A$19)&gt;0,A$19&lt;&gt;B1816),A$19,IFERROR(IF(MATCH(A$19,Z$3:Z$13,0)=3,A$19," ")," "))</f>
        <v>C5</v>
      </c>
      <c r="B1868" s="8">
        <f>IF(A1868=" "," ",MAX(B1864:B1867)+1)</f>
        <v>3</v>
      </c>
      <c r="C1868" s="8" t="str">
        <f>IFERROR(INDEX(A1864:A1885,MATCH(SMALL(B1864:B1885,5),B1864:B1885,0),1)," ")</f>
        <v>C15</v>
      </c>
      <c r="D1868" s="8">
        <f t="shared" si="8108"/>
        <v>0</v>
      </c>
      <c r="E1868" s="8">
        <f t="shared" si="8109"/>
        <v>0</v>
      </c>
      <c r="F1868" s="8">
        <f t="shared" si="8110"/>
        <v>0</v>
      </c>
      <c r="G1868" s="8">
        <f t="shared" si="8111"/>
        <v>1</v>
      </c>
      <c r="H1868" s="8">
        <f t="shared" si="8112"/>
        <v>0</v>
      </c>
      <c r="I1868" s="8">
        <f t="shared" si="8113"/>
        <v>0</v>
      </c>
      <c r="J1868" s="8">
        <f t="shared" si="8114"/>
        <v>0</v>
      </c>
      <c r="K1868" s="8">
        <f t="shared" si="8115"/>
        <v>0</v>
      </c>
      <c r="L1868" s="8">
        <f t="shared" si="8116"/>
        <v>0</v>
      </c>
      <c r="M1868" s="8">
        <f t="shared" si="8117"/>
        <v>0</v>
      </c>
      <c r="N1868" s="8">
        <f t="shared" si="8118"/>
        <v>0</v>
      </c>
      <c r="O1868" s="8">
        <f t="shared" si="8119"/>
        <v>0</v>
      </c>
      <c r="P1868" s="8" t="e">
        <v>#NUM!</v>
      </c>
      <c r="Q1868" s="8" t="e">
        <f t="shared" ref="Q1868" si="8145">IF(COUNTIF(P1864:P1874,"&lt;"&amp;-0.001)=0,IF(ABS(P1868)&lt;0.001,0,P1868)," ")</f>
        <v>#NUM!</v>
      </c>
      <c r="R1868" s="8"/>
      <c r="S1868" s="8"/>
      <c r="U1868" s="34"/>
      <c r="V1868" s="34"/>
      <c r="W1868" s="34"/>
      <c r="X1868" s="34"/>
      <c r="Y1868" s="34"/>
      <c r="Z1868" s="34"/>
      <c r="AA1868" s="34"/>
      <c r="AB1868" s="34"/>
      <c r="AC1868" s="34"/>
      <c r="AD1868" s="34"/>
      <c r="AE1868" s="34"/>
      <c r="AF1868" s="34"/>
      <c r="AG1868" s="34"/>
      <c r="AH1868" s="34"/>
      <c r="AI1868" s="34"/>
      <c r="AJ1868" s="34"/>
      <c r="AK1868" s="34"/>
      <c r="AL1868" s="34"/>
      <c r="AM1868" s="34"/>
      <c r="AN1868" s="34"/>
      <c r="AO1868" s="34"/>
      <c r="AP1868" s="34"/>
      <c r="AQ1868" s="34"/>
      <c r="AR1868" s="34"/>
      <c r="AS1868" s="34"/>
      <c r="AT1868" s="34"/>
      <c r="AU1868" s="34"/>
      <c r="AV1868" s="34"/>
      <c r="AW1868" s="34"/>
      <c r="AX1868" s="34"/>
      <c r="AY1868" s="34"/>
      <c r="AZ1868" s="34"/>
      <c r="BA1868" s="34"/>
      <c r="BB1868" s="34"/>
      <c r="BC1868" s="34"/>
      <c r="BD1868" s="34"/>
      <c r="BE1868" s="34"/>
      <c r="BF1868" s="34"/>
      <c r="BG1868" s="34"/>
      <c r="BH1868" s="34"/>
      <c r="BI1868" s="34"/>
      <c r="BJ1868" s="34"/>
      <c r="BK1868" s="34"/>
      <c r="BL1868" s="34"/>
      <c r="BM1868" s="34"/>
      <c r="BN1868" s="34"/>
      <c r="BO1868" s="34"/>
      <c r="BP1868" s="34"/>
      <c r="BQ1868" s="34"/>
      <c r="BR1868" s="34"/>
      <c r="BS1868" s="34"/>
      <c r="BT1868" s="34"/>
      <c r="BU1868" s="34"/>
      <c r="BV1868" s="34"/>
      <c r="BW1868" s="34"/>
      <c r="BX1868" s="34"/>
      <c r="BY1868" s="34"/>
      <c r="BZ1868" s="34"/>
      <c r="CA1868" s="34"/>
      <c r="CB1868" s="34"/>
      <c r="CC1868" s="34"/>
      <c r="CD1868" s="34"/>
      <c r="CE1868" s="34"/>
      <c r="CF1868" s="34"/>
      <c r="CG1868" s="34"/>
      <c r="CH1868" s="34"/>
      <c r="CI1868" s="8"/>
    </row>
    <row r="1869" spans="1:87" x14ac:dyDescent="0.2">
      <c r="A1869" s="8" t="str">
        <f>IF(AND(COUNTIF(W$3:W$13,A$20)&gt;0,A$20&lt;&gt;B1816),A$20,IFERROR(IF(MATCH(A$20,Z$3:Z$13,0)=3,A$20," ")," "))</f>
        <v xml:space="preserve"> </v>
      </c>
      <c r="B1869" s="8" t="str">
        <f>IF(A1869=" "," ",MAX(B1864:B1868)+1)</f>
        <v xml:space="preserve"> </v>
      </c>
      <c r="C1869" s="8" t="str">
        <f>IFERROR(INDEX(A1864:A1885,MATCH(SMALL(B1864:B1885,6),B1864:B1885,0),1)," ")</f>
        <v>C16</v>
      </c>
      <c r="D1869" s="8">
        <f t="shared" si="8108"/>
        <v>0</v>
      </c>
      <c r="E1869" s="8">
        <f t="shared" si="8109"/>
        <v>0</v>
      </c>
      <c r="F1869" s="8">
        <f t="shared" si="8110"/>
        <v>0</v>
      </c>
      <c r="G1869" s="8">
        <f t="shared" si="8111"/>
        <v>0</v>
      </c>
      <c r="H1869" s="8">
        <f t="shared" si="8112"/>
        <v>1</v>
      </c>
      <c r="I1869" s="8">
        <f t="shared" si="8113"/>
        <v>0</v>
      </c>
      <c r="J1869" s="8">
        <f t="shared" si="8114"/>
        <v>0</v>
      </c>
      <c r="K1869" s="8">
        <f t="shared" si="8115"/>
        <v>0</v>
      </c>
      <c r="L1869" s="8">
        <f t="shared" si="8116"/>
        <v>0</v>
      </c>
      <c r="M1869" s="8">
        <f t="shared" si="8117"/>
        <v>0</v>
      </c>
      <c r="N1869" s="8">
        <f t="shared" si="8118"/>
        <v>0</v>
      </c>
      <c r="O1869" s="8">
        <f t="shared" si="8119"/>
        <v>0</v>
      </c>
      <c r="P1869" s="8" t="e">
        <v>#NUM!</v>
      </c>
      <c r="Q1869" s="8" t="e">
        <f t="shared" ref="Q1869" si="8146">IF(COUNTIF(P1864:P1874,"&lt;"&amp;-0.001)=0,IF(ABS(P1869)&lt;0.001,0,P1869)," ")</f>
        <v>#NUM!</v>
      </c>
      <c r="R1869" s="8"/>
      <c r="S1869" s="8"/>
      <c r="U1869" s="34"/>
      <c r="V1869" s="34"/>
      <c r="W1869" s="34"/>
      <c r="X1869" s="34"/>
      <c r="Y1869" s="34"/>
      <c r="Z1869" s="34"/>
      <c r="AA1869" s="34"/>
      <c r="AB1869" s="34"/>
      <c r="AC1869" s="34"/>
      <c r="AD1869" s="34"/>
      <c r="AE1869" s="34"/>
      <c r="AF1869" s="34"/>
      <c r="AG1869" s="34"/>
      <c r="AH1869" s="34"/>
      <c r="AI1869" s="34"/>
      <c r="AJ1869" s="34"/>
      <c r="AK1869" s="34"/>
      <c r="AL1869" s="34"/>
      <c r="AM1869" s="34"/>
      <c r="AN1869" s="34"/>
      <c r="AO1869" s="34"/>
      <c r="AP1869" s="34"/>
      <c r="AQ1869" s="34"/>
      <c r="AR1869" s="34"/>
      <c r="AS1869" s="34"/>
      <c r="AT1869" s="34"/>
      <c r="AU1869" s="34"/>
      <c r="AV1869" s="34"/>
      <c r="AW1869" s="34"/>
      <c r="AX1869" s="34"/>
      <c r="AY1869" s="34"/>
      <c r="AZ1869" s="34"/>
      <c r="BA1869" s="34"/>
      <c r="BB1869" s="34"/>
      <c r="BC1869" s="34"/>
      <c r="BD1869" s="34"/>
      <c r="BE1869" s="34"/>
      <c r="BF1869" s="34"/>
      <c r="BG1869" s="34"/>
      <c r="BH1869" s="34"/>
      <c r="BI1869" s="34"/>
      <c r="BJ1869" s="34"/>
      <c r="BK1869" s="34"/>
      <c r="BL1869" s="34"/>
      <c r="BM1869" s="34"/>
      <c r="BN1869" s="34"/>
      <c r="BO1869" s="34"/>
      <c r="BP1869" s="34"/>
      <c r="BQ1869" s="34"/>
      <c r="BR1869" s="34"/>
      <c r="BS1869" s="34"/>
      <c r="BT1869" s="34"/>
      <c r="BU1869" s="34"/>
      <c r="BV1869" s="34"/>
      <c r="BW1869" s="34"/>
      <c r="BX1869" s="34"/>
      <c r="BY1869" s="34"/>
      <c r="BZ1869" s="34"/>
      <c r="CA1869" s="34"/>
      <c r="CB1869" s="34"/>
      <c r="CC1869" s="34"/>
      <c r="CD1869" s="34"/>
      <c r="CE1869" s="34"/>
      <c r="CF1869" s="34"/>
      <c r="CG1869" s="34"/>
      <c r="CH1869" s="34"/>
      <c r="CI1869" s="8"/>
    </row>
    <row r="1870" spans="1:87" x14ac:dyDescent="0.2">
      <c r="A1870" s="8" t="str">
        <f>IF(AND(COUNTIF(W$3:W$13,A$21)&gt;0,A$21&lt;&gt;B1816),A$21,IFERROR(IF(MATCH(A$21,Z$3:Z$13,0)=3,A$21," ")," "))</f>
        <v xml:space="preserve"> </v>
      </c>
      <c r="B1870" s="8" t="str">
        <f>IF(A1870=" "," ",MAX(B1864:B1869)+1)</f>
        <v xml:space="preserve"> </v>
      </c>
      <c r="C1870" s="8" t="str">
        <f>IFERROR(INDEX(A1864:A1885,MATCH(SMALL(B1864:B1885,7),B1864:B1885,0),1)," ")</f>
        <v>C17</v>
      </c>
      <c r="D1870" s="8">
        <f t="shared" si="8108"/>
        <v>0</v>
      </c>
      <c r="E1870" s="8">
        <f t="shared" si="8109"/>
        <v>0</v>
      </c>
      <c r="F1870" s="8">
        <f t="shared" si="8110"/>
        <v>0</v>
      </c>
      <c r="G1870" s="8">
        <f t="shared" si="8111"/>
        <v>0</v>
      </c>
      <c r="H1870" s="8">
        <f t="shared" si="8112"/>
        <v>0</v>
      </c>
      <c r="I1870" s="8">
        <f t="shared" si="8113"/>
        <v>1</v>
      </c>
      <c r="J1870" s="8">
        <f t="shared" si="8114"/>
        <v>0</v>
      </c>
      <c r="K1870" s="8">
        <f t="shared" si="8115"/>
        <v>0</v>
      </c>
      <c r="L1870" s="8">
        <f t="shared" si="8116"/>
        <v>0</v>
      </c>
      <c r="M1870" s="8">
        <f t="shared" si="8117"/>
        <v>0</v>
      </c>
      <c r="N1870" s="8">
        <f t="shared" si="8118"/>
        <v>0</v>
      </c>
      <c r="O1870" s="8">
        <f t="shared" si="8119"/>
        <v>0</v>
      </c>
      <c r="P1870" s="8" t="e">
        <v>#NUM!</v>
      </c>
      <c r="Q1870" s="8" t="e">
        <f t="shared" ref="Q1870" si="8147">IF(COUNTIF(P1864:P1874,"&lt;"&amp;-0.001)=0,IF(ABS(P1870)&lt;0.001,0,P1870)," ")</f>
        <v>#NUM!</v>
      </c>
      <c r="R1870" s="8"/>
      <c r="S1870" s="8"/>
      <c r="U1870" s="34"/>
      <c r="V1870" s="34"/>
      <c r="W1870" s="34"/>
      <c r="X1870" s="34"/>
      <c r="Y1870" s="34"/>
      <c r="Z1870" s="34"/>
      <c r="AA1870" s="34"/>
      <c r="AB1870" s="34"/>
      <c r="AC1870" s="34"/>
      <c r="AD1870" s="34"/>
      <c r="AE1870" s="34"/>
      <c r="AF1870" s="34"/>
      <c r="AG1870" s="34"/>
      <c r="AH1870" s="34"/>
      <c r="AI1870" s="34"/>
      <c r="AJ1870" s="34"/>
      <c r="AK1870" s="34"/>
      <c r="AL1870" s="34"/>
      <c r="AM1870" s="34"/>
      <c r="AN1870" s="34"/>
      <c r="AO1870" s="34"/>
      <c r="AP1870" s="34"/>
      <c r="AQ1870" s="34"/>
      <c r="AR1870" s="34"/>
      <c r="AS1870" s="34"/>
      <c r="AT1870" s="34"/>
      <c r="AU1870" s="34"/>
      <c r="AV1870" s="34"/>
      <c r="AW1870" s="34"/>
      <c r="AX1870" s="34"/>
      <c r="AY1870" s="34"/>
      <c r="AZ1870" s="34"/>
      <c r="BA1870" s="34"/>
      <c r="BB1870" s="34"/>
      <c r="BC1870" s="34"/>
      <c r="BD1870" s="34"/>
      <c r="BE1870" s="34"/>
      <c r="BF1870" s="34"/>
      <c r="BG1870" s="34"/>
      <c r="BH1870" s="34"/>
      <c r="BI1870" s="34"/>
      <c r="BJ1870" s="34"/>
      <c r="BK1870" s="34"/>
      <c r="BL1870" s="34"/>
      <c r="BM1870" s="34"/>
      <c r="BN1870" s="34"/>
      <c r="BO1870" s="34"/>
      <c r="BP1870" s="34"/>
      <c r="BQ1870" s="34"/>
      <c r="BR1870" s="34"/>
      <c r="BS1870" s="34"/>
      <c r="BT1870" s="34"/>
      <c r="BU1870" s="34"/>
      <c r="BV1870" s="34"/>
      <c r="BW1870" s="34"/>
      <c r="BX1870" s="34"/>
      <c r="BY1870" s="34"/>
      <c r="BZ1870" s="34"/>
      <c r="CA1870" s="34"/>
      <c r="CB1870" s="34"/>
      <c r="CC1870" s="34"/>
      <c r="CD1870" s="34"/>
      <c r="CE1870" s="34"/>
      <c r="CF1870" s="34"/>
      <c r="CG1870" s="34"/>
      <c r="CH1870" s="34"/>
      <c r="CI1870" s="8"/>
    </row>
    <row r="1871" spans="1:87" x14ac:dyDescent="0.2">
      <c r="A1871" s="8" t="str">
        <f>IF(AND(COUNTIF(W$3:W$13,A$22)&gt;0,A$22&lt;&gt;B1816),A$22,IFERROR(IF(MATCH(A$22,Z$3:Z$13,0)=3,A$22," ")," "))</f>
        <v xml:space="preserve"> </v>
      </c>
      <c r="B1871" s="8" t="str">
        <f>IF(A1871=" "," ",MAX(B1864:B1870)+1)</f>
        <v xml:space="preserve"> </v>
      </c>
      <c r="C1871" s="8" t="str">
        <f>IFERROR(INDEX(A1864:A1885,MATCH(SMALL(B1864:B1885,8),B1864:B1885,0),1)," ")</f>
        <v>C18</v>
      </c>
      <c r="D1871" s="8">
        <f t="shared" si="8108"/>
        <v>0</v>
      </c>
      <c r="E1871" s="8">
        <f t="shared" si="8109"/>
        <v>0</v>
      </c>
      <c r="F1871" s="8">
        <f t="shared" si="8110"/>
        <v>0</v>
      </c>
      <c r="G1871" s="8">
        <f t="shared" si="8111"/>
        <v>0</v>
      </c>
      <c r="H1871" s="8">
        <f t="shared" si="8112"/>
        <v>0</v>
      </c>
      <c r="I1871" s="8">
        <f t="shared" si="8113"/>
        <v>0</v>
      </c>
      <c r="J1871" s="8">
        <f t="shared" si="8114"/>
        <v>1</v>
      </c>
      <c r="K1871" s="8">
        <f t="shared" si="8115"/>
        <v>0</v>
      </c>
      <c r="L1871" s="8">
        <f t="shared" si="8116"/>
        <v>0</v>
      </c>
      <c r="M1871" s="8">
        <f t="shared" si="8117"/>
        <v>0</v>
      </c>
      <c r="N1871" s="8">
        <f t="shared" si="8118"/>
        <v>0</v>
      </c>
      <c r="O1871" s="8">
        <f t="shared" si="8119"/>
        <v>0</v>
      </c>
      <c r="P1871" s="8" t="e">
        <v>#NUM!</v>
      </c>
      <c r="Q1871" s="8" t="e">
        <f t="shared" ref="Q1871" si="8148">IF(COUNTIF(P1864:P1874,"&lt;"&amp;-0.001)=0,IF(ABS(P1871)&lt;0.001,0,P1871)," ")</f>
        <v>#NUM!</v>
      </c>
      <c r="R1871" s="8"/>
      <c r="S1871" s="8"/>
      <c r="U1871" s="34"/>
      <c r="V1871" s="34"/>
      <c r="W1871" s="34"/>
      <c r="X1871" s="34"/>
      <c r="Y1871" s="34"/>
      <c r="Z1871" s="34"/>
      <c r="AA1871" s="34"/>
      <c r="AB1871" s="34"/>
      <c r="AC1871" s="34"/>
      <c r="AD1871" s="34"/>
      <c r="AE1871" s="34"/>
      <c r="AF1871" s="34"/>
      <c r="AG1871" s="34"/>
      <c r="AH1871" s="34"/>
      <c r="AI1871" s="34"/>
      <c r="AJ1871" s="34"/>
      <c r="AK1871" s="34"/>
      <c r="AL1871" s="34"/>
      <c r="AM1871" s="34"/>
      <c r="AN1871" s="34"/>
      <c r="AO1871" s="34"/>
      <c r="AP1871" s="34"/>
      <c r="AQ1871" s="34"/>
      <c r="AR1871" s="34"/>
      <c r="AS1871" s="34"/>
      <c r="AT1871" s="34"/>
      <c r="AU1871" s="34"/>
      <c r="AV1871" s="34"/>
      <c r="AW1871" s="34"/>
      <c r="AX1871" s="34"/>
      <c r="AY1871" s="34"/>
      <c r="AZ1871" s="34"/>
      <c r="BA1871" s="34"/>
      <c r="BB1871" s="34"/>
      <c r="BC1871" s="34"/>
      <c r="BD1871" s="34"/>
      <c r="BE1871" s="34"/>
      <c r="BF1871" s="34"/>
      <c r="BG1871" s="34"/>
      <c r="BH1871" s="34"/>
      <c r="BI1871" s="34"/>
      <c r="BJ1871" s="34"/>
      <c r="BK1871" s="34"/>
      <c r="BL1871" s="34"/>
      <c r="BM1871" s="34"/>
      <c r="BN1871" s="34"/>
      <c r="BO1871" s="34"/>
      <c r="BP1871" s="34"/>
      <c r="BQ1871" s="34"/>
      <c r="BR1871" s="34"/>
      <c r="BS1871" s="34"/>
      <c r="BT1871" s="34"/>
      <c r="BU1871" s="34"/>
      <c r="BV1871" s="34"/>
      <c r="BW1871" s="34"/>
      <c r="BX1871" s="34"/>
      <c r="BY1871" s="34"/>
      <c r="BZ1871" s="34"/>
      <c r="CA1871" s="34"/>
      <c r="CB1871" s="34"/>
      <c r="CC1871" s="34"/>
      <c r="CD1871" s="34"/>
      <c r="CE1871" s="34"/>
      <c r="CF1871" s="34"/>
      <c r="CG1871" s="34"/>
      <c r="CH1871" s="34"/>
      <c r="CI1871" s="8"/>
    </row>
    <row r="1872" spans="1:87" x14ac:dyDescent="0.2">
      <c r="A1872" s="8" t="str">
        <f>IF(AND(COUNTIF(W$3:W$13,A$23)&gt;0,A$23&lt;&gt;B1816),A$23,IFERROR(IF(MATCH(A$23,Z$3:Z$13,0)=3,A$23," ")," "))</f>
        <v xml:space="preserve"> </v>
      </c>
      <c r="B1872" s="8" t="str">
        <f>IF(A1872=" "," ",MAX(B1864:B1871)+1)</f>
        <v xml:space="preserve"> </v>
      </c>
      <c r="C1872" s="8" t="str">
        <f>IFERROR(INDEX(A1864:A1885,MATCH(SMALL(B1864:B1885,9),B1864:B1885,0),1)," ")</f>
        <v>C20</v>
      </c>
      <c r="D1872" s="8">
        <f t="shared" si="8108"/>
        <v>0</v>
      </c>
      <c r="E1872" s="8">
        <f t="shared" si="8109"/>
        <v>0</v>
      </c>
      <c r="F1872" s="8">
        <f t="shared" si="8110"/>
        <v>0</v>
      </c>
      <c r="G1872" s="8">
        <f t="shared" si="8111"/>
        <v>0</v>
      </c>
      <c r="H1872" s="8">
        <f t="shared" si="8112"/>
        <v>0</v>
      </c>
      <c r="I1872" s="8">
        <f t="shared" si="8113"/>
        <v>0</v>
      </c>
      <c r="J1872" s="8">
        <f t="shared" si="8114"/>
        <v>0</v>
      </c>
      <c r="K1872" s="8">
        <f t="shared" si="8115"/>
        <v>0</v>
      </c>
      <c r="L1872" s="8">
        <f t="shared" si="8116"/>
        <v>1</v>
      </c>
      <c r="M1872" s="8">
        <f t="shared" si="8117"/>
        <v>0</v>
      </c>
      <c r="N1872" s="8">
        <f t="shared" si="8118"/>
        <v>0</v>
      </c>
      <c r="O1872" s="8">
        <f t="shared" si="8119"/>
        <v>0</v>
      </c>
      <c r="P1872" s="6" t="e">
        <v>#NUM!</v>
      </c>
      <c r="Q1872" s="8" t="e">
        <f t="shared" ref="Q1872" si="8149">IF(COUNTIF(P1864:P1874,"&lt;"&amp;-0.001)=0,IF(ABS(P1872)&lt;0.001,0,P1872)," ")</f>
        <v>#NUM!</v>
      </c>
      <c r="R1872" s="8"/>
      <c r="S1872" s="8"/>
      <c r="U1872" s="34"/>
      <c r="V1872" s="34"/>
      <c r="W1872" s="34"/>
      <c r="X1872" s="34"/>
      <c r="Y1872" s="34"/>
      <c r="Z1872" s="34"/>
      <c r="AA1872" s="34"/>
      <c r="AB1872" s="34"/>
      <c r="AC1872" s="34"/>
      <c r="AD1872" s="34"/>
      <c r="AE1872" s="34"/>
      <c r="AF1872" s="34"/>
      <c r="AG1872" s="34"/>
      <c r="AH1872" s="34"/>
      <c r="AI1872" s="34"/>
      <c r="AJ1872" s="34"/>
      <c r="AK1872" s="34"/>
      <c r="AL1872" s="34"/>
      <c r="AM1872" s="34"/>
      <c r="AN1872" s="34"/>
      <c r="AO1872" s="34"/>
      <c r="AP1872" s="34"/>
      <c r="AQ1872" s="34"/>
      <c r="AR1872" s="34"/>
      <c r="AS1872" s="34"/>
      <c r="AT1872" s="34"/>
      <c r="AU1872" s="34"/>
      <c r="AV1872" s="34"/>
      <c r="AW1872" s="34"/>
      <c r="AX1872" s="34"/>
      <c r="AY1872" s="34"/>
      <c r="AZ1872" s="34"/>
      <c r="BA1872" s="34"/>
      <c r="BB1872" s="34"/>
      <c r="BC1872" s="34"/>
      <c r="BD1872" s="34"/>
      <c r="BE1872" s="34"/>
      <c r="BF1872" s="34"/>
      <c r="BG1872" s="34"/>
      <c r="BH1872" s="34"/>
      <c r="BI1872" s="34"/>
      <c r="BJ1872" s="34"/>
      <c r="BK1872" s="34"/>
      <c r="BL1872" s="34"/>
      <c r="BM1872" s="34"/>
      <c r="BN1872" s="34"/>
      <c r="BO1872" s="34"/>
      <c r="BP1872" s="34"/>
      <c r="BQ1872" s="34"/>
      <c r="BR1872" s="34"/>
      <c r="BS1872" s="34"/>
      <c r="BT1872" s="34"/>
      <c r="BU1872" s="34"/>
      <c r="BV1872" s="34"/>
      <c r="BW1872" s="34"/>
      <c r="BX1872" s="34"/>
      <c r="BY1872" s="34"/>
      <c r="BZ1872" s="34"/>
      <c r="CA1872" s="34"/>
      <c r="CB1872" s="34"/>
      <c r="CC1872" s="34"/>
      <c r="CD1872" s="34"/>
      <c r="CE1872" s="34"/>
      <c r="CF1872" s="34"/>
      <c r="CG1872" s="34"/>
      <c r="CH1872" s="34"/>
      <c r="CI1872" s="8"/>
    </row>
    <row r="1873" spans="1:87" x14ac:dyDescent="0.2">
      <c r="A1873" s="8" t="str">
        <f>IF(AND(COUNTIF(W$3:W$13,A$24)&gt;0,A$24&lt;&gt;B1816),A$24,IFERROR(IF(MATCH(A$24,Z$3:Z$13,0)=3,A$24," ")," "))</f>
        <v xml:space="preserve"> </v>
      </c>
      <c r="B1873" s="8" t="str">
        <f>IF(A1873=" "," ",MAX(B1864:B1872)+1)</f>
        <v xml:space="preserve"> </v>
      </c>
      <c r="C1873" s="8" t="str">
        <f>IFERROR(INDEX(A1864:A1885,MATCH(SMALL(B1864:B1885,10),B1864:B1885,0),1)," ")</f>
        <v>C21</v>
      </c>
      <c r="D1873" s="8">
        <f t="shared" si="8108"/>
        <v>0</v>
      </c>
      <c r="E1873" s="8">
        <f t="shared" si="8109"/>
        <v>0</v>
      </c>
      <c r="F1873" s="8">
        <f t="shared" si="8110"/>
        <v>0</v>
      </c>
      <c r="G1873" s="8">
        <f t="shared" si="8111"/>
        <v>0</v>
      </c>
      <c r="H1873" s="8">
        <f t="shared" si="8112"/>
        <v>0</v>
      </c>
      <c r="I1873" s="8">
        <f t="shared" si="8113"/>
        <v>0</v>
      </c>
      <c r="J1873" s="8">
        <f t="shared" si="8114"/>
        <v>0</v>
      </c>
      <c r="K1873" s="8">
        <f t="shared" si="8115"/>
        <v>0</v>
      </c>
      <c r="L1873" s="8">
        <f t="shared" si="8116"/>
        <v>0</v>
      </c>
      <c r="M1873" s="8">
        <f t="shared" si="8117"/>
        <v>1</v>
      </c>
      <c r="N1873" s="8">
        <f t="shared" si="8118"/>
        <v>0</v>
      </c>
      <c r="O1873" s="8">
        <f t="shared" si="8119"/>
        <v>0</v>
      </c>
      <c r="P1873" s="8" t="e">
        <v>#NUM!</v>
      </c>
      <c r="Q1873" s="8" t="e">
        <f t="shared" ref="Q1873" si="8150">IF(COUNTIF(P1864:P1874,"&lt;"&amp;-0.001)=0,IF(ABS(P1873)&lt;0.001,0,P1873)," ")</f>
        <v>#NUM!</v>
      </c>
      <c r="R1873" s="8"/>
      <c r="S1873" s="8"/>
      <c r="U1873" s="34"/>
      <c r="V1873" s="34"/>
      <c r="W1873" s="34"/>
      <c r="X1873" s="34"/>
      <c r="Y1873" s="34"/>
      <c r="Z1873" s="34"/>
      <c r="AA1873" s="34"/>
      <c r="AB1873" s="34"/>
      <c r="AC1873" s="34"/>
      <c r="AD1873" s="34"/>
      <c r="AE1873" s="34"/>
      <c r="AF1873" s="34"/>
      <c r="AG1873" s="34"/>
      <c r="AH1873" s="34"/>
      <c r="AI1873" s="34"/>
      <c r="AJ1873" s="34"/>
      <c r="AK1873" s="34"/>
      <c r="AL1873" s="34"/>
      <c r="AM1873" s="34"/>
      <c r="AN1873" s="34"/>
      <c r="AO1873" s="34"/>
      <c r="AP1873" s="34"/>
      <c r="AQ1873" s="34"/>
      <c r="AR1873" s="34"/>
      <c r="AS1873" s="34"/>
      <c r="AT1873" s="34"/>
      <c r="AU1873" s="34"/>
      <c r="AV1873" s="34"/>
      <c r="AW1873" s="34"/>
      <c r="AX1873" s="34"/>
      <c r="AY1873" s="34"/>
      <c r="AZ1873" s="34"/>
      <c r="BA1873" s="34"/>
      <c r="BB1873" s="34"/>
      <c r="BC1873" s="34"/>
      <c r="BD1873" s="34"/>
      <c r="BE1873" s="34"/>
      <c r="BF1873" s="34"/>
      <c r="BG1873" s="34"/>
      <c r="BH1873" s="34"/>
      <c r="BI1873" s="34"/>
      <c r="BJ1873" s="34"/>
      <c r="BK1873" s="34"/>
      <c r="BL1873" s="34"/>
      <c r="BM1873" s="34"/>
      <c r="BN1873" s="34"/>
      <c r="BO1873" s="34"/>
      <c r="BP1873" s="34"/>
      <c r="BQ1873" s="34"/>
      <c r="BR1873" s="34"/>
      <c r="BS1873" s="34"/>
      <c r="BT1873" s="34"/>
      <c r="BU1873" s="34"/>
      <c r="BV1873" s="34"/>
      <c r="BW1873" s="34"/>
      <c r="BX1873" s="34"/>
      <c r="BY1873" s="34"/>
      <c r="BZ1873" s="34"/>
      <c r="CA1873" s="34"/>
      <c r="CB1873" s="34"/>
      <c r="CC1873" s="34"/>
      <c r="CD1873" s="34"/>
      <c r="CE1873" s="34"/>
      <c r="CF1873" s="34"/>
      <c r="CG1873" s="34"/>
      <c r="CH1873" s="34"/>
      <c r="CI1873" s="8"/>
    </row>
    <row r="1874" spans="1:87" x14ac:dyDescent="0.2">
      <c r="A1874" s="8" t="str">
        <f>IF(AND(COUNTIF(W$3:W$13,A$25)&gt;0,A$25&lt;&gt;B1816),A$25,IFERROR(IF(MATCH(A$25,Z$3:Z$13,0)=3,A$25," ")," "))</f>
        <v xml:space="preserve"> </v>
      </c>
      <c r="B1874" s="8" t="str">
        <f>IF(A1874=" "," ",MAX(B1864:B1873)+1)</f>
        <v xml:space="preserve"> </v>
      </c>
      <c r="C1874" s="8" t="str">
        <f>IFERROR(INDEX(A1864:A1885,MATCH(SMALL(B1864:B1885,11),B1864:B1885,0),1)," ")</f>
        <v>C22</v>
      </c>
      <c r="D1874" s="8">
        <f t="shared" si="8108"/>
        <v>0</v>
      </c>
      <c r="E1874" s="8">
        <f t="shared" si="8109"/>
        <v>0</v>
      </c>
      <c r="F1874" s="8">
        <f t="shared" si="8110"/>
        <v>0</v>
      </c>
      <c r="G1874" s="8">
        <f t="shared" si="8111"/>
        <v>0</v>
      </c>
      <c r="H1874" s="8">
        <f t="shared" si="8112"/>
        <v>0</v>
      </c>
      <c r="I1874" s="8">
        <f t="shared" si="8113"/>
        <v>0</v>
      </c>
      <c r="J1874" s="8">
        <f t="shared" si="8114"/>
        <v>0</v>
      </c>
      <c r="K1874" s="8">
        <f t="shared" si="8115"/>
        <v>0</v>
      </c>
      <c r="L1874" s="8">
        <f t="shared" si="8116"/>
        <v>0</v>
      </c>
      <c r="M1874" s="8">
        <f t="shared" si="8117"/>
        <v>0</v>
      </c>
      <c r="N1874" s="8">
        <f t="shared" si="8118"/>
        <v>1</v>
      </c>
      <c r="O1874" s="8">
        <f t="shared" si="8119"/>
        <v>0</v>
      </c>
      <c r="P1874" s="8" t="e">
        <v>#NUM!</v>
      </c>
      <c r="Q1874" s="8" t="e">
        <f t="shared" ref="Q1874" si="8151">IF(COUNTIF(P1864:P1874,"&lt;"&amp;-0.001)=0,IF(ABS(P1874)&lt;0.001,0,P1874)," ")</f>
        <v>#NUM!</v>
      </c>
      <c r="R1874" s="8"/>
      <c r="S1874" s="8"/>
      <c r="U1874" s="34"/>
      <c r="V1874" s="34"/>
      <c r="W1874" s="34"/>
      <c r="X1874" s="34"/>
      <c r="Y1874" s="34"/>
      <c r="Z1874" s="34"/>
      <c r="AA1874" s="34"/>
      <c r="AB1874" s="34"/>
      <c r="AC1874" s="34"/>
      <c r="AD1874" s="34"/>
      <c r="AE1874" s="34"/>
      <c r="AF1874" s="34"/>
      <c r="AG1874" s="34"/>
      <c r="AH1874" s="34"/>
      <c r="AI1874" s="34"/>
      <c r="AJ1874" s="34"/>
      <c r="AK1874" s="34"/>
      <c r="AL1874" s="34"/>
      <c r="AM1874" s="34"/>
      <c r="AN1874" s="34"/>
      <c r="AO1874" s="34"/>
      <c r="AP1874" s="34"/>
      <c r="AQ1874" s="34"/>
      <c r="AR1874" s="34"/>
      <c r="AS1874" s="34"/>
      <c r="AT1874" s="34"/>
      <c r="AU1874" s="34"/>
      <c r="AV1874" s="34"/>
      <c r="AW1874" s="34"/>
      <c r="AX1874" s="34"/>
      <c r="AY1874" s="34"/>
      <c r="AZ1874" s="34"/>
      <c r="BA1874" s="34"/>
      <c r="BB1874" s="34"/>
      <c r="BC1874" s="34"/>
      <c r="BD1874" s="34"/>
      <c r="BE1874" s="34"/>
      <c r="BF1874" s="34"/>
      <c r="BG1874" s="34"/>
      <c r="BH1874" s="34"/>
      <c r="BI1874" s="34"/>
      <c r="BJ1874" s="34"/>
      <c r="BK1874" s="34"/>
      <c r="BL1874" s="34"/>
      <c r="BM1874" s="34"/>
      <c r="BN1874" s="34"/>
      <c r="BO1874" s="34"/>
      <c r="BP1874" s="34"/>
      <c r="BQ1874" s="34"/>
      <c r="BR1874" s="34"/>
      <c r="BS1874" s="34"/>
      <c r="BT1874" s="34"/>
      <c r="BU1874" s="34"/>
      <c r="BV1874" s="34"/>
      <c r="BW1874" s="34"/>
      <c r="BX1874" s="34"/>
      <c r="BY1874" s="34"/>
      <c r="BZ1874" s="34"/>
      <c r="CA1874" s="34"/>
      <c r="CB1874" s="34"/>
      <c r="CC1874" s="34"/>
      <c r="CD1874" s="34"/>
      <c r="CE1874" s="34"/>
      <c r="CF1874" s="34"/>
      <c r="CG1874" s="34"/>
      <c r="CH1874" s="34"/>
      <c r="CI1874" s="8"/>
    </row>
    <row r="1875" spans="1:87" x14ac:dyDescent="0.2">
      <c r="A1875" s="8" t="str">
        <f>IF(AND(COUNTIF(W$3:W$13,A$26)&gt;0,A$26&lt;&gt;B1816),A$26,IFERROR(IF(MATCH(A$26,Z$3:Z$13,0)=3,A$26," ")," "))</f>
        <v xml:space="preserve"> </v>
      </c>
      <c r="B1875" s="8" t="str">
        <f>IF(A1875=" "," ",MAX(B1864:B1874)+1)</f>
        <v xml:space="preserve"> </v>
      </c>
      <c r="C1875" s="8"/>
      <c r="D1875" s="8"/>
      <c r="E1875" s="8"/>
      <c r="F1875" s="8"/>
      <c r="G1875" s="8"/>
      <c r="H1875" s="8"/>
      <c r="I1875" s="8"/>
      <c r="J1875" s="8"/>
      <c r="K1875" s="8"/>
      <c r="L1875" s="8"/>
      <c r="M1875" s="8"/>
      <c r="N1875" s="8"/>
      <c r="O1875" s="8"/>
      <c r="P1875" s="8"/>
      <c r="Q1875" s="8"/>
      <c r="R1875" s="8"/>
      <c r="S1875" s="8"/>
      <c r="U1875" s="34"/>
      <c r="V1875" s="34"/>
      <c r="W1875" s="34"/>
      <c r="X1875" s="34"/>
      <c r="Y1875" s="34"/>
      <c r="Z1875" s="34"/>
      <c r="AA1875" s="34"/>
      <c r="AB1875" s="34"/>
      <c r="AC1875" s="34"/>
      <c r="AD1875" s="34"/>
      <c r="AE1875" s="34"/>
      <c r="AF1875" s="34"/>
      <c r="AG1875" s="34"/>
      <c r="AH1875" s="34"/>
      <c r="AI1875" s="34"/>
      <c r="AJ1875" s="34"/>
      <c r="AK1875" s="34"/>
      <c r="AL1875" s="34"/>
      <c r="AM1875" s="34"/>
      <c r="AN1875" s="34"/>
      <c r="AO1875" s="34"/>
      <c r="AP1875" s="34"/>
      <c r="AQ1875" s="34"/>
      <c r="AR1875" s="34"/>
      <c r="AS1875" s="34"/>
      <c r="AT1875" s="34"/>
      <c r="AU1875" s="34"/>
      <c r="AV1875" s="34"/>
      <c r="AW1875" s="34"/>
      <c r="AX1875" s="34"/>
      <c r="AY1875" s="34"/>
      <c r="AZ1875" s="34"/>
      <c r="BA1875" s="34"/>
      <c r="BB1875" s="34"/>
      <c r="BC1875" s="34"/>
      <c r="BD1875" s="34"/>
      <c r="BE1875" s="34"/>
      <c r="BF1875" s="34"/>
      <c r="BG1875" s="34"/>
      <c r="BH1875" s="34"/>
      <c r="BI1875" s="34"/>
      <c r="BJ1875" s="34"/>
      <c r="BK1875" s="34"/>
      <c r="BL1875" s="34"/>
      <c r="BM1875" s="34"/>
      <c r="BN1875" s="34"/>
      <c r="BO1875" s="34"/>
      <c r="BP1875" s="34"/>
      <c r="BQ1875" s="34"/>
      <c r="BR1875" s="34"/>
      <c r="BS1875" s="34"/>
      <c r="BT1875" s="34"/>
      <c r="BU1875" s="34"/>
      <c r="BV1875" s="34"/>
      <c r="BW1875" s="34"/>
      <c r="BX1875" s="34"/>
      <c r="BY1875" s="34"/>
      <c r="BZ1875" s="34"/>
      <c r="CA1875" s="34"/>
      <c r="CB1875" s="34"/>
      <c r="CC1875" s="34"/>
      <c r="CD1875" s="34"/>
      <c r="CE1875" s="34"/>
      <c r="CF1875" s="34"/>
      <c r="CG1875" s="34"/>
      <c r="CH1875" s="34"/>
      <c r="CI1875" s="8"/>
    </row>
    <row r="1876" spans="1:87" x14ac:dyDescent="0.2">
      <c r="A1876" s="8" t="str">
        <f>IF(AND(COUNTIF(W$3:W$13,A$27)&gt;0,A$27&lt;&gt;B1816),A$27,IFERROR(IF(MATCH(A$27,Z$3:Z$13,0)=3,A$27," ")," "))</f>
        <v>C13</v>
      </c>
      <c r="B1876" s="8">
        <f>IF(A1876=" "," ",MAX(B1864:B1875)+1)</f>
        <v>4</v>
      </c>
      <c r="C1876" s="8"/>
      <c r="D1876" s="8"/>
      <c r="E1876" s="8"/>
      <c r="F1876" s="8"/>
      <c r="G1876" s="8"/>
      <c r="H1876" s="8"/>
      <c r="I1876" s="8"/>
      <c r="J1876" s="8"/>
      <c r="K1876" s="8"/>
      <c r="L1876" s="8"/>
      <c r="M1876" s="8"/>
      <c r="N1876" s="8"/>
      <c r="O1876" s="8"/>
      <c r="P1876" s="8"/>
      <c r="Q1876" s="8"/>
      <c r="R1876" s="8"/>
      <c r="S1876" s="8"/>
      <c r="U1876" s="34"/>
      <c r="V1876" s="34"/>
      <c r="W1876" s="34"/>
      <c r="X1876" s="34"/>
      <c r="Y1876" s="34"/>
      <c r="Z1876" s="34"/>
      <c r="AA1876" s="34"/>
      <c r="AB1876" s="34"/>
      <c r="AC1876" s="34"/>
      <c r="AD1876" s="34"/>
      <c r="AE1876" s="34"/>
      <c r="AF1876" s="34"/>
      <c r="AG1876" s="34"/>
      <c r="AH1876" s="34"/>
      <c r="AI1876" s="34"/>
      <c r="AJ1876" s="34"/>
      <c r="AK1876" s="34"/>
      <c r="AL1876" s="34"/>
      <c r="AM1876" s="34"/>
      <c r="AN1876" s="34"/>
      <c r="AO1876" s="34"/>
      <c r="AP1876" s="34"/>
      <c r="AQ1876" s="34"/>
      <c r="AR1876" s="34"/>
      <c r="AS1876" s="34"/>
      <c r="AT1876" s="34"/>
      <c r="AU1876" s="34"/>
      <c r="AV1876" s="34"/>
      <c r="AW1876" s="34"/>
      <c r="AX1876" s="34"/>
      <c r="AY1876" s="34"/>
      <c r="AZ1876" s="34"/>
      <c r="BA1876" s="34"/>
      <c r="BB1876" s="34"/>
      <c r="BC1876" s="34"/>
      <c r="BD1876" s="34"/>
      <c r="BE1876" s="34"/>
      <c r="BF1876" s="34"/>
      <c r="BG1876" s="34"/>
      <c r="BH1876" s="34"/>
      <c r="BI1876" s="34"/>
      <c r="BJ1876" s="34"/>
      <c r="BK1876" s="34"/>
      <c r="BL1876" s="34"/>
      <c r="BM1876" s="34"/>
      <c r="BN1876" s="34"/>
      <c r="BO1876" s="34"/>
      <c r="BP1876" s="34"/>
      <c r="BQ1876" s="34"/>
      <c r="BR1876" s="34"/>
      <c r="BS1876" s="34"/>
      <c r="BT1876" s="34"/>
      <c r="BU1876" s="34"/>
      <c r="BV1876" s="34"/>
      <c r="BW1876" s="34"/>
      <c r="BX1876" s="34"/>
      <c r="BY1876" s="34"/>
      <c r="BZ1876" s="34"/>
      <c r="CA1876" s="34"/>
      <c r="CB1876" s="34"/>
      <c r="CC1876" s="34"/>
      <c r="CD1876" s="34"/>
      <c r="CE1876" s="34"/>
      <c r="CF1876" s="34"/>
      <c r="CG1876" s="34"/>
      <c r="CH1876" s="34"/>
      <c r="CI1876" s="8"/>
    </row>
    <row r="1877" spans="1:87" x14ac:dyDescent="0.2">
      <c r="A1877" s="8" t="str">
        <f>IF(AND(COUNTIF(W$3:W$13,A$28)&gt;0,A$28&lt;&gt;B1816),A$28,IFERROR(IF(MATCH(A$28,Z$3:Z$13,0)=3,A$28," ")," "))</f>
        <v xml:space="preserve"> </v>
      </c>
      <c r="B1877" s="8" t="str">
        <f>IF(A1877=" "," ",MAX(B1864:B1876)+1)</f>
        <v xml:space="preserve"> </v>
      </c>
      <c r="C1877" s="8"/>
      <c r="D1877" s="8"/>
      <c r="E1877" s="8"/>
      <c r="F1877" s="8"/>
      <c r="G1877" s="8"/>
      <c r="H1877" s="8"/>
      <c r="I1877" s="8"/>
      <c r="J1877" s="8"/>
      <c r="K1877" s="8"/>
      <c r="L1877" s="8"/>
      <c r="M1877" s="8"/>
      <c r="N1877" s="8"/>
      <c r="O1877" s="8"/>
      <c r="P1877" s="8"/>
      <c r="Q1877" s="8"/>
      <c r="R1877" s="8"/>
      <c r="S1877" s="8"/>
      <c r="U1877" s="34"/>
      <c r="V1877" s="34"/>
      <c r="W1877" s="34"/>
      <c r="X1877" s="34"/>
      <c r="Y1877" s="34"/>
      <c r="Z1877" s="34"/>
      <c r="AA1877" s="34"/>
      <c r="AB1877" s="34"/>
      <c r="AC1877" s="34"/>
      <c r="AD1877" s="34"/>
      <c r="AE1877" s="34"/>
      <c r="AF1877" s="34"/>
      <c r="AG1877" s="34"/>
      <c r="AH1877" s="34"/>
      <c r="AI1877" s="34"/>
      <c r="AJ1877" s="34"/>
      <c r="AK1877" s="34"/>
      <c r="AL1877" s="34"/>
      <c r="AM1877" s="34"/>
      <c r="AN1877" s="34"/>
      <c r="AO1877" s="34"/>
      <c r="AP1877" s="34"/>
      <c r="AQ1877" s="34"/>
      <c r="AR1877" s="34"/>
      <c r="AS1877" s="34"/>
      <c r="AT1877" s="34"/>
      <c r="AU1877" s="34"/>
      <c r="AV1877" s="34"/>
      <c r="AW1877" s="34"/>
      <c r="AX1877" s="34"/>
      <c r="AY1877" s="34"/>
      <c r="AZ1877" s="34"/>
      <c r="BA1877" s="34"/>
      <c r="BB1877" s="34"/>
      <c r="BC1877" s="34"/>
      <c r="BD1877" s="34"/>
      <c r="BE1877" s="34"/>
      <c r="BF1877" s="34"/>
      <c r="BG1877" s="34"/>
      <c r="BH1877" s="34"/>
      <c r="BI1877" s="34"/>
      <c r="BJ1877" s="34"/>
      <c r="BK1877" s="34"/>
      <c r="BL1877" s="34"/>
      <c r="BM1877" s="34"/>
      <c r="BN1877" s="34"/>
      <c r="BO1877" s="34"/>
      <c r="BP1877" s="34"/>
      <c r="BQ1877" s="34"/>
      <c r="BR1877" s="34"/>
      <c r="BS1877" s="34"/>
      <c r="BT1877" s="34"/>
      <c r="BU1877" s="34"/>
      <c r="BV1877" s="34"/>
      <c r="BW1877" s="34"/>
      <c r="BX1877" s="34"/>
      <c r="BY1877" s="34"/>
      <c r="BZ1877" s="34"/>
      <c r="CA1877" s="34"/>
      <c r="CB1877" s="34"/>
      <c r="CC1877" s="34"/>
      <c r="CD1877" s="34"/>
      <c r="CE1877" s="34"/>
      <c r="CF1877" s="34"/>
      <c r="CG1877" s="34"/>
      <c r="CH1877" s="34"/>
      <c r="CI1877" s="8"/>
    </row>
    <row r="1878" spans="1:87" x14ac:dyDescent="0.2">
      <c r="A1878" s="8" t="str">
        <f>IF(AND(COUNTIF(W$3:W$13,A$29)&gt;0,A$29&lt;&gt;B1816),A$29,IFERROR(IF(MATCH(A$29,Z$3:Z$13,0)=3,A$29," ")," "))</f>
        <v>C15</v>
      </c>
      <c r="B1878" s="8">
        <f>IF(A1878=" "," ",MAX(B1864:B1877)+1)</f>
        <v>5</v>
      </c>
      <c r="C1878" s="8"/>
      <c r="D1878" s="8"/>
      <c r="E1878" s="8"/>
      <c r="F1878" s="8"/>
      <c r="G1878" s="8"/>
      <c r="H1878" s="8"/>
      <c r="I1878" s="8"/>
      <c r="J1878" s="8"/>
      <c r="K1878" s="8"/>
      <c r="L1878" s="8"/>
      <c r="M1878" s="8"/>
      <c r="N1878" s="8"/>
      <c r="O1878" s="8"/>
      <c r="P1878" s="8"/>
      <c r="Q1878" s="8"/>
      <c r="R1878" s="8"/>
      <c r="S1878" s="8"/>
      <c r="U1878" s="34"/>
      <c r="V1878" s="34"/>
      <c r="W1878" s="34"/>
      <c r="X1878" s="34"/>
      <c r="Y1878" s="34"/>
      <c r="Z1878" s="34"/>
      <c r="AA1878" s="34"/>
      <c r="AB1878" s="34"/>
      <c r="AC1878" s="34"/>
      <c r="AD1878" s="34"/>
      <c r="AE1878" s="34"/>
      <c r="AF1878" s="34"/>
      <c r="AG1878" s="34"/>
      <c r="AH1878" s="34"/>
      <c r="AI1878" s="34"/>
      <c r="AJ1878" s="34"/>
      <c r="AK1878" s="34"/>
      <c r="AL1878" s="34"/>
      <c r="AM1878" s="34"/>
      <c r="AN1878" s="34"/>
      <c r="AO1878" s="34"/>
      <c r="AP1878" s="34"/>
      <c r="AQ1878" s="34"/>
      <c r="AR1878" s="34"/>
      <c r="AS1878" s="34"/>
      <c r="AT1878" s="34"/>
      <c r="AU1878" s="34"/>
      <c r="AV1878" s="34"/>
      <c r="AW1878" s="34"/>
      <c r="AX1878" s="34"/>
      <c r="AY1878" s="34"/>
      <c r="AZ1878" s="34"/>
      <c r="BA1878" s="34"/>
      <c r="BB1878" s="34"/>
      <c r="BC1878" s="34"/>
      <c r="BD1878" s="34"/>
      <c r="BE1878" s="34"/>
      <c r="BF1878" s="34"/>
      <c r="BG1878" s="34"/>
      <c r="BH1878" s="34"/>
      <c r="BI1878" s="34"/>
      <c r="BJ1878" s="34"/>
      <c r="BK1878" s="34"/>
      <c r="BL1878" s="34"/>
      <c r="BM1878" s="34"/>
      <c r="BN1878" s="34"/>
      <c r="BO1878" s="34"/>
      <c r="BP1878" s="34"/>
      <c r="BQ1878" s="34"/>
      <c r="BR1878" s="34"/>
      <c r="BS1878" s="34"/>
      <c r="BT1878" s="34"/>
      <c r="BU1878" s="34"/>
      <c r="BV1878" s="34"/>
      <c r="BW1878" s="34"/>
      <c r="BX1878" s="34"/>
      <c r="BY1878" s="34"/>
      <c r="BZ1878" s="34"/>
      <c r="CA1878" s="34"/>
      <c r="CB1878" s="34"/>
      <c r="CC1878" s="34"/>
      <c r="CD1878" s="34"/>
      <c r="CE1878" s="34"/>
      <c r="CF1878" s="34"/>
      <c r="CG1878" s="34"/>
      <c r="CH1878" s="34"/>
      <c r="CI1878" s="8"/>
    </row>
    <row r="1879" spans="1:87" x14ac:dyDescent="0.2">
      <c r="A1879" s="8" t="str">
        <f>IF(AND(COUNTIF(W$3:W$13,A$30)&gt;0,A$30&lt;&gt;B1816),A$30,IFERROR(IF(MATCH(A$30,Z$3:Z$13,0)=3,A$30," ")," "))</f>
        <v>C16</v>
      </c>
      <c r="B1879" s="8">
        <f>IF(A1879=" "," ",MAX(B1864:B1878)+1)</f>
        <v>6</v>
      </c>
      <c r="C1879" s="8"/>
      <c r="D1879" s="8"/>
      <c r="E1879" s="8"/>
      <c r="F1879" s="8"/>
      <c r="G1879" s="8"/>
      <c r="H1879" s="8"/>
      <c r="I1879" s="8"/>
      <c r="J1879" s="8"/>
      <c r="K1879" s="8"/>
      <c r="L1879" s="8"/>
      <c r="M1879" s="8"/>
      <c r="N1879" s="8"/>
      <c r="O1879" s="8"/>
      <c r="P1879" s="8"/>
      <c r="Q1879" s="8"/>
      <c r="R1879" s="8"/>
      <c r="S1879" s="8"/>
      <c r="U1879" s="34"/>
      <c r="V1879" s="34"/>
      <c r="W1879" s="34"/>
      <c r="X1879" s="34"/>
      <c r="Y1879" s="34"/>
      <c r="Z1879" s="34"/>
      <c r="AA1879" s="34"/>
      <c r="AB1879" s="34"/>
      <c r="AC1879" s="34"/>
      <c r="AD1879" s="34"/>
      <c r="AE1879" s="34"/>
      <c r="AF1879" s="34"/>
      <c r="AG1879" s="34"/>
      <c r="AH1879" s="34"/>
      <c r="AI1879" s="34"/>
      <c r="AJ1879" s="34"/>
      <c r="AK1879" s="34"/>
      <c r="AL1879" s="34"/>
      <c r="AM1879" s="34"/>
      <c r="AN1879" s="34"/>
      <c r="AO1879" s="34"/>
      <c r="AP1879" s="34"/>
      <c r="AQ1879" s="34"/>
      <c r="AR1879" s="34"/>
      <c r="AS1879" s="34"/>
      <c r="AT1879" s="34"/>
      <c r="AU1879" s="34"/>
      <c r="AV1879" s="34"/>
      <c r="AW1879" s="34"/>
      <c r="AX1879" s="34"/>
      <c r="AY1879" s="34"/>
      <c r="AZ1879" s="34"/>
      <c r="BA1879" s="34"/>
      <c r="BB1879" s="34"/>
      <c r="BC1879" s="34"/>
      <c r="BD1879" s="34"/>
      <c r="BE1879" s="34"/>
      <c r="BF1879" s="34"/>
      <c r="BG1879" s="34"/>
      <c r="BH1879" s="34"/>
      <c r="BI1879" s="34"/>
      <c r="BJ1879" s="34"/>
      <c r="BK1879" s="34"/>
      <c r="BL1879" s="34"/>
      <c r="BM1879" s="34"/>
      <c r="BN1879" s="34"/>
      <c r="BO1879" s="34"/>
      <c r="BP1879" s="34"/>
      <c r="BQ1879" s="34"/>
      <c r="BR1879" s="34"/>
      <c r="BS1879" s="34"/>
      <c r="BT1879" s="34"/>
      <c r="BU1879" s="34"/>
      <c r="BV1879" s="34"/>
      <c r="BW1879" s="34"/>
      <c r="BX1879" s="34"/>
      <c r="BY1879" s="34"/>
      <c r="BZ1879" s="34"/>
      <c r="CA1879" s="34"/>
      <c r="CB1879" s="34"/>
      <c r="CC1879" s="34"/>
      <c r="CD1879" s="34"/>
      <c r="CE1879" s="34"/>
      <c r="CF1879" s="34"/>
      <c r="CG1879" s="34"/>
      <c r="CH1879" s="34"/>
      <c r="CI1879" s="8"/>
    </row>
    <row r="1880" spans="1:87" x14ac:dyDescent="0.2">
      <c r="A1880" s="8" t="str">
        <f>IF(AND(COUNTIF(W$3:W$13,A$31)&gt;0,A$31&lt;&gt;B1816),A$31,IFERROR(IF(MATCH(A$31,Z$3:Z$13,0)=3,A$31," ")," "))</f>
        <v>C17</v>
      </c>
      <c r="B1880" s="8">
        <f>IF(A1880=" "," ",MAX(B1864:B1879)+1)</f>
        <v>7</v>
      </c>
      <c r="C1880" s="8"/>
      <c r="D1880" s="8"/>
      <c r="E1880" s="8"/>
      <c r="F1880" s="8"/>
      <c r="G1880" s="8"/>
      <c r="H1880" s="8"/>
      <c r="I1880" s="8"/>
      <c r="J1880" s="8"/>
      <c r="K1880" s="8"/>
      <c r="L1880" s="8"/>
      <c r="M1880" s="8"/>
      <c r="N1880" s="8"/>
      <c r="O1880" s="8"/>
      <c r="P1880" s="8"/>
      <c r="Q1880" s="8"/>
      <c r="R1880" s="8"/>
      <c r="S1880" s="8"/>
      <c r="U1880" s="34"/>
      <c r="V1880" s="34"/>
      <c r="W1880" s="34"/>
      <c r="X1880" s="34"/>
      <c r="Y1880" s="34"/>
      <c r="Z1880" s="34"/>
      <c r="AA1880" s="34"/>
      <c r="AB1880" s="34"/>
      <c r="AC1880" s="34"/>
      <c r="AD1880" s="34"/>
      <c r="AE1880" s="34"/>
      <c r="AF1880" s="34"/>
      <c r="AG1880" s="34"/>
      <c r="AH1880" s="34"/>
      <c r="AI1880" s="34"/>
      <c r="AJ1880" s="34"/>
      <c r="AK1880" s="34"/>
      <c r="AL1880" s="34"/>
      <c r="AM1880" s="34"/>
      <c r="AN1880" s="34"/>
      <c r="AO1880" s="34"/>
      <c r="AP1880" s="34"/>
      <c r="AQ1880" s="34"/>
      <c r="AR1880" s="34"/>
      <c r="AS1880" s="34"/>
      <c r="AT1880" s="34"/>
      <c r="AU1880" s="34"/>
      <c r="AV1880" s="34"/>
      <c r="AW1880" s="34"/>
      <c r="AX1880" s="34"/>
      <c r="AY1880" s="34"/>
      <c r="AZ1880" s="34"/>
      <c r="BA1880" s="34"/>
      <c r="BB1880" s="34"/>
      <c r="BC1880" s="34"/>
      <c r="BD1880" s="34"/>
      <c r="BE1880" s="34"/>
      <c r="BF1880" s="34"/>
      <c r="BG1880" s="34"/>
      <c r="BH1880" s="34"/>
      <c r="BI1880" s="34"/>
      <c r="BJ1880" s="34"/>
      <c r="BK1880" s="34"/>
      <c r="BL1880" s="34"/>
      <c r="BM1880" s="34"/>
      <c r="BN1880" s="34"/>
      <c r="BO1880" s="34"/>
      <c r="BP1880" s="34"/>
      <c r="BQ1880" s="34"/>
      <c r="BR1880" s="34"/>
      <c r="BS1880" s="34"/>
      <c r="BT1880" s="34"/>
      <c r="BU1880" s="34"/>
      <c r="BV1880" s="34"/>
      <c r="BW1880" s="34"/>
      <c r="BX1880" s="34"/>
      <c r="BY1880" s="34"/>
      <c r="BZ1880" s="34"/>
      <c r="CA1880" s="34"/>
      <c r="CB1880" s="34"/>
      <c r="CC1880" s="34"/>
      <c r="CD1880" s="34"/>
      <c r="CE1880" s="34"/>
      <c r="CF1880" s="34"/>
      <c r="CG1880" s="34"/>
      <c r="CH1880" s="34"/>
      <c r="CI1880" s="8"/>
    </row>
    <row r="1881" spans="1:87" x14ac:dyDescent="0.2">
      <c r="A1881" s="8" t="str">
        <f>IF(AND(COUNTIF(W$3:W$13,A$32)&gt;0,A$32&lt;&gt;B1816),A$32,IFERROR(IF(MATCH(A$32,Z$3:Z$13,0)=3,A$32," ")," "))</f>
        <v>C18</v>
      </c>
      <c r="B1881" s="8">
        <f>IF(A1881=" "," ",MAX(B1864:B1880)+1)</f>
        <v>8</v>
      </c>
      <c r="C1881" s="8"/>
      <c r="D1881" s="8"/>
      <c r="E1881" s="8"/>
      <c r="F1881" s="8"/>
      <c r="G1881" s="8"/>
      <c r="H1881" s="8"/>
      <c r="I1881" s="8"/>
      <c r="J1881" s="8"/>
      <c r="K1881" s="8"/>
      <c r="L1881" s="8"/>
      <c r="M1881" s="8"/>
      <c r="N1881" s="8"/>
      <c r="O1881" s="8"/>
      <c r="P1881" s="8"/>
      <c r="Q1881" s="8"/>
      <c r="R1881" s="8"/>
      <c r="S1881" s="8"/>
      <c r="U1881" s="34"/>
      <c r="V1881" s="34"/>
      <c r="W1881" s="34"/>
      <c r="X1881" s="34"/>
      <c r="Y1881" s="34"/>
      <c r="Z1881" s="34"/>
      <c r="AA1881" s="34"/>
      <c r="AB1881" s="34"/>
      <c r="AC1881" s="34"/>
      <c r="AD1881" s="34"/>
      <c r="AE1881" s="34"/>
      <c r="AF1881" s="34"/>
      <c r="AG1881" s="34"/>
      <c r="AH1881" s="34"/>
      <c r="AI1881" s="34"/>
      <c r="AJ1881" s="34"/>
      <c r="AK1881" s="34"/>
      <c r="AL1881" s="34"/>
      <c r="AM1881" s="34"/>
      <c r="AN1881" s="34"/>
      <c r="AO1881" s="34"/>
      <c r="AP1881" s="34"/>
      <c r="AQ1881" s="34"/>
      <c r="AR1881" s="34"/>
      <c r="AS1881" s="34"/>
      <c r="AT1881" s="34"/>
      <c r="AU1881" s="34"/>
      <c r="AV1881" s="34"/>
      <c r="AW1881" s="34"/>
      <c r="AX1881" s="34"/>
      <c r="AY1881" s="34"/>
      <c r="AZ1881" s="34"/>
      <c r="BA1881" s="34"/>
      <c r="BB1881" s="34"/>
      <c r="BC1881" s="34"/>
      <c r="BD1881" s="34"/>
      <c r="BE1881" s="34"/>
      <c r="BF1881" s="34"/>
      <c r="BG1881" s="34"/>
      <c r="BH1881" s="34"/>
      <c r="BI1881" s="34"/>
      <c r="BJ1881" s="34"/>
      <c r="BK1881" s="34"/>
      <c r="BL1881" s="34"/>
      <c r="BM1881" s="34"/>
      <c r="BN1881" s="34"/>
      <c r="BO1881" s="34"/>
      <c r="BP1881" s="34"/>
      <c r="BQ1881" s="34"/>
      <c r="BR1881" s="34"/>
      <c r="BS1881" s="34"/>
      <c r="BT1881" s="34"/>
      <c r="BU1881" s="34"/>
      <c r="BV1881" s="34"/>
      <c r="BW1881" s="34"/>
      <c r="BX1881" s="34"/>
      <c r="BY1881" s="34"/>
      <c r="BZ1881" s="34"/>
      <c r="CA1881" s="34"/>
      <c r="CB1881" s="34"/>
      <c r="CC1881" s="34"/>
      <c r="CD1881" s="34"/>
      <c r="CE1881" s="34"/>
      <c r="CF1881" s="34"/>
      <c r="CG1881" s="34"/>
      <c r="CH1881" s="34"/>
      <c r="CI1881" s="8"/>
    </row>
    <row r="1882" spans="1:87" x14ac:dyDescent="0.2">
      <c r="A1882" s="8" t="str">
        <f>IF(AND(COUNTIF(W$3:W$13,A$33)&gt;0,A$33&lt;&gt;B1816),A$33,IFERROR(IF(MATCH(A$33,Z$3:Z$13,0)=3,A$33," ")," "))</f>
        <v xml:space="preserve"> </v>
      </c>
      <c r="B1882" s="8" t="str">
        <f>IF(A1882=" "," ",MAX(B1864:B1881)+1)</f>
        <v xml:space="preserve"> </v>
      </c>
      <c r="C1882" s="14"/>
      <c r="D1882" s="14"/>
      <c r="E1882" s="14"/>
      <c r="F1882" s="14"/>
      <c r="G1882" s="14"/>
      <c r="H1882" s="14"/>
      <c r="I1882" s="14"/>
      <c r="J1882" s="12"/>
      <c r="K1882" s="12"/>
      <c r="L1882" s="12"/>
      <c r="M1882" s="12"/>
      <c r="N1882" s="12"/>
      <c r="O1882" s="12"/>
      <c r="P1882" s="12"/>
      <c r="Q1882" s="8"/>
      <c r="R1882" s="12"/>
      <c r="S1882" s="12"/>
      <c r="T1882" s="21"/>
      <c r="U1882" s="34"/>
      <c r="V1882" s="34"/>
      <c r="W1882" s="34"/>
      <c r="X1882" s="34"/>
      <c r="Y1882" s="34"/>
      <c r="Z1882" s="34"/>
      <c r="AA1882" s="34"/>
      <c r="AB1882" s="34"/>
      <c r="AC1882" s="34"/>
      <c r="AD1882" s="34"/>
      <c r="AE1882" s="34"/>
      <c r="AF1882" s="34"/>
      <c r="AG1882" s="34"/>
      <c r="AH1882" s="34"/>
      <c r="AI1882" s="34"/>
      <c r="AJ1882" s="34"/>
      <c r="AK1882" s="34"/>
      <c r="AL1882" s="34"/>
      <c r="AM1882" s="34"/>
      <c r="AN1882" s="34"/>
      <c r="AO1882" s="34"/>
      <c r="AP1882" s="34"/>
      <c r="AQ1882" s="34"/>
      <c r="AR1882" s="34"/>
      <c r="AS1882" s="34"/>
      <c r="AT1882" s="34"/>
      <c r="AU1882" s="34"/>
      <c r="AV1882" s="34"/>
      <c r="AW1882" s="34"/>
      <c r="AX1882" s="34"/>
      <c r="AY1882" s="34"/>
      <c r="AZ1882" s="34"/>
      <c r="BA1882" s="34"/>
      <c r="BB1882" s="34"/>
      <c r="BC1882" s="34"/>
      <c r="BD1882" s="34"/>
      <c r="BE1882" s="34"/>
      <c r="BF1882" s="34"/>
      <c r="BG1882" s="34"/>
      <c r="BH1882" s="34"/>
      <c r="BI1882" s="34"/>
      <c r="BJ1882" s="34"/>
      <c r="BK1882" s="34"/>
      <c r="BL1882" s="34"/>
      <c r="BM1882" s="34"/>
      <c r="BN1882" s="34"/>
      <c r="BO1882" s="34"/>
      <c r="BP1882" s="34"/>
      <c r="BQ1882" s="34"/>
      <c r="BR1882" s="34"/>
      <c r="BS1882" s="34"/>
      <c r="BT1882" s="34"/>
      <c r="BU1882" s="34"/>
      <c r="BV1882" s="34"/>
      <c r="BW1882" s="34"/>
      <c r="BX1882" s="34"/>
      <c r="BY1882" s="34"/>
      <c r="BZ1882" s="34"/>
      <c r="CA1882" s="34"/>
      <c r="CB1882" s="34"/>
      <c r="CC1882" s="34"/>
      <c r="CD1882" s="34"/>
      <c r="CE1882" s="34"/>
      <c r="CF1882" s="34"/>
      <c r="CG1882" s="34"/>
      <c r="CH1882" s="34"/>
      <c r="CI1882" s="8"/>
    </row>
    <row r="1883" spans="1:87" x14ac:dyDescent="0.2">
      <c r="A1883" s="8" t="str">
        <f>IF(AND(COUNTIF(W$3:W$13,A$34)&gt;0,A$34&lt;&gt;B1816),A$34,IFERROR(IF(MATCH(A$34,Z$3:Z$13,0)=3,A$34," ")," "))</f>
        <v>C20</v>
      </c>
      <c r="B1883" s="8">
        <f>IF(A1883=" "," ",MAX(B1864:B1882)+1)</f>
        <v>9</v>
      </c>
      <c r="C1883" s="8"/>
      <c r="D1883" s="8"/>
      <c r="E1883" s="8"/>
      <c r="F1883" s="8"/>
      <c r="G1883" s="8"/>
      <c r="H1883" s="8"/>
      <c r="I1883" s="8"/>
      <c r="J1883" s="8"/>
      <c r="K1883" s="8"/>
      <c r="L1883" s="8"/>
      <c r="M1883" s="8"/>
      <c r="N1883" s="8"/>
      <c r="O1883" s="8"/>
      <c r="P1883" s="8"/>
      <c r="Q1883" s="8"/>
      <c r="R1883" s="8"/>
      <c r="S1883" s="8"/>
      <c r="U1883" s="34"/>
      <c r="V1883" s="34"/>
      <c r="W1883" s="34"/>
      <c r="X1883" s="34"/>
      <c r="Y1883" s="34"/>
      <c r="Z1883" s="34"/>
      <c r="AA1883" s="34"/>
      <c r="AB1883" s="34"/>
      <c r="AC1883" s="34"/>
      <c r="AD1883" s="34"/>
      <c r="AE1883" s="34"/>
      <c r="AF1883" s="34"/>
      <c r="AG1883" s="34"/>
      <c r="AH1883" s="34"/>
      <c r="AI1883" s="34"/>
      <c r="AJ1883" s="34"/>
      <c r="AK1883" s="34"/>
      <c r="AL1883" s="34"/>
      <c r="AM1883" s="34"/>
      <c r="AN1883" s="34"/>
      <c r="AO1883" s="34"/>
      <c r="AP1883" s="34"/>
      <c r="AQ1883" s="34"/>
      <c r="AR1883" s="34"/>
      <c r="AS1883" s="34"/>
      <c r="AT1883" s="34"/>
      <c r="AU1883" s="34"/>
      <c r="AV1883" s="34"/>
      <c r="AW1883" s="34"/>
      <c r="AX1883" s="34"/>
      <c r="AY1883" s="34"/>
      <c r="AZ1883" s="34"/>
      <c r="BA1883" s="34"/>
      <c r="BB1883" s="34"/>
      <c r="BC1883" s="34"/>
      <c r="BD1883" s="34"/>
      <c r="BE1883" s="34"/>
      <c r="BF1883" s="34"/>
      <c r="BG1883" s="34"/>
      <c r="BH1883" s="34"/>
      <c r="BI1883" s="34"/>
      <c r="BJ1883" s="34"/>
      <c r="BK1883" s="34"/>
      <c r="BL1883" s="34"/>
      <c r="BM1883" s="34"/>
      <c r="BN1883" s="34"/>
      <c r="BO1883" s="34"/>
      <c r="BP1883" s="34"/>
      <c r="BQ1883" s="34"/>
      <c r="BR1883" s="34"/>
      <c r="BS1883" s="34"/>
      <c r="BT1883" s="34"/>
      <c r="BU1883" s="34"/>
      <c r="BV1883" s="34"/>
      <c r="BW1883" s="34"/>
      <c r="BX1883" s="34"/>
      <c r="BY1883" s="34"/>
      <c r="BZ1883" s="34"/>
      <c r="CA1883" s="34"/>
      <c r="CB1883" s="34"/>
      <c r="CC1883" s="34"/>
      <c r="CD1883" s="34"/>
      <c r="CE1883" s="34"/>
      <c r="CF1883" s="34"/>
      <c r="CG1883" s="34"/>
      <c r="CH1883" s="34"/>
      <c r="CI1883" s="8"/>
    </row>
    <row r="1884" spans="1:87" x14ac:dyDescent="0.2">
      <c r="A1884" s="8" t="str">
        <f>IF(AND(COUNTIF(W$3:W$13,A$35)&gt;0,A$35&lt;&gt;B1816),A$35,IFERROR(IF(MATCH(A$35,Z$3:Z$13,0)=3,A$35," ")," "))</f>
        <v>C21</v>
      </c>
      <c r="B1884" s="8">
        <f>IF(A1884=" "," ",MAX(B1864:B1883)+1)</f>
        <v>10</v>
      </c>
      <c r="C1884" s="8"/>
      <c r="D1884" s="8"/>
      <c r="E1884" s="8"/>
      <c r="F1884" s="8"/>
      <c r="G1884" s="8"/>
      <c r="H1884" s="8"/>
      <c r="I1884" s="8"/>
      <c r="J1884" s="8"/>
      <c r="K1884" s="8"/>
      <c r="L1884" s="8"/>
      <c r="M1884" s="8"/>
      <c r="N1884" s="8"/>
      <c r="O1884" s="8"/>
      <c r="P1884" s="8"/>
      <c r="Q1884" s="8"/>
      <c r="R1884" s="8"/>
      <c r="S1884" s="8"/>
      <c r="U1884" s="34"/>
      <c r="V1884" s="34"/>
      <c r="W1884" s="34"/>
      <c r="X1884" s="34"/>
      <c r="Y1884" s="34"/>
      <c r="Z1884" s="34"/>
      <c r="AA1884" s="34"/>
      <c r="AB1884" s="34"/>
      <c r="AC1884" s="34"/>
      <c r="AD1884" s="34"/>
      <c r="AE1884" s="34"/>
      <c r="AF1884" s="34"/>
      <c r="AG1884" s="34"/>
      <c r="AH1884" s="34"/>
      <c r="AI1884" s="34"/>
      <c r="AJ1884" s="34"/>
      <c r="AK1884" s="34"/>
      <c r="AL1884" s="34"/>
      <c r="AM1884" s="34"/>
      <c r="AN1884" s="34"/>
      <c r="AO1884" s="34"/>
      <c r="AP1884" s="34"/>
      <c r="AQ1884" s="34"/>
      <c r="AR1884" s="34"/>
      <c r="AS1884" s="34"/>
      <c r="AT1884" s="34"/>
      <c r="AU1884" s="34"/>
      <c r="AV1884" s="34"/>
      <c r="AW1884" s="34"/>
      <c r="AX1884" s="34"/>
      <c r="AY1884" s="34"/>
      <c r="AZ1884" s="34"/>
      <c r="BA1884" s="34"/>
      <c r="BB1884" s="34"/>
      <c r="BC1884" s="34"/>
      <c r="BD1884" s="34"/>
      <c r="BE1884" s="34"/>
      <c r="BF1884" s="34"/>
      <c r="BG1884" s="34"/>
      <c r="BH1884" s="34"/>
      <c r="BI1884" s="34"/>
      <c r="BJ1884" s="34"/>
      <c r="BK1884" s="34"/>
      <c r="BL1884" s="34"/>
      <c r="BM1884" s="34"/>
      <c r="BN1884" s="34"/>
      <c r="BO1884" s="34"/>
      <c r="BP1884" s="34"/>
      <c r="BQ1884" s="34"/>
      <c r="BR1884" s="34"/>
      <c r="BS1884" s="34"/>
      <c r="BT1884" s="34"/>
      <c r="BU1884" s="34"/>
      <c r="BV1884" s="34"/>
      <c r="BW1884" s="34"/>
      <c r="BX1884" s="34"/>
      <c r="BY1884" s="34"/>
      <c r="BZ1884" s="34"/>
      <c r="CA1884" s="34"/>
      <c r="CB1884" s="34"/>
      <c r="CC1884" s="34"/>
      <c r="CD1884" s="34"/>
      <c r="CE1884" s="34"/>
      <c r="CF1884" s="34"/>
      <c r="CG1884" s="34"/>
      <c r="CH1884" s="34"/>
      <c r="CI1884" s="8"/>
    </row>
    <row r="1885" spans="1:87" x14ac:dyDescent="0.2">
      <c r="A1885" s="8" t="str">
        <f>IF(AND(COUNTIF(W$3:W$13,A$36)&gt;0,A$36&lt;&gt;B1816),A$36,IFERROR(IF(MATCH(A$36,Z$3:Z$13,0)=3,A$36," ")," "))</f>
        <v>C22</v>
      </c>
      <c r="B1885" s="8">
        <f>IF(A1885=" "," ",MAX(B1864:B1884)+1)</f>
        <v>11</v>
      </c>
      <c r="C1885" s="8"/>
      <c r="D1885" s="8"/>
      <c r="E1885" s="8"/>
      <c r="F1885" s="8"/>
      <c r="G1885" s="8"/>
      <c r="H1885" s="8"/>
      <c r="I1885" s="8"/>
      <c r="J1885" s="8"/>
      <c r="K1885" s="8"/>
      <c r="L1885" s="8"/>
      <c r="M1885" s="8"/>
      <c r="N1885" s="8"/>
      <c r="O1885" s="8"/>
      <c r="P1885" s="8"/>
      <c r="Q1885" s="8"/>
      <c r="R1885" s="8"/>
      <c r="S1885" s="8"/>
      <c r="U1885" s="34"/>
      <c r="V1885" s="34"/>
      <c r="W1885" s="34"/>
      <c r="X1885" s="34"/>
      <c r="Y1885" s="34"/>
      <c r="Z1885" s="34"/>
      <c r="AA1885" s="34"/>
      <c r="AB1885" s="34"/>
      <c r="AC1885" s="34"/>
      <c r="AD1885" s="34"/>
      <c r="AE1885" s="34"/>
      <c r="AF1885" s="34"/>
      <c r="AG1885" s="34"/>
      <c r="AH1885" s="34"/>
      <c r="AI1885" s="34"/>
      <c r="AJ1885" s="34"/>
      <c r="AK1885" s="34"/>
      <c r="AL1885" s="34"/>
      <c r="AM1885" s="34"/>
      <c r="AN1885" s="34"/>
      <c r="AO1885" s="34"/>
      <c r="AP1885" s="34"/>
      <c r="AQ1885" s="34"/>
      <c r="AR1885" s="34"/>
      <c r="AS1885" s="34"/>
      <c r="AT1885" s="34"/>
      <c r="AU1885" s="34"/>
      <c r="AV1885" s="34"/>
      <c r="AW1885" s="34"/>
      <c r="AX1885" s="34"/>
      <c r="AY1885" s="34"/>
      <c r="AZ1885" s="34"/>
      <c r="BA1885" s="34"/>
      <c r="BB1885" s="34"/>
      <c r="BC1885" s="34"/>
      <c r="BD1885" s="34"/>
      <c r="BE1885" s="34"/>
      <c r="BF1885" s="34"/>
      <c r="BG1885" s="34"/>
      <c r="BH1885" s="34"/>
      <c r="BI1885" s="34"/>
      <c r="BJ1885" s="34"/>
      <c r="BK1885" s="34"/>
      <c r="BL1885" s="34"/>
      <c r="BM1885" s="34"/>
      <c r="BN1885" s="34"/>
      <c r="BO1885" s="34"/>
      <c r="BP1885" s="34"/>
      <c r="BQ1885" s="34"/>
      <c r="BR1885" s="34"/>
      <c r="BS1885" s="34"/>
      <c r="BT1885" s="34"/>
      <c r="BU1885" s="34"/>
      <c r="BV1885" s="34"/>
      <c r="BW1885" s="34"/>
      <c r="BX1885" s="34"/>
      <c r="BY1885" s="34"/>
      <c r="BZ1885" s="34"/>
      <c r="CA1885" s="34"/>
      <c r="CB1885" s="34"/>
      <c r="CC1885" s="34"/>
      <c r="CD1885" s="34"/>
      <c r="CE1885" s="34"/>
      <c r="CF1885" s="34"/>
      <c r="CG1885" s="34"/>
      <c r="CH1885" s="34"/>
      <c r="CI1885" s="8"/>
    </row>
    <row r="1886" spans="1:87" x14ac:dyDescent="0.2">
      <c r="A1886" s="11" t="s">
        <v>17</v>
      </c>
      <c r="B1886" s="11"/>
      <c r="C1886" s="27" t="s">
        <v>18</v>
      </c>
      <c r="D1886" s="27" t="s">
        <v>2</v>
      </c>
      <c r="E1886" s="27" t="s">
        <v>6</v>
      </c>
      <c r="F1886" s="27" t="s">
        <v>15</v>
      </c>
      <c r="G1886" s="27" t="s">
        <v>36</v>
      </c>
      <c r="H1886" s="27" t="s">
        <v>37</v>
      </c>
      <c r="I1886" s="27" t="s">
        <v>38</v>
      </c>
      <c r="J1886" s="27" t="s">
        <v>39</v>
      </c>
      <c r="K1886" s="27" t="s">
        <v>40</v>
      </c>
      <c r="L1886" s="27" t="s">
        <v>41</v>
      </c>
      <c r="M1886" s="27" t="s">
        <v>42</v>
      </c>
      <c r="N1886" s="27" t="s">
        <v>43</v>
      </c>
      <c r="O1886" s="27" t="s">
        <v>9</v>
      </c>
      <c r="P1886" s="27" t="s">
        <v>12</v>
      </c>
      <c r="Q1886" s="27" t="s">
        <v>19</v>
      </c>
      <c r="R1886" s="27" t="s">
        <v>55</v>
      </c>
      <c r="S1886" s="27" t="s">
        <v>26</v>
      </c>
      <c r="T1886" s="19" t="s">
        <v>25</v>
      </c>
      <c r="U1886" s="33" t="s">
        <v>27</v>
      </c>
      <c r="V1886" s="33" t="s">
        <v>9</v>
      </c>
      <c r="W1886" s="33" t="s">
        <v>23</v>
      </c>
      <c r="X1886" s="33" t="s">
        <v>12</v>
      </c>
      <c r="Y1886" s="33" t="s">
        <v>26</v>
      </c>
      <c r="Z1886" s="33" t="s">
        <v>25</v>
      </c>
      <c r="AA1886" s="33" t="s">
        <v>27</v>
      </c>
      <c r="AB1886" s="33" t="s">
        <v>9</v>
      </c>
      <c r="AC1886" s="33" t="s">
        <v>23</v>
      </c>
      <c r="AD1886" s="33" t="s">
        <v>12</v>
      </c>
      <c r="AE1886" s="33" t="s">
        <v>26</v>
      </c>
      <c r="AF1886" s="33" t="s">
        <v>25</v>
      </c>
      <c r="AG1886" s="33" t="s">
        <v>27</v>
      </c>
      <c r="AH1886" s="33" t="s">
        <v>9</v>
      </c>
      <c r="AI1886" s="33" t="s">
        <v>23</v>
      </c>
      <c r="AJ1886" s="33" t="s">
        <v>12</v>
      </c>
      <c r="AK1886" s="33" t="s">
        <v>26</v>
      </c>
      <c r="AL1886" s="33" t="s">
        <v>25</v>
      </c>
      <c r="AM1886" s="33" t="s">
        <v>27</v>
      </c>
      <c r="AN1886" s="33" t="s">
        <v>9</v>
      </c>
      <c r="AO1886" s="33" t="s">
        <v>23</v>
      </c>
      <c r="AP1886" s="33" t="s">
        <v>12</v>
      </c>
      <c r="AQ1886" s="33" t="s">
        <v>26</v>
      </c>
      <c r="AR1886" s="33" t="s">
        <v>25</v>
      </c>
      <c r="AS1886" s="33" t="s">
        <v>27</v>
      </c>
      <c r="AT1886" s="33" t="s">
        <v>9</v>
      </c>
      <c r="AU1886" s="33" t="s">
        <v>23</v>
      </c>
      <c r="AV1886" s="33" t="s">
        <v>12</v>
      </c>
      <c r="AW1886" s="33" t="s">
        <v>26</v>
      </c>
      <c r="AX1886" s="33" t="s">
        <v>25</v>
      </c>
      <c r="AY1886" s="33" t="s">
        <v>27</v>
      </c>
      <c r="AZ1886" s="33" t="s">
        <v>9</v>
      </c>
      <c r="BA1886" s="33" t="s">
        <v>23</v>
      </c>
      <c r="BB1886" s="33" t="s">
        <v>12</v>
      </c>
      <c r="BC1886" s="33" t="s">
        <v>26</v>
      </c>
      <c r="BD1886" s="33" t="s">
        <v>25</v>
      </c>
      <c r="BE1886" s="33" t="s">
        <v>27</v>
      </c>
      <c r="BF1886" s="33" t="s">
        <v>9</v>
      </c>
      <c r="BG1886" s="33" t="s">
        <v>23</v>
      </c>
      <c r="BH1886" s="33" t="s">
        <v>12</v>
      </c>
      <c r="BI1886" s="33" t="s">
        <v>26</v>
      </c>
      <c r="BJ1886" s="33" t="s">
        <v>25</v>
      </c>
      <c r="BK1886" s="33" t="s">
        <v>27</v>
      </c>
      <c r="BL1886" s="33" t="s">
        <v>9</v>
      </c>
      <c r="BM1886" s="33" t="s">
        <v>23</v>
      </c>
      <c r="BN1886" s="33" t="s">
        <v>12</v>
      </c>
      <c r="BO1886" s="33" t="s">
        <v>26</v>
      </c>
      <c r="BP1886" s="33" t="s">
        <v>25</v>
      </c>
      <c r="BQ1886" s="33" t="s">
        <v>27</v>
      </c>
      <c r="BR1886" s="33" t="s">
        <v>9</v>
      </c>
      <c r="BS1886" s="33" t="s">
        <v>23</v>
      </c>
      <c r="BT1886" s="33" t="s">
        <v>12</v>
      </c>
      <c r="BU1886" s="33" t="s">
        <v>26</v>
      </c>
      <c r="BV1886" s="33" t="s">
        <v>25</v>
      </c>
      <c r="BW1886" s="33" t="s">
        <v>27</v>
      </c>
      <c r="BX1886" s="33" t="s">
        <v>9</v>
      </c>
      <c r="BY1886" s="33" t="s">
        <v>23</v>
      </c>
      <c r="BZ1886" s="33" t="s">
        <v>12</v>
      </c>
      <c r="CA1886" s="33" t="s">
        <v>26</v>
      </c>
      <c r="CB1886" s="33" t="s">
        <v>25</v>
      </c>
      <c r="CC1886" s="33" t="s">
        <v>27</v>
      </c>
      <c r="CD1886" s="33" t="s">
        <v>9</v>
      </c>
      <c r="CE1886" s="33" t="s">
        <v>23</v>
      </c>
      <c r="CF1886" s="33" t="s">
        <v>12</v>
      </c>
      <c r="CG1886" s="33" t="s">
        <v>26</v>
      </c>
      <c r="CH1886" s="33" t="s">
        <v>25</v>
      </c>
      <c r="CI1886" s="8"/>
    </row>
    <row r="1887" spans="1:87" x14ac:dyDescent="0.2">
      <c r="A1887" s="8" t="str">
        <f>IF(AND(COUNTIF(W$3:W$13,A$15)&gt;0,A$15&lt;&gt;B1816),A$15,IFERROR(IF(MATCH(A$15,Z$3:Z$13,0)=4,A$15," ")," "))</f>
        <v xml:space="preserve"> </v>
      </c>
      <c r="B1887" s="8" t="str">
        <f>IF(A1887=" "," ",1)</f>
        <v xml:space="preserve"> </v>
      </c>
      <c r="C1887" s="8" t="str">
        <f>IFERROR(INDEX(A1887:A1908,MATCH(SMALL(B1887:B1908,1),B1887:B1908,0),1)," ")</f>
        <v>C3</v>
      </c>
      <c r="D1887" s="8">
        <f>IFERROR(VLOOKUP($C1887,$A$15:$O$36,2,FALSE)," ")</f>
        <v>2</v>
      </c>
      <c r="E1887" s="8">
        <f>IFERROR(VLOOKUP($C1887,$A$15:$O$36,3,FALSE)," ")</f>
        <v>5</v>
      </c>
      <c r="F1887" s="8">
        <f>IFERROR(VLOOKUP($C1887,$A$15:$O$36,4,FALSE)," ")</f>
        <v>6</v>
      </c>
      <c r="G1887" s="8">
        <f>IFERROR(VLOOKUP($C1887,$A$15:$O$36,5,FALSE)," ")</f>
        <v>0</v>
      </c>
      <c r="H1887" s="8">
        <f>IFERROR(VLOOKUP($C1887,$A$15:$O$36,6,FALSE)," ")</f>
        <v>0</v>
      </c>
      <c r="I1887" s="8">
        <f>IFERROR(VLOOKUP($C1887,$A$15:$O$36,7,FALSE)," ")</f>
        <v>0</v>
      </c>
      <c r="J1887" s="8">
        <f>IFERROR(VLOOKUP($C1887,$A$15:$O$36,8,FALSE)," ")</f>
        <v>0</v>
      </c>
      <c r="K1887" s="8">
        <f>IFERROR(VLOOKUP($C1887,$A$15:$O$36,9,FALSE)," ")</f>
        <v>0</v>
      </c>
      <c r="L1887" s="8">
        <f>IFERROR(VLOOKUP($C1887,$A$15:$O$36,10,FALSE)," ")</f>
        <v>0</v>
      </c>
      <c r="M1887" s="8">
        <f>IFERROR(VLOOKUP($C1887,$A$15:$O$36,11,FALSE)," ")</f>
        <v>0</v>
      </c>
      <c r="N1887" s="8">
        <f>IFERROR(VLOOKUP($C1887,$A$15:$O$36,12,FALSE)," ")</f>
        <v>0</v>
      </c>
      <c r="O1887" s="8">
        <f>IFERROR(VLOOKUP($C1887,$A$15:$O$36,15,FALSE)," ")</f>
        <v>2000</v>
      </c>
      <c r="P1887" s="8" t="e">
        <f t="array" ref="P1887:P1897">MMULT(MINVERSE(D1887:N1897),O1887:O1897)</f>
        <v>#NUM!</v>
      </c>
      <c r="Q1887" s="8" t="e">
        <f t="shared" ref="Q1887" si="8152">IF(COUNTIF(P1887:P1897,"&lt;"&amp;-0.001)=0,IF(ABS(P1887)&lt;0.001,0,P1887)," ")</f>
        <v>#NUM!</v>
      </c>
      <c r="R1887" s="8" t="str">
        <f>IFERROR(VLOOKUP(B1816,A$15:L$36,2,FALSE)*Q1887+VLOOKUP(B1816,A$15:L$36,3,FALSE)*Q1888+VLOOKUP(B1816,A$15:L$36,4,FALSE)*Q1889+VLOOKUP(B1816,A$15:L$36,5,FALSE)*Q1890+VLOOKUP(B1816,A$15:L$36,6,FALSE)*Q1891+VLOOKUP(B1816,A$15:L$36,7,FALSE)*Q1892+VLOOKUP(B1816,A$15:L$36,8,FALSE)*Q1893+VLOOKUP(B1816,A$15:L$36,9,FALSE)*Q1894+VLOOKUP(B1816,A$15:L$36,10,FALSE)*Q1895+VLOOKUP(B1816,A$15:L$36,11,FALSE)*Q1896+VLOOKUP(B1816,A$15:L$36,12,FALSE)*Q1897," ")</f>
        <v xml:space="preserve"> </v>
      </c>
      <c r="S1887" s="8" t="str">
        <f>IFERROR(IF(R1887-VLOOKUP(B1816,A$15:O$36,15,FALSE)&lt;0,R1887-VLOOKUP(B1816,A$15:O$36,15,FALSE)," ")," ")</f>
        <v xml:space="preserve"> </v>
      </c>
      <c r="T1887" s="18" t="str">
        <f>IFERROR(IF(R1887-VLOOKUP(B1816,A$15:O$36,15,FALSE)&gt;0,R1887-VLOOKUP(B1816,A$15:O$36,15,FALSE)," ")," ")</f>
        <v xml:space="preserve"> </v>
      </c>
      <c r="U1887" s="34">
        <f t="shared" ref="U1887" si="8153">$M$2</f>
        <v>100.00000000000001</v>
      </c>
      <c r="V1887" s="34">
        <v>-1</v>
      </c>
      <c r="W1887" s="34">
        <f t="shared" ref="W1887" si="8154">-SUMPRODUCT($M$3:$M$12,$N$3:$N$12)</f>
        <v>-105000</v>
      </c>
      <c r="X1887" s="34" t="e">
        <f t="shared" ref="X1887" si="8155">IF(U1887&lt;&gt;U1888,MMULT(MINVERSE(U1887:V1888),W1887:W1888)," ")</f>
        <v>#NUM!</v>
      </c>
      <c r="Y1887" s="34" t="str">
        <f t="shared" ref="Y1887" si="8156">IFERROR(IF(X1887-VLOOKUP(U$38,$A$2:$N$12,14,FALSE)&lt;0,X1887-VLOOKUP(U$38,$A$2:$N$12,14,FALSE)," ")," ")</f>
        <v xml:space="preserve"> </v>
      </c>
      <c r="Z1887" s="34" t="str">
        <f t="shared" ref="Z1887" si="8157">IFERROR(IF(X1887-VLOOKUP(U$38,$A$2:$N$12,14,FALSE)&gt;0,X1887-VLOOKUP(U$38,$A$2:$N$12,14,FALSE)," ")," ")</f>
        <v xml:space="preserve"> </v>
      </c>
      <c r="AA1887" s="34">
        <f t="shared" ref="AA1887" si="8158">$M$3</f>
        <v>0</v>
      </c>
      <c r="AB1887" s="34">
        <v>-1</v>
      </c>
      <c r="AC1887" s="34">
        <f t="shared" ref="AC1887" si="8159">-SUMPRODUCT($M$2:$M$2,$N$2:$N$2)-SUMPRODUCT($M$4:$M$12,$N$4:$N$12)</f>
        <v>-120000</v>
      </c>
      <c r="AD1887" s="34" t="e">
        <f t="shared" ref="AD1887" si="8160">IF(AA1887&lt;&gt;AA1888,MMULT(MINVERSE(AA1887:AB1888),AC1887:AC1888)," ")</f>
        <v>#NUM!</v>
      </c>
      <c r="AE1887" s="34" t="str">
        <f t="shared" ref="AE1887" si="8161">IFERROR(IF(AD1887-VLOOKUP(AA$38,$A$2:$N$12,14,FALSE)&lt;0,AD1887-VLOOKUP(AA$38,$A$2:$N$12,14,FALSE)," ")," ")</f>
        <v xml:space="preserve"> </v>
      </c>
      <c r="AF1887" s="34" t="str">
        <f t="shared" ref="AF1887" si="8162">IFERROR(IF(AD1887-VLOOKUP(AA$38,$A$2:$N$12,14,FALSE)&gt;0,AD1887-VLOOKUP(AA$38,$A$2:$N$12,14,FALSE)," ")," ")</f>
        <v xml:space="preserve"> </v>
      </c>
      <c r="AG1887" s="34">
        <f t="shared" ref="AG1887" si="8163">$M$4</f>
        <v>300</v>
      </c>
      <c r="AH1887" s="34">
        <v>-1</v>
      </c>
      <c r="AI1887" s="34">
        <f t="shared" ref="AI1887" si="8164">-SUMPRODUCT($M$2:$M$3,$N$2:$N$3)-SUMPRODUCT($M$5:$M$12,$N$5:$N$12)</f>
        <v>-15000.000000000002</v>
      </c>
      <c r="AJ1887" s="34" t="e">
        <f t="shared" ref="AJ1887" si="8165">IF(AG1887&lt;&gt;AG1888,MMULT(MINVERSE(AG1887:AH1888),AI1887:AI1888)," ")</f>
        <v>#NUM!</v>
      </c>
      <c r="AK1887" s="34" t="str">
        <f t="shared" ref="AK1887" si="8166">IFERROR(IF(AJ1887-VLOOKUP(AG$38,$A$2:$N$12,14,FALSE)&lt;0,AJ1887-VLOOKUP(AG$38,$A$2:$N$12,14,FALSE)," ")," ")</f>
        <v xml:space="preserve"> </v>
      </c>
      <c r="AL1887" s="34" t="str">
        <f t="shared" ref="AL1887" si="8167">IFERROR(IF(AJ1887-VLOOKUP(AG$38,$A$2:$N$12,14,FALSE)&gt;0,AJ1887-VLOOKUP(AG$38,$A$2:$N$12,14,FALSE)," ")," ")</f>
        <v xml:space="preserve"> </v>
      </c>
      <c r="AM1887" s="34">
        <f t="shared" ref="AM1887" si="8168">$M$5</f>
        <v>0</v>
      </c>
      <c r="AN1887" s="34">
        <v>-1</v>
      </c>
      <c r="AO1887" s="34">
        <f t="shared" ref="AO1887" si="8169">-SUMPRODUCT($M$2:$M$4,$N$2:$N$4)-SUMPRODUCT($M$6:$M$12,$N$6:$N$12)</f>
        <v>-120000</v>
      </c>
      <c r="AP1887" s="34" t="e">
        <f t="shared" ref="AP1887" si="8170">IF(AM1887&lt;&gt;AM1888,MMULT(MINVERSE(AM1887:AN1888),AO1887:AO1888)," ")</f>
        <v>#NUM!</v>
      </c>
      <c r="AQ1887" s="34" t="str">
        <f t="shared" ref="AQ1887" si="8171">IFERROR(IF(AP1887-VLOOKUP(AM$38,$A$2:$N$12,14,FALSE)&lt;0,AP1887-VLOOKUP(AM$38,$A$2:$N$12,14,FALSE)," ")," ")</f>
        <v xml:space="preserve"> </v>
      </c>
      <c r="AR1887" s="34" t="str">
        <f t="shared" ref="AR1887" si="8172">IFERROR(IF(AP1887-VLOOKUP(AM$38,$A$2:$N$12,14,FALSE)&gt;0,AP1887-VLOOKUP(AM$38,$A$2:$N$12,14,FALSE)," ")," ")</f>
        <v xml:space="preserve"> </v>
      </c>
      <c r="AS1887" s="34">
        <f t="shared" ref="AS1887" si="8173">$M$6</f>
        <v>0</v>
      </c>
      <c r="AT1887" s="34">
        <v>-1</v>
      </c>
      <c r="AU1887" s="34">
        <f t="shared" ref="AU1887" si="8174">-SUMPRODUCT($M$2:$M$5,$N$2:$N$5)-SUMPRODUCT($M$7:$M$12,$N$7:$N$12)</f>
        <v>-120000</v>
      </c>
      <c r="AV1887" s="34" t="e">
        <f t="shared" ref="AV1887" si="8175">IF(AS1887&lt;&gt;AS1888,MMULT(MINVERSE(AS1887:AT1888),AU1887:AU1888)," ")</f>
        <v>#NUM!</v>
      </c>
      <c r="AW1887" s="34" t="str">
        <f t="shared" ref="AW1887" si="8176">IFERROR(IF(AV1887-VLOOKUP(AS$38,$A$2:$N$12,14,FALSE)&lt;0,AV1887-VLOOKUP(AS$38,$A$2:$N$12,14,FALSE)," ")," ")</f>
        <v xml:space="preserve"> </v>
      </c>
      <c r="AX1887" s="34" t="str">
        <f t="shared" ref="AX1887" si="8177">IFERROR(IF(AV1887-VLOOKUP(AS$38,$A$2:$N$12,14,FALSE)&gt;0,AV1887-VLOOKUP(AS$38,$A$2:$N$12,14,FALSE)," ")," ")</f>
        <v xml:space="preserve"> </v>
      </c>
      <c r="AY1887" s="34">
        <f t="shared" ref="AY1887" si="8178">$M$7</f>
        <v>0</v>
      </c>
      <c r="AZ1887" s="34">
        <v>-1</v>
      </c>
      <c r="BA1887" s="34">
        <f t="shared" ref="BA1887" si="8179">-SUMPRODUCT($M$2:$M$6,$N$2:$N$6)-SUMPRODUCT($M$8:$M$12,$N$8:$N$12)</f>
        <v>-120000</v>
      </c>
      <c r="BB1887" s="34" t="e">
        <f t="shared" ref="BB1887" si="8180">IF(AY1887&lt;&gt;AY1888,MMULT(MINVERSE(AY1887:AZ1888),BA1887:BA1888)," ")</f>
        <v>#NUM!</v>
      </c>
      <c r="BC1887" s="34" t="str">
        <f t="shared" ref="BC1887" si="8181">IFERROR(IF(BB1887-VLOOKUP(AY$38,$A$2:$N$12,14,FALSE)&lt;0,BB1887-VLOOKUP(AY$38,$A$2:$N$12,14,FALSE)," ")," ")</f>
        <v xml:space="preserve"> </v>
      </c>
      <c r="BD1887" s="34" t="str">
        <f t="shared" ref="BD1887" si="8182">IFERROR(IF(BB1887-VLOOKUP(AY$38,$A$2:$N$12,14,FALSE)&gt;0,BB1887-VLOOKUP(AY$38,$A$2:$N$12,14,FALSE)," ")," ")</f>
        <v xml:space="preserve"> </v>
      </c>
      <c r="BE1887" s="34">
        <f t="shared" ref="BE1887" si="8183">$M$8</f>
        <v>0</v>
      </c>
      <c r="BF1887" s="34">
        <v>-1</v>
      </c>
      <c r="BG1887" s="34">
        <f t="shared" ref="BG1887" si="8184">-SUMPRODUCT($M$2:$M$7,$N$2:$N$7)-SUMPRODUCT($M$9:$M$12,$N$9:$N$12)</f>
        <v>-120000</v>
      </c>
      <c r="BH1887" s="34" t="e">
        <f t="shared" ref="BH1887" si="8185">IF(BE1887&lt;&gt;BE1888,MMULT(MINVERSE(BE1887:BF1888),BG1887:BG1888)," ")</f>
        <v>#NUM!</v>
      </c>
      <c r="BI1887" s="34" t="str">
        <f t="shared" ref="BI1887" si="8186">IFERROR(IF(BH1887-VLOOKUP(BE$38,$A$2:$N$12,14,FALSE)&lt;0,BH1887-VLOOKUP(BE$38,$A$2:$N$12,14,FALSE)," ")," ")</f>
        <v xml:space="preserve"> </v>
      </c>
      <c r="BJ1887" s="34" t="str">
        <f t="shared" ref="BJ1887" si="8187">IFERROR(IF(BH1887-VLOOKUP(BE$38,$A$2:$N$12,14,FALSE)&gt;0,BH1887-VLOOKUP(BE$38,$A$2:$N$12,14,FALSE)," ")," ")</f>
        <v xml:space="preserve"> </v>
      </c>
      <c r="BK1887" s="34">
        <f t="shared" ref="BK1887" si="8188">$M$9</f>
        <v>0</v>
      </c>
      <c r="BL1887" s="34">
        <v>-1</v>
      </c>
      <c r="BM1887" s="34">
        <f t="shared" ref="BM1887" si="8189">-SUMPRODUCT($M$2:$M$8,$N$2:$N$8)-SUMPRODUCT($M$10:$M$12,$N$10:$N$12)</f>
        <v>-120000</v>
      </c>
      <c r="BN1887" s="34" t="e">
        <f t="shared" ref="BN1887" si="8190">IF(BK1887&lt;&gt;BK1888,MMULT(MINVERSE(BK1887:BL1888),BM1887:BM1888)," ")</f>
        <v>#NUM!</v>
      </c>
      <c r="BO1887" s="34" t="str">
        <f t="shared" ref="BO1887" si="8191">IFERROR(IF(BN1887-VLOOKUP(BK$38,$A$2:$N$12,14,FALSE)&lt;0,BN1887-VLOOKUP(BK$38,$A$2:$N$12,14,FALSE)," ")," ")</f>
        <v xml:space="preserve"> </v>
      </c>
      <c r="BP1887" s="34" t="str">
        <f t="shared" ref="BP1887" si="8192">IFERROR(IF(BN1887-VLOOKUP(BK$38,$A$2:$N$12,14,FALSE)&gt;0,BN1887-VLOOKUP(BK$38,$A$2:$N$12,14,FALSE)," ")," ")</f>
        <v xml:space="preserve"> </v>
      </c>
      <c r="BQ1887" s="34">
        <f t="shared" ref="BQ1887" si="8193">$M$10</f>
        <v>0</v>
      </c>
      <c r="BR1887" s="34">
        <v>-1</v>
      </c>
      <c r="BS1887" s="34">
        <f t="shared" ref="BS1887" si="8194">-SUMPRODUCT($M$2:$M$9,$N$2:$N$9)-SUMPRODUCT($M$11:$M$12,$N$11:$N$12)</f>
        <v>-120000</v>
      </c>
      <c r="BT1887" s="34" t="e">
        <f t="shared" ref="BT1887" si="8195">IF(BQ1887&lt;&gt;BQ1888,MMULT(MINVERSE(BQ1887:BR1888),BS1887:BS1888)," ")</f>
        <v>#NUM!</v>
      </c>
      <c r="BU1887" s="34" t="str">
        <f t="shared" ref="BU1887" si="8196">IFERROR(IF(BT1887-VLOOKUP(BQ$38,$A$2:$N$12,14,FALSE)&lt;0,BT1887-VLOOKUP(BQ$38,$A$2:$N$12,14,FALSE)," ")," ")</f>
        <v xml:space="preserve"> </v>
      </c>
      <c r="BV1887" s="34" t="str">
        <f t="shared" ref="BV1887" si="8197">IFERROR(IF(BT1887-VLOOKUP(BQ$38,$A$2:$N$12,14,FALSE)&gt;0,BT1887-VLOOKUP(BQ$38,$A$2:$N$12,14,FALSE)," ")," ")</f>
        <v xml:space="preserve"> </v>
      </c>
      <c r="BW1887" s="34">
        <f t="shared" ref="BW1887" si="8198">$M$11</f>
        <v>0</v>
      </c>
      <c r="BX1887" s="34">
        <v>-1</v>
      </c>
      <c r="BY1887" s="34">
        <f t="shared" ref="BY1887" si="8199">-SUMPRODUCT($M$2:$M$10,$N$2:$N$10)-SUMPRODUCT($M$12,$N$12)</f>
        <v>-120000</v>
      </c>
      <c r="BZ1887" s="34" t="e">
        <f t="shared" ref="BZ1887" si="8200">IF(BW1887&lt;&gt;BW1888,MMULT(MINVERSE(BW1887:BX1888),BY1887:BY1888)," ")</f>
        <v>#NUM!</v>
      </c>
      <c r="CA1887" s="34" t="str">
        <f t="shared" ref="CA1887" si="8201">IFERROR(IF(BZ1887-VLOOKUP(BW$38,$A$2:$N$12,14,FALSE)&lt;0,BZ1887-VLOOKUP(BW$38,$A$2:$N$12,14,FALSE)," ")," ")</f>
        <v xml:space="preserve"> </v>
      </c>
      <c r="CB1887" s="34" t="str">
        <f t="shared" ref="CB1887" si="8202">IFERROR(IF(BZ1887-VLOOKUP(BW$38,$A$2:$N$12,14,FALSE)&gt;0,BZ1887-VLOOKUP(BW$38,$A$2:$N$12,14,FALSE)," ")," ")</f>
        <v xml:space="preserve"> </v>
      </c>
      <c r="CC1887" s="34">
        <f t="shared" ref="CC1887" si="8203">$M$12</f>
        <v>0</v>
      </c>
      <c r="CD1887" s="34">
        <v>-1</v>
      </c>
      <c r="CE1887" s="34">
        <f t="shared" ref="CE1887" si="8204">-SUMPRODUCT($M$2:$M$11,$N$2:$N$11)</f>
        <v>-120000</v>
      </c>
      <c r="CF1887" s="34" t="e">
        <f t="shared" ref="CF1887" si="8205">IF(CC1887&lt;&gt;CC1888,MMULT(MINVERSE(CC1887:CD1888),CE1887:CE1888)," ")</f>
        <v>#NUM!</v>
      </c>
      <c r="CG1887" s="34" t="str">
        <f t="shared" ref="CG1887" si="8206">IFERROR(IF(CF1887-VLOOKUP(CC$38,$A$2:$N$12,14,FALSE)&lt;0,CF1887-VLOOKUP(CC$38,$A$2:$N$12,14,FALSE)," ")," ")</f>
        <v xml:space="preserve"> </v>
      </c>
      <c r="CH1887" s="34" t="str">
        <f t="shared" ref="CH1887" si="8207">IFERROR(IF(CF1887-VLOOKUP(CC$38,$A$2:$N$12,14,FALSE)&gt;0,CF1887-VLOOKUP(CC$38,$A$2:$N$12,14,FALSE)," ")," ")</f>
        <v xml:space="preserve"> </v>
      </c>
      <c r="CI1887" s="8"/>
    </row>
    <row r="1888" spans="1:87" x14ac:dyDescent="0.2">
      <c r="A1888" s="8" t="str">
        <f>IF(AND(COUNTIF(W$3:W$13,A$16)&gt;0,A$16&lt;&gt;B1816),A$16,IFERROR(IF(MATCH(A$16,Z$3:Z$13,0)=4,A$16," ")," "))</f>
        <v xml:space="preserve"> </v>
      </c>
      <c r="B1888" s="8" t="str">
        <f>IF(A1888=" "," ",MAX(B1887:B1887)+1)</f>
        <v xml:space="preserve"> </v>
      </c>
      <c r="C1888" s="8" t="str">
        <f>IFERROR(INDEX(A1887:A1908,MATCH(SMALL(B1887:B1908,2),B1887:B1908,0),1)," ")</f>
        <v>C4</v>
      </c>
      <c r="D1888" s="8">
        <f t="shared" ref="D1888:D1897" si="8208">IFERROR(VLOOKUP($C1888,$A$15:$O$36,2,FALSE)," ")</f>
        <v>1</v>
      </c>
      <c r="E1888" s="8">
        <f t="shared" ref="E1888:E1897" si="8209">IFERROR(VLOOKUP($C1888,$A$15:$O$36,3,FALSE)," ")</f>
        <v>0</v>
      </c>
      <c r="F1888" s="8">
        <f t="shared" ref="F1888:F1897" si="8210">IFERROR(VLOOKUP($C1888,$A$15:$O$36,4,FALSE)," ")</f>
        <v>1</v>
      </c>
      <c r="G1888" s="8">
        <f t="shared" ref="G1888:G1897" si="8211">IFERROR(VLOOKUP($C1888,$A$15:$O$36,5,FALSE)," ")</f>
        <v>0</v>
      </c>
      <c r="H1888" s="8">
        <f t="shared" ref="H1888:H1897" si="8212">IFERROR(VLOOKUP($C1888,$A$15:$O$36,6,FALSE)," ")</f>
        <v>0</v>
      </c>
      <c r="I1888" s="8">
        <f t="shared" ref="I1888:I1897" si="8213">IFERROR(VLOOKUP($C1888,$A$15:$O$36,7,FALSE)," ")</f>
        <v>0</v>
      </c>
      <c r="J1888" s="8">
        <f t="shared" ref="J1888:J1897" si="8214">IFERROR(VLOOKUP($C1888,$A$15:$O$36,8,FALSE)," ")</f>
        <v>0</v>
      </c>
      <c r="K1888" s="8">
        <f t="shared" ref="K1888:K1897" si="8215">IFERROR(VLOOKUP($C1888,$A$15:$O$36,9,FALSE)," ")</f>
        <v>0</v>
      </c>
      <c r="L1888" s="8">
        <f t="shared" ref="L1888:L1897" si="8216">IFERROR(VLOOKUP($C1888,$A$15:$O$36,10,FALSE)," ")</f>
        <v>0</v>
      </c>
      <c r="M1888" s="8">
        <f t="shared" ref="M1888:M1897" si="8217">IFERROR(VLOOKUP($C1888,$A$15:$O$36,11,FALSE)," ")</f>
        <v>0</v>
      </c>
      <c r="N1888" s="8">
        <f t="shared" ref="N1888:N1897" si="8218">IFERROR(VLOOKUP($C1888,$A$15:$O$36,12,FALSE)," ")</f>
        <v>0</v>
      </c>
      <c r="O1888" s="8">
        <f t="shared" ref="O1888:O1897" si="8219">IFERROR(VLOOKUP($C1888,$A$15:$O$36,15,FALSE)," ")</f>
        <v>400</v>
      </c>
      <c r="P1888" s="8" t="e">
        <v>#NUM!</v>
      </c>
      <c r="Q1888" s="8" t="e">
        <f t="shared" ref="Q1888" si="8220">IF(COUNTIF(P1887:P1897,"&lt;"&amp;-0.001)=0,IF(ABS(P1888)&lt;0.001,0,P1888)," ")</f>
        <v>#NUM!</v>
      </c>
      <c r="R1888" s="8"/>
      <c r="S1888" s="8"/>
      <c r="U1888" s="34" t="e">
        <f t="shared" ref="U1888" si="8221">$Q1887</f>
        <v>#NUM!</v>
      </c>
      <c r="V1888" s="34">
        <v>-1</v>
      </c>
      <c r="W1888" s="34" t="e">
        <f t="shared" ref="W1888" si="8222">-SUMPRODUCT($Q1888:$Q1897,$N$3:$N$12)</f>
        <v>#NUM!</v>
      </c>
      <c r="X1888" s="34"/>
      <c r="Y1888" s="34"/>
      <c r="Z1888" s="34"/>
      <c r="AA1888" s="34" t="e">
        <f t="shared" ref="AA1888" si="8223">$Q1888</f>
        <v>#NUM!</v>
      </c>
      <c r="AB1888" s="34">
        <v>-1</v>
      </c>
      <c r="AC1888" s="34" t="e">
        <f t="shared" ref="AC1888" si="8224">-SUMPRODUCT($Q1887:$Q1887,$N$2:$N$2)-SUMPRODUCT($Q1889:$Q1897,$N$4:$N$12)</f>
        <v>#NUM!</v>
      </c>
      <c r="AD1888" s="34"/>
      <c r="AE1888" s="34"/>
      <c r="AF1888" s="34"/>
      <c r="AG1888" s="34" t="e">
        <f t="shared" ref="AG1888" si="8225">$Q1889</f>
        <v>#NUM!</v>
      </c>
      <c r="AH1888" s="34">
        <v>-1</v>
      </c>
      <c r="AI1888" s="34" t="e">
        <f t="shared" ref="AI1888" si="8226">-SUMPRODUCT($Q1887:$Q1888,$N$2:$N$3)-SUMPRODUCT($Q1890:$Q1897,$N$5:$N$12)</f>
        <v>#NUM!</v>
      </c>
      <c r="AJ1888" s="34"/>
      <c r="AK1888" s="34"/>
      <c r="AL1888" s="34"/>
      <c r="AM1888" s="34" t="e">
        <f t="shared" ref="AM1888" si="8227">$Q1890</f>
        <v>#NUM!</v>
      </c>
      <c r="AN1888" s="34">
        <v>-1</v>
      </c>
      <c r="AO1888" s="34" t="e">
        <f t="shared" ref="AO1888" si="8228">-SUMPRODUCT($Q1887:$Q1889,$N$2:$N$4)-SUMPRODUCT($Q1891:$Q1897,$N$6:$N$12)</f>
        <v>#NUM!</v>
      </c>
      <c r="AP1888" s="34"/>
      <c r="AQ1888" s="34"/>
      <c r="AR1888" s="34"/>
      <c r="AS1888" s="34" t="e">
        <f t="shared" ref="AS1888" si="8229">$Q1891</f>
        <v>#NUM!</v>
      </c>
      <c r="AT1888" s="34">
        <v>-1</v>
      </c>
      <c r="AU1888" s="34" t="e">
        <f t="shared" ref="AU1888" si="8230">-SUMPRODUCT($Q1887:$Q1890,$N$2:$N$5)-SUMPRODUCT($Q1892:$Q1897,$N$7:$N$12)</f>
        <v>#NUM!</v>
      </c>
      <c r="AV1888" s="34"/>
      <c r="AW1888" s="34"/>
      <c r="AX1888" s="34"/>
      <c r="AY1888" s="34" t="e">
        <f t="shared" ref="AY1888" si="8231">$Q1892</f>
        <v>#NUM!</v>
      </c>
      <c r="AZ1888" s="34">
        <v>-1</v>
      </c>
      <c r="BA1888" s="34" t="e">
        <f t="shared" ref="BA1888" si="8232">-SUMPRODUCT($Q1887:$Q1891,$N$2:$N$6)-SUMPRODUCT($Q1893:$Q1897,$N$8:$N$12)</f>
        <v>#NUM!</v>
      </c>
      <c r="BB1888" s="34"/>
      <c r="BC1888" s="34"/>
      <c r="BD1888" s="34"/>
      <c r="BE1888" s="34" t="e">
        <f t="shared" ref="BE1888" si="8233">$Q1893</f>
        <v>#NUM!</v>
      </c>
      <c r="BF1888" s="34">
        <v>-1</v>
      </c>
      <c r="BG1888" s="34" t="e">
        <f t="shared" ref="BG1888" si="8234">-SUMPRODUCT($Q1887:$Q1892,$N$2:$N$7)-SUMPRODUCT($Q1894:$Q1897,$N$9:$N$12)</f>
        <v>#NUM!</v>
      </c>
      <c r="BH1888" s="34"/>
      <c r="BI1888" s="34"/>
      <c r="BJ1888" s="34"/>
      <c r="BK1888" s="34" t="e">
        <f t="shared" ref="BK1888" si="8235">$Q1894</f>
        <v>#NUM!</v>
      </c>
      <c r="BL1888" s="34">
        <v>-1</v>
      </c>
      <c r="BM1888" s="34" t="e">
        <f t="shared" ref="BM1888" si="8236">-SUMPRODUCT($Q1887:$Q1893,$N$2:$N$8)-SUMPRODUCT($Q1895:$Q1897,$N$10:$N$12)</f>
        <v>#NUM!</v>
      </c>
      <c r="BN1888" s="34"/>
      <c r="BO1888" s="34"/>
      <c r="BP1888" s="34"/>
      <c r="BQ1888" s="34" t="e">
        <f t="shared" ref="BQ1888" si="8237">$Q1895</f>
        <v>#NUM!</v>
      </c>
      <c r="BR1888" s="34">
        <v>-1</v>
      </c>
      <c r="BS1888" s="34" t="e">
        <f t="shared" ref="BS1888" si="8238">-SUMPRODUCT($Q1887:$Q1894,$N$2:$N$9)-SUMPRODUCT($Q1896:$Q1897,$N$11:$N$12)</f>
        <v>#NUM!</v>
      </c>
      <c r="BT1888" s="34"/>
      <c r="BU1888" s="34"/>
      <c r="BV1888" s="34"/>
      <c r="BW1888" s="34" t="e">
        <f t="shared" ref="BW1888" si="8239">$Q1896</f>
        <v>#NUM!</v>
      </c>
      <c r="BX1888" s="34">
        <v>-1</v>
      </c>
      <c r="BY1888" s="34" t="e">
        <f t="shared" ref="BY1888" si="8240">-SUMPRODUCT($Q1887:$Q1895,$N$2:$N$10)-SUMPRODUCT($Q1897,$N$12)</f>
        <v>#NUM!</v>
      </c>
      <c r="BZ1888" s="34"/>
      <c r="CA1888" s="34"/>
      <c r="CB1888" s="34"/>
      <c r="CC1888" s="34" t="e">
        <f t="shared" ref="CC1888" si="8241">$Q1897</f>
        <v>#NUM!</v>
      </c>
      <c r="CD1888" s="34">
        <v>-1</v>
      </c>
      <c r="CE1888" s="34" t="e">
        <f t="shared" ref="CE1888" si="8242">-SUMPRODUCT($Q1887:$Q1896,$N$2:$N$11)</f>
        <v>#NUM!</v>
      </c>
      <c r="CF1888" s="34"/>
      <c r="CG1888" s="34"/>
      <c r="CH1888" s="34"/>
      <c r="CI1888" s="8"/>
    </row>
    <row r="1889" spans="1:87" x14ac:dyDescent="0.2">
      <c r="A1889" s="8" t="str">
        <f>IF(AND(COUNTIF(W$3:W$13,A$17)&gt;0,A$17&lt;&gt;B1816),A$17,IFERROR(IF(MATCH(A$17,Z$3:Z$13,0)=4,A$17," ")," "))</f>
        <v>C3</v>
      </c>
      <c r="B1889" s="8">
        <f>IF(A1889=" "," ",MAX(B1887:B1888)+1)</f>
        <v>1</v>
      </c>
      <c r="C1889" s="8" t="str">
        <f>IFERROR(INDEX(A1887:A1908,MATCH(SMALL(B1887:B1908,3),B1887:B1908,0),1)," ")</f>
        <v>C6</v>
      </c>
      <c r="D1889" s="8">
        <f t="shared" si="8208"/>
        <v>0</v>
      </c>
      <c r="E1889" s="8">
        <f t="shared" si="8209"/>
        <v>0</v>
      </c>
      <c r="F1889" s="8">
        <f t="shared" si="8210"/>
        <v>0</v>
      </c>
      <c r="G1889" s="8">
        <f t="shared" si="8211"/>
        <v>0</v>
      </c>
      <c r="H1889" s="8">
        <f t="shared" si="8212"/>
        <v>0</v>
      </c>
      <c r="I1889" s="8">
        <f t="shared" si="8213"/>
        <v>0</v>
      </c>
      <c r="J1889" s="8">
        <f t="shared" si="8214"/>
        <v>0</v>
      </c>
      <c r="K1889" s="8">
        <f t="shared" si="8215"/>
        <v>0</v>
      </c>
      <c r="L1889" s="8">
        <f t="shared" si="8216"/>
        <v>0</v>
      </c>
      <c r="M1889" s="8">
        <f t="shared" si="8217"/>
        <v>0</v>
      </c>
      <c r="N1889" s="8">
        <f t="shared" si="8218"/>
        <v>0</v>
      </c>
      <c r="O1889" s="8">
        <f t="shared" si="8219"/>
        <v>0</v>
      </c>
      <c r="P1889" s="8" t="e">
        <v>#NUM!</v>
      </c>
      <c r="Q1889" s="8" t="e">
        <f t="shared" ref="Q1889" si="8243">IF(COUNTIF(P1887:P1897,"&lt;"&amp;-0.001)=0,IF(ABS(P1889)&lt;0.001,0,P1889)," ")</f>
        <v>#NUM!</v>
      </c>
      <c r="R1889" s="8"/>
      <c r="S1889" s="8"/>
      <c r="U1889" s="34"/>
      <c r="V1889" s="34"/>
      <c r="W1889" s="34"/>
      <c r="X1889" s="34"/>
      <c r="Y1889" s="34"/>
      <c r="Z1889" s="34"/>
      <c r="AA1889" s="34"/>
      <c r="AB1889" s="34"/>
      <c r="AC1889" s="34"/>
      <c r="AD1889" s="34"/>
      <c r="AE1889" s="34"/>
      <c r="AF1889" s="34"/>
      <c r="AG1889" s="34"/>
      <c r="AH1889" s="34"/>
      <c r="AI1889" s="34"/>
      <c r="AJ1889" s="34"/>
      <c r="AK1889" s="34"/>
      <c r="AL1889" s="34"/>
      <c r="AM1889" s="34"/>
      <c r="AN1889" s="34"/>
      <c r="AO1889" s="34"/>
      <c r="AP1889" s="34"/>
      <c r="AQ1889" s="34"/>
      <c r="AR1889" s="34"/>
      <c r="AS1889" s="34"/>
      <c r="AT1889" s="34"/>
      <c r="AU1889" s="34"/>
      <c r="AV1889" s="34"/>
      <c r="AW1889" s="34"/>
      <c r="AX1889" s="34"/>
      <c r="AY1889" s="34"/>
      <c r="AZ1889" s="34"/>
      <c r="BA1889" s="34"/>
      <c r="BB1889" s="34"/>
      <c r="BC1889" s="34"/>
      <c r="BD1889" s="34"/>
      <c r="BE1889" s="34"/>
      <c r="BF1889" s="34"/>
      <c r="BG1889" s="34"/>
      <c r="BH1889" s="34"/>
      <c r="BI1889" s="34"/>
      <c r="BJ1889" s="34"/>
      <c r="BK1889" s="34"/>
      <c r="BL1889" s="34"/>
      <c r="BM1889" s="34"/>
      <c r="BN1889" s="34"/>
      <c r="BO1889" s="34"/>
      <c r="BP1889" s="34"/>
      <c r="BQ1889" s="34"/>
      <c r="BR1889" s="34"/>
      <c r="BS1889" s="34"/>
      <c r="BT1889" s="34"/>
      <c r="BU1889" s="34"/>
      <c r="BV1889" s="34"/>
      <c r="BW1889" s="34"/>
      <c r="BX1889" s="34"/>
      <c r="BY1889" s="34"/>
      <c r="BZ1889" s="34"/>
      <c r="CA1889" s="34"/>
      <c r="CB1889" s="34"/>
      <c r="CC1889" s="34"/>
      <c r="CD1889" s="34"/>
      <c r="CE1889" s="34"/>
      <c r="CF1889" s="34"/>
      <c r="CG1889" s="34"/>
      <c r="CH1889" s="34"/>
      <c r="CI1889" s="8"/>
    </row>
    <row r="1890" spans="1:87" x14ac:dyDescent="0.2">
      <c r="A1890" s="8" t="str">
        <f>IF(AND(COUNTIF(W$3:W$13,A$18)&gt;0,A$18&lt;&gt;B1816),A$18,IFERROR(IF(MATCH(A$18,Z$3:Z$13,0)=4,A$18," ")," "))</f>
        <v>C4</v>
      </c>
      <c r="B1890" s="8">
        <f>IF(A1890=" "," ",MAX(B1887:B1889)+1)</f>
        <v>2</v>
      </c>
      <c r="C1890" s="8" t="str">
        <f>IFERROR(INDEX(A1887:A1908,MATCH(SMALL(B1887:B1908,4),B1887:B1908,0),1)," ")</f>
        <v>C13</v>
      </c>
      <c r="D1890" s="8">
        <f t="shared" si="8208"/>
        <v>0</v>
      </c>
      <c r="E1890" s="8">
        <f t="shared" si="8209"/>
        <v>1</v>
      </c>
      <c r="F1890" s="8">
        <f t="shared" si="8210"/>
        <v>0</v>
      </c>
      <c r="G1890" s="8">
        <f t="shared" si="8211"/>
        <v>0</v>
      </c>
      <c r="H1890" s="8">
        <f t="shared" si="8212"/>
        <v>0</v>
      </c>
      <c r="I1890" s="8">
        <f t="shared" si="8213"/>
        <v>0</v>
      </c>
      <c r="J1890" s="8">
        <f t="shared" si="8214"/>
        <v>0</v>
      </c>
      <c r="K1890" s="8">
        <f t="shared" si="8215"/>
        <v>0</v>
      </c>
      <c r="L1890" s="8">
        <f t="shared" si="8216"/>
        <v>0</v>
      </c>
      <c r="M1890" s="8">
        <f t="shared" si="8217"/>
        <v>0</v>
      </c>
      <c r="N1890" s="8">
        <f t="shared" si="8218"/>
        <v>0</v>
      </c>
      <c r="O1890" s="8">
        <f t="shared" si="8219"/>
        <v>0</v>
      </c>
      <c r="P1890" s="8" t="e">
        <v>#NUM!</v>
      </c>
      <c r="Q1890" s="8" t="e">
        <f t="shared" ref="Q1890" si="8244">IF(COUNTIF(P1887:P1897,"&lt;"&amp;-0.001)=0,IF(ABS(P1890)&lt;0.001,0,P1890)," ")</f>
        <v>#NUM!</v>
      </c>
      <c r="R1890" s="8"/>
      <c r="S1890" s="8"/>
      <c r="U1890" s="34"/>
      <c r="V1890" s="34"/>
      <c r="W1890" s="34"/>
      <c r="X1890" s="34"/>
      <c r="Y1890" s="34"/>
      <c r="Z1890" s="34"/>
      <c r="AA1890" s="34"/>
      <c r="AB1890" s="34"/>
      <c r="AC1890" s="34"/>
      <c r="AD1890" s="34"/>
      <c r="AE1890" s="34"/>
      <c r="AF1890" s="34"/>
      <c r="AG1890" s="34"/>
      <c r="AH1890" s="34"/>
      <c r="AI1890" s="34"/>
      <c r="AJ1890" s="34"/>
      <c r="AK1890" s="34"/>
      <c r="AL1890" s="34"/>
      <c r="AM1890" s="34"/>
      <c r="AN1890" s="34"/>
      <c r="AO1890" s="34"/>
      <c r="AP1890" s="34"/>
      <c r="AQ1890" s="34"/>
      <c r="AR1890" s="34"/>
      <c r="AS1890" s="34"/>
      <c r="AT1890" s="34"/>
      <c r="AU1890" s="34"/>
      <c r="AV1890" s="34"/>
      <c r="AW1890" s="34"/>
      <c r="AX1890" s="34"/>
      <c r="AY1890" s="34"/>
      <c r="AZ1890" s="34"/>
      <c r="BA1890" s="34"/>
      <c r="BB1890" s="34"/>
      <c r="BC1890" s="34"/>
      <c r="BD1890" s="34"/>
      <c r="BE1890" s="34"/>
      <c r="BF1890" s="34"/>
      <c r="BG1890" s="34"/>
      <c r="BH1890" s="34"/>
      <c r="BI1890" s="34"/>
      <c r="BJ1890" s="34"/>
      <c r="BK1890" s="34"/>
      <c r="BL1890" s="34"/>
      <c r="BM1890" s="34"/>
      <c r="BN1890" s="34"/>
      <c r="BO1890" s="34"/>
      <c r="BP1890" s="34"/>
      <c r="BQ1890" s="34"/>
      <c r="BR1890" s="34"/>
      <c r="BS1890" s="34"/>
      <c r="BT1890" s="34"/>
      <c r="BU1890" s="34"/>
      <c r="BV1890" s="34"/>
      <c r="BW1890" s="34"/>
      <c r="BX1890" s="34"/>
      <c r="BY1890" s="34"/>
      <c r="BZ1890" s="34"/>
      <c r="CA1890" s="34"/>
      <c r="CB1890" s="34"/>
      <c r="CC1890" s="34"/>
      <c r="CD1890" s="34"/>
      <c r="CE1890" s="34"/>
      <c r="CF1890" s="34"/>
      <c r="CG1890" s="34"/>
      <c r="CH1890" s="34"/>
      <c r="CI1890" s="8"/>
    </row>
    <row r="1891" spans="1:87" x14ac:dyDescent="0.2">
      <c r="A1891" s="8" t="str">
        <f>IF(AND(COUNTIF(W$3:W$13,A$19)&gt;0,A$19&lt;&gt;B1816),A$19,IFERROR(IF(MATCH(A$19,Z$3:Z$13,0)=4,A$19," ")," "))</f>
        <v xml:space="preserve"> </v>
      </c>
      <c r="B1891" s="8" t="str">
        <f>IF(A1891=" "," ",MAX(B1887:B1890)+1)</f>
        <v xml:space="preserve"> </v>
      </c>
      <c r="C1891" s="8" t="str">
        <f>IFERROR(INDEX(A1887:A1908,MATCH(SMALL(B1887:B1908,5),B1887:B1908,0),1)," ")</f>
        <v>C15</v>
      </c>
      <c r="D1891" s="8">
        <f t="shared" si="8208"/>
        <v>0</v>
      </c>
      <c r="E1891" s="8">
        <f t="shared" si="8209"/>
        <v>0</v>
      </c>
      <c r="F1891" s="8">
        <f t="shared" si="8210"/>
        <v>0</v>
      </c>
      <c r="G1891" s="8">
        <f t="shared" si="8211"/>
        <v>1</v>
      </c>
      <c r="H1891" s="8">
        <f t="shared" si="8212"/>
        <v>0</v>
      </c>
      <c r="I1891" s="8">
        <f t="shared" si="8213"/>
        <v>0</v>
      </c>
      <c r="J1891" s="8">
        <f t="shared" si="8214"/>
        <v>0</v>
      </c>
      <c r="K1891" s="8">
        <f t="shared" si="8215"/>
        <v>0</v>
      </c>
      <c r="L1891" s="8">
        <f t="shared" si="8216"/>
        <v>0</v>
      </c>
      <c r="M1891" s="8">
        <f t="shared" si="8217"/>
        <v>0</v>
      </c>
      <c r="N1891" s="8">
        <f t="shared" si="8218"/>
        <v>0</v>
      </c>
      <c r="O1891" s="8">
        <f t="shared" si="8219"/>
        <v>0</v>
      </c>
      <c r="P1891" s="8" t="e">
        <v>#NUM!</v>
      </c>
      <c r="Q1891" s="8" t="e">
        <f t="shared" ref="Q1891" si="8245">IF(COUNTIF(P1887:P1897,"&lt;"&amp;-0.001)=0,IF(ABS(P1891)&lt;0.001,0,P1891)," ")</f>
        <v>#NUM!</v>
      </c>
      <c r="R1891" s="8"/>
      <c r="S1891" s="8"/>
      <c r="U1891" s="34"/>
      <c r="V1891" s="34"/>
      <c r="W1891" s="34"/>
      <c r="X1891" s="34"/>
      <c r="Y1891" s="34"/>
      <c r="Z1891" s="34"/>
      <c r="AA1891" s="34"/>
      <c r="AB1891" s="34"/>
      <c r="AC1891" s="34"/>
      <c r="AD1891" s="34"/>
      <c r="AE1891" s="34"/>
      <c r="AF1891" s="34"/>
      <c r="AG1891" s="34"/>
      <c r="AH1891" s="34"/>
      <c r="AI1891" s="34"/>
      <c r="AJ1891" s="34"/>
      <c r="AK1891" s="34"/>
      <c r="AL1891" s="34"/>
      <c r="AM1891" s="34"/>
      <c r="AN1891" s="34"/>
      <c r="AO1891" s="34"/>
      <c r="AP1891" s="34"/>
      <c r="AQ1891" s="34"/>
      <c r="AR1891" s="34"/>
      <c r="AS1891" s="34"/>
      <c r="AT1891" s="34"/>
      <c r="AU1891" s="34"/>
      <c r="AV1891" s="34"/>
      <c r="AW1891" s="34"/>
      <c r="AX1891" s="34"/>
      <c r="AY1891" s="34"/>
      <c r="AZ1891" s="34"/>
      <c r="BA1891" s="34"/>
      <c r="BB1891" s="34"/>
      <c r="BC1891" s="34"/>
      <c r="BD1891" s="34"/>
      <c r="BE1891" s="34"/>
      <c r="BF1891" s="34"/>
      <c r="BG1891" s="34"/>
      <c r="BH1891" s="34"/>
      <c r="BI1891" s="34"/>
      <c r="BJ1891" s="34"/>
      <c r="BK1891" s="34"/>
      <c r="BL1891" s="34"/>
      <c r="BM1891" s="34"/>
      <c r="BN1891" s="34"/>
      <c r="BO1891" s="34"/>
      <c r="BP1891" s="34"/>
      <c r="BQ1891" s="34"/>
      <c r="BR1891" s="34"/>
      <c r="BS1891" s="34"/>
      <c r="BT1891" s="34"/>
      <c r="BU1891" s="34"/>
      <c r="BV1891" s="34"/>
      <c r="BW1891" s="34"/>
      <c r="BX1891" s="34"/>
      <c r="BY1891" s="34"/>
      <c r="BZ1891" s="34"/>
      <c r="CA1891" s="34"/>
      <c r="CB1891" s="34"/>
      <c r="CC1891" s="34"/>
      <c r="CD1891" s="34"/>
      <c r="CE1891" s="34"/>
      <c r="CF1891" s="34"/>
      <c r="CG1891" s="34"/>
      <c r="CH1891" s="34"/>
      <c r="CI1891" s="8"/>
    </row>
    <row r="1892" spans="1:87" x14ac:dyDescent="0.2">
      <c r="A1892" s="8" t="str">
        <f>IF(AND(COUNTIF(W$3:W$13,A$20)&gt;0,A$20&lt;&gt;B1816),A$20,IFERROR(IF(MATCH(A$20,Z$3:Z$13,0)=4,A$20," ")," "))</f>
        <v>C6</v>
      </c>
      <c r="B1892" s="8">
        <f>IF(A1892=" "," ",MAX(B1887:B1891)+1)</f>
        <v>3</v>
      </c>
      <c r="C1892" s="8" t="str">
        <f>IFERROR(INDEX(A1887:A1908,MATCH(SMALL(B1887:B1908,6),B1887:B1908,0),1)," ")</f>
        <v>C16</v>
      </c>
      <c r="D1892" s="8">
        <f t="shared" si="8208"/>
        <v>0</v>
      </c>
      <c r="E1892" s="8">
        <f t="shared" si="8209"/>
        <v>0</v>
      </c>
      <c r="F1892" s="8">
        <f t="shared" si="8210"/>
        <v>0</v>
      </c>
      <c r="G1892" s="8">
        <f t="shared" si="8211"/>
        <v>0</v>
      </c>
      <c r="H1892" s="8">
        <f t="shared" si="8212"/>
        <v>1</v>
      </c>
      <c r="I1892" s="8">
        <f t="shared" si="8213"/>
        <v>0</v>
      </c>
      <c r="J1892" s="8">
        <f t="shared" si="8214"/>
        <v>0</v>
      </c>
      <c r="K1892" s="8">
        <f t="shared" si="8215"/>
        <v>0</v>
      </c>
      <c r="L1892" s="8">
        <f t="shared" si="8216"/>
        <v>0</v>
      </c>
      <c r="M1892" s="8">
        <f t="shared" si="8217"/>
        <v>0</v>
      </c>
      <c r="N1892" s="8">
        <f t="shared" si="8218"/>
        <v>0</v>
      </c>
      <c r="O1892" s="8">
        <f t="shared" si="8219"/>
        <v>0</v>
      </c>
      <c r="P1892" s="8" t="e">
        <v>#NUM!</v>
      </c>
      <c r="Q1892" s="8" t="e">
        <f t="shared" ref="Q1892" si="8246">IF(COUNTIF(P1887:P1897,"&lt;"&amp;-0.001)=0,IF(ABS(P1892)&lt;0.001,0,P1892)," ")</f>
        <v>#NUM!</v>
      </c>
      <c r="R1892" s="8"/>
      <c r="S1892" s="8"/>
      <c r="U1892" s="34"/>
      <c r="V1892" s="34"/>
      <c r="W1892" s="34"/>
      <c r="X1892" s="34"/>
      <c r="Y1892" s="34"/>
      <c r="Z1892" s="34"/>
      <c r="AA1892" s="34"/>
      <c r="AB1892" s="34"/>
      <c r="AC1892" s="34"/>
      <c r="AD1892" s="34"/>
      <c r="AE1892" s="34"/>
      <c r="AF1892" s="34"/>
      <c r="AG1892" s="34"/>
      <c r="AH1892" s="34"/>
      <c r="AI1892" s="34"/>
      <c r="AJ1892" s="34"/>
      <c r="AK1892" s="34"/>
      <c r="AL1892" s="34"/>
      <c r="AM1892" s="34"/>
      <c r="AN1892" s="34"/>
      <c r="AO1892" s="34"/>
      <c r="AP1892" s="34"/>
      <c r="AQ1892" s="34"/>
      <c r="AR1892" s="34"/>
      <c r="AS1892" s="34"/>
      <c r="AT1892" s="34"/>
      <c r="AU1892" s="34"/>
      <c r="AV1892" s="34"/>
      <c r="AW1892" s="34"/>
      <c r="AX1892" s="34"/>
      <c r="AY1892" s="34"/>
      <c r="AZ1892" s="34"/>
      <c r="BA1892" s="34"/>
      <c r="BB1892" s="34"/>
      <c r="BC1892" s="34"/>
      <c r="BD1892" s="34"/>
      <c r="BE1892" s="34"/>
      <c r="BF1892" s="34"/>
      <c r="BG1892" s="34"/>
      <c r="BH1892" s="34"/>
      <c r="BI1892" s="34"/>
      <c r="BJ1892" s="34"/>
      <c r="BK1892" s="34"/>
      <c r="BL1892" s="34"/>
      <c r="BM1892" s="34"/>
      <c r="BN1892" s="34"/>
      <c r="BO1892" s="34"/>
      <c r="BP1892" s="34"/>
      <c r="BQ1892" s="34"/>
      <c r="BR1892" s="34"/>
      <c r="BS1892" s="34"/>
      <c r="BT1892" s="34"/>
      <c r="BU1892" s="34"/>
      <c r="BV1892" s="34"/>
      <c r="BW1892" s="34"/>
      <c r="BX1892" s="34"/>
      <c r="BY1892" s="34"/>
      <c r="BZ1892" s="34"/>
      <c r="CA1892" s="34"/>
      <c r="CB1892" s="34"/>
      <c r="CC1892" s="34"/>
      <c r="CD1892" s="34"/>
      <c r="CE1892" s="34"/>
      <c r="CF1892" s="34"/>
      <c r="CG1892" s="34"/>
      <c r="CH1892" s="34"/>
      <c r="CI1892" s="8"/>
    </row>
    <row r="1893" spans="1:87" x14ac:dyDescent="0.2">
      <c r="A1893" s="8" t="str">
        <f>IF(AND(COUNTIF(W$3:W$13,A$21)&gt;0,A$21&lt;&gt;B1816),A$21,IFERROR(IF(MATCH(A$21,Z$3:Z$13,0)=4,A$21," ")," "))</f>
        <v xml:space="preserve"> </v>
      </c>
      <c r="B1893" s="8" t="str">
        <f>IF(A1893=" "," ",MAX(B1887:B1892)+1)</f>
        <v xml:space="preserve"> </v>
      </c>
      <c r="C1893" s="8" t="str">
        <f>IFERROR(INDEX(A1887:A1908,MATCH(SMALL(B1887:B1908,7),B1887:B1908,0),1)," ")</f>
        <v>C17</v>
      </c>
      <c r="D1893" s="8">
        <f t="shared" si="8208"/>
        <v>0</v>
      </c>
      <c r="E1893" s="8">
        <f t="shared" si="8209"/>
        <v>0</v>
      </c>
      <c r="F1893" s="8">
        <f t="shared" si="8210"/>
        <v>0</v>
      </c>
      <c r="G1893" s="8">
        <f t="shared" si="8211"/>
        <v>0</v>
      </c>
      <c r="H1893" s="8">
        <f t="shared" si="8212"/>
        <v>0</v>
      </c>
      <c r="I1893" s="8">
        <f t="shared" si="8213"/>
        <v>1</v>
      </c>
      <c r="J1893" s="8">
        <f t="shared" si="8214"/>
        <v>0</v>
      </c>
      <c r="K1893" s="8">
        <f t="shared" si="8215"/>
        <v>0</v>
      </c>
      <c r="L1893" s="8">
        <f t="shared" si="8216"/>
        <v>0</v>
      </c>
      <c r="M1893" s="8">
        <f t="shared" si="8217"/>
        <v>0</v>
      </c>
      <c r="N1893" s="8">
        <f t="shared" si="8218"/>
        <v>0</v>
      </c>
      <c r="O1893" s="8">
        <f t="shared" si="8219"/>
        <v>0</v>
      </c>
      <c r="P1893" s="8" t="e">
        <v>#NUM!</v>
      </c>
      <c r="Q1893" s="8" t="e">
        <f t="shared" ref="Q1893" si="8247">IF(COUNTIF(P1887:P1897,"&lt;"&amp;-0.001)=0,IF(ABS(P1893)&lt;0.001,0,P1893)," ")</f>
        <v>#NUM!</v>
      </c>
      <c r="R1893" s="8"/>
      <c r="S1893" s="8"/>
      <c r="U1893" s="34"/>
      <c r="V1893" s="34"/>
      <c r="W1893" s="34"/>
      <c r="X1893" s="34"/>
      <c r="Y1893" s="34"/>
      <c r="Z1893" s="34"/>
      <c r="AA1893" s="34"/>
      <c r="AB1893" s="34"/>
      <c r="AC1893" s="34"/>
      <c r="AD1893" s="34"/>
      <c r="AE1893" s="34"/>
      <c r="AF1893" s="34"/>
      <c r="AG1893" s="34"/>
      <c r="AH1893" s="34"/>
      <c r="AI1893" s="34"/>
      <c r="AJ1893" s="34"/>
      <c r="AK1893" s="34"/>
      <c r="AL1893" s="34"/>
      <c r="AM1893" s="34"/>
      <c r="AN1893" s="34"/>
      <c r="AO1893" s="34"/>
      <c r="AP1893" s="34"/>
      <c r="AQ1893" s="34"/>
      <c r="AR1893" s="34"/>
      <c r="AS1893" s="34"/>
      <c r="AT1893" s="34"/>
      <c r="AU1893" s="34"/>
      <c r="AV1893" s="34"/>
      <c r="AW1893" s="34"/>
      <c r="AX1893" s="34"/>
      <c r="AY1893" s="34"/>
      <c r="AZ1893" s="34"/>
      <c r="BA1893" s="34"/>
      <c r="BB1893" s="34"/>
      <c r="BC1893" s="34"/>
      <c r="BD1893" s="34"/>
      <c r="BE1893" s="34"/>
      <c r="BF1893" s="34"/>
      <c r="BG1893" s="34"/>
      <c r="BH1893" s="34"/>
      <c r="BI1893" s="34"/>
      <c r="BJ1893" s="34"/>
      <c r="BK1893" s="34"/>
      <c r="BL1893" s="34"/>
      <c r="BM1893" s="34"/>
      <c r="BN1893" s="34"/>
      <c r="BO1893" s="34"/>
      <c r="BP1893" s="34"/>
      <c r="BQ1893" s="34"/>
      <c r="BR1893" s="34"/>
      <c r="BS1893" s="34"/>
      <c r="BT1893" s="34"/>
      <c r="BU1893" s="34"/>
      <c r="BV1893" s="34"/>
      <c r="BW1893" s="34"/>
      <c r="BX1893" s="34"/>
      <c r="BY1893" s="34"/>
      <c r="BZ1893" s="34"/>
      <c r="CA1893" s="34"/>
      <c r="CB1893" s="34"/>
      <c r="CC1893" s="34"/>
      <c r="CD1893" s="34"/>
      <c r="CE1893" s="34"/>
      <c r="CF1893" s="34"/>
      <c r="CG1893" s="34"/>
      <c r="CH1893" s="34"/>
      <c r="CI1893" s="8"/>
    </row>
    <row r="1894" spans="1:87" x14ac:dyDescent="0.2">
      <c r="A1894" s="8" t="str">
        <f>IF(AND(COUNTIF(W$3:W$13,A$22)&gt;0,A$22&lt;&gt;B1816),A$22,IFERROR(IF(MATCH(A$22,Z$3:Z$13,0)=4,A$22," ")," "))</f>
        <v xml:space="preserve"> </v>
      </c>
      <c r="B1894" s="8" t="str">
        <f>IF(A1894=" "," ",MAX(B1887:B1893)+1)</f>
        <v xml:space="preserve"> </v>
      </c>
      <c r="C1894" s="8" t="str">
        <f>IFERROR(INDEX(A1887:A1908,MATCH(SMALL(B1887:B1908,8),B1887:B1908,0),1)," ")</f>
        <v>C18</v>
      </c>
      <c r="D1894" s="8">
        <f t="shared" si="8208"/>
        <v>0</v>
      </c>
      <c r="E1894" s="8">
        <f t="shared" si="8209"/>
        <v>0</v>
      </c>
      <c r="F1894" s="8">
        <f t="shared" si="8210"/>
        <v>0</v>
      </c>
      <c r="G1894" s="8">
        <f t="shared" si="8211"/>
        <v>0</v>
      </c>
      <c r="H1894" s="8">
        <f t="shared" si="8212"/>
        <v>0</v>
      </c>
      <c r="I1894" s="8">
        <f t="shared" si="8213"/>
        <v>0</v>
      </c>
      <c r="J1894" s="8">
        <f t="shared" si="8214"/>
        <v>1</v>
      </c>
      <c r="K1894" s="8">
        <f t="shared" si="8215"/>
        <v>0</v>
      </c>
      <c r="L1894" s="8">
        <f t="shared" si="8216"/>
        <v>0</v>
      </c>
      <c r="M1894" s="8">
        <f t="shared" si="8217"/>
        <v>0</v>
      </c>
      <c r="N1894" s="8">
        <f t="shared" si="8218"/>
        <v>0</v>
      </c>
      <c r="O1894" s="8">
        <f t="shared" si="8219"/>
        <v>0</v>
      </c>
      <c r="P1894" s="8" t="e">
        <v>#NUM!</v>
      </c>
      <c r="Q1894" s="8" t="e">
        <f t="shared" ref="Q1894" si="8248">IF(COUNTIF(P1887:P1897,"&lt;"&amp;-0.001)=0,IF(ABS(P1894)&lt;0.001,0,P1894)," ")</f>
        <v>#NUM!</v>
      </c>
      <c r="R1894" s="8"/>
      <c r="S1894" s="8"/>
      <c r="U1894" s="34"/>
      <c r="V1894" s="34"/>
      <c r="W1894" s="34"/>
      <c r="X1894" s="34"/>
      <c r="Y1894" s="34"/>
      <c r="Z1894" s="34"/>
      <c r="AA1894" s="34"/>
      <c r="AB1894" s="34"/>
      <c r="AC1894" s="34"/>
      <c r="AD1894" s="34"/>
      <c r="AE1894" s="34"/>
      <c r="AF1894" s="34"/>
      <c r="AG1894" s="34"/>
      <c r="AH1894" s="34"/>
      <c r="AI1894" s="34"/>
      <c r="AJ1894" s="34"/>
      <c r="AK1894" s="34"/>
      <c r="AL1894" s="34"/>
      <c r="AM1894" s="34"/>
      <c r="AN1894" s="34"/>
      <c r="AO1894" s="34"/>
      <c r="AP1894" s="34"/>
      <c r="AQ1894" s="34"/>
      <c r="AR1894" s="34"/>
      <c r="AS1894" s="34"/>
      <c r="AT1894" s="34"/>
      <c r="AU1894" s="34"/>
      <c r="AV1894" s="34"/>
      <c r="AW1894" s="34"/>
      <c r="AX1894" s="34"/>
      <c r="AY1894" s="34"/>
      <c r="AZ1894" s="34"/>
      <c r="BA1894" s="34"/>
      <c r="BB1894" s="34"/>
      <c r="BC1894" s="34"/>
      <c r="BD1894" s="34"/>
      <c r="BE1894" s="34"/>
      <c r="BF1894" s="34"/>
      <c r="BG1894" s="34"/>
      <c r="BH1894" s="34"/>
      <c r="BI1894" s="34"/>
      <c r="BJ1894" s="34"/>
      <c r="BK1894" s="34"/>
      <c r="BL1894" s="34"/>
      <c r="BM1894" s="34"/>
      <c r="BN1894" s="34"/>
      <c r="BO1894" s="34"/>
      <c r="BP1894" s="34"/>
      <c r="BQ1894" s="34"/>
      <c r="BR1894" s="34"/>
      <c r="BS1894" s="34"/>
      <c r="BT1894" s="34"/>
      <c r="BU1894" s="34"/>
      <c r="BV1894" s="34"/>
      <c r="BW1894" s="34"/>
      <c r="BX1894" s="34"/>
      <c r="BY1894" s="34"/>
      <c r="BZ1894" s="34"/>
      <c r="CA1894" s="34"/>
      <c r="CB1894" s="34"/>
      <c r="CC1894" s="34"/>
      <c r="CD1894" s="34"/>
      <c r="CE1894" s="34"/>
      <c r="CF1894" s="34"/>
      <c r="CG1894" s="34"/>
      <c r="CH1894" s="34"/>
      <c r="CI1894" s="8"/>
    </row>
    <row r="1895" spans="1:87" x14ac:dyDescent="0.2">
      <c r="A1895" s="8" t="str">
        <f>IF(AND(COUNTIF(W$3:W$13,A$23)&gt;0,A$23&lt;&gt;B1816),A$23,IFERROR(IF(MATCH(A$23,Z$3:Z$13,0)=4,A$23," ")," "))</f>
        <v xml:space="preserve"> </v>
      </c>
      <c r="B1895" s="8" t="str">
        <f>IF(A1895=" "," ",MAX(B1887:B1894)+1)</f>
        <v xml:space="preserve"> </v>
      </c>
      <c r="C1895" s="8" t="str">
        <f>IFERROR(INDEX(A1887:A1908,MATCH(SMALL(B1887:B1908,9),B1887:B1908,0),1)," ")</f>
        <v>C20</v>
      </c>
      <c r="D1895" s="8">
        <f t="shared" si="8208"/>
        <v>0</v>
      </c>
      <c r="E1895" s="8">
        <f t="shared" si="8209"/>
        <v>0</v>
      </c>
      <c r="F1895" s="8">
        <f t="shared" si="8210"/>
        <v>0</v>
      </c>
      <c r="G1895" s="8">
        <f t="shared" si="8211"/>
        <v>0</v>
      </c>
      <c r="H1895" s="8">
        <f t="shared" si="8212"/>
        <v>0</v>
      </c>
      <c r="I1895" s="8">
        <f t="shared" si="8213"/>
        <v>0</v>
      </c>
      <c r="J1895" s="8">
        <f t="shared" si="8214"/>
        <v>0</v>
      </c>
      <c r="K1895" s="8">
        <f t="shared" si="8215"/>
        <v>0</v>
      </c>
      <c r="L1895" s="8">
        <f t="shared" si="8216"/>
        <v>1</v>
      </c>
      <c r="M1895" s="8">
        <f t="shared" si="8217"/>
        <v>0</v>
      </c>
      <c r="N1895" s="8">
        <f t="shared" si="8218"/>
        <v>0</v>
      </c>
      <c r="O1895" s="8">
        <f t="shared" si="8219"/>
        <v>0</v>
      </c>
      <c r="P1895" s="6" t="e">
        <v>#NUM!</v>
      </c>
      <c r="Q1895" s="8" t="e">
        <f t="shared" ref="Q1895" si="8249">IF(COUNTIF(P1887:P1897,"&lt;"&amp;-0.001)=0,IF(ABS(P1895)&lt;0.001,0,P1895)," ")</f>
        <v>#NUM!</v>
      </c>
      <c r="R1895" s="8"/>
      <c r="S1895" s="8"/>
      <c r="U1895" s="34"/>
      <c r="V1895" s="34"/>
      <c r="W1895" s="34"/>
      <c r="X1895" s="34"/>
      <c r="Y1895" s="34"/>
      <c r="Z1895" s="34"/>
      <c r="AA1895" s="34"/>
      <c r="AB1895" s="34"/>
      <c r="AC1895" s="34"/>
      <c r="AD1895" s="34"/>
      <c r="AE1895" s="34"/>
      <c r="AF1895" s="34"/>
      <c r="AG1895" s="34"/>
      <c r="AH1895" s="34"/>
      <c r="AI1895" s="34"/>
      <c r="AJ1895" s="34"/>
      <c r="AK1895" s="34"/>
      <c r="AL1895" s="34"/>
      <c r="AM1895" s="34"/>
      <c r="AN1895" s="34"/>
      <c r="AO1895" s="34"/>
      <c r="AP1895" s="34"/>
      <c r="AQ1895" s="34"/>
      <c r="AR1895" s="34"/>
      <c r="AS1895" s="34"/>
      <c r="AT1895" s="34"/>
      <c r="AU1895" s="34"/>
      <c r="AV1895" s="34"/>
      <c r="AW1895" s="34"/>
      <c r="AX1895" s="34"/>
      <c r="AY1895" s="34"/>
      <c r="AZ1895" s="34"/>
      <c r="BA1895" s="34"/>
      <c r="BB1895" s="34"/>
      <c r="BC1895" s="34"/>
      <c r="BD1895" s="34"/>
      <c r="BE1895" s="34"/>
      <c r="BF1895" s="34"/>
      <c r="BG1895" s="34"/>
      <c r="BH1895" s="34"/>
      <c r="BI1895" s="34"/>
      <c r="BJ1895" s="34"/>
      <c r="BK1895" s="34"/>
      <c r="BL1895" s="34"/>
      <c r="BM1895" s="34"/>
      <c r="BN1895" s="34"/>
      <c r="BO1895" s="34"/>
      <c r="BP1895" s="34"/>
      <c r="BQ1895" s="34"/>
      <c r="BR1895" s="34"/>
      <c r="BS1895" s="34"/>
      <c r="BT1895" s="34"/>
      <c r="BU1895" s="34"/>
      <c r="BV1895" s="34"/>
      <c r="BW1895" s="34"/>
      <c r="BX1895" s="34"/>
      <c r="BY1895" s="34"/>
      <c r="BZ1895" s="34"/>
      <c r="CA1895" s="34"/>
      <c r="CB1895" s="34"/>
      <c r="CC1895" s="34"/>
      <c r="CD1895" s="34"/>
      <c r="CE1895" s="34"/>
      <c r="CF1895" s="34"/>
      <c r="CG1895" s="34"/>
      <c r="CH1895" s="34"/>
      <c r="CI1895" s="8"/>
    </row>
    <row r="1896" spans="1:87" x14ac:dyDescent="0.2">
      <c r="A1896" s="8" t="str">
        <f>IF(AND(COUNTIF(W$3:W$13,A$24)&gt;0,A$24&lt;&gt;B1816),A$24,IFERROR(IF(MATCH(A$24,Z$3:Z$13,0)=4,A$24," ")," "))</f>
        <v xml:space="preserve"> </v>
      </c>
      <c r="B1896" s="8" t="str">
        <f>IF(A1896=" "," ",MAX(B1887:B1895)+1)</f>
        <v xml:space="preserve"> </v>
      </c>
      <c r="C1896" s="8" t="str">
        <f>IFERROR(INDEX(A1887:A1908,MATCH(SMALL(B1887:B1908,10),B1887:B1908,0),1)," ")</f>
        <v>C21</v>
      </c>
      <c r="D1896" s="8">
        <f t="shared" si="8208"/>
        <v>0</v>
      </c>
      <c r="E1896" s="8">
        <f t="shared" si="8209"/>
        <v>0</v>
      </c>
      <c r="F1896" s="8">
        <f t="shared" si="8210"/>
        <v>0</v>
      </c>
      <c r="G1896" s="8">
        <f t="shared" si="8211"/>
        <v>0</v>
      </c>
      <c r="H1896" s="8">
        <f t="shared" si="8212"/>
        <v>0</v>
      </c>
      <c r="I1896" s="8">
        <f t="shared" si="8213"/>
        <v>0</v>
      </c>
      <c r="J1896" s="8">
        <f t="shared" si="8214"/>
        <v>0</v>
      </c>
      <c r="K1896" s="8">
        <f t="shared" si="8215"/>
        <v>0</v>
      </c>
      <c r="L1896" s="8">
        <f t="shared" si="8216"/>
        <v>0</v>
      </c>
      <c r="M1896" s="8">
        <f t="shared" si="8217"/>
        <v>1</v>
      </c>
      <c r="N1896" s="8">
        <f t="shared" si="8218"/>
        <v>0</v>
      </c>
      <c r="O1896" s="8">
        <f t="shared" si="8219"/>
        <v>0</v>
      </c>
      <c r="P1896" s="8" t="e">
        <v>#NUM!</v>
      </c>
      <c r="Q1896" s="8" t="e">
        <f t="shared" ref="Q1896" si="8250">IF(COUNTIF(P1887:P1897,"&lt;"&amp;-0.001)=0,IF(ABS(P1896)&lt;0.001,0,P1896)," ")</f>
        <v>#NUM!</v>
      </c>
      <c r="R1896" s="8"/>
      <c r="S1896" s="8"/>
      <c r="U1896" s="34"/>
      <c r="V1896" s="34"/>
      <c r="W1896" s="34"/>
      <c r="X1896" s="34"/>
      <c r="Y1896" s="34"/>
      <c r="Z1896" s="34"/>
      <c r="AA1896" s="34"/>
      <c r="AB1896" s="34"/>
      <c r="AC1896" s="34"/>
      <c r="AD1896" s="34"/>
      <c r="AE1896" s="34"/>
      <c r="AF1896" s="34"/>
      <c r="AG1896" s="34"/>
      <c r="AH1896" s="34"/>
      <c r="AI1896" s="34"/>
      <c r="AJ1896" s="34"/>
      <c r="AK1896" s="34"/>
      <c r="AL1896" s="34"/>
      <c r="AM1896" s="34"/>
      <c r="AN1896" s="34"/>
      <c r="AO1896" s="34"/>
      <c r="AP1896" s="34"/>
      <c r="AQ1896" s="34"/>
      <c r="AR1896" s="34"/>
      <c r="AS1896" s="34"/>
      <c r="AT1896" s="34"/>
      <c r="AU1896" s="34"/>
      <c r="AV1896" s="34"/>
      <c r="AW1896" s="34"/>
      <c r="AX1896" s="34"/>
      <c r="AY1896" s="34"/>
      <c r="AZ1896" s="34"/>
      <c r="BA1896" s="34"/>
      <c r="BB1896" s="34"/>
      <c r="BC1896" s="34"/>
      <c r="BD1896" s="34"/>
      <c r="BE1896" s="34"/>
      <c r="BF1896" s="34"/>
      <c r="BG1896" s="34"/>
      <c r="BH1896" s="34"/>
      <c r="BI1896" s="34"/>
      <c r="BJ1896" s="34"/>
      <c r="BK1896" s="34"/>
      <c r="BL1896" s="34"/>
      <c r="BM1896" s="34"/>
      <c r="BN1896" s="34"/>
      <c r="BO1896" s="34"/>
      <c r="BP1896" s="34"/>
      <c r="BQ1896" s="34"/>
      <c r="BR1896" s="34"/>
      <c r="BS1896" s="34"/>
      <c r="BT1896" s="34"/>
      <c r="BU1896" s="34"/>
      <c r="BV1896" s="34"/>
      <c r="BW1896" s="34"/>
      <c r="BX1896" s="34"/>
      <c r="BY1896" s="34"/>
      <c r="BZ1896" s="34"/>
      <c r="CA1896" s="34"/>
      <c r="CB1896" s="34"/>
      <c r="CC1896" s="34"/>
      <c r="CD1896" s="34"/>
      <c r="CE1896" s="34"/>
      <c r="CF1896" s="34"/>
      <c r="CG1896" s="34"/>
      <c r="CH1896" s="34"/>
      <c r="CI1896" s="8"/>
    </row>
    <row r="1897" spans="1:87" x14ac:dyDescent="0.2">
      <c r="A1897" s="8" t="str">
        <f>IF(AND(COUNTIF(W$3:W$13,A$25)&gt;0,A$25&lt;&gt;B1816),A$25,IFERROR(IF(MATCH(A$25,Z$3:Z$13,0)=4,A$25," ")," "))</f>
        <v xml:space="preserve"> </v>
      </c>
      <c r="B1897" s="8" t="str">
        <f>IF(A1897=" "," ",MAX(B1887:B1896)+1)</f>
        <v xml:space="preserve"> </v>
      </c>
      <c r="C1897" s="8" t="str">
        <f>IFERROR(INDEX(A1887:A1908,MATCH(SMALL(B1887:B1908,11),B1887:B1908,0),1)," ")</f>
        <v>C22</v>
      </c>
      <c r="D1897" s="8">
        <f t="shared" si="8208"/>
        <v>0</v>
      </c>
      <c r="E1897" s="8">
        <f t="shared" si="8209"/>
        <v>0</v>
      </c>
      <c r="F1897" s="8">
        <f t="shared" si="8210"/>
        <v>0</v>
      </c>
      <c r="G1897" s="8">
        <f t="shared" si="8211"/>
        <v>0</v>
      </c>
      <c r="H1897" s="8">
        <f t="shared" si="8212"/>
        <v>0</v>
      </c>
      <c r="I1897" s="8">
        <f t="shared" si="8213"/>
        <v>0</v>
      </c>
      <c r="J1897" s="8">
        <f t="shared" si="8214"/>
        <v>0</v>
      </c>
      <c r="K1897" s="8">
        <f t="shared" si="8215"/>
        <v>0</v>
      </c>
      <c r="L1897" s="8">
        <f t="shared" si="8216"/>
        <v>0</v>
      </c>
      <c r="M1897" s="8">
        <f t="shared" si="8217"/>
        <v>0</v>
      </c>
      <c r="N1897" s="8">
        <f t="shared" si="8218"/>
        <v>1</v>
      </c>
      <c r="O1897" s="8">
        <f t="shared" si="8219"/>
        <v>0</v>
      </c>
      <c r="P1897" s="8" t="e">
        <v>#NUM!</v>
      </c>
      <c r="Q1897" s="8" t="e">
        <f t="shared" ref="Q1897" si="8251">IF(COUNTIF(P1887:P1897,"&lt;"&amp;-0.001)=0,IF(ABS(P1897)&lt;0.001,0,P1897)," ")</f>
        <v>#NUM!</v>
      </c>
      <c r="R1897" s="8"/>
      <c r="S1897" s="8"/>
      <c r="U1897" s="34"/>
      <c r="V1897" s="34"/>
      <c r="W1897" s="34"/>
      <c r="X1897" s="34"/>
      <c r="Y1897" s="34"/>
      <c r="Z1897" s="34"/>
      <c r="AA1897" s="34"/>
      <c r="AB1897" s="34"/>
      <c r="AC1897" s="34"/>
      <c r="AD1897" s="34"/>
      <c r="AE1897" s="34"/>
      <c r="AF1897" s="34"/>
      <c r="AG1897" s="34"/>
      <c r="AH1897" s="34"/>
      <c r="AI1897" s="34"/>
      <c r="AJ1897" s="34"/>
      <c r="AK1897" s="34"/>
      <c r="AL1897" s="34"/>
      <c r="AM1897" s="34"/>
      <c r="AN1897" s="34"/>
      <c r="AO1897" s="34"/>
      <c r="AP1897" s="34"/>
      <c r="AQ1897" s="34"/>
      <c r="AR1897" s="34"/>
      <c r="AS1897" s="34"/>
      <c r="AT1897" s="34"/>
      <c r="AU1897" s="34"/>
      <c r="AV1897" s="34"/>
      <c r="AW1897" s="34"/>
      <c r="AX1897" s="34"/>
      <c r="AY1897" s="34"/>
      <c r="AZ1897" s="34"/>
      <c r="BA1897" s="34"/>
      <c r="BB1897" s="34"/>
      <c r="BC1897" s="34"/>
      <c r="BD1897" s="34"/>
      <c r="BE1897" s="34"/>
      <c r="BF1897" s="34"/>
      <c r="BG1897" s="34"/>
      <c r="BH1897" s="34"/>
      <c r="BI1897" s="34"/>
      <c r="BJ1897" s="34"/>
      <c r="BK1897" s="34"/>
      <c r="BL1897" s="34"/>
      <c r="BM1897" s="34"/>
      <c r="BN1897" s="34"/>
      <c r="BO1897" s="34"/>
      <c r="BP1897" s="34"/>
      <c r="BQ1897" s="34"/>
      <c r="BR1897" s="34"/>
      <c r="BS1897" s="34"/>
      <c r="BT1897" s="34"/>
      <c r="BU1897" s="34"/>
      <c r="BV1897" s="34"/>
      <c r="BW1897" s="34"/>
      <c r="BX1897" s="34"/>
      <c r="BY1897" s="34"/>
      <c r="BZ1897" s="34"/>
      <c r="CA1897" s="34"/>
      <c r="CB1897" s="34"/>
      <c r="CC1897" s="34"/>
      <c r="CD1897" s="34"/>
      <c r="CE1897" s="34"/>
      <c r="CF1897" s="34"/>
      <c r="CG1897" s="34"/>
      <c r="CH1897" s="34"/>
      <c r="CI1897" s="8"/>
    </row>
    <row r="1898" spans="1:87" x14ac:dyDescent="0.2">
      <c r="A1898" s="8" t="str">
        <f>IF(AND(COUNTIF(W$3:W$13,A$26)&gt;0,A$26&lt;&gt;B1816),A$26,IFERROR(IF(MATCH(A$26,Z$3:Z$13,0)=4,A$26," ")," "))</f>
        <v xml:space="preserve"> </v>
      </c>
      <c r="B1898" s="8" t="str">
        <f>IF(A1898=" "," ",MAX(B1887:B1897)+1)</f>
        <v xml:space="preserve"> </v>
      </c>
      <c r="C1898" s="8"/>
      <c r="D1898" s="8"/>
      <c r="E1898" s="8"/>
      <c r="F1898" s="8"/>
      <c r="G1898" s="8"/>
      <c r="H1898" s="8"/>
      <c r="I1898" s="8"/>
      <c r="J1898" s="8"/>
      <c r="K1898" s="8"/>
      <c r="L1898" s="8"/>
      <c r="M1898" s="8"/>
      <c r="N1898" s="8"/>
      <c r="O1898" s="8"/>
      <c r="P1898" s="8"/>
      <c r="Q1898" s="8"/>
      <c r="R1898" s="8"/>
      <c r="S1898" s="8"/>
      <c r="U1898" s="34"/>
      <c r="V1898" s="34"/>
      <c r="W1898" s="34"/>
      <c r="X1898" s="34"/>
      <c r="Y1898" s="34"/>
      <c r="Z1898" s="34"/>
      <c r="AA1898" s="34"/>
      <c r="AB1898" s="34"/>
      <c r="AC1898" s="34"/>
      <c r="AD1898" s="34"/>
      <c r="AE1898" s="34"/>
      <c r="AF1898" s="34"/>
      <c r="AG1898" s="34"/>
      <c r="AH1898" s="34"/>
      <c r="AI1898" s="34"/>
      <c r="AJ1898" s="34"/>
      <c r="AK1898" s="34"/>
      <c r="AL1898" s="34"/>
      <c r="AM1898" s="34"/>
      <c r="AN1898" s="34"/>
      <c r="AO1898" s="34"/>
      <c r="AP1898" s="34"/>
      <c r="AQ1898" s="34"/>
      <c r="AR1898" s="34"/>
      <c r="AS1898" s="34"/>
      <c r="AT1898" s="34"/>
      <c r="AU1898" s="34"/>
      <c r="AV1898" s="34"/>
      <c r="AW1898" s="34"/>
      <c r="AX1898" s="34"/>
      <c r="AY1898" s="34"/>
      <c r="AZ1898" s="34"/>
      <c r="BA1898" s="34"/>
      <c r="BB1898" s="34"/>
      <c r="BC1898" s="34"/>
      <c r="BD1898" s="34"/>
      <c r="BE1898" s="34"/>
      <c r="BF1898" s="34"/>
      <c r="BG1898" s="34"/>
      <c r="BH1898" s="34"/>
      <c r="BI1898" s="34"/>
      <c r="BJ1898" s="34"/>
      <c r="BK1898" s="34"/>
      <c r="BL1898" s="34"/>
      <c r="BM1898" s="34"/>
      <c r="BN1898" s="34"/>
      <c r="BO1898" s="34"/>
      <c r="BP1898" s="34"/>
      <c r="BQ1898" s="34"/>
      <c r="BR1898" s="34"/>
      <c r="BS1898" s="34"/>
      <c r="BT1898" s="34"/>
      <c r="BU1898" s="34"/>
      <c r="BV1898" s="34"/>
      <c r="BW1898" s="34"/>
      <c r="BX1898" s="34"/>
      <c r="BY1898" s="34"/>
      <c r="BZ1898" s="34"/>
      <c r="CA1898" s="34"/>
      <c r="CB1898" s="34"/>
      <c r="CC1898" s="34"/>
      <c r="CD1898" s="34"/>
      <c r="CE1898" s="34"/>
      <c r="CF1898" s="34"/>
      <c r="CG1898" s="34"/>
      <c r="CH1898" s="34"/>
      <c r="CI1898" s="8"/>
    </row>
    <row r="1899" spans="1:87" x14ac:dyDescent="0.2">
      <c r="A1899" s="8" t="str">
        <f>IF(AND(COUNTIF(W$3:W$13,A$27)&gt;0,A$27&lt;&gt;B1816),A$27,IFERROR(IF(MATCH(A$27,Z$3:Z$13,0)=4,A$27," ")," "))</f>
        <v>C13</v>
      </c>
      <c r="B1899" s="8">
        <f>IF(A1899=" "," ",MAX(B1887:B1898)+1)</f>
        <v>4</v>
      </c>
      <c r="C1899" s="8"/>
      <c r="D1899" s="8"/>
      <c r="E1899" s="8"/>
      <c r="F1899" s="8"/>
      <c r="G1899" s="8"/>
      <c r="H1899" s="8"/>
      <c r="I1899" s="8"/>
      <c r="J1899" s="8"/>
      <c r="K1899" s="8"/>
      <c r="L1899" s="8"/>
      <c r="M1899" s="8"/>
      <c r="N1899" s="8"/>
      <c r="O1899" s="8"/>
      <c r="P1899" s="8"/>
      <c r="Q1899" s="8"/>
      <c r="R1899" s="8"/>
      <c r="S1899" s="8"/>
      <c r="U1899" s="34"/>
      <c r="V1899" s="34"/>
      <c r="W1899" s="34"/>
      <c r="X1899" s="34"/>
      <c r="Y1899" s="34"/>
      <c r="Z1899" s="34"/>
      <c r="AA1899" s="34"/>
      <c r="AB1899" s="34"/>
      <c r="AC1899" s="34"/>
      <c r="AD1899" s="34"/>
      <c r="AE1899" s="34"/>
      <c r="AF1899" s="34"/>
      <c r="AG1899" s="34"/>
      <c r="AH1899" s="34"/>
      <c r="AI1899" s="34"/>
      <c r="AJ1899" s="34"/>
      <c r="AK1899" s="34"/>
      <c r="AL1899" s="34"/>
      <c r="AM1899" s="34"/>
      <c r="AN1899" s="34"/>
      <c r="AO1899" s="34"/>
      <c r="AP1899" s="34"/>
      <c r="AQ1899" s="34"/>
      <c r="AR1899" s="34"/>
      <c r="AS1899" s="34"/>
      <c r="AT1899" s="34"/>
      <c r="AU1899" s="34"/>
      <c r="AV1899" s="34"/>
      <c r="AW1899" s="34"/>
      <c r="AX1899" s="34"/>
      <c r="AY1899" s="34"/>
      <c r="AZ1899" s="34"/>
      <c r="BA1899" s="34"/>
      <c r="BB1899" s="34"/>
      <c r="BC1899" s="34"/>
      <c r="BD1899" s="34"/>
      <c r="BE1899" s="34"/>
      <c r="BF1899" s="34"/>
      <c r="BG1899" s="34"/>
      <c r="BH1899" s="34"/>
      <c r="BI1899" s="34"/>
      <c r="BJ1899" s="34"/>
      <c r="BK1899" s="34"/>
      <c r="BL1899" s="34"/>
      <c r="BM1899" s="34"/>
      <c r="BN1899" s="34"/>
      <c r="BO1899" s="34"/>
      <c r="BP1899" s="34"/>
      <c r="BQ1899" s="34"/>
      <c r="BR1899" s="34"/>
      <c r="BS1899" s="34"/>
      <c r="BT1899" s="34"/>
      <c r="BU1899" s="34"/>
      <c r="BV1899" s="34"/>
      <c r="BW1899" s="34"/>
      <c r="BX1899" s="34"/>
      <c r="BY1899" s="34"/>
      <c r="BZ1899" s="34"/>
      <c r="CA1899" s="34"/>
      <c r="CB1899" s="34"/>
      <c r="CC1899" s="34"/>
      <c r="CD1899" s="34"/>
      <c r="CE1899" s="34"/>
      <c r="CF1899" s="34"/>
      <c r="CG1899" s="34"/>
      <c r="CH1899" s="34"/>
      <c r="CI1899" s="8"/>
    </row>
    <row r="1900" spans="1:87" x14ac:dyDescent="0.2">
      <c r="A1900" s="8" t="str">
        <f>IF(AND(COUNTIF(W$3:W$13,A$28)&gt;0,A$28&lt;&gt;B1816),A$28,IFERROR(IF(MATCH(A$28,Z$3:Z$13,0)=4,A$28," ")," "))</f>
        <v xml:space="preserve"> </v>
      </c>
      <c r="B1900" s="8" t="str">
        <f>IF(A1900=" "," ",MAX(B1887:B1899)+1)</f>
        <v xml:space="preserve"> </v>
      </c>
      <c r="C1900" s="8"/>
      <c r="D1900" s="8"/>
      <c r="E1900" s="8"/>
      <c r="F1900" s="8"/>
      <c r="G1900" s="8"/>
      <c r="H1900" s="8"/>
      <c r="I1900" s="8"/>
      <c r="J1900" s="8"/>
      <c r="K1900" s="8"/>
      <c r="L1900" s="8"/>
      <c r="M1900" s="8"/>
      <c r="N1900" s="8"/>
      <c r="O1900" s="8"/>
      <c r="P1900" s="8"/>
      <c r="Q1900" s="8"/>
      <c r="R1900" s="8"/>
      <c r="S1900" s="8"/>
      <c r="U1900" s="34"/>
      <c r="V1900" s="34"/>
      <c r="W1900" s="34"/>
      <c r="X1900" s="34"/>
      <c r="Y1900" s="34"/>
      <c r="Z1900" s="34"/>
      <c r="AA1900" s="34"/>
      <c r="AB1900" s="34"/>
      <c r="AC1900" s="34"/>
      <c r="AD1900" s="34"/>
      <c r="AE1900" s="34"/>
      <c r="AF1900" s="34"/>
      <c r="AG1900" s="34"/>
      <c r="AH1900" s="34"/>
      <c r="AI1900" s="34"/>
      <c r="AJ1900" s="34"/>
      <c r="AK1900" s="34"/>
      <c r="AL1900" s="34"/>
      <c r="AM1900" s="34"/>
      <c r="AN1900" s="34"/>
      <c r="AO1900" s="34"/>
      <c r="AP1900" s="34"/>
      <c r="AQ1900" s="34"/>
      <c r="AR1900" s="34"/>
      <c r="AS1900" s="34"/>
      <c r="AT1900" s="34"/>
      <c r="AU1900" s="34"/>
      <c r="AV1900" s="34"/>
      <c r="AW1900" s="34"/>
      <c r="AX1900" s="34"/>
      <c r="AY1900" s="34"/>
      <c r="AZ1900" s="34"/>
      <c r="BA1900" s="34"/>
      <c r="BB1900" s="34"/>
      <c r="BC1900" s="34"/>
      <c r="BD1900" s="34"/>
      <c r="BE1900" s="34"/>
      <c r="BF1900" s="34"/>
      <c r="BG1900" s="34"/>
      <c r="BH1900" s="34"/>
      <c r="BI1900" s="34"/>
      <c r="BJ1900" s="34"/>
      <c r="BK1900" s="34"/>
      <c r="BL1900" s="34"/>
      <c r="BM1900" s="34"/>
      <c r="BN1900" s="34"/>
      <c r="BO1900" s="34"/>
      <c r="BP1900" s="34"/>
      <c r="BQ1900" s="34"/>
      <c r="BR1900" s="34"/>
      <c r="BS1900" s="34"/>
      <c r="BT1900" s="34"/>
      <c r="BU1900" s="34"/>
      <c r="BV1900" s="34"/>
      <c r="BW1900" s="34"/>
      <c r="BX1900" s="34"/>
      <c r="BY1900" s="34"/>
      <c r="BZ1900" s="34"/>
      <c r="CA1900" s="34"/>
      <c r="CB1900" s="34"/>
      <c r="CC1900" s="34"/>
      <c r="CD1900" s="34"/>
      <c r="CE1900" s="34"/>
      <c r="CF1900" s="34"/>
      <c r="CG1900" s="34"/>
      <c r="CH1900" s="34"/>
      <c r="CI1900" s="8"/>
    </row>
    <row r="1901" spans="1:87" x14ac:dyDescent="0.2">
      <c r="A1901" s="8" t="str">
        <f>IF(AND(COUNTIF(W$3:W$13,A$29)&gt;0,A$29&lt;&gt;B1816),A$29,IFERROR(IF(MATCH(A$29,Z$3:Z$13,0)=4,A$29," ")," "))</f>
        <v>C15</v>
      </c>
      <c r="B1901" s="8">
        <f>IF(A1901=" "," ",MAX(B1887:B1900)+1)</f>
        <v>5</v>
      </c>
      <c r="C1901" s="8"/>
      <c r="D1901" s="8"/>
      <c r="E1901" s="8"/>
      <c r="F1901" s="8"/>
      <c r="G1901" s="8"/>
      <c r="H1901" s="8"/>
      <c r="I1901" s="8"/>
      <c r="J1901" s="8"/>
      <c r="K1901" s="8"/>
      <c r="L1901" s="8"/>
      <c r="M1901" s="8"/>
      <c r="N1901" s="8"/>
      <c r="O1901" s="8"/>
      <c r="P1901" s="8"/>
      <c r="Q1901" s="8"/>
      <c r="R1901" s="8"/>
      <c r="S1901" s="8"/>
      <c r="U1901" s="34"/>
      <c r="V1901" s="34"/>
      <c r="W1901" s="34"/>
      <c r="X1901" s="34"/>
      <c r="Y1901" s="34"/>
      <c r="Z1901" s="34"/>
      <c r="AA1901" s="34"/>
      <c r="AB1901" s="34"/>
      <c r="AC1901" s="34"/>
      <c r="AD1901" s="34"/>
      <c r="AE1901" s="34"/>
      <c r="AF1901" s="34"/>
      <c r="AG1901" s="34"/>
      <c r="AH1901" s="34"/>
      <c r="AI1901" s="34"/>
      <c r="AJ1901" s="34"/>
      <c r="AK1901" s="34"/>
      <c r="AL1901" s="34"/>
      <c r="AM1901" s="34"/>
      <c r="AN1901" s="34"/>
      <c r="AO1901" s="34"/>
      <c r="AP1901" s="34"/>
      <c r="AQ1901" s="34"/>
      <c r="AR1901" s="34"/>
      <c r="AS1901" s="34"/>
      <c r="AT1901" s="34"/>
      <c r="AU1901" s="34"/>
      <c r="AV1901" s="34"/>
      <c r="AW1901" s="34"/>
      <c r="AX1901" s="34"/>
      <c r="AY1901" s="34"/>
      <c r="AZ1901" s="34"/>
      <c r="BA1901" s="34"/>
      <c r="BB1901" s="34"/>
      <c r="BC1901" s="34"/>
      <c r="BD1901" s="34"/>
      <c r="BE1901" s="34"/>
      <c r="BF1901" s="34"/>
      <c r="BG1901" s="34"/>
      <c r="BH1901" s="34"/>
      <c r="BI1901" s="34"/>
      <c r="BJ1901" s="34"/>
      <c r="BK1901" s="34"/>
      <c r="BL1901" s="34"/>
      <c r="BM1901" s="34"/>
      <c r="BN1901" s="34"/>
      <c r="BO1901" s="34"/>
      <c r="BP1901" s="34"/>
      <c r="BQ1901" s="34"/>
      <c r="BR1901" s="34"/>
      <c r="BS1901" s="34"/>
      <c r="BT1901" s="34"/>
      <c r="BU1901" s="34"/>
      <c r="BV1901" s="34"/>
      <c r="BW1901" s="34"/>
      <c r="BX1901" s="34"/>
      <c r="BY1901" s="34"/>
      <c r="BZ1901" s="34"/>
      <c r="CA1901" s="34"/>
      <c r="CB1901" s="34"/>
      <c r="CC1901" s="34"/>
      <c r="CD1901" s="34"/>
      <c r="CE1901" s="34"/>
      <c r="CF1901" s="34"/>
      <c r="CG1901" s="34"/>
      <c r="CH1901" s="34"/>
      <c r="CI1901" s="8"/>
    </row>
    <row r="1902" spans="1:87" x14ac:dyDescent="0.2">
      <c r="A1902" s="8" t="str">
        <f>IF(AND(COUNTIF(W$3:W$13,A$30)&gt;0,A$30&lt;&gt;B1816),A$30,IFERROR(IF(MATCH(A$30,Z$3:Z$13,0)=4,A$30," ")," "))</f>
        <v>C16</v>
      </c>
      <c r="B1902" s="8">
        <f>IF(A1902=" "," ",MAX(B1887:B1901)+1)</f>
        <v>6</v>
      </c>
      <c r="C1902" s="8"/>
      <c r="D1902" s="8"/>
      <c r="E1902" s="8"/>
      <c r="F1902" s="8"/>
      <c r="G1902" s="8"/>
      <c r="H1902" s="8"/>
      <c r="I1902" s="8"/>
      <c r="J1902" s="8"/>
      <c r="K1902" s="8"/>
      <c r="L1902" s="8"/>
      <c r="M1902" s="8"/>
      <c r="N1902" s="8"/>
      <c r="O1902" s="8"/>
      <c r="P1902" s="8"/>
      <c r="Q1902" s="8"/>
      <c r="R1902" s="8"/>
      <c r="S1902" s="8"/>
      <c r="U1902" s="34"/>
      <c r="V1902" s="34"/>
      <c r="W1902" s="34"/>
      <c r="X1902" s="34"/>
      <c r="Y1902" s="34"/>
      <c r="Z1902" s="34"/>
      <c r="AA1902" s="34"/>
      <c r="AB1902" s="34"/>
      <c r="AC1902" s="34"/>
      <c r="AD1902" s="34"/>
      <c r="AE1902" s="34"/>
      <c r="AF1902" s="34"/>
      <c r="AG1902" s="34"/>
      <c r="AH1902" s="34"/>
      <c r="AI1902" s="34"/>
      <c r="AJ1902" s="34"/>
      <c r="AK1902" s="34"/>
      <c r="AL1902" s="34"/>
      <c r="AM1902" s="34"/>
      <c r="AN1902" s="34"/>
      <c r="AO1902" s="34"/>
      <c r="AP1902" s="34"/>
      <c r="AQ1902" s="34"/>
      <c r="AR1902" s="34"/>
      <c r="AS1902" s="34"/>
      <c r="AT1902" s="34"/>
      <c r="AU1902" s="34"/>
      <c r="AV1902" s="34"/>
      <c r="AW1902" s="34"/>
      <c r="AX1902" s="34"/>
      <c r="AY1902" s="34"/>
      <c r="AZ1902" s="34"/>
      <c r="BA1902" s="34"/>
      <c r="BB1902" s="34"/>
      <c r="BC1902" s="34"/>
      <c r="BD1902" s="34"/>
      <c r="BE1902" s="34"/>
      <c r="BF1902" s="34"/>
      <c r="BG1902" s="34"/>
      <c r="BH1902" s="34"/>
      <c r="BI1902" s="34"/>
      <c r="BJ1902" s="34"/>
      <c r="BK1902" s="34"/>
      <c r="BL1902" s="34"/>
      <c r="BM1902" s="34"/>
      <c r="BN1902" s="34"/>
      <c r="BO1902" s="34"/>
      <c r="BP1902" s="34"/>
      <c r="BQ1902" s="34"/>
      <c r="BR1902" s="34"/>
      <c r="BS1902" s="34"/>
      <c r="BT1902" s="34"/>
      <c r="BU1902" s="34"/>
      <c r="BV1902" s="34"/>
      <c r="BW1902" s="34"/>
      <c r="BX1902" s="34"/>
      <c r="BY1902" s="34"/>
      <c r="BZ1902" s="34"/>
      <c r="CA1902" s="34"/>
      <c r="CB1902" s="34"/>
      <c r="CC1902" s="34"/>
      <c r="CD1902" s="34"/>
      <c r="CE1902" s="34"/>
      <c r="CF1902" s="34"/>
      <c r="CG1902" s="34"/>
      <c r="CH1902" s="34"/>
      <c r="CI1902" s="8"/>
    </row>
    <row r="1903" spans="1:87" x14ac:dyDescent="0.2">
      <c r="A1903" s="8" t="str">
        <f>IF(AND(COUNTIF(W$3:W$13,A$31)&gt;0,A$31&lt;&gt;B1816),A$31,IFERROR(IF(MATCH(A$31,Z$3:Z$13,0)=4,A$31," ")," "))</f>
        <v>C17</v>
      </c>
      <c r="B1903" s="8">
        <f>IF(A1903=" "," ",MAX(B1887:B1902)+1)</f>
        <v>7</v>
      </c>
      <c r="C1903" s="8"/>
      <c r="D1903" s="8"/>
      <c r="E1903" s="8"/>
      <c r="F1903" s="8"/>
      <c r="G1903" s="8"/>
      <c r="H1903" s="8"/>
      <c r="I1903" s="8"/>
      <c r="J1903" s="8"/>
      <c r="K1903" s="8"/>
      <c r="L1903" s="8"/>
      <c r="M1903" s="8"/>
      <c r="N1903" s="8"/>
      <c r="O1903" s="8"/>
      <c r="P1903" s="8"/>
      <c r="Q1903" s="8"/>
      <c r="R1903" s="8"/>
      <c r="S1903" s="8"/>
      <c r="U1903" s="34"/>
      <c r="V1903" s="34"/>
      <c r="W1903" s="34"/>
      <c r="X1903" s="34"/>
      <c r="Y1903" s="34"/>
      <c r="Z1903" s="34"/>
      <c r="AA1903" s="34"/>
      <c r="AB1903" s="34"/>
      <c r="AC1903" s="34"/>
      <c r="AD1903" s="34"/>
      <c r="AE1903" s="34"/>
      <c r="AF1903" s="34"/>
      <c r="AG1903" s="34"/>
      <c r="AH1903" s="34"/>
      <c r="AI1903" s="34"/>
      <c r="AJ1903" s="34"/>
      <c r="AK1903" s="34"/>
      <c r="AL1903" s="34"/>
      <c r="AM1903" s="34"/>
      <c r="AN1903" s="34"/>
      <c r="AO1903" s="34"/>
      <c r="AP1903" s="34"/>
      <c r="AQ1903" s="34"/>
      <c r="AR1903" s="34"/>
      <c r="AS1903" s="34"/>
      <c r="AT1903" s="34"/>
      <c r="AU1903" s="34"/>
      <c r="AV1903" s="34"/>
      <c r="AW1903" s="34"/>
      <c r="AX1903" s="34"/>
      <c r="AY1903" s="34"/>
      <c r="AZ1903" s="34"/>
      <c r="BA1903" s="34"/>
      <c r="BB1903" s="34"/>
      <c r="BC1903" s="34"/>
      <c r="BD1903" s="34"/>
      <c r="BE1903" s="34"/>
      <c r="BF1903" s="34"/>
      <c r="BG1903" s="34"/>
      <c r="BH1903" s="34"/>
      <c r="BI1903" s="34"/>
      <c r="BJ1903" s="34"/>
      <c r="BK1903" s="34"/>
      <c r="BL1903" s="34"/>
      <c r="BM1903" s="34"/>
      <c r="BN1903" s="34"/>
      <c r="BO1903" s="34"/>
      <c r="BP1903" s="34"/>
      <c r="BQ1903" s="34"/>
      <c r="BR1903" s="34"/>
      <c r="BS1903" s="34"/>
      <c r="BT1903" s="34"/>
      <c r="BU1903" s="34"/>
      <c r="BV1903" s="34"/>
      <c r="BW1903" s="34"/>
      <c r="BX1903" s="34"/>
      <c r="BY1903" s="34"/>
      <c r="BZ1903" s="34"/>
      <c r="CA1903" s="34"/>
      <c r="CB1903" s="34"/>
      <c r="CC1903" s="34"/>
      <c r="CD1903" s="34"/>
      <c r="CE1903" s="34"/>
      <c r="CF1903" s="34"/>
      <c r="CG1903" s="34"/>
      <c r="CH1903" s="34"/>
      <c r="CI1903" s="8"/>
    </row>
    <row r="1904" spans="1:87" x14ac:dyDescent="0.2">
      <c r="A1904" s="8" t="str">
        <f>IF(AND(COUNTIF(W$3:W$13,A$32)&gt;0,A$32&lt;&gt;B1816),A$32,IFERROR(IF(MATCH(A$32,Z$3:Z$13,0)=4,A$32," ")," "))</f>
        <v>C18</v>
      </c>
      <c r="B1904" s="8">
        <f>IF(A1904=" "," ",MAX(B1887:B1903)+1)</f>
        <v>8</v>
      </c>
      <c r="C1904" s="8"/>
      <c r="D1904" s="8"/>
      <c r="E1904" s="8"/>
      <c r="F1904" s="8"/>
      <c r="G1904" s="8"/>
      <c r="H1904" s="8"/>
      <c r="I1904" s="8"/>
      <c r="J1904" s="8"/>
      <c r="K1904" s="8"/>
      <c r="L1904" s="8"/>
      <c r="M1904" s="8"/>
      <c r="N1904" s="8"/>
      <c r="O1904" s="8"/>
      <c r="P1904" s="8"/>
      <c r="Q1904" s="8"/>
      <c r="R1904" s="8"/>
      <c r="S1904" s="8"/>
      <c r="U1904" s="34"/>
      <c r="V1904" s="34"/>
      <c r="W1904" s="34"/>
      <c r="X1904" s="34"/>
      <c r="Y1904" s="34"/>
      <c r="Z1904" s="34"/>
      <c r="AA1904" s="34"/>
      <c r="AB1904" s="34"/>
      <c r="AC1904" s="34"/>
      <c r="AD1904" s="34"/>
      <c r="AE1904" s="34"/>
      <c r="AF1904" s="34"/>
      <c r="AG1904" s="34"/>
      <c r="AH1904" s="34"/>
      <c r="AI1904" s="34"/>
      <c r="AJ1904" s="34"/>
      <c r="AK1904" s="34"/>
      <c r="AL1904" s="34"/>
      <c r="AM1904" s="34"/>
      <c r="AN1904" s="34"/>
      <c r="AO1904" s="34"/>
      <c r="AP1904" s="34"/>
      <c r="AQ1904" s="34"/>
      <c r="AR1904" s="34"/>
      <c r="AS1904" s="34"/>
      <c r="AT1904" s="34"/>
      <c r="AU1904" s="34"/>
      <c r="AV1904" s="34"/>
      <c r="AW1904" s="34"/>
      <c r="AX1904" s="34"/>
      <c r="AY1904" s="34"/>
      <c r="AZ1904" s="34"/>
      <c r="BA1904" s="34"/>
      <c r="BB1904" s="34"/>
      <c r="BC1904" s="34"/>
      <c r="BD1904" s="34"/>
      <c r="BE1904" s="34"/>
      <c r="BF1904" s="34"/>
      <c r="BG1904" s="34"/>
      <c r="BH1904" s="34"/>
      <c r="BI1904" s="34"/>
      <c r="BJ1904" s="34"/>
      <c r="BK1904" s="34"/>
      <c r="BL1904" s="34"/>
      <c r="BM1904" s="34"/>
      <c r="BN1904" s="34"/>
      <c r="BO1904" s="34"/>
      <c r="BP1904" s="34"/>
      <c r="BQ1904" s="34"/>
      <c r="BR1904" s="34"/>
      <c r="BS1904" s="34"/>
      <c r="BT1904" s="34"/>
      <c r="BU1904" s="34"/>
      <c r="BV1904" s="34"/>
      <c r="BW1904" s="34"/>
      <c r="BX1904" s="34"/>
      <c r="BY1904" s="34"/>
      <c r="BZ1904" s="34"/>
      <c r="CA1904" s="34"/>
      <c r="CB1904" s="34"/>
      <c r="CC1904" s="34"/>
      <c r="CD1904" s="34"/>
      <c r="CE1904" s="34"/>
      <c r="CF1904" s="34"/>
      <c r="CG1904" s="34"/>
      <c r="CH1904" s="34"/>
      <c r="CI1904" s="8"/>
    </row>
    <row r="1905" spans="1:87" x14ac:dyDescent="0.2">
      <c r="A1905" s="8" t="str">
        <f>IF(AND(COUNTIF(W$3:W$13,A$33)&gt;0,A$33&lt;&gt;B1816),A$33,IFERROR(IF(MATCH(A$33,Z$3:Z$13,0)=4,A$33," ")," "))</f>
        <v xml:space="preserve"> </v>
      </c>
      <c r="B1905" s="8" t="str">
        <f>IF(A1905=" "," ",MAX(B1887:B1904)+1)</f>
        <v xml:space="preserve"> </v>
      </c>
      <c r="C1905" s="8"/>
      <c r="D1905" s="8"/>
      <c r="E1905" s="8"/>
      <c r="F1905" s="8"/>
      <c r="G1905" s="8"/>
      <c r="H1905" s="8"/>
      <c r="I1905" s="8"/>
      <c r="J1905" s="8"/>
      <c r="K1905" s="8"/>
      <c r="L1905" s="8"/>
      <c r="M1905" s="8"/>
      <c r="N1905" s="8"/>
      <c r="O1905" s="8"/>
      <c r="P1905" s="8"/>
      <c r="Q1905" s="8"/>
      <c r="R1905" s="8"/>
      <c r="S1905" s="8"/>
      <c r="U1905" s="34"/>
      <c r="V1905" s="34"/>
      <c r="W1905" s="34"/>
      <c r="X1905" s="34"/>
      <c r="Y1905" s="34"/>
      <c r="Z1905" s="34"/>
      <c r="AA1905" s="34"/>
      <c r="AB1905" s="34"/>
      <c r="AC1905" s="34"/>
      <c r="AD1905" s="34"/>
      <c r="AE1905" s="34"/>
      <c r="AF1905" s="34"/>
      <c r="AG1905" s="34"/>
      <c r="AH1905" s="34"/>
      <c r="AI1905" s="34"/>
      <c r="AJ1905" s="34"/>
      <c r="AK1905" s="34"/>
      <c r="AL1905" s="34"/>
      <c r="AM1905" s="34"/>
      <c r="AN1905" s="34"/>
      <c r="AO1905" s="34"/>
      <c r="AP1905" s="34"/>
      <c r="AQ1905" s="34"/>
      <c r="AR1905" s="34"/>
      <c r="AS1905" s="34"/>
      <c r="AT1905" s="34"/>
      <c r="AU1905" s="34"/>
      <c r="AV1905" s="34"/>
      <c r="AW1905" s="34"/>
      <c r="AX1905" s="34"/>
      <c r="AY1905" s="34"/>
      <c r="AZ1905" s="34"/>
      <c r="BA1905" s="34"/>
      <c r="BB1905" s="34"/>
      <c r="BC1905" s="34"/>
      <c r="BD1905" s="34"/>
      <c r="BE1905" s="34"/>
      <c r="BF1905" s="34"/>
      <c r="BG1905" s="34"/>
      <c r="BH1905" s="34"/>
      <c r="BI1905" s="34"/>
      <c r="BJ1905" s="34"/>
      <c r="BK1905" s="34"/>
      <c r="BL1905" s="34"/>
      <c r="BM1905" s="34"/>
      <c r="BN1905" s="34"/>
      <c r="BO1905" s="34"/>
      <c r="BP1905" s="34"/>
      <c r="BQ1905" s="34"/>
      <c r="BR1905" s="34"/>
      <c r="BS1905" s="34"/>
      <c r="BT1905" s="34"/>
      <c r="BU1905" s="34"/>
      <c r="BV1905" s="34"/>
      <c r="BW1905" s="34"/>
      <c r="BX1905" s="34"/>
      <c r="BY1905" s="34"/>
      <c r="BZ1905" s="34"/>
      <c r="CA1905" s="34"/>
      <c r="CB1905" s="34"/>
      <c r="CC1905" s="34"/>
      <c r="CD1905" s="34"/>
      <c r="CE1905" s="34"/>
      <c r="CF1905" s="34"/>
      <c r="CG1905" s="34"/>
      <c r="CH1905" s="34"/>
      <c r="CI1905" s="8"/>
    </row>
    <row r="1906" spans="1:87" x14ac:dyDescent="0.2">
      <c r="A1906" s="8" t="str">
        <f>IF(AND(COUNTIF(W$3:W$13,A$34)&gt;0,A$34&lt;&gt;B1816),A$34,IFERROR(IF(MATCH(A$34,Z$3:Z$13,0)=4,A$34," ")," "))</f>
        <v>C20</v>
      </c>
      <c r="B1906" s="8">
        <f>IF(A1906=" "," ",MAX(B1887:B1905)+1)</f>
        <v>9</v>
      </c>
      <c r="C1906" s="8"/>
      <c r="D1906" s="8"/>
      <c r="E1906" s="8"/>
      <c r="F1906" s="8"/>
      <c r="G1906" s="8"/>
      <c r="H1906" s="8"/>
      <c r="I1906" s="8"/>
      <c r="J1906" s="8"/>
      <c r="K1906" s="8"/>
      <c r="L1906" s="8"/>
      <c r="M1906" s="8"/>
      <c r="N1906" s="8"/>
      <c r="O1906" s="8"/>
      <c r="P1906" s="8"/>
      <c r="Q1906" s="8"/>
      <c r="R1906" s="8"/>
      <c r="S1906" s="8"/>
      <c r="U1906" s="34"/>
      <c r="V1906" s="34"/>
      <c r="W1906" s="34"/>
      <c r="X1906" s="34"/>
      <c r="Y1906" s="34"/>
      <c r="Z1906" s="34"/>
      <c r="AA1906" s="34"/>
      <c r="AB1906" s="34"/>
      <c r="AC1906" s="34"/>
      <c r="AD1906" s="34"/>
      <c r="AE1906" s="34"/>
      <c r="AF1906" s="34"/>
      <c r="AG1906" s="34"/>
      <c r="AH1906" s="34"/>
      <c r="AI1906" s="34"/>
      <c r="AJ1906" s="34"/>
      <c r="AK1906" s="34"/>
      <c r="AL1906" s="34"/>
      <c r="AM1906" s="34"/>
      <c r="AN1906" s="34"/>
      <c r="AO1906" s="34"/>
      <c r="AP1906" s="34"/>
      <c r="AQ1906" s="34"/>
      <c r="AR1906" s="34"/>
      <c r="AS1906" s="34"/>
      <c r="AT1906" s="34"/>
      <c r="AU1906" s="34"/>
      <c r="AV1906" s="34"/>
      <c r="AW1906" s="34"/>
      <c r="AX1906" s="34"/>
      <c r="AY1906" s="34"/>
      <c r="AZ1906" s="34"/>
      <c r="BA1906" s="34"/>
      <c r="BB1906" s="34"/>
      <c r="BC1906" s="34"/>
      <c r="BD1906" s="34"/>
      <c r="BE1906" s="34"/>
      <c r="BF1906" s="34"/>
      <c r="BG1906" s="34"/>
      <c r="BH1906" s="34"/>
      <c r="BI1906" s="34"/>
      <c r="BJ1906" s="34"/>
      <c r="BK1906" s="34"/>
      <c r="BL1906" s="34"/>
      <c r="BM1906" s="34"/>
      <c r="BN1906" s="34"/>
      <c r="BO1906" s="34"/>
      <c r="BP1906" s="34"/>
      <c r="BQ1906" s="34"/>
      <c r="BR1906" s="34"/>
      <c r="BS1906" s="34"/>
      <c r="BT1906" s="34"/>
      <c r="BU1906" s="34"/>
      <c r="BV1906" s="34"/>
      <c r="BW1906" s="34"/>
      <c r="BX1906" s="34"/>
      <c r="BY1906" s="34"/>
      <c r="BZ1906" s="34"/>
      <c r="CA1906" s="34"/>
      <c r="CB1906" s="34"/>
      <c r="CC1906" s="34"/>
      <c r="CD1906" s="34"/>
      <c r="CE1906" s="34"/>
      <c r="CF1906" s="34"/>
      <c r="CG1906" s="34"/>
      <c r="CH1906" s="34"/>
      <c r="CI1906" s="8"/>
    </row>
    <row r="1907" spans="1:87" x14ac:dyDescent="0.2">
      <c r="A1907" s="8" t="str">
        <f>IF(AND(COUNTIF(W$3:W$13,A$35)&gt;0,A$35&lt;&gt;B1816),A$35,IFERROR(IF(MATCH(A$35,Z$3:Z$13,0)=4,A$35," ")," "))</f>
        <v>C21</v>
      </c>
      <c r="B1907" s="8">
        <f>IF(A1907=" "," ",MAX(B1887:B1906)+1)</f>
        <v>10</v>
      </c>
      <c r="C1907" s="8"/>
      <c r="D1907" s="8"/>
      <c r="E1907" s="8"/>
      <c r="F1907" s="8"/>
      <c r="G1907" s="8"/>
      <c r="H1907" s="8"/>
      <c r="I1907" s="8"/>
      <c r="J1907" s="8"/>
      <c r="K1907" s="8"/>
      <c r="L1907" s="8"/>
      <c r="M1907" s="8"/>
      <c r="N1907" s="8"/>
      <c r="O1907" s="8"/>
      <c r="P1907" s="8"/>
      <c r="Q1907" s="8"/>
      <c r="R1907" s="8"/>
      <c r="S1907" s="8"/>
      <c r="U1907" s="34"/>
      <c r="V1907" s="34"/>
      <c r="W1907" s="34"/>
      <c r="X1907" s="34"/>
      <c r="Y1907" s="34"/>
      <c r="Z1907" s="34"/>
      <c r="AA1907" s="34"/>
      <c r="AB1907" s="34"/>
      <c r="AC1907" s="34"/>
      <c r="AD1907" s="34"/>
      <c r="AE1907" s="34"/>
      <c r="AF1907" s="34"/>
      <c r="AG1907" s="34"/>
      <c r="AH1907" s="34"/>
      <c r="AI1907" s="34"/>
      <c r="AJ1907" s="34"/>
      <c r="AK1907" s="34"/>
      <c r="AL1907" s="34"/>
      <c r="AM1907" s="34"/>
      <c r="AN1907" s="34"/>
      <c r="AO1907" s="34"/>
      <c r="AP1907" s="34"/>
      <c r="AQ1907" s="34"/>
      <c r="AR1907" s="34"/>
      <c r="AS1907" s="34"/>
      <c r="AT1907" s="34"/>
      <c r="AU1907" s="34"/>
      <c r="AV1907" s="34"/>
      <c r="AW1907" s="34"/>
      <c r="AX1907" s="34"/>
      <c r="AY1907" s="34"/>
      <c r="AZ1907" s="34"/>
      <c r="BA1907" s="34"/>
      <c r="BB1907" s="34"/>
      <c r="BC1907" s="34"/>
      <c r="BD1907" s="34"/>
      <c r="BE1907" s="34"/>
      <c r="BF1907" s="34"/>
      <c r="BG1907" s="34"/>
      <c r="BH1907" s="34"/>
      <c r="BI1907" s="34"/>
      <c r="BJ1907" s="34"/>
      <c r="BK1907" s="34"/>
      <c r="BL1907" s="34"/>
      <c r="BM1907" s="34"/>
      <c r="BN1907" s="34"/>
      <c r="BO1907" s="34"/>
      <c r="BP1907" s="34"/>
      <c r="BQ1907" s="34"/>
      <c r="BR1907" s="34"/>
      <c r="BS1907" s="34"/>
      <c r="BT1907" s="34"/>
      <c r="BU1907" s="34"/>
      <c r="BV1907" s="34"/>
      <c r="BW1907" s="34"/>
      <c r="BX1907" s="34"/>
      <c r="BY1907" s="34"/>
      <c r="BZ1907" s="34"/>
      <c r="CA1907" s="34"/>
      <c r="CB1907" s="34"/>
      <c r="CC1907" s="34"/>
      <c r="CD1907" s="34"/>
      <c r="CE1907" s="34"/>
      <c r="CF1907" s="34"/>
      <c r="CG1907" s="34"/>
      <c r="CH1907" s="34"/>
      <c r="CI1907" s="8"/>
    </row>
    <row r="1908" spans="1:87" x14ac:dyDescent="0.2">
      <c r="A1908" s="8" t="str">
        <f>IF(AND(COUNTIF(W$3:W$13,A$36)&gt;0,A$36&lt;&gt;B1816),A$36,IFERROR(IF(MATCH(A$36,Z$3:Z$13,0)=4,A$36," ")," "))</f>
        <v>C22</v>
      </c>
      <c r="B1908" s="8">
        <f>IF(A1908=" "," ",MAX(B1887:B1907)+1)</f>
        <v>11</v>
      </c>
      <c r="C1908" s="8"/>
      <c r="D1908" s="8"/>
      <c r="E1908" s="8"/>
      <c r="F1908" s="8"/>
      <c r="G1908" s="8"/>
      <c r="H1908" s="8"/>
      <c r="I1908" s="8"/>
      <c r="J1908" s="8"/>
      <c r="K1908" s="8"/>
      <c r="L1908" s="8"/>
      <c r="M1908" s="8"/>
      <c r="N1908" s="8"/>
      <c r="O1908" s="8"/>
      <c r="P1908" s="8"/>
      <c r="Q1908" s="8"/>
      <c r="R1908" s="8"/>
      <c r="S1908" s="8"/>
      <c r="U1908" s="34"/>
      <c r="V1908" s="34"/>
      <c r="W1908" s="34"/>
      <c r="X1908" s="34"/>
      <c r="Y1908" s="34"/>
      <c r="Z1908" s="34"/>
      <c r="AA1908" s="34"/>
      <c r="AB1908" s="34"/>
      <c r="AC1908" s="34"/>
      <c r="AD1908" s="34"/>
      <c r="AE1908" s="34"/>
      <c r="AF1908" s="34"/>
      <c r="AG1908" s="34"/>
      <c r="AH1908" s="34"/>
      <c r="AI1908" s="34"/>
      <c r="AJ1908" s="34"/>
      <c r="AK1908" s="34"/>
      <c r="AL1908" s="34"/>
      <c r="AM1908" s="34"/>
      <c r="AN1908" s="34"/>
      <c r="AO1908" s="34"/>
      <c r="AP1908" s="34"/>
      <c r="AQ1908" s="34"/>
      <c r="AR1908" s="34"/>
      <c r="AS1908" s="34"/>
      <c r="AT1908" s="34"/>
      <c r="AU1908" s="34"/>
      <c r="AV1908" s="34"/>
      <c r="AW1908" s="34"/>
      <c r="AX1908" s="34"/>
      <c r="AY1908" s="34"/>
      <c r="AZ1908" s="34"/>
      <c r="BA1908" s="34"/>
      <c r="BB1908" s="34"/>
      <c r="BC1908" s="34"/>
      <c r="BD1908" s="34"/>
      <c r="BE1908" s="34"/>
      <c r="BF1908" s="34"/>
      <c r="BG1908" s="34"/>
      <c r="BH1908" s="34"/>
      <c r="BI1908" s="34"/>
      <c r="BJ1908" s="34"/>
      <c r="BK1908" s="34"/>
      <c r="BL1908" s="34"/>
      <c r="BM1908" s="34"/>
      <c r="BN1908" s="34"/>
      <c r="BO1908" s="34"/>
      <c r="BP1908" s="34"/>
      <c r="BQ1908" s="34"/>
      <c r="BR1908" s="34"/>
      <c r="BS1908" s="34"/>
      <c r="BT1908" s="34"/>
      <c r="BU1908" s="34"/>
      <c r="BV1908" s="34"/>
      <c r="BW1908" s="34"/>
      <c r="BX1908" s="34"/>
      <c r="BY1908" s="34"/>
      <c r="BZ1908" s="34"/>
      <c r="CA1908" s="34"/>
      <c r="CB1908" s="34"/>
      <c r="CC1908" s="34"/>
      <c r="CD1908" s="34"/>
      <c r="CE1908" s="34"/>
      <c r="CF1908" s="34"/>
      <c r="CG1908" s="34"/>
      <c r="CH1908" s="34"/>
      <c r="CI1908" s="8"/>
    </row>
    <row r="1909" spans="1:87" x14ac:dyDescent="0.2">
      <c r="A1909" s="11" t="s">
        <v>17</v>
      </c>
      <c r="B1909" s="11"/>
      <c r="C1909" s="27" t="s">
        <v>18</v>
      </c>
      <c r="D1909" s="27" t="s">
        <v>2</v>
      </c>
      <c r="E1909" s="27" t="s">
        <v>6</v>
      </c>
      <c r="F1909" s="27" t="s">
        <v>15</v>
      </c>
      <c r="G1909" s="27" t="s">
        <v>36</v>
      </c>
      <c r="H1909" s="27" t="s">
        <v>37</v>
      </c>
      <c r="I1909" s="27" t="s">
        <v>38</v>
      </c>
      <c r="J1909" s="27" t="s">
        <v>39</v>
      </c>
      <c r="K1909" s="27" t="s">
        <v>40</v>
      </c>
      <c r="L1909" s="27" t="s">
        <v>41</v>
      </c>
      <c r="M1909" s="27" t="s">
        <v>42</v>
      </c>
      <c r="N1909" s="27" t="s">
        <v>43</v>
      </c>
      <c r="O1909" s="27" t="s">
        <v>9</v>
      </c>
      <c r="P1909" s="27" t="s">
        <v>12</v>
      </c>
      <c r="Q1909" s="27" t="s">
        <v>19</v>
      </c>
      <c r="R1909" s="27" t="s">
        <v>55</v>
      </c>
      <c r="S1909" s="27" t="s">
        <v>26</v>
      </c>
      <c r="T1909" s="19" t="s">
        <v>25</v>
      </c>
      <c r="U1909" s="33" t="s">
        <v>27</v>
      </c>
      <c r="V1909" s="33" t="s">
        <v>9</v>
      </c>
      <c r="W1909" s="33" t="s">
        <v>23</v>
      </c>
      <c r="X1909" s="33" t="s">
        <v>12</v>
      </c>
      <c r="Y1909" s="33" t="s">
        <v>26</v>
      </c>
      <c r="Z1909" s="33" t="s">
        <v>25</v>
      </c>
      <c r="AA1909" s="33" t="s">
        <v>27</v>
      </c>
      <c r="AB1909" s="33" t="s">
        <v>9</v>
      </c>
      <c r="AC1909" s="33" t="s">
        <v>23</v>
      </c>
      <c r="AD1909" s="33" t="s">
        <v>12</v>
      </c>
      <c r="AE1909" s="33" t="s">
        <v>26</v>
      </c>
      <c r="AF1909" s="33" t="s">
        <v>25</v>
      </c>
      <c r="AG1909" s="33" t="s">
        <v>27</v>
      </c>
      <c r="AH1909" s="33" t="s">
        <v>9</v>
      </c>
      <c r="AI1909" s="33" t="s">
        <v>23</v>
      </c>
      <c r="AJ1909" s="33" t="s">
        <v>12</v>
      </c>
      <c r="AK1909" s="33" t="s">
        <v>26</v>
      </c>
      <c r="AL1909" s="33" t="s">
        <v>25</v>
      </c>
      <c r="AM1909" s="33" t="s">
        <v>27</v>
      </c>
      <c r="AN1909" s="33" t="s">
        <v>9</v>
      </c>
      <c r="AO1909" s="33" t="s">
        <v>23</v>
      </c>
      <c r="AP1909" s="33" t="s">
        <v>12</v>
      </c>
      <c r="AQ1909" s="33" t="s">
        <v>26</v>
      </c>
      <c r="AR1909" s="33" t="s">
        <v>25</v>
      </c>
      <c r="AS1909" s="33" t="s">
        <v>27</v>
      </c>
      <c r="AT1909" s="33" t="s">
        <v>9</v>
      </c>
      <c r="AU1909" s="33" t="s">
        <v>23</v>
      </c>
      <c r="AV1909" s="33" t="s">
        <v>12</v>
      </c>
      <c r="AW1909" s="33" t="s">
        <v>26</v>
      </c>
      <c r="AX1909" s="33" t="s">
        <v>25</v>
      </c>
      <c r="AY1909" s="33" t="s">
        <v>27</v>
      </c>
      <c r="AZ1909" s="33" t="s">
        <v>9</v>
      </c>
      <c r="BA1909" s="33" t="s">
        <v>23</v>
      </c>
      <c r="BB1909" s="33" t="s">
        <v>12</v>
      </c>
      <c r="BC1909" s="33" t="s">
        <v>26</v>
      </c>
      <c r="BD1909" s="33" t="s">
        <v>25</v>
      </c>
      <c r="BE1909" s="33" t="s">
        <v>27</v>
      </c>
      <c r="BF1909" s="33" t="s">
        <v>9</v>
      </c>
      <c r="BG1909" s="33" t="s">
        <v>23</v>
      </c>
      <c r="BH1909" s="33" t="s">
        <v>12</v>
      </c>
      <c r="BI1909" s="33" t="s">
        <v>26</v>
      </c>
      <c r="BJ1909" s="33" t="s">
        <v>25</v>
      </c>
      <c r="BK1909" s="33" t="s">
        <v>27</v>
      </c>
      <c r="BL1909" s="33" t="s">
        <v>9</v>
      </c>
      <c r="BM1909" s="33" t="s">
        <v>23</v>
      </c>
      <c r="BN1909" s="33" t="s">
        <v>12</v>
      </c>
      <c r="BO1909" s="33" t="s">
        <v>26</v>
      </c>
      <c r="BP1909" s="33" t="s">
        <v>25</v>
      </c>
      <c r="BQ1909" s="33" t="s">
        <v>27</v>
      </c>
      <c r="BR1909" s="33" t="s">
        <v>9</v>
      </c>
      <c r="BS1909" s="33" t="s">
        <v>23</v>
      </c>
      <c r="BT1909" s="33" t="s">
        <v>12</v>
      </c>
      <c r="BU1909" s="33" t="s">
        <v>26</v>
      </c>
      <c r="BV1909" s="33" t="s">
        <v>25</v>
      </c>
      <c r="BW1909" s="33" t="s">
        <v>27</v>
      </c>
      <c r="BX1909" s="33" t="s">
        <v>9</v>
      </c>
      <c r="BY1909" s="33" t="s">
        <v>23</v>
      </c>
      <c r="BZ1909" s="33" t="s">
        <v>12</v>
      </c>
      <c r="CA1909" s="33" t="s">
        <v>26</v>
      </c>
      <c r="CB1909" s="33" t="s">
        <v>25</v>
      </c>
      <c r="CC1909" s="33" t="s">
        <v>27</v>
      </c>
      <c r="CD1909" s="33" t="s">
        <v>9</v>
      </c>
      <c r="CE1909" s="33" t="s">
        <v>23</v>
      </c>
      <c r="CF1909" s="33" t="s">
        <v>12</v>
      </c>
      <c r="CG1909" s="33" t="s">
        <v>26</v>
      </c>
      <c r="CH1909" s="33" t="s">
        <v>25</v>
      </c>
      <c r="CI1909" s="8"/>
    </row>
    <row r="1910" spans="1:87" x14ac:dyDescent="0.2">
      <c r="A1910" s="8" t="str">
        <f>IF(AND(COUNTIF(W$3:W$13,A$15)&gt;0,A$15&lt;&gt;B1816),A$15,IFERROR(IF(MATCH(A$15,Z$3:Z$13,0)=5,A$15," ")," "))</f>
        <v xml:space="preserve"> </v>
      </c>
      <c r="B1910" s="8" t="str">
        <f>IF(A1910=" "," ",1)</f>
        <v xml:space="preserve"> </v>
      </c>
      <c r="C1910" s="8" t="str">
        <f>IFERROR(INDEX(A1910:A1931,MATCH(SMALL(B1910:B1931,1),B1910:B1931,0),1)," ")</f>
        <v>C3</v>
      </c>
      <c r="D1910" s="8">
        <f>IFERROR(VLOOKUP($C1910,$A$15:$O$36,2,FALSE)," ")</f>
        <v>2</v>
      </c>
      <c r="E1910" s="8">
        <f>IFERROR(VLOOKUP($C1910,$A$15:$O$36,3,FALSE)," ")</f>
        <v>5</v>
      </c>
      <c r="F1910" s="8">
        <f>IFERROR(VLOOKUP($C1910,$A$15:$O$36,4,FALSE)," ")</f>
        <v>6</v>
      </c>
      <c r="G1910" s="8">
        <f>IFERROR(VLOOKUP($C1910,$A$15:$O$36,5,FALSE)," ")</f>
        <v>0</v>
      </c>
      <c r="H1910" s="8">
        <f>IFERROR(VLOOKUP($C1910,$A$15:$O$36,6,FALSE)," ")</f>
        <v>0</v>
      </c>
      <c r="I1910" s="8">
        <f>IFERROR(VLOOKUP($C1910,$A$15:$O$36,7,FALSE)," ")</f>
        <v>0</v>
      </c>
      <c r="J1910" s="8">
        <f>IFERROR(VLOOKUP($C1910,$A$15:$O$36,8,FALSE)," ")</f>
        <v>0</v>
      </c>
      <c r="K1910" s="8">
        <f>IFERROR(VLOOKUP($C1910,$A$15:$O$36,9,FALSE)," ")</f>
        <v>0</v>
      </c>
      <c r="L1910" s="8">
        <f>IFERROR(VLOOKUP($C1910,$A$15:$O$36,10,FALSE)," ")</f>
        <v>0</v>
      </c>
      <c r="M1910" s="8">
        <f>IFERROR(VLOOKUP($C1910,$A$15:$O$36,11,FALSE)," ")</f>
        <v>0</v>
      </c>
      <c r="N1910" s="8">
        <f>IFERROR(VLOOKUP($C1910,$A$15:$O$36,12,FALSE)," ")</f>
        <v>0</v>
      </c>
      <c r="O1910" s="8">
        <f>IFERROR(VLOOKUP($C1910,$A$15:$O$36,15,FALSE)," ")</f>
        <v>2000</v>
      </c>
      <c r="P1910" s="8" t="e">
        <f t="array" ref="P1910:P1920">MMULT(MINVERSE(D1910:N1920),O1910:O1920)</f>
        <v>#NUM!</v>
      </c>
      <c r="Q1910" s="8" t="e">
        <f t="shared" ref="Q1910" si="8252">IF(COUNTIF(P1910:P1920,"&lt;"&amp;-0.001)=0,IF(ABS(P1910)&lt;0.001,0,P1910)," ")</f>
        <v>#NUM!</v>
      </c>
      <c r="R1910" s="8" t="str">
        <f>IFERROR(VLOOKUP(B1816,A$15:L$36,2,FALSE)*Q1910+VLOOKUP(B1816,A$15:L$36,3,FALSE)*Q1911+VLOOKUP(B1816,A$15:L$36,4,FALSE)*Q1912+VLOOKUP(B1816,A$15:L$36,5,FALSE)*Q1913+VLOOKUP(B1816,A$15:L$36,6,FALSE)*Q1914+VLOOKUP(B1816,A$15:L$36,7,FALSE)*Q1915+VLOOKUP(B1816,A$15:L$36,8,FALSE)*Q1916+VLOOKUP(B1816,A$15:L$36,9,FALSE)*Q1917+VLOOKUP(B1816,A$15:L$36,10,FALSE)*Q1918+VLOOKUP(B1816,A$15:L$36,11,FALSE)*Q1919+VLOOKUP(B1816,A$15:L$36,12,FALSE)*Q1920," ")</f>
        <v xml:space="preserve"> </v>
      </c>
      <c r="S1910" s="8" t="str">
        <f>IFERROR(IF(R1910-VLOOKUP(B1816,A$15:O$36,15,FALSE)&lt;0,R1910-VLOOKUP(B1816,A$15:O$36,15,FALSE)," ")," ")</f>
        <v xml:space="preserve"> </v>
      </c>
      <c r="T1910" s="18" t="str">
        <f>IFERROR(IF(R1910-VLOOKUP(B1816,A$15:O$36,15,FALSE)&gt;0,R1910-VLOOKUP(B1816,A$15:O$36,15,FALSE)," ")," ")</f>
        <v xml:space="preserve"> </v>
      </c>
      <c r="U1910" s="34">
        <f t="shared" ref="U1910" si="8253">$M$2</f>
        <v>100.00000000000001</v>
      </c>
      <c r="V1910" s="34">
        <v>-1</v>
      </c>
      <c r="W1910" s="34">
        <f t="shared" ref="W1910" si="8254">-SUMPRODUCT($M$3:$M$12,$N$3:$N$12)</f>
        <v>-105000</v>
      </c>
      <c r="X1910" s="34" t="e">
        <f t="shared" ref="X1910" si="8255">IF(U1910&lt;&gt;U1911,MMULT(MINVERSE(U1910:V1911),W1910:W1911)," ")</f>
        <v>#NUM!</v>
      </c>
      <c r="Y1910" s="34" t="str">
        <f t="shared" ref="Y1910" si="8256">IFERROR(IF(X1910-VLOOKUP(U$38,$A$2:$N$12,14,FALSE)&lt;0,X1910-VLOOKUP(U$38,$A$2:$N$12,14,FALSE)," ")," ")</f>
        <v xml:space="preserve"> </v>
      </c>
      <c r="Z1910" s="34" t="str">
        <f t="shared" ref="Z1910" si="8257">IFERROR(IF(X1910-VLOOKUP(U$38,$A$2:$N$12,14,FALSE)&gt;0,X1910-VLOOKUP(U$38,$A$2:$N$12,14,FALSE)," ")," ")</f>
        <v xml:space="preserve"> </v>
      </c>
      <c r="AA1910" s="34">
        <f t="shared" ref="AA1910" si="8258">$M$3</f>
        <v>0</v>
      </c>
      <c r="AB1910" s="34">
        <v>-1</v>
      </c>
      <c r="AC1910" s="34">
        <f t="shared" ref="AC1910" si="8259">-SUMPRODUCT($M$2:$M$2,$N$2:$N$2)-SUMPRODUCT($M$4:$M$12,$N$4:$N$12)</f>
        <v>-120000</v>
      </c>
      <c r="AD1910" s="34" t="e">
        <f t="shared" ref="AD1910" si="8260">IF(AA1910&lt;&gt;AA1911,MMULT(MINVERSE(AA1910:AB1911),AC1910:AC1911)," ")</f>
        <v>#NUM!</v>
      </c>
      <c r="AE1910" s="34" t="str">
        <f t="shared" ref="AE1910" si="8261">IFERROR(IF(AD1910-VLOOKUP(AA$38,$A$2:$N$12,14,FALSE)&lt;0,AD1910-VLOOKUP(AA$38,$A$2:$N$12,14,FALSE)," ")," ")</f>
        <v xml:space="preserve"> </v>
      </c>
      <c r="AF1910" s="34" t="str">
        <f t="shared" ref="AF1910" si="8262">IFERROR(IF(AD1910-VLOOKUP(AA$38,$A$2:$N$12,14,FALSE)&gt;0,AD1910-VLOOKUP(AA$38,$A$2:$N$12,14,FALSE)," ")," ")</f>
        <v xml:space="preserve"> </v>
      </c>
      <c r="AG1910" s="34">
        <f t="shared" ref="AG1910" si="8263">$M$4</f>
        <v>300</v>
      </c>
      <c r="AH1910" s="34">
        <v>-1</v>
      </c>
      <c r="AI1910" s="34">
        <f t="shared" ref="AI1910" si="8264">-SUMPRODUCT($M$2:$M$3,$N$2:$N$3)-SUMPRODUCT($M$5:$M$12,$N$5:$N$12)</f>
        <v>-15000.000000000002</v>
      </c>
      <c r="AJ1910" s="34" t="e">
        <f t="shared" ref="AJ1910" si="8265">IF(AG1910&lt;&gt;AG1911,MMULT(MINVERSE(AG1910:AH1911),AI1910:AI1911)," ")</f>
        <v>#NUM!</v>
      </c>
      <c r="AK1910" s="34" t="str">
        <f t="shared" ref="AK1910" si="8266">IFERROR(IF(AJ1910-VLOOKUP(AG$38,$A$2:$N$12,14,FALSE)&lt;0,AJ1910-VLOOKUP(AG$38,$A$2:$N$12,14,FALSE)," ")," ")</f>
        <v xml:space="preserve"> </v>
      </c>
      <c r="AL1910" s="34" t="str">
        <f t="shared" ref="AL1910" si="8267">IFERROR(IF(AJ1910-VLOOKUP(AG$38,$A$2:$N$12,14,FALSE)&gt;0,AJ1910-VLOOKUP(AG$38,$A$2:$N$12,14,FALSE)," ")," ")</f>
        <v xml:space="preserve"> </v>
      </c>
      <c r="AM1910" s="34">
        <f t="shared" ref="AM1910" si="8268">$M$5</f>
        <v>0</v>
      </c>
      <c r="AN1910" s="34">
        <v>-1</v>
      </c>
      <c r="AO1910" s="34">
        <f t="shared" ref="AO1910" si="8269">-SUMPRODUCT($M$2:$M$4,$N$2:$N$4)-SUMPRODUCT($M$6:$M$12,$N$6:$N$12)</f>
        <v>-120000</v>
      </c>
      <c r="AP1910" s="34" t="e">
        <f t="shared" ref="AP1910" si="8270">IF(AM1910&lt;&gt;AM1911,MMULT(MINVERSE(AM1910:AN1911),AO1910:AO1911)," ")</f>
        <v>#NUM!</v>
      </c>
      <c r="AQ1910" s="34" t="str">
        <f t="shared" ref="AQ1910" si="8271">IFERROR(IF(AP1910-VLOOKUP(AM$38,$A$2:$N$12,14,FALSE)&lt;0,AP1910-VLOOKUP(AM$38,$A$2:$N$12,14,FALSE)," ")," ")</f>
        <v xml:space="preserve"> </v>
      </c>
      <c r="AR1910" s="34" t="str">
        <f t="shared" ref="AR1910" si="8272">IFERROR(IF(AP1910-VLOOKUP(AM$38,$A$2:$N$12,14,FALSE)&gt;0,AP1910-VLOOKUP(AM$38,$A$2:$N$12,14,FALSE)," ")," ")</f>
        <v xml:space="preserve"> </v>
      </c>
      <c r="AS1910" s="34">
        <f t="shared" ref="AS1910" si="8273">$M$6</f>
        <v>0</v>
      </c>
      <c r="AT1910" s="34">
        <v>-1</v>
      </c>
      <c r="AU1910" s="34">
        <f t="shared" ref="AU1910" si="8274">-SUMPRODUCT($M$2:$M$5,$N$2:$N$5)-SUMPRODUCT($M$7:$M$12,$N$7:$N$12)</f>
        <v>-120000</v>
      </c>
      <c r="AV1910" s="34" t="e">
        <f t="shared" ref="AV1910" si="8275">IF(AS1910&lt;&gt;AS1911,MMULT(MINVERSE(AS1910:AT1911),AU1910:AU1911)," ")</f>
        <v>#NUM!</v>
      </c>
      <c r="AW1910" s="34" t="str">
        <f t="shared" ref="AW1910" si="8276">IFERROR(IF(AV1910-VLOOKUP(AS$38,$A$2:$N$12,14,FALSE)&lt;0,AV1910-VLOOKUP(AS$38,$A$2:$N$12,14,FALSE)," ")," ")</f>
        <v xml:space="preserve"> </v>
      </c>
      <c r="AX1910" s="34" t="str">
        <f t="shared" ref="AX1910" si="8277">IFERROR(IF(AV1910-VLOOKUP(AS$38,$A$2:$N$12,14,FALSE)&gt;0,AV1910-VLOOKUP(AS$38,$A$2:$N$12,14,FALSE)," ")," ")</f>
        <v xml:space="preserve"> </v>
      </c>
      <c r="AY1910" s="34">
        <f t="shared" ref="AY1910" si="8278">$M$7</f>
        <v>0</v>
      </c>
      <c r="AZ1910" s="34">
        <v>-1</v>
      </c>
      <c r="BA1910" s="34">
        <f t="shared" ref="BA1910" si="8279">-SUMPRODUCT($M$2:$M$6,$N$2:$N$6)-SUMPRODUCT($M$8:$M$12,$N$8:$N$12)</f>
        <v>-120000</v>
      </c>
      <c r="BB1910" s="34" t="e">
        <f t="shared" ref="BB1910" si="8280">IF(AY1910&lt;&gt;AY1911,MMULT(MINVERSE(AY1910:AZ1911),BA1910:BA1911)," ")</f>
        <v>#NUM!</v>
      </c>
      <c r="BC1910" s="34" t="str">
        <f t="shared" ref="BC1910" si="8281">IFERROR(IF(BB1910-VLOOKUP(AY$38,$A$2:$N$12,14,FALSE)&lt;0,BB1910-VLOOKUP(AY$38,$A$2:$N$12,14,FALSE)," ")," ")</f>
        <v xml:space="preserve"> </v>
      </c>
      <c r="BD1910" s="34" t="str">
        <f t="shared" ref="BD1910" si="8282">IFERROR(IF(BB1910-VLOOKUP(AY$38,$A$2:$N$12,14,FALSE)&gt;0,BB1910-VLOOKUP(AY$38,$A$2:$N$12,14,FALSE)," ")," ")</f>
        <v xml:space="preserve"> </v>
      </c>
      <c r="BE1910" s="34">
        <f t="shared" ref="BE1910" si="8283">$M$8</f>
        <v>0</v>
      </c>
      <c r="BF1910" s="34">
        <v>-1</v>
      </c>
      <c r="BG1910" s="34">
        <f t="shared" ref="BG1910" si="8284">-SUMPRODUCT($M$2:$M$7,$N$2:$N$7)-SUMPRODUCT($M$9:$M$12,$N$9:$N$12)</f>
        <v>-120000</v>
      </c>
      <c r="BH1910" s="34" t="e">
        <f t="shared" ref="BH1910" si="8285">IF(BE1910&lt;&gt;BE1911,MMULT(MINVERSE(BE1910:BF1911),BG1910:BG1911)," ")</f>
        <v>#NUM!</v>
      </c>
      <c r="BI1910" s="34" t="str">
        <f t="shared" ref="BI1910" si="8286">IFERROR(IF(BH1910-VLOOKUP(BE$38,$A$2:$N$12,14,FALSE)&lt;0,BH1910-VLOOKUP(BE$38,$A$2:$N$12,14,FALSE)," ")," ")</f>
        <v xml:space="preserve"> </v>
      </c>
      <c r="BJ1910" s="34" t="str">
        <f t="shared" ref="BJ1910" si="8287">IFERROR(IF(BH1910-VLOOKUP(BE$38,$A$2:$N$12,14,FALSE)&gt;0,BH1910-VLOOKUP(BE$38,$A$2:$N$12,14,FALSE)," ")," ")</f>
        <v xml:space="preserve"> </v>
      </c>
      <c r="BK1910" s="34">
        <f t="shared" ref="BK1910" si="8288">$M$9</f>
        <v>0</v>
      </c>
      <c r="BL1910" s="34">
        <v>-1</v>
      </c>
      <c r="BM1910" s="34">
        <f t="shared" ref="BM1910" si="8289">-SUMPRODUCT($M$2:$M$8,$N$2:$N$8)-SUMPRODUCT($M$10:$M$12,$N$10:$N$12)</f>
        <v>-120000</v>
      </c>
      <c r="BN1910" s="34" t="e">
        <f t="shared" ref="BN1910" si="8290">IF(BK1910&lt;&gt;BK1911,MMULT(MINVERSE(BK1910:BL1911),BM1910:BM1911)," ")</f>
        <v>#NUM!</v>
      </c>
      <c r="BO1910" s="34" t="str">
        <f t="shared" ref="BO1910" si="8291">IFERROR(IF(BN1910-VLOOKUP(BK$38,$A$2:$N$12,14,FALSE)&lt;0,BN1910-VLOOKUP(BK$38,$A$2:$N$12,14,FALSE)," ")," ")</f>
        <v xml:space="preserve"> </v>
      </c>
      <c r="BP1910" s="34" t="str">
        <f t="shared" ref="BP1910" si="8292">IFERROR(IF(BN1910-VLOOKUP(BK$38,$A$2:$N$12,14,FALSE)&gt;0,BN1910-VLOOKUP(BK$38,$A$2:$N$12,14,FALSE)," ")," ")</f>
        <v xml:space="preserve"> </v>
      </c>
      <c r="BQ1910" s="34">
        <f t="shared" ref="BQ1910" si="8293">$M$10</f>
        <v>0</v>
      </c>
      <c r="BR1910" s="34">
        <v>-1</v>
      </c>
      <c r="BS1910" s="34">
        <f t="shared" ref="BS1910" si="8294">-SUMPRODUCT($M$2:$M$9,$N$2:$N$9)-SUMPRODUCT($M$11:$M$12,$N$11:$N$12)</f>
        <v>-120000</v>
      </c>
      <c r="BT1910" s="34" t="e">
        <f t="shared" ref="BT1910" si="8295">IF(BQ1910&lt;&gt;BQ1911,MMULT(MINVERSE(BQ1910:BR1911),BS1910:BS1911)," ")</f>
        <v>#NUM!</v>
      </c>
      <c r="BU1910" s="34" t="str">
        <f t="shared" ref="BU1910" si="8296">IFERROR(IF(BT1910-VLOOKUP(BQ$38,$A$2:$N$12,14,FALSE)&lt;0,BT1910-VLOOKUP(BQ$38,$A$2:$N$12,14,FALSE)," ")," ")</f>
        <v xml:space="preserve"> </v>
      </c>
      <c r="BV1910" s="34" t="str">
        <f t="shared" ref="BV1910" si="8297">IFERROR(IF(BT1910-VLOOKUP(BQ$38,$A$2:$N$12,14,FALSE)&gt;0,BT1910-VLOOKUP(BQ$38,$A$2:$N$12,14,FALSE)," ")," ")</f>
        <v xml:space="preserve"> </v>
      </c>
      <c r="BW1910" s="34">
        <f t="shared" ref="BW1910" si="8298">$M$11</f>
        <v>0</v>
      </c>
      <c r="BX1910" s="34">
        <v>-1</v>
      </c>
      <c r="BY1910" s="34">
        <f t="shared" ref="BY1910" si="8299">-SUMPRODUCT($M$2:$M$10,$N$2:$N$10)-SUMPRODUCT($M$12,$N$12)</f>
        <v>-120000</v>
      </c>
      <c r="BZ1910" s="34" t="e">
        <f t="shared" ref="BZ1910" si="8300">IF(BW1910&lt;&gt;BW1911,MMULT(MINVERSE(BW1910:BX1911),BY1910:BY1911)," ")</f>
        <v>#NUM!</v>
      </c>
      <c r="CA1910" s="34" t="str">
        <f t="shared" ref="CA1910" si="8301">IFERROR(IF(BZ1910-VLOOKUP(BW$38,$A$2:$N$12,14,FALSE)&lt;0,BZ1910-VLOOKUP(BW$38,$A$2:$N$12,14,FALSE)," ")," ")</f>
        <v xml:space="preserve"> </v>
      </c>
      <c r="CB1910" s="34" t="str">
        <f t="shared" ref="CB1910" si="8302">IFERROR(IF(BZ1910-VLOOKUP(BW$38,$A$2:$N$12,14,FALSE)&gt;0,BZ1910-VLOOKUP(BW$38,$A$2:$N$12,14,FALSE)," ")," ")</f>
        <v xml:space="preserve"> </v>
      </c>
      <c r="CC1910" s="34">
        <f t="shared" ref="CC1910" si="8303">$M$12</f>
        <v>0</v>
      </c>
      <c r="CD1910" s="34">
        <v>-1</v>
      </c>
      <c r="CE1910" s="34">
        <f t="shared" ref="CE1910" si="8304">-SUMPRODUCT($M$2:$M$11,$N$2:$N$11)</f>
        <v>-120000</v>
      </c>
      <c r="CF1910" s="34" t="e">
        <f t="shared" ref="CF1910" si="8305">IF(CC1910&lt;&gt;CC1911,MMULT(MINVERSE(CC1910:CD1911),CE1910:CE1911)," ")</f>
        <v>#NUM!</v>
      </c>
      <c r="CG1910" s="34" t="str">
        <f t="shared" ref="CG1910" si="8306">IFERROR(IF(CF1910-VLOOKUP(CC$38,$A$2:$N$12,14,FALSE)&lt;0,CF1910-VLOOKUP(CC$38,$A$2:$N$12,14,FALSE)," ")," ")</f>
        <v xml:space="preserve"> </v>
      </c>
      <c r="CH1910" s="34" t="str">
        <f t="shared" ref="CH1910" si="8307">IFERROR(IF(CF1910-VLOOKUP(CC$38,$A$2:$N$12,14,FALSE)&gt;0,CF1910-VLOOKUP(CC$38,$A$2:$N$12,14,FALSE)," ")," ")</f>
        <v xml:space="preserve"> </v>
      </c>
      <c r="CI1910" s="8"/>
    </row>
    <row r="1911" spans="1:87" x14ac:dyDescent="0.2">
      <c r="A1911" s="8" t="str">
        <f>IF(AND(COUNTIF(W$3:W$13,A$16)&gt;0,A$16&lt;&gt;B1816),A$16,IFERROR(IF(MATCH(A$16,Z$3:Z$13,0)=5,A$16," ")," "))</f>
        <v xml:space="preserve"> </v>
      </c>
      <c r="B1911" s="8" t="str">
        <f>IF(A1911=" "," ",MAX(B1910:B1910)+1)</f>
        <v xml:space="preserve"> </v>
      </c>
      <c r="C1911" s="8" t="str">
        <f>IFERROR(INDEX(A1910:A1931,MATCH(SMALL(B1910:B1931,2),B1910:B1931,0),1)," ")</f>
        <v>C4</v>
      </c>
      <c r="D1911" s="8">
        <f t="shared" ref="D1911:D1920" si="8308">IFERROR(VLOOKUP($C1911,$A$15:$O$36,2,FALSE)," ")</f>
        <v>1</v>
      </c>
      <c r="E1911" s="8">
        <f t="shared" ref="E1911:E1920" si="8309">IFERROR(VLOOKUP($C1911,$A$15:$O$36,3,FALSE)," ")</f>
        <v>0</v>
      </c>
      <c r="F1911" s="8">
        <f t="shared" ref="F1911:F1920" si="8310">IFERROR(VLOOKUP($C1911,$A$15:$O$36,4,FALSE)," ")</f>
        <v>1</v>
      </c>
      <c r="G1911" s="8">
        <f t="shared" ref="G1911:G1920" si="8311">IFERROR(VLOOKUP($C1911,$A$15:$O$36,5,FALSE)," ")</f>
        <v>0</v>
      </c>
      <c r="H1911" s="8">
        <f t="shared" ref="H1911:H1920" si="8312">IFERROR(VLOOKUP($C1911,$A$15:$O$36,6,FALSE)," ")</f>
        <v>0</v>
      </c>
      <c r="I1911" s="8">
        <f t="shared" ref="I1911:I1920" si="8313">IFERROR(VLOOKUP($C1911,$A$15:$O$36,7,FALSE)," ")</f>
        <v>0</v>
      </c>
      <c r="J1911" s="8">
        <f t="shared" ref="J1911:J1920" si="8314">IFERROR(VLOOKUP($C1911,$A$15:$O$36,8,FALSE)," ")</f>
        <v>0</v>
      </c>
      <c r="K1911" s="8">
        <f t="shared" ref="K1911:K1920" si="8315">IFERROR(VLOOKUP($C1911,$A$15:$O$36,9,FALSE)," ")</f>
        <v>0</v>
      </c>
      <c r="L1911" s="8">
        <f t="shared" ref="L1911:L1920" si="8316">IFERROR(VLOOKUP($C1911,$A$15:$O$36,10,FALSE)," ")</f>
        <v>0</v>
      </c>
      <c r="M1911" s="8">
        <f t="shared" ref="M1911:M1920" si="8317">IFERROR(VLOOKUP($C1911,$A$15:$O$36,11,FALSE)," ")</f>
        <v>0</v>
      </c>
      <c r="N1911" s="8">
        <f t="shared" ref="N1911:N1920" si="8318">IFERROR(VLOOKUP($C1911,$A$15:$O$36,12,FALSE)," ")</f>
        <v>0</v>
      </c>
      <c r="O1911" s="8">
        <f t="shared" ref="O1911:O1920" si="8319">IFERROR(VLOOKUP($C1911,$A$15:$O$36,15,FALSE)," ")</f>
        <v>400</v>
      </c>
      <c r="P1911" s="8" t="e">
        <v>#NUM!</v>
      </c>
      <c r="Q1911" s="8" t="e">
        <f t="shared" ref="Q1911" si="8320">IF(COUNTIF(P1910:P1920,"&lt;"&amp;-0.001)=0,IF(ABS(P1911)&lt;0.001,0,P1911)," ")</f>
        <v>#NUM!</v>
      </c>
      <c r="R1911" s="8"/>
      <c r="S1911" s="8"/>
      <c r="U1911" s="34" t="e">
        <f t="shared" ref="U1911" si="8321">$Q1910</f>
        <v>#NUM!</v>
      </c>
      <c r="V1911" s="34">
        <v>-1</v>
      </c>
      <c r="W1911" s="34" t="e">
        <f t="shared" ref="W1911" si="8322">-SUMPRODUCT($Q1911:$Q1920,$N$3:$N$12)</f>
        <v>#NUM!</v>
      </c>
      <c r="X1911" s="34"/>
      <c r="Y1911" s="34"/>
      <c r="Z1911" s="34"/>
      <c r="AA1911" s="34" t="e">
        <f t="shared" ref="AA1911" si="8323">$Q1911</f>
        <v>#NUM!</v>
      </c>
      <c r="AB1911" s="34">
        <v>-1</v>
      </c>
      <c r="AC1911" s="34" t="e">
        <f t="shared" ref="AC1911" si="8324">-SUMPRODUCT($Q1910:$Q1910,$N$2:$N$2)-SUMPRODUCT($Q1912:$Q1920,$N$4:$N$12)</f>
        <v>#NUM!</v>
      </c>
      <c r="AD1911" s="34"/>
      <c r="AE1911" s="34"/>
      <c r="AF1911" s="34"/>
      <c r="AG1911" s="34" t="e">
        <f t="shared" ref="AG1911" si="8325">$Q1912</f>
        <v>#NUM!</v>
      </c>
      <c r="AH1911" s="34">
        <v>-1</v>
      </c>
      <c r="AI1911" s="34" t="e">
        <f t="shared" ref="AI1911" si="8326">-SUMPRODUCT($Q1910:$Q1911,$N$2:$N$3)-SUMPRODUCT($Q1913:$Q1920,$N$5:$N$12)</f>
        <v>#NUM!</v>
      </c>
      <c r="AJ1911" s="34"/>
      <c r="AK1911" s="34"/>
      <c r="AL1911" s="34"/>
      <c r="AM1911" s="34" t="e">
        <f t="shared" ref="AM1911" si="8327">$Q1913</f>
        <v>#NUM!</v>
      </c>
      <c r="AN1911" s="34">
        <v>-1</v>
      </c>
      <c r="AO1911" s="34" t="e">
        <f t="shared" ref="AO1911" si="8328">-SUMPRODUCT($Q1910:$Q1912,$N$2:$N$4)-SUMPRODUCT($Q1914:$Q1920,$N$6:$N$12)</f>
        <v>#NUM!</v>
      </c>
      <c r="AP1911" s="34"/>
      <c r="AQ1911" s="34"/>
      <c r="AR1911" s="34"/>
      <c r="AS1911" s="34" t="e">
        <f t="shared" ref="AS1911" si="8329">$Q1914</f>
        <v>#NUM!</v>
      </c>
      <c r="AT1911" s="34">
        <v>-1</v>
      </c>
      <c r="AU1911" s="34" t="e">
        <f t="shared" ref="AU1911" si="8330">-SUMPRODUCT($Q1910:$Q1913,$N$2:$N$5)-SUMPRODUCT($Q1915:$Q1920,$N$7:$N$12)</f>
        <v>#NUM!</v>
      </c>
      <c r="AV1911" s="34"/>
      <c r="AW1911" s="34"/>
      <c r="AX1911" s="34"/>
      <c r="AY1911" s="34" t="e">
        <f t="shared" ref="AY1911" si="8331">$Q1915</f>
        <v>#NUM!</v>
      </c>
      <c r="AZ1911" s="34">
        <v>-1</v>
      </c>
      <c r="BA1911" s="34" t="e">
        <f t="shared" ref="BA1911" si="8332">-SUMPRODUCT($Q1910:$Q1914,$N$2:$N$6)-SUMPRODUCT($Q1916:$Q1920,$N$8:$N$12)</f>
        <v>#NUM!</v>
      </c>
      <c r="BB1911" s="34"/>
      <c r="BC1911" s="34"/>
      <c r="BD1911" s="34"/>
      <c r="BE1911" s="34" t="e">
        <f t="shared" ref="BE1911" si="8333">$Q1916</f>
        <v>#NUM!</v>
      </c>
      <c r="BF1911" s="34">
        <v>-1</v>
      </c>
      <c r="BG1911" s="34" t="e">
        <f t="shared" ref="BG1911" si="8334">-SUMPRODUCT($Q1910:$Q1915,$N$2:$N$7)-SUMPRODUCT($Q1917:$Q1920,$N$9:$N$12)</f>
        <v>#NUM!</v>
      </c>
      <c r="BH1911" s="34"/>
      <c r="BI1911" s="34"/>
      <c r="BJ1911" s="34"/>
      <c r="BK1911" s="34" t="e">
        <f t="shared" ref="BK1911" si="8335">$Q1917</f>
        <v>#NUM!</v>
      </c>
      <c r="BL1911" s="34">
        <v>-1</v>
      </c>
      <c r="BM1911" s="34" t="e">
        <f t="shared" ref="BM1911" si="8336">-SUMPRODUCT($Q1910:$Q1916,$N$2:$N$8)-SUMPRODUCT($Q1918:$Q1920,$N$10:$N$12)</f>
        <v>#NUM!</v>
      </c>
      <c r="BN1911" s="34"/>
      <c r="BO1911" s="34"/>
      <c r="BP1911" s="34"/>
      <c r="BQ1911" s="34" t="e">
        <f t="shared" ref="BQ1911" si="8337">$Q1918</f>
        <v>#NUM!</v>
      </c>
      <c r="BR1911" s="34">
        <v>-1</v>
      </c>
      <c r="BS1911" s="34" t="e">
        <f t="shared" ref="BS1911" si="8338">-SUMPRODUCT($Q1910:$Q1917,$N$2:$N$9)-SUMPRODUCT($Q1919:$Q1920,$N$11:$N$12)</f>
        <v>#NUM!</v>
      </c>
      <c r="BT1911" s="34"/>
      <c r="BU1911" s="34"/>
      <c r="BV1911" s="34"/>
      <c r="BW1911" s="34" t="e">
        <f t="shared" ref="BW1911" si="8339">$Q1919</f>
        <v>#NUM!</v>
      </c>
      <c r="BX1911" s="34">
        <v>-1</v>
      </c>
      <c r="BY1911" s="34" t="e">
        <f t="shared" ref="BY1911" si="8340">-SUMPRODUCT($Q1910:$Q1918,$N$2:$N$10)-SUMPRODUCT($Q1920,$N$12)</f>
        <v>#NUM!</v>
      </c>
      <c r="BZ1911" s="34"/>
      <c r="CA1911" s="34"/>
      <c r="CB1911" s="34"/>
      <c r="CC1911" s="34" t="e">
        <f t="shared" ref="CC1911" si="8341">$Q1920</f>
        <v>#NUM!</v>
      </c>
      <c r="CD1911" s="34">
        <v>-1</v>
      </c>
      <c r="CE1911" s="34" t="e">
        <f t="shared" ref="CE1911" si="8342">-SUMPRODUCT($Q1910:$Q1919,$N$2:$N$11)</f>
        <v>#NUM!</v>
      </c>
      <c r="CF1911" s="34"/>
      <c r="CG1911" s="34"/>
      <c r="CH1911" s="34"/>
      <c r="CI1911" s="8"/>
    </row>
    <row r="1912" spans="1:87" x14ac:dyDescent="0.2">
      <c r="A1912" s="8" t="str">
        <f>IF(AND(COUNTIF(W$3:W$13,A$17)&gt;0,A$17&lt;&gt;B1816),A$17,IFERROR(IF(MATCH(A$17,Z$3:Z$13,0)=5,A$17," ")," "))</f>
        <v>C3</v>
      </c>
      <c r="B1912" s="8">
        <f>IF(A1912=" "," ",MAX(B1910:B1911)+1)</f>
        <v>1</v>
      </c>
      <c r="C1912" s="8" t="str">
        <f>IFERROR(INDEX(A1910:A1931,MATCH(SMALL(B1910:B1931,3),B1910:B1931,0),1)," ")</f>
        <v>C7</v>
      </c>
      <c r="D1912" s="8">
        <f t="shared" si="8308"/>
        <v>0</v>
      </c>
      <c r="E1912" s="8">
        <f t="shared" si="8309"/>
        <v>0</v>
      </c>
      <c r="F1912" s="8">
        <f t="shared" si="8310"/>
        <v>0</v>
      </c>
      <c r="G1912" s="8">
        <f t="shared" si="8311"/>
        <v>0</v>
      </c>
      <c r="H1912" s="8">
        <f t="shared" si="8312"/>
        <v>0</v>
      </c>
      <c r="I1912" s="8">
        <f t="shared" si="8313"/>
        <v>0</v>
      </c>
      <c r="J1912" s="8">
        <f t="shared" si="8314"/>
        <v>0</v>
      </c>
      <c r="K1912" s="8">
        <f t="shared" si="8315"/>
        <v>0</v>
      </c>
      <c r="L1912" s="8">
        <f t="shared" si="8316"/>
        <v>0</v>
      </c>
      <c r="M1912" s="8">
        <f t="shared" si="8317"/>
        <v>0</v>
      </c>
      <c r="N1912" s="8">
        <f t="shared" si="8318"/>
        <v>0</v>
      </c>
      <c r="O1912" s="8">
        <f t="shared" si="8319"/>
        <v>0</v>
      </c>
      <c r="P1912" s="8" t="e">
        <v>#NUM!</v>
      </c>
      <c r="Q1912" s="8" t="e">
        <f t="shared" ref="Q1912" si="8343">IF(COUNTIF(P1910:P1920,"&lt;"&amp;-0.001)=0,IF(ABS(P1912)&lt;0.001,0,P1912)," ")</f>
        <v>#NUM!</v>
      </c>
      <c r="R1912" s="8"/>
      <c r="S1912" s="8"/>
      <c r="U1912" s="34"/>
      <c r="V1912" s="34"/>
      <c r="W1912" s="34"/>
      <c r="X1912" s="34"/>
      <c r="Y1912" s="34"/>
      <c r="Z1912" s="34"/>
      <c r="AA1912" s="34"/>
      <c r="AB1912" s="34"/>
      <c r="AC1912" s="34"/>
      <c r="AD1912" s="34"/>
      <c r="AE1912" s="34"/>
      <c r="AF1912" s="34"/>
      <c r="AG1912" s="34"/>
      <c r="AH1912" s="34"/>
      <c r="AI1912" s="34"/>
      <c r="AJ1912" s="34"/>
      <c r="AK1912" s="34"/>
      <c r="AL1912" s="34"/>
      <c r="AM1912" s="34"/>
      <c r="AN1912" s="34"/>
      <c r="AO1912" s="34"/>
      <c r="AP1912" s="34"/>
      <c r="AQ1912" s="34"/>
      <c r="AR1912" s="34"/>
      <c r="AS1912" s="34"/>
      <c r="AT1912" s="34"/>
      <c r="AU1912" s="34"/>
      <c r="AV1912" s="34"/>
      <c r="AW1912" s="34"/>
      <c r="AX1912" s="34"/>
      <c r="AY1912" s="34"/>
      <c r="AZ1912" s="34"/>
      <c r="BA1912" s="34"/>
      <c r="BB1912" s="34"/>
      <c r="BC1912" s="34"/>
      <c r="BD1912" s="34"/>
      <c r="BE1912" s="34"/>
      <c r="BF1912" s="34"/>
      <c r="BG1912" s="34"/>
      <c r="BH1912" s="34"/>
      <c r="BI1912" s="34"/>
      <c r="BJ1912" s="34"/>
      <c r="BK1912" s="34"/>
      <c r="BL1912" s="34"/>
      <c r="BM1912" s="34"/>
      <c r="BN1912" s="34"/>
      <c r="BO1912" s="34"/>
      <c r="BP1912" s="34"/>
      <c r="BQ1912" s="34"/>
      <c r="BR1912" s="34"/>
      <c r="BS1912" s="34"/>
      <c r="BT1912" s="34"/>
      <c r="BU1912" s="34"/>
      <c r="BV1912" s="34"/>
      <c r="BW1912" s="34"/>
      <c r="BX1912" s="34"/>
      <c r="BY1912" s="34"/>
      <c r="BZ1912" s="34"/>
      <c r="CA1912" s="34"/>
      <c r="CB1912" s="34"/>
      <c r="CC1912" s="34"/>
      <c r="CD1912" s="34"/>
      <c r="CE1912" s="34"/>
      <c r="CF1912" s="34"/>
      <c r="CG1912" s="34"/>
      <c r="CH1912" s="34"/>
      <c r="CI1912" s="8"/>
    </row>
    <row r="1913" spans="1:87" x14ac:dyDescent="0.2">
      <c r="A1913" s="8" t="str">
        <f>IF(AND(COUNTIF(W$3:W$13,A$18)&gt;0,A$18&lt;&gt;B1816),A$18,IFERROR(IF(MATCH(A$18,Z$3:Z$13,0)=5,A$18," ")," "))</f>
        <v>C4</v>
      </c>
      <c r="B1913" s="8">
        <f>IF(A1913=" "," ",MAX(B1910:B1912)+1)</f>
        <v>2</v>
      </c>
      <c r="C1913" s="8" t="str">
        <f>IFERROR(INDEX(A1910:A1931,MATCH(SMALL(B1910:B1931,4),B1910:B1931,0),1)," ")</f>
        <v>C13</v>
      </c>
      <c r="D1913" s="8">
        <f t="shared" si="8308"/>
        <v>0</v>
      </c>
      <c r="E1913" s="8">
        <f t="shared" si="8309"/>
        <v>1</v>
      </c>
      <c r="F1913" s="8">
        <f t="shared" si="8310"/>
        <v>0</v>
      </c>
      <c r="G1913" s="8">
        <f t="shared" si="8311"/>
        <v>0</v>
      </c>
      <c r="H1913" s="8">
        <f t="shared" si="8312"/>
        <v>0</v>
      </c>
      <c r="I1913" s="8">
        <f t="shared" si="8313"/>
        <v>0</v>
      </c>
      <c r="J1913" s="8">
        <f t="shared" si="8314"/>
        <v>0</v>
      </c>
      <c r="K1913" s="8">
        <f t="shared" si="8315"/>
        <v>0</v>
      </c>
      <c r="L1913" s="8">
        <f t="shared" si="8316"/>
        <v>0</v>
      </c>
      <c r="M1913" s="8">
        <f t="shared" si="8317"/>
        <v>0</v>
      </c>
      <c r="N1913" s="8">
        <f t="shared" si="8318"/>
        <v>0</v>
      </c>
      <c r="O1913" s="8">
        <f t="shared" si="8319"/>
        <v>0</v>
      </c>
      <c r="P1913" s="8" t="e">
        <v>#NUM!</v>
      </c>
      <c r="Q1913" s="8" t="e">
        <f t="shared" ref="Q1913" si="8344">IF(COUNTIF(P1910:P1920,"&lt;"&amp;-0.001)=0,IF(ABS(P1913)&lt;0.001,0,P1913)," ")</f>
        <v>#NUM!</v>
      </c>
      <c r="R1913" s="8"/>
      <c r="S1913" s="8"/>
      <c r="U1913" s="34"/>
      <c r="V1913" s="34"/>
      <c r="W1913" s="34"/>
      <c r="X1913" s="34"/>
      <c r="Y1913" s="34"/>
      <c r="Z1913" s="34"/>
      <c r="AA1913" s="34"/>
      <c r="AB1913" s="34"/>
      <c r="AC1913" s="34"/>
      <c r="AD1913" s="34"/>
      <c r="AE1913" s="34"/>
      <c r="AF1913" s="34"/>
      <c r="AG1913" s="34"/>
      <c r="AH1913" s="34"/>
      <c r="AI1913" s="34"/>
      <c r="AJ1913" s="34"/>
      <c r="AK1913" s="34"/>
      <c r="AL1913" s="34"/>
      <c r="AM1913" s="34"/>
      <c r="AN1913" s="34"/>
      <c r="AO1913" s="34"/>
      <c r="AP1913" s="34"/>
      <c r="AQ1913" s="34"/>
      <c r="AR1913" s="34"/>
      <c r="AS1913" s="34"/>
      <c r="AT1913" s="34"/>
      <c r="AU1913" s="34"/>
      <c r="AV1913" s="34"/>
      <c r="AW1913" s="34"/>
      <c r="AX1913" s="34"/>
      <c r="AY1913" s="34"/>
      <c r="AZ1913" s="34"/>
      <c r="BA1913" s="34"/>
      <c r="BB1913" s="34"/>
      <c r="BC1913" s="34"/>
      <c r="BD1913" s="34"/>
      <c r="BE1913" s="34"/>
      <c r="BF1913" s="34"/>
      <c r="BG1913" s="34"/>
      <c r="BH1913" s="34"/>
      <c r="BI1913" s="34"/>
      <c r="BJ1913" s="34"/>
      <c r="BK1913" s="34"/>
      <c r="BL1913" s="34"/>
      <c r="BM1913" s="34"/>
      <c r="BN1913" s="34"/>
      <c r="BO1913" s="34"/>
      <c r="BP1913" s="34"/>
      <c r="BQ1913" s="34"/>
      <c r="BR1913" s="34"/>
      <c r="BS1913" s="34"/>
      <c r="BT1913" s="34"/>
      <c r="BU1913" s="34"/>
      <c r="BV1913" s="34"/>
      <c r="BW1913" s="34"/>
      <c r="BX1913" s="34"/>
      <c r="BY1913" s="34"/>
      <c r="BZ1913" s="34"/>
      <c r="CA1913" s="34"/>
      <c r="CB1913" s="34"/>
      <c r="CC1913" s="34"/>
      <c r="CD1913" s="34"/>
      <c r="CE1913" s="34"/>
      <c r="CF1913" s="34"/>
      <c r="CG1913" s="34"/>
      <c r="CH1913" s="34"/>
      <c r="CI1913" s="8"/>
    </row>
    <row r="1914" spans="1:87" x14ac:dyDescent="0.2">
      <c r="A1914" s="8" t="str">
        <f>IF(AND(COUNTIF(W$3:W$13,A$19)&gt;0,A$19&lt;&gt;B1816),A$19,IFERROR(IF(MATCH(A$19,Z$3:Z$13,0)=5,A$19," ")," "))</f>
        <v xml:space="preserve"> </v>
      </c>
      <c r="B1914" s="8" t="str">
        <f>IF(A1914=" "," ",MAX(B1910:B1913)+1)</f>
        <v xml:space="preserve"> </v>
      </c>
      <c r="C1914" s="8" t="str">
        <f>IFERROR(INDEX(A1910:A1931,MATCH(SMALL(B1910:B1931,5),B1910:B1931,0),1)," ")</f>
        <v>C15</v>
      </c>
      <c r="D1914" s="8">
        <f t="shared" si="8308"/>
        <v>0</v>
      </c>
      <c r="E1914" s="8">
        <f t="shared" si="8309"/>
        <v>0</v>
      </c>
      <c r="F1914" s="8">
        <f t="shared" si="8310"/>
        <v>0</v>
      </c>
      <c r="G1914" s="8">
        <f t="shared" si="8311"/>
        <v>1</v>
      </c>
      <c r="H1914" s="8">
        <f t="shared" si="8312"/>
        <v>0</v>
      </c>
      <c r="I1914" s="8">
        <f t="shared" si="8313"/>
        <v>0</v>
      </c>
      <c r="J1914" s="8">
        <f t="shared" si="8314"/>
        <v>0</v>
      </c>
      <c r="K1914" s="8">
        <f t="shared" si="8315"/>
        <v>0</v>
      </c>
      <c r="L1914" s="8">
        <f t="shared" si="8316"/>
        <v>0</v>
      </c>
      <c r="M1914" s="8">
        <f t="shared" si="8317"/>
        <v>0</v>
      </c>
      <c r="N1914" s="8">
        <f t="shared" si="8318"/>
        <v>0</v>
      </c>
      <c r="O1914" s="8">
        <f t="shared" si="8319"/>
        <v>0</v>
      </c>
      <c r="P1914" s="8" t="e">
        <v>#NUM!</v>
      </c>
      <c r="Q1914" s="8" t="e">
        <f t="shared" ref="Q1914" si="8345">IF(COUNTIF(P1910:P1920,"&lt;"&amp;-0.001)=0,IF(ABS(P1914)&lt;0.001,0,P1914)," ")</f>
        <v>#NUM!</v>
      </c>
      <c r="R1914" s="8"/>
      <c r="S1914" s="8"/>
      <c r="U1914" s="34"/>
      <c r="V1914" s="34"/>
      <c r="W1914" s="34"/>
      <c r="X1914" s="34"/>
      <c r="Y1914" s="34"/>
      <c r="Z1914" s="34"/>
      <c r="AA1914" s="34"/>
      <c r="AB1914" s="34"/>
      <c r="AC1914" s="34"/>
      <c r="AD1914" s="34"/>
      <c r="AE1914" s="34"/>
      <c r="AF1914" s="34"/>
      <c r="AG1914" s="34"/>
      <c r="AH1914" s="34"/>
      <c r="AI1914" s="34"/>
      <c r="AJ1914" s="34"/>
      <c r="AK1914" s="34"/>
      <c r="AL1914" s="34"/>
      <c r="AM1914" s="34"/>
      <c r="AN1914" s="34"/>
      <c r="AO1914" s="34"/>
      <c r="AP1914" s="34"/>
      <c r="AQ1914" s="34"/>
      <c r="AR1914" s="34"/>
      <c r="AS1914" s="34"/>
      <c r="AT1914" s="34"/>
      <c r="AU1914" s="34"/>
      <c r="AV1914" s="34"/>
      <c r="AW1914" s="34"/>
      <c r="AX1914" s="34"/>
      <c r="AY1914" s="34"/>
      <c r="AZ1914" s="34"/>
      <c r="BA1914" s="34"/>
      <c r="BB1914" s="34"/>
      <c r="BC1914" s="34"/>
      <c r="BD1914" s="34"/>
      <c r="BE1914" s="34"/>
      <c r="BF1914" s="34"/>
      <c r="BG1914" s="34"/>
      <c r="BH1914" s="34"/>
      <c r="BI1914" s="34"/>
      <c r="BJ1914" s="34"/>
      <c r="BK1914" s="34"/>
      <c r="BL1914" s="34"/>
      <c r="BM1914" s="34"/>
      <c r="BN1914" s="34"/>
      <c r="BO1914" s="34"/>
      <c r="BP1914" s="34"/>
      <c r="BQ1914" s="34"/>
      <c r="BR1914" s="34"/>
      <c r="BS1914" s="34"/>
      <c r="BT1914" s="34"/>
      <c r="BU1914" s="34"/>
      <c r="BV1914" s="34"/>
      <c r="BW1914" s="34"/>
      <c r="BX1914" s="34"/>
      <c r="BY1914" s="34"/>
      <c r="BZ1914" s="34"/>
      <c r="CA1914" s="34"/>
      <c r="CB1914" s="34"/>
      <c r="CC1914" s="34"/>
      <c r="CD1914" s="34"/>
      <c r="CE1914" s="34"/>
      <c r="CF1914" s="34"/>
      <c r="CG1914" s="34"/>
      <c r="CH1914" s="34"/>
      <c r="CI1914" s="8"/>
    </row>
    <row r="1915" spans="1:87" x14ac:dyDescent="0.2">
      <c r="A1915" s="8" t="str">
        <f>IF(AND(COUNTIF(W$3:W$13,A$20)&gt;0,A$20&lt;&gt;B1816),A$20,IFERROR(IF(MATCH(A$20,Z$3:Z$13,0)=5,A$20," ")," "))</f>
        <v xml:space="preserve"> </v>
      </c>
      <c r="B1915" s="8" t="str">
        <f>IF(A1915=" "," ",MAX(B1910:B1914)+1)</f>
        <v xml:space="preserve"> </v>
      </c>
      <c r="C1915" s="8" t="str">
        <f>IFERROR(INDEX(A1910:A1931,MATCH(SMALL(B1910:B1931,6),B1910:B1931,0),1)," ")</f>
        <v>C16</v>
      </c>
      <c r="D1915" s="8">
        <f t="shared" si="8308"/>
        <v>0</v>
      </c>
      <c r="E1915" s="8">
        <f t="shared" si="8309"/>
        <v>0</v>
      </c>
      <c r="F1915" s="8">
        <f t="shared" si="8310"/>
        <v>0</v>
      </c>
      <c r="G1915" s="8">
        <f t="shared" si="8311"/>
        <v>0</v>
      </c>
      <c r="H1915" s="8">
        <f t="shared" si="8312"/>
        <v>1</v>
      </c>
      <c r="I1915" s="8">
        <f t="shared" si="8313"/>
        <v>0</v>
      </c>
      <c r="J1915" s="8">
        <f t="shared" si="8314"/>
        <v>0</v>
      </c>
      <c r="K1915" s="8">
        <f t="shared" si="8315"/>
        <v>0</v>
      </c>
      <c r="L1915" s="8">
        <f t="shared" si="8316"/>
        <v>0</v>
      </c>
      <c r="M1915" s="8">
        <f t="shared" si="8317"/>
        <v>0</v>
      </c>
      <c r="N1915" s="8">
        <f t="shared" si="8318"/>
        <v>0</v>
      </c>
      <c r="O1915" s="8">
        <f t="shared" si="8319"/>
        <v>0</v>
      </c>
      <c r="P1915" s="8" t="e">
        <v>#NUM!</v>
      </c>
      <c r="Q1915" s="8" t="e">
        <f t="shared" ref="Q1915" si="8346">IF(COUNTIF(P1910:P1920,"&lt;"&amp;-0.001)=0,IF(ABS(P1915)&lt;0.001,0,P1915)," ")</f>
        <v>#NUM!</v>
      </c>
      <c r="R1915" s="8"/>
      <c r="S1915" s="8"/>
      <c r="U1915" s="34"/>
      <c r="V1915" s="34"/>
      <c r="W1915" s="34"/>
      <c r="X1915" s="34"/>
      <c r="Y1915" s="34"/>
      <c r="Z1915" s="34"/>
      <c r="AA1915" s="34"/>
      <c r="AB1915" s="34"/>
      <c r="AC1915" s="34"/>
      <c r="AD1915" s="34"/>
      <c r="AE1915" s="34"/>
      <c r="AF1915" s="34"/>
      <c r="AG1915" s="34"/>
      <c r="AH1915" s="34"/>
      <c r="AI1915" s="34"/>
      <c r="AJ1915" s="34"/>
      <c r="AK1915" s="34"/>
      <c r="AL1915" s="34"/>
      <c r="AM1915" s="34"/>
      <c r="AN1915" s="34"/>
      <c r="AO1915" s="34"/>
      <c r="AP1915" s="34"/>
      <c r="AQ1915" s="34"/>
      <c r="AR1915" s="34"/>
      <c r="AS1915" s="34"/>
      <c r="AT1915" s="34"/>
      <c r="AU1915" s="34"/>
      <c r="AV1915" s="34"/>
      <c r="AW1915" s="34"/>
      <c r="AX1915" s="34"/>
      <c r="AY1915" s="34"/>
      <c r="AZ1915" s="34"/>
      <c r="BA1915" s="34"/>
      <c r="BB1915" s="34"/>
      <c r="BC1915" s="34"/>
      <c r="BD1915" s="34"/>
      <c r="BE1915" s="34"/>
      <c r="BF1915" s="34"/>
      <c r="BG1915" s="34"/>
      <c r="BH1915" s="34"/>
      <c r="BI1915" s="34"/>
      <c r="BJ1915" s="34"/>
      <c r="BK1915" s="34"/>
      <c r="BL1915" s="34"/>
      <c r="BM1915" s="34"/>
      <c r="BN1915" s="34"/>
      <c r="BO1915" s="34"/>
      <c r="BP1915" s="34"/>
      <c r="BQ1915" s="34"/>
      <c r="BR1915" s="34"/>
      <c r="BS1915" s="34"/>
      <c r="BT1915" s="34"/>
      <c r="BU1915" s="34"/>
      <c r="BV1915" s="34"/>
      <c r="BW1915" s="34"/>
      <c r="BX1915" s="34"/>
      <c r="BY1915" s="34"/>
      <c r="BZ1915" s="34"/>
      <c r="CA1915" s="34"/>
      <c r="CB1915" s="34"/>
      <c r="CC1915" s="34"/>
      <c r="CD1915" s="34"/>
      <c r="CE1915" s="34"/>
      <c r="CF1915" s="34"/>
      <c r="CG1915" s="34"/>
      <c r="CH1915" s="34"/>
      <c r="CI1915" s="8"/>
    </row>
    <row r="1916" spans="1:87" x14ac:dyDescent="0.2">
      <c r="A1916" s="8" t="str">
        <f>IF(AND(COUNTIF(W$3:W$13,A$21)&gt;0,A$21&lt;&gt;B1816),A$21,IFERROR(IF(MATCH(A$21,Z$3:Z$13,0)=5,A$21," ")," "))</f>
        <v>C7</v>
      </c>
      <c r="B1916" s="8">
        <f>IF(A1916=" "," ",MAX(B1910:B1915)+1)</f>
        <v>3</v>
      </c>
      <c r="C1916" s="8" t="str">
        <f>IFERROR(INDEX(A1910:A1931,MATCH(SMALL(B1910:B1931,7),B1910:B1931,0),1)," ")</f>
        <v>C17</v>
      </c>
      <c r="D1916" s="8">
        <f t="shared" si="8308"/>
        <v>0</v>
      </c>
      <c r="E1916" s="8">
        <f t="shared" si="8309"/>
        <v>0</v>
      </c>
      <c r="F1916" s="8">
        <f t="shared" si="8310"/>
        <v>0</v>
      </c>
      <c r="G1916" s="8">
        <f t="shared" si="8311"/>
        <v>0</v>
      </c>
      <c r="H1916" s="8">
        <f t="shared" si="8312"/>
        <v>0</v>
      </c>
      <c r="I1916" s="8">
        <f t="shared" si="8313"/>
        <v>1</v>
      </c>
      <c r="J1916" s="8">
        <f t="shared" si="8314"/>
        <v>0</v>
      </c>
      <c r="K1916" s="8">
        <f t="shared" si="8315"/>
        <v>0</v>
      </c>
      <c r="L1916" s="8">
        <f t="shared" si="8316"/>
        <v>0</v>
      </c>
      <c r="M1916" s="8">
        <f t="shared" si="8317"/>
        <v>0</v>
      </c>
      <c r="N1916" s="8">
        <f t="shared" si="8318"/>
        <v>0</v>
      </c>
      <c r="O1916" s="8">
        <f t="shared" si="8319"/>
        <v>0</v>
      </c>
      <c r="P1916" s="8" t="e">
        <v>#NUM!</v>
      </c>
      <c r="Q1916" s="8" t="e">
        <f t="shared" ref="Q1916" si="8347">IF(COUNTIF(P1910:P1920,"&lt;"&amp;-0.001)=0,IF(ABS(P1916)&lt;0.001,0,P1916)," ")</f>
        <v>#NUM!</v>
      </c>
      <c r="R1916" s="8"/>
      <c r="S1916" s="8"/>
      <c r="U1916" s="34"/>
      <c r="V1916" s="34"/>
      <c r="W1916" s="34"/>
      <c r="X1916" s="34"/>
      <c r="Y1916" s="34"/>
      <c r="Z1916" s="34"/>
      <c r="AA1916" s="34"/>
      <c r="AB1916" s="34"/>
      <c r="AC1916" s="34"/>
      <c r="AD1916" s="34"/>
      <c r="AE1916" s="34"/>
      <c r="AF1916" s="34"/>
      <c r="AG1916" s="34"/>
      <c r="AH1916" s="34"/>
      <c r="AI1916" s="34"/>
      <c r="AJ1916" s="34"/>
      <c r="AK1916" s="34"/>
      <c r="AL1916" s="34"/>
      <c r="AM1916" s="34"/>
      <c r="AN1916" s="34"/>
      <c r="AO1916" s="34"/>
      <c r="AP1916" s="34"/>
      <c r="AQ1916" s="34"/>
      <c r="AR1916" s="34"/>
      <c r="AS1916" s="34"/>
      <c r="AT1916" s="34"/>
      <c r="AU1916" s="34"/>
      <c r="AV1916" s="34"/>
      <c r="AW1916" s="34"/>
      <c r="AX1916" s="34"/>
      <c r="AY1916" s="34"/>
      <c r="AZ1916" s="34"/>
      <c r="BA1916" s="34"/>
      <c r="BB1916" s="34"/>
      <c r="BC1916" s="34"/>
      <c r="BD1916" s="34"/>
      <c r="BE1916" s="34"/>
      <c r="BF1916" s="34"/>
      <c r="BG1916" s="34"/>
      <c r="BH1916" s="34"/>
      <c r="BI1916" s="34"/>
      <c r="BJ1916" s="34"/>
      <c r="BK1916" s="34"/>
      <c r="BL1916" s="34"/>
      <c r="BM1916" s="34"/>
      <c r="BN1916" s="34"/>
      <c r="BO1916" s="34"/>
      <c r="BP1916" s="34"/>
      <c r="BQ1916" s="34"/>
      <c r="BR1916" s="34"/>
      <c r="BS1916" s="34"/>
      <c r="BT1916" s="34"/>
      <c r="BU1916" s="34"/>
      <c r="BV1916" s="34"/>
      <c r="BW1916" s="34"/>
      <c r="BX1916" s="34"/>
      <c r="BY1916" s="34"/>
      <c r="BZ1916" s="34"/>
      <c r="CA1916" s="34"/>
      <c r="CB1916" s="34"/>
      <c r="CC1916" s="34"/>
      <c r="CD1916" s="34"/>
      <c r="CE1916" s="34"/>
      <c r="CF1916" s="34"/>
      <c r="CG1916" s="34"/>
      <c r="CH1916" s="34"/>
      <c r="CI1916" s="8"/>
    </row>
    <row r="1917" spans="1:87" x14ac:dyDescent="0.2">
      <c r="A1917" s="8" t="str">
        <f>IF(AND(COUNTIF(W$3:W$13,A$22)&gt;0,A$22&lt;&gt;B1816),A$22,IFERROR(IF(MATCH(A$22,Z$3:Z$13,0)=5,A$22," ")," "))</f>
        <v xml:space="preserve"> </v>
      </c>
      <c r="B1917" s="8" t="str">
        <f>IF(A1917=" "," ",MAX(B1910:B1916)+1)</f>
        <v xml:space="preserve"> </v>
      </c>
      <c r="C1917" s="8" t="str">
        <f>IFERROR(INDEX(A1910:A1931,MATCH(SMALL(B1910:B1931,8),B1910:B1931,0),1)," ")</f>
        <v>C18</v>
      </c>
      <c r="D1917" s="8">
        <f t="shared" si="8308"/>
        <v>0</v>
      </c>
      <c r="E1917" s="8">
        <f t="shared" si="8309"/>
        <v>0</v>
      </c>
      <c r="F1917" s="8">
        <f t="shared" si="8310"/>
        <v>0</v>
      </c>
      <c r="G1917" s="8">
        <f t="shared" si="8311"/>
        <v>0</v>
      </c>
      <c r="H1917" s="8">
        <f t="shared" si="8312"/>
        <v>0</v>
      </c>
      <c r="I1917" s="8">
        <f t="shared" si="8313"/>
        <v>0</v>
      </c>
      <c r="J1917" s="8">
        <f t="shared" si="8314"/>
        <v>1</v>
      </c>
      <c r="K1917" s="8">
        <f t="shared" si="8315"/>
        <v>0</v>
      </c>
      <c r="L1917" s="8">
        <f t="shared" si="8316"/>
        <v>0</v>
      </c>
      <c r="M1917" s="8">
        <f t="shared" si="8317"/>
        <v>0</v>
      </c>
      <c r="N1917" s="8">
        <f t="shared" si="8318"/>
        <v>0</v>
      </c>
      <c r="O1917" s="8">
        <f t="shared" si="8319"/>
        <v>0</v>
      </c>
      <c r="P1917" s="8" t="e">
        <v>#NUM!</v>
      </c>
      <c r="Q1917" s="8" t="e">
        <f t="shared" ref="Q1917" si="8348">IF(COUNTIF(P1910:P1920,"&lt;"&amp;-0.001)=0,IF(ABS(P1917)&lt;0.001,0,P1917)," ")</f>
        <v>#NUM!</v>
      </c>
      <c r="R1917" s="8"/>
      <c r="S1917" s="8"/>
      <c r="U1917" s="34"/>
      <c r="V1917" s="34"/>
      <c r="W1917" s="34"/>
      <c r="X1917" s="34"/>
      <c r="Y1917" s="34"/>
      <c r="Z1917" s="34"/>
      <c r="AA1917" s="34"/>
      <c r="AB1917" s="34"/>
      <c r="AC1917" s="34"/>
      <c r="AD1917" s="34"/>
      <c r="AE1917" s="34"/>
      <c r="AF1917" s="34"/>
      <c r="AG1917" s="34"/>
      <c r="AH1917" s="34"/>
      <c r="AI1917" s="34"/>
      <c r="AJ1917" s="34"/>
      <c r="AK1917" s="34"/>
      <c r="AL1917" s="34"/>
      <c r="AM1917" s="34"/>
      <c r="AN1917" s="34"/>
      <c r="AO1917" s="34"/>
      <c r="AP1917" s="34"/>
      <c r="AQ1917" s="34"/>
      <c r="AR1917" s="34"/>
      <c r="AS1917" s="34"/>
      <c r="AT1917" s="34"/>
      <c r="AU1917" s="34"/>
      <c r="AV1917" s="34"/>
      <c r="AW1917" s="34"/>
      <c r="AX1917" s="34"/>
      <c r="AY1917" s="34"/>
      <c r="AZ1917" s="34"/>
      <c r="BA1917" s="34"/>
      <c r="BB1917" s="34"/>
      <c r="BC1917" s="34"/>
      <c r="BD1917" s="34"/>
      <c r="BE1917" s="34"/>
      <c r="BF1917" s="34"/>
      <c r="BG1917" s="34"/>
      <c r="BH1917" s="34"/>
      <c r="BI1917" s="34"/>
      <c r="BJ1917" s="34"/>
      <c r="BK1917" s="34"/>
      <c r="BL1917" s="34"/>
      <c r="BM1917" s="34"/>
      <c r="BN1917" s="34"/>
      <c r="BO1917" s="34"/>
      <c r="BP1917" s="34"/>
      <c r="BQ1917" s="34"/>
      <c r="BR1917" s="34"/>
      <c r="BS1917" s="34"/>
      <c r="BT1917" s="34"/>
      <c r="BU1917" s="34"/>
      <c r="BV1917" s="34"/>
      <c r="BW1917" s="34"/>
      <c r="BX1917" s="34"/>
      <c r="BY1917" s="34"/>
      <c r="BZ1917" s="34"/>
      <c r="CA1917" s="34"/>
      <c r="CB1917" s="34"/>
      <c r="CC1917" s="34"/>
      <c r="CD1917" s="34"/>
      <c r="CE1917" s="34"/>
      <c r="CF1917" s="34"/>
      <c r="CG1917" s="34"/>
      <c r="CH1917" s="34"/>
      <c r="CI1917" s="8"/>
    </row>
    <row r="1918" spans="1:87" x14ac:dyDescent="0.2">
      <c r="A1918" s="8" t="str">
        <f>IF(AND(COUNTIF(W$3:W$13,A$23)&gt;0,A$23&lt;&gt;B1816),A$23,IFERROR(IF(MATCH(A$23,Z$3:Z$13,0)=5,A$23," ")," "))</f>
        <v xml:space="preserve"> </v>
      </c>
      <c r="B1918" s="8" t="str">
        <f>IF(A1918=" "," ",MAX(B1910:B1917)+1)</f>
        <v xml:space="preserve"> </v>
      </c>
      <c r="C1918" s="8" t="str">
        <f>IFERROR(INDEX(A1910:A1931,MATCH(SMALL(B1910:B1931,9),B1910:B1931,0),1)," ")</f>
        <v>C20</v>
      </c>
      <c r="D1918" s="8">
        <f t="shared" si="8308"/>
        <v>0</v>
      </c>
      <c r="E1918" s="8">
        <f t="shared" si="8309"/>
        <v>0</v>
      </c>
      <c r="F1918" s="8">
        <f t="shared" si="8310"/>
        <v>0</v>
      </c>
      <c r="G1918" s="8">
        <f t="shared" si="8311"/>
        <v>0</v>
      </c>
      <c r="H1918" s="8">
        <f t="shared" si="8312"/>
        <v>0</v>
      </c>
      <c r="I1918" s="8">
        <f t="shared" si="8313"/>
        <v>0</v>
      </c>
      <c r="J1918" s="8">
        <f t="shared" si="8314"/>
        <v>0</v>
      </c>
      <c r="K1918" s="8">
        <f t="shared" si="8315"/>
        <v>0</v>
      </c>
      <c r="L1918" s="8">
        <f t="shared" si="8316"/>
        <v>1</v>
      </c>
      <c r="M1918" s="8">
        <f t="shared" si="8317"/>
        <v>0</v>
      </c>
      <c r="N1918" s="8">
        <f t="shared" si="8318"/>
        <v>0</v>
      </c>
      <c r="O1918" s="8">
        <f t="shared" si="8319"/>
        <v>0</v>
      </c>
      <c r="P1918" s="6" t="e">
        <v>#NUM!</v>
      </c>
      <c r="Q1918" s="8" t="e">
        <f t="shared" ref="Q1918" si="8349">IF(COUNTIF(P1910:P1920,"&lt;"&amp;-0.001)=0,IF(ABS(P1918)&lt;0.001,0,P1918)," ")</f>
        <v>#NUM!</v>
      </c>
      <c r="R1918" s="8"/>
      <c r="S1918" s="8"/>
      <c r="U1918" s="34"/>
      <c r="V1918" s="34"/>
      <c r="W1918" s="34"/>
      <c r="X1918" s="34"/>
      <c r="Y1918" s="34"/>
      <c r="Z1918" s="34"/>
      <c r="AA1918" s="34"/>
      <c r="AB1918" s="34"/>
      <c r="AC1918" s="34"/>
      <c r="AD1918" s="34"/>
      <c r="AE1918" s="34"/>
      <c r="AF1918" s="34"/>
      <c r="AG1918" s="34"/>
      <c r="AH1918" s="34"/>
      <c r="AI1918" s="34"/>
      <c r="AJ1918" s="34"/>
      <c r="AK1918" s="34"/>
      <c r="AL1918" s="34"/>
      <c r="AM1918" s="34"/>
      <c r="AN1918" s="34"/>
      <c r="AO1918" s="34"/>
      <c r="AP1918" s="34"/>
      <c r="AQ1918" s="34"/>
      <c r="AR1918" s="34"/>
      <c r="AS1918" s="34"/>
      <c r="AT1918" s="34"/>
      <c r="AU1918" s="34"/>
      <c r="AV1918" s="34"/>
      <c r="AW1918" s="34"/>
      <c r="AX1918" s="34"/>
      <c r="AY1918" s="34"/>
      <c r="AZ1918" s="34"/>
      <c r="BA1918" s="34"/>
      <c r="BB1918" s="34"/>
      <c r="BC1918" s="34"/>
      <c r="BD1918" s="34"/>
      <c r="BE1918" s="34"/>
      <c r="BF1918" s="34"/>
      <c r="BG1918" s="34"/>
      <c r="BH1918" s="34"/>
      <c r="BI1918" s="34"/>
      <c r="BJ1918" s="34"/>
      <c r="BK1918" s="34"/>
      <c r="BL1918" s="34"/>
      <c r="BM1918" s="34"/>
      <c r="BN1918" s="34"/>
      <c r="BO1918" s="34"/>
      <c r="BP1918" s="34"/>
      <c r="BQ1918" s="34"/>
      <c r="BR1918" s="34"/>
      <c r="BS1918" s="34"/>
      <c r="BT1918" s="34"/>
      <c r="BU1918" s="34"/>
      <c r="BV1918" s="34"/>
      <c r="BW1918" s="34"/>
      <c r="BX1918" s="34"/>
      <c r="BY1918" s="34"/>
      <c r="BZ1918" s="34"/>
      <c r="CA1918" s="34"/>
      <c r="CB1918" s="34"/>
      <c r="CC1918" s="34"/>
      <c r="CD1918" s="34"/>
      <c r="CE1918" s="34"/>
      <c r="CF1918" s="34"/>
      <c r="CG1918" s="34"/>
      <c r="CH1918" s="34"/>
      <c r="CI1918" s="8"/>
    </row>
    <row r="1919" spans="1:87" x14ac:dyDescent="0.2">
      <c r="A1919" s="8" t="str">
        <f>IF(AND(COUNTIF(W$3:W$13,A$24)&gt;0,A$24&lt;&gt;B1816),A$24,IFERROR(IF(MATCH(A$24,Z$3:Z$13,0)=5,A$24," ")," "))</f>
        <v xml:space="preserve"> </v>
      </c>
      <c r="B1919" s="8" t="str">
        <f>IF(A1919=" "," ",MAX(B1910:B1918)+1)</f>
        <v xml:space="preserve"> </v>
      </c>
      <c r="C1919" s="8" t="str">
        <f>IFERROR(INDEX(A1910:A1931,MATCH(SMALL(B1910:B1931,10),B1910:B1931,0),1)," ")</f>
        <v>C21</v>
      </c>
      <c r="D1919" s="8">
        <f t="shared" si="8308"/>
        <v>0</v>
      </c>
      <c r="E1919" s="8">
        <f t="shared" si="8309"/>
        <v>0</v>
      </c>
      <c r="F1919" s="8">
        <f t="shared" si="8310"/>
        <v>0</v>
      </c>
      <c r="G1919" s="8">
        <f t="shared" si="8311"/>
        <v>0</v>
      </c>
      <c r="H1919" s="8">
        <f t="shared" si="8312"/>
        <v>0</v>
      </c>
      <c r="I1919" s="8">
        <f t="shared" si="8313"/>
        <v>0</v>
      </c>
      <c r="J1919" s="8">
        <f t="shared" si="8314"/>
        <v>0</v>
      </c>
      <c r="K1919" s="8">
        <f t="shared" si="8315"/>
        <v>0</v>
      </c>
      <c r="L1919" s="8">
        <f t="shared" si="8316"/>
        <v>0</v>
      </c>
      <c r="M1919" s="8">
        <f t="shared" si="8317"/>
        <v>1</v>
      </c>
      <c r="N1919" s="8">
        <f t="shared" si="8318"/>
        <v>0</v>
      </c>
      <c r="O1919" s="8">
        <f t="shared" si="8319"/>
        <v>0</v>
      </c>
      <c r="P1919" s="8" t="e">
        <v>#NUM!</v>
      </c>
      <c r="Q1919" s="8" t="e">
        <f t="shared" ref="Q1919" si="8350">IF(COUNTIF(P1910:P1920,"&lt;"&amp;-0.001)=0,IF(ABS(P1919)&lt;0.001,0,P1919)," ")</f>
        <v>#NUM!</v>
      </c>
      <c r="R1919" s="8"/>
      <c r="S1919" s="8"/>
      <c r="U1919" s="34"/>
      <c r="V1919" s="34"/>
      <c r="W1919" s="34"/>
      <c r="X1919" s="34"/>
      <c r="Y1919" s="34"/>
      <c r="Z1919" s="34"/>
      <c r="AA1919" s="34"/>
      <c r="AB1919" s="34"/>
      <c r="AC1919" s="34"/>
      <c r="AD1919" s="34"/>
      <c r="AE1919" s="34"/>
      <c r="AF1919" s="34"/>
      <c r="AG1919" s="34"/>
      <c r="AH1919" s="34"/>
      <c r="AI1919" s="34"/>
      <c r="AJ1919" s="34"/>
      <c r="AK1919" s="34"/>
      <c r="AL1919" s="34"/>
      <c r="AM1919" s="34"/>
      <c r="AN1919" s="34"/>
      <c r="AO1919" s="34"/>
      <c r="AP1919" s="34"/>
      <c r="AQ1919" s="34"/>
      <c r="AR1919" s="34"/>
      <c r="AS1919" s="34"/>
      <c r="AT1919" s="34"/>
      <c r="AU1919" s="34"/>
      <c r="AV1919" s="34"/>
      <c r="AW1919" s="34"/>
      <c r="AX1919" s="34"/>
      <c r="AY1919" s="34"/>
      <c r="AZ1919" s="34"/>
      <c r="BA1919" s="34"/>
      <c r="BB1919" s="34"/>
      <c r="BC1919" s="34"/>
      <c r="BD1919" s="34"/>
      <c r="BE1919" s="34"/>
      <c r="BF1919" s="34"/>
      <c r="BG1919" s="34"/>
      <c r="BH1919" s="34"/>
      <c r="BI1919" s="34"/>
      <c r="BJ1919" s="34"/>
      <c r="BK1919" s="34"/>
      <c r="BL1919" s="34"/>
      <c r="BM1919" s="34"/>
      <c r="BN1919" s="34"/>
      <c r="BO1919" s="34"/>
      <c r="BP1919" s="34"/>
      <c r="BQ1919" s="34"/>
      <c r="BR1919" s="34"/>
      <c r="BS1919" s="34"/>
      <c r="BT1919" s="34"/>
      <c r="BU1919" s="34"/>
      <c r="BV1919" s="34"/>
      <c r="BW1919" s="34"/>
      <c r="BX1919" s="34"/>
      <c r="BY1919" s="34"/>
      <c r="BZ1919" s="34"/>
      <c r="CA1919" s="34"/>
      <c r="CB1919" s="34"/>
      <c r="CC1919" s="34"/>
      <c r="CD1919" s="34"/>
      <c r="CE1919" s="34"/>
      <c r="CF1919" s="34"/>
      <c r="CG1919" s="34"/>
      <c r="CH1919" s="34"/>
      <c r="CI1919" s="8"/>
    </row>
    <row r="1920" spans="1:87" x14ac:dyDescent="0.2">
      <c r="A1920" s="8" t="str">
        <f>IF(AND(COUNTIF(W$3:W$13,A$25)&gt;0,A$25&lt;&gt;B1816),A$25,IFERROR(IF(MATCH(A$25,Z$3:Z$13,0)=5,A$25," ")," "))</f>
        <v xml:space="preserve"> </v>
      </c>
      <c r="B1920" s="8" t="str">
        <f>IF(A1920=" "," ",MAX(B1910:B1919)+1)</f>
        <v xml:space="preserve"> </v>
      </c>
      <c r="C1920" s="8" t="str">
        <f>IFERROR(INDEX(A1910:A1931,MATCH(SMALL(B1910:B1931,11),B1910:B1931,0),1)," ")</f>
        <v>C22</v>
      </c>
      <c r="D1920" s="8">
        <f t="shared" si="8308"/>
        <v>0</v>
      </c>
      <c r="E1920" s="8">
        <f t="shared" si="8309"/>
        <v>0</v>
      </c>
      <c r="F1920" s="8">
        <f t="shared" si="8310"/>
        <v>0</v>
      </c>
      <c r="G1920" s="8">
        <f t="shared" si="8311"/>
        <v>0</v>
      </c>
      <c r="H1920" s="8">
        <f t="shared" si="8312"/>
        <v>0</v>
      </c>
      <c r="I1920" s="8">
        <f t="shared" si="8313"/>
        <v>0</v>
      </c>
      <c r="J1920" s="8">
        <f t="shared" si="8314"/>
        <v>0</v>
      </c>
      <c r="K1920" s="8">
        <f t="shared" si="8315"/>
        <v>0</v>
      </c>
      <c r="L1920" s="8">
        <f t="shared" si="8316"/>
        <v>0</v>
      </c>
      <c r="M1920" s="8">
        <f t="shared" si="8317"/>
        <v>0</v>
      </c>
      <c r="N1920" s="8">
        <f t="shared" si="8318"/>
        <v>1</v>
      </c>
      <c r="O1920" s="8">
        <f t="shared" si="8319"/>
        <v>0</v>
      </c>
      <c r="P1920" s="8" t="e">
        <v>#NUM!</v>
      </c>
      <c r="Q1920" s="8" t="e">
        <f t="shared" ref="Q1920" si="8351">IF(COUNTIF(P1910:P1920,"&lt;"&amp;-0.001)=0,IF(ABS(P1920)&lt;0.001,0,P1920)," ")</f>
        <v>#NUM!</v>
      </c>
      <c r="R1920" s="8"/>
      <c r="S1920" s="8"/>
      <c r="U1920" s="34"/>
      <c r="V1920" s="34"/>
      <c r="W1920" s="34"/>
      <c r="X1920" s="34"/>
      <c r="Y1920" s="34"/>
      <c r="Z1920" s="34"/>
      <c r="AA1920" s="34"/>
      <c r="AB1920" s="34"/>
      <c r="AC1920" s="34"/>
      <c r="AD1920" s="34"/>
      <c r="AE1920" s="34"/>
      <c r="AF1920" s="34"/>
      <c r="AG1920" s="34"/>
      <c r="AH1920" s="34"/>
      <c r="AI1920" s="34"/>
      <c r="AJ1920" s="34"/>
      <c r="AK1920" s="34"/>
      <c r="AL1920" s="34"/>
      <c r="AM1920" s="34"/>
      <c r="AN1920" s="34"/>
      <c r="AO1920" s="34"/>
      <c r="AP1920" s="34"/>
      <c r="AQ1920" s="34"/>
      <c r="AR1920" s="34"/>
      <c r="AS1920" s="34"/>
      <c r="AT1920" s="34"/>
      <c r="AU1920" s="34"/>
      <c r="AV1920" s="34"/>
      <c r="AW1920" s="34"/>
      <c r="AX1920" s="34"/>
      <c r="AY1920" s="34"/>
      <c r="AZ1920" s="34"/>
      <c r="BA1920" s="34"/>
      <c r="BB1920" s="34"/>
      <c r="BC1920" s="34"/>
      <c r="BD1920" s="34"/>
      <c r="BE1920" s="34"/>
      <c r="BF1920" s="34"/>
      <c r="BG1920" s="34"/>
      <c r="BH1920" s="34"/>
      <c r="BI1920" s="34"/>
      <c r="BJ1920" s="34"/>
      <c r="BK1920" s="34"/>
      <c r="BL1920" s="34"/>
      <c r="BM1920" s="34"/>
      <c r="BN1920" s="34"/>
      <c r="BO1920" s="34"/>
      <c r="BP1920" s="34"/>
      <c r="BQ1920" s="34"/>
      <c r="BR1920" s="34"/>
      <c r="BS1920" s="34"/>
      <c r="BT1920" s="34"/>
      <c r="BU1920" s="34"/>
      <c r="BV1920" s="34"/>
      <c r="BW1920" s="34"/>
      <c r="BX1920" s="34"/>
      <c r="BY1920" s="34"/>
      <c r="BZ1920" s="34"/>
      <c r="CA1920" s="34"/>
      <c r="CB1920" s="34"/>
      <c r="CC1920" s="34"/>
      <c r="CD1920" s="34"/>
      <c r="CE1920" s="34"/>
      <c r="CF1920" s="34"/>
      <c r="CG1920" s="34"/>
      <c r="CH1920" s="34"/>
      <c r="CI1920" s="8"/>
    </row>
    <row r="1921" spans="1:87" x14ac:dyDescent="0.2">
      <c r="A1921" s="8" t="str">
        <f>IF(AND(COUNTIF(W$3:W$13,A$26)&gt;0,A$26&lt;&gt;B1816),A$26,IFERROR(IF(MATCH(A$26,Z$3:Z$13,0)=5,A$26," ")," "))</f>
        <v xml:space="preserve"> </v>
      </c>
      <c r="B1921" s="8" t="str">
        <f>IF(A1921=" "," ",MAX(B1910:B1920)+1)</f>
        <v xml:space="preserve"> </v>
      </c>
      <c r="C1921" s="8"/>
      <c r="D1921" s="8"/>
      <c r="E1921" s="8"/>
      <c r="F1921" s="8"/>
      <c r="G1921" s="8"/>
      <c r="H1921" s="8"/>
      <c r="I1921" s="8"/>
      <c r="J1921" s="8"/>
      <c r="K1921" s="8"/>
      <c r="L1921" s="8"/>
      <c r="M1921" s="8"/>
      <c r="N1921" s="8"/>
      <c r="O1921" s="8"/>
      <c r="P1921" s="8"/>
      <c r="Q1921" s="8"/>
      <c r="R1921" s="8"/>
      <c r="S1921" s="8"/>
      <c r="U1921" s="34"/>
      <c r="V1921" s="34"/>
      <c r="W1921" s="34"/>
      <c r="X1921" s="34"/>
      <c r="Y1921" s="34"/>
      <c r="Z1921" s="34"/>
      <c r="AA1921" s="34"/>
      <c r="AB1921" s="34"/>
      <c r="AC1921" s="34"/>
      <c r="AD1921" s="34"/>
      <c r="AE1921" s="34"/>
      <c r="AF1921" s="34"/>
      <c r="AG1921" s="34"/>
      <c r="AH1921" s="34"/>
      <c r="AI1921" s="34"/>
      <c r="AJ1921" s="34"/>
      <c r="AK1921" s="34"/>
      <c r="AL1921" s="34"/>
      <c r="AM1921" s="34"/>
      <c r="AN1921" s="34"/>
      <c r="AO1921" s="34"/>
      <c r="AP1921" s="34"/>
      <c r="AQ1921" s="34"/>
      <c r="AR1921" s="34"/>
      <c r="AS1921" s="34"/>
      <c r="AT1921" s="34"/>
      <c r="AU1921" s="34"/>
      <c r="AV1921" s="34"/>
      <c r="AW1921" s="34"/>
      <c r="AX1921" s="34"/>
      <c r="AY1921" s="34"/>
      <c r="AZ1921" s="34"/>
      <c r="BA1921" s="34"/>
      <c r="BB1921" s="34"/>
      <c r="BC1921" s="34"/>
      <c r="BD1921" s="34"/>
      <c r="BE1921" s="34"/>
      <c r="BF1921" s="34"/>
      <c r="BG1921" s="34"/>
      <c r="BH1921" s="34"/>
      <c r="BI1921" s="34"/>
      <c r="BJ1921" s="34"/>
      <c r="BK1921" s="34"/>
      <c r="BL1921" s="34"/>
      <c r="BM1921" s="34"/>
      <c r="BN1921" s="34"/>
      <c r="BO1921" s="34"/>
      <c r="BP1921" s="34"/>
      <c r="BQ1921" s="34"/>
      <c r="BR1921" s="34"/>
      <c r="BS1921" s="34"/>
      <c r="BT1921" s="34"/>
      <c r="BU1921" s="34"/>
      <c r="BV1921" s="34"/>
      <c r="BW1921" s="34"/>
      <c r="BX1921" s="34"/>
      <c r="BY1921" s="34"/>
      <c r="BZ1921" s="34"/>
      <c r="CA1921" s="34"/>
      <c r="CB1921" s="34"/>
      <c r="CC1921" s="34"/>
      <c r="CD1921" s="34"/>
      <c r="CE1921" s="34"/>
      <c r="CF1921" s="34"/>
      <c r="CG1921" s="34"/>
      <c r="CH1921" s="34"/>
      <c r="CI1921" s="8"/>
    </row>
    <row r="1922" spans="1:87" x14ac:dyDescent="0.2">
      <c r="A1922" s="8" t="str">
        <f>IF(AND(COUNTIF(W$3:W$13,A$27)&gt;0,A$27&lt;&gt;B1816),A$27,IFERROR(IF(MATCH(A$27,Z$3:Z$13,0)=5,A$27," ")," "))</f>
        <v>C13</v>
      </c>
      <c r="B1922" s="8">
        <f>IF(A1922=" "," ",MAX(B1910:B1921)+1)</f>
        <v>4</v>
      </c>
      <c r="C1922" s="8"/>
      <c r="D1922" s="8"/>
      <c r="E1922" s="8"/>
      <c r="F1922" s="8"/>
      <c r="G1922" s="8"/>
      <c r="H1922" s="8"/>
      <c r="I1922" s="8"/>
      <c r="J1922" s="8"/>
      <c r="K1922" s="8"/>
      <c r="L1922" s="8"/>
      <c r="M1922" s="8"/>
      <c r="N1922" s="8"/>
      <c r="O1922" s="8"/>
      <c r="P1922" s="8"/>
      <c r="Q1922" s="8"/>
      <c r="R1922" s="8"/>
      <c r="S1922" s="8"/>
      <c r="U1922" s="34"/>
      <c r="V1922" s="34"/>
      <c r="W1922" s="34"/>
      <c r="X1922" s="34"/>
      <c r="Y1922" s="34"/>
      <c r="Z1922" s="34"/>
      <c r="AA1922" s="34"/>
      <c r="AB1922" s="34"/>
      <c r="AC1922" s="34"/>
      <c r="AD1922" s="34"/>
      <c r="AE1922" s="34"/>
      <c r="AF1922" s="34"/>
      <c r="AG1922" s="34"/>
      <c r="AH1922" s="34"/>
      <c r="AI1922" s="34"/>
      <c r="AJ1922" s="34"/>
      <c r="AK1922" s="34"/>
      <c r="AL1922" s="34"/>
      <c r="AM1922" s="34"/>
      <c r="AN1922" s="34"/>
      <c r="AO1922" s="34"/>
      <c r="AP1922" s="34"/>
      <c r="AQ1922" s="34"/>
      <c r="AR1922" s="34"/>
      <c r="AS1922" s="34"/>
      <c r="AT1922" s="34"/>
      <c r="AU1922" s="34"/>
      <c r="AV1922" s="34"/>
      <c r="AW1922" s="34"/>
      <c r="AX1922" s="34"/>
      <c r="AY1922" s="34"/>
      <c r="AZ1922" s="34"/>
      <c r="BA1922" s="34"/>
      <c r="BB1922" s="34"/>
      <c r="BC1922" s="34"/>
      <c r="BD1922" s="34"/>
      <c r="BE1922" s="34"/>
      <c r="BF1922" s="34"/>
      <c r="BG1922" s="34"/>
      <c r="BH1922" s="34"/>
      <c r="BI1922" s="34"/>
      <c r="BJ1922" s="34"/>
      <c r="BK1922" s="34"/>
      <c r="BL1922" s="34"/>
      <c r="BM1922" s="34"/>
      <c r="BN1922" s="34"/>
      <c r="BO1922" s="34"/>
      <c r="BP1922" s="34"/>
      <c r="BQ1922" s="34"/>
      <c r="BR1922" s="34"/>
      <c r="BS1922" s="34"/>
      <c r="BT1922" s="34"/>
      <c r="BU1922" s="34"/>
      <c r="BV1922" s="34"/>
      <c r="BW1922" s="34"/>
      <c r="BX1922" s="34"/>
      <c r="BY1922" s="34"/>
      <c r="BZ1922" s="34"/>
      <c r="CA1922" s="34"/>
      <c r="CB1922" s="34"/>
      <c r="CC1922" s="34"/>
      <c r="CD1922" s="34"/>
      <c r="CE1922" s="34"/>
      <c r="CF1922" s="34"/>
      <c r="CG1922" s="34"/>
      <c r="CH1922" s="34"/>
      <c r="CI1922" s="8"/>
    </row>
    <row r="1923" spans="1:87" x14ac:dyDescent="0.2">
      <c r="A1923" s="8" t="str">
        <f>IF(AND(COUNTIF(W$3:W$13,A$28)&gt;0,A$28&lt;&gt;B1816),A$28,IFERROR(IF(MATCH(A$28,Z$3:Z$13,0)=5,A$28," ")," "))</f>
        <v xml:space="preserve"> </v>
      </c>
      <c r="B1923" s="8" t="str">
        <f>IF(A1923=" "," ",MAX(B1910:B1922)+1)</f>
        <v xml:space="preserve"> </v>
      </c>
      <c r="C1923" s="8"/>
      <c r="D1923" s="8"/>
      <c r="E1923" s="8"/>
      <c r="F1923" s="8"/>
      <c r="G1923" s="8"/>
      <c r="H1923" s="8"/>
      <c r="I1923" s="8"/>
      <c r="J1923" s="8"/>
      <c r="K1923" s="8"/>
      <c r="L1923" s="8"/>
      <c r="M1923" s="8"/>
      <c r="N1923" s="8"/>
      <c r="O1923" s="8"/>
      <c r="P1923" s="8"/>
      <c r="Q1923" s="8"/>
      <c r="R1923" s="8"/>
      <c r="S1923" s="8"/>
      <c r="U1923" s="34"/>
      <c r="V1923" s="34"/>
      <c r="W1923" s="34"/>
      <c r="X1923" s="34"/>
      <c r="Y1923" s="34"/>
      <c r="Z1923" s="34"/>
      <c r="AA1923" s="34"/>
      <c r="AB1923" s="34"/>
      <c r="AC1923" s="34"/>
      <c r="AD1923" s="34"/>
      <c r="AE1923" s="34"/>
      <c r="AF1923" s="34"/>
      <c r="AG1923" s="34"/>
      <c r="AH1923" s="34"/>
      <c r="AI1923" s="34"/>
      <c r="AJ1923" s="34"/>
      <c r="AK1923" s="34"/>
      <c r="AL1923" s="34"/>
      <c r="AM1923" s="34"/>
      <c r="AN1923" s="34"/>
      <c r="AO1923" s="34"/>
      <c r="AP1923" s="34"/>
      <c r="AQ1923" s="34"/>
      <c r="AR1923" s="34"/>
      <c r="AS1923" s="34"/>
      <c r="AT1923" s="34"/>
      <c r="AU1923" s="34"/>
      <c r="AV1923" s="34"/>
      <c r="AW1923" s="34"/>
      <c r="AX1923" s="34"/>
      <c r="AY1923" s="34"/>
      <c r="AZ1923" s="34"/>
      <c r="BA1923" s="34"/>
      <c r="BB1923" s="34"/>
      <c r="BC1923" s="34"/>
      <c r="BD1923" s="34"/>
      <c r="BE1923" s="34"/>
      <c r="BF1923" s="34"/>
      <c r="BG1923" s="34"/>
      <c r="BH1923" s="34"/>
      <c r="BI1923" s="34"/>
      <c r="BJ1923" s="34"/>
      <c r="BK1923" s="34"/>
      <c r="BL1923" s="34"/>
      <c r="BM1923" s="34"/>
      <c r="BN1923" s="34"/>
      <c r="BO1923" s="34"/>
      <c r="BP1923" s="34"/>
      <c r="BQ1923" s="34"/>
      <c r="BR1923" s="34"/>
      <c r="BS1923" s="34"/>
      <c r="BT1923" s="34"/>
      <c r="BU1923" s="34"/>
      <c r="BV1923" s="34"/>
      <c r="BW1923" s="34"/>
      <c r="BX1923" s="34"/>
      <c r="BY1923" s="34"/>
      <c r="BZ1923" s="34"/>
      <c r="CA1923" s="34"/>
      <c r="CB1923" s="34"/>
      <c r="CC1923" s="34"/>
      <c r="CD1923" s="34"/>
      <c r="CE1923" s="34"/>
      <c r="CF1923" s="34"/>
      <c r="CG1923" s="34"/>
      <c r="CH1923" s="34"/>
      <c r="CI1923" s="8"/>
    </row>
    <row r="1924" spans="1:87" x14ac:dyDescent="0.2">
      <c r="A1924" s="8" t="str">
        <f>IF(AND(COUNTIF(W$3:W$13,A$29)&gt;0,A$29&lt;&gt;B1816),A$29,IFERROR(IF(MATCH(A$29,Z$3:Z$13,0)=5,A$29," ")," "))</f>
        <v>C15</v>
      </c>
      <c r="B1924" s="8">
        <f>IF(A1924=" "," ",MAX(B1910:B1923)+1)</f>
        <v>5</v>
      </c>
      <c r="C1924" s="8"/>
      <c r="D1924" s="8"/>
      <c r="E1924" s="8"/>
      <c r="F1924" s="8"/>
      <c r="G1924" s="8"/>
      <c r="H1924" s="8"/>
      <c r="I1924" s="8"/>
      <c r="J1924" s="8"/>
      <c r="K1924" s="8"/>
      <c r="L1924" s="8"/>
      <c r="M1924" s="8"/>
      <c r="N1924" s="8"/>
      <c r="O1924" s="8"/>
      <c r="P1924" s="8"/>
      <c r="Q1924" s="8"/>
      <c r="R1924" s="8"/>
      <c r="S1924" s="8"/>
      <c r="U1924" s="34"/>
      <c r="V1924" s="34"/>
      <c r="W1924" s="34"/>
      <c r="X1924" s="34"/>
      <c r="Y1924" s="34"/>
      <c r="Z1924" s="34"/>
      <c r="AA1924" s="34"/>
      <c r="AB1924" s="34"/>
      <c r="AC1924" s="34"/>
      <c r="AD1924" s="34"/>
      <c r="AE1924" s="34"/>
      <c r="AF1924" s="34"/>
      <c r="AG1924" s="34"/>
      <c r="AH1924" s="34"/>
      <c r="AI1924" s="34"/>
      <c r="AJ1924" s="34"/>
      <c r="AK1924" s="34"/>
      <c r="AL1924" s="34"/>
      <c r="AM1924" s="34"/>
      <c r="AN1924" s="34"/>
      <c r="AO1924" s="34"/>
      <c r="AP1924" s="34"/>
      <c r="AQ1924" s="34"/>
      <c r="AR1924" s="34"/>
      <c r="AS1924" s="34"/>
      <c r="AT1924" s="34"/>
      <c r="AU1924" s="34"/>
      <c r="AV1924" s="34"/>
      <c r="AW1924" s="34"/>
      <c r="AX1924" s="34"/>
      <c r="AY1924" s="34"/>
      <c r="AZ1924" s="34"/>
      <c r="BA1924" s="34"/>
      <c r="BB1924" s="34"/>
      <c r="BC1924" s="34"/>
      <c r="BD1924" s="34"/>
      <c r="BE1924" s="34"/>
      <c r="BF1924" s="34"/>
      <c r="BG1924" s="34"/>
      <c r="BH1924" s="34"/>
      <c r="BI1924" s="34"/>
      <c r="BJ1924" s="34"/>
      <c r="BK1924" s="34"/>
      <c r="BL1924" s="34"/>
      <c r="BM1924" s="34"/>
      <c r="BN1924" s="34"/>
      <c r="BO1924" s="34"/>
      <c r="BP1924" s="34"/>
      <c r="BQ1924" s="34"/>
      <c r="BR1924" s="34"/>
      <c r="BS1924" s="34"/>
      <c r="BT1924" s="34"/>
      <c r="BU1924" s="34"/>
      <c r="BV1924" s="34"/>
      <c r="BW1924" s="34"/>
      <c r="BX1924" s="34"/>
      <c r="BY1924" s="34"/>
      <c r="BZ1924" s="34"/>
      <c r="CA1924" s="34"/>
      <c r="CB1924" s="34"/>
      <c r="CC1924" s="34"/>
      <c r="CD1924" s="34"/>
      <c r="CE1924" s="34"/>
      <c r="CF1924" s="34"/>
      <c r="CG1924" s="34"/>
      <c r="CH1924" s="34"/>
      <c r="CI1924" s="8"/>
    </row>
    <row r="1925" spans="1:87" x14ac:dyDescent="0.2">
      <c r="A1925" s="8" t="str">
        <f>IF(AND(COUNTIF(W$3:W$13,A$30)&gt;0,A$30&lt;&gt;B1816),A$30,IFERROR(IF(MATCH(A$30,Z$3:Z$13,0)=5,A$30," ")," "))</f>
        <v>C16</v>
      </c>
      <c r="B1925" s="8">
        <f>IF(A1925=" "," ",MAX(B1910:B1924)+1)</f>
        <v>6</v>
      </c>
      <c r="C1925" s="8"/>
      <c r="D1925" s="8"/>
      <c r="E1925" s="8"/>
      <c r="F1925" s="8"/>
      <c r="G1925" s="8"/>
      <c r="H1925" s="8"/>
      <c r="I1925" s="8"/>
      <c r="J1925" s="8"/>
      <c r="K1925" s="8"/>
      <c r="L1925" s="8"/>
      <c r="M1925" s="8"/>
      <c r="N1925" s="8"/>
      <c r="O1925" s="8"/>
      <c r="P1925" s="8"/>
      <c r="Q1925" s="8"/>
      <c r="R1925" s="8"/>
      <c r="S1925" s="8"/>
      <c r="U1925" s="34"/>
      <c r="V1925" s="34"/>
      <c r="W1925" s="34"/>
      <c r="X1925" s="34"/>
      <c r="Y1925" s="34"/>
      <c r="Z1925" s="34"/>
      <c r="AA1925" s="34"/>
      <c r="AB1925" s="34"/>
      <c r="AC1925" s="34"/>
      <c r="AD1925" s="34"/>
      <c r="AE1925" s="34"/>
      <c r="AF1925" s="34"/>
      <c r="AG1925" s="34"/>
      <c r="AH1925" s="34"/>
      <c r="AI1925" s="34"/>
      <c r="AJ1925" s="34"/>
      <c r="AK1925" s="34"/>
      <c r="AL1925" s="34"/>
      <c r="AM1925" s="34"/>
      <c r="AN1925" s="34"/>
      <c r="AO1925" s="34"/>
      <c r="AP1925" s="34"/>
      <c r="AQ1925" s="34"/>
      <c r="AR1925" s="34"/>
      <c r="AS1925" s="34"/>
      <c r="AT1925" s="34"/>
      <c r="AU1925" s="34"/>
      <c r="AV1925" s="34"/>
      <c r="AW1925" s="34"/>
      <c r="AX1925" s="34"/>
      <c r="AY1925" s="34"/>
      <c r="AZ1925" s="34"/>
      <c r="BA1925" s="34"/>
      <c r="BB1925" s="34"/>
      <c r="BC1925" s="34"/>
      <c r="BD1925" s="34"/>
      <c r="BE1925" s="34"/>
      <c r="BF1925" s="34"/>
      <c r="BG1925" s="34"/>
      <c r="BH1925" s="34"/>
      <c r="BI1925" s="34"/>
      <c r="BJ1925" s="34"/>
      <c r="BK1925" s="34"/>
      <c r="BL1925" s="34"/>
      <c r="BM1925" s="34"/>
      <c r="BN1925" s="34"/>
      <c r="BO1925" s="34"/>
      <c r="BP1925" s="34"/>
      <c r="BQ1925" s="34"/>
      <c r="BR1925" s="34"/>
      <c r="BS1925" s="34"/>
      <c r="BT1925" s="34"/>
      <c r="BU1925" s="34"/>
      <c r="BV1925" s="34"/>
      <c r="BW1925" s="34"/>
      <c r="BX1925" s="34"/>
      <c r="BY1925" s="34"/>
      <c r="BZ1925" s="34"/>
      <c r="CA1925" s="34"/>
      <c r="CB1925" s="34"/>
      <c r="CC1925" s="34"/>
      <c r="CD1925" s="34"/>
      <c r="CE1925" s="34"/>
      <c r="CF1925" s="34"/>
      <c r="CG1925" s="34"/>
      <c r="CH1925" s="34"/>
      <c r="CI1925" s="8"/>
    </row>
    <row r="1926" spans="1:87" x14ac:dyDescent="0.2">
      <c r="A1926" s="8" t="str">
        <f>IF(AND(COUNTIF(W$3:W$13,A$31)&gt;0,A$31&lt;&gt;B1816),A$31,IFERROR(IF(MATCH(A$31,Z$3:Z$13,0)=5,A$31," ")," "))</f>
        <v>C17</v>
      </c>
      <c r="B1926" s="8">
        <f>IF(A1926=" "," ",MAX(B1910:B1925)+1)</f>
        <v>7</v>
      </c>
      <c r="C1926" s="8"/>
      <c r="D1926" s="8"/>
      <c r="E1926" s="8"/>
      <c r="F1926" s="8"/>
      <c r="G1926" s="8"/>
      <c r="H1926" s="8"/>
      <c r="I1926" s="8"/>
      <c r="J1926" s="8"/>
      <c r="K1926" s="8"/>
      <c r="L1926" s="8"/>
      <c r="M1926" s="8"/>
      <c r="N1926" s="8"/>
      <c r="O1926" s="8"/>
      <c r="P1926" s="8"/>
      <c r="Q1926" s="8"/>
      <c r="R1926" s="8"/>
      <c r="S1926" s="8"/>
      <c r="U1926" s="34"/>
      <c r="V1926" s="34"/>
      <c r="W1926" s="34"/>
      <c r="X1926" s="34"/>
      <c r="Y1926" s="34"/>
      <c r="Z1926" s="34"/>
      <c r="AA1926" s="34"/>
      <c r="AB1926" s="34"/>
      <c r="AC1926" s="34"/>
      <c r="AD1926" s="34"/>
      <c r="AE1926" s="34"/>
      <c r="AF1926" s="34"/>
      <c r="AG1926" s="34"/>
      <c r="AH1926" s="34"/>
      <c r="AI1926" s="34"/>
      <c r="AJ1926" s="34"/>
      <c r="AK1926" s="34"/>
      <c r="AL1926" s="34"/>
      <c r="AM1926" s="34"/>
      <c r="AN1926" s="34"/>
      <c r="AO1926" s="34"/>
      <c r="AP1926" s="34"/>
      <c r="AQ1926" s="34"/>
      <c r="AR1926" s="34"/>
      <c r="AS1926" s="34"/>
      <c r="AT1926" s="34"/>
      <c r="AU1926" s="34"/>
      <c r="AV1926" s="34"/>
      <c r="AW1926" s="34"/>
      <c r="AX1926" s="34"/>
      <c r="AY1926" s="34"/>
      <c r="AZ1926" s="34"/>
      <c r="BA1926" s="34"/>
      <c r="BB1926" s="34"/>
      <c r="BC1926" s="34"/>
      <c r="BD1926" s="34"/>
      <c r="BE1926" s="34"/>
      <c r="BF1926" s="34"/>
      <c r="BG1926" s="34"/>
      <c r="BH1926" s="34"/>
      <c r="BI1926" s="34"/>
      <c r="BJ1926" s="34"/>
      <c r="BK1926" s="34"/>
      <c r="BL1926" s="34"/>
      <c r="BM1926" s="34"/>
      <c r="BN1926" s="34"/>
      <c r="BO1926" s="34"/>
      <c r="BP1926" s="34"/>
      <c r="BQ1926" s="34"/>
      <c r="BR1926" s="34"/>
      <c r="BS1926" s="34"/>
      <c r="BT1926" s="34"/>
      <c r="BU1926" s="34"/>
      <c r="BV1926" s="34"/>
      <c r="BW1926" s="34"/>
      <c r="BX1926" s="34"/>
      <c r="BY1926" s="34"/>
      <c r="BZ1926" s="34"/>
      <c r="CA1926" s="34"/>
      <c r="CB1926" s="34"/>
      <c r="CC1926" s="34"/>
      <c r="CD1926" s="34"/>
      <c r="CE1926" s="34"/>
      <c r="CF1926" s="34"/>
      <c r="CG1926" s="34"/>
      <c r="CH1926" s="34"/>
      <c r="CI1926" s="8"/>
    </row>
    <row r="1927" spans="1:87" x14ac:dyDescent="0.2">
      <c r="A1927" s="8" t="str">
        <f>IF(AND(COUNTIF(W$3:W$13,A$32)&gt;0,A$32&lt;&gt;B1816),A$32,IFERROR(IF(MATCH(A$32,Z$3:Z$13,0)=5,A$32," ")," "))</f>
        <v>C18</v>
      </c>
      <c r="B1927" s="8">
        <f>IF(A1927=" "," ",MAX(B1910:B1926)+1)</f>
        <v>8</v>
      </c>
      <c r="C1927" s="8"/>
      <c r="D1927" s="8"/>
      <c r="E1927" s="8"/>
      <c r="F1927" s="8"/>
      <c r="G1927" s="8"/>
      <c r="H1927" s="8"/>
      <c r="I1927" s="8"/>
      <c r="J1927" s="8"/>
      <c r="K1927" s="8"/>
      <c r="L1927" s="8"/>
      <c r="M1927" s="8"/>
      <c r="N1927" s="8"/>
      <c r="O1927" s="8"/>
      <c r="P1927" s="8"/>
      <c r="Q1927" s="8"/>
      <c r="R1927" s="8"/>
      <c r="S1927" s="8"/>
      <c r="U1927" s="34"/>
      <c r="V1927" s="34"/>
      <c r="W1927" s="34"/>
      <c r="X1927" s="34"/>
      <c r="Y1927" s="34"/>
      <c r="Z1927" s="34"/>
      <c r="AA1927" s="34"/>
      <c r="AB1927" s="34"/>
      <c r="AC1927" s="34"/>
      <c r="AD1927" s="34"/>
      <c r="AE1927" s="34"/>
      <c r="AF1927" s="34"/>
      <c r="AG1927" s="34"/>
      <c r="AH1927" s="34"/>
      <c r="AI1927" s="34"/>
      <c r="AJ1927" s="34"/>
      <c r="AK1927" s="34"/>
      <c r="AL1927" s="34"/>
      <c r="AM1927" s="34"/>
      <c r="AN1927" s="34"/>
      <c r="AO1927" s="34"/>
      <c r="AP1927" s="34"/>
      <c r="AQ1927" s="34"/>
      <c r="AR1927" s="34"/>
      <c r="AS1927" s="34"/>
      <c r="AT1927" s="34"/>
      <c r="AU1927" s="34"/>
      <c r="AV1927" s="34"/>
      <c r="AW1927" s="34"/>
      <c r="AX1927" s="34"/>
      <c r="AY1927" s="34"/>
      <c r="AZ1927" s="34"/>
      <c r="BA1927" s="34"/>
      <c r="BB1927" s="34"/>
      <c r="BC1927" s="34"/>
      <c r="BD1927" s="34"/>
      <c r="BE1927" s="34"/>
      <c r="BF1927" s="34"/>
      <c r="BG1927" s="34"/>
      <c r="BH1927" s="34"/>
      <c r="BI1927" s="34"/>
      <c r="BJ1927" s="34"/>
      <c r="BK1927" s="34"/>
      <c r="BL1927" s="34"/>
      <c r="BM1927" s="34"/>
      <c r="BN1927" s="34"/>
      <c r="BO1927" s="34"/>
      <c r="BP1927" s="34"/>
      <c r="BQ1927" s="34"/>
      <c r="BR1927" s="34"/>
      <c r="BS1927" s="34"/>
      <c r="BT1927" s="34"/>
      <c r="BU1927" s="34"/>
      <c r="BV1927" s="34"/>
      <c r="BW1927" s="34"/>
      <c r="BX1927" s="34"/>
      <c r="BY1927" s="34"/>
      <c r="BZ1927" s="34"/>
      <c r="CA1927" s="34"/>
      <c r="CB1927" s="34"/>
      <c r="CC1927" s="34"/>
      <c r="CD1927" s="34"/>
      <c r="CE1927" s="34"/>
      <c r="CF1927" s="34"/>
      <c r="CG1927" s="34"/>
      <c r="CH1927" s="34"/>
      <c r="CI1927" s="8"/>
    </row>
    <row r="1928" spans="1:87" x14ac:dyDescent="0.2">
      <c r="A1928" s="8" t="str">
        <f>IF(AND(COUNTIF(W$3:W$13,A$33)&gt;0,A$33&lt;&gt;B1816),A$33,IFERROR(IF(MATCH(A$33,Z$3:Z$13,0)=5,A$33," ")," "))</f>
        <v xml:space="preserve"> </v>
      </c>
      <c r="B1928" s="8" t="str">
        <f>IF(A1928=" "," ",MAX(B1910:B1927)+1)</f>
        <v xml:space="preserve"> </v>
      </c>
      <c r="C1928" s="8"/>
      <c r="D1928" s="8"/>
      <c r="E1928" s="8"/>
      <c r="F1928" s="8"/>
      <c r="G1928" s="8"/>
      <c r="H1928" s="8"/>
      <c r="I1928" s="8"/>
      <c r="J1928" s="8"/>
      <c r="K1928" s="8"/>
      <c r="L1928" s="8"/>
      <c r="M1928" s="8"/>
      <c r="N1928" s="8"/>
      <c r="O1928" s="8"/>
      <c r="P1928" s="8"/>
      <c r="Q1928" s="8"/>
      <c r="R1928" s="8"/>
      <c r="S1928" s="8"/>
      <c r="U1928" s="34"/>
      <c r="V1928" s="34"/>
      <c r="W1928" s="34"/>
      <c r="X1928" s="34"/>
      <c r="Y1928" s="34"/>
      <c r="Z1928" s="34"/>
      <c r="AA1928" s="34"/>
      <c r="AB1928" s="34"/>
      <c r="AC1928" s="34"/>
      <c r="AD1928" s="34"/>
      <c r="AE1928" s="34"/>
      <c r="AF1928" s="34"/>
      <c r="AG1928" s="34"/>
      <c r="AH1928" s="34"/>
      <c r="AI1928" s="34"/>
      <c r="AJ1928" s="34"/>
      <c r="AK1928" s="34"/>
      <c r="AL1928" s="34"/>
      <c r="AM1928" s="34"/>
      <c r="AN1928" s="34"/>
      <c r="AO1928" s="34"/>
      <c r="AP1928" s="34"/>
      <c r="AQ1928" s="34"/>
      <c r="AR1928" s="34"/>
      <c r="AS1928" s="34"/>
      <c r="AT1928" s="34"/>
      <c r="AU1928" s="34"/>
      <c r="AV1928" s="34"/>
      <c r="AW1928" s="34"/>
      <c r="AX1928" s="34"/>
      <c r="AY1928" s="34"/>
      <c r="AZ1928" s="34"/>
      <c r="BA1928" s="34"/>
      <c r="BB1928" s="34"/>
      <c r="BC1928" s="34"/>
      <c r="BD1928" s="34"/>
      <c r="BE1928" s="34"/>
      <c r="BF1928" s="34"/>
      <c r="BG1928" s="34"/>
      <c r="BH1928" s="34"/>
      <c r="BI1928" s="34"/>
      <c r="BJ1928" s="34"/>
      <c r="BK1928" s="34"/>
      <c r="BL1928" s="34"/>
      <c r="BM1928" s="34"/>
      <c r="BN1928" s="34"/>
      <c r="BO1928" s="34"/>
      <c r="BP1928" s="34"/>
      <c r="BQ1928" s="34"/>
      <c r="BR1928" s="34"/>
      <c r="BS1928" s="34"/>
      <c r="BT1928" s="34"/>
      <c r="BU1928" s="34"/>
      <c r="BV1928" s="34"/>
      <c r="BW1928" s="34"/>
      <c r="BX1928" s="34"/>
      <c r="BY1928" s="34"/>
      <c r="BZ1928" s="34"/>
      <c r="CA1928" s="34"/>
      <c r="CB1928" s="34"/>
      <c r="CC1928" s="34"/>
      <c r="CD1928" s="34"/>
      <c r="CE1928" s="34"/>
      <c r="CF1928" s="34"/>
      <c r="CG1928" s="34"/>
      <c r="CH1928" s="34"/>
      <c r="CI1928" s="8"/>
    </row>
    <row r="1929" spans="1:87" x14ac:dyDescent="0.2">
      <c r="A1929" s="8" t="str">
        <f>IF(AND(COUNTIF(W$3:W$13,A$34)&gt;0,A$34&lt;&gt;B1816),A$34,IFERROR(IF(MATCH(A$34,Z$3:Z$13,0)=5,A$34," ")," "))</f>
        <v>C20</v>
      </c>
      <c r="B1929" s="8">
        <f>IF(A1929=" "," ",MAX(B1910:B1928)+1)</f>
        <v>9</v>
      </c>
      <c r="C1929" s="8"/>
      <c r="D1929" s="8"/>
      <c r="E1929" s="8"/>
      <c r="F1929" s="8"/>
      <c r="G1929" s="8"/>
      <c r="H1929" s="8"/>
      <c r="I1929" s="8"/>
      <c r="J1929" s="8"/>
      <c r="K1929" s="8"/>
      <c r="L1929" s="8"/>
      <c r="M1929" s="8"/>
      <c r="N1929" s="8"/>
      <c r="O1929" s="8"/>
      <c r="P1929" s="8"/>
      <c r="Q1929" s="8"/>
      <c r="R1929" s="8"/>
      <c r="S1929" s="8"/>
      <c r="U1929" s="34"/>
      <c r="V1929" s="34"/>
      <c r="W1929" s="34"/>
      <c r="X1929" s="34"/>
      <c r="Y1929" s="34"/>
      <c r="Z1929" s="34"/>
      <c r="AA1929" s="34"/>
      <c r="AB1929" s="34"/>
      <c r="AC1929" s="34"/>
      <c r="AD1929" s="34"/>
      <c r="AE1929" s="34"/>
      <c r="AF1929" s="34"/>
      <c r="AG1929" s="34"/>
      <c r="AH1929" s="34"/>
      <c r="AI1929" s="34"/>
      <c r="AJ1929" s="34"/>
      <c r="AK1929" s="34"/>
      <c r="AL1929" s="34"/>
      <c r="AM1929" s="34"/>
      <c r="AN1929" s="34"/>
      <c r="AO1929" s="34"/>
      <c r="AP1929" s="34"/>
      <c r="AQ1929" s="34"/>
      <c r="AR1929" s="34"/>
      <c r="AS1929" s="34"/>
      <c r="AT1929" s="34"/>
      <c r="AU1929" s="34"/>
      <c r="AV1929" s="34"/>
      <c r="AW1929" s="34"/>
      <c r="AX1929" s="34"/>
      <c r="AY1929" s="34"/>
      <c r="AZ1929" s="34"/>
      <c r="BA1929" s="34"/>
      <c r="BB1929" s="34"/>
      <c r="BC1929" s="34"/>
      <c r="BD1929" s="34"/>
      <c r="BE1929" s="34"/>
      <c r="BF1929" s="34"/>
      <c r="BG1929" s="34"/>
      <c r="BH1929" s="34"/>
      <c r="BI1929" s="34"/>
      <c r="BJ1929" s="34"/>
      <c r="BK1929" s="34"/>
      <c r="BL1929" s="34"/>
      <c r="BM1929" s="34"/>
      <c r="BN1929" s="34"/>
      <c r="BO1929" s="34"/>
      <c r="BP1929" s="34"/>
      <c r="BQ1929" s="34"/>
      <c r="BR1929" s="34"/>
      <c r="BS1929" s="34"/>
      <c r="BT1929" s="34"/>
      <c r="BU1929" s="34"/>
      <c r="BV1929" s="34"/>
      <c r="BW1929" s="34"/>
      <c r="BX1929" s="34"/>
      <c r="BY1929" s="34"/>
      <c r="BZ1929" s="34"/>
      <c r="CA1929" s="34"/>
      <c r="CB1929" s="34"/>
      <c r="CC1929" s="34"/>
      <c r="CD1929" s="34"/>
      <c r="CE1929" s="34"/>
      <c r="CF1929" s="34"/>
      <c r="CG1929" s="34"/>
      <c r="CH1929" s="34"/>
      <c r="CI1929" s="8"/>
    </row>
    <row r="1930" spans="1:87" x14ac:dyDescent="0.2">
      <c r="A1930" s="8" t="str">
        <f>IF(AND(COUNTIF(W$3:W$13,A$35)&gt;0,A$35&lt;&gt;B1816),A$35,IFERROR(IF(MATCH(A$35,Z$3:Z$13,0)=5,A$35," ")," "))</f>
        <v>C21</v>
      </c>
      <c r="B1930" s="8">
        <f>IF(A1930=" "," ",MAX(B1910:B1929)+1)</f>
        <v>10</v>
      </c>
      <c r="C1930" s="8"/>
      <c r="D1930" s="8"/>
      <c r="E1930" s="8"/>
      <c r="F1930" s="8"/>
      <c r="G1930" s="8"/>
      <c r="H1930" s="8"/>
      <c r="I1930" s="8"/>
      <c r="J1930" s="8"/>
      <c r="K1930" s="8"/>
      <c r="L1930" s="8"/>
      <c r="M1930" s="8"/>
      <c r="N1930" s="8"/>
      <c r="O1930" s="8"/>
      <c r="P1930" s="8"/>
      <c r="Q1930" s="8"/>
      <c r="R1930" s="8"/>
      <c r="S1930" s="8"/>
      <c r="U1930" s="34"/>
      <c r="V1930" s="34"/>
      <c r="W1930" s="34"/>
      <c r="X1930" s="34"/>
      <c r="Y1930" s="34"/>
      <c r="Z1930" s="34"/>
      <c r="AA1930" s="34"/>
      <c r="AB1930" s="34"/>
      <c r="AC1930" s="34"/>
      <c r="AD1930" s="34"/>
      <c r="AE1930" s="34"/>
      <c r="AF1930" s="34"/>
      <c r="AG1930" s="34"/>
      <c r="AH1930" s="34"/>
      <c r="AI1930" s="34"/>
      <c r="AJ1930" s="34"/>
      <c r="AK1930" s="34"/>
      <c r="AL1930" s="34"/>
      <c r="AM1930" s="34"/>
      <c r="AN1930" s="34"/>
      <c r="AO1930" s="34"/>
      <c r="AP1930" s="34"/>
      <c r="AQ1930" s="34"/>
      <c r="AR1930" s="34"/>
      <c r="AS1930" s="34"/>
      <c r="AT1930" s="34"/>
      <c r="AU1930" s="34"/>
      <c r="AV1930" s="34"/>
      <c r="AW1930" s="34"/>
      <c r="AX1930" s="34"/>
      <c r="AY1930" s="34"/>
      <c r="AZ1930" s="34"/>
      <c r="BA1930" s="34"/>
      <c r="BB1930" s="34"/>
      <c r="BC1930" s="34"/>
      <c r="BD1930" s="34"/>
      <c r="BE1930" s="34"/>
      <c r="BF1930" s="34"/>
      <c r="BG1930" s="34"/>
      <c r="BH1930" s="34"/>
      <c r="BI1930" s="34"/>
      <c r="BJ1930" s="34"/>
      <c r="BK1930" s="34"/>
      <c r="BL1930" s="34"/>
      <c r="BM1930" s="34"/>
      <c r="BN1930" s="34"/>
      <c r="BO1930" s="34"/>
      <c r="BP1930" s="34"/>
      <c r="BQ1930" s="34"/>
      <c r="BR1930" s="34"/>
      <c r="BS1930" s="34"/>
      <c r="BT1930" s="34"/>
      <c r="BU1930" s="34"/>
      <c r="BV1930" s="34"/>
      <c r="BW1930" s="34"/>
      <c r="BX1930" s="34"/>
      <c r="BY1930" s="34"/>
      <c r="BZ1930" s="34"/>
      <c r="CA1930" s="34"/>
      <c r="CB1930" s="34"/>
      <c r="CC1930" s="34"/>
      <c r="CD1930" s="34"/>
      <c r="CE1930" s="34"/>
      <c r="CF1930" s="34"/>
      <c r="CG1930" s="34"/>
      <c r="CH1930" s="34"/>
      <c r="CI1930" s="8"/>
    </row>
    <row r="1931" spans="1:87" x14ac:dyDescent="0.2">
      <c r="A1931" s="8" t="str">
        <f>IF(AND(COUNTIF(W$3:W$13,A$36)&gt;0,A$36&lt;&gt;B1816),A$36,IFERROR(IF(MATCH(A$36,Z$3:Z$13,0)=5,A$36," ")," "))</f>
        <v>C22</v>
      </c>
      <c r="B1931" s="8">
        <f>IF(A1931=" "," ",MAX(B1910:B1930)+1)</f>
        <v>11</v>
      </c>
      <c r="C1931" s="8"/>
      <c r="D1931" s="8"/>
      <c r="E1931" s="8"/>
      <c r="F1931" s="8"/>
      <c r="G1931" s="8"/>
      <c r="H1931" s="8"/>
      <c r="I1931" s="8"/>
      <c r="J1931" s="8"/>
      <c r="K1931" s="8"/>
      <c r="L1931" s="8"/>
      <c r="M1931" s="8"/>
      <c r="N1931" s="8"/>
      <c r="O1931" s="8"/>
      <c r="P1931" s="8"/>
      <c r="Q1931" s="8"/>
      <c r="R1931" s="8"/>
      <c r="S1931" s="8"/>
      <c r="U1931" s="34"/>
      <c r="V1931" s="34"/>
      <c r="W1931" s="34"/>
      <c r="X1931" s="34"/>
      <c r="Y1931" s="34"/>
      <c r="Z1931" s="34"/>
      <c r="AA1931" s="34"/>
      <c r="AB1931" s="34"/>
      <c r="AC1931" s="34"/>
      <c r="AD1931" s="34"/>
      <c r="AE1931" s="34"/>
      <c r="AF1931" s="34"/>
      <c r="AG1931" s="34"/>
      <c r="AH1931" s="34"/>
      <c r="AI1931" s="34"/>
      <c r="AJ1931" s="34"/>
      <c r="AK1931" s="34"/>
      <c r="AL1931" s="34"/>
      <c r="AM1931" s="34"/>
      <c r="AN1931" s="34"/>
      <c r="AO1931" s="34"/>
      <c r="AP1931" s="34"/>
      <c r="AQ1931" s="34"/>
      <c r="AR1931" s="34"/>
      <c r="AS1931" s="34"/>
      <c r="AT1931" s="34"/>
      <c r="AU1931" s="34"/>
      <c r="AV1931" s="34"/>
      <c r="AW1931" s="34"/>
      <c r="AX1931" s="34"/>
      <c r="AY1931" s="34"/>
      <c r="AZ1931" s="34"/>
      <c r="BA1931" s="34"/>
      <c r="BB1931" s="34"/>
      <c r="BC1931" s="34"/>
      <c r="BD1931" s="34"/>
      <c r="BE1931" s="34"/>
      <c r="BF1931" s="34"/>
      <c r="BG1931" s="34"/>
      <c r="BH1931" s="34"/>
      <c r="BI1931" s="34"/>
      <c r="BJ1931" s="34"/>
      <c r="BK1931" s="34"/>
      <c r="BL1931" s="34"/>
      <c r="BM1931" s="34"/>
      <c r="BN1931" s="34"/>
      <c r="BO1931" s="34"/>
      <c r="BP1931" s="34"/>
      <c r="BQ1931" s="34"/>
      <c r="BR1931" s="34"/>
      <c r="BS1931" s="34"/>
      <c r="BT1931" s="34"/>
      <c r="BU1931" s="34"/>
      <c r="BV1931" s="34"/>
      <c r="BW1931" s="34"/>
      <c r="BX1931" s="34"/>
      <c r="BY1931" s="34"/>
      <c r="BZ1931" s="34"/>
      <c r="CA1931" s="34"/>
      <c r="CB1931" s="34"/>
      <c r="CC1931" s="34"/>
      <c r="CD1931" s="34"/>
      <c r="CE1931" s="34"/>
      <c r="CF1931" s="34"/>
      <c r="CG1931" s="34"/>
      <c r="CH1931" s="34"/>
      <c r="CI1931" s="8"/>
    </row>
    <row r="1932" spans="1:87" x14ac:dyDescent="0.2">
      <c r="A1932" s="11" t="s">
        <v>17</v>
      </c>
      <c r="B1932" s="11"/>
      <c r="C1932" s="27" t="s">
        <v>18</v>
      </c>
      <c r="D1932" s="27" t="s">
        <v>2</v>
      </c>
      <c r="E1932" s="27" t="s">
        <v>6</v>
      </c>
      <c r="F1932" s="27" t="s">
        <v>15</v>
      </c>
      <c r="G1932" s="27" t="s">
        <v>36</v>
      </c>
      <c r="H1932" s="27" t="s">
        <v>37</v>
      </c>
      <c r="I1932" s="27" t="s">
        <v>38</v>
      </c>
      <c r="J1932" s="27" t="s">
        <v>39</v>
      </c>
      <c r="K1932" s="27" t="s">
        <v>40</v>
      </c>
      <c r="L1932" s="27" t="s">
        <v>41</v>
      </c>
      <c r="M1932" s="27" t="s">
        <v>42</v>
      </c>
      <c r="N1932" s="27" t="s">
        <v>43</v>
      </c>
      <c r="O1932" s="27" t="s">
        <v>9</v>
      </c>
      <c r="P1932" s="27" t="s">
        <v>12</v>
      </c>
      <c r="Q1932" s="27" t="s">
        <v>19</v>
      </c>
      <c r="R1932" s="27" t="s">
        <v>55</v>
      </c>
      <c r="S1932" s="27" t="s">
        <v>26</v>
      </c>
      <c r="T1932" s="19" t="s">
        <v>25</v>
      </c>
      <c r="U1932" s="33" t="s">
        <v>27</v>
      </c>
      <c r="V1932" s="33" t="s">
        <v>9</v>
      </c>
      <c r="W1932" s="33" t="s">
        <v>23</v>
      </c>
      <c r="X1932" s="33" t="s">
        <v>12</v>
      </c>
      <c r="Y1932" s="33" t="s">
        <v>26</v>
      </c>
      <c r="Z1932" s="33" t="s">
        <v>25</v>
      </c>
      <c r="AA1932" s="33" t="s">
        <v>27</v>
      </c>
      <c r="AB1932" s="33" t="s">
        <v>9</v>
      </c>
      <c r="AC1932" s="33" t="s">
        <v>23</v>
      </c>
      <c r="AD1932" s="33" t="s">
        <v>12</v>
      </c>
      <c r="AE1932" s="33" t="s">
        <v>26</v>
      </c>
      <c r="AF1932" s="33" t="s">
        <v>25</v>
      </c>
      <c r="AG1932" s="33" t="s">
        <v>27</v>
      </c>
      <c r="AH1932" s="33" t="s">
        <v>9</v>
      </c>
      <c r="AI1932" s="33" t="s">
        <v>23</v>
      </c>
      <c r="AJ1932" s="33" t="s">
        <v>12</v>
      </c>
      <c r="AK1932" s="33" t="s">
        <v>26</v>
      </c>
      <c r="AL1932" s="33" t="s">
        <v>25</v>
      </c>
      <c r="AM1932" s="33" t="s">
        <v>27</v>
      </c>
      <c r="AN1932" s="33" t="s">
        <v>9</v>
      </c>
      <c r="AO1932" s="33" t="s">
        <v>23</v>
      </c>
      <c r="AP1932" s="33" t="s">
        <v>12</v>
      </c>
      <c r="AQ1932" s="33" t="s">
        <v>26</v>
      </c>
      <c r="AR1932" s="33" t="s">
        <v>25</v>
      </c>
      <c r="AS1932" s="33" t="s">
        <v>27</v>
      </c>
      <c r="AT1932" s="33" t="s">
        <v>9</v>
      </c>
      <c r="AU1932" s="33" t="s">
        <v>23</v>
      </c>
      <c r="AV1932" s="33" t="s">
        <v>12</v>
      </c>
      <c r="AW1932" s="33" t="s">
        <v>26</v>
      </c>
      <c r="AX1932" s="33" t="s">
        <v>25</v>
      </c>
      <c r="AY1932" s="33" t="s">
        <v>27</v>
      </c>
      <c r="AZ1932" s="33" t="s">
        <v>9</v>
      </c>
      <c r="BA1932" s="33" t="s">
        <v>23</v>
      </c>
      <c r="BB1932" s="33" t="s">
        <v>12</v>
      </c>
      <c r="BC1932" s="33" t="s">
        <v>26</v>
      </c>
      <c r="BD1932" s="33" t="s">
        <v>25</v>
      </c>
      <c r="BE1932" s="33" t="s">
        <v>27</v>
      </c>
      <c r="BF1932" s="33" t="s">
        <v>9</v>
      </c>
      <c r="BG1932" s="33" t="s">
        <v>23</v>
      </c>
      <c r="BH1932" s="33" t="s">
        <v>12</v>
      </c>
      <c r="BI1932" s="33" t="s">
        <v>26</v>
      </c>
      <c r="BJ1932" s="33" t="s">
        <v>25</v>
      </c>
      <c r="BK1932" s="33" t="s">
        <v>27</v>
      </c>
      <c r="BL1932" s="33" t="s">
        <v>9</v>
      </c>
      <c r="BM1932" s="33" t="s">
        <v>23</v>
      </c>
      <c r="BN1932" s="33" t="s">
        <v>12</v>
      </c>
      <c r="BO1932" s="33" t="s">
        <v>26</v>
      </c>
      <c r="BP1932" s="33" t="s">
        <v>25</v>
      </c>
      <c r="BQ1932" s="33" t="s">
        <v>27</v>
      </c>
      <c r="BR1932" s="33" t="s">
        <v>9</v>
      </c>
      <c r="BS1932" s="33" t="s">
        <v>23</v>
      </c>
      <c r="BT1932" s="33" t="s">
        <v>12</v>
      </c>
      <c r="BU1932" s="33" t="s">
        <v>26</v>
      </c>
      <c r="BV1932" s="33" t="s">
        <v>25</v>
      </c>
      <c r="BW1932" s="33" t="s">
        <v>27</v>
      </c>
      <c r="BX1932" s="33" t="s">
        <v>9</v>
      </c>
      <c r="BY1932" s="33" t="s">
        <v>23</v>
      </c>
      <c r="BZ1932" s="33" t="s">
        <v>12</v>
      </c>
      <c r="CA1932" s="33" t="s">
        <v>26</v>
      </c>
      <c r="CB1932" s="33" t="s">
        <v>25</v>
      </c>
      <c r="CC1932" s="33" t="s">
        <v>27</v>
      </c>
      <c r="CD1932" s="33" t="s">
        <v>9</v>
      </c>
      <c r="CE1932" s="33" t="s">
        <v>23</v>
      </c>
      <c r="CF1932" s="33" t="s">
        <v>12</v>
      </c>
      <c r="CG1932" s="33" t="s">
        <v>26</v>
      </c>
      <c r="CH1932" s="33" t="s">
        <v>25</v>
      </c>
      <c r="CI1932" s="8"/>
    </row>
    <row r="1933" spans="1:87" x14ac:dyDescent="0.2">
      <c r="A1933" s="8" t="str">
        <f>IF(AND(COUNTIF(W$3:W$13,A$15)&gt;0,A$15&lt;&gt;B1816),A$15,IFERROR(IF(MATCH(A$15,Z$3:Z$13,0)=6,A$15," ")," "))</f>
        <v xml:space="preserve"> </v>
      </c>
      <c r="B1933" s="8" t="str">
        <f>IF(A1933=" "," ",1)</f>
        <v xml:space="preserve"> </v>
      </c>
      <c r="C1933" s="8" t="str">
        <f>IFERROR(INDEX(A1933:A1954,MATCH(SMALL(B1933:B1954,1),B1933:B1954,0),1)," ")</f>
        <v>C3</v>
      </c>
      <c r="D1933" s="8">
        <f>IFERROR(VLOOKUP($C1933,$A$15:$O$36,2,FALSE)," ")</f>
        <v>2</v>
      </c>
      <c r="E1933" s="8">
        <f>IFERROR(VLOOKUP($C1933,$A$15:$O$36,3,FALSE)," ")</f>
        <v>5</v>
      </c>
      <c r="F1933" s="8">
        <f>IFERROR(VLOOKUP($C1933,$A$15:$O$36,4,FALSE)," ")</f>
        <v>6</v>
      </c>
      <c r="G1933" s="8">
        <f>IFERROR(VLOOKUP($C1933,$A$15:$O$36,5,FALSE)," ")</f>
        <v>0</v>
      </c>
      <c r="H1933" s="8">
        <f>IFERROR(VLOOKUP($C1933,$A$15:$O$36,6,FALSE)," ")</f>
        <v>0</v>
      </c>
      <c r="I1933" s="8">
        <f>IFERROR(VLOOKUP($C1933,$A$15:$O$36,7,FALSE)," ")</f>
        <v>0</v>
      </c>
      <c r="J1933" s="8">
        <f>IFERROR(VLOOKUP($C1933,$A$15:$O$36,8,FALSE)," ")</f>
        <v>0</v>
      </c>
      <c r="K1933" s="8">
        <f>IFERROR(VLOOKUP($C1933,$A$15:$O$36,9,FALSE)," ")</f>
        <v>0</v>
      </c>
      <c r="L1933" s="8">
        <f>IFERROR(VLOOKUP($C1933,$A$15:$O$36,10,FALSE)," ")</f>
        <v>0</v>
      </c>
      <c r="M1933" s="8">
        <f>IFERROR(VLOOKUP($C1933,$A$15:$O$36,11,FALSE)," ")</f>
        <v>0</v>
      </c>
      <c r="N1933" s="8">
        <f>IFERROR(VLOOKUP($C1933,$A$15:$O$36,12,FALSE)," ")</f>
        <v>0</v>
      </c>
      <c r="O1933" s="8">
        <f>IFERROR(VLOOKUP($C1933,$A$15:$O$36,15,FALSE)," ")</f>
        <v>2000</v>
      </c>
      <c r="P1933" s="8" t="e">
        <f t="array" ref="P1933:P1943">MMULT(MINVERSE(D1933:N1943),O1933:O1943)</f>
        <v>#NUM!</v>
      </c>
      <c r="Q1933" s="8" t="e">
        <f t="shared" ref="Q1933" si="8352">IF(COUNTIF(P1933:P1943,"&lt;"&amp;-0.001)=0,IF(ABS(P1933)&lt;0.001,0,P1933)," ")</f>
        <v>#NUM!</v>
      </c>
      <c r="R1933" s="8" t="str">
        <f>IFERROR(VLOOKUP(B1816,A$15:L$36,2,FALSE)*Q1933+VLOOKUP(B1816,A$15:L$36,3,FALSE)*Q1934+VLOOKUP(B1816,A$15:L$36,4,FALSE)*Q1935+VLOOKUP(B1816,A$15:L$36,5,FALSE)*Q1936+VLOOKUP(B1816,A$15:L$36,6,FALSE)*Q1937+VLOOKUP(B1816,A$15:L$36,7,FALSE)*Q1938+VLOOKUP(B1816,A$15:L$36,8,FALSE)*Q1939+VLOOKUP(B1816,A$15:L$36,9,FALSE)*Q1940+VLOOKUP(B1816,A$15:L$36,10,FALSE)*Q1941+VLOOKUP(B1816,A$15:L$36,11,FALSE)*Q1942+VLOOKUP(B1816,A$15:L$36,12,FALSE)*Q1943," ")</f>
        <v xml:space="preserve"> </v>
      </c>
      <c r="S1933" s="8" t="str">
        <f>IFERROR(IF(R1933-VLOOKUP(B1816,A$15:O$36,15,FALSE)&lt;0,R1933-VLOOKUP(B1816,A$15:O$36,15,FALSE)," ")," ")</f>
        <v xml:space="preserve"> </v>
      </c>
      <c r="T1933" s="18" t="str">
        <f>IFERROR(IF(R1933-VLOOKUP(B1816,A$15:O$36,15,FALSE)&gt;0,R1933-VLOOKUP(B1816,A$15:O$36,15,FALSE)," ")," ")</f>
        <v xml:space="preserve"> </v>
      </c>
      <c r="U1933" s="34">
        <f t="shared" ref="U1933" si="8353">$M$2</f>
        <v>100.00000000000001</v>
      </c>
      <c r="V1933" s="34">
        <v>-1</v>
      </c>
      <c r="W1933" s="34">
        <f t="shared" ref="W1933" si="8354">-SUMPRODUCT($M$3:$M$12,$N$3:$N$12)</f>
        <v>-105000</v>
      </c>
      <c r="X1933" s="34" t="e">
        <f t="shared" ref="X1933" si="8355">IF(U1933&lt;&gt;U1934,MMULT(MINVERSE(U1933:V1934),W1933:W1934)," ")</f>
        <v>#NUM!</v>
      </c>
      <c r="Y1933" s="34" t="str">
        <f t="shared" ref="Y1933" si="8356">IFERROR(IF(X1933-VLOOKUP(U$38,$A$2:$N$12,14,FALSE)&lt;0,X1933-VLOOKUP(U$38,$A$2:$N$12,14,FALSE)," ")," ")</f>
        <v xml:space="preserve"> </v>
      </c>
      <c r="Z1933" s="34" t="str">
        <f t="shared" ref="Z1933" si="8357">IFERROR(IF(X1933-VLOOKUP(U$38,$A$2:$N$12,14,FALSE)&gt;0,X1933-VLOOKUP(U$38,$A$2:$N$12,14,FALSE)," ")," ")</f>
        <v xml:space="preserve"> </v>
      </c>
      <c r="AA1933" s="34">
        <f t="shared" ref="AA1933" si="8358">$M$3</f>
        <v>0</v>
      </c>
      <c r="AB1933" s="34">
        <v>-1</v>
      </c>
      <c r="AC1933" s="34">
        <f t="shared" ref="AC1933" si="8359">-SUMPRODUCT($M$2:$M$2,$N$2:$N$2)-SUMPRODUCT($M$4:$M$12,$N$4:$N$12)</f>
        <v>-120000</v>
      </c>
      <c r="AD1933" s="34" t="e">
        <f t="shared" ref="AD1933" si="8360">IF(AA1933&lt;&gt;AA1934,MMULT(MINVERSE(AA1933:AB1934),AC1933:AC1934)," ")</f>
        <v>#NUM!</v>
      </c>
      <c r="AE1933" s="34" t="str">
        <f t="shared" ref="AE1933" si="8361">IFERROR(IF(AD1933-VLOOKUP(AA$38,$A$2:$N$12,14,FALSE)&lt;0,AD1933-VLOOKUP(AA$38,$A$2:$N$12,14,FALSE)," ")," ")</f>
        <v xml:space="preserve"> </v>
      </c>
      <c r="AF1933" s="34" t="str">
        <f t="shared" ref="AF1933" si="8362">IFERROR(IF(AD1933-VLOOKUP(AA$38,$A$2:$N$12,14,FALSE)&gt;0,AD1933-VLOOKUP(AA$38,$A$2:$N$12,14,FALSE)," ")," ")</f>
        <v xml:space="preserve"> </v>
      </c>
      <c r="AG1933" s="34">
        <f t="shared" ref="AG1933" si="8363">$M$4</f>
        <v>300</v>
      </c>
      <c r="AH1933" s="34">
        <v>-1</v>
      </c>
      <c r="AI1933" s="34">
        <f t="shared" ref="AI1933" si="8364">-SUMPRODUCT($M$2:$M$3,$N$2:$N$3)-SUMPRODUCT($M$5:$M$12,$N$5:$N$12)</f>
        <v>-15000.000000000002</v>
      </c>
      <c r="AJ1933" s="34" t="e">
        <f t="shared" ref="AJ1933" si="8365">IF(AG1933&lt;&gt;AG1934,MMULT(MINVERSE(AG1933:AH1934),AI1933:AI1934)," ")</f>
        <v>#NUM!</v>
      </c>
      <c r="AK1933" s="34" t="str">
        <f t="shared" ref="AK1933" si="8366">IFERROR(IF(AJ1933-VLOOKUP(AG$38,$A$2:$N$12,14,FALSE)&lt;0,AJ1933-VLOOKUP(AG$38,$A$2:$N$12,14,FALSE)," ")," ")</f>
        <v xml:space="preserve"> </v>
      </c>
      <c r="AL1933" s="34" t="str">
        <f t="shared" ref="AL1933" si="8367">IFERROR(IF(AJ1933-VLOOKUP(AG$38,$A$2:$N$12,14,FALSE)&gt;0,AJ1933-VLOOKUP(AG$38,$A$2:$N$12,14,FALSE)," ")," ")</f>
        <v xml:space="preserve"> </v>
      </c>
      <c r="AM1933" s="34">
        <f t="shared" ref="AM1933" si="8368">$M$5</f>
        <v>0</v>
      </c>
      <c r="AN1933" s="34">
        <v>-1</v>
      </c>
      <c r="AO1933" s="34">
        <f t="shared" ref="AO1933" si="8369">-SUMPRODUCT($M$2:$M$4,$N$2:$N$4)-SUMPRODUCT($M$6:$M$12,$N$6:$N$12)</f>
        <v>-120000</v>
      </c>
      <c r="AP1933" s="34" t="e">
        <f t="shared" ref="AP1933" si="8370">IF(AM1933&lt;&gt;AM1934,MMULT(MINVERSE(AM1933:AN1934),AO1933:AO1934)," ")</f>
        <v>#NUM!</v>
      </c>
      <c r="AQ1933" s="34" t="str">
        <f t="shared" ref="AQ1933" si="8371">IFERROR(IF(AP1933-VLOOKUP(AM$38,$A$2:$N$12,14,FALSE)&lt;0,AP1933-VLOOKUP(AM$38,$A$2:$N$12,14,FALSE)," ")," ")</f>
        <v xml:space="preserve"> </v>
      </c>
      <c r="AR1933" s="34" t="str">
        <f t="shared" ref="AR1933" si="8372">IFERROR(IF(AP1933-VLOOKUP(AM$38,$A$2:$N$12,14,FALSE)&gt;0,AP1933-VLOOKUP(AM$38,$A$2:$N$12,14,FALSE)," ")," ")</f>
        <v xml:space="preserve"> </v>
      </c>
      <c r="AS1933" s="34">
        <f t="shared" ref="AS1933" si="8373">$M$6</f>
        <v>0</v>
      </c>
      <c r="AT1933" s="34">
        <v>-1</v>
      </c>
      <c r="AU1933" s="34">
        <f t="shared" ref="AU1933" si="8374">-SUMPRODUCT($M$2:$M$5,$N$2:$N$5)-SUMPRODUCT($M$7:$M$12,$N$7:$N$12)</f>
        <v>-120000</v>
      </c>
      <c r="AV1933" s="34" t="e">
        <f t="shared" ref="AV1933" si="8375">IF(AS1933&lt;&gt;AS1934,MMULT(MINVERSE(AS1933:AT1934),AU1933:AU1934)," ")</f>
        <v>#NUM!</v>
      </c>
      <c r="AW1933" s="34" t="str">
        <f t="shared" ref="AW1933" si="8376">IFERROR(IF(AV1933-VLOOKUP(AS$38,$A$2:$N$12,14,FALSE)&lt;0,AV1933-VLOOKUP(AS$38,$A$2:$N$12,14,FALSE)," ")," ")</f>
        <v xml:space="preserve"> </v>
      </c>
      <c r="AX1933" s="34" t="str">
        <f t="shared" ref="AX1933" si="8377">IFERROR(IF(AV1933-VLOOKUP(AS$38,$A$2:$N$12,14,FALSE)&gt;0,AV1933-VLOOKUP(AS$38,$A$2:$N$12,14,FALSE)," ")," ")</f>
        <v xml:space="preserve"> </v>
      </c>
      <c r="AY1933" s="34">
        <f t="shared" ref="AY1933" si="8378">$M$7</f>
        <v>0</v>
      </c>
      <c r="AZ1933" s="34">
        <v>-1</v>
      </c>
      <c r="BA1933" s="34">
        <f t="shared" ref="BA1933" si="8379">-SUMPRODUCT($M$2:$M$6,$N$2:$N$6)-SUMPRODUCT($M$8:$M$12,$N$8:$N$12)</f>
        <v>-120000</v>
      </c>
      <c r="BB1933" s="34" t="e">
        <f t="shared" ref="BB1933" si="8380">IF(AY1933&lt;&gt;AY1934,MMULT(MINVERSE(AY1933:AZ1934),BA1933:BA1934)," ")</f>
        <v>#NUM!</v>
      </c>
      <c r="BC1933" s="34" t="str">
        <f t="shared" ref="BC1933" si="8381">IFERROR(IF(BB1933-VLOOKUP(AY$38,$A$2:$N$12,14,FALSE)&lt;0,BB1933-VLOOKUP(AY$38,$A$2:$N$12,14,FALSE)," ")," ")</f>
        <v xml:space="preserve"> </v>
      </c>
      <c r="BD1933" s="34" t="str">
        <f t="shared" ref="BD1933" si="8382">IFERROR(IF(BB1933-VLOOKUP(AY$38,$A$2:$N$12,14,FALSE)&gt;0,BB1933-VLOOKUP(AY$38,$A$2:$N$12,14,FALSE)," ")," ")</f>
        <v xml:space="preserve"> </v>
      </c>
      <c r="BE1933" s="34">
        <f t="shared" ref="BE1933" si="8383">$M$8</f>
        <v>0</v>
      </c>
      <c r="BF1933" s="34">
        <v>-1</v>
      </c>
      <c r="BG1933" s="34">
        <f t="shared" ref="BG1933" si="8384">-SUMPRODUCT($M$2:$M$7,$N$2:$N$7)-SUMPRODUCT($M$9:$M$12,$N$9:$N$12)</f>
        <v>-120000</v>
      </c>
      <c r="BH1933" s="34" t="e">
        <f t="shared" ref="BH1933" si="8385">IF(BE1933&lt;&gt;BE1934,MMULT(MINVERSE(BE1933:BF1934),BG1933:BG1934)," ")</f>
        <v>#NUM!</v>
      </c>
      <c r="BI1933" s="34" t="str">
        <f t="shared" ref="BI1933" si="8386">IFERROR(IF(BH1933-VLOOKUP(BE$38,$A$2:$N$12,14,FALSE)&lt;0,BH1933-VLOOKUP(BE$38,$A$2:$N$12,14,FALSE)," ")," ")</f>
        <v xml:space="preserve"> </v>
      </c>
      <c r="BJ1933" s="34" t="str">
        <f t="shared" ref="BJ1933" si="8387">IFERROR(IF(BH1933-VLOOKUP(BE$38,$A$2:$N$12,14,FALSE)&gt;0,BH1933-VLOOKUP(BE$38,$A$2:$N$12,14,FALSE)," ")," ")</f>
        <v xml:space="preserve"> </v>
      </c>
      <c r="BK1933" s="34">
        <f t="shared" ref="BK1933" si="8388">$M$9</f>
        <v>0</v>
      </c>
      <c r="BL1933" s="34">
        <v>-1</v>
      </c>
      <c r="BM1933" s="34">
        <f t="shared" ref="BM1933" si="8389">-SUMPRODUCT($M$2:$M$8,$N$2:$N$8)-SUMPRODUCT($M$10:$M$12,$N$10:$N$12)</f>
        <v>-120000</v>
      </c>
      <c r="BN1933" s="34" t="e">
        <f t="shared" ref="BN1933" si="8390">IF(BK1933&lt;&gt;BK1934,MMULT(MINVERSE(BK1933:BL1934),BM1933:BM1934)," ")</f>
        <v>#NUM!</v>
      </c>
      <c r="BO1933" s="34" t="str">
        <f t="shared" ref="BO1933" si="8391">IFERROR(IF(BN1933-VLOOKUP(BK$38,$A$2:$N$12,14,FALSE)&lt;0,BN1933-VLOOKUP(BK$38,$A$2:$N$12,14,FALSE)," ")," ")</f>
        <v xml:space="preserve"> </v>
      </c>
      <c r="BP1933" s="34" t="str">
        <f t="shared" ref="BP1933" si="8392">IFERROR(IF(BN1933-VLOOKUP(BK$38,$A$2:$N$12,14,FALSE)&gt;0,BN1933-VLOOKUP(BK$38,$A$2:$N$12,14,FALSE)," ")," ")</f>
        <v xml:space="preserve"> </v>
      </c>
      <c r="BQ1933" s="34">
        <f t="shared" ref="BQ1933" si="8393">$M$10</f>
        <v>0</v>
      </c>
      <c r="BR1933" s="34">
        <v>-1</v>
      </c>
      <c r="BS1933" s="34">
        <f t="shared" ref="BS1933" si="8394">-SUMPRODUCT($M$2:$M$9,$N$2:$N$9)-SUMPRODUCT($M$11:$M$12,$N$11:$N$12)</f>
        <v>-120000</v>
      </c>
      <c r="BT1933" s="34" t="e">
        <f t="shared" ref="BT1933" si="8395">IF(BQ1933&lt;&gt;BQ1934,MMULT(MINVERSE(BQ1933:BR1934),BS1933:BS1934)," ")</f>
        <v>#NUM!</v>
      </c>
      <c r="BU1933" s="34" t="str">
        <f t="shared" ref="BU1933" si="8396">IFERROR(IF(BT1933-VLOOKUP(BQ$38,$A$2:$N$12,14,FALSE)&lt;0,BT1933-VLOOKUP(BQ$38,$A$2:$N$12,14,FALSE)," ")," ")</f>
        <v xml:space="preserve"> </v>
      </c>
      <c r="BV1933" s="34" t="str">
        <f t="shared" ref="BV1933" si="8397">IFERROR(IF(BT1933-VLOOKUP(BQ$38,$A$2:$N$12,14,FALSE)&gt;0,BT1933-VLOOKUP(BQ$38,$A$2:$N$12,14,FALSE)," ")," ")</f>
        <v xml:space="preserve"> </v>
      </c>
      <c r="BW1933" s="34">
        <f t="shared" ref="BW1933" si="8398">$M$11</f>
        <v>0</v>
      </c>
      <c r="BX1933" s="34">
        <v>-1</v>
      </c>
      <c r="BY1933" s="34">
        <f t="shared" ref="BY1933" si="8399">-SUMPRODUCT($M$2:$M$10,$N$2:$N$10)-SUMPRODUCT($M$12,$N$12)</f>
        <v>-120000</v>
      </c>
      <c r="BZ1933" s="34" t="e">
        <f t="shared" ref="BZ1933" si="8400">IF(BW1933&lt;&gt;BW1934,MMULT(MINVERSE(BW1933:BX1934),BY1933:BY1934)," ")</f>
        <v>#NUM!</v>
      </c>
      <c r="CA1933" s="34" t="str">
        <f t="shared" ref="CA1933" si="8401">IFERROR(IF(BZ1933-VLOOKUP(BW$38,$A$2:$N$12,14,FALSE)&lt;0,BZ1933-VLOOKUP(BW$38,$A$2:$N$12,14,FALSE)," ")," ")</f>
        <v xml:space="preserve"> </v>
      </c>
      <c r="CB1933" s="34" t="str">
        <f t="shared" ref="CB1933" si="8402">IFERROR(IF(BZ1933-VLOOKUP(BW$38,$A$2:$N$12,14,FALSE)&gt;0,BZ1933-VLOOKUP(BW$38,$A$2:$N$12,14,FALSE)," ")," ")</f>
        <v xml:space="preserve"> </v>
      </c>
      <c r="CC1933" s="34">
        <f t="shared" ref="CC1933" si="8403">$M$12</f>
        <v>0</v>
      </c>
      <c r="CD1933" s="34">
        <v>-1</v>
      </c>
      <c r="CE1933" s="34">
        <f t="shared" ref="CE1933" si="8404">-SUMPRODUCT($M$2:$M$11,$N$2:$N$11)</f>
        <v>-120000</v>
      </c>
      <c r="CF1933" s="34" t="e">
        <f t="shared" ref="CF1933" si="8405">IF(CC1933&lt;&gt;CC1934,MMULT(MINVERSE(CC1933:CD1934),CE1933:CE1934)," ")</f>
        <v>#NUM!</v>
      </c>
      <c r="CG1933" s="34" t="str">
        <f t="shared" ref="CG1933" si="8406">IFERROR(IF(CF1933-VLOOKUP(CC$38,$A$2:$N$12,14,FALSE)&lt;0,CF1933-VLOOKUP(CC$38,$A$2:$N$12,14,FALSE)," ")," ")</f>
        <v xml:space="preserve"> </v>
      </c>
      <c r="CH1933" s="34" t="str">
        <f t="shared" ref="CH1933" si="8407">IFERROR(IF(CF1933-VLOOKUP(CC$38,$A$2:$N$12,14,FALSE)&gt;0,CF1933-VLOOKUP(CC$38,$A$2:$N$12,14,FALSE)," ")," ")</f>
        <v xml:space="preserve"> </v>
      </c>
      <c r="CI1933" s="8"/>
    </row>
    <row r="1934" spans="1:87" x14ac:dyDescent="0.2">
      <c r="A1934" s="8" t="str">
        <f>IF(AND(COUNTIF(W$3:W$13,A$16)&gt;0,A$16&lt;&gt;B1816),A$16,IFERROR(IF(MATCH(A$16,Z$3:Z$13,0)=6,A$16," ")," "))</f>
        <v xml:space="preserve"> </v>
      </c>
      <c r="B1934" s="8" t="str">
        <f>IF(A1934=" "," ",MAX(B1933:B1933)+1)</f>
        <v xml:space="preserve"> </v>
      </c>
      <c r="C1934" s="8" t="str">
        <f>IFERROR(INDEX(A1933:A1954,MATCH(SMALL(B1933:B1954,2),B1933:B1954,0),1)," ")</f>
        <v>C4</v>
      </c>
      <c r="D1934" s="8">
        <f t="shared" ref="D1934:D1943" si="8408">IFERROR(VLOOKUP($C1934,$A$15:$O$36,2,FALSE)," ")</f>
        <v>1</v>
      </c>
      <c r="E1934" s="8">
        <f t="shared" ref="E1934:E1943" si="8409">IFERROR(VLOOKUP($C1934,$A$15:$O$36,3,FALSE)," ")</f>
        <v>0</v>
      </c>
      <c r="F1934" s="8">
        <f t="shared" ref="F1934:F1943" si="8410">IFERROR(VLOOKUP($C1934,$A$15:$O$36,4,FALSE)," ")</f>
        <v>1</v>
      </c>
      <c r="G1934" s="8">
        <f t="shared" ref="G1934:G1943" si="8411">IFERROR(VLOOKUP($C1934,$A$15:$O$36,5,FALSE)," ")</f>
        <v>0</v>
      </c>
      <c r="H1934" s="8">
        <f t="shared" ref="H1934:H1943" si="8412">IFERROR(VLOOKUP($C1934,$A$15:$O$36,6,FALSE)," ")</f>
        <v>0</v>
      </c>
      <c r="I1934" s="8">
        <f t="shared" ref="I1934:I1943" si="8413">IFERROR(VLOOKUP($C1934,$A$15:$O$36,7,FALSE)," ")</f>
        <v>0</v>
      </c>
      <c r="J1934" s="8">
        <f t="shared" ref="J1934:J1943" si="8414">IFERROR(VLOOKUP($C1934,$A$15:$O$36,8,FALSE)," ")</f>
        <v>0</v>
      </c>
      <c r="K1934" s="8">
        <f t="shared" ref="K1934:K1943" si="8415">IFERROR(VLOOKUP($C1934,$A$15:$O$36,9,FALSE)," ")</f>
        <v>0</v>
      </c>
      <c r="L1934" s="8">
        <f t="shared" ref="L1934:L1943" si="8416">IFERROR(VLOOKUP($C1934,$A$15:$O$36,10,FALSE)," ")</f>
        <v>0</v>
      </c>
      <c r="M1934" s="8">
        <f t="shared" ref="M1934:M1943" si="8417">IFERROR(VLOOKUP($C1934,$A$15:$O$36,11,FALSE)," ")</f>
        <v>0</v>
      </c>
      <c r="N1934" s="8">
        <f t="shared" ref="N1934:N1943" si="8418">IFERROR(VLOOKUP($C1934,$A$15:$O$36,12,FALSE)," ")</f>
        <v>0</v>
      </c>
      <c r="O1934" s="8">
        <f t="shared" ref="O1934:O1943" si="8419">IFERROR(VLOOKUP($C1934,$A$15:$O$36,15,FALSE)," ")</f>
        <v>400</v>
      </c>
      <c r="P1934" s="8" t="e">
        <v>#NUM!</v>
      </c>
      <c r="Q1934" s="8" t="e">
        <f t="shared" ref="Q1934" si="8420">IF(COUNTIF(P1933:P1943,"&lt;"&amp;-0.001)=0,IF(ABS(P1934)&lt;0.001,0,P1934)," ")</f>
        <v>#NUM!</v>
      </c>
      <c r="R1934" s="8"/>
      <c r="S1934" s="8"/>
      <c r="U1934" s="34" t="e">
        <f t="shared" ref="U1934" si="8421">$Q1933</f>
        <v>#NUM!</v>
      </c>
      <c r="V1934" s="34">
        <v>-1</v>
      </c>
      <c r="W1934" s="34" t="e">
        <f t="shared" ref="W1934" si="8422">-SUMPRODUCT($Q1934:$Q1943,$N$3:$N$12)</f>
        <v>#NUM!</v>
      </c>
      <c r="X1934" s="34"/>
      <c r="Y1934" s="34"/>
      <c r="Z1934" s="34"/>
      <c r="AA1934" s="34" t="e">
        <f t="shared" ref="AA1934" si="8423">$Q1934</f>
        <v>#NUM!</v>
      </c>
      <c r="AB1934" s="34">
        <v>-1</v>
      </c>
      <c r="AC1934" s="34" t="e">
        <f t="shared" ref="AC1934" si="8424">-SUMPRODUCT($Q1933:$Q1933,$N$2:$N$2)-SUMPRODUCT($Q1935:$Q1943,$N$4:$N$12)</f>
        <v>#NUM!</v>
      </c>
      <c r="AD1934" s="34"/>
      <c r="AE1934" s="34"/>
      <c r="AF1934" s="34"/>
      <c r="AG1934" s="34" t="e">
        <f t="shared" ref="AG1934" si="8425">$Q1935</f>
        <v>#NUM!</v>
      </c>
      <c r="AH1934" s="34">
        <v>-1</v>
      </c>
      <c r="AI1934" s="34" t="e">
        <f t="shared" ref="AI1934" si="8426">-SUMPRODUCT($Q1933:$Q1934,$N$2:$N$3)-SUMPRODUCT($Q1936:$Q1943,$N$5:$N$12)</f>
        <v>#NUM!</v>
      </c>
      <c r="AJ1934" s="34"/>
      <c r="AK1934" s="34"/>
      <c r="AL1934" s="34"/>
      <c r="AM1934" s="34" t="e">
        <f t="shared" ref="AM1934" si="8427">$Q1936</f>
        <v>#NUM!</v>
      </c>
      <c r="AN1934" s="34">
        <v>-1</v>
      </c>
      <c r="AO1934" s="34" t="e">
        <f t="shared" ref="AO1934" si="8428">-SUMPRODUCT($Q1933:$Q1935,$N$2:$N$4)-SUMPRODUCT($Q1937:$Q1943,$N$6:$N$12)</f>
        <v>#NUM!</v>
      </c>
      <c r="AP1934" s="34"/>
      <c r="AQ1934" s="34"/>
      <c r="AR1934" s="34"/>
      <c r="AS1934" s="34" t="e">
        <f t="shared" ref="AS1934" si="8429">$Q1937</f>
        <v>#NUM!</v>
      </c>
      <c r="AT1934" s="34">
        <v>-1</v>
      </c>
      <c r="AU1934" s="34" t="e">
        <f t="shared" ref="AU1934" si="8430">-SUMPRODUCT($Q1933:$Q1936,$N$2:$N$5)-SUMPRODUCT($Q1938:$Q1943,$N$7:$N$12)</f>
        <v>#NUM!</v>
      </c>
      <c r="AV1934" s="34"/>
      <c r="AW1934" s="34"/>
      <c r="AX1934" s="34"/>
      <c r="AY1934" s="34" t="e">
        <f t="shared" ref="AY1934" si="8431">$Q1938</f>
        <v>#NUM!</v>
      </c>
      <c r="AZ1934" s="34">
        <v>-1</v>
      </c>
      <c r="BA1934" s="34" t="e">
        <f t="shared" ref="BA1934" si="8432">-SUMPRODUCT($Q1933:$Q1937,$N$2:$N$6)-SUMPRODUCT($Q1939:$Q1943,$N$8:$N$12)</f>
        <v>#NUM!</v>
      </c>
      <c r="BB1934" s="34"/>
      <c r="BC1934" s="34"/>
      <c r="BD1934" s="34"/>
      <c r="BE1934" s="34" t="e">
        <f t="shared" ref="BE1934" si="8433">$Q1939</f>
        <v>#NUM!</v>
      </c>
      <c r="BF1934" s="34">
        <v>-1</v>
      </c>
      <c r="BG1934" s="34" t="e">
        <f t="shared" ref="BG1934" si="8434">-SUMPRODUCT($Q1933:$Q1938,$N$2:$N$7)-SUMPRODUCT($Q1940:$Q1943,$N$9:$N$12)</f>
        <v>#NUM!</v>
      </c>
      <c r="BH1934" s="34"/>
      <c r="BI1934" s="34"/>
      <c r="BJ1934" s="34"/>
      <c r="BK1934" s="34" t="e">
        <f t="shared" ref="BK1934" si="8435">$Q1940</f>
        <v>#NUM!</v>
      </c>
      <c r="BL1934" s="34">
        <v>-1</v>
      </c>
      <c r="BM1934" s="34" t="e">
        <f t="shared" ref="BM1934" si="8436">-SUMPRODUCT($Q1933:$Q1939,$N$2:$N$8)-SUMPRODUCT($Q1941:$Q1943,$N$10:$N$12)</f>
        <v>#NUM!</v>
      </c>
      <c r="BN1934" s="34"/>
      <c r="BO1934" s="34"/>
      <c r="BP1934" s="34"/>
      <c r="BQ1934" s="34" t="e">
        <f t="shared" ref="BQ1934" si="8437">$Q1941</f>
        <v>#NUM!</v>
      </c>
      <c r="BR1934" s="34">
        <v>-1</v>
      </c>
      <c r="BS1934" s="34" t="e">
        <f t="shared" ref="BS1934" si="8438">-SUMPRODUCT($Q1933:$Q1940,$N$2:$N$9)-SUMPRODUCT($Q1942:$Q1943,$N$11:$N$12)</f>
        <v>#NUM!</v>
      </c>
      <c r="BT1934" s="34"/>
      <c r="BU1934" s="34"/>
      <c r="BV1934" s="34"/>
      <c r="BW1934" s="34" t="e">
        <f t="shared" ref="BW1934" si="8439">$Q1942</f>
        <v>#NUM!</v>
      </c>
      <c r="BX1934" s="34">
        <v>-1</v>
      </c>
      <c r="BY1934" s="34" t="e">
        <f t="shared" ref="BY1934" si="8440">-SUMPRODUCT($Q1933:$Q1941,$N$2:$N$10)-SUMPRODUCT($Q1943,$N$12)</f>
        <v>#NUM!</v>
      </c>
      <c r="BZ1934" s="34"/>
      <c r="CA1934" s="34"/>
      <c r="CB1934" s="34"/>
      <c r="CC1934" s="34" t="e">
        <f t="shared" ref="CC1934" si="8441">$Q1943</f>
        <v>#NUM!</v>
      </c>
      <c r="CD1934" s="34">
        <v>-1</v>
      </c>
      <c r="CE1934" s="34" t="e">
        <f t="shared" ref="CE1934" si="8442">-SUMPRODUCT($Q1933:$Q1942,$N$2:$N$11)</f>
        <v>#NUM!</v>
      </c>
      <c r="CF1934" s="34"/>
      <c r="CG1934" s="34"/>
      <c r="CH1934" s="34"/>
      <c r="CI1934" s="8"/>
    </row>
    <row r="1935" spans="1:87" x14ac:dyDescent="0.2">
      <c r="A1935" s="8" t="str">
        <f>IF(AND(COUNTIF(W$3:W$13,A$17)&gt;0,A$17&lt;&gt;B1816),A$17,IFERROR(IF(MATCH(A$17,Z$3:Z$13,0)=6,A$17," ")," "))</f>
        <v>C3</v>
      </c>
      <c r="B1935" s="8">
        <f>IF(A1935=" "," ",MAX(B1933:B1934)+1)</f>
        <v>1</v>
      </c>
      <c r="C1935" s="8" t="str">
        <f>IFERROR(INDEX(A1933:A1954,MATCH(SMALL(B1933:B1954,3),B1933:B1954,0),1)," ")</f>
        <v>C8</v>
      </c>
      <c r="D1935" s="8">
        <f t="shared" si="8408"/>
        <v>0</v>
      </c>
      <c r="E1935" s="8">
        <f t="shared" si="8409"/>
        <v>0</v>
      </c>
      <c r="F1935" s="8">
        <f t="shared" si="8410"/>
        <v>0</v>
      </c>
      <c r="G1935" s="8">
        <f t="shared" si="8411"/>
        <v>0</v>
      </c>
      <c r="H1935" s="8">
        <f t="shared" si="8412"/>
        <v>0</v>
      </c>
      <c r="I1935" s="8">
        <f t="shared" si="8413"/>
        <v>0</v>
      </c>
      <c r="J1935" s="8">
        <f t="shared" si="8414"/>
        <v>0</v>
      </c>
      <c r="K1935" s="8">
        <f t="shared" si="8415"/>
        <v>0</v>
      </c>
      <c r="L1935" s="8">
        <f t="shared" si="8416"/>
        <v>0</v>
      </c>
      <c r="M1935" s="8">
        <f t="shared" si="8417"/>
        <v>0</v>
      </c>
      <c r="N1935" s="8">
        <f t="shared" si="8418"/>
        <v>0</v>
      </c>
      <c r="O1935" s="8">
        <f t="shared" si="8419"/>
        <v>0</v>
      </c>
      <c r="P1935" s="8" t="e">
        <v>#NUM!</v>
      </c>
      <c r="Q1935" s="8" t="e">
        <f t="shared" ref="Q1935" si="8443">IF(COUNTIF(P1933:P1943,"&lt;"&amp;-0.001)=0,IF(ABS(P1935)&lt;0.001,0,P1935)," ")</f>
        <v>#NUM!</v>
      </c>
      <c r="R1935" s="8"/>
      <c r="S1935" s="8"/>
      <c r="U1935" s="34"/>
      <c r="V1935" s="34"/>
      <c r="W1935" s="34"/>
      <c r="X1935" s="34"/>
      <c r="Y1935" s="34"/>
      <c r="Z1935" s="34"/>
      <c r="AA1935" s="34"/>
      <c r="AB1935" s="34"/>
      <c r="AC1935" s="34"/>
      <c r="AD1935" s="34"/>
      <c r="AE1935" s="34"/>
      <c r="AF1935" s="34"/>
      <c r="AG1935" s="34"/>
      <c r="AH1935" s="34"/>
      <c r="AI1935" s="34"/>
      <c r="AJ1935" s="34"/>
      <c r="AK1935" s="34"/>
      <c r="AL1935" s="34"/>
      <c r="AM1935" s="34"/>
      <c r="AN1935" s="34"/>
      <c r="AO1935" s="34"/>
      <c r="AP1935" s="34"/>
      <c r="AQ1935" s="34"/>
      <c r="AR1935" s="34"/>
      <c r="AS1935" s="34"/>
      <c r="AT1935" s="34"/>
      <c r="AU1935" s="34"/>
      <c r="AV1935" s="34"/>
      <c r="AW1935" s="34"/>
      <c r="AX1935" s="34"/>
      <c r="AY1935" s="34"/>
      <c r="AZ1935" s="34"/>
      <c r="BA1935" s="34"/>
      <c r="BB1935" s="34"/>
      <c r="BC1935" s="34"/>
      <c r="BD1935" s="34"/>
      <c r="BE1935" s="34"/>
      <c r="BF1935" s="34"/>
      <c r="BG1935" s="34"/>
      <c r="BH1935" s="34"/>
      <c r="BI1935" s="34"/>
      <c r="BJ1935" s="34"/>
      <c r="BK1935" s="34"/>
      <c r="BL1935" s="34"/>
      <c r="BM1935" s="34"/>
      <c r="BN1935" s="34"/>
      <c r="BO1935" s="34"/>
      <c r="BP1935" s="34"/>
      <c r="BQ1935" s="34"/>
      <c r="BR1935" s="34"/>
      <c r="BS1935" s="34"/>
      <c r="BT1935" s="34"/>
      <c r="BU1935" s="34"/>
      <c r="BV1935" s="34"/>
      <c r="BW1935" s="34"/>
      <c r="BX1935" s="34"/>
      <c r="BY1935" s="34"/>
      <c r="BZ1935" s="34"/>
      <c r="CA1935" s="34"/>
      <c r="CB1935" s="34"/>
      <c r="CC1935" s="34"/>
      <c r="CD1935" s="34"/>
      <c r="CE1935" s="34"/>
      <c r="CF1935" s="34"/>
      <c r="CG1935" s="34"/>
      <c r="CH1935" s="34"/>
      <c r="CI1935" s="8"/>
    </row>
    <row r="1936" spans="1:87" x14ac:dyDescent="0.2">
      <c r="A1936" s="8" t="str">
        <f>IF(AND(COUNTIF(W$3:W$13,A$18)&gt;0,A$18&lt;&gt;B1816),A$18,IFERROR(IF(MATCH(A$18,Z$3:Z$13,0)=6,A$18," ")," "))</f>
        <v>C4</v>
      </c>
      <c r="B1936" s="8">
        <f>IF(A1936=" "," ",MAX(B1933:B1935)+1)</f>
        <v>2</v>
      </c>
      <c r="C1936" s="8" t="str">
        <f>IFERROR(INDEX(A1933:A1954,MATCH(SMALL(B1933:B1954,4),B1933:B1954,0),1)," ")</f>
        <v>C13</v>
      </c>
      <c r="D1936" s="8">
        <f t="shared" si="8408"/>
        <v>0</v>
      </c>
      <c r="E1936" s="8">
        <f t="shared" si="8409"/>
        <v>1</v>
      </c>
      <c r="F1936" s="8">
        <f t="shared" si="8410"/>
        <v>0</v>
      </c>
      <c r="G1936" s="8">
        <f t="shared" si="8411"/>
        <v>0</v>
      </c>
      <c r="H1936" s="8">
        <f t="shared" si="8412"/>
        <v>0</v>
      </c>
      <c r="I1936" s="8">
        <f t="shared" si="8413"/>
        <v>0</v>
      </c>
      <c r="J1936" s="8">
        <f t="shared" si="8414"/>
        <v>0</v>
      </c>
      <c r="K1936" s="8">
        <f t="shared" si="8415"/>
        <v>0</v>
      </c>
      <c r="L1936" s="8">
        <f t="shared" si="8416"/>
        <v>0</v>
      </c>
      <c r="M1936" s="8">
        <f t="shared" si="8417"/>
        <v>0</v>
      </c>
      <c r="N1936" s="8">
        <f t="shared" si="8418"/>
        <v>0</v>
      </c>
      <c r="O1936" s="8">
        <f t="shared" si="8419"/>
        <v>0</v>
      </c>
      <c r="P1936" s="8" t="e">
        <v>#NUM!</v>
      </c>
      <c r="Q1936" s="8" t="e">
        <f t="shared" ref="Q1936" si="8444">IF(COUNTIF(P1933:P1943,"&lt;"&amp;-0.001)=0,IF(ABS(P1936)&lt;0.001,0,P1936)," ")</f>
        <v>#NUM!</v>
      </c>
      <c r="R1936" s="8"/>
      <c r="S1936" s="8"/>
      <c r="U1936" s="34"/>
      <c r="V1936" s="34"/>
      <c r="W1936" s="34"/>
      <c r="X1936" s="34"/>
      <c r="Y1936" s="34"/>
      <c r="Z1936" s="34"/>
      <c r="AA1936" s="34"/>
      <c r="AB1936" s="34"/>
      <c r="AC1936" s="34"/>
      <c r="AD1936" s="34"/>
      <c r="AE1936" s="34"/>
      <c r="AF1936" s="34"/>
      <c r="AG1936" s="34"/>
      <c r="AH1936" s="34"/>
      <c r="AI1936" s="34"/>
      <c r="AJ1936" s="34"/>
      <c r="AK1936" s="34"/>
      <c r="AL1936" s="34"/>
      <c r="AM1936" s="34"/>
      <c r="AN1936" s="34"/>
      <c r="AO1936" s="34"/>
      <c r="AP1936" s="34"/>
      <c r="AQ1936" s="34"/>
      <c r="AR1936" s="34"/>
      <c r="AS1936" s="34"/>
      <c r="AT1936" s="34"/>
      <c r="AU1936" s="34"/>
      <c r="AV1936" s="34"/>
      <c r="AW1936" s="34"/>
      <c r="AX1936" s="34"/>
      <c r="AY1936" s="34"/>
      <c r="AZ1936" s="34"/>
      <c r="BA1936" s="34"/>
      <c r="BB1936" s="34"/>
      <c r="BC1936" s="34"/>
      <c r="BD1936" s="34"/>
      <c r="BE1936" s="34"/>
      <c r="BF1936" s="34"/>
      <c r="BG1936" s="34"/>
      <c r="BH1936" s="34"/>
      <c r="BI1936" s="34"/>
      <c r="BJ1936" s="34"/>
      <c r="BK1936" s="34"/>
      <c r="BL1936" s="34"/>
      <c r="BM1936" s="34"/>
      <c r="BN1936" s="34"/>
      <c r="BO1936" s="34"/>
      <c r="BP1936" s="34"/>
      <c r="BQ1936" s="34"/>
      <c r="BR1936" s="34"/>
      <c r="BS1936" s="34"/>
      <c r="BT1936" s="34"/>
      <c r="BU1936" s="34"/>
      <c r="BV1936" s="34"/>
      <c r="BW1936" s="34"/>
      <c r="BX1936" s="34"/>
      <c r="BY1936" s="34"/>
      <c r="BZ1936" s="34"/>
      <c r="CA1936" s="34"/>
      <c r="CB1936" s="34"/>
      <c r="CC1936" s="34"/>
      <c r="CD1936" s="34"/>
      <c r="CE1936" s="34"/>
      <c r="CF1936" s="34"/>
      <c r="CG1936" s="34"/>
      <c r="CH1936" s="34"/>
      <c r="CI1936" s="8"/>
    </row>
    <row r="1937" spans="1:87" x14ac:dyDescent="0.2">
      <c r="A1937" s="8" t="str">
        <f>IF(AND(COUNTIF(W$3:W$13,A$19)&gt;0,A$19&lt;&gt;B1816),A$19,IFERROR(IF(MATCH(A$19,Z$3:Z$13,0)=6,A$19," ")," "))</f>
        <v xml:space="preserve"> </v>
      </c>
      <c r="B1937" s="8" t="str">
        <f>IF(A1937=" "," ",MAX(B1933:B1936)+1)</f>
        <v xml:space="preserve"> </v>
      </c>
      <c r="C1937" s="8" t="str">
        <f>IFERROR(INDEX(A1933:A1954,MATCH(SMALL(B1933:B1954,5),B1933:B1954,0),1)," ")</f>
        <v>C15</v>
      </c>
      <c r="D1937" s="8">
        <f t="shared" si="8408"/>
        <v>0</v>
      </c>
      <c r="E1937" s="8">
        <f t="shared" si="8409"/>
        <v>0</v>
      </c>
      <c r="F1937" s="8">
        <f t="shared" si="8410"/>
        <v>0</v>
      </c>
      <c r="G1937" s="8">
        <f t="shared" si="8411"/>
        <v>1</v>
      </c>
      <c r="H1937" s="8">
        <f t="shared" si="8412"/>
        <v>0</v>
      </c>
      <c r="I1937" s="8">
        <f t="shared" si="8413"/>
        <v>0</v>
      </c>
      <c r="J1937" s="8">
        <f t="shared" si="8414"/>
        <v>0</v>
      </c>
      <c r="K1937" s="8">
        <f t="shared" si="8415"/>
        <v>0</v>
      </c>
      <c r="L1937" s="8">
        <f t="shared" si="8416"/>
        <v>0</v>
      </c>
      <c r="M1937" s="8">
        <f t="shared" si="8417"/>
        <v>0</v>
      </c>
      <c r="N1937" s="8">
        <f t="shared" si="8418"/>
        <v>0</v>
      </c>
      <c r="O1937" s="8">
        <f t="shared" si="8419"/>
        <v>0</v>
      </c>
      <c r="P1937" s="8" t="e">
        <v>#NUM!</v>
      </c>
      <c r="Q1937" s="8" t="e">
        <f t="shared" ref="Q1937" si="8445">IF(COUNTIF(P1933:P1943,"&lt;"&amp;-0.001)=0,IF(ABS(P1937)&lt;0.001,0,P1937)," ")</f>
        <v>#NUM!</v>
      </c>
      <c r="R1937" s="8"/>
      <c r="S1937" s="8"/>
      <c r="U1937" s="34"/>
      <c r="V1937" s="34"/>
      <c r="W1937" s="34"/>
      <c r="X1937" s="34"/>
      <c r="Y1937" s="34"/>
      <c r="Z1937" s="34"/>
      <c r="AA1937" s="34"/>
      <c r="AB1937" s="34"/>
      <c r="AC1937" s="34"/>
      <c r="AD1937" s="34"/>
      <c r="AE1937" s="34"/>
      <c r="AF1937" s="34"/>
      <c r="AG1937" s="34"/>
      <c r="AH1937" s="34"/>
      <c r="AI1937" s="34"/>
      <c r="AJ1937" s="34"/>
      <c r="AK1937" s="34"/>
      <c r="AL1937" s="34"/>
      <c r="AM1937" s="34"/>
      <c r="AN1937" s="34"/>
      <c r="AO1937" s="34"/>
      <c r="AP1937" s="34"/>
      <c r="AQ1937" s="34"/>
      <c r="AR1937" s="34"/>
      <c r="AS1937" s="34"/>
      <c r="AT1937" s="34"/>
      <c r="AU1937" s="34"/>
      <c r="AV1937" s="34"/>
      <c r="AW1937" s="34"/>
      <c r="AX1937" s="34"/>
      <c r="AY1937" s="34"/>
      <c r="AZ1937" s="34"/>
      <c r="BA1937" s="34"/>
      <c r="BB1937" s="34"/>
      <c r="BC1937" s="34"/>
      <c r="BD1937" s="34"/>
      <c r="BE1937" s="34"/>
      <c r="BF1937" s="34"/>
      <c r="BG1937" s="34"/>
      <c r="BH1937" s="34"/>
      <c r="BI1937" s="34"/>
      <c r="BJ1937" s="34"/>
      <c r="BK1937" s="34"/>
      <c r="BL1937" s="34"/>
      <c r="BM1937" s="34"/>
      <c r="BN1937" s="34"/>
      <c r="BO1937" s="34"/>
      <c r="BP1937" s="34"/>
      <c r="BQ1937" s="34"/>
      <c r="BR1937" s="34"/>
      <c r="BS1937" s="34"/>
      <c r="BT1937" s="34"/>
      <c r="BU1937" s="34"/>
      <c r="BV1937" s="34"/>
      <c r="BW1937" s="34"/>
      <c r="BX1937" s="34"/>
      <c r="BY1937" s="34"/>
      <c r="BZ1937" s="34"/>
      <c r="CA1937" s="34"/>
      <c r="CB1937" s="34"/>
      <c r="CC1937" s="34"/>
      <c r="CD1937" s="34"/>
      <c r="CE1937" s="34"/>
      <c r="CF1937" s="34"/>
      <c r="CG1937" s="34"/>
      <c r="CH1937" s="34"/>
      <c r="CI1937" s="8"/>
    </row>
    <row r="1938" spans="1:87" x14ac:dyDescent="0.2">
      <c r="A1938" s="8" t="str">
        <f>IF(AND(COUNTIF(W$3:W$13,A$20)&gt;0,A$20&lt;&gt;B1816),A$20,IFERROR(IF(MATCH(A$20,Z$3:Z$13,0)=6,A$20," ")," "))</f>
        <v xml:space="preserve"> </v>
      </c>
      <c r="B1938" s="8" t="str">
        <f>IF(A1938=" "," ",MAX(B1933:B1937)+1)</f>
        <v xml:space="preserve"> </v>
      </c>
      <c r="C1938" s="8" t="str">
        <f>IFERROR(INDEX(A1933:A1954,MATCH(SMALL(B1933:B1954,6),B1933:B1954,0),1)," ")</f>
        <v>C16</v>
      </c>
      <c r="D1938" s="8">
        <f t="shared" si="8408"/>
        <v>0</v>
      </c>
      <c r="E1938" s="8">
        <f t="shared" si="8409"/>
        <v>0</v>
      </c>
      <c r="F1938" s="8">
        <f t="shared" si="8410"/>
        <v>0</v>
      </c>
      <c r="G1938" s="8">
        <f t="shared" si="8411"/>
        <v>0</v>
      </c>
      <c r="H1938" s="8">
        <f t="shared" si="8412"/>
        <v>1</v>
      </c>
      <c r="I1938" s="8">
        <f t="shared" si="8413"/>
        <v>0</v>
      </c>
      <c r="J1938" s="8">
        <f t="shared" si="8414"/>
        <v>0</v>
      </c>
      <c r="K1938" s="8">
        <f t="shared" si="8415"/>
        <v>0</v>
      </c>
      <c r="L1938" s="8">
        <f t="shared" si="8416"/>
        <v>0</v>
      </c>
      <c r="M1938" s="8">
        <f t="shared" si="8417"/>
        <v>0</v>
      </c>
      <c r="N1938" s="8">
        <f t="shared" si="8418"/>
        <v>0</v>
      </c>
      <c r="O1938" s="8">
        <f t="shared" si="8419"/>
        <v>0</v>
      </c>
      <c r="P1938" s="8" t="e">
        <v>#NUM!</v>
      </c>
      <c r="Q1938" s="8" t="e">
        <f t="shared" ref="Q1938" si="8446">IF(COUNTIF(P1933:P1943,"&lt;"&amp;-0.001)=0,IF(ABS(P1938)&lt;0.001,0,P1938)," ")</f>
        <v>#NUM!</v>
      </c>
      <c r="R1938" s="8"/>
      <c r="S1938" s="8"/>
      <c r="U1938" s="34"/>
      <c r="V1938" s="34"/>
      <c r="W1938" s="34"/>
      <c r="X1938" s="34"/>
      <c r="Y1938" s="34"/>
      <c r="Z1938" s="34"/>
      <c r="AA1938" s="34"/>
      <c r="AB1938" s="34"/>
      <c r="AC1938" s="34"/>
      <c r="AD1938" s="34"/>
      <c r="AE1938" s="34"/>
      <c r="AF1938" s="34"/>
      <c r="AG1938" s="34"/>
      <c r="AH1938" s="34"/>
      <c r="AI1938" s="34"/>
      <c r="AJ1938" s="34"/>
      <c r="AK1938" s="34"/>
      <c r="AL1938" s="34"/>
      <c r="AM1938" s="34"/>
      <c r="AN1938" s="34"/>
      <c r="AO1938" s="34"/>
      <c r="AP1938" s="34"/>
      <c r="AQ1938" s="34"/>
      <c r="AR1938" s="34"/>
      <c r="AS1938" s="34"/>
      <c r="AT1938" s="34"/>
      <c r="AU1938" s="34"/>
      <c r="AV1938" s="34"/>
      <c r="AW1938" s="34"/>
      <c r="AX1938" s="34"/>
      <c r="AY1938" s="34"/>
      <c r="AZ1938" s="34"/>
      <c r="BA1938" s="34"/>
      <c r="BB1938" s="34"/>
      <c r="BC1938" s="34"/>
      <c r="BD1938" s="34"/>
      <c r="BE1938" s="34"/>
      <c r="BF1938" s="34"/>
      <c r="BG1938" s="34"/>
      <c r="BH1938" s="34"/>
      <c r="BI1938" s="34"/>
      <c r="BJ1938" s="34"/>
      <c r="BK1938" s="34"/>
      <c r="BL1938" s="34"/>
      <c r="BM1938" s="34"/>
      <c r="BN1938" s="34"/>
      <c r="BO1938" s="34"/>
      <c r="BP1938" s="34"/>
      <c r="BQ1938" s="34"/>
      <c r="BR1938" s="34"/>
      <c r="BS1938" s="34"/>
      <c r="BT1938" s="34"/>
      <c r="BU1938" s="34"/>
      <c r="BV1938" s="34"/>
      <c r="BW1938" s="34"/>
      <c r="BX1938" s="34"/>
      <c r="BY1938" s="34"/>
      <c r="BZ1938" s="34"/>
      <c r="CA1938" s="34"/>
      <c r="CB1938" s="34"/>
      <c r="CC1938" s="34"/>
      <c r="CD1938" s="34"/>
      <c r="CE1938" s="34"/>
      <c r="CF1938" s="34"/>
      <c r="CG1938" s="34"/>
      <c r="CH1938" s="34"/>
      <c r="CI1938" s="8"/>
    </row>
    <row r="1939" spans="1:87" x14ac:dyDescent="0.2">
      <c r="A1939" s="8" t="str">
        <f>IF(AND(COUNTIF(W$3:W$13,A$21)&gt;0,A$21&lt;&gt;B1816),A$21,IFERROR(IF(MATCH(A$21,Z$3:Z$13,0)=6,A$21," ")," "))</f>
        <v xml:space="preserve"> </v>
      </c>
      <c r="B1939" s="8" t="str">
        <f>IF(A1939=" "," ",MAX(B1933:B1938)+1)</f>
        <v xml:space="preserve"> </v>
      </c>
      <c r="C1939" s="8" t="str">
        <f>IFERROR(INDEX(A1933:A1954,MATCH(SMALL(B1933:B1954,7),B1933:B1954,0),1)," ")</f>
        <v>C17</v>
      </c>
      <c r="D1939" s="8">
        <f t="shared" si="8408"/>
        <v>0</v>
      </c>
      <c r="E1939" s="8">
        <f t="shared" si="8409"/>
        <v>0</v>
      </c>
      <c r="F1939" s="8">
        <f t="shared" si="8410"/>
        <v>0</v>
      </c>
      <c r="G1939" s="8">
        <f t="shared" si="8411"/>
        <v>0</v>
      </c>
      <c r="H1939" s="8">
        <f t="shared" si="8412"/>
        <v>0</v>
      </c>
      <c r="I1939" s="8">
        <f t="shared" si="8413"/>
        <v>1</v>
      </c>
      <c r="J1939" s="8">
        <f t="shared" si="8414"/>
        <v>0</v>
      </c>
      <c r="K1939" s="8">
        <f t="shared" si="8415"/>
        <v>0</v>
      </c>
      <c r="L1939" s="8">
        <f t="shared" si="8416"/>
        <v>0</v>
      </c>
      <c r="M1939" s="8">
        <f t="shared" si="8417"/>
        <v>0</v>
      </c>
      <c r="N1939" s="8">
        <f t="shared" si="8418"/>
        <v>0</v>
      </c>
      <c r="O1939" s="8">
        <f t="shared" si="8419"/>
        <v>0</v>
      </c>
      <c r="P1939" s="8" t="e">
        <v>#NUM!</v>
      </c>
      <c r="Q1939" s="8" t="e">
        <f t="shared" ref="Q1939" si="8447">IF(COUNTIF(P1933:P1943,"&lt;"&amp;-0.001)=0,IF(ABS(P1939)&lt;0.001,0,P1939)," ")</f>
        <v>#NUM!</v>
      </c>
      <c r="R1939" s="8"/>
      <c r="S1939" s="8"/>
      <c r="U1939" s="34"/>
      <c r="V1939" s="34"/>
      <c r="W1939" s="34"/>
      <c r="X1939" s="34"/>
      <c r="Y1939" s="34"/>
      <c r="Z1939" s="34"/>
      <c r="AA1939" s="34"/>
      <c r="AB1939" s="34"/>
      <c r="AC1939" s="34"/>
      <c r="AD1939" s="34"/>
      <c r="AE1939" s="34"/>
      <c r="AF1939" s="34"/>
      <c r="AG1939" s="34"/>
      <c r="AH1939" s="34"/>
      <c r="AI1939" s="34"/>
      <c r="AJ1939" s="34"/>
      <c r="AK1939" s="34"/>
      <c r="AL1939" s="34"/>
      <c r="AM1939" s="34"/>
      <c r="AN1939" s="34"/>
      <c r="AO1939" s="34"/>
      <c r="AP1939" s="34"/>
      <c r="AQ1939" s="34"/>
      <c r="AR1939" s="34"/>
      <c r="AS1939" s="34"/>
      <c r="AT1939" s="34"/>
      <c r="AU1939" s="34"/>
      <c r="AV1939" s="34"/>
      <c r="AW1939" s="34"/>
      <c r="AX1939" s="34"/>
      <c r="AY1939" s="34"/>
      <c r="AZ1939" s="34"/>
      <c r="BA1939" s="34"/>
      <c r="BB1939" s="34"/>
      <c r="BC1939" s="34"/>
      <c r="BD1939" s="34"/>
      <c r="BE1939" s="34"/>
      <c r="BF1939" s="34"/>
      <c r="BG1939" s="34"/>
      <c r="BH1939" s="34"/>
      <c r="BI1939" s="34"/>
      <c r="BJ1939" s="34"/>
      <c r="BK1939" s="34"/>
      <c r="BL1939" s="34"/>
      <c r="BM1939" s="34"/>
      <c r="BN1939" s="34"/>
      <c r="BO1939" s="34"/>
      <c r="BP1939" s="34"/>
      <c r="BQ1939" s="34"/>
      <c r="BR1939" s="34"/>
      <c r="BS1939" s="34"/>
      <c r="BT1939" s="34"/>
      <c r="BU1939" s="34"/>
      <c r="BV1939" s="34"/>
      <c r="BW1939" s="34"/>
      <c r="BX1939" s="34"/>
      <c r="BY1939" s="34"/>
      <c r="BZ1939" s="34"/>
      <c r="CA1939" s="34"/>
      <c r="CB1939" s="34"/>
      <c r="CC1939" s="34"/>
      <c r="CD1939" s="34"/>
      <c r="CE1939" s="34"/>
      <c r="CF1939" s="34"/>
      <c r="CG1939" s="34"/>
      <c r="CH1939" s="34"/>
      <c r="CI1939" s="8"/>
    </row>
    <row r="1940" spans="1:87" x14ac:dyDescent="0.2">
      <c r="A1940" s="8" t="str">
        <f>IF(AND(COUNTIF(W$3:W$13,A$22)&gt;0,A$22&lt;&gt;B1816),A$22,IFERROR(IF(MATCH(A$22,Z$3:Z$13,0)=6,A$22," ")," "))</f>
        <v>C8</v>
      </c>
      <c r="B1940" s="8">
        <f>IF(A1940=" "," ",MAX(B1933:B1939)+1)</f>
        <v>3</v>
      </c>
      <c r="C1940" s="8" t="str">
        <f>IFERROR(INDEX(A1933:A1954,MATCH(SMALL(B1933:B1954,8),B1933:B1954,0),1)," ")</f>
        <v>C18</v>
      </c>
      <c r="D1940" s="8">
        <f t="shared" si="8408"/>
        <v>0</v>
      </c>
      <c r="E1940" s="8">
        <f t="shared" si="8409"/>
        <v>0</v>
      </c>
      <c r="F1940" s="8">
        <f t="shared" si="8410"/>
        <v>0</v>
      </c>
      <c r="G1940" s="8">
        <f t="shared" si="8411"/>
        <v>0</v>
      </c>
      <c r="H1940" s="8">
        <f t="shared" si="8412"/>
        <v>0</v>
      </c>
      <c r="I1940" s="8">
        <f t="shared" si="8413"/>
        <v>0</v>
      </c>
      <c r="J1940" s="8">
        <f t="shared" si="8414"/>
        <v>1</v>
      </c>
      <c r="K1940" s="8">
        <f t="shared" si="8415"/>
        <v>0</v>
      </c>
      <c r="L1940" s="8">
        <f t="shared" si="8416"/>
        <v>0</v>
      </c>
      <c r="M1940" s="8">
        <f t="shared" si="8417"/>
        <v>0</v>
      </c>
      <c r="N1940" s="8">
        <f t="shared" si="8418"/>
        <v>0</v>
      </c>
      <c r="O1940" s="8">
        <f t="shared" si="8419"/>
        <v>0</v>
      </c>
      <c r="P1940" s="8" t="e">
        <v>#NUM!</v>
      </c>
      <c r="Q1940" s="8" t="e">
        <f t="shared" ref="Q1940" si="8448">IF(COUNTIF(P1933:P1943,"&lt;"&amp;-0.001)=0,IF(ABS(P1940)&lt;0.001,0,P1940)," ")</f>
        <v>#NUM!</v>
      </c>
      <c r="R1940" s="8"/>
      <c r="S1940" s="8"/>
      <c r="U1940" s="34"/>
      <c r="V1940" s="34"/>
      <c r="W1940" s="34"/>
      <c r="X1940" s="34"/>
      <c r="Y1940" s="34"/>
      <c r="Z1940" s="34"/>
      <c r="AA1940" s="34"/>
      <c r="AB1940" s="34"/>
      <c r="AC1940" s="34"/>
      <c r="AD1940" s="34"/>
      <c r="AE1940" s="34"/>
      <c r="AF1940" s="34"/>
      <c r="AG1940" s="34"/>
      <c r="AH1940" s="34"/>
      <c r="AI1940" s="34"/>
      <c r="AJ1940" s="34"/>
      <c r="AK1940" s="34"/>
      <c r="AL1940" s="34"/>
      <c r="AM1940" s="34"/>
      <c r="AN1940" s="34"/>
      <c r="AO1940" s="34"/>
      <c r="AP1940" s="34"/>
      <c r="AQ1940" s="34"/>
      <c r="AR1940" s="34"/>
      <c r="AS1940" s="34"/>
      <c r="AT1940" s="34"/>
      <c r="AU1940" s="34"/>
      <c r="AV1940" s="34"/>
      <c r="AW1940" s="34"/>
      <c r="AX1940" s="34"/>
      <c r="AY1940" s="34"/>
      <c r="AZ1940" s="34"/>
      <c r="BA1940" s="34"/>
      <c r="BB1940" s="34"/>
      <c r="BC1940" s="34"/>
      <c r="BD1940" s="34"/>
      <c r="BE1940" s="34"/>
      <c r="BF1940" s="34"/>
      <c r="BG1940" s="34"/>
      <c r="BH1940" s="34"/>
      <c r="BI1940" s="34"/>
      <c r="BJ1940" s="34"/>
      <c r="BK1940" s="34"/>
      <c r="BL1940" s="34"/>
      <c r="BM1940" s="34"/>
      <c r="BN1940" s="34"/>
      <c r="BO1940" s="34"/>
      <c r="BP1940" s="34"/>
      <c r="BQ1940" s="34"/>
      <c r="BR1940" s="34"/>
      <c r="BS1940" s="34"/>
      <c r="BT1940" s="34"/>
      <c r="BU1940" s="34"/>
      <c r="BV1940" s="34"/>
      <c r="BW1940" s="34"/>
      <c r="BX1940" s="34"/>
      <c r="BY1940" s="34"/>
      <c r="BZ1940" s="34"/>
      <c r="CA1940" s="34"/>
      <c r="CB1940" s="34"/>
      <c r="CC1940" s="34"/>
      <c r="CD1940" s="34"/>
      <c r="CE1940" s="34"/>
      <c r="CF1940" s="34"/>
      <c r="CG1940" s="34"/>
      <c r="CH1940" s="34"/>
      <c r="CI1940" s="8"/>
    </row>
    <row r="1941" spans="1:87" x14ac:dyDescent="0.2">
      <c r="A1941" s="8" t="str">
        <f>IF(AND(COUNTIF(W$3:W$13,A$23)&gt;0,A$23&lt;&gt;B1816),A$23,IFERROR(IF(MATCH(A$23,Z$3:Z$13,0)=6,A$23," ")," "))</f>
        <v xml:space="preserve"> </v>
      </c>
      <c r="B1941" s="8" t="str">
        <f>IF(A1941=" "," ",MAX(B1933:B1940)+1)</f>
        <v xml:space="preserve"> </v>
      </c>
      <c r="C1941" s="8" t="str">
        <f>IFERROR(INDEX(A1933:A1954,MATCH(SMALL(B1933:B1954,9),B1933:B1954,0),1)," ")</f>
        <v>C20</v>
      </c>
      <c r="D1941" s="8">
        <f t="shared" si="8408"/>
        <v>0</v>
      </c>
      <c r="E1941" s="8">
        <f t="shared" si="8409"/>
        <v>0</v>
      </c>
      <c r="F1941" s="8">
        <f t="shared" si="8410"/>
        <v>0</v>
      </c>
      <c r="G1941" s="8">
        <f t="shared" si="8411"/>
        <v>0</v>
      </c>
      <c r="H1941" s="8">
        <f t="shared" si="8412"/>
        <v>0</v>
      </c>
      <c r="I1941" s="8">
        <f t="shared" si="8413"/>
        <v>0</v>
      </c>
      <c r="J1941" s="8">
        <f t="shared" si="8414"/>
        <v>0</v>
      </c>
      <c r="K1941" s="8">
        <f t="shared" si="8415"/>
        <v>0</v>
      </c>
      <c r="L1941" s="8">
        <f t="shared" si="8416"/>
        <v>1</v>
      </c>
      <c r="M1941" s="8">
        <f t="shared" si="8417"/>
        <v>0</v>
      </c>
      <c r="N1941" s="8">
        <f t="shared" si="8418"/>
        <v>0</v>
      </c>
      <c r="O1941" s="8">
        <f t="shared" si="8419"/>
        <v>0</v>
      </c>
      <c r="P1941" s="6" t="e">
        <v>#NUM!</v>
      </c>
      <c r="Q1941" s="8" t="e">
        <f t="shared" ref="Q1941" si="8449">IF(COUNTIF(P1933:P1943,"&lt;"&amp;-0.001)=0,IF(ABS(P1941)&lt;0.001,0,P1941)," ")</f>
        <v>#NUM!</v>
      </c>
      <c r="R1941" s="8"/>
      <c r="S1941" s="8"/>
      <c r="U1941" s="34"/>
      <c r="V1941" s="34"/>
      <c r="W1941" s="34"/>
      <c r="X1941" s="34"/>
      <c r="Y1941" s="34"/>
      <c r="Z1941" s="34"/>
      <c r="AA1941" s="34"/>
      <c r="AB1941" s="34"/>
      <c r="AC1941" s="34"/>
      <c r="AD1941" s="34"/>
      <c r="AE1941" s="34"/>
      <c r="AF1941" s="34"/>
      <c r="AG1941" s="34"/>
      <c r="AH1941" s="34"/>
      <c r="AI1941" s="34"/>
      <c r="AJ1941" s="34"/>
      <c r="AK1941" s="34"/>
      <c r="AL1941" s="34"/>
      <c r="AM1941" s="34"/>
      <c r="AN1941" s="34"/>
      <c r="AO1941" s="34"/>
      <c r="AP1941" s="34"/>
      <c r="AQ1941" s="34"/>
      <c r="AR1941" s="34"/>
      <c r="AS1941" s="34"/>
      <c r="AT1941" s="34"/>
      <c r="AU1941" s="34"/>
      <c r="AV1941" s="34"/>
      <c r="AW1941" s="34"/>
      <c r="AX1941" s="34"/>
      <c r="AY1941" s="34"/>
      <c r="AZ1941" s="34"/>
      <c r="BA1941" s="34"/>
      <c r="BB1941" s="34"/>
      <c r="BC1941" s="34"/>
      <c r="BD1941" s="34"/>
      <c r="BE1941" s="34"/>
      <c r="BF1941" s="34"/>
      <c r="BG1941" s="34"/>
      <c r="BH1941" s="34"/>
      <c r="BI1941" s="34"/>
      <c r="BJ1941" s="34"/>
      <c r="BK1941" s="34"/>
      <c r="BL1941" s="34"/>
      <c r="BM1941" s="34"/>
      <c r="BN1941" s="34"/>
      <c r="BO1941" s="34"/>
      <c r="BP1941" s="34"/>
      <c r="BQ1941" s="34"/>
      <c r="BR1941" s="34"/>
      <c r="BS1941" s="34"/>
      <c r="BT1941" s="34"/>
      <c r="BU1941" s="34"/>
      <c r="BV1941" s="34"/>
      <c r="BW1941" s="34"/>
      <c r="BX1941" s="34"/>
      <c r="BY1941" s="34"/>
      <c r="BZ1941" s="34"/>
      <c r="CA1941" s="34"/>
      <c r="CB1941" s="34"/>
      <c r="CC1941" s="34"/>
      <c r="CD1941" s="34"/>
      <c r="CE1941" s="34"/>
      <c r="CF1941" s="34"/>
      <c r="CG1941" s="34"/>
      <c r="CH1941" s="34"/>
      <c r="CI1941" s="8"/>
    </row>
    <row r="1942" spans="1:87" x14ac:dyDescent="0.2">
      <c r="A1942" s="8" t="str">
        <f>IF(AND(COUNTIF(W$3:W$13,A$24)&gt;0,A$24&lt;&gt;B1816),A$24,IFERROR(IF(MATCH(A$24,Z$3:Z$13,0)=6,A$24," ")," "))</f>
        <v xml:space="preserve"> </v>
      </c>
      <c r="B1942" s="8" t="str">
        <f>IF(A1942=" "," ",MAX(B1933:B1941)+1)</f>
        <v xml:space="preserve"> </v>
      </c>
      <c r="C1942" s="8" t="str">
        <f>IFERROR(INDEX(A1933:A1954,MATCH(SMALL(B1933:B1954,10),B1933:B1954,0),1)," ")</f>
        <v>C21</v>
      </c>
      <c r="D1942" s="8">
        <f t="shared" si="8408"/>
        <v>0</v>
      </c>
      <c r="E1942" s="8">
        <f t="shared" si="8409"/>
        <v>0</v>
      </c>
      <c r="F1942" s="8">
        <f t="shared" si="8410"/>
        <v>0</v>
      </c>
      <c r="G1942" s="8">
        <f t="shared" si="8411"/>
        <v>0</v>
      </c>
      <c r="H1942" s="8">
        <f t="shared" si="8412"/>
        <v>0</v>
      </c>
      <c r="I1942" s="8">
        <f t="shared" si="8413"/>
        <v>0</v>
      </c>
      <c r="J1942" s="8">
        <f t="shared" si="8414"/>
        <v>0</v>
      </c>
      <c r="K1942" s="8">
        <f t="shared" si="8415"/>
        <v>0</v>
      </c>
      <c r="L1942" s="8">
        <f t="shared" si="8416"/>
        <v>0</v>
      </c>
      <c r="M1942" s="8">
        <f t="shared" si="8417"/>
        <v>1</v>
      </c>
      <c r="N1942" s="8">
        <f t="shared" si="8418"/>
        <v>0</v>
      </c>
      <c r="O1942" s="8">
        <f t="shared" si="8419"/>
        <v>0</v>
      </c>
      <c r="P1942" s="8" t="e">
        <v>#NUM!</v>
      </c>
      <c r="Q1942" s="8" t="e">
        <f t="shared" ref="Q1942" si="8450">IF(COUNTIF(P1933:P1943,"&lt;"&amp;-0.001)=0,IF(ABS(P1942)&lt;0.001,0,P1942)," ")</f>
        <v>#NUM!</v>
      </c>
      <c r="R1942" s="8"/>
      <c r="S1942" s="8"/>
      <c r="U1942" s="34"/>
      <c r="V1942" s="34"/>
      <c r="W1942" s="34"/>
      <c r="X1942" s="34"/>
      <c r="Y1942" s="34"/>
      <c r="Z1942" s="34"/>
      <c r="AA1942" s="34"/>
      <c r="AB1942" s="34"/>
      <c r="AC1942" s="34"/>
      <c r="AD1942" s="34"/>
      <c r="AE1942" s="34"/>
      <c r="AF1942" s="34"/>
      <c r="AG1942" s="34"/>
      <c r="AH1942" s="34"/>
      <c r="AI1942" s="34"/>
      <c r="AJ1942" s="34"/>
      <c r="AK1942" s="34"/>
      <c r="AL1942" s="34"/>
      <c r="AM1942" s="34"/>
      <c r="AN1942" s="34"/>
      <c r="AO1942" s="34"/>
      <c r="AP1942" s="34"/>
      <c r="AQ1942" s="34"/>
      <c r="AR1942" s="34"/>
      <c r="AS1942" s="34"/>
      <c r="AT1942" s="34"/>
      <c r="AU1942" s="34"/>
      <c r="AV1942" s="34"/>
      <c r="AW1942" s="34"/>
      <c r="AX1942" s="34"/>
      <c r="AY1942" s="34"/>
      <c r="AZ1942" s="34"/>
      <c r="BA1942" s="34"/>
      <c r="BB1942" s="34"/>
      <c r="BC1942" s="34"/>
      <c r="BD1942" s="34"/>
      <c r="BE1942" s="34"/>
      <c r="BF1942" s="34"/>
      <c r="BG1942" s="34"/>
      <c r="BH1942" s="34"/>
      <c r="BI1942" s="34"/>
      <c r="BJ1942" s="34"/>
      <c r="BK1942" s="34"/>
      <c r="BL1942" s="34"/>
      <c r="BM1942" s="34"/>
      <c r="BN1942" s="34"/>
      <c r="BO1942" s="34"/>
      <c r="BP1942" s="34"/>
      <c r="BQ1942" s="34"/>
      <c r="BR1942" s="34"/>
      <c r="BS1942" s="34"/>
      <c r="BT1942" s="34"/>
      <c r="BU1942" s="34"/>
      <c r="BV1942" s="34"/>
      <c r="BW1942" s="34"/>
      <c r="BX1942" s="34"/>
      <c r="BY1942" s="34"/>
      <c r="BZ1942" s="34"/>
      <c r="CA1942" s="34"/>
      <c r="CB1942" s="34"/>
      <c r="CC1942" s="34"/>
      <c r="CD1942" s="34"/>
      <c r="CE1942" s="34"/>
      <c r="CF1942" s="34"/>
      <c r="CG1942" s="34"/>
      <c r="CH1942" s="34"/>
      <c r="CI1942" s="8"/>
    </row>
    <row r="1943" spans="1:87" x14ac:dyDescent="0.2">
      <c r="A1943" s="8" t="str">
        <f>IF(AND(COUNTIF(W$3:W$13,A$25)&gt;0,A$25&lt;&gt;B1816),A$25,IFERROR(IF(MATCH(A$25,Z$3:Z$13,0)=6,A$25," ")," "))</f>
        <v xml:space="preserve"> </v>
      </c>
      <c r="B1943" s="8" t="str">
        <f>IF(A1943=" "," ",MAX(B1933:B1942)+1)</f>
        <v xml:space="preserve"> </v>
      </c>
      <c r="C1943" s="8" t="str">
        <f>IFERROR(INDEX(A1933:A1954,MATCH(SMALL(B1933:B1954,11),B1933:B1954,0),1)," ")</f>
        <v>C22</v>
      </c>
      <c r="D1943" s="8">
        <f t="shared" si="8408"/>
        <v>0</v>
      </c>
      <c r="E1943" s="8">
        <f t="shared" si="8409"/>
        <v>0</v>
      </c>
      <c r="F1943" s="8">
        <f t="shared" si="8410"/>
        <v>0</v>
      </c>
      <c r="G1943" s="8">
        <f t="shared" si="8411"/>
        <v>0</v>
      </c>
      <c r="H1943" s="8">
        <f t="shared" si="8412"/>
        <v>0</v>
      </c>
      <c r="I1943" s="8">
        <f t="shared" si="8413"/>
        <v>0</v>
      </c>
      <c r="J1943" s="8">
        <f t="shared" si="8414"/>
        <v>0</v>
      </c>
      <c r="K1943" s="8">
        <f t="shared" si="8415"/>
        <v>0</v>
      </c>
      <c r="L1943" s="8">
        <f t="shared" si="8416"/>
        <v>0</v>
      </c>
      <c r="M1943" s="8">
        <f t="shared" si="8417"/>
        <v>0</v>
      </c>
      <c r="N1943" s="8">
        <f t="shared" si="8418"/>
        <v>1</v>
      </c>
      <c r="O1943" s="8">
        <f t="shared" si="8419"/>
        <v>0</v>
      </c>
      <c r="P1943" s="8" t="e">
        <v>#NUM!</v>
      </c>
      <c r="Q1943" s="8" t="e">
        <f t="shared" ref="Q1943" si="8451">IF(COUNTIF(P1933:P1943,"&lt;"&amp;-0.001)=0,IF(ABS(P1943)&lt;0.001,0,P1943)," ")</f>
        <v>#NUM!</v>
      </c>
      <c r="R1943" s="8"/>
      <c r="S1943" s="8"/>
      <c r="U1943" s="34"/>
      <c r="V1943" s="34"/>
      <c r="W1943" s="34"/>
      <c r="X1943" s="34"/>
      <c r="Y1943" s="34"/>
      <c r="Z1943" s="34"/>
      <c r="AA1943" s="34"/>
      <c r="AB1943" s="34"/>
      <c r="AC1943" s="34"/>
      <c r="AD1943" s="34"/>
      <c r="AE1943" s="34"/>
      <c r="AF1943" s="34"/>
      <c r="AG1943" s="34"/>
      <c r="AH1943" s="34"/>
      <c r="AI1943" s="34"/>
      <c r="AJ1943" s="34"/>
      <c r="AK1943" s="34"/>
      <c r="AL1943" s="34"/>
      <c r="AM1943" s="34"/>
      <c r="AN1943" s="34"/>
      <c r="AO1943" s="34"/>
      <c r="AP1943" s="34"/>
      <c r="AQ1943" s="34"/>
      <c r="AR1943" s="34"/>
      <c r="AS1943" s="34"/>
      <c r="AT1943" s="34"/>
      <c r="AU1943" s="34"/>
      <c r="AV1943" s="34"/>
      <c r="AW1943" s="34"/>
      <c r="AX1943" s="34"/>
      <c r="AY1943" s="34"/>
      <c r="AZ1943" s="34"/>
      <c r="BA1943" s="34"/>
      <c r="BB1943" s="34"/>
      <c r="BC1943" s="34"/>
      <c r="BD1943" s="34"/>
      <c r="BE1943" s="34"/>
      <c r="BF1943" s="34"/>
      <c r="BG1943" s="34"/>
      <c r="BH1943" s="34"/>
      <c r="BI1943" s="34"/>
      <c r="BJ1943" s="34"/>
      <c r="BK1943" s="34"/>
      <c r="BL1943" s="34"/>
      <c r="BM1943" s="34"/>
      <c r="BN1943" s="34"/>
      <c r="BO1943" s="34"/>
      <c r="BP1943" s="34"/>
      <c r="BQ1943" s="34"/>
      <c r="BR1943" s="34"/>
      <c r="BS1943" s="34"/>
      <c r="BT1943" s="34"/>
      <c r="BU1943" s="34"/>
      <c r="BV1943" s="34"/>
      <c r="BW1943" s="34"/>
      <c r="BX1943" s="34"/>
      <c r="BY1943" s="34"/>
      <c r="BZ1943" s="34"/>
      <c r="CA1943" s="34"/>
      <c r="CB1943" s="34"/>
      <c r="CC1943" s="34"/>
      <c r="CD1943" s="34"/>
      <c r="CE1943" s="34"/>
      <c r="CF1943" s="34"/>
      <c r="CG1943" s="34"/>
      <c r="CH1943" s="34"/>
      <c r="CI1943" s="8"/>
    </row>
    <row r="1944" spans="1:87" x14ac:dyDescent="0.2">
      <c r="A1944" s="8" t="str">
        <f>IF(AND(COUNTIF(W$3:W$13,A$26)&gt;0,A$26&lt;&gt;B1816),A$26,IFERROR(IF(MATCH(A$26,Z$3:Z$13,0)=6,A$26," ")," "))</f>
        <v xml:space="preserve"> </v>
      </c>
      <c r="B1944" s="8" t="str">
        <f>IF(A1944=" "," ",MAX(B1933:B1943)+1)</f>
        <v xml:space="preserve"> </v>
      </c>
      <c r="C1944" s="8"/>
      <c r="D1944" s="8"/>
      <c r="E1944" s="8"/>
      <c r="F1944" s="8"/>
      <c r="G1944" s="8"/>
      <c r="H1944" s="8"/>
      <c r="I1944" s="8"/>
      <c r="J1944" s="8"/>
      <c r="K1944" s="8"/>
      <c r="L1944" s="8"/>
      <c r="M1944" s="8"/>
      <c r="N1944" s="8"/>
      <c r="O1944" s="8"/>
      <c r="P1944" s="8"/>
      <c r="Q1944" s="8"/>
      <c r="R1944" s="8"/>
      <c r="S1944" s="8"/>
      <c r="U1944" s="34"/>
      <c r="V1944" s="34"/>
      <c r="W1944" s="34"/>
      <c r="X1944" s="34"/>
      <c r="Y1944" s="34"/>
      <c r="Z1944" s="34"/>
      <c r="AA1944" s="34"/>
      <c r="AB1944" s="34"/>
      <c r="AC1944" s="34"/>
      <c r="AD1944" s="34"/>
      <c r="AE1944" s="34"/>
      <c r="AF1944" s="34"/>
      <c r="AG1944" s="34"/>
      <c r="AH1944" s="34"/>
      <c r="AI1944" s="34"/>
      <c r="AJ1944" s="34"/>
      <c r="AK1944" s="34"/>
      <c r="AL1944" s="34"/>
      <c r="AM1944" s="34"/>
      <c r="AN1944" s="34"/>
      <c r="AO1944" s="34"/>
      <c r="AP1944" s="34"/>
      <c r="AQ1944" s="34"/>
      <c r="AR1944" s="34"/>
      <c r="AS1944" s="34"/>
      <c r="AT1944" s="34"/>
      <c r="AU1944" s="34"/>
      <c r="AV1944" s="34"/>
      <c r="AW1944" s="34"/>
      <c r="AX1944" s="34"/>
      <c r="AY1944" s="34"/>
      <c r="AZ1944" s="34"/>
      <c r="BA1944" s="34"/>
      <c r="BB1944" s="34"/>
      <c r="BC1944" s="34"/>
      <c r="BD1944" s="34"/>
      <c r="BE1944" s="34"/>
      <c r="BF1944" s="34"/>
      <c r="BG1944" s="34"/>
      <c r="BH1944" s="34"/>
      <c r="BI1944" s="34"/>
      <c r="BJ1944" s="34"/>
      <c r="BK1944" s="34"/>
      <c r="BL1944" s="34"/>
      <c r="BM1944" s="34"/>
      <c r="BN1944" s="34"/>
      <c r="BO1944" s="34"/>
      <c r="BP1944" s="34"/>
      <c r="BQ1944" s="34"/>
      <c r="BR1944" s="34"/>
      <c r="BS1944" s="34"/>
      <c r="BT1944" s="34"/>
      <c r="BU1944" s="34"/>
      <c r="BV1944" s="34"/>
      <c r="BW1944" s="34"/>
      <c r="BX1944" s="34"/>
      <c r="BY1944" s="34"/>
      <c r="BZ1944" s="34"/>
      <c r="CA1944" s="34"/>
      <c r="CB1944" s="34"/>
      <c r="CC1944" s="34"/>
      <c r="CD1944" s="34"/>
      <c r="CE1944" s="34"/>
      <c r="CF1944" s="34"/>
      <c r="CG1944" s="34"/>
      <c r="CH1944" s="34"/>
      <c r="CI1944" s="8"/>
    </row>
    <row r="1945" spans="1:87" x14ac:dyDescent="0.2">
      <c r="A1945" s="8" t="str">
        <f>IF(AND(COUNTIF(W$3:W$13,A$27)&gt;0,A$27&lt;&gt;B1816),A$27,IFERROR(IF(MATCH(A$27,Z$3:Z$13,0)=6,A$27," ")," "))</f>
        <v>C13</v>
      </c>
      <c r="B1945" s="8">
        <f>IF(A1945=" "," ",MAX(B1933:B1944)+1)</f>
        <v>4</v>
      </c>
      <c r="C1945" s="8"/>
      <c r="D1945" s="8"/>
      <c r="E1945" s="8"/>
      <c r="F1945" s="8"/>
      <c r="G1945" s="8"/>
      <c r="H1945" s="8"/>
      <c r="I1945" s="8"/>
      <c r="J1945" s="8"/>
      <c r="K1945" s="8"/>
      <c r="L1945" s="8"/>
      <c r="M1945" s="8"/>
      <c r="N1945" s="8"/>
      <c r="O1945" s="8"/>
      <c r="P1945" s="8"/>
      <c r="Q1945" s="8"/>
      <c r="R1945" s="8"/>
      <c r="S1945" s="8"/>
      <c r="U1945" s="34"/>
      <c r="V1945" s="34"/>
      <c r="W1945" s="34"/>
      <c r="X1945" s="34"/>
      <c r="Y1945" s="34"/>
      <c r="Z1945" s="34"/>
      <c r="AA1945" s="34"/>
      <c r="AB1945" s="34"/>
      <c r="AC1945" s="34"/>
      <c r="AD1945" s="34"/>
      <c r="AE1945" s="34"/>
      <c r="AF1945" s="34"/>
      <c r="AG1945" s="34"/>
      <c r="AH1945" s="34"/>
      <c r="AI1945" s="34"/>
      <c r="AJ1945" s="34"/>
      <c r="AK1945" s="34"/>
      <c r="AL1945" s="34"/>
      <c r="AM1945" s="34"/>
      <c r="AN1945" s="34"/>
      <c r="AO1945" s="34"/>
      <c r="AP1945" s="34"/>
      <c r="AQ1945" s="34"/>
      <c r="AR1945" s="34"/>
      <c r="AS1945" s="34"/>
      <c r="AT1945" s="34"/>
      <c r="AU1945" s="34"/>
      <c r="AV1945" s="34"/>
      <c r="AW1945" s="34"/>
      <c r="AX1945" s="34"/>
      <c r="AY1945" s="34"/>
      <c r="AZ1945" s="34"/>
      <c r="BA1945" s="34"/>
      <c r="BB1945" s="34"/>
      <c r="BC1945" s="34"/>
      <c r="BD1945" s="34"/>
      <c r="BE1945" s="34"/>
      <c r="BF1945" s="34"/>
      <c r="BG1945" s="34"/>
      <c r="BH1945" s="34"/>
      <c r="BI1945" s="34"/>
      <c r="BJ1945" s="34"/>
      <c r="BK1945" s="34"/>
      <c r="BL1945" s="34"/>
      <c r="BM1945" s="34"/>
      <c r="BN1945" s="34"/>
      <c r="BO1945" s="34"/>
      <c r="BP1945" s="34"/>
      <c r="BQ1945" s="34"/>
      <c r="BR1945" s="34"/>
      <c r="BS1945" s="34"/>
      <c r="BT1945" s="34"/>
      <c r="BU1945" s="34"/>
      <c r="BV1945" s="34"/>
      <c r="BW1945" s="34"/>
      <c r="BX1945" s="34"/>
      <c r="BY1945" s="34"/>
      <c r="BZ1945" s="34"/>
      <c r="CA1945" s="34"/>
      <c r="CB1945" s="34"/>
      <c r="CC1945" s="34"/>
      <c r="CD1945" s="34"/>
      <c r="CE1945" s="34"/>
      <c r="CF1945" s="34"/>
      <c r="CG1945" s="34"/>
      <c r="CH1945" s="34"/>
      <c r="CI1945" s="8"/>
    </row>
    <row r="1946" spans="1:87" x14ac:dyDescent="0.2">
      <c r="A1946" s="8" t="str">
        <f>IF(AND(COUNTIF(W$3:W$13,A$28)&gt;0,A$28&lt;&gt;B1816),A$28,IFERROR(IF(MATCH(A$28,Z$3:Z$13,0)=6,A$28," ")," "))</f>
        <v xml:space="preserve"> </v>
      </c>
      <c r="B1946" s="8" t="str">
        <f>IF(A1946=" "," ",MAX(B1933:B1945)+1)</f>
        <v xml:space="preserve"> </v>
      </c>
      <c r="C1946" s="8"/>
      <c r="D1946" s="8"/>
      <c r="E1946" s="8"/>
      <c r="F1946" s="8"/>
      <c r="G1946" s="8"/>
      <c r="H1946" s="8"/>
      <c r="I1946" s="8"/>
      <c r="J1946" s="8"/>
      <c r="K1946" s="8"/>
      <c r="L1946" s="8"/>
      <c r="M1946" s="8"/>
      <c r="N1946" s="8"/>
      <c r="O1946" s="8"/>
      <c r="P1946" s="8"/>
      <c r="Q1946" s="8"/>
      <c r="R1946" s="8"/>
      <c r="S1946" s="8"/>
      <c r="U1946" s="34"/>
      <c r="V1946" s="34"/>
      <c r="W1946" s="34"/>
      <c r="X1946" s="34"/>
      <c r="Y1946" s="34"/>
      <c r="Z1946" s="34"/>
      <c r="AA1946" s="34"/>
      <c r="AB1946" s="34"/>
      <c r="AC1946" s="34"/>
      <c r="AD1946" s="34"/>
      <c r="AE1946" s="34"/>
      <c r="AF1946" s="34"/>
      <c r="AG1946" s="34"/>
      <c r="AH1946" s="34"/>
      <c r="AI1946" s="34"/>
      <c r="AJ1946" s="34"/>
      <c r="AK1946" s="34"/>
      <c r="AL1946" s="34"/>
      <c r="AM1946" s="34"/>
      <c r="AN1946" s="34"/>
      <c r="AO1946" s="34"/>
      <c r="AP1946" s="34"/>
      <c r="AQ1946" s="34"/>
      <c r="AR1946" s="34"/>
      <c r="AS1946" s="34"/>
      <c r="AT1946" s="34"/>
      <c r="AU1946" s="34"/>
      <c r="AV1946" s="34"/>
      <c r="AW1946" s="34"/>
      <c r="AX1946" s="34"/>
      <c r="AY1946" s="34"/>
      <c r="AZ1946" s="34"/>
      <c r="BA1946" s="34"/>
      <c r="BB1946" s="34"/>
      <c r="BC1946" s="34"/>
      <c r="BD1946" s="34"/>
      <c r="BE1946" s="34"/>
      <c r="BF1946" s="34"/>
      <c r="BG1946" s="34"/>
      <c r="BH1946" s="34"/>
      <c r="BI1946" s="34"/>
      <c r="BJ1946" s="34"/>
      <c r="BK1946" s="34"/>
      <c r="BL1946" s="34"/>
      <c r="BM1946" s="34"/>
      <c r="BN1946" s="34"/>
      <c r="BO1946" s="34"/>
      <c r="BP1946" s="34"/>
      <c r="BQ1946" s="34"/>
      <c r="BR1946" s="34"/>
      <c r="BS1946" s="34"/>
      <c r="BT1946" s="34"/>
      <c r="BU1946" s="34"/>
      <c r="BV1946" s="34"/>
      <c r="BW1946" s="34"/>
      <c r="BX1946" s="34"/>
      <c r="BY1946" s="34"/>
      <c r="BZ1946" s="34"/>
      <c r="CA1946" s="34"/>
      <c r="CB1946" s="34"/>
      <c r="CC1946" s="34"/>
      <c r="CD1946" s="34"/>
      <c r="CE1946" s="34"/>
      <c r="CF1946" s="34"/>
      <c r="CG1946" s="34"/>
      <c r="CH1946" s="34"/>
      <c r="CI1946" s="8"/>
    </row>
    <row r="1947" spans="1:87" x14ac:dyDescent="0.2">
      <c r="A1947" s="8" t="str">
        <f>IF(AND(COUNTIF(W$3:W$13,A$29)&gt;0,A$29&lt;&gt;B1816),A$29,IFERROR(IF(MATCH(A$29,Z$3:Z$13,0)=6,A$29," ")," "))</f>
        <v>C15</v>
      </c>
      <c r="B1947" s="8">
        <f>IF(A1947=" "," ",MAX(B1933:B1946)+1)</f>
        <v>5</v>
      </c>
      <c r="C1947" s="8"/>
      <c r="D1947" s="8"/>
      <c r="E1947" s="8"/>
      <c r="F1947" s="8"/>
      <c r="G1947" s="8"/>
      <c r="H1947" s="8"/>
      <c r="I1947" s="8"/>
      <c r="J1947" s="8"/>
      <c r="K1947" s="8"/>
      <c r="L1947" s="8"/>
      <c r="M1947" s="8"/>
      <c r="N1947" s="8"/>
      <c r="O1947" s="8"/>
      <c r="P1947" s="8"/>
      <c r="Q1947" s="8"/>
      <c r="R1947" s="8"/>
      <c r="S1947" s="8"/>
      <c r="U1947" s="34"/>
      <c r="V1947" s="34"/>
      <c r="W1947" s="34"/>
      <c r="X1947" s="34"/>
      <c r="Y1947" s="34"/>
      <c r="Z1947" s="34"/>
      <c r="AA1947" s="34"/>
      <c r="AB1947" s="34"/>
      <c r="AC1947" s="34"/>
      <c r="AD1947" s="34"/>
      <c r="AE1947" s="34"/>
      <c r="AF1947" s="34"/>
      <c r="AG1947" s="34"/>
      <c r="AH1947" s="34"/>
      <c r="AI1947" s="34"/>
      <c r="AJ1947" s="34"/>
      <c r="AK1947" s="34"/>
      <c r="AL1947" s="34"/>
      <c r="AM1947" s="34"/>
      <c r="AN1947" s="34"/>
      <c r="AO1947" s="34"/>
      <c r="AP1947" s="34"/>
      <c r="AQ1947" s="34"/>
      <c r="AR1947" s="34"/>
      <c r="AS1947" s="34"/>
      <c r="AT1947" s="34"/>
      <c r="AU1947" s="34"/>
      <c r="AV1947" s="34"/>
      <c r="AW1947" s="34"/>
      <c r="AX1947" s="34"/>
      <c r="AY1947" s="34"/>
      <c r="AZ1947" s="34"/>
      <c r="BA1947" s="34"/>
      <c r="BB1947" s="34"/>
      <c r="BC1947" s="34"/>
      <c r="BD1947" s="34"/>
      <c r="BE1947" s="34"/>
      <c r="BF1947" s="34"/>
      <c r="BG1947" s="34"/>
      <c r="BH1947" s="34"/>
      <c r="BI1947" s="34"/>
      <c r="BJ1947" s="34"/>
      <c r="BK1947" s="34"/>
      <c r="BL1947" s="34"/>
      <c r="BM1947" s="34"/>
      <c r="BN1947" s="34"/>
      <c r="BO1947" s="34"/>
      <c r="BP1947" s="34"/>
      <c r="BQ1947" s="34"/>
      <c r="BR1947" s="34"/>
      <c r="BS1947" s="34"/>
      <c r="BT1947" s="34"/>
      <c r="BU1947" s="34"/>
      <c r="BV1947" s="34"/>
      <c r="BW1947" s="34"/>
      <c r="BX1947" s="34"/>
      <c r="BY1947" s="34"/>
      <c r="BZ1947" s="34"/>
      <c r="CA1947" s="34"/>
      <c r="CB1947" s="34"/>
      <c r="CC1947" s="34"/>
      <c r="CD1947" s="34"/>
      <c r="CE1947" s="34"/>
      <c r="CF1947" s="34"/>
      <c r="CG1947" s="34"/>
      <c r="CH1947" s="34"/>
      <c r="CI1947" s="8"/>
    </row>
    <row r="1948" spans="1:87" x14ac:dyDescent="0.2">
      <c r="A1948" s="8" t="str">
        <f>IF(AND(COUNTIF(W$3:W$13,A$30)&gt;0,A$30&lt;&gt;B1816),A$30,IFERROR(IF(MATCH(A$30,Z$3:Z$13,0)=6,A$30," ")," "))</f>
        <v>C16</v>
      </c>
      <c r="B1948" s="8">
        <f>IF(A1948=" "," ",MAX(B1933:B1947)+1)</f>
        <v>6</v>
      </c>
      <c r="C1948" s="8"/>
      <c r="D1948" s="8"/>
      <c r="E1948" s="8"/>
      <c r="F1948" s="8"/>
      <c r="G1948" s="8"/>
      <c r="H1948" s="8"/>
      <c r="I1948" s="8"/>
      <c r="J1948" s="8"/>
      <c r="K1948" s="8"/>
      <c r="L1948" s="8"/>
      <c r="M1948" s="8"/>
      <c r="N1948" s="8"/>
      <c r="O1948" s="8"/>
      <c r="P1948" s="8"/>
      <c r="Q1948" s="8"/>
      <c r="R1948" s="8"/>
      <c r="S1948" s="8"/>
      <c r="U1948" s="34"/>
      <c r="V1948" s="34"/>
      <c r="W1948" s="34"/>
      <c r="X1948" s="34"/>
      <c r="Y1948" s="34"/>
      <c r="Z1948" s="34"/>
      <c r="AA1948" s="34"/>
      <c r="AB1948" s="34"/>
      <c r="AC1948" s="34"/>
      <c r="AD1948" s="34"/>
      <c r="AE1948" s="34"/>
      <c r="AF1948" s="34"/>
      <c r="AG1948" s="34"/>
      <c r="AH1948" s="34"/>
      <c r="AI1948" s="34"/>
      <c r="AJ1948" s="34"/>
      <c r="AK1948" s="34"/>
      <c r="AL1948" s="34"/>
      <c r="AM1948" s="34"/>
      <c r="AN1948" s="34"/>
      <c r="AO1948" s="34"/>
      <c r="AP1948" s="34"/>
      <c r="AQ1948" s="34"/>
      <c r="AR1948" s="34"/>
      <c r="AS1948" s="34"/>
      <c r="AT1948" s="34"/>
      <c r="AU1948" s="34"/>
      <c r="AV1948" s="34"/>
      <c r="AW1948" s="34"/>
      <c r="AX1948" s="34"/>
      <c r="AY1948" s="34"/>
      <c r="AZ1948" s="34"/>
      <c r="BA1948" s="34"/>
      <c r="BB1948" s="34"/>
      <c r="BC1948" s="34"/>
      <c r="BD1948" s="34"/>
      <c r="BE1948" s="34"/>
      <c r="BF1948" s="34"/>
      <c r="BG1948" s="34"/>
      <c r="BH1948" s="34"/>
      <c r="BI1948" s="34"/>
      <c r="BJ1948" s="34"/>
      <c r="BK1948" s="34"/>
      <c r="BL1948" s="34"/>
      <c r="BM1948" s="34"/>
      <c r="BN1948" s="34"/>
      <c r="BO1948" s="34"/>
      <c r="BP1948" s="34"/>
      <c r="BQ1948" s="34"/>
      <c r="BR1948" s="34"/>
      <c r="BS1948" s="34"/>
      <c r="BT1948" s="34"/>
      <c r="BU1948" s="34"/>
      <c r="BV1948" s="34"/>
      <c r="BW1948" s="34"/>
      <c r="BX1948" s="34"/>
      <c r="BY1948" s="34"/>
      <c r="BZ1948" s="34"/>
      <c r="CA1948" s="34"/>
      <c r="CB1948" s="34"/>
      <c r="CC1948" s="34"/>
      <c r="CD1948" s="34"/>
      <c r="CE1948" s="34"/>
      <c r="CF1948" s="34"/>
      <c r="CG1948" s="34"/>
      <c r="CH1948" s="34"/>
      <c r="CI1948" s="8"/>
    </row>
    <row r="1949" spans="1:87" x14ac:dyDescent="0.2">
      <c r="A1949" s="8" t="str">
        <f>IF(AND(COUNTIF(W$3:W$13,A$31)&gt;0,A$31&lt;&gt;B1816),A$31,IFERROR(IF(MATCH(A$31,Z$3:Z$13,0)=6,A$31," ")," "))</f>
        <v>C17</v>
      </c>
      <c r="B1949" s="8">
        <f>IF(A1949=" "," ",MAX(B1933:B1948)+1)</f>
        <v>7</v>
      </c>
      <c r="C1949" s="8"/>
      <c r="D1949" s="8"/>
      <c r="E1949" s="8"/>
      <c r="F1949" s="8"/>
      <c r="G1949" s="8"/>
      <c r="H1949" s="8"/>
      <c r="I1949" s="8"/>
      <c r="J1949" s="8"/>
      <c r="K1949" s="8"/>
      <c r="L1949" s="8"/>
      <c r="M1949" s="8"/>
      <c r="N1949" s="8"/>
      <c r="O1949" s="8"/>
      <c r="P1949" s="8"/>
      <c r="Q1949" s="8"/>
      <c r="R1949" s="8"/>
      <c r="S1949" s="8"/>
      <c r="U1949" s="34"/>
      <c r="V1949" s="34"/>
      <c r="W1949" s="34"/>
      <c r="X1949" s="34"/>
      <c r="Y1949" s="34"/>
      <c r="Z1949" s="34"/>
      <c r="AA1949" s="34"/>
      <c r="AB1949" s="34"/>
      <c r="AC1949" s="34"/>
      <c r="AD1949" s="34"/>
      <c r="AE1949" s="34"/>
      <c r="AF1949" s="34"/>
      <c r="AG1949" s="34"/>
      <c r="AH1949" s="34"/>
      <c r="AI1949" s="34"/>
      <c r="AJ1949" s="34"/>
      <c r="AK1949" s="34"/>
      <c r="AL1949" s="34"/>
      <c r="AM1949" s="34"/>
      <c r="AN1949" s="34"/>
      <c r="AO1949" s="34"/>
      <c r="AP1949" s="34"/>
      <c r="AQ1949" s="34"/>
      <c r="AR1949" s="34"/>
      <c r="AS1949" s="34"/>
      <c r="AT1949" s="34"/>
      <c r="AU1949" s="34"/>
      <c r="AV1949" s="34"/>
      <c r="AW1949" s="34"/>
      <c r="AX1949" s="34"/>
      <c r="AY1949" s="34"/>
      <c r="AZ1949" s="34"/>
      <c r="BA1949" s="34"/>
      <c r="BB1949" s="34"/>
      <c r="BC1949" s="34"/>
      <c r="BD1949" s="34"/>
      <c r="BE1949" s="34"/>
      <c r="BF1949" s="34"/>
      <c r="BG1949" s="34"/>
      <c r="BH1949" s="34"/>
      <c r="BI1949" s="34"/>
      <c r="BJ1949" s="34"/>
      <c r="BK1949" s="34"/>
      <c r="BL1949" s="34"/>
      <c r="BM1949" s="34"/>
      <c r="BN1949" s="34"/>
      <c r="BO1949" s="34"/>
      <c r="BP1949" s="34"/>
      <c r="BQ1949" s="34"/>
      <c r="BR1949" s="34"/>
      <c r="BS1949" s="34"/>
      <c r="BT1949" s="34"/>
      <c r="BU1949" s="34"/>
      <c r="BV1949" s="34"/>
      <c r="BW1949" s="34"/>
      <c r="BX1949" s="34"/>
      <c r="BY1949" s="34"/>
      <c r="BZ1949" s="34"/>
      <c r="CA1949" s="34"/>
      <c r="CB1949" s="34"/>
      <c r="CC1949" s="34"/>
      <c r="CD1949" s="34"/>
      <c r="CE1949" s="34"/>
      <c r="CF1949" s="34"/>
      <c r="CG1949" s="34"/>
      <c r="CH1949" s="34"/>
      <c r="CI1949" s="8"/>
    </row>
    <row r="1950" spans="1:87" x14ac:dyDescent="0.2">
      <c r="A1950" s="8" t="str">
        <f>IF(AND(COUNTIF(W$3:W$13,A$32)&gt;0,A$32&lt;&gt;B1816),A$32,IFERROR(IF(MATCH(A$32,Z$3:Z$13,0)=6,A$32," ")," "))</f>
        <v>C18</v>
      </c>
      <c r="B1950" s="8">
        <f>IF(A1950=" "," ",MAX(B1933:B1949)+1)</f>
        <v>8</v>
      </c>
      <c r="C1950" s="8"/>
      <c r="D1950" s="8"/>
      <c r="E1950" s="8"/>
      <c r="F1950" s="8"/>
      <c r="G1950" s="8"/>
      <c r="H1950" s="8"/>
      <c r="I1950" s="8"/>
      <c r="J1950" s="8"/>
      <c r="K1950" s="8"/>
      <c r="L1950" s="8"/>
      <c r="M1950" s="8"/>
      <c r="N1950" s="8"/>
      <c r="O1950" s="8"/>
      <c r="P1950" s="8"/>
      <c r="Q1950" s="8"/>
      <c r="R1950" s="8"/>
      <c r="S1950" s="8"/>
      <c r="U1950" s="34"/>
      <c r="V1950" s="34"/>
      <c r="W1950" s="34"/>
      <c r="X1950" s="34"/>
      <c r="Y1950" s="34"/>
      <c r="Z1950" s="34"/>
      <c r="AA1950" s="34"/>
      <c r="AB1950" s="34"/>
      <c r="AC1950" s="34"/>
      <c r="AD1950" s="34"/>
      <c r="AE1950" s="34"/>
      <c r="AF1950" s="34"/>
      <c r="AG1950" s="34"/>
      <c r="AH1950" s="34"/>
      <c r="AI1950" s="34"/>
      <c r="AJ1950" s="34"/>
      <c r="AK1950" s="34"/>
      <c r="AL1950" s="34"/>
      <c r="AM1950" s="34"/>
      <c r="AN1950" s="34"/>
      <c r="AO1950" s="34"/>
      <c r="AP1950" s="34"/>
      <c r="AQ1950" s="34"/>
      <c r="AR1950" s="34"/>
      <c r="AS1950" s="34"/>
      <c r="AT1950" s="34"/>
      <c r="AU1950" s="34"/>
      <c r="AV1950" s="34"/>
      <c r="AW1950" s="34"/>
      <c r="AX1950" s="34"/>
      <c r="AY1950" s="34"/>
      <c r="AZ1950" s="34"/>
      <c r="BA1950" s="34"/>
      <c r="BB1950" s="34"/>
      <c r="BC1950" s="34"/>
      <c r="BD1950" s="34"/>
      <c r="BE1950" s="34"/>
      <c r="BF1950" s="34"/>
      <c r="BG1950" s="34"/>
      <c r="BH1950" s="34"/>
      <c r="BI1950" s="34"/>
      <c r="BJ1950" s="34"/>
      <c r="BK1950" s="34"/>
      <c r="BL1950" s="34"/>
      <c r="BM1950" s="34"/>
      <c r="BN1950" s="34"/>
      <c r="BO1950" s="34"/>
      <c r="BP1950" s="34"/>
      <c r="BQ1950" s="34"/>
      <c r="BR1950" s="34"/>
      <c r="BS1950" s="34"/>
      <c r="BT1950" s="34"/>
      <c r="BU1950" s="34"/>
      <c r="BV1950" s="34"/>
      <c r="BW1950" s="34"/>
      <c r="BX1950" s="34"/>
      <c r="BY1950" s="34"/>
      <c r="BZ1950" s="34"/>
      <c r="CA1950" s="34"/>
      <c r="CB1950" s="34"/>
      <c r="CC1950" s="34"/>
      <c r="CD1950" s="34"/>
      <c r="CE1950" s="34"/>
      <c r="CF1950" s="34"/>
      <c r="CG1950" s="34"/>
      <c r="CH1950" s="34"/>
      <c r="CI1950" s="8"/>
    </row>
    <row r="1951" spans="1:87" x14ac:dyDescent="0.2">
      <c r="A1951" s="8" t="str">
        <f>IF(AND(COUNTIF(W$3:W$13,A$33)&gt;0,A$33&lt;&gt;B1816),A$33,IFERROR(IF(MATCH(A$33,Z$3:Z$13,0)=6,A$33," ")," "))</f>
        <v xml:space="preserve"> </v>
      </c>
      <c r="B1951" s="8" t="str">
        <f>IF(A1951=" "," ",MAX(B1933:B1950)+1)</f>
        <v xml:space="preserve"> </v>
      </c>
      <c r="C1951" s="8"/>
      <c r="D1951" s="8"/>
      <c r="E1951" s="8"/>
      <c r="F1951" s="8"/>
      <c r="G1951" s="8"/>
      <c r="H1951" s="8"/>
      <c r="I1951" s="8"/>
      <c r="J1951" s="8"/>
      <c r="K1951" s="8"/>
      <c r="L1951" s="8"/>
      <c r="M1951" s="8"/>
      <c r="N1951" s="8"/>
      <c r="O1951" s="8"/>
      <c r="P1951" s="8"/>
      <c r="Q1951" s="8"/>
      <c r="R1951" s="8"/>
      <c r="S1951" s="8"/>
      <c r="U1951" s="34"/>
      <c r="V1951" s="34"/>
      <c r="W1951" s="34"/>
      <c r="X1951" s="34"/>
      <c r="Y1951" s="34"/>
      <c r="Z1951" s="34"/>
      <c r="AA1951" s="34"/>
      <c r="AB1951" s="34"/>
      <c r="AC1951" s="34"/>
      <c r="AD1951" s="34"/>
      <c r="AE1951" s="34"/>
      <c r="AF1951" s="34"/>
      <c r="AG1951" s="34"/>
      <c r="AH1951" s="34"/>
      <c r="AI1951" s="34"/>
      <c r="AJ1951" s="34"/>
      <c r="AK1951" s="34"/>
      <c r="AL1951" s="34"/>
      <c r="AM1951" s="34"/>
      <c r="AN1951" s="34"/>
      <c r="AO1951" s="34"/>
      <c r="AP1951" s="34"/>
      <c r="AQ1951" s="34"/>
      <c r="AR1951" s="34"/>
      <c r="AS1951" s="34"/>
      <c r="AT1951" s="34"/>
      <c r="AU1951" s="34"/>
      <c r="AV1951" s="34"/>
      <c r="AW1951" s="34"/>
      <c r="AX1951" s="34"/>
      <c r="AY1951" s="34"/>
      <c r="AZ1951" s="34"/>
      <c r="BA1951" s="34"/>
      <c r="BB1951" s="34"/>
      <c r="BC1951" s="34"/>
      <c r="BD1951" s="34"/>
      <c r="BE1951" s="34"/>
      <c r="BF1951" s="34"/>
      <c r="BG1951" s="34"/>
      <c r="BH1951" s="34"/>
      <c r="BI1951" s="34"/>
      <c r="BJ1951" s="34"/>
      <c r="BK1951" s="34"/>
      <c r="BL1951" s="34"/>
      <c r="BM1951" s="34"/>
      <c r="BN1951" s="34"/>
      <c r="BO1951" s="34"/>
      <c r="BP1951" s="34"/>
      <c r="BQ1951" s="34"/>
      <c r="BR1951" s="34"/>
      <c r="BS1951" s="34"/>
      <c r="BT1951" s="34"/>
      <c r="BU1951" s="34"/>
      <c r="BV1951" s="34"/>
      <c r="BW1951" s="34"/>
      <c r="BX1951" s="34"/>
      <c r="BY1951" s="34"/>
      <c r="BZ1951" s="34"/>
      <c r="CA1951" s="34"/>
      <c r="CB1951" s="34"/>
      <c r="CC1951" s="34"/>
      <c r="CD1951" s="34"/>
      <c r="CE1951" s="34"/>
      <c r="CF1951" s="34"/>
      <c r="CG1951" s="34"/>
      <c r="CH1951" s="34"/>
      <c r="CI1951" s="8"/>
    </row>
    <row r="1952" spans="1:87" x14ac:dyDescent="0.2">
      <c r="A1952" s="8" t="str">
        <f>IF(AND(COUNTIF(W$3:W$13,A$34)&gt;0,A$34&lt;&gt;B1816),A$34,IFERROR(IF(MATCH(A$34,Z$3:Z$13,0)=6,A$34," ")," "))</f>
        <v>C20</v>
      </c>
      <c r="B1952" s="8">
        <f>IF(A1952=" "," ",MAX(B1933:B1951)+1)</f>
        <v>9</v>
      </c>
      <c r="C1952" s="8"/>
      <c r="D1952" s="8"/>
      <c r="E1952" s="8"/>
      <c r="F1952" s="8"/>
      <c r="G1952" s="8"/>
      <c r="H1952" s="8"/>
      <c r="I1952" s="8"/>
      <c r="J1952" s="8"/>
      <c r="K1952" s="8"/>
      <c r="L1952" s="8"/>
      <c r="M1952" s="8"/>
      <c r="N1952" s="8"/>
      <c r="O1952" s="8"/>
      <c r="P1952" s="8"/>
      <c r="Q1952" s="8"/>
      <c r="R1952" s="8"/>
      <c r="S1952" s="8"/>
      <c r="U1952" s="34"/>
      <c r="V1952" s="34"/>
      <c r="W1952" s="34"/>
      <c r="X1952" s="34"/>
      <c r="Y1952" s="34"/>
      <c r="Z1952" s="34"/>
      <c r="AA1952" s="34"/>
      <c r="AB1952" s="34"/>
      <c r="AC1952" s="34"/>
      <c r="AD1952" s="34"/>
      <c r="AE1952" s="34"/>
      <c r="AF1952" s="34"/>
      <c r="AG1952" s="34"/>
      <c r="AH1952" s="34"/>
      <c r="AI1952" s="34"/>
      <c r="AJ1952" s="34"/>
      <c r="AK1952" s="34"/>
      <c r="AL1952" s="34"/>
      <c r="AM1952" s="34"/>
      <c r="AN1952" s="34"/>
      <c r="AO1952" s="34"/>
      <c r="AP1952" s="34"/>
      <c r="AQ1952" s="34"/>
      <c r="AR1952" s="34"/>
      <c r="AS1952" s="34"/>
      <c r="AT1952" s="34"/>
      <c r="AU1952" s="34"/>
      <c r="AV1952" s="34"/>
      <c r="AW1952" s="34"/>
      <c r="AX1952" s="34"/>
      <c r="AY1952" s="34"/>
      <c r="AZ1952" s="34"/>
      <c r="BA1952" s="34"/>
      <c r="BB1952" s="34"/>
      <c r="BC1952" s="34"/>
      <c r="BD1952" s="34"/>
      <c r="BE1952" s="34"/>
      <c r="BF1952" s="34"/>
      <c r="BG1952" s="34"/>
      <c r="BH1952" s="34"/>
      <c r="BI1952" s="34"/>
      <c r="BJ1952" s="34"/>
      <c r="BK1952" s="34"/>
      <c r="BL1952" s="34"/>
      <c r="BM1952" s="34"/>
      <c r="BN1952" s="34"/>
      <c r="BO1952" s="34"/>
      <c r="BP1952" s="34"/>
      <c r="BQ1952" s="34"/>
      <c r="BR1952" s="34"/>
      <c r="BS1952" s="34"/>
      <c r="BT1952" s="34"/>
      <c r="BU1952" s="34"/>
      <c r="BV1952" s="34"/>
      <c r="BW1952" s="34"/>
      <c r="BX1952" s="34"/>
      <c r="BY1952" s="34"/>
      <c r="BZ1952" s="34"/>
      <c r="CA1952" s="34"/>
      <c r="CB1952" s="34"/>
      <c r="CC1952" s="34"/>
      <c r="CD1952" s="34"/>
      <c r="CE1952" s="34"/>
      <c r="CF1952" s="34"/>
      <c r="CG1952" s="34"/>
      <c r="CH1952" s="34"/>
      <c r="CI1952" s="8"/>
    </row>
    <row r="1953" spans="1:87" x14ac:dyDescent="0.2">
      <c r="A1953" s="8" t="str">
        <f>IF(AND(COUNTIF(W$3:W$13,A$35)&gt;0,A$35&lt;&gt;B1816),A$35,IFERROR(IF(MATCH(A$35,Z$3:Z$13,0)=6,A$35," ")," "))</f>
        <v>C21</v>
      </c>
      <c r="B1953" s="8">
        <f>IF(A1953=" "," ",MAX(B1933:B1952)+1)</f>
        <v>10</v>
      </c>
      <c r="C1953" s="8"/>
      <c r="D1953" s="8"/>
      <c r="E1953" s="8"/>
      <c r="F1953" s="8"/>
      <c r="G1953" s="8"/>
      <c r="H1953" s="8"/>
      <c r="I1953" s="8"/>
      <c r="J1953" s="8"/>
      <c r="K1953" s="8"/>
      <c r="L1953" s="8"/>
      <c r="M1953" s="8"/>
      <c r="N1953" s="8"/>
      <c r="O1953" s="8"/>
      <c r="P1953" s="8"/>
      <c r="Q1953" s="8"/>
      <c r="R1953" s="8"/>
      <c r="S1953" s="8"/>
      <c r="U1953" s="34"/>
      <c r="V1953" s="34"/>
      <c r="W1953" s="34"/>
      <c r="X1953" s="34"/>
      <c r="Y1953" s="34"/>
      <c r="Z1953" s="34"/>
      <c r="AA1953" s="34"/>
      <c r="AB1953" s="34"/>
      <c r="AC1953" s="34"/>
      <c r="AD1953" s="34"/>
      <c r="AE1953" s="34"/>
      <c r="AF1953" s="34"/>
      <c r="AG1953" s="34"/>
      <c r="AH1953" s="34"/>
      <c r="AI1953" s="34"/>
      <c r="AJ1953" s="34"/>
      <c r="AK1953" s="34"/>
      <c r="AL1953" s="34"/>
      <c r="AM1953" s="34"/>
      <c r="AN1953" s="34"/>
      <c r="AO1953" s="34"/>
      <c r="AP1953" s="34"/>
      <c r="AQ1953" s="34"/>
      <c r="AR1953" s="34"/>
      <c r="AS1953" s="34"/>
      <c r="AT1953" s="34"/>
      <c r="AU1953" s="34"/>
      <c r="AV1953" s="34"/>
      <c r="AW1953" s="34"/>
      <c r="AX1953" s="34"/>
      <c r="AY1953" s="34"/>
      <c r="AZ1953" s="34"/>
      <c r="BA1953" s="34"/>
      <c r="BB1953" s="34"/>
      <c r="BC1953" s="34"/>
      <c r="BD1953" s="34"/>
      <c r="BE1953" s="34"/>
      <c r="BF1953" s="34"/>
      <c r="BG1953" s="34"/>
      <c r="BH1953" s="34"/>
      <c r="BI1953" s="34"/>
      <c r="BJ1953" s="34"/>
      <c r="BK1953" s="34"/>
      <c r="BL1953" s="34"/>
      <c r="BM1953" s="34"/>
      <c r="BN1953" s="34"/>
      <c r="BO1953" s="34"/>
      <c r="BP1953" s="34"/>
      <c r="BQ1953" s="34"/>
      <c r="BR1953" s="34"/>
      <c r="BS1953" s="34"/>
      <c r="BT1953" s="34"/>
      <c r="BU1953" s="34"/>
      <c r="BV1953" s="34"/>
      <c r="BW1953" s="34"/>
      <c r="BX1953" s="34"/>
      <c r="BY1953" s="34"/>
      <c r="BZ1953" s="34"/>
      <c r="CA1953" s="34"/>
      <c r="CB1953" s="34"/>
      <c r="CC1953" s="34"/>
      <c r="CD1953" s="34"/>
      <c r="CE1953" s="34"/>
      <c r="CF1953" s="34"/>
      <c r="CG1953" s="34"/>
      <c r="CH1953" s="34"/>
      <c r="CI1953" s="8"/>
    </row>
    <row r="1954" spans="1:87" x14ac:dyDescent="0.2">
      <c r="A1954" s="8" t="str">
        <f>IF(AND(COUNTIF(W$3:W$13,A$36)&gt;0,A$36&lt;&gt;B1816),A$36,IFERROR(IF(MATCH(A$36,Z$3:Z$13,0)=6,A$36," ")," "))</f>
        <v>C22</v>
      </c>
      <c r="B1954" s="8">
        <f>IF(A1954=" "," ",MAX(B1933:B1953)+1)</f>
        <v>11</v>
      </c>
      <c r="C1954" s="8"/>
      <c r="D1954" s="8"/>
      <c r="E1954" s="8"/>
      <c r="F1954" s="8"/>
      <c r="G1954" s="8"/>
      <c r="H1954" s="8"/>
      <c r="I1954" s="8"/>
      <c r="J1954" s="8"/>
      <c r="K1954" s="8"/>
      <c r="L1954" s="8"/>
      <c r="M1954" s="8"/>
      <c r="N1954" s="8"/>
      <c r="O1954" s="8"/>
      <c r="P1954" s="8"/>
      <c r="Q1954" s="8"/>
      <c r="R1954" s="8"/>
      <c r="S1954" s="8"/>
      <c r="U1954" s="34"/>
      <c r="V1954" s="34"/>
      <c r="W1954" s="34"/>
      <c r="X1954" s="34"/>
      <c r="Y1954" s="34"/>
      <c r="Z1954" s="34"/>
      <c r="AA1954" s="34"/>
      <c r="AB1954" s="34"/>
      <c r="AC1954" s="34"/>
      <c r="AD1954" s="34"/>
      <c r="AE1954" s="34"/>
      <c r="AF1954" s="34"/>
      <c r="AG1954" s="34"/>
      <c r="AH1954" s="34"/>
      <c r="AI1954" s="34"/>
      <c r="AJ1954" s="34"/>
      <c r="AK1954" s="34"/>
      <c r="AL1954" s="34"/>
      <c r="AM1954" s="34"/>
      <c r="AN1954" s="34"/>
      <c r="AO1954" s="34"/>
      <c r="AP1954" s="34"/>
      <c r="AQ1954" s="34"/>
      <c r="AR1954" s="34"/>
      <c r="AS1954" s="34"/>
      <c r="AT1954" s="34"/>
      <c r="AU1954" s="34"/>
      <c r="AV1954" s="34"/>
      <c r="AW1954" s="34"/>
      <c r="AX1954" s="34"/>
      <c r="AY1954" s="34"/>
      <c r="AZ1954" s="34"/>
      <c r="BA1954" s="34"/>
      <c r="BB1954" s="34"/>
      <c r="BC1954" s="34"/>
      <c r="BD1954" s="34"/>
      <c r="BE1954" s="34"/>
      <c r="BF1954" s="34"/>
      <c r="BG1954" s="34"/>
      <c r="BH1954" s="34"/>
      <c r="BI1954" s="34"/>
      <c r="BJ1954" s="34"/>
      <c r="BK1954" s="34"/>
      <c r="BL1954" s="34"/>
      <c r="BM1954" s="34"/>
      <c r="BN1954" s="34"/>
      <c r="BO1954" s="34"/>
      <c r="BP1954" s="34"/>
      <c r="BQ1954" s="34"/>
      <c r="BR1954" s="34"/>
      <c r="BS1954" s="34"/>
      <c r="BT1954" s="34"/>
      <c r="BU1954" s="34"/>
      <c r="BV1954" s="34"/>
      <c r="BW1954" s="34"/>
      <c r="BX1954" s="34"/>
      <c r="BY1954" s="34"/>
      <c r="BZ1954" s="34"/>
      <c r="CA1954" s="34"/>
      <c r="CB1954" s="34"/>
      <c r="CC1954" s="34"/>
      <c r="CD1954" s="34"/>
      <c r="CE1954" s="34"/>
      <c r="CF1954" s="34"/>
      <c r="CG1954" s="34"/>
      <c r="CH1954" s="34"/>
      <c r="CI1954" s="8"/>
    </row>
    <row r="1955" spans="1:87" x14ac:dyDescent="0.2">
      <c r="A1955" s="11" t="s">
        <v>17</v>
      </c>
      <c r="B1955" s="11"/>
      <c r="C1955" s="27" t="s">
        <v>18</v>
      </c>
      <c r="D1955" s="27" t="s">
        <v>2</v>
      </c>
      <c r="E1955" s="27" t="s">
        <v>6</v>
      </c>
      <c r="F1955" s="27" t="s">
        <v>15</v>
      </c>
      <c r="G1955" s="27" t="s">
        <v>36</v>
      </c>
      <c r="H1955" s="27" t="s">
        <v>37</v>
      </c>
      <c r="I1955" s="27" t="s">
        <v>38</v>
      </c>
      <c r="J1955" s="27" t="s">
        <v>39</v>
      </c>
      <c r="K1955" s="27" t="s">
        <v>40</v>
      </c>
      <c r="L1955" s="27" t="s">
        <v>41</v>
      </c>
      <c r="M1955" s="27" t="s">
        <v>42</v>
      </c>
      <c r="N1955" s="27" t="s">
        <v>43</v>
      </c>
      <c r="O1955" s="27" t="s">
        <v>9</v>
      </c>
      <c r="P1955" s="27" t="s">
        <v>12</v>
      </c>
      <c r="Q1955" s="27" t="s">
        <v>19</v>
      </c>
      <c r="R1955" s="27" t="s">
        <v>55</v>
      </c>
      <c r="S1955" s="27" t="s">
        <v>26</v>
      </c>
      <c r="T1955" s="19" t="s">
        <v>25</v>
      </c>
      <c r="U1955" s="33" t="s">
        <v>27</v>
      </c>
      <c r="V1955" s="33" t="s">
        <v>9</v>
      </c>
      <c r="W1955" s="33" t="s">
        <v>23</v>
      </c>
      <c r="X1955" s="33" t="s">
        <v>12</v>
      </c>
      <c r="Y1955" s="33" t="s">
        <v>26</v>
      </c>
      <c r="Z1955" s="33" t="s">
        <v>25</v>
      </c>
      <c r="AA1955" s="33" t="s">
        <v>27</v>
      </c>
      <c r="AB1955" s="33" t="s">
        <v>9</v>
      </c>
      <c r="AC1955" s="33" t="s">
        <v>23</v>
      </c>
      <c r="AD1955" s="33" t="s">
        <v>12</v>
      </c>
      <c r="AE1955" s="33" t="s">
        <v>26</v>
      </c>
      <c r="AF1955" s="33" t="s">
        <v>25</v>
      </c>
      <c r="AG1955" s="33" t="s">
        <v>27</v>
      </c>
      <c r="AH1955" s="33" t="s">
        <v>9</v>
      </c>
      <c r="AI1955" s="33" t="s">
        <v>23</v>
      </c>
      <c r="AJ1955" s="33" t="s">
        <v>12</v>
      </c>
      <c r="AK1955" s="33" t="s">
        <v>26</v>
      </c>
      <c r="AL1955" s="33" t="s">
        <v>25</v>
      </c>
      <c r="AM1955" s="33" t="s">
        <v>27</v>
      </c>
      <c r="AN1955" s="33" t="s">
        <v>9</v>
      </c>
      <c r="AO1955" s="33" t="s">
        <v>23</v>
      </c>
      <c r="AP1955" s="33" t="s">
        <v>12</v>
      </c>
      <c r="AQ1955" s="33" t="s">
        <v>26</v>
      </c>
      <c r="AR1955" s="33" t="s">
        <v>25</v>
      </c>
      <c r="AS1955" s="33" t="s">
        <v>27</v>
      </c>
      <c r="AT1955" s="33" t="s">
        <v>9</v>
      </c>
      <c r="AU1955" s="33" t="s">
        <v>23</v>
      </c>
      <c r="AV1955" s="33" t="s">
        <v>12</v>
      </c>
      <c r="AW1955" s="33" t="s">
        <v>26</v>
      </c>
      <c r="AX1955" s="33" t="s">
        <v>25</v>
      </c>
      <c r="AY1955" s="33" t="s">
        <v>27</v>
      </c>
      <c r="AZ1955" s="33" t="s">
        <v>9</v>
      </c>
      <c r="BA1955" s="33" t="s">
        <v>23</v>
      </c>
      <c r="BB1955" s="33" t="s">
        <v>12</v>
      </c>
      <c r="BC1955" s="33" t="s">
        <v>26</v>
      </c>
      <c r="BD1955" s="33" t="s">
        <v>25</v>
      </c>
      <c r="BE1955" s="33" t="s">
        <v>27</v>
      </c>
      <c r="BF1955" s="33" t="s">
        <v>9</v>
      </c>
      <c r="BG1955" s="33" t="s">
        <v>23</v>
      </c>
      <c r="BH1955" s="33" t="s">
        <v>12</v>
      </c>
      <c r="BI1955" s="33" t="s">
        <v>26</v>
      </c>
      <c r="BJ1955" s="33" t="s">
        <v>25</v>
      </c>
      <c r="BK1955" s="33" t="s">
        <v>27</v>
      </c>
      <c r="BL1955" s="33" t="s">
        <v>9</v>
      </c>
      <c r="BM1955" s="33" t="s">
        <v>23</v>
      </c>
      <c r="BN1955" s="33" t="s">
        <v>12</v>
      </c>
      <c r="BO1955" s="33" t="s">
        <v>26</v>
      </c>
      <c r="BP1955" s="33" t="s">
        <v>25</v>
      </c>
      <c r="BQ1955" s="33" t="s">
        <v>27</v>
      </c>
      <c r="BR1955" s="33" t="s">
        <v>9</v>
      </c>
      <c r="BS1955" s="33" t="s">
        <v>23</v>
      </c>
      <c r="BT1955" s="33" t="s">
        <v>12</v>
      </c>
      <c r="BU1955" s="33" t="s">
        <v>26</v>
      </c>
      <c r="BV1955" s="33" t="s">
        <v>25</v>
      </c>
      <c r="BW1955" s="33" t="s">
        <v>27</v>
      </c>
      <c r="BX1955" s="33" t="s">
        <v>9</v>
      </c>
      <c r="BY1955" s="33" t="s">
        <v>23</v>
      </c>
      <c r="BZ1955" s="33" t="s">
        <v>12</v>
      </c>
      <c r="CA1955" s="33" t="s">
        <v>26</v>
      </c>
      <c r="CB1955" s="33" t="s">
        <v>25</v>
      </c>
      <c r="CC1955" s="33" t="s">
        <v>27</v>
      </c>
      <c r="CD1955" s="33" t="s">
        <v>9</v>
      </c>
      <c r="CE1955" s="33" t="s">
        <v>23</v>
      </c>
      <c r="CF1955" s="33" t="s">
        <v>12</v>
      </c>
      <c r="CG1955" s="33" t="s">
        <v>26</v>
      </c>
      <c r="CH1955" s="33" t="s">
        <v>25</v>
      </c>
      <c r="CI1955" s="8"/>
    </row>
    <row r="1956" spans="1:87" x14ac:dyDescent="0.2">
      <c r="A1956" s="8" t="str">
        <f>IF(AND(COUNTIF(W$3:W$13,A$15)&gt;0,A$15&lt;&gt;B1816),A$15,IFERROR(IF(MATCH(A$15,Z$3:Z$13,0)=7,A$15," ")," "))</f>
        <v xml:space="preserve"> </v>
      </c>
      <c r="B1956" s="8" t="str">
        <f>IF(A1956=" "," ",1)</f>
        <v xml:space="preserve"> </v>
      </c>
      <c r="C1956" s="8" t="str">
        <f>IFERROR(INDEX(A1956:A1977,MATCH(SMALL(B1956:B1977,1),B1956:B1977,0),1)," ")</f>
        <v>C3</v>
      </c>
      <c r="D1956" s="8">
        <f>IFERROR(VLOOKUP($C1956,$A$15:$O$36,2,FALSE)," ")</f>
        <v>2</v>
      </c>
      <c r="E1956" s="8">
        <f>IFERROR(VLOOKUP($C1956,$A$15:$O$36,3,FALSE)," ")</f>
        <v>5</v>
      </c>
      <c r="F1956" s="8">
        <f>IFERROR(VLOOKUP($C1956,$A$15:$O$36,4,FALSE)," ")</f>
        <v>6</v>
      </c>
      <c r="G1956" s="8">
        <f>IFERROR(VLOOKUP($C1956,$A$15:$O$36,5,FALSE)," ")</f>
        <v>0</v>
      </c>
      <c r="H1956" s="8">
        <f>IFERROR(VLOOKUP($C1956,$A$15:$O$36,6,FALSE)," ")</f>
        <v>0</v>
      </c>
      <c r="I1956" s="8">
        <f>IFERROR(VLOOKUP($C1956,$A$15:$O$36,7,FALSE)," ")</f>
        <v>0</v>
      </c>
      <c r="J1956" s="8">
        <f>IFERROR(VLOOKUP($C1956,$A$15:$O$36,8,FALSE)," ")</f>
        <v>0</v>
      </c>
      <c r="K1956" s="8">
        <f>IFERROR(VLOOKUP($C1956,$A$15:$O$36,9,FALSE)," ")</f>
        <v>0</v>
      </c>
      <c r="L1956" s="8">
        <f>IFERROR(VLOOKUP($C1956,$A$15:$O$36,10,FALSE)," ")</f>
        <v>0</v>
      </c>
      <c r="M1956" s="8">
        <f>IFERROR(VLOOKUP($C1956,$A$15:$O$36,11,FALSE)," ")</f>
        <v>0</v>
      </c>
      <c r="N1956" s="8">
        <f>IFERROR(VLOOKUP($C1956,$A$15:$O$36,12,FALSE)," ")</f>
        <v>0</v>
      </c>
      <c r="O1956" s="8">
        <f>IFERROR(VLOOKUP($C1956,$A$15:$O$36,15,FALSE)," ")</f>
        <v>2000</v>
      </c>
      <c r="P1956" s="8" t="e">
        <f t="array" ref="P1956:P1966">MMULT(MINVERSE(D1956:N1966),O1956:O1966)</f>
        <v>#NUM!</v>
      </c>
      <c r="Q1956" s="8" t="e">
        <f t="shared" ref="Q1956" si="8452">IF(COUNTIF(P1956:P1966,"&lt;"&amp;-0.001)=0,IF(ABS(P1956)&lt;0.001,0,P1956)," ")</f>
        <v>#NUM!</v>
      </c>
      <c r="R1956" s="8" t="str">
        <f>IFERROR(VLOOKUP(B1816,A$15:L$36,2,FALSE)*Q1956+VLOOKUP(B1816,A$15:L$36,3,FALSE)*Q1957+VLOOKUP(B1816,A$15:L$36,4,FALSE)*Q1958+VLOOKUP(B1816,A$15:L$36,5,FALSE)*Q1959+VLOOKUP(B1816,A$15:L$36,6,FALSE)*Q1960+VLOOKUP(B1816,A$15:L$36,7,FALSE)*Q1961+VLOOKUP(B1816,A$15:L$36,8,FALSE)*Q1962+VLOOKUP(B1816,A$15:L$36,9,FALSE)*Q1963+VLOOKUP(B1816,A$15:L$36,10,FALSE)*Q1964+VLOOKUP(B1816,A$15:L$36,11,FALSE)*Q1965+VLOOKUP(B1816,A$15:L$36,12,FALSE)*Q1966," ")</f>
        <v xml:space="preserve"> </v>
      </c>
      <c r="S1956" s="8" t="str">
        <f>IFERROR(IF(R1956-VLOOKUP(B1816,A$15:O$36,15,FALSE)&lt;0,R1956-VLOOKUP(B1816,A$15:O$36,15,FALSE)," ")," ")</f>
        <v xml:space="preserve"> </v>
      </c>
      <c r="T1956" s="18" t="str">
        <f>IFERROR(IF(R1956-VLOOKUP(B1816,A$15:O$36,15,FALSE)&gt;0,R1956-VLOOKUP(B1816,A$15:O$36,15,FALSE)," ")," ")</f>
        <v xml:space="preserve"> </v>
      </c>
      <c r="U1956" s="34">
        <f t="shared" ref="U1956" si="8453">$M$2</f>
        <v>100.00000000000001</v>
      </c>
      <c r="V1956" s="34">
        <v>-1</v>
      </c>
      <c r="W1956" s="34">
        <f t="shared" ref="W1956" si="8454">-SUMPRODUCT($M$3:$M$12,$N$3:$N$12)</f>
        <v>-105000</v>
      </c>
      <c r="X1956" s="34" t="e">
        <f t="shared" ref="X1956" si="8455">IF(U1956&lt;&gt;U1957,MMULT(MINVERSE(U1956:V1957),W1956:W1957)," ")</f>
        <v>#NUM!</v>
      </c>
      <c r="Y1956" s="34" t="str">
        <f t="shared" ref="Y1956" si="8456">IFERROR(IF(X1956-VLOOKUP(U$38,$A$2:$N$12,14,FALSE)&lt;0,X1956-VLOOKUP(U$38,$A$2:$N$12,14,FALSE)," ")," ")</f>
        <v xml:space="preserve"> </v>
      </c>
      <c r="Z1956" s="34" t="str">
        <f t="shared" ref="Z1956" si="8457">IFERROR(IF(X1956-VLOOKUP(U$38,$A$2:$N$12,14,FALSE)&gt;0,X1956-VLOOKUP(U$38,$A$2:$N$12,14,FALSE)," ")," ")</f>
        <v xml:space="preserve"> </v>
      </c>
      <c r="AA1956" s="34">
        <f t="shared" ref="AA1956" si="8458">$M$3</f>
        <v>0</v>
      </c>
      <c r="AB1956" s="34">
        <v>-1</v>
      </c>
      <c r="AC1956" s="34">
        <f t="shared" ref="AC1956" si="8459">-SUMPRODUCT($M$2:$M$2,$N$2:$N$2)-SUMPRODUCT($M$4:$M$12,$N$4:$N$12)</f>
        <v>-120000</v>
      </c>
      <c r="AD1956" s="34" t="e">
        <f t="shared" ref="AD1956" si="8460">IF(AA1956&lt;&gt;AA1957,MMULT(MINVERSE(AA1956:AB1957),AC1956:AC1957)," ")</f>
        <v>#NUM!</v>
      </c>
      <c r="AE1956" s="34" t="str">
        <f t="shared" ref="AE1956" si="8461">IFERROR(IF(AD1956-VLOOKUP(AA$38,$A$2:$N$12,14,FALSE)&lt;0,AD1956-VLOOKUP(AA$38,$A$2:$N$12,14,FALSE)," ")," ")</f>
        <v xml:space="preserve"> </v>
      </c>
      <c r="AF1956" s="34" t="str">
        <f t="shared" ref="AF1956" si="8462">IFERROR(IF(AD1956-VLOOKUP(AA$38,$A$2:$N$12,14,FALSE)&gt;0,AD1956-VLOOKUP(AA$38,$A$2:$N$12,14,FALSE)," ")," ")</f>
        <v xml:space="preserve"> </v>
      </c>
      <c r="AG1956" s="34">
        <f t="shared" ref="AG1956" si="8463">$M$4</f>
        <v>300</v>
      </c>
      <c r="AH1956" s="34">
        <v>-1</v>
      </c>
      <c r="AI1956" s="34">
        <f t="shared" ref="AI1956" si="8464">-SUMPRODUCT($M$2:$M$3,$N$2:$N$3)-SUMPRODUCT($M$5:$M$12,$N$5:$N$12)</f>
        <v>-15000.000000000002</v>
      </c>
      <c r="AJ1956" s="34" t="e">
        <f t="shared" ref="AJ1956" si="8465">IF(AG1956&lt;&gt;AG1957,MMULT(MINVERSE(AG1956:AH1957),AI1956:AI1957)," ")</f>
        <v>#NUM!</v>
      </c>
      <c r="AK1956" s="34" t="str">
        <f t="shared" ref="AK1956" si="8466">IFERROR(IF(AJ1956-VLOOKUP(AG$38,$A$2:$N$12,14,FALSE)&lt;0,AJ1956-VLOOKUP(AG$38,$A$2:$N$12,14,FALSE)," ")," ")</f>
        <v xml:space="preserve"> </v>
      </c>
      <c r="AL1956" s="34" t="str">
        <f t="shared" ref="AL1956" si="8467">IFERROR(IF(AJ1956-VLOOKUP(AG$38,$A$2:$N$12,14,FALSE)&gt;0,AJ1956-VLOOKUP(AG$38,$A$2:$N$12,14,FALSE)," ")," ")</f>
        <v xml:space="preserve"> </v>
      </c>
      <c r="AM1956" s="34">
        <f t="shared" ref="AM1956" si="8468">$M$5</f>
        <v>0</v>
      </c>
      <c r="AN1956" s="34">
        <v>-1</v>
      </c>
      <c r="AO1956" s="34">
        <f t="shared" ref="AO1956" si="8469">-SUMPRODUCT($M$2:$M$4,$N$2:$N$4)-SUMPRODUCT($M$6:$M$12,$N$6:$N$12)</f>
        <v>-120000</v>
      </c>
      <c r="AP1956" s="34" t="e">
        <f t="shared" ref="AP1956" si="8470">IF(AM1956&lt;&gt;AM1957,MMULT(MINVERSE(AM1956:AN1957),AO1956:AO1957)," ")</f>
        <v>#NUM!</v>
      </c>
      <c r="AQ1956" s="34" t="str">
        <f t="shared" ref="AQ1956" si="8471">IFERROR(IF(AP1956-VLOOKUP(AM$38,$A$2:$N$12,14,FALSE)&lt;0,AP1956-VLOOKUP(AM$38,$A$2:$N$12,14,FALSE)," ")," ")</f>
        <v xml:space="preserve"> </v>
      </c>
      <c r="AR1956" s="34" t="str">
        <f t="shared" ref="AR1956" si="8472">IFERROR(IF(AP1956-VLOOKUP(AM$38,$A$2:$N$12,14,FALSE)&gt;0,AP1956-VLOOKUP(AM$38,$A$2:$N$12,14,FALSE)," ")," ")</f>
        <v xml:space="preserve"> </v>
      </c>
      <c r="AS1956" s="34">
        <f t="shared" ref="AS1956" si="8473">$M$6</f>
        <v>0</v>
      </c>
      <c r="AT1956" s="34">
        <v>-1</v>
      </c>
      <c r="AU1956" s="34">
        <f t="shared" ref="AU1956" si="8474">-SUMPRODUCT($M$2:$M$5,$N$2:$N$5)-SUMPRODUCT($M$7:$M$12,$N$7:$N$12)</f>
        <v>-120000</v>
      </c>
      <c r="AV1956" s="34" t="e">
        <f t="shared" ref="AV1956" si="8475">IF(AS1956&lt;&gt;AS1957,MMULT(MINVERSE(AS1956:AT1957),AU1956:AU1957)," ")</f>
        <v>#NUM!</v>
      </c>
      <c r="AW1956" s="34" t="str">
        <f t="shared" ref="AW1956" si="8476">IFERROR(IF(AV1956-VLOOKUP(AS$38,$A$2:$N$12,14,FALSE)&lt;0,AV1956-VLOOKUP(AS$38,$A$2:$N$12,14,FALSE)," ")," ")</f>
        <v xml:space="preserve"> </v>
      </c>
      <c r="AX1956" s="34" t="str">
        <f t="shared" ref="AX1956" si="8477">IFERROR(IF(AV1956-VLOOKUP(AS$38,$A$2:$N$12,14,FALSE)&gt;0,AV1956-VLOOKUP(AS$38,$A$2:$N$12,14,FALSE)," ")," ")</f>
        <v xml:space="preserve"> </v>
      </c>
      <c r="AY1956" s="34">
        <f t="shared" ref="AY1956" si="8478">$M$7</f>
        <v>0</v>
      </c>
      <c r="AZ1956" s="34">
        <v>-1</v>
      </c>
      <c r="BA1956" s="34">
        <f t="shared" ref="BA1956" si="8479">-SUMPRODUCT($M$2:$M$6,$N$2:$N$6)-SUMPRODUCT($M$8:$M$12,$N$8:$N$12)</f>
        <v>-120000</v>
      </c>
      <c r="BB1956" s="34" t="e">
        <f t="shared" ref="BB1956" si="8480">IF(AY1956&lt;&gt;AY1957,MMULT(MINVERSE(AY1956:AZ1957),BA1956:BA1957)," ")</f>
        <v>#NUM!</v>
      </c>
      <c r="BC1956" s="34" t="str">
        <f t="shared" ref="BC1956" si="8481">IFERROR(IF(BB1956-VLOOKUP(AY$38,$A$2:$N$12,14,FALSE)&lt;0,BB1956-VLOOKUP(AY$38,$A$2:$N$12,14,FALSE)," ")," ")</f>
        <v xml:space="preserve"> </v>
      </c>
      <c r="BD1956" s="34" t="str">
        <f t="shared" ref="BD1956" si="8482">IFERROR(IF(BB1956-VLOOKUP(AY$38,$A$2:$N$12,14,FALSE)&gt;0,BB1956-VLOOKUP(AY$38,$A$2:$N$12,14,FALSE)," ")," ")</f>
        <v xml:space="preserve"> </v>
      </c>
      <c r="BE1956" s="34">
        <f t="shared" ref="BE1956" si="8483">$M$8</f>
        <v>0</v>
      </c>
      <c r="BF1956" s="34">
        <v>-1</v>
      </c>
      <c r="BG1956" s="34">
        <f t="shared" ref="BG1956" si="8484">-SUMPRODUCT($M$2:$M$7,$N$2:$N$7)-SUMPRODUCT($M$9:$M$12,$N$9:$N$12)</f>
        <v>-120000</v>
      </c>
      <c r="BH1956" s="34" t="e">
        <f t="shared" ref="BH1956" si="8485">IF(BE1956&lt;&gt;BE1957,MMULT(MINVERSE(BE1956:BF1957),BG1956:BG1957)," ")</f>
        <v>#NUM!</v>
      </c>
      <c r="BI1956" s="34" t="str">
        <f t="shared" ref="BI1956" si="8486">IFERROR(IF(BH1956-VLOOKUP(BE$38,$A$2:$N$12,14,FALSE)&lt;0,BH1956-VLOOKUP(BE$38,$A$2:$N$12,14,FALSE)," ")," ")</f>
        <v xml:space="preserve"> </v>
      </c>
      <c r="BJ1956" s="34" t="str">
        <f t="shared" ref="BJ1956" si="8487">IFERROR(IF(BH1956-VLOOKUP(BE$38,$A$2:$N$12,14,FALSE)&gt;0,BH1956-VLOOKUP(BE$38,$A$2:$N$12,14,FALSE)," ")," ")</f>
        <v xml:space="preserve"> </v>
      </c>
      <c r="BK1956" s="34">
        <f t="shared" ref="BK1956" si="8488">$M$9</f>
        <v>0</v>
      </c>
      <c r="BL1956" s="34">
        <v>-1</v>
      </c>
      <c r="BM1956" s="34">
        <f t="shared" ref="BM1956" si="8489">-SUMPRODUCT($M$2:$M$8,$N$2:$N$8)-SUMPRODUCT($M$10:$M$12,$N$10:$N$12)</f>
        <v>-120000</v>
      </c>
      <c r="BN1956" s="34" t="e">
        <f t="shared" ref="BN1956" si="8490">IF(BK1956&lt;&gt;BK1957,MMULT(MINVERSE(BK1956:BL1957),BM1956:BM1957)," ")</f>
        <v>#NUM!</v>
      </c>
      <c r="BO1956" s="34" t="str">
        <f t="shared" ref="BO1956" si="8491">IFERROR(IF(BN1956-VLOOKUP(BK$38,$A$2:$N$12,14,FALSE)&lt;0,BN1956-VLOOKUP(BK$38,$A$2:$N$12,14,FALSE)," ")," ")</f>
        <v xml:space="preserve"> </v>
      </c>
      <c r="BP1956" s="34" t="str">
        <f t="shared" ref="BP1956" si="8492">IFERROR(IF(BN1956-VLOOKUP(BK$38,$A$2:$N$12,14,FALSE)&gt;0,BN1956-VLOOKUP(BK$38,$A$2:$N$12,14,FALSE)," ")," ")</f>
        <v xml:space="preserve"> </v>
      </c>
      <c r="BQ1956" s="34">
        <f t="shared" ref="BQ1956" si="8493">$M$10</f>
        <v>0</v>
      </c>
      <c r="BR1956" s="34">
        <v>-1</v>
      </c>
      <c r="BS1956" s="34">
        <f t="shared" ref="BS1956" si="8494">-SUMPRODUCT($M$2:$M$9,$N$2:$N$9)-SUMPRODUCT($M$11:$M$12,$N$11:$N$12)</f>
        <v>-120000</v>
      </c>
      <c r="BT1956" s="34" t="e">
        <f t="shared" ref="BT1956" si="8495">IF(BQ1956&lt;&gt;BQ1957,MMULT(MINVERSE(BQ1956:BR1957),BS1956:BS1957)," ")</f>
        <v>#NUM!</v>
      </c>
      <c r="BU1956" s="34" t="str">
        <f t="shared" ref="BU1956" si="8496">IFERROR(IF(BT1956-VLOOKUP(BQ$38,$A$2:$N$12,14,FALSE)&lt;0,BT1956-VLOOKUP(BQ$38,$A$2:$N$12,14,FALSE)," ")," ")</f>
        <v xml:space="preserve"> </v>
      </c>
      <c r="BV1956" s="34" t="str">
        <f t="shared" ref="BV1956" si="8497">IFERROR(IF(BT1956-VLOOKUP(BQ$38,$A$2:$N$12,14,FALSE)&gt;0,BT1956-VLOOKUP(BQ$38,$A$2:$N$12,14,FALSE)," ")," ")</f>
        <v xml:space="preserve"> </v>
      </c>
      <c r="BW1956" s="34">
        <f t="shared" ref="BW1956" si="8498">$M$11</f>
        <v>0</v>
      </c>
      <c r="BX1956" s="34">
        <v>-1</v>
      </c>
      <c r="BY1956" s="34">
        <f t="shared" ref="BY1956" si="8499">-SUMPRODUCT($M$2:$M$10,$N$2:$N$10)-SUMPRODUCT($M$12,$N$12)</f>
        <v>-120000</v>
      </c>
      <c r="BZ1956" s="34" t="e">
        <f t="shared" ref="BZ1956" si="8500">IF(BW1956&lt;&gt;BW1957,MMULT(MINVERSE(BW1956:BX1957),BY1956:BY1957)," ")</f>
        <v>#NUM!</v>
      </c>
      <c r="CA1956" s="34" t="str">
        <f t="shared" ref="CA1956" si="8501">IFERROR(IF(BZ1956-VLOOKUP(BW$38,$A$2:$N$12,14,FALSE)&lt;0,BZ1956-VLOOKUP(BW$38,$A$2:$N$12,14,FALSE)," ")," ")</f>
        <v xml:space="preserve"> </v>
      </c>
      <c r="CB1956" s="34" t="str">
        <f t="shared" ref="CB1956" si="8502">IFERROR(IF(BZ1956-VLOOKUP(BW$38,$A$2:$N$12,14,FALSE)&gt;0,BZ1956-VLOOKUP(BW$38,$A$2:$N$12,14,FALSE)," ")," ")</f>
        <v xml:space="preserve"> </v>
      </c>
      <c r="CC1956" s="34">
        <f t="shared" ref="CC1956" si="8503">$M$12</f>
        <v>0</v>
      </c>
      <c r="CD1956" s="34">
        <v>-1</v>
      </c>
      <c r="CE1956" s="34">
        <f t="shared" ref="CE1956" si="8504">-SUMPRODUCT($M$2:$M$11,$N$2:$N$11)</f>
        <v>-120000</v>
      </c>
      <c r="CF1956" s="34" t="e">
        <f t="shared" ref="CF1956" si="8505">IF(CC1956&lt;&gt;CC1957,MMULT(MINVERSE(CC1956:CD1957),CE1956:CE1957)," ")</f>
        <v>#NUM!</v>
      </c>
      <c r="CG1956" s="34" t="str">
        <f t="shared" ref="CG1956" si="8506">IFERROR(IF(CF1956-VLOOKUP(CC$38,$A$2:$N$12,14,FALSE)&lt;0,CF1956-VLOOKUP(CC$38,$A$2:$N$12,14,FALSE)," ")," ")</f>
        <v xml:space="preserve"> </v>
      </c>
      <c r="CH1956" s="34" t="str">
        <f t="shared" ref="CH1956" si="8507">IFERROR(IF(CF1956-VLOOKUP(CC$38,$A$2:$N$12,14,FALSE)&gt;0,CF1956-VLOOKUP(CC$38,$A$2:$N$12,14,FALSE)," ")," ")</f>
        <v xml:space="preserve"> </v>
      </c>
      <c r="CI1956" s="8"/>
    </row>
    <row r="1957" spans="1:87" x14ac:dyDescent="0.2">
      <c r="A1957" s="8" t="str">
        <f>IF(AND(COUNTIF(W$3:W$13,A$16)&gt;0,A$16&lt;&gt;B2416),A$16,IFERROR(IF(MATCH(A$16,Z$3:Z$13,0)=7,A$16," ")," "))</f>
        <v xml:space="preserve"> </v>
      </c>
      <c r="B1957" s="8" t="str">
        <f>IF(A1957=" "," ",MAX(B1956:B1956)+1)</f>
        <v xml:space="preserve"> </v>
      </c>
      <c r="C1957" s="8" t="str">
        <f>IFERROR(INDEX(A1956:A1977,MATCH(SMALL(B1956:B1977,2),B1956:B1977,0),1)," ")</f>
        <v>C4</v>
      </c>
      <c r="D1957" s="8">
        <f t="shared" ref="D1957:D1966" si="8508">IFERROR(VLOOKUP($C1957,$A$15:$O$36,2,FALSE)," ")</f>
        <v>1</v>
      </c>
      <c r="E1957" s="8">
        <f t="shared" ref="E1957:E1966" si="8509">IFERROR(VLOOKUP($C1957,$A$15:$O$36,3,FALSE)," ")</f>
        <v>0</v>
      </c>
      <c r="F1957" s="8">
        <f t="shared" ref="F1957:F1966" si="8510">IFERROR(VLOOKUP($C1957,$A$15:$O$36,4,FALSE)," ")</f>
        <v>1</v>
      </c>
      <c r="G1957" s="8">
        <f t="shared" ref="G1957:G1966" si="8511">IFERROR(VLOOKUP($C1957,$A$15:$O$36,5,FALSE)," ")</f>
        <v>0</v>
      </c>
      <c r="H1957" s="8">
        <f t="shared" ref="H1957:H1966" si="8512">IFERROR(VLOOKUP($C1957,$A$15:$O$36,6,FALSE)," ")</f>
        <v>0</v>
      </c>
      <c r="I1957" s="8">
        <f t="shared" ref="I1957:I1966" si="8513">IFERROR(VLOOKUP($C1957,$A$15:$O$36,7,FALSE)," ")</f>
        <v>0</v>
      </c>
      <c r="J1957" s="8">
        <f t="shared" ref="J1957:J1966" si="8514">IFERROR(VLOOKUP($C1957,$A$15:$O$36,8,FALSE)," ")</f>
        <v>0</v>
      </c>
      <c r="K1957" s="8">
        <f t="shared" ref="K1957:K1966" si="8515">IFERROR(VLOOKUP($C1957,$A$15:$O$36,9,FALSE)," ")</f>
        <v>0</v>
      </c>
      <c r="L1957" s="8">
        <f t="shared" ref="L1957:L1966" si="8516">IFERROR(VLOOKUP($C1957,$A$15:$O$36,10,FALSE)," ")</f>
        <v>0</v>
      </c>
      <c r="M1957" s="8">
        <f t="shared" ref="M1957:M1966" si="8517">IFERROR(VLOOKUP($C1957,$A$15:$O$36,11,FALSE)," ")</f>
        <v>0</v>
      </c>
      <c r="N1957" s="8">
        <f t="shared" ref="N1957:N1966" si="8518">IFERROR(VLOOKUP($C1957,$A$15:$O$36,12,FALSE)," ")</f>
        <v>0</v>
      </c>
      <c r="O1957" s="8">
        <f t="shared" ref="O1957:O1966" si="8519">IFERROR(VLOOKUP($C1957,$A$15:$O$36,15,FALSE)," ")</f>
        <v>400</v>
      </c>
      <c r="P1957" s="8" t="e">
        <v>#NUM!</v>
      </c>
      <c r="Q1957" s="8" t="e">
        <f t="shared" ref="Q1957" si="8520">IF(COUNTIF(P1956:P1966,"&lt;"&amp;-0.001)=0,IF(ABS(P1957)&lt;0.001,0,P1957)," ")</f>
        <v>#NUM!</v>
      </c>
      <c r="R1957" s="8"/>
      <c r="S1957" s="8"/>
      <c r="U1957" s="34" t="e">
        <f t="shared" ref="U1957" si="8521">$Q1956</f>
        <v>#NUM!</v>
      </c>
      <c r="V1957" s="34">
        <v>-1</v>
      </c>
      <c r="W1957" s="34" t="e">
        <f t="shared" ref="W1957" si="8522">-SUMPRODUCT($Q1957:$Q1966,$N$3:$N$12)</f>
        <v>#NUM!</v>
      </c>
      <c r="X1957" s="34"/>
      <c r="Y1957" s="34"/>
      <c r="Z1957" s="34"/>
      <c r="AA1957" s="34" t="e">
        <f t="shared" ref="AA1957" si="8523">$Q1957</f>
        <v>#NUM!</v>
      </c>
      <c r="AB1957" s="34">
        <v>-1</v>
      </c>
      <c r="AC1957" s="34" t="e">
        <f t="shared" ref="AC1957" si="8524">-SUMPRODUCT($Q1956:$Q1956,$N$2:$N$2)-SUMPRODUCT($Q1958:$Q1966,$N$4:$N$12)</f>
        <v>#NUM!</v>
      </c>
      <c r="AD1957" s="34"/>
      <c r="AE1957" s="34"/>
      <c r="AF1957" s="34"/>
      <c r="AG1957" s="34" t="e">
        <f t="shared" ref="AG1957" si="8525">$Q1958</f>
        <v>#NUM!</v>
      </c>
      <c r="AH1957" s="34">
        <v>-1</v>
      </c>
      <c r="AI1957" s="34" t="e">
        <f t="shared" ref="AI1957" si="8526">-SUMPRODUCT($Q1956:$Q1957,$N$2:$N$3)-SUMPRODUCT($Q1959:$Q1966,$N$5:$N$12)</f>
        <v>#NUM!</v>
      </c>
      <c r="AJ1957" s="34"/>
      <c r="AK1957" s="34"/>
      <c r="AL1957" s="34"/>
      <c r="AM1957" s="34" t="e">
        <f t="shared" ref="AM1957" si="8527">$Q1959</f>
        <v>#NUM!</v>
      </c>
      <c r="AN1957" s="34">
        <v>-1</v>
      </c>
      <c r="AO1957" s="34" t="e">
        <f t="shared" ref="AO1957" si="8528">-SUMPRODUCT($Q1956:$Q1958,$N$2:$N$4)-SUMPRODUCT($Q1960:$Q1966,$N$6:$N$12)</f>
        <v>#NUM!</v>
      </c>
      <c r="AP1957" s="34"/>
      <c r="AQ1957" s="34"/>
      <c r="AR1957" s="34"/>
      <c r="AS1957" s="34" t="e">
        <f t="shared" ref="AS1957" si="8529">$Q1960</f>
        <v>#NUM!</v>
      </c>
      <c r="AT1957" s="34">
        <v>-1</v>
      </c>
      <c r="AU1957" s="34" t="e">
        <f t="shared" ref="AU1957" si="8530">-SUMPRODUCT($Q1956:$Q1959,$N$2:$N$5)-SUMPRODUCT($Q1961:$Q1966,$N$7:$N$12)</f>
        <v>#NUM!</v>
      </c>
      <c r="AV1957" s="34"/>
      <c r="AW1957" s="34"/>
      <c r="AX1957" s="34"/>
      <c r="AY1957" s="34" t="e">
        <f t="shared" ref="AY1957" si="8531">$Q1961</f>
        <v>#NUM!</v>
      </c>
      <c r="AZ1957" s="34">
        <v>-1</v>
      </c>
      <c r="BA1957" s="34" t="e">
        <f t="shared" ref="BA1957" si="8532">-SUMPRODUCT($Q1956:$Q1960,$N$2:$N$6)-SUMPRODUCT($Q1962:$Q1966,$N$8:$N$12)</f>
        <v>#NUM!</v>
      </c>
      <c r="BB1957" s="34"/>
      <c r="BC1957" s="34"/>
      <c r="BD1957" s="34"/>
      <c r="BE1957" s="34" t="e">
        <f t="shared" ref="BE1957" si="8533">$Q1962</f>
        <v>#NUM!</v>
      </c>
      <c r="BF1957" s="34">
        <v>-1</v>
      </c>
      <c r="BG1957" s="34" t="e">
        <f t="shared" ref="BG1957" si="8534">-SUMPRODUCT($Q1956:$Q1961,$N$2:$N$7)-SUMPRODUCT($Q1963:$Q1966,$N$9:$N$12)</f>
        <v>#NUM!</v>
      </c>
      <c r="BH1957" s="34"/>
      <c r="BI1957" s="34"/>
      <c r="BJ1957" s="34"/>
      <c r="BK1957" s="34" t="e">
        <f t="shared" ref="BK1957" si="8535">$Q1963</f>
        <v>#NUM!</v>
      </c>
      <c r="BL1957" s="34">
        <v>-1</v>
      </c>
      <c r="BM1957" s="34" t="e">
        <f t="shared" ref="BM1957" si="8536">-SUMPRODUCT($Q1956:$Q1962,$N$2:$N$8)-SUMPRODUCT($Q1964:$Q1966,$N$10:$N$12)</f>
        <v>#NUM!</v>
      </c>
      <c r="BN1957" s="34"/>
      <c r="BO1957" s="34"/>
      <c r="BP1957" s="34"/>
      <c r="BQ1957" s="34" t="e">
        <f t="shared" ref="BQ1957" si="8537">$Q1964</f>
        <v>#NUM!</v>
      </c>
      <c r="BR1957" s="34">
        <v>-1</v>
      </c>
      <c r="BS1957" s="34" t="e">
        <f t="shared" ref="BS1957" si="8538">-SUMPRODUCT($Q1956:$Q1963,$N$2:$N$9)-SUMPRODUCT($Q1965:$Q1966,$N$11:$N$12)</f>
        <v>#NUM!</v>
      </c>
      <c r="BT1957" s="34"/>
      <c r="BU1957" s="34"/>
      <c r="BV1957" s="34"/>
      <c r="BW1957" s="34" t="e">
        <f t="shared" ref="BW1957" si="8539">$Q1965</f>
        <v>#NUM!</v>
      </c>
      <c r="BX1957" s="34">
        <v>-1</v>
      </c>
      <c r="BY1957" s="34" t="e">
        <f t="shared" ref="BY1957" si="8540">-SUMPRODUCT($Q1956:$Q1964,$N$2:$N$10)-SUMPRODUCT($Q1966,$N$12)</f>
        <v>#NUM!</v>
      </c>
      <c r="BZ1957" s="34"/>
      <c r="CA1957" s="34"/>
      <c r="CB1957" s="34"/>
      <c r="CC1957" s="34" t="e">
        <f t="shared" ref="CC1957" si="8541">$Q1966</f>
        <v>#NUM!</v>
      </c>
      <c r="CD1957" s="34">
        <v>-1</v>
      </c>
      <c r="CE1957" s="34" t="e">
        <f t="shared" ref="CE1957" si="8542">-SUMPRODUCT($Q1956:$Q1965,$N$2:$N$11)</f>
        <v>#NUM!</v>
      </c>
      <c r="CF1957" s="34"/>
      <c r="CG1957" s="34"/>
      <c r="CH1957" s="34"/>
      <c r="CI1957" s="8"/>
    </row>
    <row r="1958" spans="1:87" x14ac:dyDescent="0.2">
      <c r="A1958" s="8" t="str">
        <f>IF(AND(COUNTIF(W$3:W$13,A$17)&gt;0,A$17&lt;&gt;B1816),A$17,IFERROR(IF(MATCH(A$17,Z$3:Z$13,0)=7,A$17," ")," "))</f>
        <v>C3</v>
      </c>
      <c r="B1958" s="8">
        <f>IF(A1958=" "," ",MAX(B1956:B1957)+1)</f>
        <v>1</v>
      </c>
      <c r="C1958" s="8" t="str">
        <f>IFERROR(INDEX(A1956:A1977,MATCH(SMALL(B1956:B1977,3),B1956:B1977,0),1)," ")</f>
        <v>C9</v>
      </c>
      <c r="D1958" s="8">
        <f t="shared" si="8508"/>
        <v>0</v>
      </c>
      <c r="E1958" s="8">
        <f t="shared" si="8509"/>
        <v>0</v>
      </c>
      <c r="F1958" s="8">
        <f t="shared" si="8510"/>
        <v>0</v>
      </c>
      <c r="G1958" s="8">
        <f t="shared" si="8511"/>
        <v>0</v>
      </c>
      <c r="H1958" s="8">
        <f t="shared" si="8512"/>
        <v>0</v>
      </c>
      <c r="I1958" s="8">
        <f t="shared" si="8513"/>
        <v>0</v>
      </c>
      <c r="J1958" s="8">
        <f t="shared" si="8514"/>
        <v>0</v>
      </c>
      <c r="K1958" s="8">
        <f t="shared" si="8515"/>
        <v>0</v>
      </c>
      <c r="L1958" s="8">
        <f t="shared" si="8516"/>
        <v>0</v>
      </c>
      <c r="M1958" s="8">
        <f t="shared" si="8517"/>
        <v>0</v>
      </c>
      <c r="N1958" s="8">
        <f t="shared" si="8518"/>
        <v>0</v>
      </c>
      <c r="O1958" s="8">
        <f t="shared" si="8519"/>
        <v>0</v>
      </c>
      <c r="P1958" s="8" t="e">
        <v>#NUM!</v>
      </c>
      <c r="Q1958" s="8" t="e">
        <f t="shared" ref="Q1958" si="8543">IF(COUNTIF(P1956:P1966,"&lt;"&amp;-0.001)=0,IF(ABS(P1958)&lt;0.001,0,P1958)," ")</f>
        <v>#NUM!</v>
      </c>
      <c r="R1958" s="8"/>
      <c r="S1958" s="8"/>
      <c r="U1958" s="34"/>
      <c r="V1958" s="34"/>
      <c r="W1958" s="34"/>
      <c r="X1958" s="34"/>
      <c r="Y1958" s="34"/>
      <c r="Z1958" s="34"/>
      <c r="AA1958" s="34"/>
      <c r="AB1958" s="34"/>
      <c r="AC1958" s="34"/>
      <c r="AD1958" s="34"/>
      <c r="AE1958" s="34"/>
      <c r="AF1958" s="34"/>
      <c r="AG1958" s="34"/>
      <c r="AH1958" s="34"/>
      <c r="AI1958" s="34"/>
      <c r="AJ1958" s="34"/>
      <c r="AK1958" s="34"/>
      <c r="AL1958" s="34"/>
      <c r="AM1958" s="34"/>
      <c r="AN1958" s="34"/>
      <c r="AO1958" s="34"/>
      <c r="AP1958" s="34"/>
      <c r="AQ1958" s="34"/>
      <c r="AR1958" s="34"/>
      <c r="AS1958" s="34"/>
      <c r="AT1958" s="34"/>
      <c r="AU1958" s="34"/>
      <c r="AV1958" s="34"/>
      <c r="AW1958" s="34"/>
      <c r="AX1958" s="34"/>
      <c r="AY1958" s="34"/>
      <c r="AZ1958" s="34"/>
      <c r="BA1958" s="34"/>
      <c r="BB1958" s="34"/>
      <c r="BC1958" s="34"/>
      <c r="BD1958" s="34"/>
      <c r="BE1958" s="34"/>
      <c r="BF1958" s="34"/>
      <c r="BG1958" s="34"/>
      <c r="BH1958" s="34"/>
      <c r="BI1958" s="34"/>
      <c r="BJ1958" s="34"/>
      <c r="BK1958" s="34"/>
      <c r="BL1958" s="34"/>
      <c r="BM1958" s="34"/>
      <c r="BN1958" s="34"/>
      <c r="BO1958" s="34"/>
      <c r="BP1958" s="34"/>
      <c r="BQ1958" s="34"/>
      <c r="BR1958" s="34"/>
      <c r="BS1958" s="34"/>
      <c r="BT1958" s="34"/>
      <c r="BU1958" s="34"/>
      <c r="BV1958" s="34"/>
      <c r="BW1958" s="34"/>
      <c r="BX1958" s="34"/>
      <c r="BY1958" s="34"/>
      <c r="BZ1958" s="34"/>
      <c r="CA1958" s="34"/>
      <c r="CB1958" s="34"/>
      <c r="CC1958" s="34"/>
      <c r="CD1958" s="34"/>
      <c r="CE1958" s="34"/>
      <c r="CF1958" s="34"/>
      <c r="CG1958" s="34"/>
      <c r="CH1958" s="34"/>
      <c r="CI1958" s="8"/>
    </row>
    <row r="1959" spans="1:87" x14ac:dyDescent="0.2">
      <c r="A1959" s="8" t="str">
        <f>IF(AND(COUNTIF(W$3:W$13,A$18)&gt;0,A$18&lt;&gt;B1816),A$18,IFERROR(IF(MATCH(A$18,Z$3:Z$13,0)=7,A$18," ")," "))</f>
        <v>C4</v>
      </c>
      <c r="B1959" s="8">
        <f>IF(A1959=" "," ",MAX(B1956:B1958)+1)</f>
        <v>2</v>
      </c>
      <c r="C1959" s="8" t="str">
        <f>IFERROR(INDEX(A1956:A1977,MATCH(SMALL(B1956:B1977,4),B1956:B1977,0),1)," ")</f>
        <v>C13</v>
      </c>
      <c r="D1959" s="8">
        <f t="shared" si="8508"/>
        <v>0</v>
      </c>
      <c r="E1959" s="8">
        <f t="shared" si="8509"/>
        <v>1</v>
      </c>
      <c r="F1959" s="8">
        <f t="shared" si="8510"/>
        <v>0</v>
      </c>
      <c r="G1959" s="8">
        <f t="shared" si="8511"/>
        <v>0</v>
      </c>
      <c r="H1959" s="8">
        <f t="shared" si="8512"/>
        <v>0</v>
      </c>
      <c r="I1959" s="8">
        <f t="shared" si="8513"/>
        <v>0</v>
      </c>
      <c r="J1959" s="8">
        <f t="shared" si="8514"/>
        <v>0</v>
      </c>
      <c r="K1959" s="8">
        <f t="shared" si="8515"/>
        <v>0</v>
      </c>
      <c r="L1959" s="8">
        <f t="shared" si="8516"/>
        <v>0</v>
      </c>
      <c r="M1959" s="8">
        <f t="shared" si="8517"/>
        <v>0</v>
      </c>
      <c r="N1959" s="8">
        <f t="shared" si="8518"/>
        <v>0</v>
      </c>
      <c r="O1959" s="8">
        <f t="shared" si="8519"/>
        <v>0</v>
      </c>
      <c r="P1959" s="8" t="e">
        <v>#NUM!</v>
      </c>
      <c r="Q1959" s="8" t="e">
        <f t="shared" ref="Q1959" si="8544">IF(COUNTIF(P1956:P1966,"&lt;"&amp;-0.001)=0,IF(ABS(P1959)&lt;0.001,0,P1959)," ")</f>
        <v>#NUM!</v>
      </c>
      <c r="R1959" s="8"/>
      <c r="S1959" s="8"/>
      <c r="U1959" s="34"/>
      <c r="V1959" s="34"/>
      <c r="W1959" s="34"/>
      <c r="X1959" s="34"/>
      <c r="Y1959" s="34"/>
      <c r="Z1959" s="34"/>
      <c r="AA1959" s="34"/>
      <c r="AB1959" s="34"/>
      <c r="AC1959" s="34"/>
      <c r="AD1959" s="34"/>
      <c r="AE1959" s="34"/>
      <c r="AF1959" s="34"/>
      <c r="AG1959" s="34"/>
      <c r="AH1959" s="34"/>
      <c r="AI1959" s="34"/>
      <c r="AJ1959" s="34"/>
      <c r="AK1959" s="34"/>
      <c r="AL1959" s="34"/>
      <c r="AM1959" s="34"/>
      <c r="AN1959" s="34"/>
      <c r="AO1959" s="34"/>
      <c r="AP1959" s="34"/>
      <c r="AQ1959" s="34"/>
      <c r="AR1959" s="34"/>
      <c r="AS1959" s="34"/>
      <c r="AT1959" s="34"/>
      <c r="AU1959" s="34"/>
      <c r="AV1959" s="34"/>
      <c r="AW1959" s="34"/>
      <c r="AX1959" s="34"/>
      <c r="AY1959" s="34"/>
      <c r="AZ1959" s="34"/>
      <c r="BA1959" s="34"/>
      <c r="BB1959" s="34"/>
      <c r="BC1959" s="34"/>
      <c r="BD1959" s="34"/>
      <c r="BE1959" s="34"/>
      <c r="BF1959" s="34"/>
      <c r="BG1959" s="34"/>
      <c r="BH1959" s="34"/>
      <c r="BI1959" s="34"/>
      <c r="BJ1959" s="34"/>
      <c r="BK1959" s="34"/>
      <c r="BL1959" s="34"/>
      <c r="BM1959" s="34"/>
      <c r="BN1959" s="34"/>
      <c r="BO1959" s="34"/>
      <c r="BP1959" s="34"/>
      <c r="BQ1959" s="34"/>
      <c r="BR1959" s="34"/>
      <c r="BS1959" s="34"/>
      <c r="BT1959" s="34"/>
      <c r="BU1959" s="34"/>
      <c r="BV1959" s="34"/>
      <c r="BW1959" s="34"/>
      <c r="BX1959" s="34"/>
      <c r="BY1959" s="34"/>
      <c r="BZ1959" s="34"/>
      <c r="CA1959" s="34"/>
      <c r="CB1959" s="34"/>
      <c r="CC1959" s="34"/>
      <c r="CD1959" s="34"/>
      <c r="CE1959" s="34"/>
      <c r="CF1959" s="34"/>
      <c r="CG1959" s="34"/>
      <c r="CH1959" s="34"/>
      <c r="CI1959" s="8"/>
    </row>
    <row r="1960" spans="1:87" x14ac:dyDescent="0.2">
      <c r="A1960" s="8" t="str">
        <f>IF(AND(COUNTIF(W$3:W$13,A$19)&gt;0,A$19&lt;&gt;B1816),A$19,IFERROR(IF(MATCH(A$19,Z$3:Z$13,0)=7,A$19," ")," "))</f>
        <v xml:space="preserve"> </v>
      </c>
      <c r="B1960" s="8" t="str">
        <f>IF(A1960=" "," ",MAX(B1956:B1959)+1)</f>
        <v xml:space="preserve"> </v>
      </c>
      <c r="C1960" s="8" t="str">
        <f>IFERROR(INDEX(A1956:A1977,MATCH(SMALL(B1956:B1977,5),B1956:B1977,0),1)," ")</f>
        <v>C15</v>
      </c>
      <c r="D1960" s="8">
        <f t="shared" si="8508"/>
        <v>0</v>
      </c>
      <c r="E1960" s="8">
        <f t="shared" si="8509"/>
        <v>0</v>
      </c>
      <c r="F1960" s="8">
        <f t="shared" si="8510"/>
        <v>0</v>
      </c>
      <c r="G1960" s="8">
        <f t="shared" si="8511"/>
        <v>1</v>
      </c>
      <c r="H1960" s="8">
        <f t="shared" si="8512"/>
        <v>0</v>
      </c>
      <c r="I1960" s="8">
        <f t="shared" si="8513"/>
        <v>0</v>
      </c>
      <c r="J1960" s="8">
        <f t="shared" si="8514"/>
        <v>0</v>
      </c>
      <c r="K1960" s="8">
        <f t="shared" si="8515"/>
        <v>0</v>
      </c>
      <c r="L1960" s="8">
        <f t="shared" si="8516"/>
        <v>0</v>
      </c>
      <c r="M1960" s="8">
        <f t="shared" si="8517"/>
        <v>0</v>
      </c>
      <c r="N1960" s="8">
        <f t="shared" si="8518"/>
        <v>0</v>
      </c>
      <c r="O1960" s="8">
        <f t="shared" si="8519"/>
        <v>0</v>
      </c>
      <c r="P1960" s="8" t="e">
        <v>#NUM!</v>
      </c>
      <c r="Q1960" s="8" t="e">
        <f t="shared" ref="Q1960" si="8545">IF(COUNTIF(P1956:P1966,"&lt;"&amp;-0.001)=0,IF(ABS(P1960)&lt;0.001,0,P1960)," ")</f>
        <v>#NUM!</v>
      </c>
      <c r="R1960" s="8"/>
      <c r="S1960" s="8"/>
      <c r="U1960" s="34"/>
      <c r="V1960" s="34"/>
      <c r="W1960" s="34"/>
      <c r="X1960" s="34"/>
      <c r="Y1960" s="34"/>
      <c r="Z1960" s="34"/>
      <c r="AA1960" s="34"/>
      <c r="AB1960" s="34"/>
      <c r="AC1960" s="34"/>
      <c r="AD1960" s="34"/>
      <c r="AE1960" s="34"/>
      <c r="AF1960" s="34"/>
      <c r="AG1960" s="34"/>
      <c r="AH1960" s="34"/>
      <c r="AI1960" s="34"/>
      <c r="AJ1960" s="34"/>
      <c r="AK1960" s="34"/>
      <c r="AL1960" s="34"/>
      <c r="AM1960" s="34"/>
      <c r="AN1960" s="34"/>
      <c r="AO1960" s="34"/>
      <c r="AP1960" s="34"/>
      <c r="AQ1960" s="34"/>
      <c r="AR1960" s="34"/>
      <c r="AS1960" s="34"/>
      <c r="AT1960" s="34"/>
      <c r="AU1960" s="34"/>
      <c r="AV1960" s="34"/>
      <c r="AW1960" s="34"/>
      <c r="AX1960" s="34"/>
      <c r="AY1960" s="34"/>
      <c r="AZ1960" s="34"/>
      <c r="BA1960" s="34"/>
      <c r="BB1960" s="34"/>
      <c r="BC1960" s="34"/>
      <c r="BD1960" s="34"/>
      <c r="BE1960" s="34"/>
      <c r="BF1960" s="34"/>
      <c r="BG1960" s="34"/>
      <c r="BH1960" s="34"/>
      <c r="BI1960" s="34"/>
      <c r="BJ1960" s="34"/>
      <c r="BK1960" s="34"/>
      <c r="BL1960" s="34"/>
      <c r="BM1960" s="34"/>
      <c r="BN1960" s="34"/>
      <c r="BO1960" s="34"/>
      <c r="BP1960" s="34"/>
      <c r="BQ1960" s="34"/>
      <c r="BR1960" s="34"/>
      <c r="BS1960" s="34"/>
      <c r="BT1960" s="34"/>
      <c r="BU1960" s="34"/>
      <c r="BV1960" s="34"/>
      <c r="BW1960" s="34"/>
      <c r="BX1960" s="34"/>
      <c r="BY1960" s="34"/>
      <c r="BZ1960" s="34"/>
      <c r="CA1960" s="34"/>
      <c r="CB1960" s="34"/>
      <c r="CC1960" s="34"/>
      <c r="CD1960" s="34"/>
      <c r="CE1960" s="34"/>
      <c r="CF1960" s="34"/>
      <c r="CG1960" s="34"/>
      <c r="CH1960" s="34"/>
      <c r="CI1960" s="8"/>
    </row>
    <row r="1961" spans="1:87" x14ac:dyDescent="0.2">
      <c r="A1961" s="8" t="str">
        <f>IF(AND(COUNTIF(W$3:W$13,A$20)&gt;0,A$20&lt;&gt;B1816),A$20,IFERROR(IF(MATCH(A$20,Z$3:Z$13,0)=7,A$20," ")," "))</f>
        <v xml:space="preserve"> </v>
      </c>
      <c r="B1961" s="8" t="str">
        <f>IF(A1961=" "," ",MAX(B1956:B1960)+1)</f>
        <v xml:space="preserve"> </v>
      </c>
      <c r="C1961" s="8" t="str">
        <f>IFERROR(INDEX(A1956:A1977,MATCH(SMALL(B1956:B1977,6),B1956:B1977,0),1)," ")</f>
        <v>C16</v>
      </c>
      <c r="D1961" s="8">
        <f t="shared" si="8508"/>
        <v>0</v>
      </c>
      <c r="E1961" s="8">
        <f t="shared" si="8509"/>
        <v>0</v>
      </c>
      <c r="F1961" s="8">
        <f t="shared" si="8510"/>
        <v>0</v>
      </c>
      <c r="G1961" s="8">
        <f t="shared" si="8511"/>
        <v>0</v>
      </c>
      <c r="H1961" s="8">
        <f t="shared" si="8512"/>
        <v>1</v>
      </c>
      <c r="I1961" s="8">
        <f t="shared" si="8513"/>
        <v>0</v>
      </c>
      <c r="J1961" s="8">
        <f t="shared" si="8514"/>
        <v>0</v>
      </c>
      <c r="K1961" s="8">
        <f t="shared" si="8515"/>
        <v>0</v>
      </c>
      <c r="L1961" s="8">
        <f t="shared" si="8516"/>
        <v>0</v>
      </c>
      <c r="M1961" s="8">
        <f t="shared" si="8517"/>
        <v>0</v>
      </c>
      <c r="N1961" s="8">
        <f t="shared" si="8518"/>
        <v>0</v>
      </c>
      <c r="O1961" s="8">
        <f t="shared" si="8519"/>
        <v>0</v>
      </c>
      <c r="P1961" s="8" t="e">
        <v>#NUM!</v>
      </c>
      <c r="Q1961" s="8" t="e">
        <f t="shared" ref="Q1961" si="8546">IF(COUNTIF(P1956:P1966,"&lt;"&amp;-0.001)=0,IF(ABS(P1961)&lt;0.001,0,P1961)," ")</f>
        <v>#NUM!</v>
      </c>
      <c r="R1961" s="8"/>
      <c r="S1961" s="8"/>
      <c r="U1961" s="34"/>
      <c r="V1961" s="34"/>
      <c r="W1961" s="34"/>
      <c r="X1961" s="34"/>
      <c r="Y1961" s="34"/>
      <c r="Z1961" s="34"/>
      <c r="AA1961" s="34"/>
      <c r="AB1961" s="34"/>
      <c r="AC1961" s="34"/>
      <c r="AD1961" s="34"/>
      <c r="AE1961" s="34"/>
      <c r="AF1961" s="34"/>
      <c r="AG1961" s="34"/>
      <c r="AH1961" s="34"/>
      <c r="AI1961" s="34"/>
      <c r="AJ1961" s="34"/>
      <c r="AK1961" s="34"/>
      <c r="AL1961" s="34"/>
      <c r="AM1961" s="34"/>
      <c r="AN1961" s="34"/>
      <c r="AO1961" s="34"/>
      <c r="AP1961" s="34"/>
      <c r="AQ1961" s="34"/>
      <c r="AR1961" s="34"/>
      <c r="AS1961" s="34"/>
      <c r="AT1961" s="34"/>
      <c r="AU1961" s="34"/>
      <c r="AV1961" s="34"/>
      <c r="AW1961" s="34"/>
      <c r="AX1961" s="34"/>
      <c r="AY1961" s="34"/>
      <c r="AZ1961" s="34"/>
      <c r="BA1961" s="34"/>
      <c r="BB1961" s="34"/>
      <c r="BC1961" s="34"/>
      <c r="BD1961" s="34"/>
      <c r="BE1961" s="34"/>
      <c r="BF1961" s="34"/>
      <c r="BG1961" s="34"/>
      <c r="BH1961" s="34"/>
      <c r="BI1961" s="34"/>
      <c r="BJ1961" s="34"/>
      <c r="BK1961" s="34"/>
      <c r="BL1961" s="34"/>
      <c r="BM1961" s="34"/>
      <c r="BN1961" s="34"/>
      <c r="BO1961" s="34"/>
      <c r="BP1961" s="34"/>
      <c r="BQ1961" s="34"/>
      <c r="BR1961" s="34"/>
      <c r="BS1961" s="34"/>
      <c r="BT1961" s="34"/>
      <c r="BU1961" s="34"/>
      <c r="BV1961" s="34"/>
      <c r="BW1961" s="34"/>
      <c r="BX1961" s="34"/>
      <c r="BY1961" s="34"/>
      <c r="BZ1961" s="34"/>
      <c r="CA1961" s="34"/>
      <c r="CB1961" s="34"/>
      <c r="CC1961" s="34"/>
      <c r="CD1961" s="34"/>
      <c r="CE1961" s="34"/>
      <c r="CF1961" s="34"/>
      <c r="CG1961" s="34"/>
      <c r="CH1961" s="34"/>
      <c r="CI1961" s="8"/>
    </row>
    <row r="1962" spans="1:87" x14ac:dyDescent="0.2">
      <c r="A1962" s="8" t="str">
        <f>IF(AND(COUNTIF(W$3:W$13,A$21)&gt;0,A$21&lt;&gt;B1816),A$21,IFERROR(IF(MATCH(A$21,Z$3:Z$13,0)=7,A$21," ")," "))</f>
        <v xml:space="preserve"> </v>
      </c>
      <c r="B1962" s="8" t="str">
        <f>IF(A1962=" "," ",MAX(B1956:B1961)+1)</f>
        <v xml:space="preserve"> </v>
      </c>
      <c r="C1962" s="8" t="str">
        <f>IFERROR(INDEX(A1956:A1977,MATCH(SMALL(B1956:B1977,7),B1956:B1977,0),1)," ")</f>
        <v>C17</v>
      </c>
      <c r="D1962" s="8">
        <f t="shared" si="8508"/>
        <v>0</v>
      </c>
      <c r="E1962" s="8">
        <f t="shared" si="8509"/>
        <v>0</v>
      </c>
      <c r="F1962" s="8">
        <f t="shared" si="8510"/>
        <v>0</v>
      </c>
      <c r="G1962" s="8">
        <f t="shared" si="8511"/>
        <v>0</v>
      </c>
      <c r="H1962" s="8">
        <f t="shared" si="8512"/>
        <v>0</v>
      </c>
      <c r="I1962" s="8">
        <f t="shared" si="8513"/>
        <v>1</v>
      </c>
      <c r="J1962" s="8">
        <f t="shared" si="8514"/>
        <v>0</v>
      </c>
      <c r="K1962" s="8">
        <f t="shared" si="8515"/>
        <v>0</v>
      </c>
      <c r="L1962" s="8">
        <f t="shared" si="8516"/>
        <v>0</v>
      </c>
      <c r="M1962" s="8">
        <f t="shared" si="8517"/>
        <v>0</v>
      </c>
      <c r="N1962" s="8">
        <f t="shared" si="8518"/>
        <v>0</v>
      </c>
      <c r="O1962" s="8">
        <f t="shared" si="8519"/>
        <v>0</v>
      </c>
      <c r="P1962" s="8" t="e">
        <v>#NUM!</v>
      </c>
      <c r="Q1962" s="8" t="e">
        <f t="shared" ref="Q1962" si="8547">IF(COUNTIF(P1956:P1966,"&lt;"&amp;-0.001)=0,IF(ABS(P1962)&lt;0.001,0,P1962)," ")</f>
        <v>#NUM!</v>
      </c>
      <c r="R1962" s="8"/>
      <c r="S1962" s="8"/>
      <c r="U1962" s="34"/>
      <c r="V1962" s="34"/>
      <c r="W1962" s="34"/>
      <c r="X1962" s="34"/>
      <c r="Y1962" s="34"/>
      <c r="Z1962" s="34"/>
      <c r="AA1962" s="34"/>
      <c r="AB1962" s="34"/>
      <c r="AC1962" s="34"/>
      <c r="AD1962" s="34"/>
      <c r="AE1962" s="34"/>
      <c r="AF1962" s="34"/>
      <c r="AG1962" s="34"/>
      <c r="AH1962" s="34"/>
      <c r="AI1962" s="34"/>
      <c r="AJ1962" s="34"/>
      <c r="AK1962" s="34"/>
      <c r="AL1962" s="34"/>
      <c r="AM1962" s="34"/>
      <c r="AN1962" s="34"/>
      <c r="AO1962" s="34"/>
      <c r="AP1962" s="34"/>
      <c r="AQ1962" s="34"/>
      <c r="AR1962" s="34"/>
      <c r="AS1962" s="34"/>
      <c r="AT1962" s="34"/>
      <c r="AU1962" s="34"/>
      <c r="AV1962" s="34"/>
      <c r="AW1962" s="34"/>
      <c r="AX1962" s="34"/>
      <c r="AY1962" s="34"/>
      <c r="AZ1962" s="34"/>
      <c r="BA1962" s="34"/>
      <c r="BB1962" s="34"/>
      <c r="BC1962" s="34"/>
      <c r="BD1962" s="34"/>
      <c r="BE1962" s="34"/>
      <c r="BF1962" s="34"/>
      <c r="BG1962" s="34"/>
      <c r="BH1962" s="34"/>
      <c r="BI1962" s="34"/>
      <c r="BJ1962" s="34"/>
      <c r="BK1962" s="34"/>
      <c r="BL1962" s="34"/>
      <c r="BM1962" s="34"/>
      <c r="BN1962" s="34"/>
      <c r="BO1962" s="34"/>
      <c r="BP1962" s="34"/>
      <c r="BQ1962" s="34"/>
      <c r="BR1962" s="34"/>
      <c r="BS1962" s="34"/>
      <c r="BT1962" s="34"/>
      <c r="BU1962" s="34"/>
      <c r="BV1962" s="34"/>
      <c r="BW1962" s="34"/>
      <c r="BX1962" s="34"/>
      <c r="BY1962" s="34"/>
      <c r="BZ1962" s="34"/>
      <c r="CA1962" s="34"/>
      <c r="CB1962" s="34"/>
      <c r="CC1962" s="34"/>
      <c r="CD1962" s="34"/>
      <c r="CE1962" s="34"/>
      <c r="CF1962" s="34"/>
      <c r="CG1962" s="34"/>
      <c r="CH1962" s="34"/>
      <c r="CI1962" s="8"/>
    </row>
    <row r="1963" spans="1:87" x14ac:dyDescent="0.2">
      <c r="A1963" s="8" t="str">
        <f>IF(AND(COUNTIF(W$3:W$13,A$22)&gt;0,A$22&lt;&gt;B1816),A$22,IFERROR(IF(MATCH(A$22,Z$3:Z$13,0)=7,A$22," ")," "))</f>
        <v xml:space="preserve"> </v>
      </c>
      <c r="B1963" s="8" t="str">
        <f>IF(A1963=" "," ",MAX(B1956:B1962)+1)</f>
        <v xml:space="preserve"> </v>
      </c>
      <c r="C1963" s="8" t="str">
        <f>IFERROR(INDEX(A1956:A1977,MATCH(SMALL(B1956:B1977,8),B1956:B1977,0),1)," ")</f>
        <v>C18</v>
      </c>
      <c r="D1963" s="8">
        <f t="shared" si="8508"/>
        <v>0</v>
      </c>
      <c r="E1963" s="8">
        <f t="shared" si="8509"/>
        <v>0</v>
      </c>
      <c r="F1963" s="8">
        <f t="shared" si="8510"/>
        <v>0</v>
      </c>
      <c r="G1963" s="8">
        <f t="shared" si="8511"/>
        <v>0</v>
      </c>
      <c r="H1963" s="8">
        <f t="shared" si="8512"/>
        <v>0</v>
      </c>
      <c r="I1963" s="8">
        <f t="shared" si="8513"/>
        <v>0</v>
      </c>
      <c r="J1963" s="8">
        <f t="shared" si="8514"/>
        <v>1</v>
      </c>
      <c r="K1963" s="8">
        <f t="shared" si="8515"/>
        <v>0</v>
      </c>
      <c r="L1963" s="8">
        <f t="shared" si="8516"/>
        <v>0</v>
      </c>
      <c r="M1963" s="8">
        <f t="shared" si="8517"/>
        <v>0</v>
      </c>
      <c r="N1963" s="8">
        <f t="shared" si="8518"/>
        <v>0</v>
      </c>
      <c r="O1963" s="8">
        <f t="shared" si="8519"/>
        <v>0</v>
      </c>
      <c r="P1963" s="8" t="e">
        <v>#NUM!</v>
      </c>
      <c r="Q1963" s="8" t="e">
        <f t="shared" ref="Q1963" si="8548">IF(COUNTIF(P1956:P1966,"&lt;"&amp;-0.001)=0,IF(ABS(P1963)&lt;0.001,0,P1963)," ")</f>
        <v>#NUM!</v>
      </c>
      <c r="R1963" s="8"/>
      <c r="S1963" s="8"/>
      <c r="U1963" s="34"/>
      <c r="V1963" s="34"/>
      <c r="W1963" s="34"/>
      <c r="X1963" s="34"/>
      <c r="Y1963" s="34"/>
      <c r="Z1963" s="34"/>
      <c r="AA1963" s="34"/>
      <c r="AB1963" s="34"/>
      <c r="AC1963" s="34"/>
      <c r="AD1963" s="34"/>
      <c r="AE1963" s="34"/>
      <c r="AF1963" s="34"/>
      <c r="AG1963" s="34"/>
      <c r="AH1963" s="34"/>
      <c r="AI1963" s="34"/>
      <c r="AJ1963" s="34"/>
      <c r="AK1963" s="34"/>
      <c r="AL1963" s="34"/>
      <c r="AM1963" s="34"/>
      <c r="AN1963" s="34"/>
      <c r="AO1963" s="34"/>
      <c r="AP1963" s="34"/>
      <c r="AQ1963" s="34"/>
      <c r="AR1963" s="34"/>
      <c r="AS1963" s="34"/>
      <c r="AT1963" s="34"/>
      <c r="AU1963" s="34"/>
      <c r="AV1963" s="34"/>
      <c r="AW1963" s="34"/>
      <c r="AX1963" s="34"/>
      <c r="AY1963" s="34"/>
      <c r="AZ1963" s="34"/>
      <c r="BA1963" s="34"/>
      <c r="BB1963" s="34"/>
      <c r="BC1963" s="34"/>
      <c r="BD1963" s="34"/>
      <c r="BE1963" s="34"/>
      <c r="BF1963" s="34"/>
      <c r="BG1963" s="34"/>
      <c r="BH1963" s="34"/>
      <c r="BI1963" s="34"/>
      <c r="BJ1963" s="34"/>
      <c r="BK1963" s="34"/>
      <c r="BL1963" s="34"/>
      <c r="BM1963" s="34"/>
      <c r="BN1963" s="34"/>
      <c r="BO1963" s="34"/>
      <c r="BP1963" s="34"/>
      <c r="BQ1963" s="34"/>
      <c r="BR1963" s="34"/>
      <c r="BS1963" s="34"/>
      <c r="BT1963" s="34"/>
      <c r="BU1963" s="34"/>
      <c r="BV1963" s="34"/>
      <c r="BW1963" s="34"/>
      <c r="BX1963" s="34"/>
      <c r="BY1963" s="34"/>
      <c r="BZ1963" s="34"/>
      <c r="CA1963" s="34"/>
      <c r="CB1963" s="34"/>
      <c r="CC1963" s="34"/>
      <c r="CD1963" s="34"/>
      <c r="CE1963" s="34"/>
      <c r="CF1963" s="34"/>
      <c r="CG1963" s="34"/>
      <c r="CH1963" s="34"/>
      <c r="CI1963" s="8"/>
    </row>
    <row r="1964" spans="1:87" x14ac:dyDescent="0.2">
      <c r="A1964" s="8" t="str">
        <f>IF(AND(COUNTIF(W$3:W$13,A$23)&gt;0,A$23&lt;&gt;B1816),A$23,IFERROR(IF(MATCH(A$23,Z$3:Z$13,0)=7,A$23," ")," "))</f>
        <v>C9</v>
      </c>
      <c r="B1964" s="8">
        <f>IF(A1964=" "," ",MAX(B1956:B1963)+1)</f>
        <v>3</v>
      </c>
      <c r="C1964" s="8" t="str">
        <f>IFERROR(INDEX(A1956:A1977,MATCH(SMALL(B1956:B1977,9),B1956:B1977,0),1)," ")</f>
        <v>C20</v>
      </c>
      <c r="D1964" s="8">
        <f t="shared" si="8508"/>
        <v>0</v>
      </c>
      <c r="E1964" s="8">
        <f t="shared" si="8509"/>
        <v>0</v>
      </c>
      <c r="F1964" s="8">
        <f t="shared" si="8510"/>
        <v>0</v>
      </c>
      <c r="G1964" s="8">
        <f t="shared" si="8511"/>
        <v>0</v>
      </c>
      <c r="H1964" s="8">
        <f t="shared" si="8512"/>
        <v>0</v>
      </c>
      <c r="I1964" s="8">
        <f t="shared" si="8513"/>
        <v>0</v>
      </c>
      <c r="J1964" s="8">
        <f t="shared" si="8514"/>
        <v>0</v>
      </c>
      <c r="K1964" s="8">
        <f t="shared" si="8515"/>
        <v>0</v>
      </c>
      <c r="L1964" s="8">
        <f t="shared" si="8516"/>
        <v>1</v>
      </c>
      <c r="M1964" s="8">
        <f t="shared" si="8517"/>
        <v>0</v>
      </c>
      <c r="N1964" s="8">
        <f t="shared" si="8518"/>
        <v>0</v>
      </c>
      <c r="O1964" s="8">
        <f t="shared" si="8519"/>
        <v>0</v>
      </c>
      <c r="P1964" s="6" t="e">
        <v>#NUM!</v>
      </c>
      <c r="Q1964" s="8" t="e">
        <f t="shared" ref="Q1964" si="8549">IF(COUNTIF(P1956:P1966,"&lt;"&amp;-0.001)=0,IF(ABS(P1964)&lt;0.001,0,P1964)," ")</f>
        <v>#NUM!</v>
      </c>
      <c r="R1964" s="8"/>
      <c r="S1964" s="8"/>
      <c r="U1964" s="34"/>
      <c r="V1964" s="34"/>
      <c r="W1964" s="34"/>
      <c r="X1964" s="34"/>
      <c r="Y1964" s="34"/>
      <c r="Z1964" s="34"/>
      <c r="AA1964" s="34"/>
      <c r="AB1964" s="34"/>
      <c r="AC1964" s="34"/>
      <c r="AD1964" s="34"/>
      <c r="AE1964" s="34"/>
      <c r="AF1964" s="34"/>
      <c r="AG1964" s="34"/>
      <c r="AH1964" s="34"/>
      <c r="AI1964" s="34"/>
      <c r="AJ1964" s="34"/>
      <c r="AK1964" s="34"/>
      <c r="AL1964" s="34"/>
      <c r="AM1964" s="34"/>
      <c r="AN1964" s="34"/>
      <c r="AO1964" s="34"/>
      <c r="AP1964" s="34"/>
      <c r="AQ1964" s="34"/>
      <c r="AR1964" s="34"/>
      <c r="AS1964" s="34"/>
      <c r="AT1964" s="34"/>
      <c r="AU1964" s="34"/>
      <c r="AV1964" s="34"/>
      <c r="AW1964" s="34"/>
      <c r="AX1964" s="34"/>
      <c r="AY1964" s="34"/>
      <c r="AZ1964" s="34"/>
      <c r="BA1964" s="34"/>
      <c r="BB1964" s="34"/>
      <c r="BC1964" s="34"/>
      <c r="BD1964" s="34"/>
      <c r="BE1964" s="34"/>
      <c r="BF1964" s="34"/>
      <c r="BG1964" s="34"/>
      <c r="BH1964" s="34"/>
      <c r="BI1964" s="34"/>
      <c r="BJ1964" s="34"/>
      <c r="BK1964" s="34"/>
      <c r="BL1964" s="34"/>
      <c r="BM1964" s="34"/>
      <c r="BN1964" s="34"/>
      <c r="BO1964" s="34"/>
      <c r="BP1964" s="34"/>
      <c r="BQ1964" s="34"/>
      <c r="BR1964" s="34"/>
      <c r="BS1964" s="34"/>
      <c r="BT1964" s="34"/>
      <c r="BU1964" s="34"/>
      <c r="BV1964" s="34"/>
      <c r="BW1964" s="34"/>
      <c r="BX1964" s="34"/>
      <c r="BY1964" s="34"/>
      <c r="BZ1964" s="34"/>
      <c r="CA1964" s="34"/>
      <c r="CB1964" s="34"/>
      <c r="CC1964" s="34"/>
      <c r="CD1964" s="34"/>
      <c r="CE1964" s="34"/>
      <c r="CF1964" s="34"/>
      <c r="CG1964" s="34"/>
      <c r="CH1964" s="34"/>
      <c r="CI1964" s="8"/>
    </row>
    <row r="1965" spans="1:87" x14ac:dyDescent="0.2">
      <c r="A1965" s="8" t="str">
        <f>IF(AND(COUNTIF(W$3:W$13,A$24)&gt;0,A$24&lt;&gt;B1816),A$24,IFERROR(IF(MATCH(A$24,Z$3:Z$13,0)=7,A$24," ")," "))</f>
        <v xml:space="preserve"> </v>
      </c>
      <c r="B1965" s="8" t="str">
        <f>IF(A1965=" "," ",MAX(B1956:B1964)+1)</f>
        <v xml:space="preserve"> </v>
      </c>
      <c r="C1965" s="8" t="str">
        <f>IFERROR(INDEX(A1956:A1977,MATCH(SMALL(B1956:B1977,10),B1956:B1977,0),1)," ")</f>
        <v>C21</v>
      </c>
      <c r="D1965" s="8">
        <f t="shared" si="8508"/>
        <v>0</v>
      </c>
      <c r="E1965" s="8">
        <f t="shared" si="8509"/>
        <v>0</v>
      </c>
      <c r="F1965" s="8">
        <f t="shared" si="8510"/>
        <v>0</v>
      </c>
      <c r="G1965" s="8">
        <f t="shared" si="8511"/>
        <v>0</v>
      </c>
      <c r="H1965" s="8">
        <f t="shared" si="8512"/>
        <v>0</v>
      </c>
      <c r="I1965" s="8">
        <f t="shared" si="8513"/>
        <v>0</v>
      </c>
      <c r="J1965" s="8">
        <f t="shared" si="8514"/>
        <v>0</v>
      </c>
      <c r="K1965" s="8">
        <f t="shared" si="8515"/>
        <v>0</v>
      </c>
      <c r="L1965" s="8">
        <f t="shared" si="8516"/>
        <v>0</v>
      </c>
      <c r="M1965" s="8">
        <f t="shared" si="8517"/>
        <v>1</v>
      </c>
      <c r="N1965" s="8">
        <f t="shared" si="8518"/>
        <v>0</v>
      </c>
      <c r="O1965" s="8">
        <f t="shared" si="8519"/>
        <v>0</v>
      </c>
      <c r="P1965" s="8" t="e">
        <v>#NUM!</v>
      </c>
      <c r="Q1965" s="8" t="e">
        <f t="shared" ref="Q1965" si="8550">IF(COUNTIF(P1956:P1966,"&lt;"&amp;-0.001)=0,IF(ABS(P1965)&lt;0.001,0,P1965)," ")</f>
        <v>#NUM!</v>
      </c>
      <c r="R1965" s="8"/>
      <c r="S1965" s="8"/>
      <c r="U1965" s="34"/>
      <c r="V1965" s="34"/>
      <c r="W1965" s="34"/>
      <c r="X1965" s="34"/>
      <c r="Y1965" s="34"/>
      <c r="Z1965" s="34"/>
      <c r="AA1965" s="34"/>
      <c r="AB1965" s="34"/>
      <c r="AC1965" s="34"/>
      <c r="AD1965" s="34"/>
      <c r="AE1965" s="34"/>
      <c r="AF1965" s="34"/>
      <c r="AG1965" s="34"/>
      <c r="AH1965" s="34"/>
      <c r="AI1965" s="34"/>
      <c r="AJ1965" s="34"/>
      <c r="AK1965" s="34"/>
      <c r="AL1965" s="34"/>
      <c r="AM1965" s="34"/>
      <c r="AN1965" s="34"/>
      <c r="AO1965" s="34"/>
      <c r="AP1965" s="34"/>
      <c r="AQ1965" s="34"/>
      <c r="AR1965" s="34"/>
      <c r="AS1965" s="34"/>
      <c r="AT1965" s="34"/>
      <c r="AU1965" s="34"/>
      <c r="AV1965" s="34"/>
      <c r="AW1965" s="34"/>
      <c r="AX1965" s="34"/>
      <c r="AY1965" s="34"/>
      <c r="AZ1965" s="34"/>
      <c r="BA1965" s="34"/>
      <c r="BB1965" s="34"/>
      <c r="BC1965" s="34"/>
      <c r="BD1965" s="34"/>
      <c r="BE1965" s="34"/>
      <c r="BF1965" s="34"/>
      <c r="BG1965" s="34"/>
      <c r="BH1965" s="34"/>
      <c r="BI1965" s="34"/>
      <c r="BJ1965" s="34"/>
      <c r="BK1965" s="34"/>
      <c r="BL1965" s="34"/>
      <c r="BM1965" s="34"/>
      <c r="BN1965" s="34"/>
      <c r="BO1965" s="34"/>
      <c r="BP1965" s="34"/>
      <c r="BQ1965" s="34"/>
      <c r="BR1965" s="34"/>
      <c r="BS1965" s="34"/>
      <c r="BT1965" s="34"/>
      <c r="BU1965" s="34"/>
      <c r="BV1965" s="34"/>
      <c r="BW1965" s="34"/>
      <c r="BX1965" s="34"/>
      <c r="BY1965" s="34"/>
      <c r="BZ1965" s="34"/>
      <c r="CA1965" s="34"/>
      <c r="CB1965" s="34"/>
      <c r="CC1965" s="34"/>
      <c r="CD1965" s="34"/>
      <c r="CE1965" s="34"/>
      <c r="CF1965" s="34"/>
      <c r="CG1965" s="34"/>
      <c r="CH1965" s="34"/>
      <c r="CI1965" s="8"/>
    </row>
    <row r="1966" spans="1:87" x14ac:dyDescent="0.2">
      <c r="A1966" s="8" t="str">
        <f>IF(AND(COUNTIF(W$3:W$13,A$25)&gt;0,A$25&lt;&gt;B1816),A$25,IFERROR(IF(MATCH(A$25,Z$3:Z$13,0)=7,A$25," ")," "))</f>
        <v xml:space="preserve"> </v>
      </c>
      <c r="B1966" s="8" t="str">
        <f>IF(A1966=" "," ",MAX(B1956:B1965)+1)</f>
        <v xml:space="preserve"> </v>
      </c>
      <c r="C1966" s="8" t="str">
        <f>IFERROR(INDEX(A1956:A1977,MATCH(SMALL(B1956:B1977,11),B1956:B1977,0),1)," ")</f>
        <v>C22</v>
      </c>
      <c r="D1966" s="8">
        <f t="shared" si="8508"/>
        <v>0</v>
      </c>
      <c r="E1966" s="8">
        <f t="shared" si="8509"/>
        <v>0</v>
      </c>
      <c r="F1966" s="8">
        <f t="shared" si="8510"/>
        <v>0</v>
      </c>
      <c r="G1966" s="8">
        <f t="shared" si="8511"/>
        <v>0</v>
      </c>
      <c r="H1966" s="8">
        <f t="shared" si="8512"/>
        <v>0</v>
      </c>
      <c r="I1966" s="8">
        <f t="shared" si="8513"/>
        <v>0</v>
      </c>
      <c r="J1966" s="8">
        <f t="shared" si="8514"/>
        <v>0</v>
      </c>
      <c r="K1966" s="8">
        <f t="shared" si="8515"/>
        <v>0</v>
      </c>
      <c r="L1966" s="8">
        <f t="shared" si="8516"/>
        <v>0</v>
      </c>
      <c r="M1966" s="8">
        <f t="shared" si="8517"/>
        <v>0</v>
      </c>
      <c r="N1966" s="8">
        <f t="shared" si="8518"/>
        <v>1</v>
      </c>
      <c r="O1966" s="8">
        <f t="shared" si="8519"/>
        <v>0</v>
      </c>
      <c r="P1966" s="8" t="e">
        <v>#NUM!</v>
      </c>
      <c r="Q1966" s="8" t="e">
        <f t="shared" ref="Q1966" si="8551">IF(COUNTIF(P1956:P1966,"&lt;"&amp;-0.001)=0,IF(ABS(P1966)&lt;0.001,0,P1966)," ")</f>
        <v>#NUM!</v>
      </c>
      <c r="R1966" s="8"/>
      <c r="S1966" s="8"/>
      <c r="U1966" s="34"/>
      <c r="V1966" s="34"/>
      <c r="W1966" s="34"/>
      <c r="X1966" s="34"/>
      <c r="Y1966" s="34"/>
      <c r="Z1966" s="34"/>
      <c r="AA1966" s="34"/>
      <c r="AB1966" s="34"/>
      <c r="AC1966" s="34"/>
      <c r="AD1966" s="34"/>
      <c r="AE1966" s="34"/>
      <c r="AF1966" s="34"/>
      <c r="AG1966" s="34"/>
      <c r="AH1966" s="34"/>
      <c r="AI1966" s="34"/>
      <c r="AJ1966" s="34"/>
      <c r="AK1966" s="34"/>
      <c r="AL1966" s="34"/>
      <c r="AM1966" s="34"/>
      <c r="AN1966" s="34"/>
      <c r="AO1966" s="34"/>
      <c r="AP1966" s="34"/>
      <c r="AQ1966" s="34"/>
      <c r="AR1966" s="34"/>
      <c r="AS1966" s="34"/>
      <c r="AT1966" s="34"/>
      <c r="AU1966" s="34"/>
      <c r="AV1966" s="34"/>
      <c r="AW1966" s="34"/>
      <c r="AX1966" s="34"/>
      <c r="AY1966" s="34"/>
      <c r="AZ1966" s="34"/>
      <c r="BA1966" s="34"/>
      <c r="BB1966" s="34"/>
      <c r="BC1966" s="34"/>
      <c r="BD1966" s="34"/>
      <c r="BE1966" s="34"/>
      <c r="BF1966" s="34"/>
      <c r="BG1966" s="34"/>
      <c r="BH1966" s="34"/>
      <c r="BI1966" s="34"/>
      <c r="BJ1966" s="34"/>
      <c r="BK1966" s="34"/>
      <c r="BL1966" s="34"/>
      <c r="BM1966" s="34"/>
      <c r="BN1966" s="34"/>
      <c r="BO1966" s="34"/>
      <c r="BP1966" s="34"/>
      <c r="BQ1966" s="34"/>
      <c r="BR1966" s="34"/>
      <c r="BS1966" s="34"/>
      <c r="BT1966" s="34"/>
      <c r="BU1966" s="34"/>
      <c r="BV1966" s="34"/>
      <c r="BW1966" s="34"/>
      <c r="BX1966" s="34"/>
      <c r="BY1966" s="34"/>
      <c r="BZ1966" s="34"/>
      <c r="CA1966" s="34"/>
      <c r="CB1966" s="34"/>
      <c r="CC1966" s="34"/>
      <c r="CD1966" s="34"/>
      <c r="CE1966" s="34"/>
      <c r="CF1966" s="34"/>
      <c r="CG1966" s="34"/>
      <c r="CH1966" s="34"/>
      <c r="CI1966" s="8"/>
    </row>
    <row r="1967" spans="1:87" x14ac:dyDescent="0.2">
      <c r="A1967" s="8" t="str">
        <f>IF(AND(COUNTIF(W$3:W$13,A$26)&gt;0,A$26&lt;&gt;B1816),A$26,IFERROR(IF(MATCH(A$26,Z$3:Z$13,0)=7,A$26," ")," "))</f>
        <v xml:space="preserve"> </v>
      </c>
      <c r="B1967" s="8" t="str">
        <f>IF(A1967=" "," ",MAX(B1956:B1966)+1)</f>
        <v xml:space="preserve"> </v>
      </c>
      <c r="C1967" s="8"/>
      <c r="D1967" s="8"/>
      <c r="E1967" s="8"/>
      <c r="F1967" s="8"/>
      <c r="G1967" s="8"/>
      <c r="H1967" s="8"/>
      <c r="I1967" s="8"/>
      <c r="J1967" s="8"/>
      <c r="K1967" s="8"/>
      <c r="L1967" s="8"/>
      <c r="M1967" s="8"/>
      <c r="N1967" s="8"/>
      <c r="O1967" s="8"/>
      <c r="P1967" s="8"/>
      <c r="Q1967" s="8"/>
      <c r="R1967" s="8"/>
      <c r="S1967" s="8"/>
      <c r="U1967" s="34"/>
      <c r="V1967" s="34"/>
      <c r="W1967" s="34"/>
      <c r="X1967" s="34"/>
      <c r="Y1967" s="34"/>
      <c r="Z1967" s="34"/>
      <c r="AA1967" s="34"/>
      <c r="AB1967" s="34"/>
      <c r="AC1967" s="34"/>
      <c r="AD1967" s="34"/>
      <c r="AE1967" s="34"/>
      <c r="AF1967" s="34"/>
      <c r="AG1967" s="34"/>
      <c r="AH1967" s="34"/>
      <c r="AI1967" s="34"/>
      <c r="AJ1967" s="34"/>
      <c r="AK1967" s="34"/>
      <c r="AL1967" s="34"/>
      <c r="AM1967" s="34"/>
      <c r="AN1967" s="34"/>
      <c r="AO1967" s="34"/>
      <c r="AP1967" s="34"/>
      <c r="AQ1967" s="34"/>
      <c r="AR1967" s="34"/>
      <c r="AS1967" s="34"/>
      <c r="AT1967" s="34"/>
      <c r="AU1967" s="34"/>
      <c r="AV1967" s="34"/>
      <c r="AW1967" s="34"/>
      <c r="AX1967" s="34"/>
      <c r="AY1967" s="34"/>
      <c r="AZ1967" s="34"/>
      <c r="BA1967" s="34"/>
      <c r="BB1967" s="34"/>
      <c r="BC1967" s="34"/>
      <c r="BD1967" s="34"/>
      <c r="BE1967" s="34"/>
      <c r="BF1967" s="34"/>
      <c r="BG1967" s="34"/>
      <c r="BH1967" s="34"/>
      <c r="BI1967" s="34"/>
      <c r="BJ1967" s="34"/>
      <c r="BK1967" s="34"/>
      <c r="BL1967" s="34"/>
      <c r="BM1967" s="34"/>
      <c r="BN1967" s="34"/>
      <c r="BO1967" s="34"/>
      <c r="BP1967" s="34"/>
      <c r="BQ1967" s="34"/>
      <c r="BR1967" s="34"/>
      <c r="BS1967" s="34"/>
      <c r="BT1967" s="34"/>
      <c r="BU1967" s="34"/>
      <c r="BV1967" s="34"/>
      <c r="BW1967" s="34"/>
      <c r="BX1967" s="34"/>
      <c r="BY1967" s="34"/>
      <c r="BZ1967" s="34"/>
      <c r="CA1967" s="34"/>
      <c r="CB1967" s="34"/>
      <c r="CC1967" s="34"/>
      <c r="CD1967" s="34"/>
      <c r="CE1967" s="34"/>
      <c r="CF1967" s="34"/>
      <c r="CG1967" s="34"/>
      <c r="CH1967" s="34"/>
      <c r="CI1967" s="8"/>
    </row>
    <row r="1968" spans="1:87" x14ac:dyDescent="0.2">
      <c r="A1968" s="8" t="str">
        <f>IF(AND(COUNTIF(W$3:W$13,A$27)&gt;0,A$27&lt;&gt;B1816),A$27,IFERROR(IF(MATCH(A$27,Z$3:Z$13,0)=7,A$27," ")," "))</f>
        <v>C13</v>
      </c>
      <c r="B1968" s="8">
        <f>IF(A1968=" "," ",MAX(B1956:B1967)+1)</f>
        <v>4</v>
      </c>
      <c r="C1968" s="8"/>
      <c r="D1968" s="8"/>
      <c r="E1968" s="8"/>
      <c r="F1968" s="8"/>
      <c r="G1968" s="8"/>
      <c r="H1968" s="8"/>
      <c r="I1968" s="8"/>
      <c r="J1968" s="8"/>
      <c r="K1968" s="8"/>
      <c r="L1968" s="8"/>
      <c r="M1968" s="8"/>
      <c r="N1968" s="8"/>
      <c r="O1968" s="8"/>
      <c r="P1968" s="8"/>
      <c r="Q1968" s="8"/>
      <c r="R1968" s="8"/>
      <c r="S1968" s="8"/>
      <c r="U1968" s="34"/>
      <c r="V1968" s="34"/>
      <c r="W1968" s="34"/>
      <c r="X1968" s="34"/>
      <c r="Y1968" s="34"/>
      <c r="Z1968" s="34"/>
      <c r="AA1968" s="34"/>
      <c r="AB1968" s="34"/>
      <c r="AC1968" s="34"/>
      <c r="AD1968" s="34"/>
      <c r="AE1968" s="34"/>
      <c r="AF1968" s="34"/>
      <c r="AG1968" s="34"/>
      <c r="AH1968" s="34"/>
      <c r="AI1968" s="34"/>
      <c r="AJ1968" s="34"/>
      <c r="AK1968" s="34"/>
      <c r="AL1968" s="34"/>
      <c r="AM1968" s="34"/>
      <c r="AN1968" s="34"/>
      <c r="AO1968" s="34"/>
      <c r="AP1968" s="34"/>
      <c r="AQ1968" s="34"/>
      <c r="AR1968" s="34"/>
      <c r="AS1968" s="34"/>
      <c r="AT1968" s="34"/>
      <c r="AU1968" s="34"/>
      <c r="AV1968" s="34"/>
      <c r="AW1968" s="34"/>
      <c r="AX1968" s="34"/>
      <c r="AY1968" s="34"/>
      <c r="AZ1968" s="34"/>
      <c r="BA1968" s="34"/>
      <c r="BB1968" s="34"/>
      <c r="BC1968" s="34"/>
      <c r="BD1968" s="34"/>
      <c r="BE1968" s="34"/>
      <c r="BF1968" s="34"/>
      <c r="BG1968" s="34"/>
      <c r="BH1968" s="34"/>
      <c r="BI1968" s="34"/>
      <c r="BJ1968" s="34"/>
      <c r="BK1968" s="34"/>
      <c r="BL1968" s="34"/>
      <c r="BM1968" s="34"/>
      <c r="BN1968" s="34"/>
      <c r="BO1968" s="34"/>
      <c r="BP1968" s="34"/>
      <c r="BQ1968" s="34"/>
      <c r="BR1968" s="34"/>
      <c r="BS1968" s="34"/>
      <c r="BT1968" s="34"/>
      <c r="BU1968" s="34"/>
      <c r="BV1968" s="34"/>
      <c r="BW1968" s="34"/>
      <c r="BX1968" s="34"/>
      <c r="BY1968" s="34"/>
      <c r="BZ1968" s="34"/>
      <c r="CA1968" s="34"/>
      <c r="CB1968" s="34"/>
      <c r="CC1968" s="34"/>
      <c r="CD1968" s="34"/>
      <c r="CE1968" s="34"/>
      <c r="CF1968" s="34"/>
      <c r="CG1968" s="34"/>
      <c r="CH1968" s="34"/>
      <c r="CI1968" s="8"/>
    </row>
    <row r="1969" spans="1:87" x14ac:dyDescent="0.2">
      <c r="A1969" s="8" t="str">
        <f>IF(AND(COUNTIF(W$3:W$13,A$28)&gt;0,A$28&lt;&gt;B1816),A$28,IFERROR(IF(MATCH(A$28,Z$3:Z$13,0)=7,A$28," ")," "))</f>
        <v xml:space="preserve"> </v>
      </c>
      <c r="B1969" s="8" t="str">
        <f>IF(A1969=" "," ",MAX(B1956:B1968)+1)</f>
        <v xml:space="preserve"> </v>
      </c>
      <c r="C1969" s="8"/>
      <c r="D1969" s="8"/>
      <c r="E1969" s="8"/>
      <c r="F1969" s="8"/>
      <c r="G1969" s="8"/>
      <c r="H1969" s="8"/>
      <c r="I1969" s="8"/>
      <c r="J1969" s="8"/>
      <c r="K1969" s="8"/>
      <c r="L1969" s="8"/>
      <c r="M1969" s="8"/>
      <c r="N1969" s="8"/>
      <c r="O1969" s="8"/>
      <c r="P1969" s="8"/>
      <c r="Q1969" s="8"/>
      <c r="R1969" s="8"/>
      <c r="S1969" s="8"/>
      <c r="U1969" s="34"/>
      <c r="V1969" s="34"/>
      <c r="W1969" s="34"/>
      <c r="X1969" s="34"/>
      <c r="Y1969" s="34"/>
      <c r="Z1969" s="34"/>
      <c r="AA1969" s="34"/>
      <c r="AB1969" s="34"/>
      <c r="AC1969" s="34"/>
      <c r="AD1969" s="34"/>
      <c r="AE1969" s="34"/>
      <c r="AF1969" s="34"/>
      <c r="AG1969" s="34"/>
      <c r="AH1969" s="34"/>
      <c r="AI1969" s="34"/>
      <c r="AJ1969" s="34"/>
      <c r="AK1969" s="34"/>
      <c r="AL1969" s="34"/>
      <c r="AM1969" s="34"/>
      <c r="AN1969" s="34"/>
      <c r="AO1969" s="34"/>
      <c r="AP1969" s="34"/>
      <c r="AQ1969" s="34"/>
      <c r="AR1969" s="34"/>
      <c r="AS1969" s="34"/>
      <c r="AT1969" s="34"/>
      <c r="AU1969" s="34"/>
      <c r="AV1969" s="34"/>
      <c r="AW1969" s="34"/>
      <c r="AX1969" s="34"/>
      <c r="AY1969" s="34"/>
      <c r="AZ1969" s="34"/>
      <c r="BA1969" s="34"/>
      <c r="BB1969" s="34"/>
      <c r="BC1969" s="34"/>
      <c r="BD1969" s="34"/>
      <c r="BE1969" s="34"/>
      <c r="BF1969" s="34"/>
      <c r="BG1969" s="34"/>
      <c r="BH1969" s="34"/>
      <c r="BI1969" s="34"/>
      <c r="BJ1969" s="34"/>
      <c r="BK1969" s="34"/>
      <c r="BL1969" s="34"/>
      <c r="BM1969" s="34"/>
      <c r="BN1969" s="34"/>
      <c r="BO1969" s="34"/>
      <c r="BP1969" s="34"/>
      <c r="BQ1969" s="34"/>
      <c r="BR1969" s="34"/>
      <c r="BS1969" s="34"/>
      <c r="BT1969" s="34"/>
      <c r="BU1969" s="34"/>
      <c r="BV1969" s="34"/>
      <c r="BW1969" s="34"/>
      <c r="BX1969" s="34"/>
      <c r="BY1969" s="34"/>
      <c r="BZ1969" s="34"/>
      <c r="CA1969" s="34"/>
      <c r="CB1969" s="34"/>
      <c r="CC1969" s="34"/>
      <c r="CD1969" s="34"/>
      <c r="CE1969" s="34"/>
      <c r="CF1969" s="34"/>
      <c r="CG1969" s="34"/>
      <c r="CH1969" s="34"/>
      <c r="CI1969" s="8"/>
    </row>
    <row r="1970" spans="1:87" x14ac:dyDescent="0.2">
      <c r="A1970" s="8" t="str">
        <f>IF(AND(COUNTIF(W$3:W$13,A$29)&gt;0,A$29&lt;&gt;B1816),A$29,IFERROR(IF(MATCH(A$29,Z$3:Z$13,0)=7,A$29," ")," "))</f>
        <v>C15</v>
      </c>
      <c r="B1970" s="8">
        <f>IF(A1970=" "," ",MAX(B1956:B1969)+1)</f>
        <v>5</v>
      </c>
      <c r="C1970" s="8"/>
      <c r="D1970" s="8"/>
      <c r="E1970" s="8"/>
      <c r="F1970" s="8"/>
      <c r="G1970" s="8"/>
      <c r="H1970" s="8"/>
      <c r="I1970" s="8"/>
      <c r="J1970" s="8"/>
      <c r="K1970" s="8"/>
      <c r="L1970" s="8"/>
      <c r="M1970" s="8"/>
      <c r="N1970" s="8"/>
      <c r="O1970" s="8"/>
      <c r="P1970" s="8"/>
      <c r="Q1970" s="8"/>
      <c r="R1970" s="8"/>
      <c r="S1970" s="8"/>
      <c r="U1970" s="34"/>
      <c r="V1970" s="34"/>
      <c r="W1970" s="34"/>
      <c r="X1970" s="34"/>
      <c r="Y1970" s="34"/>
      <c r="Z1970" s="34"/>
      <c r="AA1970" s="34"/>
      <c r="AB1970" s="34"/>
      <c r="AC1970" s="34"/>
      <c r="AD1970" s="34"/>
      <c r="AE1970" s="34"/>
      <c r="AF1970" s="34"/>
      <c r="AG1970" s="34"/>
      <c r="AH1970" s="34"/>
      <c r="AI1970" s="34"/>
      <c r="AJ1970" s="34"/>
      <c r="AK1970" s="34"/>
      <c r="AL1970" s="34"/>
      <c r="AM1970" s="34"/>
      <c r="AN1970" s="34"/>
      <c r="AO1970" s="34"/>
      <c r="AP1970" s="34"/>
      <c r="AQ1970" s="34"/>
      <c r="AR1970" s="34"/>
      <c r="AS1970" s="34"/>
      <c r="AT1970" s="34"/>
      <c r="AU1970" s="34"/>
      <c r="AV1970" s="34"/>
      <c r="AW1970" s="34"/>
      <c r="AX1970" s="34"/>
      <c r="AY1970" s="34"/>
      <c r="AZ1970" s="34"/>
      <c r="BA1970" s="34"/>
      <c r="BB1970" s="34"/>
      <c r="BC1970" s="34"/>
      <c r="BD1970" s="34"/>
      <c r="BE1970" s="34"/>
      <c r="BF1970" s="34"/>
      <c r="BG1970" s="34"/>
      <c r="BH1970" s="34"/>
      <c r="BI1970" s="34"/>
      <c r="BJ1970" s="34"/>
      <c r="BK1970" s="34"/>
      <c r="BL1970" s="34"/>
      <c r="BM1970" s="34"/>
      <c r="BN1970" s="34"/>
      <c r="BO1970" s="34"/>
      <c r="BP1970" s="34"/>
      <c r="BQ1970" s="34"/>
      <c r="BR1970" s="34"/>
      <c r="BS1970" s="34"/>
      <c r="BT1970" s="34"/>
      <c r="BU1970" s="34"/>
      <c r="BV1970" s="34"/>
      <c r="BW1970" s="34"/>
      <c r="BX1970" s="34"/>
      <c r="BY1970" s="34"/>
      <c r="BZ1970" s="34"/>
      <c r="CA1970" s="34"/>
      <c r="CB1970" s="34"/>
      <c r="CC1970" s="34"/>
      <c r="CD1970" s="34"/>
      <c r="CE1970" s="34"/>
      <c r="CF1970" s="34"/>
      <c r="CG1970" s="34"/>
      <c r="CH1970" s="34"/>
      <c r="CI1970" s="8"/>
    </row>
    <row r="1971" spans="1:87" x14ac:dyDescent="0.2">
      <c r="A1971" s="8" t="str">
        <f>IF(AND(COUNTIF(W$3:W$13,A$30)&gt;0,A$30&lt;&gt;B1816),A$30,IFERROR(IF(MATCH(A$30,Z$3:Z$13,0)=7,A$30," ")," "))</f>
        <v>C16</v>
      </c>
      <c r="B1971" s="8">
        <f>IF(A1971=" "," ",MAX(B1956:B1970)+1)</f>
        <v>6</v>
      </c>
      <c r="C1971" s="8"/>
      <c r="D1971" s="8"/>
      <c r="E1971" s="8"/>
      <c r="F1971" s="8"/>
      <c r="G1971" s="8"/>
      <c r="H1971" s="8"/>
      <c r="I1971" s="8"/>
      <c r="J1971" s="8"/>
      <c r="K1971" s="8"/>
      <c r="L1971" s="8"/>
      <c r="M1971" s="8"/>
      <c r="N1971" s="8"/>
      <c r="O1971" s="8"/>
      <c r="P1971" s="8"/>
      <c r="Q1971" s="8"/>
      <c r="R1971" s="8"/>
      <c r="S1971" s="8"/>
      <c r="U1971" s="34"/>
      <c r="V1971" s="34"/>
      <c r="W1971" s="34"/>
      <c r="X1971" s="34"/>
      <c r="Y1971" s="34"/>
      <c r="Z1971" s="34"/>
      <c r="AA1971" s="34"/>
      <c r="AB1971" s="34"/>
      <c r="AC1971" s="34"/>
      <c r="AD1971" s="34"/>
      <c r="AE1971" s="34"/>
      <c r="AF1971" s="34"/>
      <c r="AG1971" s="34"/>
      <c r="AH1971" s="34"/>
      <c r="AI1971" s="34"/>
      <c r="AJ1971" s="34"/>
      <c r="AK1971" s="34"/>
      <c r="AL1971" s="34"/>
      <c r="AM1971" s="34"/>
      <c r="AN1971" s="34"/>
      <c r="AO1971" s="34"/>
      <c r="AP1971" s="34"/>
      <c r="AQ1971" s="34"/>
      <c r="AR1971" s="34"/>
      <c r="AS1971" s="34"/>
      <c r="AT1971" s="34"/>
      <c r="AU1971" s="34"/>
      <c r="AV1971" s="34"/>
      <c r="AW1971" s="34"/>
      <c r="AX1971" s="34"/>
      <c r="AY1971" s="34"/>
      <c r="AZ1971" s="34"/>
      <c r="BA1971" s="34"/>
      <c r="BB1971" s="34"/>
      <c r="BC1971" s="34"/>
      <c r="BD1971" s="34"/>
      <c r="BE1971" s="34"/>
      <c r="BF1971" s="34"/>
      <c r="BG1971" s="34"/>
      <c r="BH1971" s="34"/>
      <c r="BI1971" s="34"/>
      <c r="BJ1971" s="34"/>
      <c r="BK1971" s="34"/>
      <c r="BL1971" s="34"/>
      <c r="BM1971" s="34"/>
      <c r="BN1971" s="34"/>
      <c r="BO1971" s="34"/>
      <c r="BP1971" s="34"/>
      <c r="BQ1971" s="34"/>
      <c r="BR1971" s="34"/>
      <c r="BS1971" s="34"/>
      <c r="BT1971" s="34"/>
      <c r="BU1971" s="34"/>
      <c r="BV1971" s="34"/>
      <c r="BW1971" s="34"/>
      <c r="BX1971" s="34"/>
      <c r="BY1971" s="34"/>
      <c r="BZ1971" s="34"/>
      <c r="CA1971" s="34"/>
      <c r="CB1971" s="34"/>
      <c r="CC1971" s="34"/>
      <c r="CD1971" s="34"/>
      <c r="CE1971" s="34"/>
      <c r="CF1971" s="34"/>
      <c r="CG1971" s="34"/>
      <c r="CH1971" s="34"/>
      <c r="CI1971" s="8"/>
    </row>
    <row r="1972" spans="1:87" x14ac:dyDescent="0.2">
      <c r="A1972" s="8" t="str">
        <f>IF(AND(COUNTIF(W$3:W$13,A$31)&gt;0,A$31&lt;&gt;B1816),A$31,IFERROR(IF(MATCH(A$31,Z$3:Z$13,0)=7,A$31," ")," "))</f>
        <v>C17</v>
      </c>
      <c r="B1972" s="8">
        <f>IF(A1972=" "," ",MAX(B1956:B1971)+1)</f>
        <v>7</v>
      </c>
      <c r="C1972" s="8"/>
      <c r="D1972" s="8"/>
      <c r="E1972" s="8"/>
      <c r="F1972" s="8"/>
      <c r="G1972" s="8"/>
      <c r="H1972" s="8"/>
      <c r="I1972" s="8"/>
      <c r="J1972" s="8"/>
      <c r="K1972" s="8"/>
      <c r="L1972" s="8"/>
      <c r="M1972" s="8"/>
      <c r="N1972" s="8"/>
      <c r="O1972" s="8"/>
      <c r="P1972" s="8"/>
      <c r="Q1972" s="8"/>
      <c r="R1972" s="8"/>
      <c r="S1972" s="8"/>
      <c r="U1972" s="34"/>
      <c r="V1972" s="34"/>
      <c r="W1972" s="34"/>
      <c r="X1972" s="34"/>
      <c r="Y1972" s="34"/>
      <c r="Z1972" s="34"/>
      <c r="AA1972" s="34"/>
      <c r="AB1972" s="34"/>
      <c r="AC1972" s="34"/>
      <c r="AD1972" s="34"/>
      <c r="AE1972" s="34"/>
      <c r="AF1972" s="34"/>
      <c r="AG1972" s="34"/>
      <c r="AH1972" s="34"/>
      <c r="AI1972" s="34"/>
      <c r="AJ1972" s="34"/>
      <c r="AK1972" s="34"/>
      <c r="AL1972" s="34"/>
      <c r="AM1972" s="34"/>
      <c r="AN1972" s="34"/>
      <c r="AO1972" s="34"/>
      <c r="AP1972" s="34"/>
      <c r="AQ1972" s="34"/>
      <c r="AR1972" s="34"/>
      <c r="AS1972" s="34"/>
      <c r="AT1972" s="34"/>
      <c r="AU1972" s="34"/>
      <c r="AV1972" s="34"/>
      <c r="AW1972" s="34"/>
      <c r="AX1972" s="34"/>
      <c r="AY1972" s="34"/>
      <c r="AZ1972" s="34"/>
      <c r="BA1972" s="34"/>
      <c r="BB1972" s="34"/>
      <c r="BC1972" s="34"/>
      <c r="BD1972" s="34"/>
      <c r="BE1972" s="34"/>
      <c r="BF1972" s="34"/>
      <c r="BG1972" s="34"/>
      <c r="BH1972" s="34"/>
      <c r="BI1972" s="34"/>
      <c r="BJ1972" s="34"/>
      <c r="BK1972" s="34"/>
      <c r="BL1972" s="34"/>
      <c r="BM1972" s="34"/>
      <c r="BN1972" s="34"/>
      <c r="BO1972" s="34"/>
      <c r="BP1972" s="34"/>
      <c r="BQ1972" s="34"/>
      <c r="BR1972" s="34"/>
      <c r="BS1972" s="34"/>
      <c r="BT1972" s="34"/>
      <c r="BU1972" s="34"/>
      <c r="BV1972" s="34"/>
      <c r="BW1972" s="34"/>
      <c r="BX1972" s="34"/>
      <c r="BY1972" s="34"/>
      <c r="BZ1972" s="34"/>
      <c r="CA1972" s="34"/>
      <c r="CB1972" s="34"/>
      <c r="CC1972" s="34"/>
      <c r="CD1972" s="34"/>
      <c r="CE1972" s="34"/>
      <c r="CF1972" s="34"/>
      <c r="CG1972" s="34"/>
      <c r="CH1972" s="34"/>
      <c r="CI1972" s="8"/>
    </row>
    <row r="1973" spans="1:87" x14ac:dyDescent="0.2">
      <c r="A1973" s="8" t="str">
        <f>IF(AND(COUNTIF(W$3:W$13,A$32)&gt;0,A$32&lt;&gt;B1816),A$32,IFERROR(IF(MATCH(A$32,Z$3:Z$13,0)=7,A$32," ")," "))</f>
        <v>C18</v>
      </c>
      <c r="B1973" s="8">
        <f>IF(A1973=" "," ",MAX(B1956:B1972)+1)</f>
        <v>8</v>
      </c>
      <c r="C1973" s="8"/>
      <c r="D1973" s="8"/>
      <c r="E1973" s="8"/>
      <c r="F1973" s="8"/>
      <c r="G1973" s="8"/>
      <c r="H1973" s="8"/>
      <c r="I1973" s="8"/>
      <c r="J1973" s="8"/>
      <c r="K1973" s="8"/>
      <c r="L1973" s="8"/>
      <c r="M1973" s="8"/>
      <c r="N1973" s="8"/>
      <c r="O1973" s="8"/>
      <c r="P1973" s="8"/>
      <c r="Q1973" s="8"/>
      <c r="R1973" s="8"/>
      <c r="S1973" s="8"/>
      <c r="U1973" s="34"/>
      <c r="V1973" s="34"/>
      <c r="W1973" s="34"/>
      <c r="X1973" s="34"/>
      <c r="Y1973" s="34"/>
      <c r="Z1973" s="34"/>
      <c r="AA1973" s="34"/>
      <c r="AB1973" s="34"/>
      <c r="AC1973" s="34"/>
      <c r="AD1973" s="34"/>
      <c r="AE1973" s="34"/>
      <c r="AF1973" s="34"/>
      <c r="AG1973" s="34"/>
      <c r="AH1973" s="34"/>
      <c r="AI1973" s="34"/>
      <c r="AJ1973" s="34"/>
      <c r="AK1973" s="34"/>
      <c r="AL1973" s="34"/>
      <c r="AM1973" s="34"/>
      <c r="AN1973" s="34"/>
      <c r="AO1973" s="34"/>
      <c r="AP1973" s="34"/>
      <c r="AQ1973" s="34"/>
      <c r="AR1973" s="34"/>
      <c r="AS1973" s="34"/>
      <c r="AT1973" s="34"/>
      <c r="AU1973" s="34"/>
      <c r="AV1973" s="34"/>
      <c r="AW1973" s="34"/>
      <c r="AX1973" s="34"/>
      <c r="AY1973" s="34"/>
      <c r="AZ1973" s="34"/>
      <c r="BA1973" s="34"/>
      <c r="BB1973" s="34"/>
      <c r="BC1973" s="34"/>
      <c r="BD1973" s="34"/>
      <c r="BE1973" s="34"/>
      <c r="BF1973" s="34"/>
      <c r="BG1973" s="34"/>
      <c r="BH1973" s="34"/>
      <c r="BI1973" s="34"/>
      <c r="BJ1973" s="34"/>
      <c r="BK1973" s="34"/>
      <c r="BL1973" s="34"/>
      <c r="BM1973" s="34"/>
      <c r="BN1973" s="34"/>
      <c r="BO1973" s="34"/>
      <c r="BP1973" s="34"/>
      <c r="BQ1973" s="34"/>
      <c r="BR1973" s="34"/>
      <c r="BS1973" s="34"/>
      <c r="BT1973" s="34"/>
      <c r="BU1973" s="34"/>
      <c r="BV1973" s="34"/>
      <c r="BW1973" s="34"/>
      <c r="BX1973" s="34"/>
      <c r="BY1973" s="34"/>
      <c r="BZ1973" s="34"/>
      <c r="CA1973" s="34"/>
      <c r="CB1973" s="34"/>
      <c r="CC1973" s="34"/>
      <c r="CD1973" s="34"/>
      <c r="CE1973" s="34"/>
      <c r="CF1973" s="34"/>
      <c r="CG1973" s="34"/>
      <c r="CH1973" s="34"/>
      <c r="CI1973" s="8"/>
    </row>
    <row r="1974" spans="1:87" x14ac:dyDescent="0.2">
      <c r="A1974" s="8" t="str">
        <f>IF(AND(COUNTIF(W$3:W$13,A$33)&gt;0,A$33&lt;&gt;B1816),A$33,IFERROR(IF(MATCH(A$33,Z$3:Z$13,0)=7,A$33," ")," "))</f>
        <v xml:space="preserve"> </v>
      </c>
      <c r="B1974" s="8" t="str">
        <f>IF(A1974=" "," ",MAX(B1956:B1973)+1)</f>
        <v xml:space="preserve"> </v>
      </c>
      <c r="C1974" s="8"/>
      <c r="D1974" s="8"/>
      <c r="E1974" s="8"/>
      <c r="F1974" s="8"/>
      <c r="G1974" s="8"/>
      <c r="H1974" s="8"/>
      <c r="I1974" s="8"/>
      <c r="J1974" s="8"/>
      <c r="K1974" s="8"/>
      <c r="L1974" s="8"/>
      <c r="M1974" s="8"/>
      <c r="N1974" s="8"/>
      <c r="O1974" s="8"/>
      <c r="P1974" s="8"/>
      <c r="Q1974" s="8"/>
      <c r="R1974" s="8"/>
      <c r="S1974" s="8"/>
      <c r="U1974" s="34"/>
      <c r="V1974" s="34"/>
      <c r="W1974" s="34"/>
      <c r="X1974" s="34"/>
      <c r="Y1974" s="34"/>
      <c r="Z1974" s="34"/>
      <c r="AA1974" s="34"/>
      <c r="AB1974" s="34"/>
      <c r="AC1974" s="34"/>
      <c r="AD1974" s="34"/>
      <c r="AE1974" s="34"/>
      <c r="AF1974" s="34"/>
      <c r="AG1974" s="34"/>
      <c r="AH1974" s="34"/>
      <c r="AI1974" s="34"/>
      <c r="AJ1974" s="34"/>
      <c r="AK1974" s="34"/>
      <c r="AL1974" s="34"/>
      <c r="AM1974" s="34"/>
      <c r="AN1974" s="34"/>
      <c r="AO1974" s="34"/>
      <c r="AP1974" s="34"/>
      <c r="AQ1974" s="34"/>
      <c r="AR1974" s="34"/>
      <c r="AS1974" s="34"/>
      <c r="AT1974" s="34"/>
      <c r="AU1974" s="34"/>
      <c r="AV1974" s="34"/>
      <c r="AW1974" s="34"/>
      <c r="AX1974" s="34"/>
      <c r="AY1974" s="34"/>
      <c r="AZ1974" s="34"/>
      <c r="BA1974" s="34"/>
      <c r="BB1974" s="34"/>
      <c r="BC1974" s="34"/>
      <c r="BD1974" s="34"/>
      <c r="BE1974" s="34"/>
      <c r="BF1974" s="34"/>
      <c r="BG1974" s="34"/>
      <c r="BH1974" s="34"/>
      <c r="BI1974" s="34"/>
      <c r="BJ1974" s="34"/>
      <c r="BK1974" s="34"/>
      <c r="BL1974" s="34"/>
      <c r="BM1974" s="34"/>
      <c r="BN1974" s="34"/>
      <c r="BO1974" s="34"/>
      <c r="BP1974" s="34"/>
      <c r="BQ1974" s="34"/>
      <c r="BR1974" s="34"/>
      <c r="BS1974" s="34"/>
      <c r="BT1974" s="34"/>
      <c r="BU1974" s="34"/>
      <c r="BV1974" s="34"/>
      <c r="BW1974" s="34"/>
      <c r="BX1974" s="34"/>
      <c r="BY1974" s="34"/>
      <c r="BZ1974" s="34"/>
      <c r="CA1974" s="34"/>
      <c r="CB1974" s="34"/>
      <c r="CC1974" s="34"/>
      <c r="CD1974" s="34"/>
      <c r="CE1974" s="34"/>
      <c r="CF1974" s="34"/>
      <c r="CG1974" s="34"/>
      <c r="CH1974" s="34"/>
      <c r="CI1974" s="8"/>
    </row>
    <row r="1975" spans="1:87" x14ac:dyDescent="0.2">
      <c r="A1975" s="8" t="str">
        <f>IF(AND(COUNTIF(W$3:W$13,A$34)&gt;0,A$34&lt;&gt;B1816),A$34,IFERROR(IF(MATCH(A$34,Z$3:Z$13,0)=7,A$34," ")," "))</f>
        <v>C20</v>
      </c>
      <c r="B1975" s="8">
        <f>IF(A1975=" "," ",MAX(B1956:B1974)+1)</f>
        <v>9</v>
      </c>
      <c r="C1975" s="8"/>
      <c r="D1975" s="8"/>
      <c r="E1975" s="8"/>
      <c r="F1975" s="8"/>
      <c r="G1975" s="8"/>
      <c r="H1975" s="8"/>
      <c r="I1975" s="8"/>
      <c r="J1975" s="8"/>
      <c r="K1975" s="8"/>
      <c r="L1975" s="8"/>
      <c r="M1975" s="8"/>
      <c r="N1975" s="8"/>
      <c r="O1975" s="8"/>
      <c r="P1975" s="8"/>
      <c r="Q1975" s="8"/>
      <c r="R1975" s="8"/>
      <c r="S1975" s="8"/>
      <c r="U1975" s="34"/>
      <c r="V1975" s="34"/>
      <c r="W1975" s="34"/>
      <c r="X1975" s="34"/>
      <c r="Y1975" s="34"/>
      <c r="Z1975" s="34"/>
      <c r="AA1975" s="34"/>
      <c r="AB1975" s="34"/>
      <c r="AC1975" s="34"/>
      <c r="AD1975" s="34"/>
      <c r="AE1975" s="34"/>
      <c r="AF1975" s="34"/>
      <c r="AG1975" s="34"/>
      <c r="AH1975" s="34"/>
      <c r="AI1975" s="34"/>
      <c r="AJ1975" s="34"/>
      <c r="AK1975" s="34"/>
      <c r="AL1975" s="34"/>
      <c r="AM1975" s="34"/>
      <c r="AN1975" s="34"/>
      <c r="AO1975" s="34"/>
      <c r="AP1975" s="34"/>
      <c r="AQ1975" s="34"/>
      <c r="AR1975" s="34"/>
      <c r="AS1975" s="34"/>
      <c r="AT1975" s="34"/>
      <c r="AU1975" s="34"/>
      <c r="AV1975" s="34"/>
      <c r="AW1975" s="34"/>
      <c r="AX1975" s="34"/>
      <c r="AY1975" s="34"/>
      <c r="AZ1975" s="34"/>
      <c r="BA1975" s="34"/>
      <c r="BB1975" s="34"/>
      <c r="BC1975" s="34"/>
      <c r="BD1975" s="34"/>
      <c r="BE1975" s="34"/>
      <c r="BF1975" s="34"/>
      <c r="BG1975" s="34"/>
      <c r="BH1975" s="34"/>
      <c r="BI1975" s="34"/>
      <c r="BJ1975" s="34"/>
      <c r="BK1975" s="34"/>
      <c r="BL1975" s="34"/>
      <c r="BM1975" s="34"/>
      <c r="BN1975" s="34"/>
      <c r="BO1975" s="34"/>
      <c r="BP1975" s="34"/>
      <c r="BQ1975" s="34"/>
      <c r="BR1975" s="34"/>
      <c r="BS1975" s="34"/>
      <c r="BT1975" s="34"/>
      <c r="BU1975" s="34"/>
      <c r="BV1975" s="34"/>
      <c r="BW1975" s="34"/>
      <c r="BX1975" s="34"/>
      <c r="BY1975" s="34"/>
      <c r="BZ1975" s="34"/>
      <c r="CA1975" s="34"/>
      <c r="CB1975" s="34"/>
      <c r="CC1975" s="34"/>
      <c r="CD1975" s="34"/>
      <c r="CE1975" s="34"/>
      <c r="CF1975" s="34"/>
      <c r="CG1975" s="34"/>
      <c r="CH1975" s="34"/>
      <c r="CI1975" s="8"/>
    </row>
    <row r="1976" spans="1:87" x14ac:dyDescent="0.2">
      <c r="A1976" s="8" t="str">
        <f>IF(AND(COUNTIF(W$3:W$13,A$35)&gt;0,A$35&lt;&gt;B1816),A$35,IFERROR(IF(MATCH(A$35,Z$3:Z$13,0)=7,A$35," ")," "))</f>
        <v>C21</v>
      </c>
      <c r="B1976" s="8">
        <f>IF(A1976=" "," ",MAX(B1956:B1975)+1)</f>
        <v>10</v>
      </c>
      <c r="C1976" s="8"/>
      <c r="D1976" s="8"/>
      <c r="E1976" s="8"/>
      <c r="F1976" s="8"/>
      <c r="G1976" s="8"/>
      <c r="H1976" s="8"/>
      <c r="I1976" s="8"/>
      <c r="J1976" s="8"/>
      <c r="K1976" s="8"/>
      <c r="L1976" s="8"/>
      <c r="M1976" s="8"/>
      <c r="N1976" s="8"/>
      <c r="O1976" s="8"/>
      <c r="P1976" s="8"/>
      <c r="Q1976" s="8"/>
      <c r="R1976" s="8"/>
      <c r="S1976" s="8"/>
      <c r="U1976" s="34"/>
      <c r="V1976" s="34"/>
      <c r="W1976" s="34"/>
      <c r="X1976" s="34"/>
      <c r="Y1976" s="34"/>
      <c r="Z1976" s="34"/>
      <c r="AA1976" s="34"/>
      <c r="AB1976" s="34"/>
      <c r="AC1976" s="34"/>
      <c r="AD1976" s="34"/>
      <c r="AE1976" s="34"/>
      <c r="AF1976" s="34"/>
      <c r="AG1976" s="34"/>
      <c r="AH1976" s="34"/>
      <c r="AI1976" s="34"/>
      <c r="AJ1976" s="34"/>
      <c r="AK1976" s="34"/>
      <c r="AL1976" s="34"/>
      <c r="AM1976" s="34"/>
      <c r="AN1976" s="34"/>
      <c r="AO1976" s="34"/>
      <c r="AP1976" s="34"/>
      <c r="AQ1976" s="34"/>
      <c r="AR1976" s="34"/>
      <c r="AS1976" s="34"/>
      <c r="AT1976" s="34"/>
      <c r="AU1976" s="34"/>
      <c r="AV1976" s="34"/>
      <c r="AW1976" s="34"/>
      <c r="AX1976" s="34"/>
      <c r="AY1976" s="34"/>
      <c r="AZ1976" s="34"/>
      <c r="BA1976" s="34"/>
      <c r="BB1976" s="34"/>
      <c r="BC1976" s="34"/>
      <c r="BD1976" s="34"/>
      <c r="BE1976" s="34"/>
      <c r="BF1976" s="34"/>
      <c r="BG1976" s="34"/>
      <c r="BH1976" s="34"/>
      <c r="BI1976" s="34"/>
      <c r="BJ1976" s="34"/>
      <c r="BK1976" s="34"/>
      <c r="BL1976" s="34"/>
      <c r="BM1976" s="34"/>
      <c r="BN1976" s="34"/>
      <c r="BO1976" s="34"/>
      <c r="BP1976" s="34"/>
      <c r="BQ1976" s="34"/>
      <c r="BR1976" s="34"/>
      <c r="BS1976" s="34"/>
      <c r="BT1976" s="34"/>
      <c r="BU1976" s="34"/>
      <c r="BV1976" s="34"/>
      <c r="BW1976" s="34"/>
      <c r="BX1976" s="34"/>
      <c r="BY1976" s="34"/>
      <c r="BZ1976" s="34"/>
      <c r="CA1976" s="34"/>
      <c r="CB1976" s="34"/>
      <c r="CC1976" s="34"/>
      <c r="CD1976" s="34"/>
      <c r="CE1976" s="34"/>
      <c r="CF1976" s="34"/>
      <c r="CG1976" s="34"/>
      <c r="CH1976" s="34"/>
      <c r="CI1976" s="8"/>
    </row>
    <row r="1977" spans="1:87" x14ac:dyDescent="0.2">
      <c r="A1977" s="8" t="str">
        <f>IF(AND(COUNTIF(W$3:W$13,A$36)&gt;0,A$36&lt;&gt;B1816),A$36,IFERROR(IF(MATCH(A$36,Z$3:Z$13,0)=7,A$36," ")," "))</f>
        <v>C22</v>
      </c>
      <c r="B1977" s="8">
        <f>IF(A1977=" "," ",MAX(B1956:B1976)+1)</f>
        <v>11</v>
      </c>
      <c r="C1977" s="8"/>
      <c r="D1977" s="8"/>
      <c r="E1977" s="8"/>
      <c r="F1977" s="8"/>
      <c r="G1977" s="8"/>
      <c r="H1977" s="8"/>
      <c r="I1977" s="8"/>
      <c r="J1977" s="8"/>
      <c r="K1977" s="8"/>
      <c r="L1977" s="8"/>
      <c r="M1977" s="8"/>
      <c r="N1977" s="8"/>
      <c r="O1977" s="8"/>
      <c r="P1977" s="8"/>
      <c r="Q1977" s="8"/>
      <c r="R1977" s="8"/>
      <c r="S1977" s="8"/>
      <c r="U1977" s="34"/>
      <c r="V1977" s="34"/>
      <c r="W1977" s="34"/>
      <c r="X1977" s="34"/>
      <c r="Y1977" s="34"/>
      <c r="Z1977" s="34"/>
      <c r="AA1977" s="34"/>
      <c r="AB1977" s="34"/>
      <c r="AC1977" s="34"/>
      <c r="AD1977" s="34"/>
      <c r="AE1977" s="34"/>
      <c r="AF1977" s="34"/>
      <c r="AG1977" s="34"/>
      <c r="AH1977" s="34"/>
      <c r="AI1977" s="34"/>
      <c r="AJ1977" s="34"/>
      <c r="AK1977" s="34"/>
      <c r="AL1977" s="34"/>
      <c r="AM1977" s="34"/>
      <c r="AN1977" s="34"/>
      <c r="AO1977" s="34"/>
      <c r="AP1977" s="34"/>
      <c r="AQ1977" s="34"/>
      <c r="AR1977" s="34"/>
      <c r="AS1977" s="34"/>
      <c r="AT1977" s="34"/>
      <c r="AU1977" s="34"/>
      <c r="AV1977" s="34"/>
      <c r="AW1977" s="34"/>
      <c r="AX1977" s="34"/>
      <c r="AY1977" s="34"/>
      <c r="AZ1977" s="34"/>
      <c r="BA1977" s="34"/>
      <c r="BB1977" s="34"/>
      <c r="BC1977" s="34"/>
      <c r="BD1977" s="34"/>
      <c r="BE1977" s="34"/>
      <c r="BF1977" s="34"/>
      <c r="BG1977" s="34"/>
      <c r="BH1977" s="34"/>
      <c r="BI1977" s="34"/>
      <c r="BJ1977" s="34"/>
      <c r="BK1977" s="34"/>
      <c r="BL1977" s="34"/>
      <c r="BM1977" s="34"/>
      <c r="BN1977" s="34"/>
      <c r="BO1977" s="34"/>
      <c r="BP1977" s="34"/>
      <c r="BQ1977" s="34"/>
      <c r="BR1977" s="34"/>
      <c r="BS1977" s="34"/>
      <c r="BT1977" s="34"/>
      <c r="BU1977" s="34"/>
      <c r="BV1977" s="34"/>
      <c r="BW1977" s="34"/>
      <c r="BX1977" s="34"/>
      <c r="BY1977" s="34"/>
      <c r="BZ1977" s="34"/>
      <c r="CA1977" s="34"/>
      <c r="CB1977" s="34"/>
      <c r="CC1977" s="34"/>
      <c r="CD1977" s="34"/>
      <c r="CE1977" s="34"/>
      <c r="CF1977" s="34"/>
      <c r="CG1977" s="34"/>
      <c r="CH1977" s="34"/>
      <c r="CI1977" s="8"/>
    </row>
    <row r="1978" spans="1:87" x14ac:dyDescent="0.2">
      <c r="A1978" s="11" t="s">
        <v>17</v>
      </c>
      <c r="B1978" s="11"/>
      <c r="C1978" s="27" t="s">
        <v>18</v>
      </c>
      <c r="D1978" s="27" t="s">
        <v>2</v>
      </c>
      <c r="E1978" s="27" t="s">
        <v>6</v>
      </c>
      <c r="F1978" s="27" t="s">
        <v>15</v>
      </c>
      <c r="G1978" s="27" t="s">
        <v>36</v>
      </c>
      <c r="H1978" s="27" t="s">
        <v>37</v>
      </c>
      <c r="I1978" s="27" t="s">
        <v>38</v>
      </c>
      <c r="J1978" s="27" t="s">
        <v>39</v>
      </c>
      <c r="K1978" s="27" t="s">
        <v>40</v>
      </c>
      <c r="L1978" s="27" t="s">
        <v>41</v>
      </c>
      <c r="M1978" s="27" t="s">
        <v>42</v>
      </c>
      <c r="N1978" s="27" t="s">
        <v>43</v>
      </c>
      <c r="O1978" s="27" t="s">
        <v>9</v>
      </c>
      <c r="P1978" s="27" t="s">
        <v>12</v>
      </c>
      <c r="Q1978" s="27" t="s">
        <v>19</v>
      </c>
      <c r="R1978" s="27" t="s">
        <v>55</v>
      </c>
      <c r="S1978" s="27" t="s">
        <v>26</v>
      </c>
      <c r="T1978" s="19" t="s">
        <v>25</v>
      </c>
      <c r="U1978" s="33" t="s">
        <v>27</v>
      </c>
      <c r="V1978" s="33" t="s">
        <v>9</v>
      </c>
      <c r="W1978" s="33" t="s">
        <v>23</v>
      </c>
      <c r="X1978" s="33" t="s">
        <v>12</v>
      </c>
      <c r="Y1978" s="33" t="s">
        <v>26</v>
      </c>
      <c r="Z1978" s="33" t="s">
        <v>25</v>
      </c>
      <c r="AA1978" s="33" t="s">
        <v>27</v>
      </c>
      <c r="AB1978" s="33" t="s">
        <v>9</v>
      </c>
      <c r="AC1978" s="33" t="s">
        <v>23</v>
      </c>
      <c r="AD1978" s="33" t="s">
        <v>12</v>
      </c>
      <c r="AE1978" s="33" t="s">
        <v>26</v>
      </c>
      <c r="AF1978" s="33" t="s">
        <v>25</v>
      </c>
      <c r="AG1978" s="33" t="s">
        <v>27</v>
      </c>
      <c r="AH1978" s="33" t="s">
        <v>9</v>
      </c>
      <c r="AI1978" s="33" t="s">
        <v>23</v>
      </c>
      <c r="AJ1978" s="33" t="s">
        <v>12</v>
      </c>
      <c r="AK1978" s="33" t="s">
        <v>26</v>
      </c>
      <c r="AL1978" s="33" t="s">
        <v>25</v>
      </c>
      <c r="AM1978" s="33" t="s">
        <v>27</v>
      </c>
      <c r="AN1978" s="33" t="s">
        <v>9</v>
      </c>
      <c r="AO1978" s="33" t="s">
        <v>23</v>
      </c>
      <c r="AP1978" s="33" t="s">
        <v>12</v>
      </c>
      <c r="AQ1978" s="33" t="s">
        <v>26</v>
      </c>
      <c r="AR1978" s="33" t="s">
        <v>25</v>
      </c>
      <c r="AS1978" s="33" t="s">
        <v>27</v>
      </c>
      <c r="AT1978" s="33" t="s">
        <v>9</v>
      </c>
      <c r="AU1978" s="33" t="s">
        <v>23</v>
      </c>
      <c r="AV1978" s="33" t="s">
        <v>12</v>
      </c>
      <c r="AW1978" s="33" t="s">
        <v>26</v>
      </c>
      <c r="AX1978" s="33" t="s">
        <v>25</v>
      </c>
      <c r="AY1978" s="33" t="s">
        <v>27</v>
      </c>
      <c r="AZ1978" s="33" t="s">
        <v>9</v>
      </c>
      <c r="BA1978" s="33" t="s">
        <v>23</v>
      </c>
      <c r="BB1978" s="33" t="s">
        <v>12</v>
      </c>
      <c r="BC1978" s="33" t="s">
        <v>26</v>
      </c>
      <c r="BD1978" s="33" t="s">
        <v>25</v>
      </c>
      <c r="BE1978" s="33" t="s">
        <v>27</v>
      </c>
      <c r="BF1978" s="33" t="s">
        <v>9</v>
      </c>
      <c r="BG1978" s="33" t="s">
        <v>23</v>
      </c>
      <c r="BH1978" s="33" t="s">
        <v>12</v>
      </c>
      <c r="BI1978" s="33" t="s">
        <v>26</v>
      </c>
      <c r="BJ1978" s="33" t="s">
        <v>25</v>
      </c>
      <c r="BK1978" s="33" t="s">
        <v>27</v>
      </c>
      <c r="BL1978" s="33" t="s">
        <v>9</v>
      </c>
      <c r="BM1978" s="33" t="s">
        <v>23</v>
      </c>
      <c r="BN1978" s="33" t="s">
        <v>12</v>
      </c>
      <c r="BO1978" s="33" t="s">
        <v>26</v>
      </c>
      <c r="BP1978" s="33" t="s">
        <v>25</v>
      </c>
      <c r="BQ1978" s="33" t="s">
        <v>27</v>
      </c>
      <c r="BR1978" s="33" t="s">
        <v>9</v>
      </c>
      <c r="BS1978" s="33" t="s">
        <v>23</v>
      </c>
      <c r="BT1978" s="33" t="s">
        <v>12</v>
      </c>
      <c r="BU1978" s="33" t="s">
        <v>26</v>
      </c>
      <c r="BV1978" s="33" t="s">
        <v>25</v>
      </c>
      <c r="BW1978" s="33" t="s">
        <v>27</v>
      </c>
      <c r="BX1978" s="33" t="s">
        <v>9</v>
      </c>
      <c r="BY1978" s="33" t="s">
        <v>23</v>
      </c>
      <c r="BZ1978" s="33" t="s">
        <v>12</v>
      </c>
      <c r="CA1978" s="33" t="s">
        <v>26</v>
      </c>
      <c r="CB1978" s="33" t="s">
        <v>25</v>
      </c>
      <c r="CC1978" s="33" t="s">
        <v>27</v>
      </c>
      <c r="CD1978" s="33" t="s">
        <v>9</v>
      </c>
      <c r="CE1978" s="33" t="s">
        <v>23</v>
      </c>
      <c r="CF1978" s="33" t="s">
        <v>12</v>
      </c>
      <c r="CG1978" s="33" t="s">
        <v>26</v>
      </c>
      <c r="CH1978" s="33" t="s">
        <v>25</v>
      </c>
      <c r="CI1978" s="8"/>
    </row>
    <row r="1979" spans="1:87" x14ac:dyDescent="0.2">
      <c r="A1979" s="8" t="str">
        <f>IF(AND(COUNTIF(W$3:W$13,A$15)&gt;0,A$15&lt;&gt;B1816),A$15,IFERROR(IF(MATCH(A$15,Z$3:Z$13,0)=8,A$15," ")," "))</f>
        <v xml:space="preserve"> </v>
      </c>
      <c r="B1979" s="8" t="str">
        <f>IF(A1979=" "," ",1)</f>
        <v xml:space="preserve"> </v>
      </c>
      <c r="C1979" s="8" t="str">
        <f>IFERROR(INDEX(A1979:A2000,MATCH(SMALL(B1979:B2000,1),B1979:B2000,0),1)," ")</f>
        <v>C3</v>
      </c>
      <c r="D1979" s="8">
        <f>IFERROR(VLOOKUP($C1979,$A$15:$O$36,2,FALSE)," ")</f>
        <v>2</v>
      </c>
      <c r="E1979" s="8">
        <f>IFERROR(VLOOKUP($C1979,$A$15:$O$36,3,FALSE)," ")</f>
        <v>5</v>
      </c>
      <c r="F1979" s="8">
        <f>IFERROR(VLOOKUP($C1979,$A$15:$O$36,4,FALSE)," ")</f>
        <v>6</v>
      </c>
      <c r="G1979" s="8">
        <f>IFERROR(VLOOKUP($C1979,$A$15:$O$36,5,FALSE)," ")</f>
        <v>0</v>
      </c>
      <c r="H1979" s="8">
        <f>IFERROR(VLOOKUP($C1979,$A$15:$O$36,6,FALSE)," ")</f>
        <v>0</v>
      </c>
      <c r="I1979" s="8">
        <f>IFERROR(VLOOKUP($C1979,$A$15:$O$36,7,FALSE)," ")</f>
        <v>0</v>
      </c>
      <c r="J1979" s="8">
        <f>IFERROR(VLOOKUP($C1979,$A$15:$O$36,8,FALSE)," ")</f>
        <v>0</v>
      </c>
      <c r="K1979" s="8">
        <f>IFERROR(VLOOKUP($C1979,$A$15:$O$36,9,FALSE)," ")</f>
        <v>0</v>
      </c>
      <c r="L1979" s="8">
        <f>IFERROR(VLOOKUP($C1979,$A$15:$O$36,10,FALSE)," ")</f>
        <v>0</v>
      </c>
      <c r="M1979" s="8">
        <f>IFERROR(VLOOKUP($C1979,$A$15:$O$36,11,FALSE)," ")</f>
        <v>0</v>
      </c>
      <c r="N1979" s="8">
        <f>IFERROR(VLOOKUP($C1979,$A$15:$O$36,12,FALSE)," ")</f>
        <v>0</v>
      </c>
      <c r="O1979" s="8">
        <f>IFERROR(VLOOKUP($C1979,$A$15:$O$36,15,FALSE)," ")</f>
        <v>2000</v>
      </c>
      <c r="P1979" s="8" t="e">
        <f t="array" ref="P1979:P1989">MMULT(MINVERSE(D1979:N1989),O1979:O1989)</f>
        <v>#NUM!</v>
      </c>
      <c r="Q1979" s="8" t="e">
        <f t="shared" ref="Q1979" si="8552">IF(COUNTIF(P1979:P1989,"&lt;"&amp;-0.001)=0,IF(ABS(P1979)&lt;0.001,0,P1979)," ")</f>
        <v>#NUM!</v>
      </c>
      <c r="R1979" s="8" t="str">
        <f>IFERROR(VLOOKUP(B1816,A$15:L$36,2,FALSE)*Q1979+VLOOKUP(B1816,A$15:L$36,3,FALSE)*Q1980+VLOOKUP(B1816,A$15:L$36,4,FALSE)*Q1981+VLOOKUP(B1816,A$15:L$36,5,FALSE)*Q1982+VLOOKUP(B1816,A$15:L$36,6,FALSE)*Q1983+VLOOKUP(B1816,A$15:L$36,7,FALSE)*Q1984+VLOOKUP(B1816,A$15:L$36,8,FALSE)*Q1985+VLOOKUP(B1816,A$15:L$36,9,FALSE)*Q1986+VLOOKUP(B1816,A$15:L$36,10,FALSE)*Q1987+VLOOKUP(B1816,A$15:L$36,11,FALSE)*Q1988+VLOOKUP(B1816,A$15:L$36,12,FALSE)*Q1989," ")</f>
        <v xml:space="preserve"> </v>
      </c>
      <c r="S1979" s="8" t="str">
        <f>IFERROR(IF(R1979-VLOOKUP(B1816,A$15:O$36,15,FALSE)&lt;0,R1979-VLOOKUP(B1816,A$15:O$36,15,FALSE)," ")," ")</f>
        <v xml:space="preserve"> </v>
      </c>
      <c r="T1979" s="18" t="str">
        <f>IFERROR(IF(R1979-VLOOKUP(B1816,A$15:O$36,15,FALSE)&gt;0,R1979-VLOOKUP(B1816,A$15:O$36,15,FALSE)," ")," ")</f>
        <v xml:space="preserve"> </v>
      </c>
      <c r="U1979" s="34">
        <f t="shared" ref="U1979" si="8553">$M$2</f>
        <v>100.00000000000001</v>
      </c>
      <c r="V1979" s="34">
        <v>-1</v>
      </c>
      <c r="W1979" s="34">
        <f t="shared" ref="W1979" si="8554">-SUMPRODUCT($M$3:$M$12,$N$3:$N$12)</f>
        <v>-105000</v>
      </c>
      <c r="X1979" s="34" t="e">
        <f t="shared" ref="X1979" si="8555">IF(U1979&lt;&gt;U1980,MMULT(MINVERSE(U1979:V1980),W1979:W1980)," ")</f>
        <v>#NUM!</v>
      </c>
      <c r="Y1979" s="34" t="str">
        <f t="shared" ref="Y1979" si="8556">IFERROR(IF(X1979-VLOOKUP(U$38,$A$2:$N$12,14,FALSE)&lt;0,X1979-VLOOKUP(U$38,$A$2:$N$12,14,FALSE)," ")," ")</f>
        <v xml:space="preserve"> </v>
      </c>
      <c r="Z1979" s="34" t="str">
        <f t="shared" ref="Z1979" si="8557">IFERROR(IF(X1979-VLOOKUP(U$38,$A$2:$N$12,14,FALSE)&gt;0,X1979-VLOOKUP(U$38,$A$2:$N$12,14,FALSE)," ")," ")</f>
        <v xml:space="preserve"> </v>
      </c>
      <c r="AA1979" s="34">
        <f t="shared" ref="AA1979" si="8558">$M$3</f>
        <v>0</v>
      </c>
      <c r="AB1979" s="34">
        <v>-1</v>
      </c>
      <c r="AC1979" s="34">
        <f t="shared" ref="AC1979" si="8559">-SUMPRODUCT($M$2:$M$2,$N$2:$N$2)-SUMPRODUCT($M$4:$M$12,$N$4:$N$12)</f>
        <v>-120000</v>
      </c>
      <c r="AD1979" s="34" t="e">
        <f t="shared" ref="AD1979" si="8560">IF(AA1979&lt;&gt;AA1980,MMULT(MINVERSE(AA1979:AB1980),AC1979:AC1980)," ")</f>
        <v>#NUM!</v>
      </c>
      <c r="AE1979" s="34" t="str">
        <f t="shared" ref="AE1979" si="8561">IFERROR(IF(AD1979-VLOOKUP(AA$38,$A$2:$N$12,14,FALSE)&lt;0,AD1979-VLOOKUP(AA$38,$A$2:$N$12,14,FALSE)," ")," ")</f>
        <v xml:space="preserve"> </v>
      </c>
      <c r="AF1979" s="34" t="str">
        <f t="shared" ref="AF1979" si="8562">IFERROR(IF(AD1979-VLOOKUP(AA$38,$A$2:$N$12,14,FALSE)&gt;0,AD1979-VLOOKUP(AA$38,$A$2:$N$12,14,FALSE)," ")," ")</f>
        <v xml:space="preserve"> </v>
      </c>
      <c r="AG1979" s="34">
        <f t="shared" ref="AG1979" si="8563">$M$4</f>
        <v>300</v>
      </c>
      <c r="AH1979" s="34">
        <v>-1</v>
      </c>
      <c r="AI1979" s="34">
        <f t="shared" ref="AI1979" si="8564">-SUMPRODUCT($M$2:$M$3,$N$2:$N$3)-SUMPRODUCT($M$5:$M$12,$N$5:$N$12)</f>
        <v>-15000.000000000002</v>
      </c>
      <c r="AJ1979" s="34" t="e">
        <f t="shared" ref="AJ1979" si="8565">IF(AG1979&lt;&gt;AG1980,MMULT(MINVERSE(AG1979:AH1980),AI1979:AI1980)," ")</f>
        <v>#NUM!</v>
      </c>
      <c r="AK1979" s="34" t="str">
        <f t="shared" ref="AK1979" si="8566">IFERROR(IF(AJ1979-VLOOKUP(AG$38,$A$2:$N$12,14,FALSE)&lt;0,AJ1979-VLOOKUP(AG$38,$A$2:$N$12,14,FALSE)," ")," ")</f>
        <v xml:space="preserve"> </v>
      </c>
      <c r="AL1979" s="34" t="str">
        <f t="shared" ref="AL1979" si="8567">IFERROR(IF(AJ1979-VLOOKUP(AG$38,$A$2:$N$12,14,FALSE)&gt;0,AJ1979-VLOOKUP(AG$38,$A$2:$N$12,14,FALSE)," ")," ")</f>
        <v xml:space="preserve"> </v>
      </c>
      <c r="AM1979" s="34">
        <f t="shared" ref="AM1979" si="8568">$M$5</f>
        <v>0</v>
      </c>
      <c r="AN1979" s="34">
        <v>-1</v>
      </c>
      <c r="AO1979" s="34">
        <f t="shared" ref="AO1979" si="8569">-SUMPRODUCT($M$2:$M$4,$N$2:$N$4)-SUMPRODUCT($M$6:$M$12,$N$6:$N$12)</f>
        <v>-120000</v>
      </c>
      <c r="AP1979" s="34" t="e">
        <f t="shared" ref="AP1979" si="8570">IF(AM1979&lt;&gt;AM1980,MMULT(MINVERSE(AM1979:AN1980),AO1979:AO1980)," ")</f>
        <v>#NUM!</v>
      </c>
      <c r="AQ1979" s="34" t="str">
        <f t="shared" ref="AQ1979" si="8571">IFERROR(IF(AP1979-VLOOKUP(AM$38,$A$2:$N$12,14,FALSE)&lt;0,AP1979-VLOOKUP(AM$38,$A$2:$N$12,14,FALSE)," ")," ")</f>
        <v xml:space="preserve"> </v>
      </c>
      <c r="AR1979" s="34" t="str">
        <f t="shared" ref="AR1979" si="8572">IFERROR(IF(AP1979-VLOOKUP(AM$38,$A$2:$N$12,14,FALSE)&gt;0,AP1979-VLOOKUP(AM$38,$A$2:$N$12,14,FALSE)," ")," ")</f>
        <v xml:space="preserve"> </v>
      </c>
      <c r="AS1979" s="34">
        <f t="shared" ref="AS1979" si="8573">$M$6</f>
        <v>0</v>
      </c>
      <c r="AT1979" s="34">
        <v>-1</v>
      </c>
      <c r="AU1979" s="34">
        <f t="shared" ref="AU1979" si="8574">-SUMPRODUCT($M$2:$M$5,$N$2:$N$5)-SUMPRODUCT($M$7:$M$12,$N$7:$N$12)</f>
        <v>-120000</v>
      </c>
      <c r="AV1979" s="34" t="e">
        <f t="shared" ref="AV1979" si="8575">IF(AS1979&lt;&gt;AS1980,MMULT(MINVERSE(AS1979:AT1980),AU1979:AU1980)," ")</f>
        <v>#NUM!</v>
      </c>
      <c r="AW1979" s="34" t="str">
        <f t="shared" ref="AW1979" si="8576">IFERROR(IF(AV1979-VLOOKUP(AS$38,$A$2:$N$12,14,FALSE)&lt;0,AV1979-VLOOKUP(AS$38,$A$2:$N$12,14,FALSE)," ")," ")</f>
        <v xml:space="preserve"> </v>
      </c>
      <c r="AX1979" s="34" t="str">
        <f t="shared" ref="AX1979" si="8577">IFERROR(IF(AV1979-VLOOKUP(AS$38,$A$2:$N$12,14,FALSE)&gt;0,AV1979-VLOOKUP(AS$38,$A$2:$N$12,14,FALSE)," ")," ")</f>
        <v xml:space="preserve"> </v>
      </c>
      <c r="AY1979" s="34">
        <f t="shared" ref="AY1979" si="8578">$M$7</f>
        <v>0</v>
      </c>
      <c r="AZ1979" s="34">
        <v>-1</v>
      </c>
      <c r="BA1979" s="34">
        <f t="shared" ref="BA1979" si="8579">-SUMPRODUCT($M$2:$M$6,$N$2:$N$6)-SUMPRODUCT($M$8:$M$12,$N$8:$N$12)</f>
        <v>-120000</v>
      </c>
      <c r="BB1979" s="34" t="e">
        <f t="shared" ref="BB1979" si="8580">IF(AY1979&lt;&gt;AY1980,MMULT(MINVERSE(AY1979:AZ1980),BA1979:BA1980)," ")</f>
        <v>#NUM!</v>
      </c>
      <c r="BC1979" s="34" t="str">
        <f t="shared" ref="BC1979" si="8581">IFERROR(IF(BB1979-VLOOKUP(AY$38,$A$2:$N$12,14,FALSE)&lt;0,BB1979-VLOOKUP(AY$38,$A$2:$N$12,14,FALSE)," ")," ")</f>
        <v xml:space="preserve"> </v>
      </c>
      <c r="BD1979" s="34" t="str">
        <f t="shared" ref="BD1979" si="8582">IFERROR(IF(BB1979-VLOOKUP(AY$38,$A$2:$N$12,14,FALSE)&gt;0,BB1979-VLOOKUP(AY$38,$A$2:$N$12,14,FALSE)," ")," ")</f>
        <v xml:space="preserve"> </v>
      </c>
      <c r="BE1979" s="34">
        <f t="shared" ref="BE1979" si="8583">$M$8</f>
        <v>0</v>
      </c>
      <c r="BF1979" s="34">
        <v>-1</v>
      </c>
      <c r="BG1979" s="34">
        <f t="shared" ref="BG1979" si="8584">-SUMPRODUCT($M$2:$M$7,$N$2:$N$7)-SUMPRODUCT($M$9:$M$12,$N$9:$N$12)</f>
        <v>-120000</v>
      </c>
      <c r="BH1979" s="34" t="e">
        <f t="shared" ref="BH1979" si="8585">IF(BE1979&lt;&gt;BE1980,MMULT(MINVERSE(BE1979:BF1980),BG1979:BG1980)," ")</f>
        <v>#NUM!</v>
      </c>
      <c r="BI1979" s="34" t="str">
        <f t="shared" ref="BI1979" si="8586">IFERROR(IF(BH1979-VLOOKUP(BE$38,$A$2:$N$12,14,FALSE)&lt;0,BH1979-VLOOKUP(BE$38,$A$2:$N$12,14,FALSE)," ")," ")</f>
        <v xml:space="preserve"> </v>
      </c>
      <c r="BJ1979" s="34" t="str">
        <f t="shared" ref="BJ1979" si="8587">IFERROR(IF(BH1979-VLOOKUP(BE$38,$A$2:$N$12,14,FALSE)&gt;0,BH1979-VLOOKUP(BE$38,$A$2:$N$12,14,FALSE)," ")," ")</f>
        <v xml:space="preserve"> </v>
      </c>
      <c r="BK1979" s="34">
        <f t="shared" ref="BK1979" si="8588">$M$9</f>
        <v>0</v>
      </c>
      <c r="BL1979" s="34">
        <v>-1</v>
      </c>
      <c r="BM1979" s="34">
        <f t="shared" ref="BM1979" si="8589">-SUMPRODUCT($M$2:$M$8,$N$2:$N$8)-SUMPRODUCT($M$10:$M$12,$N$10:$N$12)</f>
        <v>-120000</v>
      </c>
      <c r="BN1979" s="34" t="e">
        <f t="shared" ref="BN1979" si="8590">IF(BK1979&lt;&gt;BK1980,MMULT(MINVERSE(BK1979:BL1980),BM1979:BM1980)," ")</f>
        <v>#NUM!</v>
      </c>
      <c r="BO1979" s="34" t="str">
        <f t="shared" ref="BO1979" si="8591">IFERROR(IF(BN1979-VLOOKUP(BK$38,$A$2:$N$12,14,FALSE)&lt;0,BN1979-VLOOKUP(BK$38,$A$2:$N$12,14,FALSE)," ")," ")</f>
        <v xml:space="preserve"> </v>
      </c>
      <c r="BP1979" s="34" t="str">
        <f t="shared" ref="BP1979" si="8592">IFERROR(IF(BN1979-VLOOKUP(BK$38,$A$2:$N$12,14,FALSE)&gt;0,BN1979-VLOOKUP(BK$38,$A$2:$N$12,14,FALSE)," ")," ")</f>
        <v xml:space="preserve"> </v>
      </c>
      <c r="BQ1979" s="34">
        <f t="shared" ref="BQ1979" si="8593">$M$10</f>
        <v>0</v>
      </c>
      <c r="BR1979" s="34">
        <v>-1</v>
      </c>
      <c r="BS1979" s="34">
        <f t="shared" ref="BS1979" si="8594">-SUMPRODUCT($M$2:$M$9,$N$2:$N$9)-SUMPRODUCT($M$11:$M$12,$N$11:$N$12)</f>
        <v>-120000</v>
      </c>
      <c r="BT1979" s="34" t="e">
        <f t="shared" ref="BT1979" si="8595">IF(BQ1979&lt;&gt;BQ1980,MMULT(MINVERSE(BQ1979:BR1980),BS1979:BS1980)," ")</f>
        <v>#NUM!</v>
      </c>
      <c r="BU1979" s="34" t="str">
        <f t="shared" ref="BU1979" si="8596">IFERROR(IF(BT1979-VLOOKUP(BQ$38,$A$2:$N$12,14,FALSE)&lt;0,BT1979-VLOOKUP(BQ$38,$A$2:$N$12,14,FALSE)," ")," ")</f>
        <v xml:space="preserve"> </v>
      </c>
      <c r="BV1979" s="34" t="str">
        <f t="shared" ref="BV1979" si="8597">IFERROR(IF(BT1979-VLOOKUP(BQ$38,$A$2:$N$12,14,FALSE)&gt;0,BT1979-VLOOKUP(BQ$38,$A$2:$N$12,14,FALSE)," ")," ")</f>
        <v xml:space="preserve"> </v>
      </c>
      <c r="BW1979" s="34">
        <f t="shared" ref="BW1979" si="8598">$M$11</f>
        <v>0</v>
      </c>
      <c r="BX1979" s="34">
        <v>-1</v>
      </c>
      <c r="BY1979" s="34">
        <f t="shared" ref="BY1979" si="8599">-SUMPRODUCT($M$2:$M$10,$N$2:$N$10)-SUMPRODUCT($M$12,$N$12)</f>
        <v>-120000</v>
      </c>
      <c r="BZ1979" s="34" t="e">
        <f t="shared" ref="BZ1979" si="8600">IF(BW1979&lt;&gt;BW1980,MMULT(MINVERSE(BW1979:BX1980),BY1979:BY1980)," ")</f>
        <v>#NUM!</v>
      </c>
      <c r="CA1979" s="34" t="str">
        <f t="shared" ref="CA1979" si="8601">IFERROR(IF(BZ1979-VLOOKUP(BW$38,$A$2:$N$12,14,FALSE)&lt;0,BZ1979-VLOOKUP(BW$38,$A$2:$N$12,14,FALSE)," ")," ")</f>
        <v xml:space="preserve"> </v>
      </c>
      <c r="CB1979" s="34" t="str">
        <f t="shared" ref="CB1979" si="8602">IFERROR(IF(BZ1979-VLOOKUP(BW$38,$A$2:$N$12,14,FALSE)&gt;0,BZ1979-VLOOKUP(BW$38,$A$2:$N$12,14,FALSE)," ")," ")</f>
        <v xml:space="preserve"> </v>
      </c>
      <c r="CC1979" s="34">
        <f t="shared" ref="CC1979" si="8603">$M$12</f>
        <v>0</v>
      </c>
      <c r="CD1979" s="34">
        <v>-1</v>
      </c>
      <c r="CE1979" s="34">
        <f t="shared" ref="CE1979" si="8604">-SUMPRODUCT($M$2:$M$11,$N$2:$N$11)</f>
        <v>-120000</v>
      </c>
      <c r="CF1979" s="34" t="e">
        <f t="shared" ref="CF1979" si="8605">IF(CC1979&lt;&gt;CC1980,MMULT(MINVERSE(CC1979:CD1980),CE1979:CE1980)," ")</f>
        <v>#NUM!</v>
      </c>
      <c r="CG1979" s="34" t="str">
        <f t="shared" ref="CG1979" si="8606">IFERROR(IF(CF1979-VLOOKUP(CC$38,$A$2:$N$12,14,FALSE)&lt;0,CF1979-VLOOKUP(CC$38,$A$2:$N$12,14,FALSE)," ")," ")</f>
        <v xml:space="preserve"> </v>
      </c>
      <c r="CH1979" s="34" t="str">
        <f t="shared" ref="CH1979" si="8607">IFERROR(IF(CF1979-VLOOKUP(CC$38,$A$2:$N$12,14,FALSE)&gt;0,CF1979-VLOOKUP(CC$38,$A$2:$N$12,14,FALSE)," ")," ")</f>
        <v xml:space="preserve"> </v>
      </c>
      <c r="CI1979" s="8"/>
    </row>
    <row r="1980" spans="1:87" x14ac:dyDescent="0.2">
      <c r="A1980" s="8" t="str">
        <f>IF(AND(COUNTIF(W$3:W$13,A$16)&gt;0,A$16&lt;&gt;B1816),A$16,IFERROR(IF(MATCH(A$16,Z$3:Z$13,0)=8,A$16," ")," "))</f>
        <v xml:space="preserve"> </v>
      </c>
      <c r="B1980" s="8" t="str">
        <f>IF(A1980=" "," ",MAX(B1979:B1979)+1)</f>
        <v xml:space="preserve"> </v>
      </c>
      <c r="C1980" s="8" t="str">
        <f>IFERROR(INDEX(A1979:A2000,MATCH(SMALL(B1979:B2000,2),B1979:B2000,0),1)," ")</f>
        <v>C4</v>
      </c>
      <c r="D1980" s="8">
        <f t="shared" ref="D1980:D1989" si="8608">IFERROR(VLOOKUP($C1980,$A$15:$O$36,2,FALSE)," ")</f>
        <v>1</v>
      </c>
      <c r="E1980" s="8">
        <f t="shared" ref="E1980:E1989" si="8609">IFERROR(VLOOKUP($C1980,$A$15:$O$36,3,FALSE)," ")</f>
        <v>0</v>
      </c>
      <c r="F1980" s="8">
        <f t="shared" ref="F1980:F1989" si="8610">IFERROR(VLOOKUP($C1980,$A$15:$O$36,4,FALSE)," ")</f>
        <v>1</v>
      </c>
      <c r="G1980" s="8">
        <f t="shared" ref="G1980:G1989" si="8611">IFERROR(VLOOKUP($C1980,$A$15:$O$36,5,FALSE)," ")</f>
        <v>0</v>
      </c>
      <c r="H1980" s="8">
        <f t="shared" ref="H1980:H1989" si="8612">IFERROR(VLOOKUP($C1980,$A$15:$O$36,6,FALSE)," ")</f>
        <v>0</v>
      </c>
      <c r="I1980" s="8">
        <f t="shared" ref="I1980:I1989" si="8613">IFERROR(VLOOKUP($C1980,$A$15:$O$36,7,FALSE)," ")</f>
        <v>0</v>
      </c>
      <c r="J1980" s="8">
        <f t="shared" ref="J1980:J1989" si="8614">IFERROR(VLOOKUP($C1980,$A$15:$O$36,8,FALSE)," ")</f>
        <v>0</v>
      </c>
      <c r="K1980" s="8">
        <f t="shared" ref="K1980:K1989" si="8615">IFERROR(VLOOKUP($C1980,$A$15:$O$36,9,FALSE)," ")</f>
        <v>0</v>
      </c>
      <c r="L1980" s="8">
        <f t="shared" ref="L1980:L1989" si="8616">IFERROR(VLOOKUP($C1980,$A$15:$O$36,10,FALSE)," ")</f>
        <v>0</v>
      </c>
      <c r="M1980" s="8">
        <f t="shared" ref="M1980:M1989" si="8617">IFERROR(VLOOKUP($C1980,$A$15:$O$36,11,FALSE)," ")</f>
        <v>0</v>
      </c>
      <c r="N1980" s="8">
        <f t="shared" ref="N1980:N1989" si="8618">IFERROR(VLOOKUP($C1980,$A$15:$O$36,12,FALSE)," ")</f>
        <v>0</v>
      </c>
      <c r="O1980" s="8">
        <f t="shared" ref="O1980:O1989" si="8619">IFERROR(VLOOKUP($C1980,$A$15:$O$36,15,FALSE)," ")</f>
        <v>400</v>
      </c>
      <c r="P1980" s="8" t="e">
        <v>#NUM!</v>
      </c>
      <c r="Q1980" s="8" t="e">
        <f t="shared" ref="Q1980" si="8620">IF(COUNTIF(P1979:P1989,"&lt;"&amp;-0.001)=0,IF(ABS(P1980)&lt;0.001,0,P1980)," ")</f>
        <v>#NUM!</v>
      </c>
      <c r="R1980" s="8"/>
      <c r="S1980" s="8"/>
      <c r="U1980" s="34" t="e">
        <f t="shared" ref="U1980" si="8621">$Q1979</f>
        <v>#NUM!</v>
      </c>
      <c r="V1980" s="34">
        <v>-1</v>
      </c>
      <c r="W1980" s="34" t="e">
        <f t="shared" ref="W1980" si="8622">-SUMPRODUCT($Q1980:$Q1989,$N$3:$N$12)</f>
        <v>#NUM!</v>
      </c>
      <c r="X1980" s="34"/>
      <c r="Y1980" s="34"/>
      <c r="Z1980" s="34"/>
      <c r="AA1980" s="34" t="e">
        <f t="shared" ref="AA1980" si="8623">$Q1980</f>
        <v>#NUM!</v>
      </c>
      <c r="AB1980" s="34">
        <v>-1</v>
      </c>
      <c r="AC1980" s="34" t="e">
        <f t="shared" ref="AC1980" si="8624">-SUMPRODUCT($Q1979:$Q1979,$N$2:$N$2)-SUMPRODUCT($Q1981:$Q1989,$N$4:$N$12)</f>
        <v>#NUM!</v>
      </c>
      <c r="AD1980" s="34"/>
      <c r="AE1980" s="34"/>
      <c r="AF1980" s="34"/>
      <c r="AG1980" s="34" t="e">
        <f t="shared" ref="AG1980" si="8625">$Q1981</f>
        <v>#NUM!</v>
      </c>
      <c r="AH1980" s="34">
        <v>-1</v>
      </c>
      <c r="AI1980" s="34" t="e">
        <f t="shared" ref="AI1980" si="8626">-SUMPRODUCT($Q1979:$Q1980,$N$2:$N$3)-SUMPRODUCT($Q1982:$Q1989,$N$5:$N$12)</f>
        <v>#NUM!</v>
      </c>
      <c r="AJ1980" s="34"/>
      <c r="AK1980" s="34"/>
      <c r="AL1980" s="34"/>
      <c r="AM1980" s="34" t="e">
        <f t="shared" ref="AM1980" si="8627">$Q1982</f>
        <v>#NUM!</v>
      </c>
      <c r="AN1980" s="34">
        <v>-1</v>
      </c>
      <c r="AO1980" s="34" t="e">
        <f t="shared" ref="AO1980" si="8628">-SUMPRODUCT($Q1979:$Q1981,$N$2:$N$4)-SUMPRODUCT($Q1983:$Q1989,$N$6:$N$12)</f>
        <v>#NUM!</v>
      </c>
      <c r="AP1980" s="34"/>
      <c r="AQ1980" s="34"/>
      <c r="AR1980" s="34"/>
      <c r="AS1980" s="34" t="e">
        <f t="shared" ref="AS1980" si="8629">$Q1983</f>
        <v>#NUM!</v>
      </c>
      <c r="AT1980" s="34">
        <v>-1</v>
      </c>
      <c r="AU1980" s="34" t="e">
        <f t="shared" ref="AU1980" si="8630">-SUMPRODUCT($Q1979:$Q1982,$N$2:$N$5)-SUMPRODUCT($Q1984:$Q1989,$N$7:$N$12)</f>
        <v>#NUM!</v>
      </c>
      <c r="AV1980" s="34"/>
      <c r="AW1980" s="34"/>
      <c r="AX1980" s="34"/>
      <c r="AY1980" s="34" t="e">
        <f t="shared" ref="AY1980" si="8631">$Q1984</f>
        <v>#NUM!</v>
      </c>
      <c r="AZ1980" s="34">
        <v>-1</v>
      </c>
      <c r="BA1980" s="34" t="e">
        <f t="shared" ref="BA1980" si="8632">-SUMPRODUCT($Q1979:$Q1983,$N$2:$N$6)-SUMPRODUCT($Q1985:$Q1989,$N$8:$N$12)</f>
        <v>#NUM!</v>
      </c>
      <c r="BB1980" s="34"/>
      <c r="BC1980" s="34"/>
      <c r="BD1980" s="34"/>
      <c r="BE1980" s="34" t="e">
        <f t="shared" ref="BE1980" si="8633">$Q1985</f>
        <v>#NUM!</v>
      </c>
      <c r="BF1980" s="34">
        <v>-1</v>
      </c>
      <c r="BG1980" s="34" t="e">
        <f t="shared" ref="BG1980" si="8634">-SUMPRODUCT($Q1979:$Q1984,$N$2:$N$7)-SUMPRODUCT($Q1986:$Q1989,$N$9:$N$12)</f>
        <v>#NUM!</v>
      </c>
      <c r="BH1980" s="34"/>
      <c r="BI1980" s="34"/>
      <c r="BJ1980" s="34"/>
      <c r="BK1980" s="34" t="e">
        <f t="shared" ref="BK1980" si="8635">$Q1986</f>
        <v>#NUM!</v>
      </c>
      <c r="BL1980" s="34">
        <v>-1</v>
      </c>
      <c r="BM1980" s="34" t="e">
        <f t="shared" ref="BM1980" si="8636">-SUMPRODUCT($Q1979:$Q1985,$N$2:$N$8)-SUMPRODUCT($Q1987:$Q1989,$N$10:$N$12)</f>
        <v>#NUM!</v>
      </c>
      <c r="BN1980" s="34"/>
      <c r="BO1980" s="34"/>
      <c r="BP1980" s="34"/>
      <c r="BQ1980" s="34" t="e">
        <f t="shared" ref="BQ1980" si="8637">$Q1987</f>
        <v>#NUM!</v>
      </c>
      <c r="BR1980" s="34">
        <v>-1</v>
      </c>
      <c r="BS1980" s="34" t="e">
        <f t="shared" ref="BS1980" si="8638">-SUMPRODUCT($Q1979:$Q1986,$N$2:$N$9)-SUMPRODUCT($Q1988:$Q1989,$N$11:$N$12)</f>
        <v>#NUM!</v>
      </c>
      <c r="BT1980" s="34"/>
      <c r="BU1980" s="34"/>
      <c r="BV1980" s="34"/>
      <c r="BW1980" s="34" t="e">
        <f t="shared" ref="BW1980" si="8639">$Q1988</f>
        <v>#NUM!</v>
      </c>
      <c r="BX1980" s="34">
        <v>-1</v>
      </c>
      <c r="BY1980" s="34" t="e">
        <f t="shared" ref="BY1980" si="8640">-SUMPRODUCT($Q1979:$Q1987,$N$2:$N$10)-SUMPRODUCT($Q1989,$N$12)</f>
        <v>#NUM!</v>
      </c>
      <c r="BZ1980" s="34"/>
      <c r="CA1980" s="34"/>
      <c r="CB1980" s="34"/>
      <c r="CC1980" s="34" t="e">
        <f t="shared" ref="CC1980" si="8641">$Q1989</f>
        <v>#NUM!</v>
      </c>
      <c r="CD1980" s="34">
        <v>-1</v>
      </c>
      <c r="CE1980" s="34" t="e">
        <f t="shared" ref="CE1980" si="8642">-SUMPRODUCT($Q1979:$Q1988,$N$2:$N$11)</f>
        <v>#NUM!</v>
      </c>
      <c r="CF1980" s="34"/>
      <c r="CG1980" s="34"/>
      <c r="CH1980" s="34"/>
      <c r="CI1980" s="8"/>
    </row>
    <row r="1981" spans="1:87" x14ac:dyDescent="0.2">
      <c r="A1981" s="8" t="str">
        <f>IF(AND(COUNTIF(W$3:W$13,A$17)&gt;0,A$17&lt;&gt;B1816),A$17,IFERROR(IF(MATCH(A$17,Z$3:Z$13,0)=8,A$17," ")," "))</f>
        <v>C3</v>
      </c>
      <c r="B1981" s="8">
        <f>IF(A1981=" "," ",MAX(B1979:B1980)+1)</f>
        <v>1</v>
      </c>
      <c r="C1981" s="8" t="str">
        <f>IFERROR(INDEX(A1979:A2000,MATCH(SMALL(B1979:B2000,3),B1979:B2000,0),1)," ")</f>
        <v>C10</v>
      </c>
      <c r="D1981" s="8">
        <f t="shared" si="8608"/>
        <v>0</v>
      </c>
      <c r="E1981" s="8">
        <f t="shared" si="8609"/>
        <v>0</v>
      </c>
      <c r="F1981" s="8">
        <f t="shared" si="8610"/>
        <v>0</v>
      </c>
      <c r="G1981" s="8">
        <f t="shared" si="8611"/>
        <v>0</v>
      </c>
      <c r="H1981" s="8">
        <f t="shared" si="8612"/>
        <v>0</v>
      </c>
      <c r="I1981" s="8">
        <f t="shared" si="8613"/>
        <v>0</v>
      </c>
      <c r="J1981" s="8">
        <f t="shared" si="8614"/>
        <v>0</v>
      </c>
      <c r="K1981" s="8">
        <f t="shared" si="8615"/>
        <v>0</v>
      </c>
      <c r="L1981" s="8">
        <f t="shared" si="8616"/>
        <v>0</v>
      </c>
      <c r="M1981" s="8">
        <f t="shared" si="8617"/>
        <v>0</v>
      </c>
      <c r="N1981" s="8">
        <f t="shared" si="8618"/>
        <v>0</v>
      </c>
      <c r="O1981" s="8">
        <f t="shared" si="8619"/>
        <v>0</v>
      </c>
      <c r="P1981" s="8" t="e">
        <v>#NUM!</v>
      </c>
      <c r="Q1981" s="8" t="e">
        <f t="shared" ref="Q1981" si="8643">IF(COUNTIF(P1979:P1989,"&lt;"&amp;-0.001)=0,IF(ABS(P1981)&lt;0.001,0,P1981)," ")</f>
        <v>#NUM!</v>
      </c>
      <c r="R1981" s="8"/>
      <c r="S1981" s="8"/>
      <c r="U1981" s="34"/>
      <c r="V1981" s="34"/>
      <c r="W1981" s="34"/>
      <c r="X1981" s="34"/>
      <c r="Y1981" s="34"/>
      <c r="Z1981" s="34"/>
      <c r="AA1981" s="34"/>
      <c r="AB1981" s="34"/>
      <c r="AC1981" s="34"/>
      <c r="AD1981" s="34"/>
      <c r="AE1981" s="34"/>
      <c r="AF1981" s="34"/>
      <c r="AG1981" s="34"/>
      <c r="AH1981" s="34"/>
      <c r="AI1981" s="34"/>
      <c r="AJ1981" s="34"/>
      <c r="AK1981" s="34"/>
      <c r="AL1981" s="34"/>
      <c r="AM1981" s="34"/>
      <c r="AN1981" s="34"/>
      <c r="AO1981" s="34"/>
      <c r="AP1981" s="34"/>
      <c r="AQ1981" s="34"/>
      <c r="AR1981" s="34"/>
      <c r="AS1981" s="34"/>
      <c r="AT1981" s="34"/>
      <c r="AU1981" s="34"/>
      <c r="AV1981" s="34"/>
      <c r="AW1981" s="34"/>
      <c r="AX1981" s="34"/>
      <c r="AY1981" s="34"/>
      <c r="AZ1981" s="34"/>
      <c r="BA1981" s="34"/>
      <c r="BB1981" s="34"/>
      <c r="BC1981" s="34"/>
      <c r="BD1981" s="34"/>
      <c r="BE1981" s="34"/>
      <c r="BF1981" s="34"/>
      <c r="BG1981" s="34"/>
      <c r="BH1981" s="34"/>
      <c r="BI1981" s="34"/>
      <c r="BJ1981" s="34"/>
      <c r="BK1981" s="34"/>
      <c r="BL1981" s="34"/>
      <c r="BM1981" s="34"/>
      <c r="BN1981" s="34"/>
      <c r="BO1981" s="34"/>
      <c r="BP1981" s="34"/>
      <c r="BQ1981" s="34"/>
      <c r="BR1981" s="34"/>
      <c r="BS1981" s="34"/>
      <c r="BT1981" s="34"/>
      <c r="BU1981" s="34"/>
      <c r="BV1981" s="34"/>
      <c r="BW1981" s="34"/>
      <c r="BX1981" s="34"/>
      <c r="BY1981" s="34"/>
      <c r="BZ1981" s="34"/>
      <c r="CA1981" s="34"/>
      <c r="CB1981" s="34"/>
      <c r="CC1981" s="34"/>
      <c r="CD1981" s="34"/>
      <c r="CE1981" s="34"/>
      <c r="CF1981" s="34"/>
      <c r="CG1981" s="34"/>
      <c r="CH1981" s="34"/>
      <c r="CI1981" s="8"/>
    </row>
    <row r="1982" spans="1:87" x14ac:dyDescent="0.2">
      <c r="A1982" s="8" t="str">
        <f>IF(AND(COUNTIF(W$3:W$13,A$18)&gt;0,A$18&lt;&gt;B1816),A$18,IFERROR(IF(MATCH(A$18,Z$3:Z$13,0)=8,A$18," ")," "))</f>
        <v>C4</v>
      </c>
      <c r="B1982" s="8">
        <f>IF(A1982=" "," ",MAX(B1979:B1981)+1)</f>
        <v>2</v>
      </c>
      <c r="C1982" s="8" t="str">
        <f>IFERROR(INDEX(A1979:A2000,MATCH(SMALL(B1979:B2000,4),B1979:B2000,0),1)," ")</f>
        <v>C13</v>
      </c>
      <c r="D1982" s="8">
        <f t="shared" si="8608"/>
        <v>0</v>
      </c>
      <c r="E1982" s="8">
        <f t="shared" si="8609"/>
        <v>1</v>
      </c>
      <c r="F1982" s="8">
        <f t="shared" si="8610"/>
        <v>0</v>
      </c>
      <c r="G1982" s="8">
        <f t="shared" si="8611"/>
        <v>0</v>
      </c>
      <c r="H1982" s="8">
        <f t="shared" si="8612"/>
        <v>0</v>
      </c>
      <c r="I1982" s="8">
        <f t="shared" si="8613"/>
        <v>0</v>
      </c>
      <c r="J1982" s="8">
        <f t="shared" si="8614"/>
        <v>0</v>
      </c>
      <c r="K1982" s="8">
        <f t="shared" si="8615"/>
        <v>0</v>
      </c>
      <c r="L1982" s="8">
        <f t="shared" si="8616"/>
        <v>0</v>
      </c>
      <c r="M1982" s="8">
        <f t="shared" si="8617"/>
        <v>0</v>
      </c>
      <c r="N1982" s="8">
        <f t="shared" si="8618"/>
        <v>0</v>
      </c>
      <c r="O1982" s="8">
        <f t="shared" si="8619"/>
        <v>0</v>
      </c>
      <c r="P1982" s="8" t="e">
        <v>#NUM!</v>
      </c>
      <c r="Q1982" s="8" t="e">
        <f t="shared" ref="Q1982" si="8644">IF(COUNTIF(P1979:P1989,"&lt;"&amp;-0.001)=0,IF(ABS(P1982)&lt;0.001,0,P1982)," ")</f>
        <v>#NUM!</v>
      </c>
      <c r="R1982" s="8"/>
      <c r="S1982" s="8"/>
      <c r="U1982" s="34"/>
      <c r="V1982" s="34"/>
      <c r="W1982" s="34"/>
      <c r="X1982" s="34"/>
      <c r="Y1982" s="34"/>
      <c r="Z1982" s="34"/>
      <c r="AA1982" s="34"/>
      <c r="AB1982" s="34"/>
      <c r="AC1982" s="34"/>
      <c r="AD1982" s="34"/>
      <c r="AE1982" s="34"/>
      <c r="AF1982" s="34"/>
      <c r="AG1982" s="34"/>
      <c r="AH1982" s="34"/>
      <c r="AI1982" s="34"/>
      <c r="AJ1982" s="34"/>
      <c r="AK1982" s="34"/>
      <c r="AL1982" s="34"/>
      <c r="AM1982" s="34"/>
      <c r="AN1982" s="34"/>
      <c r="AO1982" s="34"/>
      <c r="AP1982" s="34"/>
      <c r="AQ1982" s="34"/>
      <c r="AR1982" s="34"/>
      <c r="AS1982" s="34"/>
      <c r="AT1982" s="34"/>
      <c r="AU1982" s="34"/>
      <c r="AV1982" s="34"/>
      <c r="AW1982" s="34"/>
      <c r="AX1982" s="34"/>
      <c r="AY1982" s="34"/>
      <c r="AZ1982" s="34"/>
      <c r="BA1982" s="34"/>
      <c r="BB1982" s="34"/>
      <c r="BC1982" s="34"/>
      <c r="BD1982" s="34"/>
      <c r="BE1982" s="34"/>
      <c r="BF1982" s="34"/>
      <c r="BG1982" s="34"/>
      <c r="BH1982" s="34"/>
      <c r="BI1982" s="34"/>
      <c r="BJ1982" s="34"/>
      <c r="BK1982" s="34"/>
      <c r="BL1982" s="34"/>
      <c r="BM1982" s="34"/>
      <c r="BN1982" s="34"/>
      <c r="BO1982" s="34"/>
      <c r="BP1982" s="34"/>
      <c r="BQ1982" s="34"/>
      <c r="BR1982" s="34"/>
      <c r="BS1982" s="34"/>
      <c r="BT1982" s="34"/>
      <c r="BU1982" s="34"/>
      <c r="BV1982" s="34"/>
      <c r="BW1982" s="34"/>
      <c r="BX1982" s="34"/>
      <c r="BY1982" s="34"/>
      <c r="BZ1982" s="34"/>
      <c r="CA1982" s="34"/>
      <c r="CB1982" s="34"/>
      <c r="CC1982" s="34"/>
      <c r="CD1982" s="34"/>
      <c r="CE1982" s="34"/>
      <c r="CF1982" s="34"/>
      <c r="CG1982" s="34"/>
      <c r="CH1982" s="34"/>
      <c r="CI1982" s="8"/>
    </row>
    <row r="1983" spans="1:87" x14ac:dyDescent="0.2">
      <c r="A1983" s="8" t="str">
        <f>IF(AND(COUNTIF(W$3:W$13,A$19)&gt;0,A$19&lt;&gt;B1816),A$19,IFERROR(IF(MATCH(A$19,Z$3:Z$13,0)=8,A$19," ")," "))</f>
        <v xml:space="preserve"> </v>
      </c>
      <c r="B1983" s="8" t="str">
        <f>IF(A1983=" "," ",MAX(B1979:B1982)+1)</f>
        <v xml:space="preserve"> </v>
      </c>
      <c r="C1983" s="8" t="str">
        <f>IFERROR(INDEX(A1979:A2000,MATCH(SMALL(B1979:B2000,5),B1979:B2000,0),1)," ")</f>
        <v>C15</v>
      </c>
      <c r="D1983" s="8">
        <f t="shared" si="8608"/>
        <v>0</v>
      </c>
      <c r="E1983" s="8">
        <f t="shared" si="8609"/>
        <v>0</v>
      </c>
      <c r="F1983" s="8">
        <f t="shared" si="8610"/>
        <v>0</v>
      </c>
      <c r="G1983" s="8">
        <f t="shared" si="8611"/>
        <v>1</v>
      </c>
      <c r="H1983" s="8">
        <f t="shared" si="8612"/>
        <v>0</v>
      </c>
      <c r="I1983" s="8">
        <f t="shared" si="8613"/>
        <v>0</v>
      </c>
      <c r="J1983" s="8">
        <f t="shared" si="8614"/>
        <v>0</v>
      </c>
      <c r="K1983" s="8">
        <f t="shared" si="8615"/>
        <v>0</v>
      </c>
      <c r="L1983" s="8">
        <f t="shared" si="8616"/>
        <v>0</v>
      </c>
      <c r="M1983" s="8">
        <f t="shared" si="8617"/>
        <v>0</v>
      </c>
      <c r="N1983" s="8">
        <f t="shared" si="8618"/>
        <v>0</v>
      </c>
      <c r="O1983" s="8">
        <f t="shared" si="8619"/>
        <v>0</v>
      </c>
      <c r="P1983" s="8" t="e">
        <v>#NUM!</v>
      </c>
      <c r="Q1983" s="8" t="e">
        <f t="shared" ref="Q1983" si="8645">IF(COUNTIF(P1979:P1989,"&lt;"&amp;-0.001)=0,IF(ABS(P1983)&lt;0.001,0,P1983)," ")</f>
        <v>#NUM!</v>
      </c>
      <c r="R1983" s="8"/>
      <c r="S1983" s="8"/>
      <c r="U1983" s="34"/>
      <c r="V1983" s="34"/>
      <c r="W1983" s="34"/>
      <c r="X1983" s="34"/>
      <c r="Y1983" s="34"/>
      <c r="Z1983" s="34"/>
      <c r="AA1983" s="34"/>
      <c r="AB1983" s="34"/>
      <c r="AC1983" s="34"/>
      <c r="AD1983" s="34"/>
      <c r="AE1983" s="34"/>
      <c r="AF1983" s="34"/>
      <c r="AG1983" s="34"/>
      <c r="AH1983" s="34"/>
      <c r="AI1983" s="34"/>
      <c r="AJ1983" s="34"/>
      <c r="AK1983" s="34"/>
      <c r="AL1983" s="34"/>
      <c r="AM1983" s="34"/>
      <c r="AN1983" s="34"/>
      <c r="AO1983" s="34"/>
      <c r="AP1983" s="34"/>
      <c r="AQ1983" s="34"/>
      <c r="AR1983" s="34"/>
      <c r="AS1983" s="34"/>
      <c r="AT1983" s="34"/>
      <c r="AU1983" s="34"/>
      <c r="AV1983" s="34"/>
      <c r="AW1983" s="34"/>
      <c r="AX1983" s="34"/>
      <c r="AY1983" s="34"/>
      <c r="AZ1983" s="34"/>
      <c r="BA1983" s="34"/>
      <c r="BB1983" s="34"/>
      <c r="BC1983" s="34"/>
      <c r="BD1983" s="34"/>
      <c r="BE1983" s="34"/>
      <c r="BF1983" s="34"/>
      <c r="BG1983" s="34"/>
      <c r="BH1983" s="34"/>
      <c r="BI1983" s="34"/>
      <c r="BJ1983" s="34"/>
      <c r="BK1983" s="34"/>
      <c r="BL1983" s="34"/>
      <c r="BM1983" s="34"/>
      <c r="BN1983" s="34"/>
      <c r="BO1983" s="34"/>
      <c r="BP1983" s="34"/>
      <c r="BQ1983" s="34"/>
      <c r="BR1983" s="34"/>
      <c r="BS1983" s="34"/>
      <c r="BT1983" s="34"/>
      <c r="BU1983" s="34"/>
      <c r="BV1983" s="34"/>
      <c r="BW1983" s="34"/>
      <c r="BX1983" s="34"/>
      <c r="BY1983" s="34"/>
      <c r="BZ1983" s="34"/>
      <c r="CA1983" s="34"/>
      <c r="CB1983" s="34"/>
      <c r="CC1983" s="34"/>
      <c r="CD1983" s="34"/>
      <c r="CE1983" s="34"/>
      <c r="CF1983" s="34"/>
      <c r="CG1983" s="34"/>
      <c r="CH1983" s="34"/>
      <c r="CI1983" s="8"/>
    </row>
    <row r="1984" spans="1:87" x14ac:dyDescent="0.2">
      <c r="A1984" s="8" t="str">
        <f>IF(AND(COUNTIF(W$3:W$13,A$20)&gt;0,A$20&lt;&gt;B1816),A$20,IFERROR(IF(MATCH(A$20,Z$3:Z$13,0)=8,A$20," ")," "))</f>
        <v xml:space="preserve"> </v>
      </c>
      <c r="B1984" s="8" t="str">
        <f>IF(A1984=" "," ",MAX(B1979:B1983)+1)</f>
        <v xml:space="preserve"> </v>
      </c>
      <c r="C1984" s="8" t="str">
        <f>IFERROR(INDEX(A1979:A2000,MATCH(SMALL(B1979:B2000,6),B1979:B2000,0),1)," ")</f>
        <v>C16</v>
      </c>
      <c r="D1984" s="8">
        <f t="shared" si="8608"/>
        <v>0</v>
      </c>
      <c r="E1984" s="8">
        <f t="shared" si="8609"/>
        <v>0</v>
      </c>
      <c r="F1984" s="8">
        <f t="shared" si="8610"/>
        <v>0</v>
      </c>
      <c r="G1984" s="8">
        <f t="shared" si="8611"/>
        <v>0</v>
      </c>
      <c r="H1984" s="8">
        <f t="shared" si="8612"/>
        <v>1</v>
      </c>
      <c r="I1984" s="8">
        <f t="shared" si="8613"/>
        <v>0</v>
      </c>
      <c r="J1984" s="8">
        <f t="shared" si="8614"/>
        <v>0</v>
      </c>
      <c r="K1984" s="8">
        <f t="shared" si="8615"/>
        <v>0</v>
      </c>
      <c r="L1984" s="8">
        <f t="shared" si="8616"/>
        <v>0</v>
      </c>
      <c r="M1984" s="8">
        <f t="shared" si="8617"/>
        <v>0</v>
      </c>
      <c r="N1984" s="8">
        <f t="shared" si="8618"/>
        <v>0</v>
      </c>
      <c r="O1984" s="8">
        <f t="shared" si="8619"/>
        <v>0</v>
      </c>
      <c r="P1984" s="8" t="e">
        <v>#NUM!</v>
      </c>
      <c r="Q1984" s="8" t="e">
        <f t="shared" ref="Q1984" si="8646">IF(COUNTIF(P1979:P1989,"&lt;"&amp;-0.001)=0,IF(ABS(P1984)&lt;0.001,0,P1984)," ")</f>
        <v>#NUM!</v>
      </c>
      <c r="R1984" s="8"/>
      <c r="S1984" s="8"/>
      <c r="U1984" s="34"/>
      <c r="V1984" s="34"/>
      <c r="W1984" s="34"/>
      <c r="X1984" s="34"/>
      <c r="Y1984" s="34"/>
      <c r="Z1984" s="34"/>
      <c r="AA1984" s="34"/>
      <c r="AB1984" s="34"/>
      <c r="AC1984" s="34"/>
      <c r="AD1984" s="34"/>
      <c r="AE1984" s="34"/>
      <c r="AF1984" s="34"/>
      <c r="AG1984" s="34"/>
      <c r="AH1984" s="34"/>
      <c r="AI1984" s="34"/>
      <c r="AJ1984" s="34"/>
      <c r="AK1984" s="34"/>
      <c r="AL1984" s="34"/>
      <c r="AM1984" s="34"/>
      <c r="AN1984" s="34"/>
      <c r="AO1984" s="34"/>
      <c r="AP1984" s="34"/>
      <c r="AQ1984" s="34"/>
      <c r="AR1984" s="34"/>
      <c r="AS1984" s="34"/>
      <c r="AT1984" s="34"/>
      <c r="AU1984" s="34"/>
      <c r="AV1984" s="34"/>
      <c r="AW1984" s="34"/>
      <c r="AX1984" s="34"/>
      <c r="AY1984" s="34"/>
      <c r="AZ1984" s="34"/>
      <c r="BA1984" s="34"/>
      <c r="BB1984" s="34"/>
      <c r="BC1984" s="34"/>
      <c r="BD1984" s="34"/>
      <c r="BE1984" s="34"/>
      <c r="BF1984" s="34"/>
      <c r="BG1984" s="34"/>
      <c r="BH1984" s="34"/>
      <c r="BI1984" s="34"/>
      <c r="BJ1984" s="34"/>
      <c r="BK1984" s="34"/>
      <c r="BL1984" s="34"/>
      <c r="BM1984" s="34"/>
      <c r="BN1984" s="34"/>
      <c r="BO1984" s="34"/>
      <c r="BP1984" s="34"/>
      <c r="BQ1984" s="34"/>
      <c r="BR1984" s="34"/>
      <c r="BS1984" s="34"/>
      <c r="BT1984" s="34"/>
      <c r="BU1984" s="34"/>
      <c r="BV1984" s="34"/>
      <c r="BW1984" s="34"/>
      <c r="BX1984" s="34"/>
      <c r="BY1984" s="34"/>
      <c r="BZ1984" s="34"/>
      <c r="CA1984" s="34"/>
      <c r="CB1984" s="34"/>
      <c r="CC1984" s="34"/>
      <c r="CD1984" s="34"/>
      <c r="CE1984" s="34"/>
      <c r="CF1984" s="34"/>
      <c r="CG1984" s="34"/>
      <c r="CH1984" s="34"/>
      <c r="CI1984" s="8"/>
    </row>
    <row r="1985" spans="1:87" x14ac:dyDescent="0.2">
      <c r="A1985" s="8" t="str">
        <f>IF(AND(COUNTIF(W$3:W$13,A$21)&gt;0,A$21&lt;&gt;B1816),A$21,IFERROR(IF(MATCH(A$21,Z$3:Z$13,0)=8,A$21," ")," "))</f>
        <v xml:space="preserve"> </v>
      </c>
      <c r="B1985" s="8" t="str">
        <f>IF(A1985=" "," ",MAX(B1979:B1984)+1)</f>
        <v xml:space="preserve"> </v>
      </c>
      <c r="C1985" s="8" t="str">
        <f>IFERROR(INDEX(A1979:A2000,MATCH(SMALL(B1979:B2000,7),B1979:B2000,0),1)," ")</f>
        <v>C17</v>
      </c>
      <c r="D1985" s="8">
        <f t="shared" si="8608"/>
        <v>0</v>
      </c>
      <c r="E1985" s="8">
        <f t="shared" si="8609"/>
        <v>0</v>
      </c>
      <c r="F1985" s="8">
        <f t="shared" si="8610"/>
        <v>0</v>
      </c>
      <c r="G1985" s="8">
        <f t="shared" si="8611"/>
        <v>0</v>
      </c>
      <c r="H1985" s="8">
        <f t="shared" si="8612"/>
        <v>0</v>
      </c>
      <c r="I1985" s="8">
        <f t="shared" si="8613"/>
        <v>1</v>
      </c>
      <c r="J1985" s="8">
        <f t="shared" si="8614"/>
        <v>0</v>
      </c>
      <c r="K1985" s="8">
        <f t="shared" si="8615"/>
        <v>0</v>
      </c>
      <c r="L1985" s="8">
        <f t="shared" si="8616"/>
        <v>0</v>
      </c>
      <c r="M1985" s="8">
        <f t="shared" si="8617"/>
        <v>0</v>
      </c>
      <c r="N1985" s="8">
        <f t="shared" si="8618"/>
        <v>0</v>
      </c>
      <c r="O1985" s="8">
        <f t="shared" si="8619"/>
        <v>0</v>
      </c>
      <c r="P1985" s="8" t="e">
        <v>#NUM!</v>
      </c>
      <c r="Q1985" s="8" t="e">
        <f t="shared" ref="Q1985" si="8647">IF(COUNTIF(P1979:P1989,"&lt;"&amp;-0.001)=0,IF(ABS(P1985)&lt;0.001,0,P1985)," ")</f>
        <v>#NUM!</v>
      </c>
      <c r="R1985" s="8"/>
      <c r="S1985" s="8"/>
      <c r="U1985" s="34"/>
      <c r="V1985" s="34"/>
      <c r="W1985" s="34"/>
      <c r="X1985" s="34"/>
      <c r="Y1985" s="34"/>
      <c r="Z1985" s="34"/>
      <c r="AA1985" s="34"/>
      <c r="AB1985" s="34"/>
      <c r="AC1985" s="34"/>
      <c r="AD1985" s="34"/>
      <c r="AE1985" s="34"/>
      <c r="AF1985" s="34"/>
      <c r="AG1985" s="34"/>
      <c r="AH1985" s="34"/>
      <c r="AI1985" s="34"/>
      <c r="AJ1985" s="34"/>
      <c r="AK1985" s="34"/>
      <c r="AL1985" s="34"/>
      <c r="AM1985" s="34"/>
      <c r="AN1985" s="34"/>
      <c r="AO1985" s="34"/>
      <c r="AP1985" s="34"/>
      <c r="AQ1985" s="34"/>
      <c r="AR1985" s="34"/>
      <c r="AS1985" s="34"/>
      <c r="AT1985" s="34"/>
      <c r="AU1985" s="34"/>
      <c r="AV1985" s="34"/>
      <c r="AW1985" s="34"/>
      <c r="AX1985" s="34"/>
      <c r="AY1985" s="34"/>
      <c r="AZ1985" s="34"/>
      <c r="BA1985" s="34"/>
      <c r="BB1985" s="34"/>
      <c r="BC1985" s="34"/>
      <c r="BD1985" s="34"/>
      <c r="BE1985" s="34"/>
      <c r="BF1985" s="34"/>
      <c r="BG1985" s="34"/>
      <c r="BH1985" s="34"/>
      <c r="BI1985" s="34"/>
      <c r="BJ1985" s="34"/>
      <c r="BK1985" s="34"/>
      <c r="BL1985" s="34"/>
      <c r="BM1985" s="34"/>
      <c r="BN1985" s="34"/>
      <c r="BO1985" s="34"/>
      <c r="BP1985" s="34"/>
      <c r="BQ1985" s="34"/>
      <c r="BR1985" s="34"/>
      <c r="BS1985" s="34"/>
      <c r="BT1985" s="34"/>
      <c r="BU1985" s="34"/>
      <c r="BV1985" s="34"/>
      <c r="BW1985" s="34"/>
      <c r="BX1985" s="34"/>
      <c r="BY1985" s="34"/>
      <c r="BZ1985" s="34"/>
      <c r="CA1985" s="34"/>
      <c r="CB1985" s="34"/>
      <c r="CC1985" s="34"/>
      <c r="CD1985" s="34"/>
      <c r="CE1985" s="34"/>
      <c r="CF1985" s="34"/>
      <c r="CG1985" s="34"/>
      <c r="CH1985" s="34"/>
      <c r="CI1985" s="8"/>
    </row>
    <row r="1986" spans="1:87" x14ac:dyDescent="0.2">
      <c r="A1986" s="8" t="str">
        <f>IF(AND(COUNTIF(W$3:W$13,A$22)&gt;0,A$22&lt;&gt;B1816),A$22,IFERROR(IF(MATCH(A$22,Z$3:Z$13,0)=8,A$22," ")," "))</f>
        <v xml:space="preserve"> </v>
      </c>
      <c r="B1986" s="8" t="str">
        <f>IF(A1986=" "," ",MAX(B1979:B1985)+1)</f>
        <v xml:space="preserve"> </v>
      </c>
      <c r="C1986" s="8" t="str">
        <f>IFERROR(INDEX(A1979:A2000,MATCH(SMALL(B1979:B2000,8),B1979:B2000,0),1)," ")</f>
        <v>C18</v>
      </c>
      <c r="D1986" s="8">
        <f t="shared" si="8608"/>
        <v>0</v>
      </c>
      <c r="E1986" s="8">
        <f t="shared" si="8609"/>
        <v>0</v>
      </c>
      <c r="F1986" s="8">
        <f t="shared" si="8610"/>
        <v>0</v>
      </c>
      <c r="G1986" s="8">
        <f t="shared" si="8611"/>
        <v>0</v>
      </c>
      <c r="H1986" s="8">
        <f t="shared" si="8612"/>
        <v>0</v>
      </c>
      <c r="I1986" s="8">
        <f t="shared" si="8613"/>
        <v>0</v>
      </c>
      <c r="J1986" s="8">
        <f t="shared" si="8614"/>
        <v>1</v>
      </c>
      <c r="K1986" s="8">
        <f t="shared" si="8615"/>
        <v>0</v>
      </c>
      <c r="L1986" s="8">
        <f t="shared" si="8616"/>
        <v>0</v>
      </c>
      <c r="M1986" s="8">
        <f t="shared" si="8617"/>
        <v>0</v>
      </c>
      <c r="N1986" s="8">
        <f t="shared" si="8618"/>
        <v>0</v>
      </c>
      <c r="O1986" s="8">
        <f t="shared" si="8619"/>
        <v>0</v>
      </c>
      <c r="P1986" s="8" t="e">
        <v>#NUM!</v>
      </c>
      <c r="Q1986" s="8" t="e">
        <f t="shared" ref="Q1986" si="8648">IF(COUNTIF(P1979:P1989,"&lt;"&amp;-0.001)=0,IF(ABS(P1986)&lt;0.001,0,P1986)," ")</f>
        <v>#NUM!</v>
      </c>
      <c r="R1986" s="8"/>
      <c r="S1986" s="8"/>
      <c r="U1986" s="34"/>
      <c r="V1986" s="34"/>
      <c r="W1986" s="34"/>
      <c r="X1986" s="34"/>
      <c r="Y1986" s="34"/>
      <c r="Z1986" s="34"/>
      <c r="AA1986" s="34"/>
      <c r="AB1986" s="34"/>
      <c r="AC1986" s="34"/>
      <c r="AD1986" s="34"/>
      <c r="AE1986" s="34"/>
      <c r="AF1986" s="34"/>
      <c r="AG1986" s="34"/>
      <c r="AH1986" s="34"/>
      <c r="AI1986" s="34"/>
      <c r="AJ1986" s="34"/>
      <c r="AK1986" s="34"/>
      <c r="AL1986" s="34"/>
      <c r="AM1986" s="34"/>
      <c r="AN1986" s="34"/>
      <c r="AO1986" s="34"/>
      <c r="AP1986" s="34"/>
      <c r="AQ1986" s="34"/>
      <c r="AR1986" s="34"/>
      <c r="AS1986" s="34"/>
      <c r="AT1986" s="34"/>
      <c r="AU1986" s="34"/>
      <c r="AV1986" s="34"/>
      <c r="AW1986" s="34"/>
      <c r="AX1986" s="34"/>
      <c r="AY1986" s="34"/>
      <c r="AZ1986" s="34"/>
      <c r="BA1986" s="34"/>
      <c r="BB1986" s="34"/>
      <c r="BC1986" s="34"/>
      <c r="BD1986" s="34"/>
      <c r="BE1986" s="34"/>
      <c r="BF1986" s="34"/>
      <c r="BG1986" s="34"/>
      <c r="BH1986" s="34"/>
      <c r="BI1986" s="34"/>
      <c r="BJ1986" s="34"/>
      <c r="BK1986" s="34"/>
      <c r="BL1986" s="34"/>
      <c r="BM1986" s="34"/>
      <c r="BN1986" s="34"/>
      <c r="BO1986" s="34"/>
      <c r="BP1986" s="34"/>
      <c r="BQ1986" s="34"/>
      <c r="BR1986" s="34"/>
      <c r="BS1986" s="34"/>
      <c r="BT1986" s="34"/>
      <c r="BU1986" s="34"/>
      <c r="BV1986" s="34"/>
      <c r="BW1986" s="34"/>
      <c r="BX1986" s="34"/>
      <c r="BY1986" s="34"/>
      <c r="BZ1986" s="34"/>
      <c r="CA1986" s="34"/>
      <c r="CB1986" s="34"/>
      <c r="CC1986" s="34"/>
      <c r="CD1986" s="34"/>
      <c r="CE1986" s="34"/>
      <c r="CF1986" s="34"/>
      <c r="CG1986" s="34"/>
      <c r="CH1986" s="34"/>
      <c r="CI1986" s="8"/>
    </row>
    <row r="1987" spans="1:87" x14ac:dyDescent="0.2">
      <c r="A1987" s="8" t="str">
        <f>IF(AND(COUNTIF(W$3:W$13,A$23)&gt;0,A$23&lt;&gt;B1816),A$23,IFERROR(IF(MATCH(A$23,Z$3:Z$13,0)=8,A$23," ")," "))</f>
        <v xml:space="preserve"> </v>
      </c>
      <c r="B1987" s="8" t="str">
        <f>IF(A1987=" "," ",MAX(B1979:B1986)+1)</f>
        <v xml:space="preserve"> </v>
      </c>
      <c r="C1987" s="8" t="str">
        <f>IFERROR(INDEX(A1979:A2000,MATCH(SMALL(B1979:B2000,9),B1979:B2000,0),1)," ")</f>
        <v>C20</v>
      </c>
      <c r="D1987" s="8">
        <f t="shared" si="8608"/>
        <v>0</v>
      </c>
      <c r="E1987" s="8">
        <f t="shared" si="8609"/>
        <v>0</v>
      </c>
      <c r="F1987" s="8">
        <f t="shared" si="8610"/>
        <v>0</v>
      </c>
      <c r="G1987" s="8">
        <f t="shared" si="8611"/>
        <v>0</v>
      </c>
      <c r="H1987" s="8">
        <f t="shared" si="8612"/>
        <v>0</v>
      </c>
      <c r="I1987" s="8">
        <f t="shared" si="8613"/>
        <v>0</v>
      </c>
      <c r="J1987" s="8">
        <f t="shared" si="8614"/>
        <v>0</v>
      </c>
      <c r="K1987" s="8">
        <f t="shared" si="8615"/>
        <v>0</v>
      </c>
      <c r="L1987" s="8">
        <f t="shared" si="8616"/>
        <v>1</v>
      </c>
      <c r="M1987" s="8">
        <f t="shared" si="8617"/>
        <v>0</v>
      </c>
      <c r="N1987" s="8">
        <f t="shared" si="8618"/>
        <v>0</v>
      </c>
      <c r="O1987" s="8">
        <f t="shared" si="8619"/>
        <v>0</v>
      </c>
      <c r="P1987" s="6" t="e">
        <v>#NUM!</v>
      </c>
      <c r="Q1987" s="8" t="e">
        <f t="shared" ref="Q1987" si="8649">IF(COUNTIF(P1979:P1989,"&lt;"&amp;-0.001)=0,IF(ABS(P1987)&lt;0.001,0,P1987)," ")</f>
        <v>#NUM!</v>
      </c>
      <c r="R1987" s="8"/>
      <c r="S1987" s="8"/>
      <c r="U1987" s="34"/>
      <c r="V1987" s="34"/>
      <c r="W1987" s="34"/>
      <c r="X1987" s="34"/>
      <c r="Y1987" s="34"/>
      <c r="Z1987" s="34"/>
      <c r="AA1987" s="34"/>
      <c r="AB1987" s="34"/>
      <c r="AC1987" s="34"/>
      <c r="AD1987" s="34"/>
      <c r="AE1987" s="34"/>
      <c r="AF1987" s="34"/>
      <c r="AG1987" s="34"/>
      <c r="AH1987" s="34"/>
      <c r="AI1987" s="34"/>
      <c r="AJ1987" s="34"/>
      <c r="AK1987" s="34"/>
      <c r="AL1987" s="34"/>
      <c r="AM1987" s="34"/>
      <c r="AN1987" s="34"/>
      <c r="AO1987" s="34"/>
      <c r="AP1987" s="34"/>
      <c r="AQ1987" s="34"/>
      <c r="AR1987" s="34"/>
      <c r="AS1987" s="34"/>
      <c r="AT1987" s="34"/>
      <c r="AU1987" s="34"/>
      <c r="AV1987" s="34"/>
      <c r="AW1987" s="34"/>
      <c r="AX1987" s="34"/>
      <c r="AY1987" s="34"/>
      <c r="AZ1987" s="34"/>
      <c r="BA1987" s="34"/>
      <c r="BB1987" s="34"/>
      <c r="BC1987" s="34"/>
      <c r="BD1987" s="34"/>
      <c r="BE1987" s="34"/>
      <c r="BF1987" s="34"/>
      <c r="BG1987" s="34"/>
      <c r="BH1987" s="34"/>
      <c r="BI1987" s="34"/>
      <c r="BJ1987" s="34"/>
      <c r="BK1987" s="34"/>
      <c r="BL1987" s="34"/>
      <c r="BM1987" s="34"/>
      <c r="BN1987" s="34"/>
      <c r="BO1987" s="34"/>
      <c r="BP1987" s="34"/>
      <c r="BQ1987" s="34"/>
      <c r="BR1987" s="34"/>
      <c r="BS1987" s="34"/>
      <c r="BT1987" s="34"/>
      <c r="BU1987" s="34"/>
      <c r="BV1987" s="34"/>
      <c r="BW1987" s="34"/>
      <c r="BX1987" s="34"/>
      <c r="BY1987" s="34"/>
      <c r="BZ1987" s="34"/>
      <c r="CA1987" s="34"/>
      <c r="CB1987" s="34"/>
      <c r="CC1987" s="34"/>
      <c r="CD1987" s="34"/>
      <c r="CE1987" s="34"/>
      <c r="CF1987" s="34"/>
      <c r="CG1987" s="34"/>
      <c r="CH1987" s="34"/>
      <c r="CI1987" s="8"/>
    </row>
    <row r="1988" spans="1:87" x14ac:dyDescent="0.2">
      <c r="A1988" s="8" t="str">
        <f>IF(AND(COUNTIF(W$3:W$13,A$24)&gt;0,A$24&lt;&gt;B1816),A$24,IFERROR(IF(MATCH(A$24,Z$3:Z$13,0)=8,A$24," ")," "))</f>
        <v>C10</v>
      </c>
      <c r="B1988" s="8">
        <f>IF(A1988=" "," ",MAX(B1979:B1987)+1)</f>
        <v>3</v>
      </c>
      <c r="C1988" s="8" t="str">
        <f>IFERROR(INDEX(A1979:A2000,MATCH(SMALL(B1979:B2000,10),B1979:B2000,0),1)," ")</f>
        <v>C21</v>
      </c>
      <c r="D1988" s="8">
        <f t="shared" si="8608"/>
        <v>0</v>
      </c>
      <c r="E1988" s="8">
        <f t="shared" si="8609"/>
        <v>0</v>
      </c>
      <c r="F1988" s="8">
        <f t="shared" si="8610"/>
        <v>0</v>
      </c>
      <c r="G1988" s="8">
        <f t="shared" si="8611"/>
        <v>0</v>
      </c>
      <c r="H1988" s="8">
        <f t="shared" si="8612"/>
        <v>0</v>
      </c>
      <c r="I1988" s="8">
        <f t="shared" si="8613"/>
        <v>0</v>
      </c>
      <c r="J1988" s="8">
        <f t="shared" si="8614"/>
        <v>0</v>
      </c>
      <c r="K1988" s="8">
        <f t="shared" si="8615"/>
        <v>0</v>
      </c>
      <c r="L1988" s="8">
        <f t="shared" si="8616"/>
        <v>0</v>
      </c>
      <c r="M1988" s="8">
        <f t="shared" si="8617"/>
        <v>1</v>
      </c>
      <c r="N1988" s="8">
        <f t="shared" si="8618"/>
        <v>0</v>
      </c>
      <c r="O1988" s="8">
        <f t="shared" si="8619"/>
        <v>0</v>
      </c>
      <c r="P1988" s="8" t="e">
        <v>#NUM!</v>
      </c>
      <c r="Q1988" s="8" t="e">
        <f t="shared" ref="Q1988" si="8650">IF(COUNTIF(P1979:P1989,"&lt;"&amp;-0.001)=0,IF(ABS(P1988)&lt;0.001,0,P1988)," ")</f>
        <v>#NUM!</v>
      </c>
      <c r="R1988" s="8"/>
      <c r="S1988" s="8"/>
      <c r="U1988" s="34"/>
      <c r="V1988" s="34"/>
      <c r="W1988" s="34"/>
      <c r="X1988" s="34"/>
      <c r="Y1988" s="34"/>
      <c r="Z1988" s="34"/>
      <c r="AA1988" s="34"/>
      <c r="AB1988" s="34"/>
      <c r="AC1988" s="34"/>
      <c r="AD1988" s="34"/>
      <c r="AE1988" s="34"/>
      <c r="AF1988" s="34"/>
      <c r="AG1988" s="34"/>
      <c r="AH1988" s="34"/>
      <c r="AI1988" s="34"/>
      <c r="AJ1988" s="34"/>
      <c r="AK1988" s="34"/>
      <c r="AL1988" s="34"/>
      <c r="AM1988" s="34"/>
      <c r="AN1988" s="34"/>
      <c r="AO1988" s="34"/>
      <c r="AP1988" s="34"/>
      <c r="AQ1988" s="34"/>
      <c r="AR1988" s="34"/>
      <c r="AS1988" s="34"/>
      <c r="AT1988" s="34"/>
      <c r="AU1988" s="34"/>
      <c r="AV1988" s="34"/>
      <c r="AW1988" s="34"/>
      <c r="AX1988" s="34"/>
      <c r="AY1988" s="34"/>
      <c r="AZ1988" s="34"/>
      <c r="BA1988" s="34"/>
      <c r="BB1988" s="34"/>
      <c r="BC1988" s="34"/>
      <c r="BD1988" s="34"/>
      <c r="BE1988" s="34"/>
      <c r="BF1988" s="34"/>
      <c r="BG1988" s="34"/>
      <c r="BH1988" s="34"/>
      <c r="BI1988" s="34"/>
      <c r="BJ1988" s="34"/>
      <c r="BK1988" s="34"/>
      <c r="BL1988" s="34"/>
      <c r="BM1988" s="34"/>
      <c r="BN1988" s="34"/>
      <c r="BO1988" s="34"/>
      <c r="BP1988" s="34"/>
      <c r="BQ1988" s="34"/>
      <c r="BR1988" s="34"/>
      <c r="BS1988" s="34"/>
      <c r="BT1988" s="34"/>
      <c r="BU1988" s="34"/>
      <c r="BV1988" s="34"/>
      <c r="BW1988" s="34"/>
      <c r="BX1988" s="34"/>
      <c r="BY1988" s="34"/>
      <c r="BZ1988" s="34"/>
      <c r="CA1988" s="34"/>
      <c r="CB1988" s="34"/>
      <c r="CC1988" s="34"/>
      <c r="CD1988" s="34"/>
      <c r="CE1988" s="34"/>
      <c r="CF1988" s="34"/>
      <c r="CG1988" s="34"/>
      <c r="CH1988" s="34"/>
      <c r="CI1988" s="8"/>
    </row>
    <row r="1989" spans="1:87" x14ac:dyDescent="0.2">
      <c r="A1989" s="8" t="str">
        <f>IF(AND(COUNTIF(W$3:W$13,A$25)&gt;0,A$25&lt;&gt;B1816),A$25,IFERROR(IF(MATCH(A$25,Z$3:Z$13,0)=8,A$25," ")," "))</f>
        <v xml:space="preserve"> </v>
      </c>
      <c r="B1989" s="8" t="str">
        <f>IF(A1989=" "," ",MAX(B1979:B1988)+1)</f>
        <v xml:space="preserve"> </v>
      </c>
      <c r="C1989" s="8" t="str">
        <f>IFERROR(INDEX(A1979:A2000,MATCH(SMALL(B1979:B2000,11),B1979:B2000,0),1)," ")</f>
        <v>C22</v>
      </c>
      <c r="D1989" s="8">
        <f t="shared" si="8608"/>
        <v>0</v>
      </c>
      <c r="E1989" s="8">
        <f t="shared" si="8609"/>
        <v>0</v>
      </c>
      <c r="F1989" s="8">
        <f t="shared" si="8610"/>
        <v>0</v>
      </c>
      <c r="G1989" s="8">
        <f t="shared" si="8611"/>
        <v>0</v>
      </c>
      <c r="H1989" s="8">
        <f t="shared" si="8612"/>
        <v>0</v>
      </c>
      <c r="I1989" s="8">
        <f t="shared" si="8613"/>
        <v>0</v>
      </c>
      <c r="J1989" s="8">
        <f t="shared" si="8614"/>
        <v>0</v>
      </c>
      <c r="K1989" s="8">
        <f t="shared" si="8615"/>
        <v>0</v>
      </c>
      <c r="L1989" s="8">
        <f t="shared" si="8616"/>
        <v>0</v>
      </c>
      <c r="M1989" s="8">
        <f t="shared" si="8617"/>
        <v>0</v>
      </c>
      <c r="N1989" s="8">
        <f t="shared" si="8618"/>
        <v>1</v>
      </c>
      <c r="O1989" s="8">
        <f t="shared" si="8619"/>
        <v>0</v>
      </c>
      <c r="P1989" s="8" t="e">
        <v>#NUM!</v>
      </c>
      <c r="Q1989" s="8" t="e">
        <f t="shared" ref="Q1989" si="8651">IF(COUNTIF(P1979:P1989,"&lt;"&amp;-0.001)=0,IF(ABS(P1989)&lt;0.001,0,P1989)," ")</f>
        <v>#NUM!</v>
      </c>
      <c r="R1989" s="8"/>
      <c r="S1989" s="8"/>
      <c r="U1989" s="34"/>
      <c r="V1989" s="34"/>
      <c r="W1989" s="34"/>
      <c r="X1989" s="34"/>
      <c r="Y1989" s="34"/>
      <c r="Z1989" s="34"/>
      <c r="AA1989" s="34"/>
      <c r="AB1989" s="34"/>
      <c r="AC1989" s="34"/>
      <c r="AD1989" s="34"/>
      <c r="AE1989" s="34"/>
      <c r="AF1989" s="34"/>
      <c r="AG1989" s="34"/>
      <c r="AH1989" s="34"/>
      <c r="AI1989" s="34"/>
      <c r="AJ1989" s="34"/>
      <c r="AK1989" s="34"/>
      <c r="AL1989" s="34"/>
      <c r="AM1989" s="34"/>
      <c r="AN1989" s="34"/>
      <c r="AO1989" s="34"/>
      <c r="AP1989" s="34"/>
      <c r="AQ1989" s="34"/>
      <c r="AR1989" s="34"/>
      <c r="AS1989" s="34"/>
      <c r="AT1989" s="34"/>
      <c r="AU1989" s="34"/>
      <c r="AV1989" s="34"/>
      <c r="AW1989" s="34"/>
      <c r="AX1989" s="34"/>
      <c r="AY1989" s="34"/>
      <c r="AZ1989" s="34"/>
      <c r="BA1989" s="34"/>
      <c r="BB1989" s="34"/>
      <c r="BC1989" s="34"/>
      <c r="BD1989" s="34"/>
      <c r="BE1989" s="34"/>
      <c r="BF1989" s="34"/>
      <c r="BG1989" s="34"/>
      <c r="BH1989" s="34"/>
      <c r="BI1989" s="34"/>
      <c r="BJ1989" s="34"/>
      <c r="BK1989" s="34"/>
      <c r="BL1989" s="34"/>
      <c r="BM1989" s="34"/>
      <c r="BN1989" s="34"/>
      <c r="BO1989" s="34"/>
      <c r="BP1989" s="34"/>
      <c r="BQ1989" s="34"/>
      <c r="BR1989" s="34"/>
      <c r="BS1989" s="34"/>
      <c r="BT1989" s="34"/>
      <c r="BU1989" s="34"/>
      <c r="BV1989" s="34"/>
      <c r="BW1989" s="34"/>
      <c r="BX1989" s="34"/>
      <c r="BY1989" s="34"/>
      <c r="BZ1989" s="34"/>
      <c r="CA1989" s="34"/>
      <c r="CB1989" s="34"/>
      <c r="CC1989" s="34"/>
      <c r="CD1989" s="34"/>
      <c r="CE1989" s="34"/>
      <c r="CF1989" s="34"/>
      <c r="CG1989" s="34"/>
      <c r="CH1989" s="34"/>
      <c r="CI1989" s="8"/>
    </row>
    <row r="1990" spans="1:87" x14ac:dyDescent="0.2">
      <c r="A1990" s="8" t="str">
        <f>IF(AND(COUNTIF(W$3:W$13,A$26)&gt;0,A$26&lt;&gt;B1816),A$26,IFERROR(IF(MATCH(A$26,Z$3:Z$13,0)=8,A$26," ")," "))</f>
        <v xml:space="preserve"> </v>
      </c>
      <c r="B1990" s="8" t="str">
        <f>IF(A1990=" "," ",MAX(B1979:B1989)+1)</f>
        <v xml:space="preserve"> </v>
      </c>
      <c r="C1990" s="8"/>
      <c r="D1990" s="8"/>
      <c r="E1990" s="8"/>
      <c r="F1990" s="8"/>
      <c r="G1990" s="8"/>
      <c r="H1990" s="8"/>
      <c r="I1990" s="8"/>
      <c r="J1990" s="8"/>
      <c r="K1990" s="8"/>
      <c r="L1990" s="8"/>
      <c r="M1990" s="8"/>
      <c r="N1990" s="8"/>
      <c r="O1990" s="8"/>
      <c r="P1990" s="8"/>
      <c r="Q1990" s="8"/>
      <c r="R1990" s="8"/>
      <c r="S1990" s="8"/>
      <c r="U1990" s="34"/>
      <c r="V1990" s="34"/>
      <c r="W1990" s="34"/>
      <c r="X1990" s="34"/>
      <c r="Y1990" s="34"/>
      <c r="Z1990" s="34"/>
      <c r="AA1990" s="34"/>
      <c r="AB1990" s="34"/>
      <c r="AC1990" s="34"/>
      <c r="AD1990" s="34"/>
      <c r="AE1990" s="34"/>
      <c r="AF1990" s="34"/>
      <c r="AG1990" s="34"/>
      <c r="AH1990" s="34"/>
      <c r="AI1990" s="34"/>
      <c r="AJ1990" s="34"/>
      <c r="AK1990" s="34"/>
      <c r="AL1990" s="34"/>
      <c r="AM1990" s="34"/>
      <c r="AN1990" s="34"/>
      <c r="AO1990" s="34"/>
      <c r="AP1990" s="34"/>
      <c r="AQ1990" s="34"/>
      <c r="AR1990" s="34"/>
      <c r="AS1990" s="34"/>
      <c r="AT1990" s="34"/>
      <c r="AU1990" s="34"/>
      <c r="AV1990" s="34"/>
      <c r="AW1990" s="34"/>
      <c r="AX1990" s="34"/>
      <c r="AY1990" s="34"/>
      <c r="AZ1990" s="34"/>
      <c r="BA1990" s="34"/>
      <c r="BB1990" s="34"/>
      <c r="BC1990" s="34"/>
      <c r="BD1990" s="34"/>
      <c r="BE1990" s="34"/>
      <c r="BF1990" s="34"/>
      <c r="BG1990" s="34"/>
      <c r="BH1990" s="34"/>
      <c r="BI1990" s="34"/>
      <c r="BJ1990" s="34"/>
      <c r="BK1990" s="34"/>
      <c r="BL1990" s="34"/>
      <c r="BM1990" s="34"/>
      <c r="BN1990" s="34"/>
      <c r="BO1990" s="34"/>
      <c r="BP1990" s="34"/>
      <c r="BQ1990" s="34"/>
      <c r="BR1990" s="34"/>
      <c r="BS1990" s="34"/>
      <c r="BT1990" s="34"/>
      <c r="BU1990" s="34"/>
      <c r="BV1990" s="34"/>
      <c r="BW1990" s="34"/>
      <c r="BX1990" s="34"/>
      <c r="BY1990" s="34"/>
      <c r="BZ1990" s="34"/>
      <c r="CA1990" s="34"/>
      <c r="CB1990" s="34"/>
      <c r="CC1990" s="34"/>
      <c r="CD1990" s="34"/>
      <c r="CE1990" s="34"/>
      <c r="CF1990" s="34"/>
      <c r="CG1990" s="34"/>
      <c r="CH1990" s="34"/>
      <c r="CI1990" s="8"/>
    </row>
    <row r="1991" spans="1:87" x14ac:dyDescent="0.2">
      <c r="A1991" s="8" t="str">
        <f>IF(AND(COUNTIF(W$3:W$13,A$27)&gt;0,A$27&lt;&gt;B1816),A$27,IFERROR(IF(MATCH(A$27,Z$3:Z$13,0)=8,A$27," ")," "))</f>
        <v>C13</v>
      </c>
      <c r="B1991" s="8">
        <f>IF(A1991=" "," ",MAX(B1979:B1990)+1)</f>
        <v>4</v>
      </c>
      <c r="C1991" s="8"/>
      <c r="D1991" s="8"/>
      <c r="E1991" s="8"/>
      <c r="F1991" s="8"/>
      <c r="G1991" s="8"/>
      <c r="H1991" s="8"/>
      <c r="I1991" s="8"/>
      <c r="J1991" s="8"/>
      <c r="K1991" s="8"/>
      <c r="L1991" s="8"/>
      <c r="M1991" s="8"/>
      <c r="N1991" s="8"/>
      <c r="O1991" s="8"/>
      <c r="P1991" s="8"/>
      <c r="Q1991" s="8"/>
      <c r="R1991" s="8"/>
      <c r="S1991" s="8"/>
      <c r="U1991" s="34"/>
      <c r="V1991" s="34"/>
      <c r="W1991" s="34"/>
      <c r="X1991" s="34"/>
      <c r="Y1991" s="34"/>
      <c r="Z1991" s="34"/>
      <c r="AA1991" s="34"/>
      <c r="AB1991" s="34"/>
      <c r="AC1991" s="34"/>
      <c r="AD1991" s="34"/>
      <c r="AE1991" s="34"/>
      <c r="AF1991" s="34"/>
      <c r="AG1991" s="34"/>
      <c r="AH1991" s="34"/>
      <c r="AI1991" s="34"/>
      <c r="AJ1991" s="34"/>
      <c r="AK1991" s="34"/>
      <c r="AL1991" s="34"/>
      <c r="AM1991" s="34"/>
      <c r="AN1991" s="34"/>
      <c r="AO1991" s="34"/>
      <c r="AP1991" s="34"/>
      <c r="AQ1991" s="34"/>
      <c r="AR1991" s="34"/>
      <c r="AS1991" s="34"/>
      <c r="AT1991" s="34"/>
      <c r="AU1991" s="34"/>
      <c r="AV1991" s="34"/>
      <c r="AW1991" s="34"/>
      <c r="AX1991" s="34"/>
      <c r="AY1991" s="34"/>
      <c r="AZ1991" s="34"/>
      <c r="BA1991" s="34"/>
      <c r="BB1991" s="34"/>
      <c r="BC1991" s="34"/>
      <c r="BD1991" s="34"/>
      <c r="BE1991" s="34"/>
      <c r="BF1991" s="34"/>
      <c r="BG1991" s="34"/>
      <c r="BH1991" s="34"/>
      <c r="BI1991" s="34"/>
      <c r="BJ1991" s="34"/>
      <c r="BK1991" s="34"/>
      <c r="BL1991" s="34"/>
      <c r="BM1991" s="34"/>
      <c r="BN1991" s="34"/>
      <c r="BO1991" s="34"/>
      <c r="BP1991" s="34"/>
      <c r="BQ1991" s="34"/>
      <c r="BR1991" s="34"/>
      <c r="BS1991" s="34"/>
      <c r="BT1991" s="34"/>
      <c r="BU1991" s="34"/>
      <c r="BV1991" s="34"/>
      <c r="BW1991" s="34"/>
      <c r="BX1991" s="34"/>
      <c r="BY1991" s="34"/>
      <c r="BZ1991" s="34"/>
      <c r="CA1991" s="34"/>
      <c r="CB1991" s="34"/>
      <c r="CC1991" s="34"/>
      <c r="CD1991" s="34"/>
      <c r="CE1991" s="34"/>
      <c r="CF1991" s="34"/>
      <c r="CG1991" s="34"/>
      <c r="CH1991" s="34"/>
      <c r="CI1991" s="8"/>
    </row>
    <row r="1992" spans="1:87" x14ac:dyDescent="0.2">
      <c r="A1992" s="8" t="str">
        <f>IF(AND(COUNTIF(W$3:W$13,A$28)&gt;0,A$28&lt;&gt;B1816),A$28,IFERROR(IF(MATCH(A$28,Z$3:Z$13,0)=8,A$28," ")," "))</f>
        <v xml:space="preserve"> </v>
      </c>
      <c r="B1992" s="8" t="str">
        <f>IF(A1992=" "," ",MAX(B1979:B1991)+1)</f>
        <v xml:space="preserve"> </v>
      </c>
      <c r="C1992" s="8"/>
      <c r="D1992" s="8"/>
      <c r="E1992" s="8"/>
      <c r="F1992" s="8"/>
      <c r="G1992" s="8"/>
      <c r="H1992" s="8"/>
      <c r="I1992" s="8"/>
      <c r="J1992" s="8"/>
      <c r="K1992" s="8"/>
      <c r="L1992" s="8"/>
      <c r="M1992" s="8"/>
      <c r="N1992" s="8"/>
      <c r="O1992" s="8"/>
      <c r="P1992" s="8"/>
      <c r="Q1992" s="8"/>
      <c r="R1992" s="8"/>
      <c r="S1992" s="8"/>
      <c r="U1992" s="34"/>
      <c r="V1992" s="34"/>
      <c r="W1992" s="34"/>
      <c r="X1992" s="34"/>
      <c r="Y1992" s="34"/>
      <c r="Z1992" s="34"/>
      <c r="AA1992" s="34"/>
      <c r="AB1992" s="34"/>
      <c r="AC1992" s="34"/>
      <c r="AD1992" s="34"/>
      <c r="AE1992" s="34"/>
      <c r="AF1992" s="34"/>
      <c r="AG1992" s="34"/>
      <c r="AH1992" s="34"/>
      <c r="AI1992" s="34"/>
      <c r="AJ1992" s="34"/>
      <c r="AK1992" s="34"/>
      <c r="AL1992" s="34"/>
      <c r="AM1992" s="34"/>
      <c r="AN1992" s="34"/>
      <c r="AO1992" s="34"/>
      <c r="AP1992" s="34"/>
      <c r="AQ1992" s="34"/>
      <c r="AR1992" s="34"/>
      <c r="AS1992" s="34"/>
      <c r="AT1992" s="34"/>
      <c r="AU1992" s="34"/>
      <c r="AV1992" s="34"/>
      <c r="AW1992" s="34"/>
      <c r="AX1992" s="34"/>
      <c r="AY1992" s="34"/>
      <c r="AZ1992" s="34"/>
      <c r="BA1992" s="34"/>
      <c r="BB1992" s="34"/>
      <c r="BC1992" s="34"/>
      <c r="BD1992" s="34"/>
      <c r="BE1992" s="34"/>
      <c r="BF1992" s="34"/>
      <c r="BG1992" s="34"/>
      <c r="BH1992" s="34"/>
      <c r="BI1992" s="34"/>
      <c r="BJ1992" s="34"/>
      <c r="BK1992" s="34"/>
      <c r="BL1992" s="34"/>
      <c r="BM1992" s="34"/>
      <c r="BN1992" s="34"/>
      <c r="BO1992" s="34"/>
      <c r="BP1992" s="34"/>
      <c r="BQ1992" s="34"/>
      <c r="BR1992" s="34"/>
      <c r="BS1992" s="34"/>
      <c r="BT1992" s="34"/>
      <c r="BU1992" s="34"/>
      <c r="BV1992" s="34"/>
      <c r="BW1992" s="34"/>
      <c r="BX1992" s="34"/>
      <c r="BY1992" s="34"/>
      <c r="BZ1992" s="34"/>
      <c r="CA1992" s="34"/>
      <c r="CB1992" s="34"/>
      <c r="CC1992" s="34"/>
      <c r="CD1992" s="34"/>
      <c r="CE1992" s="34"/>
      <c r="CF1992" s="34"/>
      <c r="CG1992" s="34"/>
      <c r="CH1992" s="34"/>
      <c r="CI1992" s="8"/>
    </row>
    <row r="1993" spans="1:87" x14ac:dyDescent="0.2">
      <c r="A1993" s="8" t="str">
        <f>IF(AND(COUNTIF(W$3:W$13,A$29)&gt;0,A$29&lt;&gt;B1816),A$29,IFERROR(IF(MATCH(A$29,Z$3:Z$13,0)=8,A$29," ")," "))</f>
        <v>C15</v>
      </c>
      <c r="B1993" s="8">
        <f>IF(A1993=" "," ",MAX(B1979:B1992)+1)</f>
        <v>5</v>
      </c>
      <c r="C1993" s="8"/>
      <c r="D1993" s="8"/>
      <c r="E1993" s="8"/>
      <c r="F1993" s="8"/>
      <c r="G1993" s="8"/>
      <c r="H1993" s="8"/>
      <c r="I1993" s="8"/>
      <c r="J1993" s="8"/>
      <c r="K1993" s="8"/>
      <c r="L1993" s="8"/>
      <c r="M1993" s="8"/>
      <c r="N1993" s="8"/>
      <c r="O1993" s="8"/>
      <c r="P1993" s="8"/>
      <c r="Q1993" s="8"/>
      <c r="R1993" s="8"/>
      <c r="S1993" s="8"/>
      <c r="U1993" s="34"/>
      <c r="V1993" s="34"/>
      <c r="W1993" s="34"/>
      <c r="X1993" s="34"/>
      <c r="Y1993" s="34"/>
      <c r="Z1993" s="34"/>
      <c r="AA1993" s="34"/>
      <c r="AB1993" s="34"/>
      <c r="AC1993" s="34"/>
      <c r="AD1993" s="34"/>
      <c r="AE1993" s="34"/>
      <c r="AF1993" s="34"/>
      <c r="AG1993" s="34"/>
      <c r="AH1993" s="34"/>
      <c r="AI1993" s="34"/>
      <c r="AJ1993" s="34"/>
      <c r="AK1993" s="34"/>
      <c r="AL1993" s="34"/>
      <c r="AM1993" s="34"/>
      <c r="AN1993" s="34"/>
      <c r="AO1993" s="34"/>
      <c r="AP1993" s="34"/>
      <c r="AQ1993" s="34"/>
      <c r="AR1993" s="34"/>
      <c r="AS1993" s="34"/>
      <c r="AT1993" s="34"/>
      <c r="AU1993" s="34"/>
      <c r="AV1993" s="34"/>
      <c r="AW1993" s="34"/>
      <c r="AX1993" s="34"/>
      <c r="AY1993" s="34"/>
      <c r="AZ1993" s="34"/>
      <c r="BA1993" s="34"/>
      <c r="BB1993" s="34"/>
      <c r="BC1993" s="34"/>
      <c r="BD1993" s="34"/>
      <c r="BE1993" s="34"/>
      <c r="BF1993" s="34"/>
      <c r="BG1993" s="34"/>
      <c r="BH1993" s="34"/>
      <c r="BI1993" s="34"/>
      <c r="BJ1993" s="34"/>
      <c r="BK1993" s="34"/>
      <c r="BL1993" s="34"/>
      <c r="BM1993" s="34"/>
      <c r="BN1993" s="34"/>
      <c r="BO1993" s="34"/>
      <c r="BP1993" s="34"/>
      <c r="BQ1993" s="34"/>
      <c r="BR1993" s="34"/>
      <c r="BS1993" s="34"/>
      <c r="BT1993" s="34"/>
      <c r="BU1993" s="34"/>
      <c r="BV1993" s="34"/>
      <c r="BW1993" s="34"/>
      <c r="BX1993" s="34"/>
      <c r="BY1993" s="34"/>
      <c r="BZ1993" s="34"/>
      <c r="CA1993" s="34"/>
      <c r="CB1993" s="34"/>
      <c r="CC1993" s="34"/>
      <c r="CD1993" s="34"/>
      <c r="CE1993" s="34"/>
      <c r="CF1993" s="34"/>
      <c r="CG1993" s="34"/>
      <c r="CH1993" s="34"/>
      <c r="CI1993" s="8"/>
    </row>
    <row r="1994" spans="1:87" x14ac:dyDescent="0.2">
      <c r="A1994" s="8" t="str">
        <f>IF(AND(COUNTIF(W$3:W$13,A$30)&gt;0,A$30&lt;&gt;B1816),A$30,IFERROR(IF(MATCH(A$30,Z$3:Z$13,0)=8,A$30," ")," "))</f>
        <v>C16</v>
      </c>
      <c r="B1994" s="8">
        <f>IF(A1994=" "," ",MAX(B1979:B1993)+1)</f>
        <v>6</v>
      </c>
      <c r="C1994" s="8"/>
      <c r="D1994" s="8"/>
      <c r="E1994" s="8"/>
      <c r="F1994" s="8"/>
      <c r="G1994" s="8"/>
      <c r="H1994" s="8"/>
      <c r="I1994" s="8"/>
      <c r="J1994" s="8"/>
      <c r="K1994" s="8"/>
      <c r="L1994" s="8"/>
      <c r="M1994" s="8"/>
      <c r="N1994" s="8"/>
      <c r="O1994" s="8"/>
      <c r="P1994" s="8"/>
      <c r="Q1994" s="8"/>
      <c r="R1994" s="8"/>
      <c r="S1994" s="8"/>
      <c r="U1994" s="34"/>
      <c r="V1994" s="34"/>
      <c r="W1994" s="34"/>
      <c r="X1994" s="34"/>
      <c r="Y1994" s="34"/>
      <c r="Z1994" s="34"/>
      <c r="AA1994" s="34"/>
      <c r="AB1994" s="34"/>
      <c r="AC1994" s="34"/>
      <c r="AD1994" s="34"/>
      <c r="AE1994" s="34"/>
      <c r="AF1994" s="34"/>
      <c r="AG1994" s="34"/>
      <c r="AH1994" s="34"/>
      <c r="AI1994" s="34"/>
      <c r="AJ1994" s="34"/>
      <c r="AK1994" s="34"/>
      <c r="AL1994" s="34"/>
      <c r="AM1994" s="34"/>
      <c r="AN1994" s="34"/>
      <c r="AO1994" s="34"/>
      <c r="AP1994" s="34"/>
      <c r="AQ1994" s="34"/>
      <c r="AR1994" s="34"/>
      <c r="AS1994" s="34"/>
      <c r="AT1994" s="34"/>
      <c r="AU1994" s="34"/>
      <c r="AV1994" s="34"/>
      <c r="AW1994" s="34"/>
      <c r="AX1994" s="34"/>
      <c r="AY1994" s="34"/>
      <c r="AZ1994" s="34"/>
      <c r="BA1994" s="34"/>
      <c r="BB1994" s="34"/>
      <c r="BC1994" s="34"/>
      <c r="BD1994" s="34"/>
      <c r="BE1994" s="34"/>
      <c r="BF1994" s="34"/>
      <c r="BG1994" s="34"/>
      <c r="BH1994" s="34"/>
      <c r="BI1994" s="34"/>
      <c r="BJ1994" s="34"/>
      <c r="BK1994" s="34"/>
      <c r="BL1994" s="34"/>
      <c r="BM1994" s="34"/>
      <c r="BN1994" s="34"/>
      <c r="BO1994" s="34"/>
      <c r="BP1994" s="34"/>
      <c r="BQ1994" s="34"/>
      <c r="BR1994" s="34"/>
      <c r="BS1994" s="34"/>
      <c r="BT1994" s="34"/>
      <c r="BU1994" s="34"/>
      <c r="BV1994" s="34"/>
      <c r="BW1994" s="34"/>
      <c r="BX1994" s="34"/>
      <c r="BY1994" s="34"/>
      <c r="BZ1994" s="34"/>
      <c r="CA1994" s="34"/>
      <c r="CB1994" s="34"/>
      <c r="CC1994" s="34"/>
      <c r="CD1994" s="34"/>
      <c r="CE1994" s="34"/>
      <c r="CF1994" s="34"/>
      <c r="CG1994" s="34"/>
      <c r="CH1994" s="34"/>
      <c r="CI1994" s="8"/>
    </row>
    <row r="1995" spans="1:87" x14ac:dyDescent="0.2">
      <c r="A1995" s="8" t="str">
        <f>IF(AND(COUNTIF(W$3:W$13,A$31)&gt;0,A$31&lt;&gt;B1816),A$31,IFERROR(IF(MATCH(A$31,Z$3:Z$13,0)=8,A$31," ")," "))</f>
        <v>C17</v>
      </c>
      <c r="B1995" s="8">
        <f>IF(A1995=" "," ",MAX(B1979:B1994)+1)</f>
        <v>7</v>
      </c>
      <c r="C1995" s="8"/>
      <c r="D1995" s="8"/>
      <c r="E1995" s="8"/>
      <c r="F1995" s="8"/>
      <c r="G1995" s="8"/>
      <c r="H1995" s="8"/>
      <c r="I1995" s="8"/>
      <c r="J1995" s="8"/>
      <c r="K1995" s="8"/>
      <c r="L1995" s="8"/>
      <c r="M1995" s="8"/>
      <c r="N1995" s="8"/>
      <c r="O1995" s="8"/>
      <c r="P1995" s="8"/>
      <c r="Q1995" s="8"/>
      <c r="R1995" s="8"/>
      <c r="S1995" s="8"/>
      <c r="U1995" s="34"/>
      <c r="V1995" s="34"/>
      <c r="W1995" s="34"/>
      <c r="X1995" s="34"/>
      <c r="Y1995" s="34"/>
      <c r="Z1995" s="34"/>
      <c r="AA1995" s="34"/>
      <c r="AB1995" s="34"/>
      <c r="AC1995" s="34"/>
      <c r="AD1995" s="34"/>
      <c r="AE1995" s="34"/>
      <c r="AF1995" s="34"/>
      <c r="AG1995" s="34"/>
      <c r="AH1995" s="34"/>
      <c r="AI1995" s="34"/>
      <c r="AJ1995" s="34"/>
      <c r="AK1995" s="34"/>
      <c r="AL1995" s="34"/>
      <c r="AM1995" s="34"/>
      <c r="AN1995" s="34"/>
      <c r="AO1995" s="34"/>
      <c r="AP1995" s="34"/>
      <c r="AQ1995" s="34"/>
      <c r="AR1995" s="34"/>
      <c r="AS1995" s="34"/>
      <c r="AT1995" s="34"/>
      <c r="AU1995" s="34"/>
      <c r="AV1995" s="34"/>
      <c r="AW1995" s="34"/>
      <c r="AX1995" s="34"/>
      <c r="AY1995" s="34"/>
      <c r="AZ1995" s="34"/>
      <c r="BA1995" s="34"/>
      <c r="BB1995" s="34"/>
      <c r="BC1995" s="34"/>
      <c r="BD1995" s="34"/>
      <c r="BE1995" s="34"/>
      <c r="BF1995" s="34"/>
      <c r="BG1995" s="34"/>
      <c r="BH1995" s="34"/>
      <c r="BI1995" s="34"/>
      <c r="BJ1995" s="34"/>
      <c r="BK1995" s="34"/>
      <c r="BL1995" s="34"/>
      <c r="BM1995" s="34"/>
      <c r="BN1995" s="34"/>
      <c r="BO1995" s="34"/>
      <c r="BP1995" s="34"/>
      <c r="BQ1995" s="34"/>
      <c r="BR1995" s="34"/>
      <c r="BS1995" s="34"/>
      <c r="BT1995" s="34"/>
      <c r="BU1995" s="34"/>
      <c r="BV1995" s="34"/>
      <c r="BW1995" s="34"/>
      <c r="BX1995" s="34"/>
      <c r="BY1995" s="34"/>
      <c r="BZ1995" s="34"/>
      <c r="CA1995" s="34"/>
      <c r="CB1995" s="34"/>
      <c r="CC1995" s="34"/>
      <c r="CD1995" s="34"/>
      <c r="CE1995" s="34"/>
      <c r="CF1995" s="34"/>
      <c r="CG1995" s="34"/>
      <c r="CH1995" s="34"/>
      <c r="CI1995" s="8"/>
    </row>
    <row r="1996" spans="1:87" x14ac:dyDescent="0.2">
      <c r="A1996" s="8" t="str">
        <f>IF(AND(COUNTIF(W$3:W$13,A$32)&gt;0,A$32&lt;&gt;B1816),A$32,IFERROR(IF(MATCH(A$32,Z$3:Z$13,0)=8,A$32," ")," "))</f>
        <v>C18</v>
      </c>
      <c r="B1996" s="8">
        <f>IF(A1996=" "," ",MAX(B1979:B1995)+1)</f>
        <v>8</v>
      </c>
      <c r="C1996" s="8"/>
      <c r="D1996" s="8"/>
      <c r="E1996" s="8"/>
      <c r="F1996" s="8"/>
      <c r="G1996" s="8"/>
      <c r="H1996" s="8"/>
      <c r="I1996" s="8"/>
      <c r="J1996" s="8"/>
      <c r="K1996" s="8"/>
      <c r="L1996" s="8"/>
      <c r="M1996" s="8"/>
      <c r="N1996" s="8"/>
      <c r="O1996" s="8"/>
      <c r="P1996" s="8"/>
      <c r="Q1996" s="8"/>
      <c r="R1996" s="8"/>
      <c r="S1996" s="8"/>
      <c r="U1996" s="34"/>
      <c r="V1996" s="34"/>
      <c r="W1996" s="34"/>
      <c r="X1996" s="34"/>
      <c r="Y1996" s="34"/>
      <c r="Z1996" s="34"/>
      <c r="AA1996" s="34"/>
      <c r="AB1996" s="34"/>
      <c r="AC1996" s="34"/>
      <c r="AD1996" s="34"/>
      <c r="AE1996" s="34"/>
      <c r="AF1996" s="34"/>
      <c r="AG1996" s="34"/>
      <c r="AH1996" s="34"/>
      <c r="AI1996" s="34"/>
      <c r="AJ1996" s="34"/>
      <c r="AK1996" s="34"/>
      <c r="AL1996" s="34"/>
      <c r="AM1996" s="34"/>
      <c r="AN1996" s="34"/>
      <c r="AO1996" s="34"/>
      <c r="AP1996" s="34"/>
      <c r="AQ1996" s="34"/>
      <c r="AR1996" s="34"/>
      <c r="AS1996" s="34"/>
      <c r="AT1996" s="34"/>
      <c r="AU1996" s="34"/>
      <c r="AV1996" s="34"/>
      <c r="AW1996" s="34"/>
      <c r="AX1996" s="34"/>
      <c r="AY1996" s="34"/>
      <c r="AZ1996" s="34"/>
      <c r="BA1996" s="34"/>
      <c r="BB1996" s="34"/>
      <c r="BC1996" s="34"/>
      <c r="BD1996" s="34"/>
      <c r="BE1996" s="34"/>
      <c r="BF1996" s="34"/>
      <c r="BG1996" s="34"/>
      <c r="BH1996" s="34"/>
      <c r="BI1996" s="34"/>
      <c r="BJ1996" s="34"/>
      <c r="BK1996" s="34"/>
      <c r="BL1996" s="34"/>
      <c r="BM1996" s="34"/>
      <c r="BN1996" s="34"/>
      <c r="BO1996" s="34"/>
      <c r="BP1996" s="34"/>
      <c r="BQ1996" s="34"/>
      <c r="BR1996" s="34"/>
      <c r="BS1996" s="34"/>
      <c r="BT1996" s="34"/>
      <c r="BU1996" s="34"/>
      <c r="BV1996" s="34"/>
      <c r="BW1996" s="34"/>
      <c r="BX1996" s="34"/>
      <c r="BY1996" s="34"/>
      <c r="BZ1996" s="34"/>
      <c r="CA1996" s="34"/>
      <c r="CB1996" s="34"/>
      <c r="CC1996" s="34"/>
      <c r="CD1996" s="34"/>
      <c r="CE1996" s="34"/>
      <c r="CF1996" s="34"/>
      <c r="CG1996" s="34"/>
      <c r="CH1996" s="34"/>
      <c r="CI1996" s="8"/>
    </row>
    <row r="1997" spans="1:87" x14ac:dyDescent="0.2">
      <c r="A1997" s="8" t="str">
        <f>IF(AND(COUNTIF(W$3:W$13,A$33)&gt;0,A$33&lt;&gt;B1816),A$33,IFERROR(IF(MATCH(A$33,Z$3:Z$13,0)=8,A$33," ")," "))</f>
        <v xml:space="preserve"> </v>
      </c>
      <c r="B1997" s="8" t="str">
        <f>IF(A1997=" "," ",MAX(B1979:B1996)+1)</f>
        <v xml:space="preserve"> </v>
      </c>
      <c r="C1997" s="8"/>
      <c r="D1997" s="8"/>
      <c r="E1997" s="8"/>
      <c r="F1997" s="8"/>
      <c r="G1997" s="8"/>
      <c r="H1997" s="8"/>
      <c r="I1997" s="8"/>
      <c r="J1997" s="8"/>
      <c r="K1997" s="8"/>
      <c r="L1997" s="8"/>
      <c r="M1997" s="8"/>
      <c r="N1997" s="8"/>
      <c r="O1997" s="8"/>
      <c r="P1997" s="8"/>
      <c r="Q1997" s="8"/>
      <c r="R1997" s="8"/>
      <c r="S1997" s="8"/>
      <c r="U1997" s="34"/>
      <c r="V1997" s="34"/>
      <c r="W1997" s="34"/>
      <c r="X1997" s="34"/>
      <c r="Y1997" s="34"/>
      <c r="Z1997" s="34"/>
      <c r="AA1997" s="34"/>
      <c r="AB1997" s="34"/>
      <c r="AC1997" s="34"/>
      <c r="AD1997" s="34"/>
      <c r="AE1997" s="34"/>
      <c r="AF1997" s="34"/>
      <c r="AG1997" s="34"/>
      <c r="AH1997" s="34"/>
      <c r="AI1997" s="34"/>
      <c r="AJ1997" s="34"/>
      <c r="AK1997" s="34"/>
      <c r="AL1997" s="34"/>
      <c r="AM1997" s="34"/>
      <c r="AN1997" s="34"/>
      <c r="AO1997" s="34"/>
      <c r="AP1997" s="34"/>
      <c r="AQ1997" s="34"/>
      <c r="AR1997" s="34"/>
      <c r="AS1997" s="34"/>
      <c r="AT1997" s="34"/>
      <c r="AU1997" s="34"/>
      <c r="AV1997" s="34"/>
      <c r="AW1997" s="34"/>
      <c r="AX1997" s="34"/>
      <c r="AY1997" s="34"/>
      <c r="AZ1997" s="34"/>
      <c r="BA1997" s="34"/>
      <c r="BB1997" s="34"/>
      <c r="BC1997" s="34"/>
      <c r="BD1997" s="34"/>
      <c r="BE1997" s="34"/>
      <c r="BF1997" s="34"/>
      <c r="BG1997" s="34"/>
      <c r="BH1997" s="34"/>
      <c r="BI1997" s="34"/>
      <c r="BJ1997" s="34"/>
      <c r="BK1997" s="34"/>
      <c r="BL1997" s="34"/>
      <c r="BM1997" s="34"/>
      <c r="BN1997" s="34"/>
      <c r="BO1997" s="34"/>
      <c r="BP1997" s="34"/>
      <c r="BQ1997" s="34"/>
      <c r="BR1997" s="34"/>
      <c r="BS1997" s="34"/>
      <c r="BT1997" s="34"/>
      <c r="BU1997" s="34"/>
      <c r="BV1997" s="34"/>
      <c r="BW1997" s="34"/>
      <c r="BX1997" s="34"/>
      <c r="BY1997" s="34"/>
      <c r="BZ1997" s="34"/>
      <c r="CA1997" s="34"/>
      <c r="CB1997" s="34"/>
      <c r="CC1997" s="34"/>
      <c r="CD1997" s="34"/>
      <c r="CE1997" s="34"/>
      <c r="CF1997" s="34"/>
      <c r="CG1997" s="34"/>
      <c r="CH1997" s="34"/>
      <c r="CI1997" s="8"/>
    </row>
    <row r="1998" spans="1:87" x14ac:dyDescent="0.2">
      <c r="A1998" s="8" t="str">
        <f>IF(AND(COUNTIF(W$3:W$13,A$34)&gt;0,A$34&lt;&gt;B1816),A$34,IFERROR(IF(MATCH(A$34,Z$3:Z$13,0)=8,A$34," ")," "))</f>
        <v>C20</v>
      </c>
      <c r="B1998" s="8">
        <f>IF(A1998=" "," ",MAX(B1979:B1997)+1)</f>
        <v>9</v>
      </c>
      <c r="C1998" s="8"/>
      <c r="D1998" s="8"/>
      <c r="E1998" s="8"/>
      <c r="F1998" s="8"/>
      <c r="G1998" s="8"/>
      <c r="H1998" s="8"/>
      <c r="I1998" s="8"/>
      <c r="J1998" s="8"/>
      <c r="K1998" s="8"/>
      <c r="L1998" s="8"/>
      <c r="M1998" s="8"/>
      <c r="N1998" s="8"/>
      <c r="O1998" s="8"/>
      <c r="P1998" s="8"/>
      <c r="Q1998" s="8"/>
      <c r="R1998" s="8"/>
      <c r="S1998" s="8"/>
      <c r="U1998" s="34"/>
      <c r="V1998" s="34"/>
      <c r="W1998" s="34"/>
      <c r="X1998" s="34"/>
      <c r="Y1998" s="34"/>
      <c r="Z1998" s="34"/>
      <c r="AA1998" s="34"/>
      <c r="AB1998" s="34"/>
      <c r="AC1998" s="34"/>
      <c r="AD1998" s="34"/>
      <c r="AE1998" s="34"/>
      <c r="AF1998" s="34"/>
      <c r="AG1998" s="34"/>
      <c r="AH1998" s="34"/>
      <c r="AI1998" s="34"/>
      <c r="AJ1998" s="34"/>
      <c r="AK1998" s="34"/>
      <c r="AL1998" s="34"/>
      <c r="AM1998" s="34"/>
      <c r="AN1998" s="34"/>
      <c r="AO1998" s="34"/>
      <c r="AP1998" s="34"/>
      <c r="AQ1998" s="34"/>
      <c r="AR1998" s="34"/>
      <c r="AS1998" s="34"/>
      <c r="AT1998" s="34"/>
      <c r="AU1998" s="34"/>
      <c r="AV1998" s="34"/>
      <c r="AW1998" s="34"/>
      <c r="AX1998" s="34"/>
      <c r="AY1998" s="34"/>
      <c r="AZ1998" s="34"/>
      <c r="BA1998" s="34"/>
      <c r="BB1998" s="34"/>
      <c r="BC1998" s="34"/>
      <c r="BD1998" s="34"/>
      <c r="BE1998" s="34"/>
      <c r="BF1998" s="34"/>
      <c r="BG1998" s="34"/>
      <c r="BH1998" s="34"/>
      <c r="BI1998" s="34"/>
      <c r="BJ1998" s="34"/>
      <c r="BK1998" s="34"/>
      <c r="BL1998" s="34"/>
      <c r="BM1998" s="34"/>
      <c r="BN1998" s="34"/>
      <c r="BO1998" s="34"/>
      <c r="BP1998" s="34"/>
      <c r="BQ1998" s="34"/>
      <c r="BR1998" s="34"/>
      <c r="BS1998" s="34"/>
      <c r="BT1998" s="34"/>
      <c r="BU1998" s="34"/>
      <c r="BV1998" s="34"/>
      <c r="BW1998" s="34"/>
      <c r="BX1998" s="34"/>
      <c r="BY1998" s="34"/>
      <c r="BZ1998" s="34"/>
      <c r="CA1998" s="34"/>
      <c r="CB1998" s="34"/>
      <c r="CC1998" s="34"/>
      <c r="CD1998" s="34"/>
      <c r="CE1998" s="34"/>
      <c r="CF1998" s="34"/>
      <c r="CG1998" s="34"/>
      <c r="CH1998" s="34"/>
      <c r="CI1998" s="8"/>
    </row>
    <row r="1999" spans="1:87" x14ac:dyDescent="0.2">
      <c r="A1999" s="8" t="str">
        <f>IF(AND(COUNTIF(W$3:W$13,A$35)&gt;0,A$35&lt;&gt;B1816),A$35,IFERROR(IF(MATCH(A$35,Z$3:Z$13,0)=8,A$35," ")," "))</f>
        <v>C21</v>
      </c>
      <c r="B1999" s="8">
        <f>IF(A1999=" "," ",MAX(B1979:B1998)+1)</f>
        <v>10</v>
      </c>
      <c r="C1999" s="8"/>
      <c r="D1999" s="8"/>
      <c r="E1999" s="8"/>
      <c r="F1999" s="8"/>
      <c r="G1999" s="8"/>
      <c r="H1999" s="8"/>
      <c r="I1999" s="8"/>
      <c r="J1999" s="8"/>
      <c r="K1999" s="8"/>
      <c r="L1999" s="8"/>
      <c r="M1999" s="8"/>
      <c r="N1999" s="8"/>
      <c r="O1999" s="8"/>
      <c r="P1999" s="8"/>
      <c r="Q1999" s="8"/>
      <c r="R1999" s="8"/>
      <c r="S1999" s="8"/>
      <c r="U1999" s="34"/>
      <c r="V1999" s="34"/>
      <c r="W1999" s="34"/>
      <c r="X1999" s="34"/>
      <c r="Y1999" s="34"/>
      <c r="Z1999" s="34"/>
      <c r="AA1999" s="34"/>
      <c r="AB1999" s="34"/>
      <c r="AC1999" s="34"/>
      <c r="AD1999" s="34"/>
      <c r="AE1999" s="34"/>
      <c r="AF1999" s="34"/>
      <c r="AG1999" s="34"/>
      <c r="AH1999" s="34"/>
      <c r="AI1999" s="34"/>
      <c r="AJ1999" s="34"/>
      <c r="AK1999" s="34"/>
      <c r="AL1999" s="34"/>
      <c r="AM1999" s="34"/>
      <c r="AN1999" s="34"/>
      <c r="AO1999" s="34"/>
      <c r="AP1999" s="34"/>
      <c r="AQ1999" s="34"/>
      <c r="AR1999" s="34"/>
      <c r="AS1999" s="34"/>
      <c r="AT1999" s="34"/>
      <c r="AU1999" s="34"/>
      <c r="AV1999" s="34"/>
      <c r="AW1999" s="34"/>
      <c r="AX1999" s="34"/>
      <c r="AY1999" s="34"/>
      <c r="AZ1999" s="34"/>
      <c r="BA1999" s="34"/>
      <c r="BB1999" s="34"/>
      <c r="BC1999" s="34"/>
      <c r="BD1999" s="34"/>
      <c r="BE1999" s="34"/>
      <c r="BF1999" s="34"/>
      <c r="BG1999" s="34"/>
      <c r="BH1999" s="34"/>
      <c r="BI1999" s="34"/>
      <c r="BJ1999" s="34"/>
      <c r="BK1999" s="34"/>
      <c r="BL1999" s="34"/>
      <c r="BM1999" s="34"/>
      <c r="BN1999" s="34"/>
      <c r="BO1999" s="34"/>
      <c r="BP1999" s="34"/>
      <c r="BQ1999" s="34"/>
      <c r="BR1999" s="34"/>
      <c r="BS1999" s="34"/>
      <c r="BT1999" s="34"/>
      <c r="BU1999" s="34"/>
      <c r="BV1999" s="34"/>
      <c r="BW1999" s="34"/>
      <c r="BX1999" s="34"/>
      <c r="BY1999" s="34"/>
      <c r="BZ1999" s="34"/>
      <c r="CA1999" s="34"/>
      <c r="CB1999" s="34"/>
      <c r="CC1999" s="34"/>
      <c r="CD1999" s="34"/>
      <c r="CE1999" s="34"/>
      <c r="CF1999" s="34"/>
      <c r="CG1999" s="34"/>
      <c r="CH1999" s="34"/>
      <c r="CI1999" s="8"/>
    </row>
    <row r="2000" spans="1:87" x14ac:dyDescent="0.2">
      <c r="A2000" s="8" t="str">
        <f>IF(AND(COUNTIF(W$3:W$13,A$36)&gt;0,A$36&lt;&gt;B1816),A$36,IFERROR(IF(MATCH(A$36,Z$3:Z$13,0)=8,A$36," ")," "))</f>
        <v>C22</v>
      </c>
      <c r="B2000" s="8">
        <f>IF(A2000=" "," ",MAX(B1979:B1999)+1)</f>
        <v>11</v>
      </c>
      <c r="C2000" s="8"/>
      <c r="D2000" s="8"/>
      <c r="E2000" s="8"/>
      <c r="F2000" s="8"/>
      <c r="G2000" s="8"/>
      <c r="H2000" s="8"/>
      <c r="I2000" s="8"/>
      <c r="J2000" s="8"/>
      <c r="K2000" s="8"/>
      <c r="L2000" s="8"/>
      <c r="M2000" s="8"/>
      <c r="N2000" s="8"/>
      <c r="O2000" s="8"/>
      <c r="P2000" s="8"/>
      <c r="Q2000" s="8"/>
      <c r="R2000" s="8"/>
      <c r="S2000" s="8"/>
      <c r="U2000" s="34"/>
      <c r="V2000" s="34"/>
      <c r="W2000" s="34"/>
      <c r="X2000" s="34"/>
      <c r="Y2000" s="34"/>
      <c r="Z2000" s="34"/>
      <c r="AA2000" s="34"/>
      <c r="AB2000" s="34"/>
      <c r="AC2000" s="34"/>
      <c r="AD2000" s="34"/>
      <c r="AE2000" s="34"/>
      <c r="AF2000" s="34"/>
      <c r="AG2000" s="34"/>
      <c r="AH2000" s="34"/>
      <c r="AI2000" s="34"/>
      <c r="AJ2000" s="34"/>
      <c r="AK2000" s="34"/>
      <c r="AL2000" s="34"/>
      <c r="AM2000" s="34"/>
      <c r="AN2000" s="34"/>
      <c r="AO2000" s="34"/>
      <c r="AP2000" s="34"/>
      <c r="AQ2000" s="34"/>
      <c r="AR2000" s="34"/>
      <c r="AS2000" s="34"/>
      <c r="AT2000" s="34"/>
      <c r="AU2000" s="34"/>
      <c r="AV2000" s="34"/>
      <c r="AW2000" s="34"/>
      <c r="AX2000" s="34"/>
      <c r="AY2000" s="34"/>
      <c r="AZ2000" s="34"/>
      <c r="BA2000" s="34"/>
      <c r="BB2000" s="34"/>
      <c r="BC2000" s="34"/>
      <c r="BD2000" s="34"/>
      <c r="BE2000" s="34"/>
      <c r="BF2000" s="34"/>
      <c r="BG2000" s="34"/>
      <c r="BH2000" s="34"/>
      <c r="BI2000" s="34"/>
      <c r="BJ2000" s="34"/>
      <c r="BK2000" s="34"/>
      <c r="BL2000" s="34"/>
      <c r="BM2000" s="34"/>
      <c r="BN2000" s="34"/>
      <c r="BO2000" s="34"/>
      <c r="BP2000" s="34"/>
      <c r="BQ2000" s="34"/>
      <c r="BR2000" s="34"/>
      <c r="BS2000" s="34"/>
      <c r="BT2000" s="34"/>
      <c r="BU2000" s="34"/>
      <c r="BV2000" s="34"/>
      <c r="BW2000" s="34"/>
      <c r="BX2000" s="34"/>
      <c r="BY2000" s="34"/>
      <c r="BZ2000" s="34"/>
      <c r="CA2000" s="34"/>
      <c r="CB2000" s="34"/>
      <c r="CC2000" s="34"/>
      <c r="CD2000" s="34"/>
      <c r="CE2000" s="34"/>
      <c r="CF2000" s="34"/>
      <c r="CG2000" s="34"/>
      <c r="CH2000" s="34"/>
      <c r="CI2000" s="8"/>
    </row>
    <row r="2001" spans="1:87" x14ac:dyDescent="0.2">
      <c r="A2001" s="11" t="s">
        <v>17</v>
      </c>
      <c r="B2001" s="11"/>
      <c r="C2001" s="27" t="s">
        <v>18</v>
      </c>
      <c r="D2001" s="27" t="s">
        <v>2</v>
      </c>
      <c r="E2001" s="27" t="s">
        <v>6</v>
      </c>
      <c r="F2001" s="27" t="s">
        <v>15</v>
      </c>
      <c r="G2001" s="27" t="s">
        <v>36</v>
      </c>
      <c r="H2001" s="27" t="s">
        <v>37</v>
      </c>
      <c r="I2001" s="27" t="s">
        <v>38</v>
      </c>
      <c r="J2001" s="27" t="s">
        <v>39</v>
      </c>
      <c r="K2001" s="27" t="s">
        <v>40</v>
      </c>
      <c r="L2001" s="27" t="s">
        <v>41</v>
      </c>
      <c r="M2001" s="27" t="s">
        <v>42</v>
      </c>
      <c r="N2001" s="27" t="s">
        <v>43</v>
      </c>
      <c r="O2001" s="27" t="s">
        <v>9</v>
      </c>
      <c r="P2001" s="27" t="s">
        <v>12</v>
      </c>
      <c r="Q2001" s="27" t="s">
        <v>19</v>
      </c>
      <c r="R2001" s="27" t="s">
        <v>55</v>
      </c>
      <c r="S2001" s="27" t="s">
        <v>26</v>
      </c>
      <c r="T2001" s="19" t="s">
        <v>25</v>
      </c>
      <c r="U2001" s="33" t="s">
        <v>27</v>
      </c>
      <c r="V2001" s="33" t="s">
        <v>9</v>
      </c>
      <c r="W2001" s="33" t="s">
        <v>23</v>
      </c>
      <c r="X2001" s="33" t="s">
        <v>12</v>
      </c>
      <c r="Y2001" s="33" t="s">
        <v>26</v>
      </c>
      <c r="Z2001" s="33" t="s">
        <v>25</v>
      </c>
      <c r="AA2001" s="33" t="s">
        <v>27</v>
      </c>
      <c r="AB2001" s="33" t="s">
        <v>9</v>
      </c>
      <c r="AC2001" s="33" t="s">
        <v>23</v>
      </c>
      <c r="AD2001" s="33" t="s">
        <v>12</v>
      </c>
      <c r="AE2001" s="33" t="s">
        <v>26</v>
      </c>
      <c r="AF2001" s="33" t="s">
        <v>25</v>
      </c>
      <c r="AG2001" s="33" t="s">
        <v>27</v>
      </c>
      <c r="AH2001" s="33" t="s">
        <v>9</v>
      </c>
      <c r="AI2001" s="33" t="s">
        <v>23</v>
      </c>
      <c r="AJ2001" s="33" t="s">
        <v>12</v>
      </c>
      <c r="AK2001" s="33" t="s">
        <v>26</v>
      </c>
      <c r="AL2001" s="33" t="s">
        <v>25</v>
      </c>
      <c r="AM2001" s="33" t="s">
        <v>27</v>
      </c>
      <c r="AN2001" s="33" t="s">
        <v>9</v>
      </c>
      <c r="AO2001" s="33" t="s">
        <v>23</v>
      </c>
      <c r="AP2001" s="33" t="s">
        <v>12</v>
      </c>
      <c r="AQ2001" s="33" t="s">
        <v>26</v>
      </c>
      <c r="AR2001" s="33" t="s">
        <v>25</v>
      </c>
      <c r="AS2001" s="33" t="s">
        <v>27</v>
      </c>
      <c r="AT2001" s="33" t="s">
        <v>9</v>
      </c>
      <c r="AU2001" s="33" t="s">
        <v>23</v>
      </c>
      <c r="AV2001" s="33" t="s">
        <v>12</v>
      </c>
      <c r="AW2001" s="33" t="s">
        <v>26</v>
      </c>
      <c r="AX2001" s="33" t="s">
        <v>25</v>
      </c>
      <c r="AY2001" s="33" t="s">
        <v>27</v>
      </c>
      <c r="AZ2001" s="33" t="s">
        <v>9</v>
      </c>
      <c r="BA2001" s="33" t="s">
        <v>23</v>
      </c>
      <c r="BB2001" s="33" t="s">
        <v>12</v>
      </c>
      <c r="BC2001" s="33" t="s">
        <v>26</v>
      </c>
      <c r="BD2001" s="33" t="s">
        <v>25</v>
      </c>
      <c r="BE2001" s="33" t="s">
        <v>27</v>
      </c>
      <c r="BF2001" s="33" t="s">
        <v>9</v>
      </c>
      <c r="BG2001" s="33" t="s">
        <v>23</v>
      </c>
      <c r="BH2001" s="33" t="s">
        <v>12</v>
      </c>
      <c r="BI2001" s="33" t="s">
        <v>26</v>
      </c>
      <c r="BJ2001" s="33" t="s">
        <v>25</v>
      </c>
      <c r="BK2001" s="33" t="s">
        <v>27</v>
      </c>
      <c r="BL2001" s="33" t="s">
        <v>9</v>
      </c>
      <c r="BM2001" s="33" t="s">
        <v>23</v>
      </c>
      <c r="BN2001" s="33" t="s">
        <v>12</v>
      </c>
      <c r="BO2001" s="33" t="s">
        <v>26</v>
      </c>
      <c r="BP2001" s="33" t="s">
        <v>25</v>
      </c>
      <c r="BQ2001" s="33" t="s">
        <v>27</v>
      </c>
      <c r="BR2001" s="33" t="s">
        <v>9</v>
      </c>
      <c r="BS2001" s="33" t="s">
        <v>23</v>
      </c>
      <c r="BT2001" s="33" t="s">
        <v>12</v>
      </c>
      <c r="BU2001" s="33" t="s">
        <v>26</v>
      </c>
      <c r="BV2001" s="33" t="s">
        <v>25</v>
      </c>
      <c r="BW2001" s="33" t="s">
        <v>27</v>
      </c>
      <c r="BX2001" s="33" t="s">
        <v>9</v>
      </c>
      <c r="BY2001" s="33" t="s">
        <v>23</v>
      </c>
      <c r="BZ2001" s="33" t="s">
        <v>12</v>
      </c>
      <c r="CA2001" s="33" t="s">
        <v>26</v>
      </c>
      <c r="CB2001" s="33" t="s">
        <v>25</v>
      </c>
      <c r="CC2001" s="33" t="s">
        <v>27</v>
      </c>
      <c r="CD2001" s="33" t="s">
        <v>9</v>
      </c>
      <c r="CE2001" s="33" t="s">
        <v>23</v>
      </c>
      <c r="CF2001" s="33" t="s">
        <v>12</v>
      </c>
      <c r="CG2001" s="33" t="s">
        <v>26</v>
      </c>
      <c r="CH2001" s="33" t="s">
        <v>25</v>
      </c>
      <c r="CI2001" s="8"/>
    </row>
    <row r="2002" spans="1:87" x14ac:dyDescent="0.2">
      <c r="A2002" s="8" t="str">
        <f>IF(AND(COUNTIF(W$3:W$13,A$15)&gt;0,A$15&lt;&gt;B1816),A$15,IFERROR(IF(MATCH(A$15,Z$3:Z$13,0)=9,A$15," ")," "))</f>
        <v xml:space="preserve"> </v>
      </c>
      <c r="B2002" s="8" t="str">
        <f>IF(A2002=" "," ",1)</f>
        <v xml:space="preserve"> </v>
      </c>
      <c r="C2002" s="8" t="str">
        <f>IFERROR(INDEX(A2002:A2023,MATCH(SMALL(B2002:B2023,1),B2002:B2023,0),1)," ")</f>
        <v>C3</v>
      </c>
      <c r="D2002" s="8">
        <f>IFERROR(VLOOKUP($C2002,$A$15:$O$36,2,FALSE)," ")</f>
        <v>2</v>
      </c>
      <c r="E2002" s="8">
        <f>IFERROR(VLOOKUP($C2002,$A$15:$O$36,3,FALSE)," ")</f>
        <v>5</v>
      </c>
      <c r="F2002" s="8">
        <f>IFERROR(VLOOKUP($C2002,$A$15:$O$36,4,FALSE)," ")</f>
        <v>6</v>
      </c>
      <c r="G2002" s="8">
        <f>IFERROR(VLOOKUP($C2002,$A$15:$O$36,5,FALSE)," ")</f>
        <v>0</v>
      </c>
      <c r="H2002" s="8">
        <f>IFERROR(VLOOKUP($C2002,$A$15:$O$36,6,FALSE)," ")</f>
        <v>0</v>
      </c>
      <c r="I2002" s="8">
        <f>IFERROR(VLOOKUP($C2002,$A$15:$O$36,7,FALSE)," ")</f>
        <v>0</v>
      </c>
      <c r="J2002" s="8">
        <f>IFERROR(VLOOKUP($C2002,$A$15:$O$36,8,FALSE)," ")</f>
        <v>0</v>
      </c>
      <c r="K2002" s="8">
        <f>IFERROR(VLOOKUP($C2002,$A$15:$O$36,9,FALSE)," ")</f>
        <v>0</v>
      </c>
      <c r="L2002" s="8">
        <f>IFERROR(VLOOKUP($C2002,$A$15:$O$36,10,FALSE)," ")</f>
        <v>0</v>
      </c>
      <c r="M2002" s="8">
        <f>IFERROR(VLOOKUP($C2002,$A$15:$O$36,11,FALSE)," ")</f>
        <v>0</v>
      </c>
      <c r="N2002" s="8">
        <f>IFERROR(VLOOKUP($C2002,$A$15:$O$36,12,FALSE)," ")</f>
        <v>0</v>
      </c>
      <c r="O2002" s="8">
        <f>IFERROR(VLOOKUP($C2002,$A$15:$O$36,15,FALSE)," ")</f>
        <v>2000</v>
      </c>
      <c r="P2002" s="8" t="e">
        <f t="array" ref="P2002:P2012">MMULT(MINVERSE(D2002:N2012),O2002:O2012)</f>
        <v>#NUM!</v>
      </c>
      <c r="Q2002" s="8" t="e">
        <f t="shared" ref="Q2002" si="8652">IF(COUNTIF(P2002:P2012,"&lt;"&amp;-0.001)=0,IF(ABS(P2002)&lt;0.001,0,P2002)," ")</f>
        <v>#NUM!</v>
      </c>
      <c r="R2002" s="8" t="str">
        <f>IFERROR(VLOOKUP(B1816,A$15:L$36,2,FALSE)*Q2002+VLOOKUP(B1816,A$15:L$36,3,FALSE)*Q2003+VLOOKUP(B1816,A$15:L$36,4,FALSE)*Q2004+VLOOKUP(B1816,A$15:L$36,5,FALSE)*Q2005+VLOOKUP(B1816,A$15:L$36,6,FALSE)*Q2006+VLOOKUP(B1816,A$15:L$36,7,FALSE)*Q2007+VLOOKUP(B1816,A$15:L$36,8,FALSE)*Q2008+VLOOKUP(B1816,A$15:L$36,9,FALSE)*Q2009+VLOOKUP(B1816,A$15:L$36,10,FALSE)*Q2010+VLOOKUP(B1816,A$15:L$36,11,FALSE)*Q2011+VLOOKUP(B1816,A$15:L$36,12,FALSE)*Q2012," ")</f>
        <v xml:space="preserve"> </v>
      </c>
      <c r="S2002" s="8" t="str">
        <f>IFERROR(IF(R2002-VLOOKUP(B1816,A$15:O$36,15,FALSE)&lt;0,R2002-VLOOKUP(B1816,A$15:O$36,15,FALSE)," ")," ")</f>
        <v xml:space="preserve"> </v>
      </c>
      <c r="T2002" s="18" t="str">
        <f>IFERROR(IF(R2002-VLOOKUP(B1816,A$15:O$36,15,FALSE)&gt;0,R2002-VLOOKUP(B1816,A$15:O$36,15,FALSE)," ")," ")</f>
        <v xml:space="preserve"> </v>
      </c>
      <c r="U2002" s="34">
        <f t="shared" ref="U2002" si="8653">$M$2</f>
        <v>100.00000000000001</v>
      </c>
      <c r="V2002" s="34">
        <v>-1</v>
      </c>
      <c r="W2002" s="34">
        <f t="shared" ref="W2002" si="8654">-SUMPRODUCT($M$3:$M$12,$N$3:$N$12)</f>
        <v>-105000</v>
      </c>
      <c r="X2002" s="34" t="e">
        <f t="shared" ref="X2002" si="8655">IF(U2002&lt;&gt;U2003,MMULT(MINVERSE(U2002:V2003),W2002:W2003)," ")</f>
        <v>#NUM!</v>
      </c>
      <c r="Y2002" s="34" t="str">
        <f t="shared" ref="Y2002" si="8656">IFERROR(IF(X2002-VLOOKUP(U$38,$A$2:$N$12,14,FALSE)&lt;0,X2002-VLOOKUP(U$38,$A$2:$N$12,14,FALSE)," ")," ")</f>
        <v xml:space="preserve"> </v>
      </c>
      <c r="Z2002" s="34" t="str">
        <f t="shared" ref="Z2002" si="8657">IFERROR(IF(X2002-VLOOKUP(U$38,$A$2:$N$12,14,FALSE)&gt;0,X2002-VLOOKUP(U$38,$A$2:$N$12,14,FALSE)," ")," ")</f>
        <v xml:space="preserve"> </v>
      </c>
      <c r="AA2002" s="34">
        <f t="shared" ref="AA2002" si="8658">$M$3</f>
        <v>0</v>
      </c>
      <c r="AB2002" s="34">
        <v>-1</v>
      </c>
      <c r="AC2002" s="34">
        <f t="shared" ref="AC2002" si="8659">-SUMPRODUCT($M$2:$M$2,$N$2:$N$2)-SUMPRODUCT($M$4:$M$12,$N$4:$N$12)</f>
        <v>-120000</v>
      </c>
      <c r="AD2002" s="34" t="e">
        <f t="shared" ref="AD2002" si="8660">IF(AA2002&lt;&gt;AA2003,MMULT(MINVERSE(AA2002:AB2003),AC2002:AC2003)," ")</f>
        <v>#NUM!</v>
      </c>
      <c r="AE2002" s="34" t="str">
        <f t="shared" ref="AE2002" si="8661">IFERROR(IF(AD2002-VLOOKUP(AA$38,$A$2:$N$12,14,FALSE)&lt;0,AD2002-VLOOKUP(AA$38,$A$2:$N$12,14,FALSE)," ")," ")</f>
        <v xml:space="preserve"> </v>
      </c>
      <c r="AF2002" s="34" t="str">
        <f t="shared" ref="AF2002" si="8662">IFERROR(IF(AD2002-VLOOKUP(AA$38,$A$2:$N$12,14,FALSE)&gt;0,AD2002-VLOOKUP(AA$38,$A$2:$N$12,14,FALSE)," ")," ")</f>
        <v xml:space="preserve"> </v>
      </c>
      <c r="AG2002" s="34">
        <f t="shared" ref="AG2002" si="8663">$M$4</f>
        <v>300</v>
      </c>
      <c r="AH2002" s="34">
        <v>-1</v>
      </c>
      <c r="AI2002" s="34">
        <f t="shared" ref="AI2002" si="8664">-SUMPRODUCT($M$2:$M$3,$N$2:$N$3)-SUMPRODUCT($M$5:$M$12,$N$5:$N$12)</f>
        <v>-15000.000000000002</v>
      </c>
      <c r="AJ2002" s="34" t="e">
        <f t="shared" ref="AJ2002" si="8665">IF(AG2002&lt;&gt;AG2003,MMULT(MINVERSE(AG2002:AH2003),AI2002:AI2003)," ")</f>
        <v>#NUM!</v>
      </c>
      <c r="AK2002" s="34" t="str">
        <f t="shared" ref="AK2002" si="8666">IFERROR(IF(AJ2002-VLOOKUP(AG$38,$A$2:$N$12,14,FALSE)&lt;0,AJ2002-VLOOKUP(AG$38,$A$2:$N$12,14,FALSE)," ")," ")</f>
        <v xml:space="preserve"> </v>
      </c>
      <c r="AL2002" s="34" t="str">
        <f t="shared" ref="AL2002" si="8667">IFERROR(IF(AJ2002-VLOOKUP(AG$38,$A$2:$N$12,14,FALSE)&gt;0,AJ2002-VLOOKUP(AG$38,$A$2:$N$12,14,FALSE)," ")," ")</f>
        <v xml:space="preserve"> </v>
      </c>
      <c r="AM2002" s="34">
        <f t="shared" ref="AM2002" si="8668">$M$5</f>
        <v>0</v>
      </c>
      <c r="AN2002" s="34">
        <v>-1</v>
      </c>
      <c r="AO2002" s="34">
        <f t="shared" ref="AO2002" si="8669">-SUMPRODUCT($M$2:$M$4,$N$2:$N$4)-SUMPRODUCT($M$6:$M$12,$N$6:$N$12)</f>
        <v>-120000</v>
      </c>
      <c r="AP2002" s="34" t="e">
        <f t="shared" ref="AP2002" si="8670">IF(AM2002&lt;&gt;AM2003,MMULT(MINVERSE(AM2002:AN2003),AO2002:AO2003)," ")</f>
        <v>#NUM!</v>
      </c>
      <c r="AQ2002" s="34" t="str">
        <f t="shared" ref="AQ2002" si="8671">IFERROR(IF(AP2002-VLOOKUP(AM$38,$A$2:$N$12,14,FALSE)&lt;0,AP2002-VLOOKUP(AM$38,$A$2:$N$12,14,FALSE)," ")," ")</f>
        <v xml:space="preserve"> </v>
      </c>
      <c r="AR2002" s="34" t="str">
        <f t="shared" ref="AR2002" si="8672">IFERROR(IF(AP2002-VLOOKUP(AM$38,$A$2:$N$12,14,FALSE)&gt;0,AP2002-VLOOKUP(AM$38,$A$2:$N$12,14,FALSE)," ")," ")</f>
        <v xml:space="preserve"> </v>
      </c>
      <c r="AS2002" s="34">
        <f t="shared" ref="AS2002" si="8673">$M$6</f>
        <v>0</v>
      </c>
      <c r="AT2002" s="34">
        <v>-1</v>
      </c>
      <c r="AU2002" s="34">
        <f t="shared" ref="AU2002" si="8674">-SUMPRODUCT($M$2:$M$5,$N$2:$N$5)-SUMPRODUCT($M$7:$M$12,$N$7:$N$12)</f>
        <v>-120000</v>
      </c>
      <c r="AV2002" s="34" t="e">
        <f t="shared" ref="AV2002" si="8675">IF(AS2002&lt;&gt;AS2003,MMULT(MINVERSE(AS2002:AT2003),AU2002:AU2003)," ")</f>
        <v>#NUM!</v>
      </c>
      <c r="AW2002" s="34" t="str">
        <f t="shared" ref="AW2002" si="8676">IFERROR(IF(AV2002-VLOOKUP(AS$38,$A$2:$N$12,14,FALSE)&lt;0,AV2002-VLOOKUP(AS$38,$A$2:$N$12,14,FALSE)," ")," ")</f>
        <v xml:space="preserve"> </v>
      </c>
      <c r="AX2002" s="34" t="str">
        <f t="shared" ref="AX2002" si="8677">IFERROR(IF(AV2002-VLOOKUP(AS$38,$A$2:$N$12,14,FALSE)&gt;0,AV2002-VLOOKUP(AS$38,$A$2:$N$12,14,FALSE)," ")," ")</f>
        <v xml:space="preserve"> </v>
      </c>
      <c r="AY2002" s="34">
        <f t="shared" ref="AY2002" si="8678">$M$7</f>
        <v>0</v>
      </c>
      <c r="AZ2002" s="34">
        <v>-1</v>
      </c>
      <c r="BA2002" s="34">
        <f t="shared" ref="BA2002" si="8679">-SUMPRODUCT($M$2:$M$6,$N$2:$N$6)-SUMPRODUCT($M$8:$M$12,$N$8:$N$12)</f>
        <v>-120000</v>
      </c>
      <c r="BB2002" s="34" t="e">
        <f t="shared" ref="BB2002" si="8680">IF(AY2002&lt;&gt;AY2003,MMULT(MINVERSE(AY2002:AZ2003),BA2002:BA2003)," ")</f>
        <v>#NUM!</v>
      </c>
      <c r="BC2002" s="34" t="str">
        <f t="shared" ref="BC2002" si="8681">IFERROR(IF(BB2002-VLOOKUP(AY$38,$A$2:$N$12,14,FALSE)&lt;0,BB2002-VLOOKUP(AY$38,$A$2:$N$12,14,FALSE)," ")," ")</f>
        <v xml:space="preserve"> </v>
      </c>
      <c r="BD2002" s="34" t="str">
        <f t="shared" ref="BD2002" si="8682">IFERROR(IF(BB2002-VLOOKUP(AY$38,$A$2:$N$12,14,FALSE)&gt;0,BB2002-VLOOKUP(AY$38,$A$2:$N$12,14,FALSE)," ")," ")</f>
        <v xml:space="preserve"> </v>
      </c>
      <c r="BE2002" s="34">
        <f t="shared" ref="BE2002" si="8683">$M$8</f>
        <v>0</v>
      </c>
      <c r="BF2002" s="34">
        <v>-1</v>
      </c>
      <c r="BG2002" s="34">
        <f t="shared" ref="BG2002" si="8684">-SUMPRODUCT($M$2:$M$7,$N$2:$N$7)-SUMPRODUCT($M$9:$M$12,$N$9:$N$12)</f>
        <v>-120000</v>
      </c>
      <c r="BH2002" s="34" t="e">
        <f t="shared" ref="BH2002" si="8685">IF(BE2002&lt;&gt;BE2003,MMULT(MINVERSE(BE2002:BF2003),BG2002:BG2003)," ")</f>
        <v>#NUM!</v>
      </c>
      <c r="BI2002" s="34" t="str">
        <f t="shared" ref="BI2002" si="8686">IFERROR(IF(BH2002-VLOOKUP(BE$38,$A$2:$N$12,14,FALSE)&lt;0,BH2002-VLOOKUP(BE$38,$A$2:$N$12,14,FALSE)," ")," ")</f>
        <v xml:space="preserve"> </v>
      </c>
      <c r="BJ2002" s="34" t="str">
        <f t="shared" ref="BJ2002" si="8687">IFERROR(IF(BH2002-VLOOKUP(BE$38,$A$2:$N$12,14,FALSE)&gt;0,BH2002-VLOOKUP(BE$38,$A$2:$N$12,14,FALSE)," ")," ")</f>
        <v xml:space="preserve"> </v>
      </c>
      <c r="BK2002" s="34">
        <f t="shared" ref="BK2002" si="8688">$M$9</f>
        <v>0</v>
      </c>
      <c r="BL2002" s="34">
        <v>-1</v>
      </c>
      <c r="BM2002" s="34">
        <f t="shared" ref="BM2002" si="8689">-SUMPRODUCT($M$2:$M$8,$N$2:$N$8)-SUMPRODUCT($M$10:$M$12,$N$10:$N$12)</f>
        <v>-120000</v>
      </c>
      <c r="BN2002" s="34" t="e">
        <f t="shared" ref="BN2002" si="8690">IF(BK2002&lt;&gt;BK2003,MMULT(MINVERSE(BK2002:BL2003),BM2002:BM2003)," ")</f>
        <v>#NUM!</v>
      </c>
      <c r="BO2002" s="34" t="str">
        <f t="shared" ref="BO2002" si="8691">IFERROR(IF(BN2002-VLOOKUP(BK$38,$A$2:$N$12,14,FALSE)&lt;0,BN2002-VLOOKUP(BK$38,$A$2:$N$12,14,FALSE)," ")," ")</f>
        <v xml:space="preserve"> </v>
      </c>
      <c r="BP2002" s="34" t="str">
        <f t="shared" ref="BP2002" si="8692">IFERROR(IF(BN2002-VLOOKUP(BK$38,$A$2:$N$12,14,FALSE)&gt;0,BN2002-VLOOKUP(BK$38,$A$2:$N$12,14,FALSE)," ")," ")</f>
        <v xml:space="preserve"> </v>
      </c>
      <c r="BQ2002" s="34">
        <f t="shared" ref="BQ2002" si="8693">$M$10</f>
        <v>0</v>
      </c>
      <c r="BR2002" s="34">
        <v>-1</v>
      </c>
      <c r="BS2002" s="34">
        <f t="shared" ref="BS2002" si="8694">-SUMPRODUCT($M$2:$M$9,$N$2:$N$9)-SUMPRODUCT($M$11:$M$12,$N$11:$N$12)</f>
        <v>-120000</v>
      </c>
      <c r="BT2002" s="34" t="e">
        <f t="shared" ref="BT2002" si="8695">IF(BQ2002&lt;&gt;BQ2003,MMULT(MINVERSE(BQ2002:BR2003),BS2002:BS2003)," ")</f>
        <v>#NUM!</v>
      </c>
      <c r="BU2002" s="34" t="str">
        <f t="shared" ref="BU2002" si="8696">IFERROR(IF(BT2002-VLOOKUP(BQ$38,$A$2:$N$12,14,FALSE)&lt;0,BT2002-VLOOKUP(BQ$38,$A$2:$N$12,14,FALSE)," ")," ")</f>
        <v xml:space="preserve"> </v>
      </c>
      <c r="BV2002" s="34" t="str">
        <f t="shared" ref="BV2002" si="8697">IFERROR(IF(BT2002-VLOOKUP(BQ$38,$A$2:$N$12,14,FALSE)&gt;0,BT2002-VLOOKUP(BQ$38,$A$2:$N$12,14,FALSE)," ")," ")</f>
        <v xml:space="preserve"> </v>
      </c>
      <c r="BW2002" s="34">
        <f t="shared" ref="BW2002" si="8698">$M$11</f>
        <v>0</v>
      </c>
      <c r="BX2002" s="34">
        <v>-1</v>
      </c>
      <c r="BY2002" s="34">
        <f t="shared" ref="BY2002" si="8699">-SUMPRODUCT($M$2:$M$10,$N$2:$N$10)-SUMPRODUCT($M$12,$N$12)</f>
        <v>-120000</v>
      </c>
      <c r="BZ2002" s="34" t="e">
        <f t="shared" ref="BZ2002" si="8700">IF(BW2002&lt;&gt;BW2003,MMULT(MINVERSE(BW2002:BX2003),BY2002:BY2003)," ")</f>
        <v>#NUM!</v>
      </c>
      <c r="CA2002" s="34" t="str">
        <f t="shared" ref="CA2002" si="8701">IFERROR(IF(BZ2002-VLOOKUP(BW$38,$A$2:$N$12,14,FALSE)&lt;0,BZ2002-VLOOKUP(BW$38,$A$2:$N$12,14,FALSE)," ")," ")</f>
        <v xml:space="preserve"> </v>
      </c>
      <c r="CB2002" s="34" t="str">
        <f t="shared" ref="CB2002" si="8702">IFERROR(IF(BZ2002-VLOOKUP(BW$38,$A$2:$N$12,14,FALSE)&gt;0,BZ2002-VLOOKUP(BW$38,$A$2:$N$12,14,FALSE)," ")," ")</f>
        <v xml:space="preserve"> </v>
      </c>
      <c r="CC2002" s="34">
        <f t="shared" ref="CC2002" si="8703">$M$12</f>
        <v>0</v>
      </c>
      <c r="CD2002" s="34">
        <v>-1</v>
      </c>
      <c r="CE2002" s="34">
        <f t="shared" ref="CE2002" si="8704">-SUMPRODUCT($M$2:$M$11,$N$2:$N$11)</f>
        <v>-120000</v>
      </c>
      <c r="CF2002" s="34" t="e">
        <f t="shared" ref="CF2002" si="8705">IF(CC2002&lt;&gt;CC2003,MMULT(MINVERSE(CC2002:CD2003),CE2002:CE2003)," ")</f>
        <v>#NUM!</v>
      </c>
      <c r="CG2002" s="34" t="str">
        <f t="shared" ref="CG2002" si="8706">IFERROR(IF(CF2002-VLOOKUP(CC$38,$A$2:$N$12,14,FALSE)&lt;0,CF2002-VLOOKUP(CC$38,$A$2:$N$12,14,FALSE)," ")," ")</f>
        <v xml:space="preserve"> </v>
      </c>
      <c r="CH2002" s="34" t="str">
        <f t="shared" ref="CH2002" si="8707">IFERROR(IF(CF2002-VLOOKUP(CC$38,$A$2:$N$12,14,FALSE)&gt;0,CF2002-VLOOKUP(CC$38,$A$2:$N$12,14,FALSE)," ")," ")</f>
        <v xml:space="preserve"> </v>
      </c>
      <c r="CI2002" s="8"/>
    </row>
    <row r="2003" spans="1:87" x14ac:dyDescent="0.2">
      <c r="A2003" s="8" t="str">
        <f>IF(AND(COUNTIF(W$3:W$13,A$16)&gt;0,A$16&lt;&gt;B1816),A$16,IFERROR(IF(MATCH(A$16,Z$3:Z$13,0)=9,A$16," ")," "))</f>
        <v xml:space="preserve"> </v>
      </c>
      <c r="B2003" s="8" t="str">
        <f>IF(A2003=" "," ",MAX(B2002:B2002)+1)</f>
        <v xml:space="preserve"> </v>
      </c>
      <c r="C2003" s="8" t="str">
        <f>IFERROR(INDEX(A2002:A2023,MATCH(SMALL(B2002:B2023,2),B2002:B2023,0),1)," ")</f>
        <v>C4</v>
      </c>
      <c r="D2003" s="8">
        <f t="shared" ref="D2003:D2012" si="8708">IFERROR(VLOOKUP($C2003,$A$15:$O$36,2,FALSE)," ")</f>
        <v>1</v>
      </c>
      <c r="E2003" s="8">
        <f t="shared" ref="E2003:E2012" si="8709">IFERROR(VLOOKUP($C2003,$A$15:$O$36,3,FALSE)," ")</f>
        <v>0</v>
      </c>
      <c r="F2003" s="8">
        <f t="shared" ref="F2003:F2012" si="8710">IFERROR(VLOOKUP($C2003,$A$15:$O$36,4,FALSE)," ")</f>
        <v>1</v>
      </c>
      <c r="G2003" s="8">
        <f t="shared" ref="G2003:G2012" si="8711">IFERROR(VLOOKUP($C2003,$A$15:$O$36,5,FALSE)," ")</f>
        <v>0</v>
      </c>
      <c r="H2003" s="8">
        <f t="shared" ref="H2003:H2012" si="8712">IFERROR(VLOOKUP($C2003,$A$15:$O$36,6,FALSE)," ")</f>
        <v>0</v>
      </c>
      <c r="I2003" s="8">
        <f t="shared" ref="I2003:I2012" si="8713">IFERROR(VLOOKUP($C2003,$A$15:$O$36,7,FALSE)," ")</f>
        <v>0</v>
      </c>
      <c r="J2003" s="8">
        <f t="shared" ref="J2003:J2012" si="8714">IFERROR(VLOOKUP($C2003,$A$15:$O$36,8,FALSE)," ")</f>
        <v>0</v>
      </c>
      <c r="K2003" s="8">
        <f t="shared" ref="K2003:K2012" si="8715">IFERROR(VLOOKUP($C2003,$A$15:$O$36,9,FALSE)," ")</f>
        <v>0</v>
      </c>
      <c r="L2003" s="8">
        <f t="shared" ref="L2003:L2012" si="8716">IFERROR(VLOOKUP($C2003,$A$15:$O$36,10,FALSE)," ")</f>
        <v>0</v>
      </c>
      <c r="M2003" s="8">
        <f t="shared" ref="M2003:M2012" si="8717">IFERROR(VLOOKUP($C2003,$A$15:$O$36,11,FALSE)," ")</f>
        <v>0</v>
      </c>
      <c r="N2003" s="8">
        <f t="shared" ref="N2003:N2012" si="8718">IFERROR(VLOOKUP($C2003,$A$15:$O$36,12,FALSE)," ")</f>
        <v>0</v>
      </c>
      <c r="O2003" s="8">
        <f t="shared" ref="O2003:O2012" si="8719">IFERROR(VLOOKUP($C2003,$A$15:$O$36,15,FALSE)," ")</f>
        <v>400</v>
      </c>
      <c r="P2003" s="8" t="e">
        <v>#NUM!</v>
      </c>
      <c r="Q2003" s="8" t="e">
        <f t="shared" ref="Q2003" si="8720">IF(COUNTIF(P2002:P2012,"&lt;"&amp;-0.001)=0,IF(ABS(P2003)&lt;0.001,0,P2003)," ")</f>
        <v>#NUM!</v>
      </c>
      <c r="R2003" s="8"/>
      <c r="S2003" s="8"/>
      <c r="U2003" s="34" t="e">
        <f t="shared" ref="U2003" si="8721">$Q2002</f>
        <v>#NUM!</v>
      </c>
      <c r="V2003" s="34">
        <v>-1</v>
      </c>
      <c r="W2003" s="34" t="e">
        <f t="shared" ref="W2003" si="8722">-SUMPRODUCT($Q2003:$Q2012,$N$3:$N$12)</f>
        <v>#NUM!</v>
      </c>
      <c r="X2003" s="34"/>
      <c r="Y2003" s="34"/>
      <c r="Z2003" s="34"/>
      <c r="AA2003" s="34" t="e">
        <f t="shared" ref="AA2003" si="8723">$Q2003</f>
        <v>#NUM!</v>
      </c>
      <c r="AB2003" s="34">
        <v>-1</v>
      </c>
      <c r="AC2003" s="34" t="e">
        <f t="shared" ref="AC2003" si="8724">-SUMPRODUCT($Q2002:$Q2002,$N$2:$N$2)-SUMPRODUCT($Q2004:$Q2012,$N$4:$N$12)</f>
        <v>#NUM!</v>
      </c>
      <c r="AD2003" s="34"/>
      <c r="AE2003" s="34"/>
      <c r="AF2003" s="34"/>
      <c r="AG2003" s="34" t="e">
        <f t="shared" ref="AG2003" si="8725">$Q2004</f>
        <v>#NUM!</v>
      </c>
      <c r="AH2003" s="34">
        <v>-1</v>
      </c>
      <c r="AI2003" s="34" t="e">
        <f t="shared" ref="AI2003" si="8726">-SUMPRODUCT($Q2002:$Q2003,$N$2:$N$3)-SUMPRODUCT($Q2005:$Q2012,$N$5:$N$12)</f>
        <v>#NUM!</v>
      </c>
      <c r="AJ2003" s="34"/>
      <c r="AK2003" s="34"/>
      <c r="AL2003" s="34"/>
      <c r="AM2003" s="34" t="e">
        <f t="shared" ref="AM2003" si="8727">$Q2005</f>
        <v>#NUM!</v>
      </c>
      <c r="AN2003" s="34">
        <v>-1</v>
      </c>
      <c r="AO2003" s="34" t="e">
        <f t="shared" ref="AO2003" si="8728">-SUMPRODUCT($Q2002:$Q2004,$N$2:$N$4)-SUMPRODUCT($Q2006:$Q2012,$N$6:$N$12)</f>
        <v>#NUM!</v>
      </c>
      <c r="AP2003" s="34"/>
      <c r="AQ2003" s="34"/>
      <c r="AR2003" s="34"/>
      <c r="AS2003" s="34" t="e">
        <f t="shared" ref="AS2003" si="8729">$Q2006</f>
        <v>#NUM!</v>
      </c>
      <c r="AT2003" s="34">
        <v>-1</v>
      </c>
      <c r="AU2003" s="34" t="e">
        <f t="shared" ref="AU2003" si="8730">-SUMPRODUCT($Q2002:$Q2005,$N$2:$N$5)-SUMPRODUCT($Q2007:$Q2012,$N$7:$N$12)</f>
        <v>#NUM!</v>
      </c>
      <c r="AV2003" s="34"/>
      <c r="AW2003" s="34"/>
      <c r="AX2003" s="34"/>
      <c r="AY2003" s="34" t="e">
        <f t="shared" ref="AY2003" si="8731">$Q2007</f>
        <v>#NUM!</v>
      </c>
      <c r="AZ2003" s="34">
        <v>-1</v>
      </c>
      <c r="BA2003" s="34" t="e">
        <f t="shared" ref="BA2003" si="8732">-SUMPRODUCT($Q2002:$Q2006,$N$2:$N$6)-SUMPRODUCT($Q2008:$Q2012,$N$8:$N$12)</f>
        <v>#NUM!</v>
      </c>
      <c r="BB2003" s="34"/>
      <c r="BC2003" s="34"/>
      <c r="BD2003" s="34"/>
      <c r="BE2003" s="34" t="e">
        <f t="shared" ref="BE2003" si="8733">$Q2008</f>
        <v>#NUM!</v>
      </c>
      <c r="BF2003" s="34">
        <v>-1</v>
      </c>
      <c r="BG2003" s="34" t="e">
        <f t="shared" ref="BG2003" si="8734">-SUMPRODUCT($Q2002:$Q2007,$N$2:$N$7)-SUMPRODUCT($Q2009:$Q2012,$N$9:$N$12)</f>
        <v>#NUM!</v>
      </c>
      <c r="BH2003" s="34"/>
      <c r="BI2003" s="34"/>
      <c r="BJ2003" s="34"/>
      <c r="BK2003" s="34" t="e">
        <f t="shared" ref="BK2003" si="8735">$Q2009</f>
        <v>#NUM!</v>
      </c>
      <c r="BL2003" s="34">
        <v>-1</v>
      </c>
      <c r="BM2003" s="34" t="e">
        <f t="shared" ref="BM2003" si="8736">-SUMPRODUCT($Q2002:$Q2008,$N$2:$N$8)-SUMPRODUCT($Q2010:$Q2012,$N$10:$N$12)</f>
        <v>#NUM!</v>
      </c>
      <c r="BN2003" s="34"/>
      <c r="BO2003" s="34"/>
      <c r="BP2003" s="34"/>
      <c r="BQ2003" s="34" t="e">
        <f t="shared" ref="BQ2003" si="8737">$Q2010</f>
        <v>#NUM!</v>
      </c>
      <c r="BR2003" s="34">
        <v>-1</v>
      </c>
      <c r="BS2003" s="34" t="e">
        <f t="shared" ref="BS2003" si="8738">-SUMPRODUCT($Q2002:$Q2009,$N$2:$N$9)-SUMPRODUCT($Q2011:$Q2012,$N$11:$N$12)</f>
        <v>#NUM!</v>
      </c>
      <c r="BT2003" s="34"/>
      <c r="BU2003" s="34"/>
      <c r="BV2003" s="34"/>
      <c r="BW2003" s="34" t="e">
        <f t="shared" ref="BW2003" si="8739">$Q2011</f>
        <v>#NUM!</v>
      </c>
      <c r="BX2003" s="34">
        <v>-1</v>
      </c>
      <c r="BY2003" s="34" t="e">
        <f t="shared" ref="BY2003" si="8740">-SUMPRODUCT($Q2002:$Q2010,$N$2:$N$10)-SUMPRODUCT($Q2012,$N$12)</f>
        <v>#NUM!</v>
      </c>
      <c r="BZ2003" s="34"/>
      <c r="CA2003" s="34"/>
      <c r="CB2003" s="34"/>
      <c r="CC2003" s="34" t="e">
        <f t="shared" ref="CC2003" si="8741">$Q2012</f>
        <v>#NUM!</v>
      </c>
      <c r="CD2003" s="34">
        <v>-1</v>
      </c>
      <c r="CE2003" s="34" t="e">
        <f t="shared" ref="CE2003" si="8742">-SUMPRODUCT($Q2002:$Q2011,$N$2:$N$11)</f>
        <v>#NUM!</v>
      </c>
      <c r="CF2003" s="34"/>
      <c r="CG2003" s="34"/>
      <c r="CH2003" s="34"/>
      <c r="CI2003" s="8"/>
    </row>
    <row r="2004" spans="1:87" x14ac:dyDescent="0.2">
      <c r="A2004" s="8" t="str">
        <f>IF(AND(COUNTIF(W$3:W$13,A$17)&gt;0,A$17&lt;&gt;B1816),A$17,IFERROR(IF(MATCH(A$17,Z$3:Z$13,0)=9,A$17," ")," "))</f>
        <v>C3</v>
      </c>
      <c r="B2004" s="8">
        <f>IF(A2004=" "," ",MAX(B2002:B2003)+1)</f>
        <v>1</v>
      </c>
      <c r="C2004" s="8" t="str">
        <f>IFERROR(INDEX(A2002:A2023,MATCH(SMALL(B2002:B2023,3),B2002:B2023,0),1)," ")</f>
        <v>C11</v>
      </c>
      <c r="D2004" s="8">
        <f t="shared" si="8708"/>
        <v>0</v>
      </c>
      <c r="E2004" s="8">
        <f t="shared" si="8709"/>
        <v>0</v>
      </c>
      <c r="F2004" s="8">
        <f t="shared" si="8710"/>
        <v>0</v>
      </c>
      <c r="G2004" s="8">
        <f t="shared" si="8711"/>
        <v>0</v>
      </c>
      <c r="H2004" s="8">
        <f t="shared" si="8712"/>
        <v>0</v>
      </c>
      <c r="I2004" s="8">
        <f t="shared" si="8713"/>
        <v>0</v>
      </c>
      <c r="J2004" s="8">
        <f t="shared" si="8714"/>
        <v>0</v>
      </c>
      <c r="K2004" s="8">
        <f t="shared" si="8715"/>
        <v>0</v>
      </c>
      <c r="L2004" s="8">
        <f t="shared" si="8716"/>
        <v>0</v>
      </c>
      <c r="M2004" s="8">
        <f t="shared" si="8717"/>
        <v>0</v>
      </c>
      <c r="N2004" s="8">
        <f t="shared" si="8718"/>
        <v>0</v>
      </c>
      <c r="O2004" s="8">
        <f t="shared" si="8719"/>
        <v>0</v>
      </c>
      <c r="P2004" s="8" t="e">
        <v>#NUM!</v>
      </c>
      <c r="Q2004" s="8" t="e">
        <f t="shared" ref="Q2004" si="8743">IF(COUNTIF(P2002:P2012,"&lt;"&amp;-0.001)=0,IF(ABS(P2004)&lt;0.001,0,P2004)," ")</f>
        <v>#NUM!</v>
      </c>
      <c r="R2004" s="8"/>
      <c r="S2004" s="8"/>
      <c r="U2004" s="34"/>
      <c r="V2004" s="34"/>
      <c r="W2004" s="34"/>
      <c r="X2004" s="34"/>
      <c r="Y2004" s="34"/>
      <c r="Z2004" s="34"/>
      <c r="AA2004" s="34"/>
      <c r="AB2004" s="34"/>
      <c r="AC2004" s="34"/>
      <c r="AD2004" s="34"/>
      <c r="AE2004" s="34"/>
      <c r="AF2004" s="34"/>
      <c r="AG2004" s="34"/>
      <c r="AH2004" s="34"/>
      <c r="AI2004" s="34"/>
      <c r="AJ2004" s="34"/>
      <c r="AK2004" s="34"/>
      <c r="AL2004" s="34"/>
      <c r="AM2004" s="34"/>
      <c r="AN2004" s="34"/>
      <c r="AO2004" s="34"/>
      <c r="AP2004" s="34"/>
      <c r="AQ2004" s="34"/>
      <c r="AR2004" s="34"/>
      <c r="AS2004" s="34"/>
      <c r="AT2004" s="34"/>
      <c r="AU2004" s="34"/>
      <c r="AV2004" s="34"/>
      <c r="AW2004" s="34"/>
      <c r="AX2004" s="34"/>
      <c r="AY2004" s="34"/>
      <c r="AZ2004" s="34"/>
      <c r="BA2004" s="34"/>
      <c r="BB2004" s="34"/>
      <c r="BC2004" s="34"/>
      <c r="BD2004" s="34"/>
      <c r="BE2004" s="34"/>
      <c r="BF2004" s="34"/>
      <c r="BG2004" s="34"/>
      <c r="BH2004" s="34"/>
      <c r="BI2004" s="34"/>
      <c r="BJ2004" s="34"/>
      <c r="BK2004" s="34"/>
      <c r="BL2004" s="34"/>
      <c r="BM2004" s="34"/>
      <c r="BN2004" s="34"/>
      <c r="BO2004" s="34"/>
      <c r="BP2004" s="34"/>
      <c r="BQ2004" s="34"/>
      <c r="BR2004" s="34"/>
      <c r="BS2004" s="34"/>
      <c r="BT2004" s="34"/>
      <c r="BU2004" s="34"/>
      <c r="BV2004" s="34"/>
      <c r="BW2004" s="34"/>
      <c r="BX2004" s="34"/>
      <c r="BY2004" s="34"/>
      <c r="BZ2004" s="34"/>
      <c r="CA2004" s="34"/>
      <c r="CB2004" s="34"/>
      <c r="CC2004" s="34"/>
      <c r="CD2004" s="34"/>
      <c r="CE2004" s="34"/>
      <c r="CF2004" s="34"/>
      <c r="CG2004" s="34"/>
      <c r="CH2004" s="34"/>
      <c r="CI2004" s="8"/>
    </row>
    <row r="2005" spans="1:87" x14ac:dyDescent="0.2">
      <c r="A2005" s="8" t="str">
        <f>IF(AND(COUNTIF(W$3:W$13,A$18)&gt;0,A$18&lt;&gt;B1816),A$18,IFERROR(IF(MATCH(A$18,Z$3:Z$13,0)=9,A$18," ")," "))</f>
        <v>C4</v>
      </c>
      <c r="B2005" s="8">
        <f>IF(A2005=" "," ",MAX(B2002:B2004)+1)</f>
        <v>2</v>
      </c>
      <c r="C2005" s="8" t="str">
        <f>IFERROR(INDEX(A2002:A2023,MATCH(SMALL(B2002:B2023,4),B2002:B2023,0),1)," ")</f>
        <v>C13</v>
      </c>
      <c r="D2005" s="8">
        <f t="shared" si="8708"/>
        <v>0</v>
      </c>
      <c r="E2005" s="8">
        <f t="shared" si="8709"/>
        <v>1</v>
      </c>
      <c r="F2005" s="8">
        <f t="shared" si="8710"/>
        <v>0</v>
      </c>
      <c r="G2005" s="8">
        <f t="shared" si="8711"/>
        <v>0</v>
      </c>
      <c r="H2005" s="8">
        <f t="shared" si="8712"/>
        <v>0</v>
      </c>
      <c r="I2005" s="8">
        <f t="shared" si="8713"/>
        <v>0</v>
      </c>
      <c r="J2005" s="8">
        <f t="shared" si="8714"/>
        <v>0</v>
      </c>
      <c r="K2005" s="8">
        <f t="shared" si="8715"/>
        <v>0</v>
      </c>
      <c r="L2005" s="8">
        <f t="shared" si="8716"/>
        <v>0</v>
      </c>
      <c r="M2005" s="8">
        <f t="shared" si="8717"/>
        <v>0</v>
      </c>
      <c r="N2005" s="8">
        <f t="shared" si="8718"/>
        <v>0</v>
      </c>
      <c r="O2005" s="8">
        <f t="shared" si="8719"/>
        <v>0</v>
      </c>
      <c r="P2005" s="8" t="e">
        <v>#NUM!</v>
      </c>
      <c r="Q2005" s="8" t="e">
        <f t="shared" ref="Q2005" si="8744">IF(COUNTIF(P2002:P2012,"&lt;"&amp;-0.001)=0,IF(ABS(P2005)&lt;0.001,0,P2005)," ")</f>
        <v>#NUM!</v>
      </c>
      <c r="R2005" s="8"/>
      <c r="S2005" s="8"/>
      <c r="U2005" s="34"/>
      <c r="V2005" s="34"/>
      <c r="W2005" s="34"/>
      <c r="X2005" s="34"/>
      <c r="Y2005" s="34"/>
      <c r="Z2005" s="34"/>
      <c r="AA2005" s="34"/>
      <c r="AB2005" s="34"/>
      <c r="AC2005" s="34"/>
      <c r="AD2005" s="34"/>
      <c r="AE2005" s="34"/>
      <c r="AF2005" s="34"/>
      <c r="AG2005" s="34"/>
      <c r="AH2005" s="34"/>
      <c r="AI2005" s="34"/>
      <c r="AJ2005" s="34"/>
      <c r="AK2005" s="34"/>
      <c r="AL2005" s="34"/>
      <c r="AM2005" s="34"/>
      <c r="AN2005" s="34"/>
      <c r="AO2005" s="34"/>
      <c r="AP2005" s="34"/>
      <c r="AQ2005" s="34"/>
      <c r="AR2005" s="34"/>
      <c r="AS2005" s="34"/>
      <c r="AT2005" s="34"/>
      <c r="AU2005" s="34"/>
      <c r="AV2005" s="34"/>
      <c r="AW2005" s="34"/>
      <c r="AX2005" s="34"/>
      <c r="AY2005" s="34"/>
      <c r="AZ2005" s="34"/>
      <c r="BA2005" s="34"/>
      <c r="BB2005" s="34"/>
      <c r="BC2005" s="34"/>
      <c r="BD2005" s="34"/>
      <c r="BE2005" s="34"/>
      <c r="BF2005" s="34"/>
      <c r="BG2005" s="34"/>
      <c r="BH2005" s="34"/>
      <c r="BI2005" s="34"/>
      <c r="BJ2005" s="34"/>
      <c r="BK2005" s="34"/>
      <c r="BL2005" s="34"/>
      <c r="BM2005" s="34"/>
      <c r="BN2005" s="34"/>
      <c r="BO2005" s="34"/>
      <c r="BP2005" s="34"/>
      <c r="BQ2005" s="34"/>
      <c r="BR2005" s="34"/>
      <c r="BS2005" s="34"/>
      <c r="BT2005" s="34"/>
      <c r="BU2005" s="34"/>
      <c r="BV2005" s="34"/>
      <c r="BW2005" s="34"/>
      <c r="BX2005" s="34"/>
      <c r="BY2005" s="34"/>
      <c r="BZ2005" s="34"/>
      <c r="CA2005" s="34"/>
      <c r="CB2005" s="34"/>
      <c r="CC2005" s="34"/>
      <c r="CD2005" s="34"/>
      <c r="CE2005" s="34"/>
      <c r="CF2005" s="34"/>
      <c r="CG2005" s="34"/>
      <c r="CH2005" s="34"/>
      <c r="CI2005" s="8"/>
    </row>
    <row r="2006" spans="1:87" x14ac:dyDescent="0.2">
      <c r="A2006" s="8" t="str">
        <f>IF(AND(COUNTIF(W$3:W$13,A$19)&gt;0,A$19&lt;&gt;B1816),A$19,IFERROR(IF(MATCH(A$19,Z$3:Z$13,0)=9,A$19," ")," "))</f>
        <v xml:space="preserve"> </v>
      </c>
      <c r="B2006" s="8" t="str">
        <f>IF(A2006=" "," ",MAX(B2002:B2005)+1)</f>
        <v xml:space="preserve"> </v>
      </c>
      <c r="C2006" s="8" t="str">
        <f>IFERROR(INDEX(A2002:A2023,MATCH(SMALL(B2002:B2023,5),B2002:B2023,0),1)," ")</f>
        <v>C15</v>
      </c>
      <c r="D2006" s="8">
        <f t="shared" si="8708"/>
        <v>0</v>
      </c>
      <c r="E2006" s="8">
        <f t="shared" si="8709"/>
        <v>0</v>
      </c>
      <c r="F2006" s="8">
        <f t="shared" si="8710"/>
        <v>0</v>
      </c>
      <c r="G2006" s="8">
        <f t="shared" si="8711"/>
        <v>1</v>
      </c>
      <c r="H2006" s="8">
        <f t="shared" si="8712"/>
        <v>0</v>
      </c>
      <c r="I2006" s="8">
        <f t="shared" si="8713"/>
        <v>0</v>
      </c>
      <c r="J2006" s="8">
        <f t="shared" si="8714"/>
        <v>0</v>
      </c>
      <c r="K2006" s="8">
        <f t="shared" si="8715"/>
        <v>0</v>
      </c>
      <c r="L2006" s="8">
        <f t="shared" si="8716"/>
        <v>0</v>
      </c>
      <c r="M2006" s="8">
        <f t="shared" si="8717"/>
        <v>0</v>
      </c>
      <c r="N2006" s="8">
        <f t="shared" si="8718"/>
        <v>0</v>
      </c>
      <c r="O2006" s="8">
        <f t="shared" si="8719"/>
        <v>0</v>
      </c>
      <c r="P2006" s="8" t="e">
        <v>#NUM!</v>
      </c>
      <c r="Q2006" s="8" t="e">
        <f t="shared" ref="Q2006" si="8745">IF(COUNTIF(P2002:P2012,"&lt;"&amp;-0.001)=0,IF(ABS(P2006)&lt;0.001,0,P2006)," ")</f>
        <v>#NUM!</v>
      </c>
      <c r="R2006" s="8"/>
      <c r="S2006" s="8"/>
      <c r="U2006" s="34"/>
      <c r="V2006" s="34"/>
      <c r="W2006" s="34"/>
      <c r="X2006" s="34"/>
      <c r="Y2006" s="34"/>
      <c r="Z2006" s="34"/>
      <c r="AA2006" s="34"/>
      <c r="AB2006" s="34"/>
      <c r="AC2006" s="34"/>
      <c r="AD2006" s="34"/>
      <c r="AE2006" s="34"/>
      <c r="AF2006" s="34"/>
      <c r="AG2006" s="34"/>
      <c r="AH2006" s="34"/>
      <c r="AI2006" s="34"/>
      <c r="AJ2006" s="34"/>
      <c r="AK2006" s="34"/>
      <c r="AL2006" s="34"/>
      <c r="AM2006" s="34"/>
      <c r="AN2006" s="34"/>
      <c r="AO2006" s="34"/>
      <c r="AP2006" s="34"/>
      <c r="AQ2006" s="34"/>
      <c r="AR2006" s="34"/>
      <c r="AS2006" s="34"/>
      <c r="AT2006" s="34"/>
      <c r="AU2006" s="34"/>
      <c r="AV2006" s="34"/>
      <c r="AW2006" s="34"/>
      <c r="AX2006" s="34"/>
      <c r="AY2006" s="34"/>
      <c r="AZ2006" s="34"/>
      <c r="BA2006" s="34"/>
      <c r="BB2006" s="34"/>
      <c r="BC2006" s="34"/>
      <c r="BD2006" s="34"/>
      <c r="BE2006" s="34"/>
      <c r="BF2006" s="34"/>
      <c r="BG2006" s="34"/>
      <c r="BH2006" s="34"/>
      <c r="BI2006" s="34"/>
      <c r="BJ2006" s="34"/>
      <c r="BK2006" s="34"/>
      <c r="BL2006" s="34"/>
      <c r="BM2006" s="34"/>
      <c r="BN2006" s="34"/>
      <c r="BO2006" s="34"/>
      <c r="BP2006" s="34"/>
      <c r="BQ2006" s="34"/>
      <c r="BR2006" s="34"/>
      <c r="BS2006" s="34"/>
      <c r="BT2006" s="34"/>
      <c r="BU2006" s="34"/>
      <c r="BV2006" s="34"/>
      <c r="BW2006" s="34"/>
      <c r="BX2006" s="34"/>
      <c r="BY2006" s="34"/>
      <c r="BZ2006" s="34"/>
      <c r="CA2006" s="34"/>
      <c r="CB2006" s="34"/>
      <c r="CC2006" s="34"/>
      <c r="CD2006" s="34"/>
      <c r="CE2006" s="34"/>
      <c r="CF2006" s="34"/>
      <c r="CG2006" s="34"/>
      <c r="CH2006" s="34"/>
      <c r="CI2006" s="8"/>
    </row>
    <row r="2007" spans="1:87" x14ac:dyDescent="0.2">
      <c r="A2007" s="8" t="str">
        <f>IF(AND(COUNTIF(W$3:W$13,A$20)&gt;0,A$20&lt;&gt;B1816),A$20,IFERROR(IF(MATCH(A$20,Z$3:Z$13,0)=9,A$20," ")," "))</f>
        <v xml:space="preserve"> </v>
      </c>
      <c r="B2007" s="8" t="str">
        <f>IF(A2007=" "," ",MAX(B2002:B2006)+1)</f>
        <v xml:space="preserve"> </v>
      </c>
      <c r="C2007" s="8" t="str">
        <f>IFERROR(INDEX(A2002:A2023,MATCH(SMALL(B2002:B2023,6),B2002:B2023,0),1)," ")</f>
        <v>C16</v>
      </c>
      <c r="D2007" s="8">
        <f t="shared" si="8708"/>
        <v>0</v>
      </c>
      <c r="E2007" s="8">
        <f t="shared" si="8709"/>
        <v>0</v>
      </c>
      <c r="F2007" s="8">
        <f t="shared" si="8710"/>
        <v>0</v>
      </c>
      <c r="G2007" s="8">
        <f t="shared" si="8711"/>
        <v>0</v>
      </c>
      <c r="H2007" s="8">
        <f t="shared" si="8712"/>
        <v>1</v>
      </c>
      <c r="I2007" s="8">
        <f t="shared" si="8713"/>
        <v>0</v>
      </c>
      <c r="J2007" s="8">
        <f t="shared" si="8714"/>
        <v>0</v>
      </c>
      <c r="K2007" s="8">
        <f t="shared" si="8715"/>
        <v>0</v>
      </c>
      <c r="L2007" s="8">
        <f t="shared" si="8716"/>
        <v>0</v>
      </c>
      <c r="M2007" s="8">
        <f t="shared" si="8717"/>
        <v>0</v>
      </c>
      <c r="N2007" s="8">
        <f t="shared" si="8718"/>
        <v>0</v>
      </c>
      <c r="O2007" s="8">
        <f t="shared" si="8719"/>
        <v>0</v>
      </c>
      <c r="P2007" s="8" t="e">
        <v>#NUM!</v>
      </c>
      <c r="Q2007" s="8" t="e">
        <f t="shared" ref="Q2007" si="8746">IF(COUNTIF(P2002:P2012,"&lt;"&amp;-0.001)=0,IF(ABS(P2007)&lt;0.001,0,P2007)," ")</f>
        <v>#NUM!</v>
      </c>
      <c r="R2007" s="8"/>
      <c r="S2007" s="8"/>
      <c r="U2007" s="34"/>
      <c r="V2007" s="34"/>
      <c r="W2007" s="34"/>
      <c r="X2007" s="34"/>
      <c r="Y2007" s="34"/>
      <c r="Z2007" s="34"/>
      <c r="AA2007" s="34"/>
      <c r="AB2007" s="34"/>
      <c r="AC2007" s="34"/>
      <c r="AD2007" s="34"/>
      <c r="AE2007" s="34"/>
      <c r="AF2007" s="34"/>
      <c r="AG2007" s="34"/>
      <c r="AH2007" s="34"/>
      <c r="AI2007" s="34"/>
      <c r="AJ2007" s="34"/>
      <c r="AK2007" s="34"/>
      <c r="AL2007" s="34"/>
      <c r="AM2007" s="34"/>
      <c r="AN2007" s="34"/>
      <c r="AO2007" s="34"/>
      <c r="AP2007" s="34"/>
      <c r="AQ2007" s="34"/>
      <c r="AR2007" s="34"/>
      <c r="AS2007" s="34"/>
      <c r="AT2007" s="34"/>
      <c r="AU2007" s="34"/>
      <c r="AV2007" s="34"/>
      <c r="AW2007" s="34"/>
      <c r="AX2007" s="34"/>
      <c r="AY2007" s="34"/>
      <c r="AZ2007" s="34"/>
      <c r="BA2007" s="34"/>
      <c r="BB2007" s="34"/>
      <c r="BC2007" s="34"/>
      <c r="BD2007" s="34"/>
      <c r="BE2007" s="34"/>
      <c r="BF2007" s="34"/>
      <c r="BG2007" s="34"/>
      <c r="BH2007" s="34"/>
      <c r="BI2007" s="34"/>
      <c r="BJ2007" s="34"/>
      <c r="BK2007" s="34"/>
      <c r="BL2007" s="34"/>
      <c r="BM2007" s="34"/>
      <c r="BN2007" s="34"/>
      <c r="BO2007" s="34"/>
      <c r="BP2007" s="34"/>
      <c r="BQ2007" s="34"/>
      <c r="BR2007" s="34"/>
      <c r="BS2007" s="34"/>
      <c r="BT2007" s="34"/>
      <c r="BU2007" s="34"/>
      <c r="BV2007" s="34"/>
      <c r="BW2007" s="34"/>
      <c r="BX2007" s="34"/>
      <c r="BY2007" s="34"/>
      <c r="BZ2007" s="34"/>
      <c r="CA2007" s="34"/>
      <c r="CB2007" s="34"/>
      <c r="CC2007" s="34"/>
      <c r="CD2007" s="34"/>
      <c r="CE2007" s="34"/>
      <c r="CF2007" s="34"/>
      <c r="CG2007" s="34"/>
      <c r="CH2007" s="34"/>
      <c r="CI2007" s="8"/>
    </row>
    <row r="2008" spans="1:87" x14ac:dyDescent="0.2">
      <c r="A2008" s="8" t="str">
        <f>IF(AND(COUNTIF(W$3:W$13,A$21)&gt;0,A$21&lt;&gt;B1816),A$21,IFERROR(IF(MATCH(A$21,Z$3:Z$13,0)=9,A$21," ")," "))</f>
        <v xml:space="preserve"> </v>
      </c>
      <c r="B2008" s="8" t="str">
        <f>IF(A2008=" "," ",MAX(B2002:B2007)+1)</f>
        <v xml:space="preserve"> </v>
      </c>
      <c r="C2008" s="8" t="str">
        <f>IFERROR(INDEX(A2002:A2023,MATCH(SMALL(B2002:B2023,7),B2002:B2023,0),1)," ")</f>
        <v>C17</v>
      </c>
      <c r="D2008" s="8">
        <f t="shared" si="8708"/>
        <v>0</v>
      </c>
      <c r="E2008" s="8">
        <f t="shared" si="8709"/>
        <v>0</v>
      </c>
      <c r="F2008" s="8">
        <f t="shared" si="8710"/>
        <v>0</v>
      </c>
      <c r="G2008" s="8">
        <f t="shared" si="8711"/>
        <v>0</v>
      </c>
      <c r="H2008" s="8">
        <f t="shared" si="8712"/>
        <v>0</v>
      </c>
      <c r="I2008" s="8">
        <f t="shared" si="8713"/>
        <v>1</v>
      </c>
      <c r="J2008" s="8">
        <f t="shared" si="8714"/>
        <v>0</v>
      </c>
      <c r="K2008" s="8">
        <f t="shared" si="8715"/>
        <v>0</v>
      </c>
      <c r="L2008" s="8">
        <f t="shared" si="8716"/>
        <v>0</v>
      </c>
      <c r="M2008" s="8">
        <f t="shared" si="8717"/>
        <v>0</v>
      </c>
      <c r="N2008" s="8">
        <f t="shared" si="8718"/>
        <v>0</v>
      </c>
      <c r="O2008" s="8">
        <f t="shared" si="8719"/>
        <v>0</v>
      </c>
      <c r="P2008" s="8" t="e">
        <v>#NUM!</v>
      </c>
      <c r="Q2008" s="8" t="e">
        <f t="shared" ref="Q2008" si="8747">IF(COUNTIF(P2002:P2012,"&lt;"&amp;-0.001)=0,IF(ABS(P2008)&lt;0.001,0,P2008)," ")</f>
        <v>#NUM!</v>
      </c>
      <c r="R2008" s="8"/>
      <c r="S2008" s="8"/>
      <c r="U2008" s="34"/>
      <c r="V2008" s="34"/>
      <c r="W2008" s="34"/>
      <c r="X2008" s="34"/>
      <c r="Y2008" s="34"/>
      <c r="Z2008" s="34"/>
      <c r="AA2008" s="34"/>
      <c r="AB2008" s="34"/>
      <c r="AC2008" s="34"/>
      <c r="AD2008" s="34"/>
      <c r="AE2008" s="34"/>
      <c r="AF2008" s="34"/>
      <c r="AG2008" s="34"/>
      <c r="AH2008" s="34"/>
      <c r="AI2008" s="34"/>
      <c r="AJ2008" s="34"/>
      <c r="AK2008" s="34"/>
      <c r="AL2008" s="34"/>
      <c r="AM2008" s="34"/>
      <c r="AN2008" s="34"/>
      <c r="AO2008" s="34"/>
      <c r="AP2008" s="34"/>
      <c r="AQ2008" s="34"/>
      <c r="AR2008" s="34"/>
      <c r="AS2008" s="34"/>
      <c r="AT2008" s="34"/>
      <c r="AU2008" s="34"/>
      <c r="AV2008" s="34"/>
      <c r="AW2008" s="34"/>
      <c r="AX2008" s="34"/>
      <c r="AY2008" s="34"/>
      <c r="AZ2008" s="34"/>
      <c r="BA2008" s="34"/>
      <c r="BB2008" s="34"/>
      <c r="BC2008" s="34"/>
      <c r="BD2008" s="34"/>
      <c r="BE2008" s="34"/>
      <c r="BF2008" s="34"/>
      <c r="BG2008" s="34"/>
      <c r="BH2008" s="34"/>
      <c r="BI2008" s="34"/>
      <c r="BJ2008" s="34"/>
      <c r="BK2008" s="34"/>
      <c r="BL2008" s="34"/>
      <c r="BM2008" s="34"/>
      <c r="BN2008" s="34"/>
      <c r="BO2008" s="34"/>
      <c r="BP2008" s="34"/>
      <c r="BQ2008" s="34"/>
      <c r="BR2008" s="34"/>
      <c r="BS2008" s="34"/>
      <c r="BT2008" s="34"/>
      <c r="BU2008" s="34"/>
      <c r="BV2008" s="34"/>
      <c r="BW2008" s="34"/>
      <c r="BX2008" s="34"/>
      <c r="BY2008" s="34"/>
      <c r="BZ2008" s="34"/>
      <c r="CA2008" s="34"/>
      <c r="CB2008" s="34"/>
      <c r="CC2008" s="34"/>
      <c r="CD2008" s="34"/>
      <c r="CE2008" s="34"/>
      <c r="CF2008" s="34"/>
      <c r="CG2008" s="34"/>
      <c r="CH2008" s="34"/>
      <c r="CI2008" s="8"/>
    </row>
    <row r="2009" spans="1:87" x14ac:dyDescent="0.2">
      <c r="A2009" s="8" t="str">
        <f>IF(AND(COUNTIF(W$3:W$13,A$22)&gt;0,A$22&lt;&gt;B1816),A$22,IFERROR(IF(MATCH(A$22,Z$3:Z$13,0)=9,A$22," ")," "))</f>
        <v xml:space="preserve"> </v>
      </c>
      <c r="B2009" s="8" t="str">
        <f>IF(A2009=" "," ",MAX(B2002:B2008)+1)</f>
        <v xml:space="preserve"> </v>
      </c>
      <c r="C2009" s="8" t="str">
        <f>IFERROR(INDEX(A2002:A2023,MATCH(SMALL(B2002:B2023,8),B2002:B2023,0),1)," ")</f>
        <v>C18</v>
      </c>
      <c r="D2009" s="8">
        <f t="shared" si="8708"/>
        <v>0</v>
      </c>
      <c r="E2009" s="8">
        <f t="shared" si="8709"/>
        <v>0</v>
      </c>
      <c r="F2009" s="8">
        <f t="shared" si="8710"/>
        <v>0</v>
      </c>
      <c r="G2009" s="8">
        <f t="shared" si="8711"/>
        <v>0</v>
      </c>
      <c r="H2009" s="8">
        <f t="shared" si="8712"/>
        <v>0</v>
      </c>
      <c r="I2009" s="8">
        <f t="shared" si="8713"/>
        <v>0</v>
      </c>
      <c r="J2009" s="8">
        <f t="shared" si="8714"/>
        <v>1</v>
      </c>
      <c r="K2009" s="8">
        <f t="shared" si="8715"/>
        <v>0</v>
      </c>
      <c r="L2009" s="8">
        <f t="shared" si="8716"/>
        <v>0</v>
      </c>
      <c r="M2009" s="8">
        <f t="shared" si="8717"/>
        <v>0</v>
      </c>
      <c r="N2009" s="8">
        <f t="shared" si="8718"/>
        <v>0</v>
      </c>
      <c r="O2009" s="8">
        <f t="shared" si="8719"/>
        <v>0</v>
      </c>
      <c r="P2009" s="8" t="e">
        <v>#NUM!</v>
      </c>
      <c r="Q2009" s="8" t="e">
        <f t="shared" ref="Q2009" si="8748">IF(COUNTIF(P2002:P2012,"&lt;"&amp;-0.001)=0,IF(ABS(P2009)&lt;0.001,0,P2009)," ")</f>
        <v>#NUM!</v>
      </c>
      <c r="R2009" s="8"/>
      <c r="S2009" s="8"/>
      <c r="U2009" s="34"/>
      <c r="V2009" s="34"/>
      <c r="W2009" s="34"/>
      <c r="X2009" s="34"/>
      <c r="Y2009" s="34"/>
      <c r="Z2009" s="34"/>
      <c r="AA2009" s="34"/>
      <c r="AB2009" s="34"/>
      <c r="AC2009" s="34"/>
      <c r="AD2009" s="34"/>
      <c r="AE2009" s="34"/>
      <c r="AF2009" s="34"/>
      <c r="AG2009" s="34"/>
      <c r="AH2009" s="34"/>
      <c r="AI2009" s="34"/>
      <c r="AJ2009" s="34"/>
      <c r="AK2009" s="34"/>
      <c r="AL2009" s="34"/>
      <c r="AM2009" s="34"/>
      <c r="AN2009" s="34"/>
      <c r="AO2009" s="34"/>
      <c r="AP2009" s="34"/>
      <c r="AQ2009" s="34"/>
      <c r="AR2009" s="34"/>
      <c r="AS2009" s="34"/>
      <c r="AT2009" s="34"/>
      <c r="AU2009" s="34"/>
      <c r="AV2009" s="34"/>
      <c r="AW2009" s="34"/>
      <c r="AX2009" s="34"/>
      <c r="AY2009" s="34"/>
      <c r="AZ2009" s="34"/>
      <c r="BA2009" s="34"/>
      <c r="BB2009" s="34"/>
      <c r="BC2009" s="34"/>
      <c r="BD2009" s="34"/>
      <c r="BE2009" s="34"/>
      <c r="BF2009" s="34"/>
      <c r="BG2009" s="34"/>
      <c r="BH2009" s="34"/>
      <c r="BI2009" s="34"/>
      <c r="BJ2009" s="34"/>
      <c r="BK2009" s="34"/>
      <c r="BL2009" s="34"/>
      <c r="BM2009" s="34"/>
      <c r="BN2009" s="34"/>
      <c r="BO2009" s="34"/>
      <c r="BP2009" s="34"/>
      <c r="BQ2009" s="34"/>
      <c r="BR2009" s="34"/>
      <c r="BS2009" s="34"/>
      <c r="BT2009" s="34"/>
      <c r="BU2009" s="34"/>
      <c r="BV2009" s="34"/>
      <c r="BW2009" s="34"/>
      <c r="BX2009" s="34"/>
      <c r="BY2009" s="34"/>
      <c r="BZ2009" s="34"/>
      <c r="CA2009" s="34"/>
      <c r="CB2009" s="34"/>
      <c r="CC2009" s="34"/>
      <c r="CD2009" s="34"/>
      <c r="CE2009" s="34"/>
      <c r="CF2009" s="34"/>
      <c r="CG2009" s="34"/>
      <c r="CH2009" s="34"/>
      <c r="CI2009" s="8"/>
    </row>
    <row r="2010" spans="1:87" x14ac:dyDescent="0.2">
      <c r="A2010" s="8" t="str">
        <f>IF(AND(COUNTIF(W$3:W$13,A$23)&gt;0,A$23&lt;&gt;B1816),A$23,IFERROR(IF(MATCH(A$23,Z$3:Z$13,0)=9,A$23," ")," "))</f>
        <v xml:space="preserve"> </v>
      </c>
      <c r="B2010" s="8" t="str">
        <f>IF(A2010=" "," ",MAX(B2002:B2009)+1)</f>
        <v xml:space="preserve"> </v>
      </c>
      <c r="C2010" s="8" t="str">
        <f>IFERROR(INDEX(A2002:A2023,MATCH(SMALL(B2002:B2023,9),B2002:B2023,0),1)," ")</f>
        <v>C20</v>
      </c>
      <c r="D2010" s="8">
        <f t="shared" si="8708"/>
        <v>0</v>
      </c>
      <c r="E2010" s="8">
        <f t="shared" si="8709"/>
        <v>0</v>
      </c>
      <c r="F2010" s="8">
        <f t="shared" si="8710"/>
        <v>0</v>
      </c>
      <c r="G2010" s="8">
        <f t="shared" si="8711"/>
        <v>0</v>
      </c>
      <c r="H2010" s="8">
        <f t="shared" si="8712"/>
        <v>0</v>
      </c>
      <c r="I2010" s="8">
        <f t="shared" si="8713"/>
        <v>0</v>
      </c>
      <c r="J2010" s="8">
        <f t="shared" si="8714"/>
        <v>0</v>
      </c>
      <c r="K2010" s="8">
        <f t="shared" si="8715"/>
        <v>0</v>
      </c>
      <c r="L2010" s="8">
        <f t="shared" si="8716"/>
        <v>1</v>
      </c>
      <c r="M2010" s="8">
        <f t="shared" si="8717"/>
        <v>0</v>
      </c>
      <c r="N2010" s="8">
        <f t="shared" si="8718"/>
        <v>0</v>
      </c>
      <c r="O2010" s="8">
        <f t="shared" si="8719"/>
        <v>0</v>
      </c>
      <c r="P2010" s="6" t="e">
        <v>#NUM!</v>
      </c>
      <c r="Q2010" s="8" t="e">
        <f t="shared" ref="Q2010" si="8749">IF(COUNTIF(P2002:P2012,"&lt;"&amp;-0.001)=0,IF(ABS(P2010)&lt;0.001,0,P2010)," ")</f>
        <v>#NUM!</v>
      </c>
      <c r="R2010" s="8"/>
      <c r="S2010" s="8"/>
      <c r="U2010" s="34"/>
      <c r="V2010" s="34"/>
      <c r="W2010" s="34"/>
      <c r="X2010" s="34"/>
      <c r="Y2010" s="34"/>
      <c r="Z2010" s="34"/>
      <c r="AA2010" s="34"/>
      <c r="AB2010" s="34"/>
      <c r="AC2010" s="34"/>
      <c r="AD2010" s="34"/>
      <c r="AE2010" s="34"/>
      <c r="AF2010" s="34"/>
      <c r="AG2010" s="34"/>
      <c r="AH2010" s="34"/>
      <c r="AI2010" s="34"/>
      <c r="AJ2010" s="34"/>
      <c r="AK2010" s="34"/>
      <c r="AL2010" s="34"/>
      <c r="AM2010" s="34"/>
      <c r="AN2010" s="34"/>
      <c r="AO2010" s="34"/>
      <c r="AP2010" s="34"/>
      <c r="AQ2010" s="34"/>
      <c r="AR2010" s="34"/>
      <c r="AS2010" s="34"/>
      <c r="AT2010" s="34"/>
      <c r="AU2010" s="34"/>
      <c r="AV2010" s="34"/>
      <c r="AW2010" s="34"/>
      <c r="AX2010" s="34"/>
      <c r="AY2010" s="34"/>
      <c r="AZ2010" s="34"/>
      <c r="BA2010" s="34"/>
      <c r="BB2010" s="34"/>
      <c r="BC2010" s="34"/>
      <c r="BD2010" s="34"/>
      <c r="BE2010" s="34"/>
      <c r="BF2010" s="34"/>
      <c r="BG2010" s="34"/>
      <c r="BH2010" s="34"/>
      <c r="BI2010" s="34"/>
      <c r="BJ2010" s="34"/>
      <c r="BK2010" s="34"/>
      <c r="BL2010" s="34"/>
      <c r="BM2010" s="34"/>
      <c r="BN2010" s="34"/>
      <c r="BO2010" s="34"/>
      <c r="BP2010" s="34"/>
      <c r="BQ2010" s="34"/>
      <c r="BR2010" s="34"/>
      <c r="BS2010" s="34"/>
      <c r="BT2010" s="34"/>
      <c r="BU2010" s="34"/>
      <c r="BV2010" s="34"/>
      <c r="BW2010" s="34"/>
      <c r="BX2010" s="34"/>
      <c r="BY2010" s="34"/>
      <c r="BZ2010" s="34"/>
      <c r="CA2010" s="34"/>
      <c r="CB2010" s="34"/>
      <c r="CC2010" s="34"/>
      <c r="CD2010" s="34"/>
      <c r="CE2010" s="34"/>
      <c r="CF2010" s="34"/>
      <c r="CG2010" s="34"/>
      <c r="CH2010" s="34"/>
      <c r="CI2010" s="8"/>
    </row>
    <row r="2011" spans="1:87" x14ac:dyDescent="0.2">
      <c r="A2011" s="8" t="str">
        <f>IF(AND(COUNTIF(W$3:W$13,A$24)&gt;0,A$24&lt;&gt;B1816),A$24,IFERROR(IF(MATCH(A$24,Z$3:Z$13,0)=9,A$24," ")," "))</f>
        <v xml:space="preserve"> </v>
      </c>
      <c r="B2011" s="8" t="str">
        <f>IF(A2011=" "," ",MAX(B2002:B2010)+1)</f>
        <v xml:space="preserve"> </v>
      </c>
      <c r="C2011" s="8" t="str">
        <f>IFERROR(INDEX(A2002:A2023,MATCH(SMALL(B2002:B2023,10),B2002:B2023,0),1)," ")</f>
        <v>C21</v>
      </c>
      <c r="D2011" s="8">
        <f t="shared" si="8708"/>
        <v>0</v>
      </c>
      <c r="E2011" s="8">
        <f t="shared" si="8709"/>
        <v>0</v>
      </c>
      <c r="F2011" s="8">
        <f t="shared" si="8710"/>
        <v>0</v>
      </c>
      <c r="G2011" s="8">
        <f t="shared" si="8711"/>
        <v>0</v>
      </c>
      <c r="H2011" s="8">
        <f t="shared" si="8712"/>
        <v>0</v>
      </c>
      <c r="I2011" s="8">
        <f t="shared" si="8713"/>
        <v>0</v>
      </c>
      <c r="J2011" s="8">
        <f t="shared" si="8714"/>
        <v>0</v>
      </c>
      <c r="K2011" s="8">
        <f t="shared" si="8715"/>
        <v>0</v>
      </c>
      <c r="L2011" s="8">
        <f t="shared" si="8716"/>
        <v>0</v>
      </c>
      <c r="M2011" s="8">
        <f t="shared" si="8717"/>
        <v>1</v>
      </c>
      <c r="N2011" s="8">
        <f t="shared" si="8718"/>
        <v>0</v>
      </c>
      <c r="O2011" s="8">
        <f t="shared" si="8719"/>
        <v>0</v>
      </c>
      <c r="P2011" s="8" t="e">
        <v>#NUM!</v>
      </c>
      <c r="Q2011" s="8" t="e">
        <f t="shared" ref="Q2011" si="8750">IF(COUNTIF(P2002:P2012,"&lt;"&amp;-0.001)=0,IF(ABS(P2011)&lt;0.001,0,P2011)," ")</f>
        <v>#NUM!</v>
      </c>
      <c r="R2011" s="8"/>
      <c r="S2011" s="8"/>
      <c r="U2011" s="34"/>
      <c r="V2011" s="34"/>
      <c r="W2011" s="34"/>
      <c r="X2011" s="34"/>
      <c r="Y2011" s="34"/>
      <c r="Z2011" s="34"/>
      <c r="AA2011" s="34"/>
      <c r="AB2011" s="34"/>
      <c r="AC2011" s="34"/>
      <c r="AD2011" s="34"/>
      <c r="AE2011" s="34"/>
      <c r="AF2011" s="34"/>
      <c r="AG2011" s="34"/>
      <c r="AH2011" s="34"/>
      <c r="AI2011" s="34"/>
      <c r="AJ2011" s="34"/>
      <c r="AK2011" s="34"/>
      <c r="AL2011" s="34"/>
      <c r="AM2011" s="34"/>
      <c r="AN2011" s="34"/>
      <c r="AO2011" s="34"/>
      <c r="AP2011" s="34"/>
      <c r="AQ2011" s="34"/>
      <c r="AR2011" s="34"/>
      <c r="AS2011" s="34"/>
      <c r="AT2011" s="34"/>
      <c r="AU2011" s="34"/>
      <c r="AV2011" s="34"/>
      <c r="AW2011" s="34"/>
      <c r="AX2011" s="34"/>
      <c r="AY2011" s="34"/>
      <c r="AZ2011" s="34"/>
      <c r="BA2011" s="34"/>
      <c r="BB2011" s="34"/>
      <c r="BC2011" s="34"/>
      <c r="BD2011" s="34"/>
      <c r="BE2011" s="34"/>
      <c r="BF2011" s="34"/>
      <c r="BG2011" s="34"/>
      <c r="BH2011" s="34"/>
      <c r="BI2011" s="34"/>
      <c r="BJ2011" s="34"/>
      <c r="BK2011" s="34"/>
      <c r="BL2011" s="34"/>
      <c r="BM2011" s="34"/>
      <c r="BN2011" s="34"/>
      <c r="BO2011" s="34"/>
      <c r="BP2011" s="34"/>
      <c r="BQ2011" s="34"/>
      <c r="BR2011" s="34"/>
      <c r="BS2011" s="34"/>
      <c r="BT2011" s="34"/>
      <c r="BU2011" s="34"/>
      <c r="BV2011" s="34"/>
      <c r="BW2011" s="34"/>
      <c r="BX2011" s="34"/>
      <c r="BY2011" s="34"/>
      <c r="BZ2011" s="34"/>
      <c r="CA2011" s="34"/>
      <c r="CB2011" s="34"/>
      <c r="CC2011" s="34"/>
      <c r="CD2011" s="34"/>
      <c r="CE2011" s="34"/>
      <c r="CF2011" s="34"/>
      <c r="CG2011" s="34"/>
      <c r="CH2011" s="34"/>
      <c r="CI2011" s="8"/>
    </row>
    <row r="2012" spans="1:87" x14ac:dyDescent="0.2">
      <c r="A2012" s="8" t="str">
        <f>IF(AND(COUNTIF(W$3:W$13,A$25)&gt;0,A$25&lt;&gt;B1816),A$25,IFERROR(IF(MATCH(A$25,Z$3:Z$13,0)=9,A$25," ")," "))</f>
        <v>C11</v>
      </c>
      <c r="B2012" s="8">
        <f>IF(A2012=" "," ",MAX(B2002:B2011)+1)</f>
        <v>3</v>
      </c>
      <c r="C2012" s="8" t="str">
        <f>IFERROR(INDEX(A2002:A2023,MATCH(SMALL(B2002:B2023,11),B2002:B2023,0),1)," ")</f>
        <v>C22</v>
      </c>
      <c r="D2012" s="8">
        <f t="shared" si="8708"/>
        <v>0</v>
      </c>
      <c r="E2012" s="8">
        <f t="shared" si="8709"/>
        <v>0</v>
      </c>
      <c r="F2012" s="8">
        <f t="shared" si="8710"/>
        <v>0</v>
      </c>
      <c r="G2012" s="8">
        <f t="shared" si="8711"/>
        <v>0</v>
      </c>
      <c r="H2012" s="8">
        <f t="shared" si="8712"/>
        <v>0</v>
      </c>
      <c r="I2012" s="8">
        <f t="shared" si="8713"/>
        <v>0</v>
      </c>
      <c r="J2012" s="8">
        <f t="shared" si="8714"/>
        <v>0</v>
      </c>
      <c r="K2012" s="8">
        <f t="shared" si="8715"/>
        <v>0</v>
      </c>
      <c r="L2012" s="8">
        <f t="shared" si="8716"/>
        <v>0</v>
      </c>
      <c r="M2012" s="8">
        <f t="shared" si="8717"/>
        <v>0</v>
      </c>
      <c r="N2012" s="8">
        <f t="shared" si="8718"/>
        <v>1</v>
      </c>
      <c r="O2012" s="8">
        <f t="shared" si="8719"/>
        <v>0</v>
      </c>
      <c r="P2012" s="8" t="e">
        <v>#NUM!</v>
      </c>
      <c r="Q2012" s="8" t="e">
        <f t="shared" ref="Q2012" si="8751">IF(COUNTIF(P2002:P2012,"&lt;"&amp;-0.001)=0,IF(ABS(P2012)&lt;0.001,0,P2012)," ")</f>
        <v>#NUM!</v>
      </c>
      <c r="R2012" s="8"/>
      <c r="S2012" s="8"/>
      <c r="U2012" s="34"/>
      <c r="V2012" s="34"/>
      <c r="W2012" s="34"/>
      <c r="X2012" s="34"/>
      <c r="Y2012" s="34"/>
      <c r="Z2012" s="34"/>
      <c r="AA2012" s="34"/>
      <c r="AB2012" s="34"/>
      <c r="AC2012" s="34"/>
      <c r="AD2012" s="34"/>
      <c r="AE2012" s="34"/>
      <c r="AF2012" s="34"/>
      <c r="AG2012" s="34"/>
      <c r="AH2012" s="34"/>
      <c r="AI2012" s="34"/>
      <c r="AJ2012" s="34"/>
      <c r="AK2012" s="34"/>
      <c r="AL2012" s="34"/>
      <c r="AM2012" s="34"/>
      <c r="AN2012" s="34"/>
      <c r="AO2012" s="34"/>
      <c r="AP2012" s="34"/>
      <c r="AQ2012" s="34"/>
      <c r="AR2012" s="34"/>
      <c r="AS2012" s="34"/>
      <c r="AT2012" s="34"/>
      <c r="AU2012" s="34"/>
      <c r="AV2012" s="34"/>
      <c r="AW2012" s="34"/>
      <c r="AX2012" s="34"/>
      <c r="AY2012" s="34"/>
      <c r="AZ2012" s="34"/>
      <c r="BA2012" s="34"/>
      <c r="BB2012" s="34"/>
      <c r="BC2012" s="34"/>
      <c r="BD2012" s="34"/>
      <c r="BE2012" s="34"/>
      <c r="BF2012" s="34"/>
      <c r="BG2012" s="34"/>
      <c r="BH2012" s="34"/>
      <c r="BI2012" s="34"/>
      <c r="BJ2012" s="34"/>
      <c r="BK2012" s="34"/>
      <c r="BL2012" s="34"/>
      <c r="BM2012" s="34"/>
      <c r="BN2012" s="34"/>
      <c r="BO2012" s="34"/>
      <c r="BP2012" s="34"/>
      <c r="BQ2012" s="34"/>
      <c r="BR2012" s="34"/>
      <c r="BS2012" s="34"/>
      <c r="BT2012" s="34"/>
      <c r="BU2012" s="34"/>
      <c r="BV2012" s="34"/>
      <c r="BW2012" s="34"/>
      <c r="BX2012" s="34"/>
      <c r="BY2012" s="34"/>
      <c r="BZ2012" s="34"/>
      <c r="CA2012" s="34"/>
      <c r="CB2012" s="34"/>
      <c r="CC2012" s="34"/>
      <c r="CD2012" s="34"/>
      <c r="CE2012" s="34"/>
      <c r="CF2012" s="34"/>
      <c r="CG2012" s="34"/>
      <c r="CH2012" s="34"/>
      <c r="CI2012" s="8"/>
    </row>
    <row r="2013" spans="1:87" x14ac:dyDescent="0.2">
      <c r="A2013" s="8" t="str">
        <f>IF(AND(COUNTIF(W$3:W$13,A$26)&gt;0,A$26&lt;&gt;B1816),A$26,IFERROR(IF(MATCH(A$26,Z$3:Z$13,0)=9,A$26," ")," "))</f>
        <v xml:space="preserve"> </v>
      </c>
      <c r="B2013" s="8" t="str">
        <f>IF(A2013=" "," ",MAX(B2002:B2012)+1)</f>
        <v xml:space="preserve"> </v>
      </c>
      <c r="C2013" s="8"/>
      <c r="D2013" s="8"/>
      <c r="E2013" s="8"/>
      <c r="F2013" s="8"/>
      <c r="G2013" s="8"/>
      <c r="H2013" s="8"/>
      <c r="I2013" s="8"/>
      <c r="J2013" s="8"/>
      <c r="K2013" s="8"/>
      <c r="L2013" s="8"/>
      <c r="M2013" s="8"/>
      <c r="N2013" s="8"/>
      <c r="O2013" s="8"/>
      <c r="P2013" s="8"/>
      <c r="Q2013" s="8"/>
      <c r="R2013" s="8"/>
      <c r="S2013" s="8"/>
      <c r="U2013" s="34"/>
      <c r="V2013" s="34"/>
      <c r="W2013" s="34"/>
      <c r="X2013" s="34"/>
      <c r="Y2013" s="34"/>
      <c r="Z2013" s="34"/>
      <c r="AA2013" s="34"/>
      <c r="AB2013" s="34"/>
      <c r="AC2013" s="34"/>
      <c r="AD2013" s="34"/>
      <c r="AE2013" s="34"/>
      <c r="AF2013" s="34"/>
      <c r="AG2013" s="34"/>
      <c r="AH2013" s="34"/>
      <c r="AI2013" s="34"/>
      <c r="AJ2013" s="34"/>
      <c r="AK2013" s="34"/>
      <c r="AL2013" s="34"/>
      <c r="AM2013" s="34"/>
      <c r="AN2013" s="34"/>
      <c r="AO2013" s="34"/>
      <c r="AP2013" s="34"/>
      <c r="AQ2013" s="34"/>
      <c r="AR2013" s="34"/>
      <c r="AS2013" s="34"/>
      <c r="AT2013" s="34"/>
      <c r="AU2013" s="34"/>
      <c r="AV2013" s="34"/>
      <c r="AW2013" s="34"/>
      <c r="AX2013" s="34"/>
      <c r="AY2013" s="34"/>
      <c r="AZ2013" s="34"/>
      <c r="BA2013" s="34"/>
      <c r="BB2013" s="34"/>
      <c r="BC2013" s="34"/>
      <c r="BD2013" s="34"/>
      <c r="BE2013" s="34"/>
      <c r="BF2013" s="34"/>
      <c r="BG2013" s="34"/>
      <c r="BH2013" s="34"/>
      <c r="BI2013" s="34"/>
      <c r="BJ2013" s="34"/>
      <c r="BK2013" s="34"/>
      <c r="BL2013" s="34"/>
      <c r="BM2013" s="34"/>
      <c r="BN2013" s="34"/>
      <c r="BO2013" s="34"/>
      <c r="BP2013" s="34"/>
      <c r="BQ2013" s="34"/>
      <c r="BR2013" s="34"/>
      <c r="BS2013" s="34"/>
      <c r="BT2013" s="34"/>
      <c r="BU2013" s="34"/>
      <c r="BV2013" s="34"/>
      <c r="BW2013" s="34"/>
      <c r="BX2013" s="34"/>
      <c r="BY2013" s="34"/>
      <c r="BZ2013" s="34"/>
      <c r="CA2013" s="34"/>
      <c r="CB2013" s="34"/>
      <c r="CC2013" s="34"/>
      <c r="CD2013" s="34"/>
      <c r="CE2013" s="34"/>
      <c r="CF2013" s="34"/>
      <c r="CG2013" s="34"/>
      <c r="CH2013" s="34"/>
      <c r="CI2013" s="8"/>
    </row>
    <row r="2014" spans="1:87" x14ac:dyDescent="0.2">
      <c r="A2014" s="8" t="str">
        <f>IF(AND(COUNTIF(W$3:W$13,A$27)&gt;0,A$27&lt;&gt;B1816),A$27,IFERROR(IF(MATCH(A$27,Z$3:Z$13,0)=9,A$27," ")," "))</f>
        <v>C13</v>
      </c>
      <c r="B2014" s="8">
        <f>IF(A2014=" "," ",MAX(B2002:B2013)+1)</f>
        <v>4</v>
      </c>
      <c r="C2014" s="8"/>
      <c r="D2014" s="8"/>
      <c r="E2014" s="8"/>
      <c r="F2014" s="8"/>
      <c r="G2014" s="8"/>
      <c r="H2014" s="8"/>
      <c r="I2014" s="8"/>
      <c r="J2014" s="8"/>
      <c r="K2014" s="8"/>
      <c r="L2014" s="8"/>
      <c r="M2014" s="8"/>
      <c r="N2014" s="8"/>
      <c r="O2014" s="8"/>
      <c r="P2014" s="8"/>
      <c r="Q2014" s="8"/>
      <c r="R2014" s="8"/>
      <c r="S2014" s="8"/>
      <c r="U2014" s="34"/>
      <c r="V2014" s="34"/>
      <c r="W2014" s="34"/>
      <c r="X2014" s="34"/>
      <c r="Y2014" s="34"/>
      <c r="Z2014" s="34"/>
      <c r="AA2014" s="34"/>
      <c r="AB2014" s="34"/>
      <c r="AC2014" s="34"/>
      <c r="AD2014" s="34"/>
      <c r="AE2014" s="34"/>
      <c r="AF2014" s="34"/>
      <c r="AG2014" s="34"/>
      <c r="AH2014" s="34"/>
      <c r="AI2014" s="34"/>
      <c r="AJ2014" s="34"/>
      <c r="AK2014" s="34"/>
      <c r="AL2014" s="34"/>
      <c r="AM2014" s="34"/>
      <c r="AN2014" s="34"/>
      <c r="AO2014" s="34"/>
      <c r="AP2014" s="34"/>
      <c r="AQ2014" s="34"/>
      <c r="AR2014" s="34"/>
      <c r="AS2014" s="34"/>
      <c r="AT2014" s="34"/>
      <c r="AU2014" s="34"/>
      <c r="AV2014" s="34"/>
      <c r="AW2014" s="34"/>
      <c r="AX2014" s="34"/>
      <c r="AY2014" s="34"/>
      <c r="AZ2014" s="34"/>
      <c r="BA2014" s="34"/>
      <c r="BB2014" s="34"/>
      <c r="BC2014" s="34"/>
      <c r="BD2014" s="34"/>
      <c r="BE2014" s="34"/>
      <c r="BF2014" s="34"/>
      <c r="BG2014" s="34"/>
      <c r="BH2014" s="34"/>
      <c r="BI2014" s="34"/>
      <c r="BJ2014" s="34"/>
      <c r="BK2014" s="34"/>
      <c r="BL2014" s="34"/>
      <c r="BM2014" s="34"/>
      <c r="BN2014" s="34"/>
      <c r="BO2014" s="34"/>
      <c r="BP2014" s="34"/>
      <c r="BQ2014" s="34"/>
      <c r="BR2014" s="34"/>
      <c r="BS2014" s="34"/>
      <c r="BT2014" s="34"/>
      <c r="BU2014" s="34"/>
      <c r="BV2014" s="34"/>
      <c r="BW2014" s="34"/>
      <c r="BX2014" s="34"/>
      <c r="BY2014" s="34"/>
      <c r="BZ2014" s="34"/>
      <c r="CA2014" s="34"/>
      <c r="CB2014" s="34"/>
      <c r="CC2014" s="34"/>
      <c r="CD2014" s="34"/>
      <c r="CE2014" s="34"/>
      <c r="CF2014" s="34"/>
      <c r="CG2014" s="34"/>
      <c r="CH2014" s="34"/>
      <c r="CI2014" s="8"/>
    </row>
    <row r="2015" spans="1:87" x14ac:dyDescent="0.2">
      <c r="A2015" s="8" t="str">
        <f>IF(AND(COUNTIF(W$3:W$13,A$28)&gt;0,A$28&lt;&gt;B1816),A$28,IFERROR(IF(MATCH(A$28,Z$3:Z$13,0)=9,A$28," ")," "))</f>
        <v xml:space="preserve"> </v>
      </c>
      <c r="B2015" s="8" t="str">
        <f>IF(A2015=" "," ",MAX(B2002:B2014)+1)</f>
        <v xml:space="preserve"> </v>
      </c>
      <c r="C2015" s="8"/>
      <c r="D2015" s="8"/>
      <c r="E2015" s="8"/>
      <c r="F2015" s="8"/>
      <c r="G2015" s="8"/>
      <c r="H2015" s="8"/>
      <c r="I2015" s="8"/>
      <c r="J2015" s="8"/>
      <c r="K2015" s="8"/>
      <c r="L2015" s="8"/>
      <c r="M2015" s="8"/>
      <c r="N2015" s="8"/>
      <c r="O2015" s="8"/>
      <c r="P2015" s="8"/>
      <c r="Q2015" s="8"/>
      <c r="R2015" s="8"/>
      <c r="S2015" s="8"/>
      <c r="U2015" s="34"/>
      <c r="V2015" s="34"/>
      <c r="W2015" s="34"/>
      <c r="X2015" s="34"/>
      <c r="Y2015" s="34"/>
      <c r="Z2015" s="34"/>
      <c r="AA2015" s="34"/>
      <c r="AB2015" s="34"/>
      <c r="AC2015" s="34"/>
      <c r="AD2015" s="34"/>
      <c r="AE2015" s="34"/>
      <c r="AF2015" s="34"/>
      <c r="AG2015" s="34"/>
      <c r="AH2015" s="34"/>
      <c r="AI2015" s="34"/>
      <c r="AJ2015" s="34"/>
      <c r="AK2015" s="34"/>
      <c r="AL2015" s="34"/>
      <c r="AM2015" s="34"/>
      <c r="AN2015" s="34"/>
      <c r="AO2015" s="34"/>
      <c r="AP2015" s="34"/>
      <c r="AQ2015" s="34"/>
      <c r="AR2015" s="34"/>
      <c r="AS2015" s="34"/>
      <c r="AT2015" s="34"/>
      <c r="AU2015" s="34"/>
      <c r="AV2015" s="34"/>
      <c r="AW2015" s="34"/>
      <c r="AX2015" s="34"/>
      <c r="AY2015" s="34"/>
      <c r="AZ2015" s="34"/>
      <c r="BA2015" s="34"/>
      <c r="BB2015" s="34"/>
      <c r="BC2015" s="34"/>
      <c r="BD2015" s="34"/>
      <c r="BE2015" s="34"/>
      <c r="BF2015" s="34"/>
      <c r="BG2015" s="34"/>
      <c r="BH2015" s="34"/>
      <c r="BI2015" s="34"/>
      <c r="BJ2015" s="34"/>
      <c r="BK2015" s="34"/>
      <c r="BL2015" s="34"/>
      <c r="BM2015" s="34"/>
      <c r="BN2015" s="34"/>
      <c r="BO2015" s="34"/>
      <c r="BP2015" s="34"/>
      <c r="BQ2015" s="34"/>
      <c r="BR2015" s="34"/>
      <c r="BS2015" s="34"/>
      <c r="BT2015" s="34"/>
      <c r="BU2015" s="34"/>
      <c r="BV2015" s="34"/>
      <c r="BW2015" s="34"/>
      <c r="BX2015" s="34"/>
      <c r="BY2015" s="34"/>
      <c r="BZ2015" s="34"/>
      <c r="CA2015" s="34"/>
      <c r="CB2015" s="34"/>
      <c r="CC2015" s="34"/>
      <c r="CD2015" s="34"/>
      <c r="CE2015" s="34"/>
      <c r="CF2015" s="34"/>
      <c r="CG2015" s="34"/>
      <c r="CH2015" s="34"/>
      <c r="CI2015" s="8"/>
    </row>
    <row r="2016" spans="1:87" x14ac:dyDescent="0.2">
      <c r="A2016" s="8" t="str">
        <f>IF(AND(COUNTIF(W$3:W$13,A$29)&gt;0,A$29&lt;&gt;B1816),A$29,IFERROR(IF(MATCH(A$29,Z$3:Z$13,0)=9,A$29," ")," "))</f>
        <v>C15</v>
      </c>
      <c r="B2016" s="8">
        <f>IF(A2016=" "," ",MAX(B2002:B2015)+1)</f>
        <v>5</v>
      </c>
      <c r="C2016" s="8"/>
      <c r="D2016" s="8"/>
      <c r="E2016" s="8"/>
      <c r="F2016" s="8"/>
      <c r="G2016" s="8"/>
      <c r="H2016" s="8"/>
      <c r="I2016" s="8"/>
      <c r="J2016" s="8"/>
      <c r="K2016" s="8"/>
      <c r="L2016" s="8"/>
      <c r="M2016" s="8"/>
      <c r="N2016" s="8"/>
      <c r="O2016" s="8"/>
      <c r="P2016" s="8"/>
      <c r="Q2016" s="8"/>
      <c r="R2016" s="8"/>
      <c r="S2016" s="8"/>
      <c r="U2016" s="34"/>
      <c r="V2016" s="34"/>
      <c r="W2016" s="34"/>
      <c r="X2016" s="34"/>
      <c r="Y2016" s="34"/>
      <c r="Z2016" s="34"/>
      <c r="AA2016" s="34"/>
      <c r="AB2016" s="34"/>
      <c r="AC2016" s="34"/>
      <c r="AD2016" s="34"/>
      <c r="AE2016" s="34"/>
      <c r="AF2016" s="34"/>
      <c r="AG2016" s="34"/>
      <c r="AH2016" s="34"/>
      <c r="AI2016" s="34"/>
      <c r="AJ2016" s="34"/>
      <c r="AK2016" s="34"/>
      <c r="AL2016" s="34"/>
      <c r="AM2016" s="34"/>
      <c r="AN2016" s="34"/>
      <c r="AO2016" s="34"/>
      <c r="AP2016" s="34"/>
      <c r="AQ2016" s="34"/>
      <c r="AR2016" s="34"/>
      <c r="AS2016" s="34"/>
      <c r="AT2016" s="34"/>
      <c r="AU2016" s="34"/>
      <c r="AV2016" s="34"/>
      <c r="AW2016" s="34"/>
      <c r="AX2016" s="34"/>
      <c r="AY2016" s="34"/>
      <c r="AZ2016" s="34"/>
      <c r="BA2016" s="34"/>
      <c r="BB2016" s="34"/>
      <c r="BC2016" s="34"/>
      <c r="BD2016" s="34"/>
      <c r="BE2016" s="34"/>
      <c r="BF2016" s="34"/>
      <c r="BG2016" s="34"/>
      <c r="BH2016" s="34"/>
      <c r="BI2016" s="34"/>
      <c r="BJ2016" s="34"/>
      <c r="BK2016" s="34"/>
      <c r="BL2016" s="34"/>
      <c r="BM2016" s="34"/>
      <c r="BN2016" s="34"/>
      <c r="BO2016" s="34"/>
      <c r="BP2016" s="34"/>
      <c r="BQ2016" s="34"/>
      <c r="BR2016" s="34"/>
      <c r="BS2016" s="34"/>
      <c r="BT2016" s="34"/>
      <c r="BU2016" s="34"/>
      <c r="BV2016" s="34"/>
      <c r="BW2016" s="34"/>
      <c r="BX2016" s="34"/>
      <c r="BY2016" s="34"/>
      <c r="BZ2016" s="34"/>
      <c r="CA2016" s="34"/>
      <c r="CB2016" s="34"/>
      <c r="CC2016" s="34"/>
      <c r="CD2016" s="34"/>
      <c r="CE2016" s="34"/>
      <c r="CF2016" s="34"/>
      <c r="CG2016" s="34"/>
      <c r="CH2016" s="34"/>
      <c r="CI2016" s="8"/>
    </row>
    <row r="2017" spans="1:87" x14ac:dyDescent="0.2">
      <c r="A2017" s="8" t="str">
        <f>IF(AND(COUNTIF(W$3:W$13,A$30)&gt;0,A$30&lt;&gt;B1816),A$30,IFERROR(IF(MATCH(A$30,Z$3:Z$13,0)=9,A$30," ")," "))</f>
        <v>C16</v>
      </c>
      <c r="B2017" s="8">
        <f>IF(A2017=" "," ",MAX(B2002:B2016)+1)</f>
        <v>6</v>
      </c>
      <c r="C2017" s="8"/>
      <c r="D2017" s="8"/>
      <c r="E2017" s="8"/>
      <c r="F2017" s="8"/>
      <c r="G2017" s="8"/>
      <c r="H2017" s="8"/>
      <c r="I2017" s="8"/>
      <c r="J2017" s="8"/>
      <c r="K2017" s="8"/>
      <c r="L2017" s="8"/>
      <c r="M2017" s="8"/>
      <c r="N2017" s="8"/>
      <c r="O2017" s="8"/>
      <c r="P2017" s="8"/>
      <c r="Q2017" s="8"/>
      <c r="R2017" s="8"/>
      <c r="S2017" s="8"/>
      <c r="U2017" s="34"/>
      <c r="V2017" s="34"/>
      <c r="W2017" s="34"/>
      <c r="X2017" s="34"/>
      <c r="Y2017" s="34"/>
      <c r="Z2017" s="34"/>
      <c r="AA2017" s="34"/>
      <c r="AB2017" s="34"/>
      <c r="AC2017" s="34"/>
      <c r="AD2017" s="34"/>
      <c r="AE2017" s="34"/>
      <c r="AF2017" s="34"/>
      <c r="AG2017" s="34"/>
      <c r="AH2017" s="34"/>
      <c r="AI2017" s="34"/>
      <c r="AJ2017" s="34"/>
      <c r="AK2017" s="34"/>
      <c r="AL2017" s="34"/>
      <c r="AM2017" s="34"/>
      <c r="AN2017" s="34"/>
      <c r="AO2017" s="34"/>
      <c r="AP2017" s="34"/>
      <c r="AQ2017" s="34"/>
      <c r="AR2017" s="34"/>
      <c r="AS2017" s="34"/>
      <c r="AT2017" s="34"/>
      <c r="AU2017" s="34"/>
      <c r="AV2017" s="34"/>
      <c r="AW2017" s="34"/>
      <c r="AX2017" s="34"/>
      <c r="AY2017" s="34"/>
      <c r="AZ2017" s="34"/>
      <c r="BA2017" s="34"/>
      <c r="BB2017" s="34"/>
      <c r="BC2017" s="34"/>
      <c r="BD2017" s="34"/>
      <c r="BE2017" s="34"/>
      <c r="BF2017" s="34"/>
      <c r="BG2017" s="34"/>
      <c r="BH2017" s="34"/>
      <c r="BI2017" s="34"/>
      <c r="BJ2017" s="34"/>
      <c r="BK2017" s="34"/>
      <c r="BL2017" s="34"/>
      <c r="BM2017" s="34"/>
      <c r="BN2017" s="34"/>
      <c r="BO2017" s="34"/>
      <c r="BP2017" s="34"/>
      <c r="BQ2017" s="34"/>
      <c r="BR2017" s="34"/>
      <c r="BS2017" s="34"/>
      <c r="BT2017" s="34"/>
      <c r="BU2017" s="34"/>
      <c r="BV2017" s="34"/>
      <c r="BW2017" s="34"/>
      <c r="BX2017" s="34"/>
      <c r="BY2017" s="34"/>
      <c r="BZ2017" s="34"/>
      <c r="CA2017" s="34"/>
      <c r="CB2017" s="34"/>
      <c r="CC2017" s="34"/>
      <c r="CD2017" s="34"/>
      <c r="CE2017" s="34"/>
      <c r="CF2017" s="34"/>
      <c r="CG2017" s="34"/>
      <c r="CH2017" s="34"/>
      <c r="CI2017" s="8"/>
    </row>
    <row r="2018" spans="1:87" x14ac:dyDescent="0.2">
      <c r="A2018" s="8" t="str">
        <f>IF(AND(COUNTIF(W$3:W$13,A$31)&gt;0,A$31&lt;&gt;B1816),A$31,IFERROR(IF(MATCH(A$31,Z$3:Z$13,0)=9,A$31," ")," "))</f>
        <v>C17</v>
      </c>
      <c r="B2018" s="8">
        <f>IF(A2018=" "," ",MAX(B2002:B2017)+1)</f>
        <v>7</v>
      </c>
      <c r="C2018" s="8"/>
      <c r="D2018" s="8"/>
      <c r="E2018" s="8"/>
      <c r="F2018" s="8"/>
      <c r="G2018" s="8"/>
      <c r="H2018" s="8"/>
      <c r="I2018" s="8"/>
      <c r="J2018" s="8"/>
      <c r="K2018" s="8"/>
      <c r="L2018" s="8"/>
      <c r="M2018" s="8"/>
      <c r="N2018" s="8"/>
      <c r="O2018" s="8"/>
      <c r="P2018" s="8"/>
      <c r="Q2018" s="8"/>
      <c r="R2018" s="8"/>
      <c r="S2018" s="8"/>
      <c r="U2018" s="34"/>
      <c r="V2018" s="34"/>
      <c r="W2018" s="34"/>
      <c r="X2018" s="34"/>
      <c r="Y2018" s="34"/>
      <c r="Z2018" s="34"/>
      <c r="AA2018" s="34"/>
      <c r="AB2018" s="34"/>
      <c r="AC2018" s="34"/>
      <c r="AD2018" s="34"/>
      <c r="AE2018" s="34"/>
      <c r="AF2018" s="34"/>
      <c r="AG2018" s="34"/>
      <c r="AH2018" s="34"/>
      <c r="AI2018" s="34"/>
      <c r="AJ2018" s="34"/>
      <c r="AK2018" s="34"/>
      <c r="AL2018" s="34"/>
      <c r="AM2018" s="34"/>
      <c r="AN2018" s="34"/>
      <c r="AO2018" s="34"/>
      <c r="AP2018" s="34"/>
      <c r="AQ2018" s="34"/>
      <c r="AR2018" s="34"/>
      <c r="AS2018" s="34"/>
      <c r="AT2018" s="34"/>
      <c r="AU2018" s="34"/>
      <c r="AV2018" s="34"/>
      <c r="AW2018" s="34"/>
      <c r="AX2018" s="34"/>
      <c r="AY2018" s="34"/>
      <c r="AZ2018" s="34"/>
      <c r="BA2018" s="34"/>
      <c r="BB2018" s="34"/>
      <c r="BC2018" s="34"/>
      <c r="BD2018" s="34"/>
      <c r="BE2018" s="34"/>
      <c r="BF2018" s="34"/>
      <c r="BG2018" s="34"/>
      <c r="BH2018" s="34"/>
      <c r="BI2018" s="34"/>
      <c r="BJ2018" s="34"/>
      <c r="BK2018" s="34"/>
      <c r="BL2018" s="34"/>
      <c r="BM2018" s="34"/>
      <c r="BN2018" s="34"/>
      <c r="BO2018" s="34"/>
      <c r="BP2018" s="34"/>
      <c r="BQ2018" s="34"/>
      <c r="BR2018" s="34"/>
      <c r="BS2018" s="34"/>
      <c r="BT2018" s="34"/>
      <c r="BU2018" s="34"/>
      <c r="BV2018" s="34"/>
      <c r="BW2018" s="34"/>
      <c r="BX2018" s="34"/>
      <c r="BY2018" s="34"/>
      <c r="BZ2018" s="34"/>
      <c r="CA2018" s="34"/>
      <c r="CB2018" s="34"/>
      <c r="CC2018" s="34"/>
      <c r="CD2018" s="34"/>
      <c r="CE2018" s="34"/>
      <c r="CF2018" s="34"/>
      <c r="CG2018" s="34"/>
      <c r="CH2018" s="34"/>
      <c r="CI2018" s="8"/>
    </row>
    <row r="2019" spans="1:87" x14ac:dyDescent="0.2">
      <c r="A2019" s="8" t="str">
        <f>IF(AND(COUNTIF(W$3:W$13,A$32)&gt;0,A$32&lt;&gt;B1816),A$32,IFERROR(IF(MATCH(A$32,Z$3:Z$13,0)=9,A$32," ")," "))</f>
        <v>C18</v>
      </c>
      <c r="B2019" s="8">
        <f>IF(A2019=" "," ",MAX(B2002:B2018)+1)</f>
        <v>8</v>
      </c>
      <c r="C2019" s="8"/>
      <c r="D2019" s="8"/>
      <c r="E2019" s="8"/>
      <c r="F2019" s="8"/>
      <c r="G2019" s="8"/>
      <c r="H2019" s="8"/>
      <c r="I2019" s="8"/>
      <c r="J2019" s="8"/>
      <c r="K2019" s="8"/>
      <c r="L2019" s="8"/>
      <c r="M2019" s="8"/>
      <c r="N2019" s="8"/>
      <c r="O2019" s="8"/>
      <c r="P2019" s="8"/>
      <c r="Q2019" s="8"/>
      <c r="R2019" s="8"/>
      <c r="S2019" s="8"/>
      <c r="U2019" s="34"/>
      <c r="V2019" s="34"/>
      <c r="W2019" s="34"/>
      <c r="X2019" s="34"/>
      <c r="Y2019" s="34"/>
      <c r="Z2019" s="34"/>
      <c r="AA2019" s="34"/>
      <c r="AB2019" s="34"/>
      <c r="AC2019" s="34"/>
      <c r="AD2019" s="34"/>
      <c r="AE2019" s="34"/>
      <c r="AF2019" s="34"/>
      <c r="AG2019" s="34"/>
      <c r="AH2019" s="34"/>
      <c r="AI2019" s="34"/>
      <c r="AJ2019" s="34"/>
      <c r="AK2019" s="34"/>
      <c r="AL2019" s="34"/>
      <c r="AM2019" s="34"/>
      <c r="AN2019" s="34"/>
      <c r="AO2019" s="34"/>
      <c r="AP2019" s="34"/>
      <c r="AQ2019" s="34"/>
      <c r="AR2019" s="34"/>
      <c r="AS2019" s="34"/>
      <c r="AT2019" s="34"/>
      <c r="AU2019" s="34"/>
      <c r="AV2019" s="34"/>
      <c r="AW2019" s="34"/>
      <c r="AX2019" s="34"/>
      <c r="AY2019" s="34"/>
      <c r="AZ2019" s="34"/>
      <c r="BA2019" s="34"/>
      <c r="BB2019" s="34"/>
      <c r="BC2019" s="34"/>
      <c r="BD2019" s="34"/>
      <c r="BE2019" s="34"/>
      <c r="BF2019" s="34"/>
      <c r="BG2019" s="34"/>
      <c r="BH2019" s="34"/>
      <c r="BI2019" s="34"/>
      <c r="BJ2019" s="34"/>
      <c r="BK2019" s="34"/>
      <c r="BL2019" s="34"/>
      <c r="BM2019" s="34"/>
      <c r="BN2019" s="34"/>
      <c r="BO2019" s="34"/>
      <c r="BP2019" s="34"/>
      <c r="BQ2019" s="34"/>
      <c r="BR2019" s="34"/>
      <c r="BS2019" s="34"/>
      <c r="BT2019" s="34"/>
      <c r="BU2019" s="34"/>
      <c r="BV2019" s="34"/>
      <c r="BW2019" s="34"/>
      <c r="BX2019" s="34"/>
      <c r="BY2019" s="34"/>
      <c r="BZ2019" s="34"/>
      <c r="CA2019" s="34"/>
      <c r="CB2019" s="34"/>
      <c r="CC2019" s="34"/>
      <c r="CD2019" s="34"/>
      <c r="CE2019" s="34"/>
      <c r="CF2019" s="34"/>
      <c r="CG2019" s="34"/>
      <c r="CH2019" s="34"/>
      <c r="CI2019" s="8"/>
    </row>
    <row r="2020" spans="1:87" x14ac:dyDescent="0.2">
      <c r="A2020" s="8" t="str">
        <f>IF(AND(COUNTIF(W$3:W$13,A$33)&gt;0,A$33&lt;&gt;B1816),A$33,IFERROR(IF(MATCH(A$33,Z$3:Z$13,0)=9,A$33," ")," "))</f>
        <v xml:space="preserve"> </v>
      </c>
      <c r="B2020" s="8" t="str">
        <f>IF(A2020=" "," ",MAX(B2002:B2019)+1)</f>
        <v xml:space="preserve"> </v>
      </c>
      <c r="C2020" s="8"/>
      <c r="D2020" s="8"/>
      <c r="E2020" s="8"/>
      <c r="F2020" s="8"/>
      <c r="G2020" s="8"/>
      <c r="H2020" s="8"/>
      <c r="I2020" s="8"/>
      <c r="J2020" s="8"/>
      <c r="K2020" s="8"/>
      <c r="L2020" s="8"/>
      <c r="M2020" s="8"/>
      <c r="N2020" s="8"/>
      <c r="O2020" s="8"/>
      <c r="P2020" s="8"/>
      <c r="Q2020" s="8"/>
      <c r="R2020" s="8"/>
      <c r="S2020" s="8"/>
      <c r="U2020" s="34"/>
      <c r="V2020" s="34"/>
      <c r="W2020" s="34"/>
      <c r="X2020" s="34"/>
      <c r="Y2020" s="34"/>
      <c r="Z2020" s="34"/>
      <c r="AA2020" s="34"/>
      <c r="AB2020" s="34"/>
      <c r="AC2020" s="34"/>
      <c r="AD2020" s="34"/>
      <c r="AE2020" s="34"/>
      <c r="AF2020" s="34"/>
      <c r="AG2020" s="34"/>
      <c r="AH2020" s="34"/>
      <c r="AI2020" s="34"/>
      <c r="AJ2020" s="34"/>
      <c r="AK2020" s="34"/>
      <c r="AL2020" s="34"/>
      <c r="AM2020" s="34"/>
      <c r="AN2020" s="34"/>
      <c r="AO2020" s="34"/>
      <c r="AP2020" s="34"/>
      <c r="AQ2020" s="34"/>
      <c r="AR2020" s="34"/>
      <c r="AS2020" s="34"/>
      <c r="AT2020" s="34"/>
      <c r="AU2020" s="34"/>
      <c r="AV2020" s="34"/>
      <c r="AW2020" s="34"/>
      <c r="AX2020" s="34"/>
      <c r="AY2020" s="34"/>
      <c r="AZ2020" s="34"/>
      <c r="BA2020" s="34"/>
      <c r="BB2020" s="34"/>
      <c r="BC2020" s="34"/>
      <c r="BD2020" s="34"/>
      <c r="BE2020" s="34"/>
      <c r="BF2020" s="34"/>
      <c r="BG2020" s="34"/>
      <c r="BH2020" s="34"/>
      <c r="BI2020" s="34"/>
      <c r="BJ2020" s="34"/>
      <c r="BK2020" s="34"/>
      <c r="BL2020" s="34"/>
      <c r="BM2020" s="34"/>
      <c r="BN2020" s="34"/>
      <c r="BO2020" s="34"/>
      <c r="BP2020" s="34"/>
      <c r="BQ2020" s="34"/>
      <c r="BR2020" s="34"/>
      <c r="BS2020" s="34"/>
      <c r="BT2020" s="34"/>
      <c r="BU2020" s="34"/>
      <c r="BV2020" s="34"/>
      <c r="BW2020" s="34"/>
      <c r="BX2020" s="34"/>
      <c r="BY2020" s="34"/>
      <c r="BZ2020" s="34"/>
      <c r="CA2020" s="34"/>
      <c r="CB2020" s="34"/>
      <c r="CC2020" s="34"/>
      <c r="CD2020" s="34"/>
      <c r="CE2020" s="34"/>
      <c r="CF2020" s="34"/>
      <c r="CG2020" s="34"/>
      <c r="CH2020" s="34"/>
      <c r="CI2020" s="8"/>
    </row>
    <row r="2021" spans="1:87" x14ac:dyDescent="0.2">
      <c r="A2021" s="8" t="str">
        <f>IF(AND(COUNTIF(W$3:W$13,A$34)&gt;0,A$34&lt;&gt;B1816),A$34,IFERROR(IF(MATCH(A$34,Z$3:Z$13,0)=9,A$34," ")," "))</f>
        <v>C20</v>
      </c>
      <c r="B2021" s="8">
        <f>IF(A2021=" "," ",MAX(B2002:B2020)+1)</f>
        <v>9</v>
      </c>
      <c r="C2021" s="8"/>
      <c r="D2021" s="8"/>
      <c r="E2021" s="8"/>
      <c r="F2021" s="8"/>
      <c r="G2021" s="8"/>
      <c r="H2021" s="8"/>
      <c r="I2021" s="8"/>
      <c r="J2021" s="8"/>
      <c r="K2021" s="8"/>
      <c r="L2021" s="8"/>
      <c r="M2021" s="8"/>
      <c r="N2021" s="8"/>
      <c r="O2021" s="8"/>
      <c r="P2021" s="8"/>
      <c r="Q2021" s="8"/>
      <c r="R2021" s="8"/>
      <c r="S2021" s="8"/>
      <c r="U2021" s="34"/>
      <c r="V2021" s="34"/>
      <c r="W2021" s="34"/>
      <c r="X2021" s="34"/>
      <c r="Y2021" s="34"/>
      <c r="Z2021" s="34"/>
      <c r="AA2021" s="34"/>
      <c r="AB2021" s="34"/>
      <c r="AC2021" s="34"/>
      <c r="AD2021" s="34"/>
      <c r="AE2021" s="34"/>
      <c r="AF2021" s="34"/>
      <c r="AG2021" s="34"/>
      <c r="AH2021" s="34"/>
      <c r="AI2021" s="34"/>
      <c r="AJ2021" s="34"/>
      <c r="AK2021" s="34"/>
      <c r="AL2021" s="34"/>
      <c r="AM2021" s="34"/>
      <c r="AN2021" s="34"/>
      <c r="AO2021" s="34"/>
      <c r="AP2021" s="34"/>
      <c r="AQ2021" s="34"/>
      <c r="AR2021" s="34"/>
      <c r="AS2021" s="34"/>
      <c r="AT2021" s="34"/>
      <c r="AU2021" s="34"/>
      <c r="AV2021" s="34"/>
      <c r="AW2021" s="34"/>
      <c r="AX2021" s="34"/>
      <c r="AY2021" s="34"/>
      <c r="AZ2021" s="34"/>
      <c r="BA2021" s="34"/>
      <c r="BB2021" s="34"/>
      <c r="BC2021" s="34"/>
      <c r="BD2021" s="34"/>
      <c r="BE2021" s="34"/>
      <c r="BF2021" s="34"/>
      <c r="BG2021" s="34"/>
      <c r="BH2021" s="34"/>
      <c r="BI2021" s="34"/>
      <c r="BJ2021" s="34"/>
      <c r="BK2021" s="34"/>
      <c r="BL2021" s="34"/>
      <c r="BM2021" s="34"/>
      <c r="BN2021" s="34"/>
      <c r="BO2021" s="34"/>
      <c r="BP2021" s="34"/>
      <c r="BQ2021" s="34"/>
      <c r="BR2021" s="34"/>
      <c r="BS2021" s="34"/>
      <c r="BT2021" s="34"/>
      <c r="BU2021" s="34"/>
      <c r="BV2021" s="34"/>
      <c r="BW2021" s="34"/>
      <c r="BX2021" s="34"/>
      <c r="BY2021" s="34"/>
      <c r="BZ2021" s="34"/>
      <c r="CA2021" s="34"/>
      <c r="CB2021" s="34"/>
      <c r="CC2021" s="34"/>
      <c r="CD2021" s="34"/>
      <c r="CE2021" s="34"/>
      <c r="CF2021" s="34"/>
      <c r="CG2021" s="34"/>
      <c r="CH2021" s="34"/>
      <c r="CI2021" s="8"/>
    </row>
    <row r="2022" spans="1:87" x14ac:dyDescent="0.2">
      <c r="A2022" s="8" t="str">
        <f>IF(AND(COUNTIF(W$3:W$13,A$35)&gt;0,A$35&lt;&gt;B1816),A$35,IFERROR(IF(MATCH(A$35,Z$3:Z$13,0)=9,A$35," ")," "))</f>
        <v>C21</v>
      </c>
      <c r="B2022" s="8">
        <f>IF(A2022=" "," ",MAX(B2002:B2021)+1)</f>
        <v>10</v>
      </c>
      <c r="C2022" s="8"/>
      <c r="D2022" s="8"/>
      <c r="E2022" s="8"/>
      <c r="F2022" s="8"/>
      <c r="G2022" s="8"/>
      <c r="H2022" s="8"/>
      <c r="I2022" s="8"/>
      <c r="J2022" s="8"/>
      <c r="K2022" s="8"/>
      <c r="L2022" s="8"/>
      <c r="M2022" s="8"/>
      <c r="N2022" s="8"/>
      <c r="O2022" s="8"/>
      <c r="P2022" s="8"/>
      <c r="Q2022" s="8"/>
      <c r="R2022" s="8"/>
      <c r="S2022" s="8"/>
      <c r="U2022" s="34"/>
      <c r="V2022" s="34"/>
      <c r="W2022" s="34"/>
      <c r="X2022" s="34"/>
      <c r="Y2022" s="34"/>
      <c r="Z2022" s="34"/>
      <c r="AA2022" s="34"/>
      <c r="AB2022" s="34"/>
      <c r="AC2022" s="34"/>
      <c r="AD2022" s="34"/>
      <c r="AE2022" s="34"/>
      <c r="AF2022" s="34"/>
      <c r="AG2022" s="34"/>
      <c r="AH2022" s="34"/>
      <c r="AI2022" s="34"/>
      <c r="AJ2022" s="34"/>
      <c r="AK2022" s="34"/>
      <c r="AL2022" s="34"/>
      <c r="AM2022" s="34"/>
      <c r="AN2022" s="34"/>
      <c r="AO2022" s="34"/>
      <c r="AP2022" s="34"/>
      <c r="AQ2022" s="34"/>
      <c r="AR2022" s="34"/>
      <c r="AS2022" s="34"/>
      <c r="AT2022" s="34"/>
      <c r="AU2022" s="34"/>
      <c r="AV2022" s="34"/>
      <c r="AW2022" s="34"/>
      <c r="AX2022" s="34"/>
      <c r="AY2022" s="34"/>
      <c r="AZ2022" s="34"/>
      <c r="BA2022" s="34"/>
      <c r="BB2022" s="34"/>
      <c r="BC2022" s="34"/>
      <c r="BD2022" s="34"/>
      <c r="BE2022" s="34"/>
      <c r="BF2022" s="34"/>
      <c r="BG2022" s="34"/>
      <c r="BH2022" s="34"/>
      <c r="BI2022" s="34"/>
      <c r="BJ2022" s="34"/>
      <c r="BK2022" s="34"/>
      <c r="BL2022" s="34"/>
      <c r="BM2022" s="34"/>
      <c r="BN2022" s="34"/>
      <c r="BO2022" s="34"/>
      <c r="BP2022" s="34"/>
      <c r="BQ2022" s="34"/>
      <c r="BR2022" s="34"/>
      <c r="BS2022" s="34"/>
      <c r="BT2022" s="34"/>
      <c r="BU2022" s="34"/>
      <c r="BV2022" s="34"/>
      <c r="BW2022" s="34"/>
      <c r="BX2022" s="34"/>
      <c r="BY2022" s="34"/>
      <c r="BZ2022" s="34"/>
      <c r="CA2022" s="34"/>
      <c r="CB2022" s="34"/>
      <c r="CC2022" s="34"/>
      <c r="CD2022" s="34"/>
      <c r="CE2022" s="34"/>
      <c r="CF2022" s="34"/>
      <c r="CG2022" s="34"/>
      <c r="CH2022" s="34"/>
      <c r="CI2022" s="8"/>
    </row>
    <row r="2023" spans="1:87" x14ac:dyDescent="0.2">
      <c r="A2023" s="8" t="str">
        <f>IF(AND(COUNTIF(W$3:W$13,A$36)&gt;0,A$36&lt;&gt;B1816),A$36,IFERROR(IF(MATCH(A$36,Z$3:Z$13,0)=9,A$36," ")," "))</f>
        <v>C22</v>
      </c>
      <c r="B2023" s="8">
        <f>IF(A2023=" "," ",MAX(B2002:B2022)+1)</f>
        <v>11</v>
      </c>
      <c r="C2023" s="8"/>
      <c r="D2023" s="8"/>
      <c r="E2023" s="8"/>
      <c r="F2023" s="8"/>
      <c r="G2023" s="8"/>
      <c r="H2023" s="8"/>
      <c r="I2023" s="8"/>
      <c r="J2023" s="8"/>
      <c r="K2023" s="8"/>
      <c r="L2023" s="8"/>
      <c r="M2023" s="8"/>
      <c r="N2023" s="8"/>
      <c r="O2023" s="8"/>
      <c r="P2023" s="8"/>
      <c r="Q2023" s="8"/>
      <c r="R2023" s="8"/>
      <c r="S2023" s="8"/>
      <c r="U2023" s="34"/>
      <c r="V2023" s="34"/>
      <c r="W2023" s="34"/>
      <c r="X2023" s="34"/>
      <c r="Y2023" s="34"/>
      <c r="Z2023" s="34"/>
      <c r="AA2023" s="34"/>
      <c r="AB2023" s="34"/>
      <c r="AC2023" s="34"/>
      <c r="AD2023" s="34"/>
      <c r="AE2023" s="34"/>
      <c r="AF2023" s="34"/>
      <c r="AG2023" s="34"/>
      <c r="AH2023" s="34"/>
      <c r="AI2023" s="34"/>
      <c r="AJ2023" s="34"/>
      <c r="AK2023" s="34"/>
      <c r="AL2023" s="34"/>
      <c r="AM2023" s="34"/>
      <c r="AN2023" s="34"/>
      <c r="AO2023" s="34"/>
      <c r="AP2023" s="34"/>
      <c r="AQ2023" s="34"/>
      <c r="AR2023" s="34"/>
      <c r="AS2023" s="34"/>
      <c r="AT2023" s="34"/>
      <c r="AU2023" s="34"/>
      <c r="AV2023" s="34"/>
      <c r="AW2023" s="34"/>
      <c r="AX2023" s="34"/>
      <c r="AY2023" s="34"/>
      <c r="AZ2023" s="34"/>
      <c r="BA2023" s="34"/>
      <c r="BB2023" s="34"/>
      <c r="BC2023" s="34"/>
      <c r="BD2023" s="34"/>
      <c r="BE2023" s="34"/>
      <c r="BF2023" s="34"/>
      <c r="BG2023" s="34"/>
      <c r="BH2023" s="34"/>
      <c r="BI2023" s="34"/>
      <c r="BJ2023" s="34"/>
      <c r="BK2023" s="34"/>
      <c r="BL2023" s="34"/>
      <c r="BM2023" s="34"/>
      <c r="BN2023" s="34"/>
      <c r="BO2023" s="34"/>
      <c r="BP2023" s="34"/>
      <c r="BQ2023" s="34"/>
      <c r="BR2023" s="34"/>
      <c r="BS2023" s="34"/>
      <c r="BT2023" s="34"/>
      <c r="BU2023" s="34"/>
      <c r="BV2023" s="34"/>
      <c r="BW2023" s="34"/>
      <c r="BX2023" s="34"/>
      <c r="BY2023" s="34"/>
      <c r="BZ2023" s="34"/>
      <c r="CA2023" s="34"/>
      <c r="CB2023" s="34"/>
      <c r="CC2023" s="34"/>
      <c r="CD2023" s="34"/>
      <c r="CE2023" s="34"/>
      <c r="CF2023" s="34"/>
      <c r="CG2023" s="34"/>
      <c r="CH2023" s="34"/>
      <c r="CI2023" s="8"/>
    </row>
    <row r="2024" spans="1:87" x14ac:dyDescent="0.2">
      <c r="A2024" s="11" t="s">
        <v>17</v>
      </c>
      <c r="B2024" s="11"/>
      <c r="C2024" s="27" t="s">
        <v>18</v>
      </c>
      <c r="D2024" s="27" t="s">
        <v>2</v>
      </c>
      <c r="E2024" s="27" t="s">
        <v>6</v>
      </c>
      <c r="F2024" s="27" t="s">
        <v>15</v>
      </c>
      <c r="G2024" s="27" t="s">
        <v>36</v>
      </c>
      <c r="H2024" s="27" t="s">
        <v>37</v>
      </c>
      <c r="I2024" s="27" t="s">
        <v>38</v>
      </c>
      <c r="J2024" s="27" t="s">
        <v>39</v>
      </c>
      <c r="K2024" s="27" t="s">
        <v>40</v>
      </c>
      <c r="L2024" s="27" t="s">
        <v>41</v>
      </c>
      <c r="M2024" s="27" t="s">
        <v>42</v>
      </c>
      <c r="N2024" s="27" t="s">
        <v>43</v>
      </c>
      <c r="O2024" s="27" t="s">
        <v>9</v>
      </c>
      <c r="P2024" s="27" t="s">
        <v>12</v>
      </c>
      <c r="Q2024" s="27" t="s">
        <v>19</v>
      </c>
      <c r="R2024" s="27" t="s">
        <v>55</v>
      </c>
      <c r="S2024" s="27" t="s">
        <v>26</v>
      </c>
      <c r="T2024" s="19" t="s">
        <v>25</v>
      </c>
      <c r="U2024" s="33" t="s">
        <v>27</v>
      </c>
      <c r="V2024" s="33" t="s">
        <v>9</v>
      </c>
      <c r="W2024" s="33" t="s">
        <v>23</v>
      </c>
      <c r="X2024" s="33" t="s">
        <v>12</v>
      </c>
      <c r="Y2024" s="33" t="s">
        <v>26</v>
      </c>
      <c r="Z2024" s="33" t="s">
        <v>25</v>
      </c>
      <c r="AA2024" s="33" t="s">
        <v>27</v>
      </c>
      <c r="AB2024" s="33" t="s">
        <v>9</v>
      </c>
      <c r="AC2024" s="33" t="s">
        <v>23</v>
      </c>
      <c r="AD2024" s="33" t="s">
        <v>12</v>
      </c>
      <c r="AE2024" s="33" t="s">
        <v>26</v>
      </c>
      <c r="AF2024" s="33" t="s">
        <v>25</v>
      </c>
      <c r="AG2024" s="33" t="s">
        <v>27</v>
      </c>
      <c r="AH2024" s="33" t="s">
        <v>9</v>
      </c>
      <c r="AI2024" s="33" t="s">
        <v>23</v>
      </c>
      <c r="AJ2024" s="33" t="s">
        <v>12</v>
      </c>
      <c r="AK2024" s="33" t="s">
        <v>26</v>
      </c>
      <c r="AL2024" s="33" t="s">
        <v>25</v>
      </c>
      <c r="AM2024" s="33" t="s">
        <v>27</v>
      </c>
      <c r="AN2024" s="33" t="s">
        <v>9</v>
      </c>
      <c r="AO2024" s="33" t="s">
        <v>23</v>
      </c>
      <c r="AP2024" s="33" t="s">
        <v>12</v>
      </c>
      <c r="AQ2024" s="33" t="s">
        <v>26</v>
      </c>
      <c r="AR2024" s="33" t="s">
        <v>25</v>
      </c>
      <c r="AS2024" s="33" t="s">
        <v>27</v>
      </c>
      <c r="AT2024" s="33" t="s">
        <v>9</v>
      </c>
      <c r="AU2024" s="33" t="s">
        <v>23</v>
      </c>
      <c r="AV2024" s="33" t="s">
        <v>12</v>
      </c>
      <c r="AW2024" s="33" t="s">
        <v>26</v>
      </c>
      <c r="AX2024" s="33" t="s">
        <v>25</v>
      </c>
      <c r="AY2024" s="33" t="s">
        <v>27</v>
      </c>
      <c r="AZ2024" s="33" t="s">
        <v>9</v>
      </c>
      <c r="BA2024" s="33" t="s">
        <v>23</v>
      </c>
      <c r="BB2024" s="33" t="s">
        <v>12</v>
      </c>
      <c r="BC2024" s="33" t="s">
        <v>26</v>
      </c>
      <c r="BD2024" s="33" t="s">
        <v>25</v>
      </c>
      <c r="BE2024" s="33" t="s">
        <v>27</v>
      </c>
      <c r="BF2024" s="33" t="s">
        <v>9</v>
      </c>
      <c r="BG2024" s="33" t="s">
        <v>23</v>
      </c>
      <c r="BH2024" s="33" t="s">
        <v>12</v>
      </c>
      <c r="BI2024" s="33" t="s">
        <v>26</v>
      </c>
      <c r="BJ2024" s="33" t="s">
        <v>25</v>
      </c>
      <c r="BK2024" s="33" t="s">
        <v>27</v>
      </c>
      <c r="BL2024" s="33" t="s">
        <v>9</v>
      </c>
      <c r="BM2024" s="33" t="s">
        <v>23</v>
      </c>
      <c r="BN2024" s="33" t="s">
        <v>12</v>
      </c>
      <c r="BO2024" s="33" t="s">
        <v>26</v>
      </c>
      <c r="BP2024" s="33" t="s">
        <v>25</v>
      </c>
      <c r="BQ2024" s="33" t="s">
        <v>27</v>
      </c>
      <c r="BR2024" s="33" t="s">
        <v>9</v>
      </c>
      <c r="BS2024" s="33" t="s">
        <v>23</v>
      </c>
      <c r="BT2024" s="33" t="s">
        <v>12</v>
      </c>
      <c r="BU2024" s="33" t="s">
        <v>26</v>
      </c>
      <c r="BV2024" s="33" t="s">
        <v>25</v>
      </c>
      <c r="BW2024" s="33" t="s">
        <v>27</v>
      </c>
      <c r="BX2024" s="33" t="s">
        <v>9</v>
      </c>
      <c r="BY2024" s="33" t="s">
        <v>23</v>
      </c>
      <c r="BZ2024" s="33" t="s">
        <v>12</v>
      </c>
      <c r="CA2024" s="33" t="s">
        <v>26</v>
      </c>
      <c r="CB2024" s="33" t="s">
        <v>25</v>
      </c>
      <c r="CC2024" s="33" t="s">
        <v>27</v>
      </c>
      <c r="CD2024" s="33" t="s">
        <v>9</v>
      </c>
      <c r="CE2024" s="33" t="s">
        <v>23</v>
      </c>
      <c r="CF2024" s="33" t="s">
        <v>12</v>
      </c>
      <c r="CG2024" s="33" t="s">
        <v>26</v>
      </c>
      <c r="CH2024" s="33" t="s">
        <v>25</v>
      </c>
      <c r="CI2024" s="8"/>
    </row>
    <row r="2025" spans="1:87" x14ac:dyDescent="0.2">
      <c r="A2025" s="8" t="str">
        <f>IF(AND(COUNTIF(W$3:W$13,A$15)&gt;0,A$15&lt;&gt;B1816),A$15,IFERROR(IF(MATCH(A$15,Z$3:Z$13,0)=10,A$15," ")," "))</f>
        <v xml:space="preserve"> </v>
      </c>
      <c r="B2025" s="8" t="str">
        <f>IF(A2025=" "," ",1)</f>
        <v xml:space="preserve"> </v>
      </c>
      <c r="C2025" s="8" t="str">
        <f>IFERROR(INDEX(A2025:A2046,MATCH(SMALL(B2025:B2046,1),B2025:B2046,0),1)," ")</f>
        <v>C3</v>
      </c>
      <c r="D2025" s="8">
        <f>IFERROR(VLOOKUP($C2025,$A$15:$O$36,2,FALSE)," ")</f>
        <v>2</v>
      </c>
      <c r="E2025" s="8">
        <f>IFERROR(VLOOKUP($C2025,$A$15:$O$36,3,FALSE)," ")</f>
        <v>5</v>
      </c>
      <c r="F2025" s="8">
        <f>IFERROR(VLOOKUP($C2025,$A$15:$O$36,4,FALSE)," ")</f>
        <v>6</v>
      </c>
      <c r="G2025" s="8">
        <f>IFERROR(VLOOKUP($C2025,$A$15:$O$36,5,FALSE)," ")</f>
        <v>0</v>
      </c>
      <c r="H2025" s="8">
        <f>IFERROR(VLOOKUP($C2025,$A$15:$O$36,6,FALSE)," ")</f>
        <v>0</v>
      </c>
      <c r="I2025" s="8">
        <f>IFERROR(VLOOKUP($C2025,$A$15:$O$36,7,FALSE)," ")</f>
        <v>0</v>
      </c>
      <c r="J2025" s="8">
        <f>IFERROR(VLOOKUP($C2025,$A$15:$O$36,8,FALSE)," ")</f>
        <v>0</v>
      </c>
      <c r="K2025" s="8">
        <f>IFERROR(VLOOKUP($C2025,$A$15:$O$36,9,FALSE)," ")</f>
        <v>0</v>
      </c>
      <c r="L2025" s="8">
        <f>IFERROR(VLOOKUP($C2025,$A$15:$O$36,10,FALSE)," ")</f>
        <v>0</v>
      </c>
      <c r="M2025" s="8">
        <f>IFERROR(VLOOKUP($C2025,$A$15:$O$36,11,FALSE)," ")</f>
        <v>0</v>
      </c>
      <c r="N2025" s="8">
        <f>IFERROR(VLOOKUP($C2025,$A$15:$O$36,12,FALSE)," ")</f>
        <v>0</v>
      </c>
      <c r="O2025" s="8">
        <f>IFERROR(VLOOKUP($C2025,$A$15:$O$36,15,FALSE)," ")</f>
        <v>2000</v>
      </c>
      <c r="P2025" s="8" t="e">
        <f t="array" ref="P2025:P2035">MMULT(MINVERSE(D2025:N2035),O2025:O2035)</f>
        <v>#NUM!</v>
      </c>
      <c r="Q2025" s="8" t="e">
        <f t="shared" ref="Q2025" si="8752">IF(COUNTIF(P2025:P2035,"&lt;"&amp;-0.001)=0,IF(ABS(P2025)&lt;0.001,0,P2025)," ")</f>
        <v>#NUM!</v>
      </c>
      <c r="R2025" s="8" t="str">
        <f>IFERROR(VLOOKUP(B1816,A$15:L$36,2,FALSE)*Q2025+VLOOKUP(B1816,A$15:L$36,3,FALSE)*Q2026+VLOOKUP(B1816,A$15:L$36,4,FALSE)*Q2027+VLOOKUP(B1816,A$15:L$36,5,FALSE)*Q2028+VLOOKUP(B1816,A$15:L$36,6,FALSE)*Q2029+VLOOKUP(B1816,A$15:L$36,7,FALSE)*Q2030+VLOOKUP(B1816,A$15:L$36,8,FALSE)*Q2031+VLOOKUP(B1816,A$15:L$36,9,FALSE)*Q2032+VLOOKUP(B1816,A$15:L$36,10,FALSE)*Q2033+VLOOKUP(B1816,A$15:L$36,11,FALSE)*Q2034+VLOOKUP(B1816,A$15:L$36,12,FALSE)*Q2035," ")</f>
        <v xml:space="preserve"> </v>
      </c>
      <c r="S2025" s="8" t="str">
        <f>IFERROR(IF(R2025-VLOOKUP(B1816,A$15:O$36,15,FALSE)&lt;0,R2025-VLOOKUP(B1816,A$15:O$36,15,FALSE)," ")," ")</f>
        <v xml:space="preserve"> </v>
      </c>
      <c r="T2025" s="18" t="str">
        <f>IFERROR(IF(R2025-VLOOKUP(B1816,A$15:O$36,15,FALSE)&gt;0,R2025-VLOOKUP(B1816,A$15:O$36,15,FALSE)," ")," ")</f>
        <v xml:space="preserve"> </v>
      </c>
      <c r="U2025" s="34">
        <f t="shared" ref="U2025" si="8753">$M$2</f>
        <v>100.00000000000001</v>
      </c>
      <c r="V2025" s="34">
        <v>-1</v>
      </c>
      <c r="W2025" s="34">
        <f t="shared" ref="W2025" si="8754">-SUMPRODUCT($M$3:$M$12,$N$3:$N$12)</f>
        <v>-105000</v>
      </c>
      <c r="X2025" s="34" t="e">
        <f t="shared" ref="X2025" si="8755">IF(U2025&lt;&gt;U2026,MMULT(MINVERSE(U2025:V2026),W2025:W2026)," ")</f>
        <v>#NUM!</v>
      </c>
      <c r="Y2025" s="34" t="str">
        <f t="shared" ref="Y2025" si="8756">IFERROR(IF(X2025-VLOOKUP(U$38,$A$2:$N$12,14,FALSE)&lt;0,X2025-VLOOKUP(U$38,$A$2:$N$12,14,FALSE)," ")," ")</f>
        <v xml:space="preserve"> </v>
      </c>
      <c r="Z2025" s="34" t="str">
        <f t="shared" ref="Z2025" si="8757">IFERROR(IF(X2025-VLOOKUP(U$38,$A$2:$N$12,14,FALSE)&gt;0,X2025-VLOOKUP(U$38,$A$2:$N$12,14,FALSE)," ")," ")</f>
        <v xml:space="preserve"> </v>
      </c>
      <c r="AA2025" s="34">
        <f t="shared" ref="AA2025" si="8758">$M$3</f>
        <v>0</v>
      </c>
      <c r="AB2025" s="34">
        <v>-1</v>
      </c>
      <c r="AC2025" s="34">
        <f t="shared" ref="AC2025" si="8759">-SUMPRODUCT($M$2:$M$2,$N$2:$N$2)-SUMPRODUCT($M$4:$M$12,$N$4:$N$12)</f>
        <v>-120000</v>
      </c>
      <c r="AD2025" s="34" t="e">
        <f t="shared" ref="AD2025" si="8760">IF(AA2025&lt;&gt;AA2026,MMULT(MINVERSE(AA2025:AB2026),AC2025:AC2026)," ")</f>
        <v>#NUM!</v>
      </c>
      <c r="AE2025" s="34" t="str">
        <f t="shared" ref="AE2025" si="8761">IFERROR(IF(AD2025-VLOOKUP(AA$38,$A$2:$N$12,14,FALSE)&lt;0,AD2025-VLOOKUP(AA$38,$A$2:$N$12,14,FALSE)," ")," ")</f>
        <v xml:space="preserve"> </v>
      </c>
      <c r="AF2025" s="34" t="str">
        <f t="shared" ref="AF2025" si="8762">IFERROR(IF(AD2025-VLOOKUP(AA$38,$A$2:$N$12,14,FALSE)&gt;0,AD2025-VLOOKUP(AA$38,$A$2:$N$12,14,FALSE)," ")," ")</f>
        <v xml:space="preserve"> </v>
      </c>
      <c r="AG2025" s="34">
        <f t="shared" ref="AG2025" si="8763">$M$4</f>
        <v>300</v>
      </c>
      <c r="AH2025" s="34">
        <v>-1</v>
      </c>
      <c r="AI2025" s="34">
        <f t="shared" ref="AI2025" si="8764">-SUMPRODUCT($M$2:$M$3,$N$2:$N$3)-SUMPRODUCT($M$5:$M$12,$N$5:$N$12)</f>
        <v>-15000.000000000002</v>
      </c>
      <c r="AJ2025" s="34" t="e">
        <f t="shared" ref="AJ2025" si="8765">IF(AG2025&lt;&gt;AG2026,MMULT(MINVERSE(AG2025:AH2026),AI2025:AI2026)," ")</f>
        <v>#NUM!</v>
      </c>
      <c r="AK2025" s="34" t="str">
        <f t="shared" ref="AK2025" si="8766">IFERROR(IF(AJ2025-VLOOKUP(AG$38,$A$2:$N$12,14,FALSE)&lt;0,AJ2025-VLOOKUP(AG$38,$A$2:$N$12,14,FALSE)," ")," ")</f>
        <v xml:space="preserve"> </v>
      </c>
      <c r="AL2025" s="34" t="str">
        <f t="shared" ref="AL2025" si="8767">IFERROR(IF(AJ2025-VLOOKUP(AG$38,$A$2:$N$12,14,FALSE)&gt;0,AJ2025-VLOOKUP(AG$38,$A$2:$N$12,14,FALSE)," ")," ")</f>
        <v xml:space="preserve"> </v>
      </c>
      <c r="AM2025" s="34">
        <f t="shared" ref="AM2025" si="8768">$M$5</f>
        <v>0</v>
      </c>
      <c r="AN2025" s="34">
        <v>-1</v>
      </c>
      <c r="AO2025" s="34">
        <f t="shared" ref="AO2025" si="8769">-SUMPRODUCT($M$2:$M$4,$N$2:$N$4)-SUMPRODUCT($M$6:$M$12,$N$6:$N$12)</f>
        <v>-120000</v>
      </c>
      <c r="AP2025" s="34" t="e">
        <f t="shared" ref="AP2025" si="8770">IF(AM2025&lt;&gt;AM2026,MMULT(MINVERSE(AM2025:AN2026),AO2025:AO2026)," ")</f>
        <v>#NUM!</v>
      </c>
      <c r="AQ2025" s="34" t="str">
        <f t="shared" ref="AQ2025" si="8771">IFERROR(IF(AP2025-VLOOKUP(AM$38,$A$2:$N$12,14,FALSE)&lt;0,AP2025-VLOOKUP(AM$38,$A$2:$N$12,14,FALSE)," ")," ")</f>
        <v xml:space="preserve"> </v>
      </c>
      <c r="AR2025" s="34" t="str">
        <f t="shared" ref="AR2025" si="8772">IFERROR(IF(AP2025-VLOOKUP(AM$38,$A$2:$N$12,14,FALSE)&gt;0,AP2025-VLOOKUP(AM$38,$A$2:$N$12,14,FALSE)," ")," ")</f>
        <v xml:space="preserve"> </v>
      </c>
      <c r="AS2025" s="34">
        <f t="shared" ref="AS2025" si="8773">$M$6</f>
        <v>0</v>
      </c>
      <c r="AT2025" s="34">
        <v>-1</v>
      </c>
      <c r="AU2025" s="34">
        <f t="shared" ref="AU2025" si="8774">-SUMPRODUCT($M$2:$M$5,$N$2:$N$5)-SUMPRODUCT($M$7:$M$12,$N$7:$N$12)</f>
        <v>-120000</v>
      </c>
      <c r="AV2025" s="34" t="e">
        <f t="shared" ref="AV2025" si="8775">IF(AS2025&lt;&gt;AS2026,MMULT(MINVERSE(AS2025:AT2026),AU2025:AU2026)," ")</f>
        <v>#NUM!</v>
      </c>
      <c r="AW2025" s="34" t="str">
        <f t="shared" ref="AW2025" si="8776">IFERROR(IF(AV2025-VLOOKUP(AS$38,$A$2:$N$12,14,FALSE)&lt;0,AV2025-VLOOKUP(AS$38,$A$2:$N$12,14,FALSE)," ")," ")</f>
        <v xml:space="preserve"> </v>
      </c>
      <c r="AX2025" s="34" t="str">
        <f t="shared" ref="AX2025" si="8777">IFERROR(IF(AV2025-VLOOKUP(AS$38,$A$2:$N$12,14,FALSE)&gt;0,AV2025-VLOOKUP(AS$38,$A$2:$N$12,14,FALSE)," ")," ")</f>
        <v xml:space="preserve"> </v>
      </c>
      <c r="AY2025" s="34">
        <f t="shared" ref="AY2025" si="8778">$M$7</f>
        <v>0</v>
      </c>
      <c r="AZ2025" s="34">
        <v>-1</v>
      </c>
      <c r="BA2025" s="34">
        <f t="shared" ref="BA2025" si="8779">-SUMPRODUCT($M$2:$M$6,$N$2:$N$6)-SUMPRODUCT($M$8:$M$12,$N$8:$N$12)</f>
        <v>-120000</v>
      </c>
      <c r="BB2025" s="34" t="e">
        <f t="shared" ref="BB2025" si="8780">IF(AY2025&lt;&gt;AY2026,MMULT(MINVERSE(AY2025:AZ2026),BA2025:BA2026)," ")</f>
        <v>#NUM!</v>
      </c>
      <c r="BC2025" s="34" t="str">
        <f t="shared" ref="BC2025" si="8781">IFERROR(IF(BB2025-VLOOKUP(AY$38,$A$2:$N$12,14,FALSE)&lt;0,BB2025-VLOOKUP(AY$38,$A$2:$N$12,14,FALSE)," ")," ")</f>
        <v xml:space="preserve"> </v>
      </c>
      <c r="BD2025" s="34" t="str">
        <f t="shared" ref="BD2025" si="8782">IFERROR(IF(BB2025-VLOOKUP(AY$38,$A$2:$N$12,14,FALSE)&gt;0,BB2025-VLOOKUP(AY$38,$A$2:$N$12,14,FALSE)," ")," ")</f>
        <v xml:space="preserve"> </v>
      </c>
      <c r="BE2025" s="34">
        <f t="shared" ref="BE2025" si="8783">$M$8</f>
        <v>0</v>
      </c>
      <c r="BF2025" s="34">
        <v>-1</v>
      </c>
      <c r="BG2025" s="34">
        <f t="shared" ref="BG2025" si="8784">-SUMPRODUCT($M$2:$M$7,$N$2:$N$7)-SUMPRODUCT($M$9:$M$12,$N$9:$N$12)</f>
        <v>-120000</v>
      </c>
      <c r="BH2025" s="34" t="e">
        <f t="shared" ref="BH2025" si="8785">IF(BE2025&lt;&gt;BE2026,MMULT(MINVERSE(BE2025:BF2026),BG2025:BG2026)," ")</f>
        <v>#NUM!</v>
      </c>
      <c r="BI2025" s="34" t="str">
        <f t="shared" ref="BI2025" si="8786">IFERROR(IF(BH2025-VLOOKUP(BE$38,$A$2:$N$12,14,FALSE)&lt;0,BH2025-VLOOKUP(BE$38,$A$2:$N$12,14,FALSE)," ")," ")</f>
        <v xml:space="preserve"> </v>
      </c>
      <c r="BJ2025" s="34" t="str">
        <f t="shared" ref="BJ2025" si="8787">IFERROR(IF(BH2025-VLOOKUP(BE$38,$A$2:$N$12,14,FALSE)&gt;0,BH2025-VLOOKUP(BE$38,$A$2:$N$12,14,FALSE)," ")," ")</f>
        <v xml:space="preserve"> </v>
      </c>
      <c r="BK2025" s="34">
        <f t="shared" ref="BK2025" si="8788">$M$9</f>
        <v>0</v>
      </c>
      <c r="BL2025" s="34">
        <v>-1</v>
      </c>
      <c r="BM2025" s="34">
        <f t="shared" ref="BM2025" si="8789">-SUMPRODUCT($M$2:$M$8,$N$2:$N$8)-SUMPRODUCT($M$10:$M$12,$N$10:$N$12)</f>
        <v>-120000</v>
      </c>
      <c r="BN2025" s="34" t="e">
        <f t="shared" ref="BN2025" si="8790">IF(BK2025&lt;&gt;BK2026,MMULT(MINVERSE(BK2025:BL2026),BM2025:BM2026)," ")</f>
        <v>#NUM!</v>
      </c>
      <c r="BO2025" s="34" t="str">
        <f t="shared" ref="BO2025" si="8791">IFERROR(IF(BN2025-VLOOKUP(BK$38,$A$2:$N$12,14,FALSE)&lt;0,BN2025-VLOOKUP(BK$38,$A$2:$N$12,14,FALSE)," ")," ")</f>
        <v xml:space="preserve"> </v>
      </c>
      <c r="BP2025" s="34" t="str">
        <f t="shared" ref="BP2025" si="8792">IFERROR(IF(BN2025-VLOOKUP(BK$38,$A$2:$N$12,14,FALSE)&gt;0,BN2025-VLOOKUP(BK$38,$A$2:$N$12,14,FALSE)," ")," ")</f>
        <v xml:space="preserve"> </v>
      </c>
      <c r="BQ2025" s="34">
        <f t="shared" ref="BQ2025" si="8793">$M$10</f>
        <v>0</v>
      </c>
      <c r="BR2025" s="34">
        <v>-1</v>
      </c>
      <c r="BS2025" s="34">
        <f t="shared" ref="BS2025" si="8794">-SUMPRODUCT($M$2:$M$9,$N$2:$N$9)-SUMPRODUCT($M$11:$M$12,$N$11:$N$12)</f>
        <v>-120000</v>
      </c>
      <c r="BT2025" s="34" t="e">
        <f t="shared" ref="BT2025" si="8795">IF(BQ2025&lt;&gt;BQ2026,MMULT(MINVERSE(BQ2025:BR2026),BS2025:BS2026)," ")</f>
        <v>#NUM!</v>
      </c>
      <c r="BU2025" s="34" t="str">
        <f t="shared" ref="BU2025" si="8796">IFERROR(IF(BT2025-VLOOKUP(BQ$38,$A$2:$N$12,14,FALSE)&lt;0,BT2025-VLOOKUP(BQ$38,$A$2:$N$12,14,FALSE)," ")," ")</f>
        <v xml:space="preserve"> </v>
      </c>
      <c r="BV2025" s="34" t="str">
        <f t="shared" ref="BV2025" si="8797">IFERROR(IF(BT2025-VLOOKUP(BQ$38,$A$2:$N$12,14,FALSE)&gt;0,BT2025-VLOOKUP(BQ$38,$A$2:$N$12,14,FALSE)," ")," ")</f>
        <v xml:space="preserve"> </v>
      </c>
      <c r="BW2025" s="34">
        <f t="shared" ref="BW2025" si="8798">$M$11</f>
        <v>0</v>
      </c>
      <c r="BX2025" s="34">
        <v>-1</v>
      </c>
      <c r="BY2025" s="34">
        <f t="shared" ref="BY2025" si="8799">-SUMPRODUCT($M$2:$M$10,$N$2:$N$10)-SUMPRODUCT($M$12,$N$12)</f>
        <v>-120000</v>
      </c>
      <c r="BZ2025" s="34" t="e">
        <f t="shared" ref="BZ2025" si="8800">IF(BW2025&lt;&gt;BW2026,MMULT(MINVERSE(BW2025:BX2026),BY2025:BY2026)," ")</f>
        <v>#NUM!</v>
      </c>
      <c r="CA2025" s="34" t="str">
        <f t="shared" ref="CA2025" si="8801">IFERROR(IF(BZ2025-VLOOKUP(BW$38,$A$2:$N$12,14,FALSE)&lt;0,BZ2025-VLOOKUP(BW$38,$A$2:$N$12,14,FALSE)," ")," ")</f>
        <v xml:space="preserve"> </v>
      </c>
      <c r="CB2025" s="34" t="str">
        <f t="shared" ref="CB2025" si="8802">IFERROR(IF(BZ2025-VLOOKUP(BW$38,$A$2:$N$12,14,FALSE)&gt;0,BZ2025-VLOOKUP(BW$38,$A$2:$N$12,14,FALSE)," ")," ")</f>
        <v xml:space="preserve"> </v>
      </c>
      <c r="CC2025" s="34">
        <f t="shared" ref="CC2025" si="8803">$M$12</f>
        <v>0</v>
      </c>
      <c r="CD2025" s="34">
        <v>-1</v>
      </c>
      <c r="CE2025" s="34">
        <f t="shared" ref="CE2025" si="8804">-SUMPRODUCT($M$2:$M$11,$N$2:$N$11)</f>
        <v>-120000</v>
      </c>
      <c r="CF2025" s="34" t="e">
        <f t="shared" ref="CF2025" si="8805">IF(CC2025&lt;&gt;CC2026,MMULT(MINVERSE(CC2025:CD2026),CE2025:CE2026)," ")</f>
        <v>#NUM!</v>
      </c>
      <c r="CG2025" s="34" t="str">
        <f t="shared" ref="CG2025" si="8806">IFERROR(IF(CF2025-VLOOKUP(CC$38,$A$2:$N$12,14,FALSE)&lt;0,CF2025-VLOOKUP(CC$38,$A$2:$N$12,14,FALSE)," ")," ")</f>
        <v xml:space="preserve"> </v>
      </c>
      <c r="CH2025" s="34" t="str">
        <f t="shared" ref="CH2025" si="8807">IFERROR(IF(CF2025-VLOOKUP(CC$38,$A$2:$N$12,14,FALSE)&gt;0,CF2025-VLOOKUP(CC$38,$A$2:$N$12,14,FALSE)," ")," ")</f>
        <v xml:space="preserve"> </v>
      </c>
      <c r="CI2025" s="8"/>
    </row>
    <row r="2026" spans="1:87" x14ac:dyDescent="0.2">
      <c r="A2026" s="8" t="str">
        <f>IF(AND(COUNTIF(W$3:W$13,A$16)&gt;0,A$16&lt;&gt;B1816),A$16,IFERROR(IF(MATCH(A$16,Z$3:Z$13,0)=10,A$16," ")," "))</f>
        <v xml:space="preserve"> </v>
      </c>
      <c r="B2026" s="8" t="str">
        <f>IF(A2026=" "," ",MAX(B2025:B2025)+1)</f>
        <v xml:space="preserve"> </v>
      </c>
      <c r="C2026" s="8" t="str">
        <f>IFERROR(INDEX(A2025:A2046,MATCH(SMALL(B2025:B2046,2),B2025:B2046,0),1)," ")</f>
        <v>C4</v>
      </c>
      <c r="D2026" s="8">
        <f t="shared" ref="D2026:D2035" si="8808">IFERROR(VLOOKUP($C2026,$A$15:$O$36,2,FALSE)," ")</f>
        <v>1</v>
      </c>
      <c r="E2026" s="8">
        <f t="shared" ref="E2026:E2035" si="8809">IFERROR(VLOOKUP($C2026,$A$15:$O$36,3,FALSE)," ")</f>
        <v>0</v>
      </c>
      <c r="F2026" s="8">
        <f t="shared" ref="F2026:F2035" si="8810">IFERROR(VLOOKUP($C2026,$A$15:$O$36,4,FALSE)," ")</f>
        <v>1</v>
      </c>
      <c r="G2026" s="8">
        <f t="shared" ref="G2026:G2035" si="8811">IFERROR(VLOOKUP($C2026,$A$15:$O$36,5,FALSE)," ")</f>
        <v>0</v>
      </c>
      <c r="H2026" s="8">
        <f t="shared" ref="H2026:H2035" si="8812">IFERROR(VLOOKUP($C2026,$A$15:$O$36,6,FALSE)," ")</f>
        <v>0</v>
      </c>
      <c r="I2026" s="8">
        <f t="shared" ref="I2026:I2035" si="8813">IFERROR(VLOOKUP($C2026,$A$15:$O$36,7,FALSE)," ")</f>
        <v>0</v>
      </c>
      <c r="J2026" s="8">
        <f t="shared" ref="J2026:J2035" si="8814">IFERROR(VLOOKUP($C2026,$A$15:$O$36,8,FALSE)," ")</f>
        <v>0</v>
      </c>
      <c r="K2026" s="8">
        <f t="shared" ref="K2026:K2035" si="8815">IFERROR(VLOOKUP($C2026,$A$15:$O$36,9,FALSE)," ")</f>
        <v>0</v>
      </c>
      <c r="L2026" s="8">
        <f t="shared" ref="L2026:L2035" si="8816">IFERROR(VLOOKUP($C2026,$A$15:$O$36,10,FALSE)," ")</f>
        <v>0</v>
      </c>
      <c r="M2026" s="8">
        <f t="shared" ref="M2026:M2035" si="8817">IFERROR(VLOOKUP($C2026,$A$15:$O$36,11,FALSE)," ")</f>
        <v>0</v>
      </c>
      <c r="N2026" s="8">
        <f t="shared" ref="N2026:N2035" si="8818">IFERROR(VLOOKUP($C2026,$A$15:$O$36,12,FALSE)," ")</f>
        <v>0</v>
      </c>
      <c r="O2026" s="8">
        <f t="shared" ref="O2026:O2035" si="8819">IFERROR(VLOOKUP($C2026,$A$15:$O$36,15,FALSE)," ")</f>
        <v>400</v>
      </c>
      <c r="P2026" s="8" t="e">
        <v>#NUM!</v>
      </c>
      <c r="Q2026" s="8" t="e">
        <f t="shared" ref="Q2026" si="8820">IF(COUNTIF(P2025:P2035,"&lt;"&amp;-0.001)=0,IF(ABS(P2026)&lt;0.001,0,P2026)," ")</f>
        <v>#NUM!</v>
      </c>
      <c r="R2026" s="8"/>
      <c r="S2026" s="8"/>
      <c r="U2026" s="34" t="e">
        <f t="shared" ref="U2026" si="8821">$Q2025</f>
        <v>#NUM!</v>
      </c>
      <c r="V2026" s="34">
        <v>-1</v>
      </c>
      <c r="W2026" s="34" t="e">
        <f t="shared" ref="W2026" si="8822">-SUMPRODUCT($Q2026:$Q2035,$N$3:$N$12)</f>
        <v>#NUM!</v>
      </c>
      <c r="X2026" s="34"/>
      <c r="Y2026" s="34"/>
      <c r="Z2026" s="34"/>
      <c r="AA2026" s="34" t="e">
        <f t="shared" ref="AA2026" si="8823">$Q2026</f>
        <v>#NUM!</v>
      </c>
      <c r="AB2026" s="34">
        <v>-1</v>
      </c>
      <c r="AC2026" s="34" t="e">
        <f t="shared" ref="AC2026" si="8824">-SUMPRODUCT($Q2025:$Q2025,$N$2:$N$2)-SUMPRODUCT($Q2027:$Q2035,$N$4:$N$12)</f>
        <v>#NUM!</v>
      </c>
      <c r="AD2026" s="34"/>
      <c r="AE2026" s="34"/>
      <c r="AF2026" s="34"/>
      <c r="AG2026" s="34" t="e">
        <f t="shared" ref="AG2026" si="8825">$Q2027</f>
        <v>#NUM!</v>
      </c>
      <c r="AH2026" s="34">
        <v>-1</v>
      </c>
      <c r="AI2026" s="34" t="e">
        <f t="shared" ref="AI2026" si="8826">-SUMPRODUCT($Q2025:$Q2026,$N$2:$N$3)-SUMPRODUCT($Q2028:$Q2035,$N$5:$N$12)</f>
        <v>#NUM!</v>
      </c>
      <c r="AJ2026" s="34"/>
      <c r="AK2026" s="34"/>
      <c r="AL2026" s="34"/>
      <c r="AM2026" s="34" t="e">
        <f t="shared" ref="AM2026" si="8827">$Q2028</f>
        <v>#NUM!</v>
      </c>
      <c r="AN2026" s="34">
        <v>-1</v>
      </c>
      <c r="AO2026" s="34" t="e">
        <f t="shared" ref="AO2026" si="8828">-SUMPRODUCT($Q2025:$Q2027,$N$2:$N$4)-SUMPRODUCT($Q2029:$Q2035,$N$6:$N$12)</f>
        <v>#NUM!</v>
      </c>
      <c r="AP2026" s="34"/>
      <c r="AQ2026" s="34"/>
      <c r="AR2026" s="34"/>
      <c r="AS2026" s="34" t="e">
        <f t="shared" ref="AS2026" si="8829">$Q2029</f>
        <v>#NUM!</v>
      </c>
      <c r="AT2026" s="34">
        <v>-1</v>
      </c>
      <c r="AU2026" s="34" t="e">
        <f t="shared" ref="AU2026" si="8830">-SUMPRODUCT($Q2025:$Q2028,$N$2:$N$5)-SUMPRODUCT($Q2030:$Q2035,$N$7:$N$12)</f>
        <v>#NUM!</v>
      </c>
      <c r="AV2026" s="34"/>
      <c r="AW2026" s="34"/>
      <c r="AX2026" s="34"/>
      <c r="AY2026" s="34" t="e">
        <f t="shared" ref="AY2026" si="8831">$Q2030</f>
        <v>#NUM!</v>
      </c>
      <c r="AZ2026" s="34">
        <v>-1</v>
      </c>
      <c r="BA2026" s="34" t="e">
        <f t="shared" ref="BA2026" si="8832">-SUMPRODUCT($Q2025:$Q2029,$N$2:$N$6)-SUMPRODUCT($Q2031:$Q2035,$N$8:$N$12)</f>
        <v>#NUM!</v>
      </c>
      <c r="BB2026" s="34"/>
      <c r="BC2026" s="34"/>
      <c r="BD2026" s="34"/>
      <c r="BE2026" s="34" t="e">
        <f t="shared" ref="BE2026" si="8833">$Q2031</f>
        <v>#NUM!</v>
      </c>
      <c r="BF2026" s="34">
        <v>-1</v>
      </c>
      <c r="BG2026" s="34" t="e">
        <f t="shared" ref="BG2026" si="8834">-SUMPRODUCT($Q2025:$Q2030,$N$2:$N$7)-SUMPRODUCT($Q2032:$Q2035,$N$9:$N$12)</f>
        <v>#NUM!</v>
      </c>
      <c r="BH2026" s="34"/>
      <c r="BI2026" s="34"/>
      <c r="BJ2026" s="34"/>
      <c r="BK2026" s="34" t="e">
        <f t="shared" ref="BK2026" si="8835">$Q2032</f>
        <v>#NUM!</v>
      </c>
      <c r="BL2026" s="34">
        <v>-1</v>
      </c>
      <c r="BM2026" s="34" t="e">
        <f t="shared" ref="BM2026" si="8836">-SUMPRODUCT($Q2025:$Q2031,$N$2:$N$8)-SUMPRODUCT($Q2033:$Q2035,$N$10:$N$12)</f>
        <v>#NUM!</v>
      </c>
      <c r="BN2026" s="34"/>
      <c r="BO2026" s="34"/>
      <c r="BP2026" s="34"/>
      <c r="BQ2026" s="34" t="e">
        <f t="shared" ref="BQ2026" si="8837">$Q2033</f>
        <v>#NUM!</v>
      </c>
      <c r="BR2026" s="34">
        <v>-1</v>
      </c>
      <c r="BS2026" s="34" t="e">
        <f t="shared" ref="BS2026" si="8838">-SUMPRODUCT($Q2025:$Q2032,$N$2:$N$9)-SUMPRODUCT($Q2034:$Q2035,$N$11:$N$12)</f>
        <v>#NUM!</v>
      </c>
      <c r="BT2026" s="34"/>
      <c r="BU2026" s="34"/>
      <c r="BV2026" s="34"/>
      <c r="BW2026" s="34" t="e">
        <f t="shared" ref="BW2026" si="8839">$Q2034</f>
        <v>#NUM!</v>
      </c>
      <c r="BX2026" s="34">
        <v>-1</v>
      </c>
      <c r="BY2026" s="34" t="e">
        <f t="shared" ref="BY2026" si="8840">-SUMPRODUCT($Q2025:$Q2033,$N$2:$N$10)-SUMPRODUCT($Q2035,$N$12)</f>
        <v>#NUM!</v>
      </c>
      <c r="BZ2026" s="34"/>
      <c r="CA2026" s="34"/>
      <c r="CB2026" s="34"/>
      <c r="CC2026" s="34" t="e">
        <f t="shared" ref="CC2026" si="8841">$Q2035</f>
        <v>#NUM!</v>
      </c>
      <c r="CD2026" s="34">
        <v>-1</v>
      </c>
      <c r="CE2026" s="34" t="e">
        <f t="shared" ref="CE2026" si="8842">-SUMPRODUCT($Q2025:$Q2034,$N$2:$N$11)</f>
        <v>#NUM!</v>
      </c>
      <c r="CF2026" s="34"/>
      <c r="CG2026" s="34"/>
      <c r="CH2026" s="34"/>
      <c r="CI2026" s="8"/>
    </row>
    <row r="2027" spans="1:87" x14ac:dyDescent="0.2">
      <c r="A2027" s="8" t="str">
        <f>IF(AND(COUNTIF(W$3:W$13,A$17)&gt;0,A$17&lt;&gt;B1816),A$17,IFERROR(IF(MATCH(A$17,Z$3:Z$13,0)=10,A$17," ")," "))</f>
        <v>C3</v>
      </c>
      <c r="B2027" s="8">
        <f>IF(A2027=" "," ",MAX(B2025:B2026)+1)</f>
        <v>1</v>
      </c>
      <c r="C2027" s="8" t="str">
        <f>IFERROR(INDEX(A2025:A2046,MATCH(SMALL(B2025:B2046,3),B2025:B2046,0),1)," ")</f>
        <v>C12</v>
      </c>
      <c r="D2027" s="8">
        <f t="shared" si="8808"/>
        <v>1</v>
      </c>
      <c r="E2027" s="8">
        <f t="shared" si="8809"/>
        <v>0</v>
      </c>
      <c r="F2027" s="8">
        <f t="shared" si="8810"/>
        <v>0</v>
      </c>
      <c r="G2027" s="8">
        <f t="shared" si="8811"/>
        <v>0</v>
      </c>
      <c r="H2027" s="8">
        <f t="shared" si="8812"/>
        <v>0</v>
      </c>
      <c r="I2027" s="8">
        <f t="shared" si="8813"/>
        <v>0</v>
      </c>
      <c r="J2027" s="8">
        <f t="shared" si="8814"/>
        <v>0</v>
      </c>
      <c r="K2027" s="8">
        <f t="shared" si="8815"/>
        <v>0</v>
      </c>
      <c r="L2027" s="8">
        <f t="shared" si="8816"/>
        <v>0</v>
      </c>
      <c r="M2027" s="8">
        <f t="shared" si="8817"/>
        <v>0</v>
      </c>
      <c r="N2027" s="8">
        <f t="shared" si="8818"/>
        <v>0</v>
      </c>
      <c r="O2027" s="8">
        <f t="shared" si="8819"/>
        <v>0</v>
      </c>
      <c r="P2027" s="8" t="e">
        <v>#NUM!</v>
      </c>
      <c r="Q2027" s="8" t="e">
        <f t="shared" ref="Q2027" si="8843">IF(COUNTIF(P2025:P2035,"&lt;"&amp;-0.001)=0,IF(ABS(P2027)&lt;0.001,0,P2027)," ")</f>
        <v>#NUM!</v>
      </c>
      <c r="R2027" s="8"/>
      <c r="S2027" s="8"/>
      <c r="U2027" s="34"/>
      <c r="V2027" s="34"/>
      <c r="W2027" s="34"/>
      <c r="X2027" s="34"/>
      <c r="Y2027" s="34"/>
      <c r="Z2027" s="34"/>
      <c r="AA2027" s="34"/>
      <c r="AB2027" s="34"/>
      <c r="AC2027" s="34"/>
      <c r="AD2027" s="34"/>
      <c r="AE2027" s="34"/>
      <c r="AF2027" s="34"/>
      <c r="AG2027" s="34"/>
      <c r="AH2027" s="34"/>
      <c r="AI2027" s="34"/>
      <c r="AJ2027" s="34"/>
      <c r="AK2027" s="34"/>
      <c r="AL2027" s="34"/>
      <c r="AM2027" s="34"/>
      <c r="AN2027" s="34"/>
      <c r="AO2027" s="34"/>
      <c r="AP2027" s="34"/>
      <c r="AQ2027" s="34"/>
      <c r="AR2027" s="34"/>
      <c r="AS2027" s="34"/>
      <c r="AT2027" s="34"/>
      <c r="AU2027" s="34"/>
      <c r="AV2027" s="34"/>
      <c r="AW2027" s="34"/>
      <c r="AX2027" s="34"/>
      <c r="AY2027" s="34"/>
      <c r="AZ2027" s="34"/>
      <c r="BA2027" s="34"/>
      <c r="BB2027" s="34"/>
      <c r="BC2027" s="34"/>
      <c r="BD2027" s="34"/>
      <c r="BE2027" s="34"/>
      <c r="BF2027" s="34"/>
      <c r="BG2027" s="34"/>
      <c r="BH2027" s="34"/>
      <c r="BI2027" s="34"/>
      <c r="BJ2027" s="34"/>
      <c r="BK2027" s="34"/>
      <c r="BL2027" s="34"/>
      <c r="BM2027" s="34"/>
      <c r="BN2027" s="34"/>
      <c r="BO2027" s="34"/>
      <c r="BP2027" s="34"/>
      <c r="BQ2027" s="34"/>
      <c r="BR2027" s="34"/>
      <c r="BS2027" s="34"/>
      <c r="BT2027" s="34"/>
      <c r="BU2027" s="34"/>
      <c r="BV2027" s="34"/>
      <c r="BW2027" s="34"/>
      <c r="BX2027" s="34"/>
      <c r="BY2027" s="34"/>
      <c r="BZ2027" s="34"/>
      <c r="CA2027" s="34"/>
      <c r="CB2027" s="34"/>
      <c r="CC2027" s="34"/>
      <c r="CD2027" s="34"/>
      <c r="CE2027" s="34"/>
      <c r="CF2027" s="34"/>
      <c r="CG2027" s="34"/>
      <c r="CH2027" s="34"/>
      <c r="CI2027" s="8"/>
    </row>
    <row r="2028" spans="1:87" x14ac:dyDescent="0.2">
      <c r="A2028" s="8" t="str">
        <f>IF(AND(COUNTIF(W$3:W$13,A$18)&gt;0,A$18&lt;&gt;B1816),A$18,IFERROR(IF(MATCH(A$18,Z$3:Z$13,0)=10,A$18," ")," "))</f>
        <v>C4</v>
      </c>
      <c r="B2028" s="8">
        <f>IF(A2028=" "," ",MAX(B2025:B2027)+1)</f>
        <v>2</v>
      </c>
      <c r="C2028" s="8" t="str">
        <f>IFERROR(INDEX(A2025:A2046,MATCH(SMALL(B2025:B2046,4),B2025:B2046,0),1)," ")</f>
        <v>C13</v>
      </c>
      <c r="D2028" s="8">
        <f t="shared" si="8808"/>
        <v>0</v>
      </c>
      <c r="E2028" s="8">
        <f t="shared" si="8809"/>
        <v>1</v>
      </c>
      <c r="F2028" s="8">
        <f t="shared" si="8810"/>
        <v>0</v>
      </c>
      <c r="G2028" s="8">
        <f t="shared" si="8811"/>
        <v>0</v>
      </c>
      <c r="H2028" s="8">
        <f t="shared" si="8812"/>
        <v>0</v>
      </c>
      <c r="I2028" s="8">
        <f t="shared" si="8813"/>
        <v>0</v>
      </c>
      <c r="J2028" s="8">
        <f t="shared" si="8814"/>
        <v>0</v>
      </c>
      <c r="K2028" s="8">
        <f t="shared" si="8815"/>
        <v>0</v>
      </c>
      <c r="L2028" s="8">
        <f t="shared" si="8816"/>
        <v>0</v>
      </c>
      <c r="M2028" s="8">
        <f t="shared" si="8817"/>
        <v>0</v>
      </c>
      <c r="N2028" s="8">
        <f t="shared" si="8818"/>
        <v>0</v>
      </c>
      <c r="O2028" s="8">
        <f t="shared" si="8819"/>
        <v>0</v>
      </c>
      <c r="P2028" s="8" t="e">
        <v>#NUM!</v>
      </c>
      <c r="Q2028" s="8" t="e">
        <f t="shared" ref="Q2028" si="8844">IF(COUNTIF(P2025:P2035,"&lt;"&amp;-0.001)=0,IF(ABS(P2028)&lt;0.001,0,P2028)," ")</f>
        <v>#NUM!</v>
      </c>
      <c r="R2028" s="8"/>
      <c r="S2028" s="8"/>
      <c r="U2028" s="34"/>
      <c r="V2028" s="34"/>
      <c r="W2028" s="34"/>
      <c r="X2028" s="34"/>
      <c r="Y2028" s="34"/>
      <c r="Z2028" s="34"/>
      <c r="AA2028" s="34"/>
      <c r="AB2028" s="34"/>
      <c r="AC2028" s="34"/>
      <c r="AD2028" s="34"/>
      <c r="AE2028" s="34"/>
      <c r="AF2028" s="34"/>
      <c r="AG2028" s="34"/>
      <c r="AH2028" s="34"/>
      <c r="AI2028" s="34"/>
      <c r="AJ2028" s="34"/>
      <c r="AK2028" s="34"/>
      <c r="AL2028" s="34"/>
      <c r="AM2028" s="34"/>
      <c r="AN2028" s="34"/>
      <c r="AO2028" s="34"/>
      <c r="AP2028" s="34"/>
      <c r="AQ2028" s="34"/>
      <c r="AR2028" s="34"/>
      <c r="AS2028" s="34"/>
      <c r="AT2028" s="34"/>
      <c r="AU2028" s="34"/>
      <c r="AV2028" s="34"/>
      <c r="AW2028" s="34"/>
      <c r="AX2028" s="34"/>
      <c r="AY2028" s="34"/>
      <c r="AZ2028" s="34"/>
      <c r="BA2028" s="34"/>
      <c r="BB2028" s="34"/>
      <c r="BC2028" s="34"/>
      <c r="BD2028" s="34"/>
      <c r="BE2028" s="34"/>
      <c r="BF2028" s="34"/>
      <c r="BG2028" s="34"/>
      <c r="BH2028" s="34"/>
      <c r="BI2028" s="34"/>
      <c r="BJ2028" s="34"/>
      <c r="BK2028" s="34"/>
      <c r="BL2028" s="34"/>
      <c r="BM2028" s="34"/>
      <c r="BN2028" s="34"/>
      <c r="BO2028" s="34"/>
      <c r="BP2028" s="34"/>
      <c r="BQ2028" s="34"/>
      <c r="BR2028" s="34"/>
      <c r="BS2028" s="34"/>
      <c r="BT2028" s="34"/>
      <c r="BU2028" s="34"/>
      <c r="BV2028" s="34"/>
      <c r="BW2028" s="34"/>
      <c r="BX2028" s="34"/>
      <c r="BY2028" s="34"/>
      <c r="BZ2028" s="34"/>
      <c r="CA2028" s="34"/>
      <c r="CB2028" s="34"/>
      <c r="CC2028" s="34"/>
      <c r="CD2028" s="34"/>
      <c r="CE2028" s="34"/>
      <c r="CF2028" s="34"/>
      <c r="CG2028" s="34"/>
      <c r="CH2028" s="34"/>
      <c r="CI2028" s="8"/>
    </row>
    <row r="2029" spans="1:87" x14ac:dyDescent="0.2">
      <c r="A2029" s="8" t="str">
        <f>IF(AND(COUNTIF(W$3:W$13,A$19)&gt;0,A$19&lt;&gt;B1816),A$19,IFERROR(IF(MATCH(A$19,Z$3:Z$13,0)=10,A$19," ")," "))</f>
        <v xml:space="preserve"> </v>
      </c>
      <c r="B2029" s="8" t="str">
        <f>IF(A2029=" "," ",MAX(B2025:B2028)+1)</f>
        <v xml:space="preserve"> </v>
      </c>
      <c r="C2029" s="8" t="str">
        <f>IFERROR(INDEX(A2025:A2046,MATCH(SMALL(B2025:B2046,5),B2025:B2046,0),1)," ")</f>
        <v>C15</v>
      </c>
      <c r="D2029" s="8">
        <f t="shared" si="8808"/>
        <v>0</v>
      </c>
      <c r="E2029" s="8">
        <f t="shared" si="8809"/>
        <v>0</v>
      </c>
      <c r="F2029" s="8">
        <f t="shared" si="8810"/>
        <v>0</v>
      </c>
      <c r="G2029" s="8">
        <f t="shared" si="8811"/>
        <v>1</v>
      </c>
      <c r="H2029" s="8">
        <f t="shared" si="8812"/>
        <v>0</v>
      </c>
      <c r="I2029" s="8">
        <f t="shared" si="8813"/>
        <v>0</v>
      </c>
      <c r="J2029" s="8">
        <f t="shared" si="8814"/>
        <v>0</v>
      </c>
      <c r="K2029" s="8">
        <f t="shared" si="8815"/>
        <v>0</v>
      </c>
      <c r="L2029" s="8">
        <f t="shared" si="8816"/>
        <v>0</v>
      </c>
      <c r="M2029" s="8">
        <f t="shared" si="8817"/>
        <v>0</v>
      </c>
      <c r="N2029" s="8">
        <f t="shared" si="8818"/>
        <v>0</v>
      </c>
      <c r="O2029" s="8">
        <f t="shared" si="8819"/>
        <v>0</v>
      </c>
      <c r="P2029" s="8" t="e">
        <v>#NUM!</v>
      </c>
      <c r="Q2029" s="8" t="e">
        <f t="shared" ref="Q2029" si="8845">IF(COUNTIF(P2025:P2035,"&lt;"&amp;-0.001)=0,IF(ABS(P2029)&lt;0.001,0,P2029)," ")</f>
        <v>#NUM!</v>
      </c>
      <c r="R2029" s="8"/>
      <c r="S2029" s="8"/>
      <c r="U2029" s="34"/>
      <c r="V2029" s="34"/>
      <c r="W2029" s="34"/>
      <c r="X2029" s="34"/>
      <c r="Y2029" s="34"/>
      <c r="Z2029" s="34"/>
      <c r="AA2029" s="34"/>
      <c r="AB2029" s="34"/>
      <c r="AC2029" s="34"/>
      <c r="AD2029" s="34"/>
      <c r="AE2029" s="34"/>
      <c r="AF2029" s="34"/>
      <c r="AG2029" s="34"/>
      <c r="AH2029" s="34"/>
      <c r="AI2029" s="34"/>
      <c r="AJ2029" s="34"/>
      <c r="AK2029" s="34"/>
      <c r="AL2029" s="34"/>
      <c r="AM2029" s="34"/>
      <c r="AN2029" s="34"/>
      <c r="AO2029" s="34"/>
      <c r="AP2029" s="34"/>
      <c r="AQ2029" s="34"/>
      <c r="AR2029" s="34"/>
      <c r="AS2029" s="34"/>
      <c r="AT2029" s="34"/>
      <c r="AU2029" s="34"/>
      <c r="AV2029" s="34"/>
      <c r="AW2029" s="34"/>
      <c r="AX2029" s="34"/>
      <c r="AY2029" s="34"/>
      <c r="AZ2029" s="34"/>
      <c r="BA2029" s="34"/>
      <c r="BB2029" s="34"/>
      <c r="BC2029" s="34"/>
      <c r="BD2029" s="34"/>
      <c r="BE2029" s="34"/>
      <c r="BF2029" s="34"/>
      <c r="BG2029" s="34"/>
      <c r="BH2029" s="34"/>
      <c r="BI2029" s="34"/>
      <c r="BJ2029" s="34"/>
      <c r="BK2029" s="34"/>
      <c r="BL2029" s="34"/>
      <c r="BM2029" s="34"/>
      <c r="BN2029" s="34"/>
      <c r="BO2029" s="34"/>
      <c r="BP2029" s="34"/>
      <c r="BQ2029" s="34"/>
      <c r="BR2029" s="34"/>
      <c r="BS2029" s="34"/>
      <c r="BT2029" s="34"/>
      <c r="BU2029" s="34"/>
      <c r="BV2029" s="34"/>
      <c r="BW2029" s="34"/>
      <c r="BX2029" s="34"/>
      <c r="BY2029" s="34"/>
      <c r="BZ2029" s="34"/>
      <c r="CA2029" s="34"/>
      <c r="CB2029" s="34"/>
      <c r="CC2029" s="34"/>
      <c r="CD2029" s="34"/>
      <c r="CE2029" s="34"/>
      <c r="CF2029" s="34"/>
      <c r="CG2029" s="34"/>
      <c r="CH2029" s="34"/>
      <c r="CI2029" s="8"/>
    </row>
    <row r="2030" spans="1:87" x14ac:dyDescent="0.2">
      <c r="A2030" s="8" t="str">
        <f>IF(AND(COUNTIF(W$3:W$13,A$20)&gt;0,A$20&lt;&gt;B1816),A$20,IFERROR(IF(MATCH(A$20,Z$3:Z$13,0)=10,A$20," ")," "))</f>
        <v xml:space="preserve"> </v>
      </c>
      <c r="B2030" s="8" t="str">
        <f>IF(A2030=" "," ",MAX(B2025:B2029)+1)</f>
        <v xml:space="preserve"> </v>
      </c>
      <c r="C2030" s="8" t="str">
        <f>IFERROR(INDEX(A2025:A2046,MATCH(SMALL(B2025:B2046,6),B2025:B2046,0),1)," ")</f>
        <v>C16</v>
      </c>
      <c r="D2030" s="8">
        <f t="shared" si="8808"/>
        <v>0</v>
      </c>
      <c r="E2030" s="8">
        <f t="shared" si="8809"/>
        <v>0</v>
      </c>
      <c r="F2030" s="8">
        <f t="shared" si="8810"/>
        <v>0</v>
      </c>
      <c r="G2030" s="8">
        <f t="shared" si="8811"/>
        <v>0</v>
      </c>
      <c r="H2030" s="8">
        <f t="shared" si="8812"/>
        <v>1</v>
      </c>
      <c r="I2030" s="8">
        <f t="shared" si="8813"/>
        <v>0</v>
      </c>
      <c r="J2030" s="8">
        <f t="shared" si="8814"/>
        <v>0</v>
      </c>
      <c r="K2030" s="8">
        <f t="shared" si="8815"/>
        <v>0</v>
      </c>
      <c r="L2030" s="8">
        <f t="shared" si="8816"/>
        <v>0</v>
      </c>
      <c r="M2030" s="8">
        <f t="shared" si="8817"/>
        <v>0</v>
      </c>
      <c r="N2030" s="8">
        <f t="shared" si="8818"/>
        <v>0</v>
      </c>
      <c r="O2030" s="8">
        <f t="shared" si="8819"/>
        <v>0</v>
      </c>
      <c r="P2030" s="8" t="e">
        <v>#NUM!</v>
      </c>
      <c r="Q2030" s="8" t="e">
        <f t="shared" ref="Q2030" si="8846">IF(COUNTIF(P2025:P2035,"&lt;"&amp;-0.001)=0,IF(ABS(P2030)&lt;0.001,0,P2030)," ")</f>
        <v>#NUM!</v>
      </c>
      <c r="R2030" s="8"/>
      <c r="S2030" s="8"/>
      <c r="U2030" s="34"/>
      <c r="V2030" s="34"/>
      <c r="W2030" s="34"/>
      <c r="X2030" s="34"/>
      <c r="Y2030" s="34"/>
      <c r="Z2030" s="34"/>
      <c r="AA2030" s="34"/>
      <c r="AB2030" s="34"/>
      <c r="AC2030" s="34"/>
      <c r="AD2030" s="34"/>
      <c r="AE2030" s="34"/>
      <c r="AF2030" s="34"/>
      <c r="AG2030" s="34"/>
      <c r="AH2030" s="34"/>
      <c r="AI2030" s="34"/>
      <c r="AJ2030" s="34"/>
      <c r="AK2030" s="34"/>
      <c r="AL2030" s="34"/>
      <c r="AM2030" s="34"/>
      <c r="AN2030" s="34"/>
      <c r="AO2030" s="34"/>
      <c r="AP2030" s="34"/>
      <c r="AQ2030" s="34"/>
      <c r="AR2030" s="34"/>
      <c r="AS2030" s="34"/>
      <c r="AT2030" s="34"/>
      <c r="AU2030" s="34"/>
      <c r="AV2030" s="34"/>
      <c r="AW2030" s="34"/>
      <c r="AX2030" s="34"/>
      <c r="AY2030" s="34"/>
      <c r="AZ2030" s="34"/>
      <c r="BA2030" s="34"/>
      <c r="BB2030" s="34"/>
      <c r="BC2030" s="34"/>
      <c r="BD2030" s="34"/>
      <c r="BE2030" s="34"/>
      <c r="BF2030" s="34"/>
      <c r="BG2030" s="34"/>
      <c r="BH2030" s="34"/>
      <c r="BI2030" s="34"/>
      <c r="BJ2030" s="34"/>
      <c r="BK2030" s="34"/>
      <c r="BL2030" s="34"/>
      <c r="BM2030" s="34"/>
      <c r="BN2030" s="34"/>
      <c r="BO2030" s="34"/>
      <c r="BP2030" s="34"/>
      <c r="BQ2030" s="34"/>
      <c r="BR2030" s="34"/>
      <c r="BS2030" s="34"/>
      <c r="BT2030" s="34"/>
      <c r="BU2030" s="34"/>
      <c r="BV2030" s="34"/>
      <c r="BW2030" s="34"/>
      <c r="BX2030" s="34"/>
      <c r="BY2030" s="34"/>
      <c r="BZ2030" s="34"/>
      <c r="CA2030" s="34"/>
      <c r="CB2030" s="34"/>
      <c r="CC2030" s="34"/>
      <c r="CD2030" s="34"/>
      <c r="CE2030" s="34"/>
      <c r="CF2030" s="34"/>
      <c r="CG2030" s="34"/>
      <c r="CH2030" s="34"/>
      <c r="CI2030" s="8"/>
    </row>
    <row r="2031" spans="1:87" x14ac:dyDescent="0.2">
      <c r="A2031" s="8" t="str">
        <f>IF(AND(COUNTIF(W$3:W$13,A$21)&gt;0,A$21&lt;&gt;B1816),A$21,IFERROR(IF(MATCH(A$21,Z$3:Z$13,0)=10,A$21," ")," "))</f>
        <v xml:space="preserve"> </v>
      </c>
      <c r="B2031" s="8" t="str">
        <f>IF(A2031=" "," ",MAX(B2025:B2030)+1)</f>
        <v xml:space="preserve"> </v>
      </c>
      <c r="C2031" s="8" t="str">
        <f>IFERROR(INDEX(A2025:A2046,MATCH(SMALL(B2025:B2046,7),B2025:B2046,0),1)," ")</f>
        <v>C17</v>
      </c>
      <c r="D2031" s="8">
        <f t="shared" si="8808"/>
        <v>0</v>
      </c>
      <c r="E2031" s="8">
        <f t="shared" si="8809"/>
        <v>0</v>
      </c>
      <c r="F2031" s="8">
        <f t="shared" si="8810"/>
        <v>0</v>
      </c>
      <c r="G2031" s="8">
        <f t="shared" si="8811"/>
        <v>0</v>
      </c>
      <c r="H2031" s="8">
        <f t="shared" si="8812"/>
        <v>0</v>
      </c>
      <c r="I2031" s="8">
        <f t="shared" si="8813"/>
        <v>1</v>
      </c>
      <c r="J2031" s="8">
        <f t="shared" si="8814"/>
        <v>0</v>
      </c>
      <c r="K2031" s="8">
        <f t="shared" si="8815"/>
        <v>0</v>
      </c>
      <c r="L2031" s="8">
        <f t="shared" si="8816"/>
        <v>0</v>
      </c>
      <c r="M2031" s="8">
        <f t="shared" si="8817"/>
        <v>0</v>
      </c>
      <c r="N2031" s="8">
        <f t="shared" si="8818"/>
        <v>0</v>
      </c>
      <c r="O2031" s="8">
        <f t="shared" si="8819"/>
        <v>0</v>
      </c>
      <c r="P2031" s="8" t="e">
        <v>#NUM!</v>
      </c>
      <c r="Q2031" s="8" t="e">
        <f t="shared" ref="Q2031" si="8847">IF(COUNTIF(P2025:P2035,"&lt;"&amp;-0.001)=0,IF(ABS(P2031)&lt;0.001,0,P2031)," ")</f>
        <v>#NUM!</v>
      </c>
      <c r="R2031" s="8"/>
      <c r="S2031" s="8"/>
      <c r="U2031" s="34"/>
      <c r="V2031" s="34"/>
      <c r="W2031" s="34"/>
      <c r="X2031" s="34"/>
      <c r="Y2031" s="34"/>
      <c r="Z2031" s="34"/>
      <c r="AA2031" s="34"/>
      <c r="AB2031" s="34"/>
      <c r="AC2031" s="34"/>
      <c r="AD2031" s="34"/>
      <c r="AE2031" s="34"/>
      <c r="AF2031" s="34"/>
      <c r="AG2031" s="34"/>
      <c r="AH2031" s="34"/>
      <c r="AI2031" s="34"/>
      <c r="AJ2031" s="34"/>
      <c r="AK2031" s="34"/>
      <c r="AL2031" s="34"/>
      <c r="AM2031" s="34"/>
      <c r="AN2031" s="34"/>
      <c r="AO2031" s="34"/>
      <c r="AP2031" s="34"/>
      <c r="AQ2031" s="34"/>
      <c r="AR2031" s="34"/>
      <c r="AS2031" s="34"/>
      <c r="AT2031" s="34"/>
      <c r="AU2031" s="34"/>
      <c r="AV2031" s="34"/>
      <c r="AW2031" s="34"/>
      <c r="AX2031" s="34"/>
      <c r="AY2031" s="34"/>
      <c r="AZ2031" s="34"/>
      <c r="BA2031" s="34"/>
      <c r="BB2031" s="34"/>
      <c r="BC2031" s="34"/>
      <c r="BD2031" s="34"/>
      <c r="BE2031" s="34"/>
      <c r="BF2031" s="34"/>
      <c r="BG2031" s="34"/>
      <c r="BH2031" s="34"/>
      <c r="BI2031" s="34"/>
      <c r="BJ2031" s="34"/>
      <c r="BK2031" s="34"/>
      <c r="BL2031" s="34"/>
      <c r="BM2031" s="34"/>
      <c r="BN2031" s="34"/>
      <c r="BO2031" s="34"/>
      <c r="BP2031" s="34"/>
      <c r="BQ2031" s="34"/>
      <c r="BR2031" s="34"/>
      <c r="BS2031" s="34"/>
      <c r="BT2031" s="34"/>
      <c r="BU2031" s="34"/>
      <c r="BV2031" s="34"/>
      <c r="BW2031" s="34"/>
      <c r="BX2031" s="34"/>
      <c r="BY2031" s="34"/>
      <c r="BZ2031" s="34"/>
      <c r="CA2031" s="34"/>
      <c r="CB2031" s="34"/>
      <c r="CC2031" s="34"/>
      <c r="CD2031" s="34"/>
      <c r="CE2031" s="34"/>
      <c r="CF2031" s="34"/>
      <c r="CG2031" s="34"/>
      <c r="CH2031" s="34"/>
      <c r="CI2031" s="8"/>
    </row>
    <row r="2032" spans="1:87" x14ac:dyDescent="0.2">
      <c r="A2032" s="8" t="str">
        <f>IF(AND(COUNTIF(W$3:W$13,A$22)&gt;0,A$22&lt;&gt;B1816),A$22,IFERROR(IF(MATCH(A$22,Z$3:Z$13,0)=10,A$22," ")," "))</f>
        <v xml:space="preserve"> </v>
      </c>
      <c r="B2032" s="8" t="str">
        <f>IF(A2032=" "," ",MAX(B2025:B2031)+1)</f>
        <v xml:space="preserve"> </v>
      </c>
      <c r="C2032" s="8" t="str">
        <f>IFERROR(INDEX(A2025:A2046,MATCH(SMALL(B2025:B2046,8),B2025:B2046,0),1)," ")</f>
        <v>C18</v>
      </c>
      <c r="D2032" s="8">
        <f t="shared" si="8808"/>
        <v>0</v>
      </c>
      <c r="E2032" s="8">
        <f t="shared" si="8809"/>
        <v>0</v>
      </c>
      <c r="F2032" s="8">
        <f t="shared" si="8810"/>
        <v>0</v>
      </c>
      <c r="G2032" s="8">
        <f t="shared" si="8811"/>
        <v>0</v>
      </c>
      <c r="H2032" s="8">
        <f t="shared" si="8812"/>
        <v>0</v>
      </c>
      <c r="I2032" s="8">
        <f t="shared" si="8813"/>
        <v>0</v>
      </c>
      <c r="J2032" s="8">
        <f t="shared" si="8814"/>
        <v>1</v>
      </c>
      <c r="K2032" s="8">
        <f t="shared" si="8815"/>
        <v>0</v>
      </c>
      <c r="L2032" s="8">
        <f t="shared" si="8816"/>
        <v>0</v>
      </c>
      <c r="M2032" s="8">
        <f t="shared" si="8817"/>
        <v>0</v>
      </c>
      <c r="N2032" s="8">
        <f t="shared" si="8818"/>
        <v>0</v>
      </c>
      <c r="O2032" s="8">
        <f t="shared" si="8819"/>
        <v>0</v>
      </c>
      <c r="P2032" s="8" t="e">
        <v>#NUM!</v>
      </c>
      <c r="Q2032" s="8" t="e">
        <f t="shared" ref="Q2032" si="8848">IF(COUNTIF(P2025:P2035,"&lt;"&amp;-0.001)=0,IF(ABS(P2032)&lt;0.001,0,P2032)," ")</f>
        <v>#NUM!</v>
      </c>
      <c r="R2032" s="8"/>
      <c r="S2032" s="8"/>
      <c r="U2032" s="34"/>
      <c r="V2032" s="34"/>
      <c r="W2032" s="34"/>
      <c r="X2032" s="34"/>
      <c r="Y2032" s="34"/>
      <c r="Z2032" s="34"/>
      <c r="AA2032" s="34"/>
      <c r="AB2032" s="34"/>
      <c r="AC2032" s="34"/>
      <c r="AD2032" s="34"/>
      <c r="AE2032" s="34"/>
      <c r="AF2032" s="34"/>
      <c r="AG2032" s="34"/>
      <c r="AH2032" s="34"/>
      <c r="AI2032" s="34"/>
      <c r="AJ2032" s="34"/>
      <c r="AK2032" s="34"/>
      <c r="AL2032" s="34"/>
      <c r="AM2032" s="34"/>
      <c r="AN2032" s="34"/>
      <c r="AO2032" s="34"/>
      <c r="AP2032" s="34"/>
      <c r="AQ2032" s="34"/>
      <c r="AR2032" s="34"/>
      <c r="AS2032" s="34"/>
      <c r="AT2032" s="34"/>
      <c r="AU2032" s="34"/>
      <c r="AV2032" s="34"/>
      <c r="AW2032" s="34"/>
      <c r="AX2032" s="34"/>
      <c r="AY2032" s="34"/>
      <c r="AZ2032" s="34"/>
      <c r="BA2032" s="34"/>
      <c r="BB2032" s="34"/>
      <c r="BC2032" s="34"/>
      <c r="BD2032" s="34"/>
      <c r="BE2032" s="34"/>
      <c r="BF2032" s="34"/>
      <c r="BG2032" s="34"/>
      <c r="BH2032" s="34"/>
      <c r="BI2032" s="34"/>
      <c r="BJ2032" s="34"/>
      <c r="BK2032" s="34"/>
      <c r="BL2032" s="34"/>
      <c r="BM2032" s="34"/>
      <c r="BN2032" s="34"/>
      <c r="BO2032" s="34"/>
      <c r="BP2032" s="34"/>
      <c r="BQ2032" s="34"/>
      <c r="BR2032" s="34"/>
      <c r="BS2032" s="34"/>
      <c r="BT2032" s="34"/>
      <c r="BU2032" s="34"/>
      <c r="BV2032" s="34"/>
      <c r="BW2032" s="34"/>
      <c r="BX2032" s="34"/>
      <c r="BY2032" s="34"/>
      <c r="BZ2032" s="34"/>
      <c r="CA2032" s="34"/>
      <c r="CB2032" s="34"/>
      <c r="CC2032" s="34"/>
      <c r="CD2032" s="34"/>
      <c r="CE2032" s="34"/>
      <c r="CF2032" s="34"/>
      <c r="CG2032" s="34"/>
      <c r="CH2032" s="34"/>
      <c r="CI2032" s="8"/>
    </row>
    <row r="2033" spans="1:87" x14ac:dyDescent="0.2">
      <c r="A2033" s="8" t="str">
        <f>IF(AND(COUNTIF(W$3:W$13,A$23)&gt;0,A$23&lt;&gt;B1816),A$23,IFERROR(IF(MATCH(A$23,Z$3:Z$13,0)=10,A$23," ")," "))</f>
        <v xml:space="preserve"> </v>
      </c>
      <c r="B2033" s="8" t="str">
        <f>IF(A2033=" "," ",MAX(B2025:B2032)+1)</f>
        <v xml:space="preserve"> </v>
      </c>
      <c r="C2033" s="8" t="str">
        <f>IFERROR(INDEX(A2025:A2046,MATCH(SMALL(B2025:B2046,9),B2025:B2046,0),1)," ")</f>
        <v>C20</v>
      </c>
      <c r="D2033" s="8">
        <f t="shared" si="8808"/>
        <v>0</v>
      </c>
      <c r="E2033" s="8">
        <f t="shared" si="8809"/>
        <v>0</v>
      </c>
      <c r="F2033" s="8">
        <f t="shared" si="8810"/>
        <v>0</v>
      </c>
      <c r="G2033" s="8">
        <f t="shared" si="8811"/>
        <v>0</v>
      </c>
      <c r="H2033" s="8">
        <f t="shared" si="8812"/>
        <v>0</v>
      </c>
      <c r="I2033" s="8">
        <f t="shared" si="8813"/>
        <v>0</v>
      </c>
      <c r="J2033" s="8">
        <f t="shared" si="8814"/>
        <v>0</v>
      </c>
      <c r="K2033" s="8">
        <f t="shared" si="8815"/>
        <v>0</v>
      </c>
      <c r="L2033" s="8">
        <f t="shared" si="8816"/>
        <v>1</v>
      </c>
      <c r="M2033" s="8">
        <f t="shared" si="8817"/>
        <v>0</v>
      </c>
      <c r="N2033" s="8">
        <f t="shared" si="8818"/>
        <v>0</v>
      </c>
      <c r="O2033" s="8">
        <f t="shared" si="8819"/>
        <v>0</v>
      </c>
      <c r="P2033" s="6" t="e">
        <v>#NUM!</v>
      </c>
      <c r="Q2033" s="8" t="e">
        <f t="shared" ref="Q2033" si="8849">IF(COUNTIF(P2025:P2035,"&lt;"&amp;-0.001)=0,IF(ABS(P2033)&lt;0.001,0,P2033)," ")</f>
        <v>#NUM!</v>
      </c>
      <c r="R2033" s="8"/>
      <c r="S2033" s="8"/>
      <c r="U2033" s="34"/>
      <c r="V2033" s="34"/>
      <c r="W2033" s="34"/>
      <c r="X2033" s="34"/>
      <c r="Y2033" s="34"/>
      <c r="Z2033" s="34"/>
      <c r="AA2033" s="34"/>
      <c r="AB2033" s="34"/>
      <c r="AC2033" s="34"/>
      <c r="AD2033" s="34"/>
      <c r="AE2033" s="34"/>
      <c r="AF2033" s="34"/>
      <c r="AG2033" s="34"/>
      <c r="AH2033" s="34"/>
      <c r="AI2033" s="34"/>
      <c r="AJ2033" s="34"/>
      <c r="AK2033" s="34"/>
      <c r="AL2033" s="34"/>
      <c r="AM2033" s="34"/>
      <c r="AN2033" s="34"/>
      <c r="AO2033" s="34"/>
      <c r="AP2033" s="34"/>
      <c r="AQ2033" s="34"/>
      <c r="AR2033" s="34"/>
      <c r="AS2033" s="34"/>
      <c r="AT2033" s="34"/>
      <c r="AU2033" s="34"/>
      <c r="AV2033" s="34"/>
      <c r="AW2033" s="34"/>
      <c r="AX2033" s="34"/>
      <c r="AY2033" s="34"/>
      <c r="AZ2033" s="34"/>
      <c r="BA2033" s="34"/>
      <c r="BB2033" s="34"/>
      <c r="BC2033" s="34"/>
      <c r="BD2033" s="34"/>
      <c r="BE2033" s="34"/>
      <c r="BF2033" s="34"/>
      <c r="BG2033" s="34"/>
      <c r="BH2033" s="34"/>
      <c r="BI2033" s="34"/>
      <c r="BJ2033" s="34"/>
      <c r="BK2033" s="34"/>
      <c r="BL2033" s="34"/>
      <c r="BM2033" s="34"/>
      <c r="BN2033" s="34"/>
      <c r="BO2033" s="34"/>
      <c r="BP2033" s="34"/>
      <c r="BQ2033" s="34"/>
      <c r="BR2033" s="34"/>
      <c r="BS2033" s="34"/>
      <c r="BT2033" s="34"/>
      <c r="BU2033" s="34"/>
      <c r="BV2033" s="34"/>
      <c r="BW2033" s="34"/>
      <c r="BX2033" s="34"/>
      <c r="BY2033" s="34"/>
      <c r="BZ2033" s="34"/>
      <c r="CA2033" s="34"/>
      <c r="CB2033" s="34"/>
      <c r="CC2033" s="34"/>
      <c r="CD2033" s="34"/>
      <c r="CE2033" s="34"/>
      <c r="CF2033" s="34"/>
      <c r="CG2033" s="34"/>
      <c r="CH2033" s="34"/>
      <c r="CI2033" s="8"/>
    </row>
    <row r="2034" spans="1:87" x14ac:dyDescent="0.2">
      <c r="A2034" s="8" t="str">
        <f>IF(AND(COUNTIF(W$3:W$13,A$24)&gt;0,A$24&lt;&gt;B1816),A$24,IFERROR(IF(MATCH(A$24,Z$3:Z$13,0)=10,A$24," ")," "))</f>
        <v xml:space="preserve"> </v>
      </c>
      <c r="B2034" s="8" t="str">
        <f>IF(A2034=" "," ",MAX(B2025:B2033)+1)</f>
        <v xml:space="preserve"> </v>
      </c>
      <c r="C2034" s="8" t="str">
        <f>IFERROR(INDEX(A2025:A2046,MATCH(SMALL(B2025:B2046,10),B2025:B2046,0),1)," ")</f>
        <v>C21</v>
      </c>
      <c r="D2034" s="8">
        <f t="shared" si="8808"/>
        <v>0</v>
      </c>
      <c r="E2034" s="8">
        <f t="shared" si="8809"/>
        <v>0</v>
      </c>
      <c r="F2034" s="8">
        <f t="shared" si="8810"/>
        <v>0</v>
      </c>
      <c r="G2034" s="8">
        <f t="shared" si="8811"/>
        <v>0</v>
      </c>
      <c r="H2034" s="8">
        <f t="shared" si="8812"/>
        <v>0</v>
      </c>
      <c r="I2034" s="8">
        <f t="shared" si="8813"/>
        <v>0</v>
      </c>
      <c r="J2034" s="8">
        <f t="shared" si="8814"/>
        <v>0</v>
      </c>
      <c r="K2034" s="8">
        <f t="shared" si="8815"/>
        <v>0</v>
      </c>
      <c r="L2034" s="8">
        <f t="shared" si="8816"/>
        <v>0</v>
      </c>
      <c r="M2034" s="8">
        <f t="shared" si="8817"/>
        <v>1</v>
      </c>
      <c r="N2034" s="8">
        <f t="shared" si="8818"/>
        <v>0</v>
      </c>
      <c r="O2034" s="8">
        <f t="shared" si="8819"/>
        <v>0</v>
      </c>
      <c r="P2034" s="8" t="e">
        <v>#NUM!</v>
      </c>
      <c r="Q2034" s="8" t="e">
        <f t="shared" ref="Q2034" si="8850">IF(COUNTIF(P2025:P2035,"&lt;"&amp;-0.001)=0,IF(ABS(P2034)&lt;0.001,0,P2034)," ")</f>
        <v>#NUM!</v>
      </c>
      <c r="R2034" s="8"/>
      <c r="S2034" s="8"/>
      <c r="U2034" s="34"/>
      <c r="V2034" s="34"/>
      <c r="W2034" s="34"/>
      <c r="X2034" s="34"/>
      <c r="Y2034" s="34"/>
      <c r="Z2034" s="34"/>
      <c r="AA2034" s="34"/>
      <c r="AB2034" s="34"/>
      <c r="AC2034" s="34"/>
      <c r="AD2034" s="34"/>
      <c r="AE2034" s="34"/>
      <c r="AF2034" s="34"/>
      <c r="AG2034" s="34"/>
      <c r="AH2034" s="34"/>
      <c r="AI2034" s="34"/>
      <c r="AJ2034" s="34"/>
      <c r="AK2034" s="34"/>
      <c r="AL2034" s="34"/>
      <c r="AM2034" s="34"/>
      <c r="AN2034" s="34"/>
      <c r="AO2034" s="34"/>
      <c r="AP2034" s="34"/>
      <c r="AQ2034" s="34"/>
      <c r="AR2034" s="34"/>
      <c r="AS2034" s="34"/>
      <c r="AT2034" s="34"/>
      <c r="AU2034" s="34"/>
      <c r="AV2034" s="34"/>
      <c r="AW2034" s="34"/>
      <c r="AX2034" s="34"/>
      <c r="AY2034" s="34"/>
      <c r="AZ2034" s="34"/>
      <c r="BA2034" s="34"/>
      <c r="BB2034" s="34"/>
      <c r="BC2034" s="34"/>
      <c r="BD2034" s="34"/>
      <c r="BE2034" s="34"/>
      <c r="BF2034" s="34"/>
      <c r="BG2034" s="34"/>
      <c r="BH2034" s="34"/>
      <c r="BI2034" s="34"/>
      <c r="BJ2034" s="34"/>
      <c r="BK2034" s="34"/>
      <c r="BL2034" s="34"/>
      <c r="BM2034" s="34"/>
      <c r="BN2034" s="34"/>
      <c r="BO2034" s="34"/>
      <c r="BP2034" s="34"/>
      <c r="BQ2034" s="34"/>
      <c r="BR2034" s="34"/>
      <c r="BS2034" s="34"/>
      <c r="BT2034" s="34"/>
      <c r="BU2034" s="34"/>
      <c r="BV2034" s="34"/>
      <c r="BW2034" s="34"/>
      <c r="BX2034" s="34"/>
      <c r="BY2034" s="34"/>
      <c r="BZ2034" s="34"/>
      <c r="CA2034" s="34"/>
      <c r="CB2034" s="34"/>
      <c r="CC2034" s="34"/>
      <c r="CD2034" s="34"/>
      <c r="CE2034" s="34"/>
      <c r="CF2034" s="34"/>
      <c r="CG2034" s="34"/>
      <c r="CH2034" s="34"/>
      <c r="CI2034" s="8"/>
    </row>
    <row r="2035" spans="1:87" x14ac:dyDescent="0.2">
      <c r="A2035" s="8" t="str">
        <f>IF(AND(COUNTIF(W$3:W$13,A$25)&gt;0,A$25&lt;&gt;B1816),A$25,IFERROR(IF(MATCH(A$25,Z$3:Z$13,0)=10,A$25," ")," "))</f>
        <v xml:space="preserve"> </v>
      </c>
      <c r="B2035" s="8" t="str">
        <f>IF(A2035=" "," ",MAX(B2025:B2034)+1)</f>
        <v xml:space="preserve"> </v>
      </c>
      <c r="C2035" s="8" t="str">
        <f>IFERROR(INDEX(A2025:A2046,MATCH(SMALL(B2025:B2046,11),B2025:B2046,0),1)," ")</f>
        <v>C22</v>
      </c>
      <c r="D2035" s="8">
        <f t="shared" si="8808"/>
        <v>0</v>
      </c>
      <c r="E2035" s="8">
        <f t="shared" si="8809"/>
        <v>0</v>
      </c>
      <c r="F2035" s="8">
        <f t="shared" si="8810"/>
        <v>0</v>
      </c>
      <c r="G2035" s="8">
        <f t="shared" si="8811"/>
        <v>0</v>
      </c>
      <c r="H2035" s="8">
        <f t="shared" si="8812"/>
        <v>0</v>
      </c>
      <c r="I2035" s="8">
        <f t="shared" si="8813"/>
        <v>0</v>
      </c>
      <c r="J2035" s="8">
        <f t="shared" si="8814"/>
        <v>0</v>
      </c>
      <c r="K2035" s="8">
        <f t="shared" si="8815"/>
        <v>0</v>
      </c>
      <c r="L2035" s="8">
        <f t="shared" si="8816"/>
        <v>0</v>
      </c>
      <c r="M2035" s="8">
        <f t="shared" si="8817"/>
        <v>0</v>
      </c>
      <c r="N2035" s="8">
        <f t="shared" si="8818"/>
        <v>1</v>
      </c>
      <c r="O2035" s="8">
        <f t="shared" si="8819"/>
        <v>0</v>
      </c>
      <c r="P2035" s="8" t="e">
        <v>#NUM!</v>
      </c>
      <c r="Q2035" s="8" t="e">
        <f t="shared" ref="Q2035" si="8851">IF(COUNTIF(P2025:P2035,"&lt;"&amp;-0.001)=0,IF(ABS(P2035)&lt;0.001,0,P2035)," ")</f>
        <v>#NUM!</v>
      </c>
      <c r="R2035" s="8"/>
      <c r="S2035" s="8"/>
      <c r="U2035" s="34"/>
      <c r="V2035" s="34"/>
      <c r="W2035" s="34"/>
      <c r="X2035" s="34"/>
      <c r="Y2035" s="34"/>
      <c r="Z2035" s="34"/>
      <c r="AA2035" s="34"/>
      <c r="AB2035" s="34"/>
      <c r="AC2035" s="34"/>
      <c r="AD2035" s="34"/>
      <c r="AE2035" s="34"/>
      <c r="AF2035" s="34"/>
      <c r="AG2035" s="34"/>
      <c r="AH2035" s="34"/>
      <c r="AI2035" s="34"/>
      <c r="AJ2035" s="34"/>
      <c r="AK2035" s="34"/>
      <c r="AL2035" s="34"/>
      <c r="AM2035" s="34"/>
      <c r="AN2035" s="34"/>
      <c r="AO2035" s="34"/>
      <c r="AP2035" s="34"/>
      <c r="AQ2035" s="34"/>
      <c r="AR2035" s="34"/>
      <c r="AS2035" s="34"/>
      <c r="AT2035" s="34"/>
      <c r="AU2035" s="34"/>
      <c r="AV2035" s="34"/>
      <c r="AW2035" s="34"/>
      <c r="AX2035" s="34"/>
      <c r="AY2035" s="34"/>
      <c r="AZ2035" s="34"/>
      <c r="BA2035" s="34"/>
      <c r="BB2035" s="34"/>
      <c r="BC2035" s="34"/>
      <c r="BD2035" s="34"/>
      <c r="BE2035" s="34"/>
      <c r="BF2035" s="34"/>
      <c r="BG2035" s="34"/>
      <c r="BH2035" s="34"/>
      <c r="BI2035" s="34"/>
      <c r="BJ2035" s="34"/>
      <c r="BK2035" s="34"/>
      <c r="BL2035" s="34"/>
      <c r="BM2035" s="34"/>
      <c r="BN2035" s="34"/>
      <c r="BO2035" s="34"/>
      <c r="BP2035" s="34"/>
      <c r="BQ2035" s="34"/>
      <c r="BR2035" s="34"/>
      <c r="BS2035" s="34"/>
      <c r="BT2035" s="34"/>
      <c r="BU2035" s="34"/>
      <c r="BV2035" s="34"/>
      <c r="BW2035" s="34"/>
      <c r="BX2035" s="34"/>
      <c r="BY2035" s="34"/>
      <c r="BZ2035" s="34"/>
      <c r="CA2035" s="34"/>
      <c r="CB2035" s="34"/>
      <c r="CC2035" s="34"/>
      <c r="CD2035" s="34"/>
      <c r="CE2035" s="34"/>
      <c r="CF2035" s="34"/>
      <c r="CG2035" s="34"/>
      <c r="CH2035" s="34"/>
      <c r="CI2035" s="8"/>
    </row>
    <row r="2036" spans="1:87" x14ac:dyDescent="0.2">
      <c r="A2036" s="8" t="str">
        <f>IF(AND(COUNTIF(W$3:W$13,A$26)&gt;0,A$26&lt;&gt;B1816),A$26,IFERROR(IF(MATCH(A$26,Z$3:Z$13,0)=10,A$26," ")," "))</f>
        <v>C12</v>
      </c>
      <c r="B2036" s="8">
        <f>IF(A2036=" "," ",MAX(B2025:B2035)+1)</f>
        <v>3</v>
      </c>
      <c r="C2036" s="8"/>
      <c r="D2036" s="8"/>
      <c r="E2036" s="8"/>
      <c r="F2036" s="8"/>
      <c r="G2036" s="8"/>
      <c r="H2036" s="8"/>
      <c r="I2036" s="8"/>
      <c r="J2036" s="8"/>
      <c r="K2036" s="8"/>
      <c r="L2036" s="8"/>
      <c r="M2036" s="8"/>
      <c r="N2036" s="8"/>
      <c r="O2036" s="8"/>
      <c r="P2036" s="8"/>
      <c r="Q2036" s="8"/>
      <c r="R2036" s="8"/>
      <c r="S2036" s="8"/>
      <c r="U2036" s="34"/>
      <c r="V2036" s="34"/>
      <c r="W2036" s="34"/>
      <c r="X2036" s="34"/>
      <c r="Y2036" s="34"/>
      <c r="Z2036" s="34"/>
      <c r="AA2036" s="34"/>
      <c r="AB2036" s="34"/>
      <c r="AC2036" s="34"/>
      <c r="AD2036" s="34"/>
      <c r="AE2036" s="34"/>
      <c r="AF2036" s="34"/>
      <c r="AG2036" s="34"/>
      <c r="AH2036" s="34"/>
      <c r="AI2036" s="34"/>
      <c r="AJ2036" s="34"/>
      <c r="AK2036" s="34"/>
      <c r="AL2036" s="34"/>
      <c r="AM2036" s="34"/>
      <c r="AN2036" s="34"/>
      <c r="AO2036" s="34"/>
      <c r="AP2036" s="34"/>
      <c r="AQ2036" s="34"/>
      <c r="AR2036" s="34"/>
      <c r="AS2036" s="34"/>
      <c r="AT2036" s="34"/>
      <c r="AU2036" s="34"/>
      <c r="AV2036" s="34"/>
      <c r="AW2036" s="34"/>
      <c r="AX2036" s="34"/>
      <c r="AY2036" s="34"/>
      <c r="AZ2036" s="34"/>
      <c r="BA2036" s="34"/>
      <c r="BB2036" s="34"/>
      <c r="BC2036" s="34"/>
      <c r="BD2036" s="34"/>
      <c r="BE2036" s="34"/>
      <c r="BF2036" s="34"/>
      <c r="BG2036" s="34"/>
      <c r="BH2036" s="34"/>
      <c r="BI2036" s="34"/>
      <c r="BJ2036" s="34"/>
      <c r="BK2036" s="34"/>
      <c r="BL2036" s="34"/>
      <c r="BM2036" s="34"/>
      <c r="BN2036" s="34"/>
      <c r="BO2036" s="34"/>
      <c r="BP2036" s="34"/>
      <c r="BQ2036" s="34"/>
      <c r="BR2036" s="34"/>
      <c r="BS2036" s="34"/>
      <c r="BT2036" s="34"/>
      <c r="BU2036" s="34"/>
      <c r="BV2036" s="34"/>
      <c r="BW2036" s="34"/>
      <c r="BX2036" s="34"/>
      <c r="BY2036" s="34"/>
      <c r="BZ2036" s="34"/>
      <c r="CA2036" s="34"/>
      <c r="CB2036" s="34"/>
      <c r="CC2036" s="34"/>
      <c r="CD2036" s="34"/>
      <c r="CE2036" s="34"/>
      <c r="CF2036" s="34"/>
      <c r="CG2036" s="34"/>
      <c r="CH2036" s="34"/>
      <c r="CI2036" s="8"/>
    </row>
    <row r="2037" spans="1:87" x14ac:dyDescent="0.2">
      <c r="A2037" s="8" t="str">
        <f>IF(AND(COUNTIF(W$3:W$13,A$27)&gt;0,A$27&lt;&gt;B1816),A$27,IFERROR(IF(MATCH(A$27,Z$3:Z$13,0)=10,A$27," ")," "))</f>
        <v>C13</v>
      </c>
      <c r="B2037" s="8">
        <f>IF(A2037=" "," ",MAX(B2025:B2036)+1)</f>
        <v>4</v>
      </c>
      <c r="C2037" s="8"/>
      <c r="D2037" s="8"/>
      <c r="E2037" s="8"/>
      <c r="F2037" s="8"/>
      <c r="G2037" s="8"/>
      <c r="H2037" s="8"/>
      <c r="I2037" s="8"/>
      <c r="J2037" s="8"/>
      <c r="K2037" s="8"/>
      <c r="L2037" s="8"/>
      <c r="M2037" s="8"/>
      <c r="N2037" s="8"/>
      <c r="O2037" s="8"/>
      <c r="P2037" s="8"/>
      <c r="Q2037" s="8"/>
      <c r="R2037" s="8"/>
      <c r="S2037" s="8"/>
      <c r="U2037" s="34"/>
      <c r="V2037" s="34"/>
      <c r="W2037" s="34"/>
      <c r="X2037" s="34"/>
      <c r="Y2037" s="34"/>
      <c r="Z2037" s="34"/>
      <c r="AA2037" s="34"/>
      <c r="AB2037" s="34"/>
      <c r="AC2037" s="34"/>
      <c r="AD2037" s="34"/>
      <c r="AE2037" s="34"/>
      <c r="AF2037" s="34"/>
      <c r="AG2037" s="34"/>
      <c r="AH2037" s="34"/>
      <c r="AI2037" s="34"/>
      <c r="AJ2037" s="34"/>
      <c r="AK2037" s="34"/>
      <c r="AL2037" s="34"/>
      <c r="AM2037" s="34"/>
      <c r="AN2037" s="34"/>
      <c r="AO2037" s="34"/>
      <c r="AP2037" s="34"/>
      <c r="AQ2037" s="34"/>
      <c r="AR2037" s="34"/>
      <c r="AS2037" s="34"/>
      <c r="AT2037" s="34"/>
      <c r="AU2037" s="34"/>
      <c r="AV2037" s="34"/>
      <c r="AW2037" s="34"/>
      <c r="AX2037" s="34"/>
      <c r="AY2037" s="34"/>
      <c r="AZ2037" s="34"/>
      <c r="BA2037" s="34"/>
      <c r="BB2037" s="34"/>
      <c r="BC2037" s="34"/>
      <c r="BD2037" s="34"/>
      <c r="BE2037" s="34"/>
      <c r="BF2037" s="34"/>
      <c r="BG2037" s="34"/>
      <c r="BH2037" s="34"/>
      <c r="BI2037" s="34"/>
      <c r="BJ2037" s="34"/>
      <c r="BK2037" s="34"/>
      <c r="BL2037" s="34"/>
      <c r="BM2037" s="34"/>
      <c r="BN2037" s="34"/>
      <c r="BO2037" s="34"/>
      <c r="BP2037" s="34"/>
      <c r="BQ2037" s="34"/>
      <c r="BR2037" s="34"/>
      <c r="BS2037" s="34"/>
      <c r="BT2037" s="34"/>
      <c r="BU2037" s="34"/>
      <c r="BV2037" s="34"/>
      <c r="BW2037" s="34"/>
      <c r="BX2037" s="34"/>
      <c r="BY2037" s="34"/>
      <c r="BZ2037" s="34"/>
      <c r="CA2037" s="34"/>
      <c r="CB2037" s="34"/>
      <c r="CC2037" s="34"/>
      <c r="CD2037" s="34"/>
      <c r="CE2037" s="34"/>
      <c r="CF2037" s="34"/>
      <c r="CG2037" s="34"/>
      <c r="CH2037" s="34"/>
      <c r="CI2037" s="8"/>
    </row>
    <row r="2038" spans="1:87" x14ac:dyDescent="0.2">
      <c r="A2038" s="8" t="str">
        <f>IF(AND(COUNTIF(W$3:W$13,A$28)&gt;0,A$28&lt;&gt;B1816),A$28,IFERROR(IF(MATCH(A$28,Z$3:Z$13,0)=10,A$28," ")," "))</f>
        <v xml:space="preserve"> </v>
      </c>
      <c r="B2038" s="8" t="str">
        <f>IF(A2038=" "," ",MAX(B2025:B2037)+1)</f>
        <v xml:space="preserve"> </v>
      </c>
      <c r="C2038" s="8"/>
      <c r="D2038" s="8"/>
      <c r="E2038" s="8"/>
      <c r="F2038" s="8"/>
      <c r="G2038" s="8"/>
      <c r="H2038" s="8"/>
      <c r="I2038" s="8"/>
      <c r="J2038" s="8"/>
      <c r="K2038" s="8"/>
      <c r="L2038" s="8"/>
      <c r="M2038" s="8"/>
      <c r="N2038" s="8"/>
      <c r="O2038" s="8"/>
      <c r="P2038" s="8"/>
      <c r="Q2038" s="8"/>
      <c r="R2038" s="8"/>
      <c r="S2038" s="8"/>
      <c r="U2038" s="34"/>
      <c r="V2038" s="34"/>
      <c r="W2038" s="34"/>
      <c r="X2038" s="34"/>
      <c r="Y2038" s="34"/>
      <c r="Z2038" s="34"/>
      <c r="AA2038" s="34"/>
      <c r="AB2038" s="34"/>
      <c r="AC2038" s="34"/>
      <c r="AD2038" s="34"/>
      <c r="AE2038" s="34"/>
      <c r="AF2038" s="34"/>
      <c r="AG2038" s="34"/>
      <c r="AH2038" s="34"/>
      <c r="AI2038" s="34"/>
      <c r="AJ2038" s="34"/>
      <c r="AK2038" s="34"/>
      <c r="AL2038" s="34"/>
      <c r="AM2038" s="34"/>
      <c r="AN2038" s="34"/>
      <c r="AO2038" s="34"/>
      <c r="AP2038" s="34"/>
      <c r="AQ2038" s="34"/>
      <c r="AR2038" s="34"/>
      <c r="AS2038" s="34"/>
      <c r="AT2038" s="34"/>
      <c r="AU2038" s="34"/>
      <c r="AV2038" s="34"/>
      <c r="AW2038" s="34"/>
      <c r="AX2038" s="34"/>
      <c r="AY2038" s="34"/>
      <c r="AZ2038" s="34"/>
      <c r="BA2038" s="34"/>
      <c r="BB2038" s="34"/>
      <c r="BC2038" s="34"/>
      <c r="BD2038" s="34"/>
      <c r="BE2038" s="34"/>
      <c r="BF2038" s="34"/>
      <c r="BG2038" s="34"/>
      <c r="BH2038" s="34"/>
      <c r="BI2038" s="34"/>
      <c r="BJ2038" s="34"/>
      <c r="BK2038" s="34"/>
      <c r="BL2038" s="34"/>
      <c r="BM2038" s="34"/>
      <c r="BN2038" s="34"/>
      <c r="BO2038" s="34"/>
      <c r="BP2038" s="34"/>
      <c r="BQ2038" s="34"/>
      <c r="BR2038" s="34"/>
      <c r="BS2038" s="34"/>
      <c r="BT2038" s="34"/>
      <c r="BU2038" s="34"/>
      <c r="BV2038" s="34"/>
      <c r="BW2038" s="34"/>
      <c r="BX2038" s="34"/>
      <c r="BY2038" s="34"/>
      <c r="BZ2038" s="34"/>
      <c r="CA2038" s="34"/>
      <c r="CB2038" s="34"/>
      <c r="CC2038" s="34"/>
      <c r="CD2038" s="34"/>
      <c r="CE2038" s="34"/>
      <c r="CF2038" s="34"/>
      <c r="CG2038" s="34"/>
      <c r="CH2038" s="34"/>
      <c r="CI2038" s="8"/>
    </row>
    <row r="2039" spans="1:87" x14ac:dyDescent="0.2">
      <c r="A2039" s="8" t="str">
        <f>IF(AND(COUNTIF(W$3:W$13,A$29)&gt;0,A$29&lt;&gt;B1816),A$29,IFERROR(IF(MATCH(A$29,Z$3:Z$13,0)=10,A$29," ")," "))</f>
        <v>C15</v>
      </c>
      <c r="B2039" s="8">
        <f>IF(A2039=" "," ",MAX(B2025:B2038)+1)</f>
        <v>5</v>
      </c>
      <c r="C2039" s="8"/>
      <c r="D2039" s="8"/>
      <c r="E2039" s="8"/>
      <c r="F2039" s="8"/>
      <c r="G2039" s="8"/>
      <c r="H2039" s="8"/>
      <c r="I2039" s="8"/>
      <c r="J2039" s="8"/>
      <c r="K2039" s="8"/>
      <c r="L2039" s="8"/>
      <c r="M2039" s="8"/>
      <c r="N2039" s="8"/>
      <c r="O2039" s="8"/>
      <c r="P2039" s="8"/>
      <c r="Q2039" s="8"/>
      <c r="R2039" s="8"/>
      <c r="S2039" s="8"/>
      <c r="U2039" s="34"/>
      <c r="V2039" s="34"/>
      <c r="W2039" s="34"/>
      <c r="X2039" s="34"/>
      <c r="Y2039" s="34"/>
      <c r="Z2039" s="34"/>
      <c r="AA2039" s="34"/>
      <c r="AB2039" s="34"/>
      <c r="AC2039" s="34"/>
      <c r="AD2039" s="34"/>
      <c r="AE2039" s="34"/>
      <c r="AF2039" s="34"/>
      <c r="AG2039" s="34"/>
      <c r="AH2039" s="34"/>
      <c r="AI2039" s="34"/>
      <c r="AJ2039" s="34"/>
      <c r="AK2039" s="34"/>
      <c r="AL2039" s="34"/>
      <c r="AM2039" s="34"/>
      <c r="AN2039" s="34"/>
      <c r="AO2039" s="34"/>
      <c r="AP2039" s="34"/>
      <c r="AQ2039" s="34"/>
      <c r="AR2039" s="34"/>
      <c r="AS2039" s="34"/>
      <c r="AT2039" s="34"/>
      <c r="AU2039" s="34"/>
      <c r="AV2039" s="34"/>
      <c r="AW2039" s="34"/>
      <c r="AX2039" s="34"/>
      <c r="AY2039" s="34"/>
      <c r="AZ2039" s="34"/>
      <c r="BA2039" s="34"/>
      <c r="BB2039" s="34"/>
      <c r="BC2039" s="34"/>
      <c r="BD2039" s="34"/>
      <c r="BE2039" s="34"/>
      <c r="BF2039" s="34"/>
      <c r="BG2039" s="34"/>
      <c r="BH2039" s="34"/>
      <c r="BI2039" s="34"/>
      <c r="BJ2039" s="34"/>
      <c r="BK2039" s="34"/>
      <c r="BL2039" s="34"/>
      <c r="BM2039" s="34"/>
      <c r="BN2039" s="34"/>
      <c r="BO2039" s="34"/>
      <c r="BP2039" s="34"/>
      <c r="BQ2039" s="34"/>
      <c r="BR2039" s="34"/>
      <c r="BS2039" s="34"/>
      <c r="BT2039" s="34"/>
      <c r="BU2039" s="34"/>
      <c r="BV2039" s="34"/>
      <c r="BW2039" s="34"/>
      <c r="BX2039" s="34"/>
      <c r="BY2039" s="34"/>
      <c r="BZ2039" s="34"/>
      <c r="CA2039" s="34"/>
      <c r="CB2039" s="34"/>
      <c r="CC2039" s="34"/>
      <c r="CD2039" s="34"/>
      <c r="CE2039" s="34"/>
      <c r="CF2039" s="34"/>
      <c r="CG2039" s="34"/>
      <c r="CH2039" s="34"/>
      <c r="CI2039" s="8"/>
    </row>
    <row r="2040" spans="1:87" x14ac:dyDescent="0.2">
      <c r="A2040" s="8" t="str">
        <f>IF(AND(COUNTIF(W$3:W$13,A$30)&gt;0,A$30&lt;&gt;B1816),A$30,IFERROR(IF(MATCH(A$30,Z$3:Z$13,0)=10,A$30," ")," "))</f>
        <v>C16</v>
      </c>
      <c r="B2040" s="8">
        <f>IF(A2040=" "," ",MAX(B2025:B2039)+1)</f>
        <v>6</v>
      </c>
      <c r="C2040" s="8"/>
      <c r="D2040" s="8"/>
      <c r="E2040" s="8"/>
      <c r="F2040" s="8"/>
      <c r="G2040" s="8"/>
      <c r="H2040" s="8"/>
      <c r="I2040" s="8"/>
      <c r="J2040" s="8"/>
      <c r="K2040" s="8"/>
      <c r="L2040" s="8"/>
      <c r="M2040" s="8"/>
      <c r="N2040" s="8"/>
      <c r="O2040" s="8"/>
      <c r="P2040" s="8"/>
      <c r="Q2040" s="8"/>
      <c r="R2040" s="8"/>
      <c r="S2040" s="8"/>
      <c r="U2040" s="34"/>
      <c r="V2040" s="34"/>
      <c r="W2040" s="34"/>
      <c r="X2040" s="34"/>
      <c r="Y2040" s="34"/>
      <c r="Z2040" s="34"/>
      <c r="AA2040" s="34"/>
      <c r="AB2040" s="34"/>
      <c r="AC2040" s="34"/>
      <c r="AD2040" s="34"/>
      <c r="AE2040" s="34"/>
      <c r="AF2040" s="34"/>
      <c r="AG2040" s="34"/>
      <c r="AH2040" s="34"/>
      <c r="AI2040" s="34"/>
      <c r="AJ2040" s="34"/>
      <c r="AK2040" s="34"/>
      <c r="AL2040" s="34"/>
      <c r="AM2040" s="34"/>
      <c r="AN2040" s="34"/>
      <c r="AO2040" s="34"/>
      <c r="AP2040" s="34"/>
      <c r="AQ2040" s="34"/>
      <c r="AR2040" s="34"/>
      <c r="AS2040" s="34"/>
      <c r="AT2040" s="34"/>
      <c r="AU2040" s="34"/>
      <c r="AV2040" s="34"/>
      <c r="AW2040" s="34"/>
      <c r="AX2040" s="34"/>
      <c r="AY2040" s="34"/>
      <c r="AZ2040" s="34"/>
      <c r="BA2040" s="34"/>
      <c r="BB2040" s="34"/>
      <c r="BC2040" s="34"/>
      <c r="BD2040" s="34"/>
      <c r="BE2040" s="34"/>
      <c r="BF2040" s="34"/>
      <c r="BG2040" s="34"/>
      <c r="BH2040" s="34"/>
      <c r="BI2040" s="34"/>
      <c r="BJ2040" s="34"/>
      <c r="BK2040" s="34"/>
      <c r="BL2040" s="34"/>
      <c r="BM2040" s="34"/>
      <c r="BN2040" s="34"/>
      <c r="BO2040" s="34"/>
      <c r="BP2040" s="34"/>
      <c r="BQ2040" s="34"/>
      <c r="BR2040" s="34"/>
      <c r="BS2040" s="34"/>
      <c r="BT2040" s="34"/>
      <c r="BU2040" s="34"/>
      <c r="BV2040" s="34"/>
      <c r="BW2040" s="34"/>
      <c r="BX2040" s="34"/>
      <c r="BY2040" s="34"/>
      <c r="BZ2040" s="34"/>
      <c r="CA2040" s="34"/>
      <c r="CB2040" s="34"/>
      <c r="CC2040" s="34"/>
      <c r="CD2040" s="34"/>
      <c r="CE2040" s="34"/>
      <c r="CF2040" s="34"/>
      <c r="CG2040" s="34"/>
      <c r="CH2040" s="34"/>
      <c r="CI2040" s="8"/>
    </row>
    <row r="2041" spans="1:87" x14ac:dyDescent="0.2">
      <c r="A2041" s="8" t="str">
        <f>IF(AND(COUNTIF(W$3:W$13,A$31)&gt;0,A$31&lt;&gt;B1816),A$31,IFERROR(IF(MATCH(A$31,Z$3:Z$13,0)=10,A$31," ")," "))</f>
        <v>C17</v>
      </c>
      <c r="B2041" s="8">
        <f>IF(A2041=" "," ",MAX(B2025:B2040)+1)</f>
        <v>7</v>
      </c>
      <c r="C2041" s="8"/>
      <c r="D2041" s="8"/>
      <c r="E2041" s="8"/>
      <c r="F2041" s="8"/>
      <c r="G2041" s="8"/>
      <c r="H2041" s="8"/>
      <c r="I2041" s="8"/>
      <c r="J2041" s="8"/>
      <c r="K2041" s="8"/>
      <c r="L2041" s="8"/>
      <c r="M2041" s="8"/>
      <c r="N2041" s="8"/>
      <c r="O2041" s="8"/>
      <c r="P2041" s="8"/>
      <c r="Q2041" s="8"/>
      <c r="R2041" s="8"/>
      <c r="S2041" s="8"/>
      <c r="U2041" s="34"/>
      <c r="V2041" s="34"/>
      <c r="W2041" s="34"/>
      <c r="X2041" s="34"/>
      <c r="Y2041" s="34"/>
      <c r="Z2041" s="34"/>
      <c r="AA2041" s="34"/>
      <c r="AB2041" s="34"/>
      <c r="AC2041" s="34"/>
      <c r="AD2041" s="34"/>
      <c r="AE2041" s="34"/>
      <c r="AF2041" s="34"/>
      <c r="AG2041" s="34"/>
      <c r="AH2041" s="34"/>
      <c r="AI2041" s="34"/>
      <c r="AJ2041" s="34"/>
      <c r="AK2041" s="34"/>
      <c r="AL2041" s="34"/>
      <c r="AM2041" s="34"/>
      <c r="AN2041" s="34"/>
      <c r="AO2041" s="34"/>
      <c r="AP2041" s="34"/>
      <c r="AQ2041" s="34"/>
      <c r="AR2041" s="34"/>
      <c r="AS2041" s="34"/>
      <c r="AT2041" s="34"/>
      <c r="AU2041" s="34"/>
      <c r="AV2041" s="34"/>
      <c r="AW2041" s="34"/>
      <c r="AX2041" s="34"/>
      <c r="AY2041" s="34"/>
      <c r="AZ2041" s="34"/>
      <c r="BA2041" s="34"/>
      <c r="BB2041" s="34"/>
      <c r="BC2041" s="34"/>
      <c r="BD2041" s="34"/>
      <c r="BE2041" s="34"/>
      <c r="BF2041" s="34"/>
      <c r="BG2041" s="34"/>
      <c r="BH2041" s="34"/>
      <c r="BI2041" s="34"/>
      <c r="BJ2041" s="34"/>
      <c r="BK2041" s="34"/>
      <c r="BL2041" s="34"/>
      <c r="BM2041" s="34"/>
      <c r="BN2041" s="34"/>
      <c r="BO2041" s="34"/>
      <c r="BP2041" s="34"/>
      <c r="BQ2041" s="34"/>
      <c r="BR2041" s="34"/>
      <c r="BS2041" s="34"/>
      <c r="BT2041" s="34"/>
      <c r="BU2041" s="34"/>
      <c r="BV2041" s="34"/>
      <c r="BW2041" s="34"/>
      <c r="BX2041" s="34"/>
      <c r="BY2041" s="34"/>
      <c r="BZ2041" s="34"/>
      <c r="CA2041" s="34"/>
      <c r="CB2041" s="34"/>
      <c r="CC2041" s="34"/>
      <c r="CD2041" s="34"/>
      <c r="CE2041" s="34"/>
      <c r="CF2041" s="34"/>
      <c r="CG2041" s="34"/>
      <c r="CH2041" s="34"/>
      <c r="CI2041" s="8"/>
    </row>
    <row r="2042" spans="1:87" x14ac:dyDescent="0.2">
      <c r="A2042" s="8" t="str">
        <f>IF(AND(COUNTIF(W$3:W$13,A$32)&gt;0,A$32&lt;&gt;B1816),A$32,IFERROR(IF(MATCH(A$32,Z$3:Z$13,0)=10,A$32," ")," "))</f>
        <v>C18</v>
      </c>
      <c r="B2042" s="8">
        <f>IF(A2042=" "," ",MAX(B2025:B2041)+1)</f>
        <v>8</v>
      </c>
      <c r="C2042" s="8"/>
      <c r="D2042" s="8"/>
      <c r="E2042" s="8"/>
      <c r="F2042" s="8"/>
      <c r="G2042" s="8"/>
      <c r="H2042" s="8"/>
      <c r="I2042" s="8"/>
      <c r="J2042" s="8"/>
      <c r="K2042" s="8"/>
      <c r="L2042" s="8"/>
      <c r="M2042" s="8"/>
      <c r="N2042" s="8"/>
      <c r="O2042" s="8"/>
      <c r="P2042" s="8"/>
      <c r="Q2042" s="8"/>
      <c r="R2042" s="8"/>
      <c r="S2042" s="8"/>
      <c r="U2042" s="34"/>
      <c r="V2042" s="34"/>
      <c r="W2042" s="34"/>
      <c r="X2042" s="34"/>
      <c r="Y2042" s="34"/>
      <c r="Z2042" s="34"/>
      <c r="AA2042" s="34"/>
      <c r="AB2042" s="34"/>
      <c r="AC2042" s="34"/>
      <c r="AD2042" s="34"/>
      <c r="AE2042" s="34"/>
      <c r="AF2042" s="34"/>
      <c r="AG2042" s="34"/>
      <c r="AH2042" s="34"/>
      <c r="AI2042" s="34"/>
      <c r="AJ2042" s="34"/>
      <c r="AK2042" s="34"/>
      <c r="AL2042" s="34"/>
      <c r="AM2042" s="34"/>
      <c r="AN2042" s="34"/>
      <c r="AO2042" s="34"/>
      <c r="AP2042" s="34"/>
      <c r="AQ2042" s="34"/>
      <c r="AR2042" s="34"/>
      <c r="AS2042" s="34"/>
      <c r="AT2042" s="34"/>
      <c r="AU2042" s="34"/>
      <c r="AV2042" s="34"/>
      <c r="AW2042" s="34"/>
      <c r="AX2042" s="34"/>
      <c r="AY2042" s="34"/>
      <c r="AZ2042" s="34"/>
      <c r="BA2042" s="34"/>
      <c r="BB2042" s="34"/>
      <c r="BC2042" s="34"/>
      <c r="BD2042" s="34"/>
      <c r="BE2042" s="34"/>
      <c r="BF2042" s="34"/>
      <c r="BG2042" s="34"/>
      <c r="BH2042" s="34"/>
      <c r="BI2042" s="34"/>
      <c r="BJ2042" s="34"/>
      <c r="BK2042" s="34"/>
      <c r="BL2042" s="34"/>
      <c r="BM2042" s="34"/>
      <c r="BN2042" s="34"/>
      <c r="BO2042" s="34"/>
      <c r="BP2042" s="34"/>
      <c r="BQ2042" s="34"/>
      <c r="BR2042" s="34"/>
      <c r="BS2042" s="34"/>
      <c r="BT2042" s="34"/>
      <c r="BU2042" s="34"/>
      <c r="BV2042" s="34"/>
      <c r="BW2042" s="34"/>
      <c r="BX2042" s="34"/>
      <c r="BY2042" s="34"/>
      <c r="BZ2042" s="34"/>
      <c r="CA2042" s="34"/>
      <c r="CB2042" s="34"/>
      <c r="CC2042" s="34"/>
      <c r="CD2042" s="34"/>
      <c r="CE2042" s="34"/>
      <c r="CF2042" s="34"/>
      <c r="CG2042" s="34"/>
      <c r="CH2042" s="34"/>
      <c r="CI2042" s="8"/>
    </row>
    <row r="2043" spans="1:87" x14ac:dyDescent="0.2">
      <c r="A2043" s="8" t="str">
        <f>IF(AND(COUNTIF(W$3:W$13,A$33)&gt;0,A$33&lt;&gt;B1816),A$33,IFERROR(IF(MATCH(A$33,Z$3:Z$13,0)=10,A$33," ")," "))</f>
        <v xml:space="preserve"> </v>
      </c>
      <c r="B2043" s="8" t="str">
        <f>IF(A2043=" "," ",MAX(B2025:B2042)+1)</f>
        <v xml:space="preserve"> </v>
      </c>
      <c r="C2043" s="8"/>
      <c r="D2043" s="8"/>
      <c r="E2043" s="8"/>
      <c r="F2043" s="8"/>
      <c r="G2043" s="8"/>
      <c r="H2043" s="8"/>
      <c r="I2043" s="8"/>
      <c r="J2043" s="8"/>
      <c r="K2043" s="8"/>
      <c r="L2043" s="8"/>
      <c r="M2043" s="8"/>
      <c r="N2043" s="8"/>
      <c r="O2043" s="8"/>
      <c r="P2043" s="8"/>
      <c r="Q2043" s="8"/>
      <c r="R2043" s="8"/>
      <c r="S2043" s="8"/>
      <c r="U2043" s="34"/>
      <c r="V2043" s="34"/>
      <c r="W2043" s="34"/>
      <c r="X2043" s="34"/>
      <c r="Y2043" s="34"/>
      <c r="Z2043" s="34"/>
      <c r="AA2043" s="34"/>
      <c r="AB2043" s="34"/>
      <c r="AC2043" s="34"/>
      <c r="AD2043" s="34"/>
      <c r="AE2043" s="34"/>
      <c r="AF2043" s="34"/>
      <c r="AG2043" s="34"/>
      <c r="AH2043" s="34"/>
      <c r="AI2043" s="34"/>
      <c r="AJ2043" s="34"/>
      <c r="AK2043" s="34"/>
      <c r="AL2043" s="34"/>
      <c r="AM2043" s="34"/>
      <c r="AN2043" s="34"/>
      <c r="AO2043" s="34"/>
      <c r="AP2043" s="34"/>
      <c r="AQ2043" s="34"/>
      <c r="AR2043" s="34"/>
      <c r="AS2043" s="34"/>
      <c r="AT2043" s="34"/>
      <c r="AU2043" s="34"/>
      <c r="AV2043" s="34"/>
      <c r="AW2043" s="34"/>
      <c r="AX2043" s="34"/>
      <c r="AY2043" s="34"/>
      <c r="AZ2043" s="34"/>
      <c r="BA2043" s="34"/>
      <c r="BB2043" s="34"/>
      <c r="BC2043" s="34"/>
      <c r="BD2043" s="34"/>
      <c r="BE2043" s="34"/>
      <c r="BF2043" s="34"/>
      <c r="BG2043" s="34"/>
      <c r="BH2043" s="34"/>
      <c r="BI2043" s="34"/>
      <c r="BJ2043" s="34"/>
      <c r="BK2043" s="34"/>
      <c r="BL2043" s="34"/>
      <c r="BM2043" s="34"/>
      <c r="BN2043" s="34"/>
      <c r="BO2043" s="34"/>
      <c r="BP2043" s="34"/>
      <c r="BQ2043" s="34"/>
      <c r="BR2043" s="34"/>
      <c r="BS2043" s="34"/>
      <c r="BT2043" s="34"/>
      <c r="BU2043" s="34"/>
      <c r="BV2043" s="34"/>
      <c r="BW2043" s="34"/>
      <c r="BX2043" s="34"/>
      <c r="BY2043" s="34"/>
      <c r="BZ2043" s="34"/>
      <c r="CA2043" s="34"/>
      <c r="CB2043" s="34"/>
      <c r="CC2043" s="34"/>
      <c r="CD2043" s="34"/>
      <c r="CE2043" s="34"/>
      <c r="CF2043" s="34"/>
      <c r="CG2043" s="34"/>
      <c r="CH2043" s="34"/>
      <c r="CI2043" s="8"/>
    </row>
    <row r="2044" spans="1:87" x14ac:dyDescent="0.2">
      <c r="A2044" s="8" t="str">
        <f>IF(AND(COUNTIF(W$3:W$13,A$34)&gt;0,A$34&lt;&gt;B1816),A$34,IFERROR(IF(MATCH(A$34,Z$3:Z$13,0)=10,A$34," ")," "))</f>
        <v>C20</v>
      </c>
      <c r="B2044" s="8">
        <f>IF(A2044=" "," ",MAX(B2025:B2043)+1)</f>
        <v>9</v>
      </c>
      <c r="C2044" s="8"/>
      <c r="D2044" s="8"/>
      <c r="E2044" s="8"/>
      <c r="F2044" s="8"/>
      <c r="G2044" s="8"/>
      <c r="H2044" s="8"/>
      <c r="I2044" s="8"/>
      <c r="J2044" s="8"/>
      <c r="K2044" s="8"/>
      <c r="L2044" s="8"/>
      <c r="M2044" s="8"/>
      <c r="N2044" s="8"/>
      <c r="O2044" s="8"/>
      <c r="P2044" s="8"/>
      <c r="Q2044" s="8"/>
      <c r="R2044" s="8"/>
      <c r="S2044" s="8"/>
      <c r="U2044" s="34"/>
      <c r="V2044" s="34"/>
      <c r="W2044" s="34"/>
      <c r="X2044" s="34"/>
      <c r="Y2044" s="34"/>
      <c r="Z2044" s="34"/>
      <c r="AA2044" s="34"/>
      <c r="AB2044" s="34"/>
      <c r="AC2044" s="34"/>
      <c r="AD2044" s="34"/>
      <c r="AE2044" s="34"/>
      <c r="AF2044" s="34"/>
      <c r="AG2044" s="34"/>
      <c r="AH2044" s="34"/>
      <c r="AI2044" s="34"/>
      <c r="AJ2044" s="34"/>
      <c r="AK2044" s="34"/>
      <c r="AL2044" s="34"/>
      <c r="AM2044" s="34"/>
      <c r="AN2044" s="34"/>
      <c r="AO2044" s="34"/>
      <c r="AP2044" s="34"/>
      <c r="AQ2044" s="34"/>
      <c r="AR2044" s="34"/>
      <c r="AS2044" s="34"/>
      <c r="AT2044" s="34"/>
      <c r="AU2044" s="34"/>
      <c r="AV2044" s="34"/>
      <c r="AW2044" s="34"/>
      <c r="AX2044" s="34"/>
      <c r="AY2044" s="34"/>
      <c r="AZ2044" s="34"/>
      <c r="BA2044" s="34"/>
      <c r="BB2044" s="34"/>
      <c r="BC2044" s="34"/>
      <c r="BD2044" s="34"/>
      <c r="BE2044" s="34"/>
      <c r="BF2044" s="34"/>
      <c r="BG2044" s="34"/>
      <c r="BH2044" s="34"/>
      <c r="BI2044" s="34"/>
      <c r="BJ2044" s="34"/>
      <c r="BK2044" s="34"/>
      <c r="BL2044" s="34"/>
      <c r="BM2044" s="34"/>
      <c r="BN2044" s="34"/>
      <c r="BO2044" s="34"/>
      <c r="BP2044" s="34"/>
      <c r="BQ2044" s="34"/>
      <c r="BR2044" s="34"/>
      <c r="BS2044" s="34"/>
      <c r="BT2044" s="34"/>
      <c r="BU2044" s="34"/>
      <c r="BV2044" s="34"/>
      <c r="BW2044" s="34"/>
      <c r="BX2044" s="34"/>
      <c r="BY2044" s="34"/>
      <c r="BZ2044" s="34"/>
      <c r="CA2044" s="34"/>
      <c r="CB2044" s="34"/>
      <c r="CC2044" s="34"/>
      <c r="CD2044" s="34"/>
      <c r="CE2044" s="34"/>
      <c r="CF2044" s="34"/>
      <c r="CG2044" s="34"/>
      <c r="CH2044" s="34"/>
      <c r="CI2044" s="8"/>
    </row>
    <row r="2045" spans="1:87" x14ac:dyDescent="0.2">
      <c r="A2045" s="8" t="str">
        <f>IF(AND(COUNTIF(W$3:W$13,A$35)&gt;0,A$35&lt;&gt;B1816),A$35,IFERROR(IF(MATCH(A$35,Z$3:Z$13,0)=10,A$35," ")," "))</f>
        <v>C21</v>
      </c>
      <c r="B2045" s="8">
        <f>IF(A2045=" "," ",MAX(B2025:B2044)+1)</f>
        <v>10</v>
      </c>
      <c r="C2045" s="8"/>
      <c r="D2045" s="8"/>
      <c r="E2045" s="8"/>
      <c r="F2045" s="8"/>
      <c r="G2045" s="8"/>
      <c r="H2045" s="8"/>
      <c r="I2045" s="8"/>
      <c r="J2045" s="8"/>
      <c r="K2045" s="8"/>
      <c r="L2045" s="8"/>
      <c r="M2045" s="8"/>
      <c r="N2045" s="8"/>
      <c r="O2045" s="8"/>
      <c r="P2045" s="8"/>
      <c r="Q2045" s="8"/>
      <c r="R2045" s="8"/>
      <c r="S2045" s="8"/>
      <c r="U2045" s="34"/>
      <c r="V2045" s="34"/>
      <c r="W2045" s="34"/>
      <c r="X2045" s="34"/>
      <c r="Y2045" s="34"/>
      <c r="Z2045" s="34"/>
      <c r="AA2045" s="34"/>
      <c r="AB2045" s="34"/>
      <c r="AC2045" s="34"/>
      <c r="AD2045" s="34"/>
      <c r="AE2045" s="34"/>
      <c r="AF2045" s="34"/>
      <c r="AG2045" s="34"/>
      <c r="AH2045" s="34"/>
      <c r="AI2045" s="34"/>
      <c r="AJ2045" s="34"/>
      <c r="AK2045" s="34"/>
      <c r="AL2045" s="34"/>
      <c r="AM2045" s="34"/>
      <c r="AN2045" s="34"/>
      <c r="AO2045" s="34"/>
      <c r="AP2045" s="34"/>
      <c r="AQ2045" s="34"/>
      <c r="AR2045" s="34"/>
      <c r="AS2045" s="34"/>
      <c r="AT2045" s="34"/>
      <c r="AU2045" s="34"/>
      <c r="AV2045" s="34"/>
      <c r="AW2045" s="34"/>
      <c r="AX2045" s="34"/>
      <c r="AY2045" s="34"/>
      <c r="AZ2045" s="34"/>
      <c r="BA2045" s="34"/>
      <c r="BB2045" s="34"/>
      <c r="BC2045" s="34"/>
      <c r="BD2045" s="34"/>
      <c r="BE2045" s="34"/>
      <c r="BF2045" s="34"/>
      <c r="BG2045" s="34"/>
      <c r="BH2045" s="34"/>
      <c r="BI2045" s="34"/>
      <c r="BJ2045" s="34"/>
      <c r="BK2045" s="34"/>
      <c r="BL2045" s="34"/>
      <c r="BM2045" s="34"/>
      <c r="BN2045" s="34"/>
      <c r="BO2045" s="34"/>
      <c r="BP2045" s="34"/>
      <c r="BQ2045" s="34"/>
      <c r="BR2045" s="34"/>
      <c r="BS2045" s="34"/>
      <c r="BT2045" s="34"/>
      <c r="BU2045" s="34"/>
      <c r="BV2045" s="34"/>
      <c r="BW2045" s="34"/>
      <c r="BX2045" s="34"/>
      <c r="BY2045" s="34"/>
      <c r="BZ2045" s="34"/>
      <c r="CA2045" s="34"/>
      <c r="CB2045" s="34"/>
      <c r="CC2045" s="34"/>
      <c r="CD2045" s="34"/>
      <c r="CE2045" s="34"/>
      <c r="CF2045" s="34"/>
      <c r="CG2045" s="34"/>
      <c r="CH2045" s="34"/>
      <c r="CI2045" s="8"/>
    </row>
    <row r="2046" spans="1:87" x14ac:dyDescent="0.2">
      <c r="A2046" s="8" t="str">
        <f>IF(AND(COUNTIF(W$3:W$13,A$36)&gt;0,A$36&lt;&gt;B1816),A$36,IFERROR(IF(MATCH(A$36,Z$3:Z$13,0)=10,A$36," ")," "))</f>
        <v>C22</v>
      </c>
      <c r="B2046" s="8">
        <f>IF(A2046=" "," ",MAX(B2025:B2045)+1)</f>
        <v>11</v>
      </c>
      <c r="C2046" s="8"/>
      <c r="D2046" s="8"/>
      <c r="E2046" s="8"/>
      <c r="F2046" s="8"/>
      <c r="G2046" s="8"/>
      <c r="H2046" s="8"/>
      <c r="I2046" s="8"/>
      <c r="J2046" s="8"/>
      <c r="K2046" s="8"/>
      <c r="L2046" s="8"/>
      <c r="M2046" s="8"/>
      <c r="N2046" s="8"/>
      <c r="O2046" s="8"/>
      <c r="P2046" s="8"/>
      <c r="Q2046" s="8"/>
      <c r="R2046" s="8"/>
      <c r="S2046" s="8"/>
      <c r="U2046" s="34"/>
      <c r="V2046" s="34"/>
      <c r="W2046" s="34"/>
      <c r="X2046" s="34"/>
      <c r="Y2046" s="34"/>
      <c r="Z2046" s="34"/>
      <c r="AA2046" s="34"/>
      <c r="AB2046" s="34"/>
      <c r="AC2046" s="34"/>
      <c r="AD2046" s="34"/>
      <c r="AE2046" s="34"/>
      <c r="AF2046" s="34"/>
      <c r="AG2046" s="34"/>
      <c r="AH2046" s="34"/>
      <c r="AI2046" s="34"/>
      <c r="AJ2046" s="34"/>
      <c r="AK2046" s="34"/>
      <c r="AL2046" s="34"/>
      <c r="AM2046" s="34"/>
      <c r="AN2046" s="34"/>
      <c r="AO2046" s="34"/>
      <c r="AP2046" s="34"/>
      <c r="AQ2046" s="34"/>
      <c r="AR2046" s="34"/>
      <c r="AS2046" s="34"/>
      <c r="AT2046" s="34"/>
      <c r="AU2046" s="34"/>
      <c r="AV2046" s="34"/>
      <c r="AW2046" s="34"/>
      <c r="AX2046" s="34"/>
      <c r="AY2046" s="34"/>
      <c r="AZ2046" s="34"/>
      <c r="BA2046" s="34"/>
      <c r="BB2046" s="34"/>
      <c r="BC2046" s="34"/>
      <c r="BD2046" s="34"/>
      <c r="BE2046" s="34"/>
      <c r="BF2046" s="34"/>
      <c r="BG2046" s="34"/>
      <c r="BH2046" s="34"/>
      <c r="BI2046" s="34"/>
      <c r="BJ2046" s="34"/>
      <c r="BK2046" s="34"/>
      <c r="BL2046" s="34"/>
      <c r="BM2046" s="34"/>
      <c r="BN2046" s="34"/>
      <c r="BO2046" s="34"/>
      <c r="BP2046" s="34"/>
      <c r="BQ2046" s="34"/>
      <c r="BR2046" s="34"/>
      <c r="BS2046" s="34"/>
      <c r="BT2046" s="34"/>
      <c r="BU2046" s="34"/>
      <c r="BV2046" s="34"/>
      <c r="BW2046" s="34"/>
      <c r="BX2046" s="34"/>
      <c r="BY2046" s="34"/>
      <c r="BZ2046" s="34"/>
      <c r="CA2046" s="34"/>
      <c r="CB2046" s="34"/>
      <c r="CC2046" s="34"/>
      <c r="CD2046" s="34"/>
      <c r="CE2046" s="34"/>
      <c r="CF2046" s="34"/>
      <c r="CG2046" s="34"/>
      <c r="CH2046" s="34"/>
      <c r="CI2046" s="8"/>
    </row>
    <row r="2047" spans="1:87" x14ac:dyDescent="0.2">
      <c r="A2047" s="11" t="s">
        <v>17</v>
      </c>
      <c r="B2047" s="11"/>
      <c r="C2047" s="27" t="s">
        <v>18</v>
      </c>
      <c r="D2047" s="27" t="s">
        <v>2</v>
      </c>
      <c r="E2047" s="27" t="s">
        <v>6</v>
      </c>
      <c r="F2047" s="27" t="s">
        <v>15</v>
      </c>
      <c r="G2047" s="27" t="s">
        <v>36</v>
      </c>
      <c r="H2047" s="27" t="s">
        <v>37</v>
      </c>
      <c r="I2047" s="27" t="s">
        <v>38</v>
      </c>
      <c r="J2047" s="27" t="s">
        <v>39</v>
      </c>
      <c r="K2047" s="27" t="s">
        <v>40</v>
      </c>
      <c r="L2047" s="27" t="s">
        <v>41</v>
      </c>
      <c r="M2047" s="27" t="s">
        <v>42</v>
      </c>
      <c r="N2047" s="27" t="s">
        <v>43</v>
      </c>
      <c r="O2047" s="27" t="s">
        <v>9</v>
      </c>
      <c r="P2047" s="27" t="s">
        <v>12</v>
      </c>
      <c r="Q2047" s="27" t="s">
        <v>19</v>
      </c>
      <c r="R2047" s="27" t="s">
        <v>55</v>
      </c>
      <c r="S2047" s="27" t="s">
        <v>26</v>
      </c>
      <c r="T2047" s="19" t="s">
        <v>25</v>
      </c>
      <c r="U2047" s="33" t="s">
        <v>27</v>
      </c>
      <c r="V2047" s="33" t="s">
        <v>9</v>
      </c>
      <c r="W2047" s="33" t="s">
        <v>23</v>
      </c>
      <c r="X2047" s="33" t="s">
        <v>12</v>
      </c>
      <c r="Y2047" s="33" t="s">
        <v>26</v>
      </c>
      <c r="Z2047" s="33" t="s">
        <v>25</v>
      </c>
      <c r="AA2047" s="33" t="s">
        <v>27</v>
      </c>
      <c r="AB2047" s="33" t="s">
        <v>9</v>
      </c>
      <c r="AC2047" s="33" t="s">
        <v>23</v>
      </c>
      <c r="AD2047" s="33" t="s">
        <v>12</v>
      </c>
      <c r="AE2047" s="33" t="s">
        <v>26</v>
      </c>
      <c r="AF2047" s="33" t="s">
        <v>25</v>
      </c>
      <c r="AG2047" s="33" t="s">
        <v>27</v>
      </c>
      <c r="AH2047" s="33" t="s">
        <v>9</v>
      </c>
      <c r="AI2047" s="33" t="s">
        <v>23</v>
      </c>
      <c r="AJ2047" s="33" t="s">
        <v>12</v>
      </c>
      <c r="AK2047" s="33" t="s">
        <v>26</v>
      </c>
      <c r="AL2047" s="33" t="s">
        <v>25</v>
      </c>
      <c r="AM2047" s="33" t="s">
        <v>27</v>
      </c>
      <c r="AN2047" s="33" t="s">
        <v>9</v>
      </c>
      <c r="AO2047" s="33" t="s">
        <v>23</v>
      </c>
      <c r="AP2047" s="33" t="s">
        <v>12</v>
      </c>
      <c r="AQ2047" s="33" t="s">
        <v>26</v>
      </c>
      <c r="AR2047" s="33" t="s">
        <v>25</v>
      </c>
      <c r="AS2047" s="33" t="s">
        <v>27</v>
      </c>
      <c r="AT2047" s="33" t="s">
        <v>9</v>
      </c>
      <c r="AU2047" s="33" t="s">
        <v>23</v>
      </c>
      <c r="AV2047" s="33" t="s">
        <v>12</v>
      </c>
      <c r="AW2047" s="33" t="s">
        <v>26</v>
      </c>
      <c r="AX2047" s="33" t="s">
        <v>25</v>
      </c>
      <c r="AY2047" s="33" t="s">
        <v>27</v>
      </c>
      <c r="AZ2047" s="33" t="s">
        <v>9</v>
      </c>
      <c r="BA2047" s="33" t="s">
        <v>23</v>
      </c>
      <c r="BB2047" s="33" t="s">
        <v>12</v>
      </c>
      <c r="BC2047" s="33" t="s">
        <v>26</v>
      </c>
      <c r="BD2047" s="33" t="s">
        <v>25</v>
      </c>
      <c r="BE2047" s="33" t="s">
        <v>27</v>
      </c>
      <c r="BF2047" s="33" t="s">
        <v>9</v>
      </c>
      <c r="BG2047" s="33" t="s">
        <v>23</v>
      </c>
      <c r="BH2047" s="33" t="s">
        <v>12</v>
      </c>
      <c r="BI2047" s="33" t="s">
        <v>26</v>
      </c>
      <c r="BJ2047" s="33" t="s">
        <v>25</v>
      </c>
      <c r="BK2047" s="33" t="s">
        <v>27</v>
      </c>
      <c r="BL2047" s="33" t="s">
        <v>9</v>
      </c>
      <c r="BM2047" s="33" t="s">
        <v>23</v>
      </c>
      <c r="BN2047" s="33" t="s">
        <v>12</v>
      </c>
      <c r="BO2047" s="33" t="s">
        <v>26</v>
      </c>
      <c r="BP2047" s="33" t="s">
        <v>25</v>
      </c>
      <c r="BQ2047" s="33" t="s">
        <v>27</v>
      </c>
      <c r="BR2047" s="33" t="s">
        <v>9</v>
      </c>
      <c r="BS2047" s="33" t="s">
        <v>23</v>
      </c>
      <c r="BT2047" s="33" t="s">
        <v>12</v>
      </c>
      <c r="BU2047" s="33" t="s">
        <v>26</v>
      </c>
      <c r="BV2047" s="33" t="s">
        <v>25</v>
      </c>
      <c r="BW2047" s="33" t="s">
        <v>27</v>
      </c>
      <c r="BX2047" s="33" t="s">
        <v>9</v>
      </c>
      <c r="BY2047" s="33" t="s">
        <v>23</v>
      </c>
      <c r="BZ2047" s="33" t="s">
        <v>12</v>
      </c>
      <c r="CA2047" s="33" t="s">
        <v>26</v>
      </c>
      <c r="CB2047" s="33" t="s">
        <v>25</v>
      </c>
      <c r="CC2047" s="33" t="s">
        <v>27</v>
      </c>
      <c r="CD2047" s="33" t="s">
        <v>9</v>
      </c>
      <c r="CE2047" s="33" t="s">
        <v>23</v>
      </c>
      <c r="CF2047" s="33" t="s">
        <v>12</v>
      </c>
      <c r="CG2047" s="33" t="s">
        <v>26</v>
      </c>
      <c r="CH2047" s="33" t="s">
        <v>25</v>
      </c>
      <c r="CI2047" s="8"/>
    </row>
    <row r="2048" spans="1:87" x14ac:dyDescent="0.2">
      <c r="A2048" s="8" t="str">
        <f>IF(AND(COUNTIF(W$3:W$13,A$15)&gt;0,A$15&lt;&gt;B1816),A$15,IFERROR(IF(MATCH(A$15,Z$3:Z$13,0)=11,A$15," ")," "))</f>
        <v xml:space="preserve"> </v>
      </c>
      <c r="B2048" s="8" t="str">
        <f>IF(A2048=" "," ",1)</f>
        <v xml:space="preserve"> </v>
      </c>
      <c r="C2048" s="8" t="str">
        <f>IFERROR(INDEX(A2048:A2069,MATCH(SMALL(B2048:B2069,1),B2048:B2069,0),1)," ")</f>
        <v>C3</v>
      </c>
      <c r="D2048" s="8">
        <f>IFERROR(VLOOKUP($C2048,$A$15:$O$36,2,FALSE)," ")</f>
        <v>2</v>
      </c>
      <c r="E2048" s="8">
        <f>IFERROR(VLOOKUP($C2048,$A$15:$O$36,3,FALSE)," ")</f>
        <v>5</v>
      </c>
      <c r="F2048" s="8">
        <f>IFERROR(VLOOKUP($C2048,$A$15:$O$36,4,FALSE)," ")</f>
        <v>6</v>
      </c>
      <c r="G2048" s="8">
        <f>IFERROR(VLOOKUP($C2048,$A$15:$O$36,5,FALSE)," ")</f>
        <v>0</v>
      </c>
      <c r="H2048" s="8">
        <f>IFERROR(VLOOKUP($C2048,$A$15:$O$36,6,FALSE)," ")</f>
        <v>0</v>
      </c>
      <c r="I2048" s="8">
        <f>IFERROR(VLOOKUP($C2048,$A$15:$O$36,7,FALSE)," ")</f>
        <v>0</v>
      </c>
      <c r="J2048" s="8">
        <f>IFERROR(VLOOKUP($C2048,$A$15:$O$36,8,FALSE)," ")</f>
        <v>0</v>
      </c>
      <c r="K2048" s="8">
        <f>IFERROR(VLOOKUP($C2048,$A$15:$O$36,9,FALSE)," ")</f>
        <v>0</v>
      </c>
      <c r="L2048" s="8">
        <f>IFERROR(VLOOKUP($C2048,$A$15:$O$36,10,FALSE)," ")</f>
        <v>0</v>
      </c>
      <c r="M2048" s="8">
        <f>IFERROR(VLOOKUP($C2048,$A$15:$O$36,11,FALSE)," ")</f>
        <v>0</v>
      </c>
      <c r="N2048" s="8">
        <f>IFERROR(VLOOKUP($C2048,$A$15:$O$36,12,FALSE)," ")</f>
        <v>0</v>
      </c>
      <c r="O2048" s="8">
        <f>IFERROR(VLOOKUP($C2048,$A$15:$O$36,15,FALSE)," ")</f>
        <v>2000</v>
      </c>
      <c r="P2048" s="8" t="e">
        <f t="array" ref="P2048:P2058">MMULT(MINVERSE(D2048:N2058),O2048:O2058)</f>
        <v>#NUM!</v>
      </c>
      <c r="Q2048" s="8" t="e">
        <f t="shared" ref="Q2048" si="8852">IF(COUNTIF(P2048:P2058,"&lt;"&amp;-0.001)=0,IF(ABS(P2048)&lt;0.001,0,P2048)," ")</f>
        <v>#NUM!</v>
      </c>
      <c r="R2048" s="8" t="str">
        <f>IFERROR(VLOOKUP(B1816,A$15:L$36,2,FALSE)*Q2048+VLOOKUP(B1816,A$15:L$36,3,FALSE)*Q2049+VLOOKUP(B1816,A$15:L$36,4,FALSE)*Q2050+VLOOKUP(B1816,A$15:L$36,5,FALSE)*Q2051+VLOOKUP(B1816,A$15:L$36,6,FALSE)*Q2052+VLOOKUP(B1816,A$15:L$36,7,FALSE)*Q2053+VLOOKUP(B1816,A$15:L$36,8,FALSE)*Q2054+VLOOKUP(B1816,A$15:L$36,9,FALSE)*Q2055+VLOOKUP(B1816,A$15:L$36,10,FALSE)*Q2056+VLOOKUP(B1816,A$15:L$36,11,FALSE)*Q2057+VLOOKUP(B1816,A$15:L$36,12,FALSE)*Q2058," ")</f>
        <v xml:space="preserve"> </v>
      </c>
      <c r="S2048" s="8" t="str">
        <f>IFERROR(IF(R2048-VLOOKUP(B1816,A$15:O$36,15,FALSE)&lt;0,R2048-VLOOKUP(B1816,A$15:O$36,15,FALSE)," ")," ")</f>
        <v xml:space="preserve"> </v>
      </c>
      <c r="T2048" s="18" t="str">
        <f>IFERROR(IF(R2048-VLOOKUP(B1816,A$15:O$36,15,FALSE)&gt;0,R2048-VLOOKUP(B1816,A$15:O$36,15,FALSE)," ")," ")</f>
        <v xml:space="preserve"> </v>
      </c>
      <c r="U2048" s="34">
        <f t="shared" ref="U2048" si="8853">$M$2</f>
        <v>100.00000000000001</v>
      </c>
      <c r="V2048" s="34">
        <v>-1</v>
      </c>
      <c r="W2048" s="34">
        <f t="shared" ref="W2048" si="8854">-SUMPRODUCT($M$3:$M$12,$N$3:$N$12)</f>
        <v>-105000</v>
      </c>
      <c r="X2048" s="34" t="e">
        <f t="shared" ref="X2048" si="8855">IF(U2048&lt;&gt;U2049,MMULT(MINVERSE(U2048:V2049),W2048:W2049)," ")</f>
        <v>#NUM!</v>
      </c>
      <c r="Y2048" s="34" t="str">
        <f t="shared" ref="Y2048" si="8856">IFERROR(IF(X2048-VLOOKUP(U$38,$A$2:$N$12,14,FALSE)&lt;0,X2048-VLOOKUP(U$38,$A$2:$N$12,14,FALSE)," ")," ")</f>
        <v xml:space="preserve"> </v>
      </c>
      <c r="Z2048" s="34" t="str">
        <f t="shared" ref="Z2048" si="8857">IFERROR(IF(X2048-VLOOKUP(U$38,$A$2:$N$12,14,FALSE)&gt;0,X2048-VLOOKUP(U$38,$A$2:$N$12,14,FALSE)," ")," ")</f>
        <v xml:space="preserve"> </v>
      </c>
      <c r="AA2048" s="34">
        <f t="shared" ref="AA2048" si="8858">$M$3</f>
        <v>0</v>
      </c>
      <c r="AB2048" s="34">
        <v>-1</v>
      </c>
      <c r="AC2048" s="34">
        <f t="shared" ref="AC2048" si="8859">-SUMPRODUCT($M$2:$M$2,$N$2:$N$2)-SUMPRODUCT($M$4:$M$12,$N$4:$N$12)</f>
        <v>-120000</v>
      </c>
      <c r="AD2048" s="34" t="e">
        <f t="shared" ref="AD2048" si="8860">IF(AA2048&lt;&gt;AA2049,MMULT(MINVERSE(AA2048:AB2049),AC2048:AC2049)," ")</f>
        <v>#NUM!</v>
      </c>
      <c r="AE2048" s="34" t="str">
        <f t="shared" ref="AE2048" si="8861">IFERROR(IF(AD2048-VLOOKUP(AA$38,$A$2:$N$12,14,FALSE)&lt;0,AD2048-VLOOKUP(AA$38,$A$2:$N$12,14,FALSE)," ")," ")</f>
        <v xml:space="preserve"> </v>
      </c>
      <c r="AF2048" s="34" t="str">
        <f t="shared" ref="AF2048" si="8862">IFERROR(IF(AD2048-VLOOKUP(AA$38,$A$2:$N$12,14,FALSE)&gt;0,AD2048-VLOOKUP(AA$38,$A$2:$N$12,14,FALSE)," ")," ")</f>
        <v xml:space="preserve"> </v>
      </c>
      <c r="AG2048" s="34">
        <f t="shared" ref="AG2048" si="8863">$M$4</f>
        <v>300</v>
      </c>
      <c r="AH2048" s="34">
        <v>-1</v>
      </c>
      <c r="AI2048" s="34">
        <f t="shared" ref="AI2048" si="8864">-SUMPRODUCT($M$2:$M$3,$N$2:$N$3)-SUMPRODUCT($M$5:$M$12,$N$5:$N$12)</f>
        <v>-15000.000000000002</v>
      </c>
      <c r="AJ2048" s="34" t="e">
        <f t="shared" ref="AJ2048" si="8865">IF(AG2048&lt;&gt;AG2049,MMULT(MINVERSE(AG2048:AH2049),AI2048:AI2049)," ")</f>
        <v>#NUM!</v>
      </c>
      <c r="AK2048" s="34" t="str">
        <f t="shared" ref="AK2048" si="8866">IFERROR(IF(AJ2048-VLOOKUP(AG$38,$A$2:$N$12,14,FALSE)&lt;0,AJ2048-VLOOKUP(AG$38,$A$2:$N$12,14,FALSE)," ")," ")</f>
        <v xml:space="preserve"> </v>
      </c>
      <c r="AL2048" s="34" t="str">
        <f t="shared" ref="AL2048" si="8867">IFERROR(IF(AJ2048-VLOOKUP(AG$38,$A$2:$N$12,14,FALSE)&gt;0,AJ2048-VLOOKUP(AG$38,$A$2:$N$12,14,FALSE)," ")," ")</f>
        <v xml:space="preserve"> </v>
      </c>
      <c r="AM2048" s="34">
        <f t="shared" ref="AM2048" si="8868">$M$5</f>
        <v>0</v>
      </c>
      <c r="AN2048" s="34">
        <v>-1</v>
      </c>
      <c r="AO2048" s="34">
        <f t="shared" ref="AO2048" si="8869">-SUMPRODUCT($M$2:$M$4,$N$2:$N$4)-SUMPRODUCT($M$6:$M$12,$N$6:$N$12)</f>
        <v>-120000</v>
      </c>
      <c r="AP2048" s="34" t="e">
        <f t="shared" ref="AP2048" si="8870">IF(AM2048&lt;&gt;AM2049,MMULT(MINVERSE(AM2048:AN2049),AO2048:AO2049)," ")</f>
        <v>#NUM!</v>
      </c>
      <c r="AQ2048" s="34" t="str">
        <f t="shared" ref="AQ2048" si="8871">IFERROR(IF(AP2048-VLOOKUP(AM$38,$A$2:$N$12,14,FALSE)&lt;0,AP2048-VLOOKUP(AM$38,$A$2:$N$12,14,FALSE)," ")," ")</f>
        <v xml:space="preserve"> </v>
      </c>
      <c r="AR2048" s="34" t="str">
        <f t="shared" ref="AR2048" si="8872">IFERROR(IF(AP2048-VLOOKUP(AM$38,$A$2:$N$12,14,FALSE)&gt;0,AP2048-VLOOKUP(AM$38,$A$2:$N$12,14,FALSE)," ")," ")</f>
        <v xml:space="preserve"> </v>
      </c>
      <c r="AS2048" s="34">
        <f t="shared" ref="AS2048" si="8873">$M$6</f>
        <v>0</v>
      </c>
      <c r="AT2048" s="34">
        <v>-1</v>
      </c>
      <c r="AU2048" s="34">
        <f t="shared" ref="AU2048" si="8874">-SUMPRODUCT($M$2:$M$5,$N$2:$N$5)-SUMPRODUCT($M$7:$M$12,$N$7:$N$12)</f>
        <v>-120000</v>
      </c>
      <c r="AV2048" s="34" t="e">
        <f t="shared" ref="AV2048" si="8875">IF(AS2048&lt;&gt;AS2049,MMULT(MINVERSE(AS2048:AT2049),AU2048:AU2049)," ")</f>
        <v>#NUM!</v>
      </c>
      <c r="AW2048" s="34" t="str">
        <f t="shared" ref="AW2048" si="8876">IFERROR(IF(AV2048-VLOOKUP(AS$38,$A$2:$N$12,14,FALSE)&lt;0,AV2048-VLOOKUP(AS$38,$A$2:$N$12,14,FALSE)," ")," ")</f>
        <v xml:space="preserve"> </v>
      </c>
      <c r="AX2048" s="34" t="str">
        <f t="shared" ref="AX2048" si="8877">IFERROR(IF(AV2048-VLOOKUP(AS$38,$A$2:$N$12,14,FALSE)&gt;0,AV2048-VLOOKUP(AS$38,$A$2:$N$12,14,FALSE)," ")," ")</f>
        <v xml:space="preserve"> </v>
      </c>
      <c r="AY2048" s="34">
        <f t="shared" ref="AY2048" si="8878">$M$7</f>
        <v>0</v>
      </c>
      <c r="AZ2048" s="34">
        <v>-1</v>
      </c>
      <c r="BA2048" s="34">
        <f t="shared" ref="BA2048" si="8879">-SUMPRODUCT($M$2:$M$6,$N$2:$N$6)-SUMPRODUCT($M$8:$M$12,$N$8:$N$12)</f>
        <v>-120000</v>
      </c>
      <c r="BB2048" s="34" t="e">
        <f t="shared" ref="BB2048" si="8880">IF(AY2048&lt;&gt;AY2049,MMULT(MINVERSE(AY2048:AZ2049),BA2048:BA2049)," ")</f>
        <v>#NUM!</v>
      </c>
      <c r="BC2048" s="34" t="str">
        <f t="shared" ref="BC2048" si="8881">IFERROR(IF(BB2048-VLOOKUP(AY$38,$A$2:$N$12,14,FALSE)&lt;0,BB2048-VLOOKUP(AY$38,$A$2:$N$12,14,FALSE)," ")," ")</f>
        <v xml:space="preserve"> </v>
      </c>
      <c r="BD2048" s="34" t="str">
        <f t="shared" ref="BD2048" si="8882">IFERROR(IF(BB2048-VLOOKUP(AY$38,$A$2:$N$12,14,FALSE)&gt;0,BB2048-VLOOKUP(AY$38,$A$2:$N$12,14,FALSE)," ")," ")</f>
        <v xml:space="preserve"> </v>
      </c>
      <c r="BE2048" s="34">
        <f t="shared" ref="BE2048" si="8883">$M$8</f>
        <v>0</v>
      </c>
      <c r="BF2048" s="34">
        <v>-1</v>
      </c>
      <c r="BG2048" s="34">
        <f t="shared" ref="BG2048" si="8884">-SUMPRODUCT($M$2:$M$7,$N$2:$N$7)-SUMPRODUCT($M$9:$M$12,$N$9:$N$12)</f>
        <v>-120000</v>
      </c>
      <c r="BH2048" s="34" t="e">
        <f t="shared" ref="BH2048" si="8885">IF(BE2048&lt;&gt;BE2049,MMULT(MINVERSE(BE2048:BF2049),BG2048:BG2049)," ")</f>
        <v>#NUM!</v>
      </c>
      <c r="BI2048" s="34" t="str">
        <f t="shared" ref="BI2048" si="8886">IFERROR(IF(BH2048-VLOOKUP(BE$38,$A$2:$N$12,14,FALSE)&lt;0,BH2048-VLOOKUP(BE$38,$A$2:$N$12,14,FALSE)," ")," ")</f>
        <v xml:space="preserve"> </v>
      </c>
      <c r="BJ2048" s="34" t="str">
        <f t="shared" ref="BJ2048" si="8887">IFERROR(IF(BH2048-VLOOKUP(BE$38,$A$2:$N$12,14,FALSE)&gt;0,BH2048-VLOOKUP(BE$38,$A$2:$N$12,14,FALSE)," ")," ")</f>
        <v xml:space="preserve"> </v>
      </c>
      <c r="BK2048" s="34">
        <f t="shared" ref="BK2048" si="8888">$M$9</f>
        <v>0</v>
      </c>
      <c r="BL2048" s="34">
        <v>-1</v>
      </c>
      <c r="BM2048" s="34">
        <f t="shared" ref="BM2048" si="8889">-SUMPRODUCT($M$2:$M$8,$N$2:$N$8)-SUMPRODUCT($M$10:$M$12,$N$10:$N$12)</f>
        <v>-120000</v>
      </c>
      <c r="BN2048" s="34" t="e">
        <f t="shared" ref="BN2048" si="8890">IF(BK2048&lt;&gt;BK2049,MMULT(MINVERSE(BK2048:BL2049),BM2048:BM2049)," ")</f>
        <v>#NUM!</v>
      </c>
      <c r="BO2048" s="34" t="str">
        <f t="shared" ref="BO2048" si="8891">IFERROR(IF(BN2048-VLOOKUP(BK$38,$A$2:$N$12,14,FALSE)&lt;0,BN2048-VLOOKUP(BK$38,$A$2:$N$12,14,FALSE)," ")," ")</f>
        <v xml:space="preserve"> </v>
      </c>
      <c r="BP2048" s="34" t="str">
        <f t="shared" ref="BP2048" si="8892">IFERROR(IF(BN2048-VLOOKUP(BK$38,$A$2:$N$12,14,FALSE)&gt;0,BN2048-VLOOKUP(BK$38,$A$2:$N$12,14,FALSE)," ")," ")</f>
        <v xml:space="preserve"> </v>
      </c>
      <c r="BQ2048" s="34">
        <f t="shared" ref="BQ2048" si="8893">$M$10</f>
        <v>0</v>
      </c>
      <c r="BR2048" s="34">
        <v>-1</v>
      </c>
      <c r="BS2048" s="34">
        <f t="shared" ref="BS2048" si="8894">-SUMPRODUCT($M$2:$M$9,$N$2:$N$9)-SUMPRODUCT($M$11:$M$12,$N$11:$N$12)</f>
        <v>-120000</v>
      </c>
      <c r="BT2048" s="34" t="e">
        <f t="shared" ref="BT2048" si="8895">IF(BQ2048&lt;&gt;BQ2049,MMULT(MINVERSE(BQ2048:BR2049),BS2048:BS2049)," ")</f>
        <v>#NUM!</v>
      </c>
      <c r="BU2048" s="34" t="str">
        <f t="shared" ref="BU2048" si="8896">IFERROR(IF(BT2048-VLOOKUP(BQ$38,$A$2:$N$12,14,FALSE)&lt;0,BT2048-VLOOKUP(BQ$38,$A$2:$N$12,14,FALSE)," ")," ")</f>
        <v xml:space="preserve"> </v>
      </c>
      <c r="BV2048" s="34" t="str">
        <f t="shared" ref="BV2048" si="8897">IFERROR(IF(BT2048-VLOOKUP(BQ$38,$A$2:$N$12,14,FALSE)&gt;0,BT2048-VLOOKUP(BQ$38,$A$2:$N$12,14,FALSE)," ")," ")</f>
        <v xml:space="preserve"> </v>
      </c>
      <c r="BW2048" s="34">
        <f t="shared" ref="BW2048" si="8898">$M$11</f>
        <v>0</v>
      </c>
      <c r="BX2048" s="34">
        <v>-1</v>
      </c>
      <c r="BY2048" s="34">
        <f t="shared" ref="BY2048" si="8899">-SUMPRODUCT($M$2:$M$10,$N$2:$N$10)-SUMPRODUCT($M$12,$N$12)</f>
        <v>-120000</v>
      </c>
      <c r="BZ2048" s="34" t="e">
        <f t="shared" ref="BZ2048" si="8900">IF(BW2048&lt;&gt;BW2049,MMULT(MINVERSE(BW2048:BX2049),BY2048:BY2049)," ")</f>
        <v>#NUM!</v>
      </c>
      <c r="CA2048" s="34" t="str">
        <f t="shared" ref="CA2048" si="8901">IFERROR(IF(BZ2048-VLOOKUP(BW$38,$A$2:$N$12,14,FALSE)&lt;0,BZ2048-VLOOKUP(BW$38,$A$2:$N$12,14,FALSE)," ")," ")</f>
        <v xml:space="preserve"> </v>
      </c>
      <c r="CB2048" s="34" t="str">
        <f t="shared" ref="CB2048" si="8902">IFERROR(IF(BZ2048-VLOOKUP(BW$38,$A$2:$N$12,14,FALSE)&gt;0,BZ2048-VLOOKUP(BW$38,$A$2:$N$12,14,FALSE)," ")," ")</f>
        <v xml:space="preserve"> </v>
      </c>
      <c r="CC2048" s="34">
        <f t="shared" ref="CC2048" si="8903">$M$12</f>
        <v>0</v>
      </c>
      <c r="CD2048" s="34">
        <v>-1</v>
      </c>
      <c r="CE2048" s="34">
        <f t="shared" ref="CE2048" si="8904">-SUMPRODUCT($M$2:$M$11,$N$2:$N$11)</f>
        <v>-120000</v>
      </c>
      <c r="CF2048" s="34" t="e">
        <f t="shared" ref="CF2048" si="8905">IF(CC2048&lt;&gt;CC2049,MMULT(MINVERSE(CC2048:CD2049),CE2048:CE2049)," ")</f>
        <v>#NUM!</v>
      </c>
      <c r="CG2048" s="34" t="str">
        <f t="shared" ref="CG2048" si="8906">IFERROR(IF(CF2048-VLOOKUP(CC$38,$A$2:$N$12,14,FALSE)&lt;0,CF2048-VLOOKUP(CC$38,$A$2:$N$12,14,FALSE)," ")," ")</f>
        <v xml:space="preserve"> </v>
      </c>
      <c r="CH2048" s="34" t="str">
        <f t="shared" ref="CH2048" si="8907">IFERROR(IF(CF2048-VLOOKUP(CC$38,$A$2:$N$12,14,FALSE)&gt;0,CF2048-VLOOKUP(CC$38,$A$2:$N$12,14,FALSE)," ")," ")</f>
        <v xml:space="preserve"> </v>
      </c>
      <c r="CI2048" s="8"/>
    </row>
    <row r="2049" spans="1:87" x14ac:dyDescent="0.2">
      <c r="A2049" s="8" t="str">
        <f>IF(AND(COUNTIF(W$3:W$13,A$16)&gt;0,A$16&lt;&gt;B1816),A$16,IFERROR(IF(MATCH(A$16,Z$3:Z$13,0)=11,A$16," ")," "))</f>
        <v xml:space="preserve"> </v>
      </c>
      <c r="B2049" s="8" t="str">
        <f>IF(A2049=" "," ",MAX(B2048:B2048)+1)</f>
        <v xml:space="preserve"> </v>
      </c>
      <c r="C2049" s="8" t="str">
        <f>IFERROR(INDEX(A2048:A2069,MATCH(SMALL(B2048:B2069,2),B2048:B2069,0),1)," ")</f>
        <v>C4</v>
      </c>
      <c r="D2049" s="8">
        <f t="shared" ref="D2049:D2058" si="8908">IFERROR(VLOOKUP($C2049,$A$15:$O$36,2,FALSE)," ")</f>
        <v>1</v>
      </c>
      <c r="E2049" s="8">
        <f t="shared" ref="E2049:E2058" si="8909">IFERROR(VLOOKUP($C2049,$A$15:$O$36,3,FALSE)," ")</f>
        <v>0</v>
      </c>
      <c r="F2049" s="8">
        <f t="shared" ref="F2049:F2058" si="8910">IFERROR(VLOOKUP($C2049,$A$15:$O$36,4,FALSE)," ")</f>
        <v>1</v>
      </c>
      <c r="G2049" s="8">
        <f t="shared" ref="G2049:G2058" si="8911">IFERROR(VLOOKUP($C2049,$A$15:$O$36,5,FALSE)," ")</f>
        <v>0</v>
      </c>
      <c r="H2049" s="8">
        <f t="shared" ref="H2049:H2058" si="8912">IFERROR(VLOOKUP($C2049,$A$15:$O$36,6,FALSE)," ")</f>
        <v>0</v>
      </c>
      <c r="I2049" s="8">
        <f t="shared" ref="I2049:I2058" si="8913">IFERROR(VLOOKUP($C2049,$A$15:$O$36,7,FALSE)," ")</f>
        <v>0</v>
      </c>
      <c r="J2049" s="8">
        <f t="shared" ref="J2049:J2058" si="8914">IFERROR(VLOOKUP($C2049,$A$15:$O$36,8,FALSE)," ")</f>
        <v>0</v>
      </c>
      <c r="K2049" s="8">
        <f t="shared" ref="K2049:K2058" si="8915">IFERROR(VLOOKUP($C2049,$A$15:$O$36,9,FALSE)," ")</f>
        <v>0</v>
      </c>
      <c r="L2049" s="8">
        <f t="shared" ref="L2049:L2058" si="8916">IFERROR(VLOOKUP($C2049,$A$15:$O$36,10,FALSE)," ")</f>
        <v>0</v>
      </c>
      <c r="M2049" s="8">
        <f t="shared" ref="M2049:M2058" si="8917">IFERROR(VLOOKUP($C2049,$A$15:$O$36,11,FALSE)," ")</f>
        <v>0</v>
      </c>
      <c r="N2049" s="8">
        <f t="shared" ref="N2049:N2058" si="8918">IFERROR(VLOOKUP($C2049,$A$15:$O$36,12,FALSE)," ")</f>
        <v>0</v>
      </c>
      <c r="O2049" s="8">
        <f t="shared" ref="O2049:O2058" si="8919">IFERROR(VLOOKUP($C2049,$A$15:$O$36,15,FALSE)," ")</f>
        <v>400</v>
      </c>
      <c r="P2049" s="8" t="e">
        <v>#NUM!</v>
      </c>
      <c r="Q2049" s="8" t="e">
        <f t="shared" ref="Q2049" si="8920">IF(COUNTIF(P2048:P2058,"&lt;"&amp;-0.001)=0,IF(ABS(P2049)&lt;0.001,0,P2049)," ")</f>
        <v>#NUM!</v>
      </c>
      <c r="R2049" s="8"/>
      <c r="S2049" s="8"/>
      <c r="U2049" s="34" t="e">
        <f t="shared" ref="U2049" si="8921">$Q2048</f>
        <v>#NUM!</v>
      </c>
      <c r="V2049" s="34">
        <v>-1</v>
      </c>
      <c r="W2049" s="34" t="e">
        <f t="shared" ref="W2049" si="8922">-SUMPRODUCT($Q2049:$Q2058,$N$3:$N$12)</f>
        <v>#NUM!</v>
      </c>
      <c r="X2049" s="34"/>
      <c r="Y2049" s="34"/>
      <c r="Z2049" s="34"/>
      <c r="AA2049" s="34" t="e">
        <f t="shared" ref="AA2049" si="8923">$Q2049</f>
        <v>#NUM!</v>
      </c>
      <c r="AB2049" s="34">
        <v>-1</v>
      </c>
      <c r="AC2049" s="34" t="e">
        <f t="shared" ref="AC2049" si="8924">-SUMPRODUCT($Q2048:$Q2048,$N$2:$N$2)-SUMPRODUCT($Q2050:$Q2058,$N$4:$N$12)</f>
        <v>#NUM!</v>
      </c>
      <c r="AD2049" s="34"/>
      <c r="AE2049" s="34"/>
      <c r="AF2049" s="34"/>
      <c r="AG2049" s="34" t="e">
        <f t="shared" ref="AG2049" si="8925">$Q2050</f>
        <v>#NUM!</v>
      </c>
      <c r="AH2049" s="34">
        <v>-1</v>
      </c>
      <c r="AI2049" s="34" t="e">
        <f t="shared" ref="AI2049" si="8926">-SUMPRODUCT($Q2048:$Q2049,$N$2:$N$3)-SUMPRODUCT($Q2051:$Q2058,$N$5:$N$12)</f>
        <v>#NUM!</v>
      </c>
      <c r="AJ2049" s="34"/>
      <c r="AK2049" s="34"/>
      <c r="AL2049" s="34"/>
      <c r="AM2049" s="34" t="e">
        <f t="shared" ref="AM2049" si="8927">$Q2051</f>
        <v>#NUM!</v>
      </c>
      <c r="AN2049" s="34">
        <v>-1</v>
      </c>
      <c r="AO2049" s="34" t="e">
        <f t="shared" ref="AO2049" si="8928">-SUMPRODUCT($Q2048:$Q2050,$N$2:$N$4)-SUMPRODUCT($Q2052:$Q2058,$N$6:$N$12)</f>
        <v>#NUM!</v>
      </c>
      <c r="AP2049" s="34"/>
      <c r="AQ2049" s="34"/>
      <c r="AR2049" s="34"/>
      <c r="AS2049" s="34" t="e">
        <f t="shared" ref="AS2049" si="8929">$Q2052</f>
        <v>#NUM!</v>
      </c>
      <c r="AT2049" s="34">
        <v>-1</v>
      </c>
      <c r="AU2049" s="34" t="e">
        <f t="shared" ref="AU2049" si="8930">-SUMPRODUCT($Q2048:$Q2051,$N$2:$N$5)-SUMPRODUCT($Q2053:$Q2058,$N$7:$N$12)</f>
        <v>#NUM!</v>
      </c>
      <c r="AV2049" s="34"/>
      <c r="AW2049" s="34"/>
      <c r="AX2049" s="34"/>
      <c r="AY2049" s="34" t="e">
        <f t="shared" ref="AY2049" si="8931">$Q2053</f>
        <v>#NUM!</v>
      </c>
      <c r="AZ2049" s="34">
        <v>-1</v>
      </c>
      <c r="BA2049" s="34" t="e">
        <f t="shared" ref="BA2049" si="8932">-SUMPRODUCT($Q2048:$Q2052,$N$2:$N$6)-SUMPRODUCT($Q2054:$Q2058,$N$8:$N$12)</f>
        <v>#NUM!</v>
      </c>
      <c r="BB2049" s="34"/>
      <c r="BC2049" s="34"/>
      <c r="BD2049" s="34"/>
      <c r="BE2049" s="34" t="e">
        <f t="shared" ref="BE2049" si="8933">$Q2054</f>
        <v>#NUM!</v>
      </c>
      <c r="BF2049" s="34">
        <v>-1</v>
      </c>
      <c r="BG2049" s="34" t="e">
        <f t="shared" ref="BG2049" si="8934">-SUMPRODUCT($Q2048:$Q2053,$N$2:$N$7)-SUMPRODUCT($Q2055:$Q2058,$N$9:$N$12)</f>
        <v>#NUM!</v>
      </c>
      <c r="BH2049" s="34"/>
      <c r="BI2049" s="34"/>
      <c r="BJ2049" s="34"/>
      <c r="BK2049" s="34" t="e">
        <f t="shared" ref="BK2049" si="8935">$Q2055</f>
        <v>#NUM!</v>
      </c>
      <c r="BL2049" s="34">
        <v>-1</v>
      </c>
      <c r="BM2049" s="34" t="e">
        <f t="shared" ref="BM2049" si="8936">-SUMPRODUCT($Q2048:$Q2054,$N$2:$N$8)-SUMPRODUCT($Q2056:$Q2058,$N$10:$N$12)</f>
        <v>#NUM!</v>
      </c>
      <c r="BN2049" s="34"/>
      <c r="BO2049" s="34"/>
      <c r="BP2049" s="34"/>
      <c r="BQ2049" s="34" t="e">
        <f t="shared" ref="BQ2049" si="8937">$Q2056</f>
        <v>#NUM!</v>
      </c>
      <c r="BR2049" s="34">
        <v>-1</v>
      </c>
      <c r="BS2049" s="34" t="e">
        <f t="shared" ref="BS2049" si="8938">-SUMPRODUCT($Q2048:$Q2055,$N$2:$N$9)-SUMPRODUCT($Q2057:$Q2058,$N$11:$N$12)</f>
        <v>#NUM!</v>
      </c>
      <c r="BT2049" s="34"/>
      <c r="BU2049" s="34"/>
      <c r="BV2049" s="34"/>
      <c r="BW2049" s="34" t="e">
        <f t="shared" ref="BW2049" si="8939">$Q2057</f>
        <v>#NUM!</v>
      </c>
      <c r="BX2049" s="34">
        <v>-1</v>
      </c>
      <c r="BY2049" s="34" t="e">
        <f t="shared" ref="BY2049" si="8940">-SUMPRODUCT($Q2048:$Q2056,$N$2:$N$10)-SUMPRODUCT($Q2058,$N$12)</f>
        <v>#NUM!</v>
      </c>
      <c r="BZ2049" s="34"/>
      <c r="CA2049" s="34"/>
      <c r="CB2049" s="34"/>
      <c r="CC2049" s="34" t="e">
        <f t="shared" ref="CC2049" si="8941">$Q2058</f>
        <v>#NUM!</v>
      </c>
      <c r="CD2049" s="34">
        <v>-1</v>
      </c>
      <c r="CE2049" s="34" t="e">
        <f t="shared" ref="CE2049" si="8942">-SUMPRODUCT($Q2048:$Q2057,$N$2:$N$11)</f>
        <v>#NUM!</v>
      </c>
      <c r="CF2049" s="34"/>
      <c r="CG2049" s="34"/>
      <c r="CH2049" s="34"/>
      <c r="CI2049" s="8"/>
    </row>
    <row r="2050" spans="1:87" x14ac:dyDescent="0.2">
      <c r="A2050" s="8" t="str">
        <f>IF(AND(COUNTIF(W$3:W$13,A$17)&gt;0,A$17&lt;&gt;B1816),A$17,IFERROR(IF(MATCH(A$17,Z$3:Z$13,0)=11,A$17," ")," "))</f>
        <v>C3</v>
      </c>
      <c r="B2050" s="8">
        <f>IF(A2050=" "," ",MAX(B2048:B2049)+1)</f>
        <v>1</v>
      </c>
      <c r="C2050" s="8" t="str">
        <f>IFERROR(INDEX(A2048:A2069,MATCH(SMALL(B2048:B2069,3),B2048:B2069,0),1)," ")</f>
        <v>C13</v>
      </c>
      <c r="D2050" s="8">
        <f t="shared" si="8908"/>
        <v>0</v>
      </c>
      <c r="E2050" s="8">
        <f t="shared" si="8909"/>
        <v>1</v>
      </c>
      <c r="F2050" s="8">
        <f t="shared" si="8910"/>
        <v>0</v>
      </c>
      <c r="G2050" s="8">
        <f t="shared" si="8911"/>
        <v>0</v>
      </c>
      <c r="H2050" s="8">
        <f t="shared" si="8912"/>
        <v>0</v>
      </c>
      <c r="I2050" s="8">
        <f t="shared" si="8913"/>
        <v>0</v>
      </c>
      <c r="J2050" s="8">
        <f t="shared" si="8914"/>
        <v>0</v>
      </c>
      <c r="K2050" s="8">
        <f t="shared" si="8915"/>
        <v>0</v>
      </c>
      <c r="L2050" s="8">
        <f t="shared" si="8916"/>
        <v>0</v>
      </c>
      <c r="M2050" s="8">
        <f t="shared" si="8917"/>
        <v>0</v>
      </c>
      <c r="N2050" s="8">
        <f t="shared" si="8918"/>
        <v>0</v>
      </c>
      <c r="O2050" s="8">
        <f t="shared" si="8919"/>
        <v>0</v>
      </c>
      <c r="P2050" s="8" t="e">
        <v>#NUM!</v>
      </c>
      <c r="Q2050" s="8" t="e">
        <f t="shared" ref="Q2050" si="8943">IF(COUNTIF(P2048:P2058,"&lt;"&amp;-0.001)=0,IF(ABS(P2050)&lt;0.001,0,P2050)," ")</f>
        <v>#NUM!</v>
      </c>
      <c r="R2050" s="8"/>
      <c r="S2050" s="8"/>
      <c r="U2050" s="34"/>
      <c r="V2050" s="34"/>
      <c r="W2050" s="34"/>
      <c r="X2050" s="34"/>
      <c r="Y2050" s="34"/>
      <c r="Z2050" s="34"/>
      <c r="AA2050" s="34"/>
      <c r="AB2050" s="34"/>
      <c r="AC2050" s="34"/>
      <c r="AD2050" s="34"/>
      <c r="AE2050" s="34"/>
      <c r="AF2050" s="34"/>
      <c r="AG2050" s="34"/>
      <c r="AH2050" s="34"/>
      <c r="AI2050" s="34"/>
      <c r="AJ2050" s="34"/>
      <c r="AK2050" s="34"/>
      <c r="AL2050" s="34"/>
      <c r="AM2050" s="34"/>
      <c r="AN2050" s="34"/>
      <c r="AO2050" s="34"/>
      <c r="AP2050" s="34"/>
      <c r="AQ2050" s="34"/>
      <c r="AR2050" s="34"/>
      <c r="AS2050" s="34"/>
      <c r="AT2050" s="34"/>
      <c r="AU2050" s="34"/>
      <c r="AV2050" s="34"/>
      <c r="AW2050" s="34"/>
      <c r="AX2050" s="34"/>
      <c r="AY2050" s="34"/>
      <c r="AZ2050" s="34"/>
      <c r="BA2050" s="34"/>
      <c r="BB2050" s="34"/>
      <c r="BC2050" s="34"/>
      <c r="BD2050" s="34"/>
      <c r="BE2050" s="34"/>
      <c r="BF2050" s="34"/>
      <c r="BG2050" s="34"/>
      <c r="BH2050" s="34"/>
      <c r="BI2050" s="34"/>
      <c r="BJ2050" s="34"/>
      <c r="BK2050" s="34"/>
      <c r="BL2050" s="34"/>
      <c r="BM2050" s="34"/>
      <c r="BN2050" s="34"/>
      <c r="BO2050" s="34"/>
      <c r="BP2050" s="34"/>
      <c r="BQ2050" s="34"/>
      <c r="BR2050" s="34"/>
      <c r="BS2050" s="34"/>
      <c r="BT2050" s="34"/>
      <c r="BU2050" s="34"/>
      <c r="BV2050" s="34"/>
      <c r="BW2050" s="34"/>
      <c r="BX2050" s="34"/>
      <c r="BY2050" s="34"/>
      <c r="BZ2050" s="34"/>
      <c r="CA2050" s="34"/>
      <c r="CB2050" s="34"/>
      <c r="CC2050" s="34"/>
      <c r="CD2050" s="34"/>
      <c r="CE2050" s="34"/>
      <c r="CF2050" s="34"/>
      <c r="CG2050" s="34"/>
      <c r="CH2050" s="34"/>
      <c r="CI2050" s="8"/>
    </row>
    <row r="2051" spans="1:87" x14ac:dyDescent="0.2">
      <c r="A2051" s="8" t="str">
        <f>IF(AND(COUNTIF(W$3:W$13,A$18)&gt;0,A$18&lt;&gt;B1816),A$18,IFERROR(IF(MATCH(A$18,Z$3:Z$13,0)=11,A$18," ")," "))</f>
        <v>C4</v>
      </c>
      <c r="B2051" s="8">
        <f>IF(A2051=" "," ",MAX(B2048:B2050)+1)</f>
        <v>2</v>
      </c>
      <c r="C2051" s="8" t="str">
        <f>IFERROR(INDEX(A2048:A2069,MATCH(SMALL(B2048:B2069,4),B2048:B2069,0),1)," ")</f>
        <v>C14</v>
      </c>
      <c r="D2051" s="8">
        <f t="shared" si="8908"/>
        <v>0</v>
      </c>
      <c r="E2051" s="8">
        <f t="shared" si="8909"/>
        <v>0</v>
      </c>
      <c r="F2051" s="8">
        <f t="shared" si="8910"/>
        <v>1</v>
      </c>
      <c r="G2051" s="8">
        <f t="shared" si="8911"/>
        <v>0</v>
      </c>
      <c r="H2051" s="8">
        <f t="shared" si="8912"/>
        <v>0</v>
      </c>
      <c r="I2051" s="8">
        <f t="shared" si="8913"/>
        <v>0</v>
      </c>
      <c r="J2051" s="8">
        <f t="shared" si="8914"/>
        <v>0</v>
      </c>
      <c r="K2051" s="8">
        <f t="shared" si="8915"/>
        <v>0</v>
      </c>
      <c r="L2051" s="8">
        <f t="shared" si="8916"/>
        <v>0</v>
      </c>
      <c r="M2051" s="8">
        <f t="shared" si="8917"/>
        <v>0</v>
      </c>
      <c r="N2051" s="8">
        <f t="shared" si="8918"/>
        <v>0</v>
      </c>
      <c r="O2051" s="8">
        <f t="shared" si="8919"/>
        <v>0</v>
      </c>
      <c r="P2051" s="8" t="e">
        <v>#NUM!</v>
      </c>
      <c r="Q2051" s="8" t="e">
        <f t="shared" ref="Q2051" si="8944">IF(COUNTIF(P2048:P2058,"&lt;"&amp;-0.001)=0,IF(ABS(P2051)&lt;0.001,0,P2051)," ")</f>
        <v>#NUM!</v>
      </c>
      <c r="R2051" s="8"/>
      <c r="S2051" s="8"/>
      <c r="U2051" s="34"/>
      <c r="V2051" s="34"/>
      <c r="W2051" s="34"/>
      <c r="X2051" s="34"/>
      <c r="Y2051" s="34"/>
      <c r="Z2051" s="34"/>
      <c r="AA2051" s="34"/>
      <c r="AB2051" s="34"/>
      <c r="AC2051" s="34"/>
      <c r="AD2051" s="34"/>
      <c r="AE2051" s="34"/>
      <c r="AF2051" s="34"/>
      <c r="AG2051" s="34"/>
      <c r="AH2051" s="34"/>
      <c r="AI2051" s="34"/>
      <c r="AJ2051" s="34"/>
      <c r="AK2051" s="34"/>
      <c r="AL2051" s="34"/>
      <c r="AM2051" s="34"/>
      <c r="AN2051" s="34"/>
      <c r="AO2051" s="34"/>
      <c r="AP2051" s="34"/>
      <c r="AQ2051" s="34"/>
      <c r="AR2051" s="34"/>
      <c r="AS2051" s="34"/>
      <c r="AT2051" s="34"/>
      <c r="AU2051" s="34"/>
      <c r="AV2051" s="34"/>
      <c r="AW2051" s="34"/>
      <c r="AX2051" s="34"/>
      <c r="AY2051" s="34"/>
      <c r="AZ2051" s="34"/>
      <c r="BA2051" s="34"/>
      <c r="BB2051" s="34"/>
      <c r="BC2051" s="34"/>
      <c r="BD2051" s="34"/>
      <c r="BE2051" s="34"/>
      <c r="BF2051" s="34"/>
      <c r="BG2051" s="34"/>
      <c r="BH2051" s="34"/>
      <c r="BI2051" s="34"/>
      <c r="BJ2051" s="34"/>
      <c r="BK2051" s="34"/>
      <c r="BL2051" s="34"/>
      <c r="BM2051" s="34"/>
      <c r="BN2051" s="34"/>
      <c r="BO2051" s="34"/>
      <c r="BP2051" s="34"/>
      <c r="BQ2051" s="34"/>
      <c r="BR2051" s="34"/>
      <c r="BS2051" s="34"/>
      <c r="BT2051" s="34"/>
      <c r="BU2051" s="34"/>
      <c r="BV2051" s="34"/>
      <c r="BW2051" s="34"/>
      <c r="BX2051" s="34"/>
      <c r="BY2051" s="34"/>
      <c r="BZ2051" s="34"/>
      <c r="CA2051" s="34"/>
      <c r="CB2051" s="34"/>
      <c r="CC2051" s="34"/>
      <c r="CD2051" s="34"/>
      <c r="CE2051" s="34"/>
      <c r="CF2051" s="34"/>
      <c r="CG2051" s="34"/>
      <c r="CH2051" s="34"/>
      <c r="CI2051" s="8"/>
    </row>
    <row r="2052" spans="1:87" x14ac:dyDescent="0.2">
      <c r="A2052" s="8" t="str">
        <f>IF(AND(COUNTIF(W$3:W$13,A$19)&gt;0,A$19&lt;&gt;B1816),A$19,IFERROR(IF(MATCH(A$19,Z$3:Z$13,0)=11,A$19," ")," "))</f>
        <v xml:space="preserve"> </v>
      </c>
      <c r="B2052" s="8" t="str">
        <f>IF(A2052=" "," ",MAX(B2048:B2051)+1)</f>
        <v xml:space="preserve"> </v>
      </c>
      <c r="C2052" s="8" t="str">
        <f>IFERROR(INDEX(A2048:A2069,MATCH(SMALL(B2048:B2069,5),B2048:B2069,0),1)," ")</f>
        <v>C15</v>
      </c>
      <c r="D2052" s="8">
        <f t="shared" si="8908"/>
        <v>0</v>
      </c>
      <c r="E2052" s="8">
        <f t="shared" si="8909"/>
        <v>0</v>
      </c>
      <c r="F2052" s="8">
        <f t="shared" si="8910"/>
        <v>0</v>
      </c>
      <c r="G2052" s="8">
        <f t="shared" si="8911"/>
        <v>1</v>
      </c>
      <c r="H2052" s="8">
        <f t="shared" si="8912"/>
        <v>0</v>
      </c>
      <c r="I2052" s="8">
        <f t="shared" si="8913"/>
        <v>0</v>
      </c>
      <c r="J2052" s="8">
        <f t="shared" si="8914"/>
        <v>0</v>
      </c>
      <c r="K2052" s="8">
        <f t="shared" si="8915"/>
        <v>0</v>
      </c>
      <c r="L2052" s="8">
        <f t="shared" si="8916"/>
        <v>0</v>
      </c>
      <c r="M2052" s="8">
        <f t="shared" si="8917"/>
        <v>0</v>
      </c>
      <c r="N2052" s="8">
        <f t="shared" si="8918"/>
        <v>0</v>
      </c>
      <c r="O2052" s="8">
        <f t="shared" si="8919"/>
        <v>0</v>
      </c>
      <c r="P2052" s="8" t="e">
        <v>#NUM!</v>
      </c>
      <c r="Q2052" s="8" t="e">
        <f t="shared" ref="Q2052" si="8945">IF(COUNTIF(P2048:P2058,"&lt;"&amp;-0.001)=0,IF(ABS(P2052)&lt;0.001,0,P2052)," ")</f>
        <v>#NUM!</v>
      </c>
      <c r="R2052" s="8"/>
      <c r="S2052" s="8"/>
      <c r="U2052" s="34"/>
      <c r="V2052" s="34"/>
      <c r="W2052" s="34"/>
      <c r="X2052" s="34"/>
      <c r="Y2052" s="34"/>
      <c r="Z2052" s="34"/>
      <c r="AA2052" s="34"/>
      <c r="AB2052" s="34"/>
      <c r="AC2052" s="34"/>
      <c r="AD2052" s="34"/>
      <c r="AE2052" s="34"/>
      <c r="AF2052" s="34"/>
      <c r="AG2052" s="34"/>
      <c r="AH2052" s="34"/>
      <c r="AI2052" s="34"/>
      <c r="AJ2052" s="34"/>
      <c r="AK2052" s="34"/>
      <c r="AL2052" s="34"/>
      <c r="AM2052" s="34"/>
      <c r="AN2052" s="34"/>
      <c r="AO2052" s="34"/>
      <c r="AP2052" s="34"/>
      <c r="AQ2052" s="34"/>
      <c r="AR2052" s="34"/>
      <c r="AS2052" s="34"/>
      <c r="AT2052" s="34"/>
      <c r="AU2052" s="34"/>
      <c r="AV2052" s="34"/>
      <c r="AW2052" s="34"/>
      <c r="AX2052" s="34"/>
      <c r="AY2052" s="34"/>
      <c r="AZ2052" s="34"/>
      <c r="BA2052" s="34"/>
      <c r="BB2052" s="34"/>
      <c r="BC2052" s="34"/>
      <c r="BD2052" s="34"/>
      <c r="BE2052" s="34"/>
      <c r="BF2052" s="34"/>
      <c r="BG2052" s="34"/>
      <c r="BH2052" s="34"/>
      <c r="BI2052" s="34"/>
      <c r="BJ2052" s="34"/>
      <c r="BK2052" s="34"/>
      <c r="BL2052" s="34"/>
      <c r="BM2052" s="34"/>
      <c r="BN2052" s="34"/>
      <c r="BO2052" s="34"/>
      <c r="BP2052" s="34"/>
      <c r="BQ2052" s="34"/>
      <c r="BR2052" s="34"/>
      <c r="BS2052" s="34"/>
      <c r="BT2052" s="34"/>
      <c r="BU2052" s="34"/>
      <c r="BV2052" s="34"/>
      <c r="BW2052" s="34"/>
      <c r="BX2052" s="34"/>
      <c r="BY2052" s="34"/>
      <c r="BZ2052" s="34"/>
      <c r="CA2052" s="34"/>
      <c r="CB2052" s="34"/>
      <c r="CC2052" s="34"/>
      <c r="CD2052" s="34"/>
      <c r="CE2052" s="34"/>
      <c r="CF2052" s="34"/>
      <c r="CG2052" s="34"/>
      <c r="CH2052" s="34"/>
      <c r="CI2052" s="8"/>
    </row>
    <row r="2053" spans="1:87" x14ac:dyDescent="0.2">
      <c r="A2053" s="8" t="str">
        <f>IF(AND(COUNTIF(W$3:W$13,A$20)&gt;0,A$20&lt;&gt;B1816),A$20,IFERROR(IF(MATCH(A$20,Z$3:Z$13,0)=11,A$20," ")," "))</f>
        <v xml:space="preserve"> </v>
      </c>
      <c r="B2053" s="8" t="str">
        <f>IF(A2053=" "," ",MAX(B2048:B2052)+1)</f>
        <v xml:space="preserve"> </v>
      </c>
      <c r="C2053" s="8" t="str">
        <f>IFERROR(INDEX(A2048:A2069,MATCH(SMALL(B2048:B2069,6),B2048:B2069,0),1)," ")</f>
        <v>C16</v>
      </c>
      <c r="D2053" s="8">
        <f t="shared" si="8908"/>
        <v>0</v>
      </c>
      <c r="E2053" s="8">
        <f t="shared" si="8909"/>
        <v>0</v>
      </c>
      <c r="F2053" s="8">
        <f t="shared" si="8910"/>
        <v>0</v>
      </c>
      <c r="G2053" s="8">
        <f t="shared" si="8911"/>
        <v>0</v>
      </c>
      <c r="H2053" s="8">
        <f t="shared" si="8912"/>
        <v>1</v>
      </c>
      <c r="I2053" s="8">
        <f t="shared" si="8913"/>
        <v>0</v>
      </c>
      <c r="J2053" s="8">
        <f t="shared" si="8914"/>
        <v>0</v>
      </c>
      <c r="K2053" s="8">
        <f t="shared" si="8915"/>
        <v>0</v>
      </c>
      <c r="L2053" s="8">
        <f t="shared" si="8916"/>
        <v>0</v>
      </c>
      <c r="M2053" s="8">
        <f t="shared" si="8917"/>
        <v>0</v>
      </c>
      <c r="N2053" s="8">
        <f t="shared" si="8918"/>
        <v>0</v>
      </c>
      <c r="O2053" s="8">
        <f t="shared" si="8919"/>
        <v>0</v>
      </c>
      <c r="P2053" s="8" t="e">
        <v>#NUM!</v>
      </c>
      <c r="Q2053" s="8" t="e">
        <f t="shared" ref="Q2053" si="8946">IF(COUNTIF(P2048:P2058,"&lt;"&amp;-0.001)=0,IF(ABS(P2053)&lt;0.001,0,P2053)," ")</f>
        <v>#NUM!</v>
      </c>
      <c r="R2053" s="8"/>
      <c r="S2053" s="8"/>
      <c r="U2053" s="34"/>
      <c r="V2053" s="34"/>
      <c r="W2053" s="34"/>
      <c r="X2053" s="34"/>
      <c r="Y2053" s="34"/>
      <c r="Z2053" s="34"/>
      <c r="AA2053" s="34"/>
      <c r="AB2053" s="34"/>
      <c r="AC2053" s="34"/>
      <c r="AD2053" s="34"/>
      <c r="AE2053" s="34"/>
      <c r="AF2053" s="34"/>
      <c r="AG2053" s="34"/>
      <c r="AH2053" s="34"/>
      <c r="AI2053" s="34"/>
      <c r="AJ2053" s="34"/>
      <c r="AK2053" s="34"/>
      <c r="AL2053" s="34"/>
      <c r="AM2053" s="34"/>
      <c r="AN2053" s="34"/>
      <c r="AO2053" s="34"/>
      <c r="AP2053" s="34"/>
      <c r="AQ2053" s="34"/>
      <c r="AR2053" s="34"/>
      <c r="AS2053" s="34"/>
      <c r="AT2053" s="34"/>
      <c r="AU2053" s="34"/>
      <c r="AV2053" s="34"/>
      <c r="AW2053" s="34"/>
      <c r="AX2053" s="34"/>
      <c r="AY2053" s="34"/>
      <c r="AZ2053" s="34"/>
      <c r="BA2053" s="34"/>
      <c r="BB2053" s="34"/>
      <c r="BC2053" s="34"/>
      <c r="BD2053" s="34"/>
      <c r="BE2053" s="34"/>
      <c r="BF2053" s="34"/>
      <c r="BG2053" s="34"/>
      <c r="BH2053" s="34"/>
      <c r="BI2053" s="34"/>
      <c r="BJ2053" s="34"/>
      <c r="BK2053" s="34"/>
      <c r="BL2053" s="34"/>
      <c r="BM2053" s="34"/>
      <c r="BN2053" s="34"/>
      <c r="BO2053" s="34"/>
      <c r="BP2053" s="34"/>
      <c r="BQ2053" s="34"/>
      <c r="BR2053" s="34"/>
      <c r="BS2053" s="34"/>
      <c r="BT2053" s="34"/>
      <c r="BU2053" s="34"/>
      <c r="BV2053" s="34"/>
      <c r="BW2053" s="34"/>
      <c r="BX2053" s="34"/>
      <c r="BY2053" s="34"/>
      <c r="BZ2053" s="34"/>
      <c r="CA2053" s="34"/>
      <c r="CB2053" s="34"/>
      <c r="CC2053" s="34"/>
      <c r="CD2053" s="34"/>
      <c r="CE2053" s="34"/>
      <c r="CF2053" s="34"/>
      <c r="CG2053" s="34"/>
      <c r="CH2053" s="34"/>
      <c r="CI2053" s="8"/>
    </row>
    <row r="2054" spans="1:87" x14ac:dyDescent="0.2">
      <c r="A2054" s="8" t="str">
        <f>IF(AND(COUNTIF(W$3:W$13,A$21)&gt;0,A$21&lt;&gt;B1816),A$21,IFERROR(IF(MATCH(A$21,Z$3:Z$13,0)=11,A$21," ")," "))</f>
        <v xml:space="preserve"> </v>
      </c>
      <c r="B2054" s="8" t="str">
        <f>IF(A2054=" "," ",MAX(B2048:B2053)+1)</f>
        <v xml:space="preserve"> </v>
      </c>
      <c r="C2054" s="8" t="str">
        <f>IFERROR(INDEX(A2048:A2069,MATCH(SMALL(B2048:B2069,7),B2048:B2069,0),1)," ")</f>
        <v>C17</v>
      </c>
      <c r="D2054" s="8">
        <f t="shared" si="8908"/>
        <v>0</v>
      </c>
      <c r="E2054" s="8">
        <f t="shared" si="8909"/>
        <v>0</v>
      </c>
      <c r="F2054" s="8">
        <f t="shared" si="8910"/>
        <v>0</v>
      </c>
      <c r="G2054" s="8">
        <f t="shared" si="8911"/>
        <v>0</v>
      </c>
      <c r="H2054" s="8">
        <f t="shared" si="8912"/>
        <v>0</v>
      </c>
      <c r="I2054" s="8">
        <f t="shared" si="8913"/>
        <v>1</v>
      </c>
      <c r="J2054" s="8">
        <f t="shared" si="8914"/>
        <v>0</v>
      </c>
      <c r="K2054" s="8">
        <f t="shared" si="8915"/>
        <v>0</v>
      </c>
      <c r="L2054" s="8">
        <f t="shared" si="8916"/>
        <v>0</v>
      </c>
      <c r="M2054" s="8">
        <f t="shared" si="8917"/>
        <v>0</v>
      </c>
      <c r="N2054" s="8">
        <f t="shared" si="8918"/>
        <v>0</v>
      </c>
      <c r="O2054" s="8">
        <f t="shared" si="8919"/>
        <v>0</v>
      </c>
      <c r="P2054" s="8" t="e">
        <v>#NUM!</v>
      </c>
      <c r="Q2054" s="8" t="e">
        <f t="shared" ref="Q2054" si="8947">IF(COUNTIF(P2048:P2058,"&lt;"&amp;-0.001)=0,IF(ABS(P2054)&lt;0.001,0,P2054)," ")</f>
        <v>#NUM!</v>
      </c>
      <c r="R2054" s="8"/>
      <c r="S2054" s="8"/>
      <c r="U2054" s="34"/>
      <c r="V2054" s="34"/>
      <c r="W2054" s="34"/>
      <c r="X2054" s="34"/>
      <c r="Y2054" s="34"/>
      <c r="Z2054" s="34"/>
      <c r="AA2054" s="34"/>
      <c r="AB2054" s="34"/>
      <c r="AC2054" s="34"/>
      <c r="AD2054" s="34"/>
      <c r="AE2054" s="34"/>
      <c r="AF2054" s="34"/>
      <c r="AG2054" s="34"/>
      <c r="AH2054" s="34"/>
      <c r="AI2054" s="34"/>
      <c r="AJ2054" s="34"/>
      <c r="AK2054" s="34"/>
      <c r="AL2054" s="34"/>
      <c r="AM2054" s="34"/>
      <c r="AN2054" s="34"/>
      <c r="AO2054" s="34"/>
      <c r="AP2054" s="34"/>
      <c r="AQ2054" s="34"/>
      <c r="AR2054" s="34"/>
      <c r="AS2054" s="34"/>
      <c r="AT2054" s="34"/>
      <c r="AU2054" s="34"/>
      <c r="AV2054" s="34"/>
      <c r="AW2054" s="34"/>
      <c r="AX2054" s="34"/>
      <c r="AY2054" s="34"/>
      <c r="AZ2054" s="34"/>
      <c r="BA2054" s="34"/>
      <c r="BB2054" s="34"/>
      <c r="BC2054" s="34"/>
      <c r="BD2054" s="34"/>
      <c r="BE2054" s="34"/>
      <c r="BF2054" s="34"/>
      <c r="BG2054" s="34"/>
      <c r="BH2054" s="34"/>
      <c r="BI2054" s="34"/>
      <c r="BJ2054" s="34"/>
      <c r="BK2054" s="34"/>
      <c r="BL2054" s="34"/>
      <c r="BM2054" s="34"/>
      <c r="BN2054" s="34"/>
      <c r="BO2054" s="34"/>
      <c r="BP2054" s="34"/>
      <c r="BQ2054" s="34"/>
      <c r="BR2054" s="34"/>
      <c r="BS2054" s="34"/>
      <c r="BT2054" s="34"/>
      <c r="BU2054" s="34"/>
      <c r="BV2054" s="34"/>
      <c r="BW2054" s="34"/>
      <c r="BX2054" s="34"/>
      <c r="BY2054" s="34"/>
      <c r="BZ2054" s="34"/>
      <c r="CA2054" s="34"/>
      <c r="CB2054" s="34"/>
      <c r="CC2054" s="34"/>
      <c r="CD2054" s="34"/>
      <c r="CE2054" s="34"/>
      <c r="CF2054" s="34"/>
      <c r="CG2054" s="34"/>
      <c r="CH2054" s="34"/>
      <c r="CI2054" s="8"/>
    </row>
    <row r="2055" spans="1:87" x14ac:dyDescent="0.2">
      <c r="A2055" s="8" t="str">
        <f>IF(AND(COUNTIF(W$3:W$13,A$22)&gt;0,A$22&lt;&gt;B1816),A$22,IFERROR(IF(MATCH(A$22,Z$3:Z$13,0)=11,A$22," ")," "))</f>
        <v xml:space="preserve"> </v>
      </c>
      <c r="B2055" s="8" t="str">
        <f>IF(A2055=" "," ",MAX(B2048:B2054)+1)</f>
        <v xml:space="preserve"> </v>
      </c>
      <c r="C2055" s="8" t="str">
        <f>IFERROR(INDEX(A2048:A2069,MATCH(SMALL(B2048:B2069,8),B2048:B2069,0),1)," ")</f>
        <v>C18</v>
      </c>
      <c r="D2055" s="8">
        <f t="shared" si="8908"/>
        <v>0</v>
      </c>
      <c r="E2055" s="8">
        <f t="shared" si="8909"/>
        <v>0</v>
      </c>
      <c r="F2055" s="8">
        <f t="shared" si="8910"/>
        <v>0</v>
      </c>
      <c r="G2055" s="8">
        <f t="shared" si="8911"/>
        <v>0</v>
      </c>
      <c r="H2055" s="8">
        <f t="shared" si="8912"/>
        <v>0</v>
      </c>
      <c r="I2055" s="8">
        <f t="shared" si="8913"/>
        <v>0</v>
      </c>
      <c r="J2055" s="8">
        <f t="shared" si="8914"/>
        <v>1</v>
      </c>
      <c r="K2055" s="8">
        <f t="shared" si="8915"/>
        <v>0</v>
      </c>
      <c r="L2055" s="8">
        <f t="shared" si="8916"/>
        <v>0</v>
      </c>
      <c r="M2055" s="8">
        <f t="shared" si="8917"/>
        <v>0</v>
      </c>
      <c r="N2055" s="8">
        <f t="shared" si="8918"/>
        <v>0</v>
      </c>
      <c r="O2055" s="8">
        <f t="shared" si="8919"/>
        <v>0</v>
      </c>
      <c r="P2055" s="8" t="e">
        <v>#NUM!</v>
      </c>
      <c r="Q2055" s="8" t="e">
        <f t="shared" ref="Q2055" si="8948">IF(COUNTIF(P2048:P2058,"&lt;"&amp;-0.001)=0,IF(ABS(P2055)&lt;0.001,0,P2055)," ")</f>
        <v>#NUM!</v>
      </c>
      <c r="R2055" s="8"/>
      <c r="S2055" s="8"/>
      <c r="U2055" s="34"/>
      <c r="V2055" s="34"/>
      <c r="W2055" s="34"/>
      <c r="X2055" s="34"/>
      <c r="Y2055" s="34"/>
      <c r="Z2055" s="34"/>
      <c r="AA2055" s="34"/>
      <c r="AB2055" s="34"/>
      <c r="AC2055" s="34"/>
      <c r="AD2055" s="34"/>
      <c r="AE2055" s="34"/>
      <c r="AF2055" s="34"/>
      <c r="AG2055" s="34"/>
      <c r="AH2055" s="34"/>
      <c r="AI2055" s="34"/>
      <c r="AJ2055" s="34"/>
      <c r="AK2055" s="34"/>
      <c r="AL2055" s="34"/>
      <c r="AM2055" s="34"/>
      <c r="AN2055" s="34"/>
      <c r="AO2055" s="34"/>
      <c r="AP2055" s="34"/>
      <c r="AQ2055" s="34"/>
      <c r="AR2055" s="34"/>
      <c r="AS2055" s="34"/>
      <c r="AT2055" s="34"/>
      <c r="AU2055" s="34"/>
      <c r="AV2055" s="34"/>
      <c r="AW2055" s="34"/>
      <c r="AX2055" s="34"/>
      <c r="AY2055" s="34"/>
      <c r="AZ2055" s="34"/>
      <c r="BA2055" s="34"/>
      <c r="BB2055" s="34"/>
      <c r="BC2055" s="34"/>
      <c r="BD2055" s="34"/>
      <c r="BE2055" s="34"/>
      <c r="BF2055" s="34"/>
      <c r="BG2055" s="34"/>
      <c r="BH2055" s="34"/>
      <c r="BI2055" s="34"/>
      <c r="BJ2055" s="34"/>
      <c r="BK2055" s="34"/>
      <c r="BL2055" s="34"/>
      <c r="BM2055" s="34"/>
      <c r="BN2055" s="34"/>
      <c r="BO2055" s="34"/>
      <c r="BP2055" s="34"/>
      <c r="BQ2055" s="34"/>
      <c r="BR2055" s="34"/>
      <c r="BS2055" s="34"/>
      <c r="BT2055" s="34"/>
      <c r="BU2055" s="34"/>
      <c r="BV2055" s="34"/>
      <c r="BW2055" s="34"/>
      <c r="BX2055" s="34"/>
      <c r="BY2055" s="34"/>
      <c r="BZ2055" s="34"/>
      <c r="CA2055" s="34"/>
      <c r="CB2055" s="34"/>
      <c r="CC2055" s="34"/>
      <c r="CD2055" s="34"/>
      <c r="CE2055" s="34"/>
      <c r="CF2055" s="34"/>
      <c r="CG2055" s="34"/>
      <c r="CH2055" s="34"/>
      <c r="CI2055" s="8"/>
    </row>
    <row r="2056" spans="1:87" x14ac:dyDescent="0.2">
      <c r="A2056" s="8" t="str">
        <f>IF(AND(COUNTIF(W$3:W$13,A$23)&gt;0,A$23&lt;&gt;B1816),A$23,IFERROR(IF(MATCH(A$23,Z$3:Z$13,0)=11,A$23," ")," "))</f>
        <v xml:space="preserve"> </v>
      </c>
      <c r="B2056" s="8" t="str">
        <f>IF(A2056=" "," ",MAX(B2048:B2055)+1)</f>
        <v xml:space="preserve"> </v>
      </c>
      <c r="C2056" s="8" t="str">
        <f>IFERROR(INDEX(A2048:A2069,MATCH(SMALL(B2048:B2069,9),B2048:B2069,0),1)," ")</f>
        <v>C20</v>
      </c>
      <c r="D2056" s="8">
        <f t="shared" si="8908"/>
        <v>0</v>
      </c>
      <c r="E2056" s="8">
        <f t="shared" si="8909"/>
        <v>0</v>
      </c>
      <c r="F2056" s="8">
        <f t="shared" si="8910"/>
        <v>0</v>
      </c>
      <c r="G2056" s="8">
        <f t="shared" si="8911"/>
        <v>0</v>
      </c>
      <c r="H2056" s="8">
        <f t="shared" si="8912"/>
        <v>0</v>
      </c>
      <c r="I2056" s="8">
        <f t="shared" si="8913"/>
        <v>0</v>
      </c>
      <c r="J2056" s="8">
        <f t="shared" si="8914"/>
        <v>0</v>
      </c>
      <c r="K2056" s="8">
        <f t="shared" si="8915"/>
        <v>0</v>
      </c>
      <c r="L2056" s="8">
        <f t="shared" si="8916"/>
        <v>1</v>
      </c>
      <c r="M2056" s="8">
        <f t="shared" si="8917"/>
        <v>0</v>
      </c>
      <c r="N2056" s="8">
        <f t="shared" si="8918"/>
        <v>0</v>
      </c>
      <c r="O2056" s="8">
        <f t="shared" si="8919"/>
        <v>0</v>
      </c>
      <c r="P2056" s="6" t="e">
        <v>#NUM!</v>
      </c>
      <c r="Q2056" s="8" t="e">
        <f t="shared" ref="Q2056" si="8949">IF(COUNTIF(P2048:P2058,"&lt;"&amp;-0.001)=0,IF(ABS(P2056)&lt;0.001,0,P2056)," ")</f>
        <v>#NUM!</v>
      </c>
      <c r="R2056" s="8"/>
      <c r="S2056" s="8"/>
      <c r="U2056" s="34"/>
      <c r="V2056" s="34"/>
      <c r="W2056" s="34"/>
      <c r="X2056" s="34"/>
      <c r="Y2056" s="34"/>
      <c r="Z2056" s="34"/>
      <c r="AA2056" s="34"/>
      <c r="AB2056" s="34"/>
      <c r="AC2056" s="34"/>
      <c r="AD2056" s="34"/>
      <c r="AE2056" s="34"/>
      <c r="AF2056" s="34"/>
      <c r="AG2056" s="34"/>
      <c r="AH2056" s="34"/>
      <c r="AI2056" s="34"/>
      <c r="AJ2056" s="34"/>
      <c r="AK2056" s="34"/>
      <c r="AL2056" s="34"/>
      <c r="AM2056" s="34"/>
      <c r="AN2056" s="34"/>
      <c r="AO2056" s="34"/>
      <c r="AP2056" s="34"/>
      <c r="AQ2056" s="34"/>
      <c r="AR2056" s="34"/>
      <c r="AS2056" s="34"/>
      <c r="AT2056" s="34"/>
      <c r="AU2056" s="34"/>
      <c r="AV2056" s="34"/>
      <c r="AW2056" s="34"/>
      <c r="AX2056" s="34"/>
      <c r="AY2056" s="34"/>
      <c r="AZ2056" s="34"/>
      <c r="BA2056" s="34"/>
      <c r="BB2056" s="34"/>
      <c r="BC2056" s="34"/>
      <c r="BD2056" s="34"/>
      <c r="BE2056" s="34"/>
      <c r="BF2056" s="34"/>
      <c r="BG2056" s="34"/>
      <c r="BH2056" s="34"/>
      <c r="BI2056" s="34"/>
      <c r="BJ2056" s="34"/>
      <c r="BK2056" s="34"/>
      <c r="BL2056" s="34"/>
      <c r="BM2056" s="34"/>
      <c r="BN2056" s="34"/>
      <c r="BO2056" s="34"/>
      <c r="BP2056" s="34"/>
      <c r="BQ2056" s="34"/>
      <c r="BR2056" s="34"/>
      <c r="BS2056" s="34"/>
      <c r="BT2056" s="34"/>
      <c r="BU2056" s="34"/>
      <c r="BV2056" s="34"/>
      <c r="BW2056" s="34"/>
      <c r="BX2056" s="34"/>
      <c r="BY2056" s="34"/>
      <c r="BZ2056" s="34"/>
      <c r="CA2056" s="34"/>
      <c r="CB2056" s="34"/>
      <c r="CC2056" s="34"/>
      <c r="CD2056" s="34"/>
      <c r="CE2056" s="34"/>
      <c r="CF2056" s="34"/>
      <c r="CG2056" s="34"/>
      <c r="CH2056" s="34"/>
      <c r="CI2056" s="8"/>
    </row>
    <row r="2057" spans="1:87" x14ac:dyDescent="0.2">
      <c r="A2057" s="8" t="str">
        <f>IF(AND(COUNTIF(W$3:W$13,A$24)&gt;0,A$24&lt;&gt;B1816),A$24,IFERROR(IF(MATCH(A$24,Z$3:Z$13,0)=11,A$24," ")," "))</f>
        <v xml:space="preserve"> </v>
      </c>
      <c r="B2057" s="8" t="str">
        <f>IF(A2057=" "," ",MAX(B2048:B2056)+1)</f>
        <v xml:space="preserve"> </v>
      </c>
      <c r="C2057" s="8" t="str">
        <f>IFERROR(INDEX(A2048:A2069,MATCH(SMALL(B2048:B2069,10),B2048:B2069,0),1)," ")</f>
        <v>C21</v>
      </c>
      <c r="D2057" s="8">
        <f t="shared" si="8908"/>
        <v>0</v>
      </c>
      <c r="E2057" s="8">
        <f t="shared" si="8909"/>
        <v>0</v>
      </c>
      <c r="F2057" s="8">
        <f t="shared" si="8910"/>
        <v>0</v>
      </c>
      <c r="G2057" s="8">
        <f t="shared" si="8911"/>
        <v>0</v>
      </c>
      <c r="H2057" s="8">
        <f t="shared" si="8912"/>
        <v>0</v>
      </c>
      <c r="I2057" s="8">
        <f t="shared" si="8913"/>
        <v>0</v>
      </c>
      <c r="J2057" s="8">
        <f t="shared" si="8914"/>
        <v>0</v>
      </c>
      <c r="K2057" s="8">
        <f t="shared" si="8915"/>
        <v>0</v>
      </c>
      <c r="L2057" s="8">
        <f t="shared" si="8916"/>
        <v>0</v>
      </c>
      <c r="M2057" s="8">
        <f t="shared" si="8917"/>
        <v>1</v>
      </c>
      <c r="N2057" s="8">
        <f t="shared" si="8918"/>
        <v>0</v>
      </c>
      <c r="O2057" s="8">
        <f t="shared" si="8919"/>
        <v>0</v>
      </c>
      <c r="P2057" s="8" t="e">
        <v>#NUM!</v>
      </c>
      <c r="Q2057" s="8" t="e">
        <f t="shared" ref="Q2057" si="8950">IF(COUNTIF(P2048:P2058,"&lt;"&amp;-0.001)=0,IF(ABS(P2057)&lt;0.001,0,P2057)," ")</f>
        <v>#NUM!</v>
      </c>
      <c r="R2057" s="8"/>
      <c r="S2057" s="8"/>
      <c r="U2057" s="34"/>
      <c r="V2057" s="34"/>
      <c r="W2057" s="34"/>
      <c r="X2057" s="34"/>
      <c r="Y2057" s="34"/>
      <c r="Z2057" s="34"/>
      <c r="AA2057" s="34"/>
      <c r="AB2057" s="34"/>
      <c r="AC2057" s="34"/>
      <c r="AD2057" s="34"/>
      <c r="AE2057" s="34"/>
      <c r="AF2057" s="34"/>
      <c r="AG2057" s="34"/>
      <c r="AH2057" s="34"/>
      <c r="AI2057" s="34"/>
      <c r="AJ2057" s="34"/>
      <c r="AK2057" s="34"/>
      <c r="AL2057" s="34"/>
      <c r="AM2057" s="34"/>
      <c r="AN2057" s="34"/>
      <c r="AO2057" s="34"/>
      <c r="AP2057" s="34"/>
      <c r="AQ2057" s="34"/>
      <c r="AR2057" s="34"/>
      <c r="AS2057" s="34"/>
      <c r="AT2057" s="34"/>
      <c r="AU2057" s="34"/>
      <c r="AV2057" s="34"/>
      <c r="AW2057" s="34"/>
      <c r="AX2057" s="34"/>
      <c r="AY2057" s="34"/>
      <c r="AZ2057" s="34"/>
      <c r="BA2057" s="34"/>
      <c r="BB2057" s="34"/>
      <c r="BC2057" s="34"/>
      <c r="BD2057" s="34"/>
      <c r="BE2057" s="34"/>
      <c r="BF2057" s="34"/>
      <c r="BG2057" s="34"/>
      <c r="BH2057" s="34"/>
      <c r="BI2057" s="34"/>
      <c r="BJ2057" s="34"/>
      <c r="BK2057" s="34"/>
      <c r="BL2057" s="34"/>
      <c r="BM2057" s="34"/>
      <c r="BN2057" s="34"/>
      <c r="BO2057" s="34"/>
      <c r="BP2057" s="34"/>
      <c r="BQ2057" s="34"/>
      <c r="BR2057" s="34"/>
      <c r="BS2057" s="34"/>
      <c r="BT2057" s="34"/>
      <c r="BU2057" s="34"/>
      <c r="BV2057" s="34"/>
      <c r="BW2057" s="34"/>
      <c r="BX2057" s="34"/>
      <c r="BY2057" s="34"/>
      <c r="BZ2057" s="34"/>
      <c r="CA2057" s="34"/>
      <c r="CB2057" s="34"/>
      <c r="CC2057" s="34"/>
      <c r="CD2057" s="34"/>
      <c r="CE2057" s="34"/>
      <c r="CF2057" s="34"/>
      <c r="CG2057" s="34"/>
      <c r="CH2057" s="34"/>
      <c r="CI2057" s="8"/>
    </row>
    <row r="2058" spans="1:87" x14ac:dyDescent="0.2">
      <c r="A2058" s="8" t="str">
        <f>IF(AND(COUNTIF(W$3:W$13,A$25)&gt;0,A$25&lt;&gt;B1816),A$25,IFERROR(IF(MATCH(A$25,Z$3:Z$13,0)=11,A$25," ")," "))</f>
        <v xml:space="preserve"> </v>
      </c>
      <c r="B2058" s="8" t="str">
        <f>IF(A2058=" "," ",MAX(B2048:B2057)+1)</f>
        <v xml:space="preserve"> </v>
      </c>
      <c r="C2058" s="8" t="str">
        <f>IFERROR(INDEX(A2048:A2069,MATCH(SMALL(B2048:B2069,11),B2048:B2069,0),1)," ")</f>
        <v>C22</v>
      </c>
      <c r="D2058" s="8">
        <f t="shared" si="8908"/>
        <v>0</v>
      </c>
      <c r="E2058" s="8">
        <f t="shared" si="8909"/>
        <v>0</v>
      </c>
      <c r="F2058" s="8">
        <f t="shared" si="8910"/>
        <v>0</v>
      </c>
      <c r="G2058" s="8">
        <f t="shared" si="8911"/>
        <v>0</v>
      </c>
      <c r="H2058" s="8">
        <f t="shared" si="8912"/>
        <v>0</v>
      </c>
      <c r="I2058" s="8">
        <f t="shared" si="8913"/>
        <v>0</v>
      </c>
      <c r="J2058" s="8">
        <f t="shared" si="8914"/>
        <v>0</v>
      </c>
      <c r="K2058" s="8">
        <f t="shared" si="8915"/>
        <v>0</v>
      </c>
      <c r="L2058" s="8">
        <f t="shared" si="8916"/>
        <v>0</v>
      </c>
      <c r="M2058" s="8">
        <f t="shared" si="8917"/>
        <v>0</v>
      </c>
      <c r="N2058" s="8">
        <f t="shared" si="8918"/>
        <v>1</v>
      </c>
      <c r="O2058" s="8">
        <f t="shared" si="8919"/>
        <v>0</v>
      </c>
      <c r="P2058" s="8" t="e">
        <v>#NUM!</v>
      </c>
      <c r="Q2058" s="8" t="e">
        <f t="shared" ref="Q2058" si="8951">IF(COUNTIF(P2048:P2058,"&lt;"&amp;-0.001)=0,IF(ABS(P2058)&lt;0.001,0,P2058)," ")</f>
        <v>#NUM!</v>
      </c>
      <c r="R2058" s="8"/>
      <c r="S2058" s="8"/>
      <c r="U2058" s="34"/>
      <c r="V2058" s="34"/>
      <c r="W2058" s="34"/>
      <c r="X2058" s="34"/>
      <c r="Y2058" s="34"/>
      <c r="Z2058" s="34"/>
      <c r="AA2058" s="34"/>
      <c r="AB2058" s="34"/>
      <c r="AC2058" s="34"/>
      <c r="AD2058" s="34"/>
      <c r="AE2058" s="34"/>
      <c r="AF2058" s="34"/>
      <c r="AG2058" s="34"/>
      <c r="AH2058" s="34"/>
      <c r="AI2058" s="34"/>
      <c r="AJ2058" s="34"/>
      <c r="AK2058" s="34"/>
      <c r="AL2058" s="34"/>
      <c r="AM2058" s="34"/>
      <c r="AN2058" s="34"/>
      <c r="AO2058" s="34"/>
      <c r="AP2058" s="34"/>
      <c r="AQ2058" s="34"/>
      <c r="AR2058" s="34"/>
      <c r="AS2058" s="34"/>
      <c r="AT2058" s="34"/>
      <c r="AU2058" s="34"/>
      <c r="AV2058" s="34"/>
      <c r="AW2058" s="34"/>
      <c r="AX2058" s="34"/>
      <c r="AY2058" s="34"/>
      <c r="AZ2058" s="34"/>
      <c r="BA2058" s="34"/>
      <c r="BB2058" s="34"/>
      <c r="BC2058" s="34"/>
      <c r="BD2058" s="34"/>
      <c r="BE2058" s="34"/>
      <c r="BF2058" s="34"/>
      <c r="BG2058" s="34"/>
      <c r="BH2058" s="34"/>
      <c r="BI2058" s="34"/>
      <c r="BJ2058" s="34"/>
      <c r="BK2058" s="34"/>
      <c r="BL2058" s="34"/>
      <c r="BM2058" s="34"/>
      <c r="BN2058" s="34"/>
      <c r="BO2058" s="34"/>
      <c r="BP2058" s="34"/>
      <c r="BQ2058" s="34"/>
      <c r="BR2058" s="34"/>
      <c r="BS2058" s="34"/>
      <c r="BT2058" s="34"/>
      <c r="BU2058" s="34"/>
      <c r="BV2058" s="34"/>
      <c r="BW2058" s="34"/>
      <c r="BX2058" s="34"/>
      <c r="BY2058" s="34"/>
      <c r="BZ2058" s="34"/>
      <c r="CA2058" s="34"/>
      <c r="CB2058" s="34"/>
      <c r="CC2058" s="34"/>
      <c r="CD2058" s="34"/>
      <c r="CE2058" s="34"/>
      <c r="CF2058" s="34"/>
      <c r="CG2058" s="34"/>
      <c r="CH2058" s="34"/>
      <c r="CI2058" s="8"/>
    </row>
    <row r="2059" spans="1:87" x14ac:dyDescent="0.2">
      <c r="A2059" s="8" t="str">
        <f>IF(AND(COUNTIF(W$3:W$13,A$26)&gt;0,A$26&lt;&gt;B1816),A$26,IFERROR(IF(MATCH(A$26,Z$3:Z$13,0)=11,A$26," ")," "))</f>
        <v xml:space="preserve"> </v>
      </c>
      <c r="B2059" s="8" t="str">
        <f>IF(A2059=" "," ",MAX(B2048:B2058)+1)</f>
        <v xml:space="preserve"> </v>
      </c>
      <c r="C2059" s="8"/>
      <c r="D2059" s="8"/>
      <c r="E2059" s="8"/>
      <c r="F2059" s="8"/>
      <c r="G2059" s="8"/>
      <c r="H2059" s="8"/>
      <c r="I2059" s="8"/>
      <c r="J2059" s="8"/>
      <c r="K2059" s="8"/>
      <c r="L2059" s="8"/>
      <c r="M2059" s="8"/>
      <c r="N2059" s="8"/>
      <c r="O2059" s="8"/>
      <c r="P2059" s="8"/>
      <c r="Q2059" s="8"/>
      <c r="R2059" s="8"/>
      <c r="S2059" s="8"/>
      <c r="U2059" s="34"/>
      <c r="V2059" s="34"/>
      <c r="W2059" s="34"/>
      <c r="X2059" s="34"/>
      <c r="Y2059" s="34"/>
      <c r="Z2059" s="34"/>
      <c r="AA2059" s="34"/>
      <c r="AB2059" s="34"/>
      <c r="AC2059" s="34"/>
      <c r="AD2059" s="34"/>
      <c r="AE2059" s="34"/>
      <c r="AF2059" s="34"/>
      <c r="AG2059" s="34"/>
      <c r="AH2059" s="34"/>
      <c r="AI2059" s="34"/>
      <c r="AJ2059" s="34"/>
      <c r="AK2059" s="34"/>
      <c r="AL2059" s="34"/>
      <c r="AM2059" s="34"/>
      <c r="AN2059" s="34"/>
      <c r="AO2059" s="34"/>
      <c r="AP2059" s="34"/>
      <c r="AQ2059" s="34"/>
      <c r="AR2059" s="34"/>
      <c r="AS2059" s="34"/>
      <c r="AT2059" s="34"/>
      <c r="AU2059" s="34"/>
      <c r="AV2059" s="34"/>
      <c r="AW2059" s="34"/>
      <c r="AX2059" s="34"/>
      <c r="AY2059" s="34"/>
      <c r="AZ2059" s="34"/>
      <c r="BA2059" s="34"/>
      <c r="BB2059" s="34"/>
      <c r="BC2059" s="34"/>
      <c r="BD2059" s="34"/>
      <c r="BE2059" s="34"/>
      <c r="BF2059" s="34"/>
      <c r="BG2059" s="34"/>
      <c r="BH2059" s="34"/>
      <c r="BI2059" s="34"/>
      <c r="BJ2059" s="34"/>
      <c r="BK2059" s="34"/>
      <c r="BL2059" s="34"/>
      <c r="BM2059" s="34"/>
      <c r="BN2059" s="34"/>
      <c r="BO2059" s="34"/>
      <c r="BP2059" s="34"/>
      <c r="BQ2059" s="34"/>
      <c r="BR2059" s="34"/>
      <c r="BS2059" s="34"/>
      <c r="BT2059" s="34"/>
      <c r="BU2059" s="34"/>
      <c r="BV2059" s="34"/>
      <c r="BW2059" s="34"/>
      <c r="BX2059" s="34"/>
      <c r="BY2059" s="34"/>
      <c r="BZ2059" s="34"/>
      <c r="CA2059" s="34"/>
      <c r="CB2059" s="34"/>
      <c r="CC2059" s="34"/>
      <c r="CD2059" s="34"/>
      <c r="CE2059" s="34"/>
      <c r="CF2059" s="34"/>
      <c r="CG2059" s="34"/>
      <c r="CH2059" s="34"/>
      <c r="CI2059" s="8"/>
    </row>
    <row r="2060" spans="1:87" x14ac:dyDescent="0.2">
      <c r="A2060" s="8" t="str">
        <f>IF(AND(COUNTIF(W$3:W$13,A$27)&gt;0,A$27&lt;&gt;B1816),A$27,IFERROR(IF(MATCH(A$27,Z$3:Z$13,0)=11,A$27," ")," "))</f>
        <v>C13</v>
      </c>
      <c r="B2060" s="8">
        <f>IF(A2060=" "," ",MAX(B2048:B2059)+1)</f>
        <v>3</v>
      </c>
      <c r="C2060" s="8"/>
      <c r="D2060" s="8"/>
      <c r="E2060" s="8"/>
      <c r="F2060" s="8"/>
      <c r="G2060" s="8"/>
      <c r="H2060" s="8"/>
      <c r="I2060" s="8"/>
      <c r="J2060" s="8"/>
      <c r="K2060" s="8"/>
      <c r="L2060" s="8"/>
      <c r="M2060" s="8"/>
      <c r="N2060" s="8"/>
      <c r="O2060" s="8"/>
      <c r="P2060" s="8"/>
      <c r="Q2060" s="8"/>
      <c r="R2060" s="8"/>
      <c r="S2060" s="8"/>
      <c r="U2060" s="34"/>
      <c r="V2060" s="34"/>
      <c r="W2060" s="34"/>
      <c r="X2060" s="34"/>
      <c r="Y2060" s="34"/>
      <c r="Z2060" s="34"/>
      <c r="AA2060" s="34"/>
      <c r="AB2060" s="34"/>
      <c r="AC2060" s="34"/>
      <c r="AD2060" s="34"/>
      <c r="AE2060" s="34"/>
      <c r="AF2060" s="34"/>
      <c r="AG2060" s="34"/>
      <c r="AH2060" s="34"/>
      <c r="AI2060" s="34"/>
      <c r="AJ2060" s="34"/>
      <c r="AK2060" s="34"/>
      <c r="AL2060" s="34"/>
      <c r="AM2060" s="34"/>
      <c r="AN2060" s="34"/>
      <c r="AO2060" s="34"/>
      <c r="AP2060" s="34"/>
      <c r="AQ2060" s="34"/>
      <c r="AR2060" s="34"/>
      <c r="AS2060" s="34"/>
      <c r="AT2060" s="34"/>
      <c r="AU2060" s="34"/>
      <c r="AV2060" s="34"/>
      <c r="AW2060" s="34"/>
      <c r="AX2060" s="34"/>
      <c r="AY2060" s="34"/>
      <c r="AZ2060" s="34"/>
      <c r="BA2060" s="34"/>
      <c r="BB2060" s="34"/>
      <c r="BC2060" s="34"/>
      <c r="BD2060" s="34"/>
      <c r="BE2060" s="34"/>
      <c r="BF2060" s="34"/>
      <c r="BG2060" s="34"/>
      <c r="BH2060" s="34"/>
      <c r="BI2060" s="34"/>
      <c r="BJ2060" s="34"/>
      <c r="BK2060" s="34"/>
      <c r="BL2060" s="34"/>
      <c r="BM2060" s="34"/>
      <c r="BN2060" s="34"/>
      <c r="BO2060" s="34"/>
      <c r="BP2060" s="34"/>
      <c r="BQ2060" s="34"/>
      <c r="BR2060" s="34"/>
      <c r="BS2060" s="34"/>
      <c r="BT2060" s="34"/>
      <c r="BU2060" s="34"/>
      <c r="BV2060" s="34"/>
      <c r="BW2060" s="34"/>
      <c r="BX2060" s="34"/>
      <c r="BY2060" s="34"/>
      <c r="BZ2060" s="34"/>
      <c r="CA2060" s="34"/>
      <c r="CB2060" s="34"/>
      <c r="CC2060" s="34"/>
      <c r="CD2060" s="34"/>
      <c r="CE2060" s="34"/>
      <c r="CF2060" s="34"/>
      <c r="CG2060" s="34"/>
      <c r="CH2060" s="34"/>
      <c r="CI2060" s="8"/>
    </row>
    <row r="2061" spans="1:87" x14ac:dyDescent="0.2">
      <c r="A2061" s="8" t="str">
        <f>IF(AND(COUNTIF(W$3:W$13,A$28)&gt;0,A$28&lt;&gt;B1816),A$28,IFERROR(IF(MATCH(A$28,Z$3:Z$13,0)=11,A$28," ")," "))</f>
        <v>C14</v>
      </c>
      <c r="B2061" s="8">
        <f>IF(A2061=" "," ",MAX(B2048:B2060)+1)</f>
        <v>4</v>
      </c>
      <c r="C2061" s="8"/>
      <c r="D2061" s="8"/>
      <c r="E2061" s="8"/>
      <c r="F2061" s="8"/>
      <c r="G2061" s="8"/>
      <c r="H2061" s="8"/>
      <c r="I2061" s="8"/>
      <c r="J2061" s="8"/>
      <c r="K2061" s="8"/>
      <c r="L2061" s="8"/>
      <c r="M2061" s="8"/>
      <c r="N2061" s="8"/>
      <c r="O2061" s="8"/>
      <c r="P2061" s="8"/>
      <c r="Q2061" s="8"/>
      <c r="R2061" s="8"/>
      <c r="S2061" s="8"/>
      <c r="U2061" s="34"/>
      <c r="V2061" s="34"/>
      <c r="W2061" s="34"/>
      <c r="X2061" s="34"/>
      <c r="Y2061" s="34"/>
      <c r="Z2061" s="34"/>
      <c r="AA2061" s="34"/>
      <c r="AB2061" s="34"/>
      <c r="AC2061" s="34"/>
      <c r="AD2061" s="34"/>
      <c r="AE2061" s="34"/>
      <c r="AF2061" s="34"/>
      <c r="AG2061" s="34"/>
      <c r="AH2061" s="34"/>
      <c r="AI2061" s="34"/>
      <c r="AJ2061" s="34"/>
      <c r="AK2061" s="34"/>
      <c r="AL2061" s="34"/>
      <c r="AM2061" s="34"/>
      <c r="AN2061" s="34"/>
      <c r="AO2061" s="34"/>
      <c r="AP2061" s="34"/>
      <c r="AQ2061" s="34"/>
      <c r="AR2061" s="34"/>
      <c r="AS2061" s="34"/>
      <c r="AT2061" s="34"/>
      <c r="AU2061" s="34"/>
      <c r="AV2061" s="34"/>
      <c r="AW2061" s="34"/>
      <c r="AX2061" s="34"/>
      <c r="AY2061" s="34"/>
      <c r="AZ2061" s="34"/>
      <c r="BA2061" s="34"/>
      <c r="BB2061" s="34"/>
      <c r="BC2061" s="34"/>
      <c r="BD2061" s="34"/>
      <c r="BE2061" s="34"/>
      <c r="BF2061" s="34"/>
      <c r="BG2061" s="34"/>
      <c r="BH2061" s="34"/>
      <c r="BI2061" s="34"/>
      <c r="BJ2061" s="34"/>
      <c r="BK2061" s="34"/>
      <c r="BL2061" s="34"/>
      <c r="BM2061" s="34"/>
      <c r="BN2061" s="34"/>
      <c r="BO2061" s="34"/>
      <c r="BP2061" s="34"/>
      <c r="BQ2061" s="34"/>
      <c r="BR2061" s="34"/>
      <c r="BS2061" s="34"/>
      <c r="BT2061" s="34"/>
      <c r="BU2061" s="34"/>
      <c r="BV2061" s="34"/>
      <c r="BW2061" s="34"/>
      <c r="BX2061" s="34"/>
      <c r="BY2061" s="34"/>
      <c r="BZ2061" s="34"/>
      <c r="CA2061" s="34"/>
      <c r="CB2061" s="34"/>
      <c r="CC2061" s="34"/>
      <c r="CD2061" s="34"/>
      <c r="CE2061" s="34"/>
      <c r="CF2061" s="34"/>
      <c r="CG2061" s="34"/>
      <c r="CH2061" s="34"/>
      <c r="CI2061" s="8"/>
    </row>
    <row r="2062" spans="1:87" x14ac:dyDescent="0.2">
      <c r="A2062" s="8" t="str">
        <f>IF(AND(COUNTIF(W$3:W$13,A$29)&gt;0,A$29&lt;&gt;B1816),A$29,IFERROR(IF(MATCH(A$29,Z$3:Z$13,0)=11,A$29," ")," "))</f>
        <v>C15</v>
      </c>
      <c r="B2062" s="8">
        <f>IF(A2062=" "," ",MAX(B2048:B2061)+1)</f>
        <v>5</v>
      </c>
      <c r="C2062" s="8"/>
      <c r="D2062" s="8"/>
      <c r="E2062" s="8"/>
      <c r="F2062" s="8"/>
      <c r="G2062" s="8"/>
      <c r="H2062" s="8"/>
      <c r="I2062" s="8"/>
      <c r="J2062" s="8"/>
      <c r="K2062" s="8"/>
      <c r="L2062" s="8"/>
      <c r="M2062" s="8"/>
      <c r="N2062" s="8"/>
      <c r="O2062" s="8"/>
      <c r="P2062" s="8"/>
      <c r="Q2062" s="8"/>
      <c r="R2062" s="8"/>
      <c r="S2062" s="8"/>
      <c r="U2062" s="34"/>
      <c r="V2062" s="34"/>
      <c r="W2062" s="34"/>
      <c r="X2062" s="34"/>
      <c r="Y2062" s="34"/>
      <c r="Z2062" s="34"/>
      <c r="AA2062" s="34"/>
      <c r="AB2062" s="34"/>
      <c r="AC2062" s="34"/>
      <c r="AD2062" s="34"/>
      <c r="AE2062" s="34"/>
      <c r="AF2062" s="34"/>
      <c r="AG2062" s="34"/>
      <c r="AH2062" s="34"/>
      <c r="AI2062" s="34"/>
      <c r="AJ2062" s="34"/>
      <c r="AK2062" s="34"/>
      <c r="AL2062" s="34"/>
      <c r="AM2062" s="34"/>
      <c r="AN2062" s="34"/>
      <c r="AO2062" s="34"/>
      <c r="AP2062" s="34"/>
      <c r="AQ2062" s="34"/>
      <c r="AR2062" s="34"/>
      <c r="AS2062" s="34"/>
      <c r="AT2062" s="34"/>
      <c r="AU2062" s="34"/>
      <c r="AV2062" s="34"/>
      <c r="AW2062" s="34"/>
      <c r="AX2062" s="34"/>
      <c r="AY2062" s="34"/>
      <c r="AZ2062" s="34"/>
      <c r="BA2062" s="34"/>
      <c r="BB2062" s="34"/>
      <c r="BC2062" s="34"/>
      <c r="BD2062" s="34"/>
      <c r="BE2062" s="34"/>
      <c r="BF2062" s="34"/>
      <c r="BG2062" s="34"/>
      <c r="BH2062" s="34"/>
      <c r="BI2062" s="34"/>
      <c r="BJ2062" s="34"/>
      <c r="BK2062" s="34"/>
      <c r="BL2062" s="34"/>
      <c r="BM2062" s="34"/>
      <c r="BN2062" s="34"/>
      <c r="BO2062" s="34"/>
      <c r="BP2062" s="34"/>
      <c r="BQ2062" s="34"/>
      <c r="BR2062" s="34"/>
      <c r="BS2062" s="34"/>
      <c r="BT2062" s="34"/>
      <c r="BU2062" s="34"/>
      <c r="BV2062" s="34"/>
      <c r="BW2062" s="34"/>
      <c r="BX2062" s="34"/>
      <c r="BY2062" s="34"/>
      <c r="BZ2062" s="34"/>
      <c r="CA2062" s="34"/>
      <c r="CB2062" s="34"/>
      <c r="CC2062" s="34"/>
      <c r="CD2062" s="34"/>
      <c r="CE2062" s="34"/>
      <c r="CF2062" s="34"/>
      <c r="CG2062" s="34"/>
      <c r="CH2062" s="34"/>
      <c r="CI2062" s="8"/>
    </row>
    <row r="2063" spans="1:87" x14ac:dyDescent="0.2">
      <c r="A2063" s="8" t="str">
        <f>IF(AND(COUNTIF(W$3:W$13,A$30)&gt;0,A$30&lt;&gt;B1816),A$30,IFERROR(IF(MATCH(A$30,Z$3:Z$13,0)=11,A$30," ")," "))</f>
        <v>C16</v>
      </c>
      <c r="B2063" s="8">
        <f>IF(A2063=" "," ",MAX(B2048:B2062)+1)</f>
        <v>6</v>
      </c>
      <c r="C2063" s="8"/>
      <c r="D2063" s="8"/>
      <c r="E2063" s="8"/>
      <c r="F2063" s="8"/>
      <c r="G2063" s="8"/>
      <c r="H2063" s="8"/>
      <c r="I2063" s="8"/>
      <c r="J2063" s="8"/>
      <c r="K2063" s="8"/>
      <c r="L2063" s="8"/>
      <c r="M2063" s="8"/>
      <c r="N2063" s="8"/>
      <c r="O2063" s="8"/>
      <c r="P2063" s="8"/>
      <c r="Q2063" s="8"/>
      <c r="R2063" s="8"/>
      <c r="S2063" s="8"/>
      <c r="U2063" s="34"/>
      <c r="V2063" s="34"/>
      <c r="W2063" s="34"/>
      <c r="X2063" s="34"/>
      <c r="Y2063" s="34"/>
      <c r="Z2063" s="34"/>
      <c r="AA2063" s="34"/>
      <c r="AB2063" s="34"/>
      <c r="AC2063" s="34"/>
      <c r="AD2063" s="34"/>
      <c r="AE2063" s="34"/>
      <c r="AF2063" s="34"/>
      <c r="AG2063" s="34"/>
      <c r="AH2063" s="34"/>
      <c r="AI2063" s="34"/>
      <c r="AJ2063" s="34"/>
      <c r="AK2063" s="34"/>
      <c r="AL2063" s="34"/>
      <c r="AM2063" s="34"/>
      <c r="AN2063" s="34"/>
      <c r="AO2063" s="34"/>
      <c r="AP2063" s="34"/>
      <c r="AQ2063" s="34"/>
      <c r="AR2063" s="34"/>
      <c r="AS2063" s="34"/>
      <c r="AT2063" s="34"/>
      <c r="AU2063" s="34"/>
      <c r="AV2063" s="34"/>
      <c r="AW2063" s="34"/>
      <c r="AX2063" s="34"/>
      <c r="AY2063" s="34"/>
      <c r="AZ2063" s="34"/>
      <c r="BA2063" s="34"/>
      <c r="BB2063" s="34"/>
      <c r="BC2063" s="34"/>
      <c r="BD2063" s="34"/>
      <c r="BE2063" s="34"/>
      <c r="BF2063" s="34"/>
      <c r="BG2063" s="34"/>
      <c r="BH2063" s="34"/>
      <c r="BI2063" s="34"/>
      <c r="BJ2063" s="34"/>
      <c r="BK2063" s="34"/>
      <c r="BL2063" s="34"/>
      <c r="BM2063" s="34"/>
      <c r="BN2063" s="34"/>
      <c r="BO2063" s="34"/>
      <c r="BP2063" s="34"/>
      <c r="BQ2063" s="34"/>
      <c r="BR2063" s="34"/>
      <c r="BS2063" s="34"/>
      <c r="BT2063" s="34"/>
      <c r="BU2063" s="34"/>
      <c r="BV2063" s="34"/>
      <c r="BW2063" s="34"/>
      <c r="BX2063" s="34"/>
      <c r="BY2063" s="34"/>
      <c r="BZ2063" s="34"/>
      <c r="CA2063" s="34"/>
      <c r="CB2063" s="34"/>
      <c r="CC2063" s="34"/>
      <c r="CD2063" s="34"/>
      <c r="CE2063" s="34"/>
      <c r="CF2063" s="34"/>
      <c r="CG2063" s="34"/>
      <c r="CH2063" s="34"/>
      <c r="CI2063" s="8"/>
    </row>
    <row r="2064" spans="1:87" x14ac:dyDescent="0.2">
      <c r="A2064" s="8" t="str">
        <f>IF(AND(COUNTIF(W$3:W$13,A$31)&gt;0,A$31&lt;&gt;B1816),A$31,IFERROR(IF(MATCH(A$31,Z$3:Z$13,0)=11,A$31," ")," "))</f>
        <v>C17</v>
      </c>
      <c r="B2064" s="8">
        <f>IF(A2064=" "," ",MAX(B2048:B2063)+1)</f>
        <v>7</v>
      </c>
      <c r="C2064" s="8"/>
      <c r="D2064" s="8"/>
      <c r="E2064" s="8"/>
      <c r="F2064" s="8"/>
      <c r="G2064" s="8"/>
      <c r="H2064" s="8"/>
      <c r="I2064" s="8"/>
      <c r="J2064" s="8"/>
      <c r="K2064" s="8"/>
      <c r="L2064" s="8"/>
      <c r="M2064" s="8"/>
      <c r="N2064" s="8"/>
      <c r="O2064" s="8"/>
      <c r="P2064" s="8"/>
      <c r="Q2064" s="8"/>
      <c r="R2064" s="8"/>
      <c r="S2064" s="8"/>
      <c r="U2064" s="34"/>
      <c r="V2064" s="34"/>
      <c r="W2064" s="34"/>
      <c r="X2064" s="34"/>
      <c r="Y2064" s="34"/>
      <c r="Z2064" s="34"/>
      <c r="AA2064" s="34"/>
      <c r="AB2064" s="34"/>
      <c r="AC2064" s="34"/>
      <c r="AD2064" s="34"/>
      <c r="AE2064" s="34"/>
      <c r="AF2064" s="34"/>
      <c r="AG2064" s="34"/>
      <c r="AH2064" s="34"/>
      <c r="AI2064" s="34"/>
      <c r="AJ2064" s="34"/>
      <c r="AK2064" s="34"/>
      <c r="AL2064" s="34"/>
      <c r="AM2064" s="34"/>
      <c r="AN2064" s="34"/>
      <c r="AO2064" s="34"/>
      <c r="AP2064" s="34"/>
      <c r="AQ2064" s="34"/>
      <c r="AR2064" s="34"/>
      <c r="AS2064" s="34"/>
      <c r="AT2064" s="34"/>
      <c r="AU2064" s="34"/>
      <c r="AV2064" s="34"/>
      <c r="AW2064" s="34"/>
      <c r="AX2064" s="34"/>
      <c r="AY2064" s="34"/>
      <c r="AZ2064" s="34"/>
      <c r="BA2064" s="34"/>
      <c r="BB2064" s="34"/>
      <c r="BC2064" s="34"/>
      <c r="BD2064" s="34"/>
      <c r="BE2064" s="34"/>
      <c r="BF2064" s="34"/>
      <c r="BG2064" s="34"/>
      <c r="BH2064" s="34"/>
      <c r="BI2064" s="34"/>
      <c r="BJ2064" s="34"/>
      <c r="BK2064" s="34"/>
      <c r="BL2064" s="34"/>
      <c r="BM2064" s="34"/>
      <c r="BN2064" s="34"/>
      <c r="BO2064" s="34"/>
      <c r="BP2064" s="34"/>
      <c r="BQ2064" s="34"/>
      <c r="BR2064" s="34"/>
      <c r="BS2064" s="34"/>
      <c r="BT2064" s="34"/>
      <c r="BU2064" s="34"/>
      <c r="BV2064" s="34"/>
      <c r="BW2064" s="34"/>
      <c r="BX2064" s="34"/>
      <c r="BY2064" s="34"/>
      <c r="BZ2064" s="34"/>
      <c r="CA2064" s="34"/>
      <c r="CB2064" s="34"/>
      <c r="CC2064" s="34"/>
      <c r="CD2064" s="34"/>
      <c r="CE2064" s="34"/>
      <c r="CF2064" s="34"/>
      <c r="CG2064" s="34"/>
      <c r="CH2064" s="34"/>
      <c r="CI2064" s="8"/>
    </row>
    <row r="2065" spans="1:87" x14ac:dyDescent="0.2">
      <c r="A2065" s="8" t="str">
        <f>IF(AND(COUNTIF(W$3:W$13,A$32)&gt;0,A$32&lt;&gt;B1816),A$32,IFERROR(IF(MATCH(A$32,Z$3:Z$13,0)=11,A$32," ")," "))</f>
        <v>C18</v>
      </c>
      <c r="B2065" s="8">
        <f>IF(A2065=" "," ",MAX(B2048:B2064)+1)</f>
        <v>8</v>
      </c>
      <c r="C2065" s="8"/>
      <c r="D2065" s="8"/>
      <c r="E2065" s="8"/>
      <c r="F2065" s="8"/>
      <c r="G2065" s="8"/>
      <c r="H2065" s="8"/>
      <c r="I2065" s="8"/>
      <c r="J2065" s="8"/>
      <c r="K2065" s="8"/>
      <c r="L2065" s="8"/>
      <c r="M2065" s="8"/>
      <c r="N2065" s="8"/>
      <c r="O2065" s="8"/>
      <c r="P2065" s="8"/>
      <c r="Q2065" s="8"/>
      <c r="R2065" s="8"/>
      <c r="S2065" s="8"/>
      <c r="U2065" s="34"/>
      <c r="V2065" s="34"/>
      <c r="W2065" s="34"/>
      <c r="X2065" s="34"/>
      <c r="Y2065" s="34"/>
      <c r="Z2065" s="34"/>
      <c r="AA2065" s="34"/>
      <c r="AB2065" s="34"/>
      <c r="AC2065" s="34"/>
      <c r="AD2065" s="34"/>
      <c r="AE2065" s="34"/>
      <c r="AF2065" s="34"/>
      <c r="AG2065" s="34"/>
      <c r="AH2065" s="34"/>
      <c r="AI2065" s="34"/>
      <c r="AJ2065" s="34"/>
      <c r="AK2065" s="34"/>
      <c r="AL2065" s="34"/>
      <c r="AM2065" s="34"/>
      <c r="AN2065" s="34"/>
      <c r="AO2065" s="34"/>
      <c r="AP2065" s="34"/>
      <c r="AQ2065" s="34"/>
      <c r="AR2065" s="34"/>
      <c r="AS2065" s="34"/>
      <c r="AT2065" s="34"/>
      <c r="AU2065" s="34"/>
      <c r="AV2065" s="34"/>
      <c r="AW2065" s="34"/>
      <c r="AX2065" s="34"/>
      <c r="AY2065" s="34"/>
      <c r="AZ2065" s="34"/>
      <c r="BA2065" s="34"/>
      <c r="BB2065" s="34"/>
      <c r="BC2065" s="34"/>
      <c r="BD2065" s="34"/>
      <c r="BE2065" s="34"/>
      <c r="BF2065" s="34"/>
      <c r="BG2065" s="34"/>
      <c r="BH2065" s="34"/>
      <c r="BI2065" s="34"/>
      <c r="BJ2065" s="34"/>
      <c r="BK2065" s="34"/>
      <c r="BL2065" s="34"/>
      <c r="BM2065" s="34"/>
      <c r="BN2065" s="34"/>
      <c r="BO2065" s="34"/>
      <c r="BP2065" s="34"/>
      <c r="BQ2065" s="34"/>
      <c r="BR2065" s="34"/>
      <c r="BS2065" s="34"/>
      <c r="BT2065" s="34"/>
      <c r="BU2065" s="34"/>
      <c r="BV2065" s="34"/>
      <c r="BW2065" s="34"/>
      <c r="BX2065" s="34"/>
      <c r="BY2065" s="34"/>
      <c r="BZ2065" s="34"/>
      <c r="CA2065" s="34"/>
      <c r="CB2065" s="34"/>
      <c r="CC2065" s="34"/>
      <c r="CD2065" s="34"/>
      <c r="CE2065" s="34"/>
      <c r="CF2065" s="34"/>
      <c r="CG2065" s="34"/>
      <c r="CH2065" s="34"/>
      <c r="CI2065" s="8"/>
    </row>
    <row r="2066" spans="1:87" x14ac:dyDescent="0.2">
      <c r="A2066" s="8" t="str">
        <f>IF(AND(COUNTIF(W$3:W$13,A$33)&gt;0,A$33&lt;&gt;B1816),A$33,IFERROR(IF(MATCH(A$33,Z$3:Z$13,0)=11,A$33," ")," "))</f>
        <v xml:space="preserve"> </v>
      </c>
      <c r="B2066" s="8" t="str">
        <f>IF(A2066=" "," ",MAX(B2048:B2065)+1)</f>
        <v xml:space="preserve"> </v>
      </c>
      <c r="C2066" s="8"/>
      <c r="D2066" s="8"/>
      <c r="E2066" s="8"/>
      <c r="F2066" s="8"/>
      <c r="G2066" s="8"/>
      <c r="H2066" s="8"/>
      <c r="I2066" s="8"/>
      <c r="J2066" s="8"/>
      <c r="K2066" s="8"/>
      <c r="L2066" s="8"/>
      <c r="M2066" s="8"/>
      <c r="N2066" s="8"/>
      <c r="O2066" s="8"/>
      <c r="P2066" s="8"/>
      <c r="Q2066" s="8"/>
      <c r="R2066" s="8"/>
      <c r="S2066" s="8"/>
      <c r="U2066" s="34"/>
      <c r="V2066" s="34"/>
      <c r="W2066" s="34"/>
      <c r="X2066" s="34"/>
      <c r="Y2066" s="34"/>
      <c r="Z2066" s="34"/>
      <c r="AA2066" s="34"/>
      <c r="AB2066" s="34"/>
      <c r="AC2066" s="34"/>
      <c r="AD2066" s="34"/>
      <c r="AE2066" s="34"/>
      <c r="AF2066" s="34"/>
      <c r="AG2066" s="34"/>
      <c r="AH2066" s="34"/>
      <c r="AI2066" s="34"/>
      <c r="AJ2066" s="34"/>
      <c r="AK2066" s="34"/>
      <c r="AL2066" s="34"/>
      <c r="AM2066" s="34"/>
      <c r="AN2066" s="34"/>
      <c r="AO2066" s="34"/>
      <c r="AP2066" s="34"/>
      <c r="AQ2066" s="34"/>
      <c r="AR2066" s="34"/>
      <c r="AS2066" s="34"/>
      <c r="AT2066" s="34"/>
      <c r="AU2066" s="34"/>
      <c r="AV2066" s="34"/>
      <c r="AW2066" s="34"/>
      <c r="AX2066" s="34"/>
      <c r="AY2066" s="34"/>
      <c r="AZ2066" s="34"/>
      <c r="BA2066" s="34"/>
      <c r="BB2066" s="34"/>
      <c r="BC2066" s="34"/>
      <c r="BD2066" s="34"/>
      <c r="BE2066" s="34"/>
      <c r="BF2066" s="34"/>
      <c r="BG2066" s="34"/>
      <c r="BH2066" s="34"/>
      <c r="BI2066" s="34"/>
      <c r="BJ2066" s="34"/>
      <c r="BK2066" s="34"/>
      <c r="BL2066" s="34"/>
      <c r="BM2066" s="34"/>
      <c r="BN2066" s="34"/>
      <c r="BO2066" s="34"/>
      <c r="BP2066" s="34"/>
      <c r="BQ2066" s="34"/>
      <c r="BR2066" s="34"/>
      <c r="BS2066" s="34"/>
      <c r="BT2066" s="34"/>
      <c r="BU2066" s="34"/>
      <c r="BV2066" s="34"/>
      <c r="BW2066" s="34"/>
      <c r="BX2066" s="34"/>
      <c r="BY2066" s="34"/>
      <c r="BZ2066" s="34"/>
      <c r="CA2066" s="34"/>
      <c r="CB2066" s="34"/>
      <c r="CC2066" s="34"/>
      <c r="CD2066" s="34"/>
      <c r="CE2066" s="34"/>
      <c r="CF2066" s="34"/>
      <c r="CG2066" s="34"/>
      <c r="CH2066" s="34"/>
      <c r="CI2066" s="8"/>
    </row>
    <row r="2067" spans="1:87" x14ac:dyDescent="0.2">
      <c r="A2067" s="8" t="str">
        <f>IF(AND(COUNTIF(W$3:W$13,A$34)&gt;0,A$34&lt;&gt;B1816),A$34,IFERROR(IF(MATCH(A$34,Z$3:Z$13,0)=11,A$34," ")," "))</f>
        <v>C20</v>
      </c>
      <c r="B2067" s="8">
        <f>IF(A2067=" "," ",MAX(B2048:B2066)+1)</f>
        <v>9</v>
      </c>
      <c r="C2067" s="8"/>
      <c r="D2067" s="8"/>
      <c r="E2067" s="8"/>
      <c r="F2067" s="8"/>
      <c r="G2067" s="8"/>
      <c r="H2067" s="8"/>
      <c r="I2067" s="8"/>
      <c r="J2067" s="8"/>
      <c r="K2067" s="8"/>
      <c r="L2067" s="8"/>
      <c r="M2067" s="8"/>
      <c r="N2067" s="8"/>
      <c r="O2067" s="8"/>
      <c r="P2067" s="8"/>
      <c r="Q2067" s="8"/>
      <c r="R2067" s="8"/>
      <c r="S2067" s="8"/>
      <c r="U2067" s="34"/>
      <c r="V2067" s="34"/>
      <c r="W2067" s="34"/>
      <c r="X2067" s="34"/>
      <c r="Y2067" s="34"/>
      <c r="Z2067" s="34"/>
      <c r="AA2067" s="34"/>
      <c r="AB2067" s="34"/>
      <c r="AC2067" s="34"/>
      <c r="AD2067" s="34"/>
      <c r="AE2067" s="34"/>
      <c r="AF2067" s="34"/>
      <c r="AG2067" s="34"/>
      <c r="AH2067" s="34"/>
      <c r="AI2067" s="34"/>
      <c r="AJ2067" s="34"/>
      <c r="AK2067" s="34"/>
      <c r="AL2067" s="34"/>
      <c r="AM2067" s="34"/>
      <c r="AN2067" s="34"/>
      <c r="AO2067" s="34"/>
      <c r="AP2067" s="34"/>
      <c r="AQ2067" s="34"/>
      <c r="AR2067" s="34"/>
      <c r="AS2067" s="34"/>
      <c r="AT2067" s="34"/>
      <c r="AU2067" s="34"/>
      <c r="AV2067" s="34"/>
      <c r="AW2067" s="34"/>
      <c r="AX2067" s="34"/>
      <c r="AY2067" s="34"/>
      <c r="AZ2067" s="34"/>
      <c r="BA2067" s="34"/>
      <c r="BB2067" s="34"/>
      <c r="BC2067" s="34"/>
      <c r="BD2067" s="34"/>
      <c r="BE2067" s="34"/>
      <c r="BF2067" s="34"/>
      <c r="BG2067" s="34"/>
      <c r="BH2067" s="34"/>
      <c r="BI2067" s="34"/>
      <c r="BJ2067" s="34"/>
      <c r="BK2067" s="34"/>
      <c r="BL2067" s="34"/>
      <c r="BM2067" s="34"/>
      <c r="BN2067" s="34"/>
      <c r="BO2067" s="34"/>
      <c r="BP2067" s="34"/>
      <c r="BQ2067" s="34"/>
      <c r="BR2067" s="34"/>
      <c r="BS2067" s="34"/>
      <c r="BT2067" s="34"/>
      <c r="BU2067" s="34"/>
      <c r="BV2067" s="34"/>
      <c r="BW2067" s="34"/>
      <c r="BX2067" s="34"/>
      <c r="BY2067" s="34"/>
      <c r="BZ2067" s="34"/>
      <c r="CA2067" s="34"/>
      <c r="CB2067" s="34"/>
      <c r="CC2067" s="34"/>
      <c r="CD2067" s="34"/>
      <c r="CE2067" s="34"/>
      <c r="CF2067" s="34"/>
      <c r="CG2067" s="34"/>
      <c r="CH2067" s="34"/>
      <c r="CI2067" s="8"/>
    </row>
    <row r="2068" spans="1:87" x14ac:dyDescent="0.2">
      <c r="A2068" s="8" t="str">
        <f>IF(AND(COUNTIF(W$3:W$13,A$35)&gt;0,A$35&lt;&gt;B1816),A$35,IFERROR(IF(MATCH(A$35,Z$3:Z$13,0)=11,A$35," ")," "))</f>
        <v>C21</v>
      </c>
      <c r="B2068" s="8">
        <f>IF(A2068=" "," ",MAX(B2048:B2067)+1)</f>
        <v>10</v>
      </c>
      <c r="C2068" s="8"/>
      <c r="D2068" s="8"/>
      <c r="E2068" s="8"/>
      <c r="F2068" s="8"/>
      <c r="G2068" s="8"/>
      <c r="H2068" s="8"/>
      <c r="I2068" s="8"/>
      <c r="J2068" s="8"/>
      <c r="K2068" s="8"/>
      <c r="L2068" s="8"/>
      <c r="M2068" s="8"/>
      <c r="N2068" s="8"/>
      <c r="O2068" s="8"/>
      <c r="P2068" s="8"/>
      <c r="Q2068" s="8"/>
      <c r="R2068" s="8"/>
      <c r="S2068" s="8"/>
      <c r="U2068" s="34"/>
      <c r="V2068" s="34"/>
      <c r="W2068" s="34"/>
      <c r="X2068" s="34"/>
      <c r="Y2068" s="34"/>
      <c r="Z2068" s="34"/>
      <c r="AA2068" s="34"/>
      <c r="AB2068" s="34"/>
      <c r="AC2068" s="34"/>
      <c r="AD2068" s="34"/>
      <c r="AE2068" s="34"/>
      <c r="AF2068" s="34"/>
      <c r="AG2068" s="34"/>
      <c r="AH2068" s="34"/>
      <c r="AI2068" s="34"/>
      <c r="AJ2068" s="34"/>
      <c r="AK2068" s="34"/>
      <c r="AL2068" s="34"/>
      <c r="AM2068" s="34"/>
      <c r="AN2068" s="34"/>
      <c r="AO2068" s="34"/>
      <c r="AP2068" s="34"/>
      <c r="AQ2068" s="34"/>
      <c r="AR2068" s="34"/>
      <c r="AS2068" s="34"/>
      <c r="AT2068" s="34"/>
      <c r="AU2068" s="34"/>
      <c r="AV2068" s="34"/>
      <c r="AW2068" s="34"/>
      <c r="AX2068" s="34"/>
      <c r="AY2068" s="34"/>
      <c r="AZ2068" s="34"/>
      <c r="BA2068" s="34"/>
      <c r="BB2068" s="34"/>
      <c r="BC2068" s="34"/>
      <c r="BD2068" s="34"/>
      <c r="BE2068" s="34"/>
      <c r="BF2068" s="34"/>
      <c r="BG2068" s="34"/>
      <c r="BH2068" s="34"/>
      <c r="BI2068" s="34"/>
      <c r="BJ2068" s="34"/>
      <c r="BK2068" s="34"/>
      <c r="BL2068" s="34"/>
      <c r="BM2068" s="34"/>
      <c r="BN2068" s="34"/>
      <c r="BO2068" s="34"/>
      <c r="BP2068" s="34"/>
      <c r="BQ2068" s="34"/>
      <c r="BR2068" s="34"/>
      <c r="BS2068" s="34"/>
      <c r="BT2068" s="34"/>
      <c r="BU2068" s="34"/>
      <c r="BV2068" s="34"/>
      <c r="BW2068" s="34"/>
      <c r="BX2068" s="34"/>
      <c r="BY2068" s="34"/>
      <c r="BZ2068" s="34"/>
      <c r="CA2068" s="34"/>
      <c r="CB2068" s="34"/>
      <c r="CC2068" s="34"/>
      <c r="CD2068" s="34"/>
      <c r="CE2068" s="34"/>
      <c r="CF2068" s="34"/>
      <c r="CG2068" s="34"/>
      <c r="CH2068" s="34"/>
      <c r="CI2068" s="8"/>
    </row>
    <row r="2069" spans="1:87" x14ac:dyDescent="0.2">
      <c r="A2069" s="8" t="str">
        <f>IF(AND(COUNTIF(W$3:W$13,A$36)&gt;0,A$36&lt;&gt;B1816),A$36,IFERROR(IF(MATCH(A$36,Z$3:Z$13,0)=11,A$36," ")," "))</f>
        <v>C22</v>
      </c>
      <c r="B2069" s="8">
        <f>IF(A2069=" "," ",MAX(B2048:B2068)+1)</f>
        <v>11</v>
      </c>
      <c r="C2069" s="8"/>
      <c r="D2069" s="8"/>
      <c r="E2069" s="8"/>
      <c r="F2069" s="8"/>
      <c r="G2069" s="8"/>
      <c r="H2069" s="8"/>
      <c r="I2069" s="8"/>
      <c r="J2069" s="8"/>
      <c r="K2069" s="8"/>
      <c r="L2069" s="8"/>
      <c r="M2069" s="8"/>
      <c r="N2069" s="8"/>
      <c r="O2069" s="8"/>
      <c r="P2069" s="8"/>
      <c r="Q2069" s="8"/>
      <c r="R2069" s="8"/>
      <c r="S2069" s="8"/>
      <c r="U2069" s="34"/>
      <c r="V2069" s="34"/>
      <c r="W2069" s="34"/>
      <c r="X2069" s="34"/>
      <c r="Y2069" s="34"/>
      <c r="Z2069" s="34"/>
      <c r="AA2069" s="34"/>
      <c r="AB2069" s="34"/>
      <c r="AC2069" s="34"/>
      <c r="AD2069" s="34"/>
      <c r="AE2069" s="34"/>
      <c r="AF2069" s="34"/>
      <c r="AG2069" s="34"/>
      <c r="AH2069" s="34"/>
      <c r="AI2069" s="34"/>
      <c r="AJ2069" s="34"/>
      <c r="AK2069" s="34"/>
      <c r="AL2069" s="34"/>
      <c r="AM2069" s="34"/>
      <c r="AN2069" s="34"/>
      <c r="AO2069" s="34"/>
      <c r="AP2069" s="34"/>
      <c r="AQ2069" s="34"/>
      <c r="AR2069" s="34"/>
      <c r="AS2069" s="34"/>
      <c r="AT2069" s="34"/>
      <c r="AU2069" s="34"/>
      <c r="AV2069" s="34"/>
      <c r="AW2069" s="34"/>
      <c r="AX2069" s="34"/>
      <c r="AY2069" s="34"/>
      <c r="AZ2069" s="34"/>
      <c r="BA2069" s="34"/>
      <c r="BB2069" s="34"/>
      <c r="BC2069" s="34"/>
      <c r="BD2069" s="34"/>
      <c r="BE2069" s="34"/>
      <c r="BF2069" s="34"/>
      <c r="BG2069" s="34"/>
      <c r="BH2069" s="34"/>
      <c r="BI2069" s="34"/>
      <c r="BJ2069" s="34"/>
      <c r="BK2069" s="34"/>
      <c r="BL2069" s="34"/>
      <c r="BM2069" s="34"/>
      <c r="BN2069" s="34"/>
      <c r="BO2069" s="34"/>
      <c r="BP2069" s="34"/>
      <c r="BQ2069" s="34"/>
      <c r="BR2069" s="34"/>
      <c r="BS2069" s="34"/>
      <c r="BT2069" s="34"/>
      <c r="BU2069" s="34"/>
      <c r="BV2069" s="34"/>
      <c r="BW2069" s="34"/>
      <c r="BX2069" s="34"/>
      <c r="BY2069" s="34"/>
      <c r="BZ2069" s="34"/>
      <c r="CA2069" s="34"/>
      <c r="CB2069" s="34"/>
      <c r="CC2069" s="34"/>
      <c r="CD2069" s="34"/>
      <c r="CE2069" s="34"/>
      <c r="CF2069" s="34"/>
      <c r="CG2069" s="34"/>
      <c r="CH2069" s="34"/>
      <c r="CI2069" s="8"/>
    </row>
    <row r="2070" spans="1:87" s="16" customFormat="1" x14ac:dyDescent="0.2">
      <c r="A2070" s="28"/>
      <c r="B2070" s="49" t="str">
        <f>W11</f>
        <v>C20</v>
      </c>
      <c r="C2070" s="49"/>
      <c r="D2070" s="49"/>
      <c r="E2070" s="49"/>
      <c r="F2070" s="49"/>
      <c r="G2070" s="49"/>
      <c r="H2070" s="49"/>
      <c r="I2070" s="49"/>
      <c r="J2070" s="49"/>
      <c r="K2070" s="49"/>
      <c r="L2070" s="49"/>
      <c r="M2070" s="49"/>
      <c r="N2070" s="49"/>
      <c r="O2070" s="49"/>
      <c r="P2070" s="49"/>
      <c r="Q2070" s="49"/>
      <c r="R2070" s="28" t="e">
        <f>(N$2*INDEX(Q2071:R2323,MATCH(T2070,R2071:R2323,0),1)+N$3*INDEX(Q2071:R2323,MATCH(T2070,R2071:R2323,0)+1,1)+N$4*INDEX(Q2071:R2323,MATCH(T2070,R2071:R2323,0)+2,1)+N$5*INDEX(Q2071:R2323,MATCH(T2070,R2071:R2323,0)+3,1)+N$6*INDEX(Q2071:R2323,MATCH(T2070,R2071:R2323,0)+4,1)+N$7*INDEX(Q2071:R2323,MATCH(T2070,R2071:R2323,0)+5,1)+N$8*INDEX(Q2071:R2323,MATCH(T2070,R2071:R2323,0)+6,1)+N$9*INDEX(Q2071:R2323,MATCH(T2070,R2071:R2323,0)+7,1)+N$10*INDEX(Q2071:R2323,MATCH(T2070,R2071:R2323,0)+8,1)+N$11*INDEX(Q2071:R2323,MATCH(T2070,R2071:R2323,0)+9,1)+N$12*INDEX(Q2071:R2323,MATCH(T2070,R2071:R2323,0)+10,1)-N$2*INDEX(Q2071:R2323,MATCH(S2070,R2071:R2323,0),1)-N$3*INDEX(Q2071:R2323,MATCH(S2070,R2071:R2323,0)+1,1)-N$4*INDEX(Q2071:R2323,MATCH(S2070,R2071:R2323,0)+2,1)-N$5*INDEX(Q2071:R2323,MATCH(S2070,R2071:R2323,0)+3,1)-N$6*INDEX(Q2071:R2323,MATCH(S2070,R2071:R2323,0)+4,1)-N$7*INDEX(Q2071:R2323,MATCH(S2070,R2071:R2323,0)+5,1)-N$8*INDEX(Q2071:R2323,MATCH(S2070,R2071:R2323,0)+6,1)-N$9*INDEX(Q2071:R2323,MATCH(S2070,R2071:R2323,0)+7,1)-N$10*INDEX(Q2071:R2323,MATCH(S2070,R2071:R2323,0)+8,1)-N$11*INDEX(Q2071:R2323,MATCH(S2070,R2071:R2323,0)+9,1)-N$12*INDEX(Q2071:R2323,MATCH(S2070,R2071:R2323,0)+10,1))/(T2070-S2070)</f>
        <v>#N/A</v>
      </c>
      <c r="S2070" s="28" t="e">
        <f>INDEX(R2072:T2323,MATCH(MAX(S2072:S2323),S2072:S2323,0),1)</f>
        <v>#N/A</v>
      </c>
      <c r="T2070" s="20" t="e">
        <f>INDEX(R2072:T2323,MATCH(MIN(T2072:T2323),T2072:T2323,0),1)</f>
        <v>#N/A</v>
      </c>
      <c r="U2070" s="50" t="str">
        <f t="shared" ref="U2070" si="8952">A$2</f>
        <v>X1</v>
      </c>
      <c r="V2070" s="49"/>
      <c r="W2070" s="49"/>
      <c r="X2070" s="49"/>
      <c r="Y2070" s="35" t="str">
        <f t="shared" ref="Y2070" si="8953">IF(INDEX($A$15:$N$36,MATCH($B2070,$A$15:$A$36,0),14)&lt;&gt;"=",IFERROR(INDEX(X2071:Z2323,MATCH(MAX(Y2071:Y2323),Y2071:Y2323,0),1)," ")," ")</f>
        <v xml:space="preserve"> </v>
      </c>
      <c r="Z2070" s="35" t="str">
        <f t="shared" ref="Z2070" si="8954">IF(INDEX($A$15:$N$36,MATCH($B2070,$A$15:$A$36,0),14)&lt;&gt;"=",IFERROR(INDEX(X2071:Z2323,MATCH(MIN(Z2071:Z2323),Z2071:Z2323,0),1)," ")," ")</f>
        <v xml:space="preserve"> </v>
      </c>
      <c r="AA2070" s="49" t="str">
        <f t="shared" ref="AA2070" si="8955">A$3</f>
        <v>X2</v>
      </c>
      <c r="AB2070" s="49"/>
      <c r="AC2070" s="49"/>
      <c r="AD2070" s="49"/>
      <c r="AE2070" s="35" t="str">
        <f t="shared" ref="AE2070" si="8956">IF(INDEX($A$15:$N$36,MATCH($B2070,$A$15:$A$36,0),14)&lt;&gt;"=",IFERROR(INDEX(AD2071:AF2323,MATCH(MAX(AE2071:AE2323),AE2071:AE2323,0),1)," ")," ")</f>
        <v xml:space="preserve"> </v>
      </c>
      <c r="AF2070" s="35" t="str">
        <f t="shared" ref="AF2070" si="8957">IF(INDEX($A$15:$N$36,MATCH($B2070,$A$15:$A$36,0),14)&lt;&gt;"=",IFERROR(INDEX(AD2071:AF2323,MATCH(MIN(AF2071:AF2323),AF2071:AF2323,0),1)," ")," ")</f>
        <v xml:space="preserve"> </v>
      </c>
      <c r="AG2070" s="49" t="str">
        <f t="shared" ref="AG2070" si="8958">A$4</f>
        <v>X3</v>
      </c>
      <c r="AH2070" s="49"/>
      <c r="AI2070" s="49"/>
      <c r="AJ2070" s="49"/>
      <c r="AK2070" s="35" t="str">
        <f t="shared" ref="AK2070" si="8959">IF(INDEX($A$15:$N$36,MATCH($B2070,$A$15:$A$36,0),14)&lt;&gt;"=",IFERROR(INDEX(AJ2071:AL2323,MATCH(MAX(AK2071:AK2323),AK2071:AK2323,0),1)," ")," ")</f>
        <v xml:space="preserve"> </v>
      </c>
      <c r="AL2070" s="35" t="str">
        <f t="shared" ref="AL2070" si="8960">IF(INDEX($A$15:$N$36,MATCH($B2070,$A$15:$A$36,0),14)&lt;&gt;"=",IFERROR(INDEX(AJ2071:AL2323,MATCH(MIN(AL2071:AL2323),AL2071:AL2323,0),1)," ")," ")</f>
        <v xml:space="preserve"> </v>
      </c>
      <c r="AM2070" s="49" t="str">
        <f t="shared" ref="AM2070" si="8961">A$5</f>
        <v>X4</v>
      </c>
      <c r="AN2070" s="49"/>
      <c r="AO2070" s="49"/>
      <c r="AP2070" s="49"/>
      <c r="AQ2070" s="35" t="str">
        <f t="shared" ref="AQ2070" si="8962">IF(INDEX($A$15:$N$36,MATCH($B2070,$A$15:$A$36,0),14)&lt;&gt;"=",IFERROR(INDEX(AP2071:AR2323,MATCH(MAX(AQ2071:AQ2323),AQ2071:AQ2323,0),1)," ")," ")</f>
        <v xml:space="preserve"> </v>
      </c>
      <c r="AR2070" s="35" t="str">
        <f t="shared" ref="AR2070" si="8963">IF(INDEX($A$15:$N$36,MATCH($B2070,$A$15:$A$36,0),14)&lt;&gt;"=",IFERROR(INDEX(AP2071:AR2323,MATCH(MIN(AR2071:AR2323),AR2071:AR2323,0),1)," ")," ")</f>
        <v xml:space="preserve"> </v>
      </c>
      <c r="AS2070" s="49" t="str">
        <f t="shared" ref="AS2070" si="8964">A$6</f>
        <v>X5</v>
      </c>
      <c r="AT2070" s="49"/>
      <c r="AU2070" s="49"/>
      <c r="AV2070" s="49"/>
      <c r="AW2070" s="35" t="str">
        <f t="shared" ref="AW2070" si="8965">IF(INDEX($A$15:$N$36,MATCH($B2070,$A$15:$A$36,0),14)&lt;&gt;"=",IFERROR(INDEX(AV2071:AX2323,MATCH(MAX(AW2071:AW2323),AW2071:AW2323,0),1)," ")," ")</f>
        <v xml:space="preserve"> </v>
      </c>
      <c r="AX2070" s="35" t="str">
        <f t="shared" ref="AX2070" si="8966">IF(INDEX($A$15:$N$36,MATCH($B2070,$A$15:$A$36,0),14)&lt;&gt;"=",IFERROR(INDEX(AV2071:AX2323,MATCH(MIN(AX2071:AX2323),AX2071:AX2323,0),1)," ")," ")</f>
        <v xml:space="preserve"> </v>
      </c>
      <c r="AY2070" s="49" t="str">
        <f t="shared" ref="AY2070" si="8967">A$7</f>
        <v>X6</v>
      </c>
      <c r="AZ2070" s="49"/>
      <c r="BA2070" s="49"/>
      <c r="BB2070" s="49"/>
      <c r="BC2070" s="35" t="str">
        <f t="shared" ref="BC2070" si="8968">IF(INDEX($A$15:$N$36,MATCH($B2070,$A$15:$A$36,0),14)&lt;&gt;"=",IFERROR(INDEX(BB2071:BD2323,MATCH(MAX(BC2071:BC2323),BC2071:BC2323,0),1)," ")," ")</f>
        <v xml:space="preserve"> </v>
      </c>
      <c r="BD2070" s="35" t="str">
        <f t="shared" ref="BD2070" si="8969">IF(INDEX($A$15:$N$36,MATCH($B2070,$A$15:$A$36,0),14)&lt;&gt;"=",IFERROR(INDEX(BB2071:BD2323,MATCH(MIN(BD2071:BD2323),BD2071:BD2323,0),1)," ")," ")</f>
        <v xml:space="preserve"> </v>
      </c>
      <c r="BE2070" s="49" t="str">
        <f t="shared" ref="BE2070" si="8970">A$8</f>
        <v>X7</v>
      </c>
      <c r="BF2070" s="49"/>
      <c r="BG2070" s="49"/>
      <c r="BH2070" s="49"/>
      <c r="BI2070" s="35" t="str">
        <f t="shared" ref="BI2070" si="8971">IF(INDEX($A$15:$N$36,MATCH($B2070,$A$15:$A$36,0),14)&lt;&gt;"=",IFERROR(INDEX(BH2071:BJ2323,MATCH(MAX(BI2071:BI2323),BI2071:BI2323,0),1)," ")," ")</f>
        <v xml:space="preserve"> </v>
      </c>
      <c r="BJ2070" s="35" t="str">
        <f t="shared" ref="BJ2070" si="8972">IF(INDEX($A$15:$N$36,MATCH($B2070,$A$15:$A$36,0),14)&lt;&gt;"=",IFERROR(INDEX(BH2071:BJ2323,MATCH(MIN(BJ2071:BJ2323),BJ2071:BJ2323,0),1)," ")," ")</f>
        <v xml:space="preserve"> </v>
      </c>
      <c r="BK2070" s="49" t="str">
        <f t="shared" ref="BK2070" si="8973">A$9</f>
        <v>X8</v>
      </c>
      <c r="BL2070" s="49"/>
      <c r="BM2070" s="49"/>
      <c r="BN2070" s="49"/>
      <c r="BO2070" s="35" t="str">
        <f t="shared" ref="BO2070" si="8974">IF(INDEX($A$15:$N$36,MATCH($B2070,$A$15:$A$36,0),14)&lt;&gt;"=",IFERROR(INDEX(BN2071:BP2323,MATCH(MAX(BO2071:BO2323),BO2071:BO2323,0),1)," ")," ")</f>
        <v xml:space="preserve"> </v>
      </c>
      <c r="BP2070" s="35" t="str">
        <f t="shared" ref="BP2070" si="8975">IF(INDEX($A$15:$N$36,MATCH($B2070,$A$15:$A$36,0),14)&lt;&gt;"=",IFERROR(INDEX(BN2071:BP2323,MATCH(MIN(BP2071:BP2323),BP2071:BP2323,0),1)," ")," ")</f>
        <v xml:space="preserve"> </v>
      </c>
      <c r="BQ2070" s="49" t="str">
        <f t="shared" ref="BQ2070" si="8976">A$10</f>
        <v>X9</v>
      </c>
      <c r="BR2070" s="49"/>
      <c r="BS2070" s="49"/>
      <c r="BT2070" s="49"/>
      <c r="BU2070" s="35" t="str">
        <f t="shared" ref="BU2070" si="8977">IF(INDEX($A$15:$N$36,MATCH($B2070,$A$15:$A$36,0),14)&lt;&gt;"=",IFERROR(INDEX(BT2071:BV2323,MATCH(MAX(BU2071:BU2323),BU2071:BU2323,0),1)," ")," ")</f>
        <v xml:space="preserve"> </v>
      </c>
      <c r="BV2070" s="35" t="str">
        <f t="shared" ref="BV2070" si="8978">IF(INDEX($A$15:$N$36,MATCH($B2070,$A$15:$A$36,0),14)&lt;&gt;"=",IFERROR(INDEX(BT2071:BV2323,MATCH(MIN(BV2071:BV2323),BV2071:BV2323,0),1)," ")," ")</f>
        <v xml:space="preserve"> </v>
      </c>
      <c r="BW2070" s="49" t="str">
        <f t="shared" ref="BW2070" si="8979">A$11</f>
        <v>X10</v>
      </c>
      <c r="BX2070" s="49"/>
      <c r="BY2070" s="49"/>
      <c r="BZ2070" s="49"/>
      <c r="CA2070" s="35" t="str">
        <f t="shared" ref="CA2070" si="8980">IF(INDEX($A$15:$N$36,MATCH($B2070,$A$15:$A$36,0),14)&lt;&gt;"=",IFERROR(INDEX(BZ2071:CB2323,MATCH(MAX(CA2071:CA2323),CA2071:CA2323,0),1)," ")," ")</f>
        <v xml:space="preserve"> </v>
      </c>
      <c r="CB2070" s="35" t="str">
        <f t="shared" ref="CB2070" si="8981">IF(INDEX($A$15:$N$36,MATCH($B2070,$A$15:$A$36,0),14)&lt;&gt;"=",IFERROR(INDEX(BZ2071:CB2323,MATCH(MIN(CB2071:CB2323),CB2071:CB2323,0),1)," ")," ")</f>
        <v xml:space="preserve"> </v>
      </c>
      <c r="CC2070" s="49" t="str">
        <f t="shared" ref="CC2070" si="8982">A$12</f>
        <v>X11</v>
      </c>
      <c r="CD2070" s="49"/>
      <c r="CE2070" s="49"/>
      <c r="CF2070" s="49"/>
      <c r="CG2070" s="35" t="str">
        <f t="shared" ref="CG2070" si="8983">IF(INDEX($A$15:$N$36,MATCH($B2070,$A$15:$A$36,0),14)&lt;&gt;"=",IFERROR(INDEX(CF2071:CH2323,MATCH(MAX(CG2071:CG2323),CG2071:CG2323,0),1)," ")," ")</f>
        <v xml:space="preserve"> </v>
      </c>
      <c r="CH2070" s="35" t="str">
        <f t="shared" ref="CH2070" si="8984">IF(INDEX($A$15:$N$36,MATCH($B2070,$A$15:$A$36,0),14)&lt;&gt;"=",IFERROR(INDEX(CF2071:CH2323,MATCH(MIN(CH2071:CH2323),CH2071:CH2323,0),1)," ")," ")</f>
        <v xml:space="preserve"> </v>
      </c>
    </row>
    <row r="2071" spans="1:87" x14ac:dyDescent="0.2">
      <c r="A2071" s="11" t="s">
        <v>17</v>
      </c>
      <c r="B2071" s="11"/>
      <c r="C2071" s="27" t="s">
        <v>18</v>
      </c>
      <c r="D2071" s="27" t="s">
        <v>2</v>
      </c>
      <c r="E2071" s="27" t="s">
        <v>6</v>
      </c>
      <c r="F2071" s="27" t="s">
        <v>15</v>
      </c>
      <c r="G2071" s="27" t="s">
        <v>36</v>
      </c>
      <c r="H2071" s="27" t="s">
        <v>37</v>
      </c>
      <c r="I2071" s="27" t="s">
        <v>38</v>
      </c>
      <c r="J2071" s="27" t="s">
        <v>39</v>
      </c>
      <c r="K2071" s="27" t="s">
        <v>40</v>
      </c>
      <c r="L2071" s="27" t="s">
        <v>41</v>
      </c>
      <c r="M2071" s="27" t="s">
        <v>42</v>
      </c>
      <c r="N2071" s="27" t="s">
        <v>43</v>
      </c>
      <c r="O2071" s="27" t="s">
        <v>9</v>
      </c>
      <c r="P2071" s="27" t="s">
        <v>12</v>
      </c>
      <c r="Q2071" s="27" t="s">
        <v>19</v>
      </c>
      <c r="R2071" s="27" t="s">
        <v>55</v>
      </c>
      <c r="S2071" s="27" t="s">
        <v>26</v>
      </c>
      <c r="T2071" s="19" t="s">
        <v>25</v>
      </c>
      <c r="U2071" s="33" t="s">
        <v>27</v>
      </c>
      <c r="V2071" s="33" t="s">
        <v>9</v>
      </c>
      <c r="W2071" s="33" t="s">
        <v>23</v>
      </c>
      <c r="X2071" s="33" t="s">
        <v>12</v>
      </c>
      <c r="Y2071" s="33" t="s">
        <v>26</v>
      </c>
      <c r="Z2071" s="33" t="s">
        <v>25</v>
      </c>
      <c r="AA2071" s="33" t="s">
        <v>27</v>
      </c>
      <c r="AB2071" s="33" t="s">
        <v>9</v>
      </c>
      <c r="AC2071" s="33" t="s">
        <v>23</v>
      </c>
      <c r="AD2071" s="33" t="s">
        <v>12</v>
      </c>
      <c r="AE2071" s="33" t="s">
        <v>26</v>
      </c>
      <c r="AF2071" s="33" t="s">
        <v>25</v>
      </c>
      <c r="AG2071" s="33" t="s">
        <v>27</v>
      </c>
      <c r="AH2071" s="33" t="s">
        <v>9</v>
      </c>
      <c r="AI2071" s="33" t="s">
        <v>23</v>
      </c>
      <c r="AJ2071" s="33" t="s">
        <v>12</v>
      </c>
      <c r="AK2071" s="33" t="s">
        <v>26</v>
      </c>
      <c r="AL2071" s="33" t="s">
        <v>25</v>
      </c>
      <c r="AM2071" s="33" t="s">
        <v>27</v>
      </c>
      <c r="AN2071" s="33" t="s">
        <v>9</v>
      </c>
      <c r="AO2071" s="33" t="s">
        <v>23</v>
      </c>
      <c r="AP2071" s="33" t="s">
        <v>12</v>
      </c>
      <c r="AQ2071" s="33" t="s">
        <v>26</v>
      </c>
      <c r="AR2071" s="33" t="s">
        <v>25</v>
      </c>
      <c r="AS2071" s="33" t="s">
        <v>27</v>
      </c>
      <c r="AT2071" s="33" t="s">
        <v>9</v>
      </c>
      <c r="AU2071" s="33" t="s">
        <v>23</v>
      </c>
      <c r="AV2071" s="33" t="s">
        <v>12</v>
      </c>
      <c r="AW2071" s="33" t="s">
        <v>26</v>
      </c>
      <c r="AX2071" s="33" t="s">
        <v>25</v>
      </c>
      <c r="AY2071" s="33" t="s">
        <v>27</v>
      </c>
      <c r="AZ2071" s="33" t="s">
        <v>9</v>
      </c>
      <c r="BA2071" s="33" t="s">
        <v>23</v>
      </c>
      <c r="BB2071" s="33" t="s">
        <v>12</v>
      </c>
      <c r="BC2071" s="33" t="s">
        <v>26</v>
      </c>
      <c r="BD2071" s="33" t="s">
        <v>25</v>
      </c>
      <c r="BE2071" s="33" t="s">
        <v>27</v>
      </c>
      <c r="BF2071" s="33" t="s">
        <v>9</v>
      </c>
      <c r="BG2071" s="33" t="s">
        <v>23</v>
      </c>
      <c r="BH2071" s="33" t="s">
        <v>12</v>
      </c>
      <c r="BI2071" s="33" t="s">
        <v>26</v>
      </c>
      <c r="BJ2071" s="33" t="s">
        <v>25</v>
      </c>
      <c r="BK2071" s="33" t="s">
        <v>27</v>
      </c>
      <c r="BL2071" s="33" t="s">
        <v>9</v>
      </c>
      <c r="BM2071" s="33" t="s">
        <v>23</v>
      </c>
      <c r="BN2071" s="33" t="s">
        <v>12</v>
      </c>
      <c r="BO2071" s="33" t="s">
        <v>26</v>
      </c>
      <c r="BP2071" s="33" t="s">
        <v>25</v>
      </c>
      <c r="BQ2071" s="33" t="s">
        <v>27</v>
      </c>
      <c r="BR2071" s="33" t="s">
        <v>9</v>
      </c>
      <c r="BS2071" s="33" t="s">
        <v>23</v>
      </c>
      <c r="BT2071" s="33" t="s">
        <v>12</v>
      </c>
      <c r="BU2071" s="33" t="s">
        <v>26</v>
      </c>
      <c r="BV2071" s="33" t="s">
        <v>25</v>
      </c>
      <c r="BW2071" s="33" t="s">
        <v>27</v>
      </c>
      <c r="BX2071" s="33" t="s">
        <v>9</v>
      </c>
      <c r="BY2071" s="33" t="s">
        <v>23</v>
      </c>
      <c r="BZ2071" s="33" t="s">
        <v>12</v>
      </c>
      <c r="CA2071" s="33" t="s">
        <v>26</v>
      </c>
      <c r="CB2071" s="33" t="s">
        <v>25</v>
      </c>
      <c r="CC2071" s="33" t="s">
        <v>27</v>
      </c>
      <c r="CD2071" s="33" t="s">
        <v>9</v>
      </c>
      <c r="CE2071" s="33" t="s">
        <v>23</v>
      </c>
      <c r="CF2071" s="33" t="s">
        <v>12</v>
      </c>
      <c r="CG2071" s="33" t="s">
        <v>26</v>
      </c>
      <c r="CH2071" s="33" t="s">
        <v>25</v>
      </c>
      <c r="CI2071" s="8"/>
    </row>
    <row r="2072" spans="1:87" x14ac:dyDescent="0.2">
      <c r="A2072" s="8" t="str">
        <f>IF(AND(COUNTIF(W$3:W$13,A$15)&gt;0,A$15&lt;&gt;B2070),A$15,IFERROR(IF(MATCH(A$15,Z$3:Z$13,0)=1,A$15," ")," "))</f>
        <v>C1</v>
      </c>
      <c r="B2072" s="8">
        <f>IF(A2072=" "," ",1)</f>
        <v>1</v>
      </c>
      <c r="C2072" s="8" t="str">
        <f>IFERROR(INDEX(A2072:A2093,MATCH(SMALL(B2072:B2093,1),B2072:B2093,0),1)," ")</f>
        <v>C1</v>
      </c>
      <c r="D2072" s="8">
        <f>IFERROR(VLOOKUP($C2072,$A$15:$O$36,2,FALSE)," ")</f>
        <v>1</v>
      </c>
      <c r="E2072" s="8">
        <f>IFERROR(VLOOKUP($C2072,$A$15:$O$36,3,FALSE)," ")</f>
        <v>1</v>
      </c>
      <c r="F2072" s="8">
        <f>IFERROR(VLOOKUP($C2072,$A$15:$O$36,4,FALSE)," ")</f>
        <v>1</v>
      </c>
      <c r="G2072" s="8">
        <f>IFERROR(VLOOKUP($C2072,$A$15:$O$36,5,FALSE)," ")</f>
        <v>0</v>
      </c>
      <c r="H2072" s="8">
        <f>IFERROR(VLOOKUP($C2072,$A$15:$O$36,6,FALSE)," ")</f>
        <v>0</v>
      </c>
      <c r="I2072" s="8">
        <f>IFERROR(VLOOKUP($C2072,$A$15:$O$36,7,FALSE)," ")</f>
        <v>0</v>
      </c>
      <c r="J2072" s="8">
        <f>IFERROR(VLOOKUP($C2072,$A$15:$O$36,8,FALSE)," ")</f>
        <v>0</v>
      </c>
      <c r="K2072" s="8">
        <f>IFERROR(VLOOKUP($C2072,$A$15:$O$36,9,FALSE)," ")</f>
        <v>0</v>
      </c>
      <c r="L2072" s="8">
        <f>IFERROR(VLOOKUP($C2072,$A$15:$O$36,10,FALSE)," ")</f>
        <v>0</v>
      </c>
      <c r="M2072" s="8">
        <f>IFERROR(VLOOKUP($C2072,$A$15:$O$36,11,FALSE)," ")</f>
        <v>0</v>
      </c>
      <c r="N2072" s="8">
        <f>IFERROR(VLOOKUP($C2072,$A$15:$O$36,12,FALSE)," ")</f>
        <v>0</v>
      </c>
      <c r="O2072" s="8">
        <f>IFERROR(VLOOKUP($C2072,$A$15:$O$36,15,FALSE)," ")</f>
        <v>550</v>
      </c>
      <c r="P2072" s="8" t="e">
        <f t="array" ref="P2072:P2082">MMULT(MINVERSE(D2072:N2082),O2072:O2082)</f>
        <v>#NUM!</v>
      </c>
      <c r="Q2072" s="8" t="e">
        <f t="shared" ref="Q2072" si="8985">IF(COUNTIF(P2072:P2082,"&lt;"&amp;-0.001)=0,IF(ABS(P2072)&lt;0.001,0,P2072)," ")</f>
        <v>#NUM!</v>
      </c>
      <c r="R2072" s="8" t="str">
        <f>IFERROR(VLOOKUP(B2070,A$15:L$36,2,FALSE)*Q2072+VLOOKUP(B2070,A$15:L$36,3,FALSE)*Q2073+VLOOKUP(B2070,A$15:L$36,4,FALSE)*Q2074+VLOOKUP(B2070,A$15:L$36,5,FALSE)*Q2075+VLOOKUP(B2070,A$15:L$36,6,FALSE)*Q2076+VLOOKUP(B2070,A$15:L$36,7,FALSE)*Q2077+VLOOKUP(B2070,A$15:L$36,8,FALSE)*Q2078+VLOOKUP(B2070,A$15:L$36,9,FALSE)*Q2079+VLOOKUP(B2070,A$15:L$36,10,FALSE)*Q2080+VLOOKUP(B2070,A$15:L$36,11,FALSE)*Q2081+VLOOKUP(B2070,A$15:L$36,12,FALSE)*Q2082," ")</f>
        <v xml:space="preserve"> </v>
      </c>
      <c r="S2072" s="8" t="str">
        <f>IFERROR(IF(R2072-VLOOKUP(B2070,A$15:O$36,15,FALSE)&lt;0,R2072-VLOOKUP(B2070,A$15:O$36,15,FALSE)," ")," ")</f>
        <v xml:space="preserve"> </v>
      </c>
      <c r="T2072" s="18" t="str">
        <f>IFERROR(IF(R2072-VLOOKUP(B2070,A$15:O$36,15,FALSE)&gt;0,R2072-VLOOKUP(B2070,A$15:O$36,15,FALSE)," ")," ")</f>
        <v xml:space="preserve"> </v>
      </c>
      <c r="U2072" s="34">
        <f t="shared" ref="U2072" si="8986">$M$2</f>
        <v>100.00000000000001</v>
      </c>
      <c r="V2072" s="34">
        <v>-1</v>
      </c>
      <c r="W2072" s="34">
        <f t="shared" ref="W2072" si="8987">-SUMPRODUCT($M$3:$M$12,$N$3:$N$12)</f>
        <v>-105000</v>
      </c>
      <c r="X2072" s="34" t="e">
        <f t="shared" ref="X2072" si="8988">IF(U2072&lt;&gt;U2073,MMULT(MINVERSE(U2072:V2073),W2072:W2073)," ")</f>
        <v>#NUM!</v>
      </c>
      <c r="Y2072" s="34" t="str">
        <f t="shared" ref="Y2072" si="8989">IFERROR(IF(X2072-VLOOKUP(U$38,$A$2:$N$12,14,FALSE)&lt;0,X2072-VLOOKUP(U$38,$A$2:$N$12,14,FALSE)," ")," ")</f>
        <v xml:space="preserve"> </v>
      </c>
      <c r="Z2072" s="34" t="str">
        <f t="shared" ref="Z2072" si="8990">IFERROR(IF(X2072-VLOOKUP(U$38,$A$2:$N$12,14,FALSE)&gt;0,X2072-VLOOKUP(U$38,$A$2:$N$12,14,FALSE)," ")," ")</f>
        <v xml:space="preserve"> </v>
      </c>
      <c r="AA2072" s="34">
        <f t="shared" ref="AA2072" si="8991">$M$3</f>
        <v>0</v>
      </c>
      <c r="AB2072" s="34">
        <v>-1</v>
      </c>
      <c r="AC2072" s="34">
        <f t="shared" ref="AC2072" si="8992">-SUMPRODUCT($M$2:$M$2,$N$2:$N$2)-SUMPRODUCT($M$4:$M$12,$N$4:$N$12)</f>
        <v>-120000</v>
      </c>
      <c r="AD2072" s="34" t="e">
        <f t="shared" ref="AD2072" si="8993">IF(AA2072&lt;&gt;AA2073,MMULT(MINVERSE(AA2072:AB2073),AC2072:AC2073)," ")</f>
        <v>#NUM!</v>
      </c>
      <c r="AE2072" s="34" t="str">
        <f t="shared" ref="AE2072" si="8994">IFERROR(IF(AD2072-VLOOKUP(AA$38,$A$2:$N$12,14,FALSE)&lt;0,AD2072-VLOOKUP(AA$38,$A$2:$N$12,14,FALSE)," ")," ")</f>
        <v xml:space="preserve"> </v>
      </c>
      <c r="AF2072" s="34" t="str">
        <f t="shared" ref="AF2072" si="8995">IFERROR(IF(AD2072-VLOOKUP(AA$38,$A$2:$N$12,14,FALSE)&gt;0,AD2072-VLOOKUP(AA$38,$A$2:$N$12,14,FALSE)," ")," ")</f>
        <v xml:space="preserve"> </v>
      </c>
      <c r="AG2072" s="34">
        <f t="shared" ref="AG2072" si="8996">$M$4</f>
        <v>300</v>
      </c>
      <c r="AH2072" s="34">
        <v>-1</v>
      </c>
      <c r="AI2072" s="34">
        <f t="shared" ref="AI2072" si="8997">-SUMPRODUCT($M$2:$M$3,$N$2:$N$3)-SUMPRODUCT($M$5:$M$12,$N$5:$N$12)</f>
        <v>-15000.000000000002</v>
      </c>
      <c r="AJ2072" s="34" t="e">
        <f t="shared" ref="AJ2072" si="8998">IF(AG2072&lt;&gt;AG2073,MMULT(MINVERSE(AG2072:AH2073),AI2072:AI2073)," ")</f>
        <v>#NUM!</v>
      </c>
      <c r="AK2072" s="34" t="str">
        <f t="shared" ref="AK2072" si="8999">IFERROR(IF(AJ2072-VLOOKUP(AG$38,$A$2:$N$12,14,FALSE)&lt;0,AJ2072-VLOOKUP(AG$38,$A$2:$N$12,14,FALSE)," ")," ")</f>
        <v xml:space="preserve"> </v>
      </c>
      <c r="AL2072" s="34" t="str">
        <f t="shared" ref="AL2072" si="9000">IFERROR(IF(AJ2072-VLOOKUP(AG$38,$A$2:$N$12,14,FALSE)&gt;0,AJ2072-VLOOKUP(AG$38,$A$2:$N$12,14,FALSE)," ")," ")</f>
        <v xml:space="preserve"> </v>
      </c>
      <c r="AM2072" s="34">
        <f t="shared" ref="AM2072" si="9001">$M$5</f>
        <v>0</v>
      </c>
      <c r="AN2072" s="34">
        <v>-1</v>
      </c>
      <c r="AO2072" s="34">
        <f t="shared" ref="AO2072" si="9002">-SUMPRODUCT($M$2:$M$4,$N$2:$N$4)-SUMPRODUCT($M$6:$M$12,$N$6:$N$12)</f>
        <v>-120000</v>
      </c>
      <c r="AP2072" s="34" t="e">
        <f t="shared" ref="AP2072" si="9003">IF(AM2072&lt;&gt;AM2073,MMULT(MINVERSE(AM2072:AN2073),AO2072:AO2073)," ")</f>
        <v>#NUM!</v>
      </c>
      <c r="AQ2072" s="34" t="str">
        <f t="shared" ref="AQ2072" si="9004">IFERROR(IF(AP2072-VLOOKUP(AM$38,$A$2:$N$12,14,FALSE)&lt;0,AP2072-VLOOKUP(AM$38,$A$2:$N$12,14,FALSE)," ")," ")</f>
        <v xml:space="preserve"> </v>
      </c>
      <c r="AR2072" s="34" t="str">
        <f t="shared" ref="AR2072" si="9005">IFERROR(IF(AP2072-VLOOKUP(AM$38,$A$2:$N$12,14,FALSE)&gt;0,AP2072-VLOOKUP(AM$38,$A$2:$N$12,14,FALSE)," ")," ")</f>
        <v xml:space="preserve"> </v>
      </c>
      <c r="AS2072" s="34">
        <f t="shared" ref="AS2072" si="9006">$M$6</f>
        <v>0</v>
      </c>
      <c r="AT2072" s="34">
        <v>-1</v>
      </c>
      <c r="AU2072" s="34">
        <f t="shared" ref="AU2072" si="9007">-SUMPRODUCT($M$2:$M$5,$N$2:$N$5)-SUMPRODUCT($M$7:$M$12,$N$7:$N$12)</f>
        <v>-120000</v>
      </c>
      <c r="AV2072" s="34" t="e">
        <f t="shared" ref="AV2072" si="9008">IF(AS2072&lt;&gt;AS2073,MMULT(MINVERSE(AS2072:AT2073),AU2072:AU2073)," ")</f>
        <v>#NUM!</v>
      </c>
      <c r="AW2072" s="34" t="str">
        <f t="shared" ref="AW2072" si="9009">IFERROR(IF(AV2072-VLOOKUP(AS$38,$A$2:$N$12,14,FALSE)&lt;0,AV2072-VLOOKUP(AS$38,$A$2:$N$12,14,FALSE)," ")," ")</f>
        <v xml:space="preserve"> </v>
      </c>
      <c r="AX2072" s="34" t="str">
        <f t="shared" ref="AX2072" si="9010">IFERROR(IF(AV2072-VLOOKUP(AS$38,$A$2:$N$12,14,FALSE)&gt;0,AV2072-VLOOKUP(AS$38,$A$2:$N$12,14,FALSE)," ")," ")</f>
        <v xml:space="preserve"> </v>
      </c>
      <c r="AY2072" s="34">
        <f t="shared" ref="AY2072" si="9011">$M$7</f>
        <v>0</v>
      </c>
      <c r="AZ2072" s="34">
        <v>-1</v>
      </c>
      <c r="BA2072" s="34">
        <f t="shared" ref="BA2072" si="9012">-SUMPRODUCT($M$2:$M$6,$N$2:$N$6)-SUMPRODUCT($M$8:$M$12,$N$8:$N$12)</f>
        <v>-120000</v>
      </c>
      <c r="BB2072" s="34" t="e">
        <f t="shared" ref="BB2072" si="9013">IF(AY2072&lt;&gt;AY2073,MMULT(MINVERSE(AY2072:AZ2073),BA2072:BA2073)," ")</f>
        <v>#NUM!</v>
      </c>
      <c r="BC2072" s="34" t="str">
        <f t="shared" ref="BC2072" si="9014">IFERROR(IF(BB2072-VLOOKUP(AY$38,$A$2:$N$12,14,FALSE)&lt;0,BB2072-VLOOKUP(AY$38,$A$2:$N$12,14,FALSE)," ")," ")</f>
        <v xml:space="preserve"> </v>
      </c>
      <c r="BD2072" s="34" t="str">
        <f t="shared" ref="BD2072" si="9015">IFERROR(IF(BB2072-VLOOKUP(AY$38,$A$2:$N$12,14,FALSE)&gt;0,BB2072-VLOOKUP(AY$38,$A$2:$N$12,14,FALSE)," ")," ")</f>
        <v xml:space="preserve"> </v>
      </c>
      <c r="BE2072" s="34">
        <f t="shared" ref="BE2072" si="9016">$M$8</f>
        <v>0</v>
      </c>
      <c r="BF2072" s="34">
        <v>-1</v>
      </c>
      <c r="BG2072" s="34">
        <f t="shared" ref="BG2072" si="9017">-SUMPRODUCT($M$2:$M$7,$N$2:$N$7)-SUMPRODUCT($M$9:$M$12,$N$9:$N$12)</f>
        <v>-120000</v>
      </c>
      <c r="BH2072" s="34" t="e">
        <f t="shared" ref="BH2072" si="9018">IF(BE2072&lt;&gt;BE2073,MMULT(MINVERSE(BE2072:BF2073),BG2072:BG2073)," ")</f>
        <v>#NUM!</v>
      </c>
      <c r="BI2072" s="34" t="str">
        <f t="shared" ref="BI2072" si="9019">IFERROR(IF(BH2072-VLOOKUP(BE$38,$A$2:$N$12,14,FALSE)&lt;0,BH2072-VLOOKUP(BE$38,$A$2:$N$12,14,FALSE)," ")," ")</f>
        <v xml:space="preserve"> </v>
      </c>
      <c r="BJ2072" s="34" t="str">
        <f t="shared" ref="BJ2072" si="9020">IFERROR(IF(BH2072-VLOOKUP(BE$38,$A$2:$N$12,14,FALSE)&gt;0,BH2072-VLOOKUP(BE$38,$A$2:$N$12,14,FALSE)," ")," ")</f>
        <v xml:space="preserve"> </v>
      </c>
      <c r="BK2072" s="34">
        <f t="shared" ref="BK2072" si="9021">$M$9</f>
        <v>0</v>
      </c>
      <c r="BL2072" s="34">
        <v>-1</v>
      </c>
      <c r="BM2072" s="34">
        <f t="shared" ref="BM2072" si="9022">-SUMPRODUCT($M$2:$M$8,$N$2:$N$8)-SUMPRODUCT($M$10:$M$12,$N$10:$N$12)</f>
        <v>-120000</v>
      </c>
      <c r="BN2072" s="34" t="e">
        <f t="shared" ref="BN2072" si="9023">IF(BK2072&lt;&gt;BK2073,MMULT(MINVERSE(BK2072:BL2073),BM2072:BM2073)," ")</f>
        <v>#NUM!</v>
      </c>
      <c r="BO2072" s="34" t="str">
        <f t="shared" ref="BO2072" si="9024">IFERROR(IF(BN2072-VLOOKUP(BK$38,$A$2:$N$12,14,FALSE)&lt;0,BN2072-VLOOKUP(BK$38,$A$2:$N$12,14,FALSE)," ")," ")</f>
        <v xml:space="preserve"> </v>
      </c>
      <c r="BP2072" s="34" t="str">
        <f t="shared" ref="BP2072" si="9025">IFERROR(IF(BN2072-VLOOKUP(BK$38,$A$2:$N$12,14,FALSE)&gt;0,BN2072-VLOOKUP(BK$38,$A$2:$N$12,14,FALSE)," ")," ")</f>
        <v xml:space="preserve"> </v>
      </c>
      <c r="BQ2072" s="34">
        <f t="shared" ref="BQ2072" si="9026">$M$10</f>
        <v>0</v>
      </c>
      <c r="BR2072" s="34">
        <v>-1</v>
      </c>
      <c r="BS2072" s="34">
        <f t="shared" ref="BS2072" si="9027">-SUMPRODUCT($M$2:$M$9,$N$2:$N$9)-SUMPRODUCT($M$11:$M$12,$N$11:$N$12)</f>
        <v>-120000</v>
      </c>
      <c r="BT2072" s="34" t="e">
        <f t="shared" ref="BT2072" si="9028">IF(BQ2072&lt;&gt;BQ2073,MMULT(MINVERSE(BQ2072:BR2073),BS2072:BS2073)," ")</f>
        <v>#NUM!</v>
      </c>
      <c r="BU2072" s="34" t="str">
        <f t="shared" ref="BU2072" si="9029">IFERROR(IF(BT2072-VLOOKUP(BQ$38,$A$2:$N$12,14,FALSE)&lt;0,BT2072-VLOOKUP(BQ$38,$A$2:$N$12,14,FALSE)," ")," ")</f>
        <v xml:space="preserve"> </v>
      </c>
      <c r="BV2072" s="34" t="str">
        <f t="shared" ref="BV2072" si="9030">IFERROR(IF(BT2072-VLOOKUP(BQ$38,$A$2:$N$12,14,FALSE)&gt;0,BT2072-VLOOKUP(BQ$38,$A$2:$N$12,14,FALSE)," ")," ")</f>
        <v xml:space="preserve"> </v>
      </c>
      <c r="BW2072" s="34">
        <f t="shared" ref="BW2072" si="9031">$M$11</f>
        <v>0</v>
      </c>
      <c r="BX2072" s="34">
        <v>-1</v>
      </c>
      <c r="BY2072" s="34">
        <f t="shared" ref="BY2072" si="9032">-SUMPRODUCT($M$2:$M$10,$N$2:$N$10)-SUMPRODUCT($M$12,$N$12)</f>
        <v>-120000</v>
      </c>
      <c r="BZ2072" s="34" t="e">
        <f t="shared" ref="BZ2072" si="9033">IF(BW2072&lt;&gt;BW2073,MMULT(MINVERSE(BW2072:BX2073),BY2072:BY2073)," ")</f>
        <v>#NUM!</v>
      </c>
      <c r="CA2072" s="34" t="str">
        <f t="shared" ref="CA2072" si="9034">IFERROR(IF(BZ2072-VLOOKUP(BW$38,$A$2:$N$12,14,FALSE)&lt;0,BZ2072-VLOOKUP(BW$38,$A$2:$N$12,14,FALSE)," ")," ")</f>
        <v xml:space="preserve"> </v>
      </c>
      <c r="CB2072" s="34" t="str">
        <f t="shared" ref="CB2072" si="9035">IFERROR(IF(BZ2072-VLOOKUP(BW$38,$A$2:$N$12,14,FALSE)&gt;0,BZ2072-VLOOKUP(BW$38,$A$2:$N$12,14,FALSE)," ")," ")</f>
        <v xml:space="preserve"> </v>
      </c>
      <c r="CC2072" s="34">
        <f t="shared" ref="CC2072" si="9036">$M$12</f>
        <v>0</v>
      </c>
      <c r="CD2072" s="34">
        <v>-1</v>
      </c>
      <c r="CE2072" s="34">
        <f t="shared" ref="CE2072" si="9037">-SUMPRODUCT($M$2:$M$11,$N$2:$N$11)</f>
        <v>-120000</v>
      </c>
      <c r="CF2072" s="34" t="e">
        <f t="shared" ref="CF2072" si="9038">IF(CC2072&lt;&gt;CC2073,MMULT(MINVERSE(CC2072:CD2073),CE2072:CE2073)," ")</f>
        <v>#NUM!</v>
      </c>
      <c r="CG2072" s="34" t="str">
        <f t="shared" ref="CG2072" si="9039">IFERROR(IF(CF2072-VLOOKUP(CC$38,$A$2:$N$12,14,FALSE)&lt;0,CF2072-VLOOKUP(CC$38,$A$2:$N$12,14,FALSE)," ")," ")</f>
        <v xml:space="preserve"> </v>
      </c>
      <c r="CH2072" s="34" t="str">
        <f t="shared" ref="CH2072" si="9040">IFERROR(IF(CF2072-VLOOKUP(CC$38,$A$2:$N$12,14,FALSE)&gt;0,CF2072-VLOOKUP(CC$38,$A$2:$N$12,14,FALSE)," ")," ")</f>
        <v xml:space="preserve"> </v>
      </c>
      <c r="CI2072" s="8"/>
    </row>
    <row r="2073" spans="1:87" x14ac:dyDescent="0.2">
      <c r="A2073" s="8" t="str">
        <f>IF(AND(COUNTIF(W$3:W$13,A$16)&gt;0,A$16&lt;&gt;B2070),A$16,IFERROR(IF(MATCH(A$16,Z$3:Z$13,0)=1,A$16," ")," "))</f>
        <v xml:space="preserve"> </v>
      </c>
      <c r="B2073" s="8" t="str">
        <f>IF(A2073=" "," ",MAX(B2072:B2072)+1)</f>
        <v xml:space="preserve"> </v>
      </c>
      <c r="C2073" s="8" t="str">
        <f>IFERROR(INDEX(A2072:A2093,MATCH(SMALL(B2072:B2093,2),B2072:B2093,0),1)," ")</f>
        <v>C3</v>
      </c>
      <c r="D2073" s="8">
        <f t="shared" ref="D2073:D2082" si="9041">IFERROR(VLOOKUP($C2073,$A$15:$O$36,2,FALSE)," ")</f>
        <v>2</v>
      </c>
      <c r="E2073" s="8">
        <f t="shared" ref="E2073:E2082" si="9042">IFERROR(VLOOKUP($C2073,$A$15:$O$36,3,FALSE)," ")</f>
        <v>5</v>
      </c>
      <c r="F2073" s="8">
        <f t="shared" ref="F2073:F2082" si="9043">IFERROR(VLOOKUP($C2073,$A$15:$O$36,4,FALSE)," ")</f>
        <v>6</v>
      </c>
      <c r="G2073" s="8">
        <f t="shared" ref="G2073:G2082" si="9044">IFERROR(VLOOKUP($C2073,$A$15:$O$36,5,FALSE)," ")</f>
        <v>0</v>
      </c>
      <c r="H2073" s="8">
        <f t="shared" ref="H2073:H2082" si="9045">IFERROR(VLOOKUP($C2073,$A$15:$O$36,6,FALSE)," ")</f>
        <v>0</v>
      </c>
      <c r="I2073" s="8">
        <f t="shared" ref="I2073:I2082" si="9046">IFERROR(VLOOKUP($C2073,$A$15:$O$36,7,FALSE)," ")</f>
        <v>0</v>
      </c>
      <c r="J2073" s="8">
        <f t="shared" ref="J2073:J2082" si="9047">IFERROR(VLOOKUP($C2073,$A$15:$O$36,8,FALSE)," ")</f>
        <v>0</v>
      </c>
      <c r="K2073" s="8">
        <f t="shared" ref="K2073:K2082" si="9048">IFERROR(VLOOKUP($C2073,$A$15:$O$36,9,FALSE)," ")</f>
        <v>0</v>
      </c>
      <c r="L2073" s="8">
        <f t="shared" ref="L2073:L2082" si="9049">IFERROR(VLOOKUP($C2073,$A$15:$O$36,10,FALSE)," ")</f>
        <v>0</v>
      </c>
      <c r="M2073" s="8">
        <f t="shared" ref="M2073:M2082" si="9050">IFERROR(VLOOKUP($C2073,$A$15:$O$36,11,FALSE)," ")</f>
        <v>0</v>
      </c>
      <c r="N2073" s="8">
        <f t="shared" ref="N2073:N2082" si="9051">IFERROR(VLOOKUP($C2073,$A$15:$O$36,12,FALSE)," ")</f>
        <v>0</v>
      </c>
      <c r="O2073" s="8">
        <f t="shared" ref="O2073:O2082" si="9052">IFERROR(VLOOKUP($C2073,$A$15:$O$36,15,FALSE)," ")</f>
        <v>2000</v>
      </c>
      <c r="P2073" s="8" t="e">
        <v>#NUM!</v>
      </c>
      <c r="Q2073" s="8" t="e">
        <f t="shared" ref="Q2073" si="9053">IF(COUNTIF(P2072:P2082,"&lt;"&amp;-0.001)=0,IF(ABS(P2073)&lt;0.001,0,P2073)," ")</f>
        <v>#NUM!</v>
      </c>
      <c r="R2073" s="8"/>
      <c r="S2073" s="8"/>
      <c r="U2073" s="34" t="e">
        <f t="shared" ref="U2073" si="9054">$Q2072</f>
        <v>#NUM!</v>
      </c>
      <c r="V2073" s="34">
        <v>-1</v>
      </c>
      <c r="W2073" s="34" t="e">
        <f t="shared" ref="W2073" si="9055">-SUMPRODUCT($Q2073:$Q2082,$N$3:$N$12)</f>
        <v>#NUM!</v>
      </c>
      <c r="X2073" s="34"/>
      <c r="Y2073" s="34"/>
      <c r="Z2073" s="34"/>
      <c r="AA2073" s="34" t="e">
        <f t="shared" ref="AA2073" si="9056">$Q2073</f>
        <v>#NUM!</v>
      </c>
      <c r="AB2073" s="34">
        <v>-1</v>
      </c>
      <c r="AC2073" s="34" t="e">
        <f t="shared" ref="AC2073" si="9057">-SUMPRODUCT($Q2072:$Q2072,$N$2:$N$2)-SUMPRODUCT($Q2074:$Q2082,$N$4:$N$12)</f>
        <v>#NUM!</v>
      </c>
      <c r="AD2073" s="34"/>
      <c r="AE2073" s="34"/>
      <c r="AF2073" s="34"/>
      <c r="AG2073" s="34" t="e">
        <f t="shared" ref="AG2073" si="9058">$Q2074</f>
        <v>#NUM!</v>
      </c>
      <c r="AH2073" s="34">
        <v>-1</v>
      </c>
      <c r="AI2073" s="34" t="e">
        <f t="shared" ref="AI2073" si="9059">-SUMPRODUCT($Q2072:$Q2073,$N$2:$N$3)-SUMPRODUCT($Q2075:$Q2082,$N$5:$N$12)</f>
        <v>#NUM!</v>
      </c>
      <c r="AJ2073" s="34"/>
      <c r="AK2073" s="34"/>
      <c r="AL2073" s="34"/>
      <c r="AM2073" s="34" t="e">
        <f t="shared" ref="AM2073" si="9060">$Q2075</f>
        <v>#NUM!</v>
      </c>
      <c r="AN2073" s="34">
        <v>-1</v>
      </c>
      <c r="AO2073" s="34" t="e">
        <f t="shared" ref="AO2073" si="9061">-SUMPRODUCT($Q2072:$Q2074,$N$2:$N$4)-SUMPRODUCT($Q2076:$Q2082,$N$6:$N$12)</f>
        <v>#NUM!</v>
      </c>
      <c r="AP2073" s="34"/>
      <c r="AQ2073" s="34"/>
      <c r="AR2073" s="34"/>
      <c r="AS2073" s="34" t="e">
        <f t="shared" ref="AS2073" si="9062">$Q2076</f>
        <v>#NUM!</v>
      </c>
      <c r="AT2073" s="34">
        <v>-1</v>
      </c>
      <c r="AU2073" s="34" t="e">
        <f t="shared" ref="AU2073" si="9063">-SUMPRODUCT($Q2072:$Q2075,$N$2:$N$5)-SUMPRODUCT($Q2077:$Q2082,$N$7:$N$12)</f>
        <v>#NUM!</v>
      </c>
      <c r="AV2073" s="34"/>
      <c r="AW2073" s="34"/>
      <c r="AX2073" s="34"/>
      <c r="AY2073" s="34" t="e">
        <f t="shared" ref="AY2073" si="9064">$Q2077</f>
        <v>#NUM!</v>
      </c>
      <c r="AZ2073" s="34">
        <v>-1</v>
      </c>
      <c r="BA2073" s="34" t="e">
        <f t="shared" ref="BA2073" si="9065">-SUMPRODUCT($Q2072:$Q2076,$N$2:$N$6)-SUMPRODUCT($Q2078:$Q2082,$N$8:$N$12)</f>
        <v>#NUM!</v>
      </c>
      <c r="BB2073" s="34"/>
      <c r="BC2073" s="34"/>
      <c r="BD2073" s="34"/>
      <c r="BE2073" s="34" t="e">
        <f t="shared" ref="BE2073" si="9066">$Q2078</f>
        <v>#NUM!</v>
      </c>
      <c r="BF2073" s="34">
        <v>-1</v>
      </c>
      <c r="BG2073" s="34" t="e">
        <f t="shared" ref="BG2073" si="9067">-SUMPRODUCT($Q2072:$Q2077,$N$2:$N$7)-SUMPRODUCT($Q2079:$Q2082,$N$9:$N$12)</f>
        <v>#NUM!</v>
      </c>
      <c r="BH2073" s="34"/>
      <c r="BI2073" s="34"/>
      <c r="BJ2073" s="34"/>
      <c r="BK2073" s="34" t="e">
        <f t="shared" ref="BK2073" si="9068">$Q2079</f>
        <v>#NUM!</v>
      </c>
      <c r="BL2073" s="34">
        <v>-1</v>
      </c>
      <c r="BM2073" s="34" t="e">
        <f t="shared" ref="BM2073" si="9069">-SUMPRODUCT($Q2072:$Q2078,$N$2:$N$8)-SUMPRODUCT($Q2080:$Q2082,$N$10:$N$12)</f>
        <v>#NUM!</v>
      </c>
      <c r="BN2073" s="34"/>
      <c r="BO2073" s="34"/>
      <c r="BP2073" s="34"/>
      <c r="BQ2073" s="34" t="e">
        <f t="shared" ref="BQ2073" si="9070">$Q2080</f>
        <v>#NUM!</v>
      </c>
      <c r="BR2073" s="34">
        <v>-1</v>
      </c>
      <c r="BS2073" s="34" t="e">
        <f t="shared" ref="BS2073" si="9071">-SUMPRODUCT($Q2072:$Q2079,$N$2:$N$9)-SUMPRODUCT($Q2081:$Q2082,$N$11:$N$12)</f>
        <v>#NUM!</v>
      </c>
      <c r="BT2073" s="34"/>
      <c r="BU2073" s="34"/>
      <c r="BV2073" s="34"/>
      <c r="BW2073" s="34" t="e">
        <f t="shared" ref="BW2073" si="9072">$Q2081</f>
        <v>#NUM!</v>
      </c>
      <c r="BX2073" s="34">
        <v>-1</v>
      </c>
      <c r="BY2073" s="34" t="e">
        <f t="shared" ref="BY2073" si="9073">-SUMPRODUCT($Q2072:$Q2080,$N$2:$N$10)-SUMPRODUCT($Q2082,$N$12)</f>
        <v>#NUM!</v>
      </c>
      <c r="BZ2073" s="34"/>
      <c r="CA2073" s="34"/>
      <c r="CB2073" s="34"/>
      <c r="CC2073" s="34" t="e">
        <f t="shared" ref="CC2073" si="9074">$Q2082</f>
        <v>#NUM!</v>
      </c>
      <c r="CD2073" s="34">
        <v>-1</v>
      </c>
      <c r="CE2073" s="34" t="e">
        <f t="shared" ref="CE2073" si="9075">-SUMPRODUCT($Q2072:$Q2081,$N$2:$N$11)</f>
        <v>#NUM!</v>
      </c>
      <c r="CF2073" s="34"/>
      <c r="CG2073" s="34"/>
      <c r="CH2073" s="34"/>
      <c r="CI2073" s="8"/>
    </row>
    <row r="2074" spans="1:87" x14ac:dyDescent="0.2">
      <c r="A2074" s="8" t="str">
        <f>IF(AND(COUNTIF(W$3:W$13,A$17)&gt;0,A$17&lt;&gt;B2070),A$17,IFERROR(IF(MATCH(A$17,Z$3:Z$13,0)=1,A$17," ")," "))</f>
        <v>C3</v>
      </c>
      <c r="B2074" s="8">
        <f>IF(A2074=" "," ",MAX(B2072:B2073)+1)</f>
        <v>2</v>
      </c>
      <c r="C2074" s="8" t="str">
        <f>IFERROR(INDEX(A2072:A2093,MATCH(SMALL(B2072:B2093,3),B2072:B2093,0),1)," ")</f>
        <v>C4</v>
      </c>
      <c r="D2074" s="8">
        <f t="shared" si="9041"/>
        <v>1</v>
      </c>
      <c r="E2074" s="8">
        <f t="shared" si="9042"/>
        <v>0</v>
      </c>
      <c r="F2074" s="8">
        <f t="shared" si="9043"/>
        <v>1</v>
      </c>
      <c r="G2074" s="8">
        <f t="shared" si="9044"/>
        <v>0</v>
      </c>
      <c r="H2074" s="8">
        <f t="shared" si="9045"/>
        <v>0</v>
      </c>
      <c r="I2074" s="8">
        <f t="shared" si="9046"/>
        <v>0</v>
      </c>
      <c r="J2074" s="8">
        <f t="shared" si="9047"/>
        <v>0</v>
      </c>
      <c r="K2074" s="8">
        <f t="shared" si="9048"/>
        <v>0</v>
      </c>
      <c r="L2074" s="8">
        <f t="shared" si="9049"/>
        <v>0</v>
      </c>
      <c r="M2074" s="8">
        <f t="shared" si="9050"/>
        <v>0</v>
      </c>
      <c r="N2074" s="8">
        <f t="shared" si="9051"/>
        <v>0</v>
      </c>
      <c r="O2074" s="8">
        <f t="shared" si="9052"/>
        <v>400</v>
      </c>
      <c r="P2074" s="8" t="e">
        <v>#NUM!</v>
      </c>
      <c r="Q2074" s="8" t="e">
        <f t="shared" ref="Q2074" si="9076">IF(COUNTIF(P2072:P2082,"&lt;"&amp;-0.001)=0,IF(ABS(P2074)&lt;0.001,0,P2074)," ")</f>
        <v>#NUM!</v>
      </c>
      <c r="R2074" s="8"/>
      <c r="S2074" s="8"/>
      <c r="U2074" s="34"/>
      <c r="V2074" s="34"/>
      <c r="W2074" s="34"/>
      <c r="X2074" s="34"/>
      <c r="Y2074" s="34"/>
      <c r="Z2074" s="34"/>
      <c r="AA2074" s="34"/>
      <c r="AB2074" s="34"/>
      <c r="AC2074" s="34"/>
      <c r="AD2074" s="34"/>
      <c r="AE2074" s="34"/>
      <c r="AF2074" s="34"/>
      <c r="AG2074" s="34"/>
      <c r="AH2074" s="34"/>
      <c r="AI2074" s="34"/>
      <c r="AJ2074" s="34"/>
      <c r="AK2074" s="34"/>
      <c r="AL2074" s="34"/>
      <c r="AM2074" s="34"/>
      <c r="AN2074" s="34"/>
      <c r="AO2074" s="34"/>
      <c r="AP2074" s="34"/>
      <c r="AQ2074" s="34"/>
      <c r="AR2074" s="34"/>
      <c r="AS2074" s="34"/>
      <c r="AT2074" s="34"/>
      <c r="AU2074" s="34"/>
      <c r="AV2074" s="34"/>
      <c r="AW2074" s="34"/>
      <c r="AX2074" s="34"/>
      <c r="AY2074" s="34"/>
      <c r="AZ2074" s="34"/>
      <c r="BA2074" s="34"/>
      <c r="BB2074" s="34"/>
      <c r="BC2074" s="34"/>
      <c r="BD2074" s="34"/>
      <c r="BE2074" s="34"/>
      <c r="BF2074" s="34"/>
      <c r="BG2074" s="34"/>
      <c r="BH2074" s="34"/>
      <c r="BI2074" s="34"/>
      <c r="BJ2074" s="34"/>
      <c r="BK2074" s="34"/>
      <c r="BL2074" s="34"/>
      <c r="BM2074" s="34"/>
      <c r="BN2074" s="34"/>
      <c r="BO2074" s="34"/>
      <c r="BP2074" s="34"/>
      <c r="BQ2074" s="34"/>
      <c r="BR2074" s="34"/>
      <c r="BS2074" s="34"/>
      <c r="BT2074" s="34"/>
      <c r="BU2074" s="34"/>
      <c r="BV2074" s="34"/>
      <c r="BW2074" s="34"/>
      <c r="BX2074" s="34"/>
      <c r="BY2074" s="34"/>
      <c r="BZ2074" s="34"/>
      <c r="CA2074" s="34"/>
      <c r="CB2074" s="34"/>
      <c r="CC2074" s="34"/>
      <c r="CD2074" s="34"/>
      <c r="CE2074" s="34"/>
      <c r="CF2074" s="34"/>
      <c r="CG2074" s="34"/>
      <c r="CH2074" s="34"/>
      <c r="CI2074" s="8"/>
    </row>
    <row r="2075" spans="1:87" x14ac:dyDescent="0.2">
      <c r="A2075" s="8" t="str">
        <f>IF(AND(COUNTIF(W$3:W$13,A$18)&gt;0,A$18&lt;&gt;B2070),A$18,IFERROR(IF(MATCH(A$18,Z$3:Z$13,0)=1,A$18," ")," "))</f>
        <v>C4</v>
      </c>
      <c r="B2075" s="8">
        <f>IF(A2075=" "," ",MAX(B2072:B2074)+1)</f>
        <v>3</v>
      </c>
      <c r="C2075" s="8" t="str">
        <f>IFERROR(INDEX(A2072:A2093,MATCH(SMALL(B2072:B2093,4),B2072:B2093,0),1)," ")</f>
        <v>C13</v>
      </c>
      <c r="D2075" s="8">
        <f t="shared" si="9041"/>
        <v>0</v>
      </c>
      <c r="E2075" s="8">
        <f t="shared" si="9042"/>
        <v>1</v>
      </c>
      <c r="F2075" s="8">
        <f t="shared" si="9043"/>
        <v>0</v>
      </c>
      <c r="G2075" s="8">
        <f t="shared" si="9044"/>
        <v>0</v>
      </c>
      <c r="H2075" s="8">
        <f t="shared" si="9045"/>
        <v>0</v>
      </c>
      <c r="I2075" s="8">
        <f t="shared" si="9046"/>
        <v>0</v>
      </c>
      <c r="J2075" s="8">
        <f t="shared" si="9047"/>
        <v>0</v>
      </c>
      <c r="K2075" s="8">
        <f t="shared" si="9048"/>
        <v>0</v>
      </c>
      <c r="L2075" s="8">
        <f t="shared" si="9049"/>
        <v>0</v>
      </c>
      <c r="M2075" s="8">
        <f t="shared" si="9050"/>
        <v>0</v>
      </c>
      <c r="N2075" s="8">
        <f t="shared" si="9051"/>
        <v>0</v>
      </c>
      <c r="O2075" s="8">
        <f t="shared" si="9052"/>
        <v>0</v>
      </c>
      <c r="P2075" s="8" t="e">
        <v>#NUM!</v>
      </c>
      <c r="Q2075" s="8" t="e">
        <f t="shared" ref="Q2075" si="9077">IF(COUNTIF(P2072:P2082,"&lt;"&amp;-0.001)=0,IF(ABS(P2075)&lt;0.001,0,P2075)," ")</f>
        <v>#NUM!</v>
      </c>
      <c r="R2075" s="8"/>
      <c r="S2075" s="8"/>
      <c r="U2075" s="34"/>
      <c r="V2075" s="34"/>
      <c r="W2075" s="34"/>
      <c r="X2075" s="34"/>
      <c r="Y2075" s="34"/>
      <c r="Z2075" s="34"/>
      <c r="AA2075" s="34"/>
      <c r="AB2075" s="34"/>
      <c r="AC2075" s="34"/>
      <c r="AD2075" s="34"/>
      <c r="AE2075" s="34"/>
      <c r="AF2075" s="34"/>
      <c r="AG2075" s="34"/>
      <c r="AH2075" s="34"/>
      <c r="AI2075" s="34"/>
      <c r="AJ2075" s="34"/>
      <c r="AK2075" s="34"/>
      <c r="AL2075" s="34"/>
      <c r="AM2075" s="34"/>
      <c r="AN2075" s="34"/>
      <c r="AO2075" s="34"/>
      <c r="AP2075" s="34"/>
      <c r="AQ2075" s="34"/>
      <c r="AR2075" s="34"/>
      <c r="AS2075" s="34"/>
      <c r="AT2075" s="34"/>
      <c r="AU2075" s="34"/>
      <c r="AV2075" s="34"/>
      <c r="AW2075" s="34"/>
      <c r="AX2075" s="34"/>
      <c r="AY2075" s="34"/>
      <c r="AZ2075" s="34"/>
      <c r="BA2075" s="34"/>
      <c r="BB2075" s="34"/>
      <c r="BC2075" s="34"/>
      <c r="BD2075" s="34"/>
      <c r="BE2075" s="34"/>
      <c r="BF2075" s="34"/>
      <c r="BG2075" s="34"/>
      <c r="BH2075" s="34"/>
      <c r="BI2075" s="34"/>
      <c r="BJ2075" s="34"/>
      <c r="BK2075" s="34"/>
      <c r="BL2075" s="34"/>
      <c r="BM2075" s="34"/>
      <c r="BN2075" s="34"/>
      <c r="BO2075" s="34"/>
      <c r="BP2075" s="34"/>
      <c r="BQ2075" s="34"/>
      <c r="BR2075" s="34"/>
      <c r="BS2075" s="34"/>
      <c r="BT2075" s="34"/>
      <c r="BU2075" s="34"/>
      <c r="BV2075" s="34"/>
      <c r="BW2075" s="34"/>
      <c r="BX2075" s="34"/>
      <c r="BY2075" s="34"/>
      <c r="BZ2075" s="34"/>
      <c r="CA2075" s="34"/>
      <c r="CB2075" s="34"/>
      <c r="CC2075" s="34"/>
      <c r="CD2075" s="34"/>
      <c r="CE2075" s="34"/>
      <c r="CF2075" s="34"/>
      <c r="CG2075" s="34"/>
      <c r="CH2075" s="34"/>
      <c r="CI2075" s="8"/>
    </row>
    <row r="2076" spans="1:87" x14ac:dyDescent="0.2">
      <c r="A2076" s="8" t="str">
        <f>IF(AND(COUNTIF(W$3:W$13,A$19)&gt;0,A$19&lt;&gt;B2070),A$19,IFERROR(IF(MATCH(A$19,Z$3:Z$13,0)=1,A$19," ")," "))</f>
        <v xml:space="preserve"> </v>
      </c>
      <c r="B2076" s="8" t="str">
        <f>IF(A2076=" "," ",MAX(B2072:B2075)+1)</f>
        <v xml:space="preserve"> </v>
      </c>
      <c r="C2076" s="8" t="str">
        <f>IFERROR(INDEX(A2072:A2093,MATCH(SMALL(B2072:B2093,5),B2072:B2093,0),1)," ")</f>
        <v>C15</v>
      </c>
      <c r="D2076" s="8">
        <f t="shared" si="9041"/>
        <v>0</v>
      </c>
      <c r="E2076" s="8">
        <f t="shared" si="9042"/>
        <v>0</v>
      </c>
      <c r="F2076" s="8">
        <f t="shared" si="9043"/>
        <v>0</v>
      </c>
      <c r="G2076" s="8">
        <f t="shared" si="9044"/>
        <v>1</v>
      </c>
      <c r="H2076" s="8">
        <f t="shared" si="9045"/>
        <v>0</v>
      </c>
      <c r="I2076" s="8">
        <f t="shared" si="9046"/>
        <v>0</v>
      </c>
      <c r="J2076" s="8">
        <f t="shared" si="9047"/>
        <v>0</v>
      </c>
      <c r="K2076" s="8">
        <f t="shared" si="9048"/>
        <v>0</v>
      </c>
      <c r="L2076" s="8">
        <f t="shared" si="9049"/>
        <v>0</v>
      </c>
      <c r="M2076" s="8">
        <f t="shared" si="9050"/>
        <v>0</v>
      </c>
      <c r="N2076" s="8">
        <f t="shared" si="9051"/>
        <v>0</v>
      </c>
      <c r="O2076" s="8">
        <f t="shared" si="9052"/>
        <v>0</v>
      </c>
      <c r="P2076" s="8" t="e">
        <v>#NUM!</v>
      </c>
      <c r="Q2076" s="8" t="e">
        <f t="shared" ref="Q2076" si="9078">IF(COUNTIF(P2072:P2082,"&lt;"&amp;-0.001)=0,IF(ABS(P2076)&lt;0.001,0,P2076)," ")</f>
        <v>#NUM!</v>
      </c>
      <c r="R2076" s="8"/>
      <c r="S2076" s="8"/>
      <c r="U2076" s="34"/>
      <c r="V2076" s="34"/>
      <c r="W2076" s="34"/>
      <c r="X2076" s="34"/>
      <c r="Y2076" s="34"/>
      <c r="Z2076" s="34"/>
      <c r="AA2076" s="34"/>
      <c r="AB2076" s="34"/>
      <c r="AC2076" s="34"/>
      <c r="AD2076" s="34"/>
      <c r="AE2076" s="34"/>
      <c r="AF2076" s="34"/>
      <c r="AG2076" s="34"/>
      <c r="AH2076" s="34"/>
      <c r="AI2076" s="34"/>
      <c r="AJ2076" s="34"/>
      <c r="AK2076" s="34"/>
      <c r="AL2076" s="34"/>
      <c r="AM2076" s="34"/>
      <c r="AN2076" s="34"/>
      <c r="AO2076" s="34"/>
      <c r="AP2076" s="34"/>
      <c r="AQ2076" s="34"/>
      <c r="AR2076" s="34"/>
      <c r="AS2076" s="34"/>
      <c r="AT2076" s="34"/>
      <c r="AU2076" s="34"/>
      <c r="AV2076" s="34"/>
      <c r="AW2076" s="34"/>
      <c r="AX2076" s="34"/>
      <c r="AY2076" s="34"/>
      <c r="AZ2076" s="34"/>
      <c r="BA2076" s="34"/>
      <c r="BB2076" s="34"/>
      <c r="BC2076" s="34"/>
      <c r="BD2076" s="34"/>
      <c r="BE2076" s="34"/>
      <c r="BF2076" s="34"/>
      <c r="BG2076" s="34"/>
      <c r="BH2076" s="34"/>
      <c r="BI2076" s="34"/>
      <c r="BJ2076" s="34"/>
      <c r="BK2076" s="34"/>
      <c r="BL2076" s="34"/>
      <c r="BM2076" s="34"/>
      <c r="BN2076" s="34"/>
      <c r="BO2076" s="34"/>
      <c r="BP2076" s="34"/>
      <c r="BQ2076" s="34"/>
      <c r="BR2076" s="34"/>
      <c r="BS2076" s="34"/>
      <c r="BT2076" s="34"/>
      <c r="BU2076" s="34"/>
      <c r="BV2076" s="34"/>
      <c r="BW2076" s="34"/>
      <c r="BX2076" s="34"/>
      <c r="BY2076" s="34"/>
      <c r="BZ2076" s="34"/>
      <c r="CA2076" s="34"/>
      <c r="CB2076" s="34"/>
      <c r="CC2076" s="34"/>
      <c r="CD2076" s="34"/>
      <c r="CE2076" s="34"/>
      <c r="CF2076" s="34"/>
      <c r="CG2076" s="34"/>
      <c r="CH2076" s="34"/>
      <c r="CI2076" s="8"/>
    </row>
    <row r="2077" spans="1:87" x14ac:dyDescent="0.2">
      <c r="A2077" s="8" t="str">
        <f>IF(AND(COUNTIF(W$3:W$13,A$20)&gt;0,A$20&lt;&gt;B2070),A$20,IFERROR(IF(MATCH(A$20,Z$3:Z$13,0)=1,A$20," ")," "))</f>
        <v xml:space="preserve"> </v>
      </c>
      <c r="B2077" s="8" t="str">
        <f>IF(A2077=" "," ",MAX(B2072:B2076)+1)</f>
        <v xml:space="preserve"> </v>
      </c>
      <c r="C2077" s="8" t="str">
        <f>IFERROR(INDEX(A2072:A2093,MATCH(SMALL(B2072:B2093,6),B2072:B2093,0),1)," ")</f>
        <v>C16</v>
      </c>
      <c r="D2077" s="8">
        <f t="shared" si="9041"/>
        <v>0</v>
      </c>
      <c r="E2077" s="8">
        <f t="shared" si="9042"/>
        <v>0</v>
      </c>
      <c r="F2077" s="8">
        <f t="shared" si="9043"/>
        <v>0</v>
      </c>
      <c r="G2077" s="8">
        <f t="shared" si="9044"/>
        <v>0</v>
      </c>
      <c r="H2077" s="8">
        <f t="shared" si="9045"/>
        <v>1</v>
      </c>
      <c r="I2077" s="8">
        <f t="shared" si="9046"/>
        <v>0</v>
      </c>
      <c r="J2077" s="8">
        <f t="shared" si="9047"/>
        <v>0</v>
      </c>
      <c r="K2077" s="8">
        <f t="shared" si="9048"/>
        <v>0</v>
      </c>
      <c r="L2077" s="8">
        <f t="shared" si="9049"/>
        <v>0</v>
      </c>
      <c r="M2077" s="8">
        <f t="shared" si="9050"/>
        <v>0</v>
      </c>
      <c r="N2077" s="8">
        <f t="shared" si="9051"/>
        <v>0</v>
      </c>
      <c r="O2077" s="8">
        <f t="shared" si="9052"/>
        <v>0</v>
      </c>
      <c r="P2077" s="8" t="e">
        <v>#NUM!</v>
      </c>
      <c r="Q2077" s="8" t="e">
        <f t="shared" ref="Q2077" si="9079">IF(COUNTIF(P2072:P2082,"&lt;"&amp;-0.001)=0,IF(ABS(P2077)&lt;0.001,0,P2077)," ")</f>
        <v>#NUM!</v>
      </c>
      <c r="R2077" s="8"/>
      <c r="S2077" s="8"/>
      <c r="U2077" s="34"/>
      <c r="V2077" s="34"/>
      <c r="W2077" s="34"/>
      <c r="X2077" s="34"/>
      <c r="Y2077" s="34"/>
      <c r="Z2077" s="34"/>
      <c r="AA2077" s="34"/>
      <c r="AB2077" s="34"/>
      <c r="AC2077" s="34"/>
      <c r="AD2077" s="34"/>
      <c r="AE2077" s="34"/>
      <c r="AF2077" s="34"/>
      <c r="AG2077" s="34"/>
      <c r="AH2077" s="34"/>
      <c r="AI2077" s="34"/>
      <c r="AJ2077" s="34"/>
      <c r="AK2077" s="34"/>
      <c r="AL2077" s="34"/>
      <c r="AM2077" s="34"/>
      <c r="AN2077" s="34"/>
      <c r="AO2077" s="34"/>
      <c r="AP2077" s="34"/>
      <c r="AQ2077" s="34"/>
      <c r="AR2077" s="34"/>
      <c r="AS2077" s="34"/>
      <c r="AT2077" s="34"/>
      <c r="AU2077" s="34"/>
      <c r="AV2077" s="34"/>
      <c r="AW2077" s="34"/>
      <c r="AX2077" s="34"/>
      <c r="AY2077" s="34"/>
      <c r="AZ2077" s="34"/>
      <c r="BA2077" s="34"/>
      <c r="BB2077" s="34"/>
      <c r="BC2077" s="34"/>
      <c r="BD2077" s="34"/>
      <c r="BE2077" s="34"/>
      <c r="BF2077" s="34"/>
      <c r="BG2077" s="34"/>
      <c r="BH2077" s="34"/>
      <c r="BI2077" s="34"/>
      <c r="BJ2077" s="34"/>
      <c r="BK2077" s="34"/>
      <c r="BL2077" s="34"/>
      <c r="BM2077" s="34"/>
      <c r="BN2077" s="34"/>
      <c r="BO2077" s="34"/>
      <c r="BP2077" s="34"/>
      <c r="BQ2077" s="34"/>
      <c r="BR2077" s="34"/>
      <c r="BS2077" s="34"/>
      <c r="BT2077" s="34"/>
      <c r="BU2077" s="34"/>
      <c r="BV2077" s="34"/>
      <c r="BW2077" s="34"/>
      <c r="BX2077" s="34"/>
      <c r="BY2077" s="34"/>
      <c r="BZ2077" s="34"/>
      <c r="CA2077" s="34"/>
      <c r="CB2077" s="34"/>
      <c r="CC2077" s="34"/>
      <c r="CD2077" s="34"/>
      <c r="CE2077" s="34"/>
      <c r="CF2077" s="34"/>
      <c r="CG2077" s="34"/>
      <c r="CH2077" s="34"/>
      <c r="CI2077" s="8"/>
    </row>
    <row r="2078" spans="1:87" x14ac:dyDescent="0.2">
      <c r="A2078" s="8" t="str">
        <f>IF(AND(COUNTIF(W$3:W$13,A$21)&gt;0,A$21&lt;&gt;B2070),A$21,IFERROR(IF(MATCH(A$21,Z$3:Z$13,0)=1,A$21," ")," "))</f>
        <v xml:space="preserve"> </v>
      </c>
      <c r="B2078" s="8" t="str">
        <f>IF(A2078=" "," ",MAX(B2072:B2077)+1)</f>
        <v xml:space="preserve"> </v>
      </c>
      <c r="C2078" s="8" t="str">
        <f>IFERROR(INDEX(A2072:A2093,MATCH(SMALL(B2072:B2093,7),B2072:B2093,0),1)," ")</f>
        <v>C17</v>
      </c>
      <c r="D2078" s="8">
        <f t="shared" si="9041"/>
        <v>0</v>
      </c>
      <c r="E2078" s="8">
        <f t="shared" si="9042"/>
        <v>0</v>
      </c>
      <c r="F2078" s="8">
        <f t="shared" si="9043"/>
        <v>0</v>
      </c>
      <c r="G2078" s="8">
        <f t="shared" si="9044"/>
        <v>0</v>
      </c>
      <c r="H2078" s="8">
        <f t="shared" si="9045"/>
        <v>0</v>
      </c>
      <c r="I2078" s="8">
        <f t="shared" si="9046"/>
        <v>1</v>
      </c>
      <c r="J2078" s="8">
        <f t="shared" si="9047"/>
        <v>0</v>
      </c>
      <c r="K2078" s="8">
        <f t="shared" si="9048"/>
        <v>0</v>
      </c>
      <c r="L2078" s="8">
        <f t="shared" si="9049"/>
        <v>0</v>
      </c>
      <c r="M2078" s="8">
        <f t="shared" si="9050"/>
        <v>0</v>
      </c>
      <c r="N2078" s="8">
        <f t="shared" si="9051"/>
        <v>0</v>
      </c>
      <c r="O2078" s="8">
        <f t="shared" si="9052"/>
        <v>0</v>
      </c>
      <c r="P2078" s="8" t="e">
        <v>#NUM!</v>
      </c>
      <c r="Q2078" s="8" t="e">
        <f t="shared" ref="Q2078" si="9080">IF(COUNTIF(P2072:P2082,"&lt;"&amp;-0.001)=0,IF(ABS(P2078)&lt;0.001,0,P2078)," ")</f>
        <v>#NUM!</v>
      </c>
      <c r="R2078" s="8"/>
      <c r="S2078" s="8"/>
      <c r="U2078" s="34"/>
      <c r="V2078" s="34"/>
      <c r="W2078" s="34"/>
      <c r="X2078" s="34"/>
      <c r="Y2078" s="34"/>
      <c r="Z2078" s="34"/>
      <c r="AA2078" s="34"/>
      <c r="AB2078" s="34"/>
      <c r="AC2078" s="34"/>
      <c r="AD2078" s="34"/>
      <c r="AE2078" s="34"/>
      <c r="AF2078" s="34"/>
      <c r="AG2078" s="34"/>
      <c r="AH2078" s="34"/>
      <c r="AI2078" s="34"/>
      <c r="AJ2078" s="34"/>
      <c r="AK2078" s="34"/>
      <c r="AL2078" s="34"/>
      <c r="AM2078" s="34"/>
      <c r="AN2078" s="34"/>
      <c r="AO2078" s="34"/>
      <c r="AP2078" s="34"/>
      <c r="AQ2078" s="34"/>
      <c r="AR2078" s="34"/>
      <c r="AS2078" s="34"/>
      <c r="AT2078" s="34"/>
      <c r="AU2078" s="34"/>
      <c r="AV2078" s="34"/>
      <c r="AW2078" s="34"/>
      <c r="AX2078" s="34"/>
      <c r="AY2078" s="34"/>
      <c r="AZ2078" s="34"/>
      <c r="BA2078" s="34"/>
      <c r="BB2078" s="34"/>
      <c r="BC2078" s="34"/>
      <c r="BD2078" s="34"/>
      <c r="BE2078" s="34"/>
      <c r="BF2078" s="34"/>
      <c r="BG2078" s="34"/>
      <c r="BH2078" s="34"/>
      <c r="BI2078" s="34"/>
      <c r="BJ2078" s="34"/>
      <c r="BK2078" s="34"/>
      <c r="BL2078" s="34"/>
      <c r="BM2078" s="34"/>
      <c r="BN2078" s="34"/>
      <c r="BO2078" s="34"/>
      <c r="BP2078" s="34"/>
      <c r="BQ2078" s="34"/>
      <c r="BR2078" s="34"/>
      <c r="BS2078" s="34"/>
      <c r="BT2078" s="34"/>
      <c r="BU2078" s="34"/>
      <c r="BV2078" s="34"/>
      <c r="BW2078" s="34"/>
      <c r="BX2078" s="34"/>
      <c r="BY2078" s="34"/>
      <c r="BZ2078" s="34"/>
      <c r="CA2078" s="34"/>
      <c r="CB2078" s="34"/>
      <c r="CC2078" s="34"/>
      <c r="CD2078" s="34"/>
      <c r="CE2078" s="34"/>
      <c r="CF2078" s="34"/>
      <c r="CG2078" s="34"/>
      <c r="CH2078" s="34"/>
      <c r="CI2078" s="8"/>
    </row>
    <row r="2079" spans="1:87" x14ac:dyDescent="0.2">
      <c r="A2079" s="8" t="str">
        <f>IF(AND(COUNTIF(W$3:W$13,A$22)&gt;0,A$22&lt;&gt;B2070),A$22,IFERROR(IF(MATCH(A$22,Z$3:Z$13,0)=1,A$22," ")," "))</f>
        <v xml:space="preserve"> </v>
      </c>
      <c r="B2079" s="8" t="str">
        <f>IF(A2079=" "," ",MAX(B2072:B2078)+1)</f>
        <v xml:space="preserve"> </v>
      </c>
      <c r="C2079" s="8" t="str">
        <f>IFERROR(INDEX(A2072:A2093,MATCH(SMALL(B2072:B2093,8),B2072:B2093,0),1)," ")</f>
        <v>C18</v>
      </c>
      <c r="D2079" s="8">
        <f t="shared" si="9041"/>
        <v>0</v>
      </c>
      <c r="E2079" s="8">
        <f t="shared" si="9042"/>
        <v>0</v>
      </c>
      <c r="F2079" s="8">
        <f t="shared" si="9043"/>
        <v>0</v>
      </c>
      <c r="G2079" s="8">
        <f t="shared" si="9044"/>
        <v>0</v>
      </c>
      <c r="H2079" s="8">
        <f t="shared" si="9045"/>
        <v>0</v>
      </c>
      <c r="I2079" s="8">
        <f t="shared" si="9046"/>
        <v>0</v>
      </c>
      <c r="J2079" s="8">
        <f t="shared" si="9047"/>
        <v>1</v>
      </c>
      <c r="K2079" s="8">
        <f t="shared" si="9048"/>
        <v>0</v>
      </c>
      <c r="L2079" s="8">
        <f t="shared" si="9049"/>
        <v>0</v>
      </c>
      <c r="M2079" s="8">
        <f t="shared" si="9050"/>
        <v>0</v>
      </c>
      <c r="N2079" s="8">
        <f t="shared" si="9051"/>
        <v>0</v>
      </c>
      <c r="O2079" s="8">
        <f t="shared" si="9052"/>
        <v>0</v>
      </c>
      <c r="P2079" s="8" t="e">
        <v>#NUM!</v>
      </c>
      <c r="Q2079" s="8" t="e">
        <f t="shared" ref="Q2079" si="9081">IF(COUNTIF(P2072:P2082,"&lt;"&amp;-0.001)=0,IF(ABS(P2079)&lt;0.001,0,P2079)," ")</f>
        <v>#NUM!</v>
      </c>
      <c r="R2079" s="8"/>
      <c r="S2079" s="8"/>
      <c r="U2079" s="34"/>
      <c r="V2079" s="34"/>
      <c r="W2079" s="34"/>
      <c r="X2079" s="34"/>
      <c r="Y2079" s="34"/>
      <c r="Z2079" s="34"/>
      <c r="AA2079" s="34"/>
      <c r="AB2079" s="34"/>
      <c r="AC2079" s="34"/>
      <c r="AD2079" s="34"/>
      <c r="AE2079" s="34"/>
      <c r="AF2079" s="34"/>
      <c r="AG2079" s="34"/>
      <c r="AH2079" s="34"/>
      <c r="AI2079" s="34"/>
      <c r="AJ2079" s="34"/>
      <c r="AK2079" s="34"/>
      <c r="AL2079" s="34"/>
      <c r="AM2079" s="34"/>
      <c r="AN2079" s="34"/>
      <c r="AO2079" s="34"/>
      <c r="AP2079" s="34"/>
      <c r="AQ2079" s="34"/>
      <c r="AR2079" s="34"/>
      <c r="AS2079" s="34"/>
      <c r="AT2079" s="34"/>
      <c r="AU2079" s="34"/>
      <c r="AV2079" s="34"/>
      <c r="AW2079" s="34"/>
      <c r="AX2079" s="34"/>
      <c r="AY2079" s="34"/>
      <c r="AZ2079" s="34"/>
      <c r="BA2079" s="34"/>
      <c r="BB2079" s="34"/>
      <c r="BC2079" s="34"/>
      <c r="BD2079" s="34"/>
      <c r="BE2079" s="34"/>
      <c r="BF2079" s="34"/>
      <c r="BG2079" s="34"/>
      <c r="BH2079" s="34"/>
      <c r="BI2079" s="34"/>
      <c r="BJ2079" s="34"/>
      <c r="BK2079" s="34"/>
      <c r="BL2079" s="34"/>
      <c r="BM2079" s="34"/>
      <c r="BN2079" s="34"/>
      <c r="BO2079" s="34"/>
      <c r="BP2079" s="34"/>
      <c r="BQ2079" s="34"/>
      <c r="BR2079" s="34"/>
      <c r="BS2079" s="34"/>
      <c r="BT2079" s="34"/>
      <c r="BU2079" s="34"/>
      <c r="BV2079" s="34"/>
      <c r="BW2079" s="34"/>
      <c r="BX2079" s="34"/>
      <c r="BY2079" s="34"/>
      <c r="BZ2079" s="34"/>
      <c r="CA2079" s="34"/>
      <c r="CB2079" s="34"/>
      <c r="CC2079" s="34"/>
      <c r="CD2079" s="34"/>
      <c r="CE2079" s="34"/>
      <c r="CF2079" s="34"/>
      <c r="CG2079" s="34"/>
      <c r="CH2079" s="34"/>
      <c r="CI2079" s="8"/>
    </row>
    <row r="2080" spans="1:87" x14ac:dyDescent="0.2">
      <c r="A2080" s="8" t="str">
        <f>IF(AND(COUNTIF(W$3:W$13,A$23)&gt;0,A$23&lt;&gt;B2070),A$23,IFERROR(IF(MATCH(A$23,Z$3:Z$13,0)=1,A$23," ")," "))</f>
        <v xml:space="preserve"> </v>
      </c>
      <c r="B2080" s="8" t="str">
        <f>IF(A2080=" "," ",MAX(B2072:B2079)+1)</f>
        <v xml:space="preserve"> </v>
      </c>
      <c r="C2080" s="8" t="str">
        <f>IFERROR(INDEX(A2072:A2093,MATCH(SMALL(B2072:B2093,9),B2072:B2093,0),1)," ")</f>
        <v>C19</v>
      </c>
      <c r="D2080" s="8">
        <f t="shared" si="9041"/>
        <v>0</v>
      </c>
      <c r="E2080" s="8">
        <f t="shared" si="9042"/>
        <v>0</v>
      </c>
      <c r="F2080" s="8">
        <f t="shared" si="9043"/>
        <v>0</v>
      </c>
      <c r="G2080" s="8">
        <f t="shared" si="9044"/>
        <v>0</v>
      </c>
      <c r="H2080" s="8">
        <f t="shared" si="9045"/>
        <v>0</v>
      </c>
      <c r="I2080" s="8">
        <f t="shared" si="9046"/>
        <v>0</v>
      </c>
      <c r="J2080" s="8">
        <f t="shared" si="9047"/>
        <v>0</v>
      </c>
      <c r="K2080" s="8">
        <f t="shared" si="9048"/>
        <v>1</v>
      </c>
      <c r="L2080" s="8">
        <f t="shared" si="9049"/>
        <v>0</v>
      </c>
      <c r="M2080" s="8">
        <f t="shared" si="9050"/>
        <v>0</v>
      </c>
      <c r="N2080" s="8">
        <f t="shared" si="9051"/>
        <v>0</v>
      </c>
      <c r="O2080" s="8">
        <f t="shared" si="9052"/>
        <v>0</v>
      </c>
      <c r="P2080" s="6" t="e">
        <v>#NUM!</v>
      </c>
      <c r="Q2080" s="8" t="e">
        <f t="shared" ref="Q2080" si="9082">IF(COUNTIF(P2072:P2082,"&lt;"&amp;-0.001)=0,IF(ABS(P2080)&lt;0.001,0,P2080)," ")</f>
        <v>#NUM!</v>
      </c>
      <c r="R2080" s="8"/>
      <c r="S2080" s="8"/>
      <c r="U2080" s="34"/>
      <c r="V2080" s="34"/>
      <c r="W2080" s="34"/>
      <c r="X2080" s="34"/>
      <c r="Y2080" s="34"/>
      <c r="Z2080" s="34"/>
      <c r="AA2080" s="34"/>
      <c r="AB2080" s="34"/>
      <c r="AC2080" s="34"/>
      <c r="AD2080" s="34"/>
      <c r="AE2080" s="34"/>
      <c r="AF2080" s="34"/>
      <c r="AG2080" s="34"/>
      <c r="AH2080" s="34"/>
      <c r="AI2080" s="34"/>
      <c r="AJ2080" s="34"/>
      <c r="AK2080" s="34"/>
      <c r="AL2080" s="34"/>
      <c r="AM2080" s="34"/>
      <c r="AN2080" s="34"/>
      <c r="AO2080" s="34"/>
      <c r="AP2080" s="34"/>
      <c r="AQ2080" s="34"/>
      <c r="AR2080" s="34"/>
      <c r="AS2080" s="34"/>
      <c r="AT2080" s="34"/>
      <c r="AU2080" s="34"/>
      <c r="AV2080" s="34"/>
      <c r="AW2080" s="34"/>
      <c r="AX2080" s="34"/>
      <c r="AY2080" s="34"/>
      <c r="AZ2080" s="34"/>
      <c r="BA2080" s="34"/>
      <c r="BB2080" s="34"/>
      <c r="BC2080" s="34"/>
      <c r="BD2080" s="34"/>
      <c r="BE2080" s="34"/>
      <c r="BF2080" s="34"/>
      <c r="BG2080" s="34"/>
      <c r="BH2080" s="34"/>
      <c r="BI2080" s="34"/>
      <c r="BJ2080" s="34"/>
      <c r="BK2080" s="34"/>
      <c r="BL2080" s="34"/>
      <c r="BM2080" s="34"/>
      <c r="BN2080" s="34"/>
      <c r="BO2080" s="34"/>
      <c r="BP2080" s="34"/>
      <c r="BQ2080" s="34"/>
      <c r="BR2080" s="34"/>
      <c r="BS2080" s="34"/>
      <c r="BT2080" s="34"/>
      <c r="BU2080" s="34"/>
      <c r="BV2080" s="34"/>
      <c r="BW2080" s="34"/>
      <c r="BX2080" s="34"/>
      <c r="BY2080" s="34"/>
      <c r="BZ2080" s="34"/>
      <c r="CA2080" s="34"/>
      <c r="CB2080" s="34"/>
      <c r="CC2080" s="34"/>
      <c r="CD2080" s="34"/>
      <c r="CE2080" s="34"/>
      <c r="CF2080" s="34"/>
      <c r="CG2080" s="34"/>
      <c r="CH2080" s="34"/>
      <c r="CI2080" s="8"/>
    </row>
    <row r="2081" spans="1:87" x14ac:dyDescent="0.2">
      <c r="A2081" s="8" t="str">
        <f>IF(AND(COUNTIF(W$3:W$13,A$24)&gt;0,A$24&lt;&gt;B2070),A$24,IFERROR(IF(MATCH(A$24,Z$3:Z$13,0)=1,A$24," ")," "))</f>
        <v xml:space="preserve"> </v>
      </c>
      <c r="B2081" s="8" t="str">
        <f>IF(A2081=" "," ",MAX(B2072:B2080)+1)</f>
        <v xml:space="preserve"> </v>
      </c>
      <c r="C2081" s="8" t="str">
        <f>IFERROR(INDEX(A2072:A2093,MATCH(SMALL(B2072:B2093,10),B2072:B2093,0),1)," ")</f>
        <v>C21</v>
      </c>
      <c r="D2081" s="8">
        <f t="shared" si="9041"/>
        <v>0</v>
      </c>
      <c r="E2081" s="8">
        <f t="shared" si="9042"/>
        <v>0</v>
      </c>
      <c r="F2081" s="8">
        <f t="shared" si="9043"/>
        <v>0</v>
      </c>
      <c r="G2081" s="8">
        <f t="shared" si="9044"/>
        <v>0</v>
      </c>
      <c r="H2081" s="8">
        <f t="shared" si="9045"/>
        <v>0</v>
      </c>
      <c r="I2081" s="8">
        <f t="shared" si="9046"/>
        <v>0</v>
      </c>
      <c r="J2081" s="8">
        <f t="shared" si="9047"/>
        <v>0</v>
      </c>
      <c r="K2081" s="8">
        <f t="shared" si="9048"/>
        <v>0</v>
      </c>
      <c r="L2081" s="8">
        <f t="shared" si="9049"/>
        <v>0</v>
      </c>
      <c r="M2081" s="8">
        <f t="shared" si="9050"/>
        <v>1</v>
      </c>
      <c r="N2081" s="8">
        <f t="shared" si="9051"/>
        <v>0</v>
      </c>
      <c r="O2081" s="8">
        <f t="shared" si="9052"/>
        <v>0</v>
      </c>
      <c r="P2081" s="8" t="e">
        <v>#NUM!</v>
      </c>
      <c r="Q2081" s="8" t="e">
        <f t="shared" ref="Q2081" si="9083">IF(COUNTIF(P2072:P2082,"&lt;"&amp;-0.001)=0,IF(ABS(P2081)&lt;0.001,0,P2081)," ")</f>
        <v>#NUM!</v>
      </c>
      <c r="R2081" s="8"/>
      <c r="S2081" s="8"/>
      <c r="U2081" s="34"/>
      <c r="V2081" s="34"/>
      <c r="W2081" s="34"/>
      <c r="X2081" s="34"/>
      <c r="Y2081" s="34"/>
      <c r="Z2081" s="34"/>
      <c r="AA2081" s="34"/>
      <c r="AB2081" s="34"/>
      <c r="AC2081" s="34"/>
      <c r="AD2081" s="34"/>
      <c r="AE2081" s="34"/>
      <c r="AF2081" s="34"/>
      <c r="AG2081" s="34"/>
      <c r="AH2081" s="34"/>
      <c r="AI2081" s="34"/>
      <c r="AJ2081" s="34"/>
      <c r="AK2081" s="34"/>
      <c r="AL2081" s="34"/>
      <c r="AM2081" s="34"/>
      <c r="AN2081" s="34"/>
      <c r="AO2081" s="34"/>
      <c r="AP2081" s="34"/>
      <c r="AQ2081" s="34"/>
      <c r="AR2081" s="34"/>
      <c r="AS2081" s="34"/>
      <c r="AT2081" s="34"/>
      <c r="AU2081" s="34"/>
      <c r="AV2081" s="34"/>
      <c r="AW2081" s="34"/>
      <c r="AX2081" s="34"/>
      <c r="AY2081" s="34"/>
      <c r="AZ2081" s="34"/>
      <c r="BA2081" s="34"/>
      <c r="BB2081" s="34"/>
      <c r="BC2081" s="34"/>
      <c r="BD2081" s="34"/>
      <c r="BE2081" s="34"/>
      <c r="BF2081" s="34"/>
      <c r="BG2081" s="34"/>
      <c r="BH2081" s="34"/>
      <c r="BI2081" s="34"/>
      <c r="BJ2081" s="34"/>
      <c r="BK2081" s="34"/>
      <c r="BL2081" s="34"/>
      <c r="BM2081" s="34"/>
      <c r="BN2081" s="34"/>
      <c r="BO2081" s="34"/>
      <c r="BP2081" s="34"/>
      <c r="BQ2081" s="34"/>
      <c r="BR2081" s="34"/>
      <c r="BS2081" s="34"/>
      <c r="BT2081" s="34"/>
      <c r="BU2081" s="34"/>
      <c r="BV2081" s="34"/>
      <c r="BW2081" s="34"/>
      <c r="BX2081" s="34"/>
      <c r="BY2081" s="34"/>
      <c r="BZ2081" s="34"/>
      <c r="CA2081" s="34"/>
      <c r="CB2081" s="34"/>
      <c r="CC2081" s="34"/>
      <c r="CD2081" s="34"/>
      <c r="CE2081" s="34"/>
      <c r="CF2081" s="34"/>
      <c r="CG2081" s="34"/>
      <c r="CH2081" s="34"/>
      <c r="CI2081" s="8"/>
    </row>
    <row r="2082" spans="1:87" x14ac:dyDescent="0.2">
      <c r="A2082" s="8" t="str">
        <f>IF(AND(COUNTIF(W$3:W$13,A$25)&gt;0,A$25&lt;&gt;B2070),A$25,IFERROR(IF(MATCH(A$25,Z$3:Z$13,0)=1,A$25," ")," "))</f>
        <v xml:space="preserve"> </v>
      </c>
      <c r="B2082" s="8" t="str">
        <f>IF(A2082=" "," ",MAX(B2072:B2081)+1)</f>
        <v xml:space="preserve"> </v>
      </c>
      <c r="C2082" s="8" t="str">
        <f>IFERROR(INDEX(A2072:A2093,MATCH(SMALL(B2072:B2093,11),B2072:B2093,0),1)," ")</f>
        <v>C22</v>
      </c>
      <c r="D2082" s="8">
        <f t="shared" si="9041"/>
        <v>0</v>
      </c>
      <c r="E2082" s="8">
        <f t="shared" si="9042"/>
        <v>0</v>
      </c>
      <c r="F2082" s="8">
        <f t="shared" si="9043"/>
        <v>0</v>
      </c>
      <c r="G2082" s="8">
        <f t="shared" si="9044"/>
        <v>0</v>
      </c>
      <c r="H2082" s="8">
        <f t="shared" si="9045"/>
        <v>0</v>
      </c>
      <c r="I2082" s="8">
        <f t="shared" si="9046"/>
        <v>0</v>
      </c>
      <c r="J2082" s="8">
        <f t="shared" si="9047"/>
        <v>0</v>
      </c>
      <c r="K2082" s="8">
        <f t="shared" si="9048"/>
        <v>0</v>
      </c>
      <c r="L2082" s="8">
        <f t="shared" si="9049"/>
        <v>0</v>
      </c>
      <c r="M2082" s="8">
        <f t="shared" si="9050"/>
        <v>0</v>
      </c>
      <c r="N2082" s="8">
        <f t="shared" si="9051"/>
        <v>1</v>
      </c>
      <c r="O2082" s="8">
        <f t="shared" si="9052"/>
        <v>0</v>
      </c>
      <c r="P2082" s="8" t="e">
        <v>#NUM!</v>
      </c>
      <c r="Q2082" s="8" t="e">
        <f t="shared" ref="Q2082" si="9084">IF(COUNTIF(P2072:P2082,"&lt;"&amp;-0.001)=0,IF(ABS(P2082)&lt;0.001,0,P2082)," ")</f>
        <v>#NUM!</v>
      </c>
      <c r="R2082" s="8"/>
      <c r="S2082" s="8"/>
      <c r="U2082" s="34"/>
      <c r="V2082" s="34"/>
      <c r="W2082" s="34"/>
      <c r="X2082" s="34"/>
      <c r="Y2082" s="34"/>
      <c r="Z2082" s="34"/>
      <c r="AA2082" s="34"/>
      <c r="AB2082" s="34"/>
      <c r="AC2082" s="34"/>
      <c r="AD2082" s="34"/>
      <c r="AE2082" s="34"/>
      <c r="AF2082" s="34"/>
      <c r="AG2082" s="34"/>
      <c r="AH2082" s="34"/>
      <c r="AI2082" s="34"/>
      <c r="AJ2082" s="34"/>
      <c r="AK2082" s="34"/>
      <c r="AL2082" s="34"/>
      <c r="AM2082" s="34"/>
      <c r="AN2082" s="34"/>
      <c r="AO2082" s="34"/>
      <c r="AP2082" s="34"/>
      <c r="AQ2082" s="34"/>
      <c r="AR2082" s="34"/>
      <c r="AS2082" s="34"/>
      <c r="AT2082" s="34"/>
      <c r="AU2082" s="34"/>
      <c r="AV2082" s="34"/>
      <c r="AW2082" s="34"/>
      <c r="AX2082" s="34"/>
      <c r="AY2082" s="34"/>
      <c r="AZ2082" s="34"/>
      <c r="BA2082" s="34"/>
      <c r="BB2082" s="34"/>
      <c r="BC2082" s="34"/>
      <c r="BD2082" s="34"/>
      <c r="BE2082" s="34"/>
      <c r="BF2082" s="34"/>
      <c r="BG2082" s="34"/>
      <c r="BH2082" s="34"/>
      <c r="BI2082" s="34"/>
      <c r="BJ2082" s="34"/>
      <c r="BK2082" s="34"/>
      <c r="BL2082" s="34"/>
      <c r="BM2082" s="34"/>
      <c r="BN2082" s="34"/>
      <c r="BO2082" s="34"/>
      <c r="BP2082" s="34"/>
      <c r="BQ2082" s="34"/>
      <c r="BR2082" s="34"/>
      <c r="BS2082" s="34"/>
      <c r="BT2082" s="34"/>
      <c r="BU2082" s="34"/>
      <c r="BV2082" s="34"/>
      <c r="BW2082" s="34"/>
      <c r="BX2082" s="34"/>
      <c r="BY2082" s="34"/>
      <c r="BZ2082" s="34"/>
      <c r="CA2082" s="34"/>
      <c r="CB2082" s="34"/>
      <c r="CC2082" s="34"/>
      <c r="CD2082" s="34"/>
      <c r="CE2082" s="34"/>
      <c r="CF2082" s="34"/>
      <c r="CG2082" s="34"/>
      <c r="CH2082" s="34"/>
      <c r="CI2082" s="8"/>
    </row>
    <row r="2083" spans="1:87" x14ac:dyDescent="0.2">
      <c r="A2083" s="8" t="str">
        <f>IF(AND(COUNTIF(W$3:W$13,A$26)&gt;0,A$26&lt;&gt;B2070),A$26,IFERROR(IF(MATCH(A$26,Z$3:Z$13,0)=1,A$26," ")," "))</f>
        <v xml:space="preserve"> </v>
      </c>
      <c r="B2083" s="8" t="str">
        <f>IF(A2083=" "," ",MAX(B2072:B2082)+1)</f>
        <v xml:space="preserve"> </v>
      </c>
      <c r="C2083" s="8"/>
      <c r="D2083" s="8"/>
      <c r="E2083" s="8"/>
      <c r="F2083" s="8"/>
      <c r="G2083" s="8"/>
      <c r="H2083" s="8"/>
      <c r="I2083" s="8"/>
      <c r="J2083" s="8"/>
      <c r="K2083" s="8"/>
      <c r="L2083" s="8"/>
      <c r="M2083" s="8"/>
      <c r="N2083" s="8"/>
      <c r="O2083" s="8"/>
      <c r="P2083" s="8"/>
      <c r="Q2083" s="8"/>
      <c r="R2083" s="8"/>
      <c r="S2083" s="8"/>
      <c r="U2083" s="34"/>
      <c r="V2083" s="34"/>
      <c r="W2083" s="34"/>
      <c r="X2083" s="34"/>
      <c r="Y2083" s="34"/>
      <c r="Z2083" s="34"/>
      <c r="AA2083" s="34"/>
      <c r="AB2083" s="34"/>
      <c r="AC2083" s="34"/>
      <c r="AD2083" s="34"/>
      <c r="AE2083" s="34"/>
      <c r="AF2083" s="34"/>
      <c r="AG2083" s="34"/>
      <c r="AH2083" s="34"/>
      <c r="AI2083" s="34"/>
      <c r="AJ2083" s="34"/>
      <c r="AK2083" s="34"/>
      <c r="AL2083" s="34"/>
      <c r="AM2083" s="34"/>
      <c r="AN2083" s="34"/>
      <c r="AO2083" s="34"/>
      <c r="AP2083" s="34"/>
      <c r="AQ2083" s="34"/>
      <c r="AR2083" s="34"/>
      <c r="AS2083" s="34"/>
      <c r="AT2083" s="34"/>
      <c r="AU2083" s="34"/>
      <c r="AV2083" s="34"/>
      <c r="AW2083" s="34"/>
      <c r="AX2083" s="34"/>
      <c r="AY2083" s="34"/>
      <c r="AZ2083" s="34"/>
      <c r="BA2083" s="34"/>
      <c r="BB2083" s="34"/>
      <c r="BC2083" s="34"/>
      <c r="BD2083" s="34"/>
      <c r="BE2083" s="34"/>
      <c r="BF2083" s="34"/>
      <c r="BG2083" s="34"/>
      <c r="BH2083" s="34"/>
      <c r="BI2083" s="34"/>
      <c r="BJ2083" s="34"/>
      <c r="BK2083" s="34"/>
      <c r="BL2083" s="34"/>
      <c r="BM2083" s="34"/>
      <c r="BN2083" s="34"/>
      <c r="BO2083" s="34"/>
      <c r="BP2083" s="34"/>
      <c r="BQ2083" s="34"/>
      <c r="BR2083" s="34"/>
      <c r="BS2083" s="34"/>
      <c r="BT2083" s="34"/>
      <c r="BU2083" s="34"/>
      <c r="BV2083" s="34"/>
      <c r="BW2083" s="34"/>
      <c r="BX2083" s="34"/>
      <c r="BY2083" s="34"/>
      <c r="BZ2083" s="34"/>
      <c r="CA2083" s="34"/>
      <c r="CB2083" s="34"/>
      <c r="CC2083" s="34"/>
      <c r="CD2083" s="34"/>
      <c r="CE2083" s="34"/>
      <c r="CF2083" s="34"/>
      <c r="CG2083" s="34"/>
      <c r="CH2083" s="34"/>
      <c r="CI2083" s="8"/>
    </row>
    <row r="2084" spans="1:87" x14ac:dyDescent="0.2">
      <c r="A2084" s="8" t="str">
        <f>IF(AND(COUNTIF(W$3:W$13,A$27)&gt;0,A$27&lt;&gt;B2070),A$27,IFERROR(IF(MATCH(A$27,Z$3:Z$13,0)=1,A$27," ")," "))</f>
        <v>C13</v>
      </c>
      <c r="B2084" s="8">
        <f>IF(A2084=" "," ",MAX(B2072:B2083)+1)</f>
        <v>4</v>
      </c>
      <c r="C2084" s="8"/>
      <c r="D2084" s="8"/>
      <c r="E2084" s="8"/>
      <c r="F2084" s="8"/>
      <c r="G2084" s="8"/>
      <c r="H2084" s="8"/>
      <c r="I2084" s="8"/>
      <c r="J2084" s="8"/>
      <c r="K2084" s="8"/>
      <c r="L2084" s="8"/>
      <c r="M2084" s="8"/>
      <c r="N2084" s="8"/>
      <c r="O2084" s="8"/>
      <c r="P2084" s="6"/>
      <c r="Q2084" s="8"/>
      <c r="R2084" s="8"/>
      <c r="S2084" s="8"/>
      <c r="U2084" s="34"/>
      <c r="V2084" s="34"/>
      <c r="W2084" s="34"/>
      <c r="X2084" s="34"/>
      <c r="Y2084" s="34"/>
      <c r="Z2084" s="34"/>
      <c r="AA2084" s="34"/>
      <c r="AB2084" s="34"/>
      <c r="AC2084" s="34"/>
      <c r="AD2084" s="34"/>
      <c r="AE2084" s="34"/>
      <c r="AF2084" s="34"/>
      <c r="AG2084" s="34"/>
      <c r="AH2084" s="34"/>
      <c r="AI2084" s="34"/>
      <c r="AJ2084" s="34"/>
      <c r="AK2084" s="34"/>
      <c r="AL2084" s="34"/>
      <c r="AM2084" s="34"/>
      <c r="AN2084" s="34"/>
      <c r="AO2084" s="34"/>
      <c r="AP2084" s="34"/>
      <c r="AQ2084" s="34"/>
      <c r="AR2084" s="34"/>
      <c r="AS2084" s="34"/>
      <c r="AT2084" s="34"/>
      <c r="AU2084" s="34"/>
      <c r="AV2084" s="34"/>
      <c r="AW2084" s="34"/>
      <c r="AX2084" s="34"/>
      <c r="AY2084" s="34"/>
      <c r="AZ2084" s="34"/>
      <c r="BA2084" s="34"/>
      <c r="BB2084" s="34"/>
      <c r="BC2084" s="34"/>
      <c r="BD2084" s="34"/>
      <c r="BE2084" s="34"/>
      <c r="BF2084" s="34"/>
      <c r="BG2084" s="34"/>
      <c r="BH2084" s="34"/>
      <c r="BI2084" s="34"/>
      <c r="BJ2084" s="34"/>
      <c r="BK2084" s="34"/>
      <c r="BL2084" s="34"/>
      <c r="BM2084" s="34"/>
      <c r="BN2084" s="34"/>
      <c r="BO2084" s="34"/>
      <c r="BP2084" s="34"/>
      <c r="BQ2084" s="34"/>
      <c r="BR2084" s="34"/>
      <c r="BS2084" s="34"/>
      <c r="BT2084" s="34"/>
      <c r="BU2084" s="34"/>
      <c r="BV2084" s="34"/>
      <c r="BW2084" s="34"/>
      <c r="BX2084" s="34"/>
      <c r="BY2084" s="34"/>
      <c r="BZ2084" s="34"/>
      <c r="CA2084" s="34"/>
      <c r="CB2084" s="34"/>
      <c r="CC2084" s="34"/>
      <c r="CD2084" s="34"/>
      <c r="CE2084" s="34"/>
      <c r="CF2084" s="34"/>
      <c r="CG2084" s="34"/>
      <c r="CH2084" s="34"/>
      <c r="CI2084" s="8"/>
    </row>
    <row r="2085" spans="1:87" x14ac:dyDescent="0.2">
      <c r="A2085" s="8" t="str">
        <f>IF(AND(COUNTIF(W$3:W$13,A$28)&gt;0,A$28&lt;&gt;B2070),A$28,IFERROR(IF(MATCH(A$28,Z$3:Z$13,0)=1,A$28," ")," "))</f>
        <v xml:space="preserve"> </v>
      </c>
      <c r="B2085" s="8" t="str">
        <f>IF(A2085=" "," ",MAX(B2072:B2084)+1)</f>
        <v xml:space="preserve"> </v>
      </c>
      <c r="C2085" s="8"/>
      <c r="D2085" s="8"/>
      <c r="E2085" s="8"/>
      <c r="F2085" s="8"/>
      <c r="G2085" s="8"/>
      <c r="H2085" s="8"/>
      <c r="I2085" s="8"/>
      <c r="J2085" s="8"/>
      <c r="K2085" s="8"/>
      <c r="L2085" s="8"/>
      <c r="M2085" s="8"/>
      <c r="N2085" s="8"/>
      <c r="O2085" s="8"/>
      <c r="P2085" s="8"/>
      <c r="Q2085" s="8"/>
      <c r="R2085" s="8"/>
      <c r="S2085" s="8"/>
      <c r="U2085" s="34"/>
      <c r="V2085" s="34"/>
      <c r="W2085" s="34"/>
      <c r="X2085" s="34"/>
      <c r="Y2085" s="34"/>
      <c r="Z2085" s="34"/>
      <c r="AA2085" s="34"/>
      <c r="AB2085" s="34"/>
      <c r="AC2085" s="34"/>
      <c r="AD2085" s="34"/>
      <c r="AE2085" s="34"/>
      <c r="AF2085" s="34"/>
      <c r="AG2085" s="34"/>
      <c r="AH2085" s="34"/>
      <c r="AI2085" s="34"/>
      <c r="AJ2085" s="34"/>
      <c r="AK2085" s="34"/>
      <c r="AL2085" s="34"/>
      <c r="AM2085" s="34"/>
      <c r="AN2085" s="34"/>
      <c r="AO2085" s="34"/>
      <c r="AP2085" s="34"/>
      <c r="AQ2085" s="34"/>
      <c r="AR2085" s="34"/>
      <c r="AS2085" s="34"/>
      <c r="AT2085" s="34"/>
      <c r="AU2085" s="34"/>
      <c r="AV2085" s="34"/>
      <c r="AW2085" s="34"/>
      <c r="AX2085" s="34"/>
      <c r="AY2085" s="34"/>
      <c r="AZ2085" s="34"/>
      <c r="BA2085" s="34"/>
      <c r="BB2085" s="34"/>
      <c r="BC2085" s="34"/>
      <c r="BD2085" s="34"/>
      <c r="BE2085" s="34"/>
      <c r="BF2085" s="34"/>
      <c r="BG2085" s="34"/>
      <c r="BH2085" s="34"/>
      <c r="BI2085" s="34"/>
      <c r="BJ2085" s="34"/>
      <c r="BK2085" s="34"/>
      <c r="BL2085" s="34"/>
      <c r="BM2085" s="34"/>
      <c r="BN2085" s="34"/>
      <c r="BO2085" s="34"/>
      <c r="BP2085" s="34"/>
      <c r="BQ2085" s="34"/>
      <c r="BR2085" s="34"/>
      <c r="BS2085" s="34"/>
      <c r="BT2085" s="34"/>
      <c r="BU2085" s="34"/>
      <c r="BV2085" s="34"/>
      <c r="BW2085" s="34"/>
      <c r="BX2085" s="34"/>
      <c r="BY2085" s="34"/>
      <c r="BZ2085" s="34"/>
      <c r="CA2085" s="34"/>
      <c r="CB2085" s="34"/>
      <c r="CC2085" s="34"/>
      <c r="CD2085" s="34"/>
      <c r="CE2085" s="34"/>
      <c r="CF2085" s="34"/>
      <c r="CG2085" s="34"/>
      <c r="CH2085" s="34"/>
      <c r="CI2085" s="8"/>
    </row>
    <row r="2086" spans="1:87" x14ac:dyDescent="0.2">
      <c r="A2086" s="8" t="str">
        <f>IF(AND(COUNTIF(W$3:W$13,A$29)&gt;0,A$29&lt;&gt;B2070),A$29,IFERROR(IF(MATCH(A$29,Z$3:Z$13,0)=1,A$29," ")," "))</f>
        <v>C15</v>
      </c>
      <c r="B2086" s="8">
        <f>IF(A2086=" "," ",MAX(B2072:B2085)+1)</f>
        <v>5</v>
      </c>
      <c r="C2086" s="8"/>
      <c r="D2086" s="8"/>
      <c r="E2086" s="8"/>
      <c r="F2086" s="8"/>
      <c r="G2086" s="8"/>
      <c r="H2086" s="8"/>
      <c r="I2086" s="8"/>
      <c r="J2086" s="8"/>
      <c r="K2086" s="8"/>
      <c r="L2086" s="8"/>
      <c r="M2086" s="8"/>
      <c r="N2086" s="8"/>
      <c r="O2086" s="8"/>
      <c r="P2086" s="8"/>
      <c r="Q2086" s="8"/>
      <c r="R2086" s="8"/>
      <c r="S2086" s="8"/>
      <c r="U2086" s="34"/>
      <c r="V2086" s="34"/>
      <c r="W2086" s="34"/>
      <c r="X2086" s="34"/>
      <c r="Y2086" s="34"/>
      <c r="Z2086" s="34"/>
      <c r="AA2086" s="34"/>
      <c r="AB2086" s="34"/>
      <c r="AC2086" s="34"/>
      <c r="AD2086" s="34"/>
      <c r="AE2086" s="34"/>
      <c r="AF2086" s="34"/>
      <c r="AG2086" s="34"/>
      <c r="AH2086" s="34"/>
      <c r="AI2086" s="34"/>
      <c r="AJ2086" s="34"/>
      <c r="AK2086" s="34"/>
      <c r="AL2086" s="34"/>
      <c r="AM2086" s="34"/>
      <c r="AN2086" s="34"/>
      <c r="AO2086" s="34"/>
      <c r="AP2086" s="34"/>
      <c r="AQ2086" s="34"/>
      <c r="AR2086" s="34"/>
      <c r="AS2086" s="34"/>
      <c r="AT2086" s="34"/>
      <c r="AU2086" s="34"/>
      <c r="AV2086" s="34"/>
      <c r="AW2086" s="34"/>
      <c r="AX2086" s="34"/>
      <c r="AY2086" s="34"/>
      <c r="AZ2086" s="34"/>
      <c r="BA2086" s="34"/>
      <c r="BB2086" s="34"/>
      <c r="BC2086" s="34"/>
      <c r="BD2086" s="34"/>
      <c r="BE2086" s="34"/>
      <c r="BF2086" s="34"/>
      <c r="BG2086" s="34"/>
      <c r="BH2086" s="34"/>
      <c r="BI2086" s="34"/>
      <c r="BJ2086" s="34"/>
      <c r="BK2086" s="34"/>
      <c r="BL2086" s="34"/>
      <c r="BM2086" s="34"/>
      <c r="BN2086" s="34"/>
      <c r="BO2086" s="34"/>
      <c r="BP2086" s="34"/>
      <c r="BQ2086" s="34"/>
      <c r="BR2086" s="34"/>
      <c r="BS2086" s="34"/>
      <c r="BT2086" s="34"/>
      <c r="BU2086" s="34"/>
      <c r="BV2086" s="34"/>
      <c r="BW2086" s="34"/>
      <c r="BX2086" s="34"/>
      <c r="BY2086" s="34"/>
      <c r="BZ2086" s="34"/>
      <c r="CA2086" s="34"/>
      <c r="CB2086" s="34"/>
      <c r="CC2086" s="34"/>
      <c r="CD2086" s="34"/>
      <c r="CE2086" s="34"/>
      <c r="CF2086" s="34"/>
      <c r="CG2086" s="34"/>
      <c r="CH2086" s="34"/>
      <c r="CI2086" s="8"/>
    </row>
    <row r="2087" spans="1:87" x14ac:dyDescent="0.2">
      <c r="A2087" s="8" t="str">
        <f>IF(AND(COUNTIF(W$3:W$13,A$30)&gt;0,A$30&lt;&gt;B2070),A$30,IFERROR(IF(MATCH(A$30,Z$3:Z$13,0)=1,A$30," ")," "))</f>
        <v>C16</v>
      </c>
      <c r="B2087" s="8">
        <f>IF(A2087=" "," ",MAX(B2072:B2086)+1)</f>
        <v>6</v>
      </c>
      <c r="C2087" s="8"/>
      <c r="D2087" s="8"/>
      <c r="E2087" s="8"/>
      <c r="F2087" s="8"/>
      <c r="G2087" s="8"/>
      <c r="H2087" s="8"/>
      <c r="I2087" s="8"/>
      <c r="J2087" s="8"/>
      <c r="K2087" s="8"/>
      <c r="L2087" s="8"/>
      <c r="M2087" s="8"/>
      <c r="N2087" s="8"/>
      <c r="O2087" s="8"/>
      <c r="P2087" s="8"/>
      <c r="Q2087" s="8"/>
      <c r="R2087" s="8"/>
      <c r="S2087" s="8"/>
      <c r="U2087" s="34"/>
      <c r="V2087" s="34"/>
      <c r="W2087" s="34"/>
      <c r="X2087" s="34"/>
      <c r="Y2087" s="34"/>
      <c r="Z2087" s="34"/>
      <c r="AA2087" s="34"/>
      <c r="AB2087" s="34"/>
      <c r="AC2087" s="34"/>
      <c r="AD2087" s="34"/>
      <c r="AE2087" s="34"/>
      <c r="AF2087" s="34"/>
      <c r="AG2087" s="34"/>
      <c r="AH2087" s="34"/>
      <c r="AI2087" s="34"/>
      <c r="AJ2087" s="34"/>
      <c r="AK2087" s="34"/>
      <c r="AL2087" s="34"/>
      <c r="AM2087" s="34"/>
      <c r="AN2087" s="34"/>
      <c r="AO2087" s="34"/>
      <c r="AP2087" s="34"/>
      <c r="AQ2087" s="34"/>
      <c r="AR2087" s="34"/>
      <c r="AS2087" s="34"/>
      <c r="AT2087" s="34"/>
      <c r="AU2087" s="34"/>
      <c r="AV2087" s="34"/>
      <c r="AW2087" s="34"/>
      <c r="AX2087" s="34"/>
      <c r="AY2087" s="34"/>
      <c r="AZ2087" s="34"/>
      <c r="BA2087" s="34"/>
      <c r="BB2087" s="34"/>
      <c r="BC2087" s="34"/>
      <c r="BD2087" s="34"/>
      <c r="BE2087" s="34"/>
      <c r="BF2087" s="34"/>
      <c r="BG2087" s="34"/>
      <c r="BH2087" s="34"/>
      <c r="BI2087" s="34"/>
      <c r="BJ2087" s="34"/>
      <c r="BK2087" s="34"/>
      <c r="BL2087" s="34"/>
      <c r="BM2087" s="34"/>
      <c r="BN2087" s="34"/>
      <c r="BO2087" s="34"/>
      <c r="BP2087" s="34"/>
      <c r="BQ2087" s="34"/>
      <c r="BR2087" s="34"/>
      <c r="BS2087" s="34"/>
      <c r="BT2087" s="34"/>
      <c r="BU2087" s="34"/>
      <c r="BV2087" s="34"/>
      <c r="BW2087" s="34"/>
      <c r="BX2087" s="34"/>
      <c r="BY2087" s="34"/>
      <c r="BZ2087" s="34"/>
      <c r="CA2087" s="34"/>
      <c r="CB2087" s="34"/>
      <c r="CC2087" s="34"/>
      <c r="CD2087" s="34"/>
      <c r="CE2087" s="34"/>
      <c r="CF2087" s="34"/>
      <c r="CG2087" s="34"/>
      <c r="CH2087" s="34"/>
      <c r="CI2087" s="8"/>
    </row>
    <row r="2088" spans="1:87" x14ac:dyDescent="0.2">
      <c r="A2088" s="8" t="str">
        <f>IF(AND(COUNTIF(W$3:W$13,A$31)&gt;0,A$31&lt;&gt;B2070),A$31,IFERROR(IF(MATCH(A$31,Z$3:Z$13,0)=1,A$31," ")," "))</f>
        <v>C17</v>
      </c>
      <c r="B2088" s="8">
        <f>IF(A2088=" "," ",MAX(B2072:B2087)+1)</f>
        <v>7</v>
      </c>
      <c r="C2088" s="8"/>
      <c r="D2088" s="8"/>
      <c r="E2088" s="8"/>
      <c r="F2088" s="8"/>
      <c r="G2088" s="8"/>
      <c r="H2088" s="8"/>
      <c r="I2088" s="8"/>
      <c r="J2088" s="8"/>
      <c r="K2088" s="8"/>
      <c r="L2088" s="8"/>
      <c r="M2088" s="8"/>
      <c r="N2088" s="8"/>
      <c r="O2088" s="8"/>
      <c r="P2088" s="8"/>
      <c r="Q2088" s="8"/>
      <c r="R2088" s="8"/>
      <c r="S2088" s="8"/>
      <c r="U2088" s="34"/>
      <c r="V2088" s="34"/>
      <c r="W2088" s="34"/>
      <c r="X2088" s="34"/>
      <c r="Y2088" s="34"/>
      <c r="Z2088" s="34"/>
      <c r="AA2088" s="34"/>
      <c r="AB2088" s="34"/>
      <c r="AC2088" s="34"/>
      <c r="AD2088" s="34"/>
      <c r="AE2088" s="34"/>
      <c r="AF2088" s="34"/>
      <c r="AG2088" s="34"/>
      <c r="AH2088" s="34"/>
      <c r="AI2088" s="34"/>
      <c r="AJ2088" s="34"/>
      <c r="AK2088" s="34"/>
      <c r="AL2088" s="34"/>
      <c r="AM2088" s="34"/>
      <c r="AN2088" s="34"/>
      <c r="AO2088" s="34"/>
      <c r="AP2088" s="34"/>
      <c r="AQ2088" s="34"/>
      <c r="AR2088" s="34"/>
      <c r="AS2088" s="34"/>
      <c r="AT2088" s="34"/>
      <c r="AU2088" s="34"/>
      <c r="AV2088" s="34"/>
      <c r="AW2088" s="34"/>
      <c r="AX2088" s="34"/>
      <c r="AY2088" s="34"/>
      <c r="AZ2088" s="34"/>
      <c r="BA2088" s="34"/>
      <c r="BB2088" s="34"/>
      <c r="BC2088" s="34"/>
      <c r="BD2088" s="34"/>
      <c r="BE2088" s="34"/>
      <c r="BF2088" s="34"/>
      <c r="BG2088" s="34"/>
      <c r="BH2088" s="34"/>
      <c r="BI2088" s="34"/>
      <c r="BJ2088" s="34"/>
      <c r="BK2088" s="34"/>
      <c r="BL2088" s="34"/>
      <c r="BM2088" s="34"/>
      <c r="BN2088" s="34"/>
      <c r="BO2088" s="34"/>
      <c r="BP2088" s="34"/>
      <c r="BQ2088" s="34"/>
      <c r="BR2088" s="34"/>
      <c r="BS2088" s="34"/>
      <c r="BT2088" s="34"/>
      <c r="BU2088" s="34"/>
      <c r="BV2088" s="34"/>
      <c r="BW2088" s="34"/>
      <c r="BX2088" s="34"/>
      <c r="BY2088" s="34"/>
      <c r="BZ2088" s="34"/>
      <c r="CA2088" s="34"/>
      <c r="CB2088" s="34"/>
      <c r="CC2088" s="34"/>
      <c r="CD2088" s="34"/>
      <c r="CE2088" s="34"/>
      <c r="CF2088" s="34"/>
      <c r="CG2088" s="34"/>
      <c r="CH2088" s="34"/>
      <c r="CI2088" s="8"/>
    </row>
    <row r="2089" spans="1:87" x14ac:dyDescent="0.2">
      <c r="A2089" s="8" t="str">
        <f>IF(AND(COUNTIF(W$3:W$13,A$32)&gt;0,A$32&lt;&gt;B2070),A$32,IFERROR(IF(MATCH(A$32,Z$3:Z$13,0)=1,A$32," ")," "))</f>
        <v>C18</v>
      </c>
      <c r="B2089" s="8">
        <f>IF(A2089=" "," ",MAX(B2072:B2088)+1)</f>
        <v>8</v>
      </c>
      <c r="C2089" s="8"/>
      <c r="D2089" s="8"/>
      <c r="E2089" s="8"/>
      <c r="F2089" s="8"/>
      <c r="G2089" s="8"/>
      <c r="H2089" s="8"/>
      <c r="I2089" s="8"/>
      <c r="J2089" s="8"/>
      <c r="K2089" s="8"/>
      <c r="L2089" s="8"/>
      <c r="M2089" s="8"/>
      <c r="N2089" s="8"/>
      <c r="O2089" s="8"/>
      <c r="P2089" s="8"/>
      <c r="Q2089" s="8"/>
      <c r="R2089" s="8"/>
      <c r="S2089" s="8"/>
      <c r="U2089" s="34"/>
      <c r="V2089" s="34"/>
      <c r="W2089" s="34"/>
      <c r="X2089" s="34"/>
      <c r="Y2089" s="34"/>
      <c r="Z2089" s="34"/>
      <c r="AA2089" s="34"/>
      <c r="AB2089" s="34"/>
      <c r="AC2089" s="34"/>
      <c r="AD2089" s="34"/>
      <c r="AE2089" s="34"/>
      <c r="AF2089" s="34"/>
      <c r="AG2089" s="34"/>
      <c r="AH2089" s="34"/>
      <c r="AI2089" s="34"/>
      <c r="AJ2089" s="34"/>
      <c r="AK2089" s="34"/>
      <c r="AL2089" s="34"/>
      <c r="AM2089" s="34"/>
      <c r="AN2089" s="34"/>
      <c r="AO2089" s="34"/>
      <c r="AP2089" s="34"/>
      <c r="AQ2089" s="34"/>
      <c r="AR2089" s="34"/>
      <c r="AS2089" s="34"/>
      <c r="AT2089" s="34"/>
      <c r="AU2089" s="34"/>
      <c r="AV2089" s="34"/>
      <c r="AW2089" s="34"/>
      <c r="AX2089" s="34"/>
      <c r="AY2089" s="34"/>
      <c r="AZ2089" s="34"/>
      <c r="BA2089" s="34"/>
      <c r="BB2089" s="34"/>
      <c r="BC2089" s="34"/>
      <c r="BD2089" s="34"/>
      <c r="BE2089" s="34"/>
      <c r="BF2089" s="34"/>
      <c r="BG2089" s="34"/>
      <c r="BH2089" s="34"/>
      <c r="BI2089" s="34"/>
      <c r="BJ2089" s="34"/>
      <c r="BK2089" s="34"/>
      <c r="BL2089" s="34"/>
      <c r="BM2089" s="34"/>
      <c r="BN2089" s="34"/>
      <c r="BO2089" s="34"/>
      <c r="BP2089" s="34"/>
      <c r="BQ2089" s="34"/>
      <c r="BR2089" s="34"/>
      <c r="BS2089" s="34"/>
      <c r="BT2089" s="34"/>
      <c r="BU2089" s="34"/>
      <c r="BV2089" s="34"/>
      <c r="BW2089" s="34"/>
      <c r="BX2089" s="34"/>
      <c r="BY2089" s="34"/>
      <c r="BZ2089" s="34"/>
      <c r="CA2089" s="34"/>
      <c r="CB2089" s="34"/>
      <c r="CC2089" s="34"/>
      <c r="CD2089" s="34"/>
      <c r="CE2089" s="34"/>
      <c r="CF2089" s="34"/>
      <c r="CG2089" s="34"/>
      <c r="CH2089" s="34"/>
      <c r="CI2089" s="8"/>
    </row>
    <row r="2090" spans="1:87" x14ac:dyDescent="0.2">
      <c r="A2090" s="8" t="str">
        <f>IF(AND(COUNTIF(W$3:W$13,A$33)&gt;0,A$33&lt;&gt;B2070),A$33,IFERROR(IF(MATCH(A$33,Z$3:Z$13,0)=1,A$33," ")," "))</f>
        <v>C19</v>
      </c>
      <c r="B2090" s="8">
        <f>IF(A2090=" "," ",MAX(B2072:B2089)+1)</f>
        <v>9</v>
      </c>
      <c r="C2090" s="8"/>
      <c r="D2090" s="8"/>
      <c r="E2090" s="8"/>
      <c r="F2090" s="8"/>
      <c r="G2090" s="8"/>
      <c r="H2090" s="8"/>
      <c r="I2090" s="8"/>
      <c r="J2090" s="8"/>
      <c r="K2090" s="8"/>
      <c r="L2090" s="8"/>
      <c r="M2090" s="8"/>
      <c r="N2090" s="8"/>
      <c r="O2090" s="8"/>
      <c r="P2090" s="8"/>
      <c r="Q2090" s="8"/>
      <c r="R2090" s="8"/>
      <c r="S2090" s="8"/>
      <c r="U2090" s="34"/>
      <c r="V2090" s="34"/>
      <c r="W2090" s="34"/>
      <c r="X2090" s="34"/>
      <c r="Y2090" s="34"/>
      <c r="Z2090" s="34"/>
      <c r="AA2090" s="34"/>
      <c r="AB2090" s="34"/>
      <c r="AC2090" s="34"/>
      <c r="AD2090" s="34"/>
      <c r="AE2090" s="34"/>
      <c r="AF2090" s="34"/>
      <c r="AG2090" s="34"/>
      <c r="AH2090" s="34"/>
      <c r="AI2090" s="34"/>
      <c r="AJ2090" s="34"/>
      <c r="AK2090" s="34"/>
      <c r="AL2090" s="34"/>
      <c r="AM2090" s="34"/>
      <c r="AN2090" s="34"/>
      <c r="AO2090" s="34"/>
      <c r="AP2090" s="34"/>
      <c r="AQ2090" s="34"/>
      <c r="AR2090" s="34"/>
      <c r="AS2090" s="34"/>
      <c r="AT2090" s="34"/>
      <c r="AU2090" s="34"/>
      <c r="AV2090" s="34"/>
      <c r="AW2090" s="34"/>
      <c r="AX2090" s="34"/>
      <c r="AY2090" s="34"/>
      <c r="AZ2090" s="34"/>
      <c r="BA2090" s="34"/>
      <c r="BB2090" s="34"/>
      <c r="BC2090" s="34"/>
      <c r="BD2090" s="34"/>
      <c r="BE2090" s="34"/>
      <c r="BF2090" s="34"/>
      <c r="BG2090" s="34"/>
      <c r="BH2090" s="34"/>
      <c r="BI2090" s="34"/>
      <c r="BJ2090" s="34"/>
      <c r="BK2090" s="34"/>
      <c r="BL2090" s="34"/>
      <c r="BM2090" s="34"/>
      <c r="BN2090" s="34"/>
      <c r="BO2090" s="34"/>
      <c r="BP2090" s="34"/>
      <c r="BQ2090" s="34"/>
      <c r="BR2090" s="34"/>
      <c r="BS2090" s="34"/>
      <c r="BT2090" s="34"/>
      <c r="BU2090" s="34"/>
      <c r="BV2090" s="34"/>
      <c r="BW2090" s="34"/>
      <c r="BX2090" s="34"/>
      <c r="BY2090" s="34"/>
      <c r="BZ2090" s="34"/>
      <c r="CA2090" s="34"/>
      <c r="CB2090" s="34"/>
      <c r="CC2090" s="34"/>
      <c r="CD2090" s="34"/>
      <c r="CE2090" s="34"/>
      <c r="CF2090" s="34"/>
      <c r="CG2090" s="34"/>
      <c r="CH2090" s="34"/>
      <c r="CI2090" s="8"/>
    </row>
    <row r="2091" spans="1:87" x14ac:dyDescent="0.2">
      <c r="A2091" s="8" t="str">
        <f>IF(AND(COUNTIF(W$3:W$13,A$34)&gt;0,A$34&lt;&gt;B2070),A$34,IFERROR(IF(MATCH(A$34,Z$3:Z$13,0)=1,A$34," ")," "))</f>
        <v xml:space="preserve"> </v>
      </c>
      <c r="B2091" s="8" t="str">
        <f>IF(A2091=" "," ",MAX(B2072:B2090)+1)</f>
        <v xml:space="preserve"> </v>
      </c>
      <c r="C2091" s="8"/>
      <c r="D2091" s="8"/>
      <c r="E2091" s="8"/>
      <c r="F2091" s="8"/>
      <c r="G2091" s="8"/>
      <c r="H2091" s="8"/>
      <c r="I2091" s="8"/>
      <c r="J2091" s="8"/>
      <c r="K2091" s="8"/>
      <c r="L2091" s="8"/>
      <c r="M2091" s="8"/>
      <c r="N2091" s="8"/>
      <c r="O2091" s="8"/>
      <c r="P2091" s="8"/>
      <c r="Q2091" s="8"/>
      <c r="R2091" s="8"/>
      <c r="S2091" s="8"/>
      <c r="U2091" s="34"/>
      <c r="V2091" s="34"/>
      <c r="W2091" s="34"/>
      <c r="X2091" s="34"/>
      <c r="Y2091" s="34"/>
      <c r="Z2091" s="34"/>
      <c r="AA2091" s="34"/>
      <c r="AB2091" s="34"/>
      <c r="AC2091" s="34"/>
      <c r="AD2091" s="34"/>
      <c r="AE2091" s="34"/>
      <c r="AF2091" s="34"/>
      <c r="AG2091" s="34"/>
      <c r="AH2091" s="34"/>
      <c r="AI2091" s="34"/>
      <c r="AJ2091" s="34"/>
      <c r="AK2091" s="34"/>
      <c r="AL2091" s="34"/>
      <c r="AM2091" s="34"/>
      <c r="AN2091" s="34"/>
      <c r="AO2091" s="34"/>
      <c r="AP2091" s="34"/>
      <c r="AQ2091" s="34"/>
      <c r="AR2091" s="34"/>
      <c r="AS2091" s="34"/>
      <c r="AT2091" s="34"/>
      <c r="AU2091" s="34"/>
      <c r="AV2091" s="34"/>
      <c r="AW2091" s="34"/>
      <c r="AX2091" s="34"/>
      <c r="AY2091" s="34"/>
      <c r="AZ2091" s="34"/>
      <c r="BA2091" s="34"/>
      <c r="BB2091" s="34"/>
      <c r="BC2091" s="34"/>
      <c r="BD2091" s="34"/>
      <c r="BE2091" s="34"/>
      <c r="BF2091" s="34"/>
      <c r="BG2091" s="34"/>
      <c r="BH2091" s="34"/>
      <c r="BI2091" s="34"/>
      <c r="BJ2091" s="34"/>
      <c r="BK2091" s="34"/>
      <c r="BL2091" s="34"/>
      <c r="BM2091" s="34"/>
      <c r="BN2091" s="34"/>
      <c r="BO2091" s="34"/>
      <c r="BP2091" s="34"/>
      <c r="BQ2091" s="34"/>
      <c r="BR2091" s="34"/>
      <c r="BS2091" s="34"/>
      <c r="BT2091" s="34"/>
      <c r="BU2091" s="34"/>
      <c r="BV2091" s="34"/>
      <c r="BW2091" s="34"/>
      <c r="BX2091" s="34"/>
      <c r="BY2091" s="34"/>
      <c r="BZ2091" s="34"/>
      <c r="CA2091" s="34"/>
      <c r="CB2091" s="34"/>
      <c r="CC2091" s="34"/>
      <c r="CD2091" s="34"/>
      <c r="CE2091" s="34"/>
      <c r="CF2091" s="34"/>
      <c r="CG2091" s="34"/>
      <c r="CH2091" s="34"/>
      <c r="CI2091" s="8"/>
    </row>
    <row r="2092" spans="1:87" x14ac:dyDescent="0.2">
      <c r="A2092" s="8" t="str">
        <f>IF(AND(COUNTIF(W$3:W$13,A$35)&gt;0,A$35&lt;&gt;B2070),A$35,IFERROR(IF(MATCH(A$35,Z$3:Z$13,0)=1,A$35," ")," "))</f>
        <v>C21</v>
      </c>
      <c r="B2092" s="8">
        <f>IF(A2092=" "," ",MAX(B2072:B2091)+1)</f>
        <v>10</v>
      </c>
      <c r="C2092" s="8"/>
      <c r="D2092" s="8"/>
      <c r="E2092" s="8"/>
      <c r="F2092" s="8"/>
      <c r="G2092" s="8"/>
      <c r="H2092" s="8"/>
      <c r="I2092" s="8"/>
      <c r="J2092" s="8"/>
      <c r="K2092" s="8"/>
      <c r="L2092" s="8"/>
      <c r="M2092" s="8"/>
      <c r="N2092" s="8"/>
      <c r="O2092" s="8"/>
      <c r="P2092" s="8"/>
      <c r="Q2092" s="8"/>
      <c r="R2092" s="8"/>
      <c r="S2092" s="8"/>
      <c r="U2092" s="34"/>
      <c r="V2092" s="34"/>
      <c r="W2092" s="34"/>
      <c r="X2092" s="34"/>
      <c r="Y2092" s="34"/>
      <c r="Z2092" s="34"/>
      <c r="AA2092" s="34"/>
      <c r="AB2092" s="34"/>
      <c r="AC2092" s="34"/>
      <c r="AD2092" s="34"/>
      <c r="AE2092" s="34"/>
      <c r="AF2092" s="34"/>
      <c r="AG2092" s="34"/>
      <c r="AH2092" s="34"/>
      <c r="AI2092" s="34"/>
      <c r="AJ2092" s="34"/>
      <c r="AK2092" s="34"/>
      <c r="AL2092" s="34"/>
      <c r="AM2092" s="34"/>
      <c r="AN2092" s="34"/>
      <c r="AO2092" s="34"/>
      <c r="AP2092" s="34"/>
      <c r="AQ2092" s="34"/>
      <c r="AR2092" s="34"/>
      <c r="AS2092" s="34"/>
      <c r="AT2092" s="34"/>
      <c r="AU2092" s="34"/>
      <c r="AV2092" s="34"/>
      <c r="AW2092" s="34"/>
      <c r="AX2092" s="34"/>
      <c r="AY2092" s="34"/>
      <c r="AZ2092" s="34"/>
      <c r="BA2092" s="34"/>
      <c r="BB2092" s="34"/>
      <c r="BC2092" s="34"/>
      <c r="BD2092" s="34"/>
      <c r="BE2092" s="34"/>
      <c r="BF2092" s="34"/>
      <c r="BG2092" s="34"/>
      <c r="BH2092" s="34"/>
      <c r="BI2092" s="34"/>
      <c r="BJ2092" s="34"/>
      <c r="BK2092" s="34"/>
      <c r="BL2092" s="34"/>
      <c r="BM2092" s="34"/>
      <c r="BN2092" s="34"/>
      <c r="BO2092" s="34"/>
      <c r="BP2092" s="34"/>
      <c r="BQ2092" s="34"/>
      <c r="BR2092" s="34"/>
      <c r="BS2092" s="34"/>
      <c r="BT2092" s="34"/>
      <c r="BU2092" s="34"/>
      <c r="BV2092" s="34"/>
      <c r="BW2092" s="34"/>
      <c r="BX2092" s="34"/>
      <c r="BY2092" s="34"/>
      <c r="BZ2092" s="34"/>
      <c r="CA2092" s="34"/>
      <c r="CB2092" s="34"/>
      <c r="CC2092" s="34"/>
      <c r="CD2092" s="34"/>
      <c r="CE2092" s="34"/>
      <c r="CF2092" s="34"/>
      <c r="CG2092" s="34"/>
      <c r="CH2092" s="34"/>
      <c r="CI2092" s="8"/>
    </row>
    <row r="2093" spans="1:87" x14ac:dyDescent="0.2">
      <c r="A2093" s="8" t="str">
        <f>IF(AND(COUNTIF(W$3:W$13,A$36)&gt;0,A$36&lt;&gt;B2070),A$36,IFERROR(IF(MATCH(A$36,Z$3:Z$13,0)=1,A$36," ")," "))</f>
        <v>C22</v>
      </c>
      <c r="B2093" s="8">
        <f>IF(A2093=" "," ",MAX(B2072:B2092)+1)</f>
        <v>11</v>
      </c>
      <c r="C2093" s="8"/>
      <c r="D2093" s="8"/>
      <c r="E2093" s="8"/>
      <c r="F2093" s="8"/>
      <c r="G2093" s="8"/>
      <c r="H2093" s="8"/>
      <c r="I2093" s="8"/>
      <c r="J2093" s="8"/>
      <c r="K2093" s="8"/>
      <c r="L2093" s="8"/>
      <c r="M2093" s="8"/>
      <c r="N2093" s="8"/>
      <c r="O2093" s="8"/>
      <c r="P2093" s="8"/>
      <c r="Q2093" s="8"/>
      <c r="R2093" s="8"/>
      <c r="S2093" s="8"/>
      <c r="U2093" s="34"/>
      <c r="V2093" s="34"/>
      <c r="W2093" s="34"/>
      <c r="X2093" s="34"/>
      <c r="Y2093" s="34"/>
      <c r="Z2093" s="34"/>
      <c r="AA2093" s="34"/>
      <c r="AB2093" s="34"/>
      <c r="AC2093" s="34"/>
      <c r="AD2093" s="34"/>
      <c r="AE2093" s="34"/>
      <c r="AF2093" s="34"/>
      <c r="AG2093" s="34"/>
      <c r="AH2093" s="34"/>
      <c r="AI2093" s="34"/>
      <c r="AJ2093" s="34"/>
      <c r="AK2093" s="34"/>
      <c r="AL2093" s="34"/>
      <c r="AM2093" s="34"/>
      <c r="AN2093" s="34"/>
      <c r="AO2093" s="34"/>
      <c r="AP2093" s="34"/>
      <c r="AQ2093" s="34"/>
      <c r="AR2093" s="34"/>
      <c r="AS2093" s="34"/>
      <c r="AT2093" s="34"/>
      <c r="AU2093" s="34"/>
      <c r="AV2093" s="34"/>
      <c r="AW2093" s="34"/>
      <c r="AX2093" s="34"/>
      <c r="AY2093" s="34"/>
      <c r="AZ2093" s="34"/>
      <c r="BA2093" s="34"/>
      <c r="BB2093" s="34"/>
      <c r="BC2093" s="34"/>
      <c r="BD2093" s="34"/>
      <c r="BE2093" s="34"/>
      <c r="BF2093" s="34"/>
      <c r="BG2093" s="34"/>
      <c r="BH2093" s="34"/>
      <c r="BI2093" s="34"/>
      <c r="BJ2093" s="34"/>
      <c r="BK2093" s="34"/>
      <c r="BL2093" s="34"/>
      <c r="BM2093" s="34"/>
      <c r="BN2093" s="34"/>
      <c r="BO2093" s="34"/>
      <c r="BP2093" s="34"/>
      <c r="BQ2093" s="34"/>
      <c r="BR2093" s="34"/>
      <c r="BS2093" s="34"/>
      <c r="BT2093" s="34"/>
      <c r="BU2093" s="34"/>
      <c r="BV2093" s="34"/>
      <c r="BW2093" s="34"/>
      <c r="BX2093" s="34"/>
      <c r="BY2093" s="34"/>
      <c r="BZ2093" s="34"/>
      <c r="CA2093" s="34"/>
      <c r="CB2093" s="34"/>
      <c r="CC2093" s="34"/>
      <c r="CD2093" s="34"/>
      <c r="CE2093" s="34"/>
      <c r="CF2093" s="34"/>
      <c r="CG2093" s="34"/>
      <c r="CH2093" s="34"/>
      <c r="CI2093" s="8"/>
    </row>
    <row r="2094" spans="1:87" x14ac:dyDescent="0.2">
      <c r="A2094" s="11" t="s">
        <v>17</v>
      </c>
      <c r="B2094" s="11"/>
      <c r="C2094" s="27" t="s">
        <v>18</v>
      </c>
      <c r="D2094" s="27" t="s">
        <v>2</v>
      </c>
      <c r="E2094" s="27" t="s">
        <v>6</v>
      </c>
      <c r="F2094" s="27" t="s">
        <v>15</v>
      </c>
      <c r="G2094" s="27" t="s">
        <v>36</v>
      </c>
      <c r="H2094" s="27" t="s">
        <v>37</v>
      </c>
      <c r="I2094" s="27" t="s">
        <v>38</v>
      </c>
      <c r="J2094" s="27" t="s">
        <v>39</v>
      </c>
      <c r="K2094" s="27" t="s">
        <v>40</v>
      </c>
      <c r="L2094" s="27" t="s">
        <v>41</v>
      </c>
      <c r="M2094" s="27" t="s">
        <v>42</v>
      </c>
      <c r="N2094" s="27" t="s">
        <v>43</v>
      </c>
      <c r="O2094" s="27" t="s">
        <v>9</v>
      </c>
      <c r="P2094" s="27" t="s">
        <v>12</v>
      </c>
      <c r="Q2094" s="27" t="s">
        <v>19</v>
      </c>
      <c r="R2094" s="27" t="s">
        <v>55</v>
      </c>
      <c r="S2094" s="27" t="s">
        <v>26</v>
      </c>
      <c r="T2094" s="19" t="s">
        <v>25</v>
      </c>
      <c r="U2094" s="33" t="s">
        <v>27</v>
      </c>
      <c r="V2094" s="33" t="s">
        <v>9</v>
      </c>
      <c r="W2094" s="33" t="s">
        <v>23</v>
      </c>
      <c r="X2094" s="33" t="s">
        <v>12</v>
      </c>
      <c r="Y2094" s="33" t="s">
        <v>26</v>
      </c>
      <c r="Z2094" s="33" t="s">
        <v>25</v>
      </c>
      <c r="AA2094" s="33" t="s">
        <v>27</v>
      </c>
      <c r="AB2094" s="33" t="s">
        <v>9</v>
      </c>
      <c r="AC2094" s="33" t="s">
        <v>23</v>
      </c>
      <c r="AD2094" s="33" t="s">
        <v>12</v>
      </c>
      <c r="AE2094" s="33" t="s">
        <v>26</v>
      </c>
      <c r="AF2094" s="33" t="s">
        <v>25</v>
      </c>
      <c r="AG2094" s="33" t="s">
        <v>27</v>
      </c>
      <c r="AH2094" s="33" t="s">
        <v>9</v>
      </c>
      <c r="AI2094" s="33" t="s">
        <v>23</v>
      </c>
      <c r="AJ2094" s="33" t="s">
        <v>12</v>
      </c>
      <c r="AK2094" s="33" t="s">
        <v>26</v>
      </c>
      <c r="AL2094" s="33" t="s">
        <v>25</v>
      </c>
      <c r="AM2094" s="33" t="s">
        <v>27</v>
      </c>
      <c r="AN2094" s="33" t="s">
        <v>9</v>
      </c>
      <c r="AO2094" s="33" t="s">
        <v>23</v>
      </c>
      <c r="AP2094" s="33" t="s">
        <v>12</v>
      </c>
      <c r="AQ2094" s="33" t="s">
        <v>26</v>
      </c>
      <c r="AR2094" s="33" t="s">
        <v>25</v>
      </c>
      <c r="AS2094" s="33" t="s">
        <v>27</v>
      </c>
      <c r="AT2094" s="33" t="s">
        <v>9</v>
      </c>
      <c r="AU2094" s="33" t="s">
        <v>23</v>
      </c>
      <c r="AV2094" s="33" t="s">
        <v>12</v>
      </c>
      <c r="AW2094" s="33" t="s">
        <v>26</v>
      </c>
      <c r="AX2094" s="33" t="s">
        <v>25</v>
      </c>
      <c r="AY2094" s="33" t="s">
        <v>27</v>
      </c>
      <c r="AZ2094" s="33" t="s">
        <v>9</v>
      </c>
      <c r="BA2094" s="33" t="s">
        <v>23</v>
      </c>
      <c r="BB2094" s="33" t="s">
        <v>12</v>
      </c>
      <c r="BC2094" s="33" t="s">
        <v>26</v>
      </c>
      <c r="BD2094" s="33" t="s">
        <v>25</v>
      </c>
      <c r="BE2094" s="33" t="s">
        <v>27</v>
      </c>
      <c r="BF2094" s="33" t="s">
        <v>9</v>
      </c>
      <c r="BG2094" s="33" t="s">
        <v>23</v>
      </c>
      <c r="BH2094" s="33" t="s">
        <v>12</v>
      </c>
      <c r="BI2094" s="33" t="s">
        <v>26</v>
      </c>
      <c r="BJ2094" s="33" t="s">
        <v>25</v>
      </c>
      <c r="BK2094" s="33" t="s">
        <v>27</v>
      </c>
      <c r="BL2094" s="33" t="s">
        <v>9</v>
      </c>
      <c r="BM2094" s="33" t="s">
        <v>23</v>
      </c>
      <c r="BN2094" s="33" t="s">
        <v>12</v>
      </c>
      <c r="BO2094" s="33" t="s">
        <v>26</v>
      </c>
      <c r="BP2094" s="33" t="s">
        <v>25</v>
      </c>
      <c r="BQ2094" s="33" t="s">
        <v>27</v>
      </c>
      <c r="BR2094" s="33" t="s">
        <v>9</v>
      </c>
      <c r="BS2094" s="33" t="s">
        <v>23</v>
      </c>
      <c r="BT2094" s="33" t="s">
        <v>12</v>
      </c>
      <c r="BU2094" s="33" t="s">
        <v>26</v>
      </c>
      <c r="BV2094" s="33" t="s">
        <v>25</v>
      </c>
      <c r="BW2094" s="33" t="s">
        <v>27</v>
      </c>
      <c r="BX2094" s="33" t="s">
        <v>9</v>
      </c>
      <c r="BY2094" s="33" t="s">
        <v>23</v>
      </c>
      <c r="BZ2094" s="33" t="s">
        <v>12</v>
      </c>
      <c r="CA2094" s="33" t="s">
        <v>26</v>
      </c>
      <c r="CB2094" s="33" t="s">
        <v>25</v>
      </c>
      <c r="CC2094" s="33" t="s">
        <v>27</v>
      </c>
      <c r="CD2094" s="33" t="s">
        <v>9</v>
      </c>
      <c r="CE2094" s="33" t="s">
        <v>23</v>
      </c>
      <c r="CF2094" s="33" t="s">
        <v>12</v>
      </c>
      <c r="CG2094" s="33" t="s">
        <v>26</v>
      </c>
      <c r="CH2094" s="33" t="s">
        <v>25</v>
      </c>
      <c r="CI2094" s="8"/>
    </row>
    <row r="2095" spans="1:87" x14ac:dyDescent="0.2">
      <c r="A2095" s="8" t="str">
        <f>IF(AND(COUNTIF(W$3:W$13,A$15)&gt;0,A$15&lt;&gt;B2070),A$15,IFERROR(IF(MATCH(A$15,Z$3:Z$13,0)=2,A$15," ")," "))</f>
        <v xml:space="preserve"> </v>
      </c>
      <c r="B2095" s="8" t="str">
        <f>IF(A2095=" "," ",1)</f>
        <v xml:space="preserve"> </v>
      </c>
      <c r="C2095" s="8" t="str">
        <f>IFERROR(INDEX(A2095:A2116,MATCH(SMALL(B2095:B2116,1),B2095:B2116,0),1)," ")</f>
        <v>C2</v>
      </c>
      <c r="D2095" s="8">
        <f>IFERROR(VLOOKUP($C2095,$A$15:$O$36,2,FALSE)," ")</f>
        <v>1</v>
      </c>
      <c r="E2095" s="8">
        <f>IFERROR(VLOOKUP($C2095,$A$15:$O$36,3,FALSE)," ")</f>
        <v>3</v>
      </c>
      <c r="F2095" s="8">
        <f>IFERROR(VLOOKUP($C2095,$A$15:$O$36,4,FALSE)," ")</f>
        <v>2</v>
      </c>
      <c r="G2095" s="8">
        <f>IFERROR(VLOOKUP($C2095,$A$15:$O$36,5,FALSE)," ")</f>
        <v>0</v>
      </c>
      <c r="H2095" s="8">
        <f>IFERROR(VLOOKUP($C2095,$A$15:$O$36,6,FALSE)," ")</f>
        <v>0</v>
      </c>
      <c r="I2095" s="8">
        <f>IFERROR(VLOOKUP($C2095,$A$15:$O$36,7,FALSE)," ")</f>
        <v>0</v>
      </c>
      <c r="J2095" s="8">
        <f>IFERROR(VLOOKUP($C2095,$A$15:$O$36,8,FALSE)," ")</f>
        <v>0</v>
      </c>
      <c r="K2095" s="8">
        <f>IFERROR(VLOOKUP($C2095,$A$15:$O$36,9,FALSE)," ")</f>
        <v>0</v>
      </c>
      <c r="L2095" s="8">
        <f>IFERROR(VLOOKUP($C2095,$A$15:$O$36,10,FALSE)," ")</f>
        <v>0</v>
      </c>
      <c r="M2095" s="8">
        <f>IFERROR(VLOOKUP($C2095,$A$15:$O$36,11,FALSE)," ")</f>
        <v>0</v>
      </c>
      <c r="N2095" s="8">
        <f>IFERROR(VLOOKUP($C2095,$A$15:$O$36,12,FALSE)," ")</f>
        <v>0</v>
      </c>
      <c r="O2095" s="8">
        <f>IFERROR(VLOOKUP($C2095,$A$15:$O$36,15,FALSE)," ")</f>
        <v>1000</v>
      </c>
      <c r="P2095" s="8" t="e">
        <f t="array" ref="P2095:P2105">MMULT(MINVERSE(D2095:N2105),O2095:O2105)</f>
        <v>#NUM!</v>
      </c>
      <c r="Q2095" s="8" t="e">
        <f t="shared" ref="Q2095" si="9085">IF(COUNTIF(P2095:P2105,"&lt;"&amp;-0.001)=0,IF(ABS(P2095)&lt;0.001,0,P2095)," ")</f>
        <v>#NUM!</v>
      </c>
      <c r="R2095" s="8" t="str">
        <f>IFERROR(VLOOKUP(B2070,A$15:L$36,2,FALSE)*Q2095+VLOOKUP(B2070,A$15:L$36,3,FALSE)*Q2096+VLOOKUP(B2070,A$15:L$36,4,FALSE)*Q2097+VLOOKUP(B2070,A$15:L$36,5,FALSE)*Q2098+VLOOKUP(B2070,A$15:L$36,6,FALSE)*Q2099+VLOOKUP(B2070,A$15:L$36,7,FALSE)*Q2100+VLOOKUP(B2070,A$15:L$36,8,FALSE)*Q2101+VLOOKUP(B2070,A$15:L$36,9,FALSE)*Q2102+VLOOKUP(B2070,A$15:L$36,10,FALSE)*Q2103+VLOOKUP(B2070,A$15:L$36,11,FALSE)*Q2104+VLOOKUP(B2070,A$15:L$36,12,FALSE)*Q2105," ")</f>
        <v xml:space="preserve"> </v>
      </c>
      <c r="S2095" s="8" t="str">
        <f>IFERROR(IF(R2095-VLOOKUP(B2070,A$15:O$36,15,FALSE)&lt;0,R2095-VLOOKUP(B2070,A$15:O$36,15,FALSE)," ")," ")</f>
        <v xml:space="preserve"> </v>
      </c>
      <c r="T2095" s="18" t="str">
        <f>IFERROR(IF(R2095-VLOOKUP(B2070,A$15:O$36,15,FALSE)&gt;0,R2095-VLOOKUP(B2070,A$15:O$36,15,FALSE)," ")," ")</f>
        <v xml:space="preserve"> </v>
      </c>
      <c r="U2095" s="34">
        <f t="shared" ref="U2095" si="9086">$M$2</f>
        <v>100.00000000000001</v>
      </c>
      <c r="V2095" s="34">
        <v>-1</v>
      </c>
      <c r="W2095" s="34">
        <f t="shared" ref="W2095" si="9087">-SUMPRODUCT($M$3:$M$12,$N$3:$N$12)</f>
        <v>-105000</v>
      </c>
      <c r="X2095" s="34" t="e">
        <f t="shared" ref="X2095" si="9088">IF(U2095&lt;&gt;U2096,MMULT(MINVERSE(U2095:V2096),W2095:W2096)," ")</f>
        <v>#NUM!</v>
      </c>
      <c r="Y2095" s="34" t="str">
        <f t="shared" ref="Y2095" si="9089">IFERROR(IF(X2095-VLOOKUP(U$38,$A$2:$N$12,14,FALSE)&lt;0,X2095-VLOOKUP(U$38,$A$2:$N$12,14,FALSE)," ")," ")</f>
        <v xml:space="preserve"> </v>
      </c>
      <c r="Z2095" s="34" t="str">
        <f t="shared" ref="Z2095" si="9090">IFERROR(IF(X2095-VLOOKUP(U$38,$A$2:$N$12,14,FALSE)&gt;0,X2095-VLOOKUP(U$38,$A$2:$N$12,14,FALSE)," ")," ")</f>
        <v xml:space="preserve"> </v>
      </c>
      <c r="AA2095" s="34">
        <f t="shared" ref="AA2095" si="9091">$M$3</f>
        <v>0</v>
      </c>
      <c r="AB2095" s="34">
        <v>-1</v>
      </c>
      <c r="AC2095" s="34">
        <f t="shared" ref="AC2095" si="9092">-SUMPRODUCT($M$2:$M$2,$N$2:$N$2)-SUMPRODUCT($M$4:$M$12,$N$4:$N$12)</f>
        <v>-120000</v>
      </c>
      <c r="AD2095" s="34" t="e">
        <f t="shared" ref="AD2095" si="9093">IF(AA2095&lt;&gt;AA2096,MMULT(MINVERSE(AA2095:AB2096),AC2095:AC2096)," ")</f>
        <v>#NUM!</v>
      </c>
      <c r="AE2095" s="34" t="str">
        <f t="shared" ref="AE2095" si="9094">IFERROR(IF(AD2095-VLOOKUP(AA$38,$A$2:$N$12,14,FALSE)&lt;0,AD2095-VLOOKUP(AA$38,$A$2:$N$12,14,FALSE)," ")," ")</f>
        <v xml:space="preserve"> </v>
      </c>
      <c r="AF2095" s="34" t="str">
        <f t="shared" ref="AF2095" si="9095">IFERROR(IF(AD2095-VLOOKUP(AA$38,$A$2:$N$12,14,FALSE)&gt;0,AD2095-VLOOKUP(AA$38,$A$2:$N$12,14,FALSE)," ")," ")</f>
        <v xml:space="preserve"> </v>
      </c>
      <c r="AG2095" s="34">
        <f t="shared" ref="AG2095" si="9096">$M$4</f>
        <v>300</v>
      </c>
      <c r="AH2095" s="34">
        <v>-1</v>
      </c>
      <c r="AI2095" s="34">
        <f t="shared" ref="AI2095" si="9097">-SUMPRODUCT($M$2:$M$3,$N$2:$N$3)-SUMPRODUCT($M$5:$M$12,$N$5:$N$12)</f>
        <v>-15000.000000000002</v>
      </c>
      <c r="AJ2095" s="34" t="e">
        <f t="shared" ref="AJ2095" si="9098">IF(AG2095&lt;&gt;AG2096,MMULT(MINVERSE(AG2095:AH2096),AI2095:AI2096)," ")</f>
        <v>#NUM!</v>
      </c>
      <c r="AK2095" s="34" t="str">
        <f t="shared" ref="AK2095" si="9099">IFERROR(IF(AJ2095-VLOOKUP(AG$38,$A$2:$N$12,14,FALSE)&lt;0,AJ2095-VLOOKUP(AG$38,$A$2:$N$12,14,FALSE)," ")," ")</f>
        <v xml:space="preserve"> </v>
      </c>
      <c r="AL2095" s="34" t="str">
        <f t="shared" ref="AL2095" si="9100">IFERROR(IF(AJ2095-VLOOKUP(AG$38,$A$2:$N$12,14,FALSE)&gt;0,AJ2095-VLOOKUP(AG$38,$A$2:$N$12,14,FALSE)," ")," ")</f>
        <v xml:space="preserve"> </v>
      </c>
      <c r="AM2095" s="34">
        <f t="shared" ref="AM2095" si="9101">$M$5</f>
        <v>0</v>
      </c>
      <c r="AN2095" s="34">
        <v>-1</v>
      </c>
      <c r="AO2095" s="34">
        <f t="shared" ref="AO2095" si="9102">-SUMPRODUCT($M$2:$M$4,$N$2:$N$4)-SUMPRODUCT($M$6:$M$12,$N$6:$N$12)</f>
        <v>-120000</v>
      </c>
      <c r="AP2095" s="34" t="e">
        <f t="shared" ref="AP2095" si="9103">IF(AM2095&lt;&gt;AM2096,MMULT(MINVERSE(AM2095:AN2096),AO2095:AO2096)," ")</f>
        <v>#NUM!</v>
      </c>
      <c r="AQ2095" s="34" t="str">
        <f t="shared" ref="AQ2095" si="9104">IFERROR(IF(AP2095-VLOOKUP(AM$38,$A$2:$N$12,14,FALSE)&lt;0,AP2095-VLOOKUP(AM$38,$A$2:$N$12,14,FALSE)," ")," ")</f>
        <v xml:space="preserve"> </v>
      </c>
      <c r="AR2095" s="34" t="str">
        <f t="shared" ref="AR2095" si="9105">IFERROR(IF(AP2095-VLOOKUP(AM$38,$A$2:$N$12,14,FALSE)&gt;0,AP2095-VLOOKUP(AM$38,$A$2:$N$12,14,FALSE)," ")," ")</f>
        <v xml:space="preserve"> </v>
      </c>
      <c r="AS2095" s="34">
        <f t="shared" ref="AS2095" si="9106">$M$6</f>
        <v>0</v>
      </c>
      <c r="AT2095" s="34">
        <v>-1</v>
      </c>
      <c r="AU2095" s="34">
        <f t="shared" ref="AU2095" si="9107">-SUMPRODUCT($M$2:$M$5,$N$2:$N$5)-SUMPRODUCT($M$7:$M$12,$N$7:$N$12)</f>
        <v>-120000</v>
      </c>
      <c r="AV2095" s="34" t="e">
        <f t="shared" ref="AV2095" si="9108">IF(AS2095&lt;&gt;AS2096,MMULT(MINVERSE(AS2095:AT2096),AU2095:AU2096)," ")</f>
        <v>#NUM!</v>
      </c>
      <c r="AW2095" s="34" t="str">
        <f t="shared" ref="AW2095" si="9109">IFERROR(IF(AV2095-VLOOKUP(AS$38,$A$2:$N$12,14,FALSE)&lt;0,AV2095-VLOOKUP(AS$38,$A$2:$N$12,14,FALSE)," ")," ")</f>
        <v xml:space="preserve"> </v>
      </c>
      <c r="AX2095" s="34" t="str">
        <f t="shared" ref="AX2095" si="9110">IFERROR(IF(AV2095-VLOOKUP(AS$38,$A$2:$N$12,14,FALSE)&gt;0,AV2095-VLOOKUP(AS$38,$A$2:$N$12,14,FALSE)," ")," ")</f>
        <v xml:space="preserve"> </v>
      </c>
      <c r="AY2095" s="34">
        <f t="shared" ref="AY2095" si="9111">$M$7</f>
        <v>0</v>
      </c>
      <c r="AZ2095" s="34">
        <v>-1</v>
      </c>
      <c r="BA2095" s="34">
        <f t="shared" ref="BA2095" si="9112">-SUMPRODUCT($M$2:$M$6,$N$2:$N$6)-SUMPRODUCT($M$8:$M$12,$N$8:$N$12)</f>
        <v>-120000</v>
      </c>
      <c r="BB2095" s="34" t="e">
        <f t="shared" ref="BB2095" si="9113">IF(AY2095&lt;&gt;AY2096,MMULT(MINVERSE(AY2095:AZ2096),BA2095:BA2096)," ")</f>
        <v>#NUM!</v>
      </c>
      <c r="BC2095" s="34" t="str">
        <f t="shared" ref="BC2095" si="9114">IFERROR(IF(BB2095-VLOOKUP(AY$38,$A$2:$N$12,14,FALSE)&lt;0,BB2095-VLOOKUP(AY$38,$A$2:$N$12,14,FALSE)," ")," ")</f>
        <v xml:space="preserve"> </v>
      </c>
      <c r="BD2095" s="34" t="str">
        <f t="shared" ref="BD2095" si="9115">IFERROR(IF(BB2095-VLOOKUP(AY$38,$A$2:$N$12,14,FALSE)&gt;0,BB2095-VLOOKUP(AY$38,$A$2:$N$12,14,FALSE)," ")," ")</f>
        <v xml:space="preserve"> </v>
      </c>
      <c r="BE2095" s="34">
        <f t="shared" ref="BE2095" si="9116">$M$8</f>
        <v>0</v>
      </c>
      <c r="BF2095" s="34">
        <v>-1</v>
      </c>
      <c r="BG2095" s="34">
        <f t="shared" ref="BG2095" si="9117">-SUMPRODUCT($M$2:$M$7,$N$2:$N$7)-SUMPRODUCT($M$9:$M$12,$N$9:$N$12)</f>
        <v>-120000</v>
      </c>
      <c r="BH2095" s="34" t="e">
        <f t="shared" ref="BH2095" si="9118">IF(BE2095&lt;&gt;BE2096,MMULT(MINVERSE(BE2095:BF2096),BG2095:BG2096)," ")</f>
        <v>#NUM!</v>
      </c>
      <c r="BI2095" s="34" t="str">
        <f t="shared" ref="BI2095" si="9119">IFERROR(IF(BH2095-VLOOKUP(BE$38,$A$2:$N$12,14,FALSE)&lt;0,BH2095-VLOOKUP(BE$38,$A$2:$N$12,14,FALSE)," ")," ")</f>
        <v xml:space="preserve"> </v>
      </c>
      <c r="BJ2095" s="34" t="str">
        <f t="shared" ref="BJ2095" si="9120">IFERROR(IF(BH2095-VLOOKUP(BE$38,$A$2:$N$12,14,FALSE)&gt;0,BH2095-VLOOKUP(BE$38,$A$2:$N$12,14,FALSE)," ")," ")</f>
        <v xml:space="preserve"> </v>
      </c>
      <c r="BK2095" s="34">
        <f t="shared" ref="BK2095" si="9121">$M$9</f>
        <v>0</v>
      </c>
      <c r="BL2095" s="34">
        <v>-1</v>
      </c>
      <c r="BM2095" s="34">
        <f t="shared" ref="BM2095" si="9122">-SUMPRODUCT($M$2:$M$8,$N$2:$N$8)-SUMPRODUCT($M$10:$M$12,$N$10:$N$12)</f>
        <v>-120000</v>
      </c>
      <c r="BN2095" s="34" t="e">
        <f t="shared" ref="BN2095" si="9123">IF(BK2095&lt;&gt;BK2096,MMULT(MINVERSE(BK2095:BL2096),BM2095:BM2096)," ")</f>
        <v>#NUM!</v>
      </c>
      <c r="BO2095" s="34" t="str">
        <f t="shared" ref="BO2095" si="9124">IFERROR(IF(BN2095-VLOOKUP(BK$38,$A$2:$N$12,14,FALSE)&lt;0,BN2095-VLOOKUP(BK$38,$A$2:$N$12,14,FALSE)," ")," ")</f>
        <v xml:space="preserve"> </v>
      </c>
      <c r="BP2095" s="34" t="str">
        <f t="shared" ref="BP2095" si="9125">IFERROR(IF(BN2095-VLOOKUP(BK$38,$A$2:$N$12,14,FALSE)&gt;0,BN2095-VLOOKUP(BK$38,$A$2:$N$12,14,FALSE)," ")," ")</f>
        <v xml:space="preserve"> </v>
      </c>
      <c r="BQ2095" s="34">
        <f t="shared" ref="BQ2095" si="9126">$M$10</f>
        <v>0</v>
      </c>
      <c r="BR2095" s="34">
        <v>-1</v>
      </c>
      <c r="BS2095" s="34">
        <f t="shared" ref="BS2095" si="9127">-SUMPRODUCT($M$2:$M$9,$N$2:$N$9)-SUMPRODUCT($M$11:$M$12,$N$11:$N$12)</f>
        <v>-120000</v>
      </c>
      <c r="BT2095" s="34" t="e">
        <f t="shared" ref="BT2095" si="9128">IF(BQ2095&lt;&gt;BQ2096,MMULT(MINVERSE(BQ2095:BR2096),BS2095:BS2096)," ")</f>
        <v>#NUM!</v>
      </c>
      <c r="BU2095" s="34" t="str">
        <f t="shared" ref="BU2095" si="9129">IFERROR(IF(BT2095-VLOOKUP(BQ$38,$A$2:$N$12,14,FALSE)&lt;0,BT2095-VLOOKUP(BQ$38,$A$2:$N$12,14,FALSE)," ")," ")</f>
        <v xml:space="preserve"> </v>
      </c>
      <c r="BV2095" s="34" t="str">
        <f t="shared" ref="BV2095" si="9130">IFERROR(IF(BT2095-VLOOKUP(BQ$38,$A$2:$N$12,14,FALSE)&gt;0,BT2095-VLOOKUP(BQ$38,$A$2:$N$12,14,FALSE)," ")," ")</f>
        <v xml:space="preserve"> </v>
      </c>
      <c r="BW2095" s="34">
        <f t="shared" ref="BW2095" si="9131">$M$11</f>
        <v>0</v>
      </c>
      <c r="BX2095" s="34">
        <v>-1</v>
      </c>
      <c r="BY2095" s="34">
        <f t="shared" ref="BY2095" si="9132">-SUMPRODUCT($M$2:$M$10,$N$2:$N$10)-SUMPRODUCT($M$12,$N$12)</f>
        <v>-120000</v>
      </c>
      <c r="BZ2095" s="34" t="e">
        <f t="shared" ref="BZ2095" si="9133">IF(BW2095&lt;&gt;BW2096,MMULT(MINVERSE(BW2095:BX2096),BY2095:BY2096)," ")</f>
        <v>#NUM!</v>
      </c>
      <c r="CA2095" s="34" t="str">
        <f t="shared" ref="CA2095" si="9134">IFERROR(IF(BZ2095-VLOOKUP(BW$38,$A$2:$N$12,14,FALSE)&lt;0,BZ2095-VLOOKUP(BW$38,$A$2:$N$12,14,FALSE)," ")," ")</f>
        <v xml:space="preserve"> </v>
      </c>
      <c r="CB2095" s="34" t="str">
        <f t="shared" ref="CB2095" si="9135">IFERROR(IF(BZ2095-VLOOKUP(BW$38,$A$2:$N$12,14,FALSE)&gt;0,BZ2095-VLOOKUP(BW$38,$A$2:$N$12,14,FALSE)," ")," ")</f>
        <v xml:space="preserve"> </v>
      </c>
      <c r="CC2095" s="34">
        <f t="shared" ref="CC2095" si="9136">$M$12</f>
        <v>0</v>
      </c>
      <c r="CD2095" s="34">
        <v>-1</v>
      </c>
      <c r="CE2095" s="34">
        <f t="shared" ref="CE2095" si="9137">-SUMPRODUCT($M$2:$M$11,$N$2:$N$11)</f>
        <v>-120000</v>
      </c>
      <c r="CF2095" s="34" t="e">
        <f t="shared" ref="CF2095" si="9138">IF(CC2095&lt;&gt;CC2096,MMULT(MINVERSE(CC2095:CD2096),CE2095:CE2096)," ")</f>
        <v>#NUM!</v>
      </c>
      <c r="CG2095" s="34" t="str">
        <f t="shared" ref="CG2095" si="9139">IFERROR(IF(CF2095-VLOOKUP(CC$38,$A$2:$N$12,14,FALSE)&lt;0,CF2095-VLOOKUP(CC$38,$A$2:$N$12,14,FALSE)," ")," ")</f>
        <v xml:space="preserve"> </v>
      </c>
      <c r="CH2095" s="34" t="str">
        <f t="shared" ref="CH2095" si="9140">IFERROR(IF(CF2095-VLOOKUP(CC$38,$A$2:$N$12,14,FALSE)&gt;0,CF2095-VLOOKUP(CC$38,$A$2:$N$12,14,FALSE)," ")," ")</f>
        <v xml:space="preserve"> </v>
      </c>
      <c r="CI2095" s="8"/>
    </row>
    <row r="2096" spans="1:87" x14ac:dyDescent="0.2">
      <c r="A2096" s="8" t="str">
        <f>IF(AND(COUNTIF(W$3:W$13,A$16)&gt;0,A$16&lt;&gt;B2070),A$16,IFERROR(IF(MATCH(A$16,Z$3:Z$13,0)=2,A$16," ")," "))</f>
        <v>C2</v>
      </c>
      <c r="B2096" s="8">
        <f>IF(A2096=" "," ",MAX(B2095:B2095)+1)</f>
        <v>1</v>
      </c>
      <c r="C2096" s="8" t="str">
        <f>IFERROR(INDEX(A2095:A2116,MATCH(SMALL(B2095:B2116,2),B2095:B2116,0),1)," ")</f>
        <v>C3</v>
      </c>
      <c r="D2096" s="8">
        <f t="shared" ref="D2096:D2105" si="9141">IFERROR(VLOOKUP($C2096,$A$15:$O$36,2,FALSE)," ")</f>
        <v>2</v>
      </c>
      <c r="E2096" s="8">
        <f t="shared" ref="E2096:E2105" si="9142">IFERROR(VLOOKUP($C2096,$A$15:$O$36,3,FALSE)," ")</f>
        <v>5</v>
      </c>
      <c r="F2096" s="8">
        <f t="shared" ref="F2096:F2105" si="9143">IFERROR(VLOOKUP($C2096,$A$15:$O$36,4,FALSE)," ")</f>
        <v>6</v>
      </c>
      <c r="G2096" s="8">
        <f t="shared" ref="G2096:G2105" si="9144">IFERROR(VLOOKUP($C2096,$A$15:$O$36,5,FALSE)," ")</f>
        <v>0</v>
      </c>
      <c r="H2096" s="8">
        <f t="shared" ref="H2096:H2105" si="9145">IFERROR(VLOOKUP($C2096,$A$15:$O$36,6,FALSE)," ")</f>
        <v>0</v>
      </c>
      <c r="I2096" s="8">
        <f t="shared" ref="I2096:I2105" si="9146">IFERROR(VLOOKUP($C2096,$A$15:$O$36,7,FALSE)," ")</f>
        <v>0</v>
      </c>
      <c r="J2096" s="8">
        <f t="shared" ref="J2096:J2105" si="9147">IFERROR(VLOOKUP($C2096,$A$15:$O$36,8,FALSE)," ")</f>
        <v>0</v>
      </c>
      <c r="K2096" s="8">
        <f t="shared" ref="K2096:K2105" si="9148">IFERROR(VLOOKUP($C2096,$A$15:$O$36,9,FALSE)," ")</f>
        <v>0</v>
      </c>
      <c r="L2096" s="8">
        <f t="shared" ref="L2096:L2105" si="9149">IFERROR(VLOOKUP($C2096,$A$15:$O$36,10,FALSE)," ")</f>
        <v>0</v>
      </c>
      <c r="M2096" s="8">
        <f t="shared" ref="M2096:M2105" si="9150">IFERROR(VLOOKUP($C2096,$A$15:$O$36,11,FALSE)," ")</f>
        <v>0</v>
      </c>
      <c r="N2096" s="8">
        <f t="shared" ref="N2096:N2105" si="9151">IFERROR(VLOOKUP($C2096,$A$15:$O$36,12,FALSE)," ")</f>
        <v>0</v>
      </c>
      <c r="O2096" s="8">
        <f t="shared" ref="O2096:O2105" si="9152">IFERROR(VLOOKUP($C2096,$A$15:$O$36,15,FALSE)," ")</f>
        <v>2000</v>
      </c>
      <c r="P2096" s="8" t="e">
        <v>#NUM!</v>
      </c>
      <c r="Q2096" s="8" t="e">
        <f t="shared" ref="Q2096" si="9153">IF(COUNTIF(P2095:P2105,"&lt;"&amp;-0.001)=0,IF(ABS(P2096)&lt;0.001,0,P2096)," ")</f>
        <v>#NUM!</v>
      </c>
      <c r="R2096" s="8"/>
      <c r="S2096" s="8"/>
      <c r="U2096" s="34" t="e">
        <f t="shared" ref="U2096" si="9154">$Q2095</f>
        <v>#NUM!</v>
      </c>
      <c r="V2096" s="34">
        <v>-1</v>
      </c>
      <c r="W2096" s="34" t="e">
        <f t="shared" ref="W2096" si="9155">-SUMPRODUCT($Q2096:$Q2105,$N$3:$N$12)</f>
        <v>#NUM!</v>
      </c>
      <c r="X2096" s="34"/>
      <c r="Y2096" s="34"/>
      <c r="Z2096" s="34"/>
      <c r="AA2096" s="34" t="e">
        <f t="shared" ref="AA2096" si="9156">$Q2096</f>
        <v>#NUM!</v>
      </c>
      <c r="AB2096" s="34">
        <v>-1</v>
      </c>
      <c r="AC2096" s="34" t="e">
        <f t="shared" ref="AC2096" si="9157">-SUMPRODUCT($Q2095:$Q2095,$N$2:$N$2)-SUMPRODUCT($Q2097:$Q2105,$N$4:$N$12)</f>
        <v>#NUM!</v>
      </c>
      <c r="AD2096" s="34"/>
      <c r="AE2096" s="34"/>
      <c r="AF2096" s="34"/>
      <c r="AG2096" s="34" t="e">
        <f t="shared" ref="AG2096" si="9158">$Q2097</f>
        <v>#NUM!</v>
      </c>
      <c r="AH2096" s="34">
        <v>-1</v>
      </c>
      <c r="AI2096" s="34" t="e">
        <f t="shared" ref="AI2096" si="9159">-SUMPRODUCT($Q2095:$Q2096,$N$2:$N$3)-SUMPRODUCT($Q2098:$Q2105,$N$5:$N$12)</f>
        <v>#NUM!</v>
      </c>
      <c r="AJ2096" s="34"/>
      <c r="AK2096" s="34"/>
      <c r="AL2096" s="34"/>
      <c r="AM2096" s="34" t="e">
        <f t="shared" ref="AM2096" si="9160">$Q2098</f>
        <v>#NUM!</v>
      </c>
      <c r="AN2096" s="34">
        <v>-1</v>
      </c>
      <c r="AO2096" s="34" t="e">
        <f t="shared" ref="AO2096" si="9161">-SUMPRODUCT($Q2095:$Q2097,$N$2:$N$4)-SUMPRODUCT($Q2099:$Q2105,$N$6:$N$12)</f>
        <v>#NUM!</v>
      </c>
      <c r="AP2096" s="34"/>
      <c r="AQ2096" s="34"/>
      <c r="AR2096" s="34"/>
      <c r="AS2096" s="34" t="e">
        <f t="shared" ref="AS2096" si="9162">$Q2099</f>
        <v>#NUM!</v>
      </c>
      <c r="AT2096" s="34">
        <v>-1</v>
      </c>
      <c r="AU2096" s="34" t="e">
        <f t="shared" ref="AU2096" si="9163">-SUMPRODUCT($Q2095:$Q2098,$N$2:$N$5)-SUMPRODUCT($Q2100:$Q2105,$N$7:$N$12)</f>
        <v>#NUM!</v>
      </c>
      <c r="AV2096" s="34"/>
      <c r="AW2096" s="34"/>
      <c r="AX2096" s="34"/>
      <c r="AY2096" s="34" t="e">
        <f t="shared" ref="AY2096" si="9164">$Q2100</f>
        <v>#NUM!</v>
      </c>
      <c r="AZ2096" s="34">
        <v>-1</v>
      </c>
      <c r="BA2096" s="34" t="e">
        <f t="shared" ref="BA2096" si="9165">-SUMPRODUCT($Q2095:$Q2099,$N$2:$N$6)-SUMPRODUCT($Q2101:$Q2105,$N$8:$N$12)</f>
        <v>#NUM!</v>
      </c>
      <c r="BB2096" s="34"/>
      <c r="BC2096" s="34"/>
      <c r="BD2096" s="34"/>
      <c r="BE2096" s="34" t="e">
        <f t="shared" ref="BE2096" si="9166">$Q2101</f>
        <v>#NUM!</v>
      </c>
      <c r="BF2096" s="34">
        <v>-1</v>
      </c>
      <c r="BG2096" s="34" t="e">
        <f t="shared" ref="BG2096" si="9167">-SUMPRODUCT($Q2095:$Q2100,$N$2:$N$7)-SUMPRODUCT($Q2102:$Q2105,$N$9:$N$12)</f>
        <v>#NUM!</v>
      </c>
      <c r="BH2096" s="34"/>
      <c r="BI2096" s="34"/>
      <c r="BJ2096" s="34"/>
      <c r="BK2096" s="34" t="e">
        <f t="shared" ref="BK2096" si="9168">$Q2102</f>
        <v>#NUM!</v>
      </c>
      <c r="BL2096" s="34">
        <v>-1</v>
      </c>
      <c r="BM2096" s="34" t="e">
        <f t="shared" ref="BM2096" si="9169">-SUMPRODUCT($Q2095:$Q2101,$N$2:$N$8)-SUMPRODUCT($Q2103:$Q2105,$N$10:$N$12)</f>
        <v>#NUM!</v>
      </c>
      <c r="BN2096" s="34"/>
      <c r="BO2096" s="34"/>
      <c r="BP2096" s="34"/>
      <c r="BQ2096" s="34" t="e">
        <f t="shared" ref="BQ2096" si="9170">$Q2103</f>
        <v>#NUM!</v>
      </c>
      <c r="BR2096" s="34">
        <v>-1</v>
      </c>
      <c r="BS2096" s="34" t="e">
        <f t="shared" ref="BS2096" si="9171">-SUMPRODUCT($Q2095:$Q2102,$N$2:$N$9)-SUMPRODUCT($Q2104:$Q2105,$N$11:$N$12)</f>
        <v>#NUM!</v>
      </c>
      <c r="BT2096" s="34"/>
      <c r="BU2096" s="34"/>
      <c r="BV2096" s="34"/>
      <c r="BW2096" s="34" t="e">
        <f t="shared" ref="BW2096" si="9172">$Q2104</f>
        <v>#NUM!</v>
      </c>
      <c r="BX2096" s="34">
        <v>-1</v>
      </c>
      <c r="BY2096" s="34" t="e">
        <f t="shared" ref="BY2096" si="9173">-SUMPRODUCT($Q2095:$Q2103,$N$2:$N$10)-SUMPRODUCT($Q2105,$N$12)</f>
        <v>#NUM!</v>
      </c>
      <c r="BZ2096" s="34"/>
      <c r="CA2096" s="34"/>
      <c r="CB2096" s="34"/>
      <c r="CC2096" s="34" t="e">
        <f t="shared" ref="CC2096" si="9174">$Q2105</f>
        <v>#NUM!</v>
      </c>
      <c r="CD2096" s="34">
        <v>-1</v>
      </c>
      <c r="CE2096" s="34" t="e">
        <f t="shared" ref="CE2096" si="9175">-SUMPRODUCT($Q2095:$Q2104,$N$2:$N$11)</f>
        <v>#NUM!</v>
      </c>
      <c r="CF2096" s="34"/>
      <c r="CG2096" s="34"/>
      <c r="CH2096" s="34"/>
      <c r="CI2096" s="8"/>
    </row>
    <row r="2097" spans="1:87" x14ac:dyDescent="0.2">
      <c r="A2097" s="8" t="str">
        <f>IF(AND(COUNTIF(W$3:W$13,A$17)&gt;0,A$17&lt;&gt;B2070),A$17,IFERROR(IF(MATCH(A$17,Z$3:Z$13,0)=2,A$17," ")," "))</f>
        <v>C3</v>
      </c>
      <c r="B2097" s="8">
        <f>IF(A2097=" "," ",MAX(B2095:B2096)+1)</f>
        <v>2</v>
      </c>
      <c r="C2097" s="8" t="str">
        <f>IFERROR(INDEX(A2095:A2116,MATCH(SMALL(B2095:B2116,3),B2095:B2116,0),1)," ")</f>
        <v>C4</v>
      </c>
      <c r="D2097" s="8">
        <f t="shared" si="9141"/>
        <v>1</v>
      </c>
      <c r="E2097" s="8">
        <f t="shared" si="9142"/>
        <v>0</v>
      </c>
      <c r="F2097" s="8">
        <f t="shared" si="9143"/>
        <v>1</v>
      </c>
      <c r="G2097" s="8">
        <f t="shared" si="9144"/>
        <v>0</v>
      </c>
      <c r="H2097" s="8">
        <f t="shared" si="9145"/>
        <v>0</v>
      </c>
      <c r="I2097" s="8">
        <f t="shared" si="9146"/>
        <v>0</v>
      </c>
      <c r="J2097" s="8">
        <f t="shared" si="9147"/>
        <v>0</v>
      </c>
      <c r="K2097" s="8">
        <f t="shared" si="9148"/>
        <v>0</v>
      </c>
      <c r="L2097" s="8">
        <f t="shared" si="9149"/>
        <v>0</v>
      </c>
      <c r="M2097" s="8">
        <f t="shared" si="9150"/>
        <v>0</v>
      </c>
      <c r="N2097" s="8">
        <f t="shared" si="9151"/>
        <v>0</v>
      </c>
      <c r="O2097" s="8">
        <f t="shared" si="9152"/>
        <v>400</v>
      </c>
      <c r="P2097" s="8" t="e">
        <v>#NUM!</v>
      </c>
      <c r="Q2097" s="8" t="e">
        <f t="shared" ref="Q2097" si="9176">IF(COUNTIF(P2095:P2105,"&lt;"&amp;-0.001)=0,IF(ABS(P2097)&lt;0.001,0,P2097)," ")</f>
        <v>#NUM!</v>
      </c>
      <c r="R2097" s="8"/>
      <c r="S2097" s="8"/>
      <c r="U2097" s="34"/>
      <c r="V2097" s="34"/>
      <c r="W2097" s="34"/>
      <c r="X2097" s="34"/>
      <c r="Y2097" s="34"/>
      <c r="Z2097" s="34"/>
      <c r="AA2097" s="34"/>
      <c r="AB2097" s="34"/>
      <c r="AC2097" s="34"/>
      <c r="AD2097" s="34"/>
      <c r="AE2097" s="34"/>
      <c r="AF2097" s="34"/>
      <c r="AG2097" s="34"/>
      <c r="AH2097" s="34"/>
      <c r="AI2097" s="34"/>
      <c r="AJ2097" s="34"/>
      <c r="AK2097" s="34"/>
      <c r="AL2097" s="34"/>
      <c r="AM2097" s="34"/>
      <c r="AN2097" s="34"/>
      <c r="AO2097" s="34"/>
      <c r="AP2097" s="34"/>
      <c r="AQ2097" s="34"/>
      <c r="AR2097" s="34"/>
      <c r="AS2097" s="34"/>
      <c r="AT2097" s="34"/>
      <c r="AU2097" s="34"/>
      <c r="AV2097" s="34"/>
      <c r="AW2097" s="34"/>
      <c r="AX2097" s="34"/>
      <c r="AY2097" s="34"/>
      <c r="AZ2097" s="34"/>
      <c r="BA2097" s="34"/>
      <c r="BB2097" s="34"/>
      <c r="BC2097" s="34"/>
      <c r="BD2097" s="34"/>
      <c r="BE2097" s="34"/>
      <c r="BF2097" s="34"/>
      <c r="BG2097" s="34"/>
      <c r="BH2097" s="34"/>
      <c r="BI2097" s="34"/>
      <c r="BJ2097" s="34"/>
      <c r="BK2097" s="34"/>
      <c r="BL2097" s="34"/>
      <c r="BM2097" s="34"/>
      <c r="BN2097" s="34"/>
      <c r="BO2097" s="34"/>
      <c r="BP2097" s="34"/>
      <c r="BQ2097" s="34"/>
      <c r="BR2097" s="34"/>
      <c r="BS2097" s="34"/>
      <c r="BT2097" s="34"/>
      <c r="BU2097" s="34"/>
      <c r="BV2097" s="34"/>
      <c r="BW2097" s="34"/>
      <c r="BX2097" s="34"/>
      <c r="BY2097" s="34"/>
      <c r="BZ2097" s="34"/>
      <c r="CA2097" s="34"/>
      <c r="CB2097" s="34"/>
      <c r="CC2097" s="34"/>
      <c r="CD2097" s="34"/>
      <c r="CE2097" s="34"/>
      <c r="CF2097" s="34"/>
      <c r="CG2097" s="34"/>
      <c r="CH2097" s="34"/>
      <c r="CI2097" s="8"/>
    </row>
    <row r="2098" spans="1:87" x14ac:dyDescent="0.2">
      <c r="A2098" s="8" t="str">
        <f>IF(AND(COUNTIF(W$3:W$13,A$18)&gt;0,A$18&lt;&gt;B2070),A$18,IFERROR(IF(MATCH(A$18,Z$3:Z$13,0)=2,A$18," ")," "))</f>
        <v>C4</v>
      </c>
      <c r="B2098" s="8">
        <f>IF(A2098=" "," ",MAX(B2095:B2097)+1)</f>
        <v>3</v>
      </c>
      <c r="C2098" s="8" t="str">
        <f>IFERROR(INDEX(A2095:A2116,MATCH(SMALL(B2095:B2116,4),B2095:B2116,0),1)," ")</f>
        <v>C13</v>
      </c>
      <c r="D2098" s="8">
        <f t="shared" si="9141"/>
        <v>0</v>
      </c>
      <c r="E2098" s="8">
        <f t="shared" si="9142"/>
        <v>1</v>
      </c>
      <c r="F2098" s="8">
        <f t="shared" si="9143"/>
        <v>0</v>
      </c>
      <c r="G2098" s="8">
        <f t="shared" si="9144"/>
        <v>0</v>
      </c>
      <c r="H2098" s="8">
        <f t="shared" si="9145"/>
        <v>0</v>
      </c>
      <c r="I2098" s="8">
        <f t="shared" si="9146"/>
        <v>0</v>
      </c>
      <c r="J2098" s="8">
        <f t="shared" si="9147"/>
        <v>0</v>
      </c>
      <c r="K2098" s="8">
        <f t="shared" si="9148"/>
        <v>0</v>
      </c>
      <c r="L2098" s="8">
        <f t="shared" si="9149"/>
        <v>0</v>
      </c>
      <c r="M2098" s="8">
        <f t="shared" si="9150"/>
        <v>0</v>
      </c>
      <c r="N2098" s="8">
        <f t="shared" si="9151"/>
        <v>0</v>
      </c>
      <c r="O2098" s="8">
        <f t="shared" si="9152"/>
        <v>0</v>
      </c>
      <c r="P2098" s="8" t="e">
        <v>#NUM!</v>
      </c>
      <c r="Q2098" s="8" t="e">
        <f t="shared" ref="Q2098" si="9177">IF(COUNTIF(P2095:P2105,"&lt;"&amp;-0.001)=0,IF(ABS(P2098)&lt;0.001,0,P2098)," ")</f>
        <v>#NUM!</v>
      </c>
      <c r="R2098" s="8"/>
      <c r="S2098" s="8"/>
      <c r="U2098" s="34"/>
      <c r="V2098" s="34"/>
      <c r="W2098" s="34"/>
      <c r="X2098" s="34"/>
      <c r="Y2098" s="34"/>
      <c r="Z2098" s="34"/>
      <c r="AA2098" s="34"/>
      <c r="AB2098" s="34"/>
      <c r="AC2098" s="34"/>
      <c r="AD2098" s="34"/>
      <c r="AE2098" s="34"/>
      <c r="AF2098" s="34"/>
      <c r="AG2098" s="34"/>
      <c r="AH2098" s="34"/>
      <c r="AI2098" s="34"/>
      <c r="AJ2098" s="34"/>
      <c r="AK2098" s="34"/>
      <c r="AL2098" s="34"/>
      <c r="AM2098" s="34"/>
      <c r="AN2098" s="34"/>
      <c r="AO2098" s="34"/>
      <c r="AP2098" s="34"/>
      <c r="AQ2098" s="34"/>
      <c r="AR2098" s="34"/>
      <c r="AS2098" s="34"/>
      <c r="AT2098" s="34"/>
      <c r="AU2098" s="34"/>
      <c r="AV2098" s="34"/>
      <c r="AW2098" s="34"/>
      <c r="AX2098" s="34"/>
      <c r="AY2098" s="34"/>
      <c r="AZ2098" s="34"/>
      <c r="BA2098" s="34"/>
      <c r="BB2098" s="34"/>
      <c r="BC2098" s="34"/>
      <c r="BD2098" s="34"/>
      <c r="BE2098" s="34"/>
      <c r="BF2098" s="34"/>
      <c r="BG2098" s="34"/>
      <c r="BH2098" s="34"/>
      <c r="BI2098" s="34"/>
      <c r="BJ2098" s="34"/>
      <c r="BK2098" s="34"/>
      <c r="BL2098" s="34"/>
      <c r="BM2098" s="34"/>
      <c r="BN2098" s="34"/>
      <c r="BO2098" s="34"/>
      <c r="BP2098" s="34"/>
      <c r="BQ2098" s="34"/>
      <c r="BR2098" s="34"/>
      <c r="BS2098" s="34"/>
      <c r="BT2098" s="34"/>
      <c r="BU2098" s="34"/>
      <c r="BV2098" s="34"/>
      <c r="BW2098" s="34"/>
      <c r="BX2098" s="34"/>
      <c r="BY2098" s="34"/>
      <c r="BZ2098" s="34"/>
      <c r="CA2098" s="34"/>
      <c r="CB2098" s="34"/>
      <c r="CC2098" s="34"/>
      <c r="CD2098" s="34"/>
      <c r="CE2098" s="34"/>
      <c r="CF2098" s="34"/>
      <c r="CG2098" s="34"/>
      <c r="CH2098" s="34"/>
      <c r="CI2098" s="8"/>
    </row>
    <row r="2099" spans="1:87" x14ac:dyDescent="0.2">
      <c r="A2099" s="8" t="str">
        <f>IF(AND(COUNTIF(W$3:W$13,A$19)&gt;0,A$19&lt;&gt;B2070),A$19,IFERROR(IF(MATCH(A$19,Z$3:Z$13,0)=2,A$19," ")," "))</f>
        <v xml:space="preserve"> </v>
      </c>
      <c r="B2099" s="8" t="str">
        <f>IF(A2099=" "," ",MAX(B2095:B2098)+1)</f>
        <v xml:space="preserve"> </v>
      </c>
      <c r="C2099" s="8" t="str">
        <f>IFERROR(INDEX(A2095:A2116,MATCH(SMALL(B2095:B2116,5),B2095:B2116,0),1)," ")</f>
        <v>C15</v>
      </c>
      <c r="D2099" s="8">
        <f t="shared" si="9141"/>
        <v>0</v>
      </c>
      <c r="E2099" s="8">
        <f t="shared" si="9142"/>
        <v>0</v>
      </c>
      <c r="F2099" s="8">
        <f t="shared" si="9143"/>
        <v>0</v>
      </c>
      <c r="G2099" s="8">
        <f t="shared" si="9144"/>
        <v>1</v>
      </c>
      <c r="H2099" s="8">
        <f t="shared" si="9145"/>
        <v>0</v>
      </c>
      <c r="I2099" s="8">
        <f t="shared" si="9146"/>
        <v>0</v>
      </c>
      <c r="J2099" s="8">
        <f t="shared" si="9147"/>
        <v>0</v>
      </c>
      <c r="K2099" s="8">
        <f t="shared" si="9148"/>
        <v>0</v>
      </c>
      <c r="L2099" s="8">
        <f t="shared" si="9149"/>
        <v>0</v>
      </c>
      <c r="M2099" s="8">
        <f t="shared" si="9150"/>
        <v>0</v>
      </c>
      <c r="N2099" s="8">
        <f t="shared" si="9151"/>
        <v>0</v>
      </c>
      <c r="O2099" s="8">
        <f t="shared" si="9152"/>
        <v>0</v>
      </c>
      <c r="P2099" s="8" t="e">
        <v>#NUM!</v>
      </c>
      <c r="Q2099" s="8" t="e">
        <f t="shared" ref="Q2099" si="9178">IF(COUNTIF(P2095:P2105,"&lt;"&amp;-0.001)=0,IF(ABS(P2099)&lt;0.001,0,P2099)," ")</f>
        <v>#NUM!</v>
      </c>
      <c r="R2099" s="8"/>
      <c r="S2099" s="8"/>
      <c r="U2099" s="34"/>
      <c r="V2099" s="34"/>
      <c r="W2099" s="34"/>
      <c r="X2099" s="34"/>
      <c r="Y2099" s="34"/>
      <c r="Z2099" s="34"/>
      <c r="AA2099" s="34"/>
      <c r="AB2099" s="34"/>
      <c r="AC2099" s="34"/>
      <c r="AD2099" s="34"/>
      <c r="AE2099" s="34"/>
      <c r="AF2099" s="34"/>
      <c r="AG2099" s="34"/>
      <c r="AH2099" s="34"/>
      <c r="AI2099" s="34"/>
      <c r="AJ2099" s="34"/>
      <c r="AK2099" s="34"/>
      <c r="AL2099" s="34"/>
      <c r="AM2099" s="34"/>
      <c r="AN2099" s="34"/>
      <c r="AO2099" s="34"/>
      <c r="AP2099" s="34"/>
      <c r="AQ2099" s="34"/>
      <c r="AR2099" s="34"/>
      <c r="AS2099" s="34"/>
      <c r="AT2099" s="34"/>
      <c r="AU2099" s="34"/>
      <c r="AV2099" s="34"/>
      <c r="AW2099" s="34"/>
      <c r="AX2099" s="34"/>
      <c r="AY2099" s="34"/>
      <c r="AZ2099" s="34"/>
      <c r="BA2099" s="34"/>
      <c r="BB2099" s="34"/>
      <c r="BC2099" s="34"/>
      <c r="BD2099" s="34"/>
      <c r="BE2099" s="34"/>
      <c r="BF2099" s="34"/>
      <c r="BG2099" s="34"/>
      <c r="BH2099" s="34"/>
      <c r="BI2099" s="34"/>
      <c r="BJ2099" s="34"/>
      <c r="BK2099" s="34"/>
      <c r="BL2099" s="34"/>
      <c r="BM2099" s="34"/>
      <c r="BN2099" s="34"/>
      <c r="BO2099" s="34"/>
      <c r="BP2099" s="34"/>
      <c r="BQ2099" s="34"/>
      <c r="BR2099" s="34"/>
      <c r="BS2099" s="34"/>
      <c r="BT2099" s="34"/>
      <c r="BU2099" s="34"/>
      <c r="BV2099" s="34"/>
      <c r="BW2099" s="34"/>
      <c r="BX2099" s="34"/>
      <c r="BY2099" s="34"/>
      <c r="BZ2099" s="34"/>
      <c r="CA2099" s="34"/>
      <c r="CB2099" s="34"/>
      <c r="CC2099" s="34"/>
      <c r="CD2099" s="34"/>
      <c r="CE2099" s="34"/>
      <c r="CF2099" s="34"/>
      <c r="CG2099" s="34"/>
      <c r="CH2099" s="34"/>
      <c r="CI2099" s="8"/>
    </row>
    <row r="2100" spans="1:87" x14ac:dyDescent="0.2">
      <c r="A2100" s="8" t="str">
        <f>IF(AND(COUNTIF(W$3:W$13,A$20)&gt;0,A$20&lt;&gt;B2070),A$20,IFERROR(IF(MATCH(A$20,Z$3:Z$13,0)=2,A$20," ")," "))</f>
        <v xml:space="preserve"> </v>
      </c>
      <c r="B2100" s="8" t="str">
        <f>IF(A2100=" "," ",MAX(B2095:B2099)+1)</f>
        <v xml:space="preserve"> </v>
      </c>
      <c r="C2100" s="8" t="str">
        <f>IFERROR(INDEX(A2095:A2116,MATCH(SMALL(B2095:B2116,6),B2095:B2116,0),1)," ")</f>
        <v>C16</v>
      </c>
      <c r="D2100" s="8">
        <f t="shared" si="9141"/>
        <v>0</v>
      </c>
      <c r="E2100" s="8">
        <f t="shared" si="9142"/>
        <v>0</v>
      </c>
      <c r="F2100" s="8">
        <f t="shared" si="9143"/>
        <v>0</v>
      </c>
      <c r="G2100" s="8">
        <f t="shared" si="9144"/>
        <v>0</v>
      </c>
      <c r="H2100" s="8">
        <f t="shared" si="9145"/>
        <v>1</v>
      </c>
      <c r="I2100" s="8">
        <f t="shared" si="9146"/>
        <v>0</v>
      </c>
      <c r="J2100" s="8">
        <f t="shared" si="9147"/>
        <v>0</v>
      </c>
      <c r="K2100" s="8">
        <f t="shared" si="9148"/>
        <v>0</v>
      </c>
      <c r="L2100" s="8">
        <f t="shared" si="9149"/>
        <v>0</v>
      </c>
      <c r="M2100" s="8">
        <f t="shared" si="9150"/>
        <v>0</v>
      </c>
      <c r="N2100" s="8">
        <f t="shared" si="9151"/>
        <v>0</v>
      </c>
      <c r="O2100" s="8">
        <f t="shared" si="9152"/>
        <v>0</v>
      </c>
      <c r="P2100" s="8" t="e">
        <v>#NUM!</v>
      </c>
      <c r="Q2100" s="8" t="e">
        <f t="shared" ref="Q2100" si="9179">IF(COUNTIF(P2095:P2105,"&lt;"&amp;-0.001)=0,IF(ABS(P2100)&lt;0.001,0,P2100)," ")</f>
        <v>#NUM!</v>
      </c>
      <c r="R2100" s="8"/>
      <c r="S2100" s="8"/>
      <c r="U2100" s="34"/>
      <c r="V2100" s="34"/>
      <c r="W2100" s="34"/>
      <c r="X2100" s="34"/>
      <c r="Y2100" s="34"/>
      <c r="Z2100" s="34"/>
      <c r="AA2100" s="34"/>
      <c r="AB2100" s="34"/>
      <c r="AC2100" s="34"/>
      <c r="AD2100" s="34"/>
      <c r="AE2100" s="34"/>
      <c r="AF2100" s="34"/>
      <c r="AG2100" s="34"/>
      <c r="AH2100" s="34"/>
      <c r="AI2100" s="34"/>
      <c r="AJ2100" s="34"/>
      <c r="AK2100" s="34"/>
      <c r="AL2100" s="34"/>
      <c r="AM2100" s="34"/>
      <c r="AN2100" s="34"/>
      <c r="AO2100" s="34"/>
      <c r="AP2100" s="34"/>
      <c r="AQ2100" s="34"/>
      <c r="AR2100" s="34"/>
      <c r="AS2100" s="34"/>
      <c r="AT2100" s="34"/>
      <c r="AU2100" s="34"/>
      <c r="AV2100" s="34"/>
      <c r="AW2100" s="34"/>
      <c r="AX2100" s="34"/>
      <c r="AY2100" s="34"/>
      <c r="AZ2100" s="34"/>
      <c r="BA2100" s="34"/>
      <c r="BB2100" s="34"/>
      <c r="BC2100" s="34"/>
      <c r="BD2100" s="34"/>
      <c r="BE2100" s="34"/>
      <c r="BF2100" s="34"/>
      <c r="BG2100" s="34"/>
      <c r="BH2100" s="34"/>
      <c r="BI2100" s="34"/>
      <c r="BJ2100" s="34"/>
      <c r="BK2100" s="34"/>
      <c r="BL2100" s="34"/>
      <c r="BM2100" s="34"/>
      <c r="BN2100" s="34"/>
      <c r="BO2100" s="34"/>
      <c r="BP2100" s="34"/>
      <c r="BQ2100" s="34"/>
      <c r="BR2100" s="34"/>
      <c r="BS2100" s="34"/>
      <c r="BT2100" s="34"/>
      <c r="BU2100" s="34"/>
      <c r="BV2100" s="34"/>
      <c r="BW2100" s="34"/>
      <c r="BX2100" s="34"/>
      <c r="BY2100" s="34"/>
      <c r="BZ2100" s="34"/>
      <c r="CA2100" s="34"/>
      <c r="CB2100" s="34"/>
      <c r="CC2100" s="34"/>
      <c r="CD2100" s="34"/>
      <c r="CE2100" s="34"/>
      <c r="CF2100" s="34"/>
      <c r="CG2100" s="34"/>
      <c r="CH2100" s="34"/>
      <c r="CI2100" s="8"/>
    </row>
    <row r="2101" spans="1:87" x14ac:dyDescent="0.2">
      <c r="A2101" s="8" t="str">
        <f>IF(AND(COUNTIF(W$3:W$13,A$21)&gt;0,A$21&lt;&gt;B2070),A$21,IFERROR(IF(MATCH(A$21,Z$3:Z$13,0)=2,A$21," ")," "))</f>
        <v xml:space="preserve"> </v>
      </c>
      <c r="B2101" s="8" t="str">
        <f>IF(A2101=" "," ",MAX(B2095:B2100)+1)</f>
        <v xml:space="preserve"> </v>
      </c>
      <c r="C2101" s="8" t="str">
        <f>IFERROR(INDEX(A2095:A2116,MATCH(SMALL(B2095:B2116,7),B2095:B2116,0),1)," ")</f>
        <v>C17</v>
      </c>
      <c r="D2101" s="8">
        <f t="shared" si="9141"/>
        <v>0</v>
      </c>
      <c r="E2101" s="8">
        <f t="shared" si="9142"/>
        <v>0</v>
      </c>
      <c r="F2101" s="8">
        <f t="shared" si="9143"/>
        <v>0</v>
      </c>
      <c r="G2101" s="8">
        <f t="shared" si="9144"/>
        <v>0</v>
      </c>
      <c r="H2101" s="8">
        <f t="shared" si="9145"/>
        <v>0</v>
      </c>
      <c r="I2101" s="8">
        <f t="shared" si="9146"/>
        <v>1</v>
      </c>
      <c r="J2101" s="8">
        <f t="shared" si="9147"/>
        <v>0</v>
      </c>
      <c r="K2101" s="8">
        <f t="shared" si="9148"/>
        <v>0</v>
      </c>
      <c r="L2101" s="8">
        <f t="shared" si="9149"/>
        <v>0</v>
      </c>
      <c r="M2101" s="8">
        <f t="shared" si="9150"/>
        <v>0</v>
      </c>
      <c r="N2101" s="8">
        <f t="shared" si="9151"/>
        <v>0</v>
      </c>
      <c r="O2101" s="8">
        <f t="shared" si="9152"/>
        <v>0</v>
      </c>
      <c r="P2101" s="8" t="e">
        <v>#NUM!</v>
      </c>
      <c r="Q2101" s="8" t="e">
        <f t="shared" ref="Q2101" si="9180">IF(COUNTIF(P2095:P2105,"&lt;"&amp;-0.001)=0,IF(ABS(P2101)&lt;0.001,0,P2101)," ")</f>
        <v>#NUM!</v>
      </c>
      <c r="R2101" s="8"/>
      <c r="S2101" s="8"/>
      <c r="U2101" s="34"/>
      <c r="V2101" s="34"/>
      <c r="W2101" s="34"/>
      <c r="X2101" s="34"/>
      <c r="Y2101" s="34"/>
      <c r="Z2101" s="34"/>
      <c r="AA2101" s="34"/>
      <c r="AB2101" s="34"/>
      <c r="AC2101" s="34"/>
      <c r="AD2101" s="34"/>
      <c r="AE2101" s="34"/>
      <c r="AF2101" s="34"/>
      <c r="AG2101" s="34"/>
      <c r="AH2101" s="34"/>
      <c r="AI2101" s="34"/>
      <c r="AJ2101" s="34"/>
      <c r="AK2101" s="34"/>
      <c r="AL2101" s="34"/>
      <c r="AM2101" s="34"/>
      <c r="AN2101" s="34"/>
      <c r="AO2101" s="34"/>
      <c r="AP2101" s="34"/>
      <c r="AQ2101" s="34"/>
      <c r="AR2101" s="34"/>
      <c r="AS2101" s="34"/>
      <c r="AT2101" s="34"/>
      <c r="AU2101" s="34"/>
      <c r="AV2101" s="34"/>
      <c r="AW2101" s="34"/>
      <c r="AX2101" s="34"/>
      <c r="AY2101" s="34"/>
      <c r="AZ2101" s="34"/>
      <c r="BA2101" s="34"/>
      <c r="BB2101" s="34"/>
      <c r="BC2101" s="34"/>
      <c r="BD2101" s="34"/>
      <c r="BE2101" s="34"/>
      <c r="BF2101" s="34"/>
      <c r="BG2101" s="34"/>
      <c r="BH2101" s="34"/>
      <c r="BI2101" s="34"/>
      <c r="BJ2101" s="34"/>
      <c r="BK2101" s="34"/>
      <c r="BL2101" s="34"/>
      <c r="BM2101" s="34"/>
      <c r="BN2101" s="34"/>
      <c r="BO2101" s="34"/>
      <c r="BP2101" s="34"/>
      <c r="BQ2101" s="34"/>
      <c r="BR2101" s="34"/>
      <c r="BS2101" s="34"/>
      <c r="BT2101" s="34"/>
      <c r="BU2101" s="34"/>
      <c r="BV2101" s="34"/>
      <c r="BW2101" s="34"/>
      <c r="BX2101" s="34"/>
      <c r="BY2101" s="34"/>
      <c r="BZ2101" s="34"/>
      <c r="CA2101" s="34"/>
      <c r="CB2101" s="34"/>
      <c r="CC2101" s="34"/>
      <c r="CD2101" s="34"/>
      <c r="CE2101" s="34"/>
      <c r="CF2101" s="34"/>
      <c r="CG2101" s="34"/>
      <c r="CH2101" s="34"/>
      <c r="CI2101" s="8"/>
    </row>
    <row r="2102" spans="1:87" x14ac:dyDescent="0.2">
      <c r="A2102" s="8" t="str">
        <f>IF(AND(COUNTIF(W$3:W$13,A$22)&gt;0,A$22&lt;&gt;B2070),A$22,IFERROR(IF(MATCH(A$22,Z$3:Z$13,0)=2,A$22," ")," "))</f>
        <v xml:space="preserve"> </v>
      </c>
      <c r="B2102" s="8" t="str">
        <f>IF(A2102=" "," ",MAX(B2095:B2101)+1)</f>
        <v xml:space="preserve"> </v>
      </c>
      <c r="C2102" s="8" t="str">
        <f>IFERROR(INDEX(A2095:A2116,MATCH(SMALL(B2095:B2116,8),B2095:B2116,0),1)," ")</f>
        <v>C18</v>
      </c>
      <c r="D2102" s="8">
        <f t="shared" si="9141"/>
        <v>0</v>
      </c>
      <c r="E2102" s="8">
        <f t="shared" si="9142"/>
        <v>0</v>
      </c>
      <c r="F2102" s="8">
        <f t="shared" si="9143"/>
        <v>0</v>
      </c>
      <c r="G2102" s="8">
        <f t="shared" si="9144"/>
        <v>0</v>
      </c>
      <c r="H2102" s="8">
        <f t="shared" si="9145"/>
        <v>0</v>
      </c>
      <c r="I2102" s="8">
        <f t="shared" si="9146"/>
        <v>0</v>
      </c>
      <c r="J2102" s="8">
        <f t="shared" si="9147"/>
        <v>1</v>
      </c>
      <c r="K2102" s="8">
        <f t="shared" si="9148"/>
        <v>0</v>
      </c>
      <c r="L2102" s="8">
        <f t="shared" si="9149"/>
        <v>0</v>
      </c>
      <c r="M2102" s="8">
        <f t="shared" si="9150"/>
        <v>0</v>
      </c>
      <c r="N2102" s="8">
        <f t="shared" si="9151"/>
        <v>0</v>
      </c>
      <c r="O2102" s="8">
        <f t="shared" si="9152"/>
        <v>0</v>
      </c>
      <c r="P2102" s="8" t="e">
        <v>#NUM!</v>
      </c>
      <c r="Q2102" s="8" t="e">
        <f t="shared" ref="Q2102" si="9181">IF(COUNTIF(P2095:P2105,"&lt;"&amp;-0.001)=0,IF(ABS(P2102)&lt;0.001,0,P2102)," ")</f>
        <v>#NUM!</v>
      </c>
      <c r="R2102" s="8"/>
      <c r="S2102" s="8"/>
      <c r="U2102" s="34"/>
      <c r="V2102" s="34"/>
      <c r="W2102" s="34"/>
      <c r="X2102" s="34"/>
      <c r="Y2102" s="34"/>
      <c r="Z2102" s="34"/>
      <c r="AA2102" s="34"/>
      <c r="AB2102" s="34"/>
      <c r="AC2102" s="34"/>
      <c r="AD2102" s="34"/>
      <c r="AE2102" s="34"/>
      <c r="AF2102" s="34"/>
      <c r="AG2102" s="34"/>
      <c r="AH2102" s="34"/>
      <c r="AI2102" s="34"/>
      <c r="AJ2102" s="34"/>
      <c r="AK2102" s="34"/>
      <c r="AL2102" s="34"/>
      <c r="AM2102" s="34"/>
      <c r="AN2102" s="34"/>
      <c r="AO2102" s="34"/>
      <c r="AP2102" s="34"/>
      <c r="AQ2102" s="34"/>
      <c r="AR2102" s="34"/>
      <c r="AS2102" s="34"/>
      <c r="AT2102" s="34"/>
      <c r="AU2102" s="34"/>
      <c r="AV2102" s="34"/>
      <c r="AW2102" s="34"/>
      <c r="AX2102" s="34"/>
      <c r="AY2102" s="34"/>
      <c r="AZ2102" s="34"/>
      <c r="BA2102" s="34"/>
      <c r="BB2102" s="34"/>
      <c r="BC2102" s="34"/>
      <c r="BD2102" s="34"/>
      <c r="BE2102" s="34"/>
      <c r="BF2102" s="34"/>
      <c r="BG2102" s="34"/>
      <c r="BH2102" s="34"/>
      <c r="BI2102" s="34"/>
      <c r="BJ2102" s="34"/>
      <c r="BK2102" s="34"/>
      <c r="BL2102" s="34"/>
      <c r="BM2102" s="34"/>
      <c r="BN2102" s="34"/>
      <c r="BO2102" s="34"/>
      <c r="BP2102" s="34"/>
      <c r="BQ2102" s="34"/>
      <c r="BR2102" s="34"/>
      <c r="BS2102" s="34"/>
      <c r="BT2102" s="34"/>
      <c r="BU2102" s="34"/>
      <c r="BV2102" s="34"/>
      <c r="BW2102" s="34"/>
      <c r="BX2102" s="34"/>
      <c r="BY2102" s="34"/>
      <c r="BZ2102" s="34"/>
      <c r="CA2102" s="34"/>
      <c r="CB2102" s="34"/>
      <c r="CC2102" s="34"/>
      <c r="CD2102" s="34"/>
      <c r="CE2102" s="34"/>
      <c r="CF2102" s="34"/>
      <c r="CG2102" s="34"/>
      <c r="CH2102" s="34"/>
      <c r="CI2102" s="8"/>
    </row>
    <row r="2103" spans="1:87" x14ac:dyDescent="0.2">
      <c r="A2103" s="8" t="str">
        <f>IF(AND(COUNTIF(W$3:W$13,A$23)&gt;0,A$23&lt;&gt;B2070),A$23,IFERROR(IF(MATCH(A$23,Z$3:Z$13,0)=2,A$23," ")," "))</f>
        <v xml:space="preserve"> </v>
      </c>
      <c r="B2103" s="8" t="str">
        <f>IF(A2103=" "," ",MAX(B2095:B2102)+1)</f>
        <v xml:space="preserve"> </v>
      </c>
      <c r="C2103" s="8" t="str">
        <f>IFERROR(INDEX(A2095:A2116,MATCH(SMALL(B2095:B2116,9),B2095:B2116,0),1)," ")</f>
        <v>C19</v>
      </c>
      <c r="D2103" s="8">
        <f t="shared" si="9141"/>
        <v>0</v>
      </c>
      <c r="E2103" s="8">
        <f t="shared" si="9142"/>
        <v>0</v>
      </c>
      <c r="F2103" s="8">
        <f t="shared" si="9143"/>
        <v>0</v>
      </c>
      <c r="G2103" s="8">
        <f t="shared" si="9144"/>
        <v>0</v>
      </c>
      <c r="H2103" s="8">
        <f t="shared" si="9145"/>
        <v>0</v>
      </c>
      <c r="I2103" s="8">
        <f t="shared" si="9146"/>
        <v>0</v>
      </c>
      <c r="J2103" s="8">
        <f t="shared" si="9147"/>
        <v>0</v>
      </c>
      <c r="K2103" s="8">
        <f t="shared" si="9148"/>
        <v>1</v>
      </c>
      <c r="L2103" s="8">
        <f t="shared" si="9149"/>
        <v>0</v>
      </c>
      <c r="M2103" s="8">
        <f t="shared" si="9150"/>
        <v>0</v>
      </c>
      <c r="N2103" s="8">
        <f t="shared" si="9151"/>
        <v>0</v>
      </c>
      <c r="O2103" s="8">
        <f t="shared" si="9152"/>
        <v>0</v>
      </c>
      <c r="P2103" s="6" t="e">
        <v>#NUM!</v>
      </c>
      <c r="Q2103" s="8" t="e">
        <f t="shared" ref="Q2103" si="9182">IF(COUNTIF(P2095:P2105,"&lt;"&amp;-0.001)=0,IF(ABS(P2103)&lt;0.001,0,P2103)," ")</f>
        <v>#NUM!</v>
      </c>
      <c r="R2103" s="12"/>
      <c r="S2103" s="12"/>
      <c r="T2103" s="21"/>
      <c r="U2103" s="34"/>
      <c r="V2103" s="34"/>
      <c r="W2103" s="34"/>
      <c r="X2103" s="34"/>
      <c r="Y2103" s="34"/>
      <c r="Z2103" s="34"/>
      <c r="AA2103" s="34"/>
      <c r="AB2103" s="34"/>
      <c r="AC2103" s="34"/>
      <c r="AD2103" s="34"/>
      <c r="AE2103" s="34"/>
      <c r="AF2103" s="34"/>
      <c r="AG2103" s="34"/>
      <c r="AH2103" s="34"/>
      <c r="AI2103" s="34"/>
      <c r="AJ2103" s="34"/>
      <c r="AK2103" s="34"/>
      <c r="AL2103" s="34"/>
      <c r="AM2103" s="34"/>
      <c r="AN2103" s="34"/>
      <c r="AO2103" s="34"/>
      <c r="AP2103" s="34"/>
      <c r="AQ2103" s="34"/>
      <c r="AR2103" s="34"/>
      <c r="AS2103" s="34"/>
      <c r="AT2103" s="34"/>
      <c r="AU2103" s="34"/>
      <c r="AV2103" s="34"/>
      <c r="AW2103" s="34"/>
      <c r="AX2103" s="34"/>
      <c r="AY2103" s="34"/>
      <c r="AZ2103" s="34"/>
      <c r="BA2103" s="34"/>
      <c r="BB2103" s="34"/>
      <c r="BC2103" s="34"/>
      <c r="BD2103" s="34"/>
      <c r="BE2103" s="34"/>
      <c r="BF2103" s="34"/>
      <c r="BG2103" s="34"/>
      <c r="BH2103" s="34"/>
      <c r="BI2103" s="34"/>
      <c r="BJ2103" s="34"/>
      <c r="BK2103" s="34"/>
      <c r="BL2103" s="34"/>
      <c r="BM2103" s="34"/>
      <c r="BN2103" s="34"/>
      <c r="BO2103" s="34"/>
      <c r="BP2103" s="34"/>
      <c r="BQ2103" s="34"/>
      <c r="BR2103" s="34"/>
      <c r="BS2103" s="34"/>
      <c r="BT2103" s="34"/>
      <c r="BU2103" s="34"/>
      <c r="BV2103" s="34"/>
      <c r="BW2103" s="34"/>
      <c r="BX2103" s="34"/>
      <c r="BY2103" s="34"/>
      <c r="BZ2103" s="34"/>
      <c r="CA2103" s="34"/>
      <c r="CB2103" s="34"/>
      <c r="CC2103" s="34"/>
      <c r="CD2103" s="34"/>
      <c r="CE2103" s="34"/>
      <c r="CF2103" s="34"/>
      <c r="CG2103" s="34"/>
      <c r="CH2103" s="34"/>
      <c r="CI2103" s="8"/>
    </row>
    <row r="2104" spans="1:87" x14ac:dyDescent="0.2">
      <c r="A2104" s="8" t="str">
        <f>IF(AND(COUNTIF(W$3:W$13,A$24)&gt;0,A$24&lt;&gt;B2070),A$24,IFERROR(IF(MATCH(A$24,Z$3:Z$13,0)=2,A$24," ")," "))</f>
        <v xml:space="preserve"> </v>
      </c>
      <c r="B2104" s="8" t="str">
        <f>IF(A2104=" "," ",MAX(B2095:B2103)+1)</f>
        <v xml:space="preserve"> </v>
      </c>
      <c r="C2104" s="8" t="str">
        <f>IFERROR(INDEX(A2095:A2116,MATCH(SMALL(B2095:B2116,10),B2095:B2116,0),1)," ")</f>
        <v>C21</v>
      </c>
      <c r="D2104" s="8">
        <f t="shared" si="9141"/>
        <v>0</v>
      </c>
      <c r="E2104" s="8">
        <f t="shared" si="9142"/>
        <v>0</v>
      </c>
      <c r="F2104" s="8">
        <f t="shared" si="9143"/>
        <v>0</v>
      </c>
      <c r="G2104" s="8">
        <f t="shared" si="9144"/>
        <v>0</v>
      </c>
      <c r="H2104" s="8">
        <f t="shared" si="9145"/>
        <v>0</v>
      </c>
      <c r="I2104" s="8">
        <f t="shared" si="9146"/>
        <v>0</v>
      </c>
      <c r="J2104" s="8">
        <f t="shared" si="9147"/>
        <v>0</v>
      </c>
      <c r="K2104" s="8">
        <f t="shared" si="9148"/>
        <v>0</v>
      </c>
      <c r="L2104" s="8">
        <f t="shared" si="9149"/>
        <v>0</v>
      </c>
      <c r="M2104" s="8">
        <f t="shared" si="9150"/>
        <v>1</v>
      </c>
      <c r="N2104" s="8">
        <f t="shared" si="9151"/>
        <v>0</v>
      </c>
      <c r="O2104" s="8">
        <f t="shared" si="9152"/>
        <v>0</v>
      </c>
      <c r="P2104" s="8" t="e">
        <v>#NUM!</v>
      </c>
      <c r="Q2104" s="8" t="e">
        <f t="shared" ref="Q2104" si="9183">IF(COUNTIF(P2095:P2105,"&lt;"&amp;-0.001)=0,IF(ABS(P2104)&lt;0.001,0,P2104)," ")</f>
        <v>#NUM!</v>
      </c>
      <c r="R2104" s="8"/>
      <c r="S2104" s="8"/>
      <c r="U2104" s="34"/>
      <c r="V2104" s="34"/>
      <c r="W2104" s="34"/>
      <c r="X2104" s="34"/>
      <c r="Y2104" s="34"/>
      <c r="Z2104" s="34"/>
      <c r="AA2104" s="34"/>
      <c r="AB2104" s="34"/>
      <c r="AC2104" s="34"/>
      <c r="AD2104" s="34"/>
      <c r="AE2104" s="34"/>
      <c r="AF2104" s="34"/>
      <c r="AG2104" s="34"/>
      <c r="AH2104" s="34"/>
      <c r="AI2104" s="34"/>
      <c r="AJ2104" s="34"/>
      <c r="AK2104" s="34"/>
      <c r="AL2104" s="34"/>
      <c r="AM2104" s="34"/>
      <c r="AN2104" s="34"/>
      <c r="AO2104" s="34"/>
      <c r="AP2104" s="34"/>
      <c r="AQ2104" s="34"/>
      <c r="AR2104" s="34"/>
      <c r="AS2104" s="34"/>
      <c r="AT2104" s="34"/>
      <c r="AU2104" s="34"/>
      <c r="AV2104" s="34"/>
      <c r="AW2104" s="34"/>
      <c r="AX2104" s="34"/>
      <c r="AY2104" s="34"/>
      <c r="AZ2104" s="34"/>
      <c r="BA2104" s="34"/>
      <c r="BB2104" s="34"/>
      <c r="BC2104" s="34"/>
      <c r="BD2104" s="34"/>
      <c r="BE2104" s="34"/>
      <c r="BF2104" s="34"/>
      <c r="BG2104" s="34"/>
      <c r="BH2104" s="34"/>
      <c r="BI2104" s="34"/>
      <c r="BJ2104" s="34"/>
      <c r="BK2104" s="34"/>
      <c r="BL2104" s="34"/>
      <c r="BM2104" s="34"/>
      <c r="BN2104" s="34"/>
      <c r="BO2104" s="34"/>
      <c r="BP2104" s="34"/>
      <c r="BQ2104" s="34"/>
      <c r="BR2104" s="34"/>
      <c r="BS2104" s="34"/>
      <c r="BT2104" s="34"/>
      <c r="BU2104" s="34"/>
      <c r="BV2104" s="34"/>
      <c r="BW2104" s="34"/>
      <c r="BX2104" s="34"/>
      <c r="BY2104" s="34"/>
      <c r="BZ2104" s="34"/>
      <c r="CA2104" s="34"/>
      <c r="CB2104" s="34"/>
      <c r="CC2104" s="34"/>
      <c r="CD2104" s="34"/>
      <c r="CE2104" s="34"/>
      <c r="CF2104" s="34"/>
      <c r="CG2104" s="34"/>
      <c r="CH2104" s="34"/>
      <c r="CI2104" s="8"/>
    </row>
    <row r="2105" spans="1:87" x14ac:dyDescent="0.2">
      <c r="A2105" s="8" t="str">
        <f>IF(AND(COUNTIF(W$3:W$13,A$25)&gt;0,A$25&lt;&gt;B2070),A$25,IFERROR(IF(MATCH(A$25,Z$3:Z$13,0)=2,A$25," ")," "))</f>
        <v xml:space="preserve"> </v>
      </c>
      <c r="B2105" s="8" t="str">
        <f>IF(A2105=" "," ",MAX(B2095:B2104)+1)</f>
        <v xml:space="preserve"> </v>
      </c>
      <c r="C2105" s="8" t="str">
        <f>IFERROR(INDEX(A2095:A2116,MATCH(SMALL(B2095:B2116,11),B2095:B2116,0),1)," ")</f>
        <v>C22</v>
      </c>
      <c r="D2105" s="8">
        <f t="shared" si="9141"/>
        <v>0</v>
      </c>
      <c r="E2105" s="8">
        <f t="shared" si="9142"/>
        <v>0</v>
      </c>
      <c r="F2105" s="8">
        <f t="shared" si="9143"/>
        <v>0</v>
      </c>
      <c r="G2105" s="8">
        <f t="shared" si="9144"/>
        <v>0</v>
      </c>
      <c r="H2105" s="8">
        <f t="shared" si="9145"/>
        <v>0</v>
      </c>
      <c r="I2105" s="8">
        <f t="shared" si="9146"/>
        <v>0</v>
      </c>
      <c r="J2105" s="8">
        <f t="shared" si="9147"/>
        <v>0</v>
      </c>
      <c r="K2105" s="8">
        <f t="shared" si="9148"/>
        <v>0</v>
      </c>
      <c r="L2105" s="8">
        <f t="shared" si="9149"/>
        <v>0</v>
      </c>
      <c r="M2105" s="8">
        <f t="shared" si="9150"/>
        <v>0</v>
      </c>
      <c r="N2105" s="8">
        <f t="shared" si="9151"/>
        <v>1</v>
      </c>
      <c r="O2105" s="8">
        <f t="shared" si="9152"/>
        <v>0</v>
      </c>
      <c r="P2105" s="8" t="e">
        <v>#NUM!</v>
      </c>
      <c r="Q2105" s="8" t="e">
        <f t="shared" ref="Q2105" si="9184">IF(COUNTIF(P2095:P2105,"&lt;"&amp;-0.001)=0,IF(ABS(P2105)&lt;0.001,0,P2105)," ")</f>
        <v>#NUM!</v>
      </c>
      <c r="R2105" s="8"/>
      <c r="S2105" s="8"/>
      <c r="U2105" s="34"/>
      <c r="V2105" s="34"/>
      <c r="W2105" s="34"/>
      <c r="X2105" s="34"/>
      <c r="Y2105" s="34"/>
      <c r="Z2105" s="34"/>
      <c r="AA2105" s="34"/>
      <c r="AB2105" s="34"/>
      <c r="AC2105" s="34"/>
      <c r="AD2105" s="34"/>
      <c r="AE2105" s="34"/>
      <c r="AF2105" s="34"/>
      <c r="AG2105" s="34"/>
      <c r="AH2105" s="34"/>
      <c r="AI2105" s="34"/>
      <c r="AJ2105" s="34"/>
      <c r="AK2105" s="34"/>
      <c r="AL2105" s="34"/>
      <c r="AM2105" s="34"/>
      <c r="AN2105" s="34"/>
      <c r="AO2105" s="34"/>
      <c r="AP2105" s="34"/>
      <c r="AQ2105" s="34"/>
      <c r="AR2105" s="34"/>
      <c r="AS2105" s="34"/>
      <c r="AT2105" s="34"/>
      <c r="AU2105" s="34"/>
      <c r="AV2105" s="34"/>
      <c r="AW2105" s="34"/>
      <c r="AX2105" s="34"/>
      <c r="AY2105" s="34"/>
      <c r="AZ2105" s="34"/>
      <c r="BA2105" s="34"/>
      <c r="BB2105" s="34"/>
      <c r="BC2105" s="34"/>
      <c r="BD2105" s="34"/>
      <c r="BE2105" s="34"/>
      <c r="BF2105" s="34"/>
      <c r="BG2105" s="34"/>
      <c r="BH2105" s="34"/>
      <c r="BI2105" s="34"/>
      <c r="BJ2105" s="34"/>
      <c r="BK2105" s="34"/>
      <c r="BL2105" s="34"/>
      <c r="BM2105" s="34"/>
      <c r="BN2105" s="34"/>
      <c r="BO2105" s="34"/>
      <c r="BP2105" s="34"/>
      <c r="BQ2105" s="34"/>
      <c r="BR2105" s="34"/>
      <c r="BS2105" s="34"/>
      <c r="BT2105" s="34"/>
      <c r="BU2105" s="34"/>
      <c r="BV2105" s="34"/>
      <c r="BW2105" s="34"/>
      <c r="BX2105" s="34"/>
      <c r="BY2105" s="34"/>
      <c r="BZ2105" s="34"/>
      <c r="CA2105" s="34"/>
      <c r="CB2105" s="34"/>
      <c r="CC2105" s="34"/>
      <c r="CD2105" s="34"/>
      <c r="CE2105" s="34"/>
      <c r="CF2105" s="34"/>
      <c r="CG2105" s="34"/>
      <c r="CH2105" s="34"/>
      <c r="CI2105" s="8"/>
    </row>
    <row r="2106" spans="1:87" x14ac:dyDescent="0.2">
      <c r="A2106" s="8" t="str">
        <f>IF(AND(COUNTIF(W$3:W$13,A$26)&gt;0,A$26&lt;&gt;B2070),A$26,IFERROR(IF(MATCH(A$26,Z$3:Z$13,0)=2,A$26," ")," "))</f>
        <v xml:space="preserve"> </v>
      </c>
      <c r="B2106" s="8" t="str">
        <f>IF(A2106=" "," ",MAX(B2095:B2105)+1)</f>
        <v xml:space="preserve"> </v>
      </c>
      <c r="C2106" s="8"/>
      <c r="D2106" s="8"/>
      <c r="E2106" s="8"/>
      <c r="F2106" s="8"/>
      <c r="G2106" s="8"/>
      <c r="H2106" s="8"/>
      <c r="I2106" s="8"/>
      <c r="J2106" s="8"/>
      <c r="K2106" s="8"/>
      <c r="L2106" s="8"/>
      <c r="M2106" s="8"/>
      <c r="N2106" s="8"/>
      <c r="O2106" s="8"/>
      <c r="P2106" s="8"/>
      <c r="Q2106" s="8"/>
      <c r="R2106" s="8"/>
      <c r="S2106" s="8"/>
      <c r="U2106" s="34"/>
      <c r="V2106" s="34"/>
      <c r="W2106" s="34"/>
      <c r="X2106" s="34"/>
      <c r="Y2106" s="34"/>
      <c r="Z2106" s="34"/>
      <c r="AA2106" s="34"/>
      <c r="AB2106" s="34"/>
      <c r="AC2106" s="34"/>
      <c r="AD2106" s="34"/>
      <c r="AE2106" s="34"/>
      <c r="AF2106" s="34"/>
      <c r="AG2106" s="34"/>
      <c r="AH2106" s="34"/>
      <c r="AI2106" s="34"/>
      <c r="AJ2106" s="34"/>
      <c r="AK2106" s="34"/>
      <c r="AL2106" s="34"/>
      <c r="AM2106" s="34"/>
      <c r="AN2106" s="34"/>
      <c r="AO2106" s="34"/>
      <c r="AP2106" s="34"/>
      <c r="AQ2106" s="34"/>
      <c r="AR2106" s="34"/>
      <c r="AS2106" s="34"/>
      <c r="AT2106" s="34"/>
      <c r="AU2106" s="34"/>
      <c r="AV2106" s="34"/>
      <c r="AW2106" s="34"/>
      <c r="AX2106" s="34"/>
      <c r="AY2106" s="34"/>
      <c r="AZ2106" s="34"/>
      <c r="BA2106" s="34"/>
      <c r="BB2106" s="34"/>
      <c r="BC2106" s="34"/>
      <c r="BD2106" s="34"/>
      <c r="BE2106" s="34"/>
      <c r="BF2106" s="34"/>
      <c r="BG2106" s="34"/>
      <c r="BH2106" s="34"/>
      <c r="BI2106" s="34"/>
      <c r="BJ2106" s="34"/>
      <c r="BK2106" s="34"/>
      <c r="BL2106" s="34"/>
      <c r="BM2106" s="34"/>
      <c r="BN2106" s="34"/>
      <c r="BO2106" s="34"/>
      <c r="BP2106" s="34"/>
      <c r="BQ2106" s="34"/>
      <c r="BR2106" s="34"/>
      <c r="BS2106" s="34"/>
      <c r="BT2106" s="34"/>
      <c r="BU2106" s="34"/>
      <c r="BV2106" s="34"/>
      <c r="BW2106" s="34"/>
      <c r="BX2106" s="34"/>
      <c r="BY2106" s="34"/>
      <c r="BZ2106" s="34"/>
      <c r="CA2106" s="34"/>
      <c r="CB2106" s="34"/>
      <c r="CC2106" s="34"/>
      <c r="CD2106" s="34"/>
      <c r="CE2106" s="34"/>
      <c r="CF2106" s="34"/>
      <c r="CG2106" s="34"/>
      <c r="CH2106" s="34"/>
      <c r="CI2106" s="8"/>
    </row>
    <row r="2107" spans="1:87" x14ac:dyDescent="0.2">
      <c r="A2107" s="8" t="str">
        <f>IF(AND(COUNTIF(W$3:W$13,A$27)&gt;0,A$27&lt;&gt;B2070),A$27,IFERROR(IF(MATCH(A$27,Z$3:Z$13,0)=2,A$27," ")," "))</f>
        <v>C13</v>
      </c>
      <c r="B2107" s="8">
        <f>IF(A2107=" "," ",MAX(B2095:B2106)+1)</f>
        <v>4</v>
      </c>
      <c r="C2107" s="8"/>
      <c r="D2107" s="8"/>
      <c r="E2107" s="8"/>
      <c r="F2107" s="8"/>
      <c r="G2107" s="8"/>
      <c r="H2107" s="8"/>
      <c r="I2107" s="8"/>
      <c r="J2107" s="8"/>
      <c r="K2107" s="8"/>
      <c r="L2107" s="8"/>
      <c r="M2107" s="8"/>
      <c r="N2107" s="8"/>
      <c r="O2107" s="8"/>
      <c r="P2107" s="8"/>
      <c r="Q2107" s="8"/>
      <c r="R2107" s="8"/>
      <c r="S2107" s="8"/>
      <c r="U2107" s="34"/>
      <c r="V2107" s="34"/>
      <c r="W2107" s="34"/>
      <c r="X2107" s="34"/>
      <c r="Y2107" s="34"/>
      <c r="Z2107" s="34"/>
      <c r="AA2107" s="34"/>
      <c r="AB2107" s="34"/>
      <c r="AC2107" s="34"/>
      <c r="AD2107" s="34"/>
      <c r="AE2107" s="34"/>
      <c r="AF2107" s="34"/>
      <c r="AG2107" s="34"/>
      <c r="AH2107" s="34"/>
      <c r="AI2107" s="34"/>
      <c r="AJ2107" s="34"/>
      <c r="AK2107" s="34"/>
      <c r="AL2107" s="34"/>
      <c r="AM2107" s="34"/>
      <c r="AN2107" s="34"/>
      <c r="AO2107" s="34"/>
      <c r="AP2107" s="34"/>
      <c r="AQ2107" s="34"/>
      <c r="AR2107" s="34"/>
      <c r="AS2107" s="34"/>
      <c r="AT2107" s="34"/>
      <c r="AU2107" s="34"/>
      <c r="AV2107" s="34"/>
      <c r="AW2107" s="34"/>
      <c r="AX2107" s="34"/>
      <c r="AY2107" s="34"/>
      <c r="AZ2107" s="34"/>
      <c r="BA2107" s="34"/>
      <c r="BB2107" s="34"/>
      <c r="BC2107" s="34"/>
      <c r="BD2107" s="34"/>
      <c r="BE2107" s="34"/>
      <c r="BF2107" s="34"/>
      <c r="BG2107" s="34"/>
      <c r="BH2107" s="34"/>
      <c r="BI2107" s="34"/>
      <c r="BJ2107" s="34"/>
      <c r="BK2107" s="34"/>
      <c r="BL2107" s="34"/>
      <c r="BM2107" s="34"/>
      <c r="BN2107" s="34"/>
      <c r="BO2107" s="34"/>
      <c r="BP2107" s="34"/>
      <c r="BQ2107" s="34"/>
      <c r="BR2107" s="34"/>
      <c r="BS2107" s="34"/>
      <c r="BT2107" s="34"/>
      <c r="BU2107" s="34"/>
      <c r="BV2107" s="34"/>
      <c r="BW2107" s="34"/>
      <c r="BX2107" s="34"/>
      <c r="BY2107" s="34"/>
      <c r="BZ2107" s="34"/>
      <c r="CA2107" s="34"/>
      <c r="CB2107" s="34"/>
      <c r="CC2107" s="34"/>
      <c r="CD2107" s="34"/>
      <c r="CE2107" s="34"/>
      <c r="CF2107" s="34"/>
      <c r="CG2107" s="34"/>
      <c r="CH2107" s="34"/>
      <c r="CI2107" s="8"/>
    </row>
    <row r="2108" spans="1:87" x14ac:dyDescent="0.2">
      <c r="A2108" s="8" t="str">
        <f>IF(AND(COUNTIF(W$3:W$13,A$28)&gt;0,A$28&lt;&gt;B2070),A$28,IFERROR(IF(MATCH(A$28,Z$3:Z$13,0)=2,A$28," ")," "))</f>
        <v xml:space="preserve"> </v>
      </c>
      <c r="B2108" s="8" t="str">
        <f>IF(A2108=" "," ",MAX(B2095:B2107)+1)</f>
        <v xml:space="preserve"> </v>
      </c>
      <c r="C2108" s="8"/>
      <c r="D2108" s="8"/>
      <c r="E2108" s="8"/>
      <c r="F2108" s="8"/>
      <c r="G2108" s="8"/>
      <c r="H2108" s="8"/>
      <c r="I2108" s="8"/>
      <c r="J2108" s="8"/>
      <c r="K2108" s="8"/>
      <c r="L2108" s="8"/>
      <c r="M2108" s="8"/>
      <c r="N2108" s="8"/>
      <c r="O2108" s="8"/>
      <c r="P2108" s="8"/>
      <c r="Q2108" s="8"/>
      <c r="R2108" s="8"/>
      <c r="S2108" s="8"/>
      <c r="U2108" s="34"/>
      <c r="V2108" s="34"/>
      <c r="W2108" s="34"/>
      <c r="X2108" s="34"/>
      <c r="Y2108" s="34"/>
      <c r="Z2108" s="34"/>
      <c r="AA2108" s="34"/>
      <c r="AB2108" s="34"/>
      <c r="AC2108" s="34"/>
      <c r="AD2108" s="34"/>
      <c r="AE2108" s="34"/>
      <c r="AF2108" s="34"/>
      <c r="AG2108" s="34"/>
      <c r="AH2108" s="34"/>
      <c r="AI2108" s="34"/>
      <c r="AJ2108" s="34"/>
      <c r="AK2108" s="34"/>
      <c r="AL2108" s="34"/>
      <c r="AM2108" s="34"/>
      <c r="AN2108" s="34"/>
      <c r="AO2108" s="34"/>
      <c r="AP2108" s="34"/>
      <c r="AQ2108" s="34"/>
      <c r="AR2108" s="34"/>
      <c r="AS2108" s="34"/>
      <c r="AT2108" s="34"/>
      <c r="AU2108" s="34"/>
      <c r="AV2108" s="34"/>
      <c r="AW2108" s="34"/>
      <c r="AX2108" s="34"/>
      <c r="AY2108" s="34"/>
      <c r="AZ2108" s="34"/>
      <c r="BA2108" s="34"/>
      <c r="BB2108" s="34"/>
      <c r="BC2108" s="34"/>
      <c r="BD2108" s="34"/>
      <c r="BE2108" s="34"/>
      <c r="BF2108" s="34"/>
      <c r="BG2108" s="34"/>
      <c r="BH2108" s="34"/>
      <c r="BI2108" s="34"/>
      <c r="BJ2108" s="34"/>
      <c r="BK2108" s="34"/>
      <c r="BL2108" s="34"/>
      <c r="BM2108" s="34"/>
      <c r="BN2108" s="34"/>
      <c r="BO2108" s="34"/>
      <c r="BP2108" s="34"/>
      <c r="BQ2108" s="34"/>
      <c r="BR2108" s="34"/>
      <c r="BS2108" s="34"/>
      <c r="BT2108" s="34"/>
      <c r="BU2108" s="34"/>
      <c r="BV2108" s="34"/>
      <c r="BW2108" s="34"/>
      <c r="BX2108" s="34"/>
      <c r="BY2108" s="34"/>
      <c r="BZ2108" s="34"/>
      <c r="CA2108" s="34"/>
      <c r="CB2108" s="34"/>
      <c r="CC2108" s="34"/>
      <c r="CD2108" s="34"/>
      <c r="CE2108" s="34"/>
      <c r="CF2108" s="34"/>
      <c r="CG2108" s="34"/>
      <c r="CH2108" s="34"/>
      <c r="CI2108" s="8"/>
    </row>
    <row r="2109" spans="1:87" x14ac:dyDescent="0.2">
      <c r="A2109" s="8" t="str">
        <f>IF(AND(COUNTIF(W$3:W$13,A$29)&gt;0,A$29&lt;&gt;B2070),A$29,IFERROR(IF(MATCH(A$29,Z$3:Z$13,0)=2,A$29," ")," "))</f>
        <v>C15</v>
      </c>
      <c r="B2109" s="8">
        <f>IF(A2109=" "," ",MAX(B2095:B2108)+1)</f>
        <v>5</v>
      </c>
      <c r="C2109" s="8"/>
      <c r="D2109" s="8"/>
      <c r="E2109" s="8"/>
      <c r="F2109" s="8"/>
      <c r="G2109" s="8"/>
      <c r="H2109" s="8"/>
      <c r="I2109" s="8"/>
      <c r="J2109" s="8"/>
      <c r="K2109" s="8"/>
      <c r="L2109" s="8"/>
      <c r="M2109" s="8"/>
      <c r="N2109" s="8"/>
      <c r="O2109" s="8"/>
      <c r="P2109" s="8"/>
      <c r="Q2109" s="8"/>
      <c r="R2109" s="8"/>
      <c r="S2109" s="8"/>
      <c r="U2109" s="34"/>
      <c r="V2109" s="34"/>
      <c r="W2109" s="34"/>
      <c r="X2109" s="34"/>
      <c r="Y2109" s="34"/>
      <c r="Z2109" s="34"/>
      <c r="AA2109" s="34"/>
      <c r="AB2109" s="34"/>
      <c r="AC2109" s="34"/>
      <c r="AD2109" s="34"/>
      <c r="AE2109" s="34"/>
      <c r="AF2109" s="34"/>
      <c r="AG2109" s="34"/>
      <c r="AH2109" s="34"/>
      <c r="AI2109" s="34"/>
      <c r="AJ2109" s="34"/>
      <c r="AK2109" s="34"/>
      <c r="AL2109" s="34"/>
      <c r="AM2109" s="34"/>
      <c r="AN2109" s="34"/>
      <c r="AO2109" s="34"/>
      <c r="AP2109" s="34"/>
      <c r="AQ2109" s="34"/>
      <c r="AR2109" s="34"/>
      <c r="AS2109" s="34"/>
      <c r="AT2109" s="34"/>
      <c r="AU2109" s="34"/>
      <c r="AV2109" s="34"/>
      <c r="AW2109" s="34"/>
      <c r="AX2109" s="34"/>
      <c r="AY2109" s="34"/>
      <c r="AZ2109" s="34"/>
      <c r="BA2109" s="34"/>
      <c r="BB2109" s="34"/>
      <c r="BC2109" s="34"/>
      <c r="BD2109" s="34"/>
      <c r="BE2109" s="34"/>
      <c r="BF2109" s="34"/>
      <c r="BG2109" s="34"/>
      <c r="BH2109" s="34"/>
      <c r="BI2109" s="34"/>
      <c r="BJ2109" s="34"/>
      <c r="BK2109" s="34"/>
      <c r="BL2109" s="34"/>
      <c r="BM2109" s="34"/>
      <c r="BN2109" s="34"/>
      <c r="BO2109" s="34"/>
      <c r="BP2109" s="34"/>
      <c r="BQ2109" s="34"/>
      <c r="BR2109" s="34"/>
      <c r="BS2109" s="34"/>
      <c r="BT2109" s="34"/>
      <c r="BU2109" s="34"/>
      <c r="BV2109" s="34"/>
      <c r="BW2109" s="34"/>
      <c r="BX2109" s="34"/>
      <c r="BY2109" s="34"/>
      <c r="BZ2109" s="34"/>
      <c r="CA2109" s="34"/>
      <c r="CB2109" s="34"/>
      <c r="CC2109" s="34"/>
      <c r="CD2109" s="34"/>
      <c r="CE2109" s="34"/>
      <c r="CF2109" s="34"/>
      <c r="CG2109" s="34"/>
      <c r="CH2109" s="34"/>
      <c r="CI2109" s="8"/>
    </row>
    <row r="2110" spans="1:87" x14ac:dyDescent="0.2">
      <c r="A2110" s="8" t="str">
        <f>IF(AND(COUNTIF(W$3:W$13,A$30)&gt;0,A$30&lt;&gt;B2070),A$30,IFERROR(IF(MATCH(A$30,Z$3:Z$13,0)=2,A$30," ")," "))</f>
        <v>C16</v>
      </c>
      <c r="B2110" s="8">
        <f>IF(A2110=" "," ",MAX(B2095:B2109)+1)</f>
        <v>6</v>
      </c>
      <c r="C2110" s="8"/>
      <c r="D2110" s="8"/>
      <c r="E2110" s="8"/>
      <c r="F2110" s="8"/>
      <c r="G2110" s="8"/>
      <c r="H2110" s="8"/>
      <c r="I2110" s="8"/>
      <c r="J2110" s="8"/>
      <c r="K2110" s="8"/>
      <c r="L2110" s="8"/>
      <c r="M2110" s="8"/>
      <c r="N2110" s="8"/>
      <c r="O2110" s="8"/>
      <c r="P2110" s="8"/>
      <c r="Q2110" s="8"/>
      <c r="R2110" s="8"/>
      <c r="S2110" s="8"/>
      <c r="U2110" s="34"/>
      <c r="V2110" s="34"/>
      <c r="W2110" s="34"/>
      <c r="X2110" s="34"/>
      <c r="Y2110" s="34"/>
      <c r="Z2110" s="34"/>
      <c r="AA2110" s="34"/>
      <c r="AB2110" s="34"/>
      <c r="AC2110" s="34"/>
      <c r="AD2110" s="34"/>
      <c r="AE2110" s="34"/>
      <c r="AF2110" s="34"/>
      <c r="AG2110" s="34"/>
      <c r="AH2110" s="34"/>
      <c r="AI2110" s="34"/>
      <c r="AJ2110" s="34"/>
      <c r="AK2110" s="34"/>
      <c r="AL2110" s="34"/>
      <c r="AM2110" s="34"/>
      <c r="AN2110" s="34"/>
      <c r="AO2110" s="34"/>
      <c r="AP2110" s="34"/>
      <c r="AQ2110" s="34"/>
      <c r="AR2110" s="34"/>
      <c r="AS2110" s="34"/>
      <c r="AT2110" s="34"/>
      <c r="AU2110" s="34"/>
      <c r="AV2110" s="34"/>
      <c r="AW2110" s="34"/>
      <c r="AX2110" s="34"/>
      <c r="AY2110" s="34"/>
      <c r="AZ2110" s="34"/>
      <c r="BA2110" s="34"/>
      <c r="BB2110" s="34"/>
      <c r="BC2110" s="34"/>
      <c r="BD2110" s="34"/>
      <c r="BE2110" s="34"/>
      <c r="BF2110" s="34"/>
      <c r="BG2110" s="34"/>
      <c r="BH2110" s="34"/>
      <c r="BI2110" s="34"/>
      <c r="BJ2110" s="34"/>
      <c r="BK2110" s="34"/>
      <c r="BL2110" s="34"/>
      <c r="BM2110" s="34"/>
      <c r="BN2110" s="34"/>
      <c r="BO2110" s="34"/>
      <c r="BP2110" s="34"/>
      <c r="BQ2110" s="34"/>
      <c r="BR2110" s="34"/>
      <c r="BS2110" s="34"/>
      <c r="BT2110" s="34"/>
      <c r="BU2110" s="34"/>
      <c r="BV2110" s="34"/>
      <c r="BW2110" s="34"/>
      <c r="BX2110" s="34"/>
      <c r="BY2110" s="34"/>
      <c r="BZ2110" s="34"/>
      <c r="CA2110" s="34"/>
      <c r="CB2110" s="34"/>
      <c r="CC2110" s="34"/>
      <c r="CD2110" s="34"/>
      <c r="CE2110" s="34"/>
      <c r="CF2110" s="34"/>
      <c r="CG2110" s="34"/>
      <c r="CH2110" s="34"/>
      <c r="CI2110" s="8"/>
    </row>
    <row r="2111" spans="1:87" x14ac:dyDescent="0.2">
      <c r="A2111" s="8" t="str">
        <f>IF(AND(COUNTIF(W$3:W$13,A$31)&gt;0,A$31&lt;&gt;B2070),A$31,IFERROR(IF(MATCH(A$31,Z$3:Z$13,0)=2,A$31," ")," "))</f>
        <v>C17</v>
      </c>
      <c r="B2111" s="8">
        <f>IF(A2111=" "," ",MAX(B2095:B2110)+1)</f>
        <v>7</v>
      </c>
      <c r="C2111" s="8"/>
      <c r="D2111" s="8"/>
      <c r="E2111" s="8"/>
      <c r="F2111" s="8"/>
      <c r="G2111" s="8"/>
      <c r="H2111" s="8"/>
      <c r="I2111" s="8"/>
      <c r="J2111" s="8"/>
      <c r="K2111" s="8"/>
      <c r="L2111" s="8"/>
      <c r="M2111" s="8"/>
      <c r="N2111" s="8"/>
      <c r="O2111" s="8"/>
      <c r="P2111" s="8"/>
      <c r="Q2111" s="8"/>
      <c r="R2111" s="8"/>
      <c r="S2111" s="8"/>
      <c r="U2111" s="34"/>
      <c r="V2111" s="34"/>
      <c r="W2111" s="34"/>
      <c r="X2111" s="34"/>
      <c r="Y2111" s="34"/>
      <c r="Z2111" s="34"/>
      <c r="AA2111" s="34"/>
      <c r="AB2111" s="34"/>
      <c r="AC2111" s="34"/>
      <c r="AD2111" s="34"/>
      <c r="AE2111" s="34"/>
      <c r="AF2111" s="34"/>
      <c r="AG2111" s="34"/>
      <c r="AH2111" s="34"/>
      <c r="AI2111" s="34"/>
      <c r="AJ2111" s="34"/>
      <c r="AK2111" s="34"/>
      <c r="AL2111" s="34"/>
      <c r="AM2111" s="34"/>
      <c r="AN2111" s="34"/>
      <c r="AO2111" s="34"/>
      <c r="AP2111" s="34"/>
      <c r="AQ2111" s="34"/>
      <c r="AR2111" s="34"/>
      <c r="AS2111" s="34"/>
      <c r="AT2111" s="34"/>
      <c r="AU2111" s="34"/>
      <c r="AV2111" s="34"/>
      <c r="AW2111" s="34"/>
      <c r="AX2111" s="34"/>
      <c r="AY2111" s="34"/>
      <c r="AZ2111" s="34"/>
      <c r="BA2111" s="34"/>
      <c r="BB2111" s="34"/>
      <c r="BC2111" s="34"/>
      <c r="BD2111" s="34"/>
      <c r="BE2111" s="34"/>
      <c r="BF2111" s="34"/>
      <c r="BG2111" s="34"/>
      <c r="BH2111" s="34"/>
      <c r="BI2111" s="34"/>
      <c r="BJ2111" s="34"/>
      <c r="BK2111" s="34"/>
      <c r="BL2111" s="34"/>
      <c r="BM2111" s="34"/>
      <c r="BN2111" s="34"/>
      <c r="BO2111" s="34"/>
      <c r="BP2111" s="34"/>
      <c r="BQ2111" s="34"/>
      <c r="BR2111" s="34"/>
      <c r="BS2111" s="34"/>
      <c r="BT2111" s="34"/>
      <c r="BU2111" s="34"/>
      <c r="BV2111" s="34"/>
      <c r="BW2111" s="34"/>
      <c r="BX2111" s="34"/>
      <c r="BY2111" s="34"/>
      <c r="BZ2111" s="34"/>
      <c r="CA2111" s="34"/>
      <c r="CB2111" s="34"/>
      <c r="CC2111" s="34"/>
      <c r="CD2111" s="34"/>
      <c r="CE2111" s="34"/>
      <c r="CF2111" s="34"/>
      <c r="CG2111" s="34"/>
      <c r="CH2111" s="34"/>
      <c r="CI2111" s="8"/>
    </row>
    <row r="2112" spans="1:87" x14ac:dyDescent="0.2">
      <c r="A2112" s="8" t="str">
        <f>IF(AND(COUNTIF(W$3:W$13,A$32)&gt;0,A$32&lt;&gt;B2070),A$32,IFERROR(IF(MATCH(A$32,Z$3:Z$13,0)=2,A$32," ")," "))</f>
        <v>C18</v>
      </c>
      <c r="B2112" s="8">
        <f>IF(A2112=" "," ",MAX(B2095:B2111)+1)</f>
        <v>8</v>
      </c>
      <c r="C2112" s="8"/>
      <c r="D2112" s="8"/>
      <c r="E2112" s="8"/>
      <c r="F2112" s="8"/>
      <c r="G2112" s="8"/>
      <c r="H2112" s="8"/>
      <c r="I2112" s="8"/>
      <c r="J2112" s="8"/>
      <c r="K2112" s="8"/>
      <c r="L2112" s="8"/>
      <c r="M2112" s="8"/>
      <c r="N2112" s="8"/>
      <c r="O2112" s="8"/>
      <c r="P2112" s="8"/>
      <c r="Q2112" s="8"/>
      <c r="R2112" s="8"/>
      <c r="S2112" s="8"/>
      <c r="U2112" s="34"/>
      <c r="V2112" s="34"/>
      <c r="W2112" s="34"/>
      <c r="X2112" s="34"/>
      <c r="Y2112" s="34"/>
      <c r="Z2112" s="34"/>
      <c r="AA2112" s="34"/>
      <c r="AB2112" s="34"/>
      <c r="AC2112" s="34"/>
      <c r="AD2112" s="34"/>
      <c r="AE2112" s="34"/>
      <c r="AF2112" s="34"/>
      <c r="AG2112" s="34"/>
      <c r="AH2112" s="34"/>
      <c r="AI2112" s="34"/>
      <c r="AJ2112" s="34"/>
      <c r="AK2112" s="34"/>
      <c r="AL2112" s="34"/>
      <c r="AM2112" s="34"/>
      <c r="AN2112" s="34"/>
      <c r="AO2112" s="34"/>
      <c r="AP2112" s="34"/>
      <c r="AQ2112" s="34"/>
      <c r="AR2112" s="34"/>
      <c r="AS2112" s="34"/>
      <c r="AT2112" s="34"/>
      <c r="AU2112" s="34"/>
      <c r="AV2112" s="34"/>
      <c r="AW2112" s="34"/>
      <c r="AX2112" s="34"/>
      <c r="AY2112" s="34"/>
      <c r="AZ2112" s="34"/>
      <c r="BA2112" s="34"/>
      <c r="BB2112" s="34"/>
      <c r="BC2112" s="34"/>
      <c r="BD2112" s="34"/>
      <c r="BE2112" s="34"/>
      <c r="BF2112" s="34"/>
      <c r="BG2112" s="34"/>
      <c r="BH2112" s="34"/>
      <c r="BI2112" s="34"/>
      <c r="BJ2112" s="34"/>
      <c r="BK2112" s="34"/>
      <c r="BL2112" s="34"/>
      <c r="BM2112" s="34"/>
      <c r="BN2112" s="34"/>
      <c r="BO2112" s="34"/>
      <c r="BP2112" s="34"/>
      <c r="BQ2112" s="34"/>
      <c r="BR2112" s="34"/>
      <c r="BS2112" s="34"/>
      <c r="BT2112" s="34"/>
      <c r="BU2112" s="34"/>
      <c r="BV2112" s="34"/>
      <c r="BW2112" s="34"/>
      <c r="BX2112" s="34"/>
      <c r="BY2112" s="34"/>
      <c r="BZ2112" s="34"/>
      <c r="CA2112" s="34"/>
      <c r="CB2112" s="34"/>
      <c r="CC2112" s="34"/>
      <c r="CD2112" s="34"/>
      <c r="CE2112" s="34"/>
      <c r="CF2112" s="34"/>
      <c r="CG2112" s="34"/>
      <c r="CH2112" s="34"/>
      <c r="CI2112" s="8"/>
    </row>
    <row r="2113" spans="1:87" x14ac:dyDescent="0.2">
      <c r="A2113" s="8" t="str">
        <f>IF(AND(COUNTIF(W$3:W$13,A$33)&gt;0,A$33&lt;&gt;B2070),A$33,IFERROR(IF(MATCH(A$33,Z$3:Z$13,0)=2,A$33," ")," "))</f>
        <v>C19</v>
      </c>
      <c r="B2113" s="8">
        <f>IF(A2113=" "," ",MAX(B2095:B2112)+1)</f>
        <v>9</v>
      </c>
      <c r="C2113" s="8"/>
      <c r="D2113" s="8"/>
      <c r="E2113" s="8"/>
      <c r="F2113" s="8"/>
      <c r="G2113" s="8"/>
      <c r="H2113" s="8"/>
      <c r="I2113" s="8"/>
      <c r="J2113" s="8"/>
      <c r="K2113" s="8"/>
      <c r="L2113" s="8"/>
      <c r="M2113" s="8"/>
      <c r="N2113" s="8"/>
      <c r="O2113" s="8"/>
      <c r="P2113" s="8"/>
      <c r="Q2113" s="8"/>
      <c r="R2113" s="8"/>
      <c r="S2113" s="8"/>
      <c r="U2113" s="34"/>
      <c r="V2113" s="34"/>
      <c r="W2113" s="34"/>
      <c r="X2113" s="34"/>
      <c r="Y2113" s="34"/>
      <c r="Z2113" s="34"/>
      <c r="AA2113" s="34"/>
      <c r="AB2113" s="34"/>
      <c r="AC2113" s="34"/>
      <c r="AD2113" s="34"/>
      <c r="AE2113" s="34"/>
      <c r="AF2113" s="34"/>
      <c r="AG2113" s="34"/>
      <c r="AH2113" s="34"/>
      <c r="AI2113" s="34"/>
      <c r="AJ2113" s="34"/>
      <c r="AK2113" s="34"/>
      <c r="AL2113" s="34"/>
      <c r="AM2113" s="34"/>
      <c r="AN2113" s="34"/>
      <c r="AO2113" s="34"/>
      <c r="AP2113" s="34"/>
      <c r="AQ2113" s="34"/>
      <c r="AR2113" s="34"/>
      <c r="AS2113" s="34"/>
      <c r="AT2113" s="34"/>
      <c r="AU2113" s="34"/>
      <c r="AV2113" s="34"/>
      <c r="AW2113" s="34"/>
      <c r="AX2113" s="34"/>
      <c r="AY2113" s="34"/>
      <c r="AZ2113" s="34"/>
      <c r="BA2113" s="34"/>
      <c r="BB2113" s="34"/>
      <c r="BC2113" s="34"/>
      <c r="BD2113" s="34"/>
      <c r="BE2113" s="34"/>
      <c r="BF2113" s="34"/>
      <c r="BG2113" s="34"/>
      <c r="BH2113" s="34"/>
      <c r="BI2113" s="34"/>
      <c r="BJ2113" s="34"/>
      <c r="BK2113" s="34"/>
      <c r="BL2113" s="34"/>
      <c r="BM2113" s="34"/>
      <c r="BN2113" s="34"/>
      <c r="BO2113" s="34"/>
      <c r="BP2113" s="34"/>
      <c r="BQ2113" s="34"/>
      <c r="BR2113" s="34"/>
      <c r="BS2113" s="34"/>
      <c r="BT2113" s="34"/>
      <c r="BU2113" s="34"/>
      <c r="BV2113" s="34"/>
      <c r="BW2113" s="34"/>
      <c r="BX2113" s="34"/>
      <c r="BY2113" s="34"/>
      <c r="BZ2113" s="34"/>
      <c r="CA2113" s="34"/>
      <c r="CB2113" s="34"/>
      <c r="CC2113" s="34"/>
      <c r="CD2113" s="34"/>
      <c r="CE2113" s="34"/>
      <c r="CF2113" s="34"/>
      <c r="CG2113" s="34"/>
      <c r="CH2113" s="34"/>
      <c r="CI2113" s="8"/>
    </row>
    <row r="2114" spans="1:87" x14ac:dyDescent="0.2">
      <c r="A2114" s="8" t="str">
        <f>IF(AND(COUNTIF(W$3:W$13,A$34)&gt;0,A$34&lt;&gt;B2070),A$34,IFERROR(IF(MATCH(A$34,Z$3:Z$13,0)=2,A$34," ")," "))</f>
        <v xml:space="preserve"> </v>
      </c>
      <c r="B2114" s="8" t="str">
        <f>IF(A2114=" "," ",MAX(B2095:B2113)+1)</f>
        <v xml:space="preserve"> </v>
      </c>
      <c r="C2114" s="8"/>
      <c r="D2114" s="8"/>
      <c r="E2114" s="8"/>
      <c r="F2114" s="8"/>
      <c r="G2114" s="8"/>
      <c r="H2114" s="8"/>
      <c r="I2114" s="8"/>
      <c r="J2114" s="8"/>
      <c r="K2114" s="8"/>
      <c r="L2114" s="8"/>
      <c r="M2114" s="8"/>
      <c r="N2114" s="8"/>
      <c r="O2114" s="8"/>
      <c r="P2114" s="8"/>
      <c r="Q2114" s="8"/>
      <c r="R2114" s="8"/>
      <c r="S2114" s="8"/>
      <c r="U2114" s="34"/>
      <c r="V2114" s="34"/>
      <c r="W2114" s="34"/>
      <c r="X2114" s="34"/>
      <c r="Y2114" s="34"/>
      <c r="Z2114" s="34"/>
      <c r="AA2114" s="34"/>
      <c r="AB2114" s="34"/>
      <c r="AC2114" s="34"/>
      <c r="AD2114" s="34"/>
      <c r="AE2114" s="34"/>
      <c r="AF2114" s="34"/>
      <c r="AG2114" s="34"/>
      <c r="AH2114" s="34"/>
      <c r="AI2114" s="34"/>
      <c r="AJ2114" s="34"/>
      <c r="AK2114" s="34"/>
      <c r="AL2114" s="34"/>
      <c r="AM2114" s="34"/>
      <c r="AN2114" s="34"/>
      <c r="AO2114" s="34"/>
      <c r="AP2114" s="34"/>
      <c r="AQ2114" s="34"/>
      <c r="AR2114" s="34"/>
      <c r="AS2114" s="34"/>
      <c r="AT2114" s="34"/>
      <c r="AU2114" s="34"/>
      <c r="AV2114" s="34"/>
      <c r="AW2114" s="34"/>
      <c r="AX2114" s="34"/>
      <c r="AY2114" s="34"/>
      <c r="AZ2114" s="34"/>
      <c r="BA2114" s="34"/>
      <c r="BB2114" s="34"/>
      <c r="BC2114" s="34"/>
      <c r="BD2114" s="34"/>
      <c r="BE2114" s="34"/>
      <c r="BF2114" s="34"/>
      <c r="BG2114" s="34"/>
      <c r="BH2114" s="34"/>
      <c r="BI2114" s="34"/>
      <c r="BJ2114" s="34"/>
      <c r="BK2114" s="34"/>
      <c r="BL2114" s="34"/>
      <c r="BM2114" s="34"/>
      <c r="BN2114" s="34"/>
      <c r="BO2114" s="34"/>
      <c r="BP2114" s="34"/>
      <c r="BQ2114" s="34"/>
      <c r="BR2114" s="34"/>
      <c r="BS2114" s="34"/>
      <c r="BT2114" s="34"/>
      <c r="BU2114" s="34"/>
      <c r="BV2114" s="34"/>
      <c r="BW2114" s="34"/>
      <c r="BX2114" s="34"/>
      <c r="BY2114" s="34"/>
      <c r="BZ2114" s="34"/>
      <c r="CA2114" s="34"/>
      <c r="CB2114" s="34"/>
      <c r="CC2114" s="34"/>
      <c r="CD2114" s="34"/>
      <c r="CE2114" s="34"/>
      <c r="CF2114" s="34"/>
      <c r="CG2114" s="34"/>
      <c r="CH2114" s="34"/>
      <c r="CI2114" s="8"/>
    </row>
    <row r="2115" spans="1:87" x14ac:dyDescent="0.2">
      <c r="A2115" s="8" t="str">
        <f>IF(AND(COUNTIF(W$3:W$13,A$35)&gt;0,A$35&lt;&gt;B2070),A$35,IFERROR(IF(MATCH(A$35,Z$3:Z$13,0)=2,A$35," ")," "))</f>
        <v>C21</v>
      </c>
      <c r="B2115" s="8">
        <f>IF(A2115=" "," ",MAX(B2095:B2114)+1)</f>
        <v>10</v>
      </c>
      <c r="C2115" s="8"/>
      <c r="D2115" s="8"/>
      <c r="E2115" s="8"/>
      <c r="F2115" s="8"/>
      <c r="G2115" s="8"/>
      <c r="H2115" s="8"/>
      <c r="I2115" s="8"/>
      <c r="J2115" s="8"/>
      <c r="K2115" s="8"/>
      <c r="L2115" s="8"/>
      <c r="M2115" s="8"/>
      <c r="N2115" s="8"/>
      <c r="O2115" s="8"/>
      <c r="P2115" s="8"/>
      <c r="Q2115" s="8"/>
      <c r="R2115" s="8"/>
      <c r="S2115" s="8"/>
      <c r="U2115" s="34"/>
      <c r="V2115" s="34"/>
      <c r="W2115" s="34"/>
      <c r="X2115" s="34"/>
      <c r="Y2115" s="34"/>
      <c r="Z2115" s="34"/>
      <c r="AA2115" s="34"/>
      <c r="AB2115" s="34"/>
      <c r="AC2115" s="34"/>
      <c r="AD2115" s="34"/>
      <c r="AE2115" s="34"/>
      <c r="AF2115" s="34"/>
      <c r="AG2115" s="34"/>
      <c r="AH2115" s="34"/>
      <c r="AI2115" s="34"/>
      <c r="AJ2115" s="34"/>
      <c r="AK2115" s="34"/>
      <c r="AL2115" s="34"/>
      <c r="AM2115" s="34"/>
      <c r="AN2115" s="34"/>
      <c r="AO2115" s="34"/>
      <c r="AP2115" s="34"/>
      <c r="AQ2115" s="34"/>
      <c r="AR2115" s="34"/>
      <c r="AS2115" s="34"/>
      <c r="AT2115" s="34"/>
      <c r="AU2115" s="34"/>
      <c r="AV2115" s="34"/>
      <c r="AW2115" s="34"/>
      <c r="AX2115" s="34"/>
      <c r="AY2115" s="34"/>
      <c r="AZ2115" s="34"/>
      <c r="BA2115" s="34"/>
      <c r="BB2115" s="34"/>
      <c r="BC2115" s="34"/>
      <c r="BD2115" s="34"/>
      <c r="BE2115" s="34"/>
      <c r="BF2115" s="34"/>
      <c r="BG2115" s="34"/>
      <c r="BH2115" s="34"/>
      <c r="BI2115" s="34"/>
      <c r="BJ2115" s="34"/>
      <c r="BK2115" s="34"/>
      <c r="BL2115" s="34"/>
      <c r="BM2115" s="34"/>
      <c r="BN2115" s="34"/>
      <c r="BO2115" s="34"/>
      <c r="BP2115" s="34"/>
      <c r="BQ2115" s="34"/>
      <c r="BR2115" s="34"/>
      <c r="BS2115" s="34"/>
      <c r="BT2115" s="34"/>
      <c r="BU2115" s="34"/>
      <c r="BV2115" s="34"/>
      <c r="BW2115" s="34"/>
      <c r="BX2115" s="34"/>
      <c r="BY2115" s="34"/>
      <c r="BZ2115" s="34"/>
      <c r="CA2115" s="34"/>
      <c r="CB2115" s="34"/>
      <c r="CC2115" s="34"/>
      <c r="CD2115" s="34"/>
      <c r="CE2115" s="34"/>
      <c r="CF2115" s="34"/>
      <c r="CG2115" s="34"/>
      <c r="CH2115" s="34"/>
      <c r="CI2115" s="8"/>
    </row>
    <row r="2116" spans="1:87" x14ac:dyDescent="0.2">
      <c r="A2116" s="8" t="str">
        <f>IF(AND(COUNTIF(W$3:W$13,A$36)&gt;0,A$36&lt;&gt;B2070),A$36,IFERROR(IF(MATCH(A$36,Z$3:Z$13,0)=2,A$36," ")," "))</f>
        <v>C22</v>
      </c>
      <c r="B2116" s="8">
        <f>IF(A2116=" "," ",MAX(B2095:B2115)+1)</f>
        <v>11</v>
      </c>
      <c r="C2116" s="8"/>
      <c r="D2116" s="8"/>
      <c r="E2116" s="8"/>
      <c r="F2116" s="8"/>
      <c r="G2116" s="8"/>
      <c r="H2116" s="8"/>
      <c r="I2116" s="8"/>
      <c r="J2116" s="8"/>
      <c r="K2116" s="8"/>
      <c r="L2116" s="8"/>
      <c r="M2116" s="8"/>
      <c r="N2116" s="8"/>
      <c r="O2116" s="8"/>
      <c r="P2116" s="8"/>
      <c r="Q2116" s="8"/>
      <c r="R2116" s="8"/>
      <c r="S2116" s="8"/>
      <c r="U2116" s="34"/>
      <c r="V2116" s="34"/>
      <c r="W2116" s="34"/>
      <c r="X2116" s="34"/>
      <c r="Y2116" s="34"/>
      <c r="Z2116" s="34"/>
      <c r="AA2116" s="34"/>
      <c r="AB2116" s="34"/>
      <c r="AC2116" s="34"/>
      <c r="AD2116" s="34"/>
      <c r="AE2116" s="34"/>
      <c r="AF2116" s="34"/>
      <c r="AG2116" s="34"/>
      <c r="AH2116" s="34"/>
      <c r="AI2116" s="34"/>
      <c r="AJ2116" s="34"/>
      <c r="AK2116" s="34"/>
      <c r="AL2116" s="34"/>
      <c r="AM2116" s="34"/>
      <c r="AN2116" s="34"/>
      <c r="AO2116" s="34"/>
      <c r="AP2116" s="34"/>
      <c r="AQ2116" s="34"/>
      <c r="AR2116" s="34"/>
      <c r="AS2116" s="34"/>
      <c r="AT2116" s="34"/>
      <c r="AU2116" s="34"/>
      <c r="AV2116" s="34"/>
      <c r="AW2116" s="34"/>
      <c r="AX2116" s="34"/>
      <c r="AY2116" s="34"/>
      <c r="AZ2116" s="34"/>
      <c r="BA2116" s="34"/>
      <c r="BB2116" s="34"/>
      <c r="BC2116" s="34"/>
      <c r="BD2116" s="34"/>
      <c r="BE2116" s="34"/>
      <c r="BF2116" s="34"/>
      <c r="BG2116" s="34"/>
      <c r="BH2116" s="34"/>
      <c r="BI2116" s="34"/>
      <c r="BJ2116" s="34"/>
      <c r="BK2116" s="34"/>
      <c r="BL2116" s="34"/>
      <c r="BM2116" s="34"/>
      <c r="BN2116" s="34"/>
      <c r="BO2116" s="34"/>
      <c r="BP2116" s="34"/>
      <c r="BQ2116" s="34"/>
      <c r="BR2116" s="34"/>
      <c r="BS2116" s="34"/>
      <c r="BT2116" s="34"/>
      <c r="BU2116" s="34"/>
      <c r="BV2116" s="34"/>
      <c r="BW2116" s="34"/>
      <c r="BX2116" s="34"/>
      <c r="BY2116" s="34"/>
      <c r="BZ2116" s="34"/>
      <c r="CA2116" s="34"/>
      <c r="CB2116" s="34"/>
      <c r="CC2116" s="34"/>
      <c r="CD2116" s="34"/>
      <c r="CE2116" s="34"/>
      <c r="CF2116" s="34"/>
      <c r="CG2116" s="34"/>
      <c r="CH2116" s="34"/>
      <c r="CI2116" s="8"/>
    </row>
    <row r="2117" spans="1:87" x14ac:dyDescent="0.2">
      <c r="A2117" s="11" t="s">
        <v>17</v>
      </c>
      <c r="B2117" s="11"/>
      <c r="C2117" s="27" t="s">
        <v>18</v>
      </c>
      <c r="D2117" s="27" t="s">
        <v>2</v>
      </c>
      <c r="E2117" s="27" t="s">
        <v>6</v>
      </c>
      <c r="F2117" s="27" t="s">
        <v>15</v>
      </c>
      <c r="G2117" s="27" t="s">
        <v>36</v>
      </c>
      <c r="H2117" s="27" t="s">
        <v>37</v>
      </c>
      <c r="I2117" s="27" t="s">
        <v>38</v>
      </c>
      <c r="J2117" s="27" t="s">
        <v>39</v>
      </c>
      <c r="K2117" s="27" t="s">
        <v>40</v>
      </c>
      <c r="L2117" s="27" t="s">
        <v>41</v>
      </c>
      <c r="M2117" s="27" t="s">
        <v>42</v>
      </c>
      <c r="N2117" s="27" t="s">
        <v>43</v>
      </c>
      <c r="O2117" s="27" t="s">
        <v>9</v>
      </c>
      <c r="P2117" s="27" t="s">
        <v>12</v>
      </c>
      <c r="Q2117" s="27" t="s">
        <v>19</v>
      </c>
      <c r="R2117" s="27" t="s">
        <v>55</v>
      </c>
      <c r="S2117" s="27" t="s">
        <v>26</v>
      </c>
      <c r="T2117" s="19" t="s">
        <v>25</v>
      </c>
      <c r="U2117" s="33" t="s">
        <v>27</v>
      </c>
      <c r="V2117" s="33" t="s">
        <v>9</v>
      </c>
      <c r="W2117" s="33" t="s">
        <v>23</v>
      </c>
      <c r="X2117" s="33" t="s">
        <v>12</v>
      </c>
      <c r="Y2117" s="33" t="s">
        <v>26</v>
      </c>
      <c r="Z2117" s="33" t="s">
        <v>25</v>
      </c>
      <c r="AA2117" s="33" t="s">
        <v>27</v>
      </c>
      <c r="AB2117" s="33" t="s">
        <v>9</v>
      </c>
      <c r="AC2117" s="33" t="s">
        <v>23</v>
      </c>
      <c r="AD2117" s="33" t="s">
        <v>12</v>
      </c>
      <c r="AE2117" s="33" t="s">
        <v>26</v>
      </c>
      <c r="AF2117" s="33" t="s">
        <v>25</v>
      </c>
      <c r="AG2117" s="33" t="s">
        <v>27</v>
      </c>
      <c r="AH2117" s="33" t="s">
        <v>9</v>
      </c>
      <c r="AI2117" s="33" t="s">
        <v>23</v>
      </c>
      <c r="AJ2117" s="33" t="s">
        <v>12</v>
      </c>
      <c r="AK2117" s="33" t="s">
        <v>26</v>
      </c>
      <c r="AL2117" s="33" t="s">
        <v>25</v>
      </c>
      <c r="AM2117" s="33" t="s">
        <v>27</v>
      </c>
      <c r="AN2117" s="33" t="s">
        <v>9</v>
      </c>
      <c r="AO2117" s="33" t="s">
        <v>23</v>
      </c>
      <c r="AP2117" s="33" t="s">
        <v>12</v>
      </c>
      <c r="AQ2117" s="33" t="s">
        <v>26</v>
      </c>
      <c r="AR2117" s="33" t="s">
        <v>25</v>
      </c>
      <c r="AS2117" s="33" t="s">
        <v>27</v>
      </c>
      <c r="AT2117" s="33" t="s">
        <v>9</v>
      </c>
      <c r="AU2117" s="33" t="s">
        <v>23</v>
      </c>
      <c r="AV2117" s="33" t="s">
        <v>12</v>
      </c>
      <c r="AW2117" s="33" t="s">
        <v>26</v>
      </c>
      <c r="AX2117" s="33" t="s">
        <v>25</v>
      </c>
      <c r="AY2117" s="33" t="s">
        <v>27</v>
      </c>
      <c r="AZ2117" s="33" t="s">
        <v>9</v>
      </c>
      <c r="BA2117" s="33" t="s">
        <v>23</v>
      </c>
      <c r="BB2117" s="33" t="s">
        <v>12</v>
      </c>
      <c r="BC2117" s="33" t="s">
        <v>26</v>
      </c>
      <c r="BD2117" s="33" t="s">
        <v>25</v>
      </c>
      <c r="BE2117" s="33" t="s">
        <v>27</v>
      </c>
      <c r="BF2117" s="33" t="s">
        <v>9</v>
      </c>
      <c r="BG2117" s="33" t="s">
        <v>23</v>
      </c>
      <c r="BH2117" s="33" t="s">
        <v>12</v>
      </c>
      <c r="BI2117" s="33" t="s">
        <v>26</v>
      </c>
      <c r="BJ2117" s="33" t="s">
        <v>25</v>
      </c>
      <c r="BK2117" s="33" t="s">
        <v>27</v>
      </c>
      <c r="BL2117" s="33" t="s">
        <v>9</v>
      </c>
      <c r="BM2117" s="33" t="s">
        <v>23</v>
      </c>
      <c r="BN2117" s="33" t="s">
        <v>12</v>
      </c>
      <c r="BO2117" s="33" t="s">
        <v>26</v>
      </c>
      <c r="BP2117" s="33" t="s">
        <v>25</v>
      </c>
      <c r="BQ2117" s="33" t="s">
        <v>27</v>
      </c>
      <c r="BR2117" s="33" t="s">
        <v>9</v>
      </c>
      <c r="BS2117" s="33" t="s">
        <v>23</v>
      </c>
      <c r="BT2117" s="33" t="s">
        <v>12</v>
      </c>
      <c r="BU2117" s="33" t="s">
        <v>26</v>
      </c>
      <c r="BV2117" s="33" t="s">
        <v>25</v>
      </c>
      <c r="BW2117" s="33" t="s">
        <v>27</v>
      </c>
      <c r="BX2117" s="33" t="s">
        <v>9</v>
      </c>
      <c r="BY2117" s="33" t="s">
        <v>23</v>
      </c>
      <c r="BZ2117" s="33" t="s">
        <v>12</v>
      </c>
      <c r="CA2117" s="33" t="s">
        <v>26</v>
      </c>
      <c r="CB2117" s="33" t="s">
        <v>25</v>
      </c>
      <c r="CC2117" s="33" t="s">
        <v>27</v>
      </c>
      <c r="CD2117" s="33" t="s">
        <v>9</v>
      </c>
      <c r="CE2117" s="33" t="s">
        <v>23</v>
      </c>
      <c r="CF2117" s="33" t="s">
        <v>12</v>
      </c>
      <c r="CG2117" s="33" t="s">
        <v>26</v>
      </c>
      <c r="CH2117" s="33" t="s">
        <v>25</v>
      </c>
      <c r="CI2117" s="8"/>
    </row>
    <row r="2118" spans="1:87" x14ac:dyDescent="0.2">
      <c r="A2118" s="8" t="str">
        <f>IF(AND(COUNTIF(W$3:W$13,A$15)&gt;0,A$15&lt;&gt;B2070),A$15,IFERROR(IF(MATCH(A$15,Z$3:Z$13,0)=3,A$15," ")," "))</f>
        <v xml:space="preserve"> </v>
      </c>
      <c r="B2118" s="8" t="str">
        <f>IF(A2118=" "," ",1)</f>
        <v xml:space="preserve"> </v>
      </c>
      <c r="C2118" s="8" t="str">
        <f>IFERROR(INDEX(A2118:A2139,MATCH(SMALL(B2118:B2139,1),B2118:B2139,0),1)," ")</f>
        <v>C3</v>
      </c>
      <c r="D2118" s="8">
        <f>IFERROR(VLOOKUP($C2118,$A$15:$O$36,2,FALSE)," ")</f>
        <v>2</v>
      </c>
      <c r="E2118" s="8">
        <f>IFERROR(VLOOKUP($C2118,$A$15:$O$36,3,FALSE)," ")</f>
        <v>5</v>
      </c>
      <c r="F2118" s="8">
        <f>IFERROR(VLOOKUP($C2118,$A$15:$O$36,4,FALSE)," ")</f>
        <v>6</v>
      </c>
      <c r="G2118" s="8">
        <f>IFERROR(VLOOKUP($C2118,$A$15:$O$36,5,FALSE)," ")</f>
        <v>0</v>
      </c>
      <c r="H2118" s="8">
        <f>IFERROR(VLOOKUP($C2118,$A$15:$O$36,6,FALSE)," ")</f>
        <v>0</v>
      </c>
      <c r="I2118" s="8">
        <f>IFERROR(VLOOKUP($C2118,$A$15:$O$36,7,FALSE)," ")</f>
        <v>0</v>
      </c>
      <c r="J2118" s="8">
        <f>IFERROR(VLOOKUP($C2118,$A$15:$O$36,8,FALSE)," ")</f>
        <v>0</v>
      </c>
      <c r="K2118" s="8">
        <f>IFERROR(VLOOKUP($C2118,$A$15:$O$36,9,FALSE)," ")</f>
        <v>0</v>
      </c>
      <c r="L2118" s="8">
        <f>IFERROR(VLOOKUP($C2118,$A$15:$O$36,10,FALSE)," ")</f>
        <v>0</v>
      </c>
      <c r="M2118" s="8">
        <f>IFERROR(VLOOKUP($C2118,$A$15:$O$36,11,FALSE)," ")</f>
        <v>0</v>
      </c>
      <c r="N2118" s="8">
        <f>IFERROR(VLOOKUP($C2118,$A$15:$O$36,12,FALSE)," ")</f>
        <v>0</v>
      </c>
      <c r="O2118" s="8">
        <f>IFERROR(VLOOKUP($C2118,$A$15:$O$36,15,FALSE)," ")</f>
        <v>2000</v>
      </c>
      <c r="P2118" s="8" t="e">
        <f t="array" ref="P2118:P2128">MMULT(MINVERSE(D2118:N2128),O2118:O2128)</f>
        <v>#NUM!</v>
      </c>
      <c r="Q2118" s="8" t="e">
        <f t="shared" ref="Q2118" si="9185">IF(COUNTIF(P2118:P2128,"&lt;"&amp;-0.001)=0,IF(ABS(P2118)&lt;0.001,0,P2118)," ")</f>
        <v>#NUM!</v>
      </c>
      <c r="R2118" s="8" t="str">
        <f>IFERROR(VLOOKUP(B2070,A$15:L$36,2,FALSE)*Q2118+VLOOKUP(B2070,A$15:L$36,3,FALSE)*Q2119+VLOOKUP(B2070,A$15:L$36,4,FALSE)*Q2120+VLOOKUP(B2070,A$15:L$36,5,FALSE)*Q2121+VLOOKUP(B2070,A$15:L$36,6,FALSE)*Q2122+VLOOKUP(B2070,A$15:L$36,7,FALSE)*Q2123+VLOOKUP(B2070,A$15:L$36,8,FALSE)*Q2124+VLOOKUP(B2070,A$15:L$36,9,FALSE)*Q2125+VLOOKUP(B2070,A$15:L$36,10,FALSE)*Q2126+VLOOKUP(B2070,A$15:L$36,11,FALSE)*Q2127+VLOOKUP(B2070,A$15:L$36,12,FALSE)*Q2128," ")</f>
        <v xml:space="preserve"> </v>
      </c>
      <c r="S2118" s="8" t="str">
        <f>IFERROR(IF(R2118-VLOOKUP(B2070,A$15:O$36,15,FALSE)&lt;0,R2118-VLOOKUP(B2070,A$15:O$36,15,FALSE)," ")," ")</f>
        <v xml:space="preserve"> </v>
      </c>
      <c r="T2118" s="18" t="str">
        <f>IFERROR(IF(R2118-VLOOKUP(B2070,A$15:O$36,15,FALSE)&gt;0,R2118-VLOOKUP(B2070,A$15:O$36,15,FALSE)," ")," ")</f>
        <v xml:space="preserve"> </v>
      </c>
      <c r="U2118" s="34">
        <f t="shared" ref="U2118" si="9186">$M$2</f>
        <v>100.00000000000001</v>
      </c>
      <c r="V2118" s="34">
        <v>-1</v>
      </c>
      <c r="W2118" s="34">
        <f t="shared" ref="W2118" si="9187">-SUMPRODUCT($M$3:$M$12,$N$3:$N$12)</f>
        <v>-105000</v>
      </c>
      <c r="X2118" s="34" t="e">
        <f t="shared" ref="X2118" si="9188">IF(U2118&lt;&gt;U2119,MMULT(MINVERSE(U2118:V2119),W2118:W2119)," ")</f>
        <v>#NUM!</v>
      </c>
      <c r="Y2118" s="34" t="str">
        <f t="shared" ref="Y2118" si="9189">IFERROR(IF(X2118-VLOOKUP(U$38,$A$2:$N$12,14,FALSE)&lt;0,X2118-VLOOKUP(U$38,$A$2:$N$12,14,FALSE)," ")," ")</f>
        <v xml:space="preserve"> </v>
      </c>
      <c r="Z2118" s="34" t="str">
        <f t="shared" ref="Z2118" si="9190">IFERROR(IF(X2118-VLOOKUP(U$38,$A$2:$N$12,14,FALSE)&gt;0,X2118-VLOOKUP(U$38,$A$2:$N$12,14,FALSE)," ")," ")</f>
        <v xml:space="preserve"> </v>
      </c>
      <c r="AA2118" s="34">
        <f t="shared" ref="AA2118" si="9191">$M$3</f>
        <v>0</v>
      </c>
      <c r="AB2118" s="34">
        <v>-1</v>
      </c>
      <c r="AC2118" s="34">
        <f t="shared" ref="AC2118" si="9192">-SUMPRODUCT($M$2:$M$2,$N$2:$N$2)-SUMPRODUCT($M$4:$M$12,$N$4:$N$12)</f>
        <v>-120000</v>
      </c>
      <c r="AD2118" s="34" t="e">
        <f t="shared" ref="AD2118" si="9193">IF(AA2118&lt;&gt;AA2119,MMULT(MINVERSE(AA2118:AB2119),AC2118:AC2119)," ")</f>
        <v>#NUM!</v>
      </c>
      <c r="AE2118" s="34" t="str">
        <f t="shared" ref="AE2118" si="9194">IFERROR(IF(AD2118-VLOOKUP(AA$38,$A$2:$N$12,14,FALSE)&lt;0,AD2118-VLOOKUP(AA$38,$A$2:$N$12,14,FALSE)," ")," ")</f>
        <v xml:space="preserve"> </v>
      </c>
      <c r="AF2118" s="34" t="str">
        <f t="shared" ref="AF2118" si="9195">IFERROR(IF(AD2118-VLOOKUP(AA$38,$A$2:$N$12,14,FALSE)&gt;0,AD2118-VLOOKUP(AA$38,$A$2:$N$12,14,FALSE)," ")," ")</f>
        <v xml:space="preserve"> </v>
      </c>
      <c r="AG2118" s="34">
        <f t="shared" ref="AG2118" si="9196">$M$4</f>
        <v>300</v>
      </c>
      <c r="AH2118" s="34">
        <v>-1</v>
      </c>
      <c r="AI2118" s="34">
        <f t="shared" ref="AI2118" si="9197">-SUMPRODUCT($M$2:$M$3,$N$2:$N$3)-SUMPRODUCT($M$5:$M$12,$N$5:$N$12)</f>
        <v>-15000.000000000002</v>
      </c>
      <c r="AJ2118" s="34" t="e">
        <f t="shared" ref="AJ2118" si="9198">IF(AG2118&lt;&gt;AG2119,MMULT(MINVERSE(AG2118:AH2119),AI2118:AI2119)," ")</f>
        <v>#NUM!</v>
      </c>
      <c r="AK2118" s="34" t="str">
        <f t="shared" ref="AK2118" si="9199">IFERROR(IF(AJ2118-VLOOKUP(AG$38,$A$2:$N$12,14,FALSE)&lt;0,AJ2118-VLOOKUP(AG$38,$A$2:$N$12,14,FALSE)," ")," ")</f>
        <v xml:space="preserve"> </v>
      </c>
      <c r="AL2118" s="34" t="str">
        <f t="shared" ref="AL2118" si="9200">IFERROR(IF(AJ2118-VLOOKUP(AG$38,$A$2:$N$12,14,FALSE)&gt;0,AJ2118-VLOOKUP(AG$38,$A$2:$N$12,14,FALSE)," ")," ")</f>
        <v xml:space="preserve"> </v>
      </c>
      <c r="AM2118" s="34">
        <f t="shared" ref="AM2118" si="9201">$M$5</f>
        <v>0</v>
      </c>
      <c r="AN2118" s="34">
        <v>-1</v>
      </c>
      <c r="AO2118" s="34">
        <f t="shared" ref="AO2118" si="9202">-SUMPRODUCT($M$2:$M$4,$N$2:$N$4)-SUMPRODUCT($M$6:$M$12,$N$6:$N$12)</f>
        <v>-120000</v>
      </c>
      <c r="AP2118" s="34" t="e">
        <f t="shared" ref="AP2118" si="9203">IF(AM2118&lt;&gt;AM2119,MMULT(MINVERSE(AM2118:AN2119),AO2118:AO2119)," ")</f>
        <v>#NUM!</v>
      </c>
      <c r="AQ2118" s="34" t="str">
        <f t="shared" ref="AQ2118" si="9204">IFERROR(IF(AP2118-VLOOKUP(AM$38,$A$2:$N$12,14,FALSE)&lt;0,AP2118-VLOOKUP(AM$38,$A$2:$N$12,14,FALSE)," ")," ")</f>
        <v xml:space="preserve"> </v>
      </c>
      <c r="AR2118" s="34" t="str">
        <f t="shared" ref="AR2118" si="9205">IFERROR(IF(AP2118-VLOOKUP(AM$38,$A$2:$N$12,14,FALSE)&gt;0,AP2118-VLOOKUP(AM$38,$A$2:$N$12,14,FALSE)," ")," ")</f>
        <v xml:space="preserve"> </v>
      </c>
      <c r="AS2118" s="34">
        <f t="shared" ref="AS2118" si="9206">$M$6</f>
        <v>0</v>
      </c>
      <c r="AT2118" s="34">
        <v>-1</v>
      </c>
      <c r="AU2118" s="34">
        <f t="shared" ref="AU2118" si="9207">-SUMPRODUCT($M$2:$M$5,$N$2:$N$5)-SUMPRODUCT($M$7:$M$12,$N$7:$N$12)</f>
        <v>-120000</v>
      </c>
      <c r="AV2118" s="34" t="e">
        <f t="shared" ref="AV2118" si="9208">IF(AS2118&lt;&gt;AS2119,MMULT(MINVERSE(AS2118:AT2119),AU2118:AU2119)," ")</f>
        <v>#NUM!</v>
      </c>
      <c r="AW2118" s="34" t="str">
        <f t="shared" ref="AW2118" si="9209">IFERROR(IF(AV2118-VLOOKUP(AS$38,$A$2:$N$12,14,FALSE)&lt;0,AV2118-VLOOKUP(AS$38,$A$2:$N$12,14,FALSE)," ")," ")</f>
        <v xml:space="preserve"> </v>
      </c>
      <c r="AX2118" s="34" t="str">
        <f t="shared" ref="AX2118" si="9210">IFERROR(IF(AV2118-VLOOKUP(AS$38,$A$2:$N$12,14,FALSE)&gt;0,AV2118-VLOOKUP(AS$38,$A$2:$N$12,14,FALSE)," ")," ")</f>
        <v xml:space="preserve"> </v>
      </c>
      <c r="AY2118" s="34">
        <f t="shared" ref="AY2118" si="9211">$M$7</f>
        <v>0</v>
      </c>
      <c r="AZ2118" s="34">
        <v>-1</v>
      </c>
      <c r="BA2118" s="34">
        <f t="shared" ref="BA2118" si="9212">-SUMPRODUCT($M$2:$M$6,$N$2:$N$6)-SUMPRODUCT($M$8:$M$12,$N$8:$N$12)</f>
        <v>-120000</v>
      </c>
      <c r="BB2118" s="34" t="e">
        <f t="shared" ref="BB2118" si="9213">IF(AY2118&lt;&gt;AY2119,MMULT(MINVERSE(AY2118:AZ2119),BA2118:BA2119)," ")</f>
        <v>#NUM!</v>
      </c>
      <c r="BC2118" s="34" t="str">
        <f t="shared" ref="BC2118" si="9214">IFERROR(IF(BB2118-VLOOKUP(AY$38,$A$2:$N$12,14,FALSE)&lt;0,BB2118-VLOOKUP(AY$38,$A$2:$N$12,14,FALSE)," ")," ")</f>
        <v xml:space="preserve"> </v>
      </c>
      <c r="BD2118" s="34" t="str">
        <f t="shared" ref="BD2118" si="9215">IFERROR(IF(BB2118-VLOOKUP(AY$38,$A$2:$N$12,14,FALSE)&gt;0,BB2118-VLOOKUP(AY$38,$A$2:$N$12,14,FALSE)," ")," ")</f>
        <v xml:space="preserve"> </v>
      </c>
      <c r="BE2118" s="34">
        <f t="shared" ref="BE2118" si="9216">$M$8</f>
        <v>0</v>
      </c>
      <c r="BF2118" s="34">
        <v>-1</v>
      </c>
      <c r="BG2118" s="34">
        <f t="shared" ref="BG2118" si="9217">-SUMPRODUCT($M$2:$M$7,$N$2:$N$7)-SUMPRODUCT($M$9:$M$12,$N$9:$N$12)</f>
        <v>-120000</v>
      </c>
      <c r="BH2118" s="34" t="e">
        <f t="shared" ref="BH2118" si="9218">IF(BE2118&lt;&gt;BE2119,MMULT(MINVERSE(BE2118:BF2119),BG2118:BG2119)," ")</f>
        <v>#NUM!</v>
      </c>
      <c r="BI2118" s="34" t="str">
        <f t="shared" ref="BI2118" si="9219">IFERROR(IF(BH2118-VLOOKUP(BE$38,$A$2:$N$12,14,FALSE)&lt;0,BH2118-VLOOKUP(BE$38,$A$2:$N$12,14,FALSE)," ")," ")</f>
        <v xml:space="preserve"> </v>
      </c>
      <c r="BJ2118" s="34" t="str">
        <f t="shared" ref="BJ2118" si="9220">IFERROR(IF(BH2118-VLOOKUP(BE$38,$A$2:$N$12,14,FALSE)&gt;0,BH2118-VLOOKUP(BE$38,$A$2:$N$12,14,FALSE)," ")," ")</f>
        <v xml:space="preserve"> </v>
      </c>
      <c r="BK2118" s="34">
        <f t="shared" ref="BK2118" si="9221">$M$9</f>
        <v>0</v>
      </c>
      <c r="BL2118" s="34">
        <v>-1</v>
      </c>
      <c r="BM2118" s="34">
        <f t="shared" ref="BM2118" si="9222">-SUMPRODUCT($M$2:$M$8,$N$2:$N$8)-SUMPRODUCT($M$10:$M$12,$N$10:$N$12)</f>
        <v>-120000</v>
      </c>
      <c r="BN2118" s="34" t="e">
        <f t="shared" ref="BN2118" si="9223">IF(BK2118&lt;&gt;BK2119,MMULT(MINVERSE(BK2118:BL2119),BM2118:BM2119)," ")</f>
        <v>#NUM!</v>
      </c>
      <c r="BO2118" s="34" t="str">
        <f t="shared" ref="BO2118" si="9224">IFERROR(IF(BN2118-VLOOKUP(BK$38,$A$2:$N$12,14,FALSE)&lt;0,BN2118-VLOOKUP(BK$38,$A$2:$N$12,14,FALSE)," ")," ")</f>
        <v xml:space="preserve"> </v>
      </c>
      <c r="BP2118" s="34" t="str">
        <f t="shared" ref="BP2118" si="9225">IFERROR(IF(BN2118-VLOOKUP(BK$38,$A$2:$N$12,14,FALSE)&gt;0,BN2118-VLOOKUP(BK$38,$A$2:$N$12,14,FALSE)," ")," ")</f>
        <v xml:space="preserve"> </v>
      </c>
      <c r="BQ2118" s="34">
        <f t="shared" ref="BQ2118" si="9226">$M$10</f>
        <v>0</v>
      </c>
      <c r="BR2118" s="34">
        <v>-1</v>
      </c>
      <c r="BS2118" s="34">
        <f t="shared" ref="BS2118" si="9227">-SUMPRODUCT($M$2:$M$9,$N$2:$N$9)-SUMPRODUCT($M$11:$M$12,$N$11:$N$12)</f>
        <v>-120000</v>
      </c>
      <c r="BT2118" s="34" t="e">
        <f t="shared" ref="BT2118" si="9228">IF(BQ2118&lt;&gt;BQ2119,MMULT(MINVERSE(BQ2118:BR2119),BS2118:BS2119)," ")</f>
        <v>#NUM!</v>
      </c>
      <c r="BU2118" s="34" t="str">
        <f t="shared" ref="BU2118" si="9229">IFERROR(IF(BT2118-VLOOKUP(BQ$38,$A$2:$N$12,14,FALSE)&lt;0,BT2118-VLOOKUP(BQ$38,$A$2:$N$12,14,FALSE)," ")," ")</f>
        <v xml:space="preserve"> </v>
      </c>
      <c r="BV2118" s="34" t="str">
        <f t="shared" ref="BV2118" si="9230">IFERROR(IF(BT2118-VLOOKUP(BQ$38,$A$2:$N$12,14,FALSE)&gt;0,BT2118-VLOOKUP(BQ$38,$A$2:$N$12,14,FALSE)," ")," ")</f>
        <v xml:space="preserve"> </v>
      </c>
      <c r="BW2118" s="34">
        <f t="shared" ref="BW2118" si="9231">$M$11</f>
        <v>0</v>
      </c>
      <c r="BX2118" s="34">
        <v>-1</v>
      </c>
      <c r="BY2118" s="34">
        <f t="shared" ref="BY2118" si="9232">-SUMPRODUCT($M$2:$M$10,$N$2:$N$10)-SUMPRODUCT($M$12,$N$12)</f>
        <v>-120000</v>
      </c>
      <c r="BZ2118" s="34" t="e">
        <f t="shared" ref="BZ2118" si="9233">IF(BW2118&lt;&gt;BW2119,MMULT(MINVERSE(BW2118:BX2119),BY2118:BY2119)," ")</f>
        <v>#NUM!</v>
      </c>
      <c r="CA2118" s="34" t="str">
        <f t="shared" ref="CA2118" si="9234">IFERROR(IF(BZ2118-VLOOKUP(BW$38,$A$2:$N$12,14,FALSE)&lt;0,BZ2118-VLOOKUP(BW$38,$A$2:$N$12,14,FALSE)," ")," ")</f>
        <v xml:space="preserve"> </v>
      </c>
      <c r="CB2118" s="34" t="str">
        <f t="shared" ref="CB2118" si="9235">IFERROR(IF(BZ2118-VLOOKUP(BW$38,$A$2:$N$12,14,FALSE)&gt;0,BZ2118-VLOOKUP(BW$38,$A$2:$N$12,14,FALSE)," ")," ")</f>
        <v xml:space="preserve"> </v>
      </c>
      <c r="CC2118" s="34">
        <f t="shared" ref="CC2118" si="9236">$M$12</f>
        <v>0</v>
      </c>
      <c r="CD2118" s="34">
        <v>-1</v>
      </c>
      <c r="CE2118" s="34">
        <f t="shared" ref="CE2118" si="9237">-SUMPRODUCT($M$2:$M$11,$N$2:$N$11)</f>
        <v>-120000</v>
      </c>
      <c r="CF2118" s="34" t="e">
        <f t="shared" ref="CF2118" si="9238">IF(CC2118&lt;&gt;CC2119,MMULT(MINVERSE(CC2118:CD2119),CE2118:CE2119)," ")</f>
        <v>#NUM!</v>
      </c>
      <c r="CG2118" s="34" t="str">
        <f t="shared" ref="CG2118" si="9239">IFERROR(IF(CF2118-VLOOKUP(CC$38,$A$2:$N$12,14,FALSE)&lt;0,CF2118-VLOOKUP(CC$38,$A$2:$N$12,14,FALSE)," ")," ")</f>
        <v xml:space="preserve"> </v>
      </c>
      <c r="CH2118" s="34" t="str">
        <f t="shared" ref="CH2118" si="9240">IFERROR(IF(CF2118-VLOOKUP(CC$38,$A$2:$N$12,14,FALSE)&gt;0,CF2118-VLOOKUP(CC$38,$A$2:$N$12,14,FALSE)," ")," ")</f>
        <v xml:space="preserve"> </v>
      </c>
      <c r="CI2118" s="8"/>
    </row>
    <row r="2119" spans="1:87" x14ac:dyDescent="0.2">
      <c r="A2119" s="8" t="str">
        <f>IF(AND(COUNTIF(W$3:W$13,A$16)&gt;0,A$16&lt;&gt;B2070),A$16,IFERROR(IF(MATCH(A$16,Z$3:Z$13,0)=3,A$16," ")," "))</f>
        <v xml:space="preserve"> </v>
      </c>
      <c r="B2119" s="8" t="str">
        <f>IF(A2119=" "," ",MAX(B2118:B2118)+1)</f>
        <v xml:space="preserve"> </v>
      </c>
      <c r="C2119" s="8" t="str">
        <f>IFERROR(INDEX(A2118:A2139,MATCH(SMALL(B2118:B2139,2),B2118:B2139,0),1)," ")</f>
        <v>C4</v>
      </c>
      <c r="D2119" s="8">
        <f t="shared" ref="D2119:D2128" si="9241">IFERROR(VLOOKUP($C2119,$A$15:$O$36,2,FALSE)," ")</f>
        <v>1</v>
      </c>
      <c r="E2119" s="8">
        <f t="shared" ref="E2119:E2128" si="9242">IFERROR(VLOOKUP($C2119,$A$15:$O$36,3,FALSE)," ")</f>
        <v>0</v>
      </c>
      <c r="F2119" s="8">
        <f t="shared" ref="F2119:F2128" si="9243">IFERROR(VLOOKUP($C2119,$A$15:$O$36,4,FALSE)," ")</f>
        <v>1</v>
      </c>
      <c r="G2119" s="8">
        <f t="shared" ref="G2119:G2128" si="9244">IFERROR(VLOOKUP($C2119,$A$15:$O$36,5,FALSE)," ")</f>
        <v>0</v>
      </c>
      <c r="H2119" s="8">
        <f t="shared" ref="H2119:H2128" si="9245">IFERROR(VLOOKUP($C2119,$A$15:$O$36,6,FALSE)," ")</f>
        <v>0</v>
      </c>
      <c r="I2119" s="8">
        <f t="shared" ref="I2119:I2128" si="9246">IFERROR(VLOOKUP($C2119,$A$15:$O$36,7,FALSE)," ")</f>
        <v>0</v>
      </c>
      <c r="J2119" s="8">
        <f t="shared" ref="J2119:J2128" si="9247">IFERROR(VLOOKUP($C2119,$A$15:$O$36,8,FALSE)," ")</f>
        <v>0</v>
      </c>
      <c r="K2119" s="8">
        <f t="shared" ref="K2119:K2128" si="9248">IFERROR(VLOOKUP($C2119,$A$15:$O$36,9,FALSE)," ")</f>
        <v>0</v>
      </c>
      <c r="L2119" s="8">
        <f t="shared" ref="L2119:L2128" si="9249">IFERROR(VLOOKUP($C2119,$A$15:$O$36,10,FALSE)," ")</f>
        <v>0</v>
      </c>
      <c r="M2119" s="8">
        <f t="shared" ref="M2119:M2128" si="9250">IFERROR(VLOOKUP($C2119,$A$15:$O$36,11,FALSE)," ")</f>
        <v>0</v>
      </c>
      <c r="N2119" s="8">
        <f t="shared" ref="N2119:N2128" si="9251">IFERROR(VLOOKUP($C2119,$A$15:$O$36,12,FALSE)," ")</f>
        <v>0</v>
      </c>
      <c r="O2119" s="8">
        <f t="shared" ref="O2119:O2128" si="9252">IFERROR(VLOOKUP($C2119,$A$15:$O$36,15,FALSE)," ")</f>
        <v>400</v>
      </c>
      <c r="P2119" s="8" t="e">
        <v>#NUM!</v>
      </c>
      <c r="Q2119" s="8" t="e">
        <f t="shared" ref="Q2119" si="9253">IF(COUNTIF(P2118:P2128,"&lt;"&amp;-0.001)=0,IF(ABS(P2119)&lt;0.001,0,P2119)," ")</f>
        <v>#NUM!</v>
      </c>
      <c r="R2119" s="8"/>
      <c r="S2119" s="8"/>
      <c r="U2119" s="34" t="e">
        <f t="shared" ref="U2119" si="9254">$Q2118</f>
        <v>#NUM!</v>
      </c>
      <c r="V2119" s="34">
        <v>-1</v>
      </c>
      <c r="W2119" s="34" t="e">
        <f t="shared" ref="W2119" si="9255">-SUMPRODUCT($Q2119:$Q2128,$N$3:$N$12)</f>
        <v>#NUM!</v>
      </c>
      <c r="X2119" s="34"/>
      <c r="Y2119" s="34"/>
      <c r="Z2119" s="34"/>
      <c r="AA2119" s="34" t="e">
        <f t="shared" ref="AA2119" si="9256">$Q2119</f>
        <v>#NUM!</v>
      </c>
      <c r="AB2119" s="34">
        <v>-1</v>
      </c>
      <c r="AC2119" s="34" t="e">
        <f t="shared" ref="AC2119" si="9257">-SUMPRODUCT($Q2118:$Q2118,$N$2:$N$2)-SUMPRODUCT($Q2120:$Q2128,$N$4:$N$12)</f>
        <v>#NUM!</v>
      </c>
      <c r="AD2119" s="34"/>
      <c r="AE2119" s="34"/>
      <c r="AF2119" s="34"/>
      <c r="AG2119" s="34" t="e">
        <f t="shared" ref="AG2119" si="9258">$Q2120</f>
        <v>#NUM!</v>
      </c>
      <c r="AH2119" s="34">
        <v>-1</v>
      </c>
      <c r="AI2119" s="34" t="e">
        <f t="shared" ref="AI2119" si="9259">-SUMPRODUCT($Q2118:$Q2119,$N$2:$N$3)-SUMPRODUCT($Q2121:$Q2128,$N$5:$N$12)</f>
        <v>#NUM!</v>
      </c>
      <c r="AJ2119" s="34"/>
      <c r="AK2119" s="34"/>
      <c r="AL2119" s="34"/>
      <c r="AM2119" s="34" t="e">
        <f t="shared" ref="AM2119" si="9260">$Q2121</f>
        <v>#NUM!</v>
      </c>
      <c r="AN2119" s="34">
        <v>-1</v>
      </c>
      <c r="AO2119" s="34" t="e">
        <f t="shared" ref="AO2119" si="9261">-SUMPRODUCT($Q2118:$Q2120,$N$2:$N$4)-SUMPRODUCT($Q2122:$Q2128,$N$6:$N$12)</f>
        <v>#NUM!</v>
      </c>
      <c r="AP2119" s="34"/>
      <c r="AQ2119" s="34"/>
      <c r="AR2119" s="34"/>
      <c r="AS2119" s="34" t="e">
        <f t="shared" ref="AS2119" si="9262">$Q2122</f>
        <v>#NUM!</v>
      </c>
      <c r="AT2119" s="34">
        <v>-1</v>
      </c>
      <c r="AU2119" s="34" t="e">
        <f t="shared" ref="AU2119" si="9263">-SUMPRODUCT($Q2118:$Q2121,$N$2:$N$5)-SUMPRODUCT($Q2123:$Q2128,$N$7:$N$12)</f>
        <v>#NUM!</v>
      </c>
      <c r="AV2119" s="34"/>
      <c r="AW2119" s="34"/>
      <c r="AX2119" s="34"/>
      <c r="AY2119" s="34" t="e">
        <f t="shared" ref="AY2119" si="9264">$Q2123</f>
        <v>#NUM!</v>
      </c>
      <c r="AZ2119" s="34">
        <v>-1</v>
      </c>
      <c r="BA2119" s="34" t="e">
        <f t="shared" ref="BA2119" si="9265">-SUMPRODUCT($Q2118:$Q2122,$N$2:$N$6)-SUMPRODUCT($Q2124:$Q2128,$N$8:$N$12)</f>
        <v>#NUM!</v>
      </c>
      <c r="BB2119" s="34"/>
      <c r="BC2119" s="34"/>
      <c r="BD2119" s="34"/>
      <c r="BE2119" s="34" t="e">
        <f t="shared" ref="BE2119" si="9266">$Q2124</f>
        <v>#NUM!</v>
      </c>
      <c r="BF2119" s="34">
        <v>-1</v>
      </c>
      <c r="BG2119" s="34" t="e">
        <f t="shared" ref="BG2119" si="9267">-SUMPRODUCT($Q2118:$Q2123,$N$2:$N$7)-SUMPRODUCT($Q2125:$Q2128,$N$9:$N$12)</f>
        <v>#NUM!</v>
      </c>
      <c r="BH2119" s="34"/>
      <c r="BI2119" s="34"/>
      <c r="BJ2119" s="34"/>
      <c r="BK2119" s="34" t="e">
        <f t="shared" ref="BK2119" si="9268">$Q2125</f>
        <v>#NUM!</v>
      </c>
      <c r="BL2119" s="34">
        <v>-1</v>
      </c>
      <c r="BM2119" s="34" t="e">
        <f t="shared" ref="BM2119" si="9269">-SUMPRODUCT($Q2118:$Q2124,$N$2:$N$8)-SUMPRODUCT($Q2126:$Q2128,$N$10:$N$12)</f>
        <v>#NUM!</v>
      </c>
      <c r="BN2119" s="34"/>
      <c r="BO2119" s="34"/>
      <c r="BP2119" s="34"/>
      <c r="BQ2119" s="34" t="e">
        <f t="shared" ref="BQ2119" si="9270">$Q2126</f>
        <v>#NUM!</v>
      </c>
      <c r="BR2119" s="34">
        <v>-1</v>
      </c>
      <c r="BS2119" s="34" t="e">
        <f t="shared" ref="BS2119" si="9271">-SUMPRODUCT($Q2118:$Q2125,$N$2:$N$9)-SUMPRODUCT($Q2127:$Q2128,$N$11:$N$12)</f>
        <v>#NUM!</v>
      </c>
      <c r="BT2119" s="34"/>
      <c r="BU2119" s="34"/>
      <c r="BV2119" s="34"/>
      <c r="BW2119" s="34" t="e">
        <f t="shared" ref="BW2119" si="9272">$Q2127</f>
        <v>#NUM!</v>
      </c>
      <c r="BX2119" s="34">
        <v>-1</v>
      </c>
      <c r="BY2119" s="34" t="e">
        <f t="shared" ref="BY2119" si="9273">-SUMPRODUCT($Q2118:$Q2126,$N$2:$N$10)-SUMPRODUCT($Q2128,$N$12)</f>
        <v>#NUM!</v>
      </c>
      <c r="BZ2119" s="34"/>
      <c r="CA2119" s="34"/>
      <c r="CB2119" s="34"/>
      <c r="CC2119" s="34" t="e">
        <f t="shared" ref="CC2119" si="9274">$Q2128</f>
        <v>#NUM!</v>
      </c>
      <c r="CD2119" s="34">
        <v>-1</v>
      </c>
      <c r="CE2119" s="34" t="e">
        <f t="shared" ref="CE2119" si="9275">-SUMPRODUCT($Q2118:$Q2127,$N$2:$N$11)</f>
        <v>#NUM!</v>
      </c>
      <c r="CF2119" s="34"/>
      <c r="CG2119" s="34"/>
      <c r="CH2119" s="34"/>
      <c r="CI2119" s="8"/>
    </row>
    <row r="2120" spans="1:87" x14ac:dyDescent="0.2">
      <c r="A2120" s="8" t="str">
        <f>IF(AND(COUNTIF(W$3:W$13,A$17)&gt;0,A$17&lt;&gt;B2070),A$17,IFERROR(IF(MATCH(A$17,Z$3:Z$13,0)=3,A$17," ")," "))</f>
        <v>C3</v>
      </c>
      <c r="B2120" s="8">
        <f>IF(A2120=" "," ",MAX(B2118:B2119)+1)</f>
        <v>1</v>
      </c>
      <c r="C2120" s="8" t="str">
        <f>IFERROR(INDEX(A2118:A2139,MATCH(SMALL(B2118:B2139,3),B2118:B2139,0),1)," ")</f>
        <v>C5</v>
      </c>
      <c r="D2120" s="8">
        <f t="shared" si="9241"/>
        <v>0</v>
      </c>
      <c r="E2120" s="8">
        <f t="shared" si="9242"/>
        <v>0</v>
      </c>
      <c r="F2120" s="8">
        <f t="shared" si="9243"/>
        <v>0</v>
      </c>
      <c r="G2120" s="8">
        <f t="shared" si="9244"/>
        <v>0</v>
      </c>
      <c r="H2120" s="8">
        <f t="shared" si="9245"/>
        <v>0</v>
      </c>
      <c r="I2120" s="8">
        <f t="shared" si="9246"/>
        <v>0</v>
      </c>
      <c r="J2120" s="8">
        <f t="shared" si="9247"/>
        <v>0</v>
      </c>
      <c r="K2120" s="8">
        <f t="shared" si="9248"/>
        <v>0</v>
      </c>
      <c r="L2120" s="8">
        <f t="shared" si="9249"/>
        <v>0</v>
      </c>
      <c r="M2120" s="8">
        <f t="shared" si="9250"/>
        <v>0</v>
      </c>
      <c r="N2120" s="8">
        <f t="shared" si="9251"/>
        <v>0</v>
      </c>
      <c r="O2120" s="8">
        <f t="shared" si="9252"/>
        <v>0</v>
      </c>
      <c r="P2120" s="8" t="e">
        <v>#NUM!</v>
      </c>
      <c r="Q2120" s="8" t="e">
        <f t="shared" ref="Q2120" si="9276">IF(COUNTIF(P2118:P2128,"&lt;"&amp;-0.001)=0,IF(ABS(P2120)&lt;0.001,0,P2120)," ")</f>
        <v>#NUM!</v>
      </c>
      <c r="R2120" s="8"/>
      <c r="S2120" s="8"/>
      <c r="U2120" s="34"/>
      <c r="V2120" s="34"/>
      <c r="W2120" s="34"/>
      <c r="X2120" s="34"/>
      <c r="Y2120" s="34"/>
      <c r="Z2120" s="34"/>
      <c r="AA2120" s="34"/>
      <c r="AB2120" s="34"/>
      <c r="AC2120" s="34"/>
      <c r="AD2120" s="34"/>
      <c r="AE2120" s="34"/>
      <c r="AF2120" s="34"/>
      <c r="AG2120" s="34"/>
      <c r="AH2120" s="34"/>
      <c r="AI2120" s="34"/>
      <c r="AJ2120" s="34"/>
      <c r="AK2120" s="34"/>
      <c r="AL2120" s="34"/>
      <c r="AM2120" s="34"/>
      <c r="AN2120" s="34"/>
      <c r="AO2120" s="34"/>
      <c r="AP2120" s="34"/>
      <c r="AQ2120" s="34"/>
      <c r="AR2120" s="34"/>
      <c r="AS2120" s="34"/>
      <c r="AT2120" s="34"/>
      <c r="AU2120" s="34"/>
      <c r="AV2120" s="34"/>
      <c r="AW2120" s="34"/>
      <c r="AX2120" s="34"/>
      <c r="AY2120" s="34"/>
      <c r="AZ2120" s="34"/>
      <c r="BA2120" s="34"/>
      <c r="BB2120" s="34"/>
      <c r="BC2120" s="34"/>
      <c r="BD2120" s="34"/>
      <c r="BE2120" s="34"/>
      <c r="BF2120" s="34"/>
      <c r="BG2120" s="34"/>
      <c r="BH2120" s="34"/>
      <c r="BI2120" s="34"/>
      <c r="BJ2120" s="34"/>
      <c r="BK2120" s="34"/>
      <c r="BL2120" s="34"/>
      <c r="BM2120" s="34"/>
      <c r="BN2120" s="34"/>
      <c r="BO2120" s="34"/>
      <c r="BP2120" s="34"/>
      <c r="BQ2120" s="34"/>
      <c r="BR2120" s="34"/>
      <c r="BS2120" s="34"/>
      <c r="BT2120" s="34"/>
      <c r="BU2120" s="34"/>
      <c r="BV2120" s="34"/>
      <c r="BW2120" s="34"/>
      <c r="BX2120" s="34"/>
      <c r="BY2120" s="34"/>
      <c r="BZ2120" s="34"/>
      <c r="CA2120" s="34"/>
      <c r="CB2120" s="34"/>
      <c r="CC2120" s="34"/>
      <c r="CD2120" s="34"/>
      <c r="CE2120" s="34"/>
      <c r="CF2120" s="34"/>
      <c r="CG2120" s="34"/>
      <c r="CH2120" s="34"/>
      <c r="CI2120" s="8"/>
    </row>
    <row r="2121" spans="1:87" x14ac:dyDescent="0.2">
      <c r="A2121" s="8" t="str">
        <f>IF(AND(COUNTIF(W$3:W$13,A$18)&gt;0,A$18&lt;&gt;B2070),A$18,IFERROR(IF(MATCH(A$18,Z$3:Z$13,0)=3,A$18," ")," "))</f>
        <v>C4</v>
      </c>
      <c r="B2121" s="8">
        <f>IF(A2121=" "," ",MAX(B2118:B2120)+1)</f>
        <v>2</v>
      </c>
      <c r="C2121" s="8" t="str">
        <f>IFERROR(INDEX(A2118:A2139,MATCH(SMALL(B2118:B2139,4),B2118:B2139,0),1)," ")</f>
        <v>C13</v>
      </c>
      <c r="D2121" s="8">
        <f t="shared" si="9241"/>
        <v>0</v>
      </c>
      <c r="E2121" s="8">
        <f t="shared" si="9242"/>
        <v>1</v>
      </c>
      <c r="F2121" s="8">
        <f t="shared" si="9243"/>
        <v>0</v>
      </c>
      <c r="G2121" s="8">
        <f t="shared" si="9244"/>
        <v>0</v>
      </c>
      <c r="H2121" s="8">
        <f t="shared" si="9245"/>
        <v>0</v>
      </c>
      <c r="I2121" s="8">
        <f t="shared" si="9246"/>
        <v>0</v>
      </c>
      <c r="J2121" s="8">
        <f t="shared" si="9247"/>
        <v>0</v>
      </c>
      <c r="K2121" s="8">
        <f t="shared" si="9248"/>
        <v>0</v>
      </c>
      <c r="L2121" s="8">
        <f t="shared" si="9249"/>
        <v>0</v>
      </c>
      <c r="M2121" s="8">
        <f t="shared" si="9250"/>
        <v>0</v>
      </c>
      <c r="N2121" s="8">
        <f t="shared" si="9251"/>
        <v>0</v>
      </c>
      <c r="O2121" s="8">
        <f t="shared" si="9252"/>
        <v>0</v>
      </c>
      <c r="P2121" s="8" t="e">
        <v>#NUM!</v>
      </c>
      <c r="Q2121" s="8" t="e">
        <f t="shared" ref="Q2121" si="9277">IF(COUNTIF(P2118:P2128,"&lt;"&amp;-0.001)=0,IF(ABS(P2121)&lt;0.001,0,P2121)," ")</f>
        <v>#NUM!</v>
      </c>
      <c r="R2121" s="8"/>
      <c r="S2121" s="8"/>
      <c r="U2121" s="34"/>
      <c r="V2121" s="34"/>
      <c r="W2121" s="34"/>
      <c r="X2121" s="34"/>
      <c r="Y2121" s="34"/>
      <c r="Z2121" s="34"/>
      <c r="AA2121" s="34"/>
      <c r="AB2121" s="34"/>
      <c r="AC2121" s="34"/>
      <c r="AD2121" s="34"/>
      <c r="AE2121" s="34"/>
      <c r="AF2121" s="34"/>
      <c r="AG2121" s="34"/>
      <c r="AH2121" s="34"/>
      <c r="AI2121" s="34"/>
      <c r="AJ2121" s="34"/>
      <c r="AK2121" s="34"/>
      <c r="AL2121" s="34"/>
      <c r="AM2121" s="34"/>
      <c r="AN2121" s="34"/>
      <c r="AO2121" s="34"/>
      <c r="AP2121" s="34"/>
      <c r="AQ2121" s="34"/>
      <c r="AR2121" s="34"/>
      <c r="AS2121" s="34"/>
      <c r="AT2121" s="34"/>
      <c r="AU2121" s="34"/>
      <c r="AV2121" s="34"/>
      <c r="AW2121" s="34"/>
      <c r="AX2121" s="34"/>
      <c r="AY2121" s="34"/>
      <c r="AZ2121" s="34"/>
      <c r="BA2121" s="34"/>
      <c r="BB2121" s="34"/>
      <c r="BC2121" s="34"/>
      <c r="BD2121" s="34"/>
      <c r="BE2121" s="34"/>
      <c r="BF2121" s="34"/>
      <c r="BG2121" s="34"/>
      <c r="BH2121" s="34"/>
      <c r="BI2121" s="34"/>
      <c r="BJ2121" s="34"/>
      <c r="BK2121" s="34"/>
      <c r="BL2121" s="34"/>
      <c r="BM2121" s="34"/>
      <c r="BN2121" s="34"/>
      <c r="BO2121" s="34"/>
      <c r="BP2121" s="34"/>
      <c r="BQ2121" s="34"/>
      <c r="BR2121" s="34"/>
      <c r="BS2121" s="34"/>
      <c r="BT2121" s="34"/>
      <c r="BU2121" s="34"/>
      <c r="BV2121" s="34"/>
      <c r="BW2121" s="34"/>
      <c r="BX2121" s="34"/>
      <c r="BY2121" s="34"/>
      <c r="BZ2121" s="34"/>
      <c r="CA2121" s="34"/>
      <c r="CB2121" s="34"/>
      <c r="CC2121" s="34"/>
      <c r="CD2121" s="34"/>
      <c r="CE2121" s="34"/>
      <c r="CF2121" s="34"/>
      <c r="CG2121" s="34"/>
      <c r="CH2121" s="34"/>
      <c r="CI2121" s="8"/>
    </row>
    <row r="2122" spans="1:87" x14ac:dyDescent="0.2">
      <c r="A2122" s="8" t="str">
        <f>IF(AND(COUNTIF(W$3:W$13,A$19)&gt;0,A$19&lt;&gt;B2070),A$19,IFERROR(IF(MATCH(A$19,Z$3:Z$13,0)=3,A$19," ")," "))</f>
        <v>C5</v>
      </c>
      <c r="B2122" s="8">
        <f>IF(A2122=" "," ",MAX(B2118:B2121)+1)</f>
        <v>3</v>
      </c>
      <c r="C2122" s="8" t="str">
        <f>IFERROR(INDEX(A2118:A2139,MATCH(SMALL(B2118:B2139,5),B2118:B2139,0),1)," ")</f>
        <v>C15</v>
      </c>
      <c r="D2122" s="8">
        <f t="shared" si="9241"/>
        <v>0</v>
      </c>
      <c r="E2122" s="8">
        <f t="shared" si="9242"/>
        <v>0</v>
      </c>
      <c r="F2122" s="8">
        <f t="shared" si="9243"/>
        <v>0</v>
      </c>
      <c r="G2122" s="8">
        <f t="shared" si="9244"/>
        <v>1</v>
      </c>
      <c r="H2122" s="8">
        <f t="shared" si="9245"/>
        <v>0</v>
      </c>
      <c r="I2122" s="8">
        <f t="shared" si="9246"/>
        <v>0</v>
      </c>
      <c r="J2122" s="8">
        <f t="shared" si="9247"/>
        <v>0</v>
      </c>
      <c r="K2122" s="8">
        <f t="shared" si="9248"/>
        <v>0</v>
      </c>
      <c r="L2122" s="8">
        <f t="shared" si="9249"/>
        <v>0</v>
      </c>
      <c r="M2122" s="8">
        <f t="shared" si="9250"/>
        <v>0</v>
      </c>
      <c r="N2122" s="8">
        <f t="shared" si="9251"/>
        <v>0</v>
      </c>
      <c r="O2122" s="8">
        <f t="shared" si="9252"/>
        <v>0</v>
      </c>
      <c r="P2122" s="8" t="e">
        <v>#NUM!</v>
      </c>
      <c r="Q2122" s="8" t="e">
        <f t="shared" ref="Q2122" si="9278">IF(COUNTIF(P2118:P2128,"&lt;"&amp;-0.001)=0,IF(ABS(P2122)&lt;0.001,0,P2122)," ")</f>
        <v>#NUM!</v>
      </c>
      <c r="R2122" s="8"/>
      <c r="S2122" s="8"/>
      <c r="U2122" s="34"/>
      <c r="V2122" s="34"/>
      <c r="W2122" s="34"/>
      <c r="X2122" s="34"/>
      <c r="Y2122" s="34"/>
      <c r="Z2122" s="34"/>
      <c r="AA2122" s="34"/>
      <c r="AB2122" s="34"/>
      <c r="AC2122" s="34"/>
      <c r="AD2122" s="34"/>
      <c r="AE2122" s="34"/>
      <c r="AF2122" s="34"/>
      <c r="AG2122" s="34"/>
      <c r="AH2122" s="34"/>
      <c r="AI2122" s="34"/>
      <c r="AJ2122" s="34"/>
      <c r="AK2122" s="34"/>
      <c r="AL2122" s="34"/>
      <c r="AM2122" s="34"/>
      <c r="AN2122" s="34"/>
      <c r="AO2122" s="34"/>
      <c r="AP2122" s="34"/>
      <c r="AQ2122" s="34"/>
      <c r="AR2122" s="34"/>
      <c r="AS2122" s="34"/>
      <c r="AT2122" s="34"/>
      <c r="AU2122" s="34"/>
      <c r="AV2122" s="34"/>
      <c r="AW2122" s="34"/>
      <c r="AX2122" s="34"/>
      <c r="AY2122" s="34"/>
      <c r="AZ2122" s="34"/>
      <c r="BA2122" s="34"/>
      <c r="BB2122" s="34"/>
      <c r="BC2122" s="34"/>
      <c r="BD2122" s="34"/>
      <c r="BE2122" s="34"/>
      <c r="BF2122" s="34"/>
      <c r="BG2122" s="34"/>
      <c r="BH2122" s="34"/>
      <c r="BI2122" s="34"/>
      <c r="BJ2122" s="34"/>
      <c r="BK2122" s="34"/>
      <c r="BL2122" s="34"/>
      <c r="BM2122" s="34"/>
      <c r="BN2122" s="34"/>
      <c r="BO2122" s="34"/>
      <c r="BP2122" s="34"/>
      <c r="BQ2122" s="34"/>
      <c r="BR2122" s="34"/>
      <c r="BS2122" s="34"/>
      <c r="BT2122" s="34"/>
      <c r="BU2122" s="34"/>
      <c r="BV2122" s="34"/>
      <c r="BW2122" s="34"/>
      <c r="BX2122" s="34"/>
      <c r="BY2122" s="34"/>
      <c r="BZ2122" s="34"/>
      <c r="CA2122" s="34"/>
      <c r="CB2122" s="34"/>
      <c r="CC2122" s="34"/>
      <c r="CD2122" s="34"/>
      <c r="CE2122" s="34"/>
      <c r="CF2122" s="34"/>
      <c r="CG2122" s="34"/>
      <c r="CH2122" s="34"/>
      <c r="CI2122" s="8"/>
    </row>
    <row r="2123" spans="1:87" x14ac:dyDescent="0.2">
      <c r="A2123" s="8" t="str">
        <f>IF(AND(COUNTIF(W$3:W$13,A$20)&gt;0,A$20&lt;&gt;B2070),A$20,IFERROR(IF(MATCH(A$20,Z$3:Z$13,0)=3,A$20," ")," "))</f>
        <v xml:space="preserve"> </v>
      </c>
      <c r="B2123" s="8" t="str">
        <f>IF(A2123=" "," ",MAX(B2118:B2122)+1)</f>
        <v xml:space="preserve"> </v>
      </c>
      <c r="C2123" s="8" t="str">
        <f>IFERROR(INDEX(A2118:A2139,MATCH(SMALL(B2118:B2139,6),B2118:B2139,0),1)," ")</f>
        <v>C16</v>
      </c>
      <c r="D2123" s="8">
        <f t="shared" si="9241"/>
        <v>0</v>
      </c>
      <c r="E2123" s="8">
        <f t="shared" si="9242"/>
        <v>0</v>
      </c>
      <c r="F2123" s="8">
        <f t="shared" si="9243"/>
        <v>0</v>
      </c>
      <c r="G2123" s="8">
        <f t="shared" si="9244"/>
        <v>0</v>
      </c>
      <c r="H2123" s="8">
        <f t="shared" si="9245"/>
        <v>1</v>
      </c>
      <c r="I2123" s="8">
        <f t="shared" si="9246"/>
        <v>0</v>
      </c>
      <c r="J2123" s="8">
        <f t="shared" si="9247"/>
        <v>0</v>
      </c>
      <c r="K2123" s="8">
        <f t="shared" si="9248"/>
        <v>0</v>
      </c>
      <c r="L2123" s="8">
        <f t="shared" si="9249"/>
        <v>0</v>
      </c>
      <c r="M2123" s="8">
        <f t="shared" si="9250"/>
        <v>0</v>
      </c>
      <c r="N2123" s="8">
        <f t="shared" si="9251"/>
        <v>0</v>
      </c>
      <c r="O2123" s="8">
        <f t="shared" si="9252"/>
        <v>0</v>
      </c>
      <c r="P2123" s="8" t="e">
        <v>#NUM!</v>
      </c>
      <c r="Q2123" s="8" t="e">
        <f t="shared" ref="Q2123" si="9279">IF(COUNTIF(P2118:P2128,"&lt;"&amp;-0.001)=0,IF(ABS(P2123)&lt;0.001,0,P2123)," ")</f>
        <v>#NUM!</v>
      </c>
      <c r="R2123" s="8"/>
      <c r="S2123" s="8"/>
      <c r="U2123" s="34"/>
      <c r="V2123" s="34"/>
      <c r="W2123" s="34"/>
      <c r="X2123" s="34"/>
      <c r="Y2123" s="34"/>
      <c r="Z2123" s="34"/>
      <c r="AA2123" s="34"/>
      <c r="AB2123" s="34"/>
      <c r="AC2123" s="34"/>
      <c r="AD2123" s="34"/>
      <c r="AE2123" s="34"/>
      <c r="AF2123" s="34"/>
      <c r="AG2123" s="34"/>
      <c r="AH2123" s="34"/>
      <c r="AI2123" s="34"/>
      <c r="AJ2123" s="34"/>
      <c r="AK2123" s="34"/>
      <c r="AL2123" s="34"/>
      <c r="AM2123" s="34"/>
      <c r="AN2123" s="34"/>
      <c r="AO2123" s="34"/>
      <c r="AP2123" s="34"/>
      <c r="AQ2123" s="34"/>
      <c r="AR2123" s="34"/>
      <c r="AS2123" s="34"/>
      <c r="AT2123" s="34"/>
      <c r="AU2123" s="34"/>
      <c r="AV2123" s="34"/>
      <c r="AW2123" s="34"/>
      <c r="AX2123" s="34"/>
      <c r="AY2123" s="34"/>
      <c r="AZ2123" s="34"/>
      <c r="BA2123" s="34"/>
      <c r="BB2123" s="34"/>
      <c r="BC2123" s="34"/>
      <c r="BD2123" s="34"/>
      <c r="BE2123" s="34"/>
      <c r="BF2123" s="34"/>
      <c r="BG2123" s="34"/>
      <c r="BH2123" s="34"/>
      <c r="BI2123" s="34"/>
      <c r="BJ2123" s="34"/>
      <c r="BK2123" s="34"/>
      <c r="BL2123" s="34"/>
      <c r="BM2123" s="34"/>
      <c r="BN2123" s="34"/>
      <c r="BO2123" s="34"/>
      <c r="BP2123" s="34"/>
      <c r="BQ2123" s="34"/>
      <c r="BR2123" s="34"/>
      <c r="BS2123" s="34"/>
      <c r="BT2123" s="34"/>
      <c r="BU2123" s="34"/>
      <c r="BV2123" s="34"/>
      <c r="BW2123" s="34"/>
      <c r="BX2123" s="34"/>
      <c r="BY2123" s="34"/>
      <c r="BZ2123" s="34"/>
      <c r="CA2123" s="34"/>
      <c r="CB2123" s="34"/>
      <c r="CC2123" s="34"/>
      <c r="CD2123" s="34"/>
      <c r="CE2123" s="34"/>
      <c r="CF2123" s="34"/>
      <c r="CG2123" s="34"/>
      <c r="CH2123" s="34"/>
      <c r="CI2123" s="8"/>
    </row>
    <row r="2124" spans="1:87" x14ac:dyDescent="0.2">
      <c r="A2124" s="8" t="str">
        <f>IF(AND(COUNTIF(W$3:W$13,A$21)&gt;0,A$21&lt;&gt;B2070),A$21,IFERROR(IF(MATCH(A$21,Z$3:Z$13,0)=3,A$21," ")," "))</f>
        <v xml:space="preserve"> </v>
      </c>
      <c r="B2124" s="8" t="str">
        <f>IF(A2124=" "," ",MAX(B2118:B2123)+1)</f>
        <v xml:space="preserve"> </v>
      </c>
      <c r="C2124" s="8" t="str">
        <f>IFERROR(INDEX(A2118:A2139,MATCH(SMALL(B2118:B2139,7),B2118:B2139,0),1)," ")</f>
        <v>C17</v>
      </c>
      <c r="D2124" s="8">
        <f t="shared" si="9241"/>
        <v>0</v>
      </c>
      <c r="E2124" s="8">
        <f t="shared" si="9242"/>
        <v>0</v>
      </c>
      <c r="F2124" s="8">
        <f t="shared" si="9243"/>
        <v>0</v>
      </c>
      <c r="G2124" s="8">
        <f t="shared" si="9244"/>
        <v>0</v>
      </c>
      <c r="H2124" s="8">
        <f t="shared" si="9245"/>
        <v>0</v>
      </c>
      <c r="I2124" s="8">
        <f t="shared" si="9246"/>
        <v>1</v>
      </c>
      <c r="J2124" s="8">
        <f t="shared" si="9247"/>
        <v>0</v>
      </c>
      <c r="K2124" s="8">
        <f t="shared" si="9248"/>
        <v>0</v>
      </c>
      <c r="L2124" s="8">
        <f t="shared" si="9249"/>
        <v>0</v>
      </c>
      <c r="M2124" s="8">
        <f t="shared" si="9250"/>
        <v>0</v>
      </c>
      <c r="N2124" s="8">
        <f t="shared" si="9251"/>
        <v>0</v>
      </c>
      <c r="O2124" s="8">
        <f t="shared" si="9252"/>
        <v>0</v>
      </c>
      <c r="P2124" s="8" t="e">
        <v>#NUM!</v>
      </c>
      <c r="Q2124" s="8" t="e">
        <f t="shared" ref="Q2124" si="9280">IF(COUNTIF(P2118:P2128,"&lt;"&amp;-0.001)=0,IF(ABS(P2124)&lt;0.001,0,P2124)," ")</f>
        <v>#NUM!</v>
      </c>
      <c r="R2124" s="8"/>
      <c r="S2124" s="8"/>
      <c r="U2124" s="34"/>
      <c r="V2124" s="34"/>
      <c r="W2124" s="34"/>
      <c r="X2124" s="34"/>
      <c r="Y2124" s="34"/>
      <c r="Z2124" s="34"/>
      <c r="AA2124" s="34"/>
      <c r="AB2124" s="34"/>
      <c r="AC2124" s="34"/>
      <c r="AD2124" s="34"/>
      <c r="AE2124" s="34"/>
      <c r="AF2124" s="34"/>
      <c r="AG2124" s="34"/>
      <c r="AH2124" s="34"/>
      <c r="AI2124" s="34"/>
      <c r="AJ2124" s="34"/>
      <c r="AK2124" s="34"/>
      <c r="AL2124" s="34"/>
      <c r="AM2124" s="34"/>
      <c r="AN2124" s="34"/>
      <c r="AO2124" s="34"/>
      <c r="AP2124" s="34"/>
      <c r="AQ2124" s="34"/>
      <c r="AR2124" s="34"/>
      <c r="AS2124" s="34"/>
      <c r="AT2124" s="34"/>
      <c r="AU2124" s="34"/>
      <c r="AV2124" s="34"/>
      <c r="AW2124" s="34"/>
      <c r="AX2124" s="34"/>
      <c r="AY2124" s="34"/>
      <c r="AZ2124" s="34"/>
      <c r="BA2124" s="34"/>
      <c r="BB2124" s="34"/>
      <c r="BC2124" s="34"/>
      <c r="BD2124" s="34"/>
      <c r="BE2124" s="34"/>
      <c r="BF2124" s="34"/>
      <c r="BG2124" s="34"/>
      <c r="BH2124" s="34"/>
      <c r="BI2124" s="34"/>
      <c r="BJ2124" s="34"/>
      <c r="BK2124" s="34"/>
      <c r="BL2124" s="34"/>
      <c r="BM2124" s="34"/>
      <c r="BN2124" s="34"/>
      <c r="BO2124" s="34"/>
      <c r="BP2124" s="34"/>
      <c r="BQ2124" s="34"/>
      <c r="BR2124" s="34"/>
      <c r="BS2124" s="34"/>
      <c r="BT2124" s="34"/>
      <c r="BU2124" s="34"/>
      <c r="BV2124" s="34"/>
      <c r="BW2124" s="34"/>
      <c r="BX2124" s="34"/>
      <c r="BY2124" s="34"/>
      <c r="BZ2124" s="34"/>
      <c r="CA2124" s="34"/>
      <c r="CB2124" s="34"/>
      <c r="CC2124" s="34"/>
      <c r="CD2124" s="34"/>
      <c r="CE2124" s="34"/>
      <c r="CF2124" s="34"/>
      <c r="CG2124" s="34"/>
      <c r="CH2124" s="34"/>
      <c r="CI2124" s="8"/>
    </row>
    <row r="2125" spans="1:87" x14ac:dyDescent="0.2">
      <c r="A2125" s="8" t="str">
        <f>IF(AND(COUNTIF(W$3:W$13,A$22)&gt;0,A$22&lt;&gt;B2070),A$22,IFERROR(IF(MATCH(A$22,Z$3:Z$13,0)=3,A$22," ")," "))</f>
        <v xml:space="preserve"> </v>
      </c>
      <c r="B2125" s="8" t="str">
        <f>IF(A2125=" "," ",MAX(B2118:B2124)+1)</f>
        <v xml:space="preserve"> </v>
      </c>
      <c r="C2125" s="8" t="str">
        <f>IFERROR(INDEX(A2118:A2139,MATCH(SMALL(B2118:B2139,8),B2118:B2139,0),1)," ")</f>
        <v>C18</v>
      </c>
      <c r="D2125" s="8">
        <f t="shared" si="9241"/>
        <v>0</v>
      </c>
      <c r="E2125" s="8">
        <f t="shared" si="9242"/>
        <v>0</v>
      </c>
      <c r="F2125" s="8">
        <f t="shared" si="9243"/>
        <v>0</v>
      </c>
      <c r="G2125" s="8">
        <f t="shared" si="9244"/>
        <v>0</v>
      </c>
      <c r="H2125" s="8">
        <f t="shared" si="9245"/>
        <v>0</v>
      </c>
      <c r="I2125" s="8">
        <f t="shared" si="9246"/>
        <v>0</v>
      </c>
      <c r="J2125" s="8">
        <f t="shared" si="9247"/>
        <v>1</v>
      </c>
      <c r="K2125" s="8">
        <f t="shared" si="9248"/>
        <v>0</v>
      </c>
      <c r="L2125" s="8">
        <f t="shared" si="9249"/>
        <v>0</v>
      </c>
      <c r="M2125" s="8">
        <f t="shared" si="9250"/>
        <v>0</v>
      </c>
      <c r="N2125" s="8">
        <f t="shared" si="9251"/>
        <v>0</v>
      </c>
      <c r="O2125" s="8">
        <f t="shared" si="9252"/>
        <v>0</v>
      </c>
      <c r="P2125" s="8" t="e">
        <v>#NUM!</v>
      </c>
      <c r="Q2125" s="8" t="e">
        <f t="shared" ref="Q2125" si="9281">IF(COUNTIF(P2118:P2128,"&lt;"&amp;-0.001)=0,IF(ABS(P2125)&lt;0.001,0,P2125)," ")</f>
        <v>#NUM!</v>
      </c>
      <c r="R2125" s="8"/>
      <c r="S2125" s="8"/>
      <c r="U2125" s="34"/>
      <c r="V2125" s="34"/>
      <c r="W2125" s="34"/>
      <c r="X2125" s="34"/>
      <c r="Y2125" s="34"/>
      <c r="Z2125" s="34"/>
      <c r="AA2125" s="34"/>
      <c r="AB2125" s="34"/>
      <c r="AC2125" s="34"/>
      <c r="AD2125" s="34"/>
      <c r="AE2125" s="34"/>
      <c r="AF2125" s="34"/>
      <c r="AG2125" s="34"/>
      <c r="AH2125" s="34"/>
      <c r="AI2125" s="34"/>
      <c r="AJ2125" s="34"/>
      <c r="AK2125" s="34"/>
      <c r="AL2125" s="34"/>
      <c r="AM2125" s="34"/>
      <c r="AN2125" s="34"/>
      <c r="AO2125" s="34"/>
      <c r="AP2125" s="34"/>
      <c r="AQ2125" s="34"/>
      <c r="AR2125" s="34"/>
      <c r="AS2125" s="34"/>
      <c r="AT2125" s="34"/>
      <c r="AU2125" s="34"/>
      <c r="AV2125" s="34"/>
      <c r="AW2125" s="34"/>
      <c r="AX2125" s="34"/>
      <c r="AY2125" s="34"/>
      <c r="AZ2125" s="34"/>
      <c r="BA2125" s="34"/>
      <c r="BB2125" s="34"/>
      <c r="BC2125" s="34"/>
      <c r="BD2125" s="34"/>
      <c r="BE2125" s="34"/>
      <c r="BF2125" s="34"/>
      <c r="BG2125" s="34"/>
      <c r="BH2125" s="34"/>
      <c r="BI2125" s="34"/>
      <c r="BJ2125" s="34"/>
      <c r="BK2125" s="34"/>
      <c r="BL2125" s="34"/>
      <c r="BM2125" s="34"/>
      <c r="BN2125" s="34"/>
      <c r="BO2125" s="34"/>
      <c r="BP2125" s="34"/>
      <c r="BQ2125" s="34"/>
      <c r="BR2125" s="34"/>
      <c r="BS2125" s="34"/>
      <c r="BT2125" s="34"/>
      <c r="BU2125" s="34"/>
      <c r="BV2125" s="34"/>
      <c r="BW2125" s="34"/>
      <c r="BX2125" s="34"/>
      <c r="BY2125" s="34"/>
      <c r="BZ2125" s="34"/>
      <c r="CA2125" s="34"/>
      <c r="CB2125" s="34"/>
      <c r="CC2125" s="34"/>
      <c r="CD2125" s="34"/>
      <c r="CE2125" s="34"/>
      <c r="CF2125" s="34"/>
      <c r="CG2125" s="34"/>
      <c r="CH2125" s="34"/>
      <c r="CI2125" s="8"/>
    </row>
    <row r="2126" spans="1:87" x14ac:dyDescent="0.2">
      <c r="A2126" s="8" t="str">
        <f>IF(AND(COUNTIF(W$3:W$13,A$23)&gt;0,A$23&lt;&gt;B2070),A$23,IFERROR(IF(MATCH(A$23,Z$3:Z$13,0)=3,A$23," ")," "))</f>
        <v xml:space="preserve"> </v>
      </c>
      <c r="B2126" s="8" t="str">
        <f>IF(A2126=" "," ",MAX(B2118:B2125)+1)</f>
        <v xml:space="preserve"> </v>
      </c>
      <c r="C2126" s="8" t="str">
        <f>IFERROR(INDEX(A2118:A2139,MATCH(SMALL(B2118:B2139,9),B2118:B2139,0),1)," ")</f>
        <v>C19</v>
      </c>
      <c r="D2126" s="8">
        <f t="shared" si="9241"/>
        <v>0</v>
      </c>
      <c r="E2126" s="8">
        <f t="shared" si="9242"/>
        <v>0</v>
      </c>
      <c r="F2126" s="8">
        <f t="shared" si="9243"/>
        <v>0</v>
      </c>
      <c r="G2126" s="8">
        <f t="shared" si="9244"/>
        <v>0</v>
      </c>
      <c r="H2126" s="8">
        <f t="shared" si="9245"/>
        <v>0</v>
      </c>
      <c r="I2126" s="8">
        <f t="shared" si="9246"/>
        <v>0</v>
      </c>
      <c r="J2126" s="8">
        <f t="shared" si="9247"/>
        <v>0</v>
      </c>
      <c r="K2126" s="8">
        <f t="shared" si="9248"/>
        <v>1</v>
      </c>
      <c r="L2126" s="8">
        <f t="shared" si="9249"/>
        <v>0</v>
      </c>
      <c r="M2126" s="8">
        <f t="shared" si="9250"/>
        <v>0</v>
      </c>
      <c r="N2126" s="8">
        <f t="shared" si="9251"/>
        <v>0</v>
      </c>
      <c r="O2126" s="8">
        <f t="shared" si="9252"/>
        <v>0</v>
      </c>
      <c r="P2126" s="6" t="e">
        <v>#NUM!</v>
      </c>
      <c r="Q2126" s="8" t="e">
        <f t="shared" ref="Q2126" si="9282">IF(COUNTIF(P2118:P2128,"&lt;"&amp;-0.001)=0,IF(ABS(P2126)&lt;0.001,0,P2126)," ")</f>
        <v>#NUM!</v>
      </c>
      <c r="R2126" s="8"/>
      <c r="S2126" s="8"/>
      <c r="U2126" s="34"/>
      <c r="V2126" s="34"/>
      <c r="W2126" s="34"/>
      <c r="X2126" s="34"/>
      <c r="Y2126" s="34"/>
      <c r="Z2126" s="34"/>
      <c r="AA2126" s="34"/>
      <c r="AB2126" s="34"/>
      <c r="AC2126" s="34"/>
      <c r="AD2126" s="34"/>
      <c r="AE2126" s="34"/>
      <c r="AF2126" s="34"/>
      <c r="AG2126" s="34"/>
      <c r="AH2126" s="34"/>
      <c r="AI2126" s="34"/>
      <c r="AJ2126" s="34"/>
      <c r="AK2126" s="34"/>
      <c r="AL2126" s="34"/>
      <c r="AM2126" s="34"/>
      <c r="AN2126" s="34"/>
      <c r="AO2126" s="34"/>
      <c r="AP2126" s="34"/>
      <c r="AQ2126" s="34"/>
      <c r="AR2126" s="34"/>
      <c r="AS2126" s="34"/>
      <c r="AT2126" s="34"/>
      <c r="AU2126" s="34"/>
      <c r="AV2126" s="34"/>
      <c r="AW2126" s="34"/>
      <c r="AX2126" s="34"/>
      <c r="AY2126" s="34"/>
      <c r="AZ2126" s="34"/>
      <c r="BA2126" s="34"/>
      <c r="BB2126" s="34"/>
      <c r="BC2126" s="34"/>
      <c r="BD2126" s="34"/>
      <c r="BE2126" s="34"/>
      <c r="BF2126" s="34"/>
      <c r="BG2126" s="34"/>
      <c r="BH2126" s="34"/>
      <c r="BI2126" s="34"/>
      <c r="BJ2126" s="34"/>
      <c r="BK2126" s="34"/>
      <c r="BL2126" s="34"/>
      <c r="BM2126" s="34"/>
      <c r="BN2126" s="34"/>
      <c r="BO2126" s="34"/>
      <c r="BP2126" s="34"/>
      <c r="BQ2126" s="34"/>
      <c r="BR2126" s="34"/>
      <c r="BS2126" s="34"/>
      <c r="BT2126" s="34"/>
      <c r="BU2126" s="34"/>
      <c r="BV2126" s="34"/>
      <c r="BW2126" s="34"/>
      <c r="BX2126" s="34"/>
      <c r="BY2126" s="34"/>
      <c r="BZ2126" s="34"/>
      <c r="CA2126" s="34"/>
      <c r="CB2126" s="34"/>
      <c r="CC2126" s="34"/>
      <c r="CD2126" s="34"/>
      <c r="CE2126" s="34"/>
      <c r="CF2126" s="34"/>
      <c r="CG2126" s="34"/>
      <c r="CH2126" s="34"/>
      <c r="CI2126" s="8"/>
    </row>
    <row r="2127" spans="1:87" x14ac:dyDescent="0.2">
      <c r="A2127" s="8" t="str">
        <f>IF(AND(COUNTIF(W$3:W$13,A$24)&gt;0,A$24&lt;&gt;B2070),A$24,IFERROR(IF(MATCH(A$24,Z$3:Z$13,0)=3,A$24," ")," "))</f>
        <v xml:space="preserve"> </v>
      </c>
      <c r="B2127" s="8" t="str">
        <f>IF(A2127=" "," ",MAX(B2118:B2126)+1)</f>
        <v xml:space="preserve"> </v>
      </c>
      <c r="C2127" s="8" t="str">
        <f>IFERROR(INDEX(A2118:A2139,MATCH(SMALL(B2118:B2139,10),B2118:B2139,0),1)," ")</f>
        <v>C21</v>
      </c>
      <c r="D2127" s="8">
        <f t="shared" si="9241"/>
        <v>0</v>
      </c>
      <c r="E2127" s="8">
        <f t="shared" si="9242"/>
        <v>0</v>
      </c>
      <c r="F2127" s="8">
        <f t="shared" si="9243"/>
        <v>0</v>
      </c>
      <c r="G2127" s="8">
        <f t="shared" si="9244"/>
        <v>0</v>
      </c>
      <c r="H2127" s="8">
        <f t="shared" si="9245"/>
        <v>0</v>
      </c>
      <c r="I2127" s="8">
        <f t="shared" si="9246"/>
        <v>0</v>
      </c>
      <c r="J2127" s="8">
        <f t="shared" si="9247"/>
        <v>0</v>
      </c>
      <c r="K2127" s="8">
        <f t="shared" si="9248"/>
        <v>0</v>
      </c>
      <c r="L2127" s="8">
        <f t="shared" si="9249"/>
        <v>0</v>
      </c>
      <c r="M2127" s="8">
        <f t="shared" si="9250"/>
        <v>1</v>
      </c>
      <c r="N2127" s="8">
        <f t="shared" si="9251"/>
        <v>0</v>
      </c>
      <c r="O2127" s="8">
        <f t="shared" si="9252"/>
        <v>0</v>
      </c>
      <c r="P2127" s="8" t="e">
        <v>#NUM!</v>
      </c>
      <c r="Q2127" s="8" t="e">
        <f t="shared" ref="Q2127" si="9283">IF(COUNTIF(P2118:P2128,"&lt;"&amp;-0.001)=0,IF(ABS(P2127)&lt;0.001,0,P2127)," ")</f>
        <v>#NUM!</v>
      </c>
      <c r="R2127" s="8"/>
      <c r="S2127" s="8"/>
      <c r="U2127" s="34"/>
      <c r="V2127" s="34"/>
      <c r="W2127" s="34"/>
      <c r="X2127" s="34"/>
      <c r="Y2127" s="34"/>
      <c r="Z2127" s="34"/>
      <c r="AA2127" s="34"/>
      <c r="AB2127" s="34"/>
      <c r="AC2127" s="34"/>
      <c r="AD2127" s="34"/>
      <c r="AE2127" s="34"/>
      <c r="AF2127" s="34"/>
      <c r="AG2127" s="34"/>
      <c r="AH2127" s="34"/>
      <c r="AI2127" s="34"/>
      <c r="AJ2127" s="34"/>
      <c r="AK2127" s="34"/>
      <c r="AL2127" s="34"/>
      <c r="AM2127" s="34"/>
      <c r="AN2127" s="34"/>
      <c r="AO2127" s="34"/>
      <c r="AP2127" s="34"/>
      <c r="AQ2127" s="34"/>
      <c r="AR2127" s="34"/>
      <c r="AS2127" s="34"/>
      <c r="AT2127" s="34"/>
      <c r="AU2127" s="34"/>
      <c r="AV2127" s="34"/>
      <c r="AW2127" s="34"/>
      <c r="AX2127" s="34"/>
      <c r="AY2127" s="34"/>
      <c r="AZ2127" s="34"/>
      <c r="BA2127" s="34"/>
      <c r="BB2127" s="34"/>
      <c r="BC2127" s="34"/>
      <c r="BD2127" s="34"/>
      <c r="BE2127" s="34"/>
      <c r="BF2127" s="34"/>
      <c r="BG2127" s="34"/>
      <c r="BH2127" s="34"/>
      <c r="BI2127" s="34"/>
      <c r="BJ2127" s="34"/>
      <c r="BK2127" s="34"/>
      <c r="BL2127" s="34"/>
      <c r="BM2127" s="34"/>
      <c r="BN2127" s="34"/>
      <c r="BO2127" s="34"/>
      <c r="BP2127" s="34"/>
      <c r="BQ2127" s="34"/>
      <c r="BR2127" s="34"/>
      <c r="BS2127" s="34"/>
      <c r="BT2127" s="34"/>
      <c r="BU2127" s="34"/>
      <c r="BV2127" s="34"/>
      <c r="BW2127" s="34"/>
      <c r="BX2127" s="34"/>
      <c r="BY2127" s="34"/>
      <c r="BZ2127" s="34"/>
      <c r="CA2127" s="34"/>
      <c r="CB2127" s="34"/>
      <c r="CC2127" s="34"/>
      <c r="CD2127" s="34"/>
      <c r="CE2127" s="34"/>
      <c r="CF2127" s="34"/>
      <c r="CG2127" s="34"/>
      <c r="CH2127" s="34"/>
      <c r="CI2127" s="8"/>
    </row>
    <row r="2128" spans="1:87" x14ac:dyDescent="0.2">
      <c r="A2128" s="8" t="str">
        <f>IF(AND(COUNTIF(W$3:W$13,A$25)&gt;0,A$25&lt;&gt;B2070),A$25,IFERROR(IF(MATCH(A$25,Z$3:Z$13,0)=3,A$25," ")," "))</f>
        <v xml:space="preserve"> </v>
      </c>
      <c r="B2128" s="8" t="str">
        <f>IF(A2128=" "," ",MAX(B2118:B2127)+1)</f>
        <v xml:space="preserve"> </v>
      </c>
      <c r="C2128" s="8" t="str">
        <f>IFERROR(INDEX(A2118:A2139,MATCH(SMALL(B2118:B2139,11),B2118:B2139,0),1)," ")</f>
        <v>C22</v>
      </c>
      <c r="D2128" s="8">
        <f t="shared" si="9241"/>
        <v>0</v>
      </c>
      <c r="E2128" s="8">
        <f t="shared" si="9242"/>
        <v>0</v>
      </c>
      <c r="F2128" s="8">
        <f t="shared" si="9243"/>
        <v>0</v>
      </c>
      <c r="G2128" s="8">
        <f t="shared" si="9244"/>
        <v>0</v>
      </c>
      <c r="H2128" s="8">
        <f t="shared" si="9245"/>
        <v>0</v>
      </c>
      <c r="I2128" s="8">
        <f t="shared" si="9246"/>
        <v>0</v>
      </c>
      <c r="J2128" s="8">
        <f t="shared" si="9247"/>
        <v>0</v>
      </c>
      <c r="K2128" s="8">
        <f t="shared" si="9248"/>
        <v>0</v>
      </c>
      <c r="L2128" s="8">
        <f t="shared" si="9249"/>
        <v>0</v>
      </c>
      <c r="M2128" s="8">
        <f t="shared" si="9250"/>
        <v>0</v>
      </c>
      <c r="N2128" s="8">
        <f t="shared" si="9251"/>
        <v>1</v>
      </c>
      <c r="O2128" s="8">
        <f t="shared" si="9252"/>
        <v>0</v>
      </c>
      <c r="P2128" s="8" t="e">
        <v>#NUM!</v>
      </c>
      <c r="Q2128" s="8" t="e">
        <f t="shared" ref="Q2128" si="9284">IF(COUNTIF(P2118:P2128,"&lt;"&amp;-0.001)=0,IF(ABS(P2128)&lt;0.001,0,P2128)," ")</f>
        <v>#NUM!</v>
      </c>
      <c r="R2128" s="8"/>
      <c r="S2128" s="8"/>
      <c r="U2128" s="34"/>
      <c r="V2128" s="34"/>
      <c r="W2128" s="34"/>
      <c r="X2128" s="34"/>
      <c r="Y2128" s="34"/>
      <c r="Z2128" s="34"/>
      <c r="AA2128" s="34"/>
      <c r="AB2128" s="34"/>
      <c r="AC2128" s="34"/>
      <c r="AD2128" s="34"/>
      <c r="AE2128" s="34"/>
      <c r="AF2128" s="34"/>
      <c r="AG2128" s="34"/>
      <c r="AH2128" s="34"/>
      <c r="AI2128" s="34"/>
      <c r="AJ2128" s="34"/>
      <c r="AK2128" s="34"/>
      <c r="AL2128" s="34"/>
      <c r="AM2128" s="34"/>
      <c r="AN2128" s="34"/>
      <c r="AO2128" s="34"/>
      <c r="AP2128" s="34"/>
      <c r="AQ2128" s="34"/>
      <c r="AR2128" s="34"/>
      <c r="AS2128" s="34"/>
      <c r="AT2128" s="34"/>
      <c r="AU2128" s="34"/>
      <c r="AV2128" s="34"/>
      <c r="AW2128" s="34"/>
      <c r="AX2128" s="34"/>
      <c r="AY2128" s="34"/>
      <c r="AZ2128" s="34"/>
      <c r="BA2128" s="34"/>
      <c r="BB2128" s="34"/>
      <c r="BC2128" s="34"/>
      <c r="BD2128" s="34"/>
      <c r="BE2128" s="34"/>
      <c r="BF2128" s="34"/>
      <c r="BG2128" s="34"/>
      <c r="BH2128" s="34"/>
      <c r="BI2128" s="34"/>
      <c r="BJ2128" s="34"/>
      <c r="BK2128" s="34"/>
      <c r="BL2128" s="34"/>
      <c r="BM2128" s="34"/>
      <c r="BN2128" s="34"/>
      <c r="BO2128" s="34"/>
      <c r="BP2128" s="34"/>
      <c r="BQ2128" s="34"/>
      <c r="BR2128" s="34"/>
      <c r="BS2128" s="34"/>
      <c r="BT2128" s="34"/>
      <c r="BU2128" s="34"/>
      <c r="BV2128" s="34"/>
      <c r="BW2128" s="34"/>
      <c r="BX2128" s="34"/>
      <c r="BY2128" s="34"/>
      <c r="BZ2128" s="34"/>
      <c r="CA2128" s="34"/>
      <c r="CB2128" s="34"/>
      <c r="CC2128" s="34"/>
      <c r="CD2128" s="34"/>
      <c r="CE2128" s="34"/>
      <c r="CF2128" s="34"/>
      <c r="CG2128" s="34"/>
      <c r="CH2128" s="34"/>
      <c r="CI2128" s="8"/>
    </row>
    <row r="2129" spans="1:87" x14ac:dyDescent="0.2">
      <c r="A2129" s="8" t="str">
        <f>IF(AND(COUNTIF(W$3:W$13,A$26)&gt;0,A$26&lt;&gt;B2070),A$26,IFERROR(IF(MATCH(A$26,Z$3:Z$13,0)=3,A$26," ")," "))</f>
        <v xml:space="preserve"> </v>
      </c>
      <c r="B2129" s="8" t="str">
        <f>IF(A2129=" "," ",MAX(B2118:B2128)+1)</f>
        <v xml:space="preserve"> </v>
      </c>
      <c r="C2129" s="8"/>
      <c r="D2129" s="8"/>
      <c r="E2129" s="8"/>
      <c r="F2129" s="8"/>
      <c r="G2129" s="8"/>
      <c r="H2129" s="8"/>
      <c r="I2129" s="8"/>
      <c r="J2129" s="8"/>
      <c r="K2129" s="8"/>
      <c r="L2129" s="8"/>
      <c r="M2129" s="8"/>
      <c r="N2129" s="8"/>
      <c r="O2129" s="8"/>
      <c r="P2129" s="8"/>
      <c r="Q2129" s="8"/>
      <c r="R2129" s="8"/>
      <c r="S2129" s="8"/>
      <c r="U2129" s="34"/>
      <c r="V2129" s="34"/>
      <c r="W2129" s="34"/>
      <c r="X2129" s="34"/>
      <c r="Y2129" s="34"/>
      <c r="Z2129" s="34"/>
      <c r="AA2129" s="34"/>
      <c r="AB2129" s="34"/>
      <c r="AC2129" s="34"/>
      <c r="AD2129" s="34"/>
      <c r="AE2129" s="34"/>
      <c r="AF2129" s="34"/>
      <c r="AG2129" s="34"/>
      <c r="AH2129" s="34"/>
      <c r="AI2129" s="34"/>
      <c r="AJ2129" s="34"/>
      <c r="AK2129" s="34"/>
      <c r="AL2129" s="34"/>
      <c r="AM2129" s="34"/>
      <c r="AN2129" s="34"/>
      <c r="AO2129" s="34"/>
      <c r="AP2129" s="34"/>
      <c r="AQ2129" s="34"/>
      <c r="AR2129" s="34"/>
      <c r="AS2129" s="34"/>
      <c r="AT2129" s="34"/>
      <c r="AU2129" s="34"/>
      <c r="AV2129" s="34"/>
      <c r="AW2129" s="34"/>
      <c r="AX2129" s="34"/>
      <c r="AY2129" s="34"/>
      <c r="AZ2129" s="34"/>
      <c r="BA2129" s="34"/>
      <c r="BB2129" s="34"/>
      <c r="BC2129" s="34"/>
      <c r="BD2129" s="34"/>
      <c r="BE2129" s="34"/>
      <c r="BF2129" s="34"/>
      <c r="BG2129" s="34"/>
      <c r="BH2129" s="34"/>
      <c r="BI2129" s="34"/>
      <c r="BJ2129" s="34"/>
      <c r="BK2129" s="34"/>
      <c r="BL2129" s="34"/>
      <c r="BM2129" s="34"/>
      <c r="BN2129" s="34"/>
      <c r="BO2129" s="34"/>
      <c r="BP2129" s="34"/>
      <c r="BQ2129" s="34"/>
      <c r="BR2129" s="34"/>
      <c r="BS2129" s="34"/>
      <c r="BT2129" s="34"/>
      <c r="BU2129" s="34"/>
      <c r="BV2129" s="34"/>
      <c r="BW2129" s="34"/>
      <c r="BX2129" s="34"/>
      <c r="BY2129" s="34"/>
      <c r="BZ2129" s="34"/>
      <c r="CA2129" s="34"/>
      <c r="CB2129" s="34"/>
      <c r="CC2129" s="34"/>
      <c r="CD2129" s="34"/>
      <c r="CE2129" s="34"/>
      <c r="CF2129" s="34"/>
      <c r="CG2129" s="34"/>
      <c r="CH2129" s="34"/>
      <c r="CI2129" s="8"/>
    </row>
    <row r="2130" spans="1:87" x14ac:dyDescent="0.2">
      <c r="A2130" s="8" t="str">
        <f>IF(AND(COUNTIF(W$3:W$13,A$27)&gt;0,A$27&lt;&gt;B2070),A$27,IFERROR(IF(MATCH(A$27,Z$3:Z$13,0)=3,A$27," ")," "))</f>
        <v>C13</v>
      </c>
      <c r="B2130" s="8">
        <f>IF(A2130=" "," ",MAX(B2118:B2129)+1)</f>
        <v>4</v>
      </c>
      <c r="C2130" s="8"/>
      <c r="D2130" s="8"/>
      <c r="E2130" s="8"/>
      <c r="F2130" s="8"/>
      <c r="G2130" s="8"/>
      <c r="H2130" s="8"/>
      <c r="I2130" s="8"/>
      <c r="J2130" s="8"/>
      <c r="K2130" s="8"/>
      <c r="L2130" s="8"/>
      <c r="M2130" s="8"/>
      <c r="N2130" s="8"/>
      <c r="O2130" s="8"/>
      <c r="P2130" s="8"/>
      <c r="Q2130" s="8"/>
      <c r="R2130" s="8"/>
      <c r="S2130" s="8"/>
      <c r="U2130" s="34"/>
      <c r="V2130" s="34"/>
      <c r="W2130" s="34"/>
      <c r="X2130" s="34"/>
      <c r="Y2130" s="34"/>
      <c r="Z2130" s="34"/>
      <c r="AA2130" s="34"/>
      <c r="AB2130" s="34"/>
      <c r="AC2130" s="34"/>
      <c r="AD2130" s="34"/>
      <c r="AE2130" s="34"/>
      <c r="AF2130" s="34"/>
      <c r="AG2130" s="34"/>
      <c r="AH2130" s="34"/>
      <c r="AI2130" s="34"/>
      <c r="AJ2130" s="34"/>
      <c r="AK2130" s="34"/>
      <c r="AL2130" s="34"/>
      <c r="AM2130" s="34"/>
      <c r="AN2130" s="34"/>
      <c r="AO2130" s="34"/>
      <c r="AP2130" s="34"/>
      <c r="AQ2130" s="34"/>
      <c r="AR2130" s="34"/>
      <c r="AS2130" s="34"/>
      <c r="AT2130" s="34"/>
      <c r="AU2130" s="34"/>
      <c r="AV2130" s="34"/>
      <c r="AW2130" s="34"/>
      <c r="AX2130" s="34"/>
      <c r="AY2130" s="34"/>
      <c r="AZ2130" s="34"/>
      <c r="BA2130" s="34"/>
      <c r="BB2130" s="34"/>
      <c r="BC2130" s="34"/>
      <c r="BD2130" s="34"/>
      <c r="BE2130" s="34"/>
      <c r="BF2130" s="34"/>
      <c r="BG2130" s="34"/>
      <c r="BH2130" s="34"/>
      <c r="BI2130" s="34"/>
      <c r="BJ2130" s="34"/>
      <c r="BK2130" s="34"/>
      <c r="BL2130" s="34"/>
      <c r="BM2130" s="34"/>
      <c r="BN2130" s="34"/>
      <c r="BO2130" s="34"/>
      <c r="BP2130" s="34"/>
      <c r="BQ2130" s="34"/>
      <c r="BR2130" s="34"/>
      <c r="BS2130" s="34"/>
      <c r="BT2130" s="34"/>
      <c r="BU2130" s="34"/>
      <c r="BV2130" s="34"/>
      <c r="BW2130" s="34"/>
      <c r="BX2130" s="34"/>
      <c r="BY2130" s="34"/>
      <c r="BZ2130" s="34"/>
      <c r="CA2130" s="34"/>
      <c r="CB2130" s="34"/>
      <c r="CC2130" s="34"/>
      <c r="CD2130" s="34"/>
      <c r="CE2130" s="34"/>
      <c r="CF2130" s="34"/>
      <c r="CG2130" s="34"/>
      <c r="CH2130" s="34"/>
      <c r="CI2130" s="8"/>
    </row>
    <row r="2131" spans="1:87" x14ac:dyDescent="0.2">
      <c r="A2131" s="8" t="str">
        <f>IF(AND(COUNTIF(W$3:W$13,A$28)&gt;0,A$28&lt;&gt;B2070),A$28,IFERROR(IF(MATCH(A$28,Z$3:Z$13,0)=3,A$28," ")," "))</f>
        <v xml:space="preserve"> </v>
      </c>
      <c r="B2131" s="8" t="str">
        <f>IF(A2131=" "," ",MAX(B2118:B2130)+1)</f>
        <v xml:space="preserve"> </v>
      </c>
      <c r="C2131" s="8"/>
      <c r="D2131" s="8"/>
      <c r="E2131" s="8"/>
      <c r="F2131" s="8"/>
      <c r="G2131" s="8"/>
      <c r="H2131" s="8"/>
      <c r="I2131" s="8"/>
      <c r="J2131" s="8"/>
      <c r="K2131" s="8"/>
      <c r="L2131" s="8"/>
      <c r="M2131" s="8"/>
      <c r="N2131" s="8"/>
      <c r="O2131" s="8"/>
      <c r="P2131" s="8"/>
      <c r="Q2131" s="8"/>
      <c r="R2131" s="8"/>
      <c r="S2131" s="8"/>
      <c r="U2131" s="34"/>
      <c r="V2131" s="34"/>
      <c r="W2131" s="34"/>
      <c r="X2131" s="34"/>
      <c r="Y2131" s="34"/>
      <c r="Z2131" s="34"/>
      <c r="AA2131" s="34"/>
      <c r="AB2131" s="34"/>
      <c r="AC2131" s="34"/>
      <c r="AD2131" s="34"/>
      <c r="AE2131" s="34"/>
      <c r="AF2131" s="34"/>
      <c r="AG2131" s="34"/>
      <c r="AH2131" s="34"/>
      <c r="AI2131" s="34"/>
      <c r="AJ2131" s="34"/>
      <c r="AK2131" s="34"/>
      <c r="AL2131" s="34"/>
      <c r="AM2131" s="34"/>
      <c r="AN2131" s="34"/>
      <c r="AO2131" s="34"/>
      <c r="AP2131" s="34"/>
      <c r="AQ2131" s="34"/>
      <c r="AR2131" s="34"/>
      <c r="AS2131" s="34"/>
      <c r="AT2131" s="34"/>
      <c r="AU2131" s="34"/>
      <c r="AV2131" s="34"/>
      <c r="AW2131" s="34"/>
      <c r="AX2131" s="34"/>
      <c r="AY2131" s="34"/>
      <c r="AZ2131" s="34"/>
      <c r="BA2131" s="34"/>
      <c r="BB2131" s="34"/>
      <c r="BC2131" s="34"/>
      <c r="BD2131" s="34"/>
      <c r="BE2131" s="34"/>
      <c r="BF2131" s="34"/>
      <c r="BG2131" s="34"/>
      <c r="BH2131" s="34"/>
      <c r="BI2131" s="34"/>
      <c r="BJ2131" s="34"/>
      <c r="BK2131" s="34"/>
      <c r="BL2131" s="34"/>
      <c r="BM2131" s="34"/>
      <c r="BN2131" s="34"/>
      <c r="BO2131" s="34"/>
      <c r="BP2131" s="34"/>
      <c r="BQ2131" s="34"/>
      <c r="BR2131" s="34"/>
      <c r="BS2131" s="34"/>
      <c r="BT2131" s="34"/>
      <c r="BU2131" s="34"/>
      <c r="BV2131" s="34"/>
      <c r="BW2131" s="34"/>
      <c r="BX2131" s="34"/>
      <c r="BY2131" s="34"/>
      <c r="BZ2131" s="34"/>
      <c r="CA2131" s="34"/>
      <c r="CB2131" s="34"/>
      <c r="CC2131" s="34"/>
      <c r="CD2131" s="34"/>
      <c r="CE2131" s="34"/>
      <c r="CF2131" s="34"/>
      <c r="CG2131" s="34"/>
      <c r="CH2131" s="34"/>
      <c r="CI2131" s="8"/>
    </row>
    <row r="2132" spans="1:87" x14ac:dyDescent="0.2">
      <c r="A2132" s="8" t="str">
        <f>IF(AND(COUNTIF(W$3:W$13,A$29)&gt;0,A$29&lt;&gt;B2070),A$29,IFERROR(IF(MATCH(A$29,Z$3:Z$13,0)=3,A$29," ")," "))</f>
        <v>C15</v>
      </c>
      <c r="B2132" s="8">
        <f>IF(A2132=" "," ",MAX(B2118:B2131)+1)</f>
        <v>5</v>
      </c>
      <c r="C2132" s="8"/>
      <c r="D2132" s="8"/>
      <c r="E2132" s="8"/>
      <c r="F2132" s="8"/>
      <c r="G2132" s="8"/>
      <c r="H2132" s="8"/>
      <c r="I2132" s="8"/>
      <c r="J2132" s="8"/>
      <c r="K2132" s="8"/>
      <c r="L2132" s="8"/>
      <c r="M2132" s="8"/>
      <c r="N2132" s="8"/>
      <c r="O2132" s="8"/>
      <c r="P2132" s="8"/>
      <c r="Q2132" s="8"/>
      <c r="R2132" s="8"/>
      <c r="S2132" s="8"/>
      <c r="U2132" s="34"/>
      <c r="V2132" s="34"/>
      <c r="W2132" s="34"/>
      <c r="X2132" s="34"/>
      <c r="Y2132" s="34"/>
      <c r="Z2132" s="34"/>
      <c r="AA2132" s="34"/>
      <c r="AB2132" s="34"/>
      <c r="AC2132" s="34"/>
      <c r="AD2132" s="34"/>
      <c r="AE2132" s="34"/>
      <c r="AF2132" s="34"/>
      <c r="AG2132" s="34"/>
      <c r="AH2132" s="34"/>
      <c r="AI2132" s="34"/>
      <c r="AJ2132" s="34"/>
      <c r="AK2132" s="34"/>
      <c r="AL2132" s="34"/>
      <c r="AM2132" s="34"/>
      <c r="AN2132" s="34"/>
      <c r="AO2132" s="34"/>
      <c r="AP2132" s="34"/>
      <c r="AQ2132" s="34"/>
      <c r="AR2132" s="34"/>
      <c r="AS2132" s="34"/>
      <c r="AT2132" s="34"/>
      <c r="AU2132" s="34"/>
      <c r="AV2132" s="34"/>
      <c r="AW2132" s="34"/>
      <c r="AX2132" s="34"/>
      <c r="AY2132" s="34"/>
      <c r="AZ2132" s="34"/>
      <c r="BA2132" s="34"/>
      <c r="BB2132" s="34"/>
      <c r="BC2132" s="34"/>
      <c r="BD2132" s="34"/>
      <c r="BE2132" s="34"/>
      <c r="BF2132" s="34"/>
      <c r="BG2132" s="34"/>
      <c r="BH2132" s="34"/>
      <c r="BI2132" s="34"/>
      <c r="BJ2132" s="34"/>
      <c r="BK2132" s="34"/>
      <c r="BL2132" s="34"/>
      <c r="BM2132" s="34"/>
      <c r="BN2132" s="34"/>
      <c r="BO2132" s="34"/>
      <c r="BP2132" s="34"/>
      <c r="BQ2132" s="34"/>
      <c r="BR2132" s="34"/>
      <c r="BS2132" s="34"/>
      <c r="BT2132" s="34"/>
      <c r="BU2132" s="34"/>
      <c r="BV2132" s="34"/>
      <c r="BW2132" s="34"/>
      <c r="BX2132" s="34"/>
      <c r="BY2132" s="34"/>
      <c r="BZ2132" s="34"/>
      <c r="CA2132" s="34"/>
      <c r="CB2132" s="34"/>
      <c r="CC2132" s="34"/>
      <c r="CD2132" s="34"/>
      <c r="CE2132" s="34"/>
      <c r="CF2132" s="34"/>
      <c r="CG2132" s="34"/>
      <c r="CH2132" s="34"/>
      <c r="CI2132" s="8"/>
    </row>
    <row r="2133" spans="1:87" x14ac:dyDescent="0.2">
      <c r="A2133" s="8" t="str">
        <f>IF(AND(COUNTIF(W$3:W$13,A$30)&gt;0,A$30&lt;&gt;B2070),A$30,IFERROR(IF(MATCH(A$30,Z$3:Z$13,0)=3,A$30," ")," "))</f>
        <v>C16</v>
      </c>
      <c r="B2133" s="8">
        <f>IF(A2133=" "," ",MAX(B2118:B2132)+1)</f>
        <v>6</v>
      </c>
      <c r="C2133" s="8"/>
      <c r="D2133" s="8"/>
      <c r="E2133" s="8"/>
      <c r="F2133" s="8"/>
      <c r="G2133" s="8"/>
      <c r="H2133" s="8"/>
      <c r="I2133" s="8"/>
      <c r="J2133" s="8"/>
      <c r="K2133" s="8"/>
      <c r="L2133" s="8"/>
      <c r="M2133" s="8"/>
      <c r="N2133" s="8"/>
      <c r="O2133" s="8"/>
      <c r="P2133" s="8"/>
      <c r="Q2133" s="8"/>
      <c r="R2133" s="8"/>
      <c r="S2133" s="8"/>
      <c r="U2133" s="34"/>
      <c r="V2133" s="34"/>
      <c r="W2133" s="34"/>
      <c r="X2133" s="34"/>
      <c r="Y2133" s="34"/>
      <c r="Z2133" s="34"/>
      <c r="AA2133" s="34"/>
      <c r="AB2133" s="34"/>
      <c r="AC2133" s="34"/>
      <c r="AD2133" s="34"/>
      <c r="AE2133" s="34"/>
      <c r="AF2133" s="34"/>
      <c r="AG2133" s="34"/>
      <c r="AH2133" s="34"/>
      <c r="AI2133" s="34"/>
      <c r="AJ2133" s="34"/>
      <c r="AK2133" s="34"/>
      <c r="AL2133" s="34"/>
      <c r="AM2133" s="34"/>
      <c r="AN2133" s="34"/>
      <c r="AO2133" s="34"/>
      <c r="AP2133" s="34"/>
      <c r="AQ2133" s="34"/>
      <c r="AR2133" s="34"/>
      <c r="AS2133" s="34"/>
      <c r="AT2133" s="34"/>
      <c r="AU2133" s="34"/>
      <c r="AV2133" s="34"/>
      <c r="AW2133" s="34"/>
      <c r="AX2133" s="34"/>
      <c r="AY2133" s="34"/>
      <c r="AZ2133" s="34"/>
      <c r="BA2133" s="34"/>
      <c r="BB2133" s="34"/>
      <c r="BC2133" s="34"/>
      <c r="BD2133" s="34"/>
      <c r="BE2133" s="34"/>
      <c r="BF2133" s="34"/>
      <c r="BG2133" s="34"/>
      <c r="BH2133" s="34"/>
      <c r="BI2133" s="34"/>
      <c r="BJ2133" s="34"/>
      <c r="BK2133" s="34"/>
      <c r="BL2133" s="34"/>
      <c r="BM2133" s="34"/>
      <c r="BN2133" s="34"/>
      <c r="BO2133" s="34"/>
      <c r="BP2133" s="34"/>
      <c r="BQ2133" s="34"/>
      <c r="BR2133" s="34"/>
      <c r="BS2133" s="34"/>
      <c r="BT2133" s="34"/>
      <c r="BU2133" s="34"/>
      <c r="BV2133" s="34"/>
      <c r="BW2133" s="34"/>
      <c r="BX2133" s="34"/>
      <c r="BY2133" s="34"/>
      <c r="BZ2133" s="34"/>
      <c r="CA2133" s="34"/>
      <c r="CB2133" s="34"/>
      <c r="CC2133" s="34"/>
      <c r="CD2133" s="34"/>
      <c r="CE2133" s="34"/>
      <c r="CF2133" s="34"/>
      <c r="CG2133" s="34"/>
      <c r="CH2133" s="34"/>
      <c r="CI2133" s="8"/>
    </row>
    <row r="2134" spans="1:87" x14ac:dyDescent="0.2">
      <c r="A2134" s="8" t="str">
        <f>IF(AND(COUNTIF(W$3:W$13,A$31)&gt;0,A$31&lt;&gt;B2070),A$31,IFERROR(IF(MATCH(A$31,Z$3:Z$13,0)=3,A$31," ")," "))</f>
        <v>C17</v>
      </c>
      <c r="B2134" s="8">
        <f>IF(A2134=" "," ",MAX(B2118:B2133)+1)</f>
        <v>7</v>
      </c>
      <c r="C2134" s="8"/>
      <c r="D2134" s="8"/>
      <c r="E2134" s="8"/>
      <c r="F2134" s="8"/>
      <c r="G2134" s="8"/>
      <c r="H2134" s="8"/>
      <c r="I2134" s="8"/>
      <c r="J2134" s="8"/>
      <c r="K2134" s="8"/>
      <c r="L2134" s="8"/>
      <c r="M2134" s="8"/>
      <c r="N2134" s="8"/>
      <c r="O2134" s="8"/>
      <c r="P2134" s="8"/>
      <c r="Q2134" s="8"/>
      <c r="R2134" s="8"/>
      <c r="S2134" s="8"/>
      <c r="U2134" s="34"/>
      <c r="V2134" s="34"/>
      <c r="W2134" s="34"/>
      <c r="X2134" s="34"/>
      <c r="Y2134" s="34"/>
      <c r="Z2134" s="34"/>
      <c r="AA2134" s="34"/>
      <c r="AB2134" s="34"/>
      <c r="AC2134" s="34"/>
      <c r="AD2134" s="34"/>
      <c r="AE2134" s="34"/>
      <c r="AF2134" s="34"/>
      <c r="AG2134" s="34"/>
      <c r="AH2134" s="34"/>
      <c r="AI2134" s="34"/>
      <c r="AJ2134" s="34"/>
      <c r="AK2134" s="34"/>
      <c r="AL2134" s="34"/>
      <c r="AM2134" s="34"/>
      <c r="AN2134" s="34"/>
      <c r="AO2134" s="34"/>
      <c r="AP2134" s="34"/>
      <c r="AQ2134" s="34"/>
      <c r="AR2134" s="34"/>
      <c r="AS2134" s="34"/>
      <c r="AT2134" s="34"/>
      <c r="AU2134" s="34"/>
      <c r="AV2134" s="34"/>
      <c r="AW2134" s="34"/>
      <c r="AX2134" s="34"/>
      <c r="AY2134" s="34"/>
      <c r="AZ2134" s="34"/>
      <c r="BA2134" s="34"/>
      <c r="BB2134" s="34"/>
      <c r="BC2134" s="34"/>
      <c r="BD2134" s="34"/>
      <c r="BE2134" s="34"/>
      <c r="BF2134" s="34"/>
      <c r="BG2134" s="34"/>
      <c r="BH2134" s="34"/>
      <c r="BI2134" s="34"/>
      <c r="BJ2134" s="34"/>
      <c r="BK2134" s="34"/>
      <c r="BL2134" s="34"/>
      <c r="BM2134" s="34"/>
      <c r="BN2134" s="34"/>
      <c r="BO2134" s="34"/>
      <c r="BP2134" s="34"/>
      <c r="BQ2134" s="34"/>
      <c r="BR2134" s="34"/>
      <c r="BS2134" s="34"/>
      <c r="BT2134" s="34"/>
      <c r="BU2134" s="34"/>
      <c r="BV2134" s="34"/>
      <c r="BW2134" s="34"/>
      <c r="BX2134" s="34"/>
      <c r="BY2134" s="34"/>
      <c r="BZ2134" s="34"/>
      <c r="CA2134" s="34"/>
      <c r="CB2134" s="34"/>
      <c r="CC2134" s="34"/>
      <c r="CD2134" s="34"/>
      <c r="CE2134" s="34"/>
      <c r="CF2134" s="34"/>
      <c r="CG2134" s="34"/>
      <c r="CH2134" s="34"/>
      <c r="CI2134" s="8"/>
    </row>
    <row r="2135" spans="1:87" x14ac:dyDescent="0.2">
      <c r="A2135" s="8" t="str">
        <f>IF(AND(COUNTIF(W$3:W$13,A$32)&gt;0,A$32&lt;&gt;B2070),A$32,IFERROR(IF(MATCH(A$32,Z$3:Z$13,0)=3,A$32," ")," "))</f>
        <v>C18</v>
      </c>
      <c r="B2135" s="8">
        <f>IF(A2135=" "," ",MAX(B2118:B2134)+1)</f>
        <v>8</v>
      </c>
      <c r="C2135" s="8"/>
      <c r="D2135" s="8"/>
      <c r="E2135" s="8"/>
      <c r="F2135" s="8"/>
      <c r="G2135" s="8"/>
      <c r="H2135" s="8"/>
      <c r="I2135" s="8"/>
      <c r="J2135" s="8"/>
      <c r="K2135" s="8"/>
      <c r="L2135" s="8"/>
      <c r="M2135" s="8"/>
      <c r="N2135" s="8"/>
      <c r="O2135" s="8"/>
      <c r="P2135" s="8"/>
      <c r="Q2135" s="8"/>
      <c r="R2135" s="8"/>
      <c r="S2135" s="8"/>
      <c r="U2135" s="34"/>
      <c r="V2135" s="34"/>
      <c r="W2135" s="34"/>
      <c r="X2135" s="34"/>
      <c r="Y2135" s="34"/>
      <c r="Z2135" s="34"/>
      <c r="AA2135" s="34"/>
      <c r="AB2135" s="34"/>
      <c r="AC2135" s="34"/>
      <c r="AD2135" s="34"/>
      <c r="AE2135" s="34"/>
      <c r="AF2135" s="34"/>
      <c r="AG2135" s="34"/>
      <c r="AH2135" s="34"/>
      <c r="AI2135" s="34"/>
      <c r="AJ2135" s="34"/>
      <c r="AK2135" s="34"/>
      <c r="AL2135" s="34"/>
      <c r="AM2135" s="34"/>
      <c r="AN2135" s="34"/>
      <c r="AO2135" s="34"/>
      <c r="AP2135" s="34"/>
      <c r="AQ2135" s="34"/>
      <c r="AR2135" s="34"/>
      <c r="AS2135" s="34"/>
      <c r="AT2135" s="34"/>
      <c r="AU2135" s="34"/>
      <c r="AV2135" s="34"/>
      <c r="AW2135" s="34"/>
      <c r="AX2135" s="34"/>
      <c r="AY2135" s="34"/>
      <c r="AZ2135" s="34"/>
      <c r="BA2135" s="34"/>
      <c r="BB2135" s="34"/>
      <c r="BC2135" s="34"/>
      <c r="BD2135" s="34"/>
      <c r="BE2135" s="34"/>
      <c r="BF2135" s="34"/>
      <c r="BG2135" s="34"/>
      <c r="BH2135" s="34"/>
      <c r="BI2135" s="34"/>
      <c r="BJ2135" s="34"/>
      <c r="BK2135" s="34"/>
      <c r="BL2135" s="34"/>
      <c r="BM2135" s="34"/>
      <c r="BN2135" s="34"/>
      <c r="BO2135" s="34"/>
      <c r="BP2135" s="34"/>
      <c r="BQ2135" s="34"/>
      <c r="BR2135" s="34"/>
      <c r="BS2135" s="34"/>
      <c r="BT2135" s="34"/>
      <c r="BU2135" s="34"/>
      <c r="BV2135" s="34"/>
      <c r="BW2135" s="34"/>
      <c r="BX2135" s="34"/>
      <c r="BY2135" s="34"/>
      <c r="BZ2135" s="34"/>
      <c r="CA2135" s="34"/>
      <c r="CB2135" s="34"/>
      <c r="CC2135" s="34"/>
      <c r="CD2135" s="34"/>
      <c r="CE2135" s="34"/>
      <c r="CF2135" s="34"/>
      <c r="CG2135" s="34"/>
      <c r="CH2135" s="34"/>
      <c r="CI2135" s="8"/>
    </row>
    <row r="2136" spans="1:87" x14ac:dyDescent="0.2">
      <c r="A2136" s="8" t="str">
        <f>IF(AND(COUNTIF(W$3:W$13,A$33)&gt;0,A$33&lt;&gt;B2070),A$33,IFERROR(IF(MATCH(A$33,Z$3:Z$13,0)=3,A$33," ")," "))</f>
        <v>C19</v>
      </c>
      <c r="B2136" s="8">
        <f>IF(A2136=" "," ",MAX(B2118:B2135)+1)</f>
        <v>9</v>
      </c>
      <c r="C2136" s="14"/>
      <c r="D2136" s="14"/>
      <c r="E2136" s="14"/>
      <c r="F2136" s="14"/>
      <c r="G2136" s="14"/>
      <c r="H2136" s="14"/>
      <c r="I2136" s="14"/>
      <c r="J2136" s="12"/>
      <c r="K2136" s="12"/>
      <c r="L2136" s="12"/>
      <c r="M2136" s="12"/>
      <c r="N2136" s="12"/>
      <c r="O2136" s="12"/>
      <c r="P2136" s="12"/>
      <c r="Q2136" s="8"/>
      <c r="R2136" s="12"/>
      <c r="S2136" s="12"/>
      <c r="T2136" s="21"/>
      <c r="U2136" s="34"/>
      <c r="V2136" s="34"/>
      <c r="W2136" s="34"/>
      <c r="X2136" s="34"/>
      <c r="Y2136" s="34"/>
      <c r="Z2136" s="34"/>
      <c r="AA2136" s="34"/>
      <c r="AB2136" s="34"/>
      <c r="AC2136" s="34"/>
      <c r="AD2136" s="34"/>
      <c r="AE2136" s="34"/>
      <c r="AF2136" s="34"/>
      <c r="AG2136" s="34"/>
      <c r="AH2136" s="34"/>
      <c r="AI2136" s="34"/>
      <c r="AJ2136" s="34"/>
      <c r="AK2136" s="34"/>
      <c r="AL2136" s="34"/>
      <c r="AM2136" s="34"/>
      <c r="AN2136" s="34"/>
      <c r="AO2136" s="34"/>
      <c r="AP2136" s="34"/>
      <c r="AQ2136" s="34"/>
      <c r="AR2136" s="34"/>
      <c r="AS2136" s="34"/>
      <c r="AT2136" s="34"/>
      <c r="AU2136" s="34"/>
      <c r="AV2136" s="34"/>
      <c r="AW2136" s="34"/>
      <c r="AX2136" s="34"/>
      <c r="AY2136" s="34"/>
      <c r="AZ2136" s="34"/>
      <c r="BA2136" s="34"/>
      <c r="BB2136" s="34"/>
      <c r="BC2136" s="34"/>
      <c r="BD2136" s="34"/>
      <c r="BE2136" s="34"/>
      <c r="BF2136" s="34"/>
      <c r="BG2136" s="34"/>
      <c r="BH2136" s="34"/>
      <c r="BI2136" s="34"/>
      <c r="BJ2136" s="34"/>
      <c r="BK2136" s="34"/>
      <c r="BL2136" s="34"/>
      <c r="BM2136" s="34"/>
      <c r="BN2136" s="34"/>
      <c r="BO2136" s="34"/>
      <c r="BP2136" s="34"/>
      <c r="BQ2136" s="34"/>
      <c r="BR2136" s="34"/>
      <c r="BS2136" s="34"/>
      <c r="BT2136" s="34"/>
      <c r="BU2136" s="34"/>
      <c r="BV2136" s="34"/>
      <c r="BW2136" s="34"/>
      <c r="BX2136" s="34"/>
      <c r="BY2136" s="34"/>
      <c r="BZ2136" s="34"/>
      <c r="CA2136" s="34"/>
      <c r="CB2136" s="34"/>
      <c r="CC2136" s="34"/>
      <c r="CD2136" s="34"/>
      <c r="CE2136" s="34"/>
      <c r="CF2136" s="34"/>
      <c r="CG2136" s="34"/>
      <c r="CH2136" s="34"/>
      <c r="CI2136" s="8"/>
    </row>
    <row r="2137" spans="1:87" x14ac:dyDescent="0.2">
      <c r="A2137" s="8" t="str">
        <f>IF(AND(COUNTIF(W$3:W$13,A$34)&gt;0,A$34&lt;&gt;B2070),A$34,IFERROR(IF(MATCH(A$34,Z$3:Z$13,0)=3,A$34," ")," "))</f>
        <v xml:space="preserve"> </v>
      </c>
      <c r="B2137" s="8" t="str">
        <f>IF(A2137=" "," ",MAX(B2118:B2136)+1)</f>
        <v xml:space="preserve"> </v>
      </c>
      <c r="C2137" s="8"/>
      <c r="D2137" s="8"/>
      <c r="E2137" s="8"/>
      <c r="F2137" s="8"/>
      <c r="G2137" s="8"/>
      <c r="H2137" s="8"/>
      <c r="I2137" s="8"/>
      <c r="J2137" s="8"/>
      <c r="K2137" s="8"/>
      <c r="L2137" s="8"/>
      <c r="M2137" s="8"/>
      <c r="N2137" s="8"/>
      <c r="O2137" s="8"/>
      <c r="P2137" s="8"/>
      <c r="Q2137" s="8"/>
      <c r="R2137" s="8"/>
      <c r="S2137" s="8"/>
      <c r="U2137" s="34"/>
      <c r="V2137" s="34"/>
      <c r="W2137" s="34"/>
      <c r="X2137" s="34"/>
      <c r="Y2137" s="34"/>
      <c r="Z2137" s="34"/>
      <c r="AA2137" s="34"/>
      <c r="AB2137" s="34"/>
      <c r="AC2137" s="34"/>
      <c r="AD2137" s="34"/>
      <c r="AE2137" s="34"/>
      <c r="AF2137" s="34"/>
      <c r="AG2137" s="34"/>
      <c r="AH2137" s="34"/>
      <c r="AI2137" s="34"/>
      <c r="AJ2137" s="34"/>
      <c r="AK2137" s="34"/>
      <c r="AL2137" s="34"/>
      <c r="AM2137" s="34"/>
      <c r="AN2137" s="34"/>
      <c r="AO2137" s="34"/>
      <c r="AP2137" s="34"/>
      <c r="AQ2137" s="34"/>
      <c r="AR2137" s="34"/>
      <c r="AS2137" s="34"/>
      <c r="AT2137" s="34"/>
      <c r="AU2137" s="34"/>
      <c r="AV2137" s="34"/>
      <c r="AW2137" s="34"/>
      <c r="AX2137" s="34"/>
      <c r="AY2137" s="34"/>
      <c r="AZ2137" s="34"/>
      <c r="BA2137" s="34"/>
      <c r="BB2137" s="34"/>
      <c r="BC2137" s="34"/>
      <c r="BD2137" s="34"/>
      <c r="BE2137" s="34"/>
      <c r="BF2137" s="34"/>
      <c r="BG2137" s="34"/>
      <c r="BH2137" s="34"/>
      <c r="BI2137" s="34"/>
      <c r="BJ2137" s="34"/>
      <c r="BK2137" s="34"/>
      <c r="BL2137" s="34"/>
      <c r="BM2137" s="34"/>
      <c r="BN2137" s="34"/>
      <c r="BO2137" s="34"/>
      <c r="BP2137" s="34"/>
      <c r="BQ2137" s="34"/>
      <c r="BR2137" s="34"/>
      <c r="BS2137" s="34"/>
      <c r="BT2137" s="34"/>
      <c r="BU2137" s="34"/>
      <c r="BV2137" s="34"/>
      <c r="BW2137" s="34"/>
      <c r="BX2137" s="34"/>
      <c r="BY2137" s="34"/>
      <c r="BZ2137" s="34"/>
      <c r="CA2137" s="34"/>
      <c r="CB2137" s="34"/>
      <c r="CC2137" s="34"/>
      <c r="CD2137" s="34"/>
      <c r="CE2137" s="34"/>
      <c r="CF2137" s="34"/>
      <c r="CG2137" s="34"/>
      <c r="CH2137" s="34"/>
      <c r="CI2137" s="8"/>
    </row>
    <row r="2138" spans="1:87" x14ac:dyDescent="0.2">
      <c r="A2138" s="8" t="str">
        <f>IF(AND(COUNTIF(W$3:W$13,A$35)&gt;0,A$35&lt;&gt;B2070),A$35,IFERROR(IF(MATCH(A$35,Z$3:Z$13,0)=3,A$35," ")," "))</f>
        <v>C21</v>
      </c>
      <c r="B2138" s="8">
        <f>IF(A2138=" "," ",MAX(B2118:B2137)+1)</f>
        <v>10</v>
      </c>
      <c r="C2138" s="8"/>
      <c r="D2138" s="8"/>
      <c r="E2138" s="8"/>
      <c r="F2138" s="8"/>
      <c r="G2138" s="8"/>
      <c r="H2138" s="8"/>
      <c r="I2138" s="8"/>
      <c r="J2138" s="8"/>
      <c r="K2138" s="8"/>
      <c r="L2138" s="8"/>
      <c r="M2138" s="8"/>
      <c r="N2138" s="8"/>
      <c r="O2138" s="8"/>
      <c r="P2138" s="8"/>
      <c r="Q2138" s="8"/>
      <c r="R2138" s="8"/>
      <c r="S2138" s="8"/>
      <c r="U2138" s="34"/>
      <c r="V2138" s="34"/>
      <c r="W2138" s="34"/>
      <c r="X2138" s="34"/>
      <c r="Y2138" s="34"/>
      <c r="Z2138" s="34"/>
      <c r="AA2138" s="34"/>
      <c r="AB2138" s="34"/>
      <c r="AC2138" s="34"/>
      <c r="AD2138" s="34"/>
      <c r="AE2138" s="34"/>
      <c r="AF2138" s="34"/>
      <c r="AG2138" s="34"/>
      <c r="AH2138" s="34"/>
      <c r="AI2138" s="34"/>
      <c r="AJ2138" s="34"/>
      <c r="AK2138" s="34"/>
      <c r="AL2138" s="34"/>
      <c r="AM2138" s="34"/>
      <c r="AN2138" s="34"/>
      <c r="AO2138" s="34"/>
      <c r="AP2138" s="34"/>
      <c r="AQ2138" s="34"/>
      <c r="AR2138" s="34"/>
      <c r="AS2138" s="34"/>
      <c r="AT2138" s="34"/>
      <c r="AU2138" s="34"/>
      <c r="AV2138" s="34"/>
      <c r="AW2138" s="34"/>
      <c r="AX2138" s="34"/>
      <c r="AY2138" s="34"/>
      <c r="AZ2138" s="34"/>
      <c r="BA2138" s="34"/>
      <c r="BB2138" s="34"/>
      <c r="BC2138" s="34"/>
      <c r="BD2138" s="34"/>
      <c r="BE2138" s="34"/>
      <c r="BF2138" s="34"/>
      <c r="BG2138" s="34"/>
      <c r="BH2138" s="34"/>
      <c r="BI2138" s="34"/>
      <c r="BJ2138" s="34"/>
      <c r="BK2138" s="34"/>
      <c r="BL2138" s="34"/>
      <c r="BM2138" s="34"/>
      <c r="BN2138" s="34"/>
      <c r="BO2138" s="34"/>
      <c r="BP2138" s="34"/>
      <c r="BQ2138" s="34"/>
      <c r="BR2138" s="34"/>
      <c r="BS2138" s="34"/>
      <c r="BT2138" s="34"/>
      <c r="BU2138" s="34"/>
      <c r="BV2138" s="34"/>
      <c r="BW2138" s="34"/>
      <c r="BX2138" s="34"/>
      <c r="BY2138" s="34"/>
      <c r="BZ2138" s="34"/>
      <c r="CA2138" s="34"/>
      <c r="CB2138" s="34"/>
      <c r="CC2138" s="34"/>
      <c r="CD2138" s="34"/>
      <c r="CE2138" s="34"/>
      <c r="CF2138" s="34"/>
      <c r="CG2138" s="34"/>
      <c r="CH2138" s="34"/>
      <c r="CI2138" s="8"/>
    </row>
    <row r="2139" spans="1:87" x14ac:dyDescent="0.2">
      <c r="A2139" s="8" t="str">
        <f>IF(AND(COUNTIF(W$3:W$13,A$36)&gt;0,A$36&lt;&gt;B2070),A$36,IFERROR(IF(MATCH(A$36,Z$3:Z$13,0)=3,A$36," ")," "))</f>
        <v>C22</v>
      </c>
      <c r="B2139" s="8">
        <f>IF(A2139=" "," ",MAX(B2118:B2138)+1)</f>
        <v>11</v>
      </c>
      <c r="C2139" s="8"/>
      <c r="D2139" s="8"/>
      <c r="E2139" s="8"/>
      <c r="F2139" s="8"/>
      <c r="G2139" s="8"/>
      <c r="H2139" s="8"/>
      <c r="I2139" s="8"/>
      <c r="J2139" s="8"/>
      <c r="K2139" s="8"/>
      <c r="L2139" s="8"/>
      <c r="M2139" s="8"/>
      <c r="N2139" s="8"/>
      <c r="O2139" s="8"/>
      <c r="P2139" s="8"/>
      <c r="Q2139" s="8"/>
      <c r="R2139" s="8"/>
      <c r="S2139" s="8"/>
      <c r="U2139" s="34"/>
      <c r="V2139" s="34"/>
      <c r="W2139" s="34"/>
      <c r="X2139" s="34"/>
      <c r="Y2139" s="34"/>
      <c r="Z2139" s="34"/>
      <c r="AA2139" s="34"/>
      <c r="AB2139" s="34"/>
      <c r="AC2139" s="34"/>
      <c r="AD2139" s="34"/>
      <c r="AE2139" s="34"/>
      <c r="AF2139" s="34"/>
      <c r="AG2139" s="34"/>
      <c r="AH2139" s="34"/>
      <c r="AI2139" s="34"/>
      <c r="AJ2139" s="34"/>
      <c r="AK2139" s="34"/>
      <c r="AL2139" s="34"/>
      <c r="AM2139" s="34"/>
      <c r="AN2139" s="34"/>
      <c r="AO2139" s="34"/>
      <c r="AP2139" s="34"/>
      <c r="AQ2139" s="34"/>
      <c r="AR2139" s="34"/>
      <c r="AS2139" s="34"/>
      <c r="AT2139" s="34"/>
      <c r="AU2139" s="34"/>
      <c r="AV2139" s="34"/>
      <c r="AW2139" s="34"/>
      <c r="AX2139" s="34"/>
      <c r="AY2139" s="34"/>
      <c r="AZ2139" s="34"/>
      <c r="BA2139" s="34"/>
      <c r="BB2139" s="34"/>
      <c r="BC2139" s="34"/>
      <c r="BD2139" s="34"/>
      <c r="BE2139" s="34"/>
      <c r="BF2139" s="34"/>
      <c r="BG2139" s="34"/>
      <c r="BH2139" s="34"/>
      <c r="BI2139" s="34"/>
      <c r="BJ2139" s="34"/>
      <c r="BK2139" s="34"/>
      <c r="BL2139" s="34"/>
      <c r="BM2139" s="34"/>
      <c r="BN2139" s="34"/>
      <c r="BO2139" s="34"/>
      <c r="BP2139" s="34"/>
      <c r="BQ2139" s="34"/>
      <c r="BR2139" s="34"/>
      <c r="BS2139" s="34"/>
      <c r="BT2139" s="34"/>
      <c r="BU2139" s="34"/>
      <c r="BV2139" s="34"/>
      <c r="BW2139" s="34"/>
      <c r="BX2139" s="34"/>
      <c r="BY2139" s="34"/>
      <c r="BZ2139" s="34"/>
      <c r="CA2139" s="34"/>
      <c r="CB2139" s="34"/>
      <c r="CC2139" s="34"/>
      <c r="CD2139" s="34"/>
      <c r="CE2139" s="34"/>
      <c r="CF2139" s="34"/>
      <c r="CG2139" s="34"/>
      <c r="CH2139" s="34"/>
      <c r="CI2139" s="8"/>
    </row>
    <row r="2140" spans="1:87" x14ac:dyDescent="0.2">
      <c r="A2140" s="11" t="s">
        <v>17</v>
      </c>
      <c r="B2140" s="11"/>
      <c r="C2140" s="27" t="s">
        <v>18</v>
      </c>
      <c r="D2140" s="27" t="s">
        <v>2</v>
      </c>
      <c r="E2140" s="27" t="s">
        <v>6</v>
      </c>
      <c r="F2140" s="27" t="s">
        <v>15</v>
      </c>
      <c r="G2140" s="27" t="s">
        <v>36</v>
      </c>
      <c r="H2140" s="27" t="s">
        <v>37</v>
      </c>
      <c r="I2140" s="27" t="s">
        <v>38</v>
      </c>
      <c r="J2140" s="27" t="s">
        <v>39</v>
      </c>
      <c r="K2140" s="27" t="s">
        <v>40</v>
      </c>
      <c r="L2140" s="27" t="s">
        <v>41</v>
      </c>
      <c r="M2140" s="27" t="s">
        <v>42</v>
      </c>
      <c r="N2140" s="27" t="s">
        <v>43</v>
      </c>
      <c r="O2140" s="27" t="s">
        <v>9</v>
      </c>
      <c r="P2140" s="27" t="s">
        <v>12</v>
      </c>
      <c r="Q2140" s="27" t="s">
        <v>19</v>
      </c>
      <c r="R2140" s="27" t="s">
        <v>55</v>
      </c>
      <c r="S2140" s="27" t="s">
        <v>26</v>
      </c>
      <c r="T2140" s="19" t="s">
        <v>25</v>
      </c>
      <c r="U2140" s="33" t="s">
        <v>27</v>
      </c>
      <c r="V2140" s="33" t="s">
        <v>9</v>
      </c>
      <c r="W2140" s="33" t="s">
        <v>23</v>
      </c>
      <c r="X2140" s="33" t="s">
        <v>12</v>
      </c>
      <c r="Y2140" s="33" t="s">
        <v>26</v>
      </c>
      <c r="Z2140" s="33" t="s">
        <v>25</v>
      </c>
      <c r="AA2140" s="33" t="s">
        <v>27</v>
      </c>
      <c r="AB2140" s="33" t="s">
        <v>9</v>
      </c>
      <c r="AC2140" s="33" t="s">
        <v>23</v>
      </c>
      <c r="AD2140" s="33" t="s">
        <v>12</v>
      </c>
      <c r="AE2140" s="33" t="s">
        <v>26</v>
      </c>
      <c r="AF2140" s="33" t="s">
        <v>25</v>
      </c>
      <c r="AG2140" s="33" t="s">
        <v>27</v>
      </c>
      <c r="AH2140" s="33" t="s">
        <v>9</v>
      </c>
      <c r="AI2140" s="33" t="s">
        <v>23</v>
      </c>
      <c r="AJ2140" s="33" t="s">
        <v>12</v>
      </c>
      <c r="AK2140" s="33" t="s">
        <v>26</v>
      </c>
      <c r="AL2140" s="33" t="s">
        <v>25</v>
      </c>
      <c r="AM2140" s="33" t="s">
        <v>27</v>
      </c>
      <c r="AN2140" s="33" t="s">
        <v>9</v>
      </c>
      <c r="AO2140" s="33" t="s">
        <v>23</v>
      </c>
      <c r="AP2140" s="33" t="s">
        <v>12</v>
      </c>
      <c r="AQ2140" s="33" t="s">
        <v>26</v>
      </c>
      <c r="AR2140" s="33" t="s">
        <v>25</v>
      </c>
      <c r="AS2140" s="33" t="s">
        <v>27</v>
      </c>
      <c r="AT2140" s="33" t="s">
        <v>9</v>
      </c>
      <c r="AU2140" s="33" t="s">
        <v>23</v>
      </c>
      <c r="AV2140" s="33" t="s">
        <v>12</v>
      </c>
      <c r="AW2140" s="33" t="s">
        <v>26</v>
      </c>
      <c r="AX2140" s="33" t="s">
        <v>25</v>
      </c>
      <c r="AY2140" s="33" t="s">
        <v>27</v>
      </c>
      <c r="AZ2140" s="33" t="s">
        <v>9</v>
      </c>
      <c r="BA2140" s="33" t="s">
        <v>23</v>
      </c>
      <c r="BB2140" s="33" t="s">
        <v>12</v>
      </c>
      <c r="BC2140" s="33" t="s">
        <v>26</v>
      </c>
      <c r="BD2140" s="33" t="s">
        <v>25</v>
      </c>
      <c r="BE2140" s="33" t="s">
        <v>27</v>
      </c>
      <c r="BF2140" s="33" t="s">
        <v>9</v>
      </c>
      <c r="BG2140" s="33" t="s">
        <v>23</v>
      </c>
      <c r="BH2140" s="33" t="s">
        <v>12</v>
      </c>
      <c r="BI2140" s="33" t="s">
        <v>26</v>
      </c>
      <c r="BJ2140" s="33" t="s">
        <v>25</v>
      </c>
      <c r="BK2140" s="33" t="s">
        <v>27</v>
      </c>
      <c r="BL2140" s="33" t="s">
        <v>9</v>
      </c>
      <c r="BM2140" s="33" t="s">
        <v>23</v>
      </c>
      <c r="BN2140" s="33" t="s">
        <v>12</v>
      </c>
      <c r="BO2140" s="33" t="s">
        <v>26</v>
      </c>
      <c r="BP2140" s="33" t="s">
        <v>25</v>
      </c>
      <c r="BQ2140" s="33" t="s">
        <v>27</v>
      </c>
      <c r="BR2140" s="33" t="s">
        <v>9</v>
      </c>
      <c r="BS2140" s="33" t="s">
        <v>23</v>
      </c>
      <c r="BT2140" s="33" t="s">
        <v>12</v>
      </c>
      <c r="BU2140" s="33" t="s">
        <v>26</v>
      </c>
      <c r="BV2140" s="33" t="s">
        <v>25</v>
      </c>
      <c r="BW2140" s="33" t="s">
        <v>27</v>
      </c>
      <c r="BX2140" s="33" t="s">
        <v>9</v>
      </c>
      <c r="BY2140" s="33" t="s">
        <v>23</v>
      </c>
      <c r="BZ2140" s="33" t="s">
        <v>12</v>
      </c>
      <c r="CA2140" s="33" t="s">
        <v>26</v>
      </c>
      <c r="CB2140" s="33" t="s">
        <v>25</v>
      </c>
      <c r="CC2140" s="33" t="s">
        <v>27</v>
      </c>
      <c r="CD2140" s="33" t="s">
        <v>9</v>
      </c>
      <c r="CE2140" s="33" t="s">
        <v>23</v>
      </c>
      <c r="CF2140" s="33" t="s">
        <v>12</v>
      </c>
      <c r="CG2140" s="33" t="s">
        <v>26</v>
      </c>
      <c r="CH2140" s="33" t="s">
        <v>25</v>
      </c>
      <c r="CI2140" s="8"/>
    </row>
    <row r="2141" spans="1:87" x14ac:dyDescent="0.2">
      <c r="A2141" s="8" t="str">
        <f>IF(AND(COUNTIF(W$3:W$13,A$15)&gt;0,A$15&lt;&gt;B2070),A$15,IFERROR(IF(MATCH(A$15,Z$3:Z$13,0)=4,A$15," ")," "))</f>
        <v xml:space="preserve"> </v>
      </c>
      <c r="B2141" s="8" t="str">
        <f>IF(A2141=" "," ",1)</f>
        <v xml:space="preserve"> </v>
      </c>
      <c r="C2141" s="8" t="str">
        <f>IFERROR(INDEX(A2141:A2162,MATCH(SMALL(B2141:B2162,1),B2141:B2162,0),1)," ")</f>
        <v>C3</v>
      </c>
      <c r="D2141" s="8">
        <f>IFERROR(VLOOKUP($C2141,$A$15:$O$36,2,FALSE)," ")</f>
        <v>2</v>
      </c>
      <c r="E2141" s="8">
        <f>IFERROR(VLOOKUP($C2141,$A$15:$O$36,3,FALSE)," ")</f>
        <v>5</v>
      </c>
      <c r="F2141" s="8">
        <f>IFERROR(VLOOKUP($C2141,$A$15:$O$36,4,FALSE)," ")</f>
        <v>6</v>
      </c>
      <c r="G2141" s="8">
        <f>IFERROR(VLOOKUP($C2141,$A$15:$O$36,5,FALSE)," ")</f>
        <v>0</v>
      </c>
      <c r="H2141" s="8">
        <f>IFERROR(VLOOKUP($C2141,$A$15:$O$36,6,FALSE)," ")</f>
        <v>0</v>
      </c>
      <c r="I2141" s="8">
        <f>IFERROR(VLOOKUP($C2141,$A$15:$O$36,7,FALSE)," ")</f>
        <v>0</v>
      </c>
      <c r="J2141" s="8">
        <f>IFERROR(VLOOKUP($C2141,$A$15:$O$36,8,FALSE)," ")</f>
        <v>0</v>
      </c>
      <c r="K2141" s="8">
        <f>IFERROR(VLOOKUP($C2141,$A$15:$O$36,9,FALSE)," ")</f>
        <v>0</v>
      </c>
      <c r="L2141" s="8">
        <f>IFERROR(VLOOKUP($C2141,$A$15:$O$36,10,FALSE)," ")</f>
        <v>0</v>
      </c>
      <c r="M2141" s="8">
        <f>IFERROR(VLOOKUP($C2141,$A$15:$O$36,11,FALSE)," ")</f>
        <v>0</v>
      </c>
      <c r="N2141" s="8">
        <f>IFERROR(VLOOKUP($C2141,$A$15:$O$36,12,FALSE)," ")</f>
        <v>0</v>
      </c>
      <c r="O2141" s="8">
        <f>IFERROR(VLOOKUP($C2141,$A$15:$O$36,15,FALSE)," ")</f>
        <v>2000</v>
      </c>
      <c r="P2141" s="8" t="e">
        <f t="array" ref="P2141:P2151">MMULT(MINVERSE(D2141:N2151),O2141:O2151)</f>
        <v>#NUM!</v>
      </c>
      <c r="Q2141" s="8" t="e">
        <f t="shared" ref="Q2141" si="9285">IF(COUNTIF(P2141:P2151,"&lt;"&amp;-0.001)=0,IF(ABS(P2141)&lt;0.001,0,P2141)," ")</f>
        <v>#NUM!</v>
      </c>
      <c r="R2141" s="8" t="str">
        <f>IFERROR(VLOOKUP(B2070,A$15:L$36,2,FALSE)*Q2141+VLOOKUP(B2070,A$15:L$36,3,FALSE)*Q2142+VLOOKUP(B2070,A$15:L$36,4,FALSE)*Q2143+VLOOKUP(B2070,A$15:L$36,5,FALSE)*Q2144+VLOOKUP(B2070,A$15:L$36,6,FALSE)*Q2145+VLOOKUP(B2070,A$15:L$36,7,FALSE)*Q2146+VLOOKUP(B2070,A$15:L$36,8,FALSE)*Q2147+VLOOKUP(B2070,A$15:L$36,9,FALSE)*Q2148+VLOOKUP(B2070,A$15:L$36,10,FALSE)*Q2149+VLOOKUP(B2070,A$15:L$36,11,FALSE)*Q2150+VLOOKUP(B2070,A$15:L$36,12,FALSE)*Q2151," ")</f>
        <v xml:space="preserve"> </v>
      </c>
      <c r="S2141" s="8" t="str">
        <f>IFERROR(IF(R2141-VLOOKUP(B2070,A$15:O$36,15,FALSE)&lt;0,R2141-VLOOKUP(B2070,A$15:O$36,15,FALSE)," ")," ")</f>
        <v xml:space="preserve"> </v>
      </c>
      <c r="T2141" s="18" t="str">
        <f>IFERROR(IF(R2141-VLOOKUP(B2070,A$15:O$36,15,FALSE)&gt;0,R2141-VLOOKUP(B2070,A$15:O$36,15,FALSE)," ")," ")</f>
        <v xml:space="preserve"> </v>
      </c>
      <c r="U2141" s="34">
        <f t="shared" ref="U2141" si="9286">$M$2</f>
        <v>100.00000000000001</v>
      </c>
      <c r="V2141" s="34">
        <v>-1</v>
      </c>
      <c r="W2141" s="34">
        <f t="shared" ref="W2141" si="9287">-SUMPRODUCT($M$3:$M$12,$N$3:$N$12)</f>
        <v>-105000</v>
      </c>
      <c r="X2141" s="34" t="e">
        <f t="shared" ref="X2141" si="9288">IF(U2141&lt;&gt;U2142,MMULT(MINVERSE(U2141:V2142),W2141:W2142)," ")</f>
        <v>#NUM!</v>
      </c>
      <c r="Y2141" s="34" t="str">
        <f t="shared" ref="Y2141" si="9289">IFERROR(IF(X2141-VLOOKUP(U$38,$A$2:$N$12,14,FALSE)&lt;0,X2141-VLOOKUP(U$38,$A$2:$N$12,14,FALSE)," ")," ")</f>
        <v xml:space="preserve"> </v>
      </c>
      <c r="Z2141" s="34" t="str">
        <f t="shared" ref="Z2141" si="9290">IFERROR(IF(X2141-VLOOKUP(U$38,$A$2:$N$12,14,FALSE)&gt;0,X2141-VLOOKUP(U$38,$A$2:$N$12,14,FALSE)," ")," ")</f>
        <v xml:space="preserve"> </v>
      </c>
      <c r="AA2141" s="34">
        <f t="shared" ref="AA2141" si="9291">$M$3</f>
        <v>0</v>
      </c>
      <c r="AB2141" s="34">
        <v>-1</v>
      </c>
      <c r="AC2141" s="34">
        <f t="shared" ref="AC2141" si="9292">-SUMPRODUCT($M$2:$M$2,$N$2:$N$2)-SUMPRODUCT($M$4:$M$12,$N$4:$N$12)</f>
        <v>-120000</v>
      </c>
      <c r="AD2141" s="34" t="e">
        <f t="shared" ref="AD2141" si="9293">IF(AA2141&lt;&gt;AA2142,MMULT(MINVERSE(AA2141:AB2142),AC2141:AC2142)," ")</f>
        <v>#NUM!</v>
      </c>
      <c r="AE2141" s="34" t="str">
        <f t="shared" ref="AE2141" si="9294">IFERROR(IF(AD2141-VLOOKUP(AA$38,$A$2:$N$12,14,FALSE)&lt;0,AD2141-VLOOKUP(AA$38,$A$2:$N$12,14,FALSE)," ")," ")</f>
        <v xml:space="preserve"> </v>
      </c>
      <c r="AF2141" s="34" t="str">
        <f t="shared" ref="AF2141" si="9295">IFERROR(IF(AD2141-VLOOKUP(AA$38,$A$2:$N$12,14,FALSE)&gt;0,AD2141-VLOOKUP(AA$38,$A$2:$N$12,14,FALSE)," ")," ")</f>
        <v xml:space="preserve"> </v>
      </c>
      <c r="AG2141" s="34">
        <f t="shared" ref="AG2141" si="9296">$M$4</f>
        <v>300</v>
      </c>
      <c r="AH2141" s="34">
        <v>-1</v>
      </c>
      <c r="AI2141" s="34">
        <f t="shared" ref="AI2141" si="9297">-SUMPRODUCT($M$2:$M$3,$N$2:$N$3)-SUMPRODUCT($M$5:$M$12,$N$5:$N$12)</f>
        <v>-15000.000000000002</v>
      </c>
      <c r="AJ2141" s="34" t="e">
        <f t="shared" ref="AJ2141" si="9298">IF(AG2141&lt;&gt;AG2142,MMULT(MINVERSE(AG2141:AH2142),AI2141:AI2142)," ")</f>
        <v>#NUM!</v>
      </c>
      <c r="AK2141" s="34" t="str">
        <f t="shared" ref="AK2141" si="9299">IFERROR(IF(AJ2141-VLOOKUP(AG$38,$A$2:$N$12,14,FALSE)&lt;0,AJ2141-VLOOKUP(AG$38,$A$2:$N$12,14,FALSE)," ")," ")</f>
        <v xml:space="preserve"> </v>
      </c>
      <c r="AL2141" s="34" t="str">
        <f t="shared" ref="AL2141" si="9300">IFERROR(IF(AJ2141-VLOOKUP(AG$38,$A$2:$N$12,14,FALSE)&gt;0,AJ2141-VLOOKUP(AG$38,$A$2:$N$12,14,FALSE)," ")," ")</f>
        <v xml:space="preserve"> </v>
      </c>
      <c r="AM2141" s="34">
        <f t="shared" ref="AM2141" si="9301">$M$5</f>
        <v>0</v>
      </c>
      <c r="AN2141" s="34">
        <v>-1</v>
      </c>
      <c r="AO2141" s="34">
        <f t="shared" ref="AO2141" si="9302">-SUMPRODUCT($M$2:$M$4,$N$2:$N$4)-SUMPRODUCT($M$6:$M$12,$N$6:$N$12)</f>
        <v>-120000</v>
      </c>
      <c r="AP2141" s="34" t="e">
        <f t="shared" ref="AP2141" si="9303">IF(AM2141&lt;&gt;AM2142,MMULT(MINVERSE(AM2141:AN2142),AO2141:AO2142)," ")</f>
        <v>#NUM!</v>
      </c>
      <c r="AQ2141" s="34" t="str">
        <f t="shared" ref="AQ2141" si="9304">IFERROR(IF(AP2141-VLOOKUP(AM$38,$A$2:$N$12,14,FALSE)&lt;0,AP2141-VLOOKUP(AM$38,$A$2:$N$12,14,FALSE)," ")," ")</f>
        <v xml:space="preserve"> </v>
      </c>
      <c r="AR2141" s="34" t="str">
        <f t="shared" ref="AR2141" si="9305">IFERROR(IF(AP2141-VLOOKUP(AM$38,$A$2:$N$12,14,FALSE)&gt;0,AP2141-VLOOKUP(AM$38,$A$2:$N$12,14,FALSE)," ")," ")</f>
        <v xml:space="preserve"> </v>
      </c>
      <c r="AS2141" s="34">
        <f t="shared" ref="AS2141" si="9306">$M$6</f>
        <v>0</v>
      </c>
      <c r="AT2141" s="34">
        <v>-1</v>
      </c>
      <c r="AU2141" s="34">
        <f t="shared" ref="AU2141" si="9307">-SUMPRODUCT($M$2:$M$5,$N$2:$N$5)-SUMPRODUCT($M$7:$M$12,$N$7:$N$12)</f>
        <v>-120000</v>
      </c>
      <c r="AV2141" s="34" t="e">
        <f t="shared" ref="AV2141" si="9308">IF(AS2141&lt;&gt;AS2142,MMULT(MINVERSE(AS2141:AT2142),AU2141:AU2142)," ")</f>
        <v>#NUM!</v>
      </c>
      <c r="AW2141" s="34" t="str">
        <f t="shared" ref="AW2141" si="9309">IFERROR(IF(AV2141-VLOOKUP(AS$38,$A$2:$N$12,14,FALSE)&lt;0,AV2141-VLOOKUP(AS$38,$A$2:$N$12,14,FALSE)," ")," ")</f>
        <v xml:space="preserve"> </v>
      </c>
      <c r="AX2141" s="34" t="str">
        <f t="shared" ref="AX2141" si="9310">IFERROR(IF(AV2141-VLOOKUP(AS$38,$A$2:$N$12,14,FALSE)&gt;0,AV2141-VLOOKUP(AS$38,$A$2:$N$12,14,FALSE)," ")," ")</f>
        <v xml:space="preserve"> </v>
      </c>
      <c r="AY2141" s="34">
        <f t="shared" ref="AY2141" si="9311">$M$7</f>
        <v>0</v>
      </c>
      <c r="AZ2141" s="34">
        <v>-1</v>
      </c>
      <c r="BA2141" s="34">
        <f t="shared" ref="BA2141" si="9312">-SUMPRODUCT($M$2:$M$6,$N$2:$N$6)-SUMPRODUCT($M$8:$M$12,$N$8:$N$12)</f>
        <v>-120000</v>
      </c>
      <c r="BB2141" s="34" t="e">
        <f t="shared" ref="BB2141" si="9313">IF(AY2141&lt;&gt;AY2142,MMULT(MINVERSE(AY2141:AZ2142),BA2141:BA2142)," ")</f>
        <v>#NUM!</v>
      </c>
      <c r="BC2141" s="34" t="str">
        <f t="shared" ref="BC2141" si="9314">IFERROR(IF(BB2141-VLOOKUP(AY$38,$A$2:$N$12,14,FALSE)&lt;0,BB2141-VLOOKUP(AY$38,$A$2:$N$12,14,FALSE)," ")," ")</f>
        <v xml:space="preserve"> </v>
      </c>
      <c r="BD2141" s="34" t="str">
        <f t="shared" ref="BD2141" si="9315">IFERROR(IF(BB2141-VLOOKUP(AY$38,$A$2:$N$12,14,FALSE)&gt;0,BB2141-VLOOKUP(AY$38,$A$2:$N$12,14,FALSE)," ")," ")</f>
        <v xml:space="preserve"> </v>
      </c>
      <c r="BE2141" s="34">
        <f t="shared" ref="BE2141" si="9316">$M$8</f>
        <v>0</v>
      </c>
      <c r="BF2141" s="34">
        <v>-1</v>
      </c>
      <c r="BG2141" s="34">
        <f t="shared" ref="BG2141" si="9317">-SUMPRODUCT($M$2:$M$7,$N$2:$N$7)-SUMPRODUCT($M$9:$M$12,$N$9:$N$12)</f>
        <v>-120000</v>
      </c>
      <c r="BH2141" s="34" t="e">
        <f t="shared" ref="BH2141" si="9318">IF(BE2141&lt;&gt;BE2142,MMULT(MINVERSE(BE2141:BF2142),BG2141:BG2142)," ")</f>
        <v>#NUM!</v>
      </c>
      <c r="BI2141" s="34" t="str">
        <f t="shared" ref="BI2141" si="9319">IFERROR(IF(BH2141-VLOOKUP(BE$38,$A$2:$N$12,14,FALSE)&lt;0,BH2141-VLOOKUP(BE$38,$A$2:$N$12,14,FALSE)," ")," ")</f>
        <v xml:space="preserve"> </v>
      </c>
      <c r="BJ2141" s="34" t="str">
        <f t="shared" ref="BJ2141" si="9320">IFERROR(IF(BH2141-VLOOKUP(BE$38,$A$2:$N$12,14,FALSE)&gt;0,BH2141-VLOOKUP(BE$38,$A$2:$N$12,14,FALSE)," ")," ")</f>
        <v xml:space="preserve"> </v>
      </c>
      <c r="BK2141" s="34">
        <f t="shared" ref="BK2141" si="9321">$M$9</f>
        <v>0</v>
      </c>
      <c r="BL2141" s="34">
        <v>-1</v>
      </c>
      <c r="BM2141" s="34">
        <f t="shared" ref="BM2141" si="9322">-SUMPRODUCT($M$2:$M$8,$N$2:$N$8)-SUMPRODUCT($M$10:$M$12,$N$10:$N$12)</f>
        <v>-120000</v>
      </c>
      <c r="BN2141" s="34" t="e">
        <f t="shared" ref="BN2141" si="9323">IF(BK2141&lt;&gt;BK2142,MMULT(MINVERSE(BK2141:BL2142),BM2141:BM2142)," ")</f>
        <v>#NUM!</v>
      </c>
      <c r="BO2141" s="34" t="str">
        <f t="shared" ref="BO2141" si="9324">IFERROR(IF(BN2141-VLOOKUP(BK$38,$A$2:$N$12,14,FALSE)&lt;0,BN2141-VLOOKUP(BK$38,$A$2:$N$12,14,FALSE)," ")," ")</f>
        <v xml:space="preserve"> </v>
      </c>
      <c r="BP2141" s="34" t="str">
        <f t="shared" ref="BP2141" si="9325">IFERROR(IF(BN2141-VLOOKUP(BK$38,$A$2:$N$12,14,FALSE)&gt;0,BN2141-VLOOKUP(BK$38,$A$2:$N$12,14,FALSE)," ")," ")</f>
        <v xml:space="preserve"> </v>
      </c>
      <c r="BQ2141" s="34">
        <f t="shared" ref="BQ2141" si="9326">$M$10</f>
        <v>0</v>
      </c>
      <c r="BR2141" s="34">
        <v>-1</v>
      </c>
      <c r="BS2141" s="34">
        <f t="shared" ref="BS2141" si="9327">-SUMPRODUCT($M$2:$M$9,$N$2:$N$9)-SUMPRODUCT($M$11:$M$12,$N$11:$N$12)</f>
        <v>-120000</v>
      </c>
      <c r="BT2141" s="34" t="e">
        <f t="shared" ref="BT2141" si="9328">IF(BQ2141&lt;&gt;BQ2142,MMULT(MINVERSE(BQ2141:BR2142),BS2141:BS2142)," ")</f>
        <v>#NUM!</v>
      </c>
      <c r="BU2141" s="34" t="str">
        <f t="shared" ref="BU2141" si="9329">IFERROR(IF(BT2141-VLOOKUP(BQ$38,$A$2:$N$12,14,FALSE)&lt;0,BT2141-VLOOKUP(BQ$38,$A$2:$N$12,14,FALSE)," ")," ")</f>
        <v xml:space="preserve"> </v>
      </c>
      <c r="BV2141" s="34" t="str">
        <f t="shared" ref="BV2141" si="9330">IFERROR(IF(BT2141-VLOOKUP(BQ$38,$A$2:$N$12,14,FALSE)&gt;0,BT2141-VLOOKUP(BQ$38,$A$2:$N$12,14,FALSE)," ")," ")</f>
        <v xml:space="preserve"> </v>
      </c>
      <c r="BW2141" s="34">
        <f t="shared" ref="BW2141" si="9331">$M$11</f>
        <v>0</v>
      </c>
      <c r="BX2141" s="34">
        <v>-1</v>
      </c>
      <c r="BY2141" s="34">
        <f t="shared" ref="BY2141" si="9332">-SUMPRODUCT($M$2:$M$10,$N$2:$N$10)-SUMPRODUCT($M$12,$N$12)</f>
        <v>-120000</v>
      </c>
      <c r="BZ2141" s="34" t="e">
        <f t="shared" ref="BZ2141" si="9333">IF(BW2141&lt;&gt;BW2142,MMULT(MINVERSE(BW2141:BX2142),BY2141:BY2142)," ")</f>
        <v>#NUM!</v>
      </c>
      <c r="CA2141" s="34" t="str">
        <f t="shared" ref="CA2141" si="9334">IFERROR(IF(BZ2141-VLOOKUP(BW$38,$A$2:$N$12,14,FALSE)&lt;0,BZ2141-VLOOKUP(BW$38,$A$2:$N$12,14,FALSE)," ")," ")</f>
        <v xml:space="preserve"> </v>
      </c>
      <c r="CB2141" s="34" t="str">
        <f t="shared" ref="CB2141" si="9335">IFERROR(IF(BZ2141-VLOOKUP(BW$38,$A$2:$N$12,14,FALSE)&gt;0,BZ2141-VLOOKUP(BW$38,$A$2:$N$12,14,FALSE)," ")," ")</f>
        <v xml:space="preserve"> </v>
      </c>
      <c r="CC2141" s="34">
        <f t="shared" ref="CC2141" si="9336">$M$12</f>
        <v>0</v>
      </c>
      <c r="CD2141" s="34">
        <v>-1</v>
      </c>
      <c r="CE2141" s="34">
        <f t="shared" ref="CE2141" si="9337">-SUMPRODUCT($M$2:$M$11,$N$2:$N$11)</f>
        <v>-120000</v>
      </c>
      <c r="CF2141" s="34" t="e">
        <f t="shared" ref="CF2141" si="9338">IF(CC2141&lt;&gt;CC2142,MMULT(MINVERSE(CC2141:CD2142),CE2141:CE2142)," ")</f>
        <v>#NUM!</v>
      </c>
      <c r="CG2141" s="34" t="str">
        <f t="shared" ref="CG2141" si="9339">IFERROR(IF(CF2141-VLOOKUP(CC$38,$A$2:$N$12,14,FALSE)&lt;0,CF2141-VLOOKUP(CC$38,$A$2:$N$12,14,FALSE)," ")," ")</f>
        <v xml:space="preserve"> </v>
      </c>
      <c r="CH2141" s="34" t="str">
        <f t="shared" ref="CH2141" si="9340">IFERROR(IF(CF2141-VLOOKUP(CC$38,$A$2:$N$12,14,FALSE)&gt;0,CF2141-VLOOKUP(CC$38,$A$2:$N$12,14,FALSE)," ")," ")</f>
        <v xml:space="preserve"> </v>
      </c>
      <c r="CI2141" s="8"/>
    </row>
    <row r="2142" spans="1:87" x14ac:dyDescent="0.2">
      <c r="A2142" s="8" t="str">
        <f>IF(AND(COUNTIF(W$3:W$13,A$16)&gt;0,A$16&lt;&gt;B2070),A$16,IFERROR(IF(MATCH(A$16,Z$3:Z$13,0)=4,A$16," ")," "))</f>
        <v xml:space="preserve"> </v>
      </c>
      <c r="B2142" s="8" t="str">
        <f>IF(A2142=" "," ",MAX(B2141:B2141)+1)</f>
        <v xml:space="preserve"> </v>
      </c>
      <c r="C2142" s="8" t="str">
        <f>IFERROR(INDEX(A2141:A2162,MATCH(SMALL(B2141:B2162,2),B2141:B2162,0),1)," ")</f>
        <v>C4</v>
      </c>
      <c r="D2142" s="8">
        <f t="shared" ref="D2142:D2151" si="9341">IFERROR(VLOOKUP($C2142,$A$15:$O$36,2,FALSE)," ")</f>
        <v>1</v>
      </c>
      <c r="E2142" s="8">
        <f t="shared" ref="E2142:E2151" si="9342">IFERROR(VLOOKUP($C2142,$A$15:$O$36,3,FALSE)," ")</f>
        <v>0</v>
      </c>
      <c r="F2142" s="8">
        <f t="shared" ref="F2142:F2151" si="9343">IFERROR(VLOOKUP($C2142,$A$15:$O$36,4,FALSE)," ")</f>
        <v>1</v>
      </c>
      <c r="G2142" s="8">
        <f t="shared" ref="G2142:G2151" si="9344">IFERROR(VLOOKUP($C2142,$A$15:$O$36,5,FALSE)," ")</f>
        <v>0</v>
      </c>
      <c r="H2142" s="8">
        <f t="shared" ref="H2142:H2151" si="9345">IFERROR(VLOOKUP($C2142,$A$15:$O$36,6,FALSE)," ")</f>
        <v>0</v>
      </c>
      <c r="I2142" s="8">
        <f t="shared" ref="I2142:I2151" si="9346">IFERROR(VLOOKUP($C2142,$A$15:$O$36,7,FALSE)," ")</f>
        <v>0</v>
      </c>
      <c r="J2142" s="8">
        <f t="shared" ref="J2142:J2151" si="9347">IFERROR(VLOOKUP($C2142,$A$15:$O$36,8,FALSE)," ")</f>
        <v>0</v>
      </c>
      <c r="K2142" s="8">
        <f t="shared" ref="K2142:K2151" si="9348">IFERROR(VLOOKUP($C2142,$A$15:$O$36,9,FALSE)," ")</f>
        <v>0</v>
      </c>
      <c r="L2142" s="8">
        <f t="shared" ref="L2142:L2151" si="9349">IFERROR(VLOOKUP($C2142,$A$15:$O$36,10,FALSE)," ")</f>
        <v>0</v>
      </c>
      <c r="M2142" s="8">
        <f t="shared" ref="M2142:M2151" si="9350">IFERROR(VLOOKUP($C2142,$A$15:$O$36,11,FALSE)," ")</f>
        <v>0</v>
      </c>
      <c r="N2142" s="8">
        <f t="shared" ref="N2142:N2151" si="9351">IFERROR(VLOOKUP($C2142,$A$15:$O$36,12,FALSE)," ")</f>
        <v>0</v>
      </c>
      <c r="O2142" s="8">
        <f t="shared" ref="O2142:O2151" si="9352">IFERROR(VLOOKUP($C2142,$A$15:$O$36,15,FALSE)," ")</f>
        <v>400</v>
      </c>
      <c r="P2142" s="8" t="e">
        <v>#NUM!</v>
      </c>
      <c r="Q2142" s="8" t="e">
        <f t="shared" ref="Q2142" si="9353">IF(COUNTIF(P2141:P2151,"&lt;"&amp;-0.001)=0,IF(ABS(P2142)&lt;0.001,0,P2142)," ")</f>
        <v>#NUM!</v>
      </c>
      <c r="R2142" s="8"/>
      <c r="S2142" s="8"/>
      <c r="U2142" s="34" t="e">
        <f t="shared" ref="U2142" si="9354">$Q2141</f>
        <v>#NUM!</v>
      </c>
      <c r="V2142" s="34">
        <v>-1</v>
      </c>
      <c r="W2142" s="34" t="e">
        <f t="shared" ref="W2142" si="9355">-SUMPRODUCT($Q2142:$Q2151,$N$3:$N$12)</f>
        <v>#NUM!</v>
      </c>
      <c r="X2142" s="34"/>
      <c r="Y2142" s="34"/>
      <c r="Z2142" s="34"/>
      <c r="AA2142" s="34" t="e">
        <f t="shared" ref="AA2142" si="9356">$Q2142</f>
        <v>#NUM!</v>
      </c>
      <c r="AB2142" s="34">
        <v>-1</v>
      </c>
      <c r="AC2142" s="34" t="e">
        <f t="shared" ref="AC2142" si="9357">-SUMPRODUCT($Q2141:$Q2141,$N$2:$N$2)-SUMPRODUCT($Q2143:$Q2151,$N$4:$N$12)</f>
        <v>#NUM!</v>
      </c>
      <c r="AD2142" s="34"/>
      <c r="AE2142" s="34"/>
      <c r="AF2142" s="34"/>
      <c r="AG2142" s="34" t="e">
        <f t="shared" ref="AG2142" si="9358">$Q2143</f>
        <v>#NUM!</v>
      </c>
      <c r="AH2142" s="34">
        <v>-1</v>
      </c>
      <c r="AI2142" s="34" t="e">
        <f t="shared" ref="AI2142" si="9359">-SUMPRODUCT($Q2141:$Q2142,$N$2:$N$3)-SUMPRODUCT($Q2144:$Q2151,$N$5:$N$12)</f>
        <v>#NUM!</v>
      </c>
      <c r="AJ2142" s="34"/>
      <c r="AK2142" s="34"/>
      <c r="AL2142" s="34"/>
      <c r="AM2142" s="34" t="e">
        <f t="shared" ref="AM2142" si="9360">$Q2144</f>
        <v>#NUM!</v>
      </c>
      <c r="AN2142" s="34">
        <v>-1</v>
      </c>
      <c r="AO2142" s="34" t="e">
        <f t="shared" ref="AO2142" si="9361">-SUMPRODUCT($Q2141:$Q2143,$N$2:$N$4)-SUMPRODUCT($Q2145:$Q2151,$N$6:$N$12)</f>
        <v>#NUM!</v>
      </c>
      <c r="AP2142" s="34"/>
      <c r="AQ2142" s="34"/>
      <c r="AR2142" s="34"/>
      <c r="AS2142" s="34" t="e">
        <f t="shared" ref="AS2142" si="9362">$Q2145</f>
        <v>#NUM!</v>
      </c>
      <c r="AT2142" s="34">
        <v>-1</v>
      </c>
      <c r="AU2142" s="34" t="e">
        <f t="shared" ref="AU2142" si="9363">-SUMPRODUCT($Q2141:$Q2144,$N$2:$N$5)-SUMPRODUCT($Q2146:$Q2151,$N$7:$N$12)</f>
        <v>#NUM!</v>
      </c>
      <c r="AV2142" s="34"/>
      <c r="AW2142" s="34"/>
      <c r="AX2142" s="34"/>
      <c r="AY2142" s="34" t="e">
        <f t="shared" ref="AY2142" si="9364">$Q2146</f>
        <v>#NUM!</v>
      </c>
      <c r="AZ2142" s="34">
        <v>-1</v>
      </c>
      <c r="BA2142" s="34" t="e">
        <f t="shared" ref="BA2142" si="9365">-SUMPRODUCT($Q2141:$Q2145,$N$2:$N$6)-SUMPRODUCT($Q2147:$Q2151,$N$8:$N$12)</f>
        <v>#NUM!</v>
      </c>
      <c r="BB2142" s="34"/>
      <c r="BC2142" s="34"/>
      <c r="BD2142" s="34"/>
      <c r="BE2142" s="34" t="e">
        <f t="shared" ref="BE2142" si="9366">$Q2147</f>
        <v>#NUM!</v>
      </c>
      <c r="BF2142" s="34">
        <v>-1</v>
      </c>
      <c r="BG2142" s="34" t="e">
        <f t="shared" ref="BG2142" si="9367">-SUMPRODUCT($Q2141:$Q2146,$N$2:$N$7)-SUMPRODUCT($Q2148:$Q2151,$N$9:$N$12)</f>
        <v>#NUM!</v>
      </c>
      <c r="BH2142" s="34"/>
      <c r="BI2142" s="34"/>
      <c r="BJ2142" s="34"/>
      <c r="BK2142" s="34" t="e">
        <f t="shared" ref="BK2142" si="9368">$Q2148</f>
        <v>#NUM!</v>
      </c>
      <c r="BL2142" s="34">
        <v>-1</v>
      </c>
      <c r="BM2142" s="34" t="e">
        <f t="shared" ref="BM2142" si="9369">-SUMPRODUCT($Q2141:$Q2147,$N$2:$N$8)-SUMPRODUCT($Q2149:$Q2151,$N$10:$N$12)</f>
        <v>#NUM!</v>
      </c>
      <c r="BN2142" s="34"/>
      <c r="BO2142" s="34"/>
      <c r="BP2142" s="34"/>
      <c r="BQ2142" s="34" t="e">
        <f t="shared" ref="BQ2142" si="9370">$Q2149</f>
        <v>#NUM!</v>
      </c>
      <c r="BR2142" s="34">
        <v>-1</v>
      </c>
      <c r="BS2142" s="34" t="e">
        <f t="shared" ref="BS2142" si="9371">-SUMPRODUCT($Q2141:$Q2148,$N$2:$N$9)-SUMPRODUCT($Q2150:$Q2151,$N$11:$N$12)</f>
        <v>#NUM!</v>
      </c>
      <c r="BT2142" s="34"/>
      <c r="BU2142" s="34"/>
      <c r="BV2142" s="34"/>
      <c r="BW2142" s="34" t="e">
        <f t="shared" ref="BW2142" si="9372">$Q2150</f>
        <v>#NUM!</v>
      </c>
      <c r="BX2142" s="34">
        <v>-1</v>
      </c>
      <c r="BY2142" s="34" t="e">
        <f t="shared" ref="BY2142" si="9373">-SUMPRODUCT($Q2141:$Q2149,$N$2:$N$10)-SUMPRODUCT($Q2151,$N$12)</f>
        <v>#NUM!</v>
      </c>
      <c r="BZ2142" s="34"/>
      <c r="CA2142" s="34"/>
      <c r="CB2142" s="34"/>
      <c r="CC2142" s="34" t="e">
        <f t="shared" ref="CC2142" si="9374">$Q2151</f>
        <v>#NUM!</v>
      </c>
      <c r="CD2142" s="34">
        <v>-1</v>
      </c>
      <c r="CE2142" s="34" t="e">
        <f t="shared" ref="CE2142" si="9375">-SUMPRODUCT($Q2141:$Q2150,$N$2:$N$11)</f>
        <v>#NUM!</v>
      </c>
      <c r="CF2142" s="34"/>
      <c r="CG2142" s="34"/>
      <c r="CH2142" s="34"/>
      <c r="CI2142" s="8"/>
    </row>
    <row r="2143" spans="1:87" x14ac:dyDescent="0.2">
      <c r="A2143" s="8" t="str">
        <f>IF(AND(COUNTIF(W$3:W$13,A$17)&gt;0,A$17&lt;&gt;B2070),A$17,IFERROR(IF(MATCH(A$17,Z$3:Z$13,0)=4,A$17," ")," "))</f>
        <v>C3</v>
      </c>
      <c r="B2143" s="8">
        <f>IF(A2143=" "," ",MAX(B2141:B2142)+1)</f>
        <v>1</v>
      </c>
      <c r="C2143" s="8" t="str">
        <f>IFERROR(INDEX(A2141:A2162,MATCH(SMALL(B2141:B2162,3),B2141:B2162,0),1)," ")</f>
        <v>C6</v>
      </c>
      <c r="D2143" s="8">
        <f t="shared" si="9341"/>
        <v>0</v>
      </c>
      <c r="E2143" s="8">
        <f t="shared" si="9342"/>
        <v>0</v>
      </c>
      <c r="F2143" s="8">
        <f t="shared" si="9343"/>
        <v>0</v>
      </c>
      <c r="G2143" s="8">
        <f t="shared" si="9344"/>
        <v>0</v>
      </c>
      <c r="H2143" s="8">
        <f t="shared" si="9345"/>
        <v>0</v>
      </c>
      <c r="I2143" s="8">
        <f t="shared" si="9346"/>
        <v>0</v>
      </c>
      <c r="J2143" s="8">
        <f t="shared" si="9347"/>
        <v>0</v>
      </c>
      <c r="K2143" s="8">
        <f t="shared" si="9348"/>
        <v>0</v>
      </c>
      <c r="L2143" s="8">
        <f t="shared" si="9349"/>
        <v>0</v>
      </c>
      <c r="M2143" s="8">
        <f t="shared" si="9350"/>
        <v>0</v>
      </c>
      <c r="N2143" s="8">
        <f t="shared" si="9351"/>
        <v>0</v>
      </c>
      <c r="O2143" s="8">
        <f t="shared" si="9352"/>
        <v>0</v>
      </c>
      <c r="P2143" s="8" t="e">
        <v>#NUM!</v>
      </c>
      <c r="Q2143" s="8" t="e">
        <f t="shared" ref="Q2143" si="9376">IF(COUNTIF(P2141:P2151,"&lt;"&amp;-0.001)=0,IF(ABS(P2143)&lt;0.001,0,P2143)," ")</f>
        <v>#NUM!</v>
      </c>
      <c r="R2143" s="8"/>
      <c r="S2143" s="8"/>
      <c r="U2143" s="34"/>
      <c r="V2143" s="34"/>
      <c r="W2143" s="34"/>
      <c r="X2143" s="34"/>
      <c r="Y2143" s="34"/>
      <c r="Z2143" s="34"/>
      <c r="AA2143" s="34"/>
      <c r="AB2143" s="34"/>
      <c r="AC2143" s="34"/>
      <c r="AD2143" s="34"/>
      <c r="AE2143" s="34"/>
      <c r="AF2143" s="34"/>
      <c r="AG2143" s="34"/>
      <c r="AH2143" s="34"/>
      <c r="AI2143" s="34"/>
      <c r="AJ2143" s="34"/>
      <c r="AK2143" s="34"/>
      <c r="AL2143" s="34"/>
      <c r="AM2143" s="34"/>
      <c r="AN2143" s="34"/>
      <c r="AO2143" s="34"/>
      <c r="AP2143" s="34"/>
      <c r="AQ2143" s="34"/>
      <c r="AR2143" s="34"/>
      <c r="AS2143" s="34"/>
      <c r="AT2143" s="34"/>
      <c r="AU2143" s="34"/>
      <c r="AV2143" s="34"/>
      <c r="AW2143" s="34"/>
      <c r="AX2143" s="34"/>
      <c r="AY2143" s="34"/>
      <c r="AZ2143" s="34"/>
      <c r="BA2143" s="34"/>
      <c r="BB2143" s="34"/>
      <c r="BC2143" s="34"/>
      <c r="BD2143" s="34"/>
      <c r="BE2143" s="34"/>
      <c r="BF2143" s="34"/>
      <c r="BG2143" s="34"/>
      <c r="BH2143" s="34"/>
      <c r="BI2143" s="34"/>
      <c r="BJ2143" s="34"/>
      <c r="BK2143" s="34"/>
      <c r="BL2143" s="34"/>
      <c r="BM2143" s="34"/>
      <c r="BN2143" s="34"/>
      <c r="BO2143" s="34"/>
      <c r="BP2143" s="34"/>
      <c r="BQ2143" s="34"/>
      <c r="BR2143" s="34"/>
      <c r="BS2143" s="34"/>
      <c r="BT2143" s="34"/>
      <c r="BU2143" s="34"/>
      <c r="BV2143" s="34"/>
      <c r="BW2143" s="34"/>
      <c r="BX2143" s="34"/>
      <c r="BY2143" s="34"/>
      <c r="BZ2143" s="34"/>
      <c r="CA2143" s="34"/>
      <c r="CB2143" s="34"/>
      <c r="CC2143" s="34"/>
      <c r="CD2143" s="34"/>
      <c r="CE2143" s="34"/>
      <c r="CF2143" s="34"/>
      <c r="CG2143" s="34"/>
      <c r="CH2143" s="34"/>
      <c r="CI2143" s="8"/>
    </row>
    <row r="2144" spans="1:87" x14ac:dyDescent="0.2">
      <c r="A2144" s="8" t="str">
        <f>IF(AND(COUNTIF(W$3:W$13,A$18)&gt;0,A$18&lt;&gt;B2070),A$18,IFERROR(IF(MATCH(A$18,Z$3:Z$13,0)=4,A$18," ")," "))</f>
        <v>C4</v>
      </c>
      <c r="B2144" s="8">
        <f>IF(A2144=" "," ",MAX(B2141:B2143)+1)</f>
        <v>2</v>
      </c>
      <c r="C2144" s="8" t="str">
        <f>IFERROR(INDEX(A2141:A2162,MATCH(SMALL(B2141:B2162,4),B2141:B2162,0),1)," ")</f>
        <v>C13</v>
      </c>
      <c r="D2144" s="8">
        <f t="shared" si="9341"/>
        <v>0</v>
      </c>
      <c r="E2144" s="8">
        <f t="shared" si="9342"/>
        <v>1</v>
      </c>
      <c r="F2144" s="8">
        <f t="shared" si="9343"/>
        <v>0</v>
      </c>
      <c r="G2144" s="8">
        <f t="shared" si="9344"/>
        <v>0</v>
      </c>
      <c r="H2144" s="8">
        <f t="shared" si="9345"/>
        <v>0</v>
      </c>
      <c r="I2144" s="8">
        <f t="shared" si="9346"/>
        <v>0</v>
      </c>
      <c r="J2144" s="8">
        <f t="shared" si="9347"/>
        <v>0</v>
      </c>
      <c r="K2144" s="8">
        <f t="shared" si="9348"/>
        <v>0</v>
      </c>
      <c r="L2144" s="8">
        <f t="shared" si="9349"/>
        <v>0</v>
      </c>
      <c r="M2144" s="8">
        <f t="shared" si="9350"/>
        <v>0</v>
      </c>
      <c r="N2144" s="8">
        <f t="shared" si="9351"/>
        <v>0</v>
      </c>
      <c r="O2144" s="8">
        <f t="shared" si="9352"/>
        <v>0</v>
      </c>
      <c r="P2144" s="8" t="e">
        <v>#NUM!</v>
      </c>
      <c r="Q2144" s="8" t="e">
        <f t="shared" ref="Q2144" si="9377">IF(COUNTIF(P2141:P2151,"&lt;"&amp;-0.001)=0,IF(ABS(P2144)&lt;0.001,0,P2144)," ")</f>
        <v>#NUM!</v>
      </c>
      <c r="R2144" s="8"/>
      <c r="S2144" s="8"/>
      <c r="U2144" s="34"/>
      <c r="V2144" s="34"/>
      <c r="W2144" s="34"/>
      <c r="X2144" s="34"/>
      <c r="Y2144" s="34"/>
      <c r="Z2144" s="34"/>
      <c r="AA2144" s="34"/>
      <c r="AB2144" s="34"/>
      <c r="AC2144" s="34"/>
      <c r="AD2144" s="34"/>
      <c r="AE2144" s="34"/>
      <c r="AF2144" s="34"/>
      <c r="AG2144" s="34"/>
      <c r="AH2144" s="34"/>
      <c r="AI2144" s="34"/>
      <c r="AJ2144" s="34"/>
      <c r="AK2144" s="34"/>
      <c r="AL2144" s="34"/>
      <c r="AM2144" s="34"/>
      <c r="AN2144" s="34"/>
      <c r="AO2144" s="34"/>
      <c r="AP2144" s="34"/>
      <c r="AQ2144" s="34"/>
      <c r="AR2144" s="34"/>
      <c r="AS2144" s="34"/>
      <c r="AT2144" s="34"/>
      <c r="AU2144" s="34"/>
      <c r="AV2144" s="34"/>
      <c r="AW2144" s="34"/>
      <c r="AX2144" s="34"/>
      <c r="AY2144" s="34"/>
      <c r="AZ2144" s="34"/>
      <c r="BA2144" s="34"/>
      <c r="BB2144" s="34"/>
      <c r="BC2144" s="34"/>
      <c r="BD2144" s="34"/>
      <c r="BE2144" s="34"/>
      <c r="BF2144" s="34"/>
      <c r="BG2144" s="34"/>
      <c r="BH2144" s="34"/>
      <c r="BI2144" s="34"/>
      <c r="BJ2144" s="34"/>
      <c r="BK2144" s="34"/>
      <c r="BL2144" s="34"/>
      <c r="BM2144" s="34"/>
      <c r="BN2144" s="34"/>
      <c r="BO2144" s="34"/>
      <c r="BP2144" s="34"/>
      <c r="BQ2144" s="34"/>
      <c r="BR2144" s="34"/>
      <c r="BS2144" s="34"/>
      <c r="BT2144" s="34"/>
      <c r="BU2144" s="34"/>
      <c r="BV2144" s="34"/>
      <c r="BW2144" s="34"/>
      <c r="BX2144" s="34"/>
      <c r="BY2144" s="34"/>
      <c r="BZ2144" s="34"/>
      <c r="CA2144" s="34"/>
      <c r="CB2144" s="34"/>
      <c r="CC2144" s="34"/>
      <c r="CD2144" s="34"/>
      <c r="CE2144" s="34"/>
      <c r="CF2144" s="34"/>
      <c r="CG2144" s="34"/>
      <c r="CH2144" s="34"/>
      <c r="CI2144" s="8"/>
    </row>
    <row r="2145" spans="1:87" x14ac:dyDescent="0.2">
      <c r="A2145" s="8" t="str">
        <f>IF(AND(COUNTIF(W$3:W$13,A$19)&gt;0,A$19&lt;&gt;B2070),A$19,IFERROR(IF(MATCH(A$19,Z$3:Z$13,0)=4,A$19," ")," "))</f>
        <v xml:space="preserve"> </v>
      </c>
      <c r="B2145" s="8" t="str">
        <f>IF(A2145=" "," ",MAX(B2141:B2144)+1)</f>
        <v xml:space="preserve"> </v>
      </c>
      <c r="C2145" s="8" t="str">
        <f>IFERROR(INDEX(A2141:A2162,MATCH(SMALL(B2141:B2162,5),B2141:B2162,0),1)," ")</f>
        <v>C15</v>
      </c>
      <c r="D2145" s="8">
        <f t="shared" si="9341"/>
        <v>0</v>
      </c>
      <c r="E2145" s="8">
        <f t="shared" si="9342"/>
        <v>0</v>
      </c>
      <c r="F2145" s="8">
        <f t="shared" si="9343"/>
        <v>0</v>
      </c>
      <c r="G2145" s="8">
        <f t="shared" si="9344"/>
        <v>1</v>
      </c>
      <c r="H2145" s="8">
        <f t="shared" si="9345"/>
        <v>0</v>
      </c>
      <c r="I2145" s="8">
        <f t="shared" si="9346"/>
        <v>0</v>
      </c>
      <c r="J2145" s="8">
        <f t="shared" si="9347"/>
        <v>0</v>
      </c>
      <c r="K2145" s="8">
        <f t="shared" si="9348"/>
        <v>0</v>
      </c>
      <c r="L2145" s="8">
        <f t="shared" si="9349"/>
        <v>0</v>
      </c>
      <c r="M2145" s="8">
        <f t="shared" si="9350"/>
        <v>0</v>
      </c>
      <c r="N2145" s="8">
        <f t="shared" si="9351"/>
        <v>0</v>
      </c>
      <c r="O2145" s="8">
        <f t="shared" si="9352"/>
        <v>0</v>
      </c>
      <c r="P2145" s="8" t="e">
        <v>#NUM!</v>
      </c>
      <c r="Q2145" s="8" t="e">
        <f t="shared" ref="Q2145" si="9378">IF(COUNTIF(P2141:P2151,"&lt;"&amp;-0.001)=0,IF(ABS(P2145)&lt;0.001,0,P2145)," ")</f>
        <v>#NUM!</v>
      </c>
      <c r="R2145" s="8"/>
      <c r="S2145" s="8"/>
      <c r="U2145" s="34"/>
      <c r="V2145" s="34"/>
      <c r="W2145" s="34"/>
      <c r="X2145" s="34"/>
      <c r="Y2145" s="34"/>
      <c r="Z2145" s="34"/>
      <c r="AA2145" s="34"/>
      <c r="AB2145" s="34"/>
      <c r="AC2145" s="34"/>
      <c r="AD2145" s="34"/>
      <c r="AE2145" s="34"/>
      <c r="AF2145" s="34"/>
      <c r="AG2145" s="34"/>
      <c r="AH2145" s="34"/>
      <c r="AI2145" s="34"/>
      <c r="AJ2145" s="34"/>
      <c r="AK2145" s="34"/>
      <c r="AL2145" s="34"/>
      <c r="AM2145" s="34"/>
      <c r="AN2145" s="34"/>
      <c r="AO2145" s="34"/>
      <c r="AP2145" s="34"/>
      <c r="AQ2145" s="34"/>
      <c r="AR2145" s="34"/>
      <c r="AS2145" s="34"/>
      <c r="AT2145" s="34"/>
      <c r="AU2145" s="34"/>
      <c r="AV2145" s="34"/>
      <c r="AW2145" s="34"/>
      <c r="AX2145" s="34"/>
      <c r="AY2145" s="34"/>
      <c r="AZ2145" s="34"/>
      <c r="BA2145" s="34"/>
      <c r="BB2145" s="34"/>
      <c r="BC2145" s="34"/>
      <c r="BD2145" s="34"/>
      <c r="BE2145" s="34"/>
      <c r="BF2145" s="34"/>
      <c r="BG2145" s="34"/>
      <c r="BH2145" s="34"/>
      <c r="BI2145" s="34"/>
      <c r="BJ2145" s="34"/>
      <c r="BK2145" s="34"/>
      <c r="BL2145" s="34"/>
      <c r="BM2145" s="34"/>
      <c r="BN2145" s="34"/>
      <c r="BO2145" s="34"/>
      <c r="BP2145" s="34"/>
      <c r="BQ2145" s="34"/>
      <c r="BR2145" s="34"/>
      <c r="BS2145" s="34"/>
      <c r="BT2145" s="34"/>
      <c r="BU2145" s="34"/>
      <c r="BV2145" s="34"/>
      <c r="BW2145" s="34"/>
      <c r="BX2145" s="34"/>
      <c r="BY2145" s="34"/>
      <c r="BZ2145" s="34"/>
      <c r="CA2145" s="34"/>
      <c r="CB2145" s="34"/>
      <c r="CC2145" s="34"/>
      <c r="CD2145" s="34"/>
      <c r="CE2145" s="34"/>
      <c r="CF2145" s="34"/>
      <c r="CG2145" s="34"/>
      <c r="CH2145" s="34"/>
      <c r="CI2145" s="8"/>
    </row>
    <row r="2146" spans="1:87" x14ac:dyDescent="0.2">
      <c r="A2146" s="8" t="str">
        <f>IF(AND(COUNTIF(W$3:W$13,A$20)&gt;0,A$20&lt;&gt;B2070),A$20,IFERROR(IF(MATCH(A$20,Z$3:Z$13,0)=4,A$20," ")," "))</f>
        <v>C6</v>
      </c>
      <c r="B2146" s="8">
        <f>IF(A2146=" "," ",MAX(B2141:B2145)+1)</f>
        <v>3</v>
      </c>
      <c r="C2146" s="8" t="str">
        <f>IFERROR(INDEX(A2141:A2162,MATCH(SMALL(B2141:B2162,6),B2141:B2162,0),1)," ")</f>
        <v>C16</v>
      </c>
      <c r="D2146" s="8">
        <f t="shared" si="9341"/>
        <v>0</v>
      </c>
      <c r="E2146" s="8">
        <f t="shared" si="9342"/>
        <v>0</v>
      </c>
      <c r="F2146" s="8">
        <f t="shared" si="9343"/>
        <v>0</v>
      </c>
      <c r="G2146" s="8">
        <f t="shared" si="9344"/>
        <v>0</v>
      </c>
      <c r="H2146" s="8">
        <f t="shared" si="9345"/>
        <v>1</v>
      </c>
      <c r="I2146" s="8">
        <f t="shared" si="9346"/>
        <v>0</v>
      </c>
      <c r="J2146" s="8">
        <f t="shared" si="9347"/>
        <v>0</v>
      </c>
      <c r="K2146" s="8">
        <f t="shared" si="9348"/>
        <v>0</v>
      </c>
      <c r="L2146" s="8">
        <f t="shared" si="9349"/>
        <v>0</v>
      </c>
      <c r="M2146" s="8">
        <f t="shared" si="9350"/>
        <v>0</v>
      </c>
      <c r="N2146" s="8">
        <f t="shared" si="9351"/>
        <v>0</v>
      </c>
      <c r="O2146" s="8">
        <f t="shared" si="9352"/>
        <v>0</v>
      </c>
      <c r="P2146" s="8" t="e">
        <v>#NUM!</v>
      </c>
      <c r="Q2146" s="8" t="e">
        <f t="shared" ref="Q2146" si="9379">IF(COUNTIF(P2141:P2151,"&lt;"&amp;-0.001)=0,IF(ABS(P2146)&lt;0.001,0,P2146)," ")</f>
        <v>#NUM!</v>
      </c>
      <c r="R2146" s="8"/>
      <c r="S2146" s="8"/>
      <c r="U2146" s="34"/>
      <c r="V2146" s="34"/>
      <c r="W2146" s="34"/>
      <c r="X2146" s="34"/>
      <c r="Y2146" s="34"/>
      <c r="Z2146" s="34"/>
      <c r="AA2146" s="34"/>
      <c r="AB2146" s="34"/>
      <c r="AC2146" s="34"/>
      <c r="AD2146" s="34"/>
      <c r="AE2146" s="34"/>
      <c r="AF2146" s="34"/>
      <c r="AG2146" s="34"/>
      <c r="AH2146" s="34"/>
      <c r="AI2146" s="34"/>
      <c r="AJ2146" s="34"/>
      <c r="AK2146" s="34"/>
      <c r="AL2146" s="34"/>
      <c r="AM2146" s="34"/>
      <c r="AN2146" s="34"/>
      <c r="AO2146" s="34"/>
      <c r="AP2146" s="34"/>
      <c r="AQ2146" s="34"/>
      <c r="AR2146" s="34"/>
      <c r="AS2146" s="34"/>
      <c r="AT2146" s="34"/>
      <c r="AU2146" s="34"/>
      <c r="AV2146" s="34"/>
      <c r="AW2146" s="34"/>
      <c r="AX2146" s="34"/>
      <c r="AY2146" s="34"/>
      <c r="AZ2146" s="34"/>
      <c r="BA2146" s="34"/>
      <c r="BB2146" s="34"/>
      <c r="BC2146" s="34"/>
      <c r="BD2146" s="34"/>
      <c r="BE2146" s="34"/>
      <c r="BF2146" s="34"/>
      <c r="BG2146" s="34"/>
      <c r="BH2146" s="34"/>
      <c r="BI2146" s="34"/>
      <c r="BJ2146" s="34"/>
      <c r="BK2146" s="34"/>
      <c r="BL2146" s="34"/>
      <c r="BM2146" s="34"/>
      <c r="BN2146" s="34"/>
      <c r="BO2146" s="34"/>
      <c r="BP2146" s="34"/>
      <c r="BQ2146" s="34"/>
      <c r="BR2146" s="34"/>
      <c r="BS2146" s="34"/>
      <c r="BT2146" s="34"/>
      <c r="BU2146" s="34"/>
      <c r="BV2146" s="34"/>
      <c r="BW2146" s="34"/>
      <c r="BX2146" s="34"/>
      <c r="BY2146" s="34"/>
      <c r="BZ2146" s="34"/>
      <c r="CA2146" s="34"/>
      <c r="CB2146" s="34"/>
      <c r="CC2146" s="34"/>
      <c r="CD2146" s="34"/>
      <c r="CE2146" s="34"/>
      <c r="CF2146" s="34"/>
      <c r="CG2146" s="34"/>
      <c r="CH2146" s="34"/>
      <c r="CI2146" s="8"/>
    </row>
    <row r="2147" spans="1:87" x14ac:dyDescent="0.2">
      <c r="A2147" s="8" t="str">
        <f>IF(AND(COUNTIF(W$3:W$13,A$21)&gt;0,A$21&lt;&gt;B2070),A$21,IFERROR(IF(MATCH(A$21,Z$3:Z$13,0)=4,A$21," ")," "))</f>
        <v xml:space="preserve"> </v>
      </c>
      <c r="B2147" s="8" t="str">
        <f>IF(A2147=" "," ",MAX(B2141:B2146)+1)</f>
        <v xml:space="preserve"> </v>
      </c>
      <c r="C2147" s="8" t="str">
        <f>IFERROR(INDEX(A2141:A2162,MATCH(SMALL(B2141:B2162,7),B2141:B2162,0),1)," ")</f>
        <v>C17</v>
      </c>
      <c r="D2147" s="8">
        <f t="shared" si="9341"/>
        <v>0</v>
      </c>
      <c r="E2147" s="8">
        <f t="shared" si="9342"/>
        <v>0</v>
      </c>
      <c r="F2147" s="8">
        <f t="shared" si="9343"/>
        <v>0</v>
      </c>
      <c r="G2147" s="8">
        <f t="shared" si="9344"/>
        <v>0</v>
      </c>
      <c r="H2147" s="8">
        <f t="shared" si="9345"/>
        <v>0</v>
      </c>
      <c r="I2147" s="8">
        <f t="shared" si="9346"/>
        <v>1</v>
      </c>
      <c r="J2147" s="8">
        <f t="shared" si="9347"/>
        <v>0</v>
      </c>
      <c r="K2147" s="8">
        <f t="shared" si="9348"/>
        <v>0</v>
      </c>
      <c r="L2147" s="8">
        <f t="shared" si="9349"/>
        <v>0</v>
      </c>
      <c r="M2147" s="8">
        <f t="shared" si="9350"/>
        <v>0</v>
      </c>
      <c r="N2147" s="8">
        <f t="shared" si="9351"/>
        <v>0</v>
      </c>
      <c r="O2147" s="8">
        <f t="shared" si="9352"/>
        <v>0</v>
      </c>
      <c r="P2147" s="8" t="e">
        <v>#NUM!</v>
      </c>
      <c r="Q2147" s="8" t="e">
        <f t="shared" ref="Q2147" si="9380">IF(COUNTIF(P2141:P2151,"&lt;"&amp;-0.001)=0,IF(ABS(P2147)&lt;0.001,0,P2147)," ")</f>
        <v>#NUM!</v>
      </c>
      <c r="R2147" s="8"/>
      <c r="S2147" s="8"/>
      <c r="U2147" s="34"/>
      <c r="V2147" s="34"/>
      <c r="W2147" s="34"/>
      <c r="X2147" s="34"/>
      <c r="Y2147" s="34"/>
      <c r="Z2147" s="34"/>
      <c r="AA2147" s="34"/>
      <c r="AB2147" s="34"/>
      <c r="AC2147" s="34"/>
      <c r="AD2147" s="34"/>
      <c r="AE2147" s="34"/>
      <c r="AF2147" s="34"/>
      <c r="AG2147" s="34"/>
      <c r="AH2147" s="34"/>
      <c r="AI2147" s="34"/>
      <c r="AJ2147" s="34"/>
      <c r="AK2147" s="34"/>
      <c r="AL2147" s="34"/>
      <c r="AM2147" s="34"/>
      <c r="AN2147" s="34"/>
      <c r="AO2147" s="34"/>
      <c r="AP2147" s="34"/>
      <c r="AQ2147" s="34"/>
      <c r="AR2147" s="34"/>
      <c r="AS2147" s="34"/>
      <c r="AT2147" s="34"/>
      <c r="AU2147" s="34"/>
      <c r="AV2147" s="34"/>
      <c r="AW2147" s="34"/>
      <c r="AX2147" s="34"/>
      <c r="AY2147" s="34"/>
      <c r="AZ2147" s="34"/>
      <c r="BA2147" s="34"/>
      <c r="BB2147" s="34"/>
      <c r="BC2147" s="34"/>
      <c r="BD2147" s="34"/>
      <c r="BE2147" s="34"/>
      <c r="BF2147" s="34"/>
      <c r="BG2147" s="34"/>
      <c r="BH2147" s="34"/>
      <c r="BI2147" s="34"/>
      <c r="BJ2147" s="34"/>
      <c r="BK2147" s="34"/>
      <c r="BL2147" s="34"/>
      <c r="BM2147" s="34"/>
      <c r="BN2147" s="34"/>
      <c r="BO2147" s="34"/>
      <c r="BP2147" s="34"/>
      <c r="BQ2147" s="34"/>
      <c r="BR2147" s="34"/>
      <c r="BS2147" s="34"/>
      <c r="BT2147" s="34"/>
      <c r="BU2147" s="34"/>
      <c r="BV2147" s="34"/>
      <c r="BW2147" s="34"/>
      <c r="BX2147" s="34"/>
      <c r="BY2147" s="34"/>
      <c r="BZ2147" s="34"/>
      <c r="CA2147" s="34"/>
      <c r="CB2147" s="34"/>
      <c r="CC2147" s="34"/>
      <c r="CD2147" s="34"/>
      <c r="CE2147" s="34"/>
      <c r="CF2147" s="34"/>
      <c r="CG2147" s="34"/>
      <c r="CH2147" s="34"/>
      <c r="CI2147" s="8"/>
    </row>
    <row r="2148" spans="1:87" x14ac:dyDescent="0.2">
      <c r="A2148" s="8" t="str">
        <f>IF(AND(COUNTIF(W$3:W$13,A$22)&gt;0,A$22&lt;&gt;B2070),A$22,IFERROR(IF(MATCH(A$22,Z$3:Z$13,0)=4,A$22," ")," "))</f>
        <v xml:space="preserve"> </v>
      </c>
      <c r="B2148" s="8" t="str">
        <f>IF(A2148=" "," ",MAX(B2141:B2147)+1)</f>
        <v xml:space="preserve"> </v>
      </c>
      <c r="C2148" s="8" t="str">
        <f>IFERROR(INDEX(A2141:A2162,MATCH(SMALL(B2141:B2162,8),B2141:B2162,0),1)," ")</f>
        <v>C18</v>
      </c>
      <c r="D2148" s="8">
        <f t="shared" si="9341"/>
        <v>0</v>
      </c>
      <c r="E2148" s="8">
        <f t="shared" si="9342"/>
        <v>0</v>
      </c>
      <c r="F2148" s="8">
        <f t="shared" si="9343"/>
        <v>0</v>
      </c>
      <c r="G2148" s="8">
        <f t="shared" si="9344"/>
        <v>0</v>
      </c>
      <c r="H2148" s="8">
        <f t="shared" si="9345"/>
        <v>0</v>
      </c>
      <c r="I2148" s="8">
        <f t="shared" si="9346"/>
        <v>0</v>
      </c>
      <c r="J2148" s="8">
        <f t="shared" si="9347"/>
        <v>1</v>
      </c>
      <c r="K2148" s="8">
        <f t="shared" si="9348"/>
        <v>0</v>
      </c>
      <c r="L2148" s="8">
        <f t="shared" si="9349"/>
        <v>0</v>
      </c>
      <c r="M2148" s="8">
        <f t="shared" si="9350"/>
        <v>0</v>
      </c>
      <c r="N2148" s="8">
        <f t="shared" si="9351"/>
        <v>0</v>
      </c>
      <c r="O2148" s="8">
        <f t="shared" si="9352"/>
        <v>0</v>
      </c>
      <c r="P2148" s="8" t="e">
        <v>#NUM!</v>
      </c>
      <c r="Q2148" s="8" t="e">
        <f t="shared" ref="Q2148" si="9381">IF(COUNTIF(P2141:P2151,"&lt;"&amp;-0.001)=0,IF(ABS(P2148)&lt;0.001,0,P2148)," ")</f>
        <v>#NUM!</v>
      </c>
      <c r="R2148" s="8"/>
      <c r="S2148" s="8"/>
      <c r="U2148" s="34"/>
      <c r="V2148" s="34"/>
      <c r="W2148" s="34"/>
      <c r="X2148" s="34"/>
      <c r="Y2148" s="34"/>
      <c r="Z2148" s="34"/>
      <c r="AA2148" s="34"/>
      <c r="AB2148" s="34"/>
      <c r="AC2148" s="34"/>
      <c r="AD2148" s="34"/>
      <c r="AE2148" s="34"/>
      <c r="AF2148" s="34"/>
      <c r="AG2148" s="34"/>
      <c r="AH2148" s="34"/>
      <c r="AI2148" s="34"/>
      <c r="AJ2148" s="34"/>
      <c r="AK2148" s="34"/>
      <c r="AL2148" s="34"/>
      <c r="AM2148" s="34"/>
      <c r="AN2148" s="34"/>
      <c r="AO2148" s="34"/>
      <c r="AP2148" s="34"/>
      <c r="AQ2148" s="34"/>
      <c r="AR2148" s="34"/>
      <c r="AS2148" s="34"/>
      <c r="AT2148" s="34"/>
      <c r="AU2148" s="34"/>
      <c r="AV2148" s="34"/>
      <c r="AW2148" s="34"/>
      <c r="AX2148" s="34"/>
      <c r="AY2148" s="34"/>
      <c r="AZ2148" s="34"/>
      <c r="BA2148" s="34"/>
      <c r="BB2148" s="34"/>
      <c r="BC2148" s="34"/>
      <c r="BD2148" s="34"/>
      <c r="BE2148" s="34"/>
      <c r="BF2148" s="34"/>
      <c r="BG2148" s="34"/>
      <c r="BH2148" s="34"/>
      <c r="BI2148" s="34"/>
      <c r="BJ2148" s="34"/>
      <c r="BK2148" s="34"/>
      <c r="BL2148" s="34"/>
      <c r="BM2148" s="34"/>
      <c r="BN2148" s="34"/>
      <c r="BO2148" s="34"/>
      <c r="BP2148" s="34"/>
      <c r="BQ2148" s="34"/>
      <c r="BR2148" s="34"/>
      <c r="BS2148" s="34"/>
      <c r="BT2148" s="34"/>
      <c r="BU2148" s="34"/>
      <c r="BV2148" s="34"/>
      <c r="BW2148" s="34"/>
      <c r="BX2148" s="34"/>
      <c r="BY2148" s="34"/>
      <c r="BZ2148" s="34"/>
      <c r="CA2148" s="34"/>
      <c r="CB2148" s="34"/>
      <c r="CC2148" s="34"/>
      <c r="CD2148" s="34"/>
      <c r="CE2148" s="34"/>
      <c r="CF2148" s="34"/>
      <c r="CG2148" s="34"/>
      <c r="CH2148" s="34"/>
      <c r="CI2148" s="8"/>
    </row>
    <row r="2149" spans="1:87" x14ac:dyDescent="0.2">
      <c r="A2149" s="8" t="str">
        <f>IF(AND(COUNTIF(W$3:W$13,A$23)&gt;0,A$23&lt;&gt;B2070),A$23,IFERROR(IF(MATCH(A$23,Z$3:Z$13,0)=4,A$23," ")," "))</f>
        <v xml:space="preserve"> </v>
      </c>
      <c r="B2149" s="8" t="str">
        <f>IF(A2149=" "," ",MAX(B2141:B2148)+1)</f>
        <v xml:space="preserve"> </v>
      </c>
      <c r="C2149" s="8" t="str">
        <f>IFERROR(INDEX(A2141:A2162,MATCH(SMALL(B2141:B2162,9),B2141:B2162,0),1)," ")</f>
        <v>C19</v>
      </c>
      <c r="D2149" s="8">
        <f t="shared" si="9341"/>
        <v>0</v>
      </c>
      <c r="E2149" s="8">
        <f t="shared" si="9342"/>
        <v>0</v>
      </c>
      <c r="F2149" s="8">
        <f t="shared" si="9343"/>
        <v>0</v>
      </c>
      <c r="G2149" s="8">
        <f t="shared" si="9344"/>
        <v>0</v>
      </c>
      <c r="H2149" s="8">
        <f t="shared" si="9345"/>
        <v>0</v>
      </c>
      <c r="I2149" s="8">
        <f t="shared" si="9346"/>
        <v>0</v>
      </c>
      <c r="J2149" s="8">
        <f t="shared" si="9347"/>
        <v>0</v>
      </c>
      <c r="K2149" s="8">
        <f t="shared" si="9348"/>
        <v>1</v>
      </c>
      <c r="L2149" s="8">
        <f t="shared" si="9349"/>
        <v>0</v>
      </c>
      <c r="M2149" s="8">
        <f t="shared" si="9350"/>
        <v>0</v>
      </c>
      <c r="N2149" s="8">
        <f t="shared" si="9351"/>
        <v>0</v>
      </c>
      <c r="O2149" s="8">
        <f t="shared" si="9352"/>
        <v>0</v>
      </c>
      <c r="P2149" s="6" t="e">
        <v>#NUM!</v>
      </c>
      <c r="Q2149" s="8" t="e">
        <f t="shared" ref="Q2149" si="9382">IF(COUNTIF(P2141:P2151,"&lt;"&amp;-0.001)=0,IF(ABS(P2149)&lt;0.001,0,P2149)," ")</f>
        <v>#NUM!</v>
      </c>
      <c r="R2149" s="8"/>
      <c r="S2149" s="8"/>
      <c r="U2149" s="34"/>
      <c r="V2149" s="34"/>
      <c r="W2149" s="34"/>
      <c r="X2149" s="34"/>
      <c r="Y2149" s="34"/>
      <c r="Z2149" s="34"/>
      <c r="AA2149" s="34"/>
      <c r="AB2149" s="34"/>
      <c r="AC2149" s="34"/>
      <c r="AD2149" s="34"/>
      <c r="AE2149" s="34"/>
      <c r="AF2149" s="34"/>
      <c r="AG2149" s="34"/>
      <c r="AH2149" s="34"/>
      <c r="AI2149" s="34"/>
      <c r="AJ2149" s="34"/>
      <c r="AK2149" s="34"/>
      <c r="AL2149" s="34"/>
      <c r="AM2149" s="34"/>
      <c r="AN2149" s="34"/>
      <c r="AO2149" s="34"/>
      <c r="AP2149" s="34"/>
      <c r="AQ2149" s="34"/>
      <c r="AR2149" s="34"/>
      <c r="AS2149" s="34"/>
      <c r="AT2149" s="34"/>
      <c r="AU2149" s="34"/>
      <c r="AV2149" s="34"/>
      <c r="AW2149" s="34"/>
      <c r="AX2149" s="34"/>
      <c r="AY2149" s="34"/>
      <c r="AZ2149" s="34"/>
      <c r="BA2149" s="34"/>
      <c r="BB2149" s="34"/>
      <c r="BC2149" s="34"/>
      <c r="BD2149" s="34"/>
      <c r="BE2149" s="34"/>
      <c r="BF2149" s="34"/>
      <c r="BG2149" s="34"/>
      <c r="BH2149" s="34"/>
      <c r="BI2149" s="34"/>
      <c r="BJ2149" s="34"/>
      <c r="BK2149" s="34"/>
      <c r="BL2149" s="34"/>
      <c r="BM2149" s="34"/>
      <c r="BN2149" s="34"/>
      <c r="BO2149" s="34"/>
      <c r="BP2149" s="34"/>
      <c r="BQ2149" s="34"/>
      <c r="BR2149" s="34"/>
      <c r="BS2149" s="34"/>
      <c r="BT2149" s="34"/>
      <c r="BU2149" s="34"/>
      <c r="BV2149" s="34"/>
      <c r="BW2149" s="34"/>
      <c r="BX2149" s="34"/>
      <c r="BY2149" s="34"/>
      <c r="BZ2149" s="34"/>
      <c r="CA2149" s="34"/>
      <c r="CB2149" s="34"/>
      <c r="CC2149" s="34"/>
      <c r="CD2149" s="34"/>
      <c r="CE2149" s="34"/>
      <c r="CF2149" s="34"/>
      <c r="CG2149" s="34"/>
      <c r="CH2149" s="34"/>
      <c r="CI2149" s="8"/>
    </row>
    <row r="2150" spans="1:87" x14ac:dyDescent="0.2">
      <c r="A2150" s="8" t="str">
        <f>IF(AND(COUNTIF(W$3:W$13,A$24)&gt;0,A$24&lt;&gt;B2070),A$24,IFERROR(IF(MATCH(A$24,Z$3:Z$13,0)=4,A$24," ")," "))</f>
        <v xml:space="preserve"> </v>
      </c>
      <c r="B2150" s="8" t="str">
        <f>IF(A2150=" "," ",MAX(B2141:B2149)+1)</f>
        <v xml:space="preserve"> </v>
      </c>
      <c r="C2150" s="8" t="str">
        <f>IFERROR(INDEX(A2141:A2162,MATCH(SMALL(B2141:B2162,10),B2141:B2162,0),1)," ")</f>
        <v>C21</v>
      </c>
      <c r="D2150" s="8">
        <f t="shared" si="9341"/>
        <v>0</v>
      </c>
      <c r="E2150" s="8">
        <f t="shared" si="9342"/>
        <v>0</v>
      </c>
      <c r="F2150" s="8">
        <f t="shared" si="9343"/>
        <v>0</v>
      </c>
      <c r="G2150" s="8">
        <f t="shared" si="9344"/>
        <v>0</v>
      </c>
      <c r="H2150" s="8">
        <f t="shared" si="9345"/>
        <v>0</v>
      </c>
      <c r="I2150" s="8">
        <f t="shared" si="9346"/>
        <v>0</v>
      </c>
      <c r="J2150" s="8">
        <f t="shared" si="9347"/>
        <v>0</v>
      </c>
      <c r="K2150" s="8">
        <f t="shared" si="9348"/>
        <v>0</v>
      </c>
      <c r="L2150" s="8">
        <f t="shared" si="9349"/>
        <v>0</v>
      </c>
      <c r="M2150" s="8">
        <f t="shared" si="9350"/>
        <v>1</v>
      </c>
      <c r="N2150" s="8">
        <f t="shared" si="9351"/>
        <v>0</v>
      </c>
      <c r="O2150" s="8">
        <f t="shared" si="9352"/>
        <v>0</v>
      </c>
      <c r="P2150" s="8" t="e">
        <v>#NUM!</v>
      </c>
      <c r="Q2150" s="8" t="e">
        <f t="shared" ref="Q2150" si="9383">IF(COUNTIF(P2141:P2151,"&lt;"&amp;-0.001)=0,IF(ABS(P2150)&lt;0.001,0,P2150)," ")</f>
        <v>#NUM!</v>
      </c>
      <c r="R2150" s="8"/>
      <c r="S2150" s="8"/>
      <c r="U2150" s="34"/>
      <c r="V2150" s="34"/>
      <c r="W2150" s="34"/>
      <c r="X2150" s="34"/>
      <c r="Y2150" s="34"/>
      <c r="Z2150" s="34"/>
      <c r="AA2150" s="34"/>
      <c r="AB2150" s="34"/>
      <c r="AC2150" s="34"/>
      <c r="AD2150" s="34"/>
      <c r="AE2150" s="34"/>
      <c r="AF2150" s="34"/>
      <c r="AG2150" s="34"/>
      <c r="AH2150" s="34"/>
      <c r="AI2150" s="34"/>
      <c r="AJ2150" s="34"/>
      <c r="AK2150" s="34"/>
      <c r="AL2150" s="34"/>
      <c r="AM2150" s="34"/>
      <c r="AN2150" s="34"/>
      <c r="AO2150" s="34"/>
      <c r="AP2150" s="34"/>
      <c r="AQ2150" s="34"/>
      <c r="AR2150" s="34"/>
      <c r="AS2150" s="34"/>
      <c r="AT2150" s="34"/>
      <c r="AU2150" s="34"/>
      <c r="AV2150" s="34"/>
      <c r="AW2150" s="34"/>
      <c r="AX2150" s="34"/>
      <c r="AY2150" s="34"/>
      <c r="AZ2150" s="34"/>
      <c r="BA2150" s="34"/>
      <c r="BB2150" s="34"/>
      <c r="BC2150" s="34"/>
      <c r="BD2150" s="34"/>
      <c r="BE2150" s="34"/>
      <c r="BF2150" s="34"/>
      <c r="BG2150" s="34"/>
      <c r="BH2150" s="34"/>
      <c r="BI2150" s="34"/>
      <c r="BJ2150" s="34"/>
      <c r="BK2150" s="34"/>
      <c r="BL2150" s="34"/>
      <c r="BM2150" s="34"/>
      <c r="BN2150" s="34"/>
      <c r="BO2150" s="34"/>
      <c r="BP2150" s="34"/>
      <c r="BQ2150" s="34"/>
      <c r="BR2150" s="34"/>
      <c r="BS2150" s="34"/>
      <c r="BT2150" s="34"/>
      <c r="BU2150" s="34"/>
      <c r="BV2150" s="34"/>
      <c r="BW2150" s="34"/>
      <c r="BX2150" s="34"/>
      <c r="BY2150" s="34"/>
      <c r="BZ2150" s="34"/>
      <c r="CA2150" s="34"/>
      <c r="CB2150" s="34"/>
      <c r="CC2150" s="34"/>
      <c r="CD2150" s="34"/>
      <c r="CE2150" s="34"/>
      <c r="CF2150" s="34"/>
      <c r="CG2150" s="34"/>
      <c r="CH2150" s="34"/>
      <c r="CI2150" s="8"/>
    </row>
    <row r="2151" spans="1:87" x14ac:dyDescent="0.2">
      <c r="A2151" s="8" t="str">
        <f>IF(AND(COUNTIF(W$3:W$13,A$25)&gt;0,A$25&lt;&gt;B2070),A$25,IFERROR(IF(MATCH(A$25,Z$3:Z$13,0)=4,A$25," ")," "))</f>
        <v xml:space="preserve"> </v>
      </c>
      <c r="B2151" s="8" t="str">
        <f>IF(A2151=" "," ",MAX(B2141:B2150)+1)</f>
        <v xml:space="preserve"> </v>
      </c>
      <c r="C2151" s="8" t="str">
        <f>IFERROR(INDEX(A2141:A2162,MATCH(SMALL(B2141:B2162,11),B2141:B2162,0),1)," ")</f>
        <v>C22</v>
      </c>
      <c r="D2151" s="8">
        <f t="shared" si="9341"/>
        <v>0</v>
      </c>
      <c r="E2151" s="8">
        <f t="shared" si="9342"/>
        <v>0</v>
      </c>
      <c r="F2151" s="8">
        <f t="shared" si="9343"/>
        <v>0</v>
      </c>
      <c r="G2151" s="8">
        <f t="shared" si="9344"/>
        <v>0</v>
      </c>
      <c r="H2151" s="8">
        <f t="shared" si="9345"/>
        <v>0</v>
      </c>
      <c r="I2151" s="8">
        <f t="shared" si="9346"/>
        <v>0</v>
      </c>
      <c r="J2151" s="8">
        <f t="shared" si="9347"/>
        <v>0</v>
      </c>
      <c r="K2151" s="8">
        <f t="shared" si="9348"/>
        <v>0</v>
      </c>
      <c r="L2151" s="8">
        <f t="shared" si="9349"/>
        <v>0</v>
      </c>
      <c r="M2151" s="8">
        <f t="shared" si="9350"/>
        <v>0</v>
      </c>
      <c r="N2151" s="8">
        <f t="shared" si="9351"/>
        <v>1</v>
      </c>
      <c r="O2151" s="8">
        <f t="shared" si="9352"/>
        <v>0</v>
      </c>
      <c r="P2151" s="8" t="e">
        <v>#NUM!</v>
      </c>
      <c r="Q2151" s="8" t="e">
        <f t="shared" ref="Q2151" si="9384">IF(COUNTIF(P2141:P2151,"&lt;"&amp;-0.001)=0,IF(ABS(P2151)&lt;0.001,0,P2151)," ")</f>
        <v>#NUM!</v>
      </c>
      <c r="R2151" s="8"/>
      <c r="S2151" s="8"/>
      <c r="U2151" s="34"/>
      <c r="V2151" s="34"/>
      <c r="W2151" s="34"/>
      <c r="X2151" s="34"/>
      <c r="Y2151" s="34"/>
      <c r="Z2151" s="34"/>
      <c r="AA2151" s="34"/>
      <c r="AB2151" s="34"/>
      <c r="AC2151" s="34"/>
      <c r="AD2151" s="34"/>
      <c r="AE2151" s="34"/>
      <c r="AF2151" s="34"/>
      <c r="AG2151" s="34"/>
      <c r="AH2151" s="34"/>
      <c r="AI2151" s="34"/>
      <c r="AJ2151" s="34"/>
      <c r="AK2151" s="34"/>
      <c r="AL2151" s="34"/>
      <c r="AM2151" s="34"/>
      <c r="AN2151" s="34"/>
      <c r="AO2151" s="34"/>
      <c r="AP2151" s="34"/>
      <c r="AQ2151" s="34"/>
      <c r="AR2151" s="34"/>
      <c r="AS2151" s="34"/>
      <c r="AT2151" s="34"/>
      <c r="AU2151" s="34"/>
      <c r="AV2151" s="34"/>
      <c r="AW2151" s="34"/>
      <c r="AX2151" s="34"/>
      <c r="AY2151" s="34"/>
      <c r="AZ2151" s="34"/>
      <c r="BA2151" s="34"/>
      <c r="BB2151" s="34"/>
      <c r="BC2151" s="34"/>
      <c r="BD2151" s="34"/>
      <c r="BE2151" s="34"/>
      <c r="BF2151" s="34"/>
      <c r="BG2151" s="34"/>
      <c r="BH2151" s="34"/>
      <c r="BI2151" s="34"/>
      <c r="BJ2151" s="34"/>
      <c r="BK2151" s="34"/>
      <c r="BL2151" s="34"/>
      <c r="BM2151" s="34"/>
      <c r="BN2151" s="34"/>
      <c r="BO2151" s="34"/>
      <c r="BP2151" s="34"/>
      <c r="BQ2151" s="34"/>
      <c r="BR2151" s="34"/>
      <c r="BS2151" s="34"/>
      <c r="BT2151" s="34"/>
      <c r="BU2151" s="34"/>
      <c r="BV2151" s="34"/>
      <c r="BW2151" s="34"/>
      <c r="BX2151" s="34"/>
      <c r="BY2151" s="34"/>
      <c r="BZ2151" s="34"/>
      <c r="CA2151" s="34"/>
      <c r="CB2151" s="34"/>
      <c r="CC2151" s="34"/>
      <c r="CD2151" s="34"/>
      <c r="CE2151" s="34"/>
      <c r="CF2151" s="34"/>
      <c r="CG2151" s="34"/>
      <c r="CH2151" s="34"/>
      <c r="CI2151" s="8"/>
    </row>
    <row r="2152" spans="1:87" x14ac:dyDescent="0.2">
      <c r="A2152" s="8" t="str">
        <f>IF(AND(COUNTIF(W$3:W$13,A$26)&gt;0,A$26&lt;&gt;B2070),A$26,IFERROR(IF(MATCH(A$26,Z$3:Z$13,0)=4,A$26," ")," "))</f>
        <v xml:space="preserve"> </v>
      </c>
      <c r="B2152" s="8" t="str">
        <f>IF(A2152=" "," ",MAX(B2141:B2151)+1)</f>
        <v xml:space="preserve"> </v>
      </c>
      <c r="C2152" s="8"/>
      <c r="D2152" s="8"/>
      <c r="E2152" s="8"/>
      <c r="F2152" s="8"/>
      <c r="G2152" s="8"/>
      <c r="H2152" s="8"/>
      <c r="I2152" s="8"/>
      <c r="J2152" s="8"/>
      <c r="K2152" s="8"/>
      <c r="L2152" s="8"/>
      <c r="M2152" s="8"/>
      <c r="N2152" s="8"/>
      <c r="O2152" s="8"/>
      <c r="P2152" s="8"/>
      <c r="Q2152" s="8"/>
      <c r="R2152" s="8"/>
      <c r="S2152" s="8"/>
      <c r="U2152" s="34"/>
      <c r="V2152" s="34"/>
      <c r="W2152" s="34"/>
      <c r="X2152" s="34"/>
      <c r="Y2152" s="34"/>
      <c r="Z2152" s="34"/>
      <c r="AA2152" s="34"/>
      <c r="AB2152" s="34"/>
      <c r="AC2152" s="34"/>
      <c r="AD2152" s="34"/>
      <c r="AE2152" s="34"/>
      <c r="AF2152" s="34"/>
      <c r="AG2152" s="34"/>
      <c r="AH2152" s="34"/>
      <c r="AI2152" s="34"/>
      <c r="AJ2152" s="34"/>
      <c r="AK2152" s="34"/>
      <c r="AL2152" s="34"/>
      <c r="AM2152" s="34"/>
      <c r="AN2152" s="34"/>
      <c r="AO2152" s="34"/>
      <c r="AP2152" s="34"/>
      <c r="AQ2152" s="34"/>
      <c r="AR2152" s="34"/>
      <c r="AS2152" s="34"/>
      <c r="AT2152" s="34"/>
      <c r="AU2152" s="34"/>
      <c r="AV2152" s="34"/>
      <c r="AW2152" s="34"/>
      <c r="AX2152" s="34"/>
      <c r="AY2152" s="34"/>
      <c r="AZ2152" s="34"/>
      <c r="BA2152" s="34"/>
      <c r="BB2152" s="34"/>
      <c r="BC2152" s="34"/>
      <c r="BD2152" s="34"/>
      <c r="BE2152" s="34"/>
      <c r="BF2152" s="34"/>
      <c r="BG2152" s="34"/>
      <c r="BH2152" s="34"/>
      <c r="BI2152" s="34"/>
      <c r="BJ2152" s="34"/>
      <c r="BK2152" s="34"/>
      <c r="BL2152" s="34"/>
      <c r="BM2152" s="34"/>
      <c r="BN2152" s="34"/>
      <c r="BO2152" s="34"/>
      <c r="BP2152" s="34"/>
      <c r="BQ2152" s="34"/>
      <c r="BR2152" s="34"/>
      <c r="BS2152" s="34"/>
      <c r="BT2152" s="34"/>
      <c r="BU2152" s="34"/>
      <c r="BV2152" s="34"/>
      <c r="BW2152" s="34"/>
      <c r="BX2152" s="34"/>
      <c r="BY2152" s="34"/>
      <c r="BZ2152" s="34"/>
      <c r="CA2152" s="34"/>
      <c r="CB2152" s="34"/>
      <c r="CC2152" s="34"/>
      <c r="CD2152" s="34"/>
      <c r="CE2152" s="34"/>
      <c r="CF2152" s="34"/>
      <c r="CG2152" s="34"/>
      <c r="CH2152" s="34"/>
      <c r="CI2152" s="8"/>
    </row>
    <row r="2153" spans="1:87" x14ac:dyDescent="0.2">
      <c r="A2153" s="8" t="str">
        <f>IF(AND(COUNTIF(W$3:W$13,A$27)&gt;0,A$27&lt;&gt;B2070),A$27,IFERROR(IF(MATCH(A$27,Z$3:Z$13,0)=4,A$27," ")," "))</f>
        <v>C13</v>
      </c>
      <c r="B2153" s="8">
        <f>IF(A2153=" "," ",MAX(B2141:B2152)+1)</f>
        <v>4</v>
      </c>
      <c r="C2153" s="8"/>
      <c r="D2153" s="8"/>
      <c r="E2153" s="8"/>
      <c r="F2153" s="8"/>
      <c r="G2153" s="8"/>
      <c r="H2153" s="8"/>
      <c r="I2153" s="8"/>
      <c r="J2153" s="8"/>
      <c r="K2153" s="8"/>
      <c r="L2153" s="8"/>
      <c r="M2153" s="8"/>
      <c r="N2153" s="8"/>
      <c r="O2153" s="8"/>
      <c r="P2153" s="8"/>
      <c r="Q2153" s="8"/>
      <c r="R2153" s="8"/>
      <c r="S2153" s="8"/>
      <c r="U2153" s="34"/>
      <c r="V2153" s="34"/>
      <c r="W2153" s="34"/>
      <c r="X2153" s="34"/>
      <c r="Y2153" s="34"/>
      <c r="Z2153" s="34"/>
      <c r="AA2153" s="34"/>
      <c r="AB2153" s="34"/>
      <c r="AC2153" s="34"/>
      <c r="AD2153" s="34"/>
      <c r="AE2153" s="34"/>
      <c r="AF2153" s="34"/>
      <c r="AG2153" s="34"/>
      <c r="AH2153" s="34"/>
      <c r="AI2153" s="34"/>
      <c r="AJ2153" s="34"/>
      <c r="AK2153" s="34"/>
      <c r="AL2153" s="34"/>
      <c r="AM2153" s="34"/>
      <c r="AN2153" s="34"/>
      <c r="AO2153" s="34"/>
      <c r="AP2153" s="34"/>
      <c r="AQ2153" s="34"/>
      <c r="AR2153" s="34"/>
      <c r="AS2153" s="34"/>
      <c r="AT2153" s="34"/>
      <c r="AU2153" s="34"/>
      <c r="AV2153" s="34"/>
      <c r="AW2153" s="34"/>
      <c r="AX2153" s="34"/>
      <c r="AY2153" s="34"/>
      <c r="AZ2153" s="34"/>
      <c r="BA2153" s="34"/>
      <c r="BB2153" s="34"/>
      <c r="BC2153" s="34"/>
      <c r="BD2153" s="34"/>
      <c r="BE2153" s="34"/>
      <c r="BF2153" s="34"/>
      <c r="BG2153" s="34"/>
      <c r="BH2153" s="34"/>
      <c r="BI2153" s="34"/>
      <c r="BJ2153" s="34"/>
      <c r="BK2153" s="34"/>
      <c r="BL2153" s="34"/>
      <c r="BM2153" s="34"/>
      <c r="BN2153" s="34"/>
      <c r="BO2153" s="34"/>
      <c r="BP2153" s="34"/>
      <c r="BQ2153" s="34"/>
      <c r="BR2153" s="34"/>
      <c r="BS2153" s="34"/>
      <c r="BT2153" s="34"/>
      <c r="BU2153" s="34"/>
      <c r="BV2153" s="34"/>
      <c r="BW2153" s="34"/>
      <c r="BX2153" s="34"/>
      <c r="BY2153" s="34"/>
      <c r="BZ2153" s="34"/>
      <c r="CA2153" s="34"/>
      <c r="CB2153" s="34"/>
      <c r="CC2153" s="34"/>
      <c r="CD2153" s="34"/>
      <c r="CE2153" s="34"/>
      <c r="CF2153" s="34"/>
      <c r="CG2153" s="34"/>
      <c r="CH2153" s="34"/>
      <c r="CI2153" s="8"/>
    </row>
    <row r="2154" spans="1:87" x14ac:dyDescent="0.2">
      <c r="A2154" s="8" t="str">
        <f>IF(AND(COUNTIF(W$3:W$13,A$28)&gt;0,A$28&lt;&gt;B2070),A$28,IFERROR(IF(MATCH(A$28,Z$3:Z$13,0)=4,A$28," ")," "))</f>
        <v xml:space="preserve"> </v>
      </c>
      <c r="B2154" s="8" t="str">
        <f>IF(A2154=" "," ",MAX(B2141:B2153)+1)</f>
        <v xml:space="preserve"> </v>
      </c>
      <c r="C2154" s="8"/>
      <c r="D2154" s="8"/>
      <c r="E2154" s="8"/>
      <c r="F2154" s="8"/>
      <c r="G2154" s="8"/>
      <c r="H2154" s="8"/>
      <c r="I2154" s="8"/>
      <c r="J2154" s="8"/>
      <c r="K2154" s="8"/>
      <c r="L2154" s="8"/>
      <c r="M2154" s="8"/>
      <c r="N2154" s="8"/>
      <c r="O2154" s="8"/>
      <c r="P2154" s="8"/>
      <c r="Q2154" s="8"/>
      <c r="R2154" s="8"/>
      <c r="S2154" s="8"/>
      <c r="U2154" s="34"/>
      <c r="V2154" s="34"/>
      <c r="W2154" s="34"/>
      <c r="X2154" s="34"/>
      <c r="Y2154" s="34"/>
      <c r="Z2154" s="34"/>
      <c r="AA2154" s="34"/>
      <c r="AB2154" s="34"/>
      <c r="AC2154" s="34"/>
      <c r="AD2154" s="34"/>
      <c r="AE2154" s="34"/>
      <c r="AF2154" s="34"/>
      <c r="AG2154" s="34"/>
      <c r="AH2154" s="34"/>
      <c r="AI2154" s="34"/>
      <c r="AJ2154" s="34"/>
      <c r="AK2154" s="34"/>
      <c r="AL2154" s="34"/>
      <c r="AM2154" s="34"/>
      <c r="AN2154" s="34"/>
      <c r="AO2154" s="34"/>
      <c r="AP2154" s="34"/>
      <c r="AQ2154" s="34"/>
      <c r="AR2154" s="34"/>
      <c r="AS2154" s="34"/>
      <c r="AT2154" s="34"/>
      <c r="AU2154" s="34"/>
      <c r="AV2154" s="34"/>
      <c r="AW2154" s="34"/>
      <c r="AX2154" s="34"/>
      <c r="AY2154" s="34"/>
      <c r="AZ2154" s="34"/>
      <c r="BA2154" s="34"/>
      <c r="BB2154" s="34"/>
      <c r="BC2154" s="34"/>
      <c r="BD2154" s="34"/>
      <c r="BE2154" s="34"/>
      <c r="BF2154" s="34"/>
      <c r="BG2154" s="34"/>
      <c r="BH2154" s="34"/>
      <c r="BI2154" s="34"/>
      <c r="BJ2154" s="34"/>
      <c r="BK2154" s="34"/>
      <c r="BL2154" s="34"/>
      <c r="BM2154" s="34"/>
      <c r="BN2154" s="34"/>
      <c r="BO2154" s="34"/>
      <c r="BP2154" s="34"/>
      <c r="BQ2154" s="34"/>
      <c r="BR2154" s="34"/>
      <c r="BS2154" s="34"/>
      <c r="BT2154" s="34"/>
      <c r="BU2154" s="34"/>
      <c r="BV2154" s="34"/>
      <c r="BW2154" s="34"/>
      <c r="BX2154" s="34"/>
      <c r="BY2154" s="34"/>
      <c r="BZ2154" s="34"/>
      <c r="CA2154" s="34"/>
      <c r="CB2154" s="34"/>
      <c r="CC2154" s="34"/>
      <c r="CD2154" s="34"/>
      <c r="CE2154" s="34"/>
      <c r="CF2154" s="34"/>
      <c r="CG2154" s="34"/>
      <c r="CH2154" s="34"/>
      <c r="CI2154" s="8"/>
    </row>
    <row r="2155" spans="1:87" x14ac:dyDescent="0.2">
      <c r="A2155" s="8" t="str">
        <f>IF(AND(COUNTIF(W$3:W$13,A$29)&gt;0,A$29&lt;&gt;B2070),A$29,IFERROR(IF(MATCH(A$29,Z$3:Z$13,0)=4,A$29," ")," "))</f>
        <v>C15</v>
      </c>
      <c r="B2155" s="8">
        <f>IF(A2155=" "," ",MAX(B2141:B2154)+1)</f>
        <v>5</v>
      </c>
      <c r="C2155" s="8"/>
      <c r="D2155" s="8"/>
      <c r="E2155" s="8"/>
      <c r="F2155" s="8"/>
      <c r="G2155" s="8"/>
      <c r="H2155" s="8"/>
      <c r="I2155" s="8"/>
      <c r="J2155" s="8"/>
      <c r="K2155" s="8"/>
      <c r="L2155" s="8"/>
      <c r="M2155" s="8"/>
      <c r="N2155" s="8"/>
      <c r="O2155" s="8"/>
      <c r="P2155" s="8"/>
      <c r="Q2155" s="8"/>
      <c r="R2155" s="8"/>
      <c r="S2155" s="8"/>
      <c r="U2155" s="34"/>
      <c r="V2155" s="34"/>
      <c r="W2155" s="34"/>
      <c r="X2155" s="34"/>
      <c r="Y2155" s="34"/>
      <c r="Z2155" s="34"/>
      <c r="AA2155" s="34"/>
      <c r="AB2155" s="34"/>
      <c r="AC2155" s="34"/>
      <c r="AD2155" s="34"/>
      <c r="AE2155" s="34"/>
      <c r="AF2155" s="34"/>
      <c r="AG2155" s="34"/>
      <c r="AH2155" s="34"/>
      <c r="AI2155" s="34"/>
      <c r="AJ2155" s="34"/>
      <c r="AK2155" s="34"/>
      <c r="AL2155" s="34"/>
      <c r="AM2155" s="34"/>
      <c r="AN2155" s="34"/>
      <c r="AO2155" s="34"/>
      <c r="AP2155" s="34"/>
      <c r="AQ2155" s="34"/>
      <c r="AR2155" s="34"/>
      <c r="AS2155" s="34"/>
      <c r="AT2155" s="34"/>
      <c r="AU2155" s="34"/>
      <c r="AV2155" s="34"/>
      <c r="AW2155" s="34"/>
      <c r="AX2155" s="34"/>
      <c r="AY2155" s="34"/>
      <c r="AZ2155" s="34"/>
      <c r="BA2155" s="34"/>
      <c r="BB2155" s="34"/>
      <c r="BC2155" s="34"/>
      <c r="BD2155" s="34"/>
      <c r="BE2155" s="34"/>
      <c r="BF2155" s="34"/>
      <c r="BG2155" s="34"/>
      <c r="BH2155" s="34"/>
      <c r="BI2155" s="34"/>
      <c r="BJ2155" s="34"/>
      <c r="BK2155" s="34"/>
      <c r="BL2155" s="34"/>
      <c r="BM2155" s="34"/>
      <c r="BN2155" s="34"/>
      <c r="BO2155" s="34"/>
      <c r="BP2155" s="34"/>
      <c r="BQ2155" s="34"/>
      <c r="BR2155" s="34"/>
      <c r="BS2155" s="34"/>
      <c r="BT2155" s="34"/>
      <c r="BU2155" s="34"/>
      <c r="BV2155" s="34"/>
      <c r="BW2155" s="34"/>
      <c r="BX2155" s="34"/>
      <c r="BY2155" s="34"/>
      <c r="BZ2155" s="34"/>
      <c r="CA2155" s="34"/>
      <c r="CB2155" s="34"/>
      <c r="CC2155" s="34"/>
      <c r="CD2155" s="34"/>
      <c r="CE2155" s="34"/>
      <c r="CF2155" s="34"/>
      <c r="CG2155" s="34"/>
      <c r="CH2155" s="34"/>
      <c r="CI2155" s="8"/>
    </row>
    <row r="2156" spans="1:87" x14ac:dyDescent="0.2">
      <c r="A2156" s="8" t="str">
        <f>IF(AND(COUNTIF(W$3:W$13,A$30)&gt;0,A$30&lt;&gt;B2070),A$30,IFERROR(IF(MATCH(A$30,Z$3:Z$13,0)=4,A$30," ")," "))</f>
        <v>C16</v>
      </c>
      <c r="B2156" s="8">
        <f>IF(A2156=" "," ",MAX(B2141:B2155)+1)</f>
        <v>6</v>
      </c>
      <c r="C2156" s="8"/>
      <c r="D2156" s="8"/>
      <c r="E2156" s="8"/>
      <c r="F2156" s="8"/>
      <c r="G2156" s="8"/>
      <c r="H2156" s="8"/>
      <c r="I2156" s="8"/>
      <c r="J2156" s="8"/>
      <c r="K2156" s="8"/>
      <c r="L2156" s="8"/>
      <c r="M2156" s="8"/>
      <c r="N2156" s="8"/>
      <c r="O2156" s="8"/>
      <c r="P2156" s="8"/>
      <c r="Q2156" s="8"/>
      <c r="R2156" s="8"/>
      <c r="S2156" s="8"/>
      <c r="U2156" s="34"/>
      <c r="V2156" s="34"/>
      <c r="W2156" s="34"/>
      <c r="X2156" s="34"/>
      <c r="Y2156" s="34"/>
      <c r="Z2156" s="34"/>
      <c r="AA2156" s="34"/>
      <c r="AB2156" s="34"/>
      <c r="AC2156" s="34"/>
      <c r="AD2156" s="34"/>
      <c r="AE2156" s="34"/>
      <c r="AF2156" s="34"/>
      <c r="AG2156" s="34"/>
      <c r="AH2156" s="34"/>
      <c r="AI2156" s="34"/>
      <c r="AJ2156" s="34"/>
      <c r="AK2156" s="34"/>
      <c r="AL2156" s="34"/>
      <c r="AM2156" s="34"/>
      <c r="AN2156" s="34"/>
      <c r="AO2156" s="34"/>
      <c r="AP2156" s="34"/>
      <c r="AQ2156" s="34"/>
      <c r="AR2156" s="34"/>
      <c r="AS2156" s="34"/>
      <c r="AT2156" s="34"/>
      <c r="AU2156" s="34"/>
      <c r="AV2156" s="34"/>
      <c r="AW2156" s="34"/>
      <c r="AX2156" s="34"/>
      <c r="AY2156" s="34"/>
      <c r="AZ2156" s="34"/>
      <c r="BA2156" s="34"/>
      <c r="BB2156" s="34"/>
      <c r="BC2156" s="34"/>
      <c r="BD2156" s="34"/>
      <c r="BE2156" s="34"/>
      <c r="BF2156" s="34"/>
      <c r="BG2156" s="34"/>
      <c r="BH2156" s="34"/>
      <c r="BI2156" s="34"/>
      <c r="BJ2156" s="34"/>
      <c r="BK2156" s="34"/>
      <c r="BL2156" s="34"/>
      <c r="BM2156" s="34"/>
      <c r="BN2156" s="34"/>
      <c r="BO2156" s="34"/>
      <c r="BP2156" s="34"/>
      <c r="BQ2156" s="34"/>
      <c r="BR2156" s="34"/>
      <c r="BS2156" s="34"/>
      <c r="BT2156" s="34"/>
      <c r="BU2156" s="34"/>
      <c r="BV2156" s="34"/>
      <c r="BW2156" s="34"/>
      <c r="BX2156" s="34"/>
      <c r="BY2156" s="34"/>
      <c r="BZ2156" s="34"/>
      <c r="CA2156" s="34"/>
      <c r="CB2156" s="34"/>
      <c r="CC2156" s="34"/>
      <c r="CD2156" s="34"/>
      <c r="CE2156" s="34"/>
      <c r="CF2156" s="34"/>
      <c r="CG2156" s="34"/>
      <c r="CH2156" s="34"/>
      <c r="CI2156" s="8"/>
    </row>
    <row r="2157" spans="1:87" x14ac:dyDescent="0.2">
      <c r="A2157" s="8" t="str">
        <f>IF(AND(COUNTIF(W$3:W$13,A$31)&gt;0,A$31&lt;&gt;B2070),A$31,IFERROR(IF(MATCH(A$31,Z$3:Z$13,0)=4,A$31," ")," "))</f>
        <v>C17</v>
      </c>
      <c r="B2157" s="8">
        <f>IF(A2157=" "," ",MAX(B2141:B2156)+1)</f>
        <v>7</v>
      </c>
      <c r="C2157" s="8"/>
      <c r="D2157" s="8"/>
      <c r="E2157" s="8"/>
      <c r="F2157" s="8"/>
      <c r="G2157" s="8"/>
      <c r="H2157" s="8"/>
      <c r="I2157" s="8"/>
      <c r="J2157" s="8"/>
      <c r="K2157" s="8"/>
      <c r="L2157" s="8"/>
      <c r="M2157" s="8"/>
      <c r="N2157" s="8"/>
      <c r="O2157" s="8"/>
      <c r="P2157" s="8"/>
      <c r="Q2157" s="8"/>
      <c r="R2157" s="8"/>
      <c r="S2157" s="8"/>
      <c r="U2157" s="34"/>
      <c r="V2157" s="34"/>
      <c r="W2157" s="34"/>
      <c r="X2157" s="34"/>
      <c r="Y2157" s="34"/>
      <c r="Z2157" s="34"/>
      <c r="AA2157" s="34"/>
      <c r="AB2157" s="34"/>
      <c r="AC2157" s="34"/>
      <c r="AD2157" s="34"/>
      <c r="AE2157" s="34"/>
      <c r="AF2157" s="34"/>
      <c r="AG2157" s="34"/>
      <c r="AH2157" s="34"/>
      <c r="AI2157" s="34"/>
      <c r="AJ2157" s="34"/>
      <c r="AK2157" s="34"/>
      <c r="AL2157" s="34"/>
      <c r="AM2157" s="34"/>
      <c r="AN2157" s="34"/>
      <c r="AO2157" s="34"/>
      <c r="AP2157" s="34"/>
      <c r="AQ2157" s="34"/>
      <c r="AR2157" s="34"/>
      <c r="AS2157" s="34"/>
      <c r="AT2157" s="34"/>
      <c r="AU2157" s="34"/>
      <c r="AV2157" s="34"/>
      <c r="AW2157" s="34"/>
      <c r="AX2157" s="34"/>
      <c r="AY2157" s="34"/>
      <c r="AZ2157" s="34"/>
      <c r="BA2157" s="34"/>
      <c r="BB2157" s="34"/>
      <c r="BC2157" s="34"/>
      <c r="BD2157" s="34"/>
      <c r="BE2157" s="34"/>
      <c r="BF2157" s="34"/>
      <c r="BG2157" s="34"/>
      <c r="BH2157" s="34"/>
      <c r="BI2157" s="34"/>
      <c r="BJ2157" s="34"/>
      <c r="BK2157" s="34"/>
      <c r="BL2157" s="34"/>
      <c r="BM2157" s="34"/>
      <c r="BN2157" s="34"/>
      <c r="BO2157" s="34"/>
      <c r="BP2157" s="34"/>
      <c r="BQ2157" s="34"/>
      <c r="BR2157" s="34"/>
      <c r="BS2157" s="34"/>
      <c r="BT2157" s="34"/>
      <c r="BU2157" s="34"/>
      <c r="BV2157" s="34"/>
      <c r="BW2157" s="34"/>
      <c r="BX2157" s="34"/>
      <c r="BY2157" s="34"/>
      <c r="BZ2157" s="34"/>
      <c r="CA2157" s="34"/>
      <c r="CB2157" s="34"/>
      <c r="CC2157" s="34"/>
      <c r="CD2157" s="34"/>
      <c r="CE2157" s="34"/>
      <c r="CF2157" s="34"/>
      <c r="CG2157" s="34"/>
      <c r="CH2157" s="34"/>
      <c r="CI2157" s="8"/>
    </row>
    <row r="2158" spans="1:87" x14ac:dyDescent="0.2">
      <c r="A2158" s="8" t="str">
        <f>IF(AND(COUNTIF(W$3:W$13,A$32)&gt;0,A$32&lt;&gt;B2070),A$32,IFERROR(IF(MATCH(A$32,Z$3:Z$13,0)=4,A$32," ")," "))</f>
        <v>C18</v>
      </c>
      <c r="B2158" s="8">
        <f>IF(A2158=" "," ",MAX(B2141:B2157)+1)</f>
        <v>8</v>
      </c>
      <c r="C2158" s="8"/>
      <c r="D2158" s="8"/>
      <c r="E2158" s="8"/>
      <c r="F2158" s="8"/>
      <c r="G2158" s="8"/>
      <c r="H2158" s="8"/>
      <c r="I2158" s="8"/>
      <c r="J2158" s="8"/>
      <c r="K2158" s="8"/>
      <c r="L2158" s="8"/>
      <c r="M2158" s="8"/>
      <c r="N2158" s="8"/>
      <c r="O2158" s="8"/>
      <c r="P2158" s="8"/>
      <c r="Q2158" s="8"/>
      <c r="R2158" s="8"/>
      <c r="S2158" s="8"/>
      <c r="U2158" s="34"/>
      <c r="V2158" s="34"/>
      <c r="W2158" s="34"/>
      <c r="X2158" s="34"/>
      <c r="Y2158" s="34"/>
      <c r="Z2158" s="34"/>
      <c r="AA2158" s="34"/>
      <c r="AB2158" s="34"/>
      <c r="AC2158" s="34"/>
      <c r="AD2158" s="34"/>
      <c r="AE2158" s="34"/>
      <c r="AF2158" s="34"/>
      <c r="AG2158" s="34"/>
      <c r="AH2158" s="34"/>
      <c r="AI2158" s="34"/>
      <c r="AJ2158" s="34"/>
      <c r="AK2158" s="34"/>
      <c r="AL2158" s="34"/>
      <c r="AM2158" s="34"/>
      <c r="AN2158" s="34"/>
      <c r="AO2158" s="34"/>
      <c r="AP2158" s="34"/>
      <c r="AQ2158" s="34"/>
      <c r="AR2158" s="34"/>
      <c r="AS2158" s="34"/>
      <c r="AT2158" s="34"/>
      <c r="AU2158" s="34"/>
      <c r="AV2158" s="34"/>
      <c r="AW2158" s="34"/>
      <c r="AX2158" s="34"/>
      <c r="AY2158" s="34"/>
      <c r="AZ2158" s="34"/>
      <c r="BA2158" s="34"/>
      <c r="BB2158" s="34"/>
      <c r="BC2158" s="34"/>
      <c r="BD2158" s="34"/>
      <c r="BE2158" s="34"/>
      <c r="BF2158" s="34"/>
      <c r="BG2158" s="34"/>
      <c r="BH2158" s="34"/>
      <c r="BI2158" s="34"/>
      <c r="BJ2158" s="34"/>
      <c r="BK2158" s="34"/>
      <c r="BL2158" s="34"/>
      <c r="BM2158" s="34"/>
      <c r="BN2158" s="34"/>
      <c r="BO2158" s="34"/>
      <c r="BP2158" s="34"/>
      <c r="BQ2158" s="34"/>
      <c r="BR2158" s="34"/>
      <c r="BS2158" s="34"/>
      <c r="BT2158" s="34"/>
      <c r="BU2158" s="34"/>
      <c r="BV2158" s="34"/>
      <c r="BW2158" s="34"/>
      <c r="BX2158" s="34"/>
      <c r="BY2158" s="34"/>
      <c r="BZ2158" s="34"/>
      <c r="CA2158" s="34"/>
      <c r="CB2158" s="34"/>
      <c r="CC2158" s="34"/>
      <c r="CD2158" s="34"/>
      <c r="CE2158" s="34"/>
      <c r="CF2158" s="34"/>
      <c r="CG2158" s="34"/>
      <c r="CH2158" s="34"/>
      <c r="CI2158" s="8"/>
    </row>
    <row r="2159" spans="1:87" x14ac:dyDescent="0.2">
      <c r="A2159" s="8" t="str">
        <f>IF(AND(COUNTIF(W$3:W$13,A$33)&gt;0,A$33&lt;&gt;B2070),A$33,IFERROR(IF(MATCH(A$33,Z$3:Z$13,0)=4,A$33," ")," "))</f>
        <v>C19</v>
      </c>
      <c r="B2159" s="8">
        <f>IF(A2159=" "," ",MAX(B2141:B2158)+1)</f>
        <v>9</v>
      </c>
      <c r="C2159" s="8"/>
      <c r="D2159" s="8"/>
      <c r="E2159" s="8"/>
      <c r="F2159" s="8"/>
      <c r="G2159" s="8"/>
      <c r="H2159" s="8"/>
      <c r="I2159" s="8"/>
      <c r="J2159" s="8"/>
      <c r="K2159" s="8"/>
      <c r="L2159" s="8"/>
      <c r="M2159" s="8"/>
      <c r="N2159" s="8"/>
      <c r="O2159" s="8"/>
      <c r="P2159" s="8"/>
      <c r="Q2159" s="8"/>
      <c r="R2159" s="8"/>
      <c r="S2159" s="8"/>
      <c r="U2159" s="34"/>
      <c r="V2159" s="34"/>
      <c r="W2159" s="34"/>
      <c r="X2159" s="34"/>
      <c r="Y2159" s="34"/>
      <c r="Z2159" s="34"/>
      <c r="AA2159" s="34"/>
      <c r="AB2159" s="34"/>
      <c r="AC2159" s="34"/>
      <c r="AD2159" s="34"/>
      <c r="AE2159" s="34"/>
      <c r="AF2159" s="34"/>
      <c r="AG2159" s="34"/>
      <c r="AH2159" s="34"/>
      <c r="AI2159" s="34"/>
      <c r="AJ2159" s="34"/>
      <c r="AK2159" s="34"/>
      <c r="AL2159" s="34"/>
      <c r="AM2159" s="34"/>
      <c r="AN2159" s="34"/>
      <c r="AO2159" s="34"/>
      <c r="AP2159" s="34"/>
      <c r="AQ2159" s="34"/>
      <c r="AR2159" s="34"/>
      <c r="AS2159" s="34"/>
      <c r="AT2159" s="34"/>
      <c r="AU2159" s="34"/>
      <c r="AV2159" s="34"/>
      <c r="AW2159" s="34"/>
      <c r="AX2159" s="34"/>
      <c r="AY2159" s="34"/>
      <c r="AZ2159" s="34"/>
      <c r="BA2159" s="34"/>
      <c r="BB2159" s="34"/>
      <c r="BC2159" s="34"/>
      <c r="BD2159" s="34"/>
      <c r="BE2159" s="34"/>
      <c r="BF2159" s="34"/>
      <c r="BG2159" s="34"/>
      <c r="BH2159" s="34"/>
      <c r="BI2159" s="34"/>
      <c r="BJ2159" s="34"/>
      <c r="BK2159" s="34"/>
      <c r="BL2159" s="34"/>
      <c r="BM2159" s="34"/>
      <c r="BN2159" s="34"/>
      <c r="BO2159" s="34"/>
      <c r="BP2159" s="34"/>
      <c r="BQ2159" s="34"/>
      <c r="BR2159" s="34"/>
      <c r="BS2159" s="34"/>
      <c r="BT2159" s="34"/>
      <c r="BU2159" s="34"/>
      <c r="BV2159" s="34"/>
      <c r="BW2159" s="34"/>
      <c r="BX2159" s="34"/>
      <c r="BY2159" s="34"/>
      <c r="BZ2159" s="34"/>
      <c r="CA2159" s="34"/>
      <c r="CB2159" s="34"/>
      <c r="CC2159" s="34"/>
      <c r="CD2159" s="34"/>
      <c r="CE2159" s="34"/>
      <c r="CF2159" s="34"/>
      <c r="CG2159" s="34"/>
      <c r="CH2159" s="34"/>
      <c r="CI2159" s="8"/>
    </row>
    <row r="2160" spans="1:87" x14ac:dyDescent="0.2">
      <c r="A2160" s="8" t="str">
        <f>IF(AND(COUNTIF(W$3:W$13,A$34)&gt;0,A$34&lt;&gt;B2070),A$34,IFERROR(IF(MATCH(A$34,Z$3:Z$13,0)=4,A$34," ")," "))</f>
        <v xml:space="preserve"> </v>
      </c>
      <c r="B2160" s="8" t="str">
        <f>IF(A2160=" "," ",MAX(B2141:B2159)+1)</f>
        <v xml:space="preserve"> </v>
      </c>
      <c r="C2160" s="8"/>
      <c r="D2160" s="8"/>
      <c r="E2160" s="8"/>
      <c r="F2160" s="8"/>
      <c r="G2160" s="8"/>
      <c r="H2160" s="8"/>
      <c r="I2160" s="8"/>
      <c r="J2160" s="8"/>
      <c r="K2160" s="8"/>
      <c r="L2160" s="8"/>
      <c r="M2160" s="8"/>
      <c r="N2160" s="8"/>
      <c r="O2160" s="8"/>
      <c r="P2160" s="8"/>
      <c r="Q2160" s="8"/>
      <c r="R2160" s="8"/>
      <c r="S2160" s="8"/>
      <c r="U2160" s="34"/>
      <c r="V2160" s="34"/>
      <c r="W2160" s="34"/>
      <c r="X2160" s="34"/>
      <c r="Y2160" s="34"/>
      <c r="Z2160" s="34"/>
      <c r="AA2160" s="34"/>
      <c r="AB2160" s="34"/>
      <c r="AC2160" s="34"/>
      <c r="AD2160" s="34"/>
      <c r="AE2160" s="34"/>
      <c r="AF2160" s="34"/>
      <c r="AG2160" s="34"/>
      <c r="AH2160" s="34"/>
      <c r="AI2160" s="34"/>
      <c r="AJ2160" s="34"/>
      <c r="AK2160" s="34"/>
      <c r="AL2160" s="34"/>
      <c r="AM2160" s="34"/>
      <c r="AN2160" s="34"/>
      <c r="AO2160" s="34"/>
      <c r="AP2160" s="34"/>
      <c r="AQ2160" s="34"/>
      <c r="AR2160" s="34"/>
      <c r="AS2160" s="34"/>
      <c r="AT2160" s="34"/>
      <c r="AU2160" s="34"/>
      <c r="AV2160" s="34"/>
      <c r="AW2160" s="34"/>
      <c r="AX2160" s="34"/>
      <c r="AY2160" s="34"/>
      <c r="AZ2160" s="34"/>
      <c r="BA2160" s="34"/>
      <c r="BB2160" s="34"/>
      <c r="BC2160" s="34"/>
      <c r="BD2160" s="34"/>
      <c r="BE2160" s="34"/>
      <c r="BF2160" s="34"/>
      <c r="BG2160" s="34"/>
      <c r="BH2160" s="34"/>
      <c r="BI2160" s="34"/>
      <c r="BJ2160" s="34"/>
      <c r="BK2160" s="34"/>
      <c r="BL2160" s="34"/>
      <c r="BM2160" s="34"/>
      <c r="BN2160" s="34"/>
      <c r="BO2160" s="34"/>
      <c r="BP2160" s="34"/>
      <c r="BQ2160" s="34"/>
      <c r="BR2160" s="34"/>
      <c r="BS2160" s="34"/>
      <c r="BT2160" s="34"/>
      <c r="BU2160" s="34"/>
      <c r="BV2160" s="34"/>
      <c r="BW2160" s="34"/>
      <c r="BX2160" s="34"/>
      <c r="BY2160" s="34"/>
      <c r="BZ2160" s="34"/>
      <c r="CA2160" s="34"/>
      <c r="CB2160" s="34"/>
      <c r="CC2160" s="34"/>
      <c r="CD2160" s="34"/>
      <c r="CE2160" s="34"/>
      <c r="CF2160" s="34"/>
      <c r="CG2160" s="34"/>
      <c r="CH2160" s="34"/>
      <c r="CI2160" s="8"/>
    </row>
    <row r="2161" spans="1:87" x14ac:dyDescent="0.2">
      <c r="A2161" s="8" t="str">
        <f>IF(AND(COUNTIF(W$3:W$13,A$35)&gt;0,A$35&lt;&gt;B2070),A$35,IFERROR(IF(MATCH(A$35,Z$3:Z$13,0)=4,A$35," ")," "))</f>
        <v>C21</v>
      </c>
      <c r="B2161" s="8">
        <f>IF(A2161=" "," ",MAX(B2141:B2160)+1)</f>
        <v>10</v>
      </c>
      <c r="C2161" s="8"/>
      <c r="D2161" s="8"/>
      <c r="E2161" s="8"/>
      <c r="F2161" s="8"/>
      <c r="G2161" s="8"/>
      <c r="H2161" s="8"/>
      <c r="I2161" s="8"/>
      <c r="J2161" s="8"/>
      <c r="K2161" s="8"/>
      <c r="L2161" s="8"/>
      <c r="M2161" s="8"/>
      <c r="N2161" s="8"/>
      <c r="O2161" s="8"/>
      <c r="P2161" s="8"/>
      <c r="Q2161" s="8"/>
      <c r="R2161" s="8"/>
      <c r="S2161" s="8"/>
      <c r="U2161" s="34"/>
      <c r="V2161" s="34"/>
      <c r="W2161" s="34"/>
      <c r="X2161" s="34"/>
      <c r="Y2161" s="34"/>
      <c r="Z2161" s="34"/>
      <c r="AA2161" s="34"/>
      <c r="AB2161" s="34"/>
      <c r="AC2161" s="34"/>
      <c r="AD2161" s="34"/>
      <c r="AE2161" s="34"/>
      <c r="AF2161" s="34"/>
      <c r="AG2161" s="34"/>
      <c r="AH2161" s="34"/>
      <c r="AI2161" s="34"/>
      <c r="AJ2161" s="34"/>
      <c r="AK2161" s="34"/>
      <c r="AL2161" s="34"/>
      <c r="AM2161" s="34"/>
      <c r="AN2161" s="34"/>
      <c r="AO2161" s="34"/>
      <c r="AP2161" s="34"/>
      <c r="AQ2161" s="34"/>
      <c r="AR2161" s="34"/>
      <c r="AS2161" s="34"/>
      <c r="AT2161" s="34"/>
      <c r="AU2161" s="34"/>
      <c r="AV2161" s="34"/>
      <c r="AW2161" s="34"/>
      <c r="AX2161" s="34"/>
      <c r="AY2161" s="34"/>
      <c r="AZ2161" s="34"/>
      <c r="BA2161" s="34"/>
      <c r="BB2161" s="34"/>
      <c r="BC2161" s="34"/>
      <c r="BD2161" s="34"/>
      <c r="BE2161" s="34"/>
      <c r="BF2161" s="34"/>
      <c r="BG2161" s="34"/>
      <c r="BH2161" s="34"/>
      <c r="BI2161" s="34"/>
      <c r="BJ2161" s="34"/>
      <c r="BK2161" s="34"/>
      <c r="BL2161" s="34"/>
      <c r="BM2161" s="34"/>
      <c r="BN2161" s="34"/>
      <c r="BO2161" s="34"/>
      <c r="BP2161" s="34"/>
      <c r="BQ2161" s="34"/>
      <c r="BR2161" s="34"/>
      <c r="BS2161" s="34"/>
      <c r="BT2161" s="34"/>
      <c r="BU2161" s="34"/>
      <c r="BV2161" s="34"/>
      <c r="BW2161" s="34"/>
      <c r="BX2161" s="34"/>
      <c r="BY2161" s="34"/>
      <c r="BZ2161" s="34"/>
      <c r="CA2161" s="34"/>
      <c r="CB2161" s="34"/>
      <c r="CC2161" s="34"/>
      <c r="CD2161" s="34"/>
      <c r="CE2161" s="34"/>
      <c r="CF2161" s="34"/>
      <c r="CG2161" s="34"/>
      <c r="CH2161" s="34"/>
      <c r="CI2161" s="8"/>
    </row>
    <row r="2162" spans="1:87" x14ac:dyDescent="0.2">
      <c r="A2162" s="8" t="str">
        <f>IF(AND(COUNTIF(W$3:W$13,A$36)&gt;0,A$36&lt;&gt;B2070),A$36,IFERROR(IF(MATCH(A$36,Z$3:Z$13,0)=4,A$36," ")," "))</f>
        <v>C22</v>
      </c>
      <c r="B2162" s="8">
        <f>IF(A2162=" "," ",MAX(B2141:B2161)+1)</f>
        <v>11</v>
      </c>
      <c r="C2162" s="8"/>
      <c r="D2162" s="8"/>
      <c r="E2162" s="8"/>
      <c r="F2162" s="8"/>
      <c r="G2162" s="8"/>
      <c r="H2162" s="8"/>
      <c r="I2162" s="8"/>
      <c r="J2162" s="8"/>
      <c r="K2162" s="8"/>
      <c r="L2162" s="8"/>
      <c r="M2162" s="8"/>
      <c r="N2162" s="8"/>
      <c r="O2162" s="8"/>
      <c r="P2162" s="8"/>
      <c r="Q2162" s="8"/>
      <c r="R2162" s="8"/>
      <c r="S2162" s="8"/>
      <c r="U2162" s="34"/>
      <c r="V2162" s="34"/>
      <c r="W2162" s="34"/>
      <c r="X2162" s="34"/>
      <c r="Y2162" s="34"/>
      <c r="Z2162" s="34"/>
      <c r="AA2162" s="34"/>
      <c r="AB2162" s="34"/>
      <c r="AC2162" s="34"/>
      <c r="AD2162" s="34"/>
      <c r="AE2162" s="34"/>
      <c r="AF2162" s="34"/>
      <c r="AG2162" s="34"/>
      <c r="AH2162" s="34"/>
      <c r="AI2162" s="34"/>
      <c r="AJ2162" s="34"/>
      <c r="AK2162" s="34"/>
      <c r="AL2162" s="34"/>
      <c r="AM2162" s="34"/>
      <c r="AN2162" s="34"/>
      <c r="AO2162" s="34"/>
      <c r="AP2162" s="34"/>
      <c r="AQ2162" s="34"/>
      <c r="AR2162" s="34"/>
      <c r="AS2162" s="34"/>
      <c r="AT2162" s="34"/>
      <c r="AU2162" s="34"/>
      <c r="AV2162" s="34"/>
      <c r="AW2162" s="34"/>
      <c r="AX2162" s="34"/>
      <c r="AY2162" s="34"/>
      <c r="AZ2162" s="34"/>
      <c r="BA2162" s="34"/>
      <c r="BB2162" s="34"/>
      <c r="BC2162" s="34"/>
      <c r="BD2162" s="34"/>
      <c r="BE2162" s="34"/>
      <c r="BF2162" s="34"/>
      <c r="BG2162" s="34"/>
      <c r="BH2162" s="34"/>
      <c r="BI2162" s="34"/>
      <c r="BJ2162" s="34"/>
      <c r="BK2162" s="34"/>
      <c r="BL2162" s="34"/>
      <c r="BM2162" s="34"/>
      <c r="BN2162" s="34"/>
      <c r="BO2162" s="34"/>
      <c r="BP2162" s="34"/>
      <c r="BQ2162" s="34"/>
      <c r="BR2162" s="34"/>
      <c r="BS2162" s="34"/>
      <c r="BT2162" s="34"/>
      <c r="BU2162" s="34"/>
      <c r="BV2162" s="34"/>
      <c r="BW2162" s="34"/>
      <c r="BX2162" s="34"/>
      <c r="BY2162" s="34"/>
      <c r="BZ2162" s="34"/>
      <c r="CA2162" s="34"/>
      <c r="CB2162" s="34"/>
      <c r="CC2162" s="34"/>
      <c r="CD2162" s="34"/>
      <c r="CE2162" s="34"/>
      <c r="CF2162" s="34"/>
      <c r="CG2162" s="34"/>
      <c r="CH2162" s="34"/>
      <c r="CI2162" s="8"/>
    </row>
    <row r="2163" spans="1:87" x14ac:dyDescent="0.2">
      <c r="A2163" s="11" t="s">
        <v>17</v>
      </c>
      <c r="B2163" s="11"/>
      <c r="C2163" s="27" t="s">
        <v>18</v>
      </c>
      <c r="D2163" s="27" t="s">
        <v>2</v>
      </c>
      <c r="E2163" s="27" t="s">
        <v>6</v>
      </c>
      <c r="F2163" s="27" t="s">
        <v>15</v>
      </c>
      <c r="G2163" s="27" t="s">
        <v>36</v>
      </c>
      <c r="H2163" s="27" t="s">
        <v>37</v>
      </c>
      <c r="I2163" s="27" t="s">
        <v>38</v>
      </c>
      <c r="J2163" s="27" t="s">
        <v>39</v>
      </c>
      <c r="K2163" s="27" t="s">
        <v>40</v>
      </c>
      <c r="L2163" s="27" t="s">
        <v>41</v>
      </c>
      <c r="M2163" s="27" t="s">
        <v>42</v>
      </c>
      <c r="N2163" s="27" t="s">
        <v>43</v>
      </c>
      <c r="O2163" s="27" t="s">
        <v>9</v>
      </c>
      <c r="P2163" s="27" t="s">
        <v>12</v>
      </c>
      <c r="Q2163" s="27" t="s">
        <v>19</v>
      </c>
      <c r="R2163" s="27" t="s">
        <v>55</v>
      </c>
      <c r="S2163" s="27" t="s">
        <v>26</v>
      </c>
      <c r="T2163" s="19" t="s">
        <v>25</v>
      </c>
      <c r="U2163" s="33" t="s">
        <v>27</v>
      </c>
      <c r="V2163" s="33" t="s">
        <v>9</v>
      </c>
      <c r="W2163" s="33" t="s">
        <v>23</v>
      </c>
      <c r="X2163" s="33" t="s">
        <v>12</v>
      </c>
      <c r="Y2163" s="33" t="s">
        <v>26</v>
      </c>
      <c r="Z2163" s="33" t="s">
        <v>25</v>
      </c>
      <c r="AA2163" s="33" t="s">
        <v>27</v>
      </c>
      <c r="AB2163" s="33" t="s">
        <v>9</v>
      </c>
      <c r="AC2163" s="33" t="s">
        <v>23</v>
      </c>
      <c r="AD2163" s="33" t="s">
        <v>12</v>
      </c>
      <c r="AE2163" s="33" t="s">
        <v>26</v>
      </c>
      <c r="AF2163" s="33" t="s">
        <v>25</v>
      </c>
      <c r="AG2163" s="33" t="s">
        <v>27</v>
      </c>
      <c r="AH2163" s="33" t="s">
        <v>9</v>
      </c>
      <c r="AI2163" s="33" t="s">
        <v>23</v>
      </c>
      <c r="AJ2163" s="33" t="s">
        <v>12</v>
      </c>
      <c r="AK2163" s="33" t="s">
        <v>26</v>
      </c>
      <c r="AL2163" s="33" t="s">
        <v>25</v>
      </c>
      <c r="AM2163" s="33" t="s">
        <v>27</v>
      </c>
      <c r="AN2163" s="33" t="s">
        <v>9</v>
      </c>
      <c r="AO2163" s="33" t="s">
        <v>23</v>
      </c>
      <c r="AP2163" s="33" t="s">
        <v>12</v>
      </c>
      <c r="AQ2163" s="33" t="s">
        <v>26</v>
      </c>
      <c r="AR2163" s="33" t="s">
        <v>25</v>
      </c>
      <c r="AS2163" s="33" t="s">
        <v>27</v>
      </c>
      <c r="AT2163" s="33" t="s">
        <v>9</v>
      </c>
      <c r="AU2163" s="33" t="s">
        <v>23</v>
      </c>
      <c r="AV2163" s="33" t="s">
        <v>12</v>
      </c>
      <c r="AW2163" s="33" t="s">
        <v>26</v>
      </c>
      <c r="AX2163" s="33" t="s">
        <v>25</v>
      </c>
      <c r="AY2163" s="33" t="s">
        <v>27</v>
      </c>
      <c r="AZ2163" s="33" t="s">
        <v>9</v>
      </c>
      <c r="BA2163" s="33" t="s">
        <v>23</v>
      </c>
      <c r="BB2163" s="33" t="s">
        <v>12</v>
      </c>
      <c r="BC2163" s="33" t="s">
        <v>26</v>
      </c>
      <c r="BD2163" s="33" t="s">
        <v>25</v>
      </c>
      <c r="BE2163" s="33" t="s">
        <v>27</v>
      </c>
      <c r="BF2163" s="33" t="s">
        <v>9</v>
      </c>
      <c r="BG2163" s="33" t="s">
        <v>23</v>
      </c>
      <c r="BH2163" s="33" t="s">
        <v>12</v>
      </c>
      <c r="BI2163" s="33" t="s">
        <v>26</v>
      </c>
      <c r="BJ2163" s="33" t="s">
        <v>25</v>
      </c>
      <c r="BK2163" s="33" t="s">
        <v>27</v>
      </c>
      <c r="BL2163" s="33" t="s">
        <v>9</v>
      </c>
      <c r="BM2163" s="33" t="s">
        <v>23</v>
      </c>
      <c r="BN2163" s="33" t="s">
        <v>12</v>
      </c>
      <c r="BO2163" s="33" t="s">
        <v>26</v>
      </c>
      <c r="BP2163" s="33" t="s">
        <v>25</v>
      </c>
      <c r="BQ2163" s="33" t="s">
        <v>27</v>
      </c>
      <c r="BR2163" s="33" t="s">
        <v>9</v>
      </c>
      <c r="BS2163" s="33" t="s">
        <v>23</v>
      </c>
      <c r="BT2163" s="33" t="s">
        <v>12</v>
      </c>
      <c r="BU2163" s="33" t="s">
        <v>26</v>
      </c>
      <c r="BV2163" s="33" t="s">
        <v>25</v>
      </c>
      <c r="BW2163" s="33" t="s">
        <v>27</v>
      </c>
      <c r="BX2163" s="33" t="s">
        <v>9</v>
      </c>
      <c r="BY2163" s="33" t="s">
        <v>23</v>
      </c>
      <c r="BZ2163" s="33" t="s">
        <v>12</v>
      </c>
      <c r="CA2163" s="33" t="s">
        <v>26</v>
      </c>
      <c r="CB2163" s="33" t="s">
        <v>25</v>
      </c>
      <c r="CC2163" s="33" t="s">
        <v>27</v>
      </c>
      <c r="CD2163" s="33" t="s">
        <v>9</v>
      </c>
      <c r="CE2163" s="33" t="s">
        <v>23</v>
      </c>
      <c r="CF2163" s="33" t="s">
        <v>12</v>
      </c>
      <c r="CG2163" s="33" t="s">
        <v>26</v>
      </c>
      <c r="CH2163" s="33" t="s">
        <v>25</v>
      </c>
      <c r="CI2163" s="8"/>
    </row>
    <row r="2164" spans="1:87" x14ac:dyDescent="0.2">
      <c r="A2164" s="8" t="str">
        <f>IF(AND(COUNTIF(W$3:W$13,A$15)&gt;0,A$15&lt;&gt;B2070),A$15,IFERROR(IF(MATCH(A$15,Z$3:Z$13,0)=5,A$15," ")," "))</f>
        <v xml:space="preserve"> </v>
      </c>
      <c r="B2164" s="8" t="str">
        <f>IF(A2164=" "," ",1)</f>
        <v xml:space="preserve"> </v>
      </c>
      <c r="C2164" s="8" t="str">
        <f>IFERROR(INDEX(A2164:A2185,MATCH(SMALL(B2164:B2185,1),B2164:B2185,0),1)," ")</f>
        <v>C3</v>
      </c>
      <c r="D2164" s="8">
        <f>IFERROR(VLOOKUP($C2164,$A$15:$O$36,2,FALSE)," ")</f>
        <v>2</v>
      </c>
      <c r="E2164" s="8">
        <f>IFERROR(VLOOKUP($C2164,$A$15:$O$36,3,FALSE)," ")</f>
        <v>5</v>
      </c>
      <c r="F2164" s="8">
        <f>IFERROR(VLOOKUP($C2164,$A$15:$O$36,4,FALSE)," ")</f>
        <v>6</v>
      </c>
      <c r="G2164" s="8">
        <f>IFERROR(VLOOKUP($C2164,$A$15:$O$36,5,FALSE)," ")</f>
        <v>0</v>
      </c>
      <c r="H2164" s="8">
        <f>IFERROR(VLOOKUP($C2164,$A$15:$O$36,6,FALSE)," ")</f>
        <v>0</v>
      </c>
      <c r="I2164" s="8">
        <f>IFERROR(VLOOKUP($C2164,$A$15:$O$36,7,FALSE)," ")</f>
        <v>0</v>
      </c>
      <c r="J2164" s="8">
        <f>IFERROR(VLOOKUP($C2164,$A$15:$O$36,8,FALSE)," ")</f>
        <v>0</v>
      </c>
      <c r="K2164" s="8">
        <f>IFERROR(VLOOKUP($C2164,$A$15:$O$36,9,FALSE)," ")</f>
        <v>0</v>
      </c>
      <c r="L2164" s="8">
        <f>IFERROR(VLOOKUP($C2164,$A$15:$O$36,10,FALSE)," ")</f>
        <v>0</v>
      </c>
      <c r="M2164" s="8">
        <f>IFERROR(VLOOKUP($C2164,$A$15:$O$36,11,FALSE)," ")</f>
        <v>0</v>
      </c>
      <c r="N2164" s="8">
        <f>IFERROR(VLOOKUP($C2164,$A$15:$O$36,12,FALSE)," ")</f>
        <v>0</v>
      </c>
      <c r="O2164" s="8">
        <f>IFERROR(VLOOKUP($C2164,$A$15:$O$36,15,FALSE)," ")</f>
        <v>2000</v>
      </c>
      <c r="P2164" s="8" t="e">
        <f t="array" ref="P2164:P2174">MMULT(MINVERSE(D2164:N2174),O2164:O2174)</f>
        <v>#NUM!</v>
      </c>
      <c r="Q2164" s="8" t="e">
        <f t="shared" ref="Q2164" si="9385">IF(COUNTIF(P2164:P2174,"&lt;"&amp;-0.001)=0,IF(ABS(P2164)&lt;0.001,0,P2164)," ")</f>
        <v>#NUM!</v>
      </c>
      <c r="R2164" s="8" t="str">
        <f>IFERROR(VLOOKUP(B2070,A$15:L$36,2,FALSE)*Q2164+VLOOKUP(B2070,A$15:L$36,3,FALSE)*Q2165+VLOOKUP(B2070,A$15:L$36,4,FALSE)*Q2166+VLOOKUP(B2070,A$15:L$36,5,FALSE)*Q2167+VLOOKUP(B2070,A$15:L$36,6,FALSE)*Q2168+VLOOKUP(B2070,A$15:L$36,7,FALSE)*Q2169+VLOOKUP(B2070,A$15:L$36,8,FALSE)*Q2170+VLOOKUP(B2070,A$15:L$36,9,FALSE)*Q2171+VLOOKUP(B2070,A$15:L$36,10,FALSE)*Q2172+VLOOKUP(B2070,A$15:L$36,11,FALSE)*Q2173+VLOOKUP(B2070,A$15:L$36,12,FALSE)*Q2174," ")</f>
        <v xml:space="preserve"> </v>
      </c>
      <c r="S2164" s="8" t="str">
        <f>IFERROR(IF(R2164-VLOOKUP(B2070,A$15:O$36,15,FALSE)&lt;0,R2164-VLOOKUP(B2070,A$15:O$36,15,FALSE)," ")," ")</f>
        <v xml:space="preserve"> </v>
      </c>
      <c r="T2164" s="18" t="str">
        <f>IFERROR(IF(R2164-VLOOKUP(B2070,A$15:O$36,15,FALSE)&gt;0,R2164-VLOOKUP(B2070,A$15:O$36,15,FALSE)," ")," ")</f>
        <v xml:space="preserve"> </v>
      </c>
      <c r="U2164" s="34">
        <f t="shared" ref="U2164" si="9386">$M$2</f>
        <v>100.00000000000001</v>
      </c>
      <c r="V2164" s="34">
        <v>-1</v>
      </c>
      <c r="W2164" s="34">
        <f t="shared" ref="W2164" si="9387">-SUMPRODUCT($M$3:$M$12,$N$3:$N$12)</f>
        <v>-105000</v>
      </c>
      <c r="X2164" s="34" t="e">
        <f t="shared" ref="X2164" si="9388">IF(U2164&lt;&gt;U2165,MMULT(MINVERSE(U2164:V2165),W2164:W2165)," ")</f>
        <v>#NUM!</v>
      </c>
      <c r="Y2164" s="34" t="str">
        <f t="shared" ref="Y2164" si="9389">IFERROR(IF(X2164-VLOOKUP(U$38,$A$2:$N$12,14,FALSE)&lt;0,X2164-VLOOKUP(U$38,$A$2:$N$12,14,FALSE)," ")," ")</f>
        <v xml:space="preserve"> </v>
      </c>
      <c r="Z2164" s="34" t="str">
        <f t="shared" ref="Z2164" si="9390">IFERROR(IF(X2164-VLOOKUP(U$38,$A$2:$N$12,14,FALSE)&gt;0,X2164-VLOOKUP(U$38,$A$2:$N$12,14,FALSE)," ")," ")</f>
        <v xml:space="preserve"> </v>
      </c>
      <c r="AA2164" s="34">
        <f t="shared" ref="AA2164" si="9391">$M$3</f>
        <v>0</v>
      </c>
      <c r="AB2164" s="34">
        <v>-1</v>
      </c>
      <c r="AC2164" s="34">
        <f t="shared" ref="AC2164" si="9392">-SUMPRODUCT($M$2:$M$2,$N$2:$N$2)-SUMPRODUCT($M$4:$M$12,$N$4:$N$12)</f>
        <v>-120000</v>
      </c>
      <c r="AD2164" s="34" t="e">
        <f t="shared" ref="AD2164" si="9393">IF(AA2164&lt;&gt;AA2165,MMULT(MINVERSE(AA2164:AB2165),AC2164:AC2165)," ")</f>
        <v>#NUM!</v>
      </c>
      <c r="AE2164" s="34" t="str">
        <f t="shared" ref="AE2164" si="9394">IFERROR(IF(AD2164-VLOOKUP(AA$38,$A$2:$N$12,14,FALSE)&lt;0,AD2164-VLOOKUP(AA$38,$A$2:$N$12,14,FALSE)," ")," ")</f>
        <v xml:space="preserve"> </v>
      </c>
      <c r="AF2164" s="34" t="str">
        <f t="shared" ref="AF2164" si="9395">IFERROR(IF(AD2164-VLOOKUP(AA$38,$A$2:$N$12,14,FALSE)&gt;0,AD2164-VLOOKUP(AA$38,$A$2:$N$12,14,FALSE)," ")," ")</f>
        <v xml:space="preserve"> </v>
      </c>
      <c r="AG2164" s="34">
        <f t="shared" ref="AG2164" si="9396">$M$4</f>
        <v>300</v>
      </c>
      <c r="AH2164" s="34">
        <v>-1</v>
      </c>
      <c r="AI2164" s="34">
        <f t="shared" ref="AI2164" si="9397">-SUMPRODUCT($M$2:$M$3,$N$2:$N$3)-SUMPRODUCT($M$5:$M$12,$N$5:$N$12)</f>
        <v>-15000.000000000002</v>
      </c>
      <c r="AJ2164" s="34" t="e">
        <f t="shared" ref="AJ2164" si="9398">IF(AG2164&lt;&gt;AG2165,MMULT(MINVERSE(AG2164:AH2165),AI2164:AI2165)," ")</f>
        <v>#NUM!</v>
      </c>
      <c r="AK2164" s="34" t="str">
        <f t="shared" ref="AK2164" si="9399">IFERROR(IF(AJ2164-VLOOKUP(AG$38,$A$2:$N$12,14,FALSE)&lt;0,AJ2164-VLOOKUP(AG$38,$A$2:$N$12,14,FALSE)," ")," ")</f>
        <v xml:space="preserve"> </v>
      </c>
      <c r="AL2164" s="34" t="str">
        <f t="shared" ref="AL2164" si="9400">IFERROR(IF(AJ2164-VLOOKUP(AG$38,$A$2:$N$12,14,FALSE)&gt;0,AJ2164-VLOOKUP(AG$38,$A$2:$N$12,14,FALSE)," ")," ")</f>
        <v xml:space="preserve"> </v>
      </c>
      <c r="AM2164" s="34">
        <f t="shared" ref="AM2164" si="9401">$M$5</f>
        <v>0</v>
      </c>
      <c r="AN2164" s="34">
        <v>-1</v>
      </c>
      <c r="AO2164" s="34">
        <f t="shared" ref="AO2164" si="9402">-SUMPRODUCT($M$2:$M$4,$N$2:$N$4)-SUMPRODUCT($M$6:$M$12,$N$6:$N$12)</f>
        <v>-120000</v>
      </c>
      <c r="AP2164" s="34" t="e">
        <f t="shared" ref="AP2164" si="9403">IF(AM2164&lt;&gt;AM2165,MMULT(MINVERSE(AM2164:AN2165),AO2164:AO2165)," ")</f>
        <v>#NUM!</v>
      </c>
      <c r="AQ2164" s="34" t="str">
        <f t="shared" ref="AQ2164" si="9404">IFERROR(IF(AP2164-VLOOKUP(AM$38,$A$2:$N$12,14,FALSE)&lt;0,AP2164-VLOOKUP(AM$38,$A$2:$N$12,14,FALSE)," ")," ")</f>
        <v xml:space="preserve"> </v>
      </c>
      <c r="AR2164" s="34" t="str">
        <f t="shared" ref="AR2164" si="9405">IFERROR(IF(AP2164-VLOOKUP(AM$38,$A$2:$N$12,14,FALSE)&gt;0,AP2164-VLOOKUP(AM$38,$A$2:$N$12,14,FALSE)," ")," ")</f>
        <v xml:space="preserve"> </v>
      </c>
      <c r="AS2164" s="34">
        <f t="shared" ref="AS2164" si="9406">$M$6</f>
        <v>0</v>
      </c>
      <c r="AT2164" s="34">
        <v>-1</v>
      </c>
      <c r="AU2164" s="34">
        <f t="shared" ref="AU2164" si="9407">-SUMPRODUCT($M$2:$M$5,$N$2:$N$5)-SUMPRODUCT($M$7:$M$12,$N$7:$N$12)</f>
        <v>-120000</v>
      </c>
      <c r="AV2164" s="34" t="e">
        <f t="shared" ref="AV2164" si="9408">IF(AS2164&lt;&gt;AS2165,MMULT(MINVERSE(AS2164:AT2165),AU2164:AU2165)," ")</f>
        <v>#NUM!</v>
      </c>
      <c r="AW2164" s="34" t="str">
        <f t="shared" ref="AW2164" si="9409">IFERROR(IF(AV2164-VLOOKUP(AS$38,$A$2:$N$12,14,FALSE)&lt;0,AV2164-VLOOKUP(AS$38,$A$2:$N$12,14,FALSE)," ")," ")</f>
        <v xml:space="preserve"> </v>
      </c>
      <c r="AX2164" s="34" t="str">
        <f t="shared" ref="AX2164" si="9410">IFERROR(IF(AV2164-VLOOKUP(AS$38,$A$2:$N$12,14,FALSE)&gt;0,AV2164-VLOOKUP(AS$38,$A$2:$N$12,14,FALSE)," ")," ")</f>
        <v xml:space="preserve"> </v>
      </c>
      <c r="AY2164" s="34">
        <f t="shared" ref="AY2164" si="9411">$M$7</f>
        <v>0</v>
      </c>
      <c r="AZ2164" s="34">
        <v>-1</v>
      </c>
      <c r="BA2164" s="34">
        <f t="shared" ref="BA2164" si="9412">-SUMPRODUCT($M$2:$M$6,$N$2:$N$6)-SUMPRODUCT($M$8:$M$12,$N$8:$N$12)</f>
        <v>-120000</v>
      </c>
      <c r="BB2164" s="34" t="e">
        <f t="shared" ref="BB2164" si="9413">IF(AY2164&lt;&gt;AY2165,MMULT(MINVERSE(AY2164:AZ2165),BA2164:BA2165)," ")</f>
        <v>#NUM!</v>
      </c>
      <c r="BC2164" s="34" t="str">
        <f t="shared" ref="BC2164" si="9414">IFERROR(IF(BB2164-VLOOKUP(AY$38,$A$2:$N$12,14,FALSE)&lt;0,BB2164-VLOOKUP(AY$38,$A$2:$N$12,14,FALSE)," ")," ")</f>
        <v xml:space="preserve"> </v>
      </c>
      <c r="BD2164" s="34" t="str">
        <f t="shared" ref="BD2164" si="9415">IFERROR(IF(BB2164-VLOOKUP(AY$38,$A$2:$N$12,14,FALSE)&gt;0,BB2164-VLOOKUP(AY$38,$A$2:$N$12,14,FALSE)," ")," ")</f>
        <v xml:space="preserve"> </v>
      </c>
      <c r="BE2164" s="34">
        <f t="shared" ref="BE2164" si="9416">$M$8</f>
        <v>0</v>
      </c>
      <c r="BF2164" s="34">
        <v>-1</v>
      </c>
      <c r="BG2164" s="34">
        <f t="shared" ref="BG2164" si="9417">-SUMPRODUCT($M$2:$M$7,$N$2:$N$7)-SUMPRODUCT($M$9:$M$12,$N$9:$N$12)</f>
        <v>-120000</v>
      </c>
      <c r="BH2164" s="34" t="e">
        <f t="shared" ref="BH2164" si="9418">IF(BE2164&lt;&gt;BE2165,MMULT(MINVERSE(BE2164:BF2165),BG2164:BG2165)," ")</f>
        <v>#NUM!</v>
      </c>
      <c r="BI2164" s="34" t="str">
        <f t="shared" ref="BI2164" si="9419">IFERROR(IF(BH2164-VLOOKUP(BE$38,$A$2:$N$12,14,FALSE)&lt;0,BH2164-VLOOKUP(BE$38,$A$2:$N$12,14,FALSE)," ")," ")</f>
        <v xml:space="preserve"> </v>
      </c>
      <c r="BJ2164" s="34" t="str">
        <f t="shared" ref="BJ2164" si="9420">IFERROR(IF(BH2164-VLOOKUP(BE$38,$A$2:$N$12,14,FALSE)&gt;0,BH2164-VLOOKUP(BE$38,$A$2:$N$12,14,FALSE)," ")," ")</f>
        <v xml:space="preserve"> </v>
      </c>
      <c r="BK2164" s="34">
        <f t="shared" ref="BK2164" si="9421">$M$9</f>
        <v>0</v>
      </c>
      <c r="BL2164" s="34">
        <v>-1</v>
      </c>
      <c r="BM2164" s="34">
        <f t="shared" ref="BM2164" si="9422">-SUMPRODUCT($M$2:$M$8,$N$2:$N$8)-SUMPRODUCT($M$10:$M$12,$N$10:$N$12)</f>
        <v>-120000</v>
      </c>
      <c r="BN2164" s="34" t="e">
        <f t="shared" ref="BN2164" si="9423">IF(BK2164&lt;&gt;BK2165,MMULT(MINVERSE(BK2164:BL2165),BM2164:BM2165)," ")</f>
        <v>#NUM!</v>
      </c>
      <c r="BO2164" s="34" t="str">
        <f t="shared" ref="BO2164" si="9424">IFERROR(IF(BN2164-VLOOKUP(BK$38,$A$2:$N$12,14,FALSE)&lt;0,BN2164-VLOOKUP(BK$38,$A$2:$N$12,14,FALSE)," ")," ")</f>
        <v xml:space="preserve"> </v>
      </c>
      <c r="BP2164" s="34" t="str">
        <f t="shared" ref="BP2164" si="9425">IFERROR(IF(BN2164-VLOOKUP(BK$38,$A$2:$N$12,14,FALSE)&gt;0,BN2164-VLOOKUP(BK$38,$A$2:$N$12,14,FALSE)," ")," ")</f>
        <v xml:space="preserve"> </v>
      </c>
      <c r="BQ2164" s="34">
        <f t="shared" ref="BQ2164" si="9426">$M$10</f>
        <v>0</v>
      </c>
      <c r="BR2164" s="34">
        <v>-1</v>
      </c>
      <c r="BS2164" s="34">
        <f t="shared" ref="BS2164" si="9427">-SUMPRODUCT($M$2:$M$9,$N$2:$N$9)-SUMPRODUCT($M$11:$M$12,$N$11:$N$12)</f>
        <v>-120000</v>
      </c>
      <c r="BT2164" s="34" t="e">
        <f t="shared" ref="BT2164" si="9428">IF(BQ2164&lt;&gt;BQ2165,MMULT(MINVERSE(BQ2164:BR2165),BS2164:BS2165)," ")</f>
        <v>#NUM!</v>
      </c>
      <c r="BU2164" s="34" t="str">
        <f t="shared" ref="BU2164" si="9429">IFERROR(IF(BT2164-VLOOKUP(BQ$38,$A$2:$N$12,14,FALSE)&lt;0,BT2164-VLOOKUP(BQ$38,$A$2:$N$12,14,FALSE)," ")," ")</f>
        <v xml:space="preserve"> </v>
      </c>
      <c r="BV2164" s="34" t="str">
        <f t="shared" ref="BV2164" si="9430">IFERROR(IF(BT2164-VLOOKUP(BQ$38,$A$2:$N$12,14,FALSE)&gt;0,BT2164-VLOOKUP(BQ$38,$A$2:$N$12,14,FALSE)," ")," ")</f>
        <v xml:space="preserve"> </v>
      </c>
      <c r="BW2164" s="34">
        <f t="shared" ref="BW2164" si="9431">$M$11</f>
        <v>0</v>
      </c>
      <c r="BX2164" s="34">
        <v>-1</v>
      </c>
      <c r="BY2164" s="34">
        <f t="shared" ref="BY2164" si="9432">-SUMPRODUCT($M$2:$M$10,$N$2:$N$10)-SUMPRODUCT($M$12,$N$12)</f>
        <v>-120000</v>
      </c>
      <c r="BZ2164" s="34" t="e">
        <f t="shared" ref="BZ2164" si="9433">IF(BW2164&lt;&gt;BW2165,MMULT(MINVERSE(BW2164:BX2165),BY2164:BY2165)," ")</f>
        <v>#NUM!</v>
      </c>
      <c r="CA2164" s="34" t="str">
        <f t="shared" ref="CA2164" si="9434">IFERROR(IF(BZ2164-VLOOKUP(BW$38,$A$2:$N$12,14,FALSE)&lt;0,BZ2164-VLOOKUP(BW$38,$A$2:$N$12,14,FALSE)," ")," ")</f>
        <v xml:space="preserve"> </v>
      </c>
      <c r="CB2164" s="34" t="str">
        <f t="shared" ref="CB2164" si="9435">IFERROR(IF(BZ2164-VLOOKUP(BW$38,$A$2:$N$12,14,FALSE)&gt;0,BZ2164-VLOOKUP(BW$38,$A$2:$N$12,14,FALSE)," ")," ")</f>
        <v xml:space="preserve"> </v>
      </c>
      <c r="CC2164" s="34">
        <f t="shared" ref="CC2164" si="9436">$M$12</f>
        <v>0</v>
      </c>
      <c r="CD2164" s="34">
        <v>-1</v>
      </c>
      <c r="CE2164" s="34">
        <f t="shared" ref="CE2164" si="9437">-SUMPRODUCT($M$2:$M$11,$N$2:$N$11)</f>
        <v>-120000</v>
      </c>
      <c r="CF2164" s="34" t="e">
        <f t="shared" ref="CF2164" si="9438">IF(CC2164&lt;&gt;CC2165,MMULT(MINVERSE(CC2164:CD2165),CE2164:CE2165)," ")</f>
        <v>#NUM!</v>
      </c>
      <c r="CG2164" s="34" t="str">
        <f t="shared" ref="CG2164" si="9439">IFERROR(IF(CF2164-VLOOKUP(CC$38,$A$2:$N$12,14,FALSE)&lt;0,CF2164-VLOOKUP(CC$38,$A$2:$N$12,14,FALSE)," ")," ")</f>
        <v xml:space="preserve"> </v>
      </c>
      <c r="CH2164" s="34" t="str">
        <f t="shared" ref="CH2164" si="9440">IFERROR(IF(CF2164-VLOOKUP(CC$38,$A$2:$N$12,14,FALSE)&gt;0,CF2164-VLOOKUP(CC$38,$A$2:$N$12,14,FALSE)," ")," ")</f>
        <v xml:space="preserve"> </v>
      </c>
      <c r="CI2164" s="8"/>
    </row>
    <row r="2165" spans="1:87" x14ac:dyDescent="0.2">
      <c r="A2165" s="8" t="str">
        <f>IF(AND(COUNTIF(W$3:W$13,A$16)&gt;0,A$16&lt;&gt;B2070),A$16,IFERROR(IF(MATCH(A$16,Z$3:Z$13,0)=5,A$16," ")," "))</f>
        <v xml:space="preserve"> </v>
      </c>
      <c r="B2165" s="8" t="str">
        <f>IF(A2165=" "," ",MAX(B2164:B2164)+1)</f>
        <v xml:space="preserve"> </v>
      </c>
      <c r="C2165" s="8" t="str">
        <f>IFERROR(INDEX(A2164:A2185,MATCH(SMALL(B2164:B2185,2),B2164:B2185,0),1)," ")</f>
        <v>C4</v>
      </c>
      <c r="D2165" s="8">
        <f t="shared" ref="D2165:D2174" si="9441">IFERROR(VLOOKUP($C2165,$A$15:$O$36,2,FALSE)," ")</f>
        <v>1</v>
      </c>
      <c r="E2165" s="8">
        <f t="shared" ref="E2165:E2174" si="9442">IFERROR(VLOOKUP($C2165,$A$15:$O$36,3,FALSE)," ")</f>
        <v>0</v>
      </c>
      <c r="F2165" s="8">
        <f t="shared" ref="F2165:F2174" si="9443">IFERROR(VLOOKUP($C2165,$A$15:$O$36,4,FALSE)," ")</f>
        <v>1</v>
      </c>
      <c r="G2165" s="8">
        <f t="shared" ref="G2165:G2174" si="9444">IFERROR(VLOOKUP($C2165,$A$15:$O$36,5,FALSE)," ")</f>
        <v>0</v>
      </c>
      <c r="H2165" s="8">
        <f t="shared" ref="H2165:H2174" si="9445">IFERROR(VLOOKUP($C2165,$A$15:$O$36,6,FALSE)," ")</f>
        <v>0</v>
      </c>
      <c r="I2165" s="8">
        <f t="shared" ref="I2165:I2174" si="9446">IFERROR(VLOOKUP($C2165,$A$15:$O$36,7,FALSE)," ")</f>
        <v>0</v>
      </c>
      <c r="J2165" s="8">
        <f t="shared" ref="J2165:J2174" si="9447">IFERROR(VLOOKUP($C2165,$A$15:$O$36,8,FALSE)," ")</f>
        <v>0</v>
      </c>
      <c r="K2165" s="8">
        <f t="shared" ref="K2165:K2174" si="9448">IFERROR(VLOOKUP($C2165,$A$15:$O$36,9,FALSE)," ")</f>
        <v>0</v>
      </c>
      <c r="L2165" s="8">
        <f t="shared" ref="L2165:L2174" si="9449">IFERROR(VLOOKUP($C2165,$A$15:$O$36,10,FALSE)," ")</f>
        <v>0</v>
      </c>
      <c r="M2165" s="8">
        <f t="shared" ref="M2165:M2174" si="9450">IFERROR(VLOOKUP($C2165,$A$15:$O$36,11,FALSE)," ")</f>
        <v>0</v>
      </c>
      <c r="N2165" s="8">
        <f t="shared" ref="N2165:N2174" si="9451">IFERROR(VLOOKUP($C2165,$A$15:$O$36,12,FALSE)," ")</f>
        <v>0</v>
      </c>
      <c r="O2165" s="8">
        <f t="shared" ref="O2165:O2174" si="9452">IFERROR(VLOOKUP($C2165,$A$15:$O$36,15,FALSE)," ")</f>
        <v>400</v>
      </c>
      <c r="P2165" s="8" t="e">
        <v>#NUM!</v>
      </c>
      <c r="Q2165" s="8" t="e">
        <f t="shared" ref="Q2165" si="9453">IF(COUNTIF(P2164:P2174,"&lt;"&amp;-0.001)=0,IF(ABS(P2165)&lt;0.001,0,P2165)," ")</f>
        <v>#NUM!</v>
      </c>
      <c r="R2165" s="8"/>
      <c r="S2165" s="8"/>
      <c r="U2165" s="34" t="e">
        <f t="shared" ref="U2165" si="9454">$Q2164</f>
        <v>#NUM!</v>
      </c>
      <c r="V2165" s="34">
        <v>-1</v>
      </c>
      <c r="W2165" s="34" t="e">
        <f t="shared" ref="W2165" si="9455">-SUMPRODUCT($Q2165:$Q2174,$N$3:$N$12)</f>
        <v>#NUM!</v>
      </c>
      <c r="X2165" s="34"/>
      <c r="Y2165" s="34"/>
      <c r="Z2165" s="34"/>
      <c r="AA2165" s="34" t="e">
        <f t="shared" ref="AA2165" si="9456">$Q2165</f>
        <v>#NUM!</v>
      </c>
      <c r="AB2165" s="34">
        <v>-1</v>
      </c>
      <c r="AC2165" s="34" t="e">
        <f t="shared" ref="AC2165" si="9457">-SUMPRODUCT($Q2164:$Q2164,$N$2:$N$2)-SUMPRODUCT($Q2166:$Q2174,$N$4:$N$12)</f>
        <v>#NUM!</v>
      </c>
      <c r="AD2165" s="34"/>
      <c r="AE2165" s="34"/>
      <c r="AF2165" s="34"/>
      <c r="AG2165" s="34" t="e">
        <f t="shared" ref="AG2165" si="9458">$Q2166</f>
        <v>#NUM!</v>
      </c>
      <c r="AH2165" s="34">
        <v>-1</v>
      </c>
      <c r="AI2165" s="34" t="e">
        <f t="shared" ref="AI2165" si="9459">-SUMPRODUCT($Q2164:$Q2165,$N$2:$N$3)-SUMPRODUCT($Q2167:$Q2174,$N$5:$N$12)</f>
        <v>#NUM!</v>
      </c>
      <c r="AJ2165" s="34"/>
      <c r="AK2165" s="34"/>
      <c r="AL2165" s="34"/>
      <c r="AM2165" s="34" t="e">
        <f t="shared" ref="AM2165" si="9460">$Q2167</f>
        <v>#NUM!</v>
      </c>
      <c r="AN2165" s="34">
        <v>-1</v>
      </c>
      <c r="AO2165" s="34" t="e">
        <f t="shared" ref="AO2165" si="9461">-SUMPRODUCT($Q2164:$Q2166,$N$2:$N$4)-SUMPRODUCT($Q2168:$Q2174,$N$6:$N$12)</f>
        <v>#NUM!</v>
      </c>
      <c r="AP2165" s="34"/>
      <c r="AQ2165" s="34"/>
      <c r="AR2165" s="34"/>
      <c r="AS2165" s="34" t="e">
        <f t="shared" ref="AS2165" si="9462">$Q2168</f>
        <v>#NUM!</v>
      </c>
      <c r="AT2165" s="34">
        <v>-1</v>
      </c>
      <c r="AU2165" s="34" t="e">
        <f t="shared" ref="AU2165" si="9463">-SUMPRODUCT($Q2164:$Q2167,$N$2:$N$5)-SUMPRODUCT($Q2169:$Q2174,$N$7:$N$12)</f>
        <v>#NUM!</v>
      </c>
      <c r="AV2165" s="34"/>
      <c r="AW2165" s="34"/>
      <c r="AX2165" s="34"/>
      <c r="AY2165" s="34" t="e">
        <f t="shared" ref="AY2165" si="9464">$Q2169</f>
        <v>#NUM!</v>
      </c>
      <c r="AZ2165" s="34">
        <v>-1</v>
      </c>
      <c r="BA2165" s="34" t="e">
        <f t="shared" ref="BA2165" si="9465">-SUMPRODUCT($Q2164:$Q2168,$N$2:$N$6)-SUMPRODUCT($Q2170:$Q2174,$N$8:$N$12)</f>
        <v>#NUM!</v>
      </c>
      <c r="BB2165" s="34"/>
      <c r="BC2165" s="34"/>
      <c r="BD2165" s="34"/>
      <c r="BE2165" s="34" t="e">
        <f t="shared" ref="BE2165" si="9466">$Q2170</f>
        <v>#NUM!</v>
      </c>
      <c r="BF2165" s="34">
        <v>-1</v>
      </c>
      <c r="BG2165" s="34" t="e">
        <f t="shared" ref="BG2165" si="9467">-SUMPRODUCT($Q2164:$Q2169,$N$2:$N$7)-SUMPRODUCT($Q2171:$Q2174,$N$9:$N$12)</f>
        <v>#NUM!</v>
      </c>
      <c r="BH2165" s="34"/>
      <c r="BI2165" s="34"/>
      <c r="BJ2165" s="34"/>
      <c r="BK2165" s="34" t="e">
        <f t="shared" ref="BK2165" si="9468">$Q2171</f>
        <v>#NUM!</v>
      </c>
      <c r="BL2165" s="34">
        <v>-1</v>
      </c>
      <c r="BM2165" s="34" t="e">
        <f t="shared" ref="BM2165" si="9469">-SUMPRODUCT($Q2164:$Q2170,$N$2:$N$8)-SUMPRODUCT($Q2172:$Q2174,$N$10:$N$12)</f>
        <v>#NUM!</v>
      </c>
      <c r="BN2165" s="34"/>
      <c r="BO2165" s="34"/>
      <c r="BP2165" s="34"/>
      <c r="BQ2165" s="34" t="e">
        <f t="shared" ref="BQ2165" si="9470">$Q2172</f>
        <v>#NUM!</v>
      </c>
      <c r="BR2165" s="34">
        <v>-1</v>
      </c>
      <c r="BS2165" s="34" t="e">
        <f t="shared" ref="BS2165" si="9471">-SUMPRODUCT($Q2164:$Q2171,$N$2:$N$9)-SUMPRODUCT($Q2173:$Q2174,$N$11:$N$12)</f>
        <v>#NUM!</v>
      </c>
      <c r="BT2165" s="34"/>
      <c r="BU2165" s="34"/>
      <c r="BV2165" s="34"/>
      <c r="BW2165" s="34" t="e">
        <f t="shared" ref="BW2165" si="9472">$Q2173</f>
        <v>#NUM!</v>
      </c>
      <c r="BX2165" s="34">
        <v>-1</v>
      </c>
      <c r="BY2165" s="34" t="e">
        <f t="shared" ref="BY2165" si="9473">-SUMPRODUCT($Q2164:$Q2172,$N$2:$N$10)-SUMPRODUCT($Q2174,$N$12)</f>
        <v>#NUM!</v>
      </c>
      <c r="BZ2165" s="34"/>
      <c r="CA2165" s="34"/>
      <c r="CB2165" s="34"/>
      <c r="CC2165" s="34" t="e">
        <f t="shared" ref="CC2165" si="9474">$Q2174</f>
        <v>#NUM!</v>
      </c>
      <c r="CD2165" s="34">
        <v>-1</v>
      </c>
      <c r="CE2165" s="34" t="e">
        <f t="shared" ref="CE2165" si="9475">-SUMPRODUCT($Q2164:$Q2173,$N$2:$N$11)</f>
        <v>#NUM!</v>
      </c>
      <c r="CF2165" s="34"/>
      <c r="CG2165" s="34"/>
      <c r="CH2165" s="34"/>
      <c r="CI2165" s="8"/>
    </row>
    <row r="2166" spans="1:87" x14ac:dyDescent="0.2">
      <c r="A2166" s="8" t="str">
        <f>IF(AND(COUNTIF(W$3:W$13,A$17)&gt;0,A$17&lt;&gt;B2070),A$17,IFERROR(IF(MATCH(A$17,Z$3:Z$13,0)=5,A$17," ")," "))</f>
        <v>C3</v>
      </c>
      <c r="B2166" s="8">
        <f>IF(A2166=" "," ",MAX(B2164:B2165)+1)</f>
        <v>1</v>
      </c>
      <c r="C2166" s="8" t="str">
        <f>IFERROR(INDEX(A2164:A2185,MATCH(SMALL(B2164:B2185,3),B2164:B2185,0),1)," ")</f>
        <v>C7</v>
      </c>
      <c r="D2166" s="8">
        <f t="shared" si="9441"/>
        <v>0</v>
      </c>
      <c r="E2166" s="8">
        <f t="shared" si="9442"/>
        <v>0</v>
      </c>
      <c r="F2166" s="8">
        <f t="shared" si="9443"/>
        <v>0</v>
      </c>
      <c r="G2166" s="8">
        <f t="shared" si="9444"/>
        <v>0</v>
      </c>
      <c r="H2166" s="8">
        <f t="shared" si="9445"/>
        <v>0</v>
      </c>
      <c r="I2166" s="8">
        <f t="shared" si="9446"/>
        <v>0</v>
      </c>
      <c r="J2166" s="8">
        <f t="shared" si="9447"/>
        <v>0</v>
      </c>
      <c r="K2166" s="8">
        <f t="shared" si="9448"/>
        <v>0</v>
      </c>
      <c r="L2166" s="8">
        <f t="shared" si="9449"/>
        <v>0</v>
      </c>
      <c r="M2166" s="8">
        <f t="shared" si="9450"/>
        <v>0</v>
      </c>
      <c r="N2166" s="8">
        <f t="shared" si="9451"/>
        <v>0</v>
      </c>
      <c r="O2166" s="8">
        <f t="shared" si="9452"/>
        <v>0</v>
      </c>
      <c r="P2166" s="8" t="e">
        <v>#NUM!</v>
      </c>
      <c r="Q2166" s="8" t="e">
        <f t="shared" ref="Q2166" si="9476">IF(COUNTIF(P2164:P2174,"&lt;"&amp;-0.001)=0,IF(ABS(P2166)&lt;0.001,0,P2166)," ")</f>
        <v>#NUM!</v>
      </c>
      <c r="R2166" s="8"/>
      <c r="S2166" s="8"/>
      <c r="U2166" s="34"/>
      <c r="V2166" s="34"/>
      <c r="W2166" s="34"/>
      <c r="X2166" s="34"/>
      <c r="Y2166" s="34"/>
      <c r="Z2166" s="34"/>
      <c r="AA2166" s="34"/>
      <c r="AB2166" s="34"/>
      <c r="AC2166" s="34"/>
      <c r="AD2166" s="34"/>
      <c r="AE2166" s="34"/>
      <c r="AF2166" s="34"/>
      <c r="AG2166" s="34"/>
      <c r="AH2166" s="34"/>
      <c r="AI2166" s="34"/>
      <c r="AJ2166" s="34"/>
      <c r="AK2166" s="34"/>
      <c r="AL2166" s="34"/>
      <c r="AM2166" s="34"/>
      <c r="AN2166" s="34"/>
      <c r="AO2166" s="34"/>
      <c r="AP2166" s="34"/>
      <c r="AQ2166" s="34"/>
      <c r="AR2166" s="34"/>
      <c r="AS2166" s="34"/>
      <c r="AT2166" s="34"/>
      <c r="AU2166" s="34"/>
      <c r="AV2166" s="34"/>
      <c r="AW2166" s="34"/>
      <c r="AX2166" s="34"/>
      <c r="AY2166" s="34"/>
      <c r="AZ2166" s="34"/>
      <c r="BA2166" s="34"/>
      <c r="BB2166" s="34"/>
      <c r="BC2166" s="34"/>
      <c r="BD2166" s="34"/>
      <c r="BE2166" s="34"/>
      <c r="BF2166" s="34"/>
      <c r="BG2166" s="34"/>
      <c r="BH2166" s="34"/>
      <c r="BI2166" s="34"/>
      <c r="BJ2166" s="34"/>
      <c r="BK2166" s="34"/>
      <c r="BL2166" s="34"/>
      <c r="BM2166" s="34"/>
      <c r="BN2166" s="34"/>
      <c r="BO2166" s="34"/>
      <c r="BP2166" s="34"/>
      <c r="BQ2166" s="34"/>
      <c r="BR2166" s="34"/>
      <c r="BS2166" s="34"/>
      <c r="BT2166" s="34"/>
      <c r="BU2166" s="34"/>
      <c r="BV2166" s="34"/>
      <c r="BW2166" s="34"/>
      <c r="BX2166" s="34"/>
      <c r="BY2166" s="34"/>
      <c r="BZ2166" s="34"/>
      <c r="CA2166" s="34"/>
      <c r="CB2166" s="34"/>
      <c r="CC2166" s="34"/>
      <c r="CD2166" s="34"/>
      <c r="CE2166" s="34"/>
      <c r="CF2166" s="34"/>
      <c r="CG2166" s="34"/>
      <c r="CH2166" s="34"/>
      <c r="CI2166" s="8"/>
    </row>
    <row r="2167" spans="1:87" x14ac:dyDescent="0.2">
      <c r="A2167" s="8" t="str">
        <f>IF(AND(COUNTIF(W$3:W$13,A$18)&gt;0,A$18&lt;&gt;B2070),A$18,IFERROR(IF(MATCH(A$18,Z$3:Z$13,0)=5,A$18," ")," "))</f>
        <v>C4</v>
      </c>
      <c r="B2167" s="8">
        <f>IF(A2167=" "," ",MAX(B2164:B2166)+1)</f>
        <v>2</v>
      </c>
      <c r="C2167" s="8" t="str">
        <f>IFERROR(INDEX(A2164:A2185,MATCH(SMALL(B2164:B2185,4),B2164:B2185,0),1)," ")</f>
        <v>C13</v>
      </c>
      <c r="D2167" s="8">
        <f t="shared" si="9441"/>
        <v>0</v>
      </c>
      <c r="E2167" s="8">
        <f t="shared" si="9442"/>
        <v>1</v>
      </c>
      <c r="F2167" s="8">
        <f t="shared" si="9443"/>
        <v>0</v>
      </c>
      <c r="G2167" s="8">
        <f t="shared" si="9444"/>
        <v>0</v>
      </c>
      <c r="H2167" s="8">
        <f t="shared" si="9445"/>
        <v>0</v>
      </c>
      <c r="I2167" s="8">
        <f t="shared" si="9446"/>
        <v>0</v>
      </c>
      <c r="J2167" s="8">
        <f t="shared" si="9447"/>
        <v>0</v>
      </c>
      <c r="K2167" s="8">
        <f t="shared" si="9448"/>
        <v>0</v>
      </c>
      <c r="L2167" s="8">
        <f t="shared" si="9449"/>
        <v>0</v>
      </c>
      <c r="M2167" s="8">
        <f t="shared" si="9450"/>
        <v>0</v>
      </c>
      <c r="N2167" s="8">
        <f t="shared" si="9451"/>
        <v>0</v>
      </c>
      <c r="O2167" s="8">
        <f t="shared" si="9452"/>
        <v>0</v>
      </c>
      <c r="P2167" s="8" t="e">
        <v>#NUM!</v>
      </c>
      <c r="Q2167" s="8" t="e">
        <f t="shared" ref="Q2167" si="9477">IF(COUNTIF(P2164:P2174,"&lt;"&amp;-0.001)=0,IF(ABS(P2167)&lt;0.001,0,P2167)," ")</f>
        <v>#NUM!</v>
      </c>
      <c r="R2167" s="8"/>
      <c r="S2167" s="8"/>
      <c r="U2167" s="34"/>
      <c r="V2167" s="34"/>
      <c r="W2167" s="34"/>
      <c r="X2167" s="34"/>
      <c r="Y2167" s="34"/>
      <c r="Z2167" s="34"/>
      <c r="AA2167" s="34"/>
      <c r="AB2167" s="34"/>
      <c r="AC2167" s="34"/>
      <c r="AD2167" s="34"/>
      <c r="AE2167" s="34"/>
      <c r="AF2167" s="34"/>
      <c r="AG2167" s="34"/>
      <c r="AH2167" s="34"/>
      <c r="AI2167" s="34"/>
      <c r="AJ2167" s="34"/>
      <c r="AK2167" s="34"/>
      <c r="AL2167" s="34"/>
      <c r="AM2167" s="34"/>
      <c r="AN2167" s="34"/>
      <c r="AO2167" s="34"/>
      <c r="AP2167" s="34"/>
      <c r="AQ2167" s="34"/>
      <c r="AR2167" s="34"/>
      <c r="AS2167" s="34"/>
      <c r="AT2167" s="34"/>
      <c r="AU2167" s="34"/>
      <c r="AV2167" s="34"/>
      <c r="AW2167" s="34"/>
      <c r="AX2167" s="34"/>
      <c r="AY2167" s="34"/>
      <c r="AZ2167" s="34"/>
      <c r="BA2167" s="34"/>
      <c r="BB2167" s="34"/>
      <c r="BC2167" s="34"/>
      <c r="BD2167" s="34"/>
      <c r="BE2167" s="34"/>
      <c r="BF2167" s="34"/>
      <c r="BG2167" s="34"/>
      <c r="BH2167" s="34"/>
      <c r="BI2167" s="34"/>
      <c r="BJ2167" s="34"/>
      <c r="BK2167" s="34"/>
      <c r="BL2167" s="34"/>
      <c r="BM2167" s="34"/>
      <c r="BN2167" s="34"/>
      <c r="BO2167" s="34"/>
      <c r="BP2167" s="34"/>
      <c r="BQ2167" s="34"/>
      <c r="BR2167" s="34"/>
      <c r="BS2167" s="34"/>
      <c r="BT2167" s="34"/>
      <c r="BU2167" s="34"/>
      <c r="BV2167" s="34"/>
      <c r="BW2167" s="34"/>
      <c r="BX2167" s="34"/>
      <c r="BY2167" s="34"/>
      <c r="BZ2167" s="34"/>
      <c r="CA2167" s="34"/>
      <c r="CB2167" s="34"/>
      <c r="CC2167" s="34"/>
      <c r="CD2167" s="34"/>
      <c r="CE2167" s="34"/>
      <c r="CF2167" s="34"/>
      <c r="CG2167" s="34"/>
      <c r="CH2167" s="34"/>
      <c r="CI2167" s="8"/>
    </row>
    <row r="2168" spans="1:87" x14ac:dyDescent="0.2">
      <c r="A2168" s="8" t="str">
        <f>IF(AND(COUNTIF(W$3:W$13,A$19)&gt;0,A$19&lt;&gt;B2070),A$19,IFERROR(IF(MATCH(A$19,Z$3:Z$13,0)=5,A$19," ")," "))</f>
        <v xml:space="preserve"> </v>
      </c>
      <c r="B2168" s="8" t="str">
        <f>IF(A2168=" "," ",MAX(B2164:B2167)+1)</f>
        <v xml:space="preserve"> </v>
      </c>
      <c r="C2168" s="8" t="str">
        <f>IFERROR(INDEX(A2164:A2185,MATCH(SMALL(B2164:B2185,5),B2164:B2185,0),1)," ")</f>
        <v>C15</v>
      </c>
      <c r="D2168" s="8">
        <f t="shared" si="9441"/>
        <v>0</v>
      </c>
      <c r="E2168" s="8">
        <f t="shared" si="9442"/>
        <v>0</v>
      </c>
      <c r="F2168" s="8">
        <f t="shared" si="9443"/>
        <v>0</v>
      </c>
      <c r="G2168" s="8">
        <f t="shared" si="9444"/>
        <v>1</v>
      </c>
      <c r="H2168" s="8">
        <f t="shared" si="9445"/>
        <v>0</v>
      </c>
      <c r="I2168" s="8">
        <f t="shared" si="9446"/>
        <v>0</v>
      </c>
      <c r="J2168" s="8">
        <f t="shared" si="9447"/>
        <v>0</v>
      </c>
      <c r="K2168" s="8">
        <f t="shared" si="9448"/>
        <v>0</v>
      </c>
      <c r="L2168" s="8">
        <f t="shared" si="9449"/>
        <v>0</v>
      </c>
      <c r="M2168" s="8">
        <f t="shared" si="9450"/>
        <v>0</v>
      </c>
      <c r="N2168" s="8">
        <f t="shared" si="9451"/>
        <v>0</v>
      </c>
      <c r="O2168" s="8">
        <f t="shared" si="9452"/>
        <v>0</v>
      </c>
      <c r="P2168" s="8" t="e">
        <v>#NUM!</v>
      </c>
      <c r="Q2168" s="8" t="e">
        <f t="shared" ref="Q2168" si="9478">IF(COUNTIF(P2164:P2174,"&lt;"&amp;-0.001)=0,IF(ABS(P2168)&lt;0.001,0,P2168)," ")</f>
        <v>#NUM!</v>
      </c>
      <c r="R2168" s="8"/>
      <c r="S2168" s="8"/>
      <c r="U2168" s="34"/>
      <c r="V2168" s="34"/>
      <c r="W2168" s="34"/>
      <c r="X2168" s="34"/>
      <c r="Y2168" s="34"/>
      <c r="Z2168" s="34"/>
      <c r="AA2168" s="34"/>
      <c r="AB2168" s="34"/>
      <c r="AC2168" s="34"/>
      <c r="AD2168" s="34"/>
      <c r="AE2168" s="34"/>
      <c r="AF2168" s="34"/>
      <c r="AG2168" s="34"/>
      <c r="AH2168" s="34"/>
      <c r="AI2168" s="34"/>
      <c r="AJ2168" s="34"/>
      <c r="AK2168" s="34"/>
      <c r="AL2168" s="34"/>
      <c r="AM2168" s="34"/>
      <c r="AN2168" s="34"/>
      <c r="AO2168" s="34"/>
      <c r="AP2168" s="34"/>
      <c r="AQ2168" s="34"/>
      <c r="AR2168" s="34"/>
      <c r="AS2168" s="34"/>
      <c r="AT2168" s="34"/>
      <c r="AU2168" s="34"/>
      <c r="AV2168" s="34"/>
      <c r="AW2168" s="34"/>
      <c r="AX2168" s="34"/>
      <c r="AY2168" s="34"/>
      <c r="AZ2168" s="34"/>
      <c r="BA2168" s="34"/>
      <c r="BB2168" s="34"/>
      <c r="BC2168" s="34"/>
      <c r="BD2168" s="34"/>
      <c r="BE2168" s="34"/>
      <c r="BF2168" s="34"/>
      <c r="BG2168" s="34"/>
      <c r="BH2168" s="34"/>
      <c r="BI2168" s="34"/>
      <c r="BJ2168" s="34"/>
      <c r="BK2168" s="34"/>
      <c r="BL2168" s="34"/>
      <c r="BM2168" s="34"/>
      <c r="BN2168" s="34"/>
      <c r="BO2168" s="34"/>
      <c r="BP2168" s="34"/>
      <c r="BQ2168" s="34"/>
      <c r="BR2168" s="34"/>
      <c r="BS2168" s="34"/>
      <c r="BT2168" s="34"/>
      <c r="BU2168" s="34"/>
      <c r="BV2168" s="34"/>
      <c r="BW2168" s="34"/>
      <c r="BX2168" s="34"/>
      <c r="BY2168" s="34"/>
      <c r="BZ2168" s="34"/>
      <c r="CA2168" s="34"/>
      <c r="CB2168" s="34"/>
      <c r="CC2168" s="34"/>
      <c r="CD2168" s="34"/>
      <c r="CE2168" s="34"/>
      <c r="CF2168" s="34"/>
      <c r="CG2168" s="34"/>
      <c r="CH2168" s="34"/>
      <c r="CI2168" s="8"/>
    </row>
    <row r="2169" spans="1:87" x14ac:dyDescent="0.2">
      <c r="A2169" s="8" t="str">
        <f>IF(AND(COUNTIF(W$3:W$13,A$20)&gt;0,A$20&lt;&gt;B2070),A$20,IFERROR(IF(MATCH(A$20,Z$3:Z$13,0)=5,A$20," ")," "))</f>
        <v xml:space="preserve"> </v>
      </c>
      <c r="B2169" s="8" t="str">
        <f>IF(A2169=" "," ",MAX(B2164:B2168)+1)</f>
        <v xml:space="preserve"> </v>
      </c>
      <c r="C2169" s="8" t="str">
        <f>IFERROR(INDEX(A2164:A2185,MATCH(SMALL(B2164:B2185,6),B2164:B2185,0),1)," ")</f>
        <v>C16</v>
      </c>
      <c r="D2169" s="8">
        <f t="shared" si="9441"/>
        <v>0</v>
      </c>
      <c r="E2169" s="8">
        <f t="shared" si="9442"/>
        <v>0</v>
      </c>
      <c r="F2169" s="8">
        <f t="shared" si="9443"/>
        <v>0</v>
      </c>
      <c r="G2169" s="8">
        <f t="shared" si="9444"/>
        <v>0</v>
      </c>
      <c r="H2169" s="8">
        <f t="shared" si="9445"/>
        <v>1</v>
      </c>
      <c r="I2169" s="8">
        <f t="shared" si="9446"/>
        <v>0</v>
      </c>
      <c r="J2169" s="8">
        <f t="shared" si="9447"/>
        <v>0</v>
      </c>
      <c r="K2169" s="8">
        <f t="shared" si="9448"/>
        <v>0</v>
      </c>
      <c r="L2169" s="8">
        <f t="shared" si="9449"/>
        <v>0</v>
      </c>
      <c r="M2169" s="8">
        <f t="shared" si="9450"/>
        <v>0</v>
      </c>
      <c r="N2169" s="8">
        <f t="shared" si="9451"/>
        <v>0</v>
      </c>
      <c r="O2169" s="8">
        <f t="shared" si="9452"/>
        <v>0</v>
      </c>
      <c r="P2169" s="8" t="e">
        <v>#NUM!</v>
      </c>
      <c r="Q2169" s="8" t="e">
        <f t="shared" ref="Q2169" si="9479">IF(COUNTIF(P2164:P2174,"&lt;"&amp;-0.001)=0,IF(ABS(P2169)&lt;0.001,0,P2169)," ")</f>
        <v>#NUM!</v>
      </c>
      <c r="R2169" s="8"/>
      <c r="S2169" s="8"/>
      <c r="U2169" s="34"/>
      <c r="V2169" s="34"/>
      <c r="W2169" s="34"/>
      <c r="X2169" s="34"/>
      <c r="Y2169" s="34"/>
      <c r="Z2169" s="34"/>
      <c r="AA2169" s="34"/>
      <c r="AB2169" s="34"/>
      <c r="AC2169" s="34"/>
      <c r="AD2169" s="34"/>
      <c r="AE2169" s="34"/>
      <c r="AF2169" s="34"/>
      <c r="AG2169" s="34"/>
      <c r="AH2169" s="34"/>
      <c r="AI2169" s="34"/>
      <c r="AJ2169" s="34"/>
      <c r="AK2169" s="34"/>
      <c r="AL2169" s="34"/>
      <c r="AM2169" s="34"/>
      <c r="AN2169" s="34"/>
      <c r="AO2169" s="34"/>
      <c r="AP2169" s="34"/>
      <c r="AQ2169" s="34"/>
      <c r="AR2169" s="34"/>
      <c r="AS2169" s="34"/>
      <c r="AT2169" s="34"/>
      <c r="AU2169" s="34"/>
      <c r="AV2169" s="34"/>
      <c r="AW2169" s="34"/>
      <c r="AX2169" s="34"/>
      <c r="AY2169" s="34"/>
      <c r="AZ2169" s="34"/>
      <c r="BA2169" s="34"/>
      <c r="BB2169" s="34"/>
      <c r="BC2169" s="34"/>
      <c r="BD2169" s="34"/>
      <c r="BE2169" s="34"/>
      <c r="BF2169" s="34"/>
      <c r="BG2169" s="34"/>
      <c r="BH2169" s="34"/>
      <c r="BI2169" s="34"/>
      <c r="BJ2169" s="34"/>
      <c r="BK2169" s="34"/>
      <c r="BL2169" s="34"/>
      <c r="BM2169" s="34"/>
      <c r="BN2169" s="34"/>
      <c r="BO2169" s="34"/>
      <c r="BP2169" s="34"/>
      <c r="BQ2169" s="34"/>
      <c r="BR2169" s="34"/>
      <c r="BS2169" s="34"/>
      <c r="BT2169" s="34"/>
      <c r="BU2169" s="34"/>
      <c r="BV2169" s="34"/>
      <c r="BW2169" s="34"/>
      <c r="BX2169" s="34"/>
      <c r="BY2169" s="34"/>
      <c r="BZ2169" s="34"/>
      <c r="CA2169" s="34"/>
      <c r="CB2169" s="34"/>
      <c r="CC2169" s="34"/>
      <c r="CD2169" s="34"/>
      <c r="CE2169" s="34"/>
      <c r="CF2169" s="34"/>
      <c r="CG2169" s="34"/>
      <c r="CH2169" s="34"/>
      <c r="CI2169" s="8"/>
    </row>
    <row r="2170" spans="1:87" x14ac:dyDescent="0.2">
      <c r="A2170" s="8" t="str">
        <f>IF(AND(COUNTIF(W$3:W$13,A$21)&gt;0,A$21&lt;&gt;B2070),A$21,IFERROR(IF(MATCH(A$21,Z$3:Z$13,0)=5,A$21," ")," "))</f>
        <v>C7</v>
      </c>
      <c r="B2170" s="8">
        <f>IF(A2170=" "," ",MAX(B2164:B2169)+1)</f>
        <v>3</v>
      </c>
      <c r="C2170" s="8" t="str">
        <f>IFERROR(INDEX(A2164:A2185,MATCH(SMALL(B2164:B2185,7),B2164:B2185,0),1)," ")</f>
        <v>C17</v>
      </c>
      <c r="D2170" s="8">
        <f t="shared" si="9441"/>
        <v>0</v>
      </c>
      <c r="E2170" s="8">
        <f t="shared" si="9442"/>
        <v>0</v>
      </c>
      <c r="F2170" s="8">
        <f t="shared" si="9443"/>
        <v>0</v>
      </c>
      <c r="G2170" s="8">
        <f t="shared" si="9444"/>
        <v>0</v>
      </c>
      <c r="H2170" s="8">
        <f t="shared" si="9445"/>
        <v>0</v>
      </c>
      <c r="I2170" s="8">
        <f t="shared" si="9446"/>
        <v>1</v>
      </c>
      <c r="J2170" s="8">
        <f t="shared" si="9447"/>
        <v>0</v>
      </c>
      <c r="K2170" s="8">
        <f t="shared" si="9448"/>
        <v>0</v>
      </c>
      <c r="L2170" s="8">
        <f t="shared" si="9449"/>
        <v>0</v>
      </c>
      <c r="M2170" s="8">
        <f t="shared" si="9450"/>
        <v>0</v>
      </c>
      <c r="N2170" s="8">
        <f t="shared" si="9451"/>
        <v>0</v>
      </c>
      <c r="O2170" s="8">
        <f t="shared" si="9452"/>
        <v>0</v>
      </c>
      <c r="P2170" s="8" t="e">
        <v>#NUM!</v>
      </c>
      <c r="Q2170" s="8" t="e">
        <f t="shared" ref="Q2170" si="9480">IF(COUNTIF(P2164:P2174,"&lt;"&amp;-0.001)=0,IF(ABS(P2170)&lt;0.001,0,P2170)," ")</f>
        <v>#NUM!</v>
      </c>
      <c r="R2170" s="8"/>
      <c r="S2170" s="8"/>
      <c r="U2170" s="34"/>
      <c r="V2170" s="34"/>
      <c r="W2170" s="34"/>
      <c r="X2170" s="34"/>
      <c r="Y2170" s="34"/>
      <c r="Z2170" s="34"/>
      <c r="AA2170" s="34"/>
      <c r="AB2170" s="34"/>
      <c r="AC2170" s="34"/>
      <c r="AD2170" s="34"/>
      <c r="AE2170" s="34"/>
      <c r="AF2170" s="34"/>
      <c r="AG2170" s="34"/>
      <c r="AH2170" s="34"/>
      <c r="AI2170" s="34"/>
      <c r="AJ2170" s="34"/>
      <c r="AK2170" s="34"/>
      <c r="AL2170" s="34"/>
      <c r="AM2170" s="34"/>
      <c r="AN2170" s="34"/>
      <c r="AO2170" s="34"/>
      <c r="AP2170" s="34"/>
      <c r="AQ2170" s="34"/>
      <c r="AR2170" s="34"/>
      <c r="AS2170" s="34"/>
      <c r="AT2170" s="34"/>
      <c r="AU2170" s="34"/>
      <c r="AV2170" s="34"/>
      <c r="AW2170" s="34"/>
      <c r="AX2170" s="34"/>
      <c r="AY2170" s="34"/>
      <c r="AZ2170" s="34"/>
      <c r="BA2170" s="34"/>
      <c r="BB2170" s="34"/>
      <c r="BC2170" s="34"/>
      <c r="BD2170" s="34"/>
      <c r="BE2170" s="34"/>
      <c r="BF2170" s="34"/>
      <c r="BG2170" s="34"/>
      <c r="BH2170" s="34"/>
      <c r="BI2170" s="34"/>
      <c r="BJ2170" s="34"/>
      <c r="BK2170" s="34"/>
      <c r="BL2170" s="34"/>
      <c r="BM2170" s="34"/>
      <c r="BN2170" s="34"/>
      <c r="BO2170" s="34"/>
      <c r="BP2170" s="34"/>
      <c r="BQ2170" s="34"/>
      <c r="BR2170" s="34"/>
      <c r="BS2170" s="34"/>
      <c r="BT2170" s="34"/>
      <c r="BU2170" s="34"/>
      <c r="BV2170" s="34"/>
      <c r="BW2170" s="34"/>
      <c r="BX2170" s="34"/>
      <c r="BY2170" s="34"/>
      <c r="BZ2170" s="34"/>
      <c r="CA2170" s="34"/>
      <c r="CB2170" s="34"/>
      <c r="CC2170" s="34"/>
      <c r="CD2170" s="34"/>
      <c r="CE2170" s="34"/>
      <c r="CF2170" s="34"/>
      <c r="CG2170" s="34"/>
      <c r="CH2170" s="34"/>
      <c r="CI2170" s="8"/>
    </row>
    <row r="2171" spans="1:87" x14ac:dyDescent="0.2">
      <c r="A2171" s="8" t="str">
        <f>IF(AND(COUNTIF(W$3:W$13,A$22)&gt;0,A$22&lt;&gt;B2070),A$22,IFERROR(IF(MATCH(A$22,Z$3:Z$13,0)=5,A$22," ")," "))</f>
        <v xml:space="preserve"> </v>
      </c>
      <c r="B2171" s="8" t="str">
        <f>IF(A2171=" "," ",MAX(B2164:B2170)+1)</f>
        <v xml:space="preserve"> </v>
      </c>
      <c r="C2171" s="8" t="str">
        <f>IFERROR(INDEX(A2164:A2185,MATCH(SMALL(B2164:B2185,8),B2164:B2185,0),1)," ")</f>
        <v>C18</v>
      </c>
      <c r="D2171" s="8">
        <f t="shared" si="9441"/>
        <v>0</v>
      </c>
      <c r="E2171" s="8">
        <f t="shared" si="9442"/>
        <v>0</v>
      </c>
      <c r="F2171" s="8">
        <f t="shared" si="9443"/>
        <v>0</v>
      </c>
      <c r="G2171" s="8">
        <f t="shared" si="9444"/>
        <v>0</v>
      </c>
      <c r="H2171" s="8">
        <f t="shared" si="9445"/>
        <v>0</v>
      </c>
      <c r="I2171" s="8">
        <f t="shared" si="9446"/>
        <v>0</v>
      </c>
      <c r="J2171" s="8">
        <f t="shared" si="9447"/>
        <v>1</v>
      </c>
      <c r="K2171" s="8">
        <f t="shared" si="9448"/>
        <v>0</v>
      </c>
      <c r="L2171" s="8">
        <f t="shared" si="9449"/>
        <v>0</v>
      </c>
      <c r="M2171" s="8">
        <f t="shared" si="9450"/>
        <v>0</v>
      </c>
      <c r="N2171" s="8">
        <f t="shared" si="9451"/>
        <v>0</v>
      </c>
      <c r="O2171" s="8">
        <f t="shared" si="9452"/>
        <v>0</v>
      </c>
      <c r="P2171" s="8" t="e">
        <v>#NUM!</v>
      </c>
      <c r="Q2171" s="8" t="e">
        <f t="shared" ref="Q2171" si="9481">IF(COUNTIF(P2164:P2174,"&lt;"&amp;-0.001)=0,IF(ABS(P2171)&lt;0.001,0,P2171)," ")</f>
        <v>#NUM!</v>
      </c>
      <c r="R2171" s="8"/>
      <c r="S2171" s="8"/>
      <c r="U2171" s="34"/>
      <c r="V2171" s="34"/>
      <c r="W2171" s="34"/>
      <c r="X2171" s="34"/>
      <c r="Y2171" s="34"/>
      <c r="Z2171" s="34"/>
      <c r="AA2171" s="34"/>
      <c r="AB2171" s="34"/>
      <c r="AC2171" s="34"/>
      <c r="AD2171" s="34"/>
      <c r="AE2171" s="34"/>
      <c r="AF2171" s="34"/>
      <c r="AG2171" s="34"/>
      <c r="AH2171" s="34"/>
      <c r="AI2171" s="34"/>
      <c r="AJ2171" s="34"/>
      <c r="AK2171" s="34"/>
      <c r="AL2171" s="34"/>
      <c r="AM2171" s="34"/>
      <c r="AN2171" s="34"/>
      <c r="AO2171" s="34"/>
      <c r="AP2171" s="34"/>
      <c r="AQ2171" s="34"/>
      <c r="AR2171" s="34"/>
      <c r="AS2171" s="34"/>
      <c r="AT2171" s="34"/>
      <c r="AU2171" s="34"/>
      <c r="AV2171" s="34"/>
      <c r="AW2171" s="34"/>
      <c r="AX2171" s="34"/>
      <c r="AY2171" s="34"/>
      <c r="AZ2171" s="34"/>
      <c r="BA2171" s="34"/>
      <c r="BB2171" s="34"/>
      <c r="BC2171" s="34"/>
      <c r="BD2171" s="34"/>
      <c r="BE2171" s="34"/>
      <c r="BF2171" s="34"/>
      <c r="BG2171" s="34"/>
      <c r="BH2171" s="34"/>
      <c r="BI2171" s="34"/>
      <c r="BJ2171" s="34"/>
      <c r="BK2171" s="34"/>
      <c r="BL2171" s="34"/>
      <c r="BM2171" s="34"/>
      <c r="BN2171" s="34"/>
      <c r="BO2171" s="34"/>
      <c r="BP2171" s="34"/>
      <c r="BQ2171" s="34"/>
      <c r="BR2171" s="34"/>
      <c r="BS2171" s="34"/>
      <c r="BT2171" s="34"/>
      <c r="BU2171" s="34"/>
      <c r="BV2171" s="34"/>
      <c r="BW2171" s="34"/>
      <c r="BX2171" s="34"/>
      <c r="BY2171" s="34"/>
      <c r="BZ2171" s="34"/>
      <c r="CA2171" s="34"/>
      <c r="CB2171" s="34"/>
      <c r="CC2171" s="34"/>
      <c r="CD2171" s="34"/>
      <c r="CE2171" s="34"/>
      <c r="CF2171" s="34"/>
      <c r="CG2171" s="34"/>
      <c r="CH2171" s="34"/>
      <c r="CI2171" s="8"/>
    </row>
    <row r="2172" spans="1:87" x14ac:dyDescent="0.2">
      <c r="A2172" s="8" t="str">
        <f>IF(AND(COUNTIF(W$3:W$13,A$23)&gt;0,A$23&lt;&gt;B2070),A$23,IFERROR(IF(MATCH(A$23,Z$3:Z$13,0)=5,A$23," ")," "))</f>
        <v xml:space="preserve"> </v>
      </c>
      <c r="B2172" s="8" t="str">
        <f>IF(A2172=" "," ",MAX(B2164:B2171)+1)</f>
        <v xml:space="preserve"> </v>
      </c>
      <c r="C2172" s="8" t="str">
        <f>IFERROR(INDEX(A2164:A2185,MATCH(SMALL(B2164:B2185,9),B2164:B2185,0),1)," ")</f>
        <v>C19</v>
      </c>
      <c r="D2172" s="8">
        <f t="shared" si="9441"/>
        <v>0</v>
      </c>
      <c r="E2172" s="8">
        <f t="shared" si="9442"/>
        <v>0</v>
      </c>
      <c r="F2172" s="8">
        <f t="shared" si="9443"/>
        <v>0</v>
      </c>
      <c r="G2172" s="8">
        <f t="shared" si="9444"/>
        <v>0</v>
      </c>
      <c r="H2172" s="8">
        <f t="shared" si="9445"/>
        <v>0</v>
      </c>
      <c r="I2172" s="8">
        <f t="shared" si="9446"/>
        <v>0</v>
      </c>
      <c r="J2172" s="8">
        <f t="shared" si="9447"/>
        <v>0</v>
      </c>
      <c r="K2172" s="8">
        <f t="shared" si="9448"/>
        <v>1</v>
      </c>
      <c r="L2172" s="8">
        <f t="shared" si="9449"/>
        <v>0</v>
      </c>
      <c r="M2172" s="8">
        <f t="shared" si="9450"/>
        <v>0</v>
      </c>
      <c r="N2172" s="8">
        <f t="shared" si="9451"/>
        <v>0</v>
      </c>
      <c r="O2172" s="8">
        <f t="shared" si="9452"/>
        <v>0</v>
      </c>
      <c r="P2172" s="6" t="e">
        <v>#NUM!</v>
      </c>
      <c r="Q2172" s="8" t="e">
        <f t="shared" ref="Q2172" si="9482">IF(COUNTIF(P2164:P2174,"&lt;"&amp;-0.001)=0,IF(ABS(P2172)&lt;0.001,0,P2172)," ")</f>
        <v>#NUM!</v>
      </c>
      <c r="R2172" s="8"/>
      <c r="S2172" s="8"/>
      <c r="U2172" s="34"/>
      <c r="V2172" s="34"/>
      <c r="W2172" s="34"/>
      <c r="X2172" s="34"/>
      <c r="Y2172" s="34"/>
      <c r="Z2172" s="34"/>
      <c r="AA2172" s="34"/>
      <c r="AB2172" s="34"/>
      <c r="AC2172" s="34"/>
      <c r="AD2172" s="34"/>
      <c r="AE2172" s="34"/>
      <c r="AF2172" s="34"/>
      <c r="AG2172" s="34"/>
      <c r="AH2172" s="34"/>
      <c r="AI2172" s="34"/>
      <c r="AJ2172" s="34"/>
      <c r="AK2172" s="34"/>
      <c r="AL2172" s="34"/>
      <c r="AM2172" s="34"/>
      <c r="AN2172" s="34"/>
      <c r="AO2172" s="34"/>
      <c r="AP2172" s="34"/>
      <c r="AQ2172" s="34"/>
      <c r="AR2172" s="34"/>
      <c r="AS2172" s="34"/>
      <c r="AT2172" s="34"/>
      <c r="AU2172" s="34"/>
      <c r="AV2172" s="34"/>
      <c r="AW2172" s="34"/>
      <c r="AX2172" s="34"/>
      <c r="AY2172" s="34"/>
      <c r="AZ2172" s="34"/>
      <c r="BA2172" s="34"/>
      <c r="BB2172" s="34"/>
      <c r="BC2172" s="34"/>
      <c r="BD2172" s="34"/>
      <c r="BE2172" s="34"/>
      <c r="BF2172" s="34"/>
      <c r="BG2172" s="34"/>
      <c r="BH2172" s="34"/>
      <c r="BI2172" s="34"/>
      <c r="BJ2172" s="34"/>
      <c r="BK2172" s="34"/>
      <c r="BL2172" s="34"/>
      <c r="BM2172" s="34"/>
      <c r="BN2172" s="34"/>
      <c r="BO2172" s="34"/>
      <c r="BP2172" s="34"/>
      <c r="BQ2172" s="34"/>
      <c r="BR2172" s="34"/>
      <c r="BS2172" s="34"/>
      <c r="BT2172" s="34"/>
      <c r="BU2172" s="34"/>
      <c r="BV2172" s="34"/>
      <c r="BW2172" s="34"/>
      <c r="BX2172" s="34"/>
      <c r="BY2172" s="34"/>
      <c r="BZ2172" s="34"/>
      <c r="CA2172" s="34"/>
      <c r="CB2172" s="34"/>
      <c r="CC2172" s="34"/>
      <c r="CD2172" s="34"/>
      <c r="CE2172" s="34"/>
      <c r="CF2172" s="34"/>
      <c r="CG2172" s="34"/>
      <c r="CH2172" s="34"/>
      <c r="CI2172" s="8"/>
    </row>
    <row r="2173" spans="1:87" x14ac:dyDescent="0.2">
      <c r="A2173" s="8" t="str">
        <f>IF(AND(COUNTIF(W$3:W$13,A$24)&gt;0,A$24&lt;&gt;B2070),A$24,IFERROR(IF(MATCH(A$24,Z$3:Z$13,0)=5,A$24," ")," "))</f>
        <v xml:space="preserve"> </v>
      </c>
      <c r="B2173" s="8" t="str">
        <f>IF(A2173=" "," ",MAX(B2164:B2172)+1)</f>
        <v xml:space="preserve"> </v>
      </c>
      <c r="C2173" s="8" t="str">
        <f>IFERROR(INDEX(A2164:A2185,MATCH(SMALL(B2164:B2185,10),B2164:B2185,0),1)," ")</f>
        <v>C21</v>
      </c>
      <c r="D2173" s="8">
        <f t="shared" si="9441"/>
        <v>0</v>
      </c>
      <c r="E2173" s="8">
        <f t="shared" si="9442"/>
        <v>0</v>
      </c>
      <c r="F2173" s="8">
        <f t="shared" si="9443"/>
        <v>0</v>
      </c>
      <c r="G2173" s="8">
        <f t="shared" si="9444"/>
        <v>0</v>
      </c>
      <c r="H2173" s="8">
        <f t="shared" si="9445"/>
        <v>0</v>
      </c>
      <c r="I2173" s="8">
        <f t="shared" si="9446"/>
        <v>0</v>
      </c>
      <c r="J2173" s="8">
        <f t="shared" si="9447"/>
        <v>0</v>
      </c>
      <c r="K2173" s="8">
        <f t="shared" si="9448"/>
        <v>0</v>
      </c>
      <c r="L2173" s="8">
        <f t="shared" si="9449"/>
        <v>0</v>
      </c>
      <c r="M2173" s="8">
        <f t="shared" si="9450"/>
        <v>1</v>
      </c>
      <c r="N2173" s="8">
        <f t="shared" si="9451"/>
        <v>0</v>
      </c>
      <c r="O2173" s="8">
        <f t="shared" si="9452"/>
        <v>0</v>
      </c>
      <c r="P2173" s="8" t="e">
        <v>#NUM!</v>
      </c>
      <c r="Q2173" s="8" t="e">
        <f t="shared" ref="Q2173" si="9483">IF(COUNTIF(P2164:P2174,"&lt;"&amp;-0.001)=0,IF(ABS(P2173)&lt;0.001,0,P2173)," ")</f>
        <v>#NUM!</v>
      </c>
      <c r="R2173" s="8"/>
      <c r="S2173" s="8"/>
      <c r="U2173" s="34"/>
      <c r="V2173" s="34"/>
      <c r="W2173" s="34"/>
      <c r="X2173" s="34"/>
      <c r="Y2173" s="34"/>
      <c r="Z2173" s="34"/>
      <c r="AA2173" s="34"/>
      <c r="AB2173" s="34"/>
      <c r="AC2173" s="34"/>
      <c r="AD2173" s="34"/>
      <c r="AE2173" s="34"/>
      <c r="AF2173" s="34"/>
      <c r="AG2173" s="34"/>
      <c r="AH2173" s="34"/>
      <c r="AI2173" s="34"/>
      <c r="AJ2173" s="34"/>
      <c r="AK2173" s="34"/>
      <c r="AL2173" s="34"/>
      <c r="AM2173" s="34"/>
      <c r="AN2173" s="34"/>
      <c r="AO2173" s="34"/>
      <c r="AP2173" s="34"/>
      <c r="AQ2173" s="34"/>
      <c r="AR2173" s="34"/>
      <c r="AS2173" s="34"/>
      <c r="AT2173" s="34"/>
      <c r="AU2173" s="34"/>
      <c r="AV2173" s="34"/>
      <c r="AW2173" s="34"/>
      <c r="AX2173" s="34"/>
      <c r="AY2173" s="34"/>
      <c r="AZ2173" s="34"/>
      <c r="BA2173" s="34"/>
      <c r="BB2173" s="34"/>
      <c r="BC2173" s="34"/>
      <c r="BD2173" s="34"/>
      <c r="BE2173" s="34"/>
      <c r="BF2173" s="34"/>
      <c r="BG2173" s="34"/>
      <c r="BH2173" s="34"/>
      <c r="BI2173" s="34"/>
      <c r="BJ2173" s="34"/>
      <c r="BK2173" s="34"/>
      <c r="BL2173" s="34"/>
      <c r="BM2173" s="34"/>
      <c r="BN2173" s="34"/>
      <c r="BO2173" s="34"/>
      <c r="BP2173" s="34"/>
      <c r="BQ2173" s="34"/>
      <c r="BR2173" s="34"/>
      <c r="BS2173" s="34"/>
      <c r="BT2173" s="34"/>
      <c r="BU2173" s="34"/>
      <c r="BV2173" s="34"/>
      <c r="BW2173" s="34"/>
      <c r="BX2173" s="34"/>
      <c r="BY2173" s="34"/>
      <c r="BZ2173" s="34"/>
      <c r="CA2173" s="34"/>
      <c r="CB2173" s="34"/>
      <c r="CC2173" s="34"/>
      <c r="CD2173" s="34"/>
      <c r="CE2173" s="34"/>
      <c r="CF2173" s="34"/>
      <c r="CG2173" s="34"/>
      <c r="CH2173" s="34"/>
      <c r="CI2173" s="8"/>
    </row>
    <row r="2174" spans="1:87" x14ac:dyDescent="0.2">
      <c r="A2174" s="8" t="str">
        <f>IF(AND(COUNTIF(W$3:W$13,A$25)&gt;0,A$25&lt;&gt;B2070),A$25,IFERROR(IF(MATCH(A$25,Z$3:Z$13,0)=5,A$25," ")," "))</f>
        <v xml:space="preserve"> </v>
      </c>
      <c r="B2174" s="8" t="str">
        <f>IF(A2174=" "," ",MAX(B2164:B2173)+1)</f>
        <v xml:space="preserve"> </v>
      </c>
      <c r="C2174" s="8" t="str">
        <f>IFERROR(INDEX(A2164:A2185,MATCH(SMALL(B2164:B2185,11),B2164:B2185,0),1)," ")</f>
        <v>C22</v>
      </c>
      <c r="D2174" s="8">
        <f t="shared" si="9441"/>
        <v>0</v>
      </c>
      <c r="E2174" s="8">
        <f t="shared" si="9442"/>
        <v>0</v>
      </c>
      <c r="F2174" s="8">
        <f t="shared" si="9443"/>
        <v>0</v>
      </c>
      <c r="G2174" s="8">
        <f t="shared" si="9444"/>
        <v>0</v>
      </c>
      <c r="H2174" s="8">
        <f t="shared" si="9445"/>
        <v>0</v>
      </c>
      <c r="I2174" s="8">
        <f t="shared" si="9446"/>
        <v>0</v>
      </c>
      <c r="J2174" s="8">
        <f t="shared" si="9447"/>
        <v>0</v>
      </c>
      <c r="K2174" s="8">
        <f t="shared" si="9448"/>
        <v>0</v>
      </c>
      <c r="L2174" s="8">
        <f t="shared" si="9449"/>
        <v>0</v>
      </c>
      <c r="M2174" s="8">
        <f t="shared" si="9450"/>
        <v>0</v>
      </c>
      <c r="N2174" s="8">
        <f t="shared" si="9451"/>
        <v>1</v>
      </c>
      <c r="O2174" s="8">
        <f t="shared" si="9452"/>
        <v>0</v>
      </c>
      <c r="P2174" s="8" t="e">
        <v>#NUM!</v>
      </c>
      <c r="Q2174" s="8" t="e">
        <f t="shared" ref="Q2174" si="9484">IF(COUNTIF(P2164:P2174,"&lt;"&amp;-0.001)=0,IF(ABS(P2174)&lt;0.001,0,P2174)," ")</f>
        <v>#NUM!</v>
      </c>
      <c r="R2174" s="8"/>
      <c r="S2174" s="8"/>
      <c r="U2174" s="34"/>
      <c r="V2174" s="34"/>
      <c r="W2174" s="34"/>
      <c r="X2174" s="34"/>
      <c r="Y2174" s="34"/>
      <c r="Z2174" s="34"/>
      <c r="AA2174" s="34"/>
      <c r="AB2174" s="34"/>
      <c r="AC2174" s="34"/>
      <c r="AD2174" s="34"/>
      <c r="AE2174" s="34"/>
      <c r="AF2174" s="34"/>
      <c r="AG2174" s="34"/>
      <c r="AH2174" s="34"/>
      <c r="AI2174" s="34"/>
      <c r="AJ2174" s="34"/>
      <c r="AK2174" s="34"/>
      <c r="AL2174" s="34"/>
      <c r="AM2174" s="34"/>
      <c r="AN2174" s="34"/>
      <c r="AO2174" s="34"/>
      <c r="AP2174" s="34"/>
      <c r="AQ2174" s="34"/>
      <c r="AR2174" s="34"/>
      <c r="AS2174" s="34"/>
      <c r="AT2174" s="34"/>
      <c r="AU2174" s="34"/>
      <c r="AV2174" s="34"/>
      <c r="AW2174" s="34"/>
      <c r="AX2174" s="34"/>
      <c r="AY2174" s="34"/>
      <c r="AZ2174" s="34"/>
      <c r="BA2174" s="34"/>
      <c r="BB2174" s="34"/>
      <c r="BC2174" s="34"/>
      <c r="BD2174" s="34"/>
      <c r="BE2174" s="34"/>
      <c r="BF2174" s="34"/>
      <c r="BG2174" s="34"/>
      <c r="BH2174" s="34"/>
      <c r="BI2174" s="34"/>
      <c r="BJ2174" s="34"/>
      <c r="BK2174" s="34"/>
      <c r="BL2174" s="34"/>
      <c r="BM2174" s="34"/>
      <c r="BN2174" s="34"/>
      <c r="BO2174" s="34"/>
      <c r="BP2174" s="34"/>
      <c r="BQ2174" s="34"/>
      <c r="BR2174" s="34"/>
      <c r="BS2174" s="34"/>
      <c r="BT2174" s="34"/>
      <c r="BU2174" s="34"/>
      <c r="BV2174" s="34"/>
      <c r="BW2174" s="34"/>
      <c r="BX2174" s="34"/>
      <c r="BY2174" s="34"/>
      <c r="BZ2174" s="34"/>
      <c r="CA2174" s="34"/>
      <c r="CB2174" s="34"/>
      <c r="CC2174" s="34"/>
      <c r="CD2174" s="34"/>
      <c r="CE2174" s="34"/>
      <c r="CF2174" s="34"/>
      <c r="CG2174" s="34"/>
      <c r="CH2174" s="34"/>
      <c r="CI2174" s="8"/>
    </row>
    <row r="2175" spans="1:87" x14ac:dyDescent="0.2">
      <c r="A2175" s="8" t="str">
        <f>IF(AND(COUNTIF(W$3:W$13,A$26)&gt;0,A$26&lt;&gt;B2070),A$26,IFERROR(IF(MATCH(A$26,Z$3:Z$13,0)=5,A$26," ")," "))</f>
        <v xml:space="preserve"> </v>
      </c>
      <c r="B2175" s="8" t="str">
        <f>IF(A2175=" "," ",MAX(B2164:B2174)+1)</f>
        <v xml:space="preserve"> </v>
      </c>
      <c r="C2175" s="8"/>
      <c r="D2175" s="8"/>
      <c r="E2175" s="8"/>
      <c r="F2175" s="8"/>
      <c r="G2175" s="8"/>
      <c r="H2175" s="8"/>
      <c r="I2175" s="8"/>
      <c r="J2175" s="8"/>
      <c r="K2175" s="8"/>
      <c r="L2175" s="8"/>
      <c r="M2175" s="8"/>
      <c r="N2175" s="8"/>
      <c r="O2175" s="8"/>
      <c r="P2175" s="8"/>
      <c r="Q2175" s="8"/>
      <c r="R2175" s="8"/>
      <c r="S2175" s="8"/>
      <c r="U2175" s="34"/>
      <c r="V2175" s="34"/>
      <c r="W2175" s="34"/>
      <c r="X2175" s="34"/>
      <c r="Y2175" s="34"/>
      <c r="Z2175" s="34"/>
      <c r="AA2175" s="34"/>
      <c r="AB2175" s="34"/>
      <c r="AC2175" s="34"/>
      <c r="AD2175" s="34"/>
      <c r="AE2175" s="34"/>
      <c r="AF2175" s="34"/>
      <c r="AG2175" s="34"/>
      <c r="AH2175" s="34"/>
      <c r="AI2175" s="34"/>
      <c r="AJ2175" s="34"/>
      <c r="AK2175" s="34"/>
      <c r="AL2175" s="34"/>
      <c r="AM2175" s="34"/>
      <c r="AN2175" s="34"/>
      <c r="AO2175" s="34"/>
      <c r="AP2175" s="34"/>
      <c r="AQ2175" s="34"/>
      <c r="AR2175" s="34"/>
      <c r="AS2175" s="34"/>
      <c r="AT2175" s="34"/>
      <c r="AU2175" s="34"/>
      <c r="AV2175" s="34"/>
      <c r="AW2175" s="34"/>
      <c r="AX2175" s="34"/>
      <c r="AY2175" s="34"/>
      <c r="AZ2175" s="34"/>
      <c r="BA2175" s="34"/>
      <c r="BB2175" s="34"/>
      <c r="BC2175" s="34"/>
      <c r="BD2175" s="34"/>
      <c r="BE2175" s="34"/>
      <c r="BF2175" s="34"/>
      <c r="BG2175" s="34"/>
      <c r="BH2175" s="34"/>
      <c r="BI2175" s="34"/>
      <c r="BJ2175" s="34"/>
      <c r="BK2175" s="34"/>
      <c r="BL2175" s="34"/>
      <c r="BM2175" s="34"/>
      <c r="BN2175" s="34"/>
      <c r="BO2175" s="34"/>
      <c r="BP2175" s="34"/>
      <c r="BQ2175" s="34"/>
      <c r="BR2175" s="34"/>
      <c r="BS2175" s="34"/>
      <c r="BT2175" s="34"/>
      <c r="BU2175" s="34"/>
      <c r="BV2175" s="34"/>
      <c r="BW2175" s="34"/>
      <c r="BX2175" s="34"/>
      <c r="BY2175" s="34"/>
      <c r="BZ2175" s="34"/>
      <c r="CA2175" s="34"/>
      <c r="CB2175" s="34"/>
      <c r="CC2175" s="34"/>
      <c r="CD2175" s="34"/>
      <c r="CE2175" s="34"/>
      <c r="CF2175" s="34"/>
      <c r="CG2175" s="34"/>
      <c r="CH2175" s="34"/>
      <c r="CI2175" s="8"/>
    </row>
    <row r="2176" spans="1:87" x14ac:dyDescent="0.2">
      <c r="A2176" s="8" t="str">
        <f>IF(AND(COUNTIF(W$3:W$13,A$27)&gt;0,A$27&lt;&gt;B2070),A$27,IFERROR(IF(MATCH(A$27,Z$3:Z$13,0)=5,A$27," ")," "))</f>
        <v>C13</v>
      </c>
      <c r="B2176" s="8">
        <f>IF(A2176=" "," ",MAX(B2164:B2175)+1)</f>
        <v>4</v>
      </c>
      <c r="C2176" s="8"/>
      <c r="D2176" s="8"/>
      <c r="E2176" s="8"/>
      <c r="F2176" s="8"/>
      <c r="G2176" s="8"/>
      <c r="H2176" s="8"/>
      <c r="I2176" s="8"/>
      <c r="J2176" s="8"/>
      <c r="K2176" s="8"/>
      <c r="L2176" s="8"/>
      <c r="M2176" s="8"/>
      <c r="N2176" s="8"/>
      <c r="O2176" s="8"/>
      <c r="P2176" s="8"/>
      <c r="Q2176" s="8"/>
      <c r="R2176" s="8"/>
      <c r="S2176" s="8"/>
      <c r="U2176" s="34"/>
      <c r="V2176" s="34"/>
      <c r="W2176" s="34"/>
      <c r="X2176" s="34"/>
      <c r="Y2176" s="34"/>
      <c r="Z2176" s="34"/>
      <c r="AA2176" s="34"/>
      <c r="AB2176" s="34"/>
      <c r="AC2176" s="34"/>
      <c r="AD2176" s="34"/>
      <c r="AE2176" s="34"/>
      <c r="AF2176" s="34"/>
      <c r="AG2176" s="34"/>
      <c r="AH2176" s="34"/>
      <c r="AI2176" s="34"/>
      <c r="AJ2176" s="34"/>
      <c r="AK2176" s="34"/>
      <c r="AL2176" s="34"/>
      <c r="AM2176" s="34"/>
      <c r="AN2176" s="34"/>
      <c r="AO2176" s="34"/>
      <c r="AP2176" s="34"/>
      <c r="AQ2176" s="34"/>
      <c r="AR2176" s="34"/>
      <c r="AS2176" s="34"/>
      <c r="AT2176" s="34"/>
      <c r="AU2176" s="34"/>
      <c r="AV2176" s="34"/>
      <c r="AW2176" s="34"/>
      <c r="AX2176" s="34"/>
      <c r="AY2176" s="34"/>
      <c r="AZ2176" s="34"/>
      <c r="BA2176" s="34"/>
      <c r="BB2176" s="34"/>
      <c r="BC2176" s="34"/>
      <c r="BD2176" s="34"/>
      <c r="BE2176" s="34"/>
      <c r="BF2176" s="34"/>
      <c r="BG2176" s="34"/>
      <c r="BH2176" s="34"/>
      <c r="BI2176" s="34"/>
      <c r="BJ2176" s="34"/>
      <c r="BK2176" s="34"/>
      <c r="BL2176" s="34"/>
      <c r="BM2176" s="34"/>
      <c r="BN2176" s="34"/>
      <c r="BO2176" s="34"/>
      <c r="BP2176" s="34"/>
      <c r="BQ2176" s="34"/>
      <c r="BR2176" s="34"/>
      <c r="BS2176" s="34"/>
      <c r="BT2176" s="34"/>
      <c r="BU2176" s="34"/>
      <c r="BV2176" s="34"/>
      <c r="BW2176" s="34"/>
      <c r="BX2176" s="34"/>
      <c r="BY2176" s="34"/>
      <c r="BZ2176" s="34"/>
      <c r="CA2176" s="34"/>
      <c r="CB2176" s="34"/>
      <c r="CC2176" s="34"/>
      <c r="CD2176" s="34"/>
      <c r="CE2176" s="34"/>
      <c r="CF2176" s="34"/>
      <c r="CG2176" s="34"/>
      <c r="CH2176" s="34"/>
      <c r="CI2176" s="8"/>
    </row>
    <row r="2177" spans="1:87" x14ac:dyDescent="0.2">
      <c r="A2177" s="8" t="str">
        <f>IF(AND(COUNTIF(W$3:W$13,A$28)&gt;0,A$28&lt;&gt;B2070),A$28,IFERROR(IF(MATCH(A$28,Z$3:Z$13,0)=5,A$28," ")," "))</f>
        <v xml:space="preserve"> </v>
      </c>
      <c r="B2177" s="8" t="str">
        <f>IF(A2177=" "," ",MAX(B2164:B2176)+1)</f>
        <v xml:space="preserve"> </v>
      </c>
      <c r="C2177" s="8"/>
      <c r="D2177" s="8"/>
      <c r="E2177" s="8"/>
      <c r="F2177" s="8"/>
      <c r="G2177" s="8"/>
      <c r="H2177" s="8"/>
      <c r="I2177" s="8"/>
      <c r="J2177" s="8"/>
      <c r="K2177" s="8"/>
      <c r="L2177" s="8"/>
      <c r="M2177" s="8"/>
      <c r="N2177" s="8"/>
      <c r="O2177" s="8"/>
      <c r="P2177" s="8"/>
      <c r="Q2177" s="8"/>
      <c r="R2177" s="8"/>
      <c r="S2177" s="8"/>
      <c r="U2177" s="34"/>
      <c r="V2177" s="34"/>
      <c r="W2177" s="34"/>
      <c r="X2177" s="34"/>
      <c r="Y2177" s="34"/>
      <c r="Z2177" s="34"/>
      <c r="AA2177" s="34"/>
      <c r="AB2177" s="34"/>
      <c r="AC2177" s="34"/>
      <c r="AD2177" s="34"/>
      <c r="AE2177" s="34"/>
      <c r="AF2177" s="34"/>
      <c r="AG2177" s="34"/>
      <c r="AH2177" s="34"/>
      <c r="AI2177" s="34"/>
      <c r="AJ2177" s="34"/>
      <c r="AK2177" s="34"/>
      <c r="AL2177" s="34"/>
      <c r="AM2177" s="34"/>
      <c r="AN2177" s="34"/>
      <c r="AO2177" s="34"/>
      <c r="AP2177" s="34"/>
      <c r="AQ2177" s="34"/>
      <c r="AR2177" s="34"/>
      <c r="AS2177" s="34"/>
      <c r="AT2177" s="34"/>
      <c r="AU2177" s="34"/>
      <c r="AV2177" s="34"/>
      <c r="AW2177" s="34"/>
      <c r="AX2177" s="34"/>
      <c r="AY2177" s="34"/>
      <c r="AZ2177" s="34"/>
      <c r="BA2177" s="34"/>
      <c r="BB2177" s="34"/>
      <c r="BC2177" s="34"/>
      <c r="BD2177" s="34"/>
      <c r="BE2177" s="34"/>
      <c r="BF2177" s="34"/>
      <c r="BG2177" s="34"/>
      <c r="BH2177" s="34"/>
      <c r="BI2177" s="34"/>
      <c r="BJ2177" s="34"/>
      <c r="BK2177" s="34"/>
      <c r="BL2177" s="34"/>
      <c r="BM2177" s="34"/>
      <c r="BN2177" s="34"/>
      <c r="BO2177" s="34"/>
      <c r="BP2177" s="34"/>
      <c r="BQ2177" s="34"/>
      <c r="BR2177" s="34"/>
      <c r="BS2177" s="34"/>
      <c r="BT2177" s="34"/>
      <c r="BU2177" s="34"/>
      <c r="BV2177" s="34"/>
      <c r="BW2177" s="34"/>
      <c r="BX2177" s="34"/>
      <c r="BY2177" s="34"/>
      <c r="BZ2177" s="34"/>
      <c r="CA2177" s="34"/>
      <c r="CB2177" s="34"/>
      <c r="CC2177" s="34"/>
      <c r="CD2177" s="34"/>
      <c r="CE2177" s="34"/>
      <c r="CF2177" s="34"/>
      <c r="CG2177" s="34"/>
      <c r="CH2177" s="34"/>
      <c r="CI2177" s="8"/>
    </row>
    <row r="2178" spans="1:87" x14ac:dyDescent="0.2">
      <c r="A2178" s="8" t="str">
        <f>IF(AND(COUNTIF(W$3:W$13,A$29)&gt;0,A$29&lt;&gt;B2070),A$29,IFERROR(IF(MATCH(A$29,Z$3:Z$13,0)=5,A$29," ")," "))</f>
        <v>C15</v>
      </c>
      <c r="B2178" s="8">
        <f>IF(A2178=" "," ",MAX(B2164:B2177)+1)</f>
        <v>5</v>
      </c>
      <c r="C2178" s="8"/>
      <c r="D2178" s="8"/>
      <c r="E2178" s="8"/>
      <c r="F2178" s="8"/>
      <c r="G2178" s="8"/>
      <c r="H2178" s="8"/>
      <c r="I2178" s="8"/>
      <c r="J2178" s="8"/>
      <c r="K2178" s="8"/>
      <c r="L2178" s="8"/>
      <c r="M2178" s="8"/>
      <c r="N2178" s="8"/>
      <c r="O2178" s="8"/>
      <c r="P2178" s="8"/>
      <c r="Q2178" s="8"/>
      <c r="R2178" s="8"/>
      <c r="S2178" s="8"/>
      <c r="U2178" s="34"/>
      <c r="V2178" s="34"/>
      <c r="W2178" s="34"/>
      <c r="X2178" s="34"/>
      <c r="Y2178" s="34"/>
      <c r="Z2178" s="34"/>
      <c r="AA2178" s="34"/>
      <c r="AB2178" s="34"/>
      <c r="AC2178" s="34"/>
      <c r="AD2178" s="34"/>
      <c r="AE2178" s="34"/>
      <c r="AF2178" s="34"/>
      <c r="AG2178" s="34"/>
      <c r="AH2178" s="34"/>
      <c r="AI2178" s="34"/>
      <c r="AJ2178" s="34"/>
      <c r="AK2178" s="34"/>
      <c r="AL2178" s="34"/>
      <c r="AM2178" s="34"/>
      <c r="AN2178" s="34"/>
      <c r="AO2178" s="34"/>
      <c r="AP2178" s="34"/>
      <c r="AQ2178" s="34"/>
      <c r="AR2178" s="34"/>
      <c r="AS2178" s="34"/>
      <c r="AT2178" s="34"/>
      <c r="AU2178" s="34"/>
      <c r="AV2178" s="34"/>
      <c r="AW2178" s="34"/>
      <c r="AX2178" s="34"/>
      <c r="AY2178" s="34"/>
      <c r="AZ2178" s="34"/>
      <c r="BA2178" s="34"/>
      <c r="BB2178" s="34"/>
      <c r="BC2178" s="34"/>
      <c r="BD2178" s="34"/>
      <c r="BE2178" s="34"/>
      <c r="BF2178" s="34"/>
      <c r="BG2178" s="34"/>
      <c r="BH2178" s="34"/>
      <c r="BI2178" s="34"/>
      <c r="BJ2178" s="34"/>
      <c r="BK2178" s="34"/>
      <c r="BL2178" s="34"/>
      <c r="BM2178" s="34"/>
      <c r="BN2178" s="34"/>
      <c r="BO2178" s="34"/>
      <c r="BP2178" s="34"/>
      <c r="BQ2178" s="34"/>
      <c r="BR2178" s="34"/>
      <c r="BS2178" s="34"/>
      <c r="BT2178" s="34"/>
      <c r="BU2178" s="34"/>
      <c r="BV2178" s="34"/>
      <c r="BW2178" s="34"/>
      <c r="BX2178" s="34"/>
      <c r="BY2178" s="34"/>
      <c r="BZ2178" s="34"/>
      <c r="CA2178" s="34"/>
      <c r="CB2178" s="34"/>
      <c r="CC2178" s="34"/>
      <c r="CD2178" s="34"/>
      <c r="CE2178" s="34"/>
      <c r="CF2178" s="34"/>
      <c r="CG2178" s="34"/>
      <c r="CH2178" s="34"/>
      <c r="CI2178" s="8"/>
    </row>
    <row r="2179" spans="1:87" x14ac:dyDescent="0.2">
      <c r="A2179" s="8" t="str">
        <f>IF(AND(COUNTIF(W$3:W$13,A$30)&gt;0,A$30&lt;&gt;B2070),A$30,IFERROR(IF(MATCH(A$30,Z$3:Z$13,0)=5,A$30," ")," "))</f>
        <v>C16</v>
      </c>
      <c r="B2179" s="8">
        <f>IF(A2179=" "," ",MAX(B2164:B2178)+1)</f>
        <v>6</v>
      </c>
      <c r="C2179" s="8"/>
      <c r="D2179" s="8"/>
      <c r="E2179" s="8"/>
      <c r="F2179" s="8"/>
      <c r="G2179" s="8"/>
      <c r="H2179" s="8"/>
      <c r="I2179" s="8"/>
      <c r="J2179" s="8"/>
      <c r="K2179" s="8"/>
      <c r="L2179" s="8"/>
      <c r="M2179" s="8"/>
      <c r="N2179" s="8"/>
      <c r="O2179" s="8"/>
      <c r="P2179" s="8"/>
      <c r="Q2179" s="8"/>
      <c r="R2179" s="8"/>
      <c r="S2179" s="8"/>
      <c r="U2179" s="34"/>
      <c r="V2179" s="34"/>
      <c r="W2179" s="34"/>
      <c r="X2179" s="34"/>
      <c r="Y2179" s="34"/>
      <c r="Z2179" s="34"/>
      <c r="AA2179" s="34"/>
      <c r="AB2179" s="34"/>
      <c r="AC2179" s="34"/>
      <c r="AD2179" s="34"/>
      <c r="AE2179" s="34"/>
      <c r="AF2179" s="34"/>
      <c r="AG2179" s="34"/>
      <c r="AH2179" s="34"/>
      <c r="AI2179" s="34"/>
      <c r="AJ2179" s="34"/>
      <c r="AK2179" s="34"/>
      <c r="AL2179" s="34"/>
      <c r="AM2179" s="34"/>
      <c r="AN2179" s="34"/>
      <c r="AO2179" s="34"/>
      <c r="AP2179" s="34"/>
      <c r="AQ2179" s="34"/>
      <c r="AR2179" s="34"/>
      <c r="AS2179" s="34"/>
      <c r="AT2179" s="34"/>
      <c r="AU2179" s="34"/>
      <c r="AV2179" s="34"/>
      <c r="AW2179" s="34"/>
      <c r="AX2179" s="34"/>
      <c r="AY2179" s="34"/>
      <c r="AZ2179" s="34"/>
      <c r="BA2179" s="34"/>
      <c r="BB2179" s="34"/>
      <c r="BC2179" s="34"/>
      <c r="BD2179" s="34"/>
      <c r="BE2179" s="34"/>
      <c r="BF2179" s="34"/>
      <c r="BG2179" s="34"/>
      <c r="BH2179" s="34"/>
      <c r="BI2179" s="34"/>
      <c r="BJ2179" s="34"/>
      <c r="BK2179" s="34"/>
      <c r="BL2179" s="34"/>
      <c r="BM2179" s="34"/>
      <c r="BN2179" s="34"/>
      <c r="BO2179" s="34"/>
      <c r="BP2179" s="34"/>
      <c r="BQ2179" s="34"/>
      <c r="BR2179" s="34"/>
      <c r="BS2179" s="34"/>
      <c r="BT2179" s="34"/>
      <c r="BU2179" s="34"/>
      <c r="BV2179" s="34"/>
      <c r="BW2179" s="34"/>
      <c r="BX2179" s="34"/>
      <c r="BY2179" s="34"/>
      <c r="BZ2179" s="34"/>
      <c r="CA2179" s="34"/>
      <c r="CB2179" s="34"/>
      <c r="CC2179" s="34"/>
      <c r="CD2179" s="34"/>
      <c r="CE2179" s="34"/>
      <c r="CF2179" s="34"/>
      <c r="CG2179" s="34"/>
      <c r="CH2179" s="34"/>
      <c r="CI2179" s="8"/>
    </row>
    <row r="2180" spans="1:87" x14ac:dyDescent="0.2">
      <c r="A2180" s="8" t="str">
        <f>IF(AND(COUNTIF(W$3:W$13,A$31)&gt;0,A$31&lt;&gt;B2070),A$31,IFERROR(IF(MATCH(A$31,Z$3:Z$13,0)=5,A$31," ")," "))</f>
        <v>C17</v>
      </c>
      <c r="B2180" s="8">
        <f>IF(A2180=" "," ",MAX(B2164:B2179)+1)</f>
        <v>7</v>
      </c>
      <c r="C2180" s="8"/>
      <c r="D2180" s="8"/>
      <c r="E2180" s="8"/>
      <c r="F2180" s="8"/>
      <c r="G2180" s="8"/>
      <c r="H2180" s="8"/>
      <c r="I2180" s="8"/>
      <c r="J2180" s="8"/>
      <c r="K2180" s="8"/>
      <c r="L2180" s="8"/>
      <c r="M2180" s="8"/>
      <c r="N2180" s="8"/>
      <c r="O2180" s="8"/>
      <c r="P2180" s="8"/>
      <c r="Q2180" s="8"/>
      <c r="R2180" s="8"/>
      <c r="S2180" s="8"/>
      <c r="U2180" s="34"/>
      <c r="V2180" s="34"/>
      <c r="W2180" s="34"/>
      <c r="X2180" s="34"/>
      <c r="Y2180" s="34"/>
      <c r="Z2180" s="34"/>
      <c r="AA2180" s="34"/>
      <c r="AB2180" s="34"/>
      <c r="AC2180" s="34"/>
      <c r="AD2180" s="34"/>
      <c r="AE2180" s="34"/>
      <c r="AF2180" s="34"/>
      <c r="AG2180" s="34"/>
      <c r="AH2180" s="34"/>
      <c r="AI2180" s="34"/>
      <c r="AJ2180" s="34"/>
      <c r="AK2180" s="34"/>
      <c r="AL2180" s="34"/>
      <c r="AM2180" s="34"/>
      <c r="AN2180" s="34"/>
      <c r="AO2180" s="34"/>
      <c r="AP2180" s="34"/>
      <c r="AQ2180" s="34"/>
      <c r="AR2180" s="34"/>
      <c r="AS2180" s="34"/>
      <c r="AT2180" s="34"/>
      <c r="AU2180" s="34"/>
      <c r="AV2180" s="34"/>
      <c r="AW2180" s="34"/>
      <c r="AX2180" s="34"/>
      <c r="AY2180" s="34"/>
      <c r="AZ2180" s="34"/>
      <c r="BA2180" s="34"/>
      <c r="BB2180" s="34"/>
      <c r="BC2180" s="34"/>
      <c r="BD2180" s="34"/>
      <c r="BE2180" s="34"/>
      <c r="BF2180" s="34"/>
      <c r="BG2180" s="34"/>
      <c r="BH2180" s="34"/>
      <c r="BI2180" s="34"/>
      <c r="BJ2180" s="34"/>
      <c r="BK2180" s="34"/>
      <c r="BL2180" s="34"/>
      <c r="BM2180" s="34"/>
      <c r="BN2180" s="34"/>
      <c r="BO2180" s="34"/>
      <c r="BP2180" s="34"/>
      <c r="BQ2180" s="34"/>
      <c r="BR2180" s="34"/>
      <c r="BS2180" s="34"/>
      <c r="BT2180" s="34"/>
      <c r="BU2180" s="34"/>
      <c r="BV2180" s="34"/>
      <c r="BW2180" s="34"/>
      <c r="BX2180" s="34"/>
      <c r="BY2180" s="34"/>
      <c r="BZ2180" s="34"/>
      <c r="CA2180" s="34"/>
      <c r="CB2180" s="34"/>
      <c r="CC2180" s="34"/>
      <c r="CD2180" s="34"/>
      <c r="CE2180" s="34"/>
      <c r="CF2180" s="34"/>
      <c r="CG2180" s="34"/>
      <c r="CH2180" s="34"/>
      <c r="CI2180" s="8"/>
    </row>
    <row r="2181" spans="1:87" x14ac:dyDescent="0.2">
      <c r="A2181" s="8" t="str">
        <f>IF(AND(COUNTIF(W$3:W$13,A$32)&gt;0,A$32&lt;&gt;B2070),A$32,IFERROR(IF(MATCH(A$32,Z$3:Z$13,0)=5,A$32," ")," "))</f>
        <v>C18</v>
      </c>
      <c r="B2181" s="8">
        <f>IF(A2181=" "," ",MAX(B2164:B2180)+1)</f>
        <v>8</v>
      </c>
      <c r="C2181" s="8"/>
      <c r="D2181" s="8"/>
      <c r="E2181" s="8"/>
      <c r="F2181" s="8"/>
      <c r="G2181" s="8"/>
      <c r="H2181" s="8"/>
      <c r="I2181" s="8"/>
      <c r="J2181" s="8"/>
      <c r="K2181" s="8"/>
      <c r="L2181" s="8"/>
      <c r="M2181" s="8"/>
      <c r="N2181" s="8"/>
      <c r="O2181" s="8"/>
      <c r="P2181" s="8"/>
      <c r="Q2181" s="8"/>
      <c r="R2181" s="8"/>
      <c r="S2181" s="8"/>
      <c r="U2181" s="34"/>
      <c r="V2181" s="34"/>
      <c r="W2181" s="34"/>
      <c r="X2181" s="34"/>
      <c r="Y2181" s="34"/>
      <c r="Z2181" s="34"/>
      <c r="AA2181" s="34"/>
      <c r="AB2181" s="34"/>
      <c r="AC2181" s="34"/>
      <c r="AD2181" s="34"/>
      <c r="AE2181" s="34"/>
      <c r="AF2181" s="34"/>
      <c r="AG2181" s="34"/>
      <c r="AH2181" s="34"/>
      <c r="AI2181" s="34"/>
      <c r="AJ2181" s="34"/>
      <c r="AK2181" s="34"/>
      <c r="AL2181" s="34"/>
      <c r="AM2181" s="34"/>
      <c r="AN2181" s="34"/>
      <c r="AO2181" s="34"/>
      <c r="AP2181" s="34"/>
      <c r="AQ2181" s="34"/>
      <c r="AR2181" s="34"/>
      <c r="AS2181" s="34"/>
      <c r="AT2181" s="34"/>
      <c r="AU2181" s="34"/>
      <c r="AV2181" s="34"/>
      <c r="AW2181" s="34"/>
      <c r="AX2181" s="34"/>
      <c r="AY2181" s="34"/>
      <c r="AZ2181" s="34"/>
      <c r="BA2181" s="34"/>
      <c r="BB2181" s="34"/>
      <c r="BC2181" s="34"/>
      <c r="BD2181" s="34"/>
      <c r="BE2181" s="34"/>
      <c r="BF2181" s="34"/>
      <c r="BG2181" s="34"/>
      <c r="BH2181" s="34"/>
      <c r="BI2181" s="34"/>
      <c r="BJ2181" s="34"/>
      <c r="BK2181" s="34"/>
      <c r="BL2181" s="34"/>
      <c r="BM2181" s="34"/>
      <c r="BN2181" s="34"/>
      <c r="BO2181" s="34"/>
      <c r="BP2181" s="34"/>
      <c r="BQ2181" s="34"/>
      <c r="BR2181" s="34"/>
      <c r="BS2181" s="34"/>
      <c r="BT2181" s="34"/>
      <c r="BU2181" s="34"/>
      <c r="BV2181" s="34"/>
      <c r="BW2181" s="34"/>
      <c r="BX2181" s="34"/>
      <c r="BY2181" s="34"/>
      <c r="BZ2181" s="34"/>
      <c r="CA2181" s="34"/>
      <c r="CB2181" s="34"/>
      <c r="CC2181" s="34"/>
      <c r="CD2181" s="34"/>
      <c r="CE2181" s="34"/>
      <c r="CF2181" s="34"/>
      <c r="CG2181" s="34"/>
      <c r="CH2181" s="34"/>
      <c r="CI2181" s="8"/>
    </row>
    <row r="2182" spans="1:87" x14ac:dyDescent="0.2">
      <c r="A2182" s="8" t="str">
        <f>IF(AND(COUNTIF(W$3:W$13,A$33)&gt;0,A$33&lt;&gt;B2070),A$33,IFERROR(IF(MATCH(A$33,Z$3:Z$13,0)=5,A$33," ")," "))</f>
        <v>C19</v>
      </c>
      <c r="B2182" s="8">
        <f>IF(A2182=" "," ",MAX(B2164:B2181)+1)</f>
        <v>9</v>
      </c>
      <c r="C2182" s="8"/>
      <c r="D2182" s="8"/>
      <c r="E2182" s="8"/>
      <c r="F2182" s="8"/>
      <c r="G2182" s="8"/>
      <c r="H2182" s="8"/>
      <c r="I2182" s="8"/>
      <c r="J2182" s="8"/>
      <c r="K2182" s="8"/>
      <c r="L2182" s="8"/>
      <c r="M2182" s="8"/>
      <c r="N2182" s="8"/>
      <c r="O2182" s="8"/>
      <c r="P2182" s="8"/>
      <c r="Q2182" s="8"/>
      <c r="R2182" s="8"/>
      <c r="S2182" s="8"/>
      <c r="U2182" s="34"/>
      <c r="V2182" s="34"/>
      <c r="W2182" s="34"/>
      <c r="X2182" s="34"/>
      <c r="Y2182" s="34"/>
      <c r="Z2182" s="34"/>
      <c r="AA2182" s="34"/>
      <c r="AB2182" s="34"/>
      <c r="AC2182" s="34"/>
      <c r="AD2182" s="34"/>
      <c r="AE2182" s="34"/>
      <c r="AF2182" s="34"/>
      <c r="AG2182" s="34"/>
      <c r="AH2182" s="34"/>
      <c r="AI2182" s="34"/>
      <c r="AJ2182" s="34"/>
      <c r="AK2182" s="34"/>
      <c r="AL2182" s="34"/>
      <c r="AM2182" s="34"/>
      <c r="AN2182" s="34"/>
      <c r="AO2182" s="34"/>
      <c r="AP2182" s="34"/>
      <c r="AQ2182" s="34"/>
      <c r="AR2182" s="34"/>
      <c r="AS2182" s="34"/>
      <c r="AT2182" s="34"/>
      <c r="AU2182" s="34"/>
      <c r="AV2182" s="34"/>
      <c r="AW2182" s="34"/>
      <c r="AX2182" s="34"/>
      <c r="AY2182" s="34"/>
      <c r="AZ2182" s="34"/>
      <c r="BA2182" s="34"/>
      <c r="BB2182" s="34"/>
      <c r="BC2182" s="34"/>
      <c r="BD2182" s="34"/>
      <c r="BE2182" s="34"/>
      <c r="BF2182" s="34"/>
      <c r="BG2182" s="34"/>
      <c r="BH2182" s="34"/>
      <c r="BI2182" s="34"/>
      <c r="BJ2182" s="34"/>
      <c r="BK2182" s="34"/>
      <c r="BL2182" s="34"/>
      <c r="BM2182" s="34"/>
      <c r="BN2182" s="34"/>
      <c r="BO2182" s="34"/>
      <c r="BP2182" s="34"/>
      <c r="BQ2182" s="34"/>
      <c r="BR2182" s="34"/>
      <c r="BS2182" s="34"/>
      <c r="BT2182" s="34"/>
      <c r="BU2182" s="34"/>
      <c r="BV2182" s="34"/>
      <c r="BW2182" s="34"/>
      <c r="BX2182" s="34"/>
      <c r="BY2182" s="34"/>
      <c r="BZ2182" s="34"/>
      <c r="CA2182" s="34"/>
      <c r="CB2182" s="34"/>
      <c r="CC2182" s="34"/>
      <c r="CD2182" s="34"/>
      <c r="CE2182" s="34"/>
      <c r="CF2182" s="34"/>
      <c r="CG2182" s="34"/>
      <c r="CH2182" s="34"/>
      <c r="CI2182" s="8"/>
    </row>
    <row r="2183" spans="1:87" x14ac:dyDescent="0.2">
      <c r="A2183" s="8" t="str">
        <f>IF(AND(COUNTIF(W$3:W$13,A$34)&gt;0,A$34&lt;&gt;B2070),A$34,IFERROR(IF(MATCH(A$34,Z$3:Z$13,0)=5,A$34," ")," "))</f>
        <v xml:space="preserve"> </v>
      </c>
      <c r="B2183" s="8" t="str">
        <f>IF(A2183=" "," ",MAX(B2164:B2182)+1)</f>
        <v xml:space="preserve"> </v>
      </c>
      <c r="C2183" s="8"/>
      <c r="D2183" s="8"/>
      <c r="E2183" s="8"/>
      <c r="F2183" s="8"/>
      <c r="G2183" s="8"/>
      <c r="H2183" s="8"/>
      <c r="I2183" s="8"/>
      <c r="J2183" s="8"/>
      <c r="K2183" s="8"/>
      <c r="L2183" s="8"/>
      <c r="M2183" s="8"/>
      <c r="N2183" s="8"/>
      <c r="O2183" s="8"/>
      <c r="P2183" s="8"/>
      <c r="Q2183" s="8"/>
      <c r="R2183" s="8"/>
      <c r="S2183" s="8"/>
      <c r="U2183" s="34"/>
      <c r="V2183" s="34"/>
      <c r="W2183" s="34"/>
      <c r="X2183" s="34"/>
      <c r="Y2183" s="34"/>
      <c r="Z2183" s="34"/>
      <c r="AA2183" s="34"/>
      <c r="AB2183" s="34"/>
      <c r="AC2183" s="34"/>
      <c r="AD2183" s="34"/>
      <c r="AE2183" s="34"/>
      <c r="AF2183" s="34"/>
      <c r="AG2183" s="34"/>
      <c r="AH2183" s="34"/>
      <c r="AI2183" s="34"/>
      <c r="AJ2183" s="34"/>
      <c r="AK2183" s="34"/>
      <c r="AL2183" s="34"/>
      <c r="AM2183" s="34"/>
      <c r="AN2183" s="34"/>
      <c r="AO2183" s="34"/>
      <c r="AP2183" s="34"/>
      <c r="AQ2183" s="34"/>
      <c r="AR2183" s="34"/>
      <c r="AS2183" s="34"/>
      <c r="AT2183" s="34"/>
      <c r="AU2183" s="34"/>
      <c r="AV2183" s="34"/>
      <c r="AW2183" s="34"/>
      <c r="AX2183" s="34"/>
      <c r="AY2183" s="34"/>
      <c r="AZ2183" s="34"/>
      <c r="BA2183" s="34"/>
      <c r="BB2183" s="34"/>
      <c r="BC2183" s="34"/>
      <c r="BD2183" s="34"/>
      <c r="BE2183" s="34"/>
      <c r="BF2183" s="34"/>
      <c r="BG2183" s="34"/>
      <c r="BH2183" s="34"/>
      <c r="BI2183" s="34"/>
      <c r="BJ2183" s="34"/>
      <c r="BK2183" s="34"/>
      <c r="BL2183" s="34"/>
      <c r="BM2183" s="34"/>
      <c r="BN2183" s="34"/>
      <c r="BO2183" s="34"/>
      <c r="BP2183" s="34"/>
      <c r="BQ2183" s="34"/>
      <c r="BR2183" s="34"/>
      <c r="BS2183" s="34"/>
      <c r="BT2183" s="34"/>
      <c r="BU2183" s="34"/>
      <c r="BV2183" s="34"/>
      <c r="BW2183" s="34"/>
      <c r="BX2183" s="34"/>
      <c r="BY2183" s="34"/>
      <c r="BZ2183" s="34"/>
      <c r="CA2183" s="34"/>
      <c r="CB2183" s="34"/>
      <c r="CC2183" s="34"/>
      <c r="CD2183" s="34"/>
      <c r="CE2183" s="34"/>
      <c r="CF2183" s="34"/>
      <c r="CG2183" s="34"/>
      <c r="CH2183" s="34"/>
      <c r="CI2183" s="8"/>
    </row>
    <row r="2184" spans="1:87" x14ac:dyDescent="0.2">
      <c r="A2184" s="8" t="str">
        <f>IF(AND(COUNTIF(W$3:W$13,A$35)&gt;0,A$35&lt;&gt;B2070),A$35,IFERROR(IF(MATCH(A$35,Z$3:Z$13,0)=5,A$35," ")," "))</f>
        <v>C21</v>
      </c>
      <c r="B2184" s="8">
        <f>IF(A2184=" "," ",MAX(B2164:B2183)+1)</f>
        <v>10</v>
      </c>
      <c r="C2184" s="8"/>
      <c r="D2184" s="8"/>
      <c r="E2184" s="8"/>
      <c r="F2184" s="8"/>
      <c r="G2184" s="8"/>
      <c r="H2184" s="8"/>
      <c r="I2184" s="8"/>
      <c r="J2184" s="8"/>
      <c r="K2184" s="8"/>
      <c r="L2184" s="8"/>
      <c r="M2184" s="8"/>
      <c r="N2184" s="8"/>
      <c r="O2184" s="8"/>
      <c r="P2184" s="8"/>
      <c r="Q2184" s="8"/>
      <c r="R2184" s="8"/>
      <c r="S2184" s="8"/>
      <c r="U2184" s="34"/>
      <c r="V2184" s="34"/>
      <c r="W2184" s="34"/>
      <c r="X2184" s="34"/>
      <c r="Y2184" s="34"/>
      <c r="Z2184" s="34"/>
      <c r="AA2184" s="34"/>
      <c r="AB2184" s="34"/>
      <c r="AC2184" s="34"/>
      <c r="AD2184" s="34"/>
      <c r="AE2184" s="34"/>
      <c r="AF2184" s="34"/>
      <c r="AG2184" s="34"/>
      <c r="AH2184" s="34"/>
      <c r="AI2184" s="34"/>
      <c r="AJ2184" s="34"/>
      <c r="AK2184" s="34"/>
      <c r="AL2184" s="34"/>
      <c r="AM2184" s="34"/>
      <c r="AN2184" s="34"/>
      <c r="AO2184" s="34"/>
      <c r="AP2184" s="34"/>
      <c r="AQ2184" s="34"/>
      <c r="AR2184" s="34"/>
      <c r="AS2184" s="34"/>
      <c r="AT2184" s="34"/>
      <c r="AU2184" s="34"/>
      <c r="AV2184" s="34"/>
      <c r="AW2184" s="34"/>
      <c r="AX2184" s="34"/>
      <c r="AY2184" s="34"/>
      <c r="AZ2184" s="34"/>
      <c r="BA2184" s="34"/>
      <c r="BB2184" s="34"/>
      <c r="BC2184" s="34"/>
      <c r="BD2184" s="34"/>
      <c r="BE2184" s="34"/>
      <c r="BF2184" s="34"/>
      <c r="BG2184" s="34"/>
      <c r="BH2184" s="34"/>
      <c r="BI2184" s="34"/>
      <c r="BJ2184" s="34"/>
      <c r="BK2184" s="34"/>
      <c r="BL2184" s="34"/>
      <c r="BM2184" s="34"/>
      <c r="BN2184" s="34"/>
      <c r="BO2184" s="34"/>
      <c r="BP2184" s="34"/>
      <c r="BQ2184" s="34"/>
      <c r="BR2184" s="34"/>
      <c r="BS2184" s="34"/>
      <c r="BT2184" s="34"/>
      <c r="BU2184" s="34"/>
      <c r="BV2184" s="34"/>
      <c r="BW2184" s="34"/>
      <c r="BX2184" s="34"/>
      <c r="BY2184" s="34"/>
      <c r="BZ2184" s="34"/>
      <c r="CA2184" s="34"/>
      <c r="CB2184" s="34"/>
      <c r="CC2184" s="34"/>
      <c r="CD2184" s="34"/>
      <c r="CE2184" s="34"/>
      <c r="CF2184" s="34"/>
      <c r="CG2184" s="34"/>
      <c r="CH2184" s="34"/>
      <c r="CI2184" s="8"/>
    </row>
    <row r="2185" spans="1:87" x14ac:dyDescent="0.2">
      <c r="A2185" s="8" t="str">
        <f>IF(AND(COUNTIF(W$3:W$13,A$36)&gt;0,A$36&lt;&gt;B2070),A$36,IFERROR(IF(MATCH(A$36,Z$3:Z$13,0)=5,A$36," ")," "))</f>
        <v>C22</v>
      </c>
      <c r="B2185" s="8">
        <f>IF(A2185=" "," ",MAX(B2164:B2184)+1)</f>
        <v>11</v>
      </c>
      <c r="C2185" s="8"/>
      <c r="D2185" s="8"/>
      <c r="E2185" s="8"/>
      <c r="F2185" s="8"/>
      <c r="G2185" s="8"/>
      <c r="H2185" s="8"/>
      <c r="I2185" s="8"/>
      <c r="J2185" s="8"/>
      <c r="K2185" s="8"/>
      <c r="L2185" s="8"/>
      <c r="M2185" s="8"/>
      <c r="N2185" s="8"/>
      <c r="O2185" s="8"/>
      <c r="P2185" s="8"/>
      <c r="Q2185" s="8"/>
      <c r="R2185" s="8"/>
      <c r="S2185" s="8"/>
      <c r="U2185" s="34"/>
      <c r="V2185" s="34"/>
      <c r="W2185" s="34"/>
      <c r="X2185" s="34"/>
      <c r="Y2185" s="34"/>
      <c r="Z2185" s="34"/>
      <c r="AA2185" s="34"/>
      <c r="AB2185" s="34"/>
      <c r="AC2185" s="34"/>
      <c r="AD2185" s="34"/>
      <c r="AE2185" s="34"/>
      <c r="AF2185" s="34"/>
      <c r="AG2185" s="34"/>
      <c r="AH2185" s="34"/>
      <c r="AI2185" s="34"/>
      <c r="AJ2185" s="34"/>
      <c r="AK2185" s="34"/>
      <c r="AL2185" s="34"/>
      <c r="AM2185" s="34"/>
      <c r="AN2185" s="34"/>
      <c r="AO2185" s="34"/>
      <c r="AP2185" s="34"/>
      <c r="AQ2185" s="34"/>
      <c r="AR2185" s="34"/>
      <c r="AS2185" s="34"/>
      <c r="AT2185" s="34"/>
      <c r="AU2185" s="34"/>
      <c r="AV2185" s="34"/>
      <c r="AW2185" s="34"/>
      <c r="AX2185" s="34"/>
      <c r="AY2185" s="34"/>
      <c r="AZ2185" s="34"/>
      <c r="BA2185" s="34"/>
      <c r="BB2185" s="34"/>
      <c r="BC2185" s="34"/>
      <c r="BD2185" s="34"/>
      <c r="BE2185" s="34"/>
      <c r="BF2185" s="34"/>
      <c r="BG2185" s="34"/>
      <c r="BH2185" s="34"/>
      <c r="BI2185" s="34"/>
      <c r="BJ2185" s="34"/>
      <c r="BK2185" s="34"/>
      <c r="BL2185" s="34"/>
      <c r="BM2185" s="34"/>
      <c r="BN2185" s="34"/>
      <c r="BO2185" s="34"/>
      <c r="BP2185" s="34"/>
      <c r="BQ2185" s="34"/>
      <c r="BR2185" s="34"/>
      <c r="BS2185" s="34"/>
      <c r="BT2185" s="34"/>
      <c r="BU2185" s="34"/>
      <c r="BV2185" s="34"/>
      <c r="BW2185" s="34"/>
      <c r="BX2185" s="34"/>
      <c r="BY2185" s="34"/>
      <c r="BZ2185" s="34"/>
      <c r="CA2185" s="34"/>
      <c r="CB2185" s="34"/>
      <c r="CC2185" s="34"/>
      <c r="CD2185" s="34"/>
      <c r="CE2185" s="34"/>
      <c r="CF2185" s="34"/>
      <c r="CG2185" s="34"/>
      <c r="CH2185" s="34"/>
      <c r="CI2185" s="8"/>
    </row>
    <row r="2186" spans="1:87" x14ac:dyDescent="0.2">
      <c r="A2186" s="11" t="s">
        <v>17</v>
      </c>
      <c r="B2186" s="11"/>
      <c r="C2186" s="27" t="s">
        <v>18</v>
      </c>
      <c r="D2186" s="27" t="s">
        <v>2</v>
      </c>
      <c r="E2186" s="27" t="s">
        <v>6</v>
      </c>
      <c r="F2186" s="27" t="s">
        <v>15</v>
      </c>
      <c r="G2186" s="27" t="s">
        <v>36</v>
      </c>
      <c r="H2186" s="27" t="s">
        <v>37</v>
      </c>
      <c r="I2186" s="27" t="s">
        <v>38</v>
      </c>
      <c r="J2186" s="27" t="s">
        <v>39</v>
      </c>
      <c r="K2186" s="27" t="s">
        <v>40</v>
      </c>
      <c r="L2186" s="27" t="s">
        <v>41</v>
      </c>
      <c r="M2186" s="27" t="s">
        <v>42</v>
      </c>
      <c r="N2186" s="27" t="s">
        <v>43</v>
      </c>
      <c r="O2186" s="27" t="s">
        <v>9</v>
      </c>
      <c r="P2186" s="27" t="s">
        <v>12</v>
      </c>
      <c r="Q2186" s="27" t="s">
        <v>19</v>
      </c>
      <c r="R2186" s="27" t="s">
        <v>55</v>
      </c>
      <c r="S2186" s="27" t="s">
        <v>26</v>
      </c>
      <c r="T2186" s="19" t="s">
        <v>25</v>
      </c>
      <c r="U2186" s="33" t="s">
        <v>27</v>
      </c>
      <c r="V2186" s="33" t="s">
        <v>9</v>
      </c>
      <c r="W2186" s="33" t="s">
        <v>23</v>
      </c>
      <c r="X2186" s="33" t="s">
        <v>12</v>
      </c>
      <c r="Y2186" s="33" t="s">
        <v>26</v>
      </c>
      <c r="Z2186" s="33" t="s">
        <v>25</v>
      </c>
      <c r="AA2186" s="33" t="s">
        <v>27</v>
      </c>
      <c r="AB2186" s="33" t="s">
        <v>9</v>
      </c>
      <c r="AC2186" s="33" t="s">
        <v>23</v>
      </c>
      <c r="AD2186" s="33" t="s">
        <v>12</v>
      </c>
      <c r="AE2186" s="33" t="s">
        <v>26</v>
      </c>
      <c r="AF2186" s="33" t="s">
        <v>25</v>
      </c>
      <c r="AG2186" s="33" t="s">
        <v>27</v>
      </c>
      <c r="AH2186" s="33" t="s">
        <v>9</v>
      </c>
      <c r="AI2186" s="33" t="s">
        <v>23</v>
      </c>
      <c r="AJ2186" s="33" t="s">
        <v>12</v>
      </c>
      <c r="AK2186" s="33" t="s">
        <v>26</v>
      </c>
      <c r="AL2186" s="33" t="s">
        <v>25</v>
      </c>
      <c r="AM2186" s="33" t="s">
        <v>27</v>
      </c>
      <c r="AN2186" s="33" t="s">
        <v>9</v>
      </c>
      <c r="AO2186" s="33" t="s">
        <v>23</v>
      </c>
      <c r="AP2186" s="33" t="s">
        <v>12</v>
      </c>
      <c r="AQ2186" s="33" t="s">
        <v>26</v>
      </c>
      <c r="AR2186" s="33" t="s">
        <v>25</v>
      </c>
      <c r="AS2186" s="33" t="s">
        <v>27</v>
      </c>
      <c r="AT2186" s="33" t="s">
        <v>9</v>
      </c>
      <c r="AU2186" s="33" t="s">
        <v>23</v>
      </c>
      <c r="AV2186" s="33" t="s">
        <v>12</v>
      </c>
      <c r="AW2186" s="33" t="s">
        <v>26</v>
      </c>
      <c r="AX2186" s="33" t="s">
        <v>25</v>
      </c>
      <c r="AY2186" s="33" t="s">
        <v>27</v>
      </c>
      <c r="AZ2186" s="33" t="s">
        <v>9</v>
      </c>
      <c r="BA2186" s="33" t="s">
        <v>23</v>
      </c>
      <c r="BB2186" s="33" t="s">
        <v>12</v>
      </c>
      <c r="BC2186" s="33" t="s">
        <v>26</v>
      </c>
      <c r="BD2186" s="33" t="s">
        <v>25</v>
      </c>
      <c r="BE2186" s="33" t="s">
        <v>27</v>
      </c>
      <c r="BF2186" s="33" t="s">
        <v>9</v>
      </c>
      <c r="BG2186" s="33" t="s">
        <v>23</v>
      </c>
      <c r="BH2186" s="33" t="s">
        <v>12</v>
      </c>
      <c r="BI2186" s="33" t="s">
        <v>26</v>
      </c>
      <c r="BJ2186" s="33" t="s">
        <v>25</v>
      </c>
      <c r="BK2186" s="33" t="s">
        <v>27</v>
      </c>
      <c r="BL2186" s="33" t="s">
        <v>9</v>
      </c>
      <c r="BM2186" s="33" t="s">
        <v>23</v>
      </c>
      <c r="BN2186" s="33" t="s">
        <v>12</v>
      </c>
      <c r="BO2186" s="33" t="s">
        <v>26</v>
      </c>
      <c r="BP2186" s="33" t="s">
        <v>25</v>
      </c>
      <c r="BQ2186" s="33" t="s">
        <v>27</v>
      </c>
      <c r="BR2186" s="33" t="s">
        <v>9</v>
      </c>
      <c r="BS2186" s="33" t="s">
        <v>23</v>
      </c>
      <c r="BT2186" s="33" t="s">
        <v>12</v>
      </c>
      <c r="BU2186" s="33" t="s">
        <v>26</v>
      </c>
      <c r="BV2186" s="33" t="s">
        <v>25</v>
      </c>
      <c r="BW2186" s="33" t="s">
        <v>27</v>
      </c>
      <c r="BX2186" s="33" t="s">
        <v>9</v>
      </c>
      <c r="BY2186" s="33" t="s">
        <v>23</v>
      </c>
      <c r="BZ2186" s="33" t="s">
        <v>12</v>
      </c>
      <c r="CA2186" s="33" t="s">
        <v>26</v>
      </c>
      <c r="CB2186" s="33" t="s">
        <v>25</v>
      </c>
      <c r="CC2186" s="33" t="s">
        <v>27</v>
      </c>
      <c r="CD2186" s="33" t="s">
        <v>9</v>
      </c>
      <c r="CE2186" s="33" t="s">
        <v>23</v>
      </c>
      <c r="CF2186" s="33" t="s">
        <v>12</v>
      </c>
      <c r="CG2186" s="33" t="s">
        <v>26</v>
      </c>
      <c r="CH2186" s="33" t="s">
        <v>25</v>
      </c>
      <c r="CI2186" s="8"/>
    </row>
    <row r="2187" spans="1:87" x14ac:dyDescent="0.2">
      <c r="A2187" s="8" t="str">
        <f>IF(AND(COUNTIF(W$3:W$13,A$15)&gt;0,A$15&lt;&gt;B2070),A$15,IFERROR(IF(MATCH(A$15,Z$3:Z$13,0)=6,A$15," ")," "))</f>
        <v xml:space="preserve"> </v>
      </c>
      <c r="B2187" s="8" t="str">
        <f>IF(A2187=" "," ",1)</f>
        <v xml:space="preserve"> </v>
      </c>
      <c r="C2187" s="8" t="str">
        <f>IFERROR(INDEX(A2187:A2208,MATCH(SMALL(B2187:B2208,1),B2187:B2208,0),1)," ")</f>
        <v>C3</v>
      </c>
      <c r="D2187" s="8">
        <f>IFERROR(VLOOKUP($C2187,$A$15:$O$36,2,FALSE)," ")</f>
        <v>2</v>
      </c>
      <c r="E2187" s="8">
        <f>IFERROR(VLOOKUP($C2187,$A$15:$O$36,3,FALSE)," ")</f>
        <v>5</v>
      </c>
      <c r="F2187" s="8">
        <f>IFERROR(VLOOKUP($C2187,$A$15:$O$36,4,FALSE)," ")</f>
        <v>6</v>
      </c>
      <c r="G2187" s="8">
        <f>IFERROR(VLOOKUP($C2187,$A$15:$O$36,5,FALSE)," ")</f>
        <v>0</v>
      </c>
      <c r="H2187" s="8">
        <f>IFERROR(VLOOKUP($C2187,$A$15:$O$36,6,FALSE)," ")</f>
        <v>0</v>
      </c>
      <c r="I2187" s="8">
        <f>IFERROR(VLOOKUP($C2187,$A$15:$O$36,7,FALSE)," ")</f>
        <v>0</v>
      </c>
      <c r="J2187" s="8">
        <f>IFERROR(VLOOKUP($C2187,$A$15:$O$36,8,FALSE)," ")</f>
        <v>0</v>
      </c>
      <c r="K2187" s="8">
        <f>IFERROR(VLOOKUP($C2187,$A$15:$O$36,9,FALSE)," ")</f>
        <v>0</v>
      </c>
      <c r="L2187" s="8">
        <f>IFERROR(VLOOKUP($C2187,$A$15:$O$36,10,FALSE)," ")</f>
        <v>0</v>
      </c>
      <c r="M2187" s="8">
        <f>IFERROR(VLOOKUP($C2187,$A$15:$O$36,11,FALSE)," ")</f>
        <v>0</v>
      </c>
      <c r="N2187" s="8">
        <f>IFERROR(VLOOKUP($C2187,$A$15:$O$36,12,FALSE)," ")</f>
        <v>0</v>
      </c>
      <c r="O2187" s="8">
        <f>IFERROR(VLOOKUP($C2187,$A$15:$O$36,15,FALSE)," ")</f>
        <v>2000</v>
      </c>
      <c r="P2187" s="8" t="e">
        <f t="array" ref="P2187:P2197">MMULT(MINVERSE(D2187:N2197),O2187:O2197)</f>
        <v>#NUM!</v>
      </c>
      <c r="Q2187" s="8" t="e">
        <f t="shared" ref="Q2187" si="9485">IF(COUNTIF(P2187:P2197,"&lt;"&amp;-0.001)=0,IF(ABS(P2187)&lt;0.001,0,P2187)," ")</f>
        <v>#NUM!</v>
      </c>
      <c r="R2187" s="8" t="str">
        <f>IFERROR(VLOOKUP(B2070,A$15:L$36,2,FALSE)*Q2187+VLOOKUP(B2070,A$15:L$36,3,FALSE)*Q2188+VLOOKUP(B2070,A$15:L$36,4,FALSE)*Q2189+VLOOKUP(B2070,A$15:L$36,5,FALSE)*Q2190+VLOOKUP(B2070,A$15:L$36,6,FALSE)*Q2191+VLOOKUP(B2070,A$15:L$36,7,FALSE)*Q2192+VLOOKUP(B2070,A$15:L$36,8,FALSE)*Q2193+VLOOKUP(B2070,A$15:L$36,9,FALSE)*Q2194+VLOOKUP(B2070,A$15:L$36,10,FALSE)*Q2195+VLOOKUP(B2070,A$15:L$36,11,FALSE)*Q2196+VLOOKUP(B2070,A$15:L$36,12,FALSE)*Q2197," ")</f>
        <v xml:space="preserve"> </v>
      </c>
      <c r="S2187" s="8" t="str">
        <f>IFERROR(IF(R2187-VLOOKUP(B2070,A$15:O$36,15,FALSE)&lt;0,R2187-VLOOKUP(B2070,A$15:O$36,15,FALSE)," ")," ")</f>
        <v xml:space="preserve"> </v>
      </c>
      <c r="T2187" s="18" t="str">
        <f>IFERROR(IF(R2187-VLOOKUP(B2070,A$15:O$36,15,FALSE)&gt;0,R2187-VLOOKUP(B2070,A$15:O$36,15,FALSE)," ")," ")</f>
        <v xml:space="preserve"> </v>
      </c>
      <c r="U2187" s="34">
        <f t="shared" ref="U2187" si="9486">$M$2</f>
        <v>100.00000000000001</v>
      </c>
      <c r="V2187" s="34">
        <v>-1</v>
      </c>
      <c r="W2187" s="34">
        <f t="shared" ref="W2187" si="9487">-SUMPRODUCT($M$3:$M$12,$N$3:$N$12)</f>
        <v>-105000</v>
      </c>
      <c r="X2187" s="34" t="e">
        <f t="shared" ref="X2187" si="9488">IF(U2187&lt;&gt;U2188,MMULT(MINVERSE(U2187:V2188),W2187:W2188)," ")</f>
        <v>#NUM!</v>
      </c>
      <c r="Y2187" s="34" t="str">
        <f t="shared" ref="Y2187" si="9489">IFERROR(IF(X2187-VLOOKUP(U$38,$A$2:$N$12,14,FALSE)&lt;0,X2187-VLOOKUP(U$38,$A$2:$N$12,14,FALSE)," ")," ")</f>
        <v xml:space="preserve"> </v>
      </c>
      <c r="Z2187" s="34" t="str">
        <f t="shared" ref="Z2187" si="9490">IFERROR(IF(X2187-VLOOKUP(U$38,$A$2:$N$12,14,FALSE)&gt;0,X2187-VLOOKUP(U$38,$A$2:$N$12,14,FALSE)," ")," ")</f>
        <v xml:space="preserve"> </v>
      </c>
      <c r="AA2187" s="34">
        <f t="shared" ref="AA2187" si="9491">$M$3</f>
        <v>0</v>
      </c>
      <c r="AB2187" s="34">
        <v>-1</v>
      </c>
      <c r="AC2187" s="34">
        <f t="shared" ref="AC2187" si="9492">-SUMPRODUCT($M$2:$M$2,$N$2:$N$2)-SUMPRODUCT($M$4:$M$12,$N$4:$N$12)</f>
        <v>-120000</v>
      </c>
      <c r="AD2187" s="34" t="e">
        <f t="shared" ref="AD2187" si="9493">IF(AA2187&lt;&gt;AA2188,MMULT(MINVERSE(AA2187:AB2188),AC2187:AC2188)," ")</f>
        <v>#NUM!</v>
      </c>
      <c r="AE2187" s="34" t="str">
        <f t="shared" ref="AE2187" si="9494">IFERROR(IF(AD2187-VLOOKUP(AA$38,$A$2:$N$12,14,FALSE)&lt;0,AD2187-VLOOKUP(AA$38,$A$2:$N$12,14,FALSE)," ")," ")</f>
        <v xml:space="preserve"> </v>
      </c>
      <c r="AF2187" s="34" t="str">
        <f t="shared" ref="AF2187" si="9495">IFERROR(IF(AD2187-VLOOKUP(AA$38,$A$2:$N$12,14,FALSE)&gt;0,AD2187-VLOOKUP(AA$38,$A$2:$N$12,14,FALSE)," ")," ")</f>
        <v xml:space="preserve"> </v>
      </c>
      <c r="AG2187" s="34">
        <f t="shared" ref="AG2187" si="9496">$M$4</f>
        <v>300</v>
      </c>
      <c r="AH2187" s="34">
        <v>-1</v>
      </c>
      <c r="AI2187" s="34">
        <f t="shared" ref="AI2187" si="9497">-SUMPRODUCT($M$2:$M$3,$N$2:$N$3)-SUMPRODUCT($M$5:$M$12,$N$5:$N$12)</f>
        <v>-15000.000000000002</v>
      </c>
      <c r="AJ2187" s="34" t="e">
        <f t="shared" ref="AJ2187" si="9498">IF(AG2187&lt;&gt;AG2188,MMULT(MINVERSE(AG2187:AH2188),AI2187:AI2188)," ")</f>
        <v>#NUM!</v>
      </c>
      <c r="AK2187" s="34" t="str">
        <f t="shared" ref="AK2187" si="9499">IFERROR(IF(AJ2187-VLOOKUP(AG$38,$A$2:$N$12,14,FALSE)&lt;0,AJ2187-VLOOKUP(AG$38,$A$2:$N$12,14,FALSE)," ")," ")</f>
        <v xml:space="preserve"> </v>
      </c>
      <c r="AL2187" s="34" t="str">
        <f t="shared" ref="AL2187" si="9500">IFERROR(IF(AJ2187-VLOOKUP(AG$38,$A$2:$N$12,14,FALSE)&gt;0,AJ2187-VLOOKUP(AG$38,$A$2:$N$12,14,FALSE)," ")," ")</f>
        <v xml:space="preserve"> </v>
      </c>
      <c r="AM2187" s="34">
        <f t="shared" ref="AM2187" si="9501">$M$5</f>
        <v>0</v>
      </c>
      <c r="AN2187" s="34">
        <v>-1</v>
      </c>
      <c r="AO2187" s="34">
        <f t="shared" ref="AO2187" si="9502">-SUMPRODUCT($M$2:$M$4,$N$2:$N$4)-SUMPRODUCT($M$6:$M$12,$N$6:$N$12)</f>
        <v>-120000</v>
      </c>
      <c r="AP2187" s="34" t="e">
        <f t="shared" ref="AP2187" si="9503">IF(AM2187&lt;&gt;AM2188,MMULT(MINVERSE(AM2187:AN2188),AO2187:AO2188)," ")</f>
        <v>#NUM!</v>
      </c>
      <c r="AQ2187" s="34" t="str">
        <f t="shared" ref="AQ2187" si="9504">IFERROR(IF(AP2187-VLOOKUP(AM$38,$A$2:$N$12,14,FALSE)&lt;0,AP2187-VLOOKUP(AM$38,$A$2:$N$12,14,FALSE)," ")," ")</f>
        <v xml:space="preserve"> </v>
      </c>
      <c r="AR2187" s="34" t="str">
        <f t="shared" ref="AR2187" si="9505">IFERROR(IF(AP2187-VLOOKUP(AM$38,$A$2:$N$12,14,FALSE)&gt;0,AP2187-VLOOKUP(AM$38,$A$2:$N$12,14,FALSE)," ")," ")</f>
        <v xml:space="preserve"> </v>
      </c>
      <c r="AS2187" s="34">
        <f t="shared" ref="AS2187" si="9506">$M$6</f>
        <v>0</v>
      </c>
      <c r="AT2187" s="34">
        <v>-1</v>
      </c>
      <c r="AU2187" s="34">
        <f t="shared" ref="AU2187" si="9507">-SUMPRODUCT($M$2:$M$5,$N$2:$N$5)-SUMPRODUCT($M$7:$M$12,$N$7:$N$12)</f>
        <v>-120000</v>
      </c>
      <c r="AV2187" s="34" t="e">
        <f t="shared" ref="AV2187" si="9508">IF(AS2187&lt;&gt;AS2188,MMULT(MINVERSE(AS2187:AT2188),AU2187:AU2188)," ")</f>
        <v>#NUM!</v>
      </c>
      <c r="AW2187" s="34" t="str">
        <f t="shared" ref="AW2187" si="9509">IFERROR(IF(AV2187-VLOOKUP(AS$38,$A$2:$N$12,14,FALSE)&lt;0,AV2187-VLOOKUP(AS$38,$A$2:$N$12,14,FALSE)," ")," ")</f>
        <v xml:space="preserve"> </v>
      </c>
      <c r="AX2187" s="34" t="str">
        <f t="shared" ref="AX2187" si="9510">IFERROR(IF(AV2187-VLOOKUP(AS$38,$A$2:$N$12,14,FALSE)&gt;0,AV2187-VLOOKUP(AS$38,$A$2:$N$12,14,FALSE)," ")," ")</f>
        <v xml:space="preserve"> </v>
      </c>
      <c r="AY2187" s="34">
        <f t="shared" ref="AY2187" si="9511">$M$7</f>
        <v>0</v>
      </c>
      <c r="AZ2187" s="34">
        <v>-1</v>
      </c>
      <c r="BA2187" s="34">
        <f t="shared" ref="BA2187" si="9512">-SUMPRODUCT($M$2:$M$6,$N$2:$N$6)-SUMPRODUCT($M$8:$M$12,$N$8:$N$12)</f>
        <v>-120000</v>
      </c>
      <c r="BB2187" s="34" t="e">
        <f t="shared" ref="BB2187" si="9513">IF(AY2187&lt;&gt;AY2188,MMULT(MINVERSE(AY2187:AZ2188),BA2187:BA2188)," ")</f>
        <v>#NUM!</v>
      </c>
      <c r="BC2187" s="34" t="str">
        <f t="shared" ref="BC2187" si="9514">IFERROR(IF(BB2187-VLOOKUP(AY$38,$A$2:$N$12,14,FALSE)&lt;0,BB2187-VLOOKUP(AY$38,$A$2:$N$12,14,FALSE)," ")," ")</f>
        <v xml:space="preserve"> </v>
      </c>
      <c r="BD2187" s="34" t="str">
        <f t="shared" ref="BD2187" si="9515">IFERROR(IF(BB2187-VLOOKUP(AY$38,$A$2:$N$12,14,FALSE)&gt;0,BB2187-VLOOKUP(AY$38,$A$2:$N$12,14,FALSE)," ")," ")</f>
        <v xml:space="preserve"> </v>
      </c>
      <c r="BE2187" s="34">
        <f t="shared" ref="BE2187" si="9516">$M$8</f>
        <v>0</v>
      </c>
      <c r="BF2187" s="34">
        <v>-1</v>
      </c>
      <c r="BG2187" s="34">
        <f t="shared" ref="BG2187" si="9517">-SUMPRODUCT($M$2:$M$7,$N$2:$N$7)-SUMPRODUCT($M$9:$M$12,$N$9:$N$12)</f>
        <v>-120000</v>
      </c>
      <c r="BH2187" s="34" t="e">
        <f t="shared" ref="BH2187" si="9518">IF(BE2187&lt;&gt;BE2188,MMULT(MINVERSE(BE2187:BF2188),BG2187:BG2188)," ")</f>
        <v>#NUM!</v>
      </c>
      <c r="BI2187" s="34" t="str">
        <f t="shared" ref="BI2187" si="9519">IFERROR(IF(BH2187-VLOOKUP(BE$38,$A$2:$N$12,14,FALSE)&lt;0,BH2187-VLOOKUP(BE$38,$A$2:$N$12,14,FALSE)," ")," ")</f>
        <v xml:space="preserve"> </v>
      </c>
      <c r="BJ2187" s="34" t="str">
        <f t="shared" ref="BJ2187" si="9520">IFERROR(IF(BH2187-VLOOKUP(BE$38,$A$2:$N$12,14,FALSE)&gt;0,BH2187-VLOOKUP(BE$38,$A$2:$N$12,14,FALSE)," ")," ")</f>
        <v xml:space="preserve"> </v>
      </c>
      <c r="BK2187" s="34">
        <f t="shared" ref="BK2187" si="9521">$M$9</f>
        <v>0</v>
      </c>
      <c r="BL2187" s="34">
        <v>-1</v>
      </c>
      <c r="BM2187" s="34">
        <f t="shared" ref="BM2187" si="9522">-SUMPRODUCT($M$2:$M$8,$N$2:$N$8)-SUMPRODUCT($M$10:$M$12,$N$10:$N$12)</f>
        <v>-120000</v>
      </c>
      <c r="BN2187" s="34" t="e">
        <f t="shared" ref="BN2187" si="9523">IF(BK2187&lt;&gt;BK2188,MMULT(MINVERSE(BK2187:BL2188),BM2187:BM2188)," ")</f>
        <v>#NUM!</v>
      </c>
      <c r="BO2187" s="34" t="str">
        <f t="shared" ref="BO2187" si="9524">IFERROR(IF(BN2187-VLOOKUP(BK$38,$A$2:$N$12,14,FALSE)&lt;0,BN2187-VLOOKUP(BK$38,$A$2:$N$12,14,FALSE)," ")," ")</f>
        <v xml:space="preserve"> </v>
      </c>
      <c r="BP2187" s="34" t="str">
        <f t="shared" ref="BP2187" si="9525">IFERROR(IF(BN2187-VLOOKUP(BK$38,$A$2:$N$12,14,FALSE)&gt;0,BN2187-VLOOKUP(BK$38,$A$2:$N$12,14,FALSE)," ")," ")</f>
        <v xml:space="preserve"> </v>
      </c>
      <c r="BQ2187" s="34">
        <f t="shared" ref="BQ2187" si="9526">$M$10</f>
        <v>0</v>
      </c>
      <c r="BR2187" s="34">
        <v>-1</v>
      </c>
      <c r="BS2187" s="34">
        <f t="shared" ref="BS2187" si="9527">-SUMPRODUCT($M$2:$M$9,$N$2:$N$9)-SUMPRODUCT($M$11:$M$12,$N$11:$N$12)</f>
        <v>-120000</v>
      </c>
      <c r="BT2187" s="34" t="e">
        <f t="shared" ref="BT2187" si="9528">IF(BQ2187&lt;&gt;BQ2188,MMULT(MINVERSE(BQ2187:BR2188),BS2187:BS2188)," ")</f>
        <v>#NUM!</v>
      </c>
      <c r="BU2187" s="34" t="str">
        <f t="shared" ref="BU2187" si="9529">IFERROR(IF(BT2187-VLOOKUP(BQ$38,$A$2:$N$12,14,FALSE)&lt;0,BT2187-VLOOKUP(BQ$38,$A$2:$N$12,14,FALSE)," ")," ")</f>
        <v xml:space="preserve"> </v>
      </c>
      <c r="BV2187" s="34" t="str">
        <f t="shared" ref="BV2187" si="9530">IFERROR(IF(BT2187-VLOOKUP(BQ$38,$A$2:$N$12,14,FALSE)&gt;0,BT2187-VLOOKUP(BQ$38,$A$2:$N$12,14,FALSE)," ")," ")</f>
        <v xml:space="preserve"> </v>
      </c>
      <c r="BW2187" s="34">
        <f t="shared" ref="BW2187" si="9531">$M$11</f>
        <v>0</v>
      </c>
      <c r="BX2187" s="34">
        <v>-1</v>
      </c>
      <c r="BY2187" s="34">
        <f t="shared" ref="BY2187" si="9532">-SUMPRODUCT($M$2:$M$10,$N$2:$N$10)-SUMPRODUCT($M$12,$N$12)</f>
        <v>-120000</v>
      </c>
      <c r="BZ2187" s="34" t="e">
        <f t="shared" ref="BZ2187" si="9533">IF(BW2187&lt;&gt;BW2188,MMULT(MINVERSE(BW2187:BX2188),BY2187:BY2188)," ")</f>
        <v>#NUM!</v>
      </c>
      <c r="CA2187" s="34" t="str">
        <f t="shared" ref="CA2187" si="9534">IFERROR(IF(BZ2187-VLOOKUP(BW$38,$A$2:$N$12,14,FALSE)&lt;0,BZ2187-VLOOKUP(BW$38,$A$2:$N$12,14,FALSE)," ")," ")</f>
        <v xml:space="preserve"> </v>
      </c>
      <c r="CB2187" s="34" t="str">
        <f t="shared" ref="CB2187" si="9535">IFERROR(IF(BZ2187-VLOOKUP(BW$38,$A$2:$N$12,14,FALSE)&gt;0,BZ2187-VLOOKUP(BW$38,$A$2:$N$12,14,FALSE)," ")," ")</f>
        <v xml:space="preserve"> </v>
      </c>
      <c r="CC2187" s="34">
        <f t="shared" ref="CC2187" si="9536">$M$12</f>
        <v>0</v>
      </c>
      <c r="CD2187" s="34">
        <v>-1</v>
      </c>
      <c r="CE2187" s="34">
        <f t="shared" ref="CE2187" si="9537">-SUMPRODUCT($M$2:$M$11,$N$2:$N$11)</f>
        <v>-120000</v>
      </c>
      <c r="CF2187" s="34" t="e">
        <f t="shared" ref="CF2187" si="9538">IF(CC2187&lt;&gt;CC2188,MMULT(MINVERSE(CC2187:CD2188),CE2187:CE2188)," ")</f>
        <v>#NUM!</v>
      </c>
      <c r="CG2187" s="34" t="str">
        <f t="shared" ref="CG2187" si="9539">IFERROR(IF(CF2187-VLOOKUP(CC$38,$A$2:$N$12,14,FALSE)&lt;0,CF2187-VLOOKUP(CC$38,$A$2:$N$12,14,FALSE)," ")," ")</f>
        <v xml:space="preserve"> </v>
      </c>
      <c r="CH2187" s="34" t="str">
        <f t="shared" ref="CH2187" si="9540">IFERROR(IF(CF2187-VLOOKUP(CC$38,$A$2:$N$12,14,FALSE)&gt;0,CF2187-VLOOKUP(CC$38,$A$2:$N$12,14,FALSE)," ")," ")</f>
        <v xml:space="preserve"> </v>
      </c>
      <c r="CI2187" s="8"/>
    </row>
    <row r="2188" spans="1:87" x14ac:dyDescent="0.2">
      <c r="A2188" s="8" t="str">
        <f>IF(AND(COUNTIF(W$3:W$13,A$16)&gt;0,A$16&lt;&gt;B2070),A$16,IFERROR(IF(MATCH(A$16,Z$3:Z$13,0)=6,A$16," ")," "))</f>
        <v xml:space="preserve"> </v>
      </c>
      <c r="B2188" s="8" t="str">
        <f>IF(A2188=" "," ",MAX(B2187:B2187)+1)</f>
        <v xml:space="preserve"> </v>
      </c>
      <c r="C2188" s="8" t="str">
        <f>IFERROR(INDEX(A2187:A2208,MATCH(SMALL(B2187:B2208,2),B2187:B2208,0),1)," ")</f>
        <v>C4</v>
      </c>
      <c r="D2188" s="8">
        <f t="shared" ref="D2188:D2197" si="9541">IFERROR(VLOOKUP($C2188,$A$15:$O$36,2,FALSE)," ")</f>
        <v>1</v>
      </c>
      <c r="E2188" s="8">
        <f t="shared" ref="E2188:E2197" si="9542">IFERROR(VLOOKUP($C2188,$A$15:$O$36,3,FALSE)," ")</f>
        <v>0</v>
      </c>
      <c r="F2188" s="8">
        <f t="shared" ref="F2188:F2197" si="9543">IFERROR(VLOOKUP($C2188,$A$15:$O$36,4,FALSE)," ")</f>
        <v>1</v>
      </c>
      <c r="G2188" s="8">
        <f t="shared" ref="G2188:G2197" si="9544">IFERROR(VLOOKUP($C2188,$A$15:$O$36,5,FALSE)," ")</f>
        <v>0</v>
      </c>
      <c r="H2188" s="8">
        <f t="shared" ref="H2188:H2197" si="9545">IFERROR(VLOOKUP($C2188,$A$15:$O$36,6,FALSE)," ")</f>
        <v>0</v>
      </c>
      <c r="I2188" s="8">
        <f t="shared" ref="I2188:I2197" si="9546">IFERROR(VLOOKUP($C2188,$A$15:$O$36,7,FALSE)," ")</f>
        <v>0</v>
      </c>
      <c r="J2188" s="8">
        <f t="shared" ref="J2188:J2197" si="9547">IFERROR(VLOOKUP($C2188,$A$15:$O$36,8,FALSE)," ")</f>
        <v>0</v>
      </c>
      <c r="K2188" s="8">
        <f t="shared" ref="K2188:K2197" si="9548">IFERROR(VLOOKUP($C2188,$A$15:$O$36,9,FALSE)," ")</f>
        <v>0</v>
      </c>
      <c r="L2188" s="8">
        <f t="shared" ref="L2188:L2197" si="9549">IFERROR(VLOOKUP($C2188,$A$15:$O$36,10,FALSE)," ")</f>
        <v>0</v>
      </c>
      <c r="M2188" s="8">
        <f t="shared" ref="M2188:M2197" si="9550">IFERROR(VLOOKUP($C2188,$A$15:$O$36,11,FALSE)," ")</f>
        <v>0</v>
      </c>
      <c r="N2188" s="8">
        <f t="shared" ref="N2188:N2197" si="9551">IFERROR(VLOOKUP($C2188,$A$15:$O$36,12,FALSE)," ")</f>
        <v>0</v>
      </c>
      <c r="O2188" s="8">
        <f t="shared" ref="O2188:O2197" si="9552">IFERROR(VLOOKUP($C2188,$A$15:$O$36,15,FALSE)," ")</f>
        <v>400</v>
      </c>
      <c r="P2188" s="8" t="e">
        <v>#NUM!</v>
      </c>
      <c r="Q2188" s="8" t="e">
        <f t="shared" ref="Q2188" si="9553">IF(COUNTIF(P2187:P2197,"&lt;"&amp;-0.001)=0,IF(ABS(P2188)&lt;0.001,0,P2188)," ")</f>
        <v>#NUM!</v>
      </c>
      <c r="R2188" s="8"/>
      <c r="S2188" s="8"/>
      <c r="U2188" s="34" t="e">
        <f t="shared" ref="U2188" si="9554">$Q2187</f>
        <v>#NUM!</v>
      </c>
      <c r="V2188" s="34">
        <v>-1</v>
      </c>
      <c r="W2188" s="34" t="e">
        <f t="shared" ref="W2188" si="9555">-SUMPRODUCT($Q2188:$Q2197,$N$3:$N$12)</f>
        <v>#NUM!</v>
      </c>
      <c r="X2188" s="34"/>
      <c r="Y2188" s="34"/>
      <c r="Z2188" s="34"/>
      <c r="AA2188" s="34" t="e">
        <f t="shared" ref="AA2188" si="9556">$Q2188</f>
        <v>#NUM!</v>
      </c>
      <c r="AB2188" s="34">
        <v>-1</v>
      </c>
      <c r="AC2188" s="34" t="e">
        <f t="shared" ref="AC2188" si="9557">-SUMPRODUCT($Q2187:$Q2187,$N$2:$N$2)-SUMPRODUCT($Q2189:$Q2197,$N$4:$N$12)</f>
        <v>#NUM!</v>
      </c>
      <c r="AD2188" s="34"/>
      <c r="AE2188" s="34"/>
      <c r="AF2188" s="34"/>
      <c r="AG2188" s="34" t="e">
        <f t="shared" ref="AG2188" si="9558">$Q2189</f>
        <v>#NUM!</v>
      </c>
      <c r="AH2188" s="34">
        <v>-1</v>
      </c>
      <c r="AI2188" s="34" t="e">
        <f t="shared" ref="AI2188" si="9559">-SUMPRODUCT($Q2187:$Q2188,$N$2:$N$3)-SUMPRODUCT($Q2190:$Q2197,$N$5:$N$12)</f>
        <v>#NUM!</v>
      </c>
      <c r="AJ2188" s="34"/>
      <c r="AK2188" s="34"/>
      <c r="AL2188" s="34"/>
      <c r="AM2188" s="34" t="e">
        <f t="shared" ref="AM2188" si="9560">$Q2190</f>
        <v>#NUM!</v>
      </c>
      <c r="AN2188" s="34">
        <v>-1</v>
      </c>
      <c r="AO2188" s="34" t="e">
        <f t="shared" ref="AO2188" si="9561">-SUMPRODUCT($Q2187:$Q2189,$N$2:$N$4)-SUMPRODUCT($Q2191:$Q2197,$N$6:$N$12)</f>
        <v>#NUM!</v>
      </c>
      <c r="AP2188" s="34"/>
      <c r="AQ2188" s="34"/>
      <c r="AR2188" s="34"/>
      <c r="AS2188" s="34" t="e">
        <f t="shared" ref="AS2188" si="9562">$Q2191</f>
        <v>#NUM!</v>
      </c>
      <c r="AT2188" s="34">
        <v>-1</v>
      </c>
      <c r="AU2188" s="34" t="e">
        <f t="shared" ref="AU2188" si="9563">-SUMPRODUCT($Q2187:$Q2190,$N$2:$N$5)-SUMPRODUCT($Q2192:$Q2197,$N$7:$N$12)</f>
        <v>#NUM!</v>
      </c>
      <c r="AV2188" s="34"/>
      <c r="AW2188" s="34"/>
      <c r="AX2188" s="34"/>
      <c r="AY2188" s="34" t="e">
        <f t="shared" ref="AY2188" si="9564">$Q2192</f>
        <v>#NUM!</v>
      </c>
      <c r="AZ2188" s="34">
        <v>-1</v>
      </c>
      <c r="BA2188" s="34" t="e">
        <f t="shared" ref="BA2188" si="9565">-SUMPRODUCT($Q2187:$Q2191,$N$2:$N$6)-SUMPRODUCT($Q2193:$Q2197,$N$8:$N$12)</f>
        <v>#NUM!</v>
      </c>
      <c r="BB2188" s="34"/>
      <c r="BC2188" s="34"/>
      <c r="BD2188" s="34"/>
      <c r="BE2188" s="34" t="e">
        <f t="shared" ref="BE2188" si="9566">$Q2193</f>
        <v>#NUM!</v>
      </c>
      <c r="BF2188" s="34">
        <v>-1</v>
      </c>
      <c r="BG2188" s="34" t="e">
        <f t="shared" ref="BG2188" si="9567">-SUMPRODUCT($Q2187:$Q2192,$N$2:$N$7)-SUMPRODUCT($Q2194:$Q2197,$N$9:$N$12)</f>
        <v>#NUM!</v>
      </c>
      <c r="BH2188" s="34"/>
      <c r="BI2188" s="34"/>
      <c r="BJ2188" s="34"/>
      <c r="BK2188" s="34" t="e">
        <f t="shared" ref="BK2188" si="9568">$Q2194</f>
        <v>#NUM!</v>
      </c>
      <c r="BL2188" s="34">
        <v>-1</v>
      </c>
      <c r="BM2188" s="34" t="e">
        <f t="shared" ref="BM2188" si="9569">-SUMPRODUCT($Q2187:$Q2193,$N$2:$N$8)-SUMPRODUCT($Q2195:$Q2197,$N$10:$N$12)</f>
        <v>#NUM!</v>
      </c>
      <c r="BN2188" s="34"/>
      <c r="BO2188" s="34"/>
      <c r="BP2188" s="34"/>
      <c r="BQ2188" s="34" t="e">
        <f t="shared" ref="BQ2188" si="9570">$Q2195</f>
        <v>#NUM!</v>
      </c>
      <c r="BR2188" s="34">
        <v>-1</v>
      </c>
      <c r="BS2188" s="34" t="e">
        <f t="shared" ref="BS2188" si="9571">-SUMPRODUCT($Q2187:$Q2194,$N$2:$N$9)-SUMPRODUCT($Q2196:$Q2197,$N$11:$N$12)</f>
        <v>#NUM!</v>
      </c>
      <c r="BT2188" s="34"/>
      <c r="BU2188" s="34"/>
      <c r="BV2188" s="34"/>
      <c r="BW2188" s="34" t="e">
        <f t="shared" ref="BW2188" si="9572">$Q2196</f>
        <v>#NUM!</v>
      </c>
      <c r="BX2188" s="34">
        <v>-1</v>
      </c>
      <c r="BY2188" s="34" t="e">
        <f t="shared" ref="BY2188" si="9573">-SUMPRODUCT($Q2187:$Q2195,$N$2:$N$10)-SUMPRODUCT($Q2197,$N$12)</f>
        <v>#NUM!</v>
      </c>
      <c r="BZ2188" s="34"/>
      <c r="CA2188" s="34"/>
      <c r="CB2188" s="34"/>
      <c r="CC2188" s="34" t="e">
        <f t="shared" ref="CC2188" si="9574">$Q2197</f>
        <v>#NUM!</v>
      </c>
      <c r="CD2188" s="34">
        <v>-1</v>
      </c>
      <c r="CE2188" s="34" t="e">
        <f t="shared" ref="CE2188" si="9575">-SUMPRODUCT($Q2187:$Q2196,$N$2:$N$11)</f>
        <v>#NUM!</v>
      </c>
      <c r="CF2188" s="34"/>
      <c r="CG2188" s="34"/>
      <c r="CH2188" s="34"/>
      <c r="CI2188" s="8"/>
    </row>
    <row r="2189" spans="1:87" x14ac:dyDescent="0.2">
      <c r="A2189" s="8" t="str">
        <f>IF(AND(COUNTIF(W$3:W$13,A$17)&gt;0,A$17&lt;&gt;B2070),A$17,IFERROR(IF(MATCH(A$17,Z$3:Z$13,0)=6,A$17," ")," "))</f>
        <v>C3</v>
      </c>
      <c r="B2189" s="8">
        <f>IF(A2189=" "," ",MAX(B2187:B2188)+1)</f>
        <v>1</v>
      </c>
      <c r="C2189" s="8" t="str">
        <f>IFERROR(INDEX(A2187:A2208,MATCH(SMALL(B2187:B2208,3),B2187:B2208,0),1)," ")</f>
        <v>C8</v>
      </c>
      <c r="D2189" s="8">
        <f t="shared" si="9541"/>
        <v>0</v>
      </c>
      <c r="E2189" s="8">
        <f t="shared" si="9542"/>
        <v>0</v>
      </c>
      <c r="F2189" s="8">
        <f t="shared" si="9543"/>
        <v>0</v>
      </c>
      <c r="G2189" s="8">
        <f t="shared" si="9544"/>
        <v>0</v>
      </c>
      <c r="H2189" s="8">
        <f t="shared" si="9545"/>
        <v>0</v>
      </c>
      <c r="I2189" s="8">
        <f t="shared" si="9546"/>
        <v>0</v>
      </c>
      <c r="J2189" s="8">
        <f t="shared" si="9547"/>
        <v>0</v>
      </c>
      <c r="K2189" s="8">
        <f t="shared" si="9548"/>
        <v>0</v>
      </c>
      <c r="L2189" s="8">
        <f t="shared" si="9549"/>
        <v>0</v>
      </c>
      <c r="M2189" s="8">
        <f t="shared" si="9550"/>
        <v>0</v>
      </c>
      <c r="N2189" s="8">
        <f t="shared" si="9551"/>
        <v>0</v>
      </c>
      <c r="O2189" s="8">
        <f t="shared" si="9552"/>
        <v>0</v>
      </c>
      <c r="P2189" s="8" t="e">
        <v>#NUM!</v>
      </c>
      <c r="Q2189" s="8" t="e">
        <f t="shared" ref="Q2189" si="9576">IF(COUNTIF(P2187:P2197,"&lt;"&amp;-0.001)=0,IF(ABS(P2189)&lt;0.001,0,P2189)," ")</f>
        <v>#NUM!</v>
      </c>
      <c r="R2189" s="8"/>
      <c r="S2189" s="8"/>
      <c r="U2189" s="34"/>
      <c r="V2189" s="34"/>
      <c r="W2189" s="34"/>
      <c r="X2189" s="34"/>
      <c r="Y2189" s="34"/>
      <c r="Z2189" s="34"/>
      <c r="AA2189" s="34"/>
      <c r="AB2189" s="34"/>
      <c r="AC2189" s="34"/>
      <c r="AD2189" s="34"/>
      <c r="AE2189" s="34"/>
      <c r="AF2189" s="34"/>
      <c r="AG2189" s="34"/>
      <c r="AH2189" s="34"/>
      <c r="AI2189" s="34"/>
      <c r="AJ2189" s="34"/>
      <c r="AK2189" s="34"/>
      <c r="AL2189" s="34"/>
      <c r="AM2189" s="34"/>
      <c r="AN2189" s="34"/>
      <c r="AO2189" s="34"/>
      <c r="AP2189" s="34"/>
      <c r="AQ2189" s="34"/>
      <c r="AR2189" s="34"/>
      <c r="AS2189" s="34"/>
      <c r="AT2189" s="34"/>
      <c r="AU2189" s="34"/>
      <c r="AV2189" s="34"/>
      <c r="AW2189" s="34"/>
      <c r="AX2189" s="34"/>
      <c r="AY2189" s="34"/>
      <c r="AZ2189" s="34"/>
      <c r="BA2189" s="34"/>
      <c r="BB2189" s="34"/>
      <c r="BC2189" s="34"/>
      <c r="BD2189" s="34"/>
      <c r="BE2189" s="34"/>
      <c r="BF2189" s="34"/>
      <c r="BG2189" s="34"/>
      <c r="BH2189" s="34"/>
      <c r="BI2189" s="34"/>
      <c r="BJ2189" s="34"/>
      <c r="BK2189" s="34"/>
      <c r="BL2189" s="34"/>
      <c r="BM2189" s="34"/>
      <c r="BN2189" s="34"/>
      <c r="BO2189" s="34"/>
      <c r="BP2189" s="34"/>
      <c r="BQ2189" s="34"/>
      <c r="BR2189" s="34"/>
      <c r="BS2189" s="34"/>
      <c r="BT2189" s="34"/>
      <c r="BU2189" s="34"/>
      <c r="BV2189" s="34"/>
      <c r="BW2189" s="34"/>
      <c r="BX2189" s="34"/>
      <c r="BY2189" s="34"/>
      <c r="BZ2189" s="34"/>
      <c r="CA2189" s="34"/>
      <c r="CB2189" s="34"/>
      <c r="CC2189" s="34"/>
      <c r="CD2189" s="34"/>
      <c r="CE2189" s="34"/>
      <c r="CF2189" s="34"/>
      <c r="CG2189" s="34"/>
      <c r="CH2189" s="34"/>
      <c r="CI2189" s="8"/>
    </row>
    <row r="2190" spans="1:87" x14ac:dyDescent="0.2">
      <c r="A2190" s="8" t="str">
        <f>IF(AND(COUNTIF(W$3:W$13,A$18)&gt;0,A$18&lt;&gt;B2070),A$18,IFERROR(IF(MATCH(A$18,Z$3:Z$13,0)=6,A$18," ")," "))</f>
        <v>C4</v>
      </c>
      <c r="B2190" s="8">
        <f>IF(A2190=" "," ",MAX(B2187:B2189)+1)</f>
        <v>2</v>
      </c>
      <c r="C2190" s="8" t="str">
        <f>IFERROR(INDEX(A2187:A2208,MATCH(SMALL(B2187:B2208,4),B2187:B2208,0),1)," ")</f>
        <v>C13</v>
      </c>
      <c r="D2190" s="8">
        <f t="shared" si="9541"/>
        <v>0</v>
      </c>
      <c r="E2190" s="8">
        <f t="shared" si="9542"/>
        <v>1</v>
      </c>
      <c r="F2190" s="8">
        <f t="shared" si="9543"/>
        <v>0</v>
      </c>
      <c r="G2190" s="8">
        <f t="shared" si="9544"/>
        <v>0</v>
      </c>
      <c r="H2190" s="8">
        <f t="shared" si="9545"/>
        <v>0</v>
      </c>
      <c r="I2190" s="8">
        <f t="shared" si="9546"/>
        <v>0</v>
      </c>
      <c r="J2190" s="8">
        <f t="shared" si="9547"/>
        <v>0</v>
      </c>
      <c r="K2190" s="8">
        <f t="shared" si="9548"/>
        <v>0</v>
      </c>
      <c r="L2190" s="8">
        <f t="shared" si="9549"/>
        <v>0</v>
      </c>
      <c r="M2190" s="8">
        <f t="shared" si="9550"/>
        <v>0</v>
      </c>
      <c r="N2190" s="8">
        <f t="shared" si="9551"/>
        <v>0</v>
      </c>
      <c r="O2190" s="8">
        <f t="shared" si="9552"/>
        <v>0</v>
      </c>
      <c r="P2190" s="8" t="e">
        <v>#NUM!</v>
      </c>
      <c r="Q2190" s="8" t="e">
        <f t="shared" ref="Q2190" si="9577">IF(COUNTIF(P2187:P2197,"&lt;"&amp;-0.001)=0,IF(ABS(P2190)&lt;0.001,0,P2190)," ")</f>
        <v>#NUM!</v>
      </c>
      <c r="R2190" s="8"/>
      <c r="S2190" s="8"/>
      <c r="U2190" s="34"/>
      <c r="V2190" s="34"/>
      <c r="W2190" s="34"/>
      <c r="X2190" s="34"/>
      <c r="Y2190" s="34"/>
      <c r="Z2190" s="34"/>
      <c r="AA2190" s="34"/>
      <c r="AB2190" s="34"/>
      <c r="AC2190" s="34"/>
      <c r="AD2190" s="34"/>
      <c r="AE2190" s="34"/>
      <c r="AF2190" s="34"/>
      <c r="AG2190" s="34"/>
      <c r="AH2190" s="34"/>
      <c r="AI2190" s="34"/>
      <c r="AJ2190" s="34"/>
      <c r="AK2190" s="34"/>
      <c r="AL2190" s="34"/>
      <c r="AM2190" s="34"/>
      <c r="AN2190" s="34"/>
      <c r="AO2190" s="34"/>
      <c r="AP2190" s="34"/>
      <c r="AQ2190" s="34"/>
      <c r="AR2190" s="34"/>
      <c r="AS2190" s="34"/>
      <c r="AT2190" s="34"/>
      <c r="AU2190" s="34"/>
      <c r="AV2190" s="34"/>
      <c r="AW2190" s="34"/>
      <c r="AX2190" s="34"/>
      <c r="AY2190" s="34"/>
      <c r="AZ2190" s="34"/>
      <c r="BA2190" s="34"/>
      <c r="BB2190" s="34"/>
      <c r="BC2190" s="34"/>
      <c r="BD2190" s="34"/>
      <c r="BE2190" s="34"/>
      <c r="BF2190" s="34"/>
      <c r="BG2190" s="34"/>
      <c r="BH2190" s="34"/>
      <c r="BI2190" s="34"/>
      <c r="BJ2190" s="34"/>
      <c r="BK2190" s="34"/>
      <c r="BL2190" s="34"/>
      <c r="BM2190" s="34"/>
      <c r="BN2190" s="34"/>
      <c r="BO2190" s="34"/>
      <c r="BP2190" s="34"/>
      <c r="BQ2190" s="34"/>
      <c r="BR2190" s="34"/>
      <c r="BS2190" s="34"/>
      <c r="BT2190" s="34"/>
      <c r="BU2190" s="34"/>
      <c r="BV2190" s="34"/>
      <c r="BW2190" s="34"/>
      <c r="BX2190" s="34"/>
      <c r="BY2190" s="34"/>
      <c r="BZ2190" s="34"/>
      <c r="CA2190" s="34"/>
      <c r="CB2190" s="34"/>
      <c r="CC2190" s="34"/>
      <c r="CD2190" s="34"/>
      <c r="CE2190" s="34"/>
      <c r="CF2190" s="34"/>
      <c r="CG2190" s="34"/>
      <c r="CH2190" s="34"/>
      <c r="CI2190" s="8"/>
    </row>
    <row r="2191" spans="1:87" x14ac:dyDescent="0.2">
      <c r="A2191" s="8" t="str">
        <f>IF(AND(COUNTIF(W$3:W$13,A$19)&gt;0,A$19&lt;&gt;B2070),A$19,IFERROR(IF(MATCH(A$19,Z$3:Z$13,0)=6,A$19," ")," "))</f>
        <v xml:space="preserve"> </v>
      </c>
      <c r="B2191" s="8" t="str">
        <f>IF(A2191=" "," ",MAX(B2187:B2190)+1)</f>
        <v xml:space="preserve"> </v>
      </c>
      <c r="C2191" s="8" t="str">
        <f>IFERROR(INDEX(A2187:A2208,MATCH(SMALL(B2187:B2208,5),B2187:B2208,0),1)," ")</f>
        <v>C15</v>
      </c>
      <c r="D2191" s="8">
        <f t="shared" si="9541"/>
        <v>0</v>
      </c>
      <c r="E2191" s="8">
        <f t="shared" si="9542"/>
        <v>0</v>
      </c>
      <c r="F2191" s="8">
        <f t="shared" si="9543"/>
        <v>0</v>
      </c>
      <c r="G2191" s="8">
        <f t="shared" si="9544"/>
        <v>1</v>
      </c>
      <c r="H2191" s="8">
        <f t="shared" si="9545"/>
        <v>0</v>
      </c>
      <c r="I2191" s="8">
        <f t="shared" si="9546"/>
        <v>0</v>
      </c>
      <c r="J2191" s="8">
        <f t="shared" si="9547"/>
        <v>0</v>
      </c>
      <c r="K2191" s="8">
        <f t="shared" si="9548"/>
        <v>0</v>
      </c>
      <c r="L2191" s="8">
        <f t="shared" si="9549"/>
        <v>0</v>
      </c>
      <c r="M2191" s="8">
        <f t="shared" si="9550"/>
        <v>0</v>
      </c>
      <c r="N2191" s="8">
        <f t="shared" si="9551"/>
        <v>0</v>
      </c>
      <c r="O2191" s="8">
        <f t="shared" si="9552"/>
        <v>0</v>
      </c>
      <c r="P2191" s="8" t="e">
        <v>#NUM!</v>
      </c>
      <c r="Q2191" s="8" t="e">
        <f t="shared" ref="Q2191" si="9578">IF(COUNTIF(P2187:P2197,"&lt;"&amp;-0.001)=0,IF(ABS(P2191)&lt;0.001,0,P2191)," ")</f>
        <v>#NUM!</v>
      </c>
      <c r="R2191" s="8"/>
      <c r="S2191" s="8"/>
      <c r="U2191" s="34"/>
      <c r="V2191" s="34"/>
      <c r="W2191" s="34"/>
      <c r="X2191" s="34"/>
      <c r="Y2191" s="34"/>
      <c r="Z2191" s="34"/>
      <c r="AA2191" s="34"/>
      <c r="AB2191" s="34"/>
      <c r="AC2191" s="34"/>
      <c r="AD2191" s="34"/>
      <c r="AE2191" s="34"/>
      <c r="AF2191" s="34"/>
      <c r="AG2191" s="34"/>
      <c r="AH2191" s="34"/>
      <c r="AI2191" s="34"/>
      <c r="AJ2191" s="34"/>
      <c r="AK2191" s="34"/>
      <c r="AL2191" s="34"/>
      <c r="AM2191" s="34"/>
      <c r="AN2191" s="34"/>
      <c r="AO2191" s="34"/>
      <c r="AP2191" s="34"/>
      <c r="AQ2191" s="34"/>
      <c r="AR2191" s="34"/>
      <c r="AS2191" s="34"/>
      <c r="AT2191" s="34"/>
      <c r="AU2191" s="34"/>
      <c r="AV2191" s="34"/>
      <c r="AW2191" s="34"/>
      <c r="AX2191" s="34"/>
      <c r="AY2191" s="34"/>
      <c r="AZ2191" s="34"/>
      <c r="BA2191" s="34"/>
      <c r="BB2191" s="34"/>
      <c r="BC2191" s="34"/>
      <c r="BD2191" s="34"/>
      <c r="BE2191" s="34"/>
      <c r="BF2191" s="34"/>
      <c r="BG2191" s="34"/>
      <c r="BH2191" s="34"/>
      <c r="BI2191" s="34"/>
      <c r="BJ2191" s="34"/>
      <c r="BK2191" s="34"/>
      <c r="BL2191" s="34"/>
      <c r="BM2191" s="34"/>
      <c r="BN2191" s="34"/>
      <c r="BO2191" s="34"/>
      <c r="BP2191" s="34"/>
      <c r="BQ2191" s="34"/>
      <c r="BR2191" s="34"/>
      <c r="BS2191" s="34"/>
      <c r="BT2191" s="34"/>
      <c r="BU2191" s="34"/>
      <c r="BV2191" s="34"/>
      <c r="BW2191" s="34"/>
      <c r="BX2191" s="34"/>
      <c r="BY2191" s="34"/>
      <c r="BZ2191" s="34"/>
      <c r="CA2191" s="34"/>
      <c r="CB2191" s="34"/>
      <c r="CC2191" s="34"/>
      <c r="CD2191" s="34"/>
      <c r="CE2191" s="34"/>
      <c r="CF2191" s="34"/>
      <c r="CG2191" s="34"/>
      <c r="CH2191" s="34"/>
      <c r="CI2191" s="8"/>
    </row>
    <row r="2192" spans="1:87" x14ac:dyDescent="0.2">
      <c r="A2192" s="8" t="str">
        <f>IF(AND(COUNTIF(W$3:W$13,A$20)&gt;0,A$20&lt;&gt;B2070),A$20,IFERROR(IF(MATCH(A$20,Z$3:Z$13,0)=6,A$20," ")," "))</f>
        <v xml:space="preserve"> </v>
      </c>
      <c r="B2192" s="8" t="str">
        <f>IF(A2192=" "," ",MAX(B2187:B2191)+1)</f>
        <v xml:space="preserve"> </v>
      </c>
      <c r="C2192" s="8" t="str">
        <f>IFERROR(INDEX(A2187:A2208,MATCH(SMALL(B2187:B2208,6),B2187:B2208,0),1)," ")</f>
        <v>C16</v>
      </c>
      <c r="D2192" s="8">
        <f t="shared" si="9541"/>
        <v>0</v>
      </c>
      <c r="E2192" s="8">
        <f t="shared" si="9542"/>
        <v>0</v>
      </c>
      <c r="F2192" s="8">
        <f t="shared" si="9543"/>
        <v>0</v>
      </c>
      <c r="G2192" s="8">
        <f t="shared" si="9544"/>
        <v>0</v>
      </c>
      <c r="H2192" s="8">
        <f t="shared" si="9545"/>
        <v>1</v>
      </c>
      <c r="I2192" s="8">
        <f t="shared" si="9546"/>
        <v>0</v>
      </c>
      <c r="J2192" s="8">
        <f t="shared" si="9547"/>
        <v>0</v>
      </c>
      <c r="K2192" s="8">
        <f t="shared" si="9548"/>
        <v>0</v>
      </c>
      <c r="L2192" s="8">
        <f t="shared" si="9549"/>
        <v>0</v>
      </c>
      <c r="M2192" s="8">
        <f t="shared" si="9550"/>
        <v>0</v>
      </c>
      <c r="N2192" s="8">
        <f t="shared" si="9551"/>
        <v>0</v>
      </c>
      <c r="O2192" s="8">
        <f t="shared" si="9552"/>
        <v>0</v>
      </c>
      <c r="P2192" s="8" t="e">
        <v>#NUM!</v>
      </c>
      <c r="Q2192" s="8" t="e">
        <f t="shared" ref="Q2192" si="9579">IF(COUNTIF(P2187:P2197,"&lt;"&amp;-0.001)=0,IF(ABS(P2192)&lt;0.001,0,P2192)," ")</f>
        <v>#NUM!</v>
      </c>
      <c r="R2192" s="8"/>
      <c r="S2192" s="8"/>
      <c r="U2192" s="34"/>
      <c r="V2192" s="34"/>
      <c r="W2192" s="34"/>
      <c r="X2192" s="34"/>
      <c r="Y2192" s="34"/>
      <c r="Z2192" s="34"/>
      <c r="AA2192" s="34"/>
      <c r="AB2192" s="34"/>
      <c r="AC2192" s="34"/>
      <c r="AD2192" s="34"/>
      <c r="AE2192" s="34"/>
      <c r="AF2192" s="34"/>
      <c r="AG2192" s="34"/>
      <c r="AH2192" s="34"/>
      <c r="AI2192" s="34"/>
      <c r="AJ2192" s="34"/>
      <c r="AK2192" s="34"/>
      <c r="AL2192" s="34"/>
      <c r="AM2192" s="34"/>
      <c r="AN2192" s="34"/>
      <c r="AO2192" s="34"/>
      <c r="AP2192" s="34"/>
      <c r="AQ2192" s="34"/>
      <c r="AR2192" s="34"/>
      <c r="AS2192" s="34"/>
      <c r="AT2192" s="34"/>
      <c r="AU2192" s="34"/>
      <c r="AV2192" s="34"/>
      <c r="AW2192" s="34"/>
      <c r="AX2192" s="34"/>
      <c r="AY2192" s="34"/>
      <c r="AZ2192" s="34"/>
      <c r="BA2192" s="34"/>
      <c r="BB2192" s="34"/>
      <c r="BC2192" s="34"/>
      <c r="BD2192" s="34"/>
      <c r="BE2192" s="34"/>
      <c r="BF2192" s="34"/>
      <c r="BG2192" s="34"/>
      <c r="BH2192" s="34"/>
      <c r="BI2192" s="34"/>
      <c r="BJ2192" s="34"/>
      <c r="BK2192" s="34"/>
      <c r="BL2192" s="34"/>
      <c r="BM2192" s="34"/>
      <c r="BN2192" s="34"/>
      <c r="BO2192" s="34"/>
      <c r="BP2192" s="34"/>
      <c r="BQ2192" s="34"/>
      <c r="BR2192" s="34"/>
      <c r="BS2192" s="34"/>
      <c r="BT2192" s="34"/>
      <c r="BU2192" s="34"/>
      <c r="BV2192" s="34"/>
      <c r="BW2192" s="34"/>
      <c r="BX2192" s="34"/>
      <c r="BY2192" s="34"/>
      <c r="BZ2192" s="34"/>
      <c r="CA2192" s="34"/>
      <c r="CB2192" s="34"/>
      <c r="CC2192" s="34"/>
      <c r="CD2192" s="34"/>
      <c r="CE2192" s="34"/>
      <c r="CF2192" s="34"/>
      <c r="CG2192" s="34"/>
      <c r="CH2192" s="34"/>
      <c r="CI2192" s="8"/>
    </row>
    <row r="2193" spans="1:87" x14ac:dyDescent="0.2">
      <c r="A2193" s="8" t="str">
        <f>IF(AND(COUNTIF(W$3:W$13,A$21)&gt;0,A$21&lt;&gt;B2070),A$21,IFERROR(IF(MATCH(A$21,Z$3:Z$13,0)=6,A$21," ")," "))</f>
        <v xml:space="preserve"> </v>
      </c>
      <c r="B2193" s="8" t="str">
        <f>IF(A2193=" "," ",MAX(B2187:B2192)+1)</f>
        <v xml:space="preserve"> </v>
      </c>
      <c r="C2193" s="8" t="str">
        <f>IFERROR(INDEX(A2187:A2208,MATCH(SMALL(B2187:B2208,7),B2187:B2208,0),1)," ")</f>
        <v>C17</v>
      </c>
      <c r="D2193" s="8">
        <f t="shared" si="9541"/>
        <v>0</v>
      </c>
      <c r="E2193" s="8">
        <f t="shared" si="9542"/>
        <v>0</v>
      </c>
      <c r="F2193" s="8">
        <f t="shared" si="9543"/>
        <v>0</v>
      </c>
      <c r="G2193" s="8">
        <f t="shared" si="9544"/>
        <v>0</v>
      </c>
      <c r="H2193" s="8">
        <f t="shared" si="9545"/>
        <v>0</v>
      </c>
      <c r="I2193" s="8">
        <f t="shared" si="9546"/>
        <v>1</v>
      </c>
      <c r="J2193" s="8">
        <f t="shared" si="9547"/>
        <v>0</v>
      </c>
      <c r="K2193" s="8">
        <f t="shared" si="9548"/>
        <v>0</v>
      </c>
      <c r="L2193" s="8">
        <f t="shared" si="9549"/>
        <v>0</v>
      </c>
      <c r="M2193" s="8">
        <f t="shared" si="9550"/>
        <v>0</v>
      </c>
      <c r="N2193" s="8">
        <f t="shared" si="9551"/>
        <v>0</v>
      </c>
      <c r="O2193" s="8">
        <f t="shared" si="9552"/>
        <v>0</v>
      </c>
      <c r="P2193" s="8" t="e">
        <v>#NUM!</v>
      </c>
      <c r="Q2193" s="8" t="e">
        <f t="shared" ref="Q2193" si="9580">IF(COUNTIF(P2187:P2197,"&lt;"&amp;-0.001)=0,IF(ABS(P2193)&lt;0.001,0,P2193)," ")</f>
        <v>#NUM!</v>
      </c>
      <c r="R2193" s="8"/>
      <c r="S2193" s="8"/>
      <c r="U2193" s="34"/>
      <c r="V2193" s="34"/>
      <c r="W2193" s="34"/>
      <c r="X2193" s="34"/>
      <c r="Y2193" s="34"/>
      <c r="Z2193" s="34"/>
      <c r="AA2193" s="34"/>
      <c r="AB2193" s="34"/>
      <c r="AC2193" s="34"/>
      <c r="AD2193" s="34"/>
      <c r="AE2193" s="34"/>
      <c r="AF2193" s="34"/>
      <c r="AG2193" s="34"/>
      <c r="AH2193" s="34"/>
      <c r="AI2193" s="34"/>
      <c r="AJ2193" s="34"/>
      <c r="AK2193" s="34"/>
      <c r="AL2193" s="34"/>
      <c r="AM2193" s="34"/>
      <c r="AN2193" s="34"/>
      <c r="AO2193" s="34"/>
      <c r="AP2193" s="34"/>
      <c r="AQ2193" s="34"/>
      <c r="AR2193" s="34"/>
      <c r="AS2193" s="34"/>
      <c r="AT2193" s="34"/>
      <c r="AU2193" s="34"/>
      <c r="AV2193" s="34"/>
      <c r="AW2193" s="34"/>
      <c r="AX2193" s="34"/>
      <c r="AY2193" s="34"/>
      <c r="AZ2193" s="34"/>
      <c r="BA2193" s="34"/>
      <c r="BB2193" s="34"/>
      <c r="BC2193" s="34"/>
      <c r="BD2193" s="34"/>
      <c r="BE2193" s="34"/>
      <c r="BF2193" s="34"/>
      <c r="BG2193" s="34"/>
      <c r="BH2193" s="34"/>
      <c r="BI2193" s="34"/>
      <c r="BJ2193" s="34"/>
      <c r="BK2193" s="34"/>
      <c r="BL2193" s="34"/>
      <c r="BM2193" s="34"/>
      <c r="BN2193" s="34"/>
      <c r="BO2193" s="34"/>
      <c r="BP2193" s="34"/>
      <c r="BQ2193" s="34"/>
      <c r="BR2193" s="34"/>
      <c r="BS2193" s="34"/>
      <c r="BT2193" s="34"/>
      <c r="BU2193" s="34"/>
      <c r="BV2193" s="34"/>
      <c r="BW2193" s="34"/>
      <c r="BX2193" s="34"/>
      <c r="BY2193" s="34"/>
      <c r="BZ2193" s="34"/>
      <c r="CA2193" s="34"/>
      <c r="CB2193" s="34"/>
      <c r="CC2193" s="34"/>
      <c r="CD2193" s="34"/>
      <c r="CE2193" s="34"/>
      <c r="CF2193" s="34"/>
      <c r="CG2193" s="34"/>
      <c r="CH2193" s="34"/>
      <c r="CI2193" s="8"/>
    </row>
    <row r="2194" spans="1:87" x14ac:dyDescent="0.2">
      <c r="A2194" s="8" t="str">
        <f>IF(AND(COUNTIF(W$3:W$13,A$22)&gt;0,A$22&lt;&gt;B2070),A$22,IFERROR(IF(MATCH(A$22,Z$3:Z$13,0)=6,A$22," ")," "))</f>
        <v>C8</v>
      </c>
      <c r="B2194" s="8">
        <f>IF(A2194=" "," ",MAX(B2187:B2193)+1)</f>
        <v>3</v>
      </c>
      <c r="C2194" s="8" t="str">
        <f>IFERROR(INDEX(A2187:A2208,MATCH(SMALL(B2187:B2208,8),B2187:B2208,0),1)," ")</f>
        <v>C18</v>
      </c>
      <c r="D2194" s="8">
        <f t="shared" si="9541"/>
        <v>0</v>
      </c>
      <c r="E2194" s="8">
        <f t="shared" si="9542"/>
        <v>0</v>
      </c>
      <c r="F2194" s="8">
        <f t="shared" si="9543"/>
        <v>0</v>
      </c>
      <c r="G2194" s="8">
        <f t="shared" si="9544"/>
        <v>0</v>
      </c>
      <c r="H2194" s="8">
        <f t="shared" si="9545"/>
        <v>0</v>
      </c>
      <c r="I2194" s="8">
        <f t="shared" si="9546"/>
        <v>0</v>
      </c>
      <c r="J2194" s="8">
        <f t="shared" si="9547"/>
        <v>1</v>
      </c>
      <c r="K2194" s="8">
        <f t="shared" si="9548"/>
        <v>0</v>
      </c>
      <c r="L2194" s="8">
        <f t="shared" si="9549"/>
        <v>0</v>
      </c>
      <c r="M2194" s="8">
        <f t="shared" si="9550"/>
        <v>0</v>
      </c>
      <c r="N2194" s="8">
        <f t="shared" si="9551"/>
        <v>0</v>
      </c>
      <c r="O2194" s="8">
        <f t="shared" si="9552"/>
        <v>0</v>
      </c>
      <c r="P2194" s="8" t="e">
        <v>#NUM!</v>
      </c>
      <c r="Q2194" s="8" t="e">
        <f t="shared" ref="Q2194" si="9581">IF(COUNTIF(P2187:P2197,"&lt;"&amp;-0.001)=0,IF(ABS(P2194)&lt;0.001,0,P2194)," ")</f>
        <v>#NUM!</v>
      </c>
      <c r="R2194" s="8"/>
      <c r="S2194" s="8"/>
      <c r="U2194" s="34"/>
      <c r="V2194" s="34"/>
      <c r="W2194" s="34"/>
      <c r="X2194" s="34"/>
      <c r="Y2194" s="34"/>
      <c r="Z2194" s="34"/>
      <c r="AA2194" s="34"/>
      <c r="AB2194" s="34"/>
      <c r="AC2194" s="34"/>
      <c r="AD2194" s="34"/>
      <c r="AE2194" s="34"/>
      <c r="AF2194" s="34"/>
      <c r="AG2194" s="34"/>
      <c r="AH2194" s="34"/>
      <c r="AI2194" s="34"/>
      <c r="AJ2194" s="34"/>
      <c r="AK2194" s="34"/>
      <c r="AL2194" s="34"/>
      <c r="AM2194" s="34"/>
      <c r="AN2194" s="34"/>
      <c r="AO2194" s="34"/>
      <c r="AP2194" s="34"/>
      <c r="AQ2194" s="34"/>
      <c r="AR2194" s="34"/>
      <c r="AS2194" s="34"/>
      <c r="AT2194" s="34"/>
      <c r="AU2194" s="34"/>
      <c r="AV2194" s="34"/>
      <c r="AW2194" s="34"/>
      <c r="AX2194" s="34"/>
      <c r="AY2194" s="34"/>
      <c r="AZ2194" s="34"/>
      <c r="BA2194" s="34"/>
      <c r="BB2194" s="34"/>
      <c r="BC2194" s="34"/>
      <c r="BD2194" s="34"/>
      <c r="BE2194" s="34"/>
      <c r="BF2194" s="34"/>
      <c r="BG2194" s="34"/>
      <c r="BH2194" s="34"/>
      <c r="BI2194" s="34"/>
      <c r="BJ2194" s="34"/>
      <c r="BK2194" s="34"/>
      <c r="BL2194" s="34"/>
      <c r="BM2194" s="34"/>
      <c r="BN2194" s="34"/>
      <c r="BO2194" s="34"/>
      <c r="BP2194" s="34"/>
      <c r="BQ2194" s="34"/>
      <c r="BR2194" s="34"/>
      <c r="BS2194" s="34"/>
      <c r="BT2194" s="34"/>
      <c r="BU2194" s="34"/>
      <c r="BV2194" s="34"/>
      <c r="BW2194" s="34"/>
      <c r="BX2194" s="34"/>
      <c r="BY2194" s="34"/>
      <c r="BZ2194" s="34"/>
      <c r="CA2194" s="34"/>
      <c r="CB2194" s="34"/>
      <c r="CC2194" s="34"/>
      <c r="CD2194" s="34"/>
      <c r="CE2194" s="34"/>
      <c r="CF2194" s="34"/>
      <c r="CG2194" s="34"/>
      <c r="CH2194" s="34"/>
      <c r="CI2194" s="8"/>
    </row>
    <row r="2195" spans="1:87" x14ac:dyDescent="0.2">
      <c r="A2195" s="8" t="str">
        <f>IF(AND(COUNTIF(W$3:W$13,A$23)&gt;0,A$23&lt;&gt;B2070),A$23,IFERROR(IF(MATCH(A$23,Z$3:Z$13,0)=6,A$23," ")," "))</f>
        <v xml:space="preserve"> </v>
      </c>
      <c r="B2195" s="8" t="str">
        <f>IF(A2195=" "," ",MAX(B2187:B2194)+1)</f>
        <v xml:space="preserve"> </v>
      </c>
      <c r="C2195" s="8" t="str">
        <f>IFERROR(INDEX(A2187:A2208,MATCH(SMALL(B2187:B2208,9),B2187:B2208,0),1)," ")</f>
        <v>C19</v>
      </c>
      <c r="D2195" s="8">
        <f t="shared" si="9541"/>
        <v>0</v>
      </c>
      <c r="E2195" s="8">
        <f t="shared" si="9542"/>
        <v>0</v>
      </c>
      <c r="F2195" s="8">
        <f t="shared" si="9543"/>
        <v>0</v>
      </c>
      <c r="G2195" s="8">
        <f t="shared" si="9544"/>
        <v>0</v>
      </c>
      <c r="H2195" s="8">
        <f t="shared" si="9545"/>
        <v>0</v>
      </c>
      <c r="I2195" s="8">
        <f t="shared" si="9546"/>
        <v>0</v>
      </c>
      <c r="J2195" s="8">
        <f t="shared" si="9547"/>
        <v>0</v>
      </c>
      <c r="K2195" s="8">
        <f t="shared" si="9548"/>
        <v>1</v>
      </c>
      <c r="L2195" s="8">
        <f t="shared" si="9549"/>
        <v>0</v>
      </c>
      <c r="M2195" s="8">
        <f t="shared" si="9550"/>
        <v>0</v>
      </c>
      <c r="N2195" s="8">
        <f t="shared" si="9551"/>
        <v>0</v>
      </c>
      <c r="O2195" s="8">
        <f t="shared" si="9552"/>
        <v>0</v>
      </c>
      <c r="P2195" s="6" t="e">
        <v>#NUM!</v>
      </c>
      <c r="Q2195" s="8" t="e">
        <f t="shared" ref="Q2195" si="9582">IF(COUNTIF(P2187:P2197,"&lt;"&amp;-0.001)=0,IF(ABS(P2195)&lt;0.001,0,P2195)," ")</f>
        <v>#NUM!</v>
      </c>
      <c r="R2195" s="8"/>
      <c r="S2195" s="8"/>
      <c r="U2195" s="34"/>
      <c r="V2195" s="34"/>
      <c r="W2195" s="34"/>
      <c r="X2195" s="34"/>
      <c r="Y2195" s="34"/>
      <c r="Z2195" s="34"/>
      <c r="AA2195" s="34"/>
      <c r="AB2195" s="34"/>
      <c r="AC2195" s="34"/>
      <c r="AD2195" s="34"/>
      <c r="AE2195" s="34"/>
      <c r="AF2195" s="34"/>
      <c r="AG2195" s="34"/>
      <c r="AH2195" s="34"/>
      <c r="AI2195" s="34"/>
      <c r="AJ2195" s="34"/>
      <c r="AK2195" s="34"/>
      <c r="AL2195" s="34"/>
      <c r="AM2195" s="34"/>
      <c r="AN2195" s="34"/>
      <c r="AO2195" s="34"/>
      <c r="AP2195" s="34"/>
      <c r="AQ2195" s="34"/>
      <c r="AR2195" s="34"/>
      <c r="AS2195" s="34"/>
      <c r="AT2195" s="34"/>
      <c r="AU2195" s="34"/>
      <c r="AV2195" s="34"/>
      <c r="AW2195" s="34"/>
      <c r="AX2195" s="34"/>
      <c r="AY2195" s="34"/>
      <c r="AZ2195" s="34"/>
      <c r="BA2195" s="34"/>
      <c r="BB2195" s="34"/>
      <c r="BC2195" s="34"/>
      <c r="BD2195" s="34"/>
      <c r="BE2195" s="34"/>
      <c r="BF2195" s="34"/>
      <c r="BG2195" s="34"/>
      <c r="BH2195" s="34"/>
      <c r="BI2195" s="34"/>
      <c r="BJ2195" s="34"/>
      <c r="BK2195" s="34"/>
      <c r="BL2195" s="34"/>
      <c r="BM2195" s="34"/>
      <c r="BN2195" s="34"/>
      <c r="BO2195" s="34"/>
      <c r="BP2195" s="34"/>
      <c r="BQ2195" s="34"/>
      <c r="BR2195" s="34"/>
      <c r="BS2195" s="34"/>
      <c r="BT2195" s="34"/>
      <c r="BU2195" s="34"/>
      <c r="BV2195" s="34"/>
      <c r="BW2195" s="34"/>
      <c r="BX2195" s="34"/>
      <c r="BY2195" s="34"/>
      <c r="BZ2195" s="34"/>
      <c r="CA2195" s="34"/>
      <c r="CB2195" s="34"/>
      <c r="CC2195" s="34"/>
      <c r="CD2195" s="34"/>
      <c r="CE2195" s="34"/>
      <c r="CF2195" s="34"/>
      <c r="CG2195" s="34"/>
      <c r="CH2195" s="34"/>
      <c r="CI2195" s="8"/>
    </row>
    <row r="2196" spans="1:87" x14ac:dyDescent="0.2">
      <c r="A2196" s="8" t="str">
        <f>IF(AND(COUNTIF(W$3:W$13,A$24)&gt;0,A$24&lt;&gt;B2070),A$24,IFERROR(IF(MATCH(A$24,Z$3:Z$13,0)=6,A$24," ")," "))</f>
        <v xml:space="preserve"> </v>
      </c>
      <c r="B2196" s="8" t="str">
        <f>IF(A2196=" "," ",MAX(B2187:B2195)+1)</f>
        <v xml:space="preserve"> </v>
      </c>
      <c r="C2196" s="8" t="str">
        <f>IFERROR(INDEX(A2187:A2208,MATCH(SMALL(B2187:B2208,10),B2187:B2208,0),1)," ")</f>
        <v>C21</v>
      </c>
      <c r="D2196" s="8">
        <f t="shared" si="9541"/>
        <v>0</v>
      </c>
      <c r="E2196" s="8">
        <f t="shared" si="9542"/>
        <v>0</v>
      </c>
      <c r="F2196" s="8">
        <f t="shared" si="9543"/>
        <v>0</v>
      </c>
      <c r="G2196" s="8">
        <f t="shared" si="9544"/>
        <v>0</v>
      </c>
      <c r="H2196" s="8">
        <f t="shared" si="9545"/>
        <v>0</v>
      </c>
      <c r="I2196" s="8">
        <f t="shared" si="9546"/>
        <v>0</v>
      </c>
      <c r="J2196" s="8">
        <f t="shared" si="9547"/>
        <v>0</v>
      </c>
      <c r="K2196" s="8">
        <f t="shared" si="9548"/>
        <v>0</v>
      </c>
      <c r="L2196" s="8">
        <f t="shared" si="9549"/>
        <v>0</v>
      </c>
      <c r="M2196" s="8">
        <f t="shared" si="9550"/>
        <v>1</v>
      </c>
      <c r="N2196" s="8">
        <f t="shared" si="9551"/>
        <v>0</v>
      </c>
      <c r="O2196" s="8">
        <f t="shared" si="9552"/>
        <v>0</v>
      </c>
      <c r="P2196" s="8" t="e">
        <v>#NUM!</v>
      </c>
      <c r="Q2196" s="8" t="e">
        <f t="shared" ref="Q2196" si="9583">IF(COUNTIF(P2187:P2197,"&lt;"&amp;-0.001)=0,IF(ABS(P2196)&lt;0.001,0,P2196)," ")</f>
        <v>#NUM!</v>
      </c>
      <c r="R2196" s="8"/>
      <c r="S2196" s="8"/>
      <c r="U2196" s="34"/>
      <c r="V2196" s="34"/>
      <c r="W2196" s="34"/>
      <c r="X2196" s="34"/>
      <c r="Y2196" s="34"/>
      <c r="Z2196" s="34"/>
      <c r="AA2196" s="34"/>
      <c r="AB2196" s="34"/>
      <c r="AC2196" s="34"/>
      <c r="AD2196" s="34"/>
      <c r="AE2196" s="34"/>
      <c r="AF2196" s="34"/>
      <c r="AG2196" s="34"/>
      <c r="AH2196" s="34"/>
      <c r="AI2196" s="34"/>
      <c r="AJ2196" s="34"/>
      <c r="AK2196" s="34"/>
      <c r="AL2196" s="34"/>
      <c r="AM2196" s="34"/>
      <c r="AN2196" s="34"/>
      <c r="AO2196" s="34"/>
      <c r="AP2196" s="34"/>
      <c r="AQ2196" s="34"/>
      <c r="AR2196" s="34"/>
      <c r="AS2196" s="34"/>
      <c r="AT2196" s="34"/>
      <c r="AU2196" s="34"/>
      <c r="AV2196" s="34"/>
      <c r="AW2196" s="34"/>
      <c r="AX2196" s="34"/>
      <c r="AY2196" s="34"/>
      <c r="AZ2196" s="34"/>
      <c r="BA2196" s="34"/>
      <c r="BB2196" s="34"/>
      <c r="BC2196" s="34"/>
      <c r="BD2196" s="34"/>
      <c r="BE2196" s="34"/>
      <c r="BF2196" s="34"/>
      <c r="BG2196" s="34"/>
      <c r="BH2196" s="34"/>
      <c r="BI2196" s="34"/>
      <c r="BJ2196" s="34"/>
      <c r="BK2196" s="34"/>
      <c r="BL2196" s="34"/>
      <c r="BM2196" s="34"/>
      <c r="BN2196" s="34"/>
      <c r="BO2196" s="34"/>
      <c r="BP2196" s="34"/>
      <c r="BQ2196" s="34"/>
      <c r="BR2196" s="34"/>
      <c r="BS2196" s="34"/>
      <c r="BT2196" s="34"/>
      <c r="BU2196" s="34"/>
      <c r="BV2196" s="34"/>
      <c r="BW2196" s="34"/>
      <c r="BX2196" s="34"/>
      <c r="BY2196" s="34"/>
      <c r="BZ2196" s="34"/>
      <c r="CA2196" s="34"/>
      <c r="CB2196" s="34"/>
      <c r="CC2196" s="34"/>
      <c r="CD2196" s="34"/>
      <c r="CE2196" s="34"/>
      <c r="CF2196" s="34"/>
      <c r="CG2196" s="34"/>
      <c r="CH2196" s="34"/>
      <c r="CI2196" s="8"/>
    </row>
    <row r="2197" spans="1:87" x14ac:dyDescent="0.2">
      <c r="A2197" s="8" t="str">
        <f>IF(AND(COUNTIF(W$3:W$13,A$25)&gt;0,A$25&lt;&gt;B2070),A$25,IFERROR(IF(MATCH(A$25,Z$3:Z$13,0)=6,A$25," ")," "))</f>
        <v xml:space="preserve"> </v>
      </c>
      <c r="B2197" s="8" t="str">
        <f>IF(A2197=" "," ",MAX(B2187:B2196)+1)</f>
        <v xml:space="preserve"> </v>
      </c>
      <c r="C2197" s="8" t="str">
        <f>IFERROR(INDEX(A2187:A2208,MATCH(SMALL(B2187:B2208,11),B2187:B2208,0),1)," ")</f>
        <v>C22</v>
      </c>
      <c r="D2197" s="8">
        <f t="shared" si="9541"/>
        <v>0</v>
      </c>
      <c r="E2197" s="8">
        <f t="shared" si="9542"/>
        <v>0</v>
      </c>
      <c r="F2197" s="8">
        <f t="shared" si="9543"/>
        <v>0</v>
      </c>
      <c r="G2197" s="8">
        <f t="shared" si="9544"/>
        <v>0</v>
      </c>
      <c r="H2197" s="8">
        <f t="shared" si="9545"/>
        <v>0</v>
      </c>
      <c r="I2197" s="8">
        <f t="shared" si="9546"/>
        <v>0</v>
      </c>
      <c r="J2197" s="8">
        <f t="shared" si="9547"/>
        <v>0</v>
      </c>
      <c r="K2197" s="8">
        <f t="shared" si="9548"/>
        <v>0</v>
      </c>
      <c r="L2197" s="8">
        <f t="shared" si="9549"/>
        <v>0</v>
      </c>
      <c r="M2197" s="8">
        <f t="shared" si="9550"/>
        <v>0</v>
      </c>
      <c r="N2197" s="8">
        <f t="shared" si="9551"/>
        <v>1</v>
      </c>
      <c r="O2197" s="8">
        <f t="shared" si="9552"/>
        <v>0</v>
      </c>
      <c r="P2197" s="8" t="e">
        <v>#NUM!</v>
      </c>
      <c r="Q2197" s="8" t="e">
        <f t="shared" ref="Q2197" si="9584">IF(COUNTIF(P2187:P2197,"&lt;"&amp;-0.001)=0,IF(ABS(P2197)&lt;0.001,0,P2197)," ")</f>
        <v>#NUM!</v>
      </c>
      <c r="R2197" s="8"/>
      <c r="S2197" s="8"/>
      <c r="U2197" s="34"/>
      <c r="V2197" s="34"/>
      <c r="W2197" s="34"/>
      <c r="X2197" s="34"/>
      <c r="Y2197" s="34"/>
      <c r="Z2197" s="34"/>
      <c r="AA2197" s="34"/>
      <c r="AB2197" s="34"/>
      <c r="AC2197" s="34"/>
      <c r="AD2197" s="34"/>
      <c r="AE2197" s="34"/>
      <c r="AF2197" s="34"/>
      <c r="AG2197" s="34"/>
      <c r="AH2197" s="34"/>
      <c r="AI2197" s="34"/>
      <c r="AJ2197" s="34"/>
      <c r="AK2197" s="34"/>
      <c r="AL2197" s="34"/>
      <c r="AM2197" s="34"/>
      <c r="AN2197" s="34"/>
      <c r="AO2197" s="34"/>
      <c r="AP2197" s="34"/>
      <c r="AQ2197" s="34"/>
      <c r="AR2197" s="34"/>
      <c r="AS2197" s="34"/>
      <c r="AT2197" s="34"/>
      <c r="AU2197" s="34"/>
      <c r="AV2197" s="34"/>
      <c r="AW2197" s="34"/>
      <c r="AX2197" s="34"/>
      <c r="AY2197" s="34"/>
      <c r="AZ2197" s="34"/>
      <c r="BA2197" s="34"/>
      <c r="BB2197" s="34"/>
      <c r="BC2197" s="34"/>
      <c r="BD2197" s="34"/>
      <c r="BE2197" s="34"/>
      <c r="BF2197" s="34"/>
      <c r="BG2197" s="34"/>
      <c r="BH2197" s="34"/>
      <c r="BI2197" s="34"/>
      <c r="BJ2197" s="34"/>
      <c r="BK2197" s="34"/>
      <c r="BL2197" s="34"/>
      <c r="BM2197" s="34"/>
      <c r="BN2197" s="34"/>
      <c r="BO2197" s="34"/>
      <c r="BP2197" s="34"/>
      <c r="BQ2197" s="34"/>
      <c r="BR2197" s="34"/>
      <c r="BS2197" s="34"/>
      <c r="BT2197" s="34"/>
      <c r="BU2197" s="34"/>
      <c r="BV2197" s="34"/>
      <c r="BW2197" s="34"/>
      <c r="BX2197" s="34"/>
      <c r="BY2197" s="34"/>
      <c r="BZ2197" s="34"/>
      <c r="CA2197" s="34"/>
      <c r="CB2197" s="34"/>
      <c r="CC2197" s="34"/>
      <c r="CD2197" s="34"/>
      <c r="CE2197" s="34"/>
      <c r="CF2197" s="34"/>
      <c r="CG2197" s="34"/>
      <c r="CH2197" s="34"/>
      <c r="CI2197" s="8"/>
    </row>
    <row r="2198" spans="1:87" x14ac:dyDescent="0.2">
      <c r="A2198" s="8" t="str">
        <f>IF(AND(COUNTIF(W$3:W$13,A$26)&gt;0,A$26&lt;&gt;B2070),A$26,IFERROR(IF(MATCH(A$26,Z$3:Z$13,0)=6,A$26," ")," "))</f>
        <v xml:space="preserve"> </v>
      </c>
      <c r="B2198" s="8" t="str">
        <f>IF(A2198=" "," ",MAX(B2187:B2197)+1)</f>
        <v xml:space="preserve"> </v>
      </c>
      <c r="C2198" s="8"/>
      <c r="D2198" s="8"/>
      <c r="E2198" s="8"/>
      <c r="F2198" s="8"/>
      <c r="G2198" s="8"/>
      <c r="H2198" s="8"/>
      <c r="I2198" s="8"/>
      <c r="J2198" s="8"/>
      <c r="K2198" s="8"/>
      <c r="L2198" s="8"/>
      <c r="M2198" s="8"/>
      <c r="N2198" s="8"/>
      <c r="O2198" s="8"/>
      <c r="P2198" s="8"/>
      <c r="Q2198" s="8"/>
      <c r="R2198" s="8"/>
      <c r="S2198" s="8"/>
      <c r="U2198" s="34"/>
      <c r="V2198" s="34"/>
      <c r="W2198" s="34"/>
      <c r="X2198" s="34"/>
      <c r="Y2198" s="34"/>
      <c r="Z2198" s="34"/>
      <c r="AA2198" s="34"/>
      <c r="AB2198" s="34"/>
      <c r="AC2198" s="34"/>
      <c r="AD2198" s="34"/>
      <c r="AE2198" s="34"/>
      <c r="AF2198" s="34"/>
      <c r="AG2198" s="34"/>
      <c r="AH2198" s="34"/>
      <c r="AI2198" s="34"/>
      <c r="AJ2198" s="34"/>
      <c r="AK2198" s="34"/>
      <c r="AL2198" s="34"/>
      <c r="AM2198" s="34"/>
      <c r="AN2198" s="34"/>
      <c r="AO2198" s="34"/>
      <c r="AP2198" s="34"/>
      <c r="AQ2198" s="34"/>
      <c r="AR2198" s="34"/>
      <c r="AS2198" s="34"/>
      <c r="AT2198" s="34"/>
      <c r="AU2198" s="34"/>
      <c r="AV2198" s="34"/>
      <c r="AW2198" s="34"/>
      <c r="AX2198" s="34"/>
      <c r="AY2198" s="34"/>
      <c r="AZ2198" s="34"/>
      <c r="BA2198" s="34"/>
      <c r="BB2198" s="34"/>
      <c r="BC2198" s="34"/>
      <c r="BD2198" s="34"/>
      <c r="BE2198" s="34"/>
      <c r="BF2198" s="34"/>
      <c r="BG2198" s="34"/>
      <c r="BH2198" s="34"/>
      <c r="BI2198" s="34"/>
      <c r="BJ2198" s="34"/>
      <c r="BK2198" s="34"/>
      <c r="BL2198" s="34"/>
      <c r="BM2198" s="34"/>
      <c r="BN2198" s="34"/>
      <c r="BO2198" s="34"/>
      <c r="BP2198" s="34"/>
      <c r="BQ2198" s="34"/>
      <c r="BR2198" s="34"/>
      <c r="BS2198" s="34"/>
      <c r="BT2198" s="34"/>
      <c r="BU2198" s="34"/>
      <c r="BV2198" s="34"/>
      <c r="BW2198" s="34"/>
      <c r="BX2198" s="34"/>
      <c r="BY2198" s="34"/>
      <c r="BZ2198" s="34"/>
      <c r="CA2198" s="34"/>
      <c r="CB2198" s="34"/>
      <c r="CC2198" s="34"/>
      <c r="CD2198" s="34"/>
      <c r="CE2198" s="34"/>
      <c r="CF2198" s="34"/>
      <c r="CG2198" s="34"/>
      <c r="CH2198" s="34"/>
      <c r="CI2198" s="8"/>
    </row>
    <row r="2199" spans="1:87" x14ac:dyDescent="0.2">
      <c r="A2199" s="8" t="str">
        <f>IF(AND(COUNTIF(W$3:W$13,A$27)&gt;0,A$27&lt;&gt;B2070),A$27,IFERROR(IF(MATCH(A$27,Z$3:Z$13,0)=6,A$27," ")," "))</f>
        <v>C13</v>
      </c>
      <c r="B2199" s="8">
        <f>IF(A2199=" "," ",MAX(B2187:B2198)+1)</f>
        <v>4</v>
      </c>
      <c r="C2199" s="8"/>
      <c r="D2199" s="8"/>
      <c r="E2199" s="8"/>
      <c r="F2199" s="8"/>
      <c r="G2199" s="8"/>
      <c r="H2199" s="8"/>
      <c r="I2199" s="8"/>
      <c r="J2199" s="8"/>
      <c r="K2199" s="8"/>
      <c r="L2199" s="8"/>
      <c r="M2199" s="8"/>
      <c r="N2199" s="8"/>
      <c r="O2199" s="8"/>
      <c r="P2199" s="8"/>
      <c r="Q2199" s="8"/>
      <c r="R2199" s="8"/>
      <c r="S2199" s="8"/>
      <c r="U2199" s="34"/>
      <c r="V2199" s="34"/>
      <c r="W2199" s="34"/>
      <c r="X2199" s="34"/>
      <c r="Y2199" s="34"/>
      <c r="Z2199" s="34"/>
      <c r="AA2199" s="34"/>
      <c r="AB2199" s="34"/>
      <c r="AC2199" s="34"/>
      <c r="AD2199" s="34"/>
      <c r="AE2199" s="34"/>
      <c r="AF2199" s="34"/>
      <c r="AG2199" s="34"/>
      <c r="AH2199" s="34"/>
      <c r="AI2199" s="34"/>
      <c r="AJ2199" s="34"/>
      <c r="AK2199" s="34"/>
      <c r="AL2199" s="34"/>
      <c r="AM2199" s="34"/>
      <c r="AN2199" s="34"/>
      <c r="AO2199" s="34"/>
      <c r="AP2199" s="34"/>
      <c r="AQ2199" s="34"/>
      <c r="AR2199" s="34"/>
      <c r="AS2199" s="34"/>
      <c r="AT2199" s="34"/>
      <c r="AU2199" s="34"/>
      <c r="AV2199" s="34"/>
      <c r="AW2199" s="34"/>
      <c r="AX2199" s="34"/>
      <c r="AY2199" s="34"/>
      <c r="AZ2199" s="34"/>
      <c r="BA2199" s="34"/>
      <c r="BB2199" s="34"/>
      <c r="BC2199" s="34"/>
      <c r="BD2199" s="34"/>
      <c r="BE2199" s="34"/>
      <c r="BF2199" s="34"/>
      <c r="BG2199" s="34"/>
      <c r="BH2199" s="34"/>
      <c r="BI2199" s="34"/>
      <c r="BJ2199" s="34"/>
      <c r="BK2199" s="34"/>
      <c r="BL2199" s="34"/>
      <c r="BM2199" s="34"/>
      <c r="BN2199" s="34"/>
      <c r="BO2199" s="34"/>
      <c r="BP2199" s="34"/>
      <c r="BQ2199" s="34"/>
      <c r="BR2199" s="34"/>
      <c r="BS2199" s="34"/>
      <c r="BT2199" s="34"/>
      <c r="BU2199" s="34"/>
      <c r="BV2199" s="34"/>
      <c r="BW2199" s="34"/>
      <c r="BX2199" s="34"/>
      <c r="BY2199" s="34"/>
      <c r="BZ2199" s="34"/>
      <c r="CA2199" s="34"/>
      <c r="CB2199" s="34"/>
      <c r="CC2199" s="34"/>
      <c r="CD2199" s="34"/>
      <c r="CE2199" s="34"/>
      <c r="CF2199" s="34"/>
      <c r="CG2199" s="34"/>
      <c r="CH2199" s="34"/>
      <c r="CI2199" s="8"/>
    </row>
    <row r="2200" spans="1:87" x14ac:dyDescent="0.2">
      <c r="A2200" s="8" t="str">
        <f>IF(AND(COUNTIF(W$3:W$13,A$28)&gt;0,A$28&lt;&gt;B2070),A$28,IFERROR(IF(MATCH(A$28,Z$3:Z$13,0)=6,A$28," ")," "))</f>
        <v xml:space="preserve"> </v>
      </c>
      <c r="B2200" s="8" t="str">
        <f>IF(A2200=" "," ",MAX(B2187:B2199)+1)</f>
        <v xml:space="preserve"> </v>
      </c>
      <c r="C2200" s="8"/>
      <c r="D2200" s="8"/>
      <c r="E2200" s="8"/>
      <c r="F2200" s="8"/>
      <c r="G2200" s="8"/>
      <c r="H2200" s="8"/>
      <c r="I2200" s="8"/>
      <c r="J2200" s="8"/>
      <c r="K2200" s="8"/>
      <c r="L2200" s="8"/>
      <c r="M2200" s="8"/>
      <c r="N2200" s="8"/>
      <c r="O2200" s="8"/>
      <c r="P2200" s="8"/>
      <c r="Q2200" s="8"/>
      <c r="R2200" s="8"/>
      <c r="S2200" s="8"/>
      <c r="U2200" s="34"/>
      <c r="V2200" s="34"/>
      <c r="W2200" s="34"/>
      <c r="X2200" s="34"/>
      <c r="Y2200" s="34"/>
      <c r="Z2200" s="34"/>
      <c r="AA2200" s="34"/>
      <c r="AB2200" s="34"/>
      <c r="AC2200" s="34"/>
      <c r="AD2200" s="34"/>
      <c r="AE2200" s="34"/>
      <c r="AF2200" s="34"/>
      <c r="AG2200" s="34"/>
      <c r="AH2200" s="34"/>
      <c r="AI2200" s="34"/>
      <c r="AJ2200" s="34"/>
      <c r="AK2200" s="34"/>
      <c r="AL2200" s="34"/>
      <c r="AM2200" s="34"/>
      <c r="AN2200" s="34"/>
      <c r="AO2200" s="34"/>
      <c r="AP2200" s="34"/>
      <c r="AQ2200" s="34"/>
      <c r="AR2200" s="34"/>
      <c r="AS2200" s="34"/>
      <c r="AT2200" s="34"/>
      <c r="AU2200" s="34"/>
      <c r="AV2200" s="34"/>
      <c r="AW2200" s="34"/>
      <c r="AX2200" s="34"/>
      <c r="AY2200" s="34"/>
      <c r="AZ2200" s="34"/>
      <c r="BA2200" s="34"/>
      <c r="BB2200" s="34"/>
      <c r="BC2200" s="34"/>
      <c r="BD2200" s="34"/>
      <c r="BE2200" s="34"/>
      <c r="BF2200" s="34"/>
      <c r="BG2200" s="34"/>
      <c r="BH2200" s="34"/>
      <c r="BI2200" s="34"/>
      <c r="BJ2200" s="34"/>
      <c r="BK2200" s="34"/>
      <c r="BL2200" s="34"/>
      <c r="BM2200" s="34"/>
      <c r="BN2200" s="34"/>
      <c r="BO2200" s="34"/>
      <c r="BP2200" s="34"/>
      <c r="BQ2200" s="34"/>
      <c r="BR2200" s="34"/>
      <c r="BS2200" s="34"/>
      <c r="BT2200" s="34"/>
      <c r="BU2200" s="34"/>
      <c r="BV2200" s="34"/>
      <c r="BW2200" s="34"/>
      <c r="BX2200" s="34"/>
      <c r="BY2200" s="34"/>
      <c r="BZ2200" s="34"/>
      <c r="CA2200" s="34"/>
      <c r="CB2200" s="34"/>
      <c r="CC2200" s="34"/>
      <c r="CD2200" s="34"/>
      <c r="CE2200" s="34"/>
      <c r="CF2200" s="34"/>
      <c r="CG2200" s="34"/>
      <c r="CH2200" s="34"/>
      <c r="CI2200" s="8"/>
    </row>
    <row r="2201" spans="1:87" x14ac:dyDescent="0.2">
      <c r="A2201" s="8" t="str">
        <f>IF(AND(COUNTIF(W$3:W$13,A$29)&gt;0,A$29&lt;&gt;B2070),A$29,IFERROR(IF(MATCH(A$29,Z$3:Z$13,0)=6,A$29," ")," "))</f>
        <v>C15</v>
      </c>
      <c r="B2201" s="8">
        <f>IF(A2201=" "," ",MAX(B2187:B2200)+1)</f>
        <v>5</v>
      </c>
      <c r="C2201" s="8"/>
      <c r="D2201" s="8"/>
      <c r="E2201" s="8"/>
      <c r="F2201" s="8"/>
      <c r="G2201" s="8"/>
      <c r="H2201" s="8"/>
      <c r="I2201" s="8"/>
      <c r="J2201" s="8"/>
      <c r="K2201" s="8"/>
      <c r="L2201" s="8"/>
      <c r="M2201" s="8"/>
      <c r="N2201" s="8"/>
      <c r="O2201" s="8"/>
      <c r="P2201" s="8"/>
      <c r="Q2201" s="8"/>
      <c r="R2201" s="8"/>
      <c r="S2201" s="8"/>
      <c r="U2201" s="34"/>
      <c r="V2201" s="34"/>
      <c r="W2201" s="34"/>
      <c r="X2201" s="34"/>
      <c r="Y2201" s="34"/>
      <c r="Z2201" s="34"/>
      <c r="AA2201" s="34"/>
      <c r="AB2201" s="34"/>
      <c r="AC2201" s="34"/>
      <c r="AD2201" s="34"/>
      <c r="AE2201" s="34"/>
      <c r="AF2201" s="34"/>
      <c r="AG2201" s="34"/>
      <c r="AH2201" s="34"/>
      <c r="AI2201" s="34"/>
      <c r="AJ2201" s="34"/>
      <c r="AK2201" s="34"/>
      <c r="AL2201" s="34"/>
      <c r="AM2201" s="34"/>
      <c r="AN2201" s="34"/>
      <c r="AO2201" s="34"/>
      <c r="AP2201" s="34"/>
      <c r="AQ2201" s="34"/>
      <c r="AR2201" s="34"/>
      <c r="AS2201" s="34"/>
      <c r="AT2201" s="34"/>
      <c r="AU2201" s="34"/>
      <c r="AV2201" s="34"/>
      <c r="AW2201" s="34"/>
      <c r="AX2201" s="34"/>
      <c r="AY2201" s="34"/>
      <c r="AZ2201" s="34"/>
      <c r="BA2201" s="34"/>
      <c r="BB2201" s="34"/>
      <c r="BC2201" s="34"/>
      <c r="BD2201" s="34"/>
      <c r="BE2201" s="34"/>
      <c r="BF2201" s="34"/>
      <c r="BG2201" s="34"/>
      <c r="BH2201" s="34"/>
      <c r="BI2201" s="34"/>
      <c r="BJ2201" s="34"/>
      <c r="BK2201" s="34"/>
      <c r="BL2201" s="34"/>
      <c r="BM2201" s="34"/>
      <c r="BN2201" s="34"/>
      <c r="BO2201" s="34"/>
      <c r="BP2201" s="34"/>
      <c r="BQ2201" s="34"/>
      <c r="BR2201" s="34"/>
      <c r="BS2201" s="34"/>
      <c r="BT2201" s="34"/>
      <c r="BU2201" s="34"/>
      <c r="BV2201" s="34"/>
      <c r="BW2201" s="34"/>
      <c r="BX2201" s="34"/>
      <c r="BY2201" s="34"/>
      <c r="BZ2201" s="34"/>
      <c r="CA2201" s="34"/>
      <c r="CB2201" s="34"/>
      <c r="CC2201" s="34"/>
      <c r="CD2201" s="34"/>
      <c r="CE2201" s="34"/>
      <c r="CF2201" s="34"/>
      <c r="CG2201" s="34"/>
      <c r="CH2201" s="34"/>
      <c r="CI2201" s="8"/>
    </row>
    <row r="2202" spans="1:87" x14ac:dyDescent="0.2">
      <c r="A2202" s="8" t="str">
        <f>IF(AND(COUNTIF(W$3:W$13,A$30)&gt;0,A$30&lt;&gt;B2070),A$30,IFERROR(IF(MATCH(A$30,Z$3:Z$13,0)=6,A$30," ")," "))</f>
        <v>C16</v>
      </c>
      <c r="B2202" s="8">
        <f>IF(A2202=" "," ",MAX(B2187:B2201)+1)</f>
        <v>6</v>
      </c>
      <c r="C2202" s="8"/>
      <c r="D2202" s="8"/>
      <c r="E2202" s="8"/>
      <c r="F2202" s="8"/>
      <c r="G2202" s="8"/>
      <c r="H2202" s="8"/>
      <c r="I2202" s="8"/>
      <c r="J2202" s="8"/>
      <c r="K2202" s="8"/>
      <c r="L2202" s="8"/>
      <c r="M2202" s="8"/>
      <c r="N2202" s="8"/>
      <c r="O2202" s="8"/>
      <c r="P2202" s="8"/>
      <c r="Q2202" s="8"/>
      <c r="R2202" s="8"/>
      <c r="S2202" s="8"/>
      <c r="U2202" s="34"/>
      <c r="V2202" s="34"/>
      <c r="W2202" s="34"/>
      <c r="X2202" s="34"/>
      <c r="Y2202" s="34"/>
      <c r="Z2202" s="34"/>
      <c r="AA2202" s="34"/>
      <c r="AB2202" s="34"/>
      <c r="AC2202" s="34"/>
      <c r="AD2202" s="34"/>
      <c r="AE2202" s="34"/>
      <c r="AF2202" s="34"/>
      <c r="AG2202" s="34"/>
      <c r="AH2202" s="34"/>
      <c r="AI2202" s="34"/>
      <c r="AJ2202" s="34"/>
      <c r="AK2202" s="34"/>
      <c r="AL2202" s="34"/>
      <c r="AM2202" s="34"/>
      <c r="AN2202" s="34"/>
      <c r="AO2202" s="34"/>
      <c r="AP2202" s="34"/>
      <c r="AQ2202" s="34"/>
      <c r="AR2202" s="34"/>
      <c r="AS2202" s="34"/>
      <c r="AT2202" s="34"/>
      <c r="AU2202" s="34"/>
      <c r="AV2202" s="34"/>
      <c r="AW2202" s="34"/>
      <c r="AX2202" s="34"/>
      <c r="AY2202" s="34"/>
      <c r="AZ2202" s="34"/>
      <c r="BA2202" s="34"/>
      <c r="BB2202" s="34"/>
      <c r="BC2202" s="34"/>
      <c r="BD2202" s="34"/>
      <c r="BE2202" s="34"/>
      <c r="BF2202" s="34"/>
      <c r="BG2202" s="34"/>
      <c r="BH2202" s="34"/>
      <c r="BI2202" s="34"/>
      <c r="BJ2202" s="34"/>
      <c r="BK2202" s="34"/>
      <c r="BL2202" s="34"/>
      <c r="BM2202" s="34"/>
      <c r="BN2202" s="34"/>
      <c r="BO2202" s="34"/>
      <c r="BP2202" s="34"/>
      <c r="BQ2202" s="34"/>
      <c r="BR2202" s="34"/>
      <c r="BS2202" s="34"/>
      <c r="BT2202" s="34"/>
      <c r="BU2202" s="34"/>
      <c r="BV2202" s="34"/>
      <c r="BW2202" s="34"/>
      <c r="BX2202" s="34"/>
      <c r="BY2202" s="34"/>
      <c r="BZ2202" s="34"/>
      <c r="CA2202" s="34"/>
      <c r="CB2202" s="34"/>
      <c r="CC2202" s="34"/>
      <c r="CD2202" s="34"/>
      <c r="CE2202" s="34"/>
      <c r="CF2202" s="34"/>
      <c r="CG2202" s="34"/>
      <c r="CH2202" s="34"/>
      <c r="CI2202" s="8"/>
    </row>
    <row r="2203" spans="1:87" x14ac:dyDescent="0.2">
      <c r="A2203" s="8" t="str">
        <f>IF(AND(COUNTIF(W$3:W$13,A$31)&gt;0,A$31&lt;&gt;B2070),A$31,IFERROR(IF(MATCH(A$31,Z$3:Z$13,0)=6,A$31," ")," "))</f>
        <v>C17</v>
      </c>
      <c r="B2203" s="8">
        <f>IF(A2203=" "," ",MAX(B2187:B2202)+1)</f>
        <v>7</v>
      </c>
      <c r="C2203" s="8"/>
      <c r="D2203" s="8"/>
      <c r="E2203" s="8"/>
      <c r="F2203" s="8"/>
      <c r="G2203" s="8"/>
      <c r="H2203" s="8"/>
      <c r="I2203" s="8"/>
      <c r="J2203" s="8"/>
      <c r="K2203" s="8"/>
      <c r="L2203" s="8"/>
      <c r="M2203" s="8"/>
      <c r="N2203" s="8"/>
      <c r="O2203" s="8"/>
      <c r="P2203" s="8"/>
      <c r="Q2203" s="8"/>
      <c r="R2203" s="8"/>
      <c r="S2203" s="8"/>
      <c r="U2203" s="34"/>
      <c r="V2203" s="34"/>
      <c r="W2203" s="34"/>
      <c r="X2203" s="34"/>
      <c r="Y2203" s="34"/>
      <c r="Z2203" s="34"/>
      <c r="AA2203" s="34"/>
      <c r="AB2203" s="34"/>
      <c r="AC2203" s="34"/>
      <c r="AD2203" s="34"/>
      <c r="AE2203" s="34"/>
      <c r="AF2203" s="34"/>
      <c r="AG2203" s="34"/>
      <c r="AH2203" s="34"/>
      <c r="AI2203" s="34"/>
      <c r="AJ2203" s="34"/>
      <c r="AK2203" s="34"/>
      <c r="AL2203" s="34"/>
      <c r="AM2203" s="34"/>
      <c r="AN2203" s="34"/>
      <c r="AO2203" s="34"/>
      <c r="AP2203" s="34"/>
      <c r="AQ2203" s="34"/>
      <c r="AR2203" s="34"/>
      <c r="AS2203" s="34"/>
      <c r="AT2203" s="34"/>
      <c r="AU2203" s="34"/>
      <c r="AV2203" s="34"/>
      <c r="AW2203" s="34"/>
      <c r="AX2203" s="34"/>
      <c r="AY2203" s="34"/>
      <c r="AZ2203" s="34"/>
      <c r="BA2203" s="34"/>
      <c r="BB2203" s="34"/>
      <c r="BC2203" s="34"/>
      <c r="BD2203" s="34"/>
      <c r="BE2203" s="34"/>
      <c r="BF2203" s="34"/>
      <c r="BG2203" s="34"/>
      <c r="BH2203" s="34"/>
      <c r="BI2203" s="34"/>
      <c r="BJ2203" s="34"/>
      <c r="BK2203" s="34"/>
      <c r="BL2203" s="34"/>
      <c r="BM2203" s="34"/>
      <c r="BN2203" s="34"/>
      <c r="BO2203" s="34"/>
      <c r="BP2203" s="34"/>
      <c r="BQ2203" s="34"/>
      <c r="BR2203" s="34"/>
      <c r="BS2203" s="34"/>
      <c r="BT2203" s="34"/>
      <c r="BU2203" s="34"/>
      <c r="BV2203" s="34"/>
      <c r="BW2203" s="34"/>
      <c r="BX2203" s="34"/>
      <c r="BY2203" s="34"/>
      <c r="BZ2203" s="34"/>
      <c r="CA2203" s="34"/>
      <c r="CB2203" s="34"/>
      <c r="CC2203" s="34"/>
      <c r="CD2203" s="34"/>
      <c r="CE2203" s="34"/>
      <c r="CF2203" s="34"/>
      <c r="CG2203" s="34"/>
      <c r="CH2203" s="34"/>
      <c r="CI2203" s="8"/>
    </row>
    <row r="2204" spans="1:87" x14ac:dyDescent="0.2">
      <c r="A2204" s="8" t="str">
        <f>IF(AND(COUNTIF(W$3:W$13,A$32)&gt;0,A$32&lt;&gt;B2070),A$32,IFERROR(IF(MATCH(A$32,Z$3:Z$13,0)=6,A$32," ")," "))</f>
        <v>C18</v>
      </c>
      <c r="B2204" s="8">
        <f>IF(A2204=" "," ",MAX(B2187:B2203)+1)</f>
        <v>8</v>
      </c>
      <c r="C2204" s="8"/>
      <c r="D2204" s="8"/>
      <c r="E2204" s="8"/>
      <c r="F2204" s="8"/>
      <c r="G2204" s="8"/>
      <c r="H2204" s="8"/>
      <c r="I2204" s="8"/>
      <c r="J2204" s="8"/>
      <c r="K2204" s="8"/>
      <c r="L2204" s="8"/>
      <c r="M2204" s="8"/>
      <c r="N2204" s="8"/>
      <c r="O2204" s="8"/>
      <c r="P2204" s="8"/>
      <c r="Q2204" s="8"/>
      <c r="R2204" s="8"/>
      <c r="S2204" s="8"/>
      <c r="U2204" s="34"/>
      <c r="V2204" s="34"/>
      <c r="W2204" s="34"/>
      <c r="X2204" s="34"/>
      <c r="Y2204" s="34"/>
      <c r="Z2204" s="34"/>
      <c r="AA2204" s="34"/>
      <c r="AB2204" s="34"/>
      <c r="AC2204" s="34"/>
      <c r="AD2204" s="34"/>
      <c r="AE2204" s="34"/>
      <c r="AF2204" s="34"/>
      <c r="AG2204" s="34"/>
      <c r="AH2204" s="34"/>
      <c r="AI2204" s="34"/>
      <c r="AJ2204" s="34"/>
      <c r="AK2204" s="34"/>
      <c r="AL2204" s="34"/>
      <c r="AM2204" s="34"/>
      <c r="AN2204" s="34"/>
      <c r="AO2204" s="34"/>
      <c r="AP2204" s="34"/>
      <c r="AQ2204" s="34"/>
      <c r="AR2204" s="34"/>
      <c r="AS2204" s="34"/>
      <c r="AT2204" s="34"/>
      <c r="AU2204" s="34"/>
      <c r="AV2204" s="34"/>
      <c r="AW2204" s="34"/>
      <c r="AX2204" s="34"/>
      <c r="AY2204" s="34"/>
      <c r="AZ2204" s="34"/>
      <c r="BA2204" s="34"/>
      <c r="BB2204" s="34"/>
      <c r="BC2204" s="34"/>
      <c r="BD2204" s="34"/>
      <c r="BE2204" s="34"/>
      <c r="BF2204" s="34"/>
      <c r="BG2204" s="34"/>
      <c r="BH2204" s="34"/>
      <c r="BI2204" s="34"/>
      <c r="BJ2204" s="34"/>
      <c r="BK2204" s="34"/>
      <c r="BL2204" s="34"/>
      <c r="BM2204" s="34"/>
      <c r="BN2204" s="34"/>
      <c r="BO2204" s="34"/>
      <c r="BP2204" s="34"/>
      <c r="BQ2204" s="34"/>
      <c r="BR2204" s="34"/>
      <c r="BS2204" s="34"/>
      <c r="BT2204" s="34"/>
      <c r="BU2204" s="34"/>
      <c r="BV2204" s="34"/>
      <c r="BW2204" s="34"/>
      <c r="BX2204" s="34"/>
      <c r="BY2204" s="34"/>
      <c r="BZ2204" s="34"/>
      <c r="CA2204" s="34"/>
      <c r="CB2204" s="34"/>
      <c r="CC2204" s="34"/>
      <c r="CD2204" s="34"/>
      <c r="CE2204" s="34"/>
      <c r="CF2204" s="34"/>
      <c r="CG2204" s="34"/>
      <c r="CH2204" s="34"/>
      <c r="CI2204" s="8"/>
    </row>
    <row r="2205" spans="1:87" x14ac:dyDescent="0.2">
      <c r="A2205" s="8" t="str">
        <f>IF(AND(COUNTIF(W$3:W$13,A$33)&gt;0,A$33&lt;&gt;B2070),A$33,IFERROR(IF(MATCH(A$33,Z$3:Z$13,0)=6,A$33," ")," "))</f>
        <v>C19</v>
      </c>
      <c r="B2205" s="8">
        <f>IF(A2205=" "," ",MAX(B2187:B2204)+1)</f>
        <v>9</v>
      </c>
      <c r="C2205" s="8"/>
      <c r="D2205" s="8"/>
      <c r="E2205" s="8"/>
      <c r="F2205" s="8"/>
      <c r="G2205" s="8"/>
      <c r="H2205" s="8"/>
      <c r="I2205" s="8"/>
      <c r="J2205" s="8"/>
      <c r="K2205" s="8"/>
      <c r="L2205" s="8"/>
      <c r="M2205" s="8"/>
      <c r="N2205" s="8"/>
      <c r="O2205" s="8"/>
      <c r="P2205" s="8"/>
      <c r="Q2205" s="8"/>
      <c r="R2205" s="8"/>
      <c r="S2205" s="8"/>
      <c r="U2205" s="34"/>
      <c r="V2205" s="34"/>
      <c r="W2205" s="34"/>
      <c r="X2205" s="34"/>
      <c r="Y2205" s="34"/>
      <c r="Z2205" s="34"/>
      <c r="AA2205" s="34"/>
      <c r="AB2205" s="34"/>
      <c r="AC2205" s="34"/>
      <c r="AD2205" s="34"/>
      <c r="AE2205" s="34"/>
      <c r="AF2205" s="34"/>
      <c r="AG2205" s="34"/>
      <c r="AH2205" s="34"/>
      <c r="AI2205" s="34"/>
      <c r="AJ2205" s="34"/>
      <c r="AK2205" s="34"/>
      <c r="AL2205" s="34"/>
      <c r="AM2205" s="34"/>
      <c r="AN2205" s="34"/>
      <c r="AO2205" s="34"/>
      <c r="AP2205" s="34"/>
      <c r="AQ2205" s="34"/>
      <c r="AR2205" s="34"/>
      <c r="AS2205" s="34"/>
      <c r="AT2205" s="34"/>
      <c r="AU2205" s="34"/>
      <c r="AV2205" s="34"/>
      <c r="AW2205" s="34"/>
      <c r="AX2205" s="34"/>
      <c r="AY2205" s="34"/>
      <c r="AZ2205" s="34"/>
      <c r="BA2205" s="34"/>
      <c r="BB2205" s="34"/>
      <c r="BC2205" s="34"/>
      <c r="BD2205" s="34"/>
      <c r="BE2205" s="34"/>
      <c r="BF2205" s="34"/>
      <c r="BG2205" s="34"/>
      <c r="BH2205" s="34"/>
      <c r="BI2205" s="34"/>
      <c r="BJ2205" s="34"/>
      <c r="BK2205" s="34"/>
      <c r="BL2205" s="34"/>
      <c r="BM2205" s="34"/>
      <c r="BN2205" s="34"/>
      <c r="BO2205" s="34"/>
      <c r="BP2205" s="34"/>
      <c r="BQ2205" s="34"/>
      <c r="BR2205" s="34"/>
      <c r="BS2205" s="34"/>
      <c r="BT2205" s="34"/>
      <c r="BU2205" s="34"/>
      <c r="BV2205" s="34"/>
      <c r="BW2205" s="34"/>
      <c r="BX2205" s="34"/>
      <c r="BY2205" s="34"/>
      <c r="BZ2205" s="34"/>
      <c r="CA2205" s="34"/>
      <c r="CB2205" s="34"/>
      <c r="CC2205" s="34"/>
      <c r="CD2205" s="34"/>
      <c r="CE2205" s="34"/>
      <c r="CF2205" s="34"/>
      <c r="CG2205" s="34"/>
      <c r="CH2205" s="34"/>
      <c r="CI2205" s="8"/>
    </row>
    <row r="2206" spans="1:87" x14ac:dyDescent="0.2">
      <c r="A2206" s="8" t="str">
        <f>IF(AND(COUNTIF(W$3:W$13,A$34)&gt;0,A$34&lt;&gt;B2070),A$34,IFERROR(IF(MATCH(A$34,Z$3:Z$13,0)=6,A$34," ")," "))</f>
        <v xml:space="preserve"> </v>
      </c>
      <c r="B2206" s="8" t="str">
        <f>IF(A2206=" "," ",MAX(B2187:B2205)+1)</f>
        <v xml:space="preserve"> </v>
      </c>
      <c r="C2206" s="8"/>
      <c r="D2206" s="8"/>
      <c r="E2206" s="8"/>
      <c r="F2206" s="8"/>
      <c r="G2206" s="8"/>
      <c r="H2206" s="8"/>
      <c r="I2206" s="8"/>
      <c r="J2206" s="8"/>
      <c r="K2206" s="8"/>
      <c r="L2206" s="8"/>
      <c r="M2206" s="8"/>
      <c r="N2206" s="8"/>
      <c r="O2206" s="8"/>
      <c r="P2206" s="8"/>
      <c r="Q2206" s="8"/>
      <c r="R2206" s="8"/>
      <c r="S2206" s="8"/>
      <c r="U2206" s="34"/>
      <c r="V2206" s="34"/>
      <c r="W2206" s="34"/>
      <c r="X2206" s="34"/>
      <c r="Y2206" s="34"/>
      <c r="Z2206" s="34"/>
      <c r="AA2206" s="34"/>
      <c r="AB2206" s="34"/>
      <c r="AC2206" s="34"/>
      <c r="AD2206" s="34"/>
      <c r="AE2206" s="34"/>
      <c r="AF2206" s="34"/>
      <c r="AG2206" s="34"/>
      <c r="AH2206" s="34"/>
      <c r="AI2206" s="34"/>
      <c r="AJ2206" s="34"/>
      <c r="AK2206" s="34"/>
      <c r="AL2206" s="34"/>
      <c r="AM2206" s="34"/>
      <c r="AN2206" s="34"/>
      <c r="AO2206" s="34"/>
      <c r="AP2206" s="34"/>
      <c r="AQ2206" s="34"/>
      <c r="AR2206" s="34"/>
      <c r="AS2206" s="34"/>
      <c r="AT2206" s="34"/>
      <c r="AU2206" s="34"/>
      <c r="AV2206" s="34"/>
      <c r="AW2206" s="34"/>
      <c r="AX2206" s="34"/>
      <c r="AY2206" s="34"/>
      <c r="AZ2206" s="34"/>
      <c r="BA2206" s="34"/>
      <c r="BB2206" s="34"/>
      <c r="BC2206" s="34"/>
      <c r="BD2206" s="34"/>
      <c r="BE2206" s="34"/>
      <c r="BF2206" s="34"/>
      <c r="BG2206" s="34"/>
      <c r="BH2206" s="34"/>
      <c r="BI2206" s="34"/>
      <c r="BJ2206" s="34"/>
      <c r="BK2206" s="34"/>
      <c r="BL2206" s="34"/>
      <c r="BM2206" s="34"/>
      <c r="BN2206" s="34"/>
      <c r="BO2206" s="34"/>
      <c r="BP2206" s="34"/>
      <c r="BQ2206" s="34"/>
      <c r="BR2206" s="34"/>
      <c r="BS2206" s="34"/>
      <c r="BT2206" s="34"/>
      <c r="BU2206" s="34"/>
      <c r="BV2206" s="34"/>
      <c r="BW2206" s="34"/>
      <c r="BX2206" s="34"/>
      <c r="BY2206" s="34"/>
      <c r="BZ2206" s="34"/>
      <c r="CA2206" s="34"/>
      <c r="CB2206" s="34"/>
      <c r="CC2206" s="34"/>
      <c r="CD2206" s="34"/>
      <c r="CE2206" s="34"/>
      <c r="CF2206" s="34"/>
      <c r="CG2206" s="34"/>
      <c r="CH2206" s="34"/>
      <c r="CI2206" s="8"/>
    </row>
    <row r="2207" spans="1:87" x14ac:dyDescent="0.2">
      <c r="A2207" s="8" t="str">
        <f>IF(AND(COUNTIF(W$3:W$13,A$35)&gt;0,A$35&lt;&gt;B2070),A$35,IFERROR(IF(MATCH(A$35,Z$3:Z$13,0)=6,A$35," ")," "))</f>
        <v>C21</v>
      </c>
      <c r="B2207" s="8">
        <f>IF(A2207=" "," ",MAX(B2187:B2206)+1)</f>
        <v>10</v>
      </c>
      <c r="C2207" s="8"/>
      <c r="D2207" s="8"/>
      <c r="E2207" s="8"/>
      <c r="F2207" s="8"/>
      <c r="G2207" s="8"/>
      <c r="H2207" s="8"/>
      <c r="I2207" s="8"/>
      <c r="J2207" s="8"/>
      <c r="K2207" s="8"/>
      <c r="L2207" s="8"/>
      <c r="M2207" s="8"/>
      <c r="N2207" s="8"/>
      <c r="O2207" s="8"/>
      <c r="P2207" s="8"/>
      <c r="Q2207" s="8"/>
      <c r="R2207" s="8"/>
      <c r="S2207" s="8"/>
      <c r="U2207" s="34"/>
      <c r="V2207" s="34"/>
      <c r="W2207" s="34"/>
      <c r="X2207" s="34"/>
      <c r="Y2207" s="34"/>
      <c r="Z2207" s="34"/>
      <c r="AA2207" s="34"/>
      <c r="AB2207" s="34"/>
      <c r="AC2207" s="34"/>
      <c r="AD2207" s="34"/>
      <c r="AE2207" s="34"/>
      <c r="AF2207" s="34"/>
      <c r="AG2207" s="34"/>
      <c r="AH2207" s="34"/>
      <c r="AI2207" s="34"/>
      <c r="AJ2207" s="34"/>
      <c r="AK2207" s="34"/>
      <c r="AL2207" s="34"/>
      <c r="AM2207" s="34"/>
      <c r="AN2207" s="34"/>
      <c r="AO2207" s="34"/>
      <c r="AP2207" s="34"/>
      <c r="AQ2207" s="34"/>
      <c r="AR2207" s="34"/>
      <c r="AS2207" s="34"/>
      <c r="AT2207" s="34"/>
      <c r="AU2207" s="34"/>
      <c r="AV2207" s="34"/>
      <c r="AW2207" s="34"/>
      <c r="AX2207" s="34"/>
      <c r="AY2207" s="34"/>
      <c r="AZ2207" s="34"/>
      <c r="BA2207" s="34"/>
      <c r="BB2207" s="34"/>
      <c r="BC2207" s="34"/>
      <c r="BD2207" s="34"/>
      <c r="BE2207" s="34"/>
      <c r="BF2207" s="34"/>
      <c r="BG2207" s="34"/>
      <c r="BH2207" s="34"/>
      <c r="BI2207" s="34"/>
      <c r="BJ2207" s="34"/>
      <c r="BK2207" s="34"/>
      <c r="BL2207" s="34"/>
      <c r="BM2207" s="34"/>
      <c r="BN2207" s="34"/>
      <c r="BO2207" s="34"/>
      <c r="BP2207" s="34"/>
      <c r="BQ2207" s="34"/>
      <c r="BR2207" s="34"/>
      <c r="BS2207" s="34"/>
      <c r="BT2207" s="34"/>
      <c r="BU2207" s="34"/>
      <c r="BV2207" s="34"/>
      <c r="BW2207" s="34"/>
      <c r="BX2207" s="34"/>
      <c r="BY2207" s="34"/>
      <c r="BZ2207" s="34"/>
      <c r="CA2207" s="34"/>
      <c r="CB2207" s="34"/>
      <c r="CC2207" s="34"/>
      <c r="CD2207" s="34"/>
      <c r="CE2207" s="34"/>
      <c r="CF2207" s="34"/>
      <c r="CG2207" s="34"/>
      <c r="CH2207" s="34"/>
      <c r="CI2207" s="8"/>
    </row>
    <row r="2208" spans="1:87" x14ac:dyDescent="0.2">
      <c r="A2208" s="8" t="str">
        <f>IF(AND(COUNTIF(W$3:W$13,A$36)&gt;0,A$36&lt;&gt;B2070),A$36,IFERROR(IF(MATCH(A$36,Z$3:Z$13,0)=6,A$36," ")," "))</f>
        <v>C22</v>
      </c>
      <c r="B2208" s="8">
        <f>IF(A2208=" "," ",MAX(B2187:B2207)+1)</f>
        <v>11</v>
      </c>
      <c r="C2208" s="8"/>
      <c r="D2208" s="8"/>
      <c r="E2208" s="8"/>
      <c r="F2208" s="8"/>
      <c r="G2208" s="8"/>
      <c r="H2208" s="8"/>
      <c r="I2208" s="8"/>
      <c r="J2208" s="8"/>
      <c r="K2208" s="8"/>
      <c r="L2208" s="8"/>
      <c r="M2208" s="8"/>
      <c r="N2208" s="8"/>
      <c r="O2208" s="8"/>
      <c r="P2208" s="8"/>
      <c r="Q2208" s="8"/>
      <c r="R2208" s="8"/>
      <c r="S2208" s="8"/>
      <c r="U2208" s="34"/>
      <c r="V2208" s="34"/>
      <c r="W2208" s="34"/>
      <c r="X2208" s="34"/>
      <c r="Y2208" s="34"/>
      <c r="Z2208" s="34"/>
      <c r="AA2208" s="34"/>
      <c r="AB2208" s="34"/>
      <c r="AC2208" s="34"/>
      <c r="AD2208" s="34"/>
      <c r="AE2208" s="34"/>
      <c r="AF2208" s="34"/>
      <c r="AG2208" s="34"/>
      <c r="AH2208" s="34"/>
      <c r="AI2208" s="34"/>
      <c r="AJ2208" s="34"/>
      <c r="AK2208" s="34"/>
      <c r="AL2208" s="34"/>
      <c r="AM2208" s="34"/>
      <c r="AN2208" s="34"/>
      <c r="AO2208" s="34"/>
      <c r="AP2208" s="34"/>
      <c r="AQ2208" s="34"/>
      <c r="AR2208" s="34"/>
      <c r="AS2208" s="34"/>
      <c r="AT2208" s="34"/>
      <c r="AU2208" s="34"/>
      <c r="AV2208" s="34"/>
      <c r="AW2208" s="34"/>
      <c r="AX2208" s="34"/>
      <c r="AY2208" s="34"/>
      <c r="AZ2208" s="34"/>
      <c r="BA2208" s="34"/>
      <c r="BB2208" s="34"/>
      <c r="BC2208" s="34"/>
      <c r="BD2208" s="34"/>
      <c r="BE2208" s="34"/>
      <c r="BF2208" s="34"/>
      <c r="BG2208" s="34"/>
      <c r="BH2208" s="34"/>
      <c r="BI2208" s="34"/>
      <c r="BJ2208" s="34"/>
      <c r="BK2208" s="34"/>
      <c r="BL2208" s="34"/>
      <c r="BM2208" s="34"/>
      <c r="BN2208" s="34"/>
      <c r="BO2208" s="34"/>
      <c r="BP2208" s="34"/>
      <c r="BQ2208" s="34"/>
      <c r="BR2208" s="34"/>
      <c r="BS2208" s="34"/>
      <c r="BT2208" s="34"/>
      <c r="BU2208" s="34"/>
      <c r="BV2208" s="34"/>
      <c r="BW2208" s="34"/>
      <c r="BX2208" s="34"/>
      <c r="BY2208" s="34"/>
      <c r="BZ2208" s="34"/>
      <c r="CA2208" s="34"/>
      <c r="CB2208" s="34"/>
      <c r="CC2208" s="34"/>
      <c r="CD2208" s="34"/>
      <c r="CE2208" s="34"/>
      <c r="CF2208" s="34"/>
      <c r="CG2208" s="34"/>
      <c r="CH2208" s="34"/>
      <c r="CI2208" s="8"/>
    </row>
    <row r="2209" spans="1:87" x14ac:dyDescent="0.2">
      <c r="A2209" s="11" t="s">
        <v>17</v>
      </c>
      <c r="B2209" s="11"/>
      <c r="C2209" s="27" t="s">
        <v>18</v>
      </c>
      <c r="D2209" s="27" t="s">
        <v>2</v>
      </c>
      <c r="E2209" s="27" t="s">
        <v>6</v>
      </c>
      <c r="F2209" s="27" t="s">
        <v>15</v>
      </c>
      <c r="G2209" s="27" t="s">
        <v>36</v>
      </c>
      <c r="H2209" s="27" t="s">
        <v>37</v>
      </c>
      <c r="I2209" s="27" t="s">
        <v>38</v>
      </c>
      <c r="J2209" s="27" t="s">
        <v>39</v>
      </c>
      <c r="K2209" s="27" t="s">
        <v>40</v>
      </c>
      <c r="L2209" s="27" t="s">
        <v>41</v>
      </c>
      <c r="M2209" s="27" t="s">
        <v>42</v>
      </c>
      <c r="N2209" s="27" t="s">
        <v>43</v>
      </c>
      <c r="O2209" s="27" t="s">
        <v>9</v>
      </c>
      <c r="P2209" s="27" t="s">
        <v>12</v>
      </c>
      <c r="Q2209" s="27" t="s">
        <v>19</v>
      </c>
      <c r="R2209" s="27" t="s">
        <v>55</v>
      </c>
      <c r="S2209" s="27" t="s">
        <v>26</v>
      </c>
      <c r="T2209" s="19" t="s">
        <v>25</v>
      </c>
      <c r="U2209" s="33" t="s">
        <v>27</v>
      </c>
      <c r="V2209" s="33" t="s">
        <v>9</v>
      </c>
      <c r="W2209" s="33" t="s">
        <v>23</v>
      </c>
      <c r="X2209" s="33" t="s">
        <v>12</v>
      </c>
      <c r="Y2209" s="33" t="s">
        <v>26</v>
      </c>
      <c r="Z2209" s="33" t="s">
        <v>25</v>
      </c>
      <c r="AA2209" s="33" t="s">
        <v>27</v>
      </c>
      <c r="AB2209" s="33" t="s">
        <v>9</v>
      </c>
      <c r="AC2209" s="33" t="s">
        <v>23</v>
      </c>
      <c r="AD2209" s="33" t="s">
        <v>12</v>
      </c>
      <c r="AE2209" s="33" t="s">
        <v>26</v>
      </c>
      <c r="AF2209" s="33" t="s">
        <v>25</v>
      </c>
      <c r="AG2209" s="33" t="s">
        <v>27</v>
      </c>
      <c r="AH2209" s="33" t="s">
        <v>9</v>
      </c>
      <c r="AI2209" s="33" t="s">
        <v>23</v>
      </c>
      <c r="AJ2209" s="33" t="s">
        <v>12</v>
      </c>
      <c r="AK2209" s="33" t="s">
        <v>26</v>
      </c>
      <c r="AL2209" s="33" t="s">
        <v>25</v>
      </c>
      <c r="AM2209" s="33" t="s">
        <v>27</v>
      </c>
      <c r="AN2209" s="33" t="s">
        <v>9</v>
      </c>
      <c r="AO2209" s="33" t="s">
        <v>23</v>
      </c>
      <c r="AP2209" s="33" t="s">
        <v>12</v>
      </c>
      <c r="AQ2209" s="33" t="s">
        <v>26</v>
      </c>
      <c r="AR2209" s="33" t="s">
        <v>25</v>
      </c>
      <c r="AS2209" s="33" t="s">
        <v>27</v>
      </c>
      <c r="AT2209" s="33" t="s">
        <v>9</v>
      </c>
      <c r="AU2209" s="33" t="s">
        <v>23</v>
      </c>
      <c r="AV2209" s="33" t="s">
        <v>12</v>
      </c>
      <c r="AW2209" s="33" t="s">
        <v>26</v>
      </c>
      <c r="AX2209" s="33" t="s">
        <v>25</v>
      </c>
      <c r="AY2209" s="33" t="s">
        <v>27</v>
      </c>
      <c r="AZ2209" s="33" t="s">
        <v>9</v>
      </c>
      <c r="BA2209" s="33" t="s">
        <v>23</v>
      </c>
      <c r="BB2209" s="33" t="s">
        <v>12</v>
      </c>
      <c r="BC2209" s="33" t="s">
        <v>26</v>
      </c>
      <c r="BD2209" s="33" t="s">
        <v>25</v>
      </c>
      <c r="BE2209" s="33" t="s">
        <v>27</v>
      </c>
      <c r="BF2209" s="33" t="s">
        <v>9</v>
      </c>
      <c r="BG2209" s="33" t="s">
        <v>23</v>
      </c>
      <c r="BH2209" s="33" t="s">
        <v>12</v>
      </c>
      <c r="BI2209" s="33" t="s">
        <v>26</v>
      </c>
      <c r="BJ2209" s="33" t="s">
        <v>25</v>
      </c>
      <c r="BK2209" s="33" t="s">
        <v>27</v>
      </c>
      <c r="BL2209" s="33" t="s">
        <v>9</v>
      </c>
      <c r="BM2209" s="33" t="s">
        <v>23</v>
      </c>
      <c r="BN2209" s="33" t="s">
        <v>12</v>
      </c>
      <c r="BO2209" s="33" t="s">
        <v>26</v>
      </c>
      <c r="BP2209" s="33" t="s">
        <v>25</v>
      </c>
      <c r="BQ2209" s="33" t="s">
        <v>27</v>
      </c>
      <c r="BR2209" s="33" t="s">
        <v>9</v>
      </c>
      <c r="BS2209" s="33" t="s">
        <v>23</v>
      </c>
      <c r="BT2209" s="33" t="s">
        <v>12</v>
      </c>
      <c r="BU2209" s="33" t="s">
        <v>26</v>
      </c>
      <c r="BV2209" s="33" t="s">
        <v>25</v>
      </c>
      <c r="BW2209" s="33" t="s">
        <v>27</v>
      </c>
      <c r="BX2209" s="33" t="s">
        <v>9</v>
      </c>
      <c r="BY2209" s="33" t="s">
        <v>23</v>
      </c>
      <c r="BZ2209" s="33" t="s">
        <v>12</v>
      </c>
      <c r="CA2209" s="33" t="s">
        <v>26</v>
      </c>
      <c r="CB2209" s="33" t="s">
        <v>25</v>
      </c>
      <c r="CC2209" s="33" t="s">
        <v>27</v>
      </c>
      <c r="CD2209" s="33" t="s">
        <v>9</v>
      </c>
      <c r="CE2209" s="33" t="s">
        <v>23</v>
      </c>
      <c r="CF2209" s="33" t="s">
        <v>12</v>
      </c>
      <c r="CG2209" s="33" t="s">
        <v>26</v>
      </c>
      <c r="CH2209" s="33" t="s">
        <v>25</v>
      </c>
      <c r="CI2209" s="8"/>
    </row>
    <row r="2210" spans="1:87" x14ac:dyDescent="0.2">
      <c r="A2210" s="8" t="str">
        <f>IF(AND(COUNTIF(W$3:W$13,A$15)&gt;0,A$15&lt;&gt;B2070),A$15,IFERROR(IF(MATCH(A$15,Z$3:Z$13,0)=7,A$15," ")," "))</f>
        <v xml:space="preserve"> </v>
      </c>
      <c r="B2210" s="8" t="str">
        <f>IF(A2210=" "," ",1)</f>
        <v xml:space="preserve"> </v>
      </c>
      <c r="C2210" s="8" t="str">
        <f>IFERROR(INDEX(A2210:A2231,MATCH(SMALL(B2210:B2231,1),B2210:B2231,0),1)," ")</f>
        <v>C3</v>
      </c>
      <c r="D2210" s="8">
        <f>IFERROR(VLOOKUP($C2210,$A$15:$O$36,2,FALSE)," ")</f>
        <v>2</v>
      </c>
      <c r="E2210" s="8">
        <f>IFERROR(VLOOKUP($C2210,$A$15:$O$36,3,FALSE)," ")</f>
        <v>5</v>
      </c>
      <c r="F2210" s="8">
        <f>IFERROR(VLOOKUP($C2210,$A$15:$O$36,4,FALSE)," ")</f>
        <v>6</v>
      </c>
      <c r="G2210" s="8">
        <f>IFERROR(VLOOKUP($C2210,$A$15:$O$36,5,FALSE)," ")</f>
        <v>0</v>
      </c>
      <c r="H2210" s="8">
        <f>IFERROR(VLOOKUP($C2210,$A$15:$O$36,6,FALSE)," ")</f>
        <v>0</v>
      </c>
      <c r="I2210" s="8">
        <f>IFERROR(VLOOKUP($C2210,$A$15:$O$36,7,FALSE)," ")</f>
        <v>0</v>
      </c>
      <c r="J2210" s="8">
        <f>IFERROR(VLOOKUP($C2210,$A$15:$O$36,8,FALSE)," ")</f>
        <v>0</v>
      </c>
      <c r="K2210" s="8">
        <f>IFERROR(VLOOKUP($C2210,$A$15:$O$36,9,FALSE)," ")</f>
        <v>0</v>
      </c>
      <c r="L2210" s="8">
        <f>IFERROR(VLOOKUP($C2210,$A$15:$O$36,10,FALSE)," ")</f>
        <v>0</v>
      </c>
      <c r="M2210" s="8">
        <f>IFERROR(VLOOKUP($C2210,$A$15:$O$36,11,FALSE)," ")</f>
        <v>0</v>
      </c>
      <c r="N2210" s="8">
        <f>IFERROR(VLOOKUP($C2210,$A$15:$O$36,12,FALSE)," ")</f>
        <v>0</v>
      </c>
      <c r="O2210" s="8">
        <f>IFERROR(VLOOKUP($C2210,$A$15:$O$36,15,FALSE)," ")</f>
        <v>2000</v>
      </c>
      <c r="P2210" s="8" t="e">
        <f t="array" ref="P2210:P2220">MMULT(MINVERSE(D2210:N2220),O2210:O2220)</f>
        <v>#NUM!</v>
      </c>
      <c r="Q2210" s="8" t="e">
        <f t="shared" ref="Q2210" si="9585">IF(COUNTIF(P2210:P2220,"&lt;"&amp;-0.001)=0,IF(ABS(P2210)&lt;0.001,0,P2210)," ")</f>
        <v>#NUM!</v>
      </c>
      <c r="R2210" s="8" t="str">
        <f>IFERROR(VLOOKUP(B2070,A$15:L$36,2,FALSE)*Q2210+VLOOKUP(B2070,A$15:L$36,3,FALSE)*Q2211+VLOOKUP(B2070,A$15:L$36,4,FALSE)*Q2212+VLOOKUP(B2070,A$15:L$36,5,FALSE)*Q2213+VLOOKUP(B2070,A$15:L$36,6,FALSE)*Q2214+VLOOKUP(B2070,A$15:L$36,7,FALSE)*Q2215+VLOOKUP(B2070,A$15:L$36,8,FALSE)*Q2216+VLOOKUP(B2070,A$15:L$36,9,FALSE)*Q2217+VLOOKUP(B2070,A$15:L$36,10,FALSE)*Q2218+VLOOKUP(B2070,A$15:L$36,11,FALSE)*Q2219+VLOOKUP(B2070,A$15:L$36,12,FALSE)*Q2220," ")</f>
        <v xml:space="preserve"> </v>
      </c>
      <c r="S2210" s="8" t="str">
        <f>IFERROR(IF(R2210-VLOOKUP(B2070,A$15:O$36,15,FALSE)&lt;0,R2210-VLOOKUP(B2070,A$15:O$36,15,FALSE)," ")," ")</f>
        <v xml:space="preserve"> </v>
      </c>
      <c r="T2210" s="18" t="str">
        <f>IFERROR(IF(R2210-VLOOKUP(B2070,A$15:O$36,15,FALSE)&gt;0,R2210-VLOOKUP(B2070,A$15:O$36,15,FALSE)," ")," ")</f>
        <v xml:space="preserve"> </v>
      </c>
      <c r="U2210" s="34">
        <f t="shared" ref="U2210" si="9586">$M$2</f>
        <v>100.00000000000001</v>
      </c>
      <c r="V2210" s="34">
        <v>-1</v>
      </c>
      <c r="W2210" s="34">
        <f t="shared" ref="W2210" si="9587">-SUMPRODUCT($M$3:$M$12,$N$3:$N$12)</f>
        <v>-105000</v>
      </c>
      <c r="X2210" s="34" t="e">
        <f t="shared" ref="X2210" si="9588">IF(U2210&lt;&gt;U2211,MMULT(MINVERSE(U2210:V2211),W2210:W2211)," ")</f>
        <v>#NUM!</v>
      </c>
      <c r="Y2210" s="34" t="str">
        <f t="shared" ref="Y2210" si="9589">IFERROR(IF(X2210-VLOOKUP(U$38,$A$2:$N$12,14,FALSE)&lt;0,X2210-VLOOKUP(U$38,$A$2:$N$12,14,FALSE)," ")," ")</f>
        <v xml:space="preserve"> </v>
      </c>
      <c r="Z2210" s="34" t="str">
        <f t="shared" ref="Z2210" si="9590">IFERROR(IF(X2210-VLOOKUP(U$38,$A$2:$N$12,14,FALSE)&gt;0,X2210-VLOOKUP(U$38,$A$2:$N$12,14,FALSE)," ")," ")</f>
        <v xml:space="preserve"> </v>
      </c>
      <c r="AA2210" s="34">
        <f t="shared" ref="AA2210" si="9591">$M$3</f>
        <v>0</v>
      </c>
      <c r="AB2210" s="34">
        <v>-1</v>
      </c>
      <c r="AC2210" s="34">
        <f t="shared" ref="AC2210" si="9592">-SUMPRODUCT($M$2:$M$2,$N$2:$N$2)-SUMPRODUCT($M$4:$M$12,$N$4:$N$12)</f>
        <v>-120000</v>
      </c>
      <c r="AD2210" s="34" t="e">
        <f t="shared" ref="AD2210" si="9593">IF(AA2210&lt;&gt;AA2211,MMULT(MINVERSE(AA2210:AB2211),AC2210:AC2211)," ")</f>
        <v>#NUM!</v>
      </c>
      <c r="AE2210" s="34" t="str">
        <f t="shared" ref="AE2210" si="9594">IFERROR(IF(AD2210-VLOOKUP(AA$38,$A$2:$N$12,14,FALSE)&lt;0,AD2210-VLOOKUP(AA$38,$A$2:$N$12,14,FALSE)," ")," ")</f>
        <v xml:space="preserve"> </v>
      </c>
      <c r="AF2210" s="34" t="str">
        <f t="shared" ref="AF2210" si="9595">IFERROR(IF(AD2210-VLOOKUP(AA$38,$A$2:$N$12,14,FALSE)&gt;0,AD2210-VLOOKUP(AA$38,$A$2:$N$12,14,FALSE)," ")," ")</f>
        <v xml:space="preserve"> </v>
      </c>
      <c r="AG2210" s="34">
        <f t="shared" ref="AG2210" si="9596">$M$4</f>
        <v>300</v>
      </c>
      <c r="AH2210" s="34">
        <v>-1</v>
      </c>
      <c r="AI2210" s="34">
        <f t="shared" ref="AI2210" si="9597">-SUMPRODUCT($M$2:$M$3,$N$2:$N$3)-SUMPRODUCT($M$5:$M$12,$N$5:$N$12)</f>
        <v>-15000.000000000002</v>
      </c>
      <c r="AJ2210" s="34" t="e">
        <f t="shared" ref="AJ2210" si="9598">IF(AG2210&lt;&gt;AG2211,MMULT(MINVERSE(AG2210:AH2211),AI2210:AI2211)," ")</f>
        <v>#NUM!</v>
      </c>
      <c r="AK2210" s="34" t="str">
        <f t="shared" ref="AK2210" si="9599">IFERROR(IF(AJ2210-VLOOKUP(AG$38,$A$2:$N$12,14,FALSE)&lt;0,AJ2210-VLOOKUP(AG$38,$A$2:$N$12,14,FALSE)," ")," ")</f>
        <v xml:space="preserve"> </v>
      </c>
      <c r="AL2210" s="34" t="str">
        <f t="shared" ref="AL2210" si="9600">IFERROR(IF(AJ2210-VLOOKUP(AG$38,$A$2:$N$12,14,FALSE)&gt;0,AJ2210-VLOOKUP(AG$38,$A$2:$N$12,14,FALSE)," ")," ")</f>
        <v xml:space="preserve"> </v>
      </c>
      <c r="AM2210" s="34">
        <f t="shared" ref="AM2210" si="9601">$M$5</f>
        <v>0</v>
      </c>
      <c r="AN2210" s="34">
        <v>-1</v>
      </c>
      <c r="AO2210" s="34">
        <f t="shared" ref="AO2210" si="9602">-SUMPRODUCT($M$2:$M$4,$N$2:$N$4)-SUMPRODUCT($M$6:$M$12,$N$6:$N$12)</f>
        <v>-120000</v>
      </c>
      <c r="AP2210" s="34" t="e">
        <f t="shared" ref="AP2210" si="9603">IF(AM2210&lt;&gt;AM2211,MMULT(MINVERSE(AM2210:AN2211),AO2210:AO2211)," ")</f>
        <v>#NUM!</v>
      </c>
      <c r="AQ2210" s="34" t="str">
        <f t="shared" ref="AQ2210" si="9604">IFERROR(IF(AP2210-VLOOKUP(AM$38,$A$2:$N$12,14,FALSE)&lt;0,AP2210-VLOOKUP(AM$38,$A$2:$N$12,14,FALSE)," ")," ")</f>
        <v xml:space="preserve"> </v>
      </c>
      <c r="AR2210" s="34" t="str">
        <f t="shared" ref="AR2210" si="9605">IFERROR(IF(AP2210-VLOOKUP(AM$38,$A$2:$N$12,14,FALSE)&gt;0,AP2210-VLOOKUP(AM$38,$A$2:$N$12,14,FALSE)," ")," ")</f>
        <v xml:space="preserve"> </v>
      </c>
      <c r="AS2210" s="34">
        <f t="shared" ref="AS2210" si="9606">$M$6</f>
        <v>0</v>
      </c>
      <c r="AT2210" s="34">
        <v>-1</v>
      </c>
      <c r="AU2210" s="34">
        <f t="shared" ref="AU2210" si="9607">-SUMPRODUCT($M$2:$M$5,$N$2:$N$5)-SUMPRODUCT($M$7:$M$12,$N$7:$N$12)</f>
        <v>-120000</v>
      </c>
      <c r="AV2210" s="34" t="e">
        <f t="shared" ref="AV2210" si="9608">IF(AS2210&lt;&gt;AS2211,MMULT(MINVERSE(AS2210:AT2211),AU2210:AU2211)," ")</f>
        <v>#NUM!</v>
      </c>
      <c r="AW2210" s="34" t="str">
        <f t="shared" ref="AW2210" si="9609">IFERROR(IF(AV2210-VLOOKUP(AS$38,$A$2:$N$12,14,FALSE)&lt;0,AV2210-VLOOKUP(AS$38,$A$2:$N$12,14,FALSE)," ")," ")</f>
        <v xml:space="preserve"> </v>
      </c>
      <c r="AX2210" s="34" t="str">
        <f t="shared" ref="AX2210" si="9610">IFERROR(IF(AV2210-VLOOKUP(AS$38,$A$2:$N$12,14,FALSE)&gt;0,AV2210-VLOOKUP(AS$38,$A$2:$N$12,14,FALSE)," ")," ")</f>
        <v xml:space="preserve"> </v>
      </c>
      <c r="AY2210" s="34">
        <f t="shared" ref="AY2210" si="9611">$M$7</f>
        <v>0</v>
      </c>
      <c r="AZ2210" s="34">
        <v>-1</v>
      </c>
      <c r="BA2210" s="34">
        <f t="shared" ref="BA2210" si="9612">-SUMPRODUCT($M$2:$M$6,$N$2:$N$6)-SUMPRODUCT($M$8:$M$12,$N$8:$N$12)</f>
        <v>-120000</v>
      </c>
      <c r="BB2210" s="34" t="e">
        <f t="shared" ref="BB2210" si="9613">IF(AY2210&lt;&gt;AY2211,MMULT(MINVERSE(AY2210:AZ2211),BA2210:BA2211)," ")</f>
        <v>#NUM!</v>
      </c>
      <c r="BC2210" s="34" t="str">
        <f t="shared" ref="BC2210" si="9614">IFERROR(IF(BB2210-VLOOKUP(AY$38,$A$2:$N$12,14,FALSE)&lt;0,BB2210-VLOOKUP(AY$38,$A$2:$N$12,14,FALSE)," ")," ")</f>
        <v xml:space="preserve"> </v>
      </c>
      <c r="BD2210" s="34" t="str">
        <f t="shared" ref="BD2210" si="9615">IFERROR(IF(BB2210-VLOOKUP(AY$38,$A$2:$N$12,14,FALSE)&gt;0,BB2210-VLOOKUP(AY$38,$A$2:$N$12,14,FALSE)," ")," ")</f>
        <v xml:space="preserve"> </v>
      </c>
      <c r="BE2210" s="34">
        <f t="shared" ref="BE2210" si="9616">$M$8</f>
        <v>0</v>
      </c>
      <c r="BF2210" s="34">
        <v>-1</v>
      </c>
      <c r="BG2210" s="34">
        <f t="shared" ref="BG2210" si="9617">-SUMPRODUCT($M$2:$M$7,$N$2:$N$7)-SUMPRODUCT($M$9:$M$12,$N$9:$N$12)</f>
        <v>-120000</v>
      </c>
      <c r="BH2210" s="34" t="e">
        <f t="shared" ref="BH2210" si="9618">IF(BE2210&lt;&gt;BE2211,MMULT(MINVERSE(BE2210:BF2211),BG2210:BG2211)," ")</f>
        <v>#NUM!</v>
      </c>
      <c r="BI2210" s="34" t="str">
        <f t="shared" ref="BI2210" si="9619">IFERROR(IF(BH2210-VLOOKUP(BE$38,$A$2:$N$12,14,FALSE)&lt;0,BH2210-VLOOKUP(BE$38,$A$2:$N$12,14,FALSE)," ")," ")</f>
        <v xml:space="preserve"> </v>
      </c>
      <c r="BJ2210" s="34" t="str">
        <f t="shared" ref="BJ2210" si="9620">IFERROR(IF(BH2210-VLOOKUP(BE$38,$A$2:$N$12,14,FALSE)&gt;0,BH2210-VLOOKUP(BE$38,$A$2:$N$12,14,FALSE)," ")," ")</f>
        <v xml:space="preserve"> </v>
      </c>
      <c r="BK2210" s="34">
        <f t="shared" ref="BK2210" si="9621">$M$9</f>
        <v>0</v>
      </c>
      <c r="BL2210" s="34">
        <v>-1</v>
      </c>
      <c r="BM2210" s="34">
        <f t="shared" ref="BM2210" si="9622">-SUMPRODUCT($M$2:$M$8,$N$2:$N$8)-SUMPRODUCT($M$10:$M$12,$N$10:$N$12)</f>
        <v>-120000</v>
      </c>
      <c r="BN2210" s="34" t="e">
        <f t="shared" ref="BN2210" si="9623">IF(BK2210&lt;&gt;BK2211,MMULT(MINVERSE(BK2210:BL2211),BM2210:BM2211)," ")</f>
        <v>#NUM!</v>
      </c>
      <c r="BO2210" s="34" t="str">
        <f t="shared" ref="BO2210" si="9624">IFERROR(IF(BN2210-VLOOKUP(BK$38,$A$2:$N$12,14,FALSE)&lt;0,BN2210-VLOOKUP(BK$38,$A$2:$N$12,14,FALSE)," ")," ")</f>
        <v xml:space="preserve"> </v>
      </c>
      <c r="BP2210" s="34" t="str">
        <f t="shared" ref="BP2210" si="9625">IFERROR(IF(BN2210-VLOOKUP(BK$38,$A$2:$N$12,14,FALSE)&gt;0,BN2210-VLOOKUP(BK$38,$A$2:$N$12,14,FALSE)," ")," ")</f>
        <v xml:space="preserve"> </v>
      </c>
      <c r="BQ2210" s="34">
        <f t="shared" ref="BQ2210" si="9626">$M$10</f>
        <v>0</v>
      </c>
      <c r="BR2210" s="34">
        <v>-1</v>
      </c>
      <c r="BS2210" s="34">
        <f t="shared" ref="BS2210" si="9627">-SUMPRODUCT($M$2:$M$9,$N$2:$N$9)-SUMPRODUCT($M$11:$M$12,$N$11:$N$12)</f>
        <v>-120000</v>
      </c>
      <c r="BT2210" s="34" t="e">
        <f t="shared" ref="BT2210" si="9628">IF(BQ2210&lt;&gt;BQ2211,MMULT(MINVERSE(BQ2210:BR2211),BS2210:BS2211)," ")</f>
        <v>#NUM!</v>
      </c>
      <c r="BU2210" s="34" t="str">
        <f t="shared" ref="BU2210" si="9629">IFERROR(IF(BT2210-VLOOKUP(BQ$38,$A$2:$N$12,14,FALSE)&lt;0,BT2210-VLOOKUP(BQ$38,$A$2:$N$12,14,FALSE)," ")," ")</f>
        <v xml:space="preserve"> </v>
      </c>
      <c r="BV2210" s="34" t="str">
        <f t="shared" ref="BV2210" si="9630">IFERROR(IF(BT2210-VLOOKUP(BQ$38,$A$2:$N$12,14,FALSE)&gt;0,BT2210-VLOOKUP(BQ$38,$A$2:$N$12,14,FALSE)," ")," ")</f>
        <v xml:space="preserve"> </v>
      </c>
      <c r="BW2210" s="34">
        <f t="shared" ref="BW2210" si="9631">$M$11</f>
        <v>0</v>
      </c>
      <c r="BX2210" s="34">
        <v>-1</v>
      </c>
      <c r="BY2210" s="34">
        <f t="shared" ref="BY2210" si="9632">-SUMPRODUCT($M$2:$M$10,$N$2:$N$10)-SUMPRODUCT($M$12,$N$12)</f>
        <v>-120000</v>
      </c>
      <c r="BZ2210" s="34" t="e">
        <f t="shared" ref="BZ2210" si="9633">IF(BW2210&lt;&gt;BW2211,MMULT(MINVERSE(BW2210:BX2211),BY2210:BY2211)," ")</f>
        <v>#NUM!</v>
      </c>
      <c r="CA2210" s="34" t="str">
        <f t="shared" ref="CA2210" si="9634">IFERROR(IF(BZ2210-VLOOKUP(BW$38,$A$2:$N$12,14,FALSE)&lt;0,BZ2210-VLOOKUP(BW$38,$A$2:$N$12,14,FALSE)," ")," ")</f>
        <v xml:space="preserve"> </v>
      </c>
      <c r="CB2210" s="34" t="str">
        <f t="shared" ref="CB2210" si="9635">IFERROR(IF(BZ2210-VLOOKUP(BW$38,$A$2:$N$12,14,FALSE)&gt;0,BZ2210-VLOOKUP(BW$38,$A$2:$N$12,14,FALSE)," ")," ")</f>
        <v xml:space="preserve"> </v>
      </c>
      <c r="CC2210" s="34">
        <f t="shared" ref="CC2210" si="9636">$M$12</f>
        <v>0</v>
      </c>
      <c r="CD2210" s="34">
        <v>-1</v>
      </c>
      <c r="CE2210" s="34">
        <f t="shared" ref="CE2210" si="9637">-SUMPRODUCT($M$2:$M$11,$N$2:$N$11)</f>
        <v>-120000</v>
      </c>
      <c r="CF2210" s="34" t="e">
        <f t="shared" ref="CF2210" si="9638">IF(CC2210&lt;&gt;CC2211,MMULT(MINVERSE(CC2210:CD2211),CE2210:CE2211)," ")</f>
        <v>#NUM!</v>
      </c>
      <c r="CG2210" s="34" t="str">
        <f t="shared" ref="CG2210" si="9639">IFERROR(IF(CF2210-VLOOKUP(CC$38,$A$2:$N$12,14,FALSE)&lt;0,CF2210-VLOOKUP(CC$38,$A$2:$N$12,14,FALSE)," ")," ")</f>
        <v xml:space="preserve"> </v>
      </c>
      <c r="CH2210" s="34" t="str">
        <f t="shared" ref="CH2210" si="9640">IFERROR(IF(CF2210-VLOOKUP(CC$38,$A$2:$N$12,14,FALSE)&gt;0,CF2210-VLOOKUP(CC$38,$A$2:$N$12,14,FALSE)," ")," ")</f>
        <v xml:space="preserve"> </v>
      </c>
      <c r="CI2210" s="8"/>
    </row>
    <row r="2211" spans="1:87" x14ac:dyDescent="0.2">
      <c r="A2211" s="8" t="str">
        <f>IF(AND(COUNTIF(W$3:W$13,A$16)&gt;0,A$16&lt;&gt;B2670),A$16,IFERROR(IF(MATCH(A$16,Z$3:Z$13,0)=7,A$16," ")," "))</f>
        <v xml:space="preserve"> </v>
      </c>
      <c r="B2211" s="8" t="str">
        <f>IF(A2211=" "," ",MAX(B2210:B2210)+1)</f>
        <v xml:space="preserve"> </v>
      </c>
      <c r="C2211" s="8" t="str">
        <f>IFERROR(INDEX(A2210:A2231,MATCH(SMALL(B2210:B2231,2),B2210:B2231,0),1)," ")</f>
        <v>C4</v>
      </c>
      <c r="D2211" s="8">
        <f t="shared" ref="D2211:D2220" si="9641">IFERROR(VLOOKUP($C2211,$A$15:$O$36,2,FALSE)," ")</f>
        <v>1</v>
      </c>
      <c r="E2211" s="8">
        <f t="shared" ref="E2211:E2220" si="9642">IFERROR(VLOOKUP($C2211,$A$15:$O$36,3,FALSE)," ")</f>
        <v>0</v>
      </c>
      <c r="F2211" s="8">
        <f t="shared" ref="F2211:F2220" si="9643">IFERROR(VLOOKUP($C2211,$A$15:$O$36,4,FALSE)," ")</f>
        <v>1</v>
      </c>
      <c r="G2211" s="8">
        <f t="shared" ref="G2211:G2220" si="9644">IFERROR(VLOOKUP($C2211,$A$15:$O$36,5,FALSE)," ")</f>
        <v>0</v>
      </c>
      <c r="H2211" s="8">
        <f t="shared" ref="H2211:H2220" si="9645">IFERROR(VLOOKUP($C2211,$A$15:$O$36,6,FALSE)," ")</f>
        <v>0</v>
      </c>
      <c r="I2211" s="8">
        <f t="shared" ref="I2211:I2220" si="9646">IFERROR(VLOOKUP($C2211,$A$15:$O$36,7,FALSE)," ")</f>
        <v>0</v>
      </c>
      <c r="J2211" s="8">
        <f t="shared" ref="J2211:J2220" si="9647">IFERROR(VLOOKUP($C2211,$A$15:$O$36,8,FALSE)," ")</f>
        <v>0</v>
      </c>
      <c r="K2211" s="8">
        <f t="shared" ref="K2211:K2220" si="9648">IFERROR(VLOOKUP($C2211,$A$15:$O$36,9,FALSE)," ")</f>
        <v>0</v>
      </c>
      <c r="L2211" s="8">
        <f t="shared" ref="L2211:L2220" si="9649">IFERROR(VLOOKUP($C2211,$A$15:$O$36,10,FALSE)," ")</f>
        <v>0</v>
      </c>
      <c r="M2211" s="8">
        <f t="shared" ref="M2211:M2220" si="9650">IFERROR(VLOOKUP($C2211,$A$15:$O$36,11,FALSE)," ")</f>
        <v>0</v>
      </c>
      <c r="N2211" s="8">
        <f t="shared" ref="N2211:N2220" si="9651">IFERROR(VLOOKUP($C2211,$A$15:$O$36,12,FALSE)," ")</f>
        <v>0</v>
      </c>
      <c r="O2211" s="8">
        <f t="shared" ref="O2211:O2220" si="9652">IFERROR(VLOOKUP($C2211,$A$15:$O$36,15,FALSE)," ")</f>
        <v>400</v>
      </c>
      <c r="P2211" s="8" t="e">
        <v>#NUM!</v>
      </c>
      <c r="Q2211" s="8" t="e">
        <f t="shared" ref="Q2211" si="9653">IF(COUNTIF(P2210:P2220,"&lt;"&amp;-0.001)=0,IF(ABS(P2211)&lt;0.001,0,P2211)," ")</f>
        <v>#NUM!</v>
      </c>
      <c r="R2211" s="8"/>
      <c r="S2211" s="8"/>
      <c r="U2211" s="34" t="e">
        <f t="shared" ref="U2211" si="9654">$Q2210</f>
        <v>#NUM!</v>
      </c>
      <c r="V2211" s="34">
        <v>-1</v>
      </c>
      <c r="W2211" s="34" t="e">
        <f t="shared" ref="W2211" si="9655">-SUMPRODUCT($Q2211:$Q2220,$N$3:$N$12)</f>
        <v>#NUM!</v>
      </c>
      <c r="X2211" s="34"/>
      <c r="Y2211" s="34"/>
      <c r="Z2211" s="34"/>
      <c r="AA2211" s="34" t="e">
        <f t="shared" ref="AA2211" si="9656">$Q2211</f>
        <v>#NUM!</v>
      </c>
      <c r="AB2211" s="34">
        <v>-1</v>
      </c>
      <c r="AC2211" s="34" t="e">
        <f t="shared" ref="AC2211" si="9657">-SUMPRODUCT($Q2210:$Q2210,$N$2:$N$2)-SUMPRODUCT($Q2212:$Q2220,$N$4:$N$12)</f>
        <v>#NUM!</v>
      </c>
      <c r="AD2211" s="34"/>
      <c r="AE2211" s="34"/>
      <c r="AF2211" s="34"/>
      <c r="AG2211" s="34" t="e">
        <f t="shared" ref="AG2211" si="9658">$Q2212</f>
        <v>#NUM!</v>
      </c>
      <c r="AH2211" s="34">
        <v>-1</v>
      </c>
      <c r="AI2211" s="34" t="e">
        <f t="shared" ref="AI2211" si="9659">-SUMPRODUCT($Q2210:$Q2211,$N$2:$N$3)-SUMPRODUCT($Q2213:$Q2220,$N$5:$N$12)</f>
        <v>#NUM!</v>
      </c>
      <c r="AJ2211" s="34"/>
      <c r="AK2211" s="34"/>
      <c r="AL2211" s="34"/>
      <c r="AM2211" s="34" t="e">
        <f t="shared" ref="AM2211" si="9660">$Q2213</f>
        <v>#NUM!</v>
      </c>
      <c r="AN2211" s="34">
        <v>-1</v>
      </c>
      <c r="AO2211" s="34" t="e">
        <f t="shared" ref="AO2211" si="9661">-SUMPRODUCT($Q2210:$Q2212,$N$2:$N$4)-SUMPRODUCT($Q2214:$Q2220,$N$6:$N$12)</f>
        <v>#NUM!</v>
      </c>
      <c r="AP2211" s="34"/>
      <c r="AQ2211" s="34"/>
      <c r="AR2211" s="34"/>
      <c r="AS2211" s="34" t="e">
        <f t="shared" ref="AS2211" si="9662">$Q2214</f>
        <v>#NUM!</v>
      </c>
      <c r="AT2211" s="34">
        <v>-1</v>
      </c>
      <c r="AU2211" s="34" t="e">
        <f t="shared" ref="AU2211" si="9663">-SUMPRODUCT($Q2210:$Q2213,$N$2:$N$5)-SUMPRODUCT($Q2215:$Q2220,$N$7:$N$12)</f>
        <v>#NUM!</v>
      </c>
      <c r="AV2211" s="34"/>
      <c r="AW2211" s="34"/>
      <c r="AX2211" s="34"/>
      <c r="AY2211" s="34" t="e">
        <f t="shared" ref="AY2211" si="9664">$Q2215</f>
        <v>#NUM!</v>
      </c>
      <c r="AZ2211" s="34">
        <v>-1</v>
      </c>
      <c r="BA2211" s="34" t="e">
        <f t="shared" ref="BA2211" si="9665">-SUMPRODUCT($Q2210:$Q2214,$N$2:$N$6)-SUMPRODUCT($Q2216:$Q2220,$N$8:$N$12)</f>
        <v>#NUM!</v>
      </c>
      <c r="BB2211" s="34"/>
      <c r="BC2211" s="34"/>
      <c r="BD2211" s="34"/>
      <c r="BE2211" s="34" t="e">
        <f t="shared" ref="BE2211" si="9666">$Q2216</f>
        <v>#NUM!</v>
      </c>
      <c r="BF2211" s="34">
        <v>-1</v>
      </c>
      <c r="BG2211" s="34" t="e">
        <f t="shared" ref="BG2211" si="9667">-SUMPRODUCT($Q2210:$Q2215,$N$2:$N$7)-SUMPRODUCT($Q2217:$Q2220,$N$9:$N$12)</f>
        <v>#NUM!</v>
      </c>
      <c r="BH2211" s="34"/>
      <c r="BI2211" s="34"/>
      <c r="BJ2211" s="34"/>
      <c r="BK2211" s="34" t="e">
        <f t="shared" ref="BK2211" si="9668">$Q2217</f>
        <v>#NUM!</v>
      </c>
      <c r="BL2211" s="34">
        <v>-1</v>
      </c>
      <c r="BM2211" s="34" t="e">
        <f t="shared" ref="BM2211" si="9669">-SUMPRODUCT($Q2210:$Q2216,$N$2:$N$8)-SUMPRODUCT($Q2218:$Q2220,$N$10:$N$12)</f>
        <v>#NUM!</v>
      </c>
      <c r="BN2211" s="34"/>
      <c r="BO2211" s="34"/>
      <c r="BP2211" s="34"/>
      <c r="BQ2211" s="34" t="e">
        <f t="shared" ref="BQ2211" si="9670">$Q2218</f>
        <v>#NUM!</v>
      </c>
      <c r="BR2211" s="34">
        <v>-1</v>
      </c>
      <c r="BS2211" s="34" t="e">
        <f t="shared" ref="BS2211" si="9671">-SUMPRODUCT($Q2210:$Q2217,$N$2:$N$9)-SUMPRODUCT($Q2219:$Q2220,$N$11:$N$12)</f>
        <v>#NUM!</v>
      </c>
      <c r="BT2211" s="34"/>
      <c r="BU2211" s="34"/>
      <c r="BV2211" s="34"/>
      <c r="BW2211" s="34" t="e">
        <f t="shared" ref="BW2211" si="9672">$Q2219</f>
        <v>#NUM!</v>
      </c>
      <c r="BX2211" s="34">
        <v>-1</v>
      </c>
      <c r="BY2211" s="34" t="e">
        <f t="shared" ref="BY2211" si="9673">-SUMPRODUCT($Q2210:$Q2218,$N$2:$N$10)-SUMPRODUCT($Q2220,$N$12)</f>
        <v>#NUM!</v>
      </c>
      <c r="BZ2211" s="34"/>
      <c r="CA2211" s="34"/>
      <c r="CB2211" s="34"/>
      <c r="CC2211" s="34" t="e">
        <f t="shared" ref="CC2211" si="9674">$Q2220</f>
        <v>#NUM!</v>
      </c>
      <c r="CD2211" s="34">
        <v>-1</v>
      </c>
      <c r="CE2211" s="34" t="e">
        <f t="shared" ref="CE2211" si="9675">-SUMPRODUCT($Q2210:$Q2219,$N$2:$N$11)</f>
        <v>#NUM!</v>
      </c>
      <c r="CF2211" s="34"/>
      <c r="CG2211" s="34"/>
      <c r="CH2211" s="34"/>
      <c r="CI2211" s="8"/>
    </row>
    <row r="2212" spans="1:87" x14ac:dyDescent="0.2">
      <c r="A2212" s="8" t="str">
        <f>IF(AND(COUNTIF(W$3:W$13,A$17)&gt;0,A$17&lt;&gt;B2070),A$17,IFERROR(IF(MATCH(A$17,Z$3:Z$13,0)=7,A$17," ")," "))</f>
        <v>C3</v>
      </c>
      <c r="B2212" s="8">
        <f>IF(A2212=" "," ",MAX(B2210:B2211)+1)</f>
        <v>1</v>
      </c>
      <c r="C2212" s="8" t="str">
        <f>IFERROR(INDEX(A2210:A2231,MATCH(SMALL(B2210:B2231,3),B2210:B2231,0),1)," ")</f>
        <v>C9</v>
      </c>
      <c r="D2212" s="8">
        <f t="shared" si="9641"/>
        <v>0</v>
      </c>
      <c r="E2212" s="8">
        <f t="shared" si="9642"/>
        <v>0</v>
      </c>
      <c r="F2212" s="8">
        <f t="shared" si="9643"/>
        <v>0</v>
      </c>
      <c r="G2212" s="8">
        <f t="shared" si="9644"/>
        <v>0</v>
      </c>
      <c r="H2212" s="8">
        <f t="shared" si="9645"/>
        <v>0</v>
      </c>
      <c r="I2212" s="8">
        <f t="shared" si="9646"/>
        <v>0</v>
      </c>
      <c r="J2212" s="8">
        <f t="shared" si="9647"/>
        <v>0</v>
      </c>
      <c r="K2212" s="8">
        <f t="shared" si="9648"/>
        <v>0</v>
      </c>
      <c r="L2212" s="8">
        <f t="shared" si="9649"/>
        <v>0</v>
      </c>
      <c r="M2212" s="8">
        <f t="shared" si="9650"/>
        <v>0</v>
      </c>
      <c r="N2212" s="8">
        <f t="shared" si="9651"/>
        <v>0</v>
      </c>
      <c r="O2212" s="8">
        <f t="shared" si="9652"/>
        <v>0</v>
      </c>
      <c r="P2212" s="8" t="e">
        <v>#NUM!</v>
      </c>
      <c r="Q2212" s="8" t="e">
        <f t="shared" ref="Q2212" si="9676">IF(COUNTIF(P2210:P2220,"&lt;"&amp;-0.001)=0,IF(ABS(P2212)&lt;0.001,0,P2212)," ")</f>
        <v>#NUM!</v>
      </c>
      <c r="R2212" s="8"/>
      <c r="S2212" s="8"/>
      <c r="U2212" s="34"/>
      <c r="V2212" s="34"/>
      <c r="W2212" s="34"/>
      <c r="X2212" s="34"/>
      <c r="Y2212" s="34"/>
      <c r="Z2212" s="34"/>
      <c r="AA2212" s="34"/>
      <c r="AB2212" s="34"/>
      <c r="AC2212" s="34"/>
      <c r="AD2212" s="34"/>
      <c r="AE2212" s="34"/>
      <c r="AF2212" s="34"/>
      <c r="AG2212" s="34"/>
      <c r="AH2212" s="34"/>
      <c r="AI2212" s="34"/>
      <c r="AJ2212" s="34"/>
      <c r="AK2212" s="34"/>
      <c r="AL2212" s="34"/>
      <c r="AM2212" s="34"/>
      <c r="AN2212" s="34"/>
      <c r="AO2212" s="34"/>
      <c r="AP2212" s="34"/>
      <c r="AQ2212" s="34"/>
      <c r="AR2212" s="34"/>
      <c r="AS2212" s="34"/>
      <c r="AT2212" s="34"/>
      <c r="AU2212" s="34"/>
      <c r="AV2212" s="34"/>
      <c r="AW2212" s="34"/>
      <c r="AX2212" s="34"/>
      <c r="AY2212" s="34"/>
      <c r="AZ2212" s="34"/>
      <c r="BA2212" s="34"/>
      <c r="BB2212" s="34"/>
      <c r="BC2212" s="34"/>
      <c r="BD2212" s="34"/>
      <c r="BE2212" s="34"/>
      <c r="BF2212" s="34"/>
      <c r="BG2212" s="34"/>
      <c r="BH2212" s="34"/>
      <c r="BI2212" s="34"/>
      <c r="BJ2212" s="34"/>
      <c r="BK2212" s="34"/>
      <c r="BL2212" s="34"/>
      <c r="BM2212" s="34"/>
      <c r="BN2212" s="34"/>
      <c r="BO2212" s="34"/>
      <c r="BP2212" s="34"/>
      <c r="BQ2212" s="34"/>
      <c r="BR2212" s="34"/>
      <c r="BS2212" s="34"/>
      <c r="BT2212" s="34"/>
      <c r="BU2212" s="34"/>
      <c r="BV2212" s="34"/>
      <c r="BW2212" s="34"/>
      <c r="BX2212" s="34"/>
      <c r="BY2212" s="34"/>
      <c r="BZ2212" s="34"/>
      <c r="CA2212" s="34"/>
      <c r="CB2212" s="34"/>
      <c r="CC2212" s="34"/>
      <c r="CD2212" s="34"/>
      <c r="CE2212" s="34"/>
      <c r="CF2212" s="34"/>
      <c r="CG2212" s="34"/>
      <c r="CH2212" s="34"/>
      <c r="CI2212" s="8"/>
    </row>
    <row r="2213" spans="1:87" x14ac:dyDescent="0.2">
      <c r="A2213" s="8" t="str">
        <f>IF(AND(COUNTIF(W$3:W$13,A$18)&gt;0,A$18&lt;&gt;B2070),A$18,IFERROR(IF(MATCH(A$18,Z$3:Z$13,0)=7,A$18," ")," "))</f>
        <v>C4</v>
      </c>
      <c r="B2213" s="8">
        <f>IF(A2213=" "," ",MAX(B2210:B2212)+1)</f>
        <v>2</v>
      </c>
      <c r="C2213" s="8" t="str">
        <f>IFERROR(INDEX(A2210:A2231,MATCH(SMALL(B2210:B2231,4),B2210:B2231,0),1)," ")</f>
        <v>C13</v>
      </c>
      <c r="D2213" s="8">
        <f t="shared" si="9641"/>
        <v>0</v>
      </c>
      <c r="E2213" s="8">
        <f t="shared" si="9642"/>
        <v>1</v>
      </c>
      <c r="F2213" s="8">
        <f t="shared" si="9643"/>
        <v>0</v>
      </c>
      <c r="G2213" s="8">
        <f t="shared" si="9644"/>
        <v>0</v>
      </c>
      <c r="H2213" s="8">
        <f t="shared" si="9645"/>
        <v>0</v>
      </c>
      <c r="I2213" s="8">
        <f t="shared" si="9646"/>
        <v>0</v>
      </c>
      <c r="J2213" s="8">
        <f t="shared" si="9647"/>
        <v>0</v>
      </c>
      <c r="K2213" s="8">
        <f t="shared" si="9648"/>
        <v>0</v>
      </c>
      <c r="L2213" s="8">
        <f t="shared" si="9649"/>
        <v>0</v>
      </c>
      <c r="M2213" s="8">
        <f t="shared" si="9650"/>
        <v>0</v>
      </c>
      <c r="N2213" s="8">
        <f t="shared" si="9651"/>
        <v>0</v>
      </c>
      <c r="O2213" s="8">
        <f t="shared" si="9652"/>
        <v>0</v>
      </c>
      <c r="P2213" s="8" t="e">
        <v>#NUM!</v>
      </c>
      <c r="Q2213" s="8" t="e">
        <f t="shared" ref="Q2213" si="9677">IF(COUNTIF(P2210:P2220,"&lt;"&amp;-0.001)=0,IF(ABS(P2213)&lt;0.001,0,P2213)," ")</f>
        <v>#NUM!</v>
      </c>
      <c r="R2213" s="8"/>
      <c r="S2213" s="8"/>
      <c r="U2213" s="34"/>
      <c r="V2213" s="34"/>
      <c r="W2213" s="34"/>
      <c r="X2213" s="34"/>
      <c r="Y2213" s="34"/>
      <c r="Z2213" s="34"/>
      <c r="AA2213" s="34"/>
      <c r="AB2213" s="34"/>
      <c r="AC2213" s="34"/>
      <c r="AD2213" s="34"/>
      <c r="AE2213" s="34"/>
      <c r="AF2213" s="34"/>
      <c r="AG2213" s="34"/>
      <c r="AH2213" s="34"/>
      <c r="AI2213" s="34"/>
      <c r="AJ2213" s="34"/>
      <c r="AK2213" s="34"/>
      <c r="AL2213" s="34"/>
      <c r="AM2213" s="34"/>
      <c r="AN2213" s="34"/>
      <c r="AO2213" s="34"/>
      <c r="AP2213" s="34"/>
      <c r="AQ2213" s="34"/>
      <c r="AR2213" s="34"/>
      <c r="AS2213" s="34"/>
      <c r="AT2213" s="34"/>
      <c r="AU2213" s="34"/>
      <c r="AV2213" s="34"/>
      <c r="AW2213" s="34"/>
      <c r="AX2213" s="34"/>
      <c r="AY2213" s="34"/>
      <c r="AZ2213" s="34"/>
      <c r="BA2213" s="34"/>
      <c r="BB2213" s="34"/>
      <c r="BC2213" s="34"/>
      <c r="BD2213" s="34"/>
      <c r="BE2213" s="34"/>
      <c r="BF2213" s="34"/>
      <c r="BG2213" s="34"/>
      <c r="BH2213" s="34"/>
      <c r="BI2213" s="34"/>
      <c r="BJ2213" s="34"/>
      <c r="BK2213" s="34"/>
      <c r="BL2213" s="34"/>
      <c r="BM2213" s="34"/>
      <c r="BN2213" s="34"/>
      <c r="BO2213" s="34"/>
      <c r="BP2213" s="34"/>
      <c r="BQ2213" s="34"/>
      <c r="BR2213" s="34"/>
      <c r="BS2213" s="34"/>
      <c r="BT2213" s="34"/>
      <c r="BU2213" s="34"/>
      <c r="BV2213" s="34"/>
      <c r="BW2213" s="34"/>
      <c r="BX2213" s="34"/>
      <c r="BY2213" s="34"/>
      <c r="BZ2213" s="34"/>
      <c r="CA2213" s="34"/>
      <c r="CB2213" s="34"/>
      <c r="CC2213" s="34"/>
      <c r="CD2213" s="34"/>
      <c r="CE2213" s="34"/>
      <c r="CF2213" s="34"/>
      <c r="CG2213" s="34"/>
      <c r="CH2213" s="34"/>
      <c r="CI2213" s="8"/>
    </row>
    <row r="2214" spans="1:87" x14ac:dyDescent="0.2">
      <c r="A2214" s="8" t="str">
        <f>IF(AND(COUNTIF(W$3:W$13,A$19)&gt;0,A$19&lt;&gt;B2070),A$19,IFERROR(IF(MATCH(A$19,Z$3:Z$13,0)=7,A$19," ")," "))</f>
        <v xml:space="preserve"> </v>
      </c>
      <c r="B2214" s="8" t="str">
        <f>IF(A2214=" "," ",MAX(B2210:B2213)+1)</f>
        <v xml:space="preserve"> </v>
      </c>
      <c r="C2214" s="8" t="str">
        <f>IFERROR(INDEX(A2210:A2231,MATCH(SMALL(B2210:B2231,5),B2210:B2231,0),1)," ")</f>
        <v>C15</v>
      </c>
      <c r="D2214" s="8">
        <f t="shared" si="9641"/>
        <v>0</v>
      </c>
      <c r="E2214" s="8">
        <f t="shared" si="9642"/>
        <v>0</v>
      </c>
      <c r="F2214" s="8">
        <f t="shared" si="9643"/>
        <v>0</v>
      </c>
      <c r="G2214" s="8">
        <f t="shared" si="9644"/>
        <v>1</v>
      </c>
      <c r="H2214" s="8">
        <f t="shared" si="9645"/>
        <v>0</v>
      </c>
      <c r="I2214" s="8">
        <f t="shared" si="9646"/>
        <v>0</v>
      </c>
      <c r="J2214" s="8">
        <f t="shared" si="9647"/>
        <v>0</v>
      </c>
      <c r="K2214" s="8">
        <f t="shared" si="9648"/>
        <v>0</v>
      </c>
      <c r="L2214" s="8">
        <f t="shared" si="9649"/>
        <v>0</v>
      </c>
      <c r="M2214" s="8">
        <f t="shared" si="9650"/>
        <v>0</v>
      </c>
      <c r="N2214" s="8">
        <f t="shared" si="9651"/>
        <v>0</v>
      </c>
      <c r="O2214" s="8">
        <f t="shared" si="9652"/>
        <v>0</v>
      </c>
      <c r="P2214" s="8" t="e">
        <v>#NUM!</v>
      </c>
      <c r="Q2214" s="8" t="e">
        <f t="shared" ref="Q2214" si="9678">IF(COUNTIF(P2210:P2220,"&lt;"&amp;-0.001)=0,IF(ABS(P2214)&lt;0.001,0,P2214)," ")</f>
        <v>#NUM!</v>
      </c>
      <c r="R2214" s="8"/>
      <c r="S2214" s="8"/>
      <c r="U2214" s="34"/>
      <c r="V2214" s="34"/>
      <c r="W2214" s="34"/>
      <c r="X2214" s="34"/>
      <c r="Y2214" s="34"/>
      <c r="Z2214" s="34"/>
      <c r="AA2214" s="34"/>
      <c r="AB2214" s="34"/>
      <c r="AC2214" s="34"/>
      <c r="AD2214" s="34"/>
      <c r="AE2214" s="34"/>
      <c r="AF2214" s="34"/>
      <c r="AG2214" s="34"/>
      <c r="AH2214" s="34"/>
      <c r="AI2214" s="34"/>
      <c r="AJ2214" s="34"/>
      <c r="AK2214" s="34"/>
      <c r="AL2214" s="34"/>
      <c r="AM2214" s="34"/>
      <c r="AN2214" s="34"/>
      <c r="AO2214" s="34"/>
      <c r="AP2214" s="34"/>
      <c r="AQ2214" s="34"/>
      <c r="AR2214" s="34"/>
      <c r="AS2214" s="34"/>
      <c r="AT2214" s="34"/>
      <c r="AU2214" s="34"/>
      <c r="AV2214" s="34"/>
      <c r="AW2214" s="34"/>
      <c r="AX2214" s="34"/>
      <c r="AY2214" s="34"/>
      <c r="AZ2214" s="34"/>
      <c r="BA2214" s="34"/>
      <c r="BB2214" s="34"/>
      <c r="BC2214" s="34"/>
      <c r="BD2214" s="34"/>
      <c r="BE2214" s="34"/>
      <c r="BF2214" s="34"/>
      <c r="BG2214" s="34"/>
      <c r="BH2214" s="34"/>
      <c r="BI2214" s="34"/>
      <c r="BJ2214" s="34"/>
      <c r="BK2214" s="34"/>
      <c r="BL2214" s="34"/>
      <c r="BM2214" s="34"/>
      <c r="BN2214" s="34"/>
      <c r="BO2214" s="34"/>
      <c r="BP2214" s="34"/>
      <c r="BQ2214" s="34"/>
      <c r="BR2214" s="34"/>
      <c r="BS2214" s="34"/>
      <c r="BT2214" s="34"/>
      <c r="BU2214" s="34"/>
      <c r="BV2214" s="34"/>
      <c r="BW2214" s="34"/>
      <c r="BX2214" s="34"/>
      <c r="BY2214" s="34"/>
      <c r="BZ2214" s="34"/>
      <c r="CA2214" s="34"/>
      <c r="CB2214" s="34"/>
      <c r="CC2214" s="34"/>
      <c r="CD2214" s="34"/>
      <c r="CE2214" s="34"/>
      <c r="CF2214" s="34"/>
      <c r="CG2214" s="34"/>
      <c r="CH2214" s="34"/>
      <c r="CI2214" s="8"/>
    </row>
    <row r="2215" spans="1:87" x14ac:dyDescent="0.2">
      <c r="A2215" s="8" t="str">
        <f>IF(AND(COUNTIF(W$3:W$13,A$20)&gt;0,A$20&lt;&gt;B2070),A$20,IFERROR(IF(MATCH(A$20,Z$3:Z$13,0)=7,A$20," ")," "))</f>
        <v xml:space="preserve"> </v>
      </c>
      <c r="B2215" s="8" t="str">
        <f>IF(A2215=" "," ",MAX(B2210:B2214)+1)</f>
        <v xml:space="preserve"> </v>
      </c>
      <c r="C2215" s="8" t="str">
        <f>IFERROR(INDEX(A2210:A2231,MATCH(SMALL(B2210:B2231,6),B2210:B2231,0),1)," ")</f>
        <v>C16</v>
      </c>
      <c r="D2215" s="8">
        <f t="shared" si="9641"/>
        <v>0</v>
      </c>
      <c r="E2215" s="8">
        <f t="shared" si="9642"/>
        <v>0</v>
      </c>
      <c r="F2215" s="8">
        <f t="shared" si="9643"/>
        <v>0</v>
      </c>
      <c r="G2215" s="8">
        <f t="shared" si="9644"/>
        <v>0</v>
      </c>
      <c r="H2215" s="8">
        <f t="shared" si="9645"/>
        <v>1</v>
      </c>
      <c r="I2215" s="8">
        <f t="shared" si="9646"/>
        <v>0</v>
      </c>
      <c r="J2215" s="8">
        <f t="shared" si="9647"/>
        <v>0</v>
      </c>
      <c r="K2215" s="8">
        <f t="shared" si="9648"/>
        <v>0</v>
      </c>
      <c r="L2215" s="8">
        <f t="shared" si="9649"/>
        <v>0</v>
      </c>
      <c r="M2215" s="8">
        <f t="shared" si="9650"/>
        <v>0</v>
      </c>
      <c r="N2215" s="8">
        <f t="shared" si="9651"/>
        <v>0</v>
      </c>
      <c r="O2215" s="8">
        <f t="shared" si="9652"/>
        <v>0</v>
      </c>
      <c r="P2215" s="8" t="e">
        <v>#NUM!</v>
      </c>
      <c r="Q2215" s="8" t="e">
        <f t="shared" ref="Q2215" si="9679">IF(COUNTIF(P2210:P2220,"&lt;"&amp;-0.001)=0,IF(ABS(P2215)&lt;0.001,0,P2215)," ")</f>
        <v>#NUM!</v>
      </c>
      <c r="R2215" s="8"/>
      <c r="S2215" s="8"/>
      <c r="U2215" s="34"/>
      <c r="V2215" s="34"/>
      <c r="W2215" s="34"/>
      <c r="X2215" s="34"/>
      <c r="Y2215" s="34"/>
      <c r="Z2215" s="34"/>
      <c r="AA2215" s="34"/>
      <c r="AB2215" s="34"/>
      <c r="AC2215" s="34"/>
      <c r="AD2215" s="34"/>
      <c r="AE2215" s="34"/>
      <c r="AF2215" s="34"/>
      <c r="AG2215" s="34"/>
      <c r="AH2215" s="34"/>
      <c r="AI2215" s="34"/>
      <c r="AJ2215" s="34"/>
      <c r="AK2215" s="34"/>
      <c r="AL2215" s="34"/>
      <c r="AM2215" s="34"/>
      <c r="AN2215" s="34"/>
      <c r="AO2215" s="34"/>
      <c r="AP2215" s="34"/>
      <c r="AQ2215" s="34"/>
      <c r="AR2215" s="34"/>
      <c r="AS2215" s="34"/>
      <c r="AT2215" s="34"/>
      <c r="AU2215" s="34"/>
      <c r="AV2215" s="34"/>
      <c r="AW2215" s="34"/>
      <c r="AX2215" s="34"/>
      <c r="AY2215" s="34"/>
      <c r="AZ2215" s="34"/>
      <c r="BA2215" s="34"/>
      <c r="BB2215" s="34"/>
      <c r="BC2215" s="34"/>
      <c r="BD2215" s="34"/>
      <c r="BE2215" s="34"/>
      <c r="BF2215" s="34"/>
      <c r="BG2215" s="34"/>
      <c r="BH2215" s="34"/>
      <c r="BI2215" s="34"/>
      <c r="BJ2215" s="34"/>
      <c r="BK2215" s="34"/>
      <c r="BL2215" s="34"/>
      <c r="BM2215" s="34"/>
      <c r="BN2215" s="34"/>
      <c r="BO2215" s="34"/>
      <c r="BP2215" s="34"/>
      <c r="BQ2215" s="34"/>
      <c r="BR2215" s="34"/>
      <c r="BS2215" s="34"/>
      <c r="BT2215" s="34"/>
      <c r="BU2215" s="34"/>
      <c r="BV2215" s="34"/>
      <c r="BW2215" s="34"/>
      <c r="BX2215" s="34"/>
      <c r="BY2215" s="34"/>
      <c r="BZ2215" s="34"/>
      <c r="CA2215" s="34"/>
      <c r="CB2215" s="34"/>
      <c r="CC2215" s="34"/>
      <c r="CD2215" s="34"/>
      <c r="CE2215" s="34"/>
      <c r="CF2215" s="34"/>
      <c r="CG2215" s="34"/>
      <c r="CH2215" s="34"/>
      <c r="CI2215" s="8"/>
    </row>
    <row r="2216" spans="1:87" x14ac:dyDescent="0.2">
      <c r="A2216" s="8" t="str">
        <f>IF(AND(COUNTIF(W$3:W$13,A$21)&gt;0,A$21&lt;&gt;B2070),A$21,IFERROR(IF(MATCH(A$21,Z$3:Z$13,0)=7,A$21," ")," "))</f>
        <v xml:space="preserve"> </v>
      </c>
      <c r="B2216" s="8" t="str">
        <f>IF(A2216=" "," ",MAX(B2210:B2215)+1)</f>
        <v xml:space="preserve"> </v>
      </c>
      <c r="C2216" s="8" t="str">
        <f>IFERROR(INDEX(A2210:A2231,MATCH(SMALL(B2210:B2231,7),B2210:B2231,0),1)," ")</f>
        <v>C17</v>
      </c>
      <c r="D2216" s="8">
        <f t="shared" si="9641"/>
        <v>0</v>
      </c>
      <c r="E2216" s="8">
        <f t="shared" si="9642"/>
        <v>0</v>
      </c>
      <c r="F2216" s="8">
        <f t="shared" si="9643"/>
        <v>0</v>
      </c>
      <c r="G2216" s="8">
        <f t="shared" si="9644"/>
        <v>0</v>
      </c>
      <c r="H2216" s="8">
        <f t="shared" si="9645"/>
        <v>0</v>
      </c>
      <c r="I2216" s="8">
        <f t="shared" si="9646"/>
        <v>1</v>
      </c>
      <c r="J2216" s="8">
        <f t="shared" si="9647"/>
        <v>0</v>
      </c>
      <c r="K2216" s="8">
        <f t="shared" si="9648"/>
        <v>0</v>
      </c>
      <c r="L2216" s="8">
        <f t="shared" si="9649"/>
        <v>0</v>
      </c>
      <c r="M2216" s="8">
        <f t="shared" si="9650"/>
        <v>0</v>
      </c>
      <c r="N2216" s="8">
        <f t="shared" si="9651"/>
        <v>0</v>
      </c>
      <c r="O2216" s="8">
        <f t="shared" si="9652"/>
        <v>0</v>
      </c>
      <c r="P2216" s="8" t="e">
        <v>#NUM!</v>
      </c>
      <c r="Q2216" s="8" t="e">
        <f t="shared" ref="Q2216" si="9680">IF(COUNTIF(P2210:P2220,"&lt;"&amp;-0.001)=0,IF(ABS(P2216)&lt;0.001,0,P2216)," ")</f>
        <v>#NUM!</v>
      </c>
      <c r="R2216" s="8"/>
      <c r="S2216" s="8"/>
      <c r="U2216" s="34"/>
      <c r="V2216" s="34"/>
      <c r="W2216" s="34"/>
      <c r="X2216" s="34"/>
      <c r="Y2216" s="34"/>
      <c r="Z2216" s="34"/>
      <c r="AA2216" s="34"/>
      <c r="AB2216" s="34"/>
      <c r="AC2216" s="34"/>
      <c r="AD2216" s="34"/>
      <c r="AE2216" s="34"/>
      <c r="AF2216" s="34"/>
      <c r="AG2216" s="34"/>
      <c r="AH2216" s="34"/>
      <c r="AI2216" s="34"/>
      <c r="AJ2216" s="34"/>
      <c r="AK2216" s="34"/>
      <c r="AL2216" s="34"/>
      <c r="AM2216" s="34"/>
      <c r="AN2216" s="34"/>
      <c r="AO2216" s="34"/>
      <c r="AP2216" s="34"/>
      <c r="AQ2216" s="34"/>
      <c r="AR2216" s="34"/>
      <c r="AS2216" s="34"/>
      <c r="AT2216" s="34"/>
      <c r="AU2216" s="34"/>
      <c r="AV2216" s="34"/>
      <c r="AW2216" s="34"/>
      <c r="AX2216" s="34"/>
      <c r="AY2216" s="34"/>
      <c r="AZ2216" s="34"/>
      <c r="BA2216" s="34"/>
      <c r="BB2216" s="34"/>
      <c r="BC2216" s="34"/>
      <c r="BD2216" s="34"/>
      <c r="BE2216" s="34"/>
      <c r="BF2216" s="34"/>
      <c r="BG2216" s="34"/>
      <c r="BH2216" s="34"/>
      <c r="BI2216" s="34"/>
      <c r="BJ2216" s="34"/>
      <c r="BK2216" s="34"/>
      <c r="BL2216" s="34"/>
      <c r="BM2216" s="34"/>
      <c r="BN2216" s="34"/>
      <c r="BO2216" s="34"/>
      <c r="BP2216" s="34"/>
      <c r="BQ2216" s="34"/>
      <c r="BR2216" s="34"/>
      <c r="BS2216" s="34"/>
      <c r="BT2216" s="34"/>
      <c r="BU2216" s="34"/>
      <c r="BV2216" s="34"/>
      <c r="BW2216" s="34"/>
      <c r="BX2216" s="34"/>
      <c r="BY2216" s="34"/>
      <c r="BZ2216" s="34"/>
      <c r="CA2216" s="34"/>
      <c r="CB2216" s="34"/>
      <c r="CC2216" s="34"/>
      <c r="CD2216" s="34"/>
      <c r="CE2216" s="34"/>
      <c r="CF2216" s="34"/>
      <c r="CG2216" s="34"/>
      <c r="CH2216" s="34"/>
      <c r="CI2216" s="8"/>
    </row>
    <row r="2217" spans="1:87" x14ac:dyDescent="0.2">
      <c r="A2217" s="8" t="str">
        <f>IF(AND(COUNTIF(W$3:W$13,A$22)&gt;0,A$22&lt;&gt;B2070),A$22,IFERROR(IF(MATCH(A$22,Z$3:Z$13,0)=7,A$22," ")," "))</f>
        <v xml:space="preserve"> </v>
      </c>
      <c r="B2217" s="8" t="str">
        <f>IF(A2217=" "," ",MAX(B2210:B2216)+1)</f>
        <v xml:space="preserve"> </v>
      </c>
      <c r="C2217" s="8" t="str">
        <f>IFERROR(INDEX(A2210:A2231,MATCH(SMALL(B2210:B2231,8),B2210:B2231,0),1)," ")</f>
        <v>C18</v>
      </c>
      <c r="D2217" s="8">
        <f t="shared" si="9641"/>
        <v>0</v>
      </c>
      <c r="E2217" s="8">
        <f t="shared" si="9642"/>
        <v>0</v>
      </c>
      <c r="F2217" s="8">
        <f t="shared" si="9643"/>
        <v>0</v>
      </c>
      <c r="G2217" s="8">
        <f t="shared" si="9644"/>
        <v>0</v>
      </c>
      <c r="H2217" s="8">
        <f t="shared" si="9645"/>
        <v>0</v>
      </c>
      <c r="I2217" s="8">
        <f t="shared" si="9646"/>
        <v>0</v>
      </c>
      <c r="J2217" s="8">
        <f t="shared" si="9647"/>
        <v>1</v>
      </c>
      <c r="K2217" s="8">
        <f t="shared" si="9648"/>
        <v>0</v>
      </c>
      <c r="L2217" s="8">
        <f t="shared" si="9649"/>
        <v>0</v>
      </c>
      <c r="M2217" s="8">
        <f t="shared" si="9650"/>
        <v>0</v>
      </c>
      <c r="N2217" s="8">
        <f t="shared" si="9651"/>
        <v>0</v>
      </c>
      <c r="O2217" s="8">
        <f t="shared" si="9652"/>
        <v>0</v>
      </c>
      <c r="P2217" s="8" t="e">
        <v>#NUM!</v>
      </c>
      <c r="Q2217" s="8" t="e">
        <f t="shared" ref="Q2217" si="9681">IF(COUNTIF(P2210:P2220,"&lt;"&amp;-0.001)=0,IF(ABS(P2217)&lt;0.001,0,P2217)," ")</f>
        <v>#NUM!</v>
      </c>
      <c r="R2217" s="8"/>
      <c r="S2217" s="8"/>
      <c r="U2217" s="34"/>
      <c r="V2217" s="34"/>
      <c r="W2217" s="34"/>
      <c r="X2217" s="34"/>
      <c r="Y2217" s="34"/>
      <c r="Z2217" s="34"/>
      <c r="AA2217" s="34"/>
      <c r="AB2217" s="34"/>
      <c r="AC2217" s="34"/>
      <c r="AD2217" s="34"/>
      <c r="AE2217" s="34"/>
      <c r="AF2217" s="34"/>
      <c r="AG2217" s="34"/>
      <c r="AH2217" s="34"/>
      <c r="AI2217" s="34"/>
      <c r="AJ2217" s="34"/>
      <c r="AK2217" s="34"/>
      <c r="AL2217" s="34"/>
      <c r="AM2217" s="34"/>
      <c r="AN2217" s="34"/>
      <c r="AO2217" s="34"/>
      <c r="AP2217" s="34"/>
      <c r="AQ2217" s="34"/>
      <c r="AR2217" s="34"/>
      <c r="AS2217" s="34"/>
      <c r="AT2217" s="34"/>
      <c r="AU2217" s="34"/>
      <c r="AV2217" s="34"/>
      <c r="AW2217" s="34"/>
      <c r="AX2217" s="34"/>
      <c r="AY2217" s="34"/>
      <c r="AZ2217" s="34"/>
      <c r="BA2217" s="34"/>
      <c r="BB2217" s="34"/>
      <c r="BC2217" s="34"/>
      <c r="BD2217" s="34"/>
      <c r="BE2217" s="34"/>
      <c r="BF2217" s="34"/>
      <c r="BG2217" s="34"/>
      <c r="BH2217" s="34"/>
      <c r="BI2217" s="34"/>
      <c r="BJ2217" s="34"/>
      <c r="BK2217" s="34"/>
      <c r="BL2217" s="34"/>
      <c r="BM2217" s="34"/>
      <c r="BN2217" s="34"/>
      <c r="BO2217" s="34"/>
      <c r="BP2217" s="34"/>
      <c r="BQ2217" s="34"/>
      <c r="BR2217" s="34"/>
      <c r="BS2217" s="34"/>
      <c r="BT2217" s="34"/>
      <c r="BU2217" s="34"/>
      <c r="BV2217" s="34"/>
      <c r="BW2217" s="34"/>
      <c r="BX2217" s="34"/>
      <c r="BY2217" s="34"/>
      <c r="BZ2217" s="34"/>
      <c r="CA2217" s="34"/>
      <c r="CB2217" s="34"/>
      <c r="CC2217" s="34"/>
      <c r="CD2217" s="34"/>
      <c r="CE2217" s="34"/>
      <c r="CF2217" s="34"/>
      <c r="CG2217" s="34"/>
      <c r="CH2217" s="34"/>
      <c r="CI2217" s="8"/>
    </row>
    <row r="2218" spans="1:87" x14ac:dyDescent="0.2">
      <c r="A2218" s="8" t="str">
        <f>IF(AND(COUNTIF(W$3:W$13,A$23)&gt;0,A$23&lt;&gt;B2070),A$23,IFERROR(IF(MATCH(A$23,Z$3:Z$13,0)=7,A$23," ")," "))</f>
        <v>C9</v>
      </c>
      <c r="B2218" s="8">
        <f>IF(A2218=" "," ",MAX(B2210:B2217)+1)</f>
        <v>3</v>
      </c>
      <c r="C2218" s="8" t="str">
        <f>IFERROR(INDEX(A2210:A2231,MATCH(SMALL(B2210:B2231,9),B2210:B2231,0),1)," ")</f>
        <v>C19</v>
      </c>
      <c r="D2218" s="8">
        <f t="shared" si="9641"/>
        <v>0</v>
      </c>
      <c r="E2218" s="8">
        <f t="shared" si="9642"/>
        <v>0</v>
      </c>
      <c r="F2218" s="8">
        <f t="shared" si="9643"/>
        <v>0</v>
      </c>
      <c r="G2218" s="8">
        <f t="shared" si="9644"/>
        <v>0</v>
      </c>
      <c r="H2218" s="8">
        <f t="shared" si="9645"/>
        <v>0</v>
      </c>
      <c r="I2218" s="8">
        <f t="shared" si="9646"/>
        <v>0</v>
      </c>
      <c r="J2218" s="8">
        <f t="shared" si="9647"/>
        <v>0</v>
      </c>
      <c r="K2218" s="8">
        <f t="shared" si="9648"/>
        <v>1</v>
      </c>
      <c r="L2218" s="8">
        <f t="shared" si="9649"/>
        <v>0</v>
      </c>
      <c r="M2218" s="8">
        <f t="shared" si="9650"/>
        <v>0</v>
      </c>
      <c r="N2218" s="8">
        <f t="shared" si="9651"/>
        <v>0</v>
      </c>
      <c r="O2218" s="8">
        <f t="shared" si="9652"/>
        <v>0</v>
      </c>
      <c r="P2218" s="6" t="e">
        <v>#NUM!</v>
      </c>
      <c r="Q2218" s="8" t="e">
        <f t="shared" ref="Q2218" si="9682">IF(COUNTIF(P2210:P2220,"&lt;"&amp;-0.001)=0,IF(ABS(P2218)&lt;0.001,0,P2218)," ")</f>
        <v>#NUM!</v>
      </c>
      <c r="R2218" s="8"/>
      <c r="S2218" s="8"/>
      <c r="U2218" s="34"/>
      <c r="V2218" s="34"/>
      <c r="W2218" s="34"/>
      <c r="X2218" s="34"/>
      <c r="Y2218" s="34"/>
      <c r="Z2218" s="34"/>
      <c r="AA2218" s="34"/>
      <c r="AB2218" s="34"/>
      <c r="AC2218" s="34"/>
      <c r="AD2218" s="34"/>
      <c r="AE2218" s="34"/>
      <c r="AF2218" s="34"/>
      <c r="AG2218" s="34"/>
      <c r="AH2218" s="34"/>
      <c r="AI2218" s="34"/>
      <c r="AJ2218" s="34"/>
      <c r="AK2218" s="34"/>
      <c r="AL2218" s="34"/>
      <c r="AM2218" s="34"/>
      <c r="AN2218" s="34"/>
      <c r="AO2218" s="34"/>
      <c r="AP2218" s="34"/>
      <c r="AQ2218" s="34"/>
      <c r="AR2218" s="34"/>
      <c r="AS2218" s="34"/>
      <c r="AT2218" s="34"/>
      <c r="AU2218" s="34"/>
      <c r="AV2218" s="34"/>
      <c r="AW2218" s="34"/>
      <c r="AX2218" s="34"/>
      <c r="AY2218" s="34"/>
      <c r="AZ2218" s="34"/>
      <c r="BA2218" s="34"/>
      <c r="BB2218" s="34"/>
      <c r="BC2218" s="34"/>
      <c r="BD2218" s="34"/>
      <c r="BE2218" s="34"/>
      <c r="BF2218" s="34"/>
      <c r="BG2218" s="34"/>
      <c r="BH2218" s="34"/>
      <c r="BI2218" s="34"/>
      <c r="BJ2218" s="34"/>
      <c r="BK2218" s="34"/>
      <c r="BL2218" s="34"/>
      <c r="BM2218" s="34"/>
      <c r="BN2218" s="34"/>
      <c r="BO2218" s="34"/>
      <c r="BP2218" s="34"/>
      <c r="BQ2218" s="34"/>
      <c r="BR2218" s="34"/>
      <c r="BS2218" s="34"/>
      <c r="BT2218" s="34"/>
      <c r="BU2218" s="34"/>
      <c r="BV2218" s="34"/>
      <c r="BW2218" s="34"/>
      <c r="BX2218" s="34"/>
      <c r="BY2218" s="34"/>
      <c r="BZ2218" s="34"/>
      <c r="CA2218" s="34"/>
      <c r="CB2218" s="34"/>
      <c r="CC2218" s="34"/>
      <c r="CD2218" s="34"/>
      <c r="CE2218" s="34"/>
      <c r="CF2218" s="34"/>
      <c r="CG2218" s="34"/>
      <c r="CH2218" s="34"/>
      <c r="CI2218" s="8"/>
    </row>
    <row r="2219" spans="1:87" x14ac:dyDescent="0.2">
      <c r="A2219" s="8" t="str">
        <f>IF(AND(COUNTIF(W$3:W$13,A$24)&gt;0,A$24&lt;&gt;B2070),A$24,IFERROR(IF(MATCH(A$24,Z$3:Z$13,0)=7,A$24," ")," "))</f>
        <v xml:space="preserve"> </v>
      </c>
      <c r="B2219" s="8" t="str">
        <f>IF(A2219=" "," ",MAX(B2210:B2218)+1)</f>
        <v xml:space="preserve"> </v>
      </c>
      <c r="C2219" s="8" t="str">
        <f>IFERROR(INDEX(A2210:A2231,MATCH(SMALL(B2210:B2231,10),B2210:B2231,0),1)," ")</f>
        <v>C21</v>
      </c>
      <c r="D2219" s="8">
        <f t="shared" si="9641"/>
        <v>0</v>
      </c>
      <c r="E2219" s="8">
        <f t="shared" si="9642"/>
        <v>0</v>
      </c>
      <c r="F2219" s="8">
        <f t="shared" si="9643"/>
        <v>0</v>
      </c>
      <c r="G2219" s="8">
        <f t="shared" si="9644"/>
        <v>0</v>
      </c>
      <c r="H2219" s="8">
        <f t="shared" si="9645"/>
        <v>0</v>
      </c>
      <c r="I2219" s="8">
        <f t="shared" si="9646"/>
        <v>0</v>
      </c>
      <c r="J2219" s="8">
        <f t="shared" si="9647"/>
        <v>0</v>
      </c>
      <c r="K2219" s="8">
        <f t="shared" si="9648"/>
        <v>0</v>
      </c>
      <c r="L2219" s="8">
        <f t="shared" si="9649"/>
        <v>0</v>
      </c>
      <c r="M2219" s="8">
        <f t="shared" si="9650"/>
        <v>1</v>
      </c>
      <c r="N2219" s="8">
        <f t="shared" si="9651"/>
        <v>0</v>
      </c>
      <c r="O2219" s="8">
        <f t="shared" si="9652"/>
        <v>0</v>
      </c>
      <c r="P2219" s="8" t="e">
        <v>#NUM!</v>
      </c>
      <c r="Q2219" s="8" t="e">
        <f t="shared" ref="Q2219" si="9683">IF(COUNTIF(P2210:P2220,"&lt;"&amp;-0.001)=0,IF(ABS(P2219)&lt;0.001,0,P2219)," ")</f>
        <v>#NUM!</v>
      </c>
      <c r="R2219" s="8"/>
      <c r="S2219" s="8"/>
      <c r="U2219" s="34"/>
      <c r="V2219" s="34"/>
      <c r="W2219" s="34"/>
      <c r="X2219" s="34"/>
      <c r="Y2219" s="34"/>
      <c r="Z2219" s="34"/>
      <c r="AA2219" s="34"/>
      <c r="AB2219" s="34"/>
      <c r="AC2219" s="34"/>
      <c r="AD2219" s="34"/>
      <c r="AE2219" s="34"/>
      <c r="AF2219" s="34"/>
      <c r="AG2219" s="34"/>
      <c r="AH2219" s="34"/>
      <c r="AI2219" s="34"/>
      <c r="AJ2219" s="34"/>
      <c r="AK2219" s="34"/>
      <c r="AL2219" s="34"/>
      <c r="AM2219" s="34"/>
      <c r="AN2219" s="34"/>
      <c r="AO2219" s="34"/>
      <c r="AP2219" s="34"/>
      <c r="AQ2219" s="34"/>
      <c r="AR2219" s="34"/>
      <c r="AS2219" s="34"/>
      <c r="AT2219" s="34"/>
      <c r="AU2219" s="34"/>
      <c r="AV2219" s="34"/>
      <c r="AW2219" s="34"/>
      <c r="AX2219" s="34"/>
      <c r="AY2219" s="34"/>
      <c r="AZ2219" s="34"/>
      <c r="BA2219" s="34"/>
      <c r="BB2219" s="34"/>
      <c r="BC2219" s="34"/>
      <c r="BD2219" s="34"/>
      <c r="BE2219" s="34"/>
      <c r="BF2219" s="34"/>
      <c r="BG2219" s="34"/>
      <c r="BH2219" s="34"/>
      <c r="BI2219" s="34"/>
      <c r="BJ2219" s="34"/>
      <c r="BK2219" s="34"/>
      <c r="BL2219" s="34"/>
      <c r="BM2219" s="34"/>
      <c r="BN2219" s="34"/>
      <c r="BO2219" s="34"/>
      <c r="BP2219" s="34"/>
      <c r="BQ2219" s="34"/>
      <c r="BR2219" s="34"/>
      <c r="BS2219" s="34"/>
      <c r="BT2219" s="34"/>
      <c r="BU2219" s="34"/>
      <c r="BV2219" s="34"/>
      <c r="BW2219" s="34"/>
      <c r="BX2219" s="34"/>
      <c r="BY2219" s="34"/>
      <c r="BZ2219" s="34"/>
      <c r="CA2219" s="34"/>
      <c r="CB2219" s="34"/>
      <c r="CC2219" s="34"/>
      <c r="CD2219" s="34"/>
      <c r="CE2219" s="34"/>
      <c r="CF2219" s="34"/>
      <c r="CG2219" s="34"/>
      <c r="CH2219" s="34"/>
      <c r="CI2219" s="8"/>
    </row>
    <row r="2220" spans="1:87" x14ac:dyDescent="0.2">
      <c r="A2220" s="8" t="str">
        <f>IF(AND(COUNTIF(W$3:W$13,A$25)&gt;0,A$25&lt;&gt;B2070),A$25,IFERROR(IF(MATCH(A$25,Z$3:Z$13,0)=7,A$25," ")," "))</f>
        <v xml:space="preserve"> </v>
      </c>
      <c r="B2220" s="8" t="str">
        <f>IF(A2220=" "," ",MAX(B2210:B2219)+1)</f>
        <v xml:space="preserve"> </v>
      </c>
      <c r="C2220" s="8" t="str">
        <f>IFERROR(INDEX(A2210:A2231,MATCH(SMALL(B2210:B2231,11),B2210:B2231,0),1)," ")</f>
        <v>C22</v>
      </c>
      <c r="D2220" s="8">
        <f t="shared" si="9641"/>
        <v>0</v>
      </c>
      <c r="E2220" s="8">
        <f t="shared" si="9642"/>
        <v>0</v>
      </c>
      <c r="F2220" s="8">
        <f t="shared" si="9643"/>
        <v>0</v>
      </c>
      <c r="G2220" s="8">
        <f t="shared" si="9644"/>
        <v>0</v>
      </c>
      <c r="H2220" s="8">
        <f t="shared" si="9645"/>
        <v>0</v>
      </c>
      <c r="I2220" s="8">
        <f t="shared" si="9646"/>
        <v>0</v>
      </c>
      <c r="J2220" s="8">
        <f t="shared" si="9647"/>
        <v>0</v>
      </c>
      <c r="K2220" s="8">
        <f t="shared" si="9648"/>
        <v>0</v>
      </c>
      <c r="L2220" s="8">
        <f t="shared" si="9649"/>
        <v>0</v>
      </c>
      <c r="M2220" s="8">
        <f t="shared" si="9650"/>
        <v>0</v>
      </c>
      <c r="N2220" s="8">
        <f t="shared" si="9651"/>
        <v>1</v>
      </c>
      <c r="O2220" s="8">
        <f t="shared" si="9652"/>
        <v>0</v>
      </c>
      <c r="P2220" s="8" t="e">
        <v>#NUM!</v>
      </c>
      <c r="Q2220" s="8" t="e">
        <f t="shared" ref="Q2220" si="9684">IF(COUNTIF(P2210:P2220,"&lt;"&amp;-0.001)=0,IF(ABS(P2220)&lt;0.001,0,P2220)," ")</f>
        <v>#NUM!</v>
      </c>
      <c r="R2220" s="8"/>
      <c r="S2220" s="8"/>
      <c r="U2220" s="34"/>
      <c r="V2220" s="34"/>
      <c r="W2220" s="34"/>
      <c r="X2220" s="34"/>
      <c r="Y2220" s="34"/>
      <c r="Z2220" s="34"/>
      <c r="AA2220" s="34"/>
      <c r="AB2220" s="34"/>
      <c r="AC2220" s="34"/>
      <c r="AD2220" s="34"/>
      <c r="AE2220" s="34"/>
      <c r="AF2220" s="34"/>
      <c r="AG2220" s="34"/>
      <c r="AH2220" s="34"/>
      <c r="AI2220" s="34"/>
      <c r="AJ2220" s="34"/>
      <c r="AK2220" s="34"/>
      <c r="AL2220" s="34"/>
      <c r="AM2220" s="34"/>
      <c r="AN2220" s="34"/>
      <c r="AO2220" s="34"/>
      <c r="AP2220" s="34"/>
      <c r="AQ2220" s="34"/>
      <c r="AR2220" s="34"/>
      <c r="AS2220" s="34"/>
      <c r="AT2220" s="34"/>
      <c r="AU2220" s="34"/>
      <c r="AV2220" s="34"/>
      <c r="AW2220" s="34"/>
      <c r="AX2220" s="34"/>
      <c r="AY2220" s="34"/>
      <c r="AZ2220" s="34"/>
      <c r="BA2220" s="34"/>
      <c r="BB2220" s="34"/>
      <c r="BC2220" s="34"/>
      <c r="BD2220" s="34"/>
      <c r="BE2220" s="34"/>
      <c r="BF2220" s="34"/>
      <c r="BG2220" s="34"/>
      <c r="BH2220" s="34"/>
      <c r="BI2220" s="34"/>
      <c r="BJ2220" s="34"/>
      <c r="BK2220" s="34"/>
      <c r="BL2220" s="34"/>
      <c r="BM2220" s="34"/>
      <c r="BN2220" s="34"/>
      <c r="BO2220" s="34"/>
      <c r="BP2220" s="34"/>
      <c r="BQ2220" s="34"/>
      <c r="BR2220" s="34"/>
      <c r="BS2220" s="34"/>
      <c r="BT2220" s="34"/>
      <c r="BU2220" s="34"/>
      <c r="BV2220" s="34"/>
      <c r="BW2220" s="34"/>
      <c r="BX2220" s="34"/>
      <c r="BY2220" s="34"/>
      <c r="BZ2220" s="34"/>
      <c r="CA2220" s="34"/>
      <c r="CB2220" s="34"/>
      <c r="CC2220" s="34"/>
      <c r="CD2220" s="34"/>
      <c r="CE2220" s="34"/>
      <c r="CF2220" s="34"/>
      <c r="CG2220" s="34"/>
      <c r="CH2220" s="34"/>
      <c r="CI2220" s="8"/>
    </row>
    <row r="2221" spans="1:87" x14ac:dyDescent="0.2">
      <c r="A2221" s="8" t="str">
        <f>IF(AND(COUNTIF(W$3:W$13,A$26)&gt;0,A$26&lt;&gt;B2070),A$26,IFERROR(IF(MATCH(A$26,Z$3:Z$13,0)=7,A$26," ")," "))</f>
        <v xml:space="preserve"> </v>
      </c>
      <c r="B2221" s="8" t="str">
        <f>IF(A2221=" "," ",MAX(B2210:B2220)+1)</f>
        <v xml:space="preserve"> </v>
      </c>
      <c r="C2221" s="8"/>
      <c r="D2221" s="8"/>
      <c r="E2221" s="8"/>
      <c r="F2221" s="8"/>
      <c r="G2221" s="8"/>
      <c r="H2221" s="8"/>
      <c r="I2221" s="8"/>
      <c r="J2221" s="8"/>
      <c r="K2221" s="8"/>
      <c r="L2221" s="8"/>
      <c r="M2221" s="8"/>
      <c r="N2221" s="8"/>
      <c r="O2221" s="8"/>
      <c r="P2221" s="8"/>
      <c r="Q2221" s="8"/>
      <c r="R2221" s="8"/>
      <c r="S2221" s="8"/>
      <c r="U2221" s="34"/>
      <c r="V2221" s="34"/>
      <c r="W2221" s="34"/>
      <c r="X2221" s="34"/>
      <c r="Y2221" s="34"/>
      <c r="Z2221" s="34"/>
      <c r="AA2221" s="34"/>
      <c r="AB2221" s="34"/>
      <c r="AC2221" s="34"/>
      <c r="AD2221" s="34"/>
      <c r="AE2221" s="34"/>
      <c r="AF2221" s="34"/>
      <c r="AG2221" s="34"/>
      <c r="AH2221" s="34"/>
      <c r="AI2221" s="34"/>
      <c r="AJ2221" s="34"/>
      <c r="AK2221" s="34"/>
      <c r="AL2221" s="34"/>
      <c r="AM2221" s="34"/>
      <c r="AN2221" s="34"/>
      <c r="AO2221" s="34"/>
      <c r="AP2221" s="34"/>
      <c r="AQ2221" s="34"/>
      <c r="AR2221" s="34"/>
      <c r="AS2221" s="34"/>
      <c r="AT2221" s="34"/>
      <c r="AU2221" s="34"/>
      <c r="AV2221" s="34"/>
      <c r="AW2221" s="34"/>
      <c r="AX2221" s="34"/>
      <c r="AY2221" s="34"/>
      <c r="AZ2221" s="34"/>
      <c r="BA2221" s="34"/>
      <c r="BB2221" s="34"/>
      <c r="BC2221" s="34"/>
      <c r="BD2221" s="34"/>
      <c r="BE2221" s="34"/>
      <c r="BF2221" s="34"/>
      <c r="BG2221" s="34"/>
      <c r="BH2221" s="34"/>
      <c r="BI2221" s="34"/>
      <c r="BJ2221" s="34"/>
      <c r="BK2221" s="34"/>
      <c r="BL2221" s="34"/>
      <c r="BM2221" s="34"/>
      <c r="BN2221" s="34"/>
      <c r="BO2221" s="34"/>
      <c r="BP2221" s="34"/>
      <c r="BQ2221" s="34"/>
      <c r="BR2221" s="34"/>
      <c r="BS2221" s="34"/>
      <c r="BT2221" s="34"/>
      <c r="BU2221" s="34"/>
      <c r="BV2221" s="34"/>
      <c r="BW2221" s="34"/>
      <c r="BX2221" s="34"/>
      <c r="BY2221" s="34"/>
      <c r="BZ2221" s="34"/>
      <c r="CA2221" s="34"/>
      <c r="CB2221" s="34"/>
      <c r="CC2221" s="34"/>
      <c r="CD2221" s="34"/>
      <c r="CE2221" s="34"/>
      <c r="CF2221" s="34"/>
      <c r="CG2221" s="34"/>
      <c r="CH2221" s="34"/>
      <c r="CI2221" s="8"/>
    </row>
    <row r="2222" spans="1:87" x14ac:dyDescent="0.2">
      <c r="A2222" s="8" t="str">
        <f>IF(AND(COUNTIF(W$3:W$13,A$27)&gt;0,A$27&lt;&gt;B2070),A$27,IFERROR(IF(MATCH(A$27,Z$3:Z$13,0)=7,A$27," ")," "))</f>
        <v>C13</v>
      </c>
      <c r="B2222" s="8">
        <f>IF(A2222=" "," ",MAX(B2210:B2221)+1)</f>
        <v>4</v>
      </c>
      <c r="C2222" s="8"/>
      <c r="D2222" s="8"/>
      <c r="E2222" s="8"/>
      <c r="F2222" s="8"/>
      <c r="G2222" s="8"/>
      <c r="H2222" s="8"/>
      <c r="I2222" s="8"/>
      <c r="J2222" s="8"/>
      <c r="K2222" s="8"/>
      <c r="L2222" s="8"/>
      <c r="M2222" s="8"/>
      <c r="N2222" s="8"/>
      <c r="O2222" s="8"/>
      <c r="P2222" s="8"/>
      <c r="Q2222" s="8"/>
      <c r="R2222" s="8"/>
      <c r="S2222" s="8"/>
      <c r="U2222" s="34"/>
      <c r="V2222" s="34"/>
      <c r="W2222" s="34"/>
      <c r="X2222" s="34"/>
      <c r="Y2222" s="34"/>
      <c r="Z2222" s="34"/>
      <c r="AA2222" s="34"/>
      <c r="AB2222" s="34"/>
      <c r="AC2222" s="34"/>
      <c r="AD2222" s="34"/>
      <c r="AE2222" s="34"/>
      <c r="AF2222" s="34"/>
      <c r="AG2222" s="34"/>
      <c r="AH2222" s="34"/>
      <c r="AI2222" s="34"/>
      <c r="AJ2222" s="34"/>
      <c r="AK2222" s="34"/>
      <c r="AL2222" s="34"/>
      <c r="AM2222" s="34"/>
      <c r="AN2222" s="34"/>
      <c r="AO2222" s="34"/>
      <c r="AP2222" s="34"/>
      <c r="AQ2222" s="34"/>
      <c r="AR2222" s="34"/>
      <c r="AS2222" s="34"/>
      <c r="AT2222" s="34"/>
      <c r="AU2222" s="34"/>
      <c r="AV2222" s="34"/>
      <c r="AW2222" s="34"/>
      <c r="AX2222" s="34"/>
      <c r="AY2222" s="34"/>
      <c r="AZ2222" s="34"/>
      <c r="BA2222" s="34"/>
      <c r="BB2222" s="34"/>
      <c r="BC2222" s="34"/>
      <c r="BD2222" s="34"/>
      <c r="BE2222" s="34"/>
      <c r="BF2222" s="34"/>
      <c r="BG2222" s="34"/>
      <c r="BH2222" s="34"/>
      <c r="BI2222" s="34"/>
      <c r="BJ2222" s="34"/>
      <c r="BK2222" s="34"/>
      <c r="BL2222" s="34"/>
      <c r="BM2222" s="34"/>
      <c r="BN2222" s="34"/>
      <c r="BO2222" s="34"/>
      <c r="BP2222" s="34"/>
      <c r="BQ2222" s="34"/>
      <c r="BR2222" s="34"/>
      <c r="BS2222" s="34"/>
      <c r="BT2222" s="34"/>
      <c r="BU2222" s="34"/>
      <c r="BV2222" s="34"/>
      <c r="BW2222" s="34"/>
      <c r="BX2222" s="34"/>
      <c r="BY2222" s="34"/>
      <c r="BZ2222" s="34"/>
      <c r="CA2222" s="34"/>
      <c r="CB2222" s="34"/>
      <c r="CC2222" s="34"/>
      <c r="CD2222" s="34"/>
      <c r="CE2222" s="34"/>
      <c r="CF2222" s="34"/>
      <c r="CG2222" s="34"/>
      <c r="CH2222" s="34"/>
      <c r="CI2222" s="8"/>
    </row>
    <row r="2223" spans="1:87" x14ac:dyDescent="0.2">
      <c r="A2223" s="8" t="str">
        <f>IF(AND(COUNTIF(W$3:W$13,A$28)&gt;0,A$28&lt;&gt;B2070),A$28,IFERROR(IF(MATCH(A$28,Z$3:Z$13,0)=7,A$28," ")," "))</f>
        <v xml:space="preserve"> </v>
      </c>
      <c r="B2223" s="8" t="str">
        <f>IF(A2223=" "," ",MAX(B2210:B2222)+1)</f>
        <v xml:space="preserve"> </v>
      </c>
      <c r="C2223" s="8"/>
      <c r="D2223" s="8"/>
      <c r="E2223" s="8"/>
      <c r="F2223" s="8"/>
      <c r="G2223" s="8"/>
      <c r="H2223" s="8"/>
      <c r="I2223" s="8"/>
      <c r="J2223" s="8"/>
      <c r="K2223" s="8"/>
      <c r="L2223" s="8"/>
      <c r="M2223" s="8"/>
      <c r="N2223" s="8"/>
      <c r="O2223" s="8"/>
      <c r="P2223" s="8"/>
      <c r="Q2223" s="8"/>
      <c r="R2223" s="8"/>
      <c r="S2223" s="8"/>
      <c r="U2223" s="34"/>
      <c r="V2223" s="34"/>
      <c r="W2223" s="34"/>
      <c r="X2223" s="34"/>
      <c r="Y2223" s="34"/>
      <c r="Z2223" s="34"/>
      <c r="AA2223" s="34"/>
      <c r="AB2223" s="34"/>
      <c r="AC2223" s="34"/>
      <c r="AD2223" s="34"/>
      <c r="AE2223" s="34"/>
      <c r="AF2223" s="34"/>
      <c r="AG2223" s="34"/>
      <c r="AH2223" s="34"/>
      <c r="AI2223" s="34"/>
      <c r="AJ2223" s="34"/>
      <c r="AK2223" s="34"/>
      <c r="AL2223" s="34"/>
      <c r="AM2223" s="34"/>
      <c r="AN2223" s="34"/>
      <c r="AO2223" s="34"/>
      <c r="AP2223" s="34"/>
      <c r="AQ2223" s="34"/>
      <c r="AR2223" s="34"/>
      <c r="AS2223" s="34"/>
      <c r="AT2223" s="34"/>
      <c r="AU2223" s="34"/>
      <c r="AV2223" s="34"/>
      <c r="AW2223" s="34"/>
      <c r="AX2223" s="34"/>
      <c r="AY2223" s="34"/>
      <c r="AZ2223" s="34"/>
      <c r="BA2223" s="34"/>
      <c r="BB2223" s="34"/>
      <c r="BC2223" s="34"/>
      <c r="BD2223" s="34"/>
      <c r="BE2223" s="34"/>
      <c r="BF2223" s="34"/>
      <c r="BG2223" s="34"/>
      <c r="BH2223" s="34"/>
      <c r="BI2223" s="34"/>
      <c r="BJ2223" s="34"/>
      <c r="BK2223" s="34"/>
      <c r="BL2223" s="34"/>
      <c r="BM2223" s="34"/>
      <c r="BN2223" s="34"/>
      <c r="BO2223" s="34"/>
      <c r="BP2223" s="34"/>
      <c r="BQ2223" s="34"/>
      <c r="BR2223" s="34"/>
      <c r="BS2223" s="34"/>
      <c r="BT2223" s="34"/>
      <c r="BU2223" s="34"/>
      <c r="BV2223" s="34"/>
      <c r="BW2223" s="34"/>
      <c r="BX2223" s="34"/>
      <c r="BY2223" s="34"/>
      <c r="BZ2223" s="34"/>
      <c r="CA2223" s="34"/>
      <c r="CB2223" s="34"/>
      <c r="CC2223" s="34"/>
      <c r="CD2223" s="34"/>
      <c r="CE2223" s="34"/>
      <c r="CF2223" s="34"/>
      <c r="CG2223" s="34"/>
      <c r="CH2223" s="34"/>
      <c r="CI2223" s="8"/>
    </row>
    <row r="2224" spans="1:87" x14ac:dyDescent="0.2">
      <c r="A2224" s="8" t="str">
        <f>IF(AND(COUNTIF(W$3:W$13,A$29)&gt;0,A$29&lt;&gt;B2070),A$29,IFERROR(IF(MATCH(A$29,Z$3:Z$13,0)=7,A$29," ")," "))</f>
        <v>C15</v>
      </c>
      <c r="B2224" s="8">
        <f>IF(A2224=" "," ",MAX(B2210:B2223)+1)</f>
        <v>5</v>
      </c>
      <c r="C2224" s="8"/>
      <c r="D2224" s="8"/>
      <c r="E2224" s="8"/>
      <c r="F2224" s="8"/>
      <c r="G2224" s="8"/>
      <c r="H2224" s="8"/>
      <c r="I2224" s="8"/>
      <c r="J2224" s="8"/>
      <c r="K2224" s="8"/>
      <c r="L2224" s="8"/>
      <c r="M2224" s="8"/>
      <c r="N2224" s="8"/>
      <c r="O2224" s="8"/>
      <c r="P2224" s="8"/>
      <c r="Q2224" s="8"/>
      <c r="R2224" s="8"/>
      <c r="S2224" s="8"/>
      <c r="U2224" s="34"/>
      <c r="V2224" s="34"/>
      <c r="W2224" s="34"/>
      <c r="X2224" s="34"/>
      <c r="Y2224" s="34"/>
      <c r="Z2224" s="34"/>
      <c r="AA2224" s="34"/>
      <c r="AB2224" s="34"/>
      <c r="AC2224" s="34"/>
      <c r="AD2224" s="34"/>
      <c r="AE2224" s="34"/>
      <c r="AF2224" s="34"/>
      <c r="AG2224" s="34"/>
      <c r="AH2224" s="34"/>
      <c r="AI2224" s="34"/>
      <c r="AJ2224" s="34"/>
      <c r="AK2224" s="34"/>
      <c r="AL2224" s="34"/>
      <c r="AM2224" s="34"/>
      <c r="AN2224" s="34"/>
      <c r="AO2224" s="34"/>
      <c r="AP2224" s="34"/>
      <c r="AQ2224" s="34"/>
      <c r="AR2224" s="34"/>
      <c r="AS2224" s="34"/>
      <c r="AT2224" s="34"/>
      <c r="AU2224" s="34"/>
      <c r="AV2224" s="34"/>
      <c r="AW2224" s="34"/>
      <c r="AX2224" s="34"/>
      <c r="AY2224" s="34"/>
      <c r="AZ2224" s="34"/>
      <c r="BA2224" s="34"/>
      <c r="BB2224" s="34"/>
      <c r="BC2224" s="34"/>
      <c r="BD2224" s="34"/>
      <c r="BE2224" s="34"/>
      <c r="BF2224" s="34"/>
      <c r="BG2224" s="34"/>
      <c r="BH2224" s="34"/>
      <c r="BI2224" s="34"/>
      <c r="BJ2224" s="34"/>
      <c r="BK2224" s="34"/>
      <c r="BL2224" s="34"/>
      <c r="BM2224" s="34"/>
      <c r="BN2224" s="34"/>
      <c r="BO2224" s="34"/>
      <c r="BP2224" s="34"/>
      <c r="BQ2224" s="34"/>
      <c r="BR2224" s="34"/>
      <c r="BS2224" s="34"/>
      <c r="BT2224" s="34"/>
      <c r="BU2224" s="34"/>
      <c r="BV2224" s="34"/>
      <c r="BW2224" s="34"/>
      <c r="BX2224" s="34"/>
      <c r="BY2224" s="34"/>
      <c r="BZ2224" s="34"/>
      <c r="CA2224" s="34"/>
      <c r="CB2224" s="34"/>
      <c r="CC2224" s="34"/>
      <c r="CD2224" s="34"/>
      <c r="CE2224" s="34"/>
      <c r="CF2224" s="34"/>
      <c r="CG2224" s="34"/>
      <c r="CH2224" s="34"/>
      <c r="CI2224" s="8"/>
    </row>
    <row r="2225" spans="1:87" x14ac:dyDescent="0.2">
      <c r="A2225" s="8" t="str">
        <f>IF(AND(COUNTIF(W$3:W$13,A$30)&gt;0,A$30&lt;&gt;B2070),A$30,IFERROR(IF(MATCH(A$30,Z$3:Z$13,0)=7,A$30," ")," "))</f>
        <v>C16</v>
      </c>
      <c r="B2225" s="8">
        <f>IF(A2225=" "," ",MAX(B2210:B2224)+1)</f>
        <v>6</v>
      </c>
      <c r="C2225" s="8"/>
      <c r="D2225" s="8"/>
      <c r="E2225" s="8"/>
      <c r="F2225" s="8"/>
      <c r="G2225" s="8"/>
      <c r="H2225" s="8"/>
      <c r="I2225" s="8"/>
      <c r="J2225" s="8"/>
      <c r="K2225" s="8"/>
      <c r="L2225" s="8"/>
      <c r="M2225" s="8"/>
      <c r="N2225" s="8"/>
      <c r="O2225" s="8"/>
      <c r="P2225" s="8"/>
      <c r="Q2225" s="8"/>
      <c r="R2225" s="8"/>
      <c r="S2225" s="8"/>
      <c r="U2225" s="34"/>
      <c r="V2225" s="34"/>
      <c r="W2225" s="34"/>
      <c r="X2225" s="34"/>
      <c r="Y2225" s="34"/>
      <c r="Z2225" s="34"/>
      <c r="AA2225" s="34"/>
      <c r="AB2225" s="34"/>
      <c r="AC2225" s="34"/>
      <c r="AD2225" s="34"/>
      <c r="AE2225" s="34"/>
      <c r="AF2225" s="34"/>
      <c r="AG2225" s="34"/>
      <c r="AH2225" s="34"/>
      <c r="AI2225" s="34"/>
      <c r="AJ2225" s="34"/>
      <c r="AK2225" s="34"/>
      <c r="AL2225" s="34"/>
      <c r="AM2225" s="34"/>
      <c r="AN2225" s="34"/>
      <c r="AO2225" s="34"/>
      <c r="AP2225" s="34"/>
      <c r="AQ2225" s="34"/>
      <c r="AR2225" s="34"/>
      <c r="AS2225" s="34"/>
      <c r="AT2225" s="34"/>
      <c r="AU2225" s="34"/>
      <c r="AV2225" s="34"/>
      <c r="AW2225" s="34"/>
      <c r="AX2225" s="34"/>
      <c r="AY2225" s="34"/>
      <c r="AZ2225" s="34"/>
      <c r="BA2225" s="34"/>
      <c r="BB2225" s="34"/>
      <c r="BC2225" s="34"/>
      <c r="BD2225" s="34"/>
      <c r="BE2225" s="34"/>
      <c r="BF2225" s="34"/>
      <c r="BG2225" s="34"/>
      <c r="BH2225" s="34"/>
      <c r="BI2225" s="34"/>
      <c r="BJ2225" s="34"/>
      <c r="BK2225" s="34"/>
      <c r="BL2225" s="34"/>
      <c r="BM2225" s="34"/>
      <c r="BN2225" s="34"/>
      <c r="BO2225" s="34"/>
      <c r="BP2225" s="34"/>
      <c r="BQ2225" s="34"/>
      <c r="BR2225" s="34"/>
      <c r="BS2225" s="34"/>
      <c r="BT2225" s="34"/>
      <c r="BU2225" s="34"/>
      <c r="BV2225" s="34"/>
      <c r="BW2225" s="34"/>
      <c r="BX2225" s="34"/>
      <c r="BY2225" s="34"/>
      <c r="BZ2225" s="34"/>
      <c r="CA2225" s="34"/>
      <c r="CB2225" s="34"/>
      <c r="CC2225" s="34"/>
      <c r="CD2225" s="34"/>
      <c r="CE2225" s="34"/>
      <c r="CF2225" s="34"/>
      <c r="CG2225" s="34"/>
      <c r="CH2225" s="34"/>
      <c r="CI2225" s="8"/>
    </row>
    <row r="2226" spans="1:87" x14ac:dyDescent="0.2">
      <c r="A2226" s="8" t="str">
        <f>IF(AND(COUNTIF(W$3:W$13,A$31)&gt;0,A$31&lt;&gt;B2070),A$31,IFERROR(IF(MATCH(A$31,Z$3:Z$13,0)=7,A$31," ")," "))</f>
        <v>C17</v>
      </c>
      <c r="B2226" s="8">
        <f>IF(A2226=" "," ",MAX(B2210:B2225)+1)</f>
        <v>7</v>
      </c>
      <c r="C2226" s="8"/>
      <c r="D2226" s="8"/>
      <c r="E2226" s="8"/>
      <c r="F2226" s="8"/>
      <c r="G2226" s="8"/>
      <c r="H2226" s="8"/>
      <c r="I2226" s="8"/>
      <c r="J2226" s="8"/>
      <c r="K2226" s="8"/>
      <c r="L2226" s="8"/>
      <c r="M2226" s="8"/>
      <c r="N2226" s="8"/>
      <c r="O2226" s="8"/>
      <c r="P2226" s="8"/>
      <c r="Q2226" s="8"/>
      <c r="R2226" s="8"/>
      <c r="S2226" s="8"/>
      <c r="U2226" s="34"/>
      <c r="V2226" s="34"/>
      <c r="W2226" s="34"/>
      <c r="X2226" s="34"/>
      <c r="Y2226" s="34"/>
      <c r="Z2226" s="34"/>
      <c r="AA2226" s="34"/>
      <c r="AB2226" s="34"/>
      <c r="AC2226" s="34"/>
      <c r="AD2226" s="34"/>
      <c r="AE2226" s="34"/>
      <c r="AF2226" s="34"/>
      <c r="AG2226" s="34"/>
      <c r="AH2226" s="34"/>
      <c r="AI2226" s="34"/>
      <c r="AJ2226" s="34"/>
      <c r="AK2226" s="34"/>
      <c r="AL2226" s="34"/>
      <c r="AM2226" s="34"/>
      <c r="AN2226" s="34"/>
      <c r="AO2226" s="34"/>
      <c r="AP2226" s="34"/>
      <c r="AQ2226" s="34"/>
      <c r="AR2226" s="34"/>
      <c r="AS2226" s="34"/>
      <c r="AT2226" s="34"/>
      <c r="AU2226" s="34"/>
      <c r="AV2226" s="34"/>
      <c r="AW2226" s="34"/>
      <c r="AX2226" s="34"/>
      <c r="AY2226" s="34"/>
      <c r="AZ2226" s="34"/>
      <c r="BA2226" s="34"/>
      <c r="BB2226" s="34"/>
      <c r="BC2226" s="34"/>
      <c r="BD2226" s="34"/>
      <c r="BE2226" s="34"/>
      <c r="BF2226" s="34"/>
      <c r="BG2226" s="34"/>
      <c r="BH2226" s="34"/>
      <c r="BI2226" s="34"/>
      <c r="BJ2226" s="34"/>
      <c r="BK2226" s="34"/>
      <c r="BL2226" s="34"/>
      <c r="BM2226" s="34"/>
      <c r="BN2226" s="34"/>
      <c r="BO2226" s="34"/>
      <c r="BP2226" s="34"/>
      <c r="BQ2226" s="34"/>
      <c r="BR2226" s="34"/>
      <c r="BS2226" s="34"/>
      <c r="BT2226" s="34"/>
      <c r="BU2226" s="34"/>
      <c r="BV2226" s="34"/>
      <c r="BW2226" s="34"/>
      <c r="BX2226" s="34"/>
      <c r="BY2226" s="34"/>
      <c r="BZ2226" s="34"/>
      <c r="CA2226" s="34"/>
      <c r="CB2226" s="34"/>
      <c r="CC2226" s="34"/>
      <c r="CD2226" s="34"/>
      <c r="CE2226" s="34"/>
      <c r="CF2226" s="34"/>
      <c r="CG2226" s="34"/>
      <c r="CH2226" s="34"/>
      <c r="CI2226" s="8"/>
    </row>
    <row r="2227" spans="1:87" x14ac:dyDescent="0.2">
      <c r="A2227" s="8" t="str">
        <f>IF(AND(COUNTIF(W$3:W$13,A$32)&gt;0,A$32&lt;&gt;B2070),A$32,IFERROR(IF(MATCH(A$32,Z$3:Z$13,0)=7,A$32," ")," "))</f>
        <v>C18</v>
      </c>
      <c r="B2227" s="8">
        <f>IF(A2227=" "," ",MAX(B2210:B2226)+1)</f>
        <v>8</v>
      </c>
      <c r="C2227" s="8"/>
      <c r="D2227" s="8"/>
      <c r="E2227" s="8"/>
      <c r="F2227" s="8"/>
      <c r="G2227" s="8"/>
      <c r="H2227" s="8"/>
      <c r="I2227" s="8"/>
      <c r="J2227" s="8"/>
      <c r="K2227" s="8"/>
      <c r="L2227" s="8"/>
      <c r="M2227" s="8"/>
      <c r="N2227" s="8"/>
      <c r="O2227" s="8"/>
      <c r="P2227" s="8"/>
      <c r="Q2227" s="8"/>
      <c r="R2227" s="8"/>
      <c r="S2227" s="8"/>
      <c r="U2227" s="34"/>
      <c r="V2227" s="34"/>
      <c r="W2227" s="34"/>
      <c r="X2227" s="34"/>
      <c r="Y2227" s="34"/>
      <c r="Z2227" s="34"/>
      <c r="AA2227" s="34"/>
      <c r="AB2227" s="34"/>
      <c r="AC2227" s="34"/>
      <c r="AD2227" s="34"/>
      <c r="AE2227" s="34"/>
      <c r="AF2227" s="34"/>
      <c r="AG2227" s="34"/>
      <c r="AH2227" s="34"/>
      <c r="AI2227" s="34"/>
      <c r="AJ2227" s="34"/>
      <c r="AK2227" s="34"/>
      <c r="AL2227" s="34"/>
      <c r="AM2227" s="34"/>
      <c r="AN2227" s="34"/>
      <c r="AO2227" s="34"/>
      <c r="AP2227" s="34"/>
      <c r="AQ2227" s="34"/>
      <c r="AR2227" s="34"/>
      <c r="AS2227" s="34"/>
      <c r="AT2227" s="34"/>
      <c r="AU2227" s="34"/>
      <c r="AV2227" s="34"/>
      <c r="AW2227" s="34"/>
      <c r="AX2227" s="34"/>
      <c r="AY2227" s="34"/>
      <c r="AZ2227" s="34"/>
      <c r="BA2227" s="34"/>
      <c r="BB2227" s="34"/>
      <c r="BC2227" s="34"/>
      <c r="BD2227" s="34"/>
      <c r="BE2227" s="34"/>
      <c r="BF2227" s="34"/>
      <c r="BG2227" s="34"/>
      <c r="BH2227" s="34"/>
      <c r="BI2227" s="34"/>
      <c r="BJ2227" s="34"/>
      <c r="BK2227" s="34"/>
      <c r="BL2227" s="34"/>
      <c r="BM2227" s="34"/>
      <c r="BN2227" s="34"/>
      <c r="BO2227" s="34"/>
      <c r="BP2227" s="34"/>
      <c r="BQ2227" s="34"/>
      <c r="BR2227" s="34"/>
      <c r="BS2227" s="34"/>
      <c r="BT2227" s="34"/>
      <c r="BU2227" s="34"/>
      <c r="BV2227" s="34"/>
      <c r="BW2227" s="34"/>
      <c r="BX2227" s="34"/>
      <c r="BY2227" s="34"/>
      <c r="BZ2227" s="34"/>
      <c r="CA2227" s="34"/>
      <c r="CB2227" s="34"/>
      <c r="CC2227" s="34"/>
      <c r="CD2227" s="34"/>
      <c r="CE2227" s="34"/>
      <c r="CF2227" s="34"/>
      <c r="CG2227" s="34"/>
      <c r="CH2227" s="34"/>
      <c r="CI2227" s="8"/>
    </row>
    <row r="2228" spans="1:87" x14ac:dyDescent="0.2">
      <c r="A2228" s="8" t="str">
        <f>IF(AND(COUNTIF(W$3:W$13,A$33)&gt;0,A$33&lt;&gt;B2070),A$33,IFERROR(IF(MATCH(A$33,Z$3:Z$13,0)=7,A$33," ")," "))</f>
        <v>C19</v>
      </c>
      <c r="B2228" s="8">
        <f>IF(A2228=" "," ",MAX(B2210:B2227)+1)</f>
        <v>9</v>
      </c>
      <c r="C2228" s="8"/>
      <c r="D2228" s="8"/>
      <c r="E2228" s="8"/>
      <c r="F2228" s="8"/>
      <c r="G2228" s="8"/>
      <c r="H2228" s="8"/>
      <c r="I2228" s="8"/>
      <c r="J2228" s="8"/>
      <c r="K2228" s="8"/>
      <c r="L2228" s="8"/>
      <c r="M2228" s="8"/>
      <c r="N2228" s="8"/>
      <c r="O2228" s="8"/>
      <c r="P2228" s="8"/>
      <c r="Q2228" s="8"/>
      <c r="R2228" s="8"/>
      <c r="S2228" s="8"/>
      <c r="U2228" s="34"/>
      <c r="V2228" s="34"/>
      <c r="W2228" s="34"/>
      <c r="X2228" s="34"/>
      <c r="Y2228" s="34"/>
      <c r="Z2228" s="34"/>
      <c r="AA2228" s="34"/>
      <c r="AB2228" s="34"/>
      <c r="AC2228" s="34"/>
      <c r="AD2228" s="34"/>
      <c r="AE2228" s="34"/>
      <c r="AF2228" s="34"/>
      <c r="AG2228" s="34"/>
      <c r="AH2228" s="34"/>
      <c r="AI2228" s="34"/>
      <c r="AJ2228" s="34"/>
      <c r="AK2228" s="34"/>
      <c r="AL2228" s="34"/>
      <c r="AM2228" s="34"/>
      <c r="AN2228" s="34"/>
      <c r="AO2228" s="34"/>
      <c r="AP2228" s="34"/>
      <c r="AQ2228" s="34"/>
      <c r="AR2228" s="34"/>
      <c r="AS2228" s="34"/>
      <c r="AT2228" s="34"/>
      <c r="AU2228" s="34"/>
      <c r="AV2228" s="34"/>
      <c r="AW2228" s="34"/>
      <c r="AX2228" s="34"/>
      <c r="AY2228" s="34"/>
      <c r="AZ2228" s="34"/>
      <c r="BA2228" s="34"/>
      <c r="BB2228" s="34"/>
      <c r="BC2228" s="34"/>
      <c r="BD2228" s="34"/>
      <c r="BE2228" s="34"/>
      <c r="BF2228" s="34"/>
      <c r="BG2228" s="34"/>
      <c r="BH2228" s="34"/>
      <c r="BI2228" s="34"/>
      <c r="BJ2228" s="34"/>
      <c r="BK2228" s="34"/>
      <c r="BL2228" s="34"/>
      <c r="BM2228" s="34"/>
      <c r="BN2228" s="34"/>
      <c r="BO2228" s="34"/>
      <c r="BP2228" s="34"/>
      <c r="BQ2228" s="34"/>
      <c r="BR2228" s="34"/>
      <c r="BS2228" s="34"/>
      <c r="BT2228" s="34"/>
      <c r="BU2228" s="34"/>
      <c r="BV2228" s="34"/>
      <c r="BW2228" s="34"/>
      <c r="BX2228" s="34"/>
      <c r="BY2228" s="34"/>
      <c r="BZ2228" s="34"/>
      <c r="CA2228" s="34"/>
      <c r="CB2228" s="34"/>
      <c r="CC2228" s="34"/>
      <c r="CD2228" s="34"/>
      <c r="CE2228" s="34"/>
      <c r="CF2228" s="34"/>
      <c r="CG2228" s="34"/>
      <c r="CH2228" s="34"/>
      <c r="CI2228" s="8"/>
    </row>
    <row r="2229" spans="1:87" x14ac:dyDescent="0.2">
      <c r="A2229" s="8" t="str">
        <f>IF(AND(COUNTIF(W$3:W$13,A$34)&gt;0,A$34&lt;&gt;B2070),A$34,IFERROR(IF(MATCH(A$34,Z$3:Z$13,0)=7,A$34," ")," "))</f>
        <v xml:space="preserve"> </v>
      </c>
      <c r="B2229" s="8" t="str">
        <f>IF(A2229=" "," ",MAX(B2210:B2228)+1)</f>
        <v xml:space="preserve"> </v>
      </c>
      <c r="C2229" s="8"/>
      <c r="D2229" s="8"/>
      <c r="E2229" s="8"/>
      <c r="F2229" s="8"/>
      <c r="G2229" s="8"/>
      <c r="H2229" s="8"/>
      <c r="I2229" s="8"/>
      <c r="J2229" s="8"/>
      <c r="K2229" s="8"/>
      <c r="L2229" s="8"/>
      <c r="M2229" s="8"/>
      <c r="N2229" s="8"/>
      <c r="O2229" s="8"/>
      <c r="P2229" s="8"/>
      <c r="Q2229" s="8"/>
      <c r="R2229" s="8"/>
      <c r="S2229" s="8"/>
      <c r="U2229" s="34"/>
      <c r="V2229" s="34"/>
      <c r="W2229" s="34"/>
      <c r="X2229" s="34"/>
      <c r="Y2229" s="34"/>
      <c r="Z2229" s="34"/>
      <c r="AA2229" s="34"/>
      <c r="AB2229" s="34"/>
      <c r="AC2229" s="34"/>
      <c r="AD2229" s="34"/>
      <c r="AE2229" s="34"/>
      <c r="AF2229" s="34"/>
      <c r="AG2229" s="34"/>
      <c r="AH2229" s="34"/>
      <c r="AI2229" s="34"/>
      <c r="AJ2229" s="34"/>
      <c r="AK2229" s="34"/>
      <c r="AL2229" s="34"/>
      <c r="AM2229" s="34"/>
      <c r="AN2229" s="34"/>
      <c r="AO2229" s="34"/>
      <c r="AP2229" s="34"/>
      <c r="AQ2229" s="34"/>
      <c r="AR2229" s="34"/>
      <c r="AS2229" s="34"/>
      <c r="AT2229" s="34"/>
      <c r="AU2229" s="34"/>
      <c r="AV2229" s="34"/>
      <c r="AW2229" s="34"/>
      <c r="AX2229" s="34"/>
      <c r="AY2229" s="34"/>
      <c r="AZ2229" s="34"/>
      <c r="BA2229" s="34"/>
      <c r="BB2229" s="34"/>
      <c r="BC2229" s="34"/>
      <c r="BD2229" s="34"/>
      <c r="BE2229" s="34"/>
      <c r="BF2229" s="34"/>
      <c r="BG2229" s="34"/>
      <c r="BH2229" s="34"/>
      <c r="BI2229" s="34"/>
      <c r="BJ2229" s="34"/>
      <c r="BK2229" s="34"/>
      <c r="BL2229" s="34"/>
      <c r="BM2229" s="34"/>
      <c r="BN2229" s="34"/>
      <c r="BO2229" s="34"/>
      <c r="BP2229" s="34"/>
      <c r="BQ2229" s="34"/>
      <c r="BR2229" s="34"/>
      <c r="BS2229" s="34"/>
      <c r="BT2229" s="34"/>
      <c r="BU2229" s="34"/>
      <c r="BV2229" s="34"/>
      <c r="BW2229" s="34"/>
      <c r="BX2229" s="34"/>
      <c r="BY2229" s="34"/>
      <c r="BZ2229" s="34"/>
      <c r="CA2229" s="34"/>
      <c r="CB2229" s="34"/>
      <c r="CC2229" s="34"/>
      <c r="CD2229" s="34"/>
      <c r="CE2229" s="34"/>
      <c r="CF2229" s="34"/>
      <c r="CG2229" s="34"/>
      <c r="CH2229" s="34"/>
      <c r="CI2229" s="8"/>
    </row>
    <row r="2230" spans="1:87" x14ac:dyDescent="0.2">
      <c r="A2230" s="8" t="str">
        <f>IF(AND(COUNTIF(W$3:W$13,A$35)&gt;0,A$35&lt;&gt;B2070),A$35,IFERROR(IF(MATCH(A$35,Z$3:Z$13,0)=7,A$35," ")," "))</f>
        <v>C21</v>
      </c>
      <c r="B2230" s="8">
        <f>IF(A2230=" "," ",MAX(B2210:B2229)+1)</f>
        <v>10</v>
      </c>
      <c r="C2230" s="8"/>
      <c r="D2230" s="8"/>
      <c r="E2230" s="8"/>
      <c r="F2230" s="8"/>
      <c r="G2230" s="8"/>
      <c r="H2230" s="8"/>
      <c r="I2230" s="8"/>
      <c r="J2230" s="8"/>
      <c r="K2230" s="8"/>
      <c r="L2230" s="8"/>
      <c r="M2230" s="8"/>
      <c r="N2230" s="8"/>
      <c r="O2230" s="8"/>
      <c r="P2230" s="8"/>
      <c r="Q2230" s="8"/>
      <c r="R2230" s="8"/>
      <c r="S2230" s="8"/>
      <c r="U2230" s="34"/>
      <c r="V2230" s="34"/>
      <c r="W2230" s="34"/>
      <c r="X2230" s="34"/>
      <c r="Y2230" s="34"/>
      <c r="Z2230" s="34"/>
      <c r="AA2230" s="34"/>
      <c r="AB2230" s="34"/>
      <c r="AC2230" s="34"/>
      <c r="AD2230" s="34"/>
      <c r="AE2230" s="34"/>
      <c r="AF2230" s="34"/>
      <c r="AG2230" s="34"/>
      <c r="AH2230" s="34"/>
      <c r="AI2230" s="34"/>
      <c r="AJ2230" s="34"/>
      <c r="AK2230" s="34"/>
      <c r="AL2230" s="34"/>
      <c r="AM2230" s="34"/>
      <c r="AN2230" s="34"/>
      <c r="AO2230" s="34"/>
      <c r="AP2230" s="34"/>
      <c r="AQ2230" s="34"/>
      <c r="AR2230" s="34"/>
      <c r="AS2230" s="34"/>
      <c r="AT2230" s="34"/>
      <c r="AU2230" s="34"/>
      <c r="AV2230" s="34"/>
      <c r="AW2230" s="34"/>
      <c r="AX2230" s="34"/>
      <c r="AY2230" s="34"/>
      <c r="AZ2230" s="34"/>
      <c r="BA2230" s="34"/>
      <c r="BB2230" s="34"/>
      <c r="BC2230" s="34"/>
      <c r="BD2230" s="34"/>
      <c r="BE2230" s="34"/>
      <c r="BF2230" s="34"/>
      <c r="BG2230" s="34"/>
      <c r="BH2230" s="34"/>
      <c r="BI2230" s="34"/>
      <c r="BJ2230" s="34"/>
      <c r="BK2230" s="34"/>
      <c r="BL2230" s="34"/>
      <c r="BM2230" s="34"/>
      <c r="BN2230" s="34"/>
      <c r="BO2230" s="34"/>
      <c r="BP2230" s="34"/>
      <c r="BQ2230" s="34"/>
      <c r="BR2230" s="34"/>
      <c r="BS2230" s="34"/>
      <c r="BT2230" s="34"/>
      <c r="BU2230" s="34"/>
      <c r="BV2230" s="34"/>
      <c r="BW2230" s="34"/>
      <c r="BX2230" s="34"/>
      <c r="BY2230" s="34"/>
      <c r="BZ2230" s="34"/>
      <c r="CA2230" s="34"/>
      <c r="CB2230" s="34"/>
      <c r="CC2230" s="34"/>
      <c r="CD2230" s="34"/>
      <c r="CE2230" s="34"/>
      <c r="CF2230" s="34"/>
      <c r="CG2230" s="34"/>
      <c r="CH2230" s="34"/>
      <c r="CI2230" s="8"/>
    </row>
    <row r="2231" spans="1:87" x14ac:dyDescent="0.2">
      <c r="A2231" s="8" t="str">
        <f>IF(AND(COUNTIF(W$3:W$13,A$36)&gt;0,A$36&lt;&gt;B2070),A$36,IFERROR(IF(MATCH(A$36,Z$3:Z$13,0)=7,A$36," ")," "))</f>
        <v>C22</v>
      </c>
      <c r="B2231" s="8">
        <f>IF(A2231=" "," ",MAX(B2210:B2230)+1)</f>
        <v>11</v>
      </c>
      <c r="C2231" s="8"/>
      <c r="D2231" s="8"/>
      <c r="E2231" s="8"/>
      <c r="F2231" s="8"/>
      <c r="G2231" s="8"/>
      <c r="H2231" s="8"/>
      <c r="I2231" s="8"/>
      <c r="J2231" s="8"/>
      <c r="K2231" s="8"/>
      <c r="L2231" s="8"/>
      <c r="M2231" s="8"/>
      <c r="N2231" s="8"/>
      <c r="O2231" s="8"/>
      <c r="P2231" s="8"/>
      <c r="Q2231" s="8"/>
      <c r="R2231" s="8"/>
      <c r="S2231" s="8"/>
      <c r="U2231" s="34"/>
      <c r="V2231" s="34"/>
      <c r="W2231" s="34"/>
      <c r="X2231" s="34"/>
      <c r="Y2231" s="34"/>
      <c r="Z2231" s="34"/>
      <c r="AA2231" s="34"/>
      <c r="AB2231" s="34"/>
      <c r="AC2231" s="34"/>
      <c r="AD2231" s="34"/>
      <c r="AE2231" s="34"/>
      <c r="AF2231" s="34"/>
      <c r="AG2231" s="34"/>
      <c r="AH2231" s="34"/>
      <c r="AI2231" s="34"/>
      <c r="AJ2231" s="34"/>
      <c r="AK2231" s="34"/>
      <c r="AL2231" s="34"/>
      <c r="AM2231" s="34"/>
      <c r="AN2231" s="34"/>
      <c r="AO2231" s="34"/>
      <c r="AP2231" s="34"/>
      <c r="AQ2231" s="34"/>
      <c r="AR2231" s="34"/>
      <c r="AS2231" s="34"/>
      <c r="AT2231" s="34"/>
      <c r="AU2231" s="34"/>
      <c r="AV2231" s="34"/>
      <c r="AW2231" s="34"/>
      <c r="AX2231" s="34"/>
      <c r="AY2231" s="34"/>
      <c r="AZ2231" s="34"/>
      <c r="BA2231" s="34"/>
      <c r="BB2231" s="34"/>
      <c r="BC2231" s="34"/>
      <c r="BD2231" s="34"/>
      <c r="BE2231" s="34"/>
      <c r="BF2231" s="34"/>
      <c r="BG2231" s="34"/>
      <c r="BH2231" s="34"/>
      <c r="BI2231" s="34"/>
      <c r="BJ2231" s="34"/>
      <c r="BK2231" s="34"/>
      <c r="BL2231" s="34"/>
      <c r="BM2231" s="34"/>
      <c r="BN2231" s="34"/>
      <c r="BO2231" s="34"/>
      <c r="BP2231" s="34"/>
      <c r="BQ2231" s="34"/>
      <c r="BR2231" s="34"/>
      <c r="BS2231" s="34"/>
      <c r="BT2231" s="34"/>
      <c r="BU2231" s="34"/>
      <c r="BV2231" s="34"/>
      <c r="BW2231" s="34"/>
      <c r="BX2231" s="34"/>
      <c r="BY2231" s="34"/>
      <c r="BZ2231" s="34"/>
      <c r="CA2231" s="34"/>
      <c r="CB2231" s="34"/>
      <c r="CC2231" s="34"/>
      <c r="CD2231" s="34"/>
      <c r="CE2231" s="34"/>
      <c r="CF2231" s="34"/>
      <c r="CG2231" s="34"/>
      <c r="CH2231" s="34"/>
      <c r="CI2231" s="8"/>
    </row>
    <row r="2232" spans="1:87" x14ac:dyDescent="0.2">
      <c r="A2232" s="11" t="s">
        <v>17</v>
      </c>
      <c r="B2232" s="11"/>
      <c r="C2232" s="27" t="s">
        <v>18</v>
      </c>
      <c r="D2232" s="27" t="s">
        <v>2</v>
      </c>
      <c r="E2232" s="27" t="s">
        <v>6</v>
      </c>
      <c r="F2232" s="27" t="s">
        <v>15</v>
      </c>
      <c r="G2232" s="27" t="s">
        <v>36</v>
      </c>
      <c r="H2232" s="27" t="s">
        <v>37</v>
      </c>
      <c r="I2232" s="27" t="s">
        <v>38</v>
      </c>
      <c r="J2232" s="27" t="s">
        <v>39</v>
      </c>
      <c r="K2232" s="27" t="s">
        <v>40</v>
      </c>
      <c r="L2232" s="27" t="s">
        <v>41</v>
      </c>
      <c r="M2232" s="27" t="s">
        <v>42</v>
      </c>
      <c r="N2232" s="27" t="s">
        <v>43</v>
      </c>
      <c r="O2232" s="27" t="s">
        <v>9</v>
      </c>
      <c r="P2232" s="27" t="s">
        <v>12</v>
      </c>
      <c r="Q2232" s="27" t="s">
        <v>19</v>
      </c>
      <c r="R2232" s="27" t="s">
        <v>55</v>
      </c>
      <c r="S2232" s="27" t="s">
        <v>26</v>
      </c>
      <c r="T2232" s="19" t="s">
        <v>25</v>
      </c>
      <c r="U2232" s="33" t="s">
        <v>27</v>
      </c>
      <c r="V2232" s="33" t="s">
        <v>9</v>
      </c>
      <c r="W2232" s="33" t="s">
        <v>23</v>
      </c>
      <c r="X2232" s="33" t="s">
        <v>12</v>
      </c>
      <c r="Y2232" s="33" t="s">
        <v>26</v>
      </c>
      <c r="Z2232" s="33" t="s">
        <v>25</v>
      </c>
      <c r="AA2232" s="33" t="s">
        <v>27</v>
      </c>
      <c r="AB2232" s="33" t="s">
        <v>9</v>
      </c>
      <c r="AC2232" s="33" t="s">
        <v>23</v>
      </c>
      <c r="AD2232" s="33" t="s">
        <v>12</v>
      </c>
      <c r="AE2232" s="33" t="s">
        <v>26</v>
      </c>
      <c r="AF2232" s="33" t="s">
        <v>25</v>
      </c>
      <c r="AG2232" s="33" t="s">
        <v>27</v>
      </c>
      <c r="AH2232" s="33" t="s">
        <v>9</v>
      </c>
      <c r="AI2232" s="33" t="s">
        <v>23</v>
      </c>
      <c r="AJ2232" s="33" t="s">
        <v>12</v>
      </c>
      <c r="AK2232" s="33" t="s">
        <v>26</v>
      </c>
      <c r="AL2232" s="33" t="s">
        <v>25</v>
      </c>
      <c r="AM2232" s="33" t="s">
        <v>27</v>
      </c>
      <c r="AN2232" s="33" t="s">
        <v>9</v>
      </c>
      <c r="AO2232" s="33" t="s">
        <v>23</v>
      </c>
      <c r="AP2232" s="33" t="s">
        <v>12</v>
      </c>
      <c r="AQ2232" s="33" t="s">
        <v>26</v>
      </c>
      <c r="AR2232" s="33" t="s">
        <v>25</v>
      </c>
      <c r="AS2232" s="33" t="s">
        <v>27</v>
      </c>
      <c r="AT2232" s="33" t="s">
        <v>9</v>
      </c>
      <c r="AU2232" s="33" t="s">
        <v>23</v>
      </c>
      <c r="AV2232" s="33" t="s">
        <v>12</v>
      </c>
      <c r="AW2232" s="33" t="s">
        <v>26</v>
      </c>
      <c r="AX2232" s="33" t="s">
        <v>25</v>
      </c>
      <c r="AY2232" s="33" t="s">
        <v>27</v>
      </c>
      <c r="AZ2232" s="33" t="s">
        <v>9</v>
      </c>
      <c r="BA2232" s="33" t="s">
        <v>23</v>
      </c>
      <c r="BB2232" s="33" t="s">
        <v>12</v>
      </c>
      <c r="BC2232" s="33" t="s">
        <v>26</v>
      </c>
      <c r="BD2232" s="33" t="s">
        <v>25</v>
      </c>
      <c r="BE2232" s="33" t="s">
        <v>27</v>
      </c>
      <c r="BF2232" s="33" t="s">
        <v>9</v>
      </c>
      <c r="BG2232" s="33" t="s">
        <v>23</v>
      </c>
      <c r="BH2232" s="33" t="s">
        <v>12</v>
      </c>
      <c r="BI2232" s="33" t="s">
        <v>26</v>
      </c>
      <c r="BJ2232" s="33" t="s">
        <v>25</v>
      </c>
      <c r="BK2232" s="33" t="s">
        <v>27</v>
      </c>
      <c r="BL2232" s="33" t="s">
        <v>9</v>
      </c>
      <c r="BM2232" s="33" t="s">
        <v>23</v>
      </c>
      <c r="BN2232" s="33" t="s">
        <v>12</v>
      </c>
      <c r="BO2232" s="33" t="s">
        <v>26</v>
      </c>
      <c r="BP2232" s="33" t="s">
        <v>25</v>
      </c>
      <c r="BQ2232" s="33" t="s">
        <v>27</v>
      </c>
      <c r="BR2232" s="33" t="s">
        <v>9</v>
      </c>
      <c r="BS2232" s="33" t="s">
        <v>23</v>
      </c>
      <c r="BT2232" s="33" t="s">
        <v>12</v>
      </c>
      <c r="BU2232" s="33" t="s">
        <v>26</v>
      </c>
      <c r="BV2232" s="33" t="s">
        <v>25</v>
      </c>
      <c r="BW2232" s="33" t="s">
        <v>27</v>
      </c>
      <c r="BX2232" s="33" t="s">
        <v>9</v>
      </c>
      <c r="BY2232" s="33" t="s">
        <v>23</v>
      </c>
      <c r="BZ2232" s="33" t="s">
        <v>12</v>
      </c>
      <c r="CA2232" s="33" t="s">
        <v>26</v>
      </c>
      <c r="CB2232" s="33" t="s">
        <v>25</v>
      </c>
      <c r="CC2232" s="33" t="s">
        <v>27</v>
      </c>
      <c r="CD2232" s="33" t="s">
        <v>9</v>
      </c>
      <c r="CE2232" s="33" t="s">
        <v>23</v>
      </c>
      <c r="CF2232" s="33" t="s">
        <v>12</v>
      </c>
      <c r="CG2232" s="33" t="s">
        <v>26</v>
      </c>
      <c r="CH2232" s="33" t="s">
        <v>25</v>
      </c>
      <c r="CI2232" s="8"/>
    </row>
    <row r="2233" spans="1:87" x14ac:dyDescent="0.2">
      <c r="A2233" s="8" t="str">
        <f>IF(AND(COUNTIF(W$3:W$13,A$15)&gt;0,A$15&lt;&gt;B2070),A$15,IFERROR(IF(MATCH(A$15,Z$3:Z$13,0)=8,A$15," ")," "))</f>
        <v xml:space="preserve"> </v>
      </c>
      <c r="B2233" s="8" t="str">
        <f>IF(A2233=" "," ",1)</f>
        <v xml:space="preserve"> </v>
      </c>
      <c r="C2233" s="8" t="str">
        <f>IFERROR(INDEX(A2233:A2254,MATCH(SMALL(B2233:B2254,1),B2233:B2254,0),1)," ")</f>
        <v>C3</v>
      </c>
      <c r="D2233" s="8">
        <f>IFERROR(VLOOKUP($C2233,$A$15:$O$36,2,FALSE)," ")</f>
        <v>2</v>
      </c>
      <c r="E2233" s="8">
        <f>IFERROR(VLOOKUP($C2233,$A$15:$O$36,3,FALSE)," ")</f>
        <v>5</v>
      </c>
      <c r="F2233" s="8">
        <f>IFERROR(VLOOKUP($C2233,$A$15:$O$36,4,FALSE)," ")</f>
        <v>6</v>
      </c>
      <c r="G2233" s="8">
        <f>IFERROR(VLOOKUP($C2233,$A$15:$O$36,5,FALSE)," ")</f>
        <v>0</v>
      </c>
      <c r="H2233" s="8">
        <f>IFERROR(VLOOKUP($C2233,$A$15:$O$36,6,FALSE)," ")</f>
        <v>0</v>
      </c>
      <c r="I2233" s="8">
        <f>IFERROR(VLOOKUP($C2233,$A$15:$O$36,7,FALSE)," ")</f>
        <v>0</v>
      </c>
      <c r="J2233" s="8">
        <f>IFERROR(VLOOKUP($C2233,$A$15:$O$36,8,FALSE)," ")</f>
        <v>0</v>
      </c>
      <c r="K2233" s="8">
        <f>IFERROR(VLOOKUP($C2233,$A$15:$O$36,9,FALSE)," ")</f>
        <v>0</v>
      </c>
      <c r="L2233" s="8">
        <f>IFERROR(VLOOKUP($C2233,$A$15:$O$36,10,FALSE)," ")</f>
        <v>0</v>
      </c>
      <c r="M2233" s="8">
        <f>IFERROR(VLOOKUP($C2233,$A$15:$O$36,11,FALSE)," ")</f>
        <v>0</v>
      </c>
      <c r="N2233" s="8">
        <f>IFERROR(VLOOKUP($C2233,$A$15:$O$36,12,FALSE)," ")</f>
        <v>0</v>
      </c>
      <c r="O2233" s="8">
        <f>IFERROR(VLOOKUP($C2233,$A$15:$O$36,15,FALSE)," ")</f>
        <v>2000</v>
      </c>
      <c r="P2233" s="8" t="e">
        <f t="array" ref="P2233:P2243">MMULT(MINVERSE(D2233:N2243),O2233:O2243)</f>
        <v>#NUM!</v>
      </c>
      <c r="Q2233" s="8" t="e">
        <f t="shared" ref="Q2233" si="9685">IF(COUNTIF(P2233:P2243,"&lt;"&amp;-0.001)=0,IF(ABS(P2233)&lt;0.001,0,P2233)," ")</f>
        <v>#NUM!</v>
      </c>
      <c r="R2233" s="8" t="str">
        <f>IFERROR(VLOOKUP(B2070,A$15:L$36,2,FALSE)*Q2233+VLOOKUP(B2070,A$15:L$36,3,FALSE)*Q2234+VLOOKUP(B2070,A$15:L$36,4,FALSE)*Q2235+VLOOKUP(B2070,A$15:L$36,5,FALSE)*Q2236+VLOOKUP(B2070,A$15:L$36,6,FALSE)*Q2237+VLOOKUP(B2070,A$15:L$36,7,FALSE)*Q2238+VLOOKUP(B2070,A$15:L$36,8,FALSE)*Q2239+VLOOKUP(B2070,A$15:L$36,9,FALSE)*Q2240+VLOOKUP(B2070,A$15:L$36,10,FALSE)*Q2241+VLOOKUP(B2070,A$15:L$36,11,FALSE)*Q2242+VLOOKUP(B2070,A$15:L$36,12,FALSE)*Q2243," ")</f>
        <v xml:space="preserve"> </v>
      </c>
      <c r="S2233" s="8" t="str">
        <f>IFERROR(IF(R2233-VLOOKUP(B2070,A$15:O$36,15,FALSE)&lt;0,R2233-VLOOKUP(B2070,A$15:O$36,15,FALSE)," ")," ")</f>
        <v xml:space="preserve"> </v>
      </c>
      <c r="T2233" s="18" t="str">
        <f>IFERROR(IF(R2233-VLOOKUP(B2070,A$15:O$36,15,FALSE)&gt;0,R2233-VLOOKUP(B2070,A$15:O$36,15,FALSE)," ")," ")</f>
        <v xml:space="preserve"> </v>
      </c>
      <c r="U2233" s="34">
        <f t="shared" ref="U2233" si="9686">$M$2</f>
        <v>100.00000000000001</v>
      </c>
      <c r="V2233" s="34">
        <v>-1</v>
      </c>
      <c r="W2233" s="34">
        <f t="shared" ref="W2233" si="9687">-SUMPRODUCT($M$3:$M$12,$N$3:$N$12)</f>
        <v>-105000</v>
      </c>
      <c r="X2233" s="34" t="e">
        <f t="shared" ref="X2233" si="9688">IF(U2233&lt;&gt;U2234,MMULT(MINVERSE(U2233:V2234),W2233:W2234)," ")</f>
        <v>#NUM!</v>
      </c>
      <c r="Y2233" s="34" t="str">
        <f t="shared" ref="Y2233" si="9689">IFERROR(IF(X2233-VLOOKUP(U$38,$A$2:$N$12,14,FALSE)&lt;0,X2233-VLOOKUP(U$38,$A$2:$N$12,14,FALSE)," ")," ")</f>
        <v xml:space="preserve"> </v>
      </c>
      <c r="Z2233" s="34" t="str">
        <f t="shared" ref="Z2233" si="9690">IFERROR(IF(X2233-VLOOKUP(U$38,$A$2:$N$12,14,FALSE)&gt;0,X2233-VLOOKUP(U$38,$A$2:$N$12,14,FALSE)," ")," ")</f>
        <v xml:space="preserve"> </v>
      </c>
      <c r="AA2233" s="34">
        <f t="shared" ref="AA2233" si="9691">$M$3</f>
        <v>0</v>
      </c>
      <c r="AB2233" s="34">
        <v>-1</v>
      </c>
      <c r="AC2233" s="34">
        <f t="shared" ref="AC2233" si="9692">-SUMPRODUCT($M$2:$M$2,$N$2:$N$2)-SUMPRODUCT($M$4:$M$12,$N$4:$N$12)</f>
        <v>-120000</v>
      </c>
      <c r="AD2233" s="34" t="e">
        <f t="shared" ref="AD2233" si="9693">IF(AA2233&lt;&gt;AA2234,MMULT(MINVERSE(AA2233:AB2234),AC2233:AC2234)," ")</f>
        <v>#NUM!</v>
      </c>
      <c r="AE2233" s="34" t="str">
        <f t="shared" ref="AE2233" si="9694">IFERROR(IF(AD2233-VLOOKUP(AA$38,$A$2:$N$12,14,FALSE)&lt;0,AD2233-VLOOKUP(AA$38,$A$2:$N$12,14,FALSE)," ")," ")</f>
        <v xml:space="preserve"> </v>
      </c>
      <c r="AF2233" s="34" t="str">
        <f t="shared" ref="AF2233" si="9695">IFERROR(IF(AD2233-VLOOKUP(AA$38,$A$2:$N$12,14,FALSE)&gt;0,AD2233-VLOOKUP(AA$38,$A$2:$N$12,14,FALSE)," ")," ")</f>
        <v xml:space="preserve"> </v>
      </c>
      <c r="AG2233" s="34">
        <f t="shared" ref="AG2233" si="9696">$M$4</f>
        <v>300</v>
      </c>
      <c r="AH2233" s="34">
        <v>-1</v>
      </c>
      <c r="AI2233" s="34">
        <f t="shared" ref="AI2233" si="9697">-SUMPRODUCT($M$2:$M$3,$N$2:$N$3)-SUMPRODUCT($M$5:$M$12,$N$5:$N$12)</f>
        <v>-15000.000000000002</v>
      </c>
      <c r="AJ2233" s="34" t="e">
        <f t="shared" ref="AJ2233" si="9698">IF(AG2233&lt;&gt;AG2234,MMULT(MINVERSE(AG2233:AH2234),AI2233:AI2234)," ")</f>
        <v>#NUM!</v>
      </c>
      <c r="AK2233" s="34" t="str">
        <f t="shared" ref="AK2233" si="9699">IFERROR(IF(AJ2233-VLOOKUP(AG$38,$A$2:$N$12,14,FALSE)&lt;0,AJ2233-VLOOKUP(AG$38,$A$2:$N$12,14,FALSE)," ")," ")</f>
        <v xml:space="preserve"> </v>
      </c>
      <c r="AL2233" s="34" t="str">
        <f t="shared" ref="AL2233" si="9700">IFERROR(IF(AJ2233-VLOOKUP(AG$38,$A$2:$N$12,14,FALSE)&gt;0,AJ2233-VLOOKUP(AG$38,$A$2:$N$12,14,FALSE)," ")," ")</f>
        <v xml:space="preserve"> </v>
      </c>
      <c r="AM2233" s="34">
        <f t="shared" ref="AM2233" si="9701">$M$5</f>
        <v>0</v>
      </c>
      <c r="AN2233" s="34">
        <v>-1</v>
      </c>
      <c r="AO2233" s="34">
        <f t="shared" ref="AO2233" si="9702">-SUMPRODUCT($M$2:$M$4,$N$2:$N$4)-SUMPRODUCT($M$6:$M$12,$N$6:$N$12)</f>
        <v>-120000</v>
      </c>
      <c r="AP2233" s="34" t="e">
        <f t="shared" ref="AP2233" si="9703">IF(AM2233&lt;&gt;AM2234,MMULT(MINVERSE(AM2233:AN2234),AO2233:AO2234)," ")</f>
        <v>#NUM!</v>
      </c>
      <c r="AQ2233" s="34" t="str">
        <f t="shared" ref="AQ2233" si="9704">IFERROR(IF(AP2233-VLOOKUP(AM$38,$A$2:$N$12,14,FALSE)&lt;0,AP2233-VLOOKUP(AM$38,$A$2:$N$12,14,FALSE)," ")," ")</f>
        <v xml:space="preserve"> </v>
      </c>
      <c r="AR2233" s="34" t="str">
        <f t="shared" ref="AR2233" si="9705">IFERROR(IF(AP2233-VLOOKUP(AM$38,$A$2:$N$12,14,FALSE)&gt;0,AP2233-VLOOKUP(AM$38,$A$2:$N$12,14,FALSE)," ")," ")</f>
        <v xml:space="preserve"> </v>
      </c>
      <c r="AS2233" s="34">
        <f t="shared" ref="AS2233" si="9706">$M$6</f>
        <v>0</v>
      </c>
      <c r="AT2233" s="34">
        <v>-1</v>
      </c>
      <c r="AU2233" s="34">
        <f t="shared" ref="AU2233" si="9707">-SUMPRODUCT($M$2:$M$5,$N$2:$N$5)-SUMPRODUCT($M$7:$M$12,$N$7:$N$12)</f>
        <v>-120000</v>
      </c>
      <c r="AV2233" s="34" t="e">
        <f t="shared" ref="AV2233" si="9708">IF(AS2233&lt;&gt;AS2234,MMULT(MINVERSE(AS2233:AT2234),AU2233:AU2234)," ")</f>
        <v>#NUM!</v>
      </c>
      <c r="AW2233" s="34" t="str">
        <f t="shared" ref="AW2233" si="9709">IFERROR(IF(AV2233-VLOOKUP(AS$38,$A$2:$N$12,14,FALSE)&lt;0,AV2233-VLOOKUP(AS$38,$A$2:$N$12,14,FALSE)," ")," ")</f>
        <v xml:space="preserve"> </v>
      </c>
      <c r="AX2233" s="34" t="str">
        <f t="shared" ref="AX2233" si="9710">IFERROR(IF(AV2233-VLOOKUP(AS$38,$A$2:$N$12,14,FALSE)&gt;0,AV2233-VLOOKUP(AS$38,$A$2:$N$12,14,FALSE)," ")," ")</f>
        <v xml:space="preserve"> </v>
      </c>
      <c r="AY2233" s="34">
        <f t="shared" ref="AY2233" si="9711">$M$7</f>
        <v>0</v>
      </c>
      <c r="AZ2233" s="34">
        <v>-1</v>
      </c>
      <c r="BA2233" s="34">
        <f t="shared" ref="BA2233" si="9712">-SUMPRODUCT($M$2:$M$6,$N$2:$N$6)-SUMPRODUCT($M$8:$M$12,$N$8:$N$12)</f>
        <v>-120000</v>
      </c>
      <c r="BB2233" s="34" t="e">
        <f t="shared" ref="BB2233" si="9713">IF(AY2233&lt;&gt;AY2234,MMULT(MINVERSE(AY2233:AZ2234),BA2233:BA2234)," ")</f>
        <v>#NUM!</v>
      </c>
      <c r="BC2233" s="34" t="str">
        <f t="shared" ref="BC2233" si="9714">IFERROR(IF(BB2233-VLOOKUP(AY$38,$A$2:$N$12,14,FALSE)&lt;0,BB2233-VLOOKUP(AY$38,$A$2:$N$12,14,FALSE)," ")," ")</f>
        <v xml:space="preserve"> </v>
      </c>
      <c r="BD2233" s="34" t="str">
        <f t="shared" ref="BD2233" si="9715">IFERROR(IF(BB2233-VLOOKUP(AY$38,$A$2:$N$12,14,FALSE)&gt;0,BB2233-VLOOKUP(AY$38,$A$2:$N$12,14,FALSE)," ")," ")</f>
        <v xml:space="preserve"> </v>
      </c>
      <c r="BE2233" s="34">
        <f t="shared" ref="BE2233" si="9716">$M$8</f>
        <v>0</v>
      </c>
      <c r="BF2233" s="34">
        <v>-1</v>
      </c>
      <c r="BG2233" s="34">
        <f t="shared" ref="BG2233" si="9717">-SUMPRODUCT($M$2:$M$7,$N$2:$N$7)-SUMPRODUCT($M$9:$M$12,$N$9:$N$12)</f>
        <v>-120000</v>
      </c>
      <c r="BH2233" s="34" t="e">
        <f t="shared" ref="BH2233" si="9718">IF(BE2233&lt;&gt;BE2234,MMULT(MINVERSE(BE2233:BF2234),BG2233:BG2234)," ")</f>
        <v>#NUM!</v>
      </c>
      <c r="BI2233" s="34" t="str">
        <f t="shared" ref="BI2233" si="9719">IFERROR(IF(BH2233-VLOOKUP(BE$38,$A$2:$N$12,14,FALSE)&lt;0,BH2233-VLOOKUP(BE$38,$A$2:$N$12,14,FALSE)," ")," ")</f>
        <v xml:space="preserve"> </v>
      </c>
      <c r="BJ2233" s="34" t="str">
        <f t="shared" ref="BJ2233" si="9720">IFERROR(IF(BH2233-VLOOKUP(BE$38,$A$2:$N$12,14,FALSE)&gt;0,BH2233-VLOOKUP(BE$38,$A$2:$N$12,14,FALSE)," ")," ")</f>
        <v xml:space="preserve"> </v>
      </c>
      <c r="BK2233" s="34">
        <f t="shared" ref="BK2233" si="9721">$M$9</f>
        <v>0</v>
      </c>
      <c r="BL2233" s="34">
        <v>-1</v>
      </c>
      <c r="BM2233" s="34">
        <f t="shared" ref="BM2233" si="9722">-SUMPRODUCT($M$2:$M$8,$N$2:$N$8)-SUMPRODUCT($M$10:$M$12,$N$10:$N$12)</f>
        <v>-120000</v>
      </c>
      <c r="BN2233" s="34" t="e">
        <f t="shared" ref="BN2233" si="9723">IF(BK2233&lt;&gt;BK2234,MMULT(MINVERSE(BK2233:BL2234),BM2233:BM2234)," ")</f>
        <v>#NUM!</v>
      </c>
      <c r="BO2233" s="34" t="str">
        <f t="shared" ref="BO2233" si="9724">IFERROR(IF(BN2233-VLOOKUP(BK$38,$A$2:$N$12,14,FALSE)&lt;0,BN2233-VLOOKUP(BK$38,$A$2:$N$12,14,FALSE)," ")," ")</f>
        <v xml:space="preserve"> </v>
      </c>
      <c r="BP2233" s="34" t="str">
        <f t="shared" ref="BP2233" si="9725">IFERROR(IF(BN2233-VLOOKUP(BK$38,$A$2:$N$12,14,FALSE)&gt;0,BN2233-VLOOKUP(BK$38,$A$2:$N$12,14,FALSE)," ")," ")</f>
        <v xml:space="preserve"> </v>
      </c>
      <c r="BQ2233" s="34">
        <f t="shared" ref="BQ2233" si="9726">$M$10</f>
        <v>0</v>
      </c>
      <c r="BR2233" s="34">
        <v>-1</v>
      </c>
      <c r="BS2233" s="34">
        <f t="shared" ref="BS2233" si="9727">-SUMPRODUCT($M$2:$M$9,$N$2:$N$9)-SUMPRODUCT($M$11:$M$12,$N$11:$N$12)</f>
        <v>-120000</v>
      </c>
      <c r="BT2233" s="34" t="e">
        <f t="shared" ref="BT2233" si="9728">IF(BQ2233&lt;&gt;BQ2234,MMULT(MINVERSE(BQ2233:BR2234),BS2233:BS2234)," ")</f>
        <v>#NUM!</v>
      </c>
      <c r="BU2233" s="34" t="str">
        <f t="shared" ref="BU2233" si="9729">IFERROR(IF(BT2233-VLOOKUP(BQ$38,$A$2:$N$12,14,FALSE)&lt;0,BT2233-VLOOKUP(BQ$38,$A$2:$N$12,14,FALSE)," ")," ")</f>
        <v xml:space="preserve"> </v>
      </c>
      <c r="BV2233" s="34" t="str">
        <f t="shared" ref="BV2233" si="9730">IFERROR(IF(BT2233-VLOOKUP(BQ$38,$A$2:$N$12,14,FALSE)&gt;0,BT2233-VLOOKUP(BQ$38,$A$2:$N$12,14,FALSE)," ")," ")</f>
        <v xml:space="preserve"> </v>
      </c>
      <c r="BW2233" s="34">
        <f t="shared" ref="BW2233" si="9731">$M$11</f>
        <v>0</v>
      </c>
      <c r="BX2233" s="34">
        <v>-1</v>
      </c>
      <c r="BY2233" s="34">
        <f t="shared" ref="BY2233" si="9732">-SUMPRODUCT($M$2:$M$10,$N$2:$N$10)-SUMPRODUCT($M$12,$N$12)</f>
        <v>-120000</v>
      </c>
      <c r="BZ2233" s="34" t="e">
        <f t="shared" ref="BZ2233" si="9733">IF(BW2233&lt;&gt;BW2234,MMULT(MINVERSE(BW2233:BX2234),BY2233:BY2234)," ")</f>
        <v>#NUM!</v>
      </c>
      <c r="CA2233" s="34" t="str">
        <f t="shared" ref="CA2233" si="9734">IFERROR(IF(BZ2233-VLOOKUP(BW$38,$A$2:$N$12,14,FALSE)&lt;0,BZ2233-VLOOKUP(BW$38,$A$2:$N$12,14,FALSE)," ")," ")</f>
        <v xml:space="preserve"> </v>
      </c>
      <c r="CB2233" s="34" t="str">
        <f t="shared" ref="CB2233" si="9735">IFERROR(IF(BZ2233-VLOOKUP(BW$38,$A$2:$N$12,14,FALSE)&gt;0,BZ2233-VLOOKUP(BW$38,$A$2:$N$12,14,FALSE)," ")," ")</f>
        <v xml:space="preserve"> </v>
      </c>
      <c r="CC2233" s="34">
        <f t="shared" ref="CC2233" si="9736">$M$12</f>
        <v>0</v>
      </c>
      <c r="CD2233" s="34">
        <v>-1</v>
      </c>
      <c r="CE2233" s="34">
        <f t="shared" ref="CE2233" si="9737">-SUMPRODUCT($M$2:$M$11,$N$2:$N$11)</f>
        <v>-120000</v>
      </c>
      <c r="CF2233" s="34" t="e">
        <f t="shared" ref="CF2233" si="9738">IF(CC2233&lt;&gt;CC2234,MMULT(MINVERSE(CC2233:CD2234),CE2233:CE2234)," ")</f>
        <v>#NUM!</v>
      </c>
      <c r="CG2233" s="34" t="str">
        <f t="shared" ref="CG2233" si="9739">IFERROR(IF(CF2233-VLOOKUP(CC$38,$A$2:$N$12,14,FALSE)&lt;0,CF2233-VLOOKUP(CC$38,$A$2:$N$12,14,FALSE)," ")," ")</f>
        <v xml:space="preserve"> </v>
      </c>
      <c r="CH2233" s="34" t="str">
        <f t="shared" ref="CH2233" si="9740">IFERROR(IF(CF2233-VLOOKUP(CC$38,$A$2:$N$12,14,FALSE)&gt;0,CF2233-VLOOKUP(CC$38,$A$2:$N$12,14,FALSE)," ")," ")</f>
        <v xml:space="preserve"> </v>
      </c>
      <c r="CI2233" s="8"/>
    </row>
    <row r="2234" spans="1:87" x14ac:dyDescent="0.2">
      <c r="A2234" s="8" t="str">
        <f>IF(AND(COUNTIF(W$3:W$13,A$16)&gt;0,A$16&lt;&gt;B2070),A$16,IFERROR(IF(MATCH(A$16,Z$3:Z$13,0)=8,A$16," ")," "))</f>
        <v xml:space="preserve"> </v>
      </c>
      <c r="B2234" s="8" t="str">
        <f>IF(A2234=" "," ",MAX(B2233:B2233)+1)</f>
        <v xml:space="preserve"> </v>
      </c>
      <c r="C2234" s="8" t="str">
        <f>IFERROR(INDEX(A2233:A2254,MATCH(SMALL(B2233:B2254,2),B2233:B2254,0),1)," ")</f>
        <v>C4</v>
      </c>
      <c r="D2234" s="8">
        <f t="shared" ref="D2234:D2243" si="9741">IFERROR(VLOOKUP($C2234,$A$15:$O$36,2,FALSE)," ")</f>
        <v>1</v>
      </c>
      <c r="E2234" s="8">
        <f t="shared" ref="E2234:E2243" si="9742">IFERROR(VLOOKUP($C2234,$A$15:$O$36,3,FALSE)," ")</f>
        <v>0</v>
      </c>
      <c r="F2234" s="8">
        <f t="shared" ref="F2234:F2243" si="9743">IFERROR(VLOOKUP($C2234,$A$15:$O$36,4,FALSE)," ")</f>
        <v>1</v>
      </c>
      <c r="G2234" s="8">
        <f t="shared" ref="G2234:G2243" si="9744">IFERROR(VLOOKUP($C2234,$A$15:$O$36,5,FALSE)," ")</f>
        <v>0</v>
      </c>
      <c r="H2234" s="8">
        <f t="shared" ref="H2234:H2243" si="9745">IFERROR(VLOOKUP($C2234,$A$15:$O$36,6,FALSE)," ")</f>
        <v>0</v>
      </c>
      <c r="I2234" s="8">
        <f t="shared" ref="I2234:I2243" si="9746">IFERROR(VLOOKUP($C2234,$A$15:$O$36,7,FALSE)," ")</f>
        <v>0</v>
      </c>
      <c r="J2234" s="8">
        <f t="shared" ref="J2234:J2243" si="9747">IFERROR(VLOOKUP($C2234,$A$15:$O$36,8,FALSE)," ")</f>
        <v>0</v>
      </c>
      <c r="K2234" s="8">
        <f t="shared" ref="K2234:K2243" si="9748">IFERROR(VLOOKUP($C2234,$A$15:$O$36,9,FALSE)," ")</f>
        <v>0</v>
      </c>
      <c r="L2234" s="8">
        <f t="shared" ref="L2234:L2243" si="9749">IFERROR(VLOOKUP($C2234,$A$15:$O$36,10,FALSE)," ")</f>
        <v>0</v>
      </c>
      <c r="M2234" s="8">
        <f t="shared" ref="M2234:M2243" si="9750">IFERROR(VLOOKUP($C2234,$A$15:$O$36,11,FALSE)," ")</f>
        <v>0</v>
      </c>
      <c r="N2234" s="8">
        <f t="shared" ref="N2234:N2243" si="9751">IFERROR(VLOOKUP($C2234,$A$15:$O$36,12,FALSE)," ")</f>
        <v>0</v>
      </c>
      <c r="O2234" s="8">
        <f t="shared" ref="O2234:O2243" si="9752">IFERROR(VLOOKUP($C2234,$A$15:$O$36,15,FALSE)," ")</f>
        <v>400</v>
      </c>
      <c r="P2234" s="8" t="e">
        <v>#NUM!</v>
      </c>
      <c r="Q2234" s="8" t="e">
        <f t="shared" ref="Q2234" si="9753">IF(COUNTIF(P2233:P2243,"&lt;"&amp;-0.001)=0,IF(ABS(P2234)&lt;0.001,0,P2234)," ")</f>
        <v>#NUM!</v>
      </c>
      <c r="R2234" s="8"/>
      <c r="S2234" s="8"/>
      <c r="U2234" s="34" t="e">
        <f t="shared" ref="U2234" si="9754">$Q2233</f>
        <v>#NUM!</v>
      </c>
      <c r="V2234" s="34">
        <v>-1</v>
      </c>
      <c r="W2234" s="34" t="e">
        <f t="shared" ref="W2234" si="9755">-SUMPRODUCT($Q2234:$Q2243,$N$3:$N$12)</f>
        <v>#NUM!</v>
      </c>
      <c r="X2234" s="34"/>
      <c r="Y2234" s="34"/>
      <c r="Z2234" s="34"/>
      <c r="AA2234" s="34" t="e">
        <f t="shared" ref="AA2234" si="9756">$Q2234</f>
        <v>#NUM!</v>
      </c>
      <c r="AB2234" s="34">
        <v>-1</v>
      </c>
      <c r="AC2234" s="34" t="e">
        <f t="shared" ref="AC2234" si="9757">-SUMPRODUCT($Q2233:$Q2233,$N$2:$N$2)-SUMPRODUCT($Q2235:$Q2243,$N$4:$N$12)</f>
        <v>#NUM!</v>
      </c>
      <c r="AD2234" s="34"/>
      <c r="AE2234" s="34"/>
      <c r="AF2234" s="34"/>
      <c r="AG2234" s="34" t="e">
        <f t="shared" ref="AG2234" si="9758">$Q2235</f>
        <v>#NUM!</v>
      </c>
      <c r="AH2234" s="34">
        <v>-1</v>
      </c>
      <c r="AI2234" s="34" t="e">
        <f t="shared" ref="AI2234" si="9759">-SUMPRODUCT($Q2233:$Q2234,$N$2:$N$3)-SUMPRODUCT($Q2236:$Q2243,$N$5:$N$12)</f>
        <v>#NUM!</v>
      </c>
      <c r="AJ2234" s="34"/>
      <c r="AK2234" s="34"/>
      <c r="AL2234" s="34"/>
      <c r="AM2234" s="34" t="e">
        <f t="shared" ref="AM2234" si="9760">$Q2236</f>
        <v>#NUM!</v>
      </c>
      <c r="AN2234" s="34">
        <v>-1</v>
      </c>
      <c r="AO2234" s="34" t="e">
        <f t="shared" ref="AO2234" si="9761">-SUMPRODUCT($Q2233:$Q2235,$N$2:$N$4)-SUMPRODUCT($Q2237:$Q2243,$N$6:$N$12)</f>
        <v>#NUM!</v>
      </c>
      <c r="AP2234" s="34"/>
      <c r="AQ2234" s="34"/>
      <c r="AR2234" s="34"/>
      <c r="AS2234" s="34" t="e">
        <f t="shared" ref="AS2234" si="9762">$Q2237</f>
        <v>#NUM!</v>
      </c>
      <c r="AT2234" s="34">
        <v>-1</v>
      </c>
      <c r="AU2234" s="34" t="e">
        <f t="shared" ref="AU2234" si="9763">-SUMPRODUCT($Q2233:$Q2236,$N$2:$N$5)-SUMPRODUCT($Q2238:$Q2243,$N$7:$N$12)</f>
        <v>#NUM!</v>
      </c>
      <c r="AV2234" s="34"/>
      <c r="AW2234" s="34"/>
      <c r="AX2234" s="34"/>
      <c r="AY2234" s="34" t="e">
        <f t="shared" ref="AY2234" si="9764">$Q2238</f>
        <v>#NUM!</v>
      </c>
      <c r="AZ2234" s="34">
        <v>-1</v>
      </c>
      <c r="BA2234" s="34" t="e">
        <f t="shared" ref="BA2234" si="9765">-SUMPRODUCT($Q2233:$Q2237,$N$2:$N$6)-SUMPRODUCT($Q2239:$Q2243,$N$8:$N$12)</f>
        <v>#NUM!</v>
      </c>
      <c r="BB2234" s="34"/>
      <c r="BC2234" s="34"/>
      <c r="BD2234" s="34"/>
      <c r="BE2234" s="34" t="e">
        <f t="shared" ref="BE2234" si="9766">$Q2239</f>
        <v>#NUM!</v>
      </c>
      <c r="BF2234" s="34">
        <v>-1</v>
      </c>
      <c r="BG2234" s="34" t="e">
        <f t="shared" ref="BG2234" si="9767">-SUMPRODUCT($Q2233:$Q2238,$N$2:$N$7)-SUMPRODUCT($Q2240:$Q2243,$N$9:$N$12)</f>
        <v>#NUM!</v>
      </c>
      <c r="BH2234" s="34"/>
      <c r="BI2234" s="34"/>
      <c r="BJ2234" s="34"/>
      <c r="BK2234" s="34" t="e">
        <f t="shared" ref="BK2234" si="9768">$Q2240</f>
        <v>#NUM!</v>
      </c>
      <c r="BL2234" s="34">
        <v>-1</v>
      </c>
      <c r="BM2234" s="34" t="e">
        <f t="shared" ref="BM2234" si="9769">-SUMPRODUCT($Q2233:$Q2239,$N$2:$N$8)-SUMPRODUCT($Q2241:$Q2243,$N$10:$N$12)</f>
        <v>#NUM!</v>
      </c>
      <c r="BN2234" s="34"/>
      <c r="BO2234" s="34"/>
      <c r="BP2234" s="34"/>
      <c r="BQ2234" s="34" t="e">
        <f t="shared" ref="BQ2234" si="9770">$Q2241</f>
        <v>#NUM!</v>
      </c>
      <c r="BR2234" s="34">
        <v>-1</v>
      </c>
      <c r="BS2234" s="34" t="e">
        <f t="shared" ref="BS2234" si="9771">-SUMPRODUCT($Q2233:$Q2240,$N$2:$N$9)-SUMPRODUCT($Q2242:$Q2243,$N$11:$N$12)</f>
        <v>#NUM!</v>
      </c>
      <c r="BT2234" s="34"/>
      <c r="BU2234" s="34"/>
      <c r="BV2234" s="34"/>
      <c r="BW2234" s="34" t="e">
        <f t="shared" ref="BW2234" si="9772">$Q2242</f>
        <v>#NUM!</v>
      </c>
      <c r="BX2234" s="34">
        <v>-1</v>
      </c>
      <c r="BY2234" s="34" t="e">
        <f t="shared" ref="BY2234" si="9773">-SUMPRODUCT($Q2233:$Q2241,$N$2:$N$10)-SUMPRODUCT($Q2243,$N$12)</f>
        <v>#NUM!</v>
      </c>
      <c r="BZ2234" s="34"/>
      <c r="CA2234" s="34"/>
      <c r="CB2234" s="34"/>
      <c r="CC2234" s="34" t="e">
        <f t="shared" ref="CC2234" si="9774">$Q2243</f>
        <v>#NUM!</v>
      </c>
      <c r="CD2234" s="34">
        <v>-1</v>
      </c>
      <c r="CE2234" s="34" t="e">
        <f t="shared" ref="CE2234" si="9775">-SUMPRODUCT($Q2233:$Q2242,$N$2:$N$11)</f>
        <v>#NUM!</v>
      </c>
      <c r="CF2234" s="34"/>
      <c r="CG2234" s="34"/>
      <c r="CH2234" s="34"/>
      <c r="CI2234" s="8"/>
    </row>
    <row r="2235" spans="1:87" x14ac:dyDescent="0.2">
      <c r="A2235" s="8" t="str">
        <f>IF(AND(COUNTIF(W$3:W$13,A$17)&gt;0,A$17&lt;&gt;B2070),A$17,IFERROR(IF(MATCH(A$17,Z$3:Z$13,0)=8,A$17," ")," "))</f>
        <v>C3</v>
      </c>
      <c r="B2235" s="8">
        <f>IF(A2235=" "," ",MAX(B2233:B2234)+1)</f>
        <v>1</v>
      </c>
      <c r="C2235" s="8" t="str">
        <f>IFERROR(INDEX(A2233:A2254,MATCH(SMALL(B2233:B2254,3),B2233:B2254,0),1)," ")</f>
        <v>C10</v>
      </c>
      <c r="D2235" s="8">
        <f t="shared" si="9741"/>
        <v>0</v>
      </c>
      <c r="E2235" s="8">
        <f t="shared" si="9742"/>
        <v>0</v>
      </c>
      <c r="F2235" s="8">
        <f t="shared" si="9743"/>
        <v>0</v>
      </c>
      <c r="G2235" s="8">
        <f t="shared" si="9744"/>
        <v>0</v>
      </c>
      <c r="H2235" s="8">
        <f t="shared" si="9745"/>
        <v>0</v>
      </c>
      <c r="I2235" s="8">
        <f t="shared" si="9746"/>
        <v>0</v>
      </c>
      <c r="J2235" s="8">
        <f t="shared" si="9747"/>
        <v>0</v>
      </c>
      <c r="K2235" s="8">
        <f t="shared" si="9748"/>
        <v>0</v>
      </c>
      <c r="L2235" s="8">
        <f t="shared" si="9749"/>
        <v>0</v>
      </c>
      <c r="M2235" s="8">
        <f t="shared" si="9750"/>
        <v>0</v>
      </c>
      <c r="N2235" s="8">
        <f t="shared" si="9751"/>
        <v>0</v>
      </c>
      <c r="O2235" s="8">
        <f t="shared" si="9752"/>
        <v>0</v>
      </c>
      <c r="P2235" s="8" t="e">
        <v>#NUM!</v>
      </c>
      <c r="Q2235" s="8" t="e">
        <f t="shared" ref="Q2235" si="9776">IF(COUNTIF(P2233:P2243,"&lt;"&amp;-0.001)=0,IF(ABS(P2235)&lt;0.001,0,P2235)," ")</f>
        <v>#NUM!</v>
      </c>
      <c r="R2235" s="8"/>
      <c r="S2235" s="8"/>
      <c r="U2235" s="34"/>
      <c r="V2235" s="34"/>
      <c r="W2235" s="34"/>
      <c r="X2235" s="34"/>
      <c r="Y2235" s="34"/>
      <c r="Z2235" s="34"/>
      <c r="AA2235" s="34"/>
      <c r="AB2235" s="34"/>
      <c r="AC2235" s="34"/>
      <c r="AD2235" s="34"/>
      <c r="AE2235" s="34"/>
      <c r="AF2235" s="34"/>
      <c r="AG2235" s="34"/>
      <c r="AH2235" s="34"/>
      <c r="AI2235" s="34"/>
      <c r="AJ2235" s="34"/>
      <c r="AK2235" s="34"/>
      <c r="AL2235" s="34"/>
      <c r="AM2235" s="34"/>
      <c r="AN2235" s="34"/>
      <c r="AO2235" s="34"/>
      <c r="AP2235" s="34"/>
      <c r="AQ2235" s="34"/>
      <c r="AR2235" s="34"/>
      <c r="AS2235" s="34"/>
      <c r="AT2235" s="34"/>
      <c r="AU2235" s="34"/>
      <c r="AV2235" s="34"/>
      <c r="AW2235" s="34"/>
      <c r="AX2235" s="34"/>
      <c r="AY2235" s="34"/>
      <c r="AZ2235" s="34"/>
      <c r="BA2235" s="34"/>
      <c r="BB2235" s="34"/>
      <c r="BC2235" s="34"/>
      <c r="BD2235" s="34"/>
      <c r="BE2235" s="34"/>
      <c r="BF2235" s="34"/>
      <c r="BG2235" s="34"/>
      <c r="BH2235" s="34"/>
      <c r="BI2235" s="34"/>
      <c r="BJ2235" s="34"/>
      <c r="BK2235" s="34"/>
      <c r="BL2235" s="34"/>
      <c r="BM2235" s="34"/>
      <c r="BN2235" s="34"/>
      <c r="BO2235" s="34"/>
      <c r="BP2235" s="34"/>
      <c r="BQ2235" s="34"/>
      <c r="BR2235" s="34"/>
      <c r="BS2235" s="34"/>
      <c r="BT2235" s="34"/>
      <c r="BU2235" s="34"/>
      <c r="BV2235" s="34"/>
      <c r="BW2235" s="34"/>
      <c r="BX2235" s="34"/>
      <c r="BY2235" s="34"/>
      <c r="BZ2235" s="34"/>
      <c r="CA2235" s="34"/>
      <c r="CB2235" s="34"/>
      <c r="CC2235" s="34"/>
      <c r="CD2235" s="34"/>
      <c r="CE2235" s="34"/>
      <c r="CF2235" s="34"/>
      <c r="CG2235" s="34"/>
      <c r="CH2235" s="34"/>
      <c r="CI2235" s="8"/>
    </row>
    <row r="2236" spans="1:87" x14ac:dyDescent="0.2">
      <c r="A2236" s="8" t="str">
        <f>IF(AND(COUNTIF(W$3:W$13,A$18)&gt;0,A$18&lt;&gt;B2070),A$18,IFERROR(IF(MATCH(A$18,Z$3:Z$13,0)=8,A$18," ")," "))</f>
        <v>C4</v>
      </c>
      <c r="B2236" s="8">
        <f>IF(A2236=" "," ",MAX(B2233:B2235)+1)</f>
        <v>2</v>
      </c>
      <c r="C2236" s="8" t="str">
        <f>IFERROR(INDEX(A2233:A2254,MATCH(SMALL(B2233:B2254,4),B2233:B2254,0),1)," ")</f>
        <v>C13</v>
      </c>
      <c r="D2236" s="8">
        <f t="shared" si="9741"/>
        <v>0</v>
      </c>
      <c r="E2236" s="8">
        <f t="shared" si="9742"/>
        <v>1</v>
      </c>
      <c r="F2236" s="8">
        <f t="shared" si="9743"/>
        <v>0</v>
      </c>
      <c r="G2236" s="8">
        <f t="shared" si="9744"/>
        <v>0</v>
      </c>
      <c r="H2236" s="8">
        <f t="shared" si="9745"/>
        <v>0</v>
      </c>
      <c r="I2236" s="8">
        <f t="shared" si="9746"/>
        <v>0</v>
      </c>
      <c r="J2236" s="8">
        <f t="shared" si="9747"/>
        <v>0</v>
      </c>
      <c r="K2236" s="8">
        <f t="shared" si="9748"/>
        <v>0</v>
      </c>
      <c r="L2236" s="8">
        <f t="shared" si="9749"/>
        <v>0</v>
      </c>
      <c r="M2236" s="8">
        <f t="shared" si="9750"/>
        <v>0</v>
      </c>
      <c r="N2236" s="8">
        <f t="shared" si="9751"/>
        <v>0</v>
      </c>
      <c r="O2236" s="8">
        <f t="shared" si="9752"/>
        <v>0</v>
      </c>
      <c r="P2236" s="8" t="e">
        <v>#NUM!</v>
      </c>
      <c r="Q2236" s="8" t="e">
        <f t="shared" ref="Q2236" si="9777">IF(COUNTIF(P2233:P2243,"&lt;"&amp;-0.001)=0,IF(ABS(P2236)&lt;0.001,0,P2236)," ")</f>
        <v>#NUM!</v>
      </c>
      <c r="R2236" s="8"/>
      <c r="S2236" s="8"/>
      <c r="U2236" s="34"/>
      <c r="V2236" s="34"/>
      <c r="W2236" s="34"/>
      <c r="X2236" s="34"/>
      <c r="Y2236" s="34"/>
      <c r="Z2236" s="34"/>
      <c r="AA2236" s="34"/>
      <c r="AB2236" s="34"/>
      <c r="AC2236" s="34"/>
      <c r="AD2236" s="34"/>
      <c r="AE2236" s="34"/>
      <c r="AF2236" s="34"/>
      <c r="AG2236" s="34"/>
      <c r="AH2236" s="34"/>
      <c r="AI2236" s="34"/>
      <c r="AJ2236" s="34"/>
      <c r="AK2236" s="34"/>
      <c r="AL2236" s="34"/>
      <c r="AM2236" s="34"/>
      <c r="AN2236" s="34"/>
      <c r="AO2236" s="34"/>
      <c r="AP2236" s="34"/>
      <c r="AQ2236" s="34"/>
      <c r="AR2236" s="34"/>
      <c r="AS2236" s="34"/>
      <c r="AT2236" s="34"/>
      <c r="AU2236" s="34"/>
      <c r="AV2236" s="34"/>
      <c r="AW2236" s="34"/>
      <c r="AX2236" s="34"/>
      <c r="AY2236" s="34"/>
      <c r="AZ2236" s="34"/>
      <c r="BA2236" s="34"/>
      <c r="BB2236" s="34"/>
      <c r="BC2236" s="34"/>
      <c r="BD2236" s="34"/>
      <c r="BE2236" s="34"/>
      <c r="BF2236" s="34"/>
      <c r="BG2236" s="34"/>
      <c r="BH2236" s="34"/>
      <c r="BI2236" s="34"/>
      <c r="BJ2236" s="34"/>
      <c r="BK2236" s="34"/>
      <c r="BL2236" s="34"/>
      <c r="BM2236" s="34"/>
      <c r="BN2236" s="34"/>
      <c r="BO2236" s="34"/>
      <c r="BP2236" s="34"/>
      <c r="BQ2236" s="34"/>
      <c r="BR2236" s="34"/>
      <c r="BS2236" s="34"/>
      <c r="BT2236" s="34"/>
      <c r="BU2236" s="34"/>
      <c r="BV2236" s="34"/>
      <c r="BW2236" s="34"/>
      <c r="BX2236" s="34"/>
      <c r="BY2236" s="34"/>
      <c r="BZ2236" s="34"/>
      <c r="CA2236" s="34"/>
      <c r="CB2236" s="34"/>
      <c r="CC2236" s="34"/>
      <c r="CD2236" s="34"/>
      <c r="CE2236" s="34"/>
      <c r="CF2236" s="34"/>
      <c r="CG2236" s="34"/>
      <c r="CH2236" s="34"/>
      <c r="CI2236" s="8"/>
    </row>
    <row r="2237" spans="1:87" x14ac:dyDescent="0.2">
      <c r="A2237" s="8" t="str">
        <f>IF(AND(COUNTIF(W$3:W$13,A$19)&gt;0,A$19&lt;&gt;B2070),A$19,IFERROR(IF(MATCH(A$19,Z$3:Z$13,0)=8,A$19," ")," "))</f>
        <v xml:space="preserve"> </v>
      </c>
      <c r="B2237" s="8" t="str">
        <f>IF(A2237=" "," ",MAX(B2233:B2236)+1)</f>
        <v xml:space="preserve"> </v>
      </c>
      <c r="C2237" s="8" t="str">
        <f>IFERROR(INDEX(A2233:A2254,MATCH(SMALL(B2233:B2254,5),B2233:B2254,0),1)," ")</f>
        <v>C15</v>
      </c>
      <c r="D2237" s="8">
        <f t="shared" si="9741"/>
        <v>0</v>
      </c>
      <c r="E2237" s="8">
        <f t="shared" si="9742"/>
        <v>0</v>
      </c>
      <c r="F2237" s="8">
        <f t="shared" si="9743"/>
        <v>0</v>
      </c>
      <c r="G2237" s="8">
        <f t="shared" si="9744"/>
        <v>1</v>
      </c>
      <c r="H2237" s="8">
        <f t="shared" si="9745"/>
        <v>0</v>
      </c>
      <c r="I2237" s="8">
        <f t="shared" si="9746"/>
        <v>0</v>
      </c>
      <c r="J2237" s="8">
        <f t="shared" si="9747"/>
        <v>0</v>
      </c>
      <c r="K2237" s="8">
        <f t="shared" si="9748"/>
        <v>0</v>
      </c>
      <c r="L2237" s="8">
        <f t="shared" si="9749"/>
        <v>0</v>
      </c>
      <c r="M2237" s="8">
        <f t="shared" si="9750"/>
        <v>0</v>
      </c>
      <c r="N2237" s="8">
        <f t="shared" si="9751"/>
        <v>0</v>
      </c>
      <c r="O2237" s="8">
        <f t="shared" si="9752"/>
        <v>0</v>
      </c>
      <c r="P2237" s="8" t="e">
        <v>#NUM!</v>
      </c>
      <c r="Q2237" s="8" t="e">
        <f t="shared" ref="Q2237" si="9778">IF(COUNTIF(P2233:P2243,"&lt;"&amp;-0.001)=0,IF(ABS(P2237)&lt;0.001,0,P2237)," ")</f>
        <v>#NUM!</v>
      </c>
      <c r="R2237" s="8"/>
      <c r="S2237" s="8"/>
      <c r="U2237" s="34"/>
      <c r="V2237" s="34"/>
      <c r="W2237" s="34"/>
      <c r="X2237" s="34"/>
      <c r="Y2237" s="34"/>
      <c r="Z2237" s="34"/>
      <c r="AA2237" s="34"/>
      <c r="AB2237" s="34"/>
      <c r="AC2237" s="34"/>
      <c r="AD2237" s="34"/>
      <c r="AE2237" s="34"/>
      <c r="AF2237" s="34"/>
      <c r="AG2237" s="34"/>
      <c r="AH2237" s="34"/>
      <c r="AI2237" s="34"/>
      <c r="AJ2237" s="34"/>
      <c r="AK2237" s="34"/>
      <c r="AL2237" s="34"/>
      <c r="AM2237" s="34"/>
      <c r="AN2237" s="34"/>
      <c r="AO2237" s="34"/>
      <c r="AP2237" s="34"/>
      <c r="AQ2237" s="34"/>
      <c r="AR2237" s="34"/>
      <c r="AS2237" s="34"/>
      <c r="AT2237" s="34"/>
      <c r="AU2237" s="34"/>
      <c r="AV2237" s="34"/>
      <c r="AW2237" s="34"/>
      <c r="AX2237" s="34"/>
      <c r="AY2237" s="34"/>
      <c r="AZ2237" s="34"/>
      <c r="BA2237" s="34"/>
      <c r="BB2237" s="34"/>
      <c r="BC2237" s="34"/>
      <c r="BD2237" s="34"/>
      <c r="BE2237" s="34"/>
      <c r="BF2237" s="34"/>
      <c r="BG2237" s="34"/>
      <c r="BH2237" s="34"/>
      <c r="BI2237" s="34"/>
      <c r="BJ2237" s="34"/>
      <c r="BK2237" s="34"/>
      <c r="BL2237" s="34"/>
      <c r="BM2237" s="34"/>
      <c r="BN2237" s="34"/>
      <c r="BO2237" s="34"/>
      <c r="BP2237" s="34"/>
      <c r="BQ2237" s="34"/>
      <c r="BR2237" s="34"/>
      <c r="BS2237" s="34"/>
      <c r="BT2237" s="34"/>
      <c r="BU2237" s="34"/>
      <c r="BV2237" s="34"/>
      <c r="BW2237" s="34"/>
      <c r="BX2237" s="34"/>
      <c r="BY2237" s="34"/>
      <c r="BZ2237" s="34"/>
      <c r="CA2237" s="34"/>
      <c r="CB2237" s="34"/>
      <c r="CC2237" s="34"/>
      <c r="CD2237" s="34"/>
      <c r="CE2237" s="34"/>
      <c r="CF2237" s="34"/>
      <c r="CG2237" s="34"/>
      <c r="CH2237" s="34"/>
      <c r="CI2237" s="8"/>
    </row>
    <row r="2238" spans="1:87" x14ac:dyDescent="0.2">
      <c r="A2238" s="8" t="str">
        <f>IF(AND(COUNTIF(W$3:W$13,A$20)&gt;0,A$20&lt;&gt;B2070),A$20,IFERROR(IF(MATCH(A$20,Z$3:Z$13,0)=8,A$20," ")," "))</f>
        <v xml:space="preserve"> </v>
      </c>
      <c r="B2238" s="8" t="str">
        <f>IF(A2238=" "," ",MAX(B2233:B2237)+1)</f>
        <v xml:space="preserve"> </v>
      </c>
      <c r="C2238" s="8" t="str">
        <f>IFERROR(INDEX(A2233:A2254,MATCH(SMALL(B2233:B2254,6),B2233:B2254,0),1)," ")</f>
        <v>C16</v>
      </c>
      <c r="D2238" s="8">
        <f t="shared" si="9741"/>
        <v>0</v>
      </c>
      <c r="E2238" s="8">
        <f t="shared" si="9742"/>
        <v>0</v>
      </c>
      <c r="F2238" s="8">
        <f t="shared" si="9743"/>
        <v>0</v>
      </c>
      <c r="G2238" s="8">
        <f t="shared" si="9744"/>
        <v>0</v>
      </c>
      <c r="H2238" s="8">
        <f t="shared" si="9745"/>
        <v>1</v>
      </c>
      <c r="I2238" s="8">
        <f t="shared" si="9746"/>
        <v>0</v>
      </c>
      <c r="J2238" s="8">
        <f t="shared" si="9747"/>
        <v>0</v>
      </c>
      <c r="K2238" s="8">
        <f t="shared" si="9748"/>
        <v>0</v>
      </c>
      <c r="L2238" s="8">
        <f t="shared" si="9749"/>
        <v>0</v>
      </c>
      <c r="M2238" s="8">
        <f t="shared" si="9750"/>
        <v>0</v>
      </c>
      <c r="N2238" s="8">
        <f t="shared" si="9751"/>
        <v>0</v>
      </c>
      <c r="O2238" s="8">
        <f t="shared" si="9752"/>
        <v>0</v>
      </c>
      <c r="P2238" s="8" t="e">
        <v>#NUM!</v>
      </c>
      <c r="Q2238" s="8" t="e">
        <f t="shared" ref="Q2238" si="9779">IF(COUNTIF(P2233:P2243,"&lt;"&amp;-0.001)=0,IF(ABS(P2238)&lt;0.001,0,P2238)," ")</f>
        <v>#NUM!</v>
      </c>
      <c r="R2238" s="8"/>
      <c r="S2238" s="8"/>
      <c r="U2238" s="34"/>
      <c r="V2238" s="34"/>
      <c r="W2238" s="34"/>
      <c r="X2238" s="34"/>
      <c r="Y2238" s="34"/>
      <c r="Z2238" s="34"/>
      <c r="AA2238" s="34"/>
      <c r="AB2238" s="34"/>
      <c r="AC2238" s="34"/>
      <c r="AD2238" s="34"/>
      <c r="AE2238" s="34"/>
      <c r="AF2238" s="34"/>
      <c r="AG2238" s="34"/>
      <c r="AH2238" s="34"/>
      <c r="AI2238" s="34"/>
      <c r="AJ2238" s="34"/>
      <c r="AK2238" s="34"/>
      <c r="AL2238" s="34"/>
      <c r="AM2238" s="34"/>
      <c r="AN2238" s="34"/>
      <c r="AO2238" s="34"/>
      <c r="AP2238" s="34"/>
      <c r="AQ2238" s="34"/>
      <c r="AR2238" s="34"/>
      <c r="AS2238" s="34"/>
      <c r="AT2238" s="34"/>
      <c r="AU2238" s="34"/>
      <c r="AV2238" s="34"/>
      <c r="AW2238" s="34"/>
      <c r="AX2238" s="34"/>
      <c r="AY2238" s="34"/>
      <c r="AZ2238" s="34"/>
      <c r="BA2238" s="34"/>
      <c r="BB2238" s="34"/>
      <c r="BC2238" s="34"/>
      <c r="BD2238" s="34"/>
      <c r="BE2238" s="34"/>
      <c r="BF2238" s="34"/>
      <c r="BG2238" s="34"/>
      <c r="BH2238" s="34"/>
      <c r="BI2238" s="34"/>
      <c r="BJ2238" s="34"/>
      <c r="BK2238" s="34"/>
      <c r="BL2238" s="34"/>
      <c r="BM2238" s="34"/>
      <c r="BN2238" s="34"/>
      <c r="BO2238" s="34"/>
      <c r="BP2238" s="34"/>
      <c r="BQ2238" s="34"/>
      <c r="BR2238" s="34"/>
      <c r="BS2238" s="34"/>
      <c r="BT2238" s="34"/>
      <c r="BU2238" s="34"/>
      <c r="BV2238" s="34"/>
      <c r="BW2238" s="34"/>
      <c r="BX2238" s="34"/>
      <c r="BY2238" s="34"/>
      <c r="BZ2238" s="34"/>
      <c r="CA2238" s="34"/>
      <c r="CB2238" s="34"/>
      <c r="CC2238" s="34"/>
      <c r="CD2238" s="34"/>
      <c r="CE2238" s="34"/>
      <c r="CF2238" s="34"/>
      <c r="CG2238" s="34"/>
      <c r="CH2238" s="34"/>
      <c r="CI2238" s="8"/>
    </row>
    <row r="2239" spans="1:87" x14ac:dyDescent="0.2">
      <c r="A2239" s="8" t="str">
        <f>IF(AND(COUNTIF(W$3:W$13,A$21)&gt;0,A$21&lt;&gt;B2070),A$21,IFERROR(IF(MATCH(A$21,Z$3:Z$13,0)=8,A$21," ")," "))</f>
        <v xml:space="preserve"> </v>
      </c>
      <c r="B2239" s="8" t="str">
        <f>IF(A2239=" "," ",MAX(B2233:B2238)+1)</f>
        <v xml:space="preserve"> </v>
      </c>
      <c r="C2239" s="8" t="str">
        <f>IFERROR(INDEX(A2233:A2254,MATCH(SMALL(B2233:B2254,7),B2233:B2254,0),1)," ")</f>
        <v>C17</v>
      </c>
      <c r="D2239" s="8">
        <f t="shared" si="9741"/>
        <v>0</v>
      </c>
      <c r="E2239" s="8">
        <f t="shared" si="9742"/>
        <v>0</v>
      </c>
      <c r="F2239" s="8">
        <f t="shared" si="9743"/>
        <v>0</v>
      </c>
      <c r="G2239" s="8">
        <f t="shared" si="9744"/>
        <v>0</v>
      </c>
      <c r="H2239" s="8">
        <f t="shared" si="9745"/>
        <v>0</v>
      </c>
      <c r="I2239" s="8">
        <f t="shared" si="9746"/>
        <v>1</v>
      </c>
      <c r="J2239" s="8">
        <f t="shared" si="9747"/>
        <v>0</v>
      </c>
      <c r="K2239" s="8">
        <f t="shared" si="9748"/>
        <v>0</v>
      </c>
      <c r="L2239" s="8">
        <f t="shared" si="9749"/>
        <v>0</v>
      </c>
      <c r="M2239" s="8">
        <f t="shared" si="9750"/>
        <v>0</v>
      </c>
      <c r="N2239" s="8">
        <f t="shared" si="9751"/>
        <v>0</v>
      </c>
      <c r="O2239" s="8">
        <f t="shared" si="9752"/>
        <v>0</v>
      </c>
      <c r="P2239" s="8" t="e">
        <v>#NUM!</v>
      </c>
      <c r="Q2239" s="8" t="e">
        <f t="shared" ref="Q2239" si="9780">IF(COUNTIF(P2233:P2243,"&lt;"&amp;-0.001)=0,IF(ABS(P2239)&lt;0.001,0,P2239)," ")</f>
        <v>#NUM!</v>
      </c>
      <c r="R2239" s="8"/>
      <c r="S2239" s="8"/>
      <c r="U2239" s="34"/>
      <c r="V2239" s="34"/>
      <c r="W2239" s="34"/>
      <c r="X2239" s="34"/>
      <c r="Y2239" s="34"/>
      <c r="Z2239" s="34"/>
      <c r="AA2239" s="34"/>
      <c r="AB2239" s="34"/>
      <c r="AC2239" s="34"/>
      <c r="AD2239" s="34"/>
      <c r="AE2239" s="34"/>
      <c r="AF2239" s="34"/>
      <c r="AG2239" s="34"/>
      <c r="AH2239" s="34"/>
      <c r="AI2239" s="34"/>
      <c r="AJ2239" s="34"/>
      <c r="AK2239" s="34"/>
      <c r="AL2239" s="34"/>
      <c r="AM2239" s="34"/>
      <c r="AN2239" s="34"/>
      <c r="AO2239" s="34"/>
      <c r="AP2239" s="34"/>
      <c r="AQ2239" s="34"/>
      <c r="AR2239" s="34"/>
      <c r="AS2239" s="34"/>
      <c r="AT2239" s="34"/>
      <c r="AU2239" s="34"/>
      <c r="AV2239" s="34"/>
      <c r="AW2239" s="34"/>
      <c r="AX2239" s="34"/>
      <c r="AY2239" s="34"/>
      <c r="AZ2239" s="34"/>
      <c r="BA2239" s="34"/>
      <c r="BB2239" s="34"/>
      <c r="BC2239" s="34"/>
      <c r="BD2239" s="34"/>
      <c r="BE2239" s="34"/>
      <c r="BF2239" s="34"/>
      <c r="BG2239" s="34"/>
      <c r="BH2239" s="34"/>
      <c r="BI2239" s="34"/>
      <c r="BJ2239" s="34"/>
      <c r="BK2239" s="34"/>
      <c r="BL2239" s="34"/>
      <c r="BM2239" s="34"/>
      <c r="BN2239" s="34"/>
      <c r="BO2239" s="34"/>
      <c r="BP2239" s="34"/>
      <c r="BQ2239" s="34"/>
      <c r="BR2239" s="34"/>
      <c r="BS2239" s="34"/>
      <c r="BT2239" s="34"/>
      <c r="BU2239" s="34"/>
      <c r="BV2239" s="34"/>
      <c r="BW2239" s="34"/>
      <c r="BX2239" s="34"/>
      <c r="BY2239" s="34"/>
      <c r="BZ2239" s="34"/>
      <c r="CA2239" s="34"/>
      <c r="CB2239" s="34"/>
      <c r="CC2239" s="34"/>
      <c r="CD2239" s="34"/>
      <c r="CE2239" s="34"/>
      <c r="CF2239" s="34"/>
      <c r="CG2239" s="34"/>
      <c r="CH2239" s="34"/>
      <c r="CI2239" s="8"/>
    </row>
    <row r="2240" spans="1:87" x14ac:dyDescent="0.2">
      <c r="A2240" s="8" t="str">
        <f>IF(AND(COUNTIF(W$3:W$13,A$22)&gt;0,A$22&lt;&gt;B2070),A$22,IFERROR(IF(MATCH(A$22,Z$3:Z$13,0)=8,A$22," ")," "))</f>
        <v xml:space="preserve"> </v>
      </c>
      <c r="B2240" s="8" t="str">
        <f>IF(A2240=" "," ",MAX(B2233:B2239)+1)</f>
        <v xml:space="preserve"> </v>
      </c>
      <c r="C2240" s="8" t="str">
        <f>IFERROR(INDEX(A2233:A2254,MATCH(SMALL(B2233:B2254,8),B2233:B2254,0),1)," ")</f>
        <v>C18</v>
      </c>
      <c r="D2240" s="8">
        <f t="shared" si="9741"/>
        <v>0</v>
      </c>
      <c r="E2240" s="8">
        <f t="shared" si="9742"/>
        <v>0</v>
      </c>
      <c r="F2240" s="8">
        <f t="shared" si="9743"/>
        <v>0</v>
      </c>
      <c r="G2240" s="8">
        <f t="shared" si="9744"/>
        <v>0</v>
      </c>
      <c r="H2240" s="8">
        <f t="shared" si="9745"/>
        <v>0</v>
      </c>
      <c r="I2240" s="8">
        <f t="shared" si="9746"/>
        <v>0</v>
      </c>
      <c r="J2240" s="8">
        <f t="shared" si="9747"/>
        <v>1</v>
      </c>
      <c r="K2240" s="8">
        <f t="shared" si="9748"/>
        <v>0</v>
      </c>
      <c r="L2240" s="8">
        <f t="shared" si="9749"/>
        <v>0</v>
      </c>
      <c r="M2240" s="8">
        <f t="shared" si="9750"/>
        <v>0</v>
      </c>
      <c r="N2240" s="8">
        <f t="shared" si="9751"/>
        <v>0</v>
      </c>
      <c r="O2240" s="8">
        <f t="shared" si="9752"/>
        <v>0</v>
      </c>
      <c r="P2240" s="8" t="e">
        <v>#NUM!</v>
      </c>
      <c r="Q2240" s="8" t="e">
        <f t="shared" ref="Q2240" si="9781">IF(COUNTIF(P2233:P2243,"&lt;"&amp;-0.001)=0,IF(ABS(P2240)&lt;0.001,0,P2240)," ")</f>
        <v>#NUM!</v>
      </c>
      <c r="R2240" s="8"/>
      <c r="S2240" s="8"/>
      <c r="U2240" s="34"/>
      <c r="V2240" s="34"/>
      <c r="W2240" s="34"/>
      <c r="X2240" s="34"/>
      <c r="Y2240" s="34"/>
      <c r="Z2240" s="34"/>
      <c r="AA2240" s="34"/>
      <c r="AB2240" s="34"/>
      <c r="AC2240" s="34"/>
      <c r="AD2240" s="34"/>
      <c r="AE2240" s="34"/>
      <c r="AF2240" s="34"/>
      <c r="AG2240" s="34"/>
      <c r="AH2240" s="34"/>
      <c r="AI2240" s="34"/>
      <c r="AJ2240" s="34"/>
      <c r="AK2240" s="34"/>
      <c r="AL2240" s="34"/>
      <c r="AM2240" s="34"/>
      <c r="AN2240" s="34"/>
      <c r="AO2240" s="34"/>
      <c r="AP2240" s="34"/>
      <c r="AQ2240" s="34"/>
      <c r="AR2240" s="34"/>
      <c r="AS2240" s="34"/>
      <c r="AT2240" s="34"/>
      <c r="AU2240" s="34"/>
      <c r="AV2240" s="34"/>
      <c r="AW2240" s="34"/>
      <c r="AX2240" s="34"/>
      <c r="AY2240" s="34"/>
      <c r="AZ2240" s="34"/>
      <c r="BA2240" s="34"/>
      <c r="BB2240" s="34"/>
      <c r="BC2240" s="34"/>
      <c r="BD2240" s="34"/>
      <c r="BE2240" s="34"/>
      <c r="BF2240" s="34"/>
      <c r="BG2240" s="34"/>
      <c r="BH2240" s="34"/>
      <c r="BI2240" s="34"/>
      <c r="BJ2240" s="34"/>
      <c r="BK2240" s="34"/>
      <c r="BL2240" s="34"/>
      <c r="BM2240" s="34"/>
      <c r="BN2240" s="34"/>
      <c r="BO2240" s="34"/>
      <c r="BP2240" s="34"/>
      <c r="BQ2240" s="34"/>
      <c r="BR2240" s="34"/>
      <c r="BS2240" s="34"/>
      <c r="BT2240" s="34"/>
      <c r="BU2240" s="34"/>
      <c r="BV2240" s="34"/>
      <c r="BW2240" s="34"/>
      <c r="BX2240" s="34"/>
      <c r="BY2240" s="34"/>
      <c r="BZ2240" s="34"/>
      <c r="CA2240" s="34"/>
      <c r="CB2240" s="34"/>
      <c r="CC2240" s="34"/>
      <c r="CD2240" s="34"/>
      <c r="CE2240" s="34"/>
      <c r="CF2240" s="34"/>
      <c r="CG2240" s="34"/>
      <c r="CH2240" s="34"/>
      <c r="CI2240" s="8"/>
    </row>
    <row r="2241" spans="1:87" x14ac:dyDescent="0.2">
      <c r="A2241" s="8" t="str">
        <f>IF(AND(COUNTIF(W$3:W$13,A$23)&gt;0,A$23&lt;&gt;B2070),A$23,IFERROR(IF(MATCH(A$23,Z$3:Z$13,0)=8,A$23," ")," "))</f>
        <v xml:space="preserve"> </v>
      </c>
      <c r="B2241" s="8" t="str">
        <f>IF(A2241=" "," ",MAX(B2233:B2240)+1)</f>
        <v xml:space="preserve"> </v>
      </c>
      <c r="C2241" s="8" t="str">
        <f>IFERROR(INDEX(A2233:A2254,MATCH(SMALL(B2233:B2254,9),B2233:B2254,0),1)," ")</f>
        <v>C19</v>
      </c>
      <c r="D2241" s="8">
        <f t="shared" si="9741"/>
        <v>0</v>
      </c>
      <c r="E2241" s="8">
        <f t="shared" si="9742"/>
        <v>0</v>
      </c>
      <c r="F2241" s="8">
        <f t="shared" si="9743"/>
        <v>0</v>
      </c>
      <c r="G2241" s="8">
        <f t="shared" si="9744"/>
        <v>0</v>
      </c>
      <c r="H2241" s="8">
        <f t="shared" si="9745"/>
        <v>0</v>
      </c>
      <c r="I2241" s="8">
        <f t="shared" si="9746"/>
        <v>0</v>
      </c>
      <c r="J2241" s="8">
        <f t="shared" si="9747"/>
        <v>0</v>
      </c>
      <c r="K2241" s="8">
        <f t="shared" si="9748"/>
        <v>1</v>
      </c>
      <c r="L2241" s="8">
        <f t="shared" si="9749"/>
        <v>0</v>
      </c>
      <c r="M2241" s="8">
        <f t="shared" si="9750"/>
        <v>0</v>
      </c>
      <c r="N2241" s="8">
        <f t="shared" si="9751"/>
        <v>0</v>
      </c>
      <c r="O2241" s="8">
        <f t="shared" si="9752"/>
        <v>0</v>
      </c>
      <c r="P2241" s="6" t="e">
        <v>#NUM!</v>
      </c>
      <c r="Q2241" s="8" t="e">
        <f t="shared" ref="Q2241" si="9782">IF(COUNTIF(P2233:P2243,"&lt;"&amp;-0.001)=0,IF(ABS(P2241)&lt;0.001,0,P2241)," ")</f>
        <v>#NUM!</v>
      </c>
      <c r="R2241" s="8"/>
      <c r="S2241" s="8"/>
      <c r="U2241" s="34"/>
      <c r="V2241" s="34"/>
      <c r="W2241" s="34"/>
      <c r="X2241" s="34"/>
      <c r="Y2241" s="34"/>
      <c r="Z2241" s="34"/>
      <c r="AA2241" s="34"/>
      <c r="AB2241" s="34"/>
      <c r="AC2241" s="34"/>
      <c r="AD2241" s="34"/>
      <c r="AE2241" s="34"/>
      <c r="AF2241" s="34"/>
      <c r="AG2241" s="34"/>
      <c r="AH2241" s="34"/>
      <c r="AI2241" s="34"/>
      <c r="AJ2241" s="34"/>
      <c r="AK2241" s="34"/>
      <c r="AL2241" s="34"/>
      <c r="AM2241" s="34"/>
      <c r="AN2241" s="34"/>
      <c r="AO2241" s="34"/>
      <c r="AP2241" s="34"/>
      <c r="AQ2241" s="34"/>
      <c r="AR2241" s="34"/>
      <c r="AS2241" s="34"/>
      <c r="AT2241" s="34"/>
      <c r="AU2241" s="34"/>
      <c r="AV2241" s="34"/>
      <c r="AW2241" s="34"/>
      <c r="AX2241" s="34"/>
      <c r="AY2241" s="34"/>
      <c r="AZ2241" s="34"/>
      <c r="BA2241" s="34"/>
      <c r="BB2241" s="34"/>
      <c r="BC2241" s="34"/>
      <c r="BD2241" s="34"/>
      <c r="BE2241" s="34"/>
      <c r="BF2241" s="34"/>
      <c r="BG2241" s="34"/>
      <c r="BH2241" s="34"/>
      <c r="BI2241" s="34"/>
      <c r="BJ2241" s="34"/>
      <c r="BK2241" s="34"/>
      <c r="BL2241" s="34"/>
      <c r="BM2241" s="34"/>
      <c r="BN2241" s="34"/>
      <c r="BO2241" s="34"/>
      <c r="BP2241" s="34"/>
      <c r="BQ2241" s="34"/>
      <c r="BR2241" s="34"/>
      <c r="BS2241" s="34"/>
      <c r="BT2241" s="34"/>
      <c r="BU2241" s="34"/>
      <c r="BV2241" s="34"/>
      <c r="BW2241" s="34"/>
      <c r="BX2241" s="34"/>
      <c r="BY2241" s="34"/>
      <c r="BZ2241" s="34"/>
      <c r="CA2241" s="34"/>
      <c r="CB2241" s="34"/>
      <c r="CC2241" s="34"/>
      <c r="CD2241" s="34"/>
      <c r="CE2241" s="34"/>
      <c r="CF2241" s="34"/>
      <c r="CG2241" s="34"/>
      <c r="CH2241" s="34"/>
      <c r="CI2241" s="8"/>
    </row>
    <row r="2242" spans="1:87" x14ac:dyDescent="0.2">
      <c r="A2242" s="8" t="str">
        <f>IF(AND(COUNTIF(W$3:W$13,A$24)&gt;0,A$24&lt;&gt;B2070),A$24,IFERROR(IF(MATCH(A$24,Z$3:Z$13,0)=8,A$24," ")," "))</f>
        <v>C10</v>
      </c>
      <c r="B2242" s="8">
        <f>IF(A2242=" "," ",MAX(B2233:B2241)+1)</f>
        <v>3</v>
      </c>
      <c r="C2242" s="8" t="str">
        <f>IFERROR(INDEX(A2233:A2254,MATCH(SMALL(B2233:B2254,10),B2233:B2254,0),1)," ")</f>
        <v>C21</v>
      </c>
      <c r="D2242" s="8">
        <f t="shared" si="9741"/>
        <v>0</v>
      </c>
      <c r="E2242" s="8">
        <f t="shared" si="9742"/>
        <v>0</v>
      </c>
      <c r="F2242" s="8">
        <f t="shared" si="9743"/>
        <v>0</v>
      </c>
      <c r="G2242" s="8">
        <f t="shared" si="9744"/>
        <v>0</v>
      </c>
      <c r="H2242" s="8">
        <f t="shared" si="9745"/>
        <v>0</v>
      </c>
      <c r="I2242" s="8">
        <f t="shared" si="9746"/>
        <v>0</v>
      </c>
      <c r="J2242" s="8">
        <f t="shared" si="9747"/>
        <v>0</v>
      </c>
      <c r="K2242" s="8">
        <f t="shared" si="9748"/>
        <v>0</v>
      </c>
      <c r="L2242" s="8">
        <f t="shared" si="9749"/>
        <v>0</v>
      </c>
      <c r="M2242" s="8">
        <f t="shared" si="9750"/>
        <v>1</v>
      </c>
      <c r="N2242" s="8">
        <f t="shared" si="9751"/>
        <v>0</v>
      </c>
      <c r="O2242" s="8">
        <f t="shared" si="9752"/>
        <v>0</v>
      </c>
      <c r="P2242" s="8" t="e">
        <v>#NUM!</v>
      </c>
      <c r="Q2242" s="8" t="e">
        <f t="shared" ref="Q2242" si="9783">IF(COUNTIF(P2233:P2243,"&lt;"&amp;-0.001)=0,IF(ABS(P2242)&lt;0.001,0,P2242)," ")</f>
        <v>#NUM!</v>
      </c>
      <c r="R2242" s="8"/>
      <c r="S2242" s="8"/>
      <c r="U2242" s="34"/>
      <c r="V2242" s="34"/>
      <c r="W2242" s="34"/>
      <c r="X2242" s="34"/>
      <c r="Y2242" s="34"/>
      <c r="Z2242" s="34"/>
      <c r="AA2242" s="34"/>
      <c r="AB2242" s="34"/>
      <c r="AC2242" s="34"/>
      <c r="AD2242" s="34"/>
      <c r="AE2242" s="34"/>
      <c r="AF2242" s="34"/>
      <c r="AG2242" s="34"/>
      <c r="AH2242" s="34"/>
      <c r="AI2242" s="34"/>
      <c r="AJ2242" s="34"/>
      <c r="AK2242" s="34"/>
      <c r="AL2242" s="34"/>
      <c r="AM2242" s="34"/>
      <c r="AN2242" s="34"/>
      <c r="AO2242" s="34"/>
      <c r="AP2242" s="34"/>
      <c r="AQ2242" s="34"/>
      <c r="AR2242" s="34"/>
      <c r="AS2242" s="34"/>
      <c r="AT2242" s="34"/>
      <c r="AU2242" s="34"/>
      <c r="AV2242" s="34"/>
      <c r="AW2242" s="34"/>
      <c r="AX2242" s="34"/>
      <c r="AY2242" s="34"/>
      <c r="AZ2242" s="34"/>
      <c r="BA2242" s="34"/>
      <c r="BB2242" s="34"/>
      <c r="BC2242" s="34"/>
      <c r="BD2242" s="34"/>
      <c r="BE2242" s="34"/>
      <c r="BF2242" s="34"/>
      <c r="BG2242" s="34"/>
      <c r="BH2242" s="34"/>
      <c r="BI2242" s="34"/>
      <c r="BJ2242" s="34"/>
      <c r="BK2242" s="34"/>
      <c r="BL2242" s="34"/>
      <c r="BM2242" s="34"/>
      <c r="BN2242" s="34"/>
      <c r="BO2242" s="34"/>
      <c r="BP2242" s="34"/>
      <c r="BQ2242" s="34"/>
      <c r="BR2242" s="34"/>
      <c r="BS2242" s="34"/>
      <c r="BT2242" s="34"/>
      <c r="BU2242" s="34"/>
      <c r="BV2242" s="34"/>
      <c r="BW2242" s="34"/>
      <c r="BX2242" s="34"/>
      <c r="BY2242" s="34"/>
      <c r="BZ2242" s="34"/>
      <c r="CA2242" s="34"/>
      <c r="CB2242" s="34"/>
      <c r="CC2242" s="34"/>
      <c r="CD2242" s="34"/>
      <c r="CE2242" s="34"/>
      <c r="CF2242" s="34"/>
      <c r="CG2242" s="34"/>
      <c r="CH2242" s="34"/>
      <c r="CI2242" s="8"/>
    </row>
    <row r="2243" spans="1:87" x14ac:dyDescent="0.2">
      <c r="A2243" s="8" t="str">
        <f>IF(AND(COUNTIF(W$3:W$13,A$25)&gt;0,A$25&lt;&gt;B2070),A$25,IFERROR(IF(MATCH(A$25,Z$3:Z$13,0)=8,A$25," ")," "))</f>
        <v xml:space="preserve"> </v>
      </c>
      <c r="B2243" s="8" t="str">
        <f>IF(A2243=" "," ",MAX(B2233:B2242)+1)</f>
        <v xml:space="preserve"> </v>
      </c>
      <c r="C2243" s="8" t="str">
        <f>IFERROR(INDEX(A2233:A2254,MATCH(SMALL(B2233:B2254,11),B2233:B2254,0),1)," ")</f>
        <v>C22</v>
      </c>
      <c r="D2243" s="8">
        <f t="shared" si="9741"/>
        <v>0</v>
      </c>
      <c r="E2243" s="8">
        <f t="shared" si="9742"/>
        <v>0</v>
      </c>
      <c r="F2243" s="8">
        <f t="shared" si="9743"/>
        <v>0</v>
      </c>
      <c r="G2243" s="8">
        <f t="shared" si="9744"/>
        <v>0</v>
      </c>
      <c r="H2243" s="8">
        <f t="shared" si="9745"/>
        <v>0</v>
      </c>
      <c r="I2243" s="8">
        <f t="shared" si="9746"/>
        <v>0</v>
      </c>
      <c r="J2243" s="8">
        <f t="shared" si="9747"/>
        <v>0</v>
      </c>
      <c r="K2243" s="8">
        <f t="shared" si="9748"/>
        <v>0</v>
      </c>
      <c r="L2243" s="8">
        <f t="shared" si="9749"/>
        <v>0</v>
      </c>
      <c r="M2243" s="8">
        <f t="shared" si="9750"/>
        <v>0</v>
      </c>
      <c r="N2243" s="8">
        <f t="shared" si="9751"/>
        <v>1</v>
      </c>
      <c r="O2243" s="8">
        <f t="shared" si="9752"/>
        <v>0</v>
      </c>
      <c r="P2243" s="8" t="e">
        <v>#NUM!</v>
      </c>
      <c r="Q2243" s="8" t="e">
        <f t="shared" ref="Q2243" si="9784">IF(COUNTIF(P2233:P2243,"&lt;"&amp;-0.001)=0,IF(ABS(P2243)&lt;0.001,0,P2243)," ")</f>
        <v>#NUM!</v>
      </c>
      <c r="R2243" s="8"/>
      <c r="S2243" s="8"/>
      <c r="U2243" s="34"/>
      <c r="V2243" s="34"/>
      <c r="W2243" s="34"/>
      <c r="X2243" s="34"/>
      <c r="Y2243" s="34"/>
      <c r="Z2243" s="34"/>
      <c r="AA2243" s="34"/>
      <c r="AB2243" s="34"/>
      <c r="AC2243" s="34"/>
      <c r="AD2243" s="34"/>
      <c r="AE2243" s="34"/>
      <c r="AF2243" s="34"/>
      <c r="AG2243" s="34"/>
      <c r="AH2243" s="34"/>
      <c r="AI2243" s="34"/>
      <c r="AJ2243" s="34"/>
      <c r="AK2243" s="34"/>
      <c r="AL2243" s="34"/>
      <c r="AM2243" s="34"/>
      <c r="AN2243" s="34"/>
      <c r="AO2243" s="34"/>
      <c r="AP2243" s="34"/>
      <c r="AQ2243" s="34"/>
      <c r="AR2243" s="34"/>
      <c r="AS2243" s="34"/>
      <c r="AT2243" s="34"/>
      <c r="AU2243" s="34"/>
      <c r="AV2243" s="34"/>
      <c r="AW2243" s="34"/>
      <c r="AX2243" s="34"/>
      <c r="AY2243" s="34"/>
      <c r="AZ2243" s="34"/>
      <c r="BA2243" s="34"/>
      <c r="BB2243" s="34"/>
      <c r="BC2243" s="34"/>
      <c r="BD2243" s="34"/>
      <c r="BE2243" s="34"/>
      <c r="BF2243" s="34"/>
      <c r="BG2243" s="34"/>
      <c r="BH2243" s="34"/>
      <c r="BI2243" s="34"/>
      <c r="BJ2243" s="34"/>
      <c r="BK2243" s="34"/>
      <c r="BL2243" s="34"/>
      <c r="BM2243" s="34"/>
      <c r="BN2243" s="34"/>
      <c r="BO2243" s="34"/>
      <c r="BP2243" s="34"/>
      <c r="BQ2243" s="34"/>
      <c r="BR2243" s="34"/>
      <c r="BS2243" s="34"/>
      <c r="BT2243" s="34"/>
      <c r="BU2243" s="34"/>
      <c r="BV2243" s="34"/>
      <c r="BW2243" s="34"/>
      <c r="BX2243" s="34"/>
      <c r="BY2243" s="34"/>
      <c r="BZ2243" s="34"/>
      <c r="CA2243" s="34"/>
      <c r="CB2243" s="34"/>
      <c r="CC2243" s="34"/>
      <c r="CD2243" s="34"/>
      <c r="CE2243" s="34"/>
      <c r="CF2243" s="34"/>
      <c r="CG2243" s="34"/>
      <c r="CH2243" s="34"/>
      <c r="CI2243" s="8"/>
    </row>
    <row r="2244" spans="1:87" x14ac:dyDescent="0.2">
      <c r="A2244" s="8" t="str">
        <f>IF(AND(COUNTIF(W$3:W$13,A$26)&gt;0,A$26&lt;&gt;B2070),A$26,IFERROR(IF(MATCH(A$26,Z$3:Z$13,0)=8,A$26," ")," "))</f>
        <v xml:space="preserve"> </v>
      </c>
      <c r="B2244" s="8" t="str">
        <f>IF(A2244=" "," ",MAX(B2233:B2243)+1)</f>
        <v xml:space="preserve"> </v>
      </c>
      <c r="C2244" s="8"/>
      <c r="D2244" s="8"/>
      <c r="E2244" s="8"/>
      <c r="F2244" s="8"/>
      <c r="G2244" s="8"/>
      <c r="H2244" s="8"/>
      <c r="I2244" s="8"/>
      <c r="J2244" s="8"/>
      <c r="K2244" s="8"/>
      <c r="L2244" s="8"/>
      <c r="M2244" s="8"/>
      <c r="N2244" s="8"/>
      <c r="O2244" s="8"/>
      <c r="P2244" s="8"/>
      <c r="Q2244" s="8"/>
      <c r="R2244" s="8"/>
      <c r="S2244" s="8"/>
      <c r="U2244" s="34"/>
      <c r="V2244" s="34"/>
      <c r="W2244" s="34"/>
      <c r="X2244" s="34"/>
      <c r="Y2244" s="34"/>
      <c r="Z2244" s="34"/>
      <c r="AA2244" s="34"/>
      <c r="AB2244" s="34"/>
      <c r="AC2244" s="34"/>
      <c r="AD2244" s="34"/>
      <c r="AE2244" s="34"/>
      <c r="AF2244" s="34"/>
      <c r="AG2244" s="34"/>
      <c r="AH2244" s="34"/>
      <c r="AI2244" s="34"/>
      <c r="AJ2244" s="34"/>
      <c r="AK2244" s="34"/>
      <c r="AL2244" s="34"/>
      <c r="AM2244" s="34"/>
      <c r="AN2244" s="34"/>
      <c r="AO2244" s="34"/>
      <c r="AP2244" s="34"/>
      <c r="AQ2244" s="34"/>
      <c r="AR2244" s="34"/>
      <c r="AS2244" s="34"/>
      <c r="AT2244" s="34"/>
      <c r="AU2244" s="34"/>
      <c r="AV2244" s="34"/>
      <c r="AW2244" s="34"/>
      <c r="AX2244" s="34"/>
      <c r="AY2244" s="34"/>
      <c r="AZ2244" s="34"/>
      <c r="BA2244" s="34"/>
      <c r="BB2244" s="34"/>
      <c r="BC2244" s="34"/>
      <c r="BD2244" s="34"/>
      <c r="BE2244" s="34"/>
      <c r="BF2244" s="34"/>
      <c r="BG2244" s="34"/>
      <c r="BH2244" s="34"/>
      <c r="BI2244" s="34"/>
      <c r="BJ2244" s="34"/>
      <c r="BK2244" s="34"/>
      <c r="BL2244" s="34"/>
      <c r="BM2244" s="34"/>
      <c r="BN2244" s="34"/>
      <c r="BO2244" s="34"/>
      <c r="BP2244" s="34"/>
      <c r="BQ2244" s="34"/>
      <c r="BR2244" s="34"/>
      <c r="BS2244" s="34"/>
      <c r="BT2244" s="34"/>
      <c r="BU2244" s="34"/>
      <c r="BV2244" s="34"/>
      <c r="BW2244" s="34"/>
      <c r="BX2244" s="34"/>
      <c r="BY2244" s="34"/>
      <c r="BZ2244" s="34"/>
      <c r="CA2244" s="34"/>
      <c r="CB2244" s="34"/>
      <c r="CC2244" s="34"/>
      <c r="CD2244" s="34"/>
      <c r="CE2244" s="34"/>
      <c r="CF2244" s="34"/>
      <c r="CG2244" s="34"/>
      <c r="CH2244" s="34"/>
      <c r="CI2244" s="8"/>
    </row>
    <row r="2245" spans="1:87" x14ac:dyDescent="0.2">
      <c r="A2245" s="8" t="str">
        <f>IF(AND(COUNTIF(W$3:W$13,A$27)&gt;0,A$27&lt;&gt;B2070),A$27,IFERROR(IF(MATCH(A$27,Z$3:Z$13,0)=8,A$27," ")," "))</f>
        <v>C13</v>
      </c>
      <c r="B2245" s="8">
        <f>IF(A2245=" "," ",MAX(B2233:B2244)+1)</f>
        <v>4</v>
      </c>
      <c r="C2245" s="8"/>
      <c r="D2245" s="8"/>
      <c r="E2245" s="8"/>
      <c r="F2245" s="8"/>
      <c r="G2245" s="8"/>
      <c r="H2245" s="8"/>
      <c r="I2245" s="8"/>
      <c r="J2245" s="8"/>
      <c r="K2245" s="8"/>
      <c r="L2245" s="8"/>
      <c r="M2245" s="8"/>
      <c r="N2245" s="8"/>
      <c r="O2245" s="8"/>
      <c r="P2245" s="8"/>
      <c r="Q2245" s="8"/>
      <c r="R2245" s="8"/>
      <c r="S2245" s="8"/>
      <c r="U2245" s="34"/>
      <c r="V2245" s="34"/>
      <c r="W2245" s="34"/>
      <c r="X2245" s="34"/>
      <c r="Y2245" s="34"/>
      <c r="Z2245" s="34"/>
      <c r="AA2245" s="34"/>
      <c r="AB2245" s="34"/>
      <c r="AC2245" s="34"/>
      <c r="AD2245" s="34"/>
      <c r="AE2245" s="34"/>
      <c r="AF2245" s="34"/>
      <c r="AG2245" s="34"/>
      <c r="AH2245" s="34"/>
      <c r="AI2245" s="34"/>
      <c r="AJ2245" s="34"/>
      <c r="AK2245" s="34"/>
      <c r="AL2245" s="34"/>
      <c r="AM2245" s="34"/>
      <c r="AN2245" s="34"/>
      <c r="AO2245" s="34"/>
      <c r="AP2245" s="34"/>
      <c r="AQ2245" s="34"/>
      <c r="AR2245" s="34"/>
      <c r="AS2245" s="34"/>
      <c r="AT2245" s="34"/>
      <c r="AU2245" s="34"/>
      <c r="AV2245" s="34"/>
      <c r="AW2245" s="34"/>
      <c r="AX2245" s="34"/>
      <c r="AY2245" s="34"/>
      <c r="AZ2245" s="34"/>
      <c r="BA2245" s="34"/>
      <c r="BB2245" s="34"/>
      <c r="BC2245" s="34"/>
      <c r="BD2245" s="34"/>
      <c r="BE2245" s="34"/>
      <c r="BF2245" s="34"/>
      <c r="BG2245" s="34"/>
      <c r="BH2245" s="34"/>
      <c r="BI2245" s="34"/>
      <c r="BJ2245" s="34"/>
      <c r="BK2245" s="34"/>
      <c r="BL2245" s="34"/>
      <c r="BM2245" s="34"/>
      <c r="BN2245" s="34"/>
      <c r="BO2245" s="34"/>
      <c r="BP2245" s="34"/>
      <c r="BQ2245" s="34"/>
      <c r="BR2245" s="34"/>
      <c r="BS2245" s="34"/>
      <c r="BT2245" s="34"/>
      <c r="BU2245" s="34"/>
      <c r="BV2245" s="34"/>
      <c r="BW2245" s="34"/>
      <c r="BX2245" s="34"/>
      <c r="BY2245" s="34"/>
      <c r="BZ2245" s="34"/>
      <c r="CA2245" s="34"/>
      <c r="CB2245" s="34"/>
      <c r="CC2245" s="34"/>
      <c r="CD2245" s="34"/>
      <c r="CE2245" s="34"/>
      <c r="CF2245" s="34"/>
      <c r="CG2245" s="34"/>
      <c r="CH2245" s="34"/>
      <c r="CI2245" s="8"/>
    </row>
    <row r="2246" spans="1:87" x14ac:dyDescent="0.2">
      <c r="A2246" s="8" t="str">
        <f>IF(AND(COUNTIF(W$3:W$13,A$28)&gt;0,A$28&lt;&gt;B2070),A$28,IFERROR(IF(MATCH(A$28,Z$3:Z$13,0)=8,A$28," ")," "))</f>
        <v xml:space="preserve"> </v>
      </c>
      <c r="B2246" s="8" t="str">
        <f>IF(A2246=" "," ",MAX(B2233:B2245)+1)</f>
        <v xml:space="preserve"> </v>
      </c>
      <c r="C2246" s="8"/>
      <c r="D2246" s="8"/>
      <c r="E2246" s="8"/>
      <c r="F2246" s="8"/>
      <c r="G2246" s="8"/>
      <c r="H2246" s="8"/>
      <c r="I2246" s="8"/>
      <c r="J2246" s="8"/>
      <c r="K2246" s="8"/>
      <c r="L2246" s="8"/>
      <c r="M2246" s="8"/>
      <c r="N2246" s="8"/>
      <c r="O2246" s="8"/>
      <c r="P2246" s="8"/>
      <c r="Q2246" s="8"/>
      <c r="R2246" s="8"/>
      <c r="S2246" s="8"/>
      <c r="U2246" s="34"/>
      <c r="V2246" s="34"/>
      <c r="W2246" s="34"/>
      <c r="X2246" s="34"/>
      <c r="Y2246" s="34"/>
      <c r="Z2246" s="34"/>
      <c r="AA2246" s="34"/>
      <c r="AB2246" s="34"/>
      <c r="AC2246" s="34"/>
      <c r="AD2246" s="34"/>
      <c r="AE2246" s="34"/>
      <c r="AF2246" s="34"/>
      <c r="AG2246" s="34"/>
      <c r="AH2246" s="34"/>
      <c r="AI2246" s="34"/>
      <c r="AJ2246" s="34"/>
      <c r="AK2246" s="34"/>
      <c r="AL2246" s="34"/>
      <c r="AM2246" s="34"/>
      <c r="AN2246" s="34"/>
      <c r="AO2246" s="34"/>
      <c r="AP2246" s="34"/>
      <c r="AQ2246" s="34"/>
      <c r="AR2246" s="34"/>
      <c r="AS2246" s="34"/>
      <c r="AT2246" s="34"/>
      <c r="AU2246" s="34"/>
      <c r="AV2246" s="34"/>
      <c r="AW2246" s="34"/>
      <c r="AX2246" s="34"/>
      <c r="AY2246" s="34"/>
      <c r="AZ2246" s="34"/>
      <c r="BA2246" s="34"/>
      <c r="BB2246" s="34"/>
      <c r="BC2246" s="34"/>
      <c r="BD2246" s="34"/>
      <c r="BE2246" s="34"/>
      <c r="BF2246" s="34"/>
      <c r="BG2246" s="34"/>
      <c r="BH2246" s="34"/>
      <c r="BI2246" s="34"/>
      <c r="BJ2246" s="34"/>
      <c r="BK2246" s="34"/>
      <c r="BL2246" s="34"/>
      <c r="BM2246" s="34"/>
      <c r="BN2246" s="34"/>
      <c r="BO2246" s="34"/>
      <c r="BP2246" s="34"/>
      <c r="BQ2246" s="34"/>
      <c r="BR2246" s="34"/>
      <c r="BS2246" s="34"/>
      <c r="BT2246" s="34"/>
      <c r="BU2246" s="34"/>
      <c r="BV2246" s="34"/>
      <c r="BW2246" s="34"/>
      <c r="BX2246" s="34"/>
      <c r="BY2246" s="34"/>
      <c r="BZ2246" s="34"/>
      <c r="CA2246" s="34"/>
      <c r="CB2246" s="34"/>
      <c r="CC2246" s="34"/>
      <c r="CD2246" s="34"/>
      <c r="CE2246" s="34"/>
      <c r="CF2246" s="34"/>
      <c r="CG2246" s="34"/>
      <c r="CH2246" s="34"/>
      <c r="CI2246" s="8"/>
    </row>
    <row r="2247" spans="1:87" x14ac:dyDescent="0.2">
      <c r="A2247" s="8" t="str">
        <f>IF(AND(COUNTIF(W$3:W$13,A$29)&gt;0,A$29&lt;&gt;B2070),A$29,IFERROR(IF(MATCH(A$29,Z$3:Z$13,0)=8,A$29," ")," "))</f>
        <v>C15</v>
      </c>
      <c r="B2247" s="8">
        <f>IF(A2247=" "," ",MAX(B2233:B2246)+1)</f>
        <v>5</v>
      </c>
      <c r="C2247" s="8"/>
      <c r="D2247" s="8"/>
      <c r="E2247" s="8"/>
      <c r="F2247" s="8"/>
      <c r="G2247" s="8"/>
      <c r="H2247" s="8"/>
      <c r="I2247" s="8"/>
      <c r="J2247" s="8"/>
      <c r="K2247" s="8"/>
      <c r="L2247" s="8"/>
      <c r="M2247" s="8"/>
      <c r="N2247" s="8"/>
      <c r="O2247" s="8"/>
      <c r="P2247" s="8"/>
      <c r="Q2247" s="8"/>
      <c r="R2247" s="8"/>
      <c r="S2247" s="8"/>
      <c r="U2247" s="34"/>
      <c r="V2247" s="34"/>
      <c r="W2247" s="34"/>
      <c r="X2247" s="34"/>
      <c r="Y2247" s="34"/>
      <c r="Z2247" s="34"/>
      <c r="AA2247" s="34"/>
      <c r="AB2247" s="34"/>
      <c r="AC2247" s="34"/>
      <c r="AD2247" s="34"/>
      <c r="AE2247" s="34"/>
      <c r="AF2247" s="34"/>
      <c r="AG2247" s="34"/>
      <c r="AH2247" s="34"/>
      <c r="AI2247" s="34"/>
      <c r="AJ2247" s="34"/>
      <c r="AK2247" s="34"/>
      <c r="AL2247" s="34"/>
      <c r="AM2247" s="34"/>
      <c r="AN2247" s="34"/>
      <c r="AO2247" s="34"/>
      <c r="AP2247" s="34"/>
      <c r="AQ2247" s="34"/>
      <c r="AR2247" s="34"/>
      <c r="AS2247" s="34"/>
      <c r="AT2247" s="34"/>
      <c r="AU2247" s="34"/>
      <c r="AV2247" s="34"/>
      <c r="AW2247" s="34"/>
      <c r="AX2247" s="34"/>
      <c r="AY2247" s="34"/>
      <c r="AZ2247" s="34"/>
      <c r="BA2247" s="34"/>
      <c r="BB2247" s="34"/>
      <c r="BC2247" s="34"/>
      <c r="BD2247" s="34"/>
      <c r="BE2247" s="34"/>
      <c r="BF2247" s="34"/>
      <c r="BG2247" s="34"/>
      <c r="BH2247" s="34"/>
      <c r="BI2247" s="34"/>
      <c r="BJ2247" s="34"/>
      <c r="BK2247" s="34"/>
      <c r="BL2247" s="34"/>
      <c r="BM2247" s="34"/>
      <c r="BN2247" s="34"/>
      <c r="BO2247" s="34"/>
      <c r="BP2247" s="34"/>
      <c r="BQ2247" s="34"/>
      <c r="BR2247" s="34"/>
      <c r="BS2247" s="34"/>
      <c r="BT2247" s="34"/>
      <c r="BU2247" s="34"/>
      <c r="BV2247" s="34"/>
      <c r="BW2247" s="34"/>
      <c r="BX2247" s="34"/>
      <c r="BY2247" s="34"/>
      <c r="BZ2247" s="34"/>
      <c r="CA2247" s="34"/>
      <c r="CB2247" s="34"/>
      <c r="CC2247" s="34"/>
      <c r="CD2247" s="34"/>
      <c r="CE2247" s="34"/>
      <c r="CF2247" s="34"/>
      <c r="CG2247" s="34"/>
      <c r="CH2247" s="34"/>
      <c r="CI2247" s="8"/>
    </row>
    <row r="2248" spans="1:87" x14ac:dyDescent="0.2">
      <c r="A2248" s="8" t="str">
        <f>IF(AND(COUNTIF(W$3:W$13,A$30)&gt;0,A$30&lt;&gt;B2070),A$30,IFERROR(IF(MATCH(A$30,Z$3:Z$13,0)=8,A$30," ")," "))</f>
        <v>C16</v>
      </c>
      <c r="B2248" s="8">
        <f>IF(A2248=" "," ",MAX(B2233:B2247)+1)</f>
        <v>6</v>
      </c>
      <c r="C2248" s="8"/>
      <c r="D2248" s="8"/>
      <c r="E2248" s="8"/>
      <c r="F2248" s="8"/>
      <c r="G2248" s="8"/>
      <c r="H2248" s="8"/>
      <c r="I2248" s="8"/>
      <c r="J2248" s="8"/>
      <c r="K2248" s="8"/>
      <c r="L2248" s="8"/>
      <c r="M2248" s="8"/>
      <c r="N2248" s="8"/>
      <c r="O2248" s="8"/>
      <c r="P2248" s="8"/>
      <c r="Q2248" s="8"/>
      <c r="R2248" s="8"/>
      <c r="S2248" s="8"/>
      <c r="U2248" s="34"/>
      <c r="V2248" s="34"/>
      <c r="W2248" s="34"/>
      <c r="X2248" s="34"/>
      <c r="Y2248" s="34"/>
      <c r="Z2248" s="34"/>
      <c r="AA2248" s="34"/>
      <c r="AB2248" s="34"/>
      <c r="AC2248" s="34"/>
      <c r="AD2248" s="34"/>
      <c r="AE2248" s="34"/>
      <c r="AF2248" s="34"/>
      <c r="AG2248" s="34"/>
      <c r="AH2248" s="34"/>
      <c r="AI2248" s="34"/>
      <c r="AJ2248" s="34"/>
      <c r="AK2248" s="34"/>
      <c r="AL2248" s="34"/>
      <c r="AM2248" s="34"/>
      <c r="AN2248" s="34"/>
      <c r="AO2248" s="34"/>
      <c r="AP2248" s="34"/>
      <c r="AQ2248" s="34"/>
      <c r="AR2248" s="34"/>
      <c r="AS2248" s="34"/>
      <c r="AT2248" s="34"/>
      <c r="AU2248" s="34"/>
      <c r="AV2248" s="34"/>
      <c r="AW2248" s="34"/>
      <c r="AX2248" s="34"/>
      <c r="AY2248" s="34"/>
      <c r="AZ2248" s="34"/>
      <c r="BA2248" s="34"/>
      <c r="BB2248" s="34"/>
      <c r="BC2248" s="34"/>
      <c r="BD2248" s="34"/>
      <c r="BE2248" s="34"/>
      <c r="BF2248" s="34"/>
      <c r="BG2248" s="34"/>
      <c r="BH2248" s="34"/>
      <c r="BI2248" s="34"/>
      <c r="BJ2248" s="34"/>
      <c r="BK2248" s="34"/>
      <c r="BL2248" s="34"/>
      <c r="BM2248" s="34"/>
      <c r="BN2248" s="34"/>
      <c r="BO2248" s="34"/>
      <c r="BP2248" s="34"/>
      <c r="BQ2248" s="34"/>
      <c r="BR2248" s="34"/>
      <c r="BS2248" s="34"/>
      <c r="BT2248" s="34"/>
      <c r="BU2248" s="34"/>
      <c r="BV2248" s="34"/>
      <c r="BW2248" s="34"/>
      <c r="BX2248" s="34"/>
      <c r="BY2248" s="34"/>
      <c r="BZ2248" s="34"/>
      <c r="CA2248" s="34"/>
      <c r="CB2248" s="34"/>
      <c r="CC2248" s="34"/>
      <c r="CD2248" s="34"/>
      <c r="CE2248" s="34"/>
      <c r="CF2248" s="34"/>
      <c r="CG2248" s="34"/>
      <c r="CH2248" s="34"/>
      <c r="CI2248" s="8"/>
    </row>
    <row r="2249" spans="1:87" x14ac:dyDescent="0.2">
      <c r="A2249" s="8" t="str">
        <f>IF(AND(COUNTIF(W$3:W$13,A$31)&gt;0,A$31&lt;&gt;B2070),A$31,IFERROR(IF(MATCH(A$31,Z$3:Z$13,0)=8,A$31," ")," "))</f>
        <v>C17</v>
      </c>
      <c r="B2249" s="8">
        <f>IF(A2249=" "," ",MAX(B2233:B2248)+1)</f>
        <v>7</v>
      </c>
      <c r="C2249" s="8"/>
      <c r="D2249" s="8"/>
      <c r="E2249" s="8"/>
      <c r="F2249" s="8"/>
      <c r="G2249" s="8"/>
      <c r="H2249" s="8"/>
      <c r="I2249" s="8"/>
      <c r="J2249" s="8"/>
      <c r="K2249" s="8"/>
      <c r="L2249" s="8"/>
      <c r="M2249" s="8"/>
      <c r="N2249" s="8"/>
      <c r="O2249" s="8"/>
      <c r="P2249" s="8"/>
      <c r="Q2249" s="8"/>
      <c r="R2249" s="8"/>
      <c r="S2249" s="8"/>
      <c r="U2249" s="34"/>
      <c r="V2249" s="34"/>
      <c r="W2249" s="34"/>
      <c r="X2249" s="34"/>
      <c r="Y2249" s="34"/>
      <c r="Z2249" s="34"/>
      <c r="AA2249" s="34"/>
      <c r="AB2249" s="34"/>
      <c r="AC2249" s="34"/>
      <c r="AD2249" s="34"/>
      <c r="AE2249" s="34"/>
      <c r="AF2249" s="34"/>
      <c r="AG2249" s="34"/>
      <c r="AH2249" s="34"/>
      <c r="AI2249" s="34"/>
      <c r="AJ2249" s="34"/>
      <c r="AK2249" s="34"/>
      <c r="AL2249" s="34"/>
      <c r="AM2249" s="34"/>
      <c r="AN2249" s="34"/>
      <c r="AO2249" s="34"/>
      <c r="AP2249" s="34"/>
      <c r="AQ2249" s="34"/>
      <c r="AR2249" s="34"/>
      <c r="AS2249" s="34"/>
      <c r="AT2249" s="34"/>
      <c r="AU2249" s="34"/>
      <c r="AV2249" s="34"/>
      <c r="AW2249" s="34"/>
      <c r="AX2249" s="34"/>
      <c r="AY2249" s="34"/>
      <c r="AZ2249" s="34"/>
      <c r="BA2249" s="34"/>
      <c r="BB2249" s="34"/>
      <c r="BC2249" s="34"/>
      <c r="BD2249" s="34"/>
      <c r="BE2249" s="34"/>
      <c r="BF2249" s="34"/>
      <c r="BG2249" s="34"/>
      <c r="BH2249" s="34"/>
      <c r="BI2249" s="34"/>
      <c r="BJ2249" s="34"/>
      <c r="BK2249" s="34"/>
      <c r="BL2249" s="34"/>
      <c r="BM2249" s="34"/>
      <c r="BN2249" s="34"/>
      <c r="BO2249" s="34"/>
      <c r="BP2249" s="34"/>
      <c r="BQ2249" s="34"/>
      <c r="BR2249" s="34"/>
      <c r="BS2249" s="34"/>
      <c r="BT2249" s="34"/>
      <c r="BU2249" s="34"/>
      <c r="BV2249" s="34"/>
      <c r="BW2249" s="34"/>
      <c r="BX2249" s="34"/>
      <c r="BY2249" s="34"/>
      <c r="BZ2249" s="34"/>
      <c r="CA2249" s="34"/>
      <c r="CB2249" s="34"/>
      <c r="CC2249" s="34"/>
      <c r="CD2249" s="34"/>
      <c r="CE2249" s="34"/>
      <c r="CF2249" s="34"/>
      <c r="CG2249" s="34"/>
      <c r="CH2249" s="34"/>
      <c r="CI2249" s="8"/>
    </row>
    <row r="2250" spans="1:87" x14ac:dyDescent="0.2">
      <c r="A2250" s="8" t="str">
        <f>IF(AND(COUNTIF(W$3:W$13,A$32)&gt;0,A$32&lt;&gt;B2070),A$32,IFERROR(IF(MATCH(A$32,Z$3:Z$13,0)=8,A$32," ")," "))</f>
        <v>C18</v>
      </c>
      <c r="B2250" s="8">
        <f>IF(A2250=" "," ",MAX(B2233:B2249)+1)</f>
        <v>8</v>
      </c>
      <c r="C2250" s="8"/>
      <c r="D2250" s="8"/>
      <c r="E2250" s="8"/>
      <c r="F2250" s="8"/>
      <c r="G2250" s="8"/>
      <c r="H2250" s="8"/>
      <c r="I2250" s="8"/>
      <c r="J2250" s="8"/>
      <c r="K2250" s="8"/>
      <c r="L2250" s="8"/>
      <c r="M2250" s="8"/>
      <c r="N2250" s="8"/>
      <c r="O2250" s="8"/>
      <c r="P2250" s="8"/>
      <c r="Q2250" s="8"/>
      <c r="R2250" s="8"/>
      <c r="S2250" s="8"/>
      <c r="U2250" s="34"/>
      <c r="V2250" s="34"/>
      <c r="W2250" s="34"/>
      <c r="X2250" s="34"/>
      <c r="Y2250" s="34"/>
      <c r="Z2250" s="34"/>
      <c r="AA2250" s="34"/>
      <c r="AB2250" s="34"/>
      <c r="AC2250" s="34"/>
      <c r="AD2250" s="34"/>
      <c r="AE2250" s="34"/>
      <c r="AF2250" s="34"/>
      <c r="AG2250" s="34"/>
      <c r="AH2250" s="34"/>
      <c r="AI2250" s="34"/>
      <c r="AJ2250" s="34"/>
      <c r="AK2250" s="34"/>
      <c r="AL2250" s="34"/>
      <c r="AM2250" s="34"/>
      <c r="AN2250" s="34"/>
      <c r="AO2250" s="34"/>
      <c r="AP2250" s="34"/>
      <c r="AQ2250" s="34"/>
      <c r="AR2250" s="34"/>
      <c r="AS2250" s="34"/>
      <c r="AT2250" s="34"/>
      <c r="AU2250" s="34"/>
      <c r="AV2250" s="34"/>
      <c r="AW2250" s="34"/>
      <c r="AX2250" s="34"/>
      <c r="AY2250" s="34"/>
      <c r="AZ2250" s="34"/>
      <c r="BA2250" s="34"/>
      <c r="BB2250" s="34"/>
      <c r="BC2250" s="34"/>
      <c r="BD2250" s="34"/>
      <c r="BE2250" s="34"/>
      <c r="BF2250" s="34"/>
      <c r="BG2250" s="34"/>
      <c r="BH2250" s="34"/>
      <c r="BI2250" s="34"/>
      <c r="BJ2250" s="34"/>
      <c r="BK2250" s="34"/>
      <c r="BL2250" s="34"/>
      <c r="BM2250" s="34"/>
      <c r="BN2250" s="34"/>
      <c r="BO2250" s="34"/>
      <c r="BP2250" s="34"/>
      <c r="BQ2250" s="34"/>
      <c r="BR2250" s="34"/>
      <c r="BS2250" s="34"/>
      <c r="BT2250" s="34"/>
      <c r="BU2250" s="34"/>
      <c r="BV2250" s="34"/>
      <c r="BW2250" s="34"/>
      <c r="BX2250" s="34"/>
      <c r="BY2250" s="34"/>
      <c r="BZ2250" s="34"/>
      <c r="CA2250" s="34"/>
      <c r="CB2250" s="34"/>
      <c r="CC2250" s="34"/>
      <c r="CD2250" s="34"/>
      <c r="CE2250" s="34"/>
      <c r="CF2250" s="34"/>
      <c r="CG2250" s="34"/>
      <c r="CH2250" s="34"/>
      <c r="CI2250" s="8"/>
    </row>
    <row r="2251" spans="1:87" x14ac:dyDescent="0.2">
      <c r="A2251" s="8" t="str">
        <f>IF(AND(COUNTIF(W$3:W$13,A$33)&gt;0,A$33&lt;&gt;B2070),A$33,IFERROR(IF(MATCH(A$33,Z$3:Z$13,0)=8,A$33," ")," "))</f>
        <v>C19</v>
      </c>
      <c r="B2251" s="8">
        <f>IF(A2251=" "," ",MAX(B2233:B2250)+1)</f>
        <v>9</v>
      </c>
      <c r="C2251" s="8"/>
      <c r="D2251" s="8"/>
      <c r="E2251" s="8"/>
      <c r="F2251" s="8"/>
      <c r="G2251" s="8"/>
      <c r="H2251" s="8"/>
      <c r="I2251" s="8"/>
      <c r="J2251" s="8"/>
      <c r="K2251" s="8"/>
      <c r="L2251" s="8"/>
      <c r="M2251" s="8"/>
      <c r="N2251" s="8"/>
      <c r="O2251" s="8"/>
      <c r="P2251" s="8"/>
      <c r="Q2251" s="8"/>
      <c r="R2251" s="8"/>
      <c r="S2251" s="8"/>
      <c r="U2251" s="34"/>
      <c r="V2251" s="34"/>
      <c r="W2251" s="34"/>
      <c r="X2251" s="34"/>
      <c r="Y2251" s="34"/>
      <c r="Z2251" s="34"/>
      <c r="AA2251" s="34"/>
      <c r="AB2251" s="34"/>
      <c r="AC2251" s="34"/>
      <c r="AD2251" s="34"/>
      <c r="AE2251" s="34"/>
      <c r="AF2251" s="34"/>
      <c r="AG2251" s="34"/>
      <c r="AH2251" s="34"/>
      <c r="AI2251" s="34"/>
      <c r="AJ2251" s="34"/>
      <c r="AK2251" s="34"/>
      <c r="AL2251" s="34"/>
      <c r="AM2251" s="34"/>
      <c r="AN2251" s="34"/>
      <c r="AO2251" s="34"/>
      <c r="AP2251" s="34"/>
      <c r="AQ2251" s="34"/>
      <c r="AR2251" s="34"/>
      <c r="AS2251" s="34"/>
      <c r="AT2251" s="34"/>
      <c r="AU2251" s="34"/>
      <c r="AV2251" s="34"/>
      <c r="AW2251" s="34"/>
      <c r="AX2251" s="34"/>
      <c r="AY2251" s="34"/>
      <c r="AZ2251" s="34"/>
      <c r="BA2251" s="34"/>
      <c r="BB2251" s="34"/>
      <c r="BC2251" s="34"/>
      <c r="BD2251" s="34"/>
      <c r="BE2251" s="34"/>
      <c r="BF2251" s="34"/>
      <c r="BG2251" s="34"/>
      <c r="BH2251" s="34"/>
      <c r="BI2251" s="34"/>
      <c r="BJ2251" s="34"/>
      <c r="BK2251" s="34"/>
      <c r="BL2251" s="34"/>
      <c r="BM2251" s="34"/>
      <c r="BN2251" s="34"/>
      <c r="BO2251" s="34"/>
      <c r="BP2251" s="34"/>
      <c r="BQ2251" s="34"/>
      <c r="BR2251" s="34"/>
      <c r="BS2251" s="34"/>
      <c r="BT2251" s="34"/>
      <c r="BU2251" s="34"/>
      <c r="BV2251" s="34"/>
      <c r="BW2251" s="34"/>
      <c r="BX2251" s="34"/>
      <c r="BY2251" s="34"/>
      <c r="BZ2251" s="34"/>
      <c r="CA2251" s="34"/>
      <c r="CB2251" s="34"/>
      <c r="CC2251" s="34"/>
      <c r="CD2251" s="34"/>
      <c r="CE2251" s="34"/>
      <c r="CF2251" s="34"/>
      <c r="CG2251" s="34"/>
      <c r="CH2251" s="34"/>
      <c r="CI2251" s="8"/>
    </row>
    <row r="2252" spans="1:87" x14ac:dyDescent="0.2">
      <c r="A2252" s="8" t="str">
        <f>IF(AND(COUNTIF(W$3:W$13,A$34)&gt;0,A$34&lt;&gt;B2070),A$34,IFERROR(IF(MATCH(A$34,Z$3:Z$13,0)=8,A$34," ")," "))</f>
        <v xml:space="preserve"> </v>
      </c>
      <c r="B2252" s="8" t="str">
        <f>IF(A2252=" "," ",MAX(B2233:B2251)+1)</f>
        <v xml:space="preserve"> </v>
      </c>
      <c r="C2252" s="8"/>
      <c r="D2252" s="8"/>
      <c r="E2252" s="8"/>
      <c r="F2252" s="8"/>
      <c r="G2252" s="8"/>
      <c r="H2252" s="8"/>
      <c r="I2252" s="8"/>
      <c r="J2252" s="8"/>
      <c r="K2252" s="8"/>
      <c r="L2252" s="8"/>
      <c r="M2252" s="8"/>
      <c r="N2252" s="8"/>
      <c r="O2252" s="8"/>
      <c r="P2252" s="8"/>
      <c r="Q2252" s="8"/>
      <c r="R2252" s="8"/>
      <c r="S2252" s="8"/>
      <c r="U2252" s="34"/>
      <c r="V2252" s="34"/>
      <c r="W2252" s="34"/>
      <c r="X2252" s="34"/>
      <c r="Y2252" s="34"/>
      <c r="Z2252" s="34"/>
      <c r="AA2252" s="34"/>
      <c r="AB2252" s="34"/>
      <c r="AC2252" s="34"/>
      <c r="AD2252" s="34"/>
      <c r="AE2252" s="34"/>
      <c r="AF2252" s="34"/>
      <c r="AG2252" s="34"/>
      <c r="AH2252" s="34"/>
      <c r="AI2252" s="34"/>
      <c r="AJ2252" s="34"/>
      <c r="AK2252" s="34"/>
      <c r="AL2252" s="34"/>
      <c r="AM2252" s="34"/>
      <c r="AN2252" s="34"/>
      <c r="AO2252" s="34"/>
      <c r="AP2252" s="34"/>
      <c r="AQ2252" s="34"/>
      <c r="AR2252" s="34"/>
      <c r="AS2252" s="34"/>
      <c r="AT2252" s="34"/>
      <c r="AU2252" s="34"/>
      <c r="AV2252" s="34"/>
      <c r="AW2252" s="34"/>
      <c r="AX2252" s="34"/>
      <c r="AY2252" s="34"/>
      <c r="AZ2252" s="34"/>
      <c r="BA2252" s="34"/>
      <c r="BB2252" s="34"/>
      <c r="BC2252" s="34"/>
      <c r="BD2252" s="34"/>
      <c r="BE2252" s="34"/>
      <c r="BF2252" s="34"/>
      <c r="BG2252" s="34"/>
      <c r="BH2252" s="34"/>
      <c r="BI2252" s="34"/>
      <c r="BJ2252" s="34"/>
      <c r="BK2252" s="34"/>
      <c r="BL2252" s="34"/>
      <c r="BM2252" s="34"/>
      <c r="BN2252" s="34"/>
      <c r="BO2252" s="34"/>
      <c r="BP2252" s="34"/>
      <c r="BQ2252" s="34"/>
      <c r="BR2252" s="34"/>
      <c r="BS2252" s="34"/>
      <c r="BT2252" s="34"/>
      <c r="BU2252" s="34"/>
      <c r="BV2252" s="34"/>
      <c r="BW2252" s="34"/>
      <c r="BX2252" s="34"/>
      <c r="BY2252" s="34"/>
      <c r="BZ2252" s="34"/>
      <c r="CA2252" s="34"/>
      <c r="CB2252" s="34"/>
      <c r="CC2252" s="34"/>
      <c r="CD2252" s="34"/>
      <c r="CE2252" s="34"/>
      <c r="CF2252" s="34"/>
      <c r="CG2252" s="34"/>
      <c r="CH2252" s="34"/>
      <c r="CI2252" s="8"/>
    </row>
    <row r="2253" spans="1:87" x14ac:dyDescent="0.2">
      <c r="A2253" s="8" t="str">
        <f>IF(AND(COUNTIF(W$3:W$13,A$35)&gt;0,A$35&lt;&gt;B2070),A$35,IFERROR(IF(MATCH(A$35,Z$3:Z$13,0)=8,A$35," ")," "))</f>
        <v>C21</v>
      </c>
      <c r="B2253" s="8">
        <f>IF(A2253=" "," ",MAX(B2233:B2252)+1)</f>
        <v>10</v>
      </c>
      <c r="C2253" s="8"/>
      <c r="D2253" s="8"/>
      <c r="E2253" s="8"/>
      <c r="F2253" s="8"/>
      <c r="G2253" s="8"/>
      <c r="H2253" s="8"/>
      <c r="I2253" s="8"/>
      <c r="J2253" s="8"/>
      <c r="K2253" s="8"/>
      <c r="L2253" s="8"/>
      <c r="M2253" s="8"/>
      <c r="N2253" s="8"/>
      <c r="O2253" s="8"/>
      <c r="P2253" s="8"/>
      <c r="Q2253" s="8"/>
      <c r="R2253" s="8"/>
      <c r="S2253" s="8"/>
      <c r="U2253" s="34"/>
      <c r="V2253" s="34"/>
      <c r="W2253" s="34"/>
      <c r="X2253" s="34"/>
      <c r="Y2253" s="34"/>
      <c r="Z2253" s="34"/>
      <c r="AA2253" s="34"/>
      <c r="AB2253" s="34"/>
      <c r="AC2253" s="34"/>
      <c r="AD2253" s="34"/>
      <c r="AE2253" s="34"/>
      <c r="AF2253" s="34"/>
      <c r="AG2253" s="34"/>
      <c r="AH2253" s="34"/>
      <c r="AI2253" s="34"/>
      <c r="AJ2253" s="34"/>
      <c r="AK2253" s="34"/>
      <c r="AL2253" s="34"/>
      <c r="AM2253" s="34"/>
      <c r="AN2253" s="34"/>
      <c r="AO2253" s="34"/>
      <c r="AP2253" s="34"/>
      <c r="AQ2253" s="34"/>
      <c r="AR2253" s="34"/>
      <c r="AS2253" s="34"/>
      <c r="AT2253" s="34"/>
      <c r="AU2253" s="34"/>
      <c r="AV2253" s="34"/>
      <c r="AW2253" s="34"/>
      <c r="AX2253" s="34"/>
      <c r="AY2253" s="34"/>
      <c r="AZ2253" s="34"/>
      <c r="BA2253" s="34"/>
      <c r="BB2253" s="34"/>
      <c r="BC2253" s="34"/>
      <c r="BD2253" s="34"/>
      <c r="BE2253" s="34"/>
      <c r="BF2253" s="34"/>
      <c r="BG2253" s="34"/>
      <c r="BH2253" s="34"/>
      <c r="BI2253" s="34"/>
      <c r="BJ2253" s="34"/>
      <c r="BK2253" s="34"/>
      <c r="BL2253" s="34"/>
      <c r="BM2253" s="34"/>
      <c r="BN2253" s="34"/>
      <c r="BO2253" s="34"/>
      <c r="BP2253" s="34"/>
      <c r="BQ2253" s="34"/>
      <c r="BR2253" s="34"/>
      <c r="BS2253" s="34"/>
      <c r="BT2253" s="34"/>
      <c r="BU2253" s="34"/>
      <c r="BV2253" s="34"/>
      <c r="BW2253" s="34"/>
      <c r="BX2253" s="34"/>
      <c r="BY2253" s="34"/>
      <c r="BZ2253" s="34"/>
      <c r="CA2253" s="34"/>
      <c r="CB2253" s="34"/>
      <c r="CC2253" s="34"/>
      <c r="CD2253" s="34"/>
      <c r="CE2253" s="34"/>
      <c r="CF2253" s="34"/>
      <c r="CG2253" s="34"/>
      <c r="CH2253" s="34"/>
      <c r="CI2253" s="8"/>
    </row>
    <row r="2254" spans="1:87" x14ac:dyDescent="0.2">
      <c r="A2254" s="8" t="str">
        <f>IF(AND(COUNTIF(W$3:W$13,A$36)&gt;0,A$36&lt;&gt;B2070),A$36,IFERROR(IF(MATCH(A$36,Z$3:Z$13,0)=8,A$36," ")," "))</f>
        <v>C22</v>
      </c>
      <c r="B2254" s="8">
        <f>IF(A2254=" "," ",MAX(B2233:B2253)+1)</f>
        <v>11</v>
      </c>
      <c r="C2254" s="8"/>
      <c r="D2254" s="8"/>
      <c r="E2254" s="8"/>
      <c r="F2254" s="8"/>
      <c r="G2254" s="8"/>
      <c r="H2254" s="8"/>
      <c r="I2254" s="8"/>
      <c r="J2254" s="8"/>
      <c r="K2254" s="8"/>
      <c r="L2254" s="8"/>
      <c r="M2254" s="8"/>
      <c r="N2254" s="8"/>
      <c r="O2254" s="8"/>
      <c r="P2254" s="8"/>
      <c r="Q2254" s="8"/>
      <c r="R2254" s="8"/>
      <c r="S2254" s="8"/>
      <c r="U2254" s="34"/>
      <c r="V2254" s="34"/>
      <c r="W2254" s="34"/>
      <c r="X2254" s="34"/>
      <c r="Y2254" s="34"/>
      <c r="Z2254" s="34"/>
      <c r="AA2254" s="34"/>
      <c r="AB2254" s="34"/>
      <c r="AC2254" s="34"/>
      <c r="AD2254" s="34"/>
      <c r="AE2254" s="34"/>
      <c r="AF2254" s="34"/>
      <c r="AG2254" s="34"/>
      <c r="AH2254" s="34"/>
      <c r="AI2254" s="34"/>
      <c r="AJ2254" s="34"/>
      <c r="AK2254" s="34"/>
      <c r="AL2254" s="34"/>
      <c r="AM2254" s="34"/>
      <c r="AN2254" s="34"/>
      <c r="AO2254" s="34"/>
      <c r="AP2254" s="34"/>
      <c r="AQ2254" s="34"/>
      <c r="AR2254" s="34"/>
      <c r="AS2254" s="34"/>
      <c r="AT2254" s="34"/>
      <c r="AU2254" s="34"/>
      <c r="AV2254" s="34"/>
      <c r="AW2254" s="34"/>
      <c r="AX2254" s="34"/>
      <c r="AY2254" s="34"/>
      <c r="AZ2254" s="34"/>
      <c r="BA2254" s="34"/>
      <c r="BB2254" s="34"/>
      <c r="BC2254" s="34"/>
      <c r="BD2254" s="34"/>
      <c r="BE2254" s="34"/>
      <c r="BF2254" s="34"/>
      <c r="BG2254" s="34"/>
      <c r="BH2254" s="34"/>
      <c r="BI2254" s="34"/>
      <c r="BJ2254" s="34"/>
      <c r="BK2254" s="34"/>
      <c r="BL2254" s="34"/>
      <c r="BM2254" s="34"/>
      <c r="BN2254" s="34"/>
      <c r="BO2254" s="34"/>
      <c r="BP2254" s="34"/>
      <c r="BQ2254" s="34"/>
      <c r="BR2254" s="34"/>
      <c r="BS2254" s="34"/>
      <c r="BT2254" s="34"/>
      <c r="BU2254" s="34"/>
      <c r="BV2254" s="34"/>
      <c r="BW2254" s="34"/>
      <c r="BX2254" s="34"/>
      <c r="BY2254" s="34"/>
      <c r="BZ2254" s="34"/>
      <c r="CA2254" s="34"/>
      <c r="CB2254" s="34"/>
      <c r="CC2254" s="34"/>
      <c r="CD2254" s="34"/>
      <c r="CE2254" s="34"/>
      <c r="CF2254" s="34"/>
      <c r="CG2254" s="34"/>
      <c r="CH2254" s="34"/>
      <c r="CI2254" s="8"/>
    </row>
    <row r="2255" spans="1:87" x14ac:dyDescent="0.2">
      <c r="A2255" s="11" t="s">
        <v>17</v>
      </c>
      <c r="B2255" s="11"/>
      <c r="C2255" s="27" t="s">
        <v>18</v>
      </c>
      <c r="D2255" s="27" t="s">
        <v>2</v>
      </c>
      <c r="E2255" s="27" t="s">
        <v>6</v>
      </c>
      <c r="F2255" s="27" t="s">
        <v>15</v>
      </c>
      <c r="G2255" s="27" t="s">
        <v>36</v>
      </c>
      <c r="H2255" s="27" t="s">
        <v>37</v>
      </c>
      <c r="I2255" s="27" t="s">
        <v>38</v>
      </c>
      <c r="J2255" s="27" t="s">
        <v>39</v>
      </c>
      <c r="K2255" s="27" t="s">
        <v>40</v>
      </c>
      <c r="L2255" s="27" t="s">
        <v>41</v>
      </c>
      <c r="M2255" s="27" t="s">
        <v>42</v>
      </c>
      <c r="N2255" s="27" t="s">
        <v>43</v>
      </c>
      <c r="O2255" s="27" t="s">
        <v>9</v>
      </c>
      <c r="P2255" s="27" t="s">
        <v>12</v>
      </c>
      <c r="Q2255" s="27" t="s">
        <v>19</v>
      </c>
      <c r="R2255" s="27" t="s">
        <v>55</v>
      </c>
      <c r="S2255" s="27" t="s">
        <v>26</v>
      </c>
      <c r="T2255" s="19" t="s">
        <v>25</v>
      </c>
      <c r="U2255" s="33" t="s">
        <v>27</v>
      </c>
      <c r="V2255" s="33" t="s">
        <v>9</v>
      </c>
      <c r="W2255" s="33" t="s">
        <v>23</v>
      </c>
      <c r="X2255" s="33" t="s">
        <v>12</v>
      </c>
      <c r="Y2255" s="33" t="s">
        <v>26</v>
      </c>
      <c r="Z2255" s="33" t="s">
        <v>25</v>
      </c>
      <c r="AA2255" s="33" t="s">
        <v>27</v>
      </c>
      <c r="AB2255" s="33" t="s">
        <v>9</v>
      </c>
      <c r="AC2255" s="33" t="s">
        <v>23</v>
      </c>
      <c r="AD2255" s="33" t="s">
        <v>12</v>
      </c>
      <c r="AE2255" s="33" t="s">
        <v>26</v>
      </c>
      <c r="AF2255" s="33" t="s">
        <v>25</v>
      </c>
      <c r="AG2255" s="33" t="s">
        <v>27</v>
      </c>
      <c r="AH2255" s="33" t="s">
        <v>9</v>
      </c>
      <c r="AI2255" s="33" t="s">
        <v>23</v>
      </c>
      <c r="AJ2255" s="33" t="s">
        <v>12</v>
      </c>
      <c r="AK2255" s="33" t="s">
        <v>26</v>
      </c>
      <c r="AL2255" s="33" t="s">
        <v>25</v>
      </c>
      <c r="AM2255" s="33" t="s">
        <v>27</v>
      </c>
      <c r="AN2255" s="33" t="s">
        <v>9</v>
      </c>
      <c r="AO2255" s="33" t="s">
        <v>23</v>
      </c>
      <c r="AP2255" s="33" t="s">
        <v>12</v>
      </c>
      <c r="AQ2255" s="33" t="s">
        <v>26</v>
      </c>
      <c r="AR2255" s="33" t="s">
        <v>25</v>
      </c>
      <c r="AS2255" s="33" t="s">
        <v>27</v>
      </c>
      <c r="AT2255" s="33" t="s">
        <v>9</v>
      </c>
      <c r="AU2255" s="33" t="s">
        <v>23</v>
      </c>
      <c r="AV2255" s="33" t="s">
        <v>12</v>
      </c>
      <c r="AW2255" s="33" t="s">
        <v>26</v>
      </c>
      <c r="AX2255" s="33" t="s">
        <v>25</v>
      </c>
      <c r="AY2255" s="33" t="s">
        <v>27</v>
      </c>
      <c r="AZ2255" s="33" t="s">
        <v>9</v>
      </c>
      <c r="BA2255" s="33" t="s">
        <v>23</v>
      </c>
      <c r="BB2255" s="33" t="s">
        <v>12</v>
      </c>
      <c r="BC2255" s="33" t="s">
        <v>26</v>
      </c>
      <c r="BD2255" s="33" t="s">
        <v>25</v>
      </c>
      <c r="BE2255" s="33" t="s">
        <v>27</v>
      </c>
      <c r="BF2255" s="33" t="s">
        <v>9</v>
      </c>
      <c r="BG2255" s="33" t="s">
        <v>23</v>
      </c>
      <c r="BH2255" s="33" t="s">
        <v>12</v>
      </c>
      <c r="BI2255" s="33" t="s">
        <v>26</v>
      </c>
      <c r="BJ2255" s="33" t="s">
        <v>25</v>
      </c>
      <c r="BK2255" s="33" t="s">
        <v>27</v>
      </c>
      <c r="BL2255" s="33" t="s">
        <v>9</v>
      </c>
      <c r="BM2255" s="33" t="s">
        <v>23</v>
      </c>
      <c r="BN2255" s="33" t="s">
        <v>12</v>
      </c>
      <c r="BO2255" s="33" t="s">
        <v>26</v>
      </c>
      <c r="BP2255" s="33" t="s">
        <v>25</v>
      </c>
      <c r="BQ2255" s="33" t="s">
        <v>27</v>
      </c>
      <c r="BR2255" s="33" t="s">
        <v>9</v>
      </c>
      <c r="BS2255" s="33" t="s">
        <v>23</v>
      </c>
      <c r="BT2255" s="33" t="s">
        <v>12</v>
      </c>
      <c r="BU2255" s="33" t="s">
        <v>26</v>
      </c>
      <c r="BV2255" s="33" t="s">
        <v>25</v>
      </c>
      <c r="BW2255" s="33" t="s">
        <v>27</v>
      </c>
      <c r="BX2255" s="33" t="s">
        <v>9</v>
      </c>
      <c r="BY2255" s="33" t="s">
        <v>23</v>
      </c>
      <c r="BZ2255" s="33" t="s">
        <v>12</v>
      </c>
      <c r="CA2255" s="33" t="s">
        <v>26</v>
      </c>
      <c r="CB2255" s="33" t="s">
        <v>25</v>
      </c>
      <c r="CC2255" s="33" t="s">
        <v>27</v>
      </c>
      <c r="CD2255" s="33" t="s">
        <v>9</v>
      </c>
      <c r="CE2255" s="33" t="s">
        <v>23</v>
      </c>
      <c r="CF2255" s="33" t="s">
        <v>12</v>
      </c>
      <c r="CG2255" s="33" t="s">
        <v>26</v>
      </c>
      <c r="CH2255" s="33" t="s">
        <v>25</v>
      </c>
      <c r="CI2255" s="8"/>
    </row>
    <row r="2256" spans="1:87" x14ac:dyDescent="0.2">
      <c r="A2256" s="8" t="str">
        <f>IF(AND(COUNTIF(W$3:W$13,A$15)&gt;0,A$15&lt;&gt;B2070),A$15,IFERROR(IF(MATCH(A$15,Z$3:Z$13,0)=9,A$15," ")," "))</f>
        <v xml:space="preserve"> </v>
      </c>
      <c r="B2256" s="8" t="str">
        <f>IF(A2256=" "," ",1)</f>
        <v xml:space="preserve"> </v>
      </c>
      <c r="C2256" s="8" t="str">
        <f>IFERROR(INDEX(A2256:A2277,MATCH(SMALL(B2256:B2277,1),B2256:B2277,0),1)," ")</f>
        <v>C3</v>
      </c>
      <c r="D2256" s="8">
        <f>IFERROR(VLOOKUP($C2256,$A$15:$O$36,2,FALSE)," ")</f>
        <v>2</v>
      </c>
      <c r="E2256" s="8">
        <f>IFERROR(VLOOKUP($C2256,$A$15:$O$36,3,FALSE)," ")</f>
        <v>5</v>
      </c>
      <c r="F2256" s="8">
        <f>IFERROR(VLOOKUP($C2256,$A$15:$O$36,4,FALSE)," ")</f>
        <v>6</v>
      </c>
      <c r="G2256" s="8">
        <f>IFERROR(VLOOKUP($C2256,$A$15:$O$36,5,FALSE)," ")</f>
        <v>0</v>
      </c>
      <c r="H2256" s="8">
        <f>IFERROR(VLOOKUP($C2256,$A$15:$O$36,6,FALSE)," ")</f>
        <v>0</v>
      </c>
      <c r="I2256" s="8">
        <f>IFERROR(VLOOKUP($C2256,$A$15:$O$36,7,FALSE)," ")</f>
        <v>0</v>
      </c>
      <c r="J2256" s="8">
        <f>IFERROR(VLOOKUP($C2256,$A$15:$O$36,8,FALSE)," ")</f>
        <v>0</v>
      </c>
      <c r="K2256" s="8">
        <f>IFERROR(VLOOKUP($C2256,$A$15:$O$36,9,FALSE)," ")</f>
        <v>0</v>
      </c>
      <c r="L2256" s="8">
        <f>IFERROR(VLOOKUP($C2256,$A$15:$O$36,10,FALSE)," ")</f>
        <v>0</v>
      </c>
      <c r="M2256" s="8">
        <f>IFERROR(VLOOKUP($C2256,$A$15:$O$36,11,FALSE)," ")</f>
        <v>0</v>
      </c>
      <c r="N2256" s="8">
        <f>IFERROR(VLOOKUP($C2256,$A$15:$O$36,12,FALSE)," ")</f>
        <v>0</v>
      </c>
      <c r="O2256" s="8">
        <f>IFERROR(VLOOKUP($C2256,$A$15:$O$36,15,FALSE)," ")</f>
        <v>2000</v>
      </c>
      <c r="P2256" s="8" t="e">
        <f t="array" ref="P2256:P2266">MMULT(MINVERSE(D2256:N2266),O2256:O2266)</f>
        <v>#NUM!</v>
      </c>
      <c r="Q2256" s="8" t="e">
        <f t="shared" ref="Q2256" si="9785">IF(COUNTIF(P2256:P2266,"&lt;"&amp;-0.001)=0,IF(ABS(P2256)&lt;0.001,0,P2256)," ")</f>
        <v>#NUM!</v>
      </c>
      <c r="R2256" s="8" t="str">
        <f>IFERROR(VLOOKUP(B2070,A$15:L$36,2,FALSE)*Q2256+VLOOKUP(B2070,A$15:L$36,3,FALSE)*Q2257+VLOOKUP(B2070,A$15:L$36,4,FALSE)*Q2258+VLOOKUP(B2070,A$15:L$36,5,FALSE)*Q2259+VLOOKUP(B2070,A$15:L$36,6,FALSE)*Q2260+VLOOKUP(B2070,A$15:L$36,7,FALSE)*Q2261+VLOOKUP(B2070,A$15:L$36,8,FALSE)*Q2262+VLOOKUP(B2070,A$15:L$36,9,FALSE)*Q2263+VLOOKUP(B2070,A$15:L$36,10,FALSE)*Q2264+VLOOKUP(B2070,A$15:L$36,11,FALSE)*Q2265+VLOOKUP(B2070,A$15:L$36,12,FALSE)*Q2266," ")</f>
        <v xml:space="preserve"> </v>
      </c>
      <c r="S2256" s="8" t="str">
        <f>IFERROR(IF(R2256-VLOOKUP(B2070,A$15:O$36,15,FALSE)&lt;0,R2256-VLOOKUP(B2070,A$15:O$36,15,FALSE)," ")," ")</f>
        <v xml:space="preserve"> </v>
      </c>
      <c r="T2256" s="18" t="str">
        <f>IFERROR(IF(R2256-VLOOKUP(B2070,A$15:O$36,15,FALSE)&gt;0,R2256-VLOOKUP(B2070,A$15:O$36,15,FALSE)," ")," ")</f>
        <v xml:space="preserve"> </v>
      </c>
      <c r="U2256" s="34">
        <f t="shared" ref="U2256" si="9786">$M$2</f>
        <v>100.00000000000001</v>
      </c>
      <c r="V2256" s="34">
        <v>-1</v>
      </c>
      <c r="W2256" s="34">
        <f t="shared" ref="W2256" si="9787">-SUMPRODUCT($M$3:$M$12,$N$3:$N$12)</f>
        <v>-105000</v>
      </c>
      <c r="X2256" s="34" t="e">
        <f t="shared" ref="X2256" si="9788">IF(U2256&lt;&gt;U2257,MMULT(MINVERSE(U2256:V2257),W2256:W2257)," ")</f>
        <v>#NUM!</v>
      </c>
      <c r="Y2256" s="34" t="str">
        <f t="shared" ref="Y2256" si="9789">IFERROR(IF(X2256-VLOOKUP(U$38,$A$2:$N$12,14,FALSE)&lt;0,X2256-VLOOKUP(U$38,$A$2:$N$12,14,FALSE)," ")," ")</f>
        <v xml:space="preserve"> </v>
      </c>
      <c r="Z2256" s="34" t="str">
        <f t="shared" ref="Z2256" si="9790">IFERROR(IF(X2256-VLOOKUP(U$38,$A$2:$N$12,14,FALSE)&gt;0,X2256-VLOOKUP(U$38,$A$2:$N$12,14,FALSE)," ")," ")</f>
        <v xml:space="preserve"> </v>
      </c>
      <c r="AA2256" s="34">
        <f t="shared" ref="AA2256" si="9791">$M$3</f>
        <v>0</v>
      </c>
      <c r="AB2256" s="34">
        <v>-1</v>
      </c>
      <c r="AC2256" s="34">
        <f t="shared" ref="AC2256" si="9792">-SUMPRODUCT($M$2:$M$2,$N$2:$N$2)-SUMPRODUCT($M$4:$M$12,$N$4:$N$12)</f>
        <v>-120000</v>
      </c>
      <c r="AD2256" s="34" t="e">
        <f t="shared" ref="AD2256" si="9793">IF(AA2256&lt;&gt;AA2257,MMULT(MINVERSE(AA2256:AB2257),AC2256:AC2257)," ")</f>
        <v>#NUM!</v>
      </c>
      <c r="AE2256" s="34" t="str">
        <f t="shared" ref="AE2256" si="9794">IFERROR(IF(AD2256-VLOOKUP(AA$38,$A$2:$N$12,14,FALSE)&lt;0,AD2256-VLOOKUP(AA$38,$A$2:$N$12,14,FALSE)," ")," ")</f>
        <v xml:space="preserve"> </v>
      </c>
      <c r="AF2256" s="34" t="str">
        <f t="shared" ref="AF2256" si="9795">IFERROR(IF(AD2256-VLOOKUP(AA$38,$A$2:$N$12,14,FALSE)&gt;0,AD2256-VLOOKUP(AA$38,$A$2:$N$12,14,FALSE)," ")," ")</f>
        <v xml:space="preserve"> </v>
      </c>
      <c r="AG2256" s="34">
        <f t="shared" ref="AG2256" si="9796">$M$4</f>
        <v>300</v>
      </c>
      <c r="AH2256" s="34">
        <v>-1</v>
      </c>
      <c r="AI2256" s="34">
        <f t="shared" ref="AI2256" si="9797">-SUMPRODUCT($M$2:$M$3,$N$2:$N$3)-SUMPRODUCT($M$5:$M$12,$N$5:$N$12)</f>
        <v>-15000.000000000002</v>
      </c>
      <c r="AJ2256" s="34" t="e">
        <f t="shared" ref="AJ2256" si="9798">IF(AG2256&lt;&gt;AG2257,MMULT(MINVERSE(AG2256:AH2257),AI2256:AI2257)," ")</f>
        <v>#NUM!</v>
      </c>
      <c r="AK2256" s="34" t="str">
        <f t="shared" ref="AK2256" si="9799">IFERROR(IF(AJ2256-VLOOKUP(AG$38,$A$2:$N$12,14,FALSE)&lt;0,AJ2256-VLOOKUP(AG$38,$A$2:$N$12,14,FALSE)," ")," ")</f>
        <v xml:space="preserve"> </v>
      </c>
      <c r="AL2256" s="34" t="str">
        <f t="shared" ref="AL2256" si="9800">IFERROR(IF(AJ2256-VLOOKUP(AG$38,$A$2:$N$12,14,FALSE)&gt;0,AJ2256-VLOOKUP(AG$38,$A$2:$N$12,14,FALSE)," ")," ")</f>
        <v xml:space="preserve"> </v>
      </c>
      <c r="AM2256" s="34">
        <f t="shared" ref="AM2256" si="9801">$M$5</f>
        <v>0</v>
      </c>
      <c r="AN2256" s="34">
        <v>-1</v>
      </c>
      <c r="AO2256" s="34">
        <f t="shared" ref="AO2256" si="9802">-SUMPRODUCT($M$2:$M$4,$N$2:$N$4)-SUMPRODUCT($M$6:$M$12,$N$6:$N$12)</f>
        <v>-120000</v>
      </c>
      <c r="AP2256" s="34" t="e">
        <f t="shared" ref="AP2256" si="9803">IF(AM2256&lt;&gt;AM2257,MMULT(MINVERSE(AM2256:AN2257),AO2256:AO2257)," ")</f>
        <v>#NUM!</v>
      </c>
      <c r="AQ2256" s="34" t="str">
        <f t="shared" ref="AQ2256" si="9804">IFERROR(IF(AP2256-VLOOKUP(AM$38,$A$2:$N$12,14,FALSE)&lt;0,AP2256-VLOOKUP(AM$38,$A$2:$N$12,14,FALSE)," ")," ")</f>
        <v xml:space="preserve"> </v>
      </c>
      <c r="AR2256" s="34" t="str">
        <f t="shared" ref="AR2256" si="9805">IFERROR(IF(AP2256-VLOOKUP(AM$38,$A$2:$N$12,14,FALSE)&gt;0,AP2256-VLOOKUP(AM$38,$A$2:$N$12,14,FALSE)," ")," ")</f>
        <v xml:space="preserve"> </v>
      </c>
      <c r="AS2256" s="34">
        <f t="shared" ref="AS2256" si="9806">$M$6</f>
        <v>0</v>
      </c>
      <c r="AT2256" s="34">
        <v>-1</v>
      </c>
      <c r="AU2256" s="34">
        <f t="shared" ref="AU2256" si="9807">-SUMPRODUCT($M$2:$M$5,$N$2:$N$5)-SUMPRODUCT($M$7:$M$12,$N$7:$N$12)</f>
        <v>-120000</v>
      </c>
      <c r="AV2256" s="34" t="e">
        <f t="shared" ref="AV2256" si="9808">IF(AS2256&lt;&gt;AS2257,MMULT(MINVERSE(AS2256:AT2257),AU2256:AU2257)," ")</f>
        <v>#NUM!</v>
      </c>
      <c r="AW2256" s="34" t="str">
        <f t="shared" ref="AW2256" si="9809">IFERROR(IF(AV2256-VLOOKUP(AS$38,$A$2:$N$12,14,FALSE)&lt;0,AV2256-VLOOKUP(AS$38,$A$2:$N$12,14,FALSE)," ")," ")</f>
        <v xml:space="preserve"> </v>
      </c>
      <c r="AX2256" s="34" t="str">
        <f t="shared" ref="AX2256" si="9810">IFERROR(IF(AV2256-VLOOKUP(AS$38,$A$2:$N$12,14,FALSE)&gt;0,AV2256-VLOOKUP(AS$38,$A$2:$N$12,14,FALSE)," ")," ")</f>
        <v xml:space="preserve"> </v>
      </c>
      <c r="AY2256" s="34">
        <f t="shared" ref="AY2256" si="9811">$M$7</f>
        <v>0</v>
      </c>
      <c r="AZ2256" s="34">
        <v>-1</v>
      </c>
      <c r="BA2256" s="34">
        <f t="shared" ref="BA2256" si="9812">-SUMPRODUCT($M$2:$M$6,$N$2:$N$6)-SUMPRODUCT($M$8:$M$12,$N$8:$N$12)</f>
        <v>-120000</v>
      </c>
      <c r="BB2256" s="34" t="e">
        <f t="shared" ref="BB2256" si="9813">IF(AY2256&lt;&gt;AY2257,MMULT(MINVERSE(AY2256:AZ2257),BA2256:BA2257)," ")</f>
        <v>#NUM!</v>
      </c>
      <c r="BC2256" s="34" t="str">
        <f t="shared" ref="BC2256" si="9814">IFERROR(IF(BB2256-VLOOKUP(AY$38,$A$2:$N$12,14,FALSE)&lt;0,BB2256-VLOOKUP(AY$38,$A$2:$N$12,14,FALSE)," ")," ")</f>
        <v xml:space="preserve"> </v>
      </c>
      <c r="BD2256" s="34" t="str">
        <f t="shared" ref="BD2256" si="9815">IFERROR(IF(BB2256-VLOOKUP(AY$38,$A$2:$N$12,14,FALSE)&gt;0,BB2256-VLOOKUP(AY$38,$A$2:$N$12,14,FALSE)," ")," ")</f>
        <v xml:space="preserve"> </v>
      </c>
      <c r="BE2256" s="34">
        <f t="shared" ref="BE2256" si="9816">$M$8</f>
        <v>0</v>
      </c>
      <c r="BF2256" s="34">
        <v>-1</v>
      </c>
      <c r="BG2256" s="34">
        <f t="shared" ref="BG2256" si="9817">-SUMPRODUCT($M$2:$M$7,$N$2:$N$7)-SUMPRODUCT($M$9:$M$12,$N$9:$N$12)</f>
        <v>-120000</v>
      </c>
      <c r="BH2256" s="34" t="e">
        <f t="shared" ref="BH2256" si="9818">IF(BE2256&lt;&gt;BE2257,MMULT(MINVERSE(BE2256:BF2257),BG2256:BG2257)," ")</f>
        <v>#NUM!</v>
      </c>
      <c r="BI2256" s="34" t="str">
        <f t="shared" ref="BI2256" si="9819">IFERROR(IF(BH2256-VLOOKUP(BE$38,$A$2:$N$12,14,FALSE)&lt;0,BH2256-VLOOKUP(BE$38,$A$2:$N$12,14,FALSE)," ")," ")</f>
        <v xml:space="preserve"> </v>
      </c>
      <c r="BJ2256" s="34" t="str">
        <f t="shared" ref="BJ2256" si="9820">IFERROR(IF(BH2256-VLOOKUP(BE$38,$A$2:$N$12,14,FALSE)&gt;0,BH2256-VLOOKUP(BE$38,$A$2:$N$12,14,FALSE)," ")," ")</f>
        <v xml:space="preserve"> </v>
      </c>
      <c r="BK2256" s="34">
        <f t="shared" ref="BK2256" si="9821">$M$9</f>
        <v>0</v>
      </c>
      <c r="BL2256" s="34">
        <v>-1</v>
      </c>
      <c r="BM2256" s="34">
        <f t="shared" ref="BM2256" si="9822">-SUMPRODUCT($M$2:$M$8,$N$2:$N$8)-SUMPRODUCT($M$10:$M$12,$N$10:$N$12)</f>
        <v>-120000</v>
      </c>
      <c r="BN2256" s="34" t="e">
        <f t="shared" ref="BN2256" si="9823">IF(BK2256&lt;&gt;BK2257,MMULT(MINVERSE(BK2256:BL2257),BM2256:BM2257)," ")</f>
        <v>#NUM!</v>
      </c>
      <c r="BO2256" s="34" t="str">
        <f t="shared" ref="BO2256" si="9824">IFERROR(IF(BN2256-VLOOKUP(BK$38,$A$2:$N$12,14,FALSE)&lt;0,BN2256-VLOOKUP(BK$38,$A$2:$N$12,14,FALSE)," ")," ")</f>
        <v xml:space="preserve"> </v>
      </c>
      <c r="BP2256" s="34" t="str">
        <f t="shared" ref="BP2256" si="9825">IFERROR(IF(BN2256-VLOOKUP(BK$38,$A$2:$N$12,14,FALSE)&gt;0,BN2256-VLOOKUP(BK$38,$A$2:$N$12,14,FALSE)," ")," ")</f>
        <v xml:space="preserve"> </v>
      </c>
      <c r="BQ2256" s="34">
        <f t="shared" ref="BQ2256" si="9826">$M$10</f>
        <v>0</v>
      </c>
      <c r="BR2256" s="34">
        <v>-1</v>
      </c>
      <c r="BS2256" s="34">
        <f t="shared" ref="BS2256" si="9827">-SUMPRODUCT($M$2:$M$9,$N$2:$N$9)-SUMPRODUCT($M$11:$M$12,$N$11:$N$12)</f>
        <v>-120000</v>
      </c>
      <c r="BT2256" s="34" t="e">
        <f t="shared" ref="BT2256" si="9828">IF(BQ2256&lt;&gt;BQ2257,MMULT(MINVERSE(BQ2256:BR2257),BS2256:BS2257)," ")</f>
        <v>#NUM!</v>
      </c>
      <c r="BU2256" s="34" t="str">
        <f t="shared" ref="BU2256" si="9829">IFERROR(IF(BT2256-VLOOKUP(BQ$38,$A$2:$N$12,14,FALSE)&lt;0,BT2256-VLOOKUP(BQ$38,$A$2:$N$12,14,FALSE)," ")," ")</f>
        <v xml:space="preserve"> </v>
      </c>
      <c r="BV2256" s="34" t="str">
        <f t="shared" ref="BV2256" si="9830">IFERROR(IF(BT2256-VLOOKUP(BQ$38,$A$2:$N$12,14,FALSE)&gt;0,BT2256-VLOOKUP(BQ$38,$A$2:$N$12,14,FALSE)," ")," ")</f>
        <v xml:space="preserve"> </v>
      </c>
      <c r="BW2256" s="34">
        <f t="shared" ref="BW2256" si="9831">$M$11</f>
        <v>0</v>
      </c>
      <c r="BX2256" s="34">
        <v>-1</v>
      </c>
      <c r="BY2256" s="34">
        <f t="shared" ref="BY2256" si="9832">-SUMPRODUCT($M$2:$M$10,$N$2:$N$10)-SUMPRODUCT($M$12,$N$12)</f>
        <v>-120000</v>
      </c>
      <c r="BZ2256" s="34" t="e">
        <f t="shared" ref="BZ2256" si="9833">IF(BW2256&lt;&gt;BW2257,MMULT(MINVERSE(BW2256:BX2257),BY2256:BY2257)," ")</f>
        <v>#NUM!</v>
      </c>
      <c r="CA2256" s="34" t="str">
        <f t="shared" ref="CA2256" si="9834">IFERROR(IF(BZ2256-VLOOKUP(BW$38,$A$2:$N$12,14,FALSE)&lt;0,BZ2256-VLOOKUP(BW$38,$A$2:$N$12,14,FALSE)," ")," ")</f>
        <v xml:space="preserve"> </v>
      </c>
      <c r="CB2256" s="34" t="str">
        <f t="shared" ref="CB2256" si="9835">IFERROR(IF(BZ2256-VLOOKUP(BW$38,$A$2:$N$12,14,FALSE)&gt;0,BZ2256-VLOOKUP(BW$38,$A$2:$N$12,14,FALSE)," ")," ")</f>
        <v xml:space="preserve"> </v>
      </c>
      <c r="CC2256" s="34">
        <f t="shared" ref="CC2256" si="9836">$M$12</f>
        <v>0</v>
      </c>
      <c r="CD2256" s="34">
        <v>-1</v>
      </c>
      <c r="CE2256" s="34">
        <f t="shared" ref="CE2256" si="9837">-SUMPRODUCT($M$2:$M$11,$N$2:$N$11)</f>
        <v>-120000</v>
      </c>
      <c r="CF2256" s="34" t="e">
        <f t="shared" ref="CF2256" si="9838">IF(CC2256&lt;&gt;CC2257,MMULT(MINVERSE(CC2256:CD2257),CE2256:CE2257)," ")</f>
        <v>#NUM!</v>
      </c>
      <c r="CG2256" s="34" t="str">
        <f t="shared" ref="CG2256" si="9839">IFERROR(IF(CF2256-VLOOKUP(CC$38,$A$2:$N$12,14,FALSE)&lt;0,CF2256-VLOOKUP(CC$38,$A$2:$N$12,14,FALSE)," ")," ")</f>
        <v xml:space="preserve"> </v>
      </c>
      <c r="CH2256" s="34" t="str">
        <f t="shared" ref="CH2256" si="9840">IFERROR(IF(CF2256-VLOOKUP(CC$38,$A$2:$N$12,14,FALSE)&gt;0,CF2256-VLOOKUP(CC$38,$A$2:$N$12,14,FALSE)," ")," ")</f>
        <v xml:space="preserve"> </v>
      </c>
      <c r="CI2256" s="8"/>
    </row>
    <row r="2257" spans="1:87" x14ac:dyDescent="0.2">
      <c r="A2257" s="8" t="str">
        <f>IF(AND(COUNTIF(W$3:W$13,A$16)&gt;0,A$16&lt;&gt;B2070),A$16,IFERROR(IF(MATCH(A$16,Z$3:Z$13,0)=9,A$16," ")," "))</f>
        <v xml:space="preserve"> </v>
      </c>
      <c r="B2257" s="8" t="str">
        <f>IF(A2257=" "," ",MAX(B2256:B2256)+1)</f>
        <v xml:space="preserve"> </v>
      </c>
      <c r="C2257" s="8" t="str">
        <f>IFERROR(INDEX(A2256:A2277,MATCH(SMALL(B2256:B2277,2),B2256:B2277,0),1)," ")</f>
        <v>C4</v>
      </c>
      <c r="D2257" s="8">
        <f t="shared" ref="D2257:D2266" si="9841">IFERROR(VLOOKUP($C2257,$A$15:$O$36,2,FALSE)," ")</f>
        <v>1</v>
      </c>
      <c r="E2257" s="8">
        <f t="shared" ref="E2257:E2266" si="9842">IFERROR(VLOOKUP($C2257,$A$15:$O$36,3,FALSE)," ")</f>
        <v>0</v>
      </c>
      <c r="F2257" s="8">
        <f t="shared" ref="F2257:F2266" si="9843">IFERROR(VLOOKUP($C2257,$A$15:$O$36,4,FALSE)," ")</f>
        <v>1</v>
      </c>
      <c r="G2257" s="8">
        <f t="shared" ref="G2257:G2266" si="9844">IFERROR(VLOOKUP($C2257,$A$15:$O$36,5,FALSE)," ")</f>
        <v>0</v>
      </c>
      <c r="H2257" s="8">
        <f t="shared" ref="H2257:H2266" si="9845">IFERROR(VLOOKUP($C2257,$A$15:$O$36,6,FALSE)," ")</f>
        <v>0</v>
      </c>
      <c r="I2257" s="8">
        <f t="shared" ref="I2257:I2266" si="9846">IFERROR(VLOOKUP($C2257,$A$15:$O$36,7,FALSE)," ")</f>
        <v>0</v>
      </c>
      <c r="J2257" s="8">
        <f t="shared" ref="J2257:J2266" si="9847">IFERROR(VLOOKUP($C2257,$A$15:$O$36,8,FALSE)," ")</f>
        <v>0</v>
      </c>
      <c r="K2257" s="8">
        <f t="shared" ref="K2257:K2266" si="9848">IFERROR(VLOOKUP($C2257,$A$15:$O$36,9,FALSE)," ")</f>
        <v>0</v>
      </c>
      <c r="L2257" s="8">
        <f t="shared" ref="L2257:L2266" si="9849">IFERROR(VLOOKUP($C2257,$A$15:$O$36,10,FALSE)," ")</f>
        <v>0</v>
      </c>
      <c r="M2257" s="8">
        <f t="shared" ref="M2257:M2266" si="9850">IFERROR(VLOOKUP($C2257,$A$15:$O$36,11,FALSE)," ")</f>
        <v>0</v>
      </c>
      <c r="N2257" s="8">
        <f t="shared" ref="N2257:N2266" si="9851">IFERROR(VLOOKUP($C2257,$A$15:$O$36,12,FALSE)," ")</f>
        <v>0</v>
      </c>
      <c r="O2257" s="8">
        <f t="shared" ref="O2257:O2266" si="9852">IFERROR(VLOOKUP($C2257,$A$15:$O$36,15,FALSE)," ")</f>
        <v>400</v>
      </c>
      <c r="P2257" s="8" t="e">
        <v>#NUM!</v>
      </c>
      <c r="Q2257" s="8" t="e">
        <f t="shared" ref="Q2257" si="9853">IF(COUNTIF(P2256:P2266,"&lt;"&amp;-0.001)=0,IF(ABS(P2257)&lt;0.001,0,P2257)," ")</f>
        <v>#NUM!</v>
      </c>
      <c r="R2257" s="8"/>
      <c r="S2257" s="8"/>
      <c r="U2257" s="34" t="e">
        <f t="shared" ref="U2257" si="9854">$Q2256</f>
        <v>#NUM!</v>
      </c>
      <c r="V2257" s="34">
        <v>-1</v>
      </c>
      <c r="W2257" s="34" t="e">
        <f t="shared" ref="W2257" si="9855">-SUMPRODUCT($Q2257:$Q2266,$N$3:$N$12)</f>
        <v>#NUM!</v>
      </c>
      <c r="X2257" s="34"/>
      <c r="Y2257" s="34"/>
      <c r="Z2257" s="34"/>
      <c r="AA2257" s="34" t="e">
        <f t="shared" ref="AA2257" si="9856">$Q2257</f>
        <v>#NUM!</v>
      </c>
      <c r="AB2257" s="34">
        <v>-1</v>
      </c>
      <c r="AC2257" s="34" t="e">
        <f t="shared" ref="AC2257" si="9857">-SUMPRODUCT($Q2256:$Q2256,$N$2:$N$2)-SUMPRODUCT($Q2258:$Q2266,$N$4:$N$12)</f>
        <v>#NUM!</v>
      </c>
      <c r="AD2257" s="34"/>
      <c r="AE2257" s="34"/>
      <c r="AF2257" s="34"/>
      <c r="AG2257" s="34" t="e">
        <f t="shared" ref="AG2257" si="9858">$Q2258</f>
        <v>#NUM!</v>
      </c>
      <c r="AH2257" s="34">
        <v>-1</v>
      </c>
      <c r="AI2257" s="34" t="e">
        <f t="shared" ref="AI2257" si="9859">-SUMPRODUCT($Q2256:$Q2257,$N$2:$N$3)-SUMPRODUCT($Q2259:$Q2266,$N$5:$N$12)</f>
        <v>#NUM!</v>
      </c>
      <c r="AJ2257" s="34"/>
      <c r="AK2257" s="34"/>
      <c r="AL2257" s="34"/>
      <c r="AM2257" s="34" t="e">
        <f t="shared" ref="AM2257" si="9860">$Q2259</f>
        <v>#NUM!</v>
      </c>
      <c r="AN2257" s="34">
        <v>-1</v>
      </c>
      <c r="AO2257" s="34" t="e">
        <f t="shared" ref="AO2257" si="9861">-SUMPRODUCT($Q2256:$Q2258,$N$2:$N$4)-SUMPRODUCT($Q2260:$Q2266,$N$6:$N$12)</f>
        <v>#NUM!</v>
      </c>
      <c r="AP2257" s="34"/>
      <c r="AQ2257" s="34"/>
      <c r="AR2257" s="34"/>
      <c r="AS2257" s="34" t="e">
        <f t="shared" ref="AS2257" si="9862">$Q2260</f>
        <v>#NUM!</v>
      </c>
      <c r="AT2257" s="34">
        <v>-1</v>
      </c>
      <c r="AU2257" s="34" t="e">
        <f t="shared" ref="AU2257" si="9863">-SUMPRODUCT($Q2256:$Q2259,$N$2:$N$5)-SUMPRODUCT($Q2261:$Q2266,$N$7:$N$12)</f>
        <v>#NUM!</v>
      </c>
      <c r="AV2257" s="34"/>
      <c r="AW2257" s="34"/>
      <c r="AX2257" s="34"/>
      <c r="AY2257" s="34" t="e">
        <f t="shared" ref="AY2257" si="9864">$Q2261</f>
        <v>#NUM!</v>
      </c>
      <c r="AZ2257" s="34">
        <v>-1</v>
      </c>
      <c r="BA2257" s="34" t="e">
        <f t="shared" ref="BA2257" si="9865">-SUMPRODUCT($Q2256:$Q2260,$N$2:$N$6)-SUMPRODUCT($Q2262:$Q2266,$N$8:$N$12)</f>
        <v>#NUM!</v>
      </c>
      <c r="BB2257" s="34"/>
      <c r="BC2257" s="34"/>
      <c r="BD2257" s="34"/>
      <c r="BE2257" s="34" t="e">
        <f t="shared" ref="BE2257" si="9866">$Q2262</f>
        <v>#NUM!</v>
      </c>
      <c r="BF2257" s="34">
        <v>-1</v>
      </c>
      <c r="BG2257" s="34" t="e">
        <f t="shared" ref="BG2257" si="9867">-SUMPRODUCT($Q2256:$Q2261,$N$2:$N$7)-SUMPRODUCT($Q2263:$Q2266,$N$9:$N$12)</f>
        <v>#NUM!</v>
      </c>
      <c r="BH2257" s="34"/>
      <c r="BI2257" s="34"/>
      <c r="BJ2257" s="34"/>
      <c r="BK2257" s="34" t="e">
        <f t="shared" ref="BK2257" si="9868">$Q2263</f>
        <v>#NUM!</v>
      </c>
      <c r="BL2257" s="34">
        <v>-1</v>
      </c>
      <c r="BM2257" s="34" t="e">
        <f t="shared" ref="BM2257" si="9869">-SUMPRODUCT($Q2256:$Q2262,$N$2:$N$8)-SUMPRODUCT($Q2264:$Q2266,$N$10:$N$12)</f>
        <v>#NUM!</v>
      </c>
      <c r="BN2257" s="34"/>
      <c r="BO2257" s="34"/>
      <c r="BP2257" s="34"/>
      <c r="BQ2257" s="34" t="e">
        <f t="shared" ref="BQ2257" si="9870">$Q2264</f>
        <v>#NUM!</v>
      </c>
      <c r="BR2257" s="34">
        <v>-1</v>
      </c>
      <c r="BS2257" s="34" t="e">
        <f t="shared" ref="BS2257" si="9871">-SUMPRODUCT($Q2256:$Q2263,$N$2:$N$9)-SUMPRODUCT($Q2265:$Q2266,$N$11:$N$12)</f>
        <v>#NUM!</v>
      </c>
      <c r="BT2257" s="34"/>
      <c r="BU2257" s="34"/>
      <c r="BV2257" s="34"/>
      <c r="BW2257" s="34" t="e">
        <f t="shared" ref="BW2257" si="9872">$Q2265</f>
        <v>#NUM!</v>
      </c>
      <c r="BX2257" s="34">
        <v>-1</v>
      </c>
      <c r="BY2257" s="34" t="e">
        <f t="shared" ref="BY2257" si="9873">-SUMPRODUCT($Q2256:$Q2264,$N$2:$N$10)-SUMPRODUCT($Q2266,$N$12)</f>
        <v>#NUM!</v>
      </c>
      <c r="BZ2257" s="34"/>
      <c r="CA2257" s="34"/>
      <c r="CB2257" s="34"/>
      <c r="CC2257" s="34" t="e">
        <f t="shared" ref="CC2257" si="9874">$Q2266</f>
        <v>#NUM!</v>
      </c>
      <c r="CD2257" s="34">
        <v>-1</v>
      </c>
      <c r="CE2257" s="34" t="e">
        <f t="shared" ref="CE2257" si="9875">-SUMPRODUCT($Q2256:$Q2265,$N$2:$N$11)</f>
        <v>#NUM!</v>
      </c>
      <c r="CF2257" s="34"/>
      <c r="CG2257" s="34"/>
      <c r="CH2257" s="34"/>
      <c r="CI2257" s="8"/>
    </row>
    <row r="2258" spans="1:87" x14ac:dyDescent="0.2">
      <c r="A2258" s="8" t="str">
        <f>IF(AND(COUNTIF(W$3:W$13,A$17)&gt;0,A$17&lt;&gt;B2070),A$17,IFERROR(IF(MATCH(A$17,Z$3:Z$13,0)=9,A$17," ")," "))</f>
        <v>C3</v>
      </c>
      <c r="B2258" s="8">
        <f>IF(A2258=" "," ",MAX(B2256:B2257)+1)</f>
        <v>1</v>
      </c>
      <c r="C2258" s="8" t="str">
        <f>IFERROR(INDEX(A2256:A2277,MATCH(SMALL(B2256:B2277,3),B2256:B2277,0),1)," ")</f>
        <v>C11</v>
      </c>
      <c r="D2258" s="8">
        <f t="shared" si="9841"/>
        <v>0</v>
      </c>
      <c r="E2258" s="8">
        <f t="shared" si="9842"/>
        <v>0</v>
      </c>
      <c r="F2258" s="8">
        <f t="shared" si="9843"/>
        <v>0</v>
      </c>
      <c r="G2258" s="8">
        <f t="shared" si="9844"/>
        <v>0</v>
      </c>
      <c r="H2258" s="8">
        <f t="shared" si="9845"/>
        <v>0</v>
      </c>
      <c r="I2258" s="8">
        <f t="shared" si="9846"/>
        <v>0</v>
      </c>
      <c r="J2258" s="8">
        <f t="shared" si="9847"/>
        <v>0</v>
      </c>
      <c r="K2258" s="8">
        <f t="shared" si="9848"/>
        <v>0</v>
      </c>
      <c r="L2258" s="8">
        <f t="shared" si="9849"/>
        <v>0</v>
      </c>
      <c r="M2258" s="8">
        <f t="shared" si="9850"/>
        <v>0</v>
      </c>
      <c r="N2258" s="8">
        <f t="shared" si="9851"/>
        <v>0</v>
      </c>
      <c r="O2258" s="8">
        <f t="shared" si="9852"/>
        <v>0</v>
      </c>
      <c r="P2258" s="8" t="e">
        <v>#NUM!</v>
      </c>
      <c r="Q2258" s="8" t="e">
        <f t="shared" ref="Q2258" si="9876">IF(COUNTIF(P2256:P2266,"&lt;"&amp;-0.001)=0,IF(ABS(P2258)&lt;0.001,0,P2258)," ")</f>
        <v>#NUM!</v>
      </c>
      <c r="R2258" s="8"/>
      <c r="S2258" s="8"/>
      <c r="U2258" s="34"/>
      <c r="V2258" s="34"/>
      <c r="W2258" s="34"/>
      <c r="X2258" s="34"/>
      <c r="Y2258" s="34"/>
      <c r="Z2258" s="34"/>
      <c r="AA2258" s="34"/>
      <c r="AB2258" s="34"/>
      <c r="AC2258" s="34"/>
      <c r="AD2258" s="34"/>
      <c r="AE2258" s="34"/>
      <c r="AF2258" s="34"/>
      <c r="AG2258" s="34"/>
      <c r="AH2258" s="34"/>
      <c r="AI2258" s="34"/>
      <c r="AJ2258" s="34"/>
      <c r="AK2258" s="34"/>
      <c r="AL2258" s="34"/>
      <c r="AM2258" s="34"/>
      <c r="AN2258" s="34"/>
      <c r="AO2258" s="34"/>
      <c r="AP2258" s="34"/>
      <c r="AQ2258" s="34"/>
      <c r="AR2258" s="34"/>
      <c r="AS2258" s="34"/>
      <c r="AT2258" s="34"/>
      <c r="AU2258" s="34"/>
      <c r="AV2258" s="34"/>
      <c r="AW2258" s="34"/>
      <c r="AX2258" s="34"/>
      <c r="AY2258" s="34"/>
      <c r="AZ2258" s="34"/>
      <c r="BA2258" s="34"/>
      <c r="BB2258" s="34"/>
      <c r="BC2258" s="34"/>
      <c r="BD2258" s="34"/>
      <c r="BE2258" s="34"/>
      <c r="BF2258" s="34"/>
      <c r="BG2258" s="34"/>
      <c r="BH2258" s="34"/>
      <c r="BI2258" s="34"/>
      <c r="BJ2258" s="34"/>
      <c r="BK2258" s="34"/>
      <c r="BL2258" s="34"/>
      <c r="BM2258" s="34"/>
      <c r="BN2258" s="34"/>
      <c r="BO2258" s="34"/>
      <c r="BP2258" s="34"/>
      <c r="BQ2258" s="34"/>
      <c r="BR2258" s="34"/>
      <c r="BS2258" s="34"/>
      <c r="BT2258" s="34"/>
      <c r="BU2258" s="34"/>
      <c r="BV2258" s="34"/>
      <c r="BW2258" s="34"/>
      <c r="BX2258" s="34"/>
      <c r="BY2258" s="34"/>
      <c r="BZ2258" s="34"/>
      <c r="CA2258" s="34"/>
      <c r="CB2258" s="34"/>
      <c r="CC2258" s="34"/>
      <c r="CD2258" s="34"/>
      <c r="CE2258" s="34"/>
      <c r="CF2258" s="34"/>
      <c r="CG2258" s="34"/>
      <c r="CH2258" s="34"/>
      <c r="CI2258" s="8"/>
    </row>
    <row r="2259" spans="1:87" x14ac:dyDescent="0.2">
      <c r="A2259" s="8" t="str">
        <f>IF(AND(COUNTIF(W$3:W$13,A$18)&gt;0,A$18&lt;&gt;B2070),A$18,IFERROR(IF(MATCH(A$18,Z$3:Z$13,0)=9,A$18," ")," "))</f>
        <v>C4</v>
      </c>
      <c r="B2259" s="8">
        <f>IF(A2259=" "," ",MAX(B2256:B2258)+1)</f>
        <v>2</v>
      </c>
      <c r="C2259" s="8" t="str">
        <f>IFERROR(INDEX(A2256:A2277,MATCH(SMALL(B2256:B2277,4),B2256:B2277,0),1)," ")</f>
        <v>C13</v>
      </c>
      <c r="D2259" s="8">
        <f t="shared" si="9841"/>
        <v>0</v>
      </c>
      <c r="E2259" s="8">
        <f t="shared" si="9842"/>
        <v>1</v>
      </c>
      <c r="F2259" s="8">
        <f t="shared" si="9843"/>
        <v>0</v>
      </c>
      <c r="G2259" s="8">
        <f t="shared" si="9844"/>
        <v>0</v>
      </c>
      <c r="H2259" s="8">
        <f t="shared" si="9845"/>
        <v>0</v>
      </c>
      <c r="I2259" s="8">
        <f t="shared" si="9846"/>
        <v>0</v>
      </c>
      <c r="J2259" s="8">
        <f t="shared" si="9847"/>
        <v>0</v>
      </c>
      <c r="K2259" s="8">
        <f t="shared" si="9848"/>
        <v>0</v>
      </c>
      <c r="L2259" s="8">
        <f t="shared" si="9849"/>
        <v>0</v>
      </c>
      <c r="M2259" s="8">
        <f t="shared" si="9850"/>
        <v>0</v>
      </c>
      <c r="N2259" s="8">
        <f t="shared" si="9851"/>
        <v>0</v>
      </c>
      <c r="O2259" s="8">
        <f t="shared" si="9852"/>
        <v>0</v>
      </c>
      <c r="P2259" s="8" t="e">
        <v>#NUM!</v>
      </c>
      <c r="Q2259" s="8" t="e">
        <f t="shared" ref="Q2259" si="9877">IF(COUNTIF(P2256:P2266,"&lt;"&amp;-0.001)=0,IF(ABS(P2259)&lt;0.001,0,P2259)," ")</f>
        <v>#NUM!</v>
      </c>
      <c r="R2259" s="8"/>
      <c r="S2259" s="8"/>
      <c r="U2259" s="34"/>
      <c r="V2259" s="34"/>
      <c r="W2259" s="34"/>
      <c r="X2259" s="34"/>
      <c r="Y2259" s="34"/>
      <c r="Z2259" s="34"/>
      <c r="AA2259" s="34"/>
      <c r="AB2259" s="34"/>
      <c r="AC2259" s="34"/>
      <c r="AD2259" s="34"/>
      <c r="AE2259" s="34"/>
      <c r="AF2259" s="34"/>
      <c r="AG2259" s="34"/>
      <c r="AH2259" s="34"/>
      <c r="AI2259" s="34"/>
      <c r="AJ2259" s="34"/>
      <c r="AK2259" s="34"/>
      <c r="AL2259" s="34"/>
      <c r="AM2259" s="34"/>
      <c r="AN2259" s="34"/>
      <c r="AO2259" s="34"/>
      <c r="AP2259" s="34"/>
      <c r="AQ2259" s="34"/>
      <c r="AR2259" s="34"/>
      <c r="AS2259" s="34"/>
      <c r="AT2259" s="34"/>
      <c r="AU2259" s="34"/>
      <c r="AV2259" s="34"/>
      <c r="AW2259" s="34"/>
      <c r="AX2259" s="34"/>
      <c r="AY2259" s="34"/>
      <c r="AZ2259" s="34"/>
      <c r="BA2259" s="34"/>
      <c r="BB2259" s="34"/>
      <c r="BC2259" s="34"/>
      <c r="BD2259" s="34"/>
      <c r="BE2259" s="34"/>
      <c r="BF2259" s="34"/>
      <c r="BG2259" s="34"/>
      <c r="BH2259" s="34"/>
      <c r="BI2259" s="34"/>
      <c r="BJ2259" s="34"/>
      <c r="BK2259" s="34"/>
      <c r="BL2259" s="34"/>
      <c r="BM2259" s="34"/>
      <c r="BN2259" s="34"/>
      <c r="BO2259" s="34"/>
      <c r="BP2259" s="34"/>
      <c r="BQ2259" s="34"/>
      <c r="BR2259" s="34"/>
      <c r="BS2259" s="34"/>
      <c r="BT2259" s="34"/>
      <c r="BU2259" s="34"/>
      <c r="BV2259" s="34"/>
      <c r="BW2259" s="34"/>
      <c r="BX2259" s="34"/>
      <c r="BY2259" s="34"/>
      <c r="BZ2259" s="34"/>
      <c r="CA2259" s="34"/>
      <c r="CB2259" s="34"/>
      <c r="CC2259" s="34"/>
      <c r="CD2259" s="34"/>
      <c r="CE2259" s="34"/>
      <c r="CF2259" s="34"/>
      <c r="CG2259" s="34"/>
      <c r="CH2259" s="34"/>
      <c r="CI2259" s="8"/>
    </row>
    <row r="2260" spans="1:87" x14ac:dyDescent="0.2">
      <c r="A2260" s="8" t="str">
        <f>IF(AND(COUNTIF(W$3:W$13,A$19)&gt;0,A$19&lt;&gt;B2070),A$19,IFERROR(IF(MATCH(A$19,Z$3:Z$13,0)=9,A$19," ")," "))</f>
        <v xml:space="preserve"> </v>
      </c>
      <c r="B2260" s="8" t="str">
        <f>IF(A2260=" "," ",MAX(B2256:B2259)+1)</f>
        <v xml:space="preserve"> </v>
      </c>
      <c r="C2260" s="8" t="str">
        <f>IFERROR(INDEX(A2256:A2277,MATCH(SMALL(B2256:B2277,5),B2256:B2277,0),1)," ")</f>
        <v>C15</v>
      </c>
      <c r="D2260" s="8">
        <f t="shared" si="9841"/>
        <v>0</v>
      </c>
      <c r="E2260" s="8">
        <f t="shared" si="9842"/>
        <v>0</v>
      </c>
      <c r="F2260" s="8">
        <f t="shared" si="9843"/>
        <v>0</v>
      </c>
      <c r="G2260" s="8">
        <f t="shared" si="9844"/>
        <v>1</v>
      </c>
      <c r="H2260" s="8">
        <f t="shared" si="9845"/>
        <v>0</v>
      </c>
      <c r="I2260" s="8">
        <f t="shared" si="9846"/>
        <v>0</v>
      </c>
      <c r="J2260" s="8">
        <f t="shared" si="9847"/>
        <v>0</v>
      </c>
      <c r="K2260" s="8">
        <f t="shared" si="9848"/>
        <v>0</v>
      </c>
      <c r="L2260" s="8">
        <f t="shared" si="9849"/>
        <v>0</v>
      </c>
      <c r="M2260" s="8">
        <f t="shared" si="9850"/>
        <v>0</v>
      </c>
      <c r="N2260" s="8">
        <f t="shared" si="9851"/>
        <v>0</v>
      </c>
      <c r="O2260" s="8">
        <f t="shared" si="9852"/>
        <v>0</v>
      </c>
      <c r="P2260" s="8" t="e">
        <v>#NUM!</v>
      </c>
      <c r="Q2260" s="8" t="e">
        <f t="shared" ref="Q2260" si="9878">IF(COUNTIF(P2256:P2266,"&lt;"&amp;-0.001)=0,IF(ABS(P2260)&lt;0.001,0,P2260)," ")</f>
        <v>#NUM!</v>
      </c>
      <c r="R2260" s="8"/>
      <c r="S2260" s="8"/>
      <c r="U2260" s="34"/>
      <c r="V2260" s="34"/>
      <c r="W2260" s="34"/>
      <c r="X2260" s="34"/>
      <c r="Y2260" s="34"/>
      <c r="Z2260" s="34"/>
      <c r="AA2260" s="34"/>
      <c r="AB2260" s="34"/>
      <c r="AC2260" s="34"/>
      <c r="AD2260" s="34"/>
      <c r="AE2260" s="34"/>
      <c r="AF2260" s="34"/>
      <c r="AG2260" s="34"/>
      <c r="AH2260" s="34"/>
      <c r="AI2260" s="34"/>
      <c r="AJ2260" s="34"/>
      <c r="AK2260" s="34"/>
      <c r="AL2260" s="34"/>
      <c r="AM2260" s="34"/>
      <c r="AN2260" s="34"/>
      <c r="AO2260" s="34"/>
      <c r="AP2260" s="34"/>
      <c r="AQ2260" s="34"/>
      <c r="AR2260" s="34"/>
      <c r="AS2260" s="34"/>
      <c r="AT2260" s="34"/>
      <c r="AU2260" s="34"/>
      <c r="AV2260" s="34"/>
      <c r="AW2260" s="34"/>
      <c r="AX2260" s="34"/>
      <c r="AY2260" s="34"/>
      <c r="AZ2260" s="34"/>
      <c r="BA2260" s="34"/>
      <c r="BB2260" s="34"/>
      <c r="BC2260" s="34"/>
      <c r="BD2260" s="34"/>
      <c r="BE2260" s="34"/>
      <c r="BF2260" s="34"/>
      <c r="BG2260" s="34"/>
      <c r="BH2260" s="34"/>
      <c r="BI2260" s="34"/>
      <c r="BJ2260" s="34"/>
      <c r="BK2260" s="34"/>
      <c r="BL2260" s="34"/>
      <c r="BM2260" s="34"/>
      <c r="BN2260" s="34"/>
      <c r="BO2260" s="34"/>
      <c r="BP2260" s="34"/>
      <c r="BQ2260" s="34"/>
      <c r="BR2260" s="34"/>
      <c r="BS2260" s="34"/>
      <c r="BT2260" s="34"/>
      <c r="BU2260" s="34"/>
      <c r="BV2260" s="34"/>
      <c r="BW2260" s="34"/>
      <c r="BX2260" s="34"/>
      <c r="BY2260" s="34"/>
      <c r="BZ2260" s="34"/>
      <c r="CA2260" s="34"/>
      <c r="CB2260" s="34"/>
      <c r="CC2260" s="34"/>
      <c r="CD2260" s="34"/>
      <c r="CE2260" s="34"/>
      <c r="CF2260" s="34"/>
      <c r="CG2260" s="34"/>
      <c r="CH2260" s="34"/>
      <c r="CI2260" s="8"/>
    </row>
    <row r="2261" spans="1:87" x14ac:dyDescent="0.2">
      <c r="A2261" s="8" t="str">
        <f>IF(AND(COUNTIF(W$3:W$13,A$20)&gt;0,A$20&lt;&gt;B2070),A$20,IFERROR(IF(MATCH(A$20,Z$3:Z$13,0)=9,A$20," ")," "))</f>
        <v xml:space="preserve"> </v>
      </c>
      <c r="B2261" s="8" t="str">
        <f>IF(A2261=" "," ",MAX(B2256:B2260)+1)</f>
        <v xml:space="preserve"> </v>
      </c>
      <c r="C2261" s="8" t="str">
        <f>IFERROR(INDEX(A2256:A2277,MATCH(SMALL(B2256:B2277,6),B2256:B2277,0),1)," ")</f>
        <v>C16</v>
      </c>
      <c r="D2261" s="8">
        <f t="shared" si="9841"/>
        <v>0</v>
      </c>
      <c r="E2261" s="8">
        <f t="shared" si="9842"/>
        <v>0</v>
      </c>
      <c r="F2261" s="8">
        <f t="shared" si="9843"/>
        <v>0</v>
      </c>
      <c r="G2261" s="8">
        <f t="shared" si="9844"/>
        <v>0</v>
      </c>
      <c r="H2261" s="8">
        <f t="shared" si="9845"/>
        <v>1</v>
      </c>
      <c r="I2261" s="8">
        <f t="shared" si="9846"/>
        <v>0</v>
      </c>
      <c r="J2261" s="8">
        <f t="shared" si="9847"/>
        <v>0</v>
      </c>
      <c r="K2261" s="8">
        <f t="shared" si="9848"/>
        <v>0</v>
      </c>
      <c r="L2261" s="8">
        <f t="shared" si="9849"/>
        <v>0</v>
      </c>
      <c r="M2261" s="8">
        <f t="shared" si="9850"/>
        <v>0</v>
      </c>
      <c r="N2261" s="8">
        <f t="shared" si="9851"/>
        <v>0</v>
      </c>
      <c r="O2261" s="8">
        <f t="shared" si="9852"/>
        <v>0</v>
      </c>
      <c r="P2261" s="8" t="e">
        <v>#NUM!</v>
      </c>
      <c r="Q2261" s="8" t="e">
        <f t="shared" ref="Q2261" si="9879">IF(COUNTIF(P2256:P2266,"&lt;"&amp;-0.001)=0,IF(ABS(P2261)&lt;0.001,0,P2261)," ")</f>
        <v>#NUM!</v>
      </c>
      <c r="R2261" s="8"/>
      <c r="S2261" s="8"/>
      <c r="U2261" s="34"/>
      <c r="V2261" s="34"/>
      <c r="W2261" s="34"/>
      <c r="X2261" s="34"/>
      <c r="Y2261" s="34"/>
      <c r="Z2261" s="34"/>
      <c r="AA2261" s="34"/>
      <c r="AB2261" s="34"/>
      <c r="AC2261" s="34"/>
      <c r="AD2261" s="34"/>
      <c r="AE2261" s="34"/>
      <c r="AF2261" s="34"/>
      <c r="AG2261" s="34"/>
      <c r="AH2261" s="34"/>
      <c r="AI2261" s="34"/>
      <c r="AJ2261" s="34"/>
      <c r="AK2261" s="34"/>
      <c r="AL2261" s="34"/>
      <c r="AM2261" s="34"/>
      <c r="AN2261" s="34"/>
      <c r="AO2261" s="34"/>
      <c r="AP2261" s="34"/>
      <c r="AQ2261" s="34"/>
      <c r="AR2261" s="34"/>
      <c r="AS2261" s="34"/>
      <c r="AT2261" s="34"/>
      <c r="AU2261" s="34"/>
      <c r="AV2261" s="34"/>
      <c r="AW2261" s="34"/>
      <c r="AX2261" s="34"/>
      <c r="AY2261" s="34"/>
      <c r="AZ2261" s="34"/>
      <c r="BA2261" s="34"/>
      <c r="BB2261" s="34"/>
      <c r="BC2261" s="34"/>
      <c r="BD2261" s="34"/>
      <c r="BE2261" s="34"/>
      <c r="BF2261" s="34"/>
      <c r="BG2261" s="34"/>
      <c r="BH2261" s="34"/>
      <c r="BI2261" s="34"/>
      <c r="BJ2261" s="34"/>
      <c r="BK2261" s="34"/>
      <c r="BL2261" s="34"/>
      <c r="BM2261" s="34"/>
      <c r="BN2261" s="34"/>
      <c r="BO2261" s="34"/>
      <c r="BP2261" s="34"/>
      <c r="BQ2261" s="34"/>
      <c r="BR2261" s="34"/>
      <c r="BS2261" s="34"/>
      <c r="BT2261" s="34"/>
      <c r="BU2261" s="34"/>
      <c r="BV2261" s="34"/>
      <c r="BW2261" s="34"/>
      <c r="BX2261" s="34"/>
      <c r="BY2261" s="34"/>
      <c r="BZ2261" s="34"/>
      <c r="CA2261" s="34"/>
      <c r="CB2261" s="34"/>
      <c r="CC2261" s="34"/>
      <c r="CD2261" s="34"/>
      <c r="CE2261" s="34"/>
      <c r="CF2261" s="34"/>
      <c r="CG2261" s="34"/>
      <c r="CH2261" s="34"/>
      <c r="CI2261" s="8"/>
    </row>
    <row r="2262" spans="1:87" x14ac:dyDescent="0.2">
      <c r="A2262" s="8" t="str">
        <f>IF(AND(COUNTIF(W$3:W$13,A$21)&gt;0,A$21&lt;&gt;B2070),A$21,IFERROR(IF(MATCH(A$21,Z$3:Z$13,0)=9,A$21," ")," "))</f>
        <v xml:space="preserve"> </v>
      </c>
      <c r="B2262" s="8" t="str">
        <f>IF(A2262=" "," ",MAX(B2256:B2261)+1)</f>
        <v xml:space="preserve"> </v>
      </c>
      <c r="C2262" s="8" t="str">
        <f>IFERROR(INDEX(A2256:A2277,MATCH(SMALL(B2256:B2277,7),B2256:B2277,0),1)," ")</f>
        <v>C17</v>
      </c>
      <c r="D2262" s="8">
        <f t="shared" si="9841"/>
        <v>0</v>
      </c>
      <c r="E2262" s="8">
        <f t="shared" si="9842"/>
        <v>0</v>
      </c>
      <c r="F2262" s="8">
        <f t="shared" si="9843"/>
        <v>0</v>
      </c>
      <c r="G2262" s="8">
        <f t="shared" si="9844"/>
        <v>0</v>
      </c>
      <c r="H2262" s="8">
        <f t="shared" si="9845"/>
        <v>0</v>
      </c>
      <c r="I2262" s="8">
        <f t="shared" si="9846"/>
        <v>1</v>
      </c>
      <c r="J2262" s="8">
        <f t="shared" si="9847"/>
        <v>0</v>
      </c>
      <c r="K2262" s="8">
        <f t="shared" si="9848"/>
        <v>0</v>
      </c>
      <c r="L2262" s="8">
        <f t="shared" si="9849"/>
        <v>0</v>
      </c>
      <c r="M2262" s="8">
        <f t="shared" si="9850"/>
        <v>0</v>
      </c>
      <c r="N2262" s="8">
        <f t="shared" si="9851"/>
        <v>0</v>
      </c>
      <c r="O2262" s="8">
        <f t="shared" si="9852"/>
        <v>0</v>
      </c>
      <c r="P2262" s="8" t="e">
        <v>#NUM!</v>
      </c>
      <c r="Q2262" s="8" t="e">
        <f t="shared" ref="Q2262" si="9880">IF(COUNTIF(P2256:P2266,"&lt;"&amp;-0.001)=0,IF(ABS(P2262)&lt;0.001,0,P2262)," ")</f>
        <v>#NUM!</v>
      </c>
      <c r="R2262" s="8"/>
      <c r="S2262" s="8"/>
      <c r="U2262" s="34"/>
      <c r="V2262" s="34"/>
      <c r="W2262" s="34"/>
      <c r="X2262" s="34"/>
      <c r="Y2262" s="34"/>
      <c r="Z2262" s="34"/>
      <c r="AA2262" s="34"/>
      <c r="AB2262" s="34"/>
      <c r="AC2262" s="34"/>
      <c r="AD2262" s="34"/>
      <c r="AE2262" s="34"/>
      <c r="AF2262" s="34"/>
      <c r="AG2262" s="34"/>
      <c r="AH2262" s="34"/>
      <c r="AI2262" s="34"/>
      <c r="AJ2262" s="34"/>
      <c r="AK2262" s="34"/>
      <c r="AL2262" s="34"/>
      <c r="AM2262" s="34"/>
      <c r="AN2262" s="34"/>
      <c r="AO2262" s="34"/>
      <c r="AP2262" s="34"/>
      <c r="AQ2262" s="34"/>
      <c r="AR2262" s="34"/>
      <c r="AS2262" s="34"/>
      <c r="AT2262" s="34"/>
      <c r="AU2262" s="34"/>
      <c r="AV2262" s="34"/>
      <c r="AW2262" s="34"/>
      <c r="AX2262" s="34"/>
      <c r="AY2262" s="34"/>
      <c r="AZ2262" s="34"/>
      <c r="BA2262" s="34"/>
      <c r="BB2262" s="34"/>
      <c r="BC2262" s="34"/>
      <c r="BD2262" s="34"/>
      <c r="BE2262" s="34"/>
      <c r="BF2262" s="34"/>
      <c r="BG2262" s="34"/>
      <c r="BH2262" s="34"/>
      <c r="BI2262" s="34"/>
      <c r="BJ2262" s="34"/>
      <c r="BK2262" s="34"/>
      <c r="BL2262" s="34"/>
      <c r="BM2262" s="34"/>
      <c r="BN2262" s="34"/>
      <c r="BO2262" s="34"/>
      <c r="BP2262" s="34"/>
      <c r="BQ2262" s="34"/>
      <c r="BR2262" s="34"/>
      <c r="BS2262" s="34"/>
      <c r="BT2262" s="34"/>
      <c r="BU2262" s="34"/>
      <c r="BV2262" s="34"/>
      <c r="BW2262" s="34"/>
      <c r="BX2262" s="34"/>
      <c r="BY2262" s="34"/>
      <c r="BZ2262" s="34"/>
      <c r="CA2262" s="34"/>
      <c r="CB2262" s="34"/>
      <c r="CC2262" s="34"/>
      <c r="CD2262" s="34"/>
      <c r="CE2262" s="34"/>
      <c r="CF2262" s="34"/>
      <c r="CG2262" s="34"/>
      <c r="CH2262" s="34"/>
      <c r="CI2262" s="8"/>
    </row>
    <row r="2263" spans="1:87" x14ac:dyDescent="0.2">
      <c r="A2263" s="8" t="str">
        <f>IF(AND(COUNTIF(W$3:W$13,A$22)&gt;0,A$22&lt;&gt;B2070),A$22,IFERROR(IF(MATCH(A$22,Z$3:Z$13,0)=9,A$22," ")," "))</f>
        <v xml:space="preserve"> </v>
      </c>
      <c r="B2263" s="8" t="str">
        <f>IF(A2263=" "," ",MAX(B2256:B2262)+1)</f>
        <v xml:space="preserve"> </v>
      </c>
      <c r="C2263" s="8" t="str">
        <f>IFERROR(INDEX(A2256:A2277,MATCH(SMALL(B2256:B2277,8),B2256:B2277,0),1)," ")</f>
        <v>C18</v>
      </c>
      <c r="D2263" s="8">
        <f t="shared" si="9841"/>
        <v>0</v>
      </c>
      <c r="E2263" s="8">
        <f t="shared" si="9842"/>
        <v>0</v>
      </c>
      <c r="F2263" s="8">
        <f t="shared" si="9843"/>
        <v>0</v>
      </c>
      <c r="G2263" s="8">
        <f t="shared" si="9844"/>
        <v>0</v>
      </c>
      <c r="H2263" s="8">
        <f t="shared" si="9845"/>
        <v>0</v>
      </c>
      <c r="I2263" s="8">
        <f t="shared" si="9846"/>
        <v>0</v>
      </c>
      <c r="J2263" s="8">
        <f t="shared" si="9847"/>
        <v>1</v>
      </c>
      <c r="K2263" s="8">
        <f t="shared" si="9848"/>
        <v>0</v>
      </c>
      <c r="L2263" s="8">
        <f t="shared" si="9849"/>
        <v>0</v>
      </c>
      <c r="M2263" s="8">
        <f t="shared" si="9850"/>
        <v>0</v>
      </c>
      <c r="N2263" s="8">
        <f t="shared" si="9851"/>
        <v>0</v>
      </c>
      <c r="O2263" s="8">
        <f t="shared" si="9852"/>
        <v>0</v>
      </c>
      <c r="P2263" s="8" t="e">
        <v>#NUM!</v>
      </c>
      <c r="Q2263" s="8" t="e">
        <f t="shared" ref="Q2263" si="9881">IF(COUNTIF(P2256:P2266,"&lt;"&amp;-0.001)=0,IF(ABS(P2263)&lt;0.001,0,P2263)," ")</f>
        <v>#NUM!</v>
      </c>
      <c r="R2263" s="8"/>
      <c r="S2263" s="8"/>
      <c r="U2263" s="34"/>
      <c r="V2263" s="34"/>
      <c r="W2263" s="34"/>
      <c r="X2263" s="34"/>
      <c r="Y2263" s="34"/>
      <c r="Z2263" s="34"/>
      <c r="AA2263" s="34"/>
      <c r="AB2263" s="34"/>
      <c r="AC2263" s="34"/>
      <c r="AD2263" s="34"/>
      <c r="AE2263" s="34"/>
      <c r="AF2263" s="34"/>
      <c r="AG2263" s="34"/>
      <c r="AH2263" s="34"/>
      <c r="AI2263" s="34"/>
      <c r="AJ2263" s="34"/>
      <c r="AK2263" s="34"/>
      <c r="AL2263" s="34"/>
      <c r="AM2263" s="34"/>
      <c r="AN2263" s="34"/>
      <c r="AO2263" s="34"/>
      <c r="AP2263" s="34"/>
      <c r="AQ2263" s="34"/>
      <c r="AR2263" s="34"/>
      <c r="AS2263" s="34"/>
      <c r="AT2263" s="34"/>
      <c r="AU2263" s="34"/>
      <c r="AV2263" s="34"/>
      <c r="AW2263" s="34"/>
      <c r="AX2263" s="34"/>
      <c r="AY2263" s="34"/>
      <c r="AZ2263" s="34"/>
      <c r="BA2263" s="34"/>
      <c r="BB2263" s="34"/>
      <c r="BC2263" s="34"/>
      <c r="BD2263" s="34"/>
      <c r="BE2263" s="34"/>
      <c r="BF2263" s="34"/>
      <c r="BG2263" s="34"/>
      <c r="BH2263" s="34"/>
      <c r="BI2263" s="34"/>
      <c r="BJ2263" s="34"/>
      <c r="BK2263" s="34"/>
      <c r="BL2263" s="34"/>
      <c r="BM2263" s="34"/>
      <c r="BN2263" s="34"/>
      <c r="BO2263" s="34"/>
      <c r="BP2263" s="34"/>
      <c r="BQ2263" s="34"/>
      <c r="BR2263" s="34"/>
      <c r="BS2263" s="34"/>
      <c r="BT2263" s="34"/>
      <c r="BU2263" s="34"/>
      <c r="BV2263" s="34"/>
      <c r="BW2263" s="34"/>
      <c r="BX2263" s="34"/>
      <c r="BY2263" s="34"/>
      <c r="BZ2263" s="34"/>
      <c r="CA2263" s="34"/>
      <c r="CB2263" s="34"/>
      <c r="CC2263" s="34"/>
      <c r="CD2263" s="34"/>
      <c r="CE2263" s="34"/>
      <c r="CF2263" s="34"/>
      <c r="CG2263" s="34"/>
      <c r="CH2263" s="34"/>
      <c r="CI2263" s="8"/>
    </row>
    <row r="2264" spans="1:87" x14ac:dyDescent="0.2">
      <c r="A2264" s="8" t="str">
        <f>IF(AND(COUNTIF(W$3:W$13,A$23)&gt;0,A$23&lt;&gt;B2070),A$23,IFERROR(IF(MATCH(A$23,Z$3:Z$13,0)=9,A$23," ")," "))</f>
        <v xml:space="preserve"> </v>
      </c>
      <c r="B2264" s="8" t="str">
        <f>IF(A2264=" "," ",MAX(B2256:B2263)+1)</f>
        <v xml:space="preserve"> </v>
      </c>
      <c r="C2264" s="8" t="str">
        <f>IFERROR(INDEX(A2256:A2277,MATCH(SMALL(B2256:B2277,9),B2256:B2277,0),1)," ")</f>
        <v>C19</v>
      </c>
      <c r="D2264" s="8">
        <f t="shared" si="9841"/>
        <v>0</v>
      </c>
      <c r="E2264" s="8">
        <f t="shared" si="9842"/>
        <v>0</v>
      </c>
      <c r="F2264" s="8">
        <f t="shared" si="9843"/>
        <v>0</v>
      </c>
      <c r="G2264" s="8">
        <f t="shared" si="9844"/>
        <v>0</v>
      </c>
      <c r="H2264" s="8">
        <f t="shared" si="9845"/>
        <v>0</v>
      </c>
      <c r="I2264" s="8">
        <f t="shared" si="9846"/>
        <v>0</v>
      </c>
      <c r="J2264" s="8">
        <f t="shared" si="9847"/>
        <v>0</v>
      </c>
      <c r="K2264" s="8">
        <f t="shared" si="9848"/>
        <v>1</v>
      </c>
      <c r="L2264" s="8">
        <f t="shared" si="9849"/>
        <v>0</v>
      </c>
      <c r="M2264" s="8">
        <f t="shared" si="9850"/>
        <v>0</v>
      </c>
      <c r="N2264" s="8">
        <f t="shared" si="9851"/>
        <v>0</v>
      </c>
      <c r="O2264" s="8">
        <f t="shared" si="9852"/>
        <v>0</v>
      </c>
      <c r="P2264" s="6" t="e">
        <v>#NUM!</v>
      </c>
      <c r="Q2264" s="8" t="e">
        <f t="shared" ref="Q2264" si="9882">IF(COUNTIF(P2256:P2266,"&lt;"&amp;-0.001)=0,IF(ABS(P2264)&lt;0.001,0,P2264)," ")</f>
        <v>#NUM!</v>
      </c>
      <c r="R2264" s="8"/>
      <c r="S2264" s="8"/>
      <c r="U2264" s="34"/>
      <c r="V2264" s="34"/>
      <c r="W2264" s="34"/>
      <c r="X2264" s="34"/>
      <c r="Y2264" s="34"/>
      <c r="Z2264" s="34"/>
      <c r="AA2264" s="34"/>
      <c r="AB2264" s="34"/>
      <c r="AC2264" s="34"/>
      <c r="AD2264" s="34"/>
      <c r="AE2264" s="34"/>
      <c r="AF2264" s="34"/>
      <c r="AG2264" s="34"/>
      <c r="AH2264" s="34"/>
      <c r="AI2264" s="34"/>
      <c r="AJ2264" s="34"/>
      <c r="AK2264" s="34"/>
      <c r="AL2264" s="34"/>
      <c r="AM2264" s="34"/>
      <c r="AN2264" s="34"/>
      <c r="AO2264" s="34"/>
      <c r="AP2264" s="34"/>
      <c r="AQ2264" s="34"/>
      <c r="AR2264" s="34"/>
      <c r="AS2264" s="34"/>
      <c r="AT2264" s="34"/>
      <c r="AU2264" s="34"/>
      <c r="AV2264" s="34"/>
      <c r="AW2264" s="34"/>
      <c r="AX2264" s="34"/>
      <c r="AY2264" s="34"/>
      <c r="AZ2264" s="34"/>
      <c r="BA2264" s="34"/>
      <c r="BB2264" s="34"/>
      <c r="BC2264" s="34"/>
      <c r="BD2264" s="34"/>
      <c r="BE2264" s="34"/>
      <c r="BF2264" s="34"/>
      <c r="BG2264" s="34"/>
      <c r="BH2264" s="34"/>
      <c r="BI2264" s="34"/>
      <c r="BJ2264" s="34"/>
      <c r="BK2264" s="34"/>
      <c r="BL2264" s="34"/>
      <c r="BM2264" s="34"/>
      <c r="BN2264" s="34"/>
      <c r="BO2264" s="34"/>
      <c r="BP2264" s="34"/>
      <c r="BQ2264" s="34"/>
      <c r="BR2264" s="34"/>
      <c r="BS2264" s="34"/>
      <c r="BT2264" s="34"/>
      <c r="BU2264" s="34"/>
      <c r="BV2264" s="34"/>
      <c r="BW2264" s="34"/>
      <c r="BX2264" s="34"/>
      <c r="BY2264" s="34"/>
      <c r="BZ2264" s="34"/>
      <c r="CA2264" s="34"/>
      <c r="CB2264" s="34"/>
      <c r="CC2264" s="34"/>
      <c r="CD2264" s="34"/>
      <c r="CE2264" s="34"/>
      <c r="CF2264" s="34"/>
      <c r="CG2264" s="34"/>
      <c r="CH2264" s="34"/>
      <c r="CI2264" s="8"/>
    </row>
    <row r="2265" spans="1:87" x14ac:dyDescent="0.2">
      <c r="A2265" s="8" t="str">
        <f>IF(AND(COUNTIF(W$3:W$13,A$24)&gt;0,A$24&lt;&gt;B2070),A$24,IFERROR(IF(MATCH(A$24,Z$3:Z$13,0)=9,A$24," ")," "))</f>
        <v xml:space="preserve"> </v>
      </c>
      <c r="B2265" s="8" t="str">
        <f>IF(A2265=" "," ",MAX(B2256:B2264)+1)</f>
        <v xml:space="preserve"> </v>
      </c>
      <c r="C2265" s="8" t="str">
        <f>IFERROR(INDEX(A2256:A2277,MATCH(SMALL(B2256:B2277,10),B2256:B2277,0),1)," ")</f>
        <v>C21</v>
      </c>
      <c r="D2265" s="8">
        <f t="shared" si="9841"/>
        <v>0</v>
      </c>
      <c r="E2265" s="8">
        <f t="shared" si="9842"/>
        <v>0</v>
      </c>
      <c r="F2265" s="8">
        <f t="shared" si="9843"/>
        <v>0</v>
      </c>
      <c r="G2265" s="8">
        <f t="shared" si="9844"/>
        <v>0</v>
      </c>
      <c r="H2265" s="8">
        <f t="shared" si="9845"/>
        <v>0</v>
      </c>
      <c r="I2265" s="8">
        <f t="shared" si="9846"/>
        <v>0</v>
      </c>
      <c r="J2265" s="8">
        <f t="shared" si="9847"/>
        <v>0</v>
      </c>
      <c r="K2265" s="8">
        <f t="shared" si="9848"/>
        <v>0</v>
      </c>
      <c r="L2265" s="8">
        <f t="shared" si="9849"/>
        <v>0</v>
      </c>
      <c r="M2265" s="8">
        <f t="shared" si="9850"/>
        <v>1</v>
      </c>
      <c r="N2265" s="8">
        <f t="shared" si="9851"/>
        <v>0</v>
      </c>
      <c r="O2265" s="8">
        <f t="shared" si="9852"/>
        <v>0</v>
      </c>
      <c r="P2265" s="8" t="e">
        <v>#NUM!</v>
      </c>
      <c r="Q2265" s="8" t="e">
        <f t="shared" ref="Q2265" si="9883">IF(COUNTIF(P2256:P2266,"&lt;"&amp;-0.001)=0,IF(ABS(P2265)&lt;0.001,0,P2265)," ")</f>
        <v>#NUM!</v>
      </c>
      <c r="R2265" s="8"/>
      <c r="S2265" s="8"/>
      <c r="U2265" s="34"/>
      <c r="V2265" s="34"/>
      <c r="W2265" s="34"/>
      <c r="X2265" s="34"/>
      <c r="Y2265" s="34"/>
      <c r="Z2265" s="34"/>
      <c r="AA2265" s="34"/>
      <c r="AB2265" s="34"/>
      <c r="AC2265" s="34"/>
      <c r="AD2265" s="34"/>
      <c r="AE2265" s="34"/>
      <c r="AF2265" s="34"/>
      <c r="AG2265" s="34"/>
      <c r="AH2265" s="34"/>
      <c r="AI2265" s="34"/>
      <c r="AJ2265" s="34"/>
      <c r="AK2265" s="34"/>
      <c r="AL2265" s="34"/>
      <c r="AM2265" s="34"/>
      <c r="AN2265" s="34"/>
      <c r="AO2265" s="34"/>
      <c r="AP2265" s="34"/>
      <c r="AQ2265" s="34"/>
      <c r="AR2265" s="34"/>
      <c r="AS2265" s="34"/>
      <c r="AT2265" s="34"/>
      <c r="AU2265" s="34"/>
      <c r="AV2265" s="34"/>
      <c r="AW2265" s="34"/>
      <c r="AX2265" s="34"/>
      <c r="AY2265" s="34"/>
      <c r="AZ2265" s="34"/>
      <c r="BA2265" s="34"/>
      <c r="BB2265" s="34"/>
      <c r="BC2265" s="34"/>
      <c r="BD2265" s="34"/>
      <c r="BE2265" s="34"/>
      <c r="BF2265" s="34"/>
      <c r="BG2265" s="34"/>
      <c r="BH2265" s="34"/>
      <c r="BI2265" s="34"/>
      <c r="BJ2265" s="34"/>
      <c r="BK2265" s="34"/>
      <c r="BL2265" s="34"/>
      <c r="BM2265" s="34"/>
      <c r="BN2265" s="34"/>
      <c r="BO2265" s="34"/>
      <c r="BP2265" s="34"/>
      <c r="BQ2265" s="34"/>
      <c r="BR2265" s="34"/>
      <c r="BS2265" s="34"/>
      <c r="BT2265" s="34"/>
      <c r="BU2265" s="34"/>
      <c r="BV2265" s="34"/>
      <c r="BW2265" s="34"/>
      <c r="BX2265" s="34"/>
      <c r="BY2265" s="34"/>
      <c r="BZ2265" s="34"/>
      <c r="CA2265" s="34"/>
      <c r="CB2265" s="34"/>
      <c r="CC2265" s="34"/>
      <c r="CD2265" s="34"/>
      <c r="CE2265" s="34"/>
      <c r="CF2265" s="34"/>
      <c r="CG2265" s="34"/>
      <c r="CH2265" s="34"/>
      <c r="CI2265" s="8"/>
    </row>
    <row r="2266" spans="1:87" x14ac:dyDescent="0.2">
      <c r="A2266" s="8" t="str">
        <f>IF(AND(COUNTIF(W$3:W$13,A$25)&gt;0,A$25&lt;&gt;B2070),A$25,IFERROR(IF(MATCH(A$25,Z$3:Z$13,0)=9,A$25," ")," "))</f>
        <v>C11</v>
      </c>
      <c r="B2266" s="8">
        <f>IF(A2266=" "," ",MAX(B2256:B2265)+1)</f>
        <v>3</v>
      </c>
      <c r="C2266" s="8" t="str">
        <f>IFERROR(INDEX(A2256:A2277,MATCH(SMALL(B2256:B2277,11),B2256:B2277,0),1)," ")</f>
        <v>C22</v>
      </c>
      <c r="D2266" s="8">
        <f t="shared" si="9841"/>
        <v>0</v>
      </c>
      <c r="E2266" s="8">
        <f t="shared" si="9842"/>
        <v>0</v>
      </c>
      <c r="F2266" s="8">
        <f t="shared" si="9843"/>
        <v>0</v>
      </c>
      <c r="G2266" s="8">
        <f t="shared" si="9844"/>
        <v>0</v>
      </c>
      <c r="H2266" s="8">
        <f t="shared" si="9845"/>
        <v>0</v>
      </c>
      <c r="I2266" s="8">
        <f t="shared" si="9846"/>
        <v>0</v>
      </c>
      <c r="J2266" s="8">
        <f t="shared" si="9847"/>
        <v>0</v>
      </c>
      <c r="K2266" s="8">
        <f t="shared" si="9848"/>
        <v>0</v>
      </c>
      <c r="L2266" s="8">
        <f t="shared" si="9849"/>
        <v>0</v>
      </c>
      <c r="M2266" s="8">
        <f t="shared" si="9850"/>
        <v>0</v>
      </c>
      <c r="N2266" s="8">
        <f t="shared" si="9851"/>
        <v>1</v>
      </c>
      <c r="O2266" s="8">
        <f t="shared" si="9852"/>
        <v>0</v>
      </c>
      <c r="P2266" s="8" t="e">
        <v>#NUM!</v>
      </c>
      <c r="Q2266" s="8" t="e">
        <f t="shared" ref="Q2266" si="9884">IF(COUNTIF(P2256:P2266,"&lt;"&amp;-0.001)=0,IF(ABS(P2266)&lt;0.001,0,P2266)," ")</f>
        <v>#NUM!</v>
      </c>
      <c r="R2266" s="8"/>
      <c r="S2266" s="8"/>
      <c r="U2266" s="34"/>
      <c r="V2266" s="34"/>
      <c r="W2266" s="34"/>
      <c r="X2266" s="34"/>
      <c r="Y2266" s="34"/>
      <c r="Z2266" s="34"/>
      <c r="AA2266" s="34"/>
      <c r="AB2266" s="34"/>
      <c r="AC2266" s="34"/>
      <c r="AD2266" s="34"/>
      <c r="AE2266" s="34"/>
      <c r="AF2266" s="34"/>
      <c r="AG2266" s="34"/>
      <c r="AH2266" s="34"/>
      <c r="AI2266" s="34"/>
      <c r="AJ2266" s="34"/>
      <c r="AK2266" s="34"/>
      <c r="AL2266" s="34"/>
      <c r="AM2266" s="34"/>
      <c r="AN2266" s="34"/>
      <c r="AO2266" s="34"/>
      <c r="AP2266" s="34"/>
      <c r="AQ2266" s="34"/>
      <c r="AR2266" s="34"/>
      <c r="AS2266" s="34"/>
      <c r="AT2266" s="34"/>
      <c r="AU2266" s="34"/>
      <c r="AV2266" s="34"/>
      <c r="AW2266" s="34"/>
      <c r="AX2266" s="34"/>
      <c r="AY2266" s="34"/>
      <c r="AZ2266" s="34"/>
      <c r="BA2266" s="34"/>
      <c r="BB2266" s="34"/>
      <c r="BC2266" s="34"/>
      <c r="BD2266" s="34"/>
      <c r="BE2266" s="34"/>
      <c r="BF2266" s="34"/>
      <c r="BG2266" s="34"/>
      <c r="BH2266" s="34"/>
      <c r="BI2266" s="34"/>
      <c r="BJ2266" s="34"/>
      <c r="BK2266" s="34"/>
      <c r="BL2266" s="34"/>
      <c r="BM2266" s="34"/>
      <c r="BN2266" s="34"/>
      <c r="BO2266" s="34"/>
      <c r="BP2266" s="34"/>
      <c r="BQ2266" s="34"/>
      <c r="BR2266" s="34"/>
      <c r="BS2266" s="34"/>
      <c r="BT2266" s="34"/>
      <c r="BU2266" s="34"/>
      <c r="BV2266" s="34"/>
      <c r="BW2266" s="34"/>
      <c r="BX2266" s="34"/>
      <c r="BY2266" s="34"/>
      <c r="BZ2266" s="34"/>
      <c r="CA2266" s="34"/>
      <c r="CB2266" s="34"/>
      <c r="CC2266" s="34"/>
      <c r="CD2266" s="34"/>
      <c r="CE2266" s="34"/>
      <c r="CF2266" s="34"/>
      <c r="CG2266" s="34"/>
      <c r="CH2266" s="34"/>
      <c r="CI2266" s="8"/>
    </row>
    <row r="2267" spans="1:87" x14ac:dyDescent="0.2">
      <c r="A2267" s="8" t="str">
        <f>IF(AND(COUNTIF(W$3:W$13,A$26)&gt;0,A$26&lt;&gt;B2070),A$26,IFERROR(IF(MATCH(A$26,Z$3:Z$13,0)=9,A$26," ")," "))</f>
        <v xml:space="preserve"> </v>
      </c>
      <c r="B2267" s="8" t="str">
        <f>IF(A2267=" "," ",MAX(B2256:B2266)+1)</f>
        <v xml:space="preserve"> </v>
      </c>
      <c r="C2267" s="8"/>
      <c r="D2267" s="8"/>
      <c r="E2267" s="8"/>
      <c r="F2267" s="8"/>
      <c r="G2267" s="8"/>
      <c r="H2267" s="8"/>
      <c r="I2267" s="8"/>
      <c r="J2267" s="8"/>
      <c r="K2267" s="8"/>
      <c r="L2267" s="8"/>
      <c r="M2267" s="8"/>
      <c r="N2267" s="8"/>
      <c r="O2267" s="8"/>
      <c r="P2267" s="8"/>
      <c r="Q2267" s="8"/>
      <c r="R2267" s="8"/>
      <c r="S2267" s="8"/>
      <c r="U2267" s="34"/>
      <c r="V2267" s="34"/>
      <c r="W2267" s="34"/>
      <c r="X2267" s="34"/>
      <c r="Y2267" s="34"/>
      <c r="Z2267" s="34"/>
      <c r="AA2267" s="34"/>
      <c r="AB2267" s="34"/>
      <c r="AC2267" s="34"/>
      <c r="AD2267" s="34"/>
      <c r="AE2267" s="34"/>
      <c r="AF2267" s="34"/>
      <c r="AG2267" s="34"/>
      <c r="AH2267" s="34"/>
      <c r="AI2267" s="34"/>
      <c r="AJ2267" s="34"/>
      <c r="AK2267" s="34"/>
      <c r="AL2267" s="34"/>
      <c r="AM2267" s="34"/>
      <c r="AN2267" s="34"/>
      <c r="AO2267" s="34"/>
      <c r="AP2267" s="34"/>
      <c r="AQ2267" s="34"/>
      <c r="AR2267" s="34"/>
      <c r="AS2267" s="34"/>
      <c r="AT2267" s="34"/>
      <c r="AU2267" s="34"/>
      <c r="AV2267" s="34"/>
      <c r="AW2267" s="34"/>
      <c r="AX2267" s="34"/>
      <c r="AY2267" s="34"/>
      <c r="AZ2267" s="34"/>
      <c r="BA2267" s="34"/>
      <c r="BB2267" s="34"/>
      <c r="BC2267" s="34"/>
      <c r="BD2267" s="34"/>
      <c r="BE2267" s="34"/>
      <c r="BF2267" s="34"/>
      <c r="BG2267" s="34"/>
      <c r="BH2267" s="34"/>
      <c r="BI2267" s="34"/>
      <c r="BJ2267" s="34"/>
      <c r="BK2267" s="34"/>
      <c r="BL2267" s="34"/>
      <c r="BM2267" s="34"/>
      <c r="BN2267" s="34"/>
      <c r="BO2267" s="34"/>
      <c r="BP2267" s="34"/>
      <c r="BQ2267" s="34"/>
      <c r="BR2267" s="34"/>
      <c r="BS2267" s="34"/>
      <c r="BT2267" s="34"/>
      <c r="BU2267" s="34"/>
      <c r="BV2267" s="34"/>
      <c r="BW2267" s="34"/>
      <c r="BX2267" s="34"/>
      <c r="BY2267" s="34"/>
      <c r="BZ2267" s="34"/>
      <c r="CA2267" s="34"/>
      <c r="CB2267" s="34"/>
      <c r="CC2267" s="34"/>
      <c r="CD2267" s="34"/>
      <c r="CE2267" s="34"/>
      <c r="CF2267" s="34"/>
      <c r="CG2267" s="34"/>
      <c r="CH2267" s="34"/>
      <c r="CI2267" s="8"/>
    </row>
    <row r="2268" spans="1:87" x14ac:dyDescent="0.2">
      <c r="A2268" s="8" t="str">
        <f>IF(AND(COUNTIF(W$3:W$13,A$27)&gt;0,A$27&lt;&gt;B2070),A$27,IFERROR(IF(MATCH(A$27,Z$3:Z$13,0)=9,A$27," ")," "))</f>
        <v>C13</v>
      </c>
      <c r="B2268" s="8">
        <f>IF(A2268=" "," ",MAX(B2256:B2267)+1)</f>
        <v>4</v>
      </c>
      <c r="C2268" s="8"/>
      <c r="D2268" s="8"/>
      <c r="E2268" s="8"/>
      <c r="F2268" s="8"/>
      <c r="G2268" s="8"/>
      <c r="H2268" s="8"/>
      <c r="I2268" s="8"/>
      <c r="J2268" s="8"/>
      <c r="K2268" s="8"/>
      <c r="L2268" s="8"/>
      <c r="M2268" s="8"/>
      <c r="N2268" s="8"/>
      <c r="O2268" s="8"/>
      <c r="P2268" s="8"/>
      <c r="Q2268" s="8"/>
      <c r="R2268" s="8"/>
      <c r="S2268" s="8"/>
      <c r="U2268" s="34"/>
      <c r="V2268" s="34"/>
      <c r="W2268" s="34"/>
      <c r="X2268" s="34"/>
      <c r="Y2268" s="34"/>
      <c r="Z2268" s="34"/>
      <c r="AA2268" s="34"/>
      <c r="AB2268" s="34"/>
      <c r="AC2268" s="34"/>
      <c r="AD2268" s="34"/>
      <c r="AE2268" s="34"/>
      <c r="AF2268" s="34"/>
      <c r="AG2268" s="34"/>
      <c r="AH2268" s="34"/>
      <c r="AI2268" s="34"/>
      <c r="AJ2268" s="34"/>
      <c r="AK2268" s="34"/>
      <c r="AL2268" s="34"/>
      <c r="AM2268" s="34"/>
      <c r="AN2268" s="34"/>
      <c r="AO2268" s="34"/>
      <c r="AP2268" s="34"/>
      <c r="AQ2268" s="34"/>
      <c r="AR2268" s="34"/>
      <c r="AS2268" s="34"/>
      <c r="AT2268" s="34"/>
      <c r="AU2268" s="34"/>
      <c r="AV2268" s="34"/>
      <c r="AW2268" s="34"/>
      <c r="AX2268" s="34"/>
      <c r="AY2268" s="34"/>
      <c r="AZ2268" s="34"/>
      <c r="BA2268" s="34"/>
      <c r="BB2268" s="34"/>
      <c r="BC2268" s="34"/>
      <c r="BD2268" s="34"/>
      <c r="BE2268" s="34"/>
      <c r="BF2268" s="34"/>
      <c r="BG2268" s="34"/>
      <c r="BH2268" s="34"/>
      <c r="BI2268" s="34"/>
      <c r="BJ2268" s="34"/>
      <c r="BK2268" s="34"/>
      <c r="BL2268" s="34"/>
      <c r="BM2268" s="34"/>
      <c r="BN2268" s="34"/>
      <c r="BO2268" s="34"/>
      <c r="BP2268" s="34"/>
      <c r="BQ2268" s="34"/>
      <c r="BR2268" s="34"/>
      <c r="BS2268" s="34"/>
      <c r="BT2268" s="34"/>
      <c r="BU2268" s="34"/>
      <c r="BV2268" s="34"/>
      <c r="BW2268" s="34"/>
      <c r="BX2268" s="34"/>
      <c r="BY2268" s="34"/>
      <c r="BZ2268" s="34"/>
      <c r="CA2268" s="34"/>
      <c r="CB2268" s="34"/>
      <c r="CC2268" s="34"/>
      <c r="CD2268" s="34"/>
      <c r="CE2268" s="34"/>
      <c r="CF2268" s="34"/>
      <c r="CG2268" s="34"/>
      <c r="CH2268" s="34"/>
      <c r="CI2268" s="8"/>
    </row>
    <row r="2269" spans="1:87" x14ac:dyDescent="0.2">
      <c r="A2269" s="8" t="str">
        <f>IF(AND(COUNTIF(W$3:W$13,A$28)&gt;0,A$28&lt;&gt;B2070),A$28,IFERROR(IF(MATCH(A$28,Z$3:Z$13,0)=9,A$28," ")," "))</f>
        <v xml:space="preserve"> </v>
      </c>
      <c r="B2269" s="8" t="str">
        <f>IF(A2269=" "," ",MAX(B2256:B2268)+1)</f>
        <v xml:space="preserve"> </v>
      </c>
      <c r="C2269" s="8"/>
      <c r="D2269" s="8"/>
      <c r="E2269" s="8"/>
      <c r="F2269" s="8"/>
      <c r="G2269" s="8"/>
      <c r="H2269" s="8"/>
      <c r="I2269" s="8"/>
      <c r="J2269" s="8"/>
      <c r="K2269" s="8"/>
      <c r="L2269" s="8"/>
      <c r="M2269" s="8"/>
      <c r="N2269" s="8"/>
      <c r="O2269" s="8"/>
      <c r="P2269" s="8"/>
      <c r="Q2269" s="8"/>
      <c r="R2269" s="8"/>
      <c r="S2269" s="8"/>
      <c r="U2269" s="34"/>
      <c r="V2269" s="34"/>
      <c r="W2269" s="34"/>
      <c r="X2269" s="34"/>
      <c r="Y2269" s="34"/>
      <c r="Z2269" s="34"/>
      <c r="AA2269" s="34"/>
      <c r="AB2269" s="34"/>
      <c r="AC2269" s="34"/>
      <c r="AD2269" s="34"/>
      <c r="AE2269" s="34"/>
      <c r="AF2269" s="34"/>
      <c r="AG2269" s="34"/>
      <c r="AH2269" s="34"/>
      <c r="AI2269" s="34"/>
      <c r="AJ2269" s="34"/>
      <c r="AK2269" s="34"/>
      <c r="AL2269" s="34"/>
      <c r="AM2269" s="34"/>
      <c r="AN2269" s="34"/>
      <c r="AO2269" s="34"/>
      <c r="AP2269" s="34"/>
      <c r="AQ2269" s="34"/>
      <c r="AR2269" s="34"/>
      <c r="AS2269" s="34"/>
      <c r="AT2269" s="34"/>
      <c r="AU2269" s="34"/>
      <c r="AV2269" s="34"/>
      <c r="AW2269" s="34"/>
      <c r="AX2269" s="34"/>
      <c r="AY2269" s="34"/>
      <c r="AZ2269" s="34"/>
      <c r="BA2269" s="34"/>
      <c r="BB2269" s="34"/>
      <c r="BC2269" s="34"/>
      <c r="BD2269" s="34"/>
      <c r="BE2269" s="34"/>
      <c r="BF2269" s="34"/>
      <c r="BG2269" s="34"/>
      <c r="BH2269" s="34"/>
      <c r="BI2269" s="34"/>
      <c r="BJ2269" s="34"/>
      <c r="BK2269" s="34"/>
      <c r="BL2269" s="34"/>
      <c r="BM2269" s="34"/>
      <c r="BN2269" s="34"/>
      <c r="BO2269" s="34"/>
      <c r="BP2269" s="34"/>
      <c r="BQ2269" s="34"/>
      <c r="BR2269" s="34"/>
      <c r="BS2269" s="34"/>
      <c r="BT2269" s="34"/>
      <c r="BU2269" s="34"/>
      <c r="BV2269" s="34"/>
      <c r="BW2269" s="34"/>
      <c r="BX2269" s="34"/>
      <c r="BY2269" s="34"/>
      <c r="BZ2269" s="34"/>
      <c r="CA2269" s="34"/>
      <c r="CB2269" s="34"/>
      <c r="CC2269" s="34"/>
      <c r="CD2269" s="34"/>
      <c r="CE2269" s="34"/>
      <c r="CF2269" s="34"/>
      <c r="CG2269" s="34"/>
      <c r="CH2269" s="34"/>
      <c r="CI2269" s="8"/>
    </row>
    <row r="2270" spans="1:87" x14ac:dyDescent="0.2">
      <c r="A2270" s="8" t="str">
        <f>IF(AND(COUNTIF(W$3:W$13,A$29)&gt;0,A$29&lt;&gt;B2070),A$29,IFERROR(IF(MATCH(A$29,Z$3:Z$13,0)=9,A$29," ")," "))</f>
        <v>C15</v>
      </c>
      <c r="B2270" s="8">
        <f>IF(A2270=" "," ",MAX(B2256:B2269)+1)</f>
        <v>5</v>
      </c>
      <c r="C2270" s="8"/>
      <c r="D2270" s="8"/>
      <c r="E2270" s="8"/>
      <c r="F2270" s="8"/>
      <c r="G2270" s="8"/>
      <c r="H2270" s="8"/>
      <c r="I2270" s="8"/>
      <c r="J2270" s="8"/>
      <c r="K2270" s="8"/>
      <c r="L2270" s="8"/>
      <c r="M2270" s="8"/>
      <c r="N2270" s="8"/>
      <c r="O2270" s="8"/>
      <c r="P2270" s="8"/>
      <c r="Q2270" s="8"/>
      <c r="R2270" s="8"/>
      <c r="S2270" s="8"/>
      <c r="U2270" s="34"/>
      <c r="V2270" s="34"/>
      <c r="W2270" s="34"/>
      <c r="X2270" s="34"/>
      <c r="Y2270" s="34"/>
      <c r="Z2270" s="34"/>
      <c r="AA2270" s="34"/>
      <c r="AB2270" s="34"/>
      <c r="AC2270" s="34"/>
      <c r="AD2270" s="34"/>
      <c r="AE2270" s="34"/>
      <c r="AF2270" s="34"/>
      <c r="AG2270" s="34"/>
      <c r="AH2270" s="34"/>
      <c r="AI2270" s="34"/>
      <c r="AJ2270" s="34"/>
      <c r="AK2270" s="34"/>
      <c r="AL2270" s="34"/>
      <c r="AM2270" s="34"/>
      <c r="AN2270" s="34"/>
      <c r="AO2270" s="34"/>
      <c r="AP2270" s="34"/>
      <c r="AQ2270" s="34"/>
      <c r="AR2270" s="34"/>
      <c r="AS2270" s="34"/>
      <c r="AT2270" s="34"/>
      <c r="AU2270" s="34"/>
      <c r="AV2270" s="34"/>
      <c r="AW2270" s="34"/>
      <c r="AX2270" s="34"/>
      <c r="AY2270" s="34"/>
      <c r="AZ2270" s="34"/>
      <c r="BA2270" s="34"/>
      <c r="BB2270" s="34"/>
      <c r="BC2270" s="34"/>
      <c r="BD2270" s="34"/>
      <c r="BE2270" s="34"/>
      <c r="BF2270" s="34"/>
      <c r="BG2270" s="34"/>
      <c r="BH2270" s="34"/>
      <c r="BI2270" s="34"/>
      <c r="BJ2270" s="34"/>
      <c r="BK2270" s="34"/>
      <c r="BL2270" s="34"/>
      <c r="BM2270" s="34"/>
      <c r="BN2270" s="34"/>
      <c r="BO2270" s="34"/>
      <c r="BP2270" s="34"/>
      <c r="BQ2270" s="34"/>
      <c r="BR2270" s="34"/>
      <c r="BS2270" s="34"/>
      <c r="BT2270" s="34"/>
      <c r="BU2270" s="34"/>
      <c r="BV2270" s="34"/>
      <c r="BW2270" s="34"/>
      <c r="BX2270" s="34"/>
      <c r="BY2270" s="34"/>
      <c r="BZ2270" s="34"/>
      <c r="CA2270" s="34"/>
      <c r="CB2270" s="34"/>
      <c r="CC2270" s="34"/>
      <c r="CD2270" s="34"/>
      <c r="CE2270" s="34"/>
      <c r="CF2270" s="34"/>
      <c r="CG2270" s="34"/>
      <c r="CH2270" s="34"/>
      <c r="CI2270" s="8"/>
    </row>
    <row r="2271" spans="1:87" x14ac:dyDescent="0.2">
      <c r="A2271" s="8" t="str">
        <f>IF(AND(COUNTIF(W$3:W$13,A$30)&gt;0,A$30&lt;&gt;B2070),A$30,IFERROR(IF(MATCH(A$30,Z$3:Z$13,0)=9,A$30," ")," "))</f>
        <v>C16</v>
      </c>
      <c r="B2271" s="8">
        <f>IF(A2271=" "," ",MAX(B2256:B2270)+1)</f>
        <v>6</v>
      </c>
      <c r="C2271" s="8"/>
      <c r="D2271" s="8"/>
      <c r="E2271" s="8"/>
      <c r="F2271" s="8"/>
      <c r="G2271" s="8"/>
      <c r="H2271" s="8"/>
      <c r="I2271" s="8"/>
      <c r="J2271" s="8"/>
      <c r="K2271" s="8"/>
      <c r="L2271" s="8"/>
      <c r="M2271" s="8"/>
      <c r="N2271" s="8"/>
      <c r="O2271" s="8"/>
      <c r="P2271" s="8"/>
      <c r="Q2271" s="8"/>
      <c r="R2271" s="8"/>
      <c r="S2271" s="8"/>
      <c r="U2271" s="34"/>
      <c r="V2271" s="34"/>
      <c r="W2271" s="34"/>
      <c r="X2271" s="34"/>
      <c r="Y2271" s="34"/>
      <c r="Z2271" s="34"/>
      <c r="AA2271" s="34"/>
      <c r="AB2271" s="34"/>
      <c r="AC2271" s="34"/>
      <c r="AD2271" s="34"/>
      <c r="AE2271" s="34"/>
      <c r="AF2271" s="34"/>
      <c r="AG2271" s="34"/>
      <c r="AH2271" s="34"/>
      <c r="AI2271" s="34"/>
      <c r="AJ2271" s="34"/>
      <c r="AK2271" s="34"/>
      <c r="AL2271" s="34"/>
      <c r="AM2271" s="34"/>
      <c r="AN2271" s="34"/>
      <c r="AO2271" s="34"/>
      <c r="AP2271" s="34"/>
      <c r="AQ2271" s="34"/>
      <c r="AR2271" s="34"/>
      <c r="AS2271" s="34"/>
      <c r="AT2271" s="34"/>
      <c r="AU2271" s="34"/>
      <c r="AV2271" s="34"/>
      <c r="AW2271" s="34"/>
      <c r="AX2271" s="34"/>
      <c r="AY2271" s="34"/>
      <c r="AZ2271" s="34"/>
      <c r="BA2271" s="34"/>
      <c r="BB2271" s="34"/>
      <c r="BC2271" s="34"/>
      <c r="BD2271" s="34"/>
      <c r="BE2271" s="34"/>
      <c r="BF2271" s="34"/>
      <c r="BG2271" s="34"/>
      <c r="BH2271" s="34"/>
      <c r="BI2271" s="34"/>
      <c r="BJ2271" s="34"/>
      <c r="BK2271" s="34"/>
      <c r="BL2271" s="34"/>
      <c r="BM2271" s="34"/>
      <c r="BN2271" s="34"/>
      <c r="BO2271" s="34"/>
      <c r="BP2271" s="34"/>
      <c r="BQ2271" s="34"/>
      <c r="BR2271" s="34"/>
      <c r="BS2271" s="34"/>
      <c r="BT2271" s="34"/>
      <c r="BU2271" s="34"/>
      <c r="BV2271" s="34"/>
      <c r="BW2271" s="34"/>
      <c r="BX2271" s="34"/>
      <c r="BY2271" s="34"/>
      <c r="BZ2271" s="34"/>
      <c r="CA2271" s="34"/>
      <c r="CB2271" s="34"/>
      <c r="CC2271" s="34"/>
      <c r="CD2271" s="34"/>
      <c r="CE2271" s="34"/>
      <c r="CF2271" s="34"/>
      <c r="CG2271" s="34"/>
      <c r="CH2271" s="34"/>
      <c r="CI2271" s="8"/>
    </row>
    <row r="2272" spans="1:87" x14ac:dyDescent="0.2">
      <c r="A2272" s="8" t="str">
        <f>IF(AND(COUNTIF(W$3:W$13,A$31)&gt;0,A$31&lt;&gt;B2070),A$31,IFERROR(IF(MATCH(A$31,Z$3:Z$13,0)=9,A$31," ")," "))</f>
        <v>C17</v>
      </c>
      <c r="B2272" s="8">
        <f>IF(A2272=" "," ",MAX(B2256:B2271)+1)</f>
        <v>7</v>
      </c>
      <c r="C2272" s="8"/>
      <c r="D2272" s="8"/>
      <c r="E2272" s="8"/>
      <c r="F2272" s="8"/>
      <c r="G2272" s="8"/>
      <c r="H2272" s="8"/>
      <c r="I2272" s="8"/>
      <c r="J2272" s="8"/>
      <c r="K2272" s="8"/>
      <c r="L2272" s="8"/>
      <c r="M2272" s="8"/>
      <c r="N2272" s="8"/>
      <c r="O2272" s="8"/>
      <c r="P2272" s="8"/>
      <c r="Q2272" s="8"/>
      <c r="R2272" s="8"/>
      <c r="S2272" s="8"/>
      <c r="U2272" s="34"/>
      <c r="V2272" s="34"/>
      <c r="W2272" s="34"/>
      <c r="X2272" s="34"/>
      <c r="Y2272" s="34"/>
      <c r="Z2272" s="34"/>
      <c r="AA2272" s="34"/>
      <c r="AB2272" s="34"/>
      <c r="AC2272" s="34"/>
      <c r="AD2272" s="34"/>
      <c r="AE2272" s="34"/>
      <c r="AF2272" s="34"/>
      <c r="AG2272" s="34"/>
      <c r="AH2272" s="34"/>
      <c r="AI2272" s="34"/>
      <c r="AJ2272" s="34"/>
      <c r="AK2272" s="34"/>
      <c r="AL2272" s="34"/>
      <c r="AM2272" s="34"/>
      <c r="AN2272" s="34"/>
      <c r="AO2272" s="34"/>
      <c r="AP2272" s="34"/>
      <c r="AQ2272" s="34"/>
      <c r="AR2272" s="34"/>
      <c r="AS2272" s="34"/>
      <c r="AT2272" s="34"/>
      <c r="AU2272" s="34"/>
      <c r="AV2272" s="34"/>
      <c r="AW2272" s="34"/>
      <c r="AX2272" s="34"/>
      <c r="AY2272" s="34"/>
      <c r="AZ2272" s="34"/>
      <c r="BA2272" s="34"/>
      <c r="BB2272" s="34"/>
      <c r="BC2272" s="34"/>
      <c r="BD2272" s="34"/>
      <c r="BE2272" s="34"/>
      <c r="BF2272" s="34"/>
      <c r="BG2272" s="34"/>
      <c r="BH2272" s="34"/>
      <c r="BI2272" s="34"/>
      <c r="BJ2272" s="34"/>
      <c r="BK2272" s="34"/>
      <c r="BL2272" s="34"/>
      <c r="BM2272" s="34"/>
      <c r="BN2272" s="34"/>
      <c r="BO2272" s="34"/>
      <c r="BP2272" s="34"/>
      <c r="BQ2272" s="34"/>
      <c r="BR2272" s="34"/>
      <c r="BS2272" s="34"/>
      <c r="BT2272" s="34"/>
      <c r="BU2272" s="34"/>
      <c r="BV2272" s="34"/>
      <c r="BW2272" s="34"/>
      <c r="BX2272" s="34"/>
      <c r="BY2272" s="34"/>
      <c r="BZ2272" s="34"/>
      <c r="CA2272" s="34"/>
      <c r="CB2272" s="34"/>
      <c r="CC2272" s="34"/>
      <c r="CD2272" s="34"/>
      <c r="CE2272" s="34"/>
      <c r="CF2272" s="34"/>
      <c r="CG2272" s="34"/>
      <c r="CH2272" s="34"/>
      <c r="CI2272" s="8"/>
    </row>
    <row r="2273" spans="1:87" x14ac:dyDescent="0.2">
      <c r="A2273" s="8" t="str">
        <f>IF(AND(COUNTIF(W$3:W$13,A$32)&gt;0,A$32&lt;&gt;B2070),A$32,IFERROR(IF(MATCH(A$32,Z$3:Z$13,0)=9,A$32," ")," "))</f>
        <v>C18</v>
      </c>
      <c r="B2273" s="8">
        <f>IF(A2273=" "," ",MAX(B2256:B2272)+1)</f>
        <v>8</v>
      </c>
      <c r="C2273" s="8"/>
      <c r="D2273" s="8"/>
      <c r="E2273" s="8"/>
      <c r="F2273" s="8"/>
      <c r="G2273" s="8"/>
      <c r="H2273" s="8"/>
      <c r="I2273" s="8"/>
      <c r="J2273" s="8"/>
      <c r="K2273" s="8"/>
      <c r="L2273" s="8"/>
      <c r="M2273" s="8"/>
      <c r="N2273" s="8"/>
      <c r="O2273" s="8"/>
      <c r="P2273" s="8"/>
      <c r="Q2273" s="8"/>
      <c r="R2273" s="8"/>
      <c r="S2273" s="8"/>
      <c r="U2273" s="34"/>
      <c r="V2273" s="34"/>
      <c r="W2273" s="34"/>
      <c r="X2273" s="34"/>
      <c r="Y2273" s="34"/>
      <c r="Z2273" s="34"/>
      <c r="AA2273" s="34"/>
      <c r="AB2273" s="34"/>
      <c r="AC2273" s="34"/>
      <c r="AD2273" s="34"/>
      <c r="AE2273" s="34"/>
      <c r="AF2273" s="34"/>
      <c r="AG2273" s="34"/>
      <c r="AH2273" s="34"/>
      <c r="AI2273" s="34"/>
      <c r="AJ2273" s="34"/>
      <c r="AK2273" s="34"/>
      <c r="AL2273" s="34"/>
      <c r="AM2273" s="34"/>
      <c r="AN2273" s="34"/>
      <c r="AO2273" s="34"/>
      <c r="AP2273" s="34"/>
      <c r="AQ2273" s="34"/>
      <c r="AR2273" s="34"/>
      <c r="AS2273" s="34"/>
      <c r="AT2273" s="34"/>
      <c r="AU2273" s="34"/>
      <c r="AV2273" s="34"/>
      <c r="AW2273" s="34"/>
      <c r="AX2273" s="34"/>
      <c r="AY2273" s="34"/>
      <c r="AZ2273" s="34"/>
      <c r="BA2273" s="34"/>
      <c r="BB2273" s="34"/>
      <c r="BC2273" s="34"/>
      <c r="BD2273" s="34"/>
      <c r="BE2273" s="34"/>
      <c r="BF2273" s="34"/>
      <c r="BG2273" s="34"/>
      <c r="BH2273" s="34"/>
      <c r="BI2273" s="34"/>
      <c r="BJ2273" s="34"/>
      <c r="BK2273" s="34"/>
      <c r="BL2273" s="34"/>
      <c r="BM2273" s="34"/>
      <c r="BN2273" s="34"/>
      <c r="BO2273" s="34"/>
      <c r="BP2273" s="34"/>
      <c r="BQ2273" s="34"/>
      <c r="BR2273" s="34"/>
      <c r="BS2273" s="34"/>
      <c r="BT2273" s="34"/>
      <c r="BU2273" s="34"/>
      <c r="BV2273" s="34"/>
      <c r="BW2273" s="34"/>
      <c r="BX2273" s="34"/>
      <c r="BY2273" s="34"/>
      <c r="BZ2273" s="34"/>
      <c r="CA2273" s="34"/>
      <c r="CB2273" s="34"/>
      <c r="CC2273" s="34"/>
      <c r="CD2273" s="34"/>
      <c r="CE2273" s="34"/>
      <c r="CF2273" s="34"/>
      <c r="CG2273" s="34"/>
      <c r="CH2273" s="34"/>
      <c r="CI2273" s="8"/>
    </row>
    <row r="2274" spans="1:87" x14ac:dyDescent="0.2">
      <c r="A2274" s="8" t="str">
        <f>IF(AND(COUNTIF(W$3:W$13,A$33)&gt;0,A$33&lt;&gt;B2070),A$33,IFERROR(IF(MATCH(A$33,Z$3:Z$13,0)=9,A$33," ")," "))</f>
        <v>C19</v>
      </c>
      <c r="B2274" s="8">
        <f>IF(A2274=" "," ",MAX(B2256:B2273)+1)</f>
        <v>9</v>
      </c>
      <c r="C2274" s="8"/>
      <c r="D2274" s="8"/>
      <c r="E2274" s="8"/>
      <c r="F2274" s="8"/>
      <c r="G2274" s="8"/>
      <c r="H2274" s="8"/>
      <c r="I2274" s="8"/>
      <c r="J2274" s="8"/>
      <c r="K2274" s="8"/>
      <c r="L2274" s="8"/>
      <c r="M2274" s="8"/>
      <c r="N2274" s="8"/>
      <c r="O2274" s="8"/>
      <c r="P2274" s="8"/>
      <c r="Q2274" s="8"/>
      <c r="R2274" s="8"/>
      <c r="S2274" s="8"/>
      <c r="U2274" s="34"/>
      <c r="V2274" s="34"/>
      <c r="W2274" s="34"/>
      <c r="X2274" s="34"/>
      <c r="Y2274" s="34"/>
      <c r="Z2274" s="34"/>
      <c r="AA2274" s="34"/>
      <c r="AB2274" s="34"/>
      <c r="AC2274" s="34"/>
      <c r="AD2274" s="34"/>
      <c r="AE2274" s="34"/>
      <c r="AF2274" s="34"/>
      <c r="AG2274" s="34"/>
      <c r="AH2274" s="34"/>
      <c r="AI2274" s="34"/>
      <c r="AJ2274" s="34"/>
      <c r="AK2274" s="34"/>
      <c r="AL2274" s="34"/>
      <c r="AM2274" s="34"/>
      <c r="AN2274" s="34"/>
      <c r="AO2274" s="34"/>
      <c r="AP2274" s="34"/>
      <c r="AQ2274" s="34"/>
      <c r="AR2274" s="34"/>
      <c r="AS2274" s="34"/>
      <c r="AT2274" s="34"/>
      <c r="AU2274" s="34"/>
      <c r="AV2274" s="34"/>
      <c r="AW2274" s="34"/>
      <c r="AX2274" s="34"/>
      <c r="AY2274" s="34"/>
      <c r="AZ2274" s="34"/>
      <c r="BA2274" s="34"/>
      <c r="BB2274" s="34"/>
      <c r="BC2274" s="34"/>
      <c r="BD2274" s="34"/>
      <c r="BE2274" s="34"/>
      <c r="BF2274" s="34"/>
      <c r="BG2274" s="34"/>
      <c r="BH2274" s="34"/>
      <c r="BI2274" s="34"/>
      <c r="BJ2274" s="34"/>
      <c r="BK2274" s="34"/>
      <c r="BL2274" s="34"/>
      <c r="BM2274" s="34"/>
      <c r="BN2274" s="34"/>
      <c r="BO2274" s="34"/>
      <c r="BP2274" s="34"/>
      <c r="BQ2274" s="34"/>
      <c r="BR2274" s="34"/>
      <c r="BS2274" s="34"/>
      <c r="BT2274" s="34"/>
      <c r="BU2274" s="34"/>
      <c r="BV2274" s="34"/>
      <c r="BW2274" s="34"/>
      <c r="BX2274" s="34"/>
      <c r="BY2274" s="34"/>
      <c r="BZ2274" s="34"/>
      <c r="CA2274" s="34"/>
      <c r="CB2274" s="34"/>
      <c r="CC2274" s="34"/>
      <c r="CD2274" s="34"/>
      <c r="CE2274" s="34"/>
      <c r="CF2274" s="34"/>
      <c r="CG2274" s="34"/>
      <c r="CH2274" s="34"/>
      <c r="CI2274" s="8"/>
    </row>
    <row r="2275" spans="1:87" x14ac:dyDescent="0.2">
      <c r="A2275" s="8" t="str">
        <f>IF(AND(COUNTIF(W$3:W$13,A$34)&gt;0,A$34&lt;&gt;B2070),A$34,IFERROR(IF(MATCH(A$34,Z$3:Z$13,0)=9,A$34," ")," "))</f>
        <v xml:space="preserve"> </v>
      </c>
      <c r="B2275" s="8" t="str">
        <f>IF(A2275=" "," ",MAX(B2256:B2274)+1)</f>
        <v xml:space="preserve"> </v>
      </c>
      <c r="C2275" s="8"/>
      <c r="D2275" s="8"/>
      <c r="E2275" s="8"/>
      <c r="F2275" s="8"/>
      <c r="G2275" s="8"/>
      <c r="H2275" s="8"/>
      <c r="I2275" s="8"/>
      <c r="J2275" s="8"/>
      <c r="K2275" s="8"/>
      <c r="L2275" s="8"/>
      <c r="M2275" s="8"/>
      <c r="N2275" s="8"/>
      <c r="O2275" s="8"/>
      <c r="P2275" s="8"/>
      <c r="Q2275" s="8"/>
      <c r="R2275" s="8"/>
      <c r="S2275" s="8"/>
      <c r="U2275" s="34"/>
      <c r="V2275" s="34"/>
      <c r="W2275" s="34"/>
      <c r="X2275" s="34"/>
      <c r="Y2275" s="34"/>
      <c r="Z2275" s="34"/>
      <c r="AA2275" s="34"/>
      <c r="AB2275" s="34"/>
      <c r="AC2275" s="34"/>
      <c r="AD2275" s="34"/>
      <c r="AE2275" s="34"/>
      <c r="AF2275" s="34"/>
      <c r="AG2275" s="34"/>
      <c r="AH2275" s="34"/>
      <c r="AI2275" s="34"/>
      <c r="AJ2275" s="34"/>
      <c r="AK2275" s="34"/>
      <c r="AL2275" s="34"/>
      <c r="AM2275" s="34"/>
      <c r="AN2275" s="34"/>
      <c r="AO2275" s="34"/>
      <c r="AP2275" s="34"/>
      <c r="AQ2275" s="34"/>
      <c r="AR2275" s="34"/>
      <c r="AS2275" s="34"/>
      <c r="AT2275" s="34"/>
      <c r="AU2275" s="34"/>
      <c r="AV2275" s="34"/>
      <c r="AW2275" s="34"/>
      <c r="AX2275" s="34"/>
      <c r="AY2275" s="34"/>
      <c r="AZ2275" s="34"/>
      <c r="BA2275" s="34"/>
      <c r="BB2275" s="34"/>
      <c r="BC2275" s="34"/>
      <c r="BD2275" s="34"/>
      <c r="BE2275" s="34"/>
      <c r="BF2275" s="34"/>
      <c r="BG2275" s="34"/>
      <c r="BH2275" s="34"/>
      <c r="BI2275" s="34"/>
      <c r="BJ2275" s="34"/>
      <c r="BK2275" s="34"/>
      <c r="BL2275" s="34"/>
      <c r="BM2275" s="34"/>
      <c r="BN2275" s="34"/>
      <c r="BO2275" s="34"/>
      <c r="BP2275" s="34"/>
      <c r="BQ2275" s="34"/>
      <c r="BR2275" s="34"/>
      <c r="BS2275" s="34"/>
      <c r="BT2275" s="34"/>
      <c r="BU2275" s="34"/>
      <c r="BV2275" s="34"/>
      <c r="BW2275" s="34"/>
      <c r="BX2275" s="34"/>
      <c r="BY2275" s="34"/>
      <c r="BZ2275" s="34"/>
      <c r="CA2275" s="34"/>
      <c r="CB2275" s="34"/>
      <c r="CC2275" s="34"/>
      <c r="CD2275" s="34"/>
      <c r="CE2275" s="34"/>
      <c r="CF2275" s="34"/>
      <c r="CG2275" s="34"/>
      <c r="CH2275" s="34"/>
      <c r="CI2275" s="8"/>
    </row>
    <row r="2276" spans="1:87" x14ac:dyDescent="0.2">
      <c r="A2276" s="8" t="str">
        <f>IF(AND(COUNTIF(W$3:W$13,A$35)&gt;0,A$35&lt;&gt;B2070),A$35,IFERROR(IF(MATCH(A$35,Z$3:Z$13,0)=9,A$35," ")," "))</f>
        <v>C21</v>
      </c>
      <c r="B2276" s="8">
        <f>IF(A2276=" "," ",MAX(B2256:B2275)+1)</f>
        <v>10</v>
      </c>
      <c r="C2276" s="8"/>
      <c r="D2276" s="8"/>
      <c r="E2276" s="8"/>
      <c r="F2276" s="8"/>
      <c r="G2276" s="8"/>
      <c r="H2276" s="8"/>
      <c r="I2276" s="8"/>
      <c r="J2276" s="8"/>
      <c r="K2276" s="8"/>
      <c r="L2276" s="8"/>
      <c r="M2276" s="8"/>
      <c r="N2276" s="8"/>
      <c r="O2276" s="8"/>
      <c r="P2276" s="8"/>
      <c r="Q2276" s="8"/>
      <c r="R2276" s="8"/>
      <c r="S2276" s="8"/>
      <c r="U2276" s="34"/>
      <c r="V2276" s="34"/>
      <c r="W2276" s="34"/>
      <c r="X2276" s="34"/>
      <c r="Y2276" s="34"/>
      <c r="Z2276" s="34"/>
      <c r="AA2276" s="34"/>
      <c r="AB2276" s="34"/>
      <c r="AC2276" s="34"/>
      <c r="AD2276" s="34"/>
      <c r="AE2276" s="34"/>
      <c r="AF2276" s="34"/>
      <c r="AG2276" s="34"/>
      <c r="AH2276" s="34"/>
      <c r="AI2276" s="34"/>
      <c r="AJ2276" s="34"/>
      <c r="AK2276" s="34"/>
      <c r="AL2276" s="34"/>
      <c r="AM2276" s="34"/>
      <c r="AN2276" s="34"/>
      <c r="AO2276" s="34"/>
      <c r="AP2276" s="34"/>
      <c r="AQ2276" s="34"/>
      <c r="AR2276" s="34"/>
      <c r="AS2276" s="34"/>
      <c r="AT2276" s="34"/>
      <c r="AU2276" s="34"/>
      <c r="AV2276" s="34"/>
      <c r="AW2276" s="34"/>
      <c r="AX2276" s="34"/>
      <c r="AY2276" s="34"/>
      <c r="AZ2276" s="34"/>
      <c r="BA2276" s="34"/>
      <c r="BB2276" s="34"/>
      <c r="BC2276" s="34"/>
      <c r="BD2276" s="34"/>
      <c r="BE2276" s="34"/>
      <c r="BF2276" s="34"/>
      <c r="BG2276" s="34"/>
      <c r="BH2276" s="34"/>
      <c r="BI2276" s="34"/>
      <c r="BJ2276" s="34"/>
      <c r="BK2276" s="34"/>
      <c r="BL2276" s="34"/>
      <c r="BM2276" s="34"/>
      <c r="BN2276" s="34"/>
      <c r="BO2276" s="34"/>
      <c r="BP2276" s="34"/>
      <c r="BQ2276" s="34"/>
      <c r="BR2276" s="34"/>
      <c r="BS2276" s="34"/>
      <c r="BT2276" s="34"/>
      <c r="BU2276" s="34"/>
      <c r="BV2276" s="34"/>
      <c r="BW2276" s="34"/>
      <c r="BX2276" s="34"/>
      <c r="BY2276" s="34"/>
      <c r="BZ2276" s="34"/>
      <c r="CA2276" s="34"/>
      <c r="CB2276" s="34"/>
      <c r="CC2276" s="34"/>
      <c r="CD2276" s="34"/>
      <c r="CE2276" s="34"/>
      <c r="CF2276" s="34"/>
      <c r="CG2276" s="34"/>
      <c r="CH2276" s="34"/>
      <c r="CI2276" s="8"/>
    </row>
    <row r="2277" spans="1:87" x14ac:dyDescent="0.2">
      <c r="A2277" s="8" t="str">
        <f>IF(AND(COUNTIF(W$3:W$13,A$36)&gt;0,A$36&lt;&gt;B2070),A$36,IFERROR(IF(MATCH(A$36,Z$3:Z$13,0)=9,A$36," ")," "))</f>
        <v>C22</v>
      </c>
      <c r="B2277" s="8">
        <f>IF(A2277=" "," ",MAX(B2256:B2276)+1)</f>
        <v>11</v>
      </c>
      <c r="C2277" s="8"/>
      <c r="D2277" s="8"/>
      <c r="E2277" s="8"/>
      <c r="F2277" s="8"/>
      <c r="G2277" s="8"/>
      <c r="H2277" s="8"/>
      <c r="I2277" s="8"/>
      <c r="J2277" s="8"/>
      <c r="K2277" s="8"/>
      <c r="L2277" s="8"/>
      <c r="M2277" s="8"/>
      <c r="N2277" s="8"/>
      <c r="O2277" s="8"/>
      <c r="P2277" s="8"/>
      <c r="Q2277" s="8"/>
      <c r="R2277" s="8"/>
      <c r="S2277" s="8"/>
      <c r="U2277" s="34"/>
      <c r="V2277" s="34"/>
      <c r="W2277" s="34"/>
      <c r="X2277" s="34"/>
      <c r="Y2277" s="34"/>
      <c r="Z2277" s="34"/>
      <c r="AA2277" s="34"/>
      <c r="AB2277" s="34"/>
      <c r="AC2277" s="34"/>
      <c r="AD2277" s="34"/>
      <c r="AE2277" s="34"/>
      <c r="AF2277" s="34"/>
      <c r="AG2277" s="34"/>
      <c r="AH2277" s="34"/>
      <c r="AI2277" s="34"/>
      <c r="AJ2277" s="34"/>
      <c r="AK2277" s="34"/>
      <c r="AL2277" s="34"/>
      <c r="AM2277" s="34"/>
      <c r="AN2277" s="34"/>
      <c r="AO2277" s="34"/>
      <c r="AP2277" s="34"/>
      <c r="AQ2277" s="34"/>
      <c r="AR2277" s="34"/>
      <c r="AS2277" s="34"/>
      <c r="AT2277" s="34"/>
      <c r="AU2277" s="34"/>
      <c r="AV2277" s="34"/>
      <c r="AW2277" s="34"/>
      <c r="AX2277" s="34"/>
      <c r="AY2277" s="34"/>
      <c r="AZ2277" s="34"/>
      <c r="BA2277" s="34"/>
      <c r="BB2277" s="34"/>
      <c r="BC2277" s="34"/>
      <c r="BD2277" s="34"/>
      <c r="BE2277" s="34"/>
      <c r="BF2277" s="34"/>
      <c r="BG2277" s="34"/>
      <c r="BH2277" s="34"/>
      <c r="BI2277" s="34"/>
      <c r="BJ2277" s="34"/>
      <c r="BK2277" s="34"/>
      <c r="BL2277" s="34"/>
      <c r="BM2277" s="34"/>
      <c r="BN2277" s="34"/>
      <c r="BO2277" s="34"/>
      <c r="BP2277" s="34"/>
      <c r="BQ2277" s="34"/>
      <c r="BR2277" s="34"/>
      <c r="BS2277" s="34"/>
      <c r="BT2277" s="34"/>
      <c r="BU2277" s="34"/>
      <c r="BV2277" s="34"/>
      <c r="BW2277" s="34"/>
      <c r="BX2277" s="34"/>
      <c r="BY2277" s="34"/>
      <c r="BZ2277" s="34"/>
      <c r="CA2277" s="34"/>
      <c r="CB2277" s="34"/>
      <c r="CC2277" s="34"/>
      <c r="CD2277" s="34"/>
      <c r="CE2277" s="34"/>
      <c r="CF2277" s="34"/>
      <c r="CG2277" s="34"/>
      <c r="CH2277" s="34"/>
      <c r="CI2277" s="8"/>
    </row>
    <row r="2278" spans="1:87" x14ac:dyDescent="0.2">
      <c r="A2278" s="11" t="s">
        <v>17</v>
      </c>
      <c r="B2278" s="11"/>
      <c r="C2278" s="27" t="s">
        <v>18</v>
      </c>
      <c r="D2278" s="27" t="s">
        <v>2</v>
      </c>
      <c r="E2278" s="27" t="s">
        <v>6</v>
      </c>
      <c r="F2278" s="27" t="s">
        <v>15</v>
      </c>
      <c r="G2278" s="27" t="s">
        <v>36</v>
      </c>
      <c r="H2278" s="27" t="s">
        <v>37</v>
      </c>
      <c r="I2278" s="27" t="s">
        <v>38</v>
      </c>
      <c r="J2278" s="27" t="s">
        <v>39</v>
      </c>
      <c r="K2278" s="27" t="s">
        <v>40</v>
      </c>
      <c r="L2278" s="27" t="s">
        <v>41</v>
      </c>
      <c r="M2278" s="27" t="s">
        <v>42</v>
      </c>
      <c r="N2278" s="27" t="s">
        <v>43</v>
      </c>
      <c r="O2278" s="27" t="s">
        <v>9</v>
      </c>
      <c r="P2278" s="27" t="s">
        <v>12</v>
      </c>
      <c r="Q2278" s="27" t="s">
        <v>19</v>
      </c>
      <c r="R2278" s="27" t="s">
        <v>55</v>
      </c>
      <c r="S2278" s="27" t="s">
        <v>26</v>
      </c>
      <c r="T2278" s="19" t="s">
        <v>25</v>
      </c>
      <c r="U2278" s="33" t="s">
        <v>27</v>
      </c>
      <c r="V2278" s="33" t="s">
        <v>9</v>
      </c>
      <c r="W2278" s="33" t="s">
        <v>23</v>
      </c>
      <c r="X2278" s="33" t="s">
        <v>12</v>
      </c>
      <c r="Y2278" s="33" t="s">
        <v>26</v>
      </c>
      <c r="Z2278" s="33" t="s">
        <v>25</v>
      </c>
      <c r="AA2278" s="33" t="s">
        <v>27</v>
      </c>
      <c r="AB2278" s="33" t="s">
        <v>9</v>
      </c>
      <c r="AC2278" s="33" t="s">
        <v>23</v>
      </c>
      <c r="AD2278" s="33" t="s">
        <v>12</v>
      </c>
      <c r="AE2278" s="33" t="s">
        <v>26</v>
      </c>
      <c r="AF2278" s="33" t="s">
        <v>25</v>
      </c>
      <c r="AG2278" s="33" t="s">
        <v>27</v>
      </c>
      <c r="AH2278" s="33" t="s">
        <v>9</v>
      </c>
      <c r="AI2278" s="33" t="s">
        <v>23</v>
      </c>
      <c r="AJ2278" s="33" t="s">
        <v>12</v>
      </c>
      <c r="AK2278" s="33" t="s">
        <v>26</v>
      </c>
      <c r="AL2278" s="33" t="s">
        <v>25</v>
      </c>
      <c r="AM2278" s="33" t="s">
        <v>27</v>
      </c>
      <c r="AN2278" s="33" t="s">
        <v>9</v>
      </c>
      <c r="AO2278" s="33" t="s">
        <v>23</v>
      </c>
      <c r="AP2278" s="33" t="s">
        <v>12</v>
      </c>
      <c r="AQ2278" s="33" t="s">
        <v>26</v>
      </c>
      <c r="AR2278" s="33" t="s">
        <v>25</v>
      </c>
      <c r="AS2278" s="33" t="s">
        <v>27</v>
      </c>
      <c r="AT2278" s="33" t="s">
        <v>9</v>
      </c>
      <c r="AU2278" s="33" t="s">
        <v>23</v>
      </c>
      <c r="AV2278" s="33" t="s">
        <v>12</v>
      </c>
      <c r="AW2278" s="33" t="s">
        <v>26</v>
      </c>
      <c r="AX2278" s="33" t="s">
        <v>25</v>
      </c>
      <c r="AY2278" s="33" t="s">
        <v>27</v>
      </c>
      <c r="AZ2278" s="33" t="s">
        <v>9</v>
      </c>
      <c r="BA2278" s="33" t="s">
        <v>23</v>
      </c>
      <c r="BB2278" s="33" t="s">
        <v>12</v>
      </c>
      <c r="BC2278" s="33" t="s">
        <v>26</v>
      </c>
      <c r="BD2278" s="33" t="s">
        <v>25</v>
      </c>
      <c r="BE2278" s="33" t="s">
        <v>27</v>
      </c>
      <c r="BF2278" s="33" t="s">
        <v>9</v>
      </c>
      <c r="BG2278" s="33" t="s">
        <v>23</v>
      </c>
      <c r="BH2278" s="33" t="s">
        <v>12</v>
      </c>
      <c r="BI2278" s="33" t="s">
        <v>26</v>
      </c>
      <c r="BJ2278" s="33" t="s">
        <v>25</v>
      </c>
      <c r="BK2278" s="33" t="s">
        <v>27</v>
      </c>
      <c r="BL2278" s="33" t="s">
        <v>9</v>
      </c>
      <c r="BM2278" s="33" t="s">
        <v>23</v>
      </c>
      <c r="BN2278" s="33" t="s">
        <v>12</v>
      </c>
      <c r="BO2278" s="33" t="s">
        <v>26</v>
      </c>
      <c r="BP2278" s="33" t="s">
        <v>25</v>
      </c>
      <c r="BQ2278" s="33" t="s">
        <v>27</v>
      </c>
      <c r="BR2278" s="33" t="s">
        <v>9</v>
      </c>
      <c r="BS2278" s="33" t="s">
        <v>23</v>
      </c>
      <c r="BT2278" s="33" t="s">
        <v>12</v>
      </c>
      <c r="BU2278" s="33" t="s">
        <v>26</v>
      </c>
      <c r="BV2278" s="33" t="s">
        <v>25</v>
      </c>
      <c r="BW2278" s="33" t="s">
        <v>27</v>
      </c>
      <c r="BX2278" s="33" t="s">
        <v>9</v>
      </c>
      <c r="BY2278" s="33" t="s">
        <v>23</v>
      </c>
      <c r="BZ2278" s="33" t="s">
        <v>12</v>
      </c>
      <c r="CA2278" s="33" t="s">
        <v>26</v>
      </c>
      <c r="CB2278" s="33" t="s">
        <v>25</v>
      </c>
      <c r="CC2278" s="33" t="s">
        <v>27</v>
      </c>
      <c r="CD2278" s="33" t="s">
        <v>9</v>
      </c>
      <c r="CE2278" s="33" t="s">
        <v>23</v>
      </c>
      <c r="CF2278" s="33" t="s">
        <v>12</v>
      </c>
      <c r="CG2278" s="33" t="s">
        <v>26</v>
      </c>
      <c r="CH2278" s="33" t="s">
        <v>25</v>
      </c>
      <c r="CI2278" s="8"/>
    </row>
    <row r="2279" spans="1:87" x14ac:dyDescent="0.2">
      <c r="A2279" s="8" t="str">
        <f>IF(AND(COUNTIF(W$3:W$13,A$15)&gt;0,A$15&lt;&gt;B2070),A$15,IFERROR(IF(MATCH(A$15,Z$3:Z$13,0)=10,A$15," ")," "))</f>
        <v xml:space="preserve"> </v>
      </c>
      <c r="B2279" s="8" t="str">
        <f>IF(A2279=" "," ",1)</f>
        <v xml:space="preserve"> </v>
      </c>
      <c r="C2279" s="8" t="str">
        <f>IFERROR(INDEX(A2279:A2300,MATCH(SMALL(B2279:B2300,1),B2279:B2300,0),1)," ")</f>
        <v>C3</v>
      </c>
      <c r="D2279" s="8">
        <f>IFERROR(VLOOKUP($C2279,$A$15:$O$36,2,FALSE)," ")</f>
        <v>2</v>
      </c>
      <c r="E2279" s="8">
        <f>IFERROR(VLOOKUP($C2279,$A$15:$O$36,3,FALSE)," ")</f>
        <v>5</v>
      </c>
      <c r="F2279" s="8">
        <f>IFERROR(VLOOKUP($C2279,$A$15:$O$36,4,FALSE)," ")</f>
        <v>6</v>
      </c>
      <c r="G2279" s="8">
        <f>IFERROR(VLOOKUP($C2279,$A$15:$O$36,5,FALSE)," ")</f>
        <v>0</v>
      </c>
      <c r="H2279" s="8">
        <f>IFERROR(VLOOKUP($C2279,$A$15:$O$36,6,FALSE)," ")</f>
        <v>0</v>
      </c>
      <c r="I2279" s="8">
        <f>IFERROR(VLOOKUP($C2279,$A$15:$O$36,7,FALSE)," ")</f>
        <v>0</v>
      </c>
      <c r="J2279" s="8">
        <f>IFERROR(VLOOKUP($C2279,$A$15:$O$36,8,FALSE)," ")</f>
        <v>0</v>
      </c>
      <c r="K2279" s="8">
        <f>IFERROR(VLOOKUP($C2279,$A$15:$O$36,9,FALSE)," ")</f>
        <v>0</v>
      </c>
      <c r="L2279" s="8">
        <f>IFERROR(VLOOKUP($C2279,$A$15:$O$36,10,FALSE)," ")</f>
        <v>0</v>
      </c>
      <c r="M2279" s="8">
        <f>IFERROR(VLOOKUP($C2279,$A$15:$O$36,11,FALSE)," ")</f>
        <v>0</v>
      </c>
      <c r="N2279" s="8">
        <f>IFERROR(VLOOKUP($C2279,$A$15:$O$36,12,FALSE)," ")</f>
        <v>0</v>
      </c>
      <c r="O2279" s="8">
        <f>IFERROR(VLOOKUP($C2279,$A$15:$O$36,15,FALSE)," ")</f>
        <v>2000</v>
      </c>
      <c r="P2279" s="8" t="e">
        <f t="array" ref="P2279:P2289">MMULT(MINVERSE(D2279:N2289),O2279:O2289)</f>
        <v>#NUM!</v>
      </c>
      <c r="Q2279" s="8" t="e">
        <f t="shared" ref="Q2279" si="9885">IF(COUNTIF(P2279:P2289,"&lt;"&amp;-0.001)=0,IF(ABS(P2279)&lt;0.001,0,P2279)," ")</f>
        <v>#NUM!</v>
      </c>
      <c r="R2279" s="8" t="str">
        <f>IFERROR(VLOOKUP(B2070,A$15:L$36,2,FALSE)*Q2279+VLOOKUP(B2070,A$15:L$36,3,FALSE)*Q2280+VLOOKUP(B2070,A$15:L$36,4,FALSE)*Q2281+VLOOKUP(B2070,A$15:L$36,5,FALSE)*Q2282+VLOOKUP(B2070,A$15:L$36,6,FALSE)*Q2283+VLOOKUP(B2070,A$15:L$36,7,FALSE)*Q2284+VLOOKUP(B2070,A$15:L$36,8,FALSE)*Q2285+VLOOKUP(B2070,A$15:L$36,9,FALSE)*Q2286+VLOOKUP(B2070,A$15:L$36,10,FALSE)*Q2287+VLOOKUP(B2070,A$15:L$36,11,FALSE)*Q2288+VLOOKUP(B2070,A$15:L$36,12,FALSE)*Q2289," ")</f>
        <v xml:space="preserve"> </v>
      </c>
      <c r="S2279" s="8" t="str">
        <f>IFERROR(IF(R2279-VLOOKUP(B2070,A$15:O$36,15,FALSE)&lt;0,R2279-VLOOKUP(B2070,A$15:O$36,15,FALSE)," ")," ")</f>
        <v xml:space="preserve"> </v>
      </c>
      <c r="T2279" s="18" t="str">
        <f>IFERROR(IF(R2279-VLOOKUP(B2070,A$15:O$36,15,FALSE)&gt;0,R2279-VLOOKUP(B2070,A$15:O$36,15,FALSE)," ")," ")</f>
        <v xml:space="preserve"> </v>
      </c>
      <c r="U2279" s="34">
        <f t="shared" ref="U2279" si="9886">$M$2</f>
        <v>100.00000000000001</v>
      </c>
      <c r="V2279" s="34">
        <v>-1</v>
      </c>
      <c r="W2279" s="34">
        <f t="shared" ref="W2279" si="9887">-SUMPRODUCT($M$3:$M$12,$N$3:$N$12)</f>
        <v>-105000</v>
      </c>
      <c r="X2279" s="34" t="e">
        <f t="shared" ref="X2279" si="9888">IF(U2279&lt;&gt;U2280,MMULT(MINVERSE(U2279:V2280),W2279:W2280)," ")</f>
        <v>#NUM!</v>
      </c>
      <c r="Y2279" s="34" t="str">
        <f t="shared" ref="Y2279" si="9889">IFERROR(IF(X2279-VLOOKUP(U$38,$A$2:$N$12,14,FALSE)&lt;0,X2279-VLOOKUP(U$38,$A$2:$N$12,14,FALSE)," ")," ")</f>
        <v xml:space="preserve"> </v>
      </c>
      <c r="Z2279" s="34" t="str">
        <f t="shared" ref="Z2279" si="9890">IFERROR(IF(X2279-VLOOKUP(U$38,$A$2:$N$12,14,FALSE)&gt;0,X2279-VLOOKUP(U$38,$A$2:$N$12,14,FALSE)," ")," ")</f>
        <v xml:space="preserve"> </v>
      </c>
      <c r="AA2279" s="34">
        <f t="shared" ref="AA2279" si="9891">$M$3</f>
        <v>0</v>
      </c>
      <c r="AB2279" s="34">
        <v>-1</v>
      </c>
      <c r="AC2279" s="34">
        <f t="shared" ref="AC2279" si="9892">-SUMPRODUCT($M$2:$M$2,$N$2:$N$2)-SUMPRODUCT($M$4:$M$12,$N$4:$N$12)</f>
        <v>-120000</v>
      </c>
      <c r="AD2279" s="34" t="e">
        <f t="shared" ref="AD2279" si="9893">IF(AA2279&lt;&gt;AA2280,MMULT(MINVERSE(AA2279:AB2280),AC2279:AC2280)," ")</f>
        <v>#NUM!</v>
      </c>
      <c r="AE2279" s="34" t="str">
        <f t="shared" ref="AE2279" si="9894">IFERROR(IF(AD2279-VLOOKUP(AA$38,$A$2:$N$12,14,FALSE)&lt;0,AD2279-VLOOKUP(AA$38,$A$2:$N$12,14,FALSE)," ")," ")</f>
        <v xml:space="preserve"> </v>
      </c>
      <c r="AF2279" s="34" t="str">
        <f t="shared" ref="AF2279" si="9895">IFERROR(IF(AD2279-VLOOKUP(AA$38,$A$2:$N$12,14,FALSE)&gt;0,AD2279-VLOOKUP(AA$38,$A$2:$N$12,14,FALSE)," ")," ")</f>
        <v xml:space="preserve"> </v>
      </c>
      <c r="AG2279" s="34">
        <f t="shared" ref="AG2279" si="9896">$M$4</f>
        <v>300</v>
      </c>
      <c r="AH2279" s="34">
        <v>-1</v>
      </c>
      <c r="AI2279" s="34">
        <f t="shared" ref="AI2279" si="9897">-SUMPRODUCT($M$2:$M$3,$N$2:$N$3)-SUMPRODUCT($M$5:$M$12,$N$5:$N$12)</f>
        <v>-15000.000000000002</v>
      </c>
      <c r="AJ2279" s="34" t="e">
        <f t="shared" ref="AJ2279" si="9898">IF(AG2279&lt;&gt;AG2280,MMULT(MINVERSE(AG2279:AH2280),AI2279:AI2280)," ")</f>
        <v>#NUM!</v>
      </c>
      <c r="AK2279" s="34" t="str">
        <f t="shared" ref="AK2279" si="9899">IFERROR(IF(AJ2279-VLOOKUP(AG$38,$A$2:$N$12,14,FALSE)&lt;0,AJ2279-VLOOKUP(AG$38,$A$2:$N$12,14,FALSE)," ")," ")</f>
        <v xml:space="preserve"> </v>
      </c>
      <c r="AL2279" s="34" t="str">
        <f t="shared" ref="AL2279" si="9900">IFERROR(IF(AJ2279-VLOOKUP(AG$38,$A$2:$N$12,14,FALSE)&gt;0,AJ2279-VLOOKUP(AG$38,$A$2:$N$12,14,FALSE)," ")," ")</f>
        <v xml:space="preserve"> </v>
      </c>
      <c r="AM2279" s="34">
        <f t="shared" ref="AM2279" si="9901">$M$5</f>
        <v>0</v>
      </c>
      <c r="AN2279" s="34">
        <v>-1</v>
      </c>
      <c r="AO2279" s="34">
        <f t="shared" ref="AO2279" si="9902">-SUMPRODUCT($M$2:$M$4,$N$2:$N$4)-SUMPRODUCT($M$6:$M$12,$N$6:$N$12)</f>
        <v>-120000</v>
      </c>
      <c r="AP2279" s="34" t="e">
        <f t="shared" ref="AP2279" si="9903">IF(AM2279&lt;&gt;AM2280,MMULT(MINVERSE(AM2279:AN2280),AO2279:AO2280)," ")</f>
        <v>#NUM!</v>
      </c>
      <c r="AQ2279" s="34" t="str">
        <f t="shared" ref="AQ2279" si="9904">IFERROR(IF(AP2279-VLOOKUP(AM$38,$A$2:$N$12,14,FALSE)&lt;0,AP2279-VLOOKUP(AM$38,$A$2:$N$12,14,FALSE)," ")," ")</f>
        <v xml:space="preserve"> </v>
      </c>
      <c r="AR2279" s="34" t="str">
        <f t="shared" ref="AR2279" si="9905">IFERROR(IF(AP2279-VLOOKUP(AM$38,$A$2:$N$12,14,FALSE)&gt;0,AP2279-VLOOKUP(AM$38,$A$2:$N$12,14,FALSE)," ")," ")</f>
        <v xml:space="preserve"> </v>
      </c>
      <c r="AS2279" s="34">
        <f t="shared" ref="AS2279" si="9906">$M$6</f>
        <v>0</v>
      </c>
      <c r="AT2279" s="34">
        <v>-1</v>
      </c>
      <c r="AU2279" s="34">
        <f t="shared" ref="AU2279" si="9907">-SUMPRODUCT($M$2:$M$5,$N$2:$N$5)-SUMPRODUCT($M$7:$M$12,$N$7:$N$12)</f>
        <v>-120000</v>
      </c>
      <c r="AV2279" s="34" t="e">
        <f t="shared" ref="AV2279" si="9908">IF(AS2279&lt;&gt;AS2280,MMULT(MINVERSE(AS2279:AT2280),AU2279:AU2280)," ")</f>
        <v>#NUM!</v>
      </c>
      <c r="AW2279" s="34" t="str">
        <f t="shared" ref="AW2279" si="9909">IFERROR(IF(AV2279-VLOOKUP(AS$38,$A$2:$N$12,14,FALSE)&lt;0,AV2279-VLOOKUP(AS$38,$A$2:$N$12,14,FALSE)," ")," ")</f>
        <v xml:space="preserve"> </v>
      </c>
      <c r="AX2279" s="34" t="str">
        <f t="shared" ref="AX2279" si="9910">IFERROR(IF(AV2279-VLOOKUP(AS$38,$A$2:$N$12,14,FALSE)&gt;0,AV2279-VLOOKUP(AS$38,$A$2:$N$12,14,FALSE)," ")," ")</f>
        <v xml:space="preserve"> </v>
      </c>
      <c r="AY2279" s="34">
        <f t="shared" ref="AY2279" si="9911">$M$7</f>
        <v>0</v>
      </c>
      <c r="AZ2279" s="34">
        <v>-1</v>
      </c>
      <c r="BA2279" s="34">
        <f t="shared" ref="BA2279" si="9912">-SUMPRODUCT($M$2:$M$6,$N$2:$N$6)-SUMPRODUCT($M$8:$M$12,$N$8:$N$12)</f>
        <v>-120000</v>
      </c>
      <c r="BB2279" s="34" t="e">
        <f t="shared" ref="BB2279" si="9913">IF(AY2279&lt;&gt;AY2280,MMULT(MINVERSE(AY2279:AZ2280),BA2279:BA2280)," ")</f>
        <v>#NUM!</v>
      </c>
      <c r="BC2279" s="34" t="str">
        <f t="shared" ref="BC2279" si="9914">IFERROR(IF(BB2279-VLOOKUP(AY$38,$A$2:$N$12,14,FALSE)&lt;0,BB2279-VLOOKUP(AY$38,$A$2:$N$12,14,FALSE)," ")," ")</f>
        <v xml:space="preserve"> </v>
      </c>
      <c r="BD2279" s="34" t="str">
        <f t="shared" ref="BD2279" si="9915">IFERROR(IF(BB2279-VLOOKUP(AY$38,$A$2:$N$12,14,FALSE)&gt;0,BB2279-VLOOKUP(AY$38,$A$2:$N$12,14,FALSE)," ")," ")</f>
        <v xml:space="preserve"> </v>
      </c>
      <c r="BE2279" s="34">
        <f t="shared" ref="BE2279" si="9916">$M$8</f>
        <v>0</v>
      </c>
      <c r="BF2279" s="34">
        <v>-1</v>
      </c>
      <c r="BG2279" s="34">
        <f t="shared" ref="BG2279" si="9917">-SUMPRODUCT($M$2:$M$7,$N$2:$N$7)-SUMPRODUCT($M$9:$M$12,$N$9:$N$12)</f>
        <v>-120000</v>
      </c>
      <c r="BH2279" s="34" t="e">
        <f t="shared" ref="BH2279" si="9918">IF(BE2279&lt;&gt;BE2280,MMULT(MINVERSE(BE2279:BF2280),BG2279:BG2280)," ")</f>
        <v>#NUM!</v>
      </c>
      <c r="BI2279" s="34" t="str">
        <f t="shared" ref="BI2279" si="9919">IFERROR(IF(BH2279-VLOOKUP(BE$38,$A$2:$N$12,14,FALSE)&lt;0,BH2279-VLOOKUP(BE$38,$A$2:$N$12,14,FALSE)," ")," ")</f>
        <v xml:space="preserve"> </v>
      </c>
      <c r="BJ2279" s="34" t="str">
        <f t="shared" ref="BJ2279" si="9920">IFERROR(IF(BH2279-VLOOKUP(BE$38,$A$2:$N$12,14,FALSE)&gt;0,BH2279-VLOOKUP(BE$38,$A$2:$N$12,14,FALSE)," ")," ")</f>
        <v xml:space="preserve"> </v>
      </c>
      <c r="BK2279" s="34">
        <f t="shared" ref="BK2279" si="9921">$M$9</f>
        <v>0</v>
      </c>
      <c r="BL2279" s="34">
        <v>-1</v>
      </c>
      <c r="BM2279" s="34">
        <f t="shared" ref="BM2279" si="9922">-SUMPRODUCT($M$2:$M$8,$N$2:$N$8)-SUMPRODUCT($M$10:$M$12,$N$10:$N$12)</f>
        <v>-120000</v>
      </c>
      <c r="BN2279" s="34" t="e">
        <f t="shared" ref="BN2279" si="9923">IF(BK2279&lt;&gt;BK2280,MMULT(MINVERSE(BK2279:BL2280),BM2279:BM2280)," ")</f>
        <v>#NUM!</v>
      </c>
      <c r="BO2279" s="34" t="str">
        <f t="shared" ref="BO2279" si="9924">IFERROR(IF(BN2279-VLOOKUP(BK$38,$A$2:$N$12,14,FALSE)&lt;0,BN2279-VLOOKUP(BK$38,$A$2:$N$12,14,FALSE)," ")," ")</f>
        <v xml:space="preserve"> </v>
      </c>
      <c r="BP2279" s="34" t="str">
        <f t="shared" ref="BP2279" si="9925">IFERROR(IF(BN2279-VLOOKUP(BK$38,$A$2:$N$12,14,FALSE)&gt;0,BN2279-VLOOKUP(BK$38,$A$2:$N$12,14,FALSE)," ")," ")</f>
        <v xml:space="preserve"> </v>
      </c>
      <c r="BQ2279" s="34">
        <f t="shared" ref="BQ2279" si="9926">$M$10</f>
        <v>0</v>
      </c>
      <c r="BR2279" s="34">
        <v>-1</v>
      </c>
      <c r="BS2279" s="34">
        <f t="shared" ref="BS2279" si="9927">-SUMPRODUCT($M$2:$M$9,$N$2:$N$9)-SUMPRODUCT($M$11:$M$12,$N$11:$N$12)</f>
        <v>-120000</v>
      </c>
      <c r="BT2279" s="34" t="e">
        <f t="shared" ref="BT2279" si="9928">IF(BQ2279&lt;&gt;BQ2280,MMULT(MINVERSE(BQ2279:BR2280),BS2279:BS2280)," ")</f>
        <v>#NUM!</v>
      </c>
      <c r="BU2279" s="34" t="str">
        <f t="shared" ref="BU2279" si="9929">IFERROR(IF(BT2279-VLOOKUP(BQ$38,$A$2:$N$12,14,FALSE)&lt;0,BT2279-VLOOKUP(BQ$38,$A$2:$N$12,14,FALSE)," ")," ")</f>
        <v xml:space="preserve"> </v>
      </c>
      <c r="BV2279" s="34" t="str">
        <f t="shared" ref="BV2279" si="9930">IFERROR(IF(BT2279-VLOOKUP(BQ$38,$A$2:$N$12,14,FALSE)&gt;0,BT2279-VLOOKUP(BQ$38,$A$2:$N$12,14,FALSE)," ")," ")</f>
        <v xml:space="preserve"> </v>
      </c>
      <c r="BW2279" s="34">
        <f t="shared" ref="BW2279" si="9931">$M$11</f>
        <v>0</v>
      </c>
      <c r="BX2279" s="34">
        <v>-1</v>
      </c>
      <c r="BY2279" s="34">
        <f t="shared" ref="BY2279" si="9932">-SUMPRODUCT($M$2:$M$10,$N$2:$N$10)-SUMPRODUCT($M$12,$N$12)</f>
        <v>-120000</v>
      </c>
      <c r="BZ2279" s="34" t="e">
        <f t="shared" ref="BZ2279" si="9933">IF(BW2279&lt;&gt;BW2280,MMULT(MINVERSE(BW2279:BX2280),BY2279:BY2280)," ")</f>
        <v>#NUM!</v>
      </c>
      <c r="CA2279" s="34" t="str">
        <f t="shared" ref="CA2279" si="9934">IFERROR(IF(BZ2279-VLOOKUP(BW$38,$A$2:$N$12,14,FALSE)&lt;0,BZ2279-VLOOKUP(BW$38,$A$2:$N$12,14,FALSE)," ")," ")</f>
        <v xml:space="preserve"> </v>
      </c>
      <c r="CB2279" s="34" t="str">
        <f t="shared" ref="CB2279" si="9935">IFERROR(IF(BZ2279-VLOOKUP(BW$38,$A$2:$N$12,14,FALSE)&gt;0,BZ2279-VLOOKUP(BW$38,$A$2:$N$12,14,FALSE)," ")," ")</f>
        <v xml:space="preserve"> </v>
      </c>
      <c r="CC2279" s="34">
        <f t="shared" ref="CC2279" si="9936">$M$12</f>
        <v>0</v>
      </c>
      <c r="CD2279" s="34">
        <v>-1</v>
      </c>
      <c r="CE2279" s="34">
        <f t="shared" ref="CE2279" si="9937">-SUMPRODUCT($M$2:$M$11,$N$2:$N$11)</f>
        <v>-120000</v>
      </c>
      <c r="CF2279" s="34" t="e">
        <f t="shared" ref="CF2279" si="9938">IF(CC2279&lt;&gt;CC2280,MMULT(MINVERSE(CC2279:CD2280),CE2279:CE2280)," ")</f>
        <v>#NUM!</v>
      </c>
      <c r="CG2279" s="34" t="str">
        <f t="shared" ref="CG2279" si="9939">IFERROR(IF(CF2279-VLOOKUP(CC$38,$A$2:$N$12,14,FALSE)&lt;0,CF2279-VLOOKUP(CC$38,$A$2:$N$12,14,FALSE)," ")," ")</f>
        <v xml:space="preserve"> </v>
      </c>
      <c r="CH2279" s="34" t="str">
        <f t="shared" ref="CH2279" si="9940">IFERROR(IF(CF2279-VLOOKUP(CC$38,$A$2:$N$12,14,FALSE)&gt;0,CF2279-VLOOKUP(CC$38,$A$2:$N$12,14,FALSE)," ")," ")</f>
        <v xml:space="preserve"> </v>
      </c>
      <c r="CI2279" s="8"/>
    </row>
    <row r="2280" spans="1:87" x14ac:dyDescent="0.2">
      <c r="A2280" s="8" t="str">
        <f>IF(AND(COUNTIF(W$3:W$13,A$16)&gt;0,A$16&lt;&gt;B2070),A$16,IFERROR(IF(MATCH(A$16,Z$3:Z$13,0)=10,A$16," ")," "))</f>
        <v xml:space="preserve"> </v>
      </c>
      <c r="B2280" s="8" t="str">
        <f>IF(A2280=" "," ",MAX(B2279:B2279)+1)</f>
        <v xml:space="preserve"> </v>
      </c>
      <c r="C2280" s="8" t="str">
        <f>IFERROR(INDEX(A2279:A2300,MATCH(SMALL(B2279:B2300,2),B2279:B2300,0),1)," ")</f>
        <v>C4</v>
      </c>
      <c r="D2280" s="8">
        <f t="shared" ref="D2280:D2289" si="9941">IFERROR(VLOOKUP($C2280,$A$15:$O$36,2,FALSE)," ")</f>
        <v>1</v>
      </c>
      <c r="E2280" s="8">
        <f t="shared" ref="E2280:E2289" si="9942">IFERROR(VLOOKUP($C2280,$A$15:$O$36,3,FALSE)," ")</f>
        <v>0</v>
      </c>
      <c r="F2280" s="8">
        <f t="shared" ref="F2280:F2289" si="9943">IFERROR(VLOOKUP($C2280,$A$15:$O$36,4,FALSE)," ")</f>
        <v>1</v>
      </c>
      <c r="G2280" s="8">
        <f t="shared" ref="G2280:G2289" si="9944">IFERROR(VLOOKUP($C2280,$A$15:$O$36,5,FALSE)," ")</f>
        <v>0</v>
      </c>
      <c r="H2280" s="8">
        <f t="shared" ref="H2280:H2289" si="9945">IFERROR(VLOOKUP($C2280,$A$15:$O$36,6,FALSE)," ")</f>
        <v>0</v>
      </c>
      <c r="I2280" s="8">
        <f t="shared" ref="I2280:I2289" si="9946">IFERROR(VLOOKUP($C2280,$A$15:$O$36,7,FALSE)," ")</f>
        <v>0</v>
      </c>
      <c r="J2280" s="8">
        <f t="shared" ref="J2280:J2289" si="9947">IFERROR(VLOOKUP($C2280,$A$15:$O$36,8,FALSE)," ")</f>
        <v>0</v>
      </c>
      <c r="K2280" s="8">
        <f t="shared" ref="K2280:K2289" si="9948">IFERROR(VLOOKUP($C2280,$A$15:$O$36,9,FALSE)," ")</f>
        <v>0</v>
      </c>
      <c r="L2280" s="8">
        <f t="shared" ref="L2280:L2289" si="9949">IFERROR(VLOOKUP($C2280,$A$15:$O$36,10,FALSE)," ")</f>
        <v>0</v>
      </c>
      <c r="M2280" s="8">
        <f t="shared" ref="M2280:M2289" si="9950">IFERROR(VLOOKUP($C2280,$A$15:$O$36,11,FALSE)," ")</f>
        <v>0</v>
      </c>
      <c r="N2280" s="8">
        <f t="shared" ref="N2280:N2289" si="9951">IFERROR(VLOOKUP($C2280,$A$15:$O$36,12,FALSE)," ")</f>
        <v>0</v>
      </c>
      <c r="O2280" s="8">
        <f t="shared" ref="O2280:O2289" si="9952">IFERROR(VLOOKUP($C2280,$A$15:$O$36,15,FALSE)," ")</f>
        <v>400</v>
      </c>
      <c r="P2280" s="8" t="e">
        <v>#NUM!</v>
      </c>
      <c r="Q2280" s="8" t="e">
        <f t="shared" ref="Q2280" si="9953">IF(COUNTIF(P2279:P2289,"&lt;"&amp;-0.001)=0,IF(ABS(P2280)&lt;0.001,0,P2280)," ")</f>
        <v>#NUM!</v>
      </c>
      <c r="R2280" s="8"/>
      <c r="S2280" s="8"/>
      <c r="U2280" s="34" t="e">
        <f t="shared" ref="U2280" si="9954">$Q2279</f>
        <v>#NUM!</v>
      </c>
      <c r="V2280" s="34">
        <v>-1</v>
      </c>
      <c r="W2280" s="34" t="e">
        <f t="shared" ref="W2280" si="9955">-SUMPRODUCT($Q2280:$Q2289,$N$3:$N$12)</f>
        <v>#NUM!</v>
      </c>
      <c r="X2280" s="34"/>
      <c r="Y2280" s="34"/>
      <c r="Z2280" s="34"/>
      <c r="AA2280" s="34" t="e">
        <f t="shared" ref="AA2280" si="9956">$Q2280</f>
        <v>#NUM!</v>
      </c>
      <c r="AB2280" s="34">
        <v>-1</v>
      </c>
      <c r="AC2280" s="34" t="e">
        <f t="shared" ref="AC2280" si="9957">-SUMPRODUCT($Q2279:$Q2279,$N$2:$N$2)-SUMPRODUCT($Q2281:$Q2289,$N$4:$N$12)</f>
        <v>#NUM!</v>
      </c>
      <c r="AD2280" s="34"/>
      <c r="AE2280" s="34"/>
      <c r="AF2280" s="34"/>
      <c r="AG2280" s="34" t="e">
        <f t="shared" ref="AG2280" si="9958">$Q2281</f>
        <v>#NUM!</v>
      </c>
      <c r="AH2280" s="34">
        <v>-1</v>
      </c>
      <c r="AI2280" s="34" t="e">
        <f t="shared" ref="AI2280" si="9959">-SUMPRODUCT($Q2279:$Q2280,$N$2:$N$3)-SUMPRODUCT($Q2282:$Q2289,$N$5:$N$12)</f>
        <v>#NUM!</v>
      </c>
      <c r="AJ2280" s="34"/>
      <c r="AK2280" s="34"/>
      <c r="AL2280" s="34"/>
      <c r="AM2280" s="34" t="e">
        <f t="shared" ref="AM2280" si="9960">$Q2282</f>
        <v>#NUM!</v>
      </c>
      <c r="AN2280" s="34">
        <v>-1</v>
      </c>
      <c r="AO2280" s="34" t="e">
        <f t="shared" ref="AO2280" si="9961">-SUMPRODUCT($Q2279:$Q2281,$N$2:$N$4)-SUMPRODUCT($Q2283:$Q2289,$N$6:$N$12)</f>
        <v>#NUM!</v>
      </c>
      <c r="AP2280" s="34"/>
      <c r="AQ2280" s="34"/>
      <c r="AR2280" s="34"/>
      <c r="AS2280" s="34" t="e">
        <f t="shared" ref="AS2280" si="9962">$Q2283</f>
        <v>#NUM!</v>
      </c>
      <c r="AT2280" s="34">
        <v>-1</v>
      </c>
      <c r="AU2280" s="34" t="e">
        <f t="shared" ref="AU2280" si="9963">-SUMPRODUCT($Q2279:$Q2282,$N$2:$N$5)-SUMPRODUCT($Q2284:$Q2289,$N$7:$N$12)</f>
        <v>#NUM!</v>
      </c>
      <c r="AV2280" s="34"/>
      <c r="AW2280" s="34"/>
      <c r="AX2280" s="34"/>
      <c r="AY2280" s="34" t="e">
        <f t="shared" ref="AY2280" si="9964">$Q2284</f>
        <v>#NUM!</v>
      </c>
      <c r="AZ2280" s="34">
        <v>-1</v>
      </c>
      <c r="BA2280" s="34" t="e">
        <f t="shared" ref="BA2280" si="9965">-SUMPRODUCT($Q2279:$Q2283,$N$2:$N$6)-SUMPRODUCT($Q2285:$Q2289,$N$8:$N$12)</f>
        <v>#NUM!</v>
      </c>
      <c r="BB2280" s="34"/>
      <c r="BC2280" s="34"/>
      <c r="BD2280" s="34"/>
      <c r="BE2280" s="34" t="e">
        <f t="shared" ref="BE2280" si="9966">$Q2285</f>
        <v>#NUM!</v>
      </c>
      <c r="BF2280" s="34">
        <v>-1</v>
      </c>
      <c r="BG2280" s="34" t="e">
        <f t="shared" ref="BG2280" si="9967">-SUMPRODUCT($Q2279:$Q2284,$N$2:$N$7)-SUMPRODUCT($Q2286:$Q2289,$N$9:$N$12)</f>
        <v>#NUM!</v>
      </c>
      <c r="BH2280" s="34"/>
      <c r="BI2280" s="34"/>
      <c r="BJ2280" s="34"/>
      <c r="BK2280" s="34" t="e">
        <f t="shared" ref="BK2280" si="9968">$Q2286</f>
        <v>#NUM!</v>
      </c>
      <c r="BL2280" s="34">
        <v>-1</v>
      </c>
      <c r="BM2280" s="34" t="e">
        <f t="shared" ref="BM2280" si="9969">-SUMPRODUCT($Q2279:$Q2285,$N$2:$N$8)-SUMPRODUCT($Q2287:$Q2289,$N$10:$N$12)</f>
        <v>#NUM!</v>
      </c>
      <c r="BN2280" s="34"/>
      <c r="BO2280" s="34"/>
      <c r="BP2280" s="34"/>
      <c r="BQ2280" s="34" t="e">
        <f t="shared" ref="BQ2280" si="9970">$Q2287</f>
        <v>#NUM!</v>
      </c>
      <c r="BR2280" s="34">
        <v>-1</v>
      </c>
      <c r="BS2280" s="34" t="e">
        <f t="shared" ref="BS2280" si="9971">-SUMPRODUCT($Q2279:$Q2286,$N$2:$N$9)-SUMPRODUCT($Q2288:$Q2289,$N$11:$N$12)</f>
        <v>#NUM!</v>
      </c>
      <c r="BT2280" s="34"/>
      <c r="BU2280" s="34"/>
      <c r="BV2280" s="34"/>
      <c r="BW2280" s="34" t="e">
        <f t="shared" ref="BW2280" si="9972">$Q2288</f>
        <v>#NUM!</v>
      </c>
      <c r="BX2280" s="34">
        <v>-1</v>
      </c>
      <c r="BY2280" s="34" t="e">
        <f t="shared" ref="BY2280" si="9973">-SUMPRODUCT($Q2279:$Q2287,$N$2:$N$10)-SUMPRODUCT($Q2289,$N$12)</f>
        <v>#NUM!</v>
      </c>
      <c r="BZ2280" s="34"/>
      <c r="CA2280" s="34"/>
      <c r="CB2280" s="34"/>
      <c r="CC2280" s="34" t="e">
        <f t="shared" ref="CC2280" si="9974">$Q2289</f>
        <v>#NUM!</v>
      </c>
      <c r="CD2280" s="34">
        <v>-1</v>
      </c>
      <c r="CE2280" s="34" t="e">
        <f t="shared" ref="CE2280" si="9975">-SUMPRODUCT($Q2279:$Q2288,$N$2:$N$11)</f>
        <v>#NUM!</v>
      </c>
      <c r="CF2280" s="34"/>
      <c r="CG2280" s="34"/>
      <c r="CH2280" s="34"/>
      <c r="CI2280" s="8"/>
    </row>
    <row r="2281" spans="1:87" x14ac:dyDescent="0.2">
      <c r="A2281" s="8" t="str">
        <f>IF(AND(COUNTIF(W$3:W$13,A$17)&gt;0,A$17&lt;&gt;B2070),A$17,IFERROR(IF(MATCH(A$17,Z$3:Z$13,0)=10,A$17," ")," "))</f>
        <v>C3</v>
      </c>
      <c r="B2281" s="8">
        <f>IF(A2281=" "," ",MAX(B2279:B2280)+1)</f>
        <v>1</v>
      </c>
      <c r="C2281" s="8" t="str">
        <f>IFERROR(INDEX(A2279:A2300,MATCH(SMALL(B2279:B2300,3),B2279:B2300,0),1)," ")</f>
        <v>C12</v>
      </c>
      <c r="D2281" s="8">
        <f t="shared" si="9941"/>
        <v>1</v>
      </c>
      <c r="E2281" s="8">
        <f t="shared" si="9942"/>
        <v>0</v>
      </c>
      <c r="F2281" s="8">
        <f t="shared" si="9943"/>
        <v>0</v>
      </c>
      <c r="G2281" s="8">
        <f t="shared" si="9944"/>
        <v>0</v>
      </c>
      <c r="H2281" s="8">
        <f t="shared" si="9945"/>
        <v>0</v>
      </c>
      <c r="I2281" s="8">
        <f t="shared" si="9946"/>
        <v>0</v>
      </c>
      <c r="J2281" s="8">
        <f t="shared" si="9947"/>
        <v>0</v>
      </c>
      <c r="K2281" s="8">
        <f t="shared" si="9948"/>
        <v>0</v>
      </c>
      <c r="L2281" s="8">
        <f t="shared" si="9949"/>
        <v>0</v>
      </c>
      <c r="M2281" s="8">
        <f t="shared" si="9950"/>
        <v>0</v>
      </c>
      <c r="N2281" s="8">
        <f t="shared" si="9951"/>
        <v>0</v>
      </c>
      <c r="O2281" s="8">
        <f t="shared" si="9952"/>
        <v>0</v>
      </c>
      <c r="P2281" s="8" t="e">
        <v>#NUM!</v>
      </c>
      <c r="Q2281" s="8" t="e">
        <f t="shared" ref="Q2281" si="9976">IF(COUNTIF(P2279:P2289,"&lt;"&amp;-0.001)=0,IF(ABS(P2281)&lt;0.001,0,P2281)," ")</f>
        <v>#NUM!</v>
      </c>
      <c r="R2281" s="8"/>
      <c r="S2281" s="8"/>
      <c r="U2281" s="34"/>
      <c r="V2281" s="34"/>
      <c r="W2281" s="34"/>
      <c r="X2281" s="34"/>
      <c r="Y2281" s="34"/>
      <c r="Z2281" s="34"/>
      <c r="AA2281" s="34"/>
      <c r="AB2281" s="34"/>
      <c r="AC2281" s="34"/>
      <c r="AD2281" s="34"/>
      <c r="AE2281" s="34"/>
      <c r="AF2281" s="34"/>
      <c r="AG2281" s="34"/>
      <c r="AH2281" s="34"/>
      <c r="AI2281" s="34"/>
      <c r="AJ2281" s="34"/>
      <c r="AK2281" s="34"/>
      <c r="AL2281" s="34"/>
      <c r="AM2281" s="34"/>
      <c r="AN2281" s="34"/>
      <c r="AO2281" s="34"/>
      <c r="AP2281" s="34"/>
      <c r="AQ2281" s="34"/>
      <c r="AR2281" s="34"/>
      <c r="AS2281" s="34"/>
      <c r="AT2281" s="34"/>
      <c r="AU2281" s="34"/>
      <c r="AV2281" s="34"/>
      <c r="AW2281" s="34"/>
      <c r="AX2281" s="34"/>
      <c r="AY2281" s="34"/>
      <c r="AZ2281" s="34"/>
      <c r="BA2281" s="34"/>
      <c r="BB2281" s="34"/>
      <c r="BC2281" s="34"/>
      <c r="BD2281" s="34"/>
      <c r="BE2281" s="34"/>
      <c r="BF2281" s="34"/>
      <c r="BG2281" s="34"/>
      <c r="BH2281" s="34"/>
      <c r="BI2281" s="34"/>
      <c r="BJ2281" s="34"/>
      <c r="BK2281" s="34"/>
      <c r="BL2281" s="34"/>
      <c r="BM2281" s="34"/>
      <c r="BN2281" s="34"/>
      <c r="BO2281" s="34"/>
      <c r="BP2281" s="34"/>
      <c r="BQ2281" s="34"/>
      <c r="BR2281" s="34"/>
      <c r="BS2281" s="34"/>
      <c r="BT2281" s="34"/>
      <c r="BU2281" s="34"/>
      <c r="BV2281" s="34"/>
      <c r="BW2281" s="34"/>
      <c r="BX2281" s="34"/>
      <c r="BY2281" s="34"/>
      <c r="BZ2281" s="34"/>
      <c r="CA2281" s="34"/>
      <c r="CB2281" s="34"/>
      <c r="CC2281" s="34"/>
      <c r="CD2281" s="34"/>
      <c r="CE2281" s="34"/>
      <c r="CF2281" s="34"/>
      <c r="CG2281" s="34"/>
      <c r="CH2281" s="34"/>
      <c r="CI2281" s="8"/>
    </row>
    <row r="2282" spans="1:87" x14ac:dyDescent="0.2">
      <c r="A2282" s="8" t="str">
        <f>IF(AND(COUNTIF(W$3:W$13,A$18)&gt;0,A$18&lt;&gt;B2070),A$18,IFERROR(IF(MATCH(A$18,Z$3:Z$13,0)=10,A$18," ")," "))</f>
        <v>C4</v>
      </c>
      <c r="B2282" s="8">
        <f>IF(A2282=" "," ",MAX(B2279:B2281)+1)</f>
        <v>2</v>
      </c>
      <c r="C2282" s="8" t="str">
        <f>IFERROR(INDEX(A2279:A2300,MATCH(SMALL(B2279:B2300,4),B2279:B2300,0),1)," ")</f>
        <v>C13</v>
      </c>
      <c r="D2282" s="8">
        <f t="shared" si="9941"/>
        <v>0</v>
      </c>
      <c r="E2282" s="8">
        <f t="shared" si="9942"/>
        <v>1</v>
      </c>
      <c r="F2282" s="8">
        <f t="shared" si="9943"/>
        <v>0</v>
      </c>
      <c r="G2282" s="8">
        <f t="shared" si="9944"/>
        <v>0</v>
      </c>
      <c r="H2282" s="8">
        <f t="shared" si="9945"/>
        <v>0</v>
      </c>
      <c r="I2282" s="8">
        <f t="shared" si="9946"/>
        <v>0</v>
      </c>
      <c r="J2282" s="8">
        <f t="shared" si="9947"/>
        <v>0</v>
      </c>
      <c r="K2282" s="8">
        <f t="shared" si="9948"/>
        <v>0</v>
      </c>
      <c r="L2282" s="8">
        <f t="shared" si="9949"/>
        <v>0</v>
      </c>
      <c r="M2282" s="8">
        <f t="shared" si="9950"/>
        <v>0</v>
      </c>
      <c r="N2282" s="8">
        <f t="shared" si="9951"/>
        <v>0</v>
      </c>
      <c r="O2282" s="8">
        <f t="shared" si="9952"/>
        <v>0</v>
      </c>
      <c r="P2282" s="8" t="e">
        <v>#NUM!</v>
      </c>
      <c r="Q2282" s="8" t="e">
        <f t="shared" ref="Q2282" si="9977">IF(COUNTIF(P2279:P2289,"&lt;"&amp;-0.001)=0,IF(ABS(P2282)&lt;0.001,0,P2282)," ")</f>
        <v>#NUM!</v>
      </c>
      <c r="R2282" s="8"/>
      <c r="S2282" s="8"/>
      <c r="U2282" s="34"/>
      <c r="V2282" s="34"/>
      <c r="W2282" s="34"/>
      <c r="X2282" s="34"/>
      <c r="Y2282" s="34"/>
      <c r="Z2282" s="34"/>
      <c r="AA2282" s="34"/>
      <c r="AB2282" s="34"/>
      <c r="AC2282" s="34"/>
      <c r="AD2282" s="34"/>
      <c r="AE2282" s="34"/>
      <c r="AF2282" s="34"/>
      <c r="AG2282" s="34"/>
      <c r="AH2282" s="34"/>
      <c r="AI2282" s="34"/>
      <c r="AJ2282" s="34"/>
      <c r="AK2282" s="34"/>
      <c r="AL2282" s="34"/>
      <c r="AM2282" s="34"/>
      <c r="AN2282" s="34"/>
      <c r="AO2282" s="34"/>
      <c r="AP2282" s="34"/>
      <c r="AQ2282" s="34"/>
      <c r="AR2282" s="34"/>
      <c r="AS2282" s="34"/>
      <c r="AT2282" s="34"/>
      <c r="AU2282" s="34"/>
      <c r="AV2282" s="34"/>
      <c r="AW2282" s="34"/>
      <c r="AX2282" s="34"/>
      <c r="AY2282" s="34"/>
      <c r="AZ2282" s="34"/>
      <c r="BA2282" s="34"/>
      <c r="BB2282" s="34"/>
      <c r="BC2282" s="34"/>
      <c r="BD2282" s="34"/>
      <c r="BE2282" s="34"/>
      <c r="BF2282" s="34"/>
      <c r="BG2282" s="34"/>
      <c r="BH2282" s="34"/>
      <c r="BI2282" s="34"/>
      <c r="BJ2282" s="34"/>
      <c r="BK2282" s="34"/>
      <c r="BL2282" s="34"/>
      <c r="BM2282" s="34"/>
      <c r="BN2282" s="34"/>
      <c r="BO2282" s="34"/>
      <c r="BP2282" s="34"/>
      <c r="BQ2282" s="34"/>
      <c r="BR2282" s="34"/>
      <c r="BS2282" s="34"/>
      <c r="BT2282" s="34"/>
      <c r="BU2282" s="34"/>
      <c r="BV2282" s="34"/>
      <c r="BW2282" s="34"/>
      <c r="BX2282" s="34"/>
      <c r="BY2282" s="34"/>
      <c r="BZ2282" s="34"/>
      <c r="CA2282" s="34"/>
      <c r="CB2282" s="34"/>
      <c r="CC2282" s="34"/>
      <c r="CD2282" s="34"/>
      <c r="CE2282" s="34"/>
      <c r="CF2282" s="34"/>
      <c r="CG2282" s="34"/>
      <c r="CH2282" s="34"/>
      <c r="CI2282" s="8"/>
    </row>
    <row r="2283" spans="1:87" x14ac:dyDescent="0.2">
      <c r="A2283" s="8" t="str">
        <f>IF(AND(COUNTIF(W$3:W$13,A$19)&gt;0,A$19&lt;&gt;B2070),A$19,IFERROR(IF(MATCH(A$19,Z$3:Z$13,0)=10,A$19," ")," "))</f>
        <v xml:space="preserve"> </v>
      </c>
      <c r="B2283" s="8" t="str">
        <f>IF(A2283=" "," ",MAX(B2279:B2282)+1)</f>
        <v xml:space="preserve"> </v>
      </c>
      <c r="C2283" s="8" t="str">
        <f>IFERROR(INDEX(A2279:A2300,MATCH(SMALL(B2279:B2300,5),B2279:B2300,0),1)," ")</f>
        <v>C15</v>
      </c>
      <c r="D2283" s="8">
        <f t="shared" si="9941"/>
        <v>0</v>
      </c>
      <c r="E2283" s="8">
        <f t="shared" si="9942"/>
        <v>0</v>
      </c>
      <c r="F2283" s="8">
        <f t="shared" si="9943"/>
        <v>0</v>
      </c>
      <c r="G2283" s="8">
        <f t="shared" si="9944"/>
        <v>1</v>
      </c>
      <c r="H2283" s="8">
        <f t="shared" si="9945"/>
        <v>0</v>
      </c>
      <c r="I2283" s="8">
        <f t="shared" si="9946"/>
        <v>0</v>
      </c>
      <c r="J2283" s="8">
        <f t="shared" si="9947"/>
        <v>0</v>
      </c>
      <c r="K2283" s="8">
        <f t="shared" si="9948"/>
        <v>0</v>
      </c>
      <c r="L2283" s="8">
        <f t="shared" si="9949"/>
        <v>0</v>
      </c>
      <c r="M2283" s="8">
        <f t="shared" si="9950"/>
        <v>0</v>
      </c>
      <c r="N2283" s="8">
        <f t="shared" si="9951"/>
        <v>0</v>
      </c>
      <c r="O2283" s="8">
        <f t="shared" si="9952"/>
        <v>0</v>
      </c>
      <c r="P2283" s="8" t="e">
        <v>#NUM!</v>
      </c>
      <c r="Q2283" s="8" t="e">
        <f t="shared" ref="Q2283" si="9978">IF(COUNTIF(P2279:P2289,"&lt;"&amp;-0.001)=0,IF(ABS(P2283)&lt;0.001,0,P2283)," ")</f>
        <v>#NUM!</v>
      </c>
      <c r="R2283" s="8"/>
      <c r="S2283" s="8"/>
      <c r="U2283" s="34"/>
      <c r="V2283" s="34"/>
      <c r="W2283" s="34"/>
      <c r="X2283" s="34"/>
      <c r="Y2283" s="34"/>
      <c r="Z2283" s="34"/>
      <c r="AA2283" s="34"/>
      <c r="AB2283" s="34"/>
      <c r="AC2283" s="34"/>
      <c r="AD2283" s="34"/>
      <c r="AE2283" s="34"/>
      <c r="AF2283" s="34"/>
      <c r="AG2283" s="34"/>
      <c r="AH2283" s="34"/>
      <c r="AI2283" s="34"/>
      <c r="AJ2283" s="34"/>
      <c r="AK2283" s="34"/>
      <c r="AL2283" s="34"/>
      <c r="AM2283" s="34"/>
      <c r="AN2283" s="34"/>
      <c r="AO2283" s="34"/>
      <c r="AP2283" s="34"/>
      <c r="AQ2283" s="34"/>
      <c r="AR2283" s="34"/>
      <c r="AS2283" s="34"/>
      <c r="AT2283" s="34"/>
      <c r="AU2283" s="34"/>
      <c r="AV2283" s="34"/>
      <c r="AW2283" s="34"/>
      <c r="AX2283" s="34"/>
      <c r="AY2283" s="34"/>
      <c r="AZ2283" s="34"/>
      <c r="BA2283" s="34"/>
      <c r="BB2283" s="34"/>
      <c r="BC2283" s="34"/>
      <c r="BD2283" s="34"/>
      <c r="BE2283" s="34"/>
      <c r="BF2283" s="34"/>
      <c r="BG2283" s="34"/>
      <c r="BH2283" s="34"/>
      <c r="BI2283" s="34"/>
      <c r="BJ2283" s="34"/>
      <c r="BK2283" s="34"/>
      <c r="BL2283" s="34"/>
      <c r="BM2283" s="34"/>
      <c r="BN2283" s="34"/>
      <c r="BO2283" s="34"/>
      <c r="BP2283" s="34"/>
      <c r="BQ2283" s="34"/>
      <c r="BR2283" s="34"/>
      <c r="BS2283" s="34"/>
      <c r="BT2283" s="34"/>
      <c r="BU2283" s="34"/>
      <c r="BV2283" s="34"/>
      <c r="BW2283" s="34"/>
      <c r="BX2283" s="34"/>
      <c r="BY2283" s="34"/>
      <c r="BZ2283" s="34"/>
      <c r="CA2283" s="34"/>
      <c r="CB2283" s="34"/>
      <c r="CC2283" s="34"/>
      <c r="CD2283" s="34"/>
      <c r="CE2283" s="34"/>
      <c r="CF2283" s="34"/>
      <c r="CG2283" s="34"/>
      <c r="CH2283" s="34"/>
      <c r="CI2283" s="8"/>
    </row>
    <row r="2284" spans="1:87" x14ac:dyDescent="0.2">
      <c r="A2284" s="8" t="str">
        <f>IF(AND(COUNTIF(W$3:W$13,A$20)&gt;0,A$20&lt;&gt;B2070),A$20,IFERROR(IF(MATCH(A$20,Z$3:Z$13,0)=10,A$20," ")," "))</f>
        <v xml:space="preserve"> </v>
      </c>
      <c r="B2284" s="8" t="str">
        <f>IF(A2284=" "," ",MAX(B2279:B2283)+1)</f>
        <v xml:space="preserve"> </v>
      </c>
      <c r="C2284" s="8" t="str">
        <f>IFERROR(INDEX(A2279:A2300,MATCH(SMALL(B2279:B2300,6),B2279:B2300,0),1)," ")</f>
        <v>C16</v>
      </c>
      <c r="D2284" s="8">
        <f t="shared" si="9941"/>
        <v>0</v>
      </c>
      <c r="E2284" s="8">
        <f t="shared" si="9942"/>
        <v>0</v>
      </c>
      <c r="F2284" s="8">
        <f t="shared" si="9943"/>
        <v>0</v>
      </c>
      <c r="G2284" s="8">
        <f t="shared" si="9944"/>
        <v>0</v>
      </c>
      <c r="H2284" s="8">
        <f t="shared" si="9945"/>
        <v>1</v>
      </c>
      <c r="I2284" s="8">
        <f t="shared" si="9946"/>
        <v>0</v>
      </c>
      <c r="J2284" s="8">
        <f t="shared" si="9947"/>
        <v>0</v>
      </c>
      <c r="K2284" s="8">
        <f t="shared" si="9948"/>
        <v>0</v>
      </c>
      <c r="L2284" s="8">
        <f t="shared" si="9949"/>
        <v>0</v>
      </c>
      <c r="M2284" s="8">
        <f t="shared" si="9950"/>
        <v>0</v>
      </c>
      <c r="N2284" s="8">
        <f t="shared" si="9951"/>
        <v>0</v>
      </c>
      <c r="O2284" s="8">
        <f t="shared" si="9952"/>
        <v>0</v>
      </c>
      <c r="P2284" s="8" t="e">
        <v>#NUM!</v>
      </c>
      <c r="Q2284" s="8" t="e">
        <f t="shared" ref="Q2284" si="9979">IF(COUNTIF(P2279:P2289,"&lt;"&amp;-0.001)=0,IF(ABS(P2284)&lt;0.001,0,P2284)," ")</f>
        <v>#NUM!</v>
      </c>
      <c r="R2284" s="8"/>
      <c r="S2284" s="8"/>
      <c r="U2284" s="34"/>
      <c r="V2284" s="34"/>
      <c r="W2284" s="34"/>
      <c r="X2284" s="34"/>
      <c r="Y2284" s="34"/>
      <c r="Z2284" s="34"/>
      <c r="AA2284" s="34"/>
      <c r="AB2284" s="34"/>
      <c r="AC2284" s="34"/>
      <c r="AD2284" s="34"/>
      <c r="AE2284" s="34"/>
      <c r="AF2284" s="34"/>
      <c r="AG2284" s="34"/>
      <c r="AH2284" s="34"/>
      <c r="AI2284" s="34"/>
      <c r="AJ2284" s="34"/>
      <c r="AK2284" s="34"/>
      <c r="AL2284" s="34"/>
      <c r="AM2284" s="34"/>
      <c r="AN2284" s="34"/>
      <c r="AO2284" s="34"/>
      <c r="AP2284" s="34"/>
      <c r="AQ2284" s="34"/>
      <c r="AR2284" s="34"/>
      <c r="AS2284" s="34"/>
      <c r="AT2284" s="34"/>
      <c r="AU2284" s="34"/>
      <c r="AV2284" s="34"/>
      <c r="AW2284" s="34"/>
      <c r="AX2284" s="34"/>
      <c r="AY2284" s="34"/>
      <c r="AZ2284" s="34"/>
      <c r="BA2284" s="34"/>
      <c r="BB2284" s="34"/>
      <c r="BC2284" s="34"/>
      <c r="BD2284" s="34"/>
      <c r="BE2284" s="34"/>
      <c r="BF2284" s="34"/>
      <c r="BG2284" s="34"/>
      <c r="BH2284" s="34"/>
      <c r="BI2284" s="34"/>
      <c r="BJ2284" s="34"/>
      <c r="BK2284" s="34"/>
      <c r="BL2284" s="34"/>
      <c r="BM2284" s="34"/>
      <c r="BN2284" s="34"/>
      <c r="BO2284" s="34"/>
      <c r="BP2284" s="34"/>
      <c r="BQ2284" s="34"/>
      <c r="BR2284" s="34"/>
      <c r="BS2284" s="34"/>
      <c r="BT2284" s="34"/>
      <c r="BU2284" s="34"/>
      <c r="BV2284" s="34"/>
      <c r="BW2284" s="34"/>
      <c r="BX2284" s="34"/>
      <c r="BY2284" s="34"/>
      <c r="BZ2284" s="34"/>
      <c r="CA2284" s="34"/>
      <c r="CB2284" s="34"/>
      <c r="CC2284" s="34"/>
      <c r="CD2284" s="34"/>
      <c r="CE2284" s="34"/>
      <c r="CF2284" s="34"/>
      <c r="CG2284" s="34"/>
      <c r="CH2284" s="34"/>
      <c r="CI2284" s="8"/>
    </row>
    <row r="2285" spans="1:87" x14ac:dyDescent="0.2">
      <c r="A2285" s="8" t="str">
        <f>IF(AND(COUNTIF(W$3:W$13,A$21)&gt;0,A$21&lt;&gt;B2070),A$21,IFERROR(IF(MATCH(A$21,Z$3:Z$13,0)=10,A$21," ")," "))</f>
        <v xml:space="preserve"> </v>
      </c>
      <c r="B2285" s="8" t="str">
        <f>IF(A2285=" "," ",MAX(B2279:B2284)+1)</f>
        <v xml:space="preserve"> </v>
      </c>
      <c r="C2285" s="8" t="str">
        <f>IFERROR(INDEX(A2279:A2300,MATCH(SMALL(B2279:B2300,7),B2279:B2300,0),1)," ")</f>
        <v>C17</v>
      </c>
      <c r="D2285" s="8">
        <f t="shared" si="9941"/>
        <v>0</v>
      </c>
      <c r="E2285" s="8">
        <f t="shared" si="9942"/>
        <v>0</v>
      </c>
      <c r="F2285" s="8">
        <f t="shared" si="9943"/>
        <v>0</v>
      </c>
      <c r="G2285" s="8">
        <f t="shared" si="9944"/>
        <v>0</v>
      </c>
      <c r="H2285" s="8">
        <f t="shared" si="9945"/>
        <v>0</v>
      </c>
      <c r="I2285" s="8">
        <f t="shared" si="9946"/>
        <v>1</v>
      </c>
      <c r="J2285" s="8">
        <f t="shared" si="9947"/>
        <v>0</v>
      </c>
      <c r="K2285" s="8">
        <f t="shared" si="9948"/>
        <v>0</v>
      </c>
      <c r="L2285" s="8">
        <f t="shared" si="9949"/>
        <v>0</v>
      </c>
      <c r="M2285" s="8">
        <f t="shared" si="9950"/>
        <v>0</v>
      </c>
      <c r="N2285" s="8">
        <f t="shared" si="9951"/>
        <v>0</v>
      </c>
      <c r="O2285" s="8">
        <f t="shared" si="9952"/>
        <v>0</v>
      </c>
      <c r="P2285" s="8" t="e">
        <v>#NUM!</v>
      </c>
      <c r="Q2285" s="8" t="e">
        <f t="shared" ref="Q2285" si="9980">IF(COUNTIF(P2279:P2289,"&lt;"&amp;-0.001)=0,IF(ABS(P2285)&lt;0.001,0,P2285)," ")</f>
        <v>#NUM!</v>
      </c>
      <c r="R2285" s="8"/>
      <c r="S2285" s="8"/>
      <c r="U2285" s="34"/>
      <c r="V2285" s="34"/>
      <c r="W2285" s="34"/>
      <c r="X2285" s="34"/>
      <c r="Y2285" s="34"/>
      <c r="Z2285" s="34"/>
      <c r="AA2285" s="34"/>
      <c r="AB2285" s="34"/>
      <c r="AC2285" s="34"/>
      <c r="AD2285" s="34"/>
      <c r="AE2285" s="34"/>
      <c r="AF2285" s="34"/>
      <c r="AG2285" s="34"/>
      <c r="AH2285" s="34"/>
      <c r="AI2285" s="34"/>
      <c r="AJ2285" s="34"/>
      <c r="AK2285" s="34"/>
      <c r="AL2285" s="34"/>
      <c r="AM2285" s="34"/>
      <c r="AN2285" s="34"/>
      <c r="AO2285" s="34"/>
      <c r="AP2285" s="34"/>
      <c r="AQ2285" s="34"/>
      <c r="AR2285" s="34"/>
      <c r="AS2285" s="34"/>
      <c r="AT2285" s="34"/>
      <c r="AU2285" s="34"/>
      <c r="AV2285" s="34"/>
      <c r="AW2285" s="34"/>
      <c r="AX2285" s="34"/>
      <c r="AY2285" s="34"/>
      <c r="AZ2285" s="34"/>
      <c r="BA2285" s="34"/>
      <c r="BB2285" s="34"/>
      <c r="BC2285" s="34"/>
      <c r="BD2285" s="34"/>
      <c r="BE2285" s="34"/>
      <c r="BF2285" s="34"/>
      <c r="BG2285" s="34"/>
      <c r="BH2285" s="34"/>
      <c r="BI2285" s="34"/>
      <c r="BJ2285" s="34"/>
      <c r="BK2285" s="34"/>
      <c r="BL2285" s="34"/>
      <c r="BM2285" s="34"/>
      <c r="BN2285" s="34"/>
      <c r="BO2285" s="34"/>
      <c r="BP2285" s="34"/>
      <c r="BQ2285" s="34"/>
      <c r="BR2285" s="34"/>
      <c r="BS2285" s="34"/>
      <c r="BT2285" s="34"/>
      <c r="BU2285" s="34"/>
      <c r="BV2285" s="34"/>
      <c r="BW2285" s="34"/>
      <c r="BX2285" s="34"/>
      <c r="BY2285" s="34"/>
      <c r="BZ2285" s="34"/>
      <c r="CA2285" s="34"/>
      <c r="CB2285" s="34"/>
      <c r="CC2285" s="34"/>
      <c r="CD2285" s="34"/>
      <c r="CE2285" s="34"/>
      <c r="CF2285" s="34"/>
      <c r="CG2285" s="34"/>
      <c r="CH2285" s="34"/>
      <c r="CI2285" s="8"/>
    </row>
    <row r="2286" spans="1:87" x14ac:dyDescent="0.2">
      <c r="A2286" s="8" t="str">
        <f>IF(AND(COUNTIF(W$3:W$13,A$22)&gt;0,A$22&lt;&gt;B2070),A$22,IFERROR(IF(MATCH(A$22,Z$3:Z$13,0)=10,A$22," ")," "))</f>
        <v xml:space="preserve"> </v>
      </c>
      <c r="B2286" s="8" t="str">
        <f>IF(A2286=" "," ",MAX(B2279:B2285)+1)</f>
        <v xml:space="preserve"> </v>
      </c>
      <c r="C2286" s="8" t="str">
        <f>IFERROR(INDEX(A2279:A2300,MATCH(SMALL(B2279:B2300,8),B2279:B2300,0),1)," ")</f>
        <v>C18</v>
      </c>
      <c r="D2286" s="8">
        <f t="shared" si="9941"/>
        <v>0</v>
      </c>
      <c r="E2286" s="8">
        <f t="shared" si="9942"/>
        <v>0</v>
      </c>
      <c r="F2286" s="8">
        <f t="shared" si="9943"/>
        <v>0</v>
      </c>
      <c r="G2286" s="8">
        <f t="shared" si="9944"/>
        <v>0</v>
      </c>
      <c r="H2286" s="8">
        <f t="shared" si="9945"/>
        <v>0</v>
      </c>
      <c r="I2286" s="8">
        <f t="shared" si="9946"/>
        <v>0</v>
      </c>
      <c r="J2286" s="8">
        <f t="shared" si="9947"/>
        <v>1</v>
      </c>
      <c r="K2286" s="8">
        <f t="shared" si="9948"/>
        <v>0</v>
      </c>
      <c r="L2286" s="8">
        <f t="shared" si="9949"/>
        <v>0</v>
      </c>
      <c r="M2286" s="8">
        <f t="shared" si="9950"/>
        <v>0</v>
      </c>
      <c r="N2286" s="8">
        <f t="shared" si="9951"/>
        <v>0</v>
      </c>
      <c r="O2286" s="8">
        <f t="shared" si="9952"/>
        <v>0</v>
      </c>
      <c r="P2286" s="8" t="e">
        <v>#NUM!</v>
      </c>
      <c r="Q2286" s="8" t="e">
        <f t="shared" ref="Q2286" si="9981">IF(COUNTIF(P2279:P2289,"&lt;"&amp;-0.001)=0,IF(ABS(P2286)&lt;0.001,0,P2286)," ")</f>
        <v>#NUM!</v>
      </c>
      <c r="R2286" s="8"/>
      <c r="S2286" s="8"/>
      <c r="U2286" s="34"/>
      <c r="V2286" s="34"/>
      <c r="W2286" s="34"/>
      <c r="X2286" s="34"/>
      <c r="Y2286" s="34"/>
      <c r="Z2286" s="34"/>
      <c r="AA2286" s="34"/>
      <c r="AB2286" s="34"/>
      <c r="AC2286" s="34"/>
      <c r="AD2286" s="34"/>
      <c r="AE2286" s="34"/>
      <c r="AF2286" s="34"/>
      <c r="AG2286" s="34"/>
      <c r="AH2286" s="34"/>
      <c r="AI2286" s="34"/>
      <c r="AJ2286" s="34"/>
      <c r="AK2286" s="34"/>
      <c r="AL2286" s="34"/>
      <c r="AM2286" s="34"/>
      <c r="AN2286" s="34"/>
      <c r="AO2286" s="34"/>
      <c r="AP2286" s="34"/>
      <c r="AQ2286" s="34"/>
      <c r="AR2286" s="34"/>
      <c r="AS2286" s="34"/>
      <c r="AT2286" s="34"/>
      <c r="AU2286" s="34"/>
      <c r="AV2286" s="34"/>
      <c r="AW2286" s="34"/>
      <c r="AX2286" s="34"/>
      <c r="AY2286" s="34"/>
      <c r="AZ2286" s="34"/>
      <c r="BA2286" s="34"/>
      <c r="BB2286" s="34"/>
      <c r="BC2286" s="34"/>
      <c r="BD2286" s="34"/>
      <c r="BE2286" s="34"/>
      <c r="BF2286" s="34"/>
      <c r="BG2286" s="34"/>
      <c r="BH2286" s="34"/>
      <c r="BI2286" s="34"/>
      <c r="BJ2286" s="34"/>
      <c r="BK2286" s="34"/>
      <c r="BL2286" s="34"/>
      <c r="BM2286" s="34"/>
      <c r="BN2286" s="34"/>
      <c r="BO2286" s="34"/>
      <c r="BP2286" s="34"/>
      <c r="BQ2286" s="34"/>
      <c r="BR2286" s="34"/>
      <c r="BS2286" s="34"/>
      <c r="BT2286" s="34"/>
      <c r="BU2286" s="34"/>
      <c r="BV2286" s="34"/>
      <c r="BW2286" s="34"/>
      <c r="BX2286" s="34"/>
      <c r="BY2286" s="34"/>
      <c r="BZ2286" s="34"/>
      <c r="CA2286" s="34"/>
      <c r="CB2286" s="34"/>
      <c r="CC2286" s="34"/>
      <c r="CD2286" s="34"/>
      <c r="CE2286" s="34"/>
      <c r="CF2286" s="34"/>
      <c r="CG2286" s="34"/>
      <c r="CH2286" s="34"/>
      <c r="CI2286" s="8"/>
    </row>
    <row r="2287" spans="1:87" x14ac:dyDescent="0.2">
      <c r="A2287" s="8" t="str">
        <f>IF(AND(COUNTIF(W$3:W$13,A$23)&gt;0,A$23&lt;&gt;B2070),A$23,IFERROR(IF(MATCH(A$23,Z$3:Z$13,0)=10,A$23," ")," "))</f>
        <v xml:space="preserve"> </v>
      </c>
      <c r="B2287" s="8" t="str">
        <f>IF(A2287=" "," ",MAX(B2279:B2286)+1)</f>
        <v xml:space="preserve"> </v>
      </c>
      <c r="C2287" s="8" t="str">
        <f>IFERROR(INDEX(A2279:A2300,MATCH(SMALL(B2279:B2300,9),B2279:B2300,0),1)," ")</f>
        <v>C19</v>
      </c>
      <c r="D2287" s="8">
        <f t="shared" si="9941"/>
        <v>0</v>
      </c>
      <c r="E2287" s="8">
        <f t="shared" si="9942"/>
        <v>0</v>
      </c>
      <c r="F2287" s="8">
        <f t="shared" si="9943"/>
        <v>0</v>
      </c>
      <c r="G2287" s="8">
        <f t="shared" si="9944"/>
        <v>0</v>
      </c>
      <c r="H2287" s="8">
        <f t="shared" si="9945"/>
        <v>0</v>
      </c>
      <c r="I2287" s="8">
        <f t="shared" si="9946"/>
        <v>0</v>
      </c>
      <c r="J2287" s="8">
        <f t="shared" si="9947"/>
        <v>0</v>
      </c>
      <c r="K2287" s="8">
        <f t="shared" si="9948"/>
        <v>1</v>
      </c>
      <c r="L2287" s="8">
        <f t="shared" si="9949"/>
        <v>0</v>
      </c>
      <c r="M2287" s="8">
        <f t="shared" si="9950"/>
        <v>0</v>
      </c>
      <c r="N2287" s="8">
        <f t="shared" si="9951"/>
        <v>0</v>
      </c>
      <c r="O2287" s="8">
        <f t="shared" si="9952"/>
        <v>0</v>
      </c>
      <c r="P2287" s="6" t="e">
        <v>#NUM!</v>
      </c>
      <c r="Q2287" s="8" t="e">
        <f t="shared" ref="Q2287" si="9982">IF(COUNTIF(P2279:P2289,"&lt;"&amp;-0.001)=0,IF(ABS(P2287)&lt;0.001,0,P2287)," ")</f>
        <v>#NUM!</v>
      </c>
      <c r="R2287" s="8"/>
      <c r="S2287" s="8"/>
      <c r="U2287" s="34"/>
      <c r="V2287" s="34"/>
      <c r="W2287" s="34"/>
      <c r="X2287" s="34"/>
      <c r="Y2287" s="34"/>
      <c r="Z2287" s="34"/>
      <c r="AA2287" s="34"/>
      <c r="AB2287" s="34"/>
      <c r="AC2287" s="34"/>
      <c r="AD2287" s="34"/>
      <c r="AE2287" s="34"/>
      <c r="AF2287" s="34"/>
      <c r="AG2287" s="34"/>
      <c r="AH2287" s="34"/>
      <c r="AI2287" s="34"/>
      <c r="AJ2287" s="34"/>
      <c r="AK2287" s="34"/>
      <c r="AL2287" s="34"/>
      <c r="AM2287" s="34"/>
      <c r="AN2287" s="34"/>
      <c r="AO2287" s="34"/>
      <c r="AP2287" s="34"/>
      <c r="AQ2287" s="34"/>
      <c r="AR2287" s="34"/>
      <c r="AS2287" s="34"/>
      <c r="AT2287" s="34"/>
      <c r="AU2287" s="34"/>
      <c r="AV2287" s="34"/>
      <c r="AW2287" s="34"/>
      <c r="AX2287" s="34"/>
      <c r="AY2287" s="34"/>
      <c r="AZ2287" s="34"/>
      <c r="BA2287" s="34"/>
      <c r="BB2287" s="34"/>
      <c r="BC2287" s="34"/>
      <c r="BD2287" s="34"/>
      <c r="BE2287" s="34"/>
      <c r="BF2287" s="34"/>
      <c r="BG2287" s="34"/>
      <c r="BH2287" s="34"/>
      <c r="BI2287" s="34"/>
      <c r="BJ2287" s="34"/>
      <c r="BK2287" s="34"/>
      <c r="BL2287" s="34"/>
      <c r="BM2287" s="34"/>
      <c r="BN2287" s="34"/>
      <c r="BO2287" s="34"/>
      <c r="BP2287" s="34"/>
      <c r="BQ2287" s="34"/>
      <c r="BR2287" s="34"/>
      <c r="BS2287" s="34"/>
      <c r="BT2287" s="34"/>
      <c r="BU2287" s="34"/>
      <c r="BV2287" s="34"/>
      <c r="BW2287" s="34"/>
      <c r="BX2287" s="34"/>
      <c r="BY2287" s="34"/>
      <c r="BZ2287" s="34"/>
      <c r="CA2287" s="34"/>
      <c r="CB2287" s="34"/>
      <c r="CC2287" s="34"/>
      <c r="CD2287" s="34"/>
      <c r="CE2287" s="34"/>
      <c r="CF2287" s="34"/>
      <c r="CG2287" s="34"/>
      <c r="CH2287" s="34"/>
      <c r="CI2287" s="8"/>
    </row>
    <row r="2288" spans="1:87" x14ac:dyDescent="0.2">
      <c r="A2288" s="8" t="str">
        <f>IF(AND(COUNTIF(W$3:W$13,A$24)&gt;0,A$24&lt;&gt;B2070),A$24,IFERROR(IF(MATCH(A$24,Z$3:Z$13,0)=10,A$24," ")," "))</f>
        <v xml:space="preserve"> </v>
      </c>
      <c r="B2288" s="8" t="str">
        <f>IF(A2288=" "," ",MAX(B2279:B2287)+1)</f>
        <v xml:space="preserve"> </v>
      </c>
      <c r="C2288" s="8" t="str">
        <f>IFERROR(INDEX(A2279:A2300,MATCH(SMALL(B2279:B2300,10),B2279:B2300,0),1)," ")</f>
        <v>C21</v>
      </c>
      <c r="D2288" s="8">
        <f t="shared" si="9941"/>
        <v>0</v>
      </c>
      <c r="E2288" s="8">
        <f t="shared" si="9942"/>
        <v>0</v>
      </c>
      <c r="F2288" s="8">
        <f t="shared" si="9943"/>
        <v>0</v>
      </c>
      <c r="G2288" s="8">
        <f t="shared" si="9944"/>
        <v>0</v>
      </c>
      <c r="H2288" s="8">
        <f t="shared" si="9945"/>
        <v>0</v>
      </c>
      <c r="I2288" s="8">
        <f t="shared" si="9946"/>
        <v>0</v>
      </c>
      <c r="J2288" s="8">
        <f t="shared" si="9947"/>
        <v>0</v>
      </c>
      <c r="K2288" s="8">
        <f t="shared" si="9948"/>
        <v>0</v>
      </c>
      <c r="L2288" s="8">
        <f t="shared" si="9949"/>
        <v>0</v>
      </c>
      <c r="M2288" s="8">
        <f t="shared" si="9950"/>
        <v>1</v>
      </c>
      <c r="N2288" s="8">
        <f t="shared" si="9951"/>
        <v>0</v>
      </c>
      <c r="O2288" s="8">
        <f t="shared" si="9952"/>
        <v>0</v>
      </c>
      <c r="P2288" s="8" t="e">
        <v>#NUM!</v>
      </c>
      <c r="Q2288" s="8" t="e">
        <f t="shared" ref="Q2288" si="9983">IF(COUNTIF(P2279:P2289,"&lt;"&amp;-0.001)=0,IF(ABS(P2288)&lt;0.001,0,P2288)," ")</f>
        <v>#NUM!</v>
      </c>
      <c r="R2288" s="8"/>
      <c r="S2288" s="8"/>
      <c r="U2288" s="34"/>
      <c r="V2288" s="34"/>
      <c r="W2288" s="34"/>
      <c r="X2288" s="34"/>
      <c r="Y2288" s="34"/>
      <c r="Z2288" s="34"/>
      <c r="AA2288" s="34"/>
      <c r="AB2288" s="34"/>
      <c r="AC2288" s="34"/>
      <c r="AD2288" s="34"/>
      <c r="AE2288" s="34"/>
      <c r="AF2288" s="34"/>
      <c r="AG2288" s="34"/>
      <c r="AH2288" s="34"/>
      <c r="AI2288" s="34"/>
      <c r="AJ2288" s="34"/>
      <c r="AK2288" s="34"/>
      <c r="AL2288" s="34"/>
      <c r="AM2288" s="34"/>
      <c r="AN2288" s="34"/>
      <c r="AO2288" s="34"/>
      <c r="AP2288" s="34"/>
      <c r="AQ2288" s="34"/>
      <c r="AR2288" s="34"/>
      <c r="AS2288" s="34"/>
      <c r="AT2288" s="34"/>
      <c r="AU2288" s="34"/>
      <c r="AV2288" s="34"/>
      <c r="AW2288" s="34"/>
      <c r="AX2288" s="34"/>
      <c r="AY2288" s="34"/>
      <c r="AZ2288" s="34"/>
      <c r="BA2288" s="34"/>
      <c r="BB2288" s="34"/>
      <c r="BC2288" s="34"/>
      <c r="BD2288" s="34"/>
      <c r="BE2288" s="34"/>
      <c r="BF2288" s="34"/>
      <c r="BG2288" s="34"/>
      <c r="BH2288" s="34"/>
      <c r="BI2288" s="34"/>
      <c r="BJ2288" s="34"/>
      <c r="BK2288" s="34"/>
      <c r="BL2288" s="34"/>
      <c r="BM2288" s="34"/>
      <c r="BN2288" s="34"/>
      <c r="BO2288" s="34"/>
      <c r="BP2288" s="34"/>
      <c r="BQ2288" s="34"/>
      <c r="BR2288" s="34"/>
      <c r="BS2288" s="34"/>
      <c r="BT2288" s="34"/>
      <c r="BU2288" s="34"/>
      <c r="BV2288" s="34"/>
      <c r="BW2288" s="34"/>
      <c r="BX2288" s="34"/>
      <c r="BY2288" s="34"/>
      <c r="BZ2288" s="34"/>
      <c r="CA2288" s="34"/>
      <c r="CB2288" s="34"/>
      <c r="CC2288" s="34"/>
      <c r="CD2288" s="34"/>
      <c r="CE2288" s="34"/>
      <c r="CF2288" s="34"/>
      <c r="CG2288" s="34"/>
      <c r="CH2288" s="34"/>
      <c r="CI2288" s="8"/>
    </row>
    <row r="2289" spans="1:87" x14ac:dyDescent="0.2">
      <c r="A2289" s="8" t="str">
        <f>IF(AND(COUNTIF(W$3:W$13,A$25)&gt;0,A$25&lt;&gt;B2070),A$25,IFERROR(IF(MATCH(A$25,Z$3:Z$13,0)=10,A$25," ")," "))</f>
        <v xml:space="preserve"> </v>
      </c>
      <c r="B2289" s="8" t="str">
        <f>IF(A2289=" "," ",MAX(B2279:B2288)+1)</f>
        <v xml:space="preserve"> </v>
      </c>
      <c r="C2289" s="8" t="str">
        <f>IFERROR(INDEX(A2279:A2300,MATCH(SMALL(B2279:B2300,11),B2279:B2300,0),1)," ")</f>
        <v>C22</v>
      </c>
      <c r="D2289" s="8">
        <f t="shared" si="9941"/>
        <v>0</v>
      </c>
      <c r="E2289" s="8">
        <f t="shared" si="9942"/>
        <v>0</v>
      </c>
      <c r="F2289" s="8">
        <f t="shared" si="9943"/>
        <v>0</v>
      </c>
      <c r="G2289" s="8">
        <f t="shared" si="9944"/>
        <v>0</v>
      </c>
      <c r="H2289" s="8">
        <f t="shared" si="9945"/>
        <v>0</v>
      </c>
      <c r="I2289" s="8">
        <f t="shared" si="9946"/>
        <v>0</v>
      </c>
      <c r="J2289" s="8">
        <f t="shared" si="9947"/>
        <v>0</v>
      </c>
      <c r="K2289" s="8">
        <f t="shared" si="9948"/>
        <v>0</v>
      </c>
      <c r="L2289" s="8">
        <f t="shared" si="9949"/>
        <v>0</v>
      </c>
      <c r="M2289" s="8">
        <f t="shared" si="9950"/>
        <v>0</v>
      </c>
      <c r="N2289" s="8">
        <f t="shared" si="9951"/>
        <v>1</v>
      </c>
      <c r="O2289" s="8">
        <f t="shared" si="9952"/>
        <v>0</v>
      </c>
      <c r="P2289" s="8" t="e">
        <v>#NUM!</v>
      </c>
      <c r="Q2289" s="8" t="e">
        <f t="shared" ref="Q2289" si="9984">IF(COUNTIF(P2279:P2289,"&lt;"&amp;-0.001)=0,IF(ABS(P2289)&lt;0.001,0,P2289)," ")</f>
        <v>#NUM!</v>
      </c>
      <c r="R2289" s="8"/>
      <c r="S2289" s="8"/>
      <c r="U2289" s="34"/>
      <c r="V2289" s="34"/>
      <c r="W2289" s="34"/>
      <c r="X2289" s="34"/>
      <c r="Y2289" s="34"/>
      <c r="Z2289" s="34"/>
      <c r="AA2289" s="34"/>
      <c r="AB2289" s="34"/>
      <c r="AC2289" s="34"/>
      <c r="AD2289" s="34"/>
      <c r="AE2289" s="34"/>
      <c r="AF2289" s="34"/>
      <c r="AG2289" s="34"/>
      <c r="AH2289" s="34"/>
      <c r="AI2289" s="34"/>
      <c r="AJ2289" s="34"/>
      <c r="AK2289" s="34"/>
      <c r="AL2289" s="34"/>
      <c r="AM2289" s="34"/>
      <c r="AN2289" s="34"/>
      <c r="AO2289" s="34"/>
      <c r="AP2289" s="34"/>
      <c r="AQ2289" s="34"/>
      <c r="AR2289" s="34"/>
      <c r="AS2289" s="34"/>
      <c r="AT2289" s="34"/>
      <c r="AU2289" s="34"/>
      <c r="AV2289" s="34"/>
      <c r="AW2289" s="34"/>
      <c r="AX2289" s="34"/>
      <c r="AY2289" s="34"/>
      <c r="AZ2289" s="34"/>
      <c r="BA2289" s="34"/>
      <c r="BB2289" s="34"/>
      <c r="BC2289" s="34"/>
      <c r="BD2289" s="34"/>
      <c r="BE2289" s="34"/>
      <c r="BF2289" s="34"/>
      <c r="BG2289" s="34"/>
      <c r="BH2289" s="34"/>
      <c r="BI2289" s="34"/>
      <c r="BJ2289" s="34"/>
      <c r="BK2289" s="34"/>
      <c r="BL2289" s="34"/>
      <c r="BM2289" s="34"/>
      <c r="BN2289" s="34"/>
      <c r="BO2289" s="34"/>
      <c r="BP2289" s="34"/>
      <c r="BQ2289" s="34"/>
      <c r="BR2289" s="34"/>
      <c r="BS2289" s="34"/>
      <c r="BT2289" s="34"/>
      <c r="BU2289" s="34"/>
      <c r="BV2289" s="34"/>
      <c r="BW2289" s="34"/>
      <c r="BX2289" s="34"/>
      <c r="BY2289" s="34"/>
      <c r="BZ2289" s="34"/>
      <c r="CA2289" s="34"/>
      <c r="CB2289" s="34"/>
      <c r="CC2289" s="34"/>
      <c r="CD2289" s="34"/>
      <c r="CE2289" s="34"/>
      <c r="CF2289" s="34"/>
      <c r="CG2289" s="34"/>
      <c r="CH2289" s="34"/>
      <c r="CI2289" s="8"/>
    </row>
    <row r="2290" spans="1:87" x14ac:dyDescent="0.2">
      <c r="A2290" s="8" t="str">
        <f>IF(AND(COUNTIF(W$3:W$13,A$26)&gt;0,A$26&lt;&gt;B2070),A$26,IFERROR(IF(MATCH(A$26,Z$3:Z$13,0)=10,A$26," ")," "))</f>
        <v>C12</v>
      </c>
      <c r="B2290" s="8">
        <f>IF(A2290=" "," ",MAX(B2279:B2289)+1)</f>
        <v>3</v>
      </c>
      <c r="C2290" s="8"/>
      <c r="D2290" s="8"/>
      <c r="E2290" s="8"/>
      <c r="F2290" s="8"/>
      <c r="G2290" s="8"/>
      <c r="H2290" s="8"/>
      <c r="I2290" s="8"/>
      <c r="J2290" s="8"/>
      <c r="K2290" s="8"/>
      <c r="L2290" s="8"/>
      <c r="M2290" s="8"/>
      <c r="N2290" s="8"/>
      <c r="O2290" s="8"/>
      <c r="P2290" s="8"/>
      <c r="Q2290" s="8"/>
      <c r="R2290" s="8"/>
      <c r="S2290" s="8"/>
      <c r="U2290" s="34"/>
      <c r="V2290" s="34"/>
      <c r="W2290" s="34"/>
      <c r="X2290" s="34"/>
      <c r="Y2290" s="34"/>
      <c r="Z2290" s="34"/>
      <c r="AA2290" s="34"/>
      <c r="AB2290" s="34"/>
      <c r="AC2290" s="34"/>
      <c r="AD2290" s="34"/>
      <c r="AE2290" s="34"/>
      <c r="AF2290" s="34"/>
      <c r="AG2290" s="34"/>
      <c r="AH2290" s="34"/>
      <c r="AI2290" s="34"/>
      <c r="AJ2290" s="34"/>
      <c r="AK2290" s="34"/>
      <c r="AL2290" s="34"/>
      <c r="AM2290" s="34"/>
      <c r="AN2290" s="34"/>
      <c r="AO2290" s="34"/>
      <c r="AP2290" s="34"/>
      <c r="AQ2290" s="34"/>
      <c r="AR2290" s="34"/>
      <c r="AS2290" s="34"/>
      <c r="AT2290" s="34"/>
      <c r="AU2290" s="34"/>
      <c r="AV2290" s="34"/>
      <c r="AW2290" s="34"/>
      <c r="AX2290" s="34"/>
      <c r="AY2290" s="34"/>
      <c r="AZ2290" s="34"/>
      <c r="BA2290" s="34"/>
      <c r="BB2290" s="34"/>
      <c r="BC2290" s="34"/>
      <c r="BD2290" s="34"/>
      <c r="BE2290" s="34"/>
      <c r="BF2290" s="34"/>
      <c r="BG2290" s="34"/>
      <c r="BH2290" s="34"/>
      <c r="BI2290" s="34"/>
      <c r="BJ2290" s="34"/>
      <c r="BK2290" s="34"/>
      <c r="BL2290" s="34"/>
      <c r="BM2290" s="34"/>
      <c r="BN2290" s="34"/>
      <c r="BO2290" s="34"/>
      <c r="BP2290" s="34"/>
      <c r="BQ2290" s="34"/>
      <c r="BR2290" s="34"/>
      <c r="BS2290" s="34"/>
      <c r="BT2290" s="34"/>
      <c r="BU2290" s="34"/>
      <c r="BV2290" s="34"/>
      <c r="BW2290" s="34"/>
      <c r="BX2290" s="34"/>
      <c r="BY2290" s="34"/>
      <c r="BZ2290" s="34"/>
      <c r="CA2290" s="34"/>
      <c r="CB2290" s="34"/>
      <c r="CC2290" s="34"/>
      <c r="CD2290" s="34"/>
      <c r="CE2290" s="34"/>
      <c r="CF2290" s="34"/>
      <c r="CG2290" s="34"/>
      <c r="CH2290" s="34"/>
      <c r="CI2290" s="8"/>
    </row>
    <row r="2291" spans="1:87" x14ac:dyDescent="0.2">
      <c r="A2291" s="8" t="str">
        <f>IF(AND(COUNTIF(W$3:W$13,A$27)&gt;0,A$27&lt;&gt;B2070),A$27,IFERROR(IF(MATCH(A$27,Z$3:Z$13,0)=10,A$27," ")," "))</f>
        <v>C13</v>
      </c>
      <c r="B2291" s="8">
        <f>IF(A2291=" "," ",MAX(B2279:B2290)+1)</f>
        <v>4</v>
      </c>
      <c r="C2291" s="8"/>
      <c r="D2291" s="8"/>
      <c r="E2291" s="8"/>
      <c r="F2291" s="8"/>
      <c r="G2291" s="8"/>
      <c r="H2291" s="8"/>
      <c r="I2291" s="8"/>
      <c r="J2291" s="8"/>
      <c r="K2291" s="8"/>
      <c r="L2291" s="8"/>
      <c r="M2291" s="8"/>
      <c r="N2291" s="8"/>
      <c r="O2291" s="8"/>
      <c r="P2291" s="8"/>
      <c r="Q2291" s="8"/>
      <c r="R2291" s="8"/>
      <c r="S2291" s="8"/>
      <c r="U2291" s="34"/>
      <c r="V2291" s="34"/>
      <c r="W2291" s="34"/>
      <c r="X2291" s="34"/>
      <c r="Y2291" s="34"/>
      <c r="Z2291" s="34"/>
      <c r="AA2291" s="34"/>
      <c r="AB2291" s="34"/>
      <c r="AC2291" s="34"/>
      <c r="AD2291" s="34"/>
      <c r="AE2291" s="34"/>
      <c r="AF2291" s="34"/>
      <c r="AG2291" s="34"/>
      <c r="AH2291" s="34"/>
      <c r="AI2291" s="34"/>
      <c r="AJ2291" s="34"/>
      <c r="AK2291" s="34"/>
      <c r="AL2291" s="34"/>
      <c r="AM2291" s="34"/>
      <c r="AN2291" s="34"/>
      <c r="AO2291" s="34"/>
      <c r="AP2291" s="34"/>
      <c r="AQ2291" s="34"/>
      <c r="AR2291" s="34"/>
      <c r="AS2291" s="34"/>
      <c r="AT2291" s="34"/>
      <c r="AU2291" s="34"/>
      <c r="AV2291" s="34"/>
      <c r="AW2291" s="34"/>
      <c r="AX2291" s="34"/>
      <c r="AY2291" s="34"/>
      <c r="AZ2291" s="34"/>
      <c r="BA2291" s="34"/>
      <c r="BB2291" s="34"/>
      <c r="BC2291" s="34"/>
      <c r="BD2291" s="34"/>
      <c r="BE2291" s="34"/>
      <c r="BF2291" s="34"/>
      <c r="BG2291" s="34"/>
      <c r="BH2291" s="34"/>
      <c r="BI2291" s="34"/>
      <c r="BJ2291" s="34"/>
      <c r="BK2291" s="34"/>
      <c r="BL2291" s="34"/>
      <c r="BM2291" s="34"/>
      <c r="BN2291" s="34"/>
      <c r="BO2291" s="34"/>
      <c r="BP2291" s="34"/>
      <c r="BQ2291" s="34"/>
      <c r="BR2291" s="34"/>
      <c r="BS2291" s="34"/>
      <c r="BT2291" s="34"/>
      <c r="BU2291" s="34"/>
      <c r="BV2291" s="34"/>
      <c r="BW2291" s="34"/>
      <c r="BX2291" s="34"/>
      <c r="BY2291" s="34"/>
      <c r="BZ2291" s="34"/>
      <c r="CA2291" s="34"/>
      <c r="CB2291" s="34"/>
      <c r="CC2291" s="34"/>
      <c r="CD2291" s="34"/>
      <c r="CE2291" s="34"/>
      <c r="CF2291" s="34"/>
      <c r="CG2291" s="34"/>
      <c r="CH2291" s="34"/>
      <c r="CI2291" s="8"/>
    </row>
    <row r="2292" spans="1:87" x14ac:dyDescent="0.2">
      <c r="A2292" s="8" t="str">
        <f>IF(AND(COUNTIF(W$3:W$13,A$28)&gt;0,A$28&lt;&gt;B2070),A$28,IFERROR(IF(MATCH(A$28,Z$3:Z$13,0)=10,A$28," ")," "))</f>
        <v xml:space="preserve"> </v>
      </c>
      <c r="B2292" s="8" t="str">
        <f>IF(A2292=" "," ",MAX(B2279:B2291)+1)</f>
        <v xml:space="preserve"> </v>
      </c>
      <c r="C2292" s="8"/>
      <c r="D2292" s="8"/>
      <c r="E2292" s="8"/>
      <c r="F2292" s="8"/>
      <c r="G2292" s="8"/>
      <c r="H2292" s="8"/>
      <c r="I2292" s="8"/>
      <c r="J2292" s="8"/>
      <c r="K2292" s="8"/>
      <c r="L2292" s="8"/>
      <c r="M2292" s="8"/>
      <c r="N2292" s="8"/>
      <c r="O2292" s="8"/>
      <c r="P2292" s="8"/>
      <c r="Q2292" s="8"/>
      <c r="R2292" s="8"/>
      <c r="S2292" s="8"/>
      <c r="U2292" s="34"/>
      <c r="V2292" s="34"/>
      <c r="W2292" s="34"/>
      <c r="X2292" s="34"/>
      <c r="Y2292" s="34"/>
      <c r="Z2292" s="34"/>
      <c r="AA2292" s="34"/>
      <c r="AB2292" s="34"/>
      <c r="AC2292" s="34"/>
      <c r="AD2292" s="34"/>
      <c r="AE2292" s="34"/>
      <c r="AF2292" s="34"/>
      <c r="AG2292" s="34"/>
      <c r="AH2292" s="34"/>
      <c r="AI2292" s="34"/>
      <c r="AJ2292" s="34"/>
      <c r="AK2292" s="34"/>
      <c r="AL2292" s="34"/>
      <c r="AM2292" s="34"/>
      <c r="AN2292" s="34"/>
      <c r="AO2292" s="34"/>
      <c r="AP2292" s="34"/>
      <c r="AQ2292" s="34"/>
      <c r="AR2292" s="34"/>
      <c r="AS2292" s="34"/>
      <c r="AT2292" s="34"/>
      <c r="AU2292" s="34"/>
      <c r="AV2292" s="34"/>
      <c r="AW2292" s="34"/>
      <c r="AX2292" s="34"/>
      <c r="AY2292" s="34"/>
      <c r="AZ2292" s="34"/>
      <c r="BA2292" s="34"/>
      <c r="BB2292" s="34"/>
      <c r="BC2292" s="34"/>
      <c r="BD2292" s="34"/>
      <c r="BE2292" s="34"/>
      <c r="BF2292" s="34"/>
      <c r="BG2292" s="34"/>
      <c r="BH2292" s="34"/>
      <c r="BI2292" s="34"/>
      <c r="BJ2292" s="34"/>
      <c r="BK2292" s="34"/>
      <c r="BL2292" s="34"/>
      <c r="BM2292" s="34"/>
      <c r="BN2292" s="34"/>
      <c r="BO2292" s="34"/>
      <c r="BP2292" s="34"/>
      <c r="BQ2292" s="34"/>
      <c r="BR2292" s="34"/>
      <c r="BS2292" s="34"/>
      <c r="BT2292" s="34"/>
      <c r="BU2292" s="34"/>
      <c r="BV2292" s="34"/>
      <c r="BW2292" s="34"/>
      <c r="BX2292" s="34"/>
      <c r="BY2292" s="34"/>
      <c r="BZ2292" s="34"/>
      <c r="CA2292" s="34"/>
      <c r="CB2292" s="34"/>
      <c r="CC2292" s="34"/>
      <c r="CD2292" s="34"/>
      <c r="CE2292" s="34"/>
      <c r="CF2292" s="34"/>
      <c r="CG2292" s="34"/>
      <c r="CH2292" s="34"/>
      <c r="CI2292" s="8"/>
    </row>
    <row r="2293" spans="1:87" x14ac:dyDescent="0.2">
      <c r="A2293" s="8" t="str">
        <f>IF(AND(COUNTIF(W$3:W$13,A$29)&gt;0,A$29&lt;&gt;B2070),A$29,IFERROR(IF(MATCH(A$29,Z$3:Z$13,0)=10,A$29," ")," "))</f>
        <v>C15</v>
      </c>
      <c r="B2293" s="8">
        <f>IF(A2293=" "," ",MAX(B2279:B2292)+1)</f>
        <v>5</v>
      </c>
      <c r="C2293" s="8"/>
      <c r="D2293" s="8"/>
      <c r="E2293" s="8"/>
      <c r="F2293" s="8"/>
      <c r="G2293" s="8"/>
      <c r="H2293" s="8"/>
      <c r="I2293" s="8"/>
      <c r="J2293" s="8"/>
      <c r="K2293" s="8"/>
      <c r="L2293" s="8"/>
      <c r="M2293" s="8"/>
      <c r="N2293" s="8"/>
      <c r="O2293" s="8"/>
      <c r="P2293" s="8"/>
      <c r="Q2293" s="8"/>
      <c r="R2293" s="8"/>
      <c r="S2293" s="8"/>
      <c r="U2293" s="34"/>
      <c r="V2293" s="34"/>
      <c r="W2293" s="34"/>
      <c r="X2293" s="34"/>
      <c r="Y2293" s="34"/>
      <c r="Z2293" s="34"/>
      <c r="AA2293" s="34"/>
      <c r="AB2293" s="34"/>
      <c r="AC2293" s="34"/>
      <c r="AD2293" s="34"/>
      <c r="AE2293" s="34"/>
      <c r="AF2293" s="34"/>
      <c r="AG2293" s="34"/>
      <c r="AH2293" s="34"/>
      <c r="AI2293" s="34"/>
      <c r="AJ2293" s="34"/>
      <c r="AK2293" s="34"/>
      <c r="AL2293" s="34"/>
      <c r="AM2293" s="34"/>
      <c r="AN2293" s="34"/>
      <c r="AO2293" s="34"/>
      <c r="AP2293" s="34"/>
      <c r="AQ2293" s="34"/>
      <c r="AR2293" s="34"/>
      <c r="AS2293" s="34"/>
      <c r="AT2293" s="34"/>
      <c r="AU2293" s="34"/>
      <c r="AV2293" s="34"/>
      <c r="AW2293" s="34"/>
      <c r="AX2293" s="34"/>
      <c r="AY2293" s="34"/>
      <c r="AZ2293" s="34"/>
      <c r="BA2293" s="34"/>
      <c r="BB2293" s="34"/>
      <c r="BC2293" s="34"/>
      <c r="BD2293" s="34"/>
      <c r="BE2293" s="34"/>
      <c r="BF2293" s="34"/>
      <c r="BG2293" s="34"/>
      <c r="BH2293" s="34"/>
      <c r="BI2293" s="34"/>
      <c r="BJ2293" s="34"/>
      <c r="BK2293" s="34"/>
      <c r="BL2293" s="34"/>
      <c r="BM2293" s="34"/>
      <c r="BN2293" s="34"/>
      <c r="BO2293" s="34"/>
      <c r="BP2293" s="34"/>
      <c r="BQ2293" s="34"/>
      <c r="BR2293" s="34"/>
      <c r="BS2293" s="34"/>
      <c r="BT2293" s="34"/>
      <c r="BU2293" s="34"/>
      <c r="BV2293" s="34"/>
      <c r="BW2293" s="34"/>
      <c r="BX2293" s="34"/>
      <c r="BY2293" s="34"/>
      <c r="BZ2293" s="34"/>
      <c r="CA2293" s="34"/>
      <c r="CB2293" s="34"/>
      <c r="CC2293" s="34"/>
      <c r="CD2293" s="34"/>
      <c r="CE2293" s="34"/>
      <c r="CF2293" s="34"/>
      <c r="CG2293" s="34"/>
      <c r="CH2293" s="34"/>
      <c r="CI2293" s="8"/>
    </row>
    <row r="2294" spans="1:87" x14ac:dyDescent="0.2">
      <c r="A2294" s="8" t="str">
        <f>IF(AND(COUNTIF(W$3:W$13,A$30)&gt;0,A$30&lt;&gt;B2070),A$30,IFERROR(IF(MATCH(A$30,Z$3:Z$13,0)=10,A$30," ")," "))</f>
        <v>C16</v>
      </c>
      <c r="B2294" s="8">
        <f>IF(A2294=" "," ",MAX(B2279:B2293)+1)</f>
        <v>6</v>
      </c>
      <c r="C2294" s="8"/>
      <c r="D2294" s="8"/>
      <c r="E2294" s="8"/>
      <c r="F2294" s="8"/>
      <c r="G2294" s="8"/>
      <c r="H2294" s="8"/>
      <c r="I2294" s="8"/>
      <c r="J2294" s="8"/>
      <c r="K2294" s="8"/>
      <c r="L2294" s="8"/>
      <c r="M2294" s="8"/>
      <c r="N2294" s="8"/>
      <c r="O2294" s="8"/>
      <c r="P2294" s="8"/>
      <c r="Q2294" s="8"/>
      <c r="R2294" s="8"/>
      <c r="S2294" s="8"/>
      <c r="U2294" s="34"/>
      <c r="V2294" s="34"/>
      <c r="W2294" s="34"/>
      <c r="X2294" s="34"/>
      <c r="Y2294" s="34"/>
      <c r="Z2294" s="34"/>
      <c r="AA2294" s="34"/>
      <c r="AB2294" s="34"/>
      <c r="AC2294" s="34"/>
      <c r="AD2294" s="34"/>
      <c r="AE2294" s="34"/>
      <c r="AF2294" s="34"/>
      <c r="AG2294" s="34"/>
      <c r="AH2294" s="34"/>
      <c r="AI2294" s="34"/>
      <c r="AJ2294" s="34"/>
      <c r="AK2294" s="34"/>
      <c r="AL2294" s="34"/>
      <c r="AM2294" s="34"/>
      <c r="AN2294" s="34"/>
      <c r="AO2294" s="34"/>
      <c r="AP2294" s="34"/>
      <c r="AQ2294" s="34"/>
      <c r="AR2294" s="34"/>
      <c r="AS2294" s="34"/>
      <c r="AT2294" s="34"/>
      <c r="AU2294" s="34"/>
      <c r="AV2294" s="34"/>
      <c r="AW2294" s="34"/>
      <c r="AX2294" s="34"/>
      <c r="AY2294" s="34"/>
      <c r="AZ2294" s="34"/>
      <c r="BA2294" s="34"/>
      <c r="BB2294" s="34"/>
      <c r="BC2294" s="34"/>
      <c r="BD2294" s="34"/>
      <c r="BE2294" s="34"/>
      <c r="BF2294" s="34"/>
      <c r="BG2294" s="34"/>
      <c r="BH2294" s="34"/>
      <c r="BI2294" s="34"/>
      <c r="BJ2294" s="34"/>
      <c r="BK2294" s="34"/>
      <c r="BL2294" s="34"/>
      <c r="BM2294" s="34"/>
      <c r="BN2294" s="34"/>
      <c r="BO2294" s="34"/>
      <c r="BP2294" s="34"/>
      <c r="BQ2294" s="34"/>
      <c r="BR2294" s="34"/>
      <c r="BS2294" s="34"/>
      <c r="BT2294" s="34"/>
      <c r="BU2294" s="34"/>
      <c r="BV2294" s="34"/>
      <c r="BW2294" s="34"/>
      <c r="BX2294" s="34"/>
      <c r="BY2294" s="34"/>
      <c r="BZ2294" s="34"/>
      <c r="CA2294" s="34"/>
      <c r="CB2294" s="34"/>
      <c r="CC2294" s="34"/>
      <c r="CD2294" s="34"/>
      <c r="CE2294" s="34"/>
      <c r="CF2294" s="34"/>
      <c r="CG2294" s="34"/>
      <c r="CH2294" s="34"/>
      <c r="CI2294" s="8"/>
    </row>
    <row r="2295" spans="1:87" x14ac:dyDescent="0.2">
      <c r="A2295" s="8" t="str">
        <f>IF(AND(COUNTIF(W$3:W$13,A$31)&gt;0,A$31&lt;&gt;B2070),A$31,IFERROR(IF(MATCH(A$31,Z$3:Z$13,0)=10,A$31," ")," "))</f>
        <v>C17</v>
      </c>
      <c r="B2295" s="8">
        <f>IF(A2295=" "," ",MAX(B2279:B2294)+1)</f>
        <v>7</v>
      </c>
      <c r="C2295" s="8"/>
      <c r="D2295" s="8"/>
      <c r="E2295" s="8"/>
      <c r="F2295" s="8"/>
      <c r="G2295" s="8"/>
      <c r="H2295" s="8"/>
      <c r="I2295" s="8"/>
      <c r="J2295" s="8"/>
      <c r="K2295" s="8"/>
      <c r="L2295" s="8"/>
      <c r="M2295" s="8"/>
      <c r="N2295" s="8"/>
      <c r="O2295" s="8"/>
      <c r="P2295" s="8"/>
      <c r="Q2295" s="8"/>
      <c r="R2295" s="8"/>
      <c r="S2295" s="8"/>
      <c r="U2295" s="34"/>
      <c r="V2295" s="34"/>
      <c r="W2295" s="34"/>
      <c r="X2295" s="34"/>
      <c r="Y2295" s="34"/>
      <c r="Z2295" s="34"/>
      <c r="AA2295" s="34"/>
      <c r="AB2295" s="34"/>
      <c r="AC2295" s="34"/>
      <c r="AD2295" s="34"/>
      <c r="AE2295" s="34"/>
      <c r="AF2295" s="34"/>
      <c r="AG2295" s="34"/>
      <c r="AH2295" s="34"/>
      <c r="AI2295" s="34"/>
      <c r="AJ2295" s="34"/>
      <c r="AK2295" s="34"/>
      <c r="AL2295" s="34"/>
      <c r="AM2295" s="34"/>
      <c r="AN2295" s="34"/>
      <c r="AO2295" s="34"/>
      <c r="AP2295" s="34"/>
      <c r="AQ2295" s="34"/>
      <c r="AR2295" s="34"/>
      <c r="AS2295" s="34"/>
      <c r="AT2295" s="34"/>
      <c r="AU2295" s="34"/>
      <c r="AV2295" s="34"/>
      <c r="AW2295" s="34"/>
      <c r="AX2295" s="34"/>
      <c r="AY2295" s="34"/>
      <c r="AZ2295" s="34"/>
      <c r="BA2295" s="34"/>
      <c r="BB2295" s="34"/>
      <c r="BC2295" s="34"/>
      <c r="BD2295" s="34"/>
      <c r="BE2295" s="34"/>
      <c r="BF2295" s="34"/>
      <c r="BG2295" s="34"/>
      <c r="BH2295" s="34"/>
      <c r="BI2295" s="34"/>
      <c r="BJ2295" s="34"/>
      <c r="BK2295" s="34"/>
      <c r="BL2295" s="34"/>
      <c r="BM2295" s="34"/>
      <c r="BN2295" s="34"/>
      <c r="BO2295" s="34"/>
      <c r="BP2295" s="34"/>
      <c r="BQ2295" s="34"/>
      <c r="BR2295" s="34"/>
      <c r="BS2295" s="34"/>
      <c r="BT2295" s="34"/>
      <c r="BU2295" s="34"/>
      <c r="BV2295" s="34"/>
      <c r="BW2295" s="34"/>
      <c r="BX2295" s="34"/>
      <c r="BY2295" s="34"/>
      <c r="BZ2295" s="34"/>
      <c r="CA2295" s="34"/>
      <c r="CB2295" s="34"/>
      <c r="CC2295" s="34"/>
      <c r="CD2295" s="34"/>
      <c r="CE2295" s="34"/>
      <c r="CF2295" s="34"/>
      <c r="CG2295" s="34"/>
      <c r="CH2295" s="34"/>
      <c r="CI2295" s="8"/>
    </row>
    <row r="2296" spans="1:87" x14ac:dyDescent="0.2">
      <c r="A2296" s="8" t="str">
        <f>IF(AND(COUNTIF(W$3:W$13,A$32)&gt;0,A$32&lt;&gt;B2070),A$32,IFERROR(IF(MATCH(A$32,Z$3:Z$13,0)=10,A$32," ")," "))</f>
        <v>C18</v>
      </c>
      <c r="B2296" s="8">
        <f>IF(A2296=" "," ",MAX(B2279:B2295)+1)</f>
        <v>8</v>
      </c>
      <c r="C2296" s="8"/>
      <c r="D2296" s="8"/>
      <c r="E2296" s="8"/>
      <c r="F2296" s="8"/>
      <c r="G2296" s="8"/>
      <c r="H2296" s="8"/>
      <c r="I2296" s="8"/>
      <c r="J2296" s="8"/>
      <c r="K2296" s="8"/>
      <c r="L2296" s="8"/>
      <c r="M2296" s="8"/>
      <c r="N2296" s="8"/>
      <c r="O2296" s="8"/>
      <c r="P2296" s="8"/>
      <c r="Q2296" s="8"/>
      <c r="R2296" s="8"/>
      <c r="S2296" s="8"/>
      <c r="U2296" s="34"/>
      <c r="V2296" s="34"/>
      <c r="W2296" s="34"/>
      <c r="X2296" s="34"/>
      <c r="Y2296" s="34"/>
      <c r="Z2296" s="34"/>
      <c r="AA2296" s="34"/>
      <c r="AB2296" s="34"/>
      <c r="AC2296" s="34"/>
      <c r="AD2296" s="34"/>
      <c r="AE2296" s="34"/>
      <c r="AF2296" s="34"/>
      <c r="AG2296" s="34"/>
      <c r="AH2296" s="34"/>
      <c r="AI2296" s="34"/>
      <c r="AJ2296" s="34"/>
      <c r="AK2296" s="34"/>
      <c r="AL2296" s="34"/>
      <c r="AM2296" s="34"/>
      <c r="AN2296" s="34"/>
      <c r="AO2296" s="34"/>
      <c r="AP2296" s="34"/>
      <c r="AQ2296" s="34"/>
      <c r="AR2296" s="34"/>
      <c r="AS2296" s="34"/>
      <c r="AT2296" s="34"/>
      <c r="AU2296" s="34"/>
      <c r="AV2296" s="34"/>
      <c r="AW2296" s="34"/>
      <c r="AX2296" s="34"/>
      <c r="AY2296" s="34"/>
      <c r="AZ2296" s="34"/>
      <c r="BA2296" s="34"/>
      <c r="BB2296" s="34"/>
      <c r="BC2296" s="34"/>
      <c r="BD2296" s="34"/>
      <c r="BE2296" s="34"/>
      <c r="BF2296" s="34"/>
      <c r="BG2296" s="34"/>
      <c r="BH2296" s="34"/>
      <c r="BI2296" s="34"/>
      <c r="BJ2296" s="34"/>
      <c r="BK2296" s="34"/>
      <c r="BL2296" s="34"/>
      <c r="BM2296" s="34"/>
      <c r="BN2296" s="34"/>
      <c r="BO2296" s="34"/>
      <c r="BP2296" s="34"/>
      <c r="BQ2296" s="34"/>
      <c r="BR2296" s="34"/>
      <c r="BS2296" s="34"/>
      <c r="BT2296" s="34"/>
      <c r="BU2296" s="34"/>
      <c r="BV2296" s="34"/>
      <c r="BW2296" s="34"/>
      <c r="BX2296" s="34"/>
      <c r="BY2296" s="34"/>
      <c r="BZ2296" s="34"/>
      <c r="CA2296" s="34"/>
      <c r="CB2296" s="34"/>
      <c r="CC2296" s="34"/>
      <c r="CD2296" s="34"/>
      <c r="CE2296" s="34"/>
      <c r="CF2296" s="34"/>
      <c r="CG2296" s="34"/>
      <c r="CH2296" s="34"/>
      <c r="CI2296" s="8"/>
    </row>
    <row r="2297" spans="1:87" x14ac:dyDescent="0.2">
      <c r="A2297" s="8" t="str">
        <f>IF(AND(COUNTIF(W$3:W$13,A$33)&gt;0,A$33&lt;&gt;B2070),A$33,IFERROR(IF(MATCH(A$33,Z$3:Z$13,0)=10,A$33," ")," "))</f>
        <v>C19</v>
      </c>
      <c r="B2297" s="8">
        <f>IF(A2297=" "," ",MAX(B2279:B2296)+1)</f>
        <v>9</v>
      </c>
      <c r="C2297" s="8"/>
      <c r="D2297" s="8"/>
      <c r="E2297" s="8"/>
      <c r="F2297" s="8"/>
      <c r="G2297" s="8"/>
      <c r="H2297" s="8"/>
      <c r="I2297" s="8"/>
      <c r="J2297" s="8"/>
      <c r="K2297" s="8"/>
      <c r="L2297" s="8"/>
      <c r="M2297" s="8"/>
      <c r="N2297" s="8"/>
      <c r="O2297" s="8"/>
      <c r="P2297" s="8"/>
      <c r="Q2297" s="8"/>
      <c r="R2297" s="8"/>
      <c r="S2297" s="8"/>
      <c r="U2297" s="34"/>
      <c r="V2297" s="34"/>
      <c r="W2297" s="34"/>
      <c r="X2297" s="34"/>
      <c r="Y2297" s="34"/>
      <c r="Z2297" s="34"/>
      <c r="AA2297" s="34"/>
      <c r="AB2297" s="34"/>
      <c r="AC2297" s="34"/>
      <c r="AD2297" s="34"/>
      <c r="AE2297" s="34"/>
      <c r="AF2297" s="34"/>
      <c r="AG2297" s="34"/>
      <c r="AH2297" s="34"/>
      <c r="AI2297" s="34"/>
      <c r="AJ2297" s="34"/>
      <c r="AK2297" s="34"/>
      <c r="AL2297" s="34"/>
      <c r="AM2297" s="34"/>
      <c r="AN2297" s="34"/>
      <c r="AO2297" s="34"/>
      <c r="AP2297" s="34"/>
      <c r="AQ2297" s="34"/>
      <c r="AR2297" s="34"/>
      <c r="AS2297" s="34"/>
      <c r="AT2297" s="34"/>
      <c r="AU2297" s="34"/>
      <c r="AV2297" s="34"/>
      <c r="AW2297" s="34"/>
      <c r="AX2297" s="34"/>
      <c r="AY2297" s="34"/>
      <c r="AZ2297" s="34"/>
      <c r="BA2297" s="34"/>
      <c r="BB2297" s="34"/>
      <c r="BC2297" s="34"/>
      <c r="BD2297" s="34"/>
      <c r="BE2297" s="34"/>
      <c r="BF2297" s="34"/>
      <c r="BG2297" s="34"/>
      <c r="BH2297" s="34"/>
      <c r="BI2297" s="34"/>
      <c r="BJ2297" s="34"/>
      <c r="BK2297" s="34"/>
      <c r="BL2297" s="34"/>
      <c r="BM2297" s="34"/>
      <c r="BN2297" s="34"/>
      <c r="BO2297" s="34"/>
      <c r="BP2297" s="34"/>
      <c r="BQ2297" s="34"/>
      <c r="BR2297" s="34"/>
      <c r="BS2297" s="34"/>
      <c r="BT2297" s="34"/>
      <c r="BU2297" s="34"/>
      <c r="BV2297" s="34"/>
      <c r="BW2297" s="34"/>
      <c r="BX2297" s="34"/>
      <c r="BY2297" s="34"/>
      <c r="BZ2297" s="34"/>
      <c r="CA2297" s="34"/>
      <c r="CB2297" s="34"/>
      <c r="CC2297" s="34"/>
      <c r="CD2297" s="34"/>
      <c r="CE2297" s="34"/>
      <c r="CF2297" s="34"/>
      <c r="CG2297" s="34"/>
      <c r="CH2297" s="34"/>
      <c r="CI2297" s="8"/>
    </row>
    <row r="2298" spans="1:87" x14ac:dyDescent="0.2">
      <c r="A2298" s="8" t="str">
        <f>IF(AND(COUNTIF(W$3:W$13,A$34)&gt;0,A$34&lt;&gt;B2070),A$34,IFERROR(IF(MATCH(A$34,Z$3:Z$13,0)=10,A$34," ")," "))</f>
        <v xml:space="preserve"> </v>
      </c>
      <c r="B2298" s="8" t="str">
        <f>IF(A2298=" "," ",MAX(B2279:B2297)+1)</f>
        <v xml:space="preserve"> </v>
      </c>
      <c r="C2298" s="8"/>
      <c r="D2298" s="8"/>
      <c r="E2298" s="8"/>
      <c r="F2298" s="8"/>
      <c r="G2298" s="8"/>
      <c r="H2298" s="8"/>
      <c r="I2298" s="8"/>
      <c r="J2298" s="8"/>
      <c r="K2298" s="8"/>
      <c r="L2298" s="8"/>
      <c r="M2298" s="8"/>
      <c r="N2298" s="8"/>
      <c r="O2298" s="8"/>
      <c r="P2298" s="8"/>
      <c r="Q2298" s="8"/>
      <c r="R2298" s="8"/>
      <c r="S2298" s="8"/>
      <c r="U2298" s="34"/>
      <c r="V2298" s="34"/>
      <c r="W2298" s="34"/>
      <c r="X2298" s="34"/>
      <c r="Y2298" s="34"/>
      <c r="Z2298" s="34"/>
      <c r="AA2298" s="34"/>
      <c r="AB2298" s="34"/>
      <c r="AC2298" s="34"/>
      <c r="AD2298" s="34"/>
      <c r="AE2298" s="34"/>
      <c r="AF2298" s="34"/>
      <c r="AG2298" s="34"/>
      <c r="AH2298" s="34"/>
      <c r="AI2298" s="34"/>
      <c r="AJ2298" s="34"/>
      <c r="AK2298" s="34"/>
      <c r="AL2298" s="34"/>
      <c r="AM2298" s="34"/>
      <c r="AN2298" s="34"/>
      <c r="AO2298" s="34"/>
      <c r="AP2298" s="34"/>
      <c r="AQ2298" s="34"/>
      <c r="AR2298" s="34"/>
      <c r="AS2298" s="34"/>
      <c r="AT2298" s="34"/>
      <c r="AU2298" s="34"/>
      <c r="AV2298" s="34"/>
      <c r="AW2298" s="34"/>
      <c r="AX2298" s="34"/>
      <c r="AY2298" s="34"/>
      <c r="AZ2298" s="34"/>
      <c r="BA2298" s="34"/>
      <c r="BB2298" s="34"/>
      <c r="BC2298" s="34"/>
      <c r="BD2298" s="34"/>
      <c r="BE2298" s="34"/>
      <c r="BF2298" s="34"/>
      <c r="BG2298" s="34"/>
      <c r="BH2298" s="34"/>
      <c r="BI2298" s="34"/>
      <c r="BJ2298" s="34"/>
      <c r="BK2298" s="34"/>
      <c r="BL2298" s="34"/>
      <c r="BM2298" s="34"/>
      <c r="BN2298" s="34"/>
      <c r="BO2298" s="34"/>
      <c r="BP2298" s="34"/>
      <c r="BQ2298" s="34"/>
      <c r="BR2298" s="34"/>
      <c r="BS2298" s="34"/>
      <c r="BT2298" s="34"/>
      <c r="BU2298" s="34"/>
      <c r="BV2298" s="34"/>
      <c r="BW2298" s="34"/>
      <c r="BX2298" s="34"/>
      <c r="BY2298" s="34"/>
      <c r="BZ2298" s="34"/>
      <c r="CA2298" s="34"/>
      <c r="CB2298" s="34"/>
      <c r="CC2298" s="34"/>
      <c r="CD2298" s="34"/>
      <c r="CE2298" s="34"/>
      <c r="CF2298" s="34"/>
      <c r="CG2298" s="34"/>
      <c r="CH2298" s="34"/>
      <c r="CI2298" s="8"/>
    </row>
    <row r="2299" spans="1:87" x14ac:dyDescent="0.2">
      <c r="A2299" s="8" t="str">
        <f>IF(AND(COUNTIF(W$3:W$13,A$35)&gt;0,A$35&lt;&gt;B2070),A$35,IFERROR(IF(MATCH(A$35,Z$3:Z$13,0)=10,A$35," ")," "))</f>
        <v>C21</v>
      </c>
      <c r="B2299" s="8">
        <f>IF(A2299=" "," ",MAX(B2279:B2298)+1)</f>
        <v>10</v>
      </c>
      <c r="C2299" s="8"/>
      <c r="D2299" s="8"/>
      <c r="E2299" s="8"/>
      <c r="F2299" s="8"/>
      <c r="G2299" s="8"/>
      <c r="H2299" s="8"/>
      <c r="I2299" s="8"/>
      <c r="J2299" s="8"/>
      <c r="K2299" s="8"/>
      <c r="L2299" s="8"/>
      <c r="M2299" s="8"/>
      <c r="N2299" s="8"/>
      <c r="O2299" s="8"/>
      <c r="P2299" s="8"/>
      <c r="Q2299" s="8"/>
      <c r="R2299" s="8"/>
      <c r="S2299" s="8"/>
      <c r="U2299" s="34"/>
      <c r="V2299" s="34"/>
      <c r="W2299" s="34"/>
      <c r="X2299" s="34"/>
      <c r="Y2299" s="34"/>
      <c r="Z2299" s="34"/>
      <c r="AA2299" s="34"/>
      <c r="AB2299" s="34"/>
      <c r="AC2299" s="34"/>
      <c r="AD2299" s="34"/>
      <c r="AE2299" s="34"/>
      <c r="AF2299" s="34"/>
      <c r="AG2299" s="34"/>
      <c r="AH2299" s="34"/>
      <c r="AI2299" s="34"/>
      <c r="AJ2299" s="34"/>
      <c r="AK2299" s="34"/>
      <c r="AL2299" s="34"/>
      <c r="AM2299" s="34"/>
      <c r="AN2299" s="34"/>
      <c r="AO2299" s="34"/>
      <c r="AP2299" s="34"/>
      <c r="AQ2299" s="34"/>
      <c r="AR2299" s="34"/>
      <c r="AS2299" s="34"/>
      <c r="AT2299" s="34"/>
      <c r="AU2299" s="34"/>
      <c r="AV2299" s="34"/>
      <c r="AW2299" s="34"/>
      <c r="AX2299" s="34"/>
      <c r="AY2299" s="34"/>
      <c r="AZ2299" s="34"/>
      <c r="BA2299" s="34"/>
      <c r="BB2299" s="34"/>
      <c r="BC2299" s="34"/>
      <c r="BD2299" s="34"/>
      <c r="BE2299" s="34"/>
      <c r="BF2299" s="34"/>
      <c r="BG2299" s="34"/>
      <c r="BH2299" s="34"/>
      <c r="BI2299" s="34"/>
      <c r="BJ2299" s="34"/>
      <c r="BK2299" s="34"/>
      <c r="BL2299" s="34"/>
      <c r="BM2299" s="34"/>
      <c r="BN2299" s="34"/>
      <c r="BO2299" s="34"/>
      <c r="BP2299" s="34"/>
      <c r="BQ2299" s="34"/>
      <c r="BR2299" s="34"/>
      <c r="BS2299" s="34"/>
      <c r="BT2299" s="34"/>
      <c r="BU2299" s="34"/>
      <c r="BV2299" s="34"/>
      <c r="BW2299" s="34"/>
      <c r="BX2299" s="34"/>
      <c r="BY2299" s="34"/>
      <c r="BZ2299" s="34"/>
      <c r="CA2299" s="34"/>
      <c r="CB2299" s="34"/>
      <c r="CC2299" s="34"/>
      <c r="CD2299" s="34"/>
      <c r="CE2299" s="34"/>
      <c r="CF2299" s="34"/>
      <c r="CG2299" s="34"/>
      <c r="CH2299" s="34"/>
      <c r="CI2299" s="8"/>
    </row>
    <row r="2300" spans="1:87" x14ac:dyDescent="0.2">
      <c r="A2300" s="8" t="str">
        <f>IF(AND(COUNTIF(W$3:W$13,A$36)&gt;0,A$36&lt;&gt;B2070),A$36,IFERROR(IF(MATCH(A$36,Z$3:Z$13,0)=10,A$36," ")," "))</f>
        <v>C22</v>
      </c>
      <c r="B2300" s="8">
        <f>IF(A2300=" "," ",MAX(B2279:B2299)+1)</f>
        <v>11</v>
      </c>
      <c r="C2300" s="8"/>
      <c r="D2300" s="8"/>
      <c r="E2300" s="8"/>
      <c r="F2300" s="8"/>
      <c r="G2300" s="8"/>
      <c r="H2300" s="8"/>
      <c r="I2300" s="8"/>
      <c r="J2300" s="8"/>
      <c r="K2300" s="8"/>
      <c r="L2300" s="8"/>
      <c r="M2300" s="8"/>
      <c r="N2300" s="8"/>
      <c r="O2300" s="8"/>
      <c r="P2300" s="8"/>
      <c r="Q2300" s="8"/>
      <c r="R2300" s="8"/>
      <c r="S2300" s="8"/>
      <c r="U2300" s="34"/>
      <c r="V2300" s="34"/>
      <c r="W2300" s="34"/>
      <c r="X2300" s="34"/>
      <c r="Y2300" s="34"/>
      <c r="Z2300" s="34"/>
      <c r="AA2300" s="34"/>
      <c r="AB2300" s="34"/>
      <c r="AC2300" s="34"/>
      <c r="AD2300" s="34"/>
      <c r="AE2300" s="34"/>
      <c r="AF2300" s="34"/>
      <c r="AG2300" s="34"/>
      <c r="AH2300" s="34"/>
      <c r="AI2300" s="34"/>
      <c r="AJ2300" s="34"/>
      <c r="AK2300" s="34"/>
      <c r="AL2300" s="34"/>
      <c r="AM2300" s="34"/>
      <c r="AN2300" s="34"/>
      <c r="AO2300" s="34"/>
      <c r="AP2300" s="34"/>
      <c r="AQ2300" s="34"/>
      <c r="AR2300" s="34"/>
      <c r="AS2300" s="34"/>
      <c r="AT2300" s="34"/>
      <c r="AU2300" s="34"/>
      <c r="AV2300" s="34"/>
      <c r="AW2300" s="34"/>
      <c r="AX2300" s="34"/>
      <c r="AY2300" s="34"/>
      <c r="AZ2300" s="34"/>
      <c r="BA2300" s="34"/>
      <c r="BB2300" s="34"/>
      <c r="BC2300" s="34"/>
      <c r="BD2300" s="34"/>
      <c r="BE2300" s="34"/>
      <c r="BF2300" s="34"/>
      <c r="BG2300" s="34"/>
      <c r="BH2300" s="34"/>
      <c r="BI2300" s="34"/>
      <c r="BJ2300" s="34"/>
      <c r="BK2300" s="34"/>
      <c r="BL2300" s="34"/>
      <c r="BM2300" s="34"/>
      <c r="BN2300" s="34"/>
      <c r="BO2300" s="34"/>
      <c r="BP2300" s="34"/>
      <c r="BQ2300" s="34"/>
      <c r="BR2300" s="34"/>
      <c r="BS2300" s="34"/>
      <c r="BT2300" s="34"/>
      <c r="BU2300" s="34"/>
      <c r="BV2300" s="34"/>
      <c r="BW2300" s="34"/>
      <c r="BX2300" s="34"/>
      <c r="BY2300" s="34"/>
      <c r="BZ2300" s="34"/>
      <c r="CA2300" s="34"/>
      <c r="CB2300" s="34"/>
      <c r="CC2300" s="34"/>
      <c r="CD2300" s="34"/>
      <c r="CE2300" s="34"/>
      <c r="CF2300" s="34"/>
      <c r="CG2300" s="34"/>
      <c r="CH2300" s="34"/>
      <c r="CI2300" s="8"/>
    </row>
    <row r="2301" spans="1:87" x14ac:dyDescent="0.2">
      <c r="A2301" s="11" t="s">
        <v>17</v>
      </c>
      <c r="B2301" s="11"/>
      <c r="C2301" s="27" t="s">
        <v>18</v>
      </c>
      <c r="D2301" s="27" t="s">
        <v>2</v>
      </c>
      <c r="E2301" s="27" t="s">
        <v>6</v>
      </c>
      <c r="F2301" s="27" t="s">
        <v>15</v>
      </c>
      <c r="G2301" s="27" t="s">
        <v>36</v>
      </c>
      <c r="H2301" s="27" t="s">
        <v>37</v>
      </c>
      <c r="I2301" s="27" t="s">
        <v>38</v>
      </c>
      <c r="J2301" s="27" t="s">
        <v>39</v>
      </c>
      <c r="K2301" s="27" t="s">
        <v>40</v>
      </c>
      <c r="L2301" s="27" t="s">
        <v>41</v>
      </c>
      <c r="M2301" s="27" t="s">
        <v>42</v>
      </c>
      <c r="N2301" s="27" t="s">
        <v>43</v>
      </c>
      <c r="O2301" s="27" t="s">
        <v>9</v>
      </c>
      <c r="P2301" s="27" t="s">
        <v>12</v>
      </c>
      <c r="Q2301" s="27" t="s">
        <v>19</v>
      </c>
      <c r="R2301" s="27" t="s">
        <v>55</v>
      </c>
      <c r="S2301" s="27" t="s">
        <v>26</v>
      </c>
      <c r="T2301" s="19" t="s">
        <v>25</v>
      </c>
      <c r="U2301" s="33" t="s">
        <v>27</v>
      </c>
      <c r="V2301" s="33" t="s">
        <v>9</v>
      </c>
      <c r="W2301" s="33" t="s">
        <v>23</v>
      </c>
      <c r="X2301" s="33" t="s">
        <v>12</v>
      </c>
      <c r="Y2301" s="33" t="s">
        <v>26</v>
      </c>
      <c r="Z2301" s="33" t="s">
        <v>25</v>
      </c>
      <c r="AA2301" s="33" t="s">
        <v>27</v>
      </c>
      <c r="AB2301" s="33" t="s">
        <v>9</v>
      </c>
      <c r="AC2301" s="33" t="s">
        <v>23</v>
      </c>
      <c r="AD2301" s="33" t="s">
        <v>12</v>
      </c>
      <c r="AE2301" s="33" t="s">
        <v>26</v>
      </c>
      <c r="AF2301" s="33" t="s">
        <v>25</v>
      </c>
      <c r="AG2301" s="33" t="s">
        <v>27</v>
      </c>
      <c r="AH2301" s="33" t="s">
        <v>9</v>
      </c>
      <c r="AI2301" s="33" t="s">
        <v>23</v>
      </c>
      <c r="AJ2301" s="33" t="s">
        <v>12</v>
      </c>
      <c r="AK2301" s="33" t="s">
        <v>26</v>
      </c>
      <c r="AL2301" s="33" t="s">
        <v>25</v>
      </c>
      <c r="AM2301" s="33" t="s">
        <v>27</v>
      </c>
      <c r="AN2301" s="33" t="s">
        <v>9</v>
      </c>
      <c r="AO2301" s="33" t="s">
        <v>23</v>
      </c>
      <c r="AP2301" s="33" t="s">
        <v>12</v>
      </c>
      <c r="AQ2301" s="33" t="s">
        <v>26</v>
      </c>
      <c r="AR2301" s="33" t="s">
        <v>25</v>
      </c>
      <c r="AS2301" s="33" t="s">
        <v>27</v>
      </c>
      <c r="AT2301" s="33" t="s">
        <v>9</v>
      </c>
      <c r="AU2301" s="33" t="s">
        <v>23</v>
      </c>
      <c r="AV2301" s="33" t="s">
        <v>12</v>
      </c>
      <c r="AW2301" s="33" t="s">
        <v>26</v>
      </c>
      <c r="AX2301" s="33" t="s">
        <v>25</v>
      </c>
      <c r="AY2301" s="33" t="s">
        <v>27</v>
      </c>
      <c r="AZ2301" s="33" t="s">
        <v>9</v>
      </c>
      <c r="BA2301" s="33" t="s">
        <v>23</v>
      </c>
      <c r="BB2301" s="33" t="s">
        <v>12</v>
      </c>
      <c r="BC2301" s="33" t="s">
        <v>26</v>
      </c>
      <c r="BD2301" s="33" t="s">
        <v>25</v>
      </c>
      <c r="BE2301" s="33" t="s">
        <v>27</v>
      </c>
      <c r="BF2301" s="33" t="s">
        <v>9</v>
      </c>
      <c r="BG2301" s="33" t="s">
        <v>23</v>
      </c>
      <c r="BH2301" s="33" t="s">
        <v>12</v>
      </c>
      <c r="BI2301" s="33" t="s">
        <v>26</v>
      </c>
      <c r="BJ2301" s="33" t="s">
        <v>25</v>
      </c>
      <c r="BK2301" s="33" t="s">
        <v>27</v>
      </c>
      <c r="BL2301" s="33" t="s">
        <v>9</v>
      </c>
      <c r="BM2301" s="33" t="s">
        <v>23</v>
      </c>
      <c r="BN2301" s="33" t="s">
        <v>12</v>
      </c>
      <c r="BO2301" s="33" t="s">
        <v>26</v>
      </c>
      <c r="BP2301" s="33" t="s">
        <v>25</v>
      </c>
      <c r="BQ2301" s="33" t="s">
        <v>27</v>
      </c>
      <c r="BR2301" s="33" t="s">
        <v>9</v>
      </c>
      <c r="BS2301" s="33" t="s">
        <v>23</v>
      </c>
      <c r="BT2301" s="33" t="s">
        <v>12</v>
      </c>
      <c r="BU2301" s="33" t="s">
        <v>26</v>
      </c>
      <c r="BV2301" s="33" t="s">
        <v>25</v>
      </c>
      <c r="BW2301" s="33" t="s">
        <v>27</v>
      </c>
      <c r="BX2301" s="33" t="s">
        <v>9</v>
      </c>
      <c r="BY2301" s="33" t="s">
        <v>23</v>
      </c>
      <c r="BZ2301" s="33" t="s">
        <v>12</v>
      </c>
      <c r="CA2301" s="33" t="s">
        <v>26</v>
      </c>
      <c r="CB2301" s="33" t="s">
        <v>25</v>
      </c>
      <c r="CC2301" s="33" t="s">
        <v>27</v>
      </c>
      <c r="CD2301" s="33" t="s">
        <v>9</v>
      </c>
      <c r="CE2301" s="33" t="s">
        <v>23</v>
      </c>
      <c r="CF2301" s="33" t="s">
        <v>12</v>
      </c>
      <c r="CG2301" s="33" t="s">
        <v>26</v>
      </c>
      <c r="CH2301" s="33" t="s">
        <v>25</v>
      </c>
      <c r="CI2301" s="8"/>
    </row>
    <row r="2302" spans="1:87" x14ac:dyDescent="0.2">
      <c r="A2302" s="8" t="str">
        <f>IF(AND(COUNTIF(W$3:W$13,A$15)&gt;0,A$15&lt;&gt;B2070),A$15,IFERROR(IF(MATCH(A$15,Z$3:Z$13,0)=11,A$15," ")," "))</f>
        <v xml:space="preserve"> </v>
      </c>
      <c r="B2302" s="8" t="str">
        <f>IF(A2302=" "," ",1)</f>
        <v xml:space="preserve"> </v>
      </c>
      <c r="C2302" s="8" t="str">
        <f>IFERROR(INDEX(A2302:A2323,MATCH(SMALL(B2302:B2323,1),B2302:B2323,0),1)," ")</f>
        <v>C3</v>
      </c>
      <c r="D2302" s="8">
        <f>IFERROR(VLOOKUP($C2302,$A$15:$O$36,2,FALSE)," ")</f>
        <v>2</v>
      </c>
      <c r="E2302" s="8">
        <f>IFERROR(VLOOKUP($C2302,$A$15:$O$36,3,FALSE)," ")</f>
        <v>5</v>
      </c>
      <c r="F2302" s="8">
        <f>IFERROR(VLOOKUP($C2302,$A$15:$O$36,4,FALSE)," ")</f>
        <v>6</v>
      </c>
      <c r="G2302" s="8">
        <f>IFERROR(VLOOKUP($C2302,$A$15:$O$36,5,FALSE)," ")</f>
        <v>0</v>
      </c>
      <c r="H2302" s="8">
        <f>IFERROR(VLOOKUP($C2302,$A$15:$O$36,6,FALSE)," ")</f>
        <v>0</v>
      </c>
      <c r="I2302" s="8">
        <f>IFERROR(VLOOKUP($C2302,$A$15:$O$36,7,FALSE)," ")</f>
        <v>0</v>
      </c>
      <c r="J2302" s="8">
        <f>IFERROR(VLOOKUP($C2302,$A$15:$O$36,8,FALSE)," ")</f>
        <v>0</v>
      </c>
      <c r="K2302" s="8">
        <f>IFERROR(VLOOKUP($C2302,$A$15:$O$36,9,FALSE)," ")</f>
        <v>0</v>
      </c>
      <c r="L2302" s="8">
        <f>IFERROR(VLOOKUP($C2302,$A$15:$O$36,10,FALSE)," ")</f>
        <v>0</v>
      </c>
      <c r="M2302" s="8">
        <f>IFERROR(VLOOKUP($C2302,$A$15:$O$36,11,FALSE)," ")</f>
        <v>0</v>
      </c>
      <c r="N2302" s="8">
        <f>IFERROR(VLOOKUP($C2302,$A$15:$O$36,12,FALSE)," ")</f>
        <v>0</v>
      </c>
      <c r="O2302" s="8">
        <f>IFERROR(VLOOKUP($C2302,$A$15:$O$36,15,FALSE)," ")</f>
        <v>2000</v>
      </c>
      <c r="P2302" s="8" t="e">
        <f t="array" ref="P2302:P2312">MMULT(MINVERSE(D2302:N2312),O2302:O2312)</f>
        <v>#NUM!</v>
      </c>
      <c r="Q2302" s="8" t="e">
        <f t="shared" ref="Q2302" si="9985">IF(COUNTIF(P2302:P2312,"&lt;"&amp;-0.001)=0,IF(ABS(P2302)&lt;0.001,0,P2302)," ")</f>
        <v>#NUM!</v>
      </c>
      <c r="R2302" s="8" t="str">
        <f>IFERROR(VLOOKUP(B2070,A$15:L$36,2,FALSE)*Q2302+VLOOKUP(B2070,A$15:L$36,3,FALSE)*Q2303+VLOOKUP(B2070,A$15:L$36,4,FALSE)*Q2304+VLOOKUP(B2070,A$15:L$36,5,FALSE)*Q2305+VLOOKUP(B2070,A$15:L$36,6,FALSE)*Q2306+VLOOKUP(B2070,A$15:L$36,7,FALSE)*Q2307+VLOOKUP(B2070,A$15:L$36,8,FALSE)*Q2308+VLOOKUP(B2070,A$15:L$36,9,FALSE)*Q2309+VLOOKUP(B2070,A$15:L$36,10,FALSE)*Q2310+VLOOKUP(B2070,A$15:L$36,11,FALSE)*Q2311+VLOOKUP(B2070,A$15:L$36,12,FALSE)*Q2312," ")</f>
        <v xml:space="preserve"> </v>
      </c>
      <c r="S2302" s="8" t="str">
        <f>IFERROR(IF(R2302-VLOOKUP(B2070,A$15:O$36,15,FALSE)&lt;0,R2302-VLOOKUP(B2070,A$15:O$36,15,FALSE)," ")," ")</f>
        <v xml:space="preserve"> </v>
      </c>
      <c r="T2302" s="18" t="str">
        <f>IFERROR(IF(R2302-VLOOKUP(B2070,A$15:O$36,15,FALSE)&gt;0,R2302-VLOOKUP(B2070,A$15:O$36,15,FALSE)," ")," ")</f>
        <v xml:space="preserve"> </v>
      </c>
      <c r="U2302" s="34">
        <f t="shared" ref="U2302" si="9986">$M$2</f>
        <v>100.00000000000001</v>
      </c>
      <c r="V2302" s="34">
        <v>-1</v>
      </c>
      <c r="W2302" s="34">
        <f t="shared" ref="W2302" si="9987">-SUMPRODUCT($M$3:$M$12,$N$3:$N$12)</f>
        <v>-105000</v>
      </c>
      <c r="X2302" s="34" t="e">
        <f t="shared" ref="X2302" si="9988">IF(U2302&lt;&gt;U2303,MMULT(MINVERSE(U2302:V2303),W2302:W2303)," ")</f>
        <v>#NUM!</v>
      </c>
      <c r="Y2302" s="34" t="str">
        <f t="shared" ref="Y2302" si="9989">IFERROR(IF(X2302-VLOOKUP(U$38,$A$2:$N$12,14,FALSE)&lt;0,X2302-VLOOKUP(U$38,$A$2:$N$12,14,FALSE)," ")," ")</f>
        <v xml:space="preserve"> </v>
      </c>
      <c r="Z2302" s="34" t="str">
        <f t="shared" ref="Z2302" si="9990">IFERROR(IF(X2302-VLOOKUP(U$38,$A$2:$N$12,14,FALSE)&gt;0,X2302-VLOOKUP(U$38,$A$2:$N$12,14,FALSE)," ")," ")</f>
        <v xml:space="preserve"> </v>
      </c>
      <c r="AA2302" s="34">
        <f t="shared" ref="AA2302" si="9991">$M$3</f>
        <v>0</v>
      </c>
      <c r="AB2302" s="34">
        <v>-1</v>
      </c>
      <c r="AC2302" s="34">
        <f t="shared" ref="AC2302" si="9992">-SUMPRODUCT($M$2:$M$2,$N$2:$N$2)-SUMPRODUCT($M$4:$M$12,$N$4:$N$12)</f>
        <v>-120000</v>
      </c>
      <c r="AD2302" s="34" t="e">
        <f t="shared" ref="AD2302" si="9993">IF(AA2302&lt;&gt;AA2303,MMULT(MINVERSE(AA2302:AB2303),AC2302:AC2303)," ")</f>
        <v>#NUM!</v>
      </c>
      <c r="AE2302" s="34" t="str">
        <f t="shared" ref="AE2302" si="9994">IFERROR(IF(AD2302-VLOOKUP(AA$38,$A$2:$N$12,14,FALSE)&lt;0,AD2302-VLOOKUP(AA$38,$A$2:$N$12,14,FALSE)," ")," ")</f>
        <v xml:space="preserve"> </v>
      </c>
      <c r="AF2302" s="34" t="str">
        <f t="shared" ref="AF2302" si="9995">IFERROR(IF(AD2302-VLOOKUP(AA$38,$A$2:$N$12,14,FALSE)&gt;0,AD2302-VLOOKUP(AA$38,$A$2:$N$12,14,FALSE)," ")," ")</f>
        <v xml:space="preserve"> </v>
      </c>
      <c r="AG2302" s="34">
        <f t="shared" ref="AG2302" si="9996">$M$4</f>
        <v>300</v>
      </c>
      <c r="AH2302" s="34">
        <v>-1</v>
      </c>
      <c r="AI2302" s="34">
        <f t="shared" ref="AI2302" si="9997">-SUMPRODUCT($M$2:$M$3,$N$2:$N$3)-SUMPRODUCT($M$5:$M$12,$N$5:$N$12)</f>
        <v>-15000.000000000002</v>
      </c>
      <c r="AJ2302" s="34" t="e">
        <f t="shared" ref="AJ2302" si="9998">IF(AG2302&lt;&gt;AG2303,MMULT(MINVERSE(AG2302:AH2303),AI2302:AI2303)," ")</f>
        <v>#NUM!</v>
      </c>
      <c r="AK2302" s="34" t="str">
        <f t="shared" ref="AK2302" si="9999">IFERROR(IF(AJ2302-VLOOKUP(AG$38,$A$2:$N$12,14,FALSE)&lt;0,AJ2302-VLOOKUP(AG$38,$A$2:$N$12,14,FALSE)," ")," ")</f>
        <v xml:space="preserve"> </v>
      </c>
      <c r="AL2302" s="34" t="str">
        <f t="shared" ref="AL2302" si="10000">IFERROR(IF(AJ2302-VLOOKUP(AG$38,$A$2:$N$12,14,FALSE)&gt;0,AJ2302-VLOOKUP(AG$38,$A$2:$N$12,14,FALSE)," ")," ")</f>
        <v xml:space="preserve"> </v>
      </c>
      <c r="AM2302" s="34">
        <f t="shared" ref="AM2302" si="10001">$M$5</f>
        <v>0</v>
      </c>
      <c r="AN2302" s="34">
        <v>-1</v>
      </c>
      <c r="AO2302" s="34">
        <f t="shared" ref="AO2302" si="10002">-SUMPRODUCT($M$2:$M$4,$N$2:$N$4)-SUMPRODUCT($M$6:$M$12,$N$6:$N$12)</f>
        <v>-120000</v>
      </c>
      <c r="AP2302" s="34" t="e">
        <f t="shared" ref="AP2302" si="10003">IF(AM2302&lt;&gt;AM2303,MMULT(MINVERSE(AM2302:AN2303),AO2302:AO2303)," ")</f>
        <v>#NUM!</v>
      </c>
      <c r="AQ2302" s="34" t="str">
        <f t="shared" ref="AQ2302" si="10004">IFERROR(IF(AP2302-VLOOKUP(AM$38,$A$2:$N$12,14,FALSE)&lt;0,AP2302-VLOOKUP(AM$38,$A$2:$N$12,14,FALSE)," ")," ")</f>
        <v xml:space="preserve"> </v>
      </c>
      <c r="AR2302" s="34" t="str">
        <f t="shared" ref="AR2302" si="10005">IFERROR(IF(AP2302-VLOOKUP(AM$38,$A$2:$N$12,14,FALSE)&gt;0,AP2302-VLOOKUP(AM$38,$A$2:$N$12,14,FALSE)," ")," ")</f>
        <v xml:space="preserve"> </v>
      </c>
      <c r="AS2302" s="34">
        <f t="shared" ref="AS2302" si="10006">$M$6</f>
        <v>0</v>
      </c>
      <c r="AT2302" s="34">
        <v>-1</v>
      </c>
      <c r="AU2302" s="34">
        <f t="shared" ref="AU2302" si="10007">-SUMPRODUCT($M$2:$M$5,$N$2:$N$5)-SUMPRODUCT($M$7:$M$12,$N$7:$N$12)</f>
        <v>-120000</v>
      </c>
      <c r="AV2302" s="34" t="e">
        <f t="shared" ref="AV2302" si="10008">IF(AS2302&lt;&gt;AS2303,MMULT(MINVERSE(AS2302:AT2303),AU2302:AU2303)," ")</f>
        <v>#NUM!</v>
      </c>
      <c r="AW2302" s="34" t="str">
        <f t="shared" ref="AW2302" si="10009">IFERROR(IF(AV2302-VLOOKUP(AS$38,$A$2:$N$12,14,FALSE)&lt;0,AV2302-VLOOKUP(AS$38,$A$2:$N$12,14,FALSE)," ")," ")</f>
        <v xml:space="preserve"> </v>
      </c>
      <c r="AX2302" s="34" t="str">
        <f t="shared" ref="AX2302" si="10010">IFERROR(IF(AV2302-VLOOKUP(AS$38,$A$2:$N$12,14,FALSE)&gt;0,AV2302-VLOOKUP(AS$38,$A$2:$N$12,14,FALSE)," ")," ")</f>
        <v xml:space="preserve"> </v>
      </c>
      <c r="AY2302" s="34">
        <f t="shared" ref="AY2302" si="10011">$M$7</f>
        <v>0</v>
      </c>
      <c r="AZ2302" s="34">
        <v>-1</v>
      </c>
      <c r="BA2302" s="34">
        <f t="shared" ref="BA2302" si="10012">-SUMPRODUCT($M$2:$M$6,$N$2:$N$6)-SUMPRODUCT($M$8:$M$12,$N$8:$N$12)</f>
        <v>-120000</v>
      </c>
      <c r="BB2302" s="34" t="e">
        <f t="shared" ref="BB2302" si="10013">IF(AY2302&lt;&gt;AY2303,MMULT(MINVERSE(AY2302:AZ2303),BA2302:BA2303)," ")</f>
        <v>#NUM!</v>
      </c>
      <c r="BC2302" s="34" t="str">
        <f t="shared" ref="BC2302" si="10014">IFERROR(IF(BB2302-VLOOKUP(AY$38,$A$2:$N$12,14,FALSE)&lt;0,BB2302-VLOOKUP(AY$38,$A$2:$N$12,14,FALSE)," ")," ")</f>
        <v xml:space="preserve"> </v>
      </c>
      <c r="BD2302" s="34" t="str">
        <f t="shared" ref="BD2302" si="10015">IFERROR(IF(BB2302-VLOOKUP(AY$38,$A$2:$N$12,14,FALSE)&gt;0,BB2302-VLOOKUP(AY$38,$A$2:$N$12,14,FALSE)," ")," ")</f>
        <v xml:space="preserve"> </v>
      </c>
      <c r="BE2302" s="34">
        <f t="shared" ref="BE2302" si="10016">$M$8</f>
        <v>0</v>
      </c>
      <c r="BF2302" s="34">
        <v>-1</v>
      </c>
      <c r="BG2302" s="34">
        <f t="shared" ref="BG2302" si="10017">-SUMPRODUCT($M$2:$M$7,$N$2:$N$7)-SUMPRODUCT($M$9:$M$12,$N$9:$N$12)</f>
        <v>-120000</v>
      </c>
      <c r="BH2302" s="34" t="e">
        <f t="shared" ref="BH2302" si="10018">IF(BE2302&lt;&gt;BE2303,MMULT(MINVERSE(BE2302:BF2303),BG2302:BG2303)," ")</f>
        <v>#NUM!</v>
      </c>
      <c r="BI2302" s="34" t="str">
        <f t="shared" ref="BI2302" si="10019">IFERROR(IF(BH2302-VLOOKUP(BE$38,$A$2:$N$12,14,FALSE)&lt;0,BH2302-VLOOKUP(BE$38,$A$2:$N$12,14,FALSE)," ")," ")</f>
        <v xml:space="preserve"> </v>
      </c>
      <c r="BJ2302" s="34" t="str">
        <f t="shared" ref="BJ2302" si="10020">IFERROR(IF(BH2302-VLOOKUP(BE$38,$A$2:$N$12,14,FALSE)&gt;0,BH2302-VLOOKUP(BE$38,$A$2:$N$12,14,FALSE)," ")," ")</f>
        <v xml:space="preserve"> </v>
      </c>
      <c r="BK2302" s="34">
        <f t="shared" ref="BK2302" si="10021">$M$9</f>
        <v>0</v>
      </c>
      <c r="BL2302" s="34">
        <v>-1</v>
      </c>
      <c r="BM2302" s="34">
        <f t="shared" ref="BM2302" si="10022">-SUMPRODUCT($M$2:$M$8,$N$2:$N$8)-SUMPRODUCT($M$10:$M$12,$N$10:$N$12)</f>
        <v>-120000</v>
      </c>
      <c r="BN2302" s="34" t="e">
        <f t="shared" ref="BN2302" si="10023">IF(BK2302&lt;&gt;BK2303,MMULT(MINVERSE(BK2302:BL2303),BM2302:BM2303)," ")</f>
        <v>#NUM!</v>
      </c>
      <c r="BO2302" s="34" t="str">
        <f t="shared" ref="BO2302" si="10024">IFERROR(IF(BN2302-VLOOKUP(BK$38,$A$2:$N$12,14,FALSE)&lt;0,BN2302-VLOOKUP(BK$38,$A$2:$N$12,14,FALSE)," ")," ")</f>
        <v xml:space="preserve"> </v>
      </c>
      <c r="BP2302" s="34" t="str">
        <f t="shared" ref="BP2302" si="10025">IFERROR(IF(BN2302-VLOOKUP(BK$38,$A$2:$N$12,14,FALSE)&gt;0,BN2302-VLOOKUP(BK$38,$A$2:$N$12,14,FALSE)," ")," ")</f>
        <v xml:space="preserve"> </v>
      </c>
      <c r="BQ2302" s="34">
        <f t="shared" ref="BQ2302" si="10026">$M$10</f>
        <v>0</v>
      </c>
      <c r="BR2302" s="34">
        <v>-1</v>
      </c>
      <c r="BS2302" s="34">
        <f t="shared" ref="BS2302" si="10027">-SUMPRODUCT($M$2:$M$9,$N$2:$N$9)-SUMPRODUCT($M$11:$M$12,$N$11:$N$12)</f>
        <v>-120000</v>
      </c>
      <c r="BT2302" s="34" t="e">
        <f t="shared" ref="BT2302" si="10028">IF(BQ2302&lt;&gt;BQ2303,MMULT(MINVERSE(BQ2302:BR2303),BS2302:BS2303)," ")</f>
        <v>#NUM!</v>
      </c>
      <c r="BU2302" s="34" t="str">
        <f t="shared" ref="BU2302" si="10029">IFERROR(IF(BT2302-VLOOKUP(BQ$38,$A$2:$N$12,14,FALSE)&lt;0,BT2302-VLOOKUP(BQ$38,$A$2:$N$12,14,FALSE)," ")," ")</f>
        <v xml:space="preserve"> </v>
      </c>
      <c r="BV2302" s="34" t="str">
        <f t="shared" ref="BV2302" si="10030">IFERROR(IF(BT2302-VLOOKUP(BQ$38,$A$2:$N$12,14,FALSE)&gt;0,BT2302-VLOOKUP(BQ$38,$A$2:$N$12,14,FALSE)," ")," ")</f>
        <v xml:space="preserve"> </v>
      </c>
      <c r="BW2302" s="34">
        <f t="shared" ref="BW2302" si="10031">$M$11</f>
        <v>0</v>
      </c>
      <c r="BX2302" s="34">
        <v>-1</v>
      </c>
      <c r="BY2302" s="34">
        <f t="shared" ref="BY2302" si="10032">-SUMPRODUCT($M$2:$M$10,$N$2:$N$10)-SUMPRODUCT($M$12,$N$12)</f>
        <v>-120000</v>
      </c>
      <c r="BZ2302" s="34" t="e">
        <f t="shared" ref="BZ2302" si="10033">IF(BW2302&lt;&gt;BW2303,MMULT(MINVERSE(BW2302:BX2303),BY2302:BY2303)," ")</f>
        <v>#NUM!</v>
      </c>
      <c r="CA2302" s="34" t="str">
        <f t="shared" ref="CA2302" si="10034">IFERROR(IF(BZ2302-VLOOKUP(BW$38,$A$2:$N$12,14,FALSE)&lt;0,BZ2302-VLOOKUP(BW$38,$A$2:$N$12,14,FALSE)," ")," ")</f>
        <v xml:space="preserve"> </v>
      </c>
      <c r="CB2302" s="34" t="str">
        <f t="shared" ref="CB2302" si="10035">IFERROR(IF(BZ2302-VLOOKUP(BW$38,$A$2:$N$12,14,FALSE)&gt;0,BZ2302-VLOOKUP(BW$38,$A$2:$N$12,14,FALSE)," ")," ")</f>
        <v xml:space="preserve"> </v>
      </c>
      <c r="CC2302" s="34">
        <f t="shared" ref="CC2302" si="10036">$M$12</f>
        <v>0</v>
      </c>
      <c r="CD2302" s="34">
        <v>-1</v>
      </c>
      <c r="CE2302" s="34">
        <f t="shared" ref="CE2302" si="10037">-SUMPRODUCT($M$2:$M$11,$N$2:$N$11)</f>
        <v>-120000</v>
      </c>
      <c r="CF2302" s="34" t="e">
        <f t="shared" ref="CF2302" si="10038">IF(CC2302&lt;&gt;CC2303,MMULT(MINVERSE(CC2302:CD2303),CE2302:CE2303)," ")</f>
        <v>#NUM!</v>
      </c>
      <c r="CG2302" s="34" t="str">
        <f t="shared" ref="CG2302" si="10039">IFERROR(IF(CF2302-VLOOKUP(CC$38,$A$2:$N$12,14,FALSE)&lt;0,CF2302-VLOOKUP(CC$38,$A$2:$N$12,14,FALSE)," ")," ")</f>
        <v xml:space="preserve"> </v>
      </c>
      <c r="CH2302" s="34" t="str">
        <f t="shared" ref="CH2302" si="10040">IFERROR(IF(CF2302-VLOOKUP(CC$38,$A$2:$N$12,14,FALSE)&gt;0,CF2302-VLOOKUP(CC$38,$A$2:$N$12,14,FALSE)," ")," ")</f>
        <v xml:space="preserve"> </v>
      </c>
      <c r="CI2302" s="8"/>
    </row>
    <row r="2303" spans="1:87" x14ac:dyDescent="0.2">
      <c r="A2303" s="8" t="str">
        <f>IF(AND(COUNTIF(W$3:W$13,A$16)&gt;0,A$16&lt;&gt;B2070),A$16,IFERROR(IF(MATCH(A$16,Z$3:Z$13,0)=11,A$16," ")," "))</f>
        <v xml:space="preserve"> </v>
      </c>
      <c r="B2303" s="8" t="str">
        <f>IF(A2303=" "," ",MAX(B2302:B2302)+1)</f>
        <v xml:space="preserve"> </v>
      </c>
      <c r="C2303" s="8" t="str">
        <f>IFERROR(INDEX(A2302:A2323,MATCH(SMALL(B2302:B2323,2),B2302:B2323,0),1)," ")</f>
        <v>C4</v>
      </c>
      <c r="D2303" s="8">
        <f t="shared" ref="D2303:D2312" si="10041">IFERROR(VLOOKUP($C2303,$A$15:$O$36,2,FALSE)," ")</f>
        <v>1</v>
      </c>
      <c r="E2303" s="8">
        <f t="shared" ref="E2303:E2312" si="10042">IFERROR(VLOOKUP($C2303,$A$15:$O$36,3,FALSE)," ")</f>
        <v>0</v>
      </c>
      <c r="F2303" s="8">
        <f t="shared" ref="F2303:F2312" si="10043">IFERROR(VLOOKUP($C2303,$A$15:$O$36,4,FALSE)," ")</f>
        <v>1</v>
      </c>
      <c r="G2303" s="8">
        <f t="shared" ref="G2303:G2312" si="10044">IFERROR(VLOOKUP($C2303,$A$15:$O$36,5,FALSE)," ")</f>
        <v>0</v>
      </c>
      <c r="H2303" s="8">
        <f t="shared" ref="H2303:H2312" si="10045">IFERROR(VLOOKUP($C2303,$A$15:$O$36,6,FALSE)," ")</f>
        <v>0</v>
      </c>
      <c r="I2303" s="8">
        <f t="shared" ref="I2303:I2312" si="10046">IFERROR(VLOOKUP($C2303,$A$15:$O$36,7,FALSE)," ")</f>
        <v>0</v>
      </c>
      <c r="J2303" s="8">
        <f t="shared" ref="J2303:J2312" si="10047">IFERROR(VLOOKUP($C2303,$A$15:$O$36,8,FALSE)," ")</f>
        <v>0</v>
      </c>
      <c r="K2303" s="8">
        <f t="shared" ref="K2303:K2312" si="10048">IFERROR(VLOOKUP($C2303,$A$15:$O$36,9,FALSE)," ")</f>
        <v>0</v>
      </c>
      <c r="L2303" s="8">
        <f t="shared" ref="L2303:L2312" si="10049">IFERROR(VLOOKUP($C2303,$A$15:$O$36,10,FALSE)," ")</f>
        <v>0</v>
      </c>
      <c r="M2303" s="8">
        <f t="shared" ref="M2303:M2312" si="10050">IFERROR(VLOOKUP($C2303,$A$15:$O$36,11,FALSE)," ")</f>
        <v>0</v>
      </c>
      <c r="N2303" s="8">
        <f t="shared" ref="N2303:N2312" si="10051">IFERROR(VLOOKUP($C2303,$A$15:$O$36,12,FALSE)," ")</f>
        <v>0</v>
      </c>
      <c r="O2303" s="8">
        <f t="shared" ref="O2303:O2312" si="10052">IFERROR(VLOOKUP($C2303,$A$15:$O$36,15,FALSE)," ")</f>
        <v>400</v>
      </c>
      <c r="P2303" s="8" t="e">
        <v>#NUM!</v>
      </c>
      <c r="Q2303" s="8" t="e">
        <f t="shared" ref="Q2303" si="10053">IF(COUNTIF(P2302:P2312,"&lt;"&amp;-0.001)=0,IF(ABS(P2303)&lt;0.001,0,P2303)," ")</f>
        <v>#NUM!</v>
      </c>
      <c r="R2303" s="8"/>
      <c r="S2303" s="8"/>
      <c r="U2303" s="34" t="e">
        <f t="shared" ref="U2303" si="10054">$Q2302</f>
        <v>#NUM!</v>
      </c>
      <c r="V2303" s="34">
        <v>-1</v>
      </c>
      <c r="W2303" s="34" t="e">
        <f t="shared" ref="W2303" si="10055">-SUMPRODUCT($Q2303:$Q2312,$N$3:$N$12)</f>
        <v>#NUM!</v>
      </c>
      <c r="X2303" s="34"/>
      <c r="Y2303" s="34"/>
      <c r="Z2303" s="34"/>
      <c r="AA2303" s="34" t="e">
        <f t="shared" ref="AA2303" si="10056">$Q2303</f>
        <v>#NUM!</v>
      </c>
      <c r="AB2303" s="34">
        <v>-1</v>
      </c>
      <c r="AC2303" s="34" t="e">
        <f t="shared" ref="AC2303" si="10057">-SUMPRODUCT($Q2302:$Q2302,$N$2:$N$2)-SUMPRODUCT($Q2304:$Q2312,$N$4:$N$12)</f>
        <v>#NUM!</v>
      </c>
      <c r="AD2303" s="34"/>
      <c r="AE2303" s="34"/>
      <c r="AF2303" s="34"/>
      <c r="AG2303" s="34" t="e">
        <f t="shared" ref="AG2303" si="10058">$Q2304</f>
        <v>#NUM!</v>
      </c>
      <c r="AH2303" s="34">
        <v>-1</v>
      </c>
      <c r="AI2303" s="34" t="e">
        <f t="shared" ref="AI2303" si="10059">-SUMPRODUCT($Q2302:$Q2303,$N$2:$N$3)-SUMPRODUCT($Q2305:$Q2312,$N$5:$N$12)</f>
        <v>#NUM!</v>
      </c>
      <c r="AJ2303" s="34"/>
      <c r="AK2303" s="34"/>
      <c r="AL2303" s="34"/>
      <c r="AM2303" s="34" t="e">
        <f t="shared" ref="AM2303" si="10060">$Q2305</f>
        <v>#NUM!</v>
      </c>
      <c r="AN2303" s="34">
        <v>-1</v>
      </c>
      <c r="AO2303" s="34" t="e">
        <f t="shared" ref="AO2303" si="10061">-SUMPRODUCT($Q2302:$Q2304,$N$2:$N$4)-SUMPRODUCT($Q2306:$Q2312,$N$6:$N$12)</f>
        <v>#NUM!</v>
      </c>
      <c r="AP2303" s="34"/>
      <c r="AQ2303" s="34"/>
      <c r="AR2303" s="34"/>
      <c r="AS2303" s="34" t="e">
        <f t="shared" ref="AS2303" si="10062">$Q2306</f>
        <v>#NUM!</v>
      </c>
      <c r="AT2303" s="34">
        <v>-1</v>
      </c>
      <c r="AU2303" s="34" t="e">
        <f t="shared" ref="AU2303" si="10063">-SUMPRODUCT($Q2302:$Q2305,$N$2:$N$5)-SUMPRODUCT($Q2307:$Q2312,$N$7:$N$12)</f>
        <v>#NUM!</v>
      </c>
      <c r="AV2303" s="34"/>
      <c r="AW2303" s="34"/>
      <c r="AX2303" s="34"/>
      <c r="AY2303" s="34" t="e">
        <f t="shared" ref="AY2303" si="10064">$Q2307</f>
        <v>#NUM!</v>
      </c>
      <c r="AZ2303" s="34">
        <v>-1</v>
      </c>
      <c r="BA2303" s="34" t="e">
        <f t="shared" ref="BA2303" si="10065">-SUMPRODUCT($Q2302:$Q2306,$N$2:$N$6)-SUMPRODUCT($Q2308:$Q2312,$N$8:$N$12)</f>
        <v>#NUM!</v>
      </c>
      <c r="BB2303" s="34"/>
      <c r="BC2303" s="34"/>
      <c r="BD2303" s="34"/>
      <c r="BE2303" s="34" t="e">
        <f t="shared" ref="BE2303" si="10066">$Q2308</f>
        <v>#NUM!</v>
      </c>
      <c r="BF2303" s="34">
        <v>-1</v>
      </c>
      <c r="BG2303" s="34" t="e">
        <f t="shared" ref="BG2303" si="10067">-SUMPRODUCT($Q2302:$Q2307,$N$2:$N$7)-SUMPRODUCT($Q2309:$Q2312,$N$9:$N$12)</f>
        <v>#NUM!</v>
      </c>
      <c r="BH2303" s="34"/>
      <c r="BI2303" s="34"/>
      <c r="BJ2303" s="34"/>
      <c r="BK2303" s="34" t="e">
        <f t="shared" ref="BK2303" si="10068">$Q2309</f>
        <v>#NUM!</v>
      </c>
      <c r="BL2303" s="34">
        <v>-1</v>
      </c>
      <c r="BM2303" s="34" t="e">
        <f t="shared" ref="BM2303" si="10069">-SUMPRODUCT($Q2302:$Q2308,$N$2:$N$8)-SUMPRODUCT($Q2310:$Q2312,$N$10:$N$12)</f>
        <v>#NUM!</v>
      </c>
      <c r="BN2303" s="34"/>
      <c r="BO2303" s="34"/>
      <c r="BP2303" s="34"/>
      <c r="BQ2303" s="34" t="e">
        <f t="shared" ref="BQ2303" si="10070">$Q2310</f>
        <v>#NUM!</v>
      </c>
      <c r="BR2303" s="34">
        <v>-1</v>
      </c>
      <c r="BS2303" s="34" t="e">
        <f t="shared" ref="BS2303" si="10071">-SUMPRODUCT($Q2302:$Q2309,$N$2:$N$9)-SUMPRODUCT($Q2311:$Q2312,$N$11:$N$12)</f>
        <v>#NUM!</v>
      </c>
      <c r="BT2303" s="34"/>
      <c r="BU2303" s="34"/>
      <c r="BV2303" s="34"/>
      <c r="BW2303" s="34" t="e">
        <f t="shared" ref="BW2303" si="10072">$Q2311</f>
        <v>#NUM!</v>
      </c>
      <c r="BX2303" s="34">
        <v>-1</v>
      </c>
      <c r="BY2303" s="34" t="e">
        <f t="shared" ref="BY2303" si="10073">-SUMPRODUCT($Q2302:$Q2310,$N$2:$N$10)-SUMPRODUCT($Q2312,$N$12)</f>
        <v>#NUM!</v>
      </c>
      <c r="BZ2303" s="34"/>
      <c r="CA2303" s="34"/>
      <c r="CB2303" s="34"/>
      <c r="CC2303" s="34" t="e">
        <f t="shared" ref="CC2303" si="10074">$Q2312</f>
        <v>#NUM!</v>
      </c>
      <c r="CD2303" s="34">
        <v>-1</v>
      </c>
      <c r="CE2303" s="34" t="e">
        <f t="shared" ref="CE2303" si="10075">-SUMPRODUCT($Q2302:$Q2311,$N$2:$N$11)</f>
        <v>#NUM!</v>
      </c>
      <c r="CF2303" s="34"/>
      <c r="CG2303" s="34"/>
      <c r="CH2303" s="34"/>
      <c r="CI2303" s="8"/>
    </row>
    <row r="2304" spans="1:87" x14ac:dyDescent="0.2">
      <c r="A2304" s="8" t="str">
        <f>IF(AND(COUNTIF(W$3:W$13,A$17)&gt;0,A$17&lt;&gt;B2070),A$17,IFERROR(IF(MATCH(A$17,Z$3:Z$13,0)=11,A$17," ")," "))</f>
        <v>C3</v>
      </c>
      <c r="B2304" s="8">
        <f>IF(A2304=" "," ",MAX(B2302:B2303)+1)</f>
        <v>1</v>
      </c>
      <c r="C2304" s="8" t="str">
        <f>IFERROR(INDEX(A2302:A2323,MATCH(SMALL(B2302:B2323,3),B2302:B2323,0),1)," ")</f>
        <v>C13</v>
      </c>
      <c r="D2304" s="8">
        <f t="shared" si="10041"/>
        <v>0</v>
      </c>
      <c r="E2304" s="8">
        <f t="shared" si="10042"/>
        <v>1</v>
      </c>
      <c r="F2304" s="8">
        <f t="shared" si="10043"/>
        <v>0</v>
      </c>
      <c r="G2304" s="8">
        <f t="shared" si="10044"/>
        <v>0</v>
      </c>
      <c r="H2304" s="8">
        <f t="shared" si="10045"/>
        <v>0</v>
      </c>
      <c r="I2304" s="8">
        <f t="shared" si="10046"/>
        <v>0</v>
      </c>
      <c r="J2304" s="8">
        <f t="shared" si="10047"/>
        <v>0</v>
      </c>
      <c r="K2304" s="8">
        <f t="shared" si="10048"/>
        <v>0</v>
      </c>
      <c r="L2304" s="8">
        <f t="shared" si="10049"/>
        <v>0</v>
      </c>
      <c r="M2304" s="8">
        <f t="shared" si="10050"/>
        <v>0</v>
      </c>
      <c r="N2304" s="8">
        <f t="shared" si="10051"/>
        <v>0</v>
      </c>
      <c r="O2304" s="8">
        <f t="shared" si="10052"/>
        <v>0</v>
      </c>
      <c r="P2304" s="8" t="e">
        <v>#NUM!</v>
      </c>
      <c r="Q2304" s="8" t="e">
        <f t="shared" ref="Q2304" si="10076">IF(COUNTIF(P2302:P2312,"&lt;"&amp;-0.001)=0,IF(ABS(P2304)&lt;0.001,0,P2304)," ")</f>
        <v>#NUM!</v>
      </c>
      <c r="R2304" s="8"/>
      <c r="S2304" s="8"/>
      <c r="U2304" s="34"/>
      <c r="V2304" s="34"/>
      <c r="W2304" s="34"/>
      <c r="X2304" s="34"/>
      <c r="Y2304" s="34"/>
      <c r="Z2304" s="34"/>
      <c r="AA2304" s="34"/>
      <c r="AB2304" s="34"/>
      <c r="AC2304" s="34"/>
      <c r="AD2304" s="34"/>
      <c r="AE2304" s="34"/>
      <c r="AF2304" s="34"/>
      <c r="AG2304" s="34"/>
      <c r="AH2304" s="34"/>
      <c r="AI2304" s="34"/>
      <c r="AJ2304" s="34"/>
      <c r="AK2304" s="34"/>
      <c r="AL2304" s="34"/>
      <c r="AM2304" s="34"/>
      <c r="AN2304" s="34"/>
      <c r="AO2304" s="34"/>
      <c r="AP2304" s="34"/>
      <c r="AQ2304" s="34"/>
      <c r="AR2304" s="34"/>
      <c r="AS2304" s="34"/>
      <c r="AT2304" s="34"/>
      <c r="AU2304" s="34"/>
      <c r="AV2304" s="34"/>
      <c r="AW2304" s="34"/>
      <c r="AX2304" s="34"/>
      <c r="AY2304" s="34"/>
      <c r="AZ2304" s="34"/>
      <c r="BA2304" s="34"/>
      <c r="BB2304" s="34"/>
      <c r="BC2304" s="34"/>
      <c r="BD2304" s="34"/>
      <c r="BE2304" s="34"/>
      <c r="BF2304" s="34"/>
      <c r="BG2304" s="34"/>
      <c r="BH2304" s="34"/>
      <c r="BI2304" s="34"/>
      <c r="BJ2304" s="34"/>
      <c r="BK2304" s="34"/>
      <c r="BL2304" s="34"/>
      <c r="BM2304" s="34"/>
      <c r="BN2304" s="34"/>
      <c r="BO2304" s="34"/>
      <c r="BP2304" s="34"/>
      <c r="BQ2304" s="34"/>
      <c r="BR2304" s="34"/>
      <c r="BS2304" s="34"/>
      <c r="BT2304" s="34"/>
      <c r="BU2304" s="34"/>
      <c r="BV2304" s="34"/>
      <c r="BW2304" s="34"/>
      <c r="BX2304" s="34"/>
      <c r="BY2304" s="34"/>
      <c r="BZ2304" s="34"/>
      <c r="CA2304" s="34"/>
      <c r="CB2304" s="34"/>
      <c r="CC2304" s="34"/>
      <c r="CD2304" s="34"/>
      <c r="CE2304" s="34"/>
      <c r="CF2304" s="34"/>
      <c r="CG2304" s="34"/>
      <c r="CH2304" s="34"/>
      <c r="CI2304" s="8"/>
    </row>
    <row r="2305" spans="1:87" x14ac:dyDescent="0.2">
      <c r="A2305" s="8" t="str">
        <f>IF(AND(COUNTIF(W$3:W$13,A$18)&gt;0,A$18&lt;&gt;B2070),A$18,IFERROR(IF(MATCH(A$18,Z$3:Z$13,0)=11,A$18," ")," "))</f>
        <v>C4</v>
      </c>
      <c r="B2305" s="8">
        <f>IF(A2305=" "," ",MAX(B2302:B2304)+1)</f>
        <v>2</v>
      </c>
      <c r="C2305" s="8" t="str">
        <f>IFERROR(INDEX(A2302:A2323,MATCH(SMALL(B2302:B2323,4),B2302:B2323,0),1)," ")</f>
        <v>C14</v>
      </c>
      <c r="D2305" s="8">
        <f t="shared" si="10041"/>
        <v>0</v>
      </c>
      <c r="E2305" s="8">
        <f t="shared" si="10042"/>
        <v>0</v>
      </c>
      <c r="F2305" s="8">
        <f t="shared" si="10043"/>
        <v>1</v>
      </c>
      <c r="G2305" s="8">
        <f t="shared" si="10044"/>
        <v>0</v>
      </c>
      <c r="H2305" s="8">
        <f t="shared" si="10045"/>
        <v>0</v>
      </c>
      <c r="I2305" s="8">
        <f t="shared" si="10046"/>
        <v>0</v>
      </c>
      <c r="J2305" s="8">
        <f t="shared" si="10047"/>
        <v>0</v>
      </c>
      <c r="K2305" s="8">
        <f t="shared" si="10048"/>
        <v>0</v>
      </c>
      <c r="L2305" s="8">
        <f t="shared" si="10049"/>
        <v>0</v>
      </c>
      <c r="M2305" s="8">
        <f t="shared" si="10050"/>
        <v>0</v>
      </c>
      <c r="N2305" s="8">
        <f t="shared" si="10051"/>
        <v>0</v>
      </c>
      <c r="O2305" s="8">
        <f t="shared" si="10052"/>
        <v>0</v>
      </c>
      <c r="P2305" s="8" t="e">
        <v>#NUM!</v>
      </c>
      <c r="Q2305" s="8" t="e">
        <f t="shared" ref="Q2305" si="10077">IF(COUNTIF(P2302:P2312,"&lt;"&amp;-0.001)=0,IF(ABS(P2305)&lt;0.001,0,P2305)," ")</f>
        <v>#NUM!</v>
      </c>
      <c r="R2305" s="8"/>
      <c r="S2305" s="8"/>
      <c r="U2305" s="34"/>
      <c r="V2305" s="34"/>
      <c r="W2305" s="34"/>
      <c r="X2305" s="34"/>
      <c r="Y2305" s="34"/>
      <c r="Z2305" s="34"/>
      <c r="AA2305" s="34"/>
      <c r="AB2305" s="34"/>
      <c r="AC2305" s="34"/>
      <c r="AD2305" s="34"/>
      <c r="AE2305" s="34"/>
      <c r="AF2305" s="34"/>
      <c r="AG2305" s="34"/>
      <c r="AH2305" s="34"/>
      <c r="AI2305" s="34"/>
      <c r="AJ2305" s="34"/>
      <c r="AK2305" s="34"/>
      <c r="AL2305" s="34"/>
      <c r="AM2305" s="34"/>
      <c r="AN2305" s="34"/>
      <c r="AO2305" s="34"/>
      <c r="AP2305" s="34"/>
      <c r="AQ2305" s="34"/>
      <c r="AR2305" s="34"/>
      <c r="AS2305" s="34"/>
      <c r="AT2305" s="34"/>
      <c r="AU2305" s="34"/>
      <c r="AV2305" s="34"/>
      <c r="AW2305" s="34"/>
      <c r="AX2305" s="34"/>
      <c r="AY2305" s="34"/>
      <c r="AZ2305" s="34"/>
      <c r="BA2305" s="34"/>
      <c r="BB2305" s="34"/>
      <c r="BC2305" s="34"/>
      <c r="BD2305" s="34"/>
      <c r="BE2305" s="34"/>
      <c r="BF2305" s="34"/>
      <c r="BG2305" s="34"/>
      <c r="BH2305" s="34"/>
      <c r="BI2305" s="34"/>
      <c r="BJ2305" s="34"/>
      <c r="BK2305" s="34"/>
      <c r="BL2305" s="34"/>
      <c r="BM2305" s="34"/>
      <c r="BN2305" s="34"/>
      <c r="BO2305" s="34"/>
      <c r="BP2305" s="34"/>
      <c r="BQ2305" s="34"/>
      <c r="BR2305" s="34"/>
      <c r="BS2305" s="34"/>
      <c r="BT2305" s="34"/>
      <c r="BU2305" s="34"/>
      <c r="BV2305" s="34"/>
      <c r="BW2305" s="34"/>
      <c r="BX2305" s="34"/>
      <c r="BY2305" s="34"/>
      <c r="BZ2305" s="34"/>
      <c r="CA2305" s="34"/>
      <c r="CB2305" s="34"/>
      <c r="CC2305" s="34"/>
      <c r="CD2305" s="34"/>
      <c r="CE2305" s="34"/>
      <c r="CF2305" s="34"/>
      <c r="CG2305" s="34"/>
      <c r="CH2305" s="34"/>
      <c r="CI2305" s="8"/>
    </row>
    <row r="2306" spans="1:87" x14ac:dyDescent="0.2">
      <c r="A2306" s="8" t="str">
        <f>IF(AND(COUNTIF(W$3:W$13,A$19)&gt;0,A$19&lt;&gt;B2070),A$19,IFERROR(IF(MATCH(A$19,Z$3:Z$13,0)=11,A$19," ")," "))</f>
        <v xml:space="preserve"> </v>
      </c>
      <c r="B2306" s="8" t="str">
        <f>IF(A2306=" "," ",MAX(B2302:B2305)+1)</f>
        <v xml:space="preserve"> </v>
      </c>
      <c r="C2306" s="8" t="str">
        <f>IFERROR(INDEX(A2302:A2323,MATCH(SMALL(B2302:B2323,5),B2302:B2323,0),1)," ")</f>
        <v>C15</v>
      </c>
      <c r="D2306" s="8">
        <f t="shared" si="10041"/>
        <v>0</v>
      </c>
      <c r="E2306" s="8">
        <f t="shared" si="10042"/>
        <v>0</v>
      </c>
      <c r="F2306" s="8">
        <f t="shared" si="10043"/>
        <v>0</v>
      </c>
      <c r="G2306" s="8">
        <f t="shared" si="10044"/>
        <v>1</v>
      </c>
      <c r="H2306" s="8">
        <f t="shared" si="10045"/>
        <v>0</v>
      </c>
      <c r="I2306" s="8">
        <f t="shared" si="10046"/>
        <v>0</v>
      </c>
      <c r="J2306" s="8">
        <f t="shared" si="10047"/>
        <v>0</v>
      </c>
      <c r="K2306" s="8">
        <f t="shared" si="10048"/>
        <v>0</v>
      </c>
      <c r="L2306" s="8">
        <f t="shared" si="10049"/>
        <v>0</v>
      </c>
      <c r="M2306" s="8">
        <f t="shared" si="10050"/>
        <v>0</v>
      </c>
      <c r="N2306" s="8">
        <f t="shared" si="10051"/>
        <v>0</v>
      </c>
      <c r="O2306" s="8">
        <f t="shared" si="10052"/>
        <v>0</v>
      </c>
      <c r="P2306" s="8" t="e">
        <v>#NUM!</v>
      </c>
      <c r="Q2306" s="8" t="e">
        <f t="shared" ref="Q2306" si="10078">IF(COUNTIF(P2302:P2312,"&lt;"&amp;-0.001)=0,IF(ABS(P2306)&lt;0.001,0,P2306)," ")</f>
        <v>#NUM!</v>
      </c>
      <c r="R2306" s="8"/>
      <c r="S2306" s="8"/>
      <c r="U2306" s="34"/>
      <c r="V2306" s="34"/>
      <c r="W2306" s="34"/>
      <c r="X2306" s="34"/>
      <c r="Y2306" s="34"/>
      <c r="Z2306" s="34"/>
      <c r="AA2306" s="34"/>
      <c r="AB2306" s="34"/>
      <c r="AC2306" s="34"/>
      <c r="AD2306" s="34"/>
      <c r="AE2306" s="34"/>
      <c r="AF2306" s="34"/>
      <c r="AG2306" s="34"/>
      <c r="AH2306" s="34"/>
      <c r="AI2306" s="34"/>
      <c r="AJ2306" s="34"/>
      <c r="AK2306" s="34"/>
      <c r="AL2306" s="34"/>
      <c r="AM2306" s="34"/>
      <c r="AN2306" s="34"/>
      <c r="AO2306" s="34"/>
      <c r="AP2306" s="34"/>
      <c r="AQ2306" s="34"/>
      <c r="AR2306" s="34"/>
      <c r="AS2306" s="34"/>
      <c r="AT2306" s="34"/>
      <c r="AU2306" s="34"/>
      <c r="AV2306" s="34"/>
      <c r="AW2306" s="34"/>
      <c r="AX2306" s="34"/>
      <c r="AY2306" s="34"/>
      <c r="AZ2306" s="34"/>
      <c r="BA2306" s="34"/>
      <c r="BB2306" s="34"/>
      <c r="BC2306" s="34"/>
      <c r="BD2306" s="34"/>
      <c r="BE2306" s="34"/>
      <c r="BF2306" s="34"/>
      <c r="BG2306" s="34"/>
      <c r="BH2306" s="34"/>
      <c r="BI2306" s="34"/>
      <c r="BJ2306" s="34"/>
      <c r="BK2306" s="34"/>
      <c r="BL2306" s="34"/>
      <c r="BM2306" s="34"/>
      <c r="BN2306" s="34"/>
      <c r="BO2306" s="34"/>
      <c r="BP2306" s="34"/>
      <c r="BQ2306" s="34"/>
      <c r="BR2306" s="34"/>
      <c r="BS2306" s="34"/>
      <c r="BT2306" s="34"/>
      <c r="BU2306" s="34"/>
      <c r="BV2306" s="34"/>
      <c r="BW2306" s="34"/>
      <c r="BX2306" s="34"/>
      <c r="BY2306" s="34"/>
      <c r="BZ2306" s="34"/>
      <c r="CA2306" s="34"/>
      <c r="CB2306" s="34"/>
      <c r="CC2306" s="34"/>
      <c r="CD2306" s="34"/>
      <c r="CE2306" s="34"/>
      <c r="CF2306" s="34"/>
      <c r="CG2306" s="34"/>
      <c r="CH2306" s="34"/>
      <c r="CI2306" s="8"/>
    </row>
    <row r="2307" spans="1:87" x14ac:dyDescent="0.2">
      <c r="A2307" s="8" t="str">
        <f>IF(AND(COUNTIF(W$3:W$13,A$20)&gt;0,A$20&lt;&gt;B2070),A$20,IFERROR(IF(MATCH(A$20,Z$3:Z$13,0)=11,A$20," ")," "))</f>
        <v xml:space="preserve"> </v>
      </c>
      <c r="B2307" s="8" t="str">
        <f>IF(A2307=" "," ",MAX(B2302:B2306)+1)</f>
        <v xml:space="preserve"> </v>
      </c>
      <c r="C2307" s="8" t="str">
        <f>IFERROR(INDEX(A2302:A2323,MATCH(SMALL(B2302:B2323,6),B2302:B2323,0),1)," ")</f>
        <v>C16</v>
      </c>
      <c r="D2307" s="8">
        <f t="shared" si="10041"/>
        <v>0</v>
      </c>
      <c r="E2307" s="8">
        <f t="shared" si="10042"/>
        <v>0</v>
      </c>
      <c r="F2307" s="8">
        <f t="shared" si="10043"/>
        <v>0</v>
      </c>
      <c r="G2307" s="8">
        <f t="shared" si="10044"/>
        <v>0</v>
      </c>
      <c r="H2307" s="8">
        <f t="shared" si="10045"/>
        <v>1</v>
      </c>
      <c r="I2307" s="8">
        <f t="shared" si="10046"/>
        <v>0</v>
      </c>
      <c r="J2307" s="8">
        <f t="shared" si="10047"/>
        <v>0</v>
      </c>
      <c r="K2307" s="8">
        <f t="shared" si="10048"/>
        <v>0</v>
      </c>
      <c r="L2307" s="8">
        <f t="shared" si="10049"/>
        <v>0</v>
      </c>
      <c r="M2307" s="8">
        <f t="shared" si="10050"/>
        <v>0</v>
      </c>
      <c r="N2307" s="8">
        <f t="shared" si="10051"/>
        <v>0</v>
      </c>
      <c r="O2307" s="8">
        <f t="shared" si="10052"/>
        <v>0</v>
      </c>
      <c r="P2307" s="8" t="e">
        <v>#NUM!</v>
      </c>
      <c r="Q2307" s="8" t="e">
        <f t="shared" ref="Q2307" si="10079">IF(COUNTIF(P2302:P2312,"&lt;"&amp;-0.001)=0,IF(ABS(P2307)&lt;0.001,0,P2307)," ")</f>
        <v>#NUM!</v>
      </c>
      <c r="R2307" s="8"/>
      <c r="S2307" s="8"/>
      <c r="U2307" s="34"/>
      <c r="V2307" s="34"/>
      <c r="W2307" s="34"/>
      <c r="X2307" s="34"/>
      <c r="Y2307" s="34"/>
      <c r="Z2307" s="34"/>
      <c r="AA2307" s="34"/>
      <c r="AB2307" s="34"/>
      <c r="AC2307" s="34"/>
      <c r="AD2307" s="34"/>
      <c r="AE2307" s="34"/>
      <c r="AF2307" s="34"/>
      <c r="AG2307" s="34"/>
      <c r="AH2307" s="34"/>
      <c r="AI2307" s="34"/>
      <c r="AJ2307" s="34"/>
      <c r="AK2307" s="34"/>
      <c r="AL2307" s="34"/>
      <c r="AM2307" s="34"/>
      <c r="AN2307" s="34"/>
      <c r="AO2307" s="34"/>
      <c r="AP2307" s="34"/>
      <c r="AQ2307" s="34"/>
      <c r="AR2307" s="34"/>
      <c r="AS2307" s="34"/>
      <c r="AT2307" s="34"/>
      <c r="AU2307" s="34"/>
      <c r="AV2307" s="34"/>
      <c r="AW2307" s="34"/>
      <c r="AX2307" s="34"/>
      <c r="AY2307" s="34"/>
      <c r="AZ2307" s="34"/>
      <c r="BA2307" s="34"/>
      <c r="BB2307" s="34"/>
      <c r="BC2307" s="34"/>
      <c r="BD2307" s="34"/>
      <c r="BE2307" s="34"/>
      <c r="BF2307" s="34"/>
      <c r="BG2307" s="34"/>
      <c r="BH2307" s="34"/>
      <c r="BI2307" s="34"/>
      <c r="BJ2307" s="34"/>
      <c r="BK2307" s="34"/>
      <c r="BL2307" s="34"/>
      <c r="BM2307" s="34"/>
      <c r="BN2307" s="34"/>
      <c r="BO2307" s="34"/>
      <c r="BP2307" s="34"/>
      <c r="BQ2307" s="34"/>
      <c r="BR2307" s="34"/>
      <c r="BS2307" s="34"/>
      <c r="BT2307" s="34"/>
      <c r="BU2307" s="34"/>
      <c r="BV2307" s="34"/>
      <c r="BW2307" s="34"/>
      <c r="BX2307" s="34"/>
      <c r="BY2307" s="34"/>
      <c r="BZ2307" s="34"/>
      <c r="CA2307" s="34"/>
      <c r="CB2307" s="34"/>
      <c r="CC2307" s="34"/>
      <c r="CD2307" s="34"/>
      <c r="CE2307" s="34"/>
      <c r="CF2307" s="34"/>
      <c r="CG2307" s="34"/>
      <c r="CH2307" s="34"/>
      <c r="CI2307" s="8"/>
    </row>
    <row r="2308" spans="1:87" x14ac:dyDescent="0.2">
      <c r="A2308" s="8" t="str">
        <f>IF(AND(COUNTIF(W$3:W$13,A$21)&gt;0,A$21&lt;&gt;B2070),A$21,IFERROR(IF(MATCH(A$21,Z$3:Z$13,0)=11,A$21," ")," "))</f>
        <v xml:space="preserve"> </v>
      </c>
      <c r="B2308" s="8" t="str">
        <f>IF(A2308=" "," ",MAX(B2302:B2307)+1)</f>
        <v xml:space="preserve"> </v>
      </c>
      <c r="C2308" s="8" t="str">
        <f>IFERROR(INDEX(A2302:A2323,MATCH(SMALL(B2302:B2323,7),B2302:B2323,0),1)," ")</f>
        <v>C17</v>
      </c>
      <c r="D2308" s="8">
        <f t="shared" si="10041"/>
        <v>0</v>
      </c>
      <c r="E2308" s="8">
        <f t="shared" si="10042"/>
        <v>0</v>
      </c>
      <c r="F2308" s="8">
        <f t="shared" si="10043"/>
        <v>0</v>
      </c>
      <c r="G2308" s="8">
        <f t="shared" si="10044"/>
        <v>0</v>
      </c>
      <c r="H2308" s="8">
        <f t="shared" si="10045"/>
        <v>0</v>
      </c>
      <c r="I2308" s="8">
        <f t="shared" si="10046"/>
        <v>1</v>
      </c>
      <c r="J2308" s="8">
        <f t="shared" si="10047"/>
        <v>0</v>
      </c>
      <c r="K2308" s="8">
        <f t="shared" si="10048"/>
        <v>0</v>
      </c>
      <c r="L2308" s="8">
        <f t="shared" si="10049"/>
        <v>0</v>
      </c>
      <c r="M2308" s="8">
        <f t="shared" si="10050"/>
        <v>0</v>
      </c>
      <c r="N2308" s="8">
        <f t="shared" si="10051"/>
        <v>0</v>
      </c>
      <c r="O2308" s="8">
        <f t="shared" si="10052"/>
        <v>0</v>
      </c>
      <c r="P2308" s="8" t="e">
        <v>#NUM!</v>
      </c>
      <c r="Q2308" s="8" t="e">
        <f t="shared" ref="Q2308" si="10080">IF(COUNTIF(P2302:P2312,"&lt;"&amp;-0.001)=0,IF(ABS(P2308)&lt;0.001,0,P2308)," ")</f>
        <v>#NUM!</v>
      </c>
      <c r="R2308" s="8"/>
      <c r="S2308" s="8"/>
      <c r="U2308" s="34"/>
      <c r="V2308" s="34"/>
      <c r="W2308" s="34"/>
      <c r="X2308" s="34"/>
      <c r="Y2308" s="34"/>
      <c r="Z2308" s="34"/>
      <c r="AA2308" s="34"/>
      <c r="AB2308" s="34"/>
      <c r="AC2308" s="34"/>
      <c r="AD2308" s="34"/>
      <c r="AE2308" s="34"/>
      <c r="AF2308" s="34"/>
      <c r="AG2308" s="34"/>
      <c r="AH2308" s="34"/>
      <c r="AI2308" s="34"/>
      <c r="AJ2308" s="34"/>
      <c r="AK2308" s="34"/>
      <c r="AL2308" s="34"/>
      <c r="AM2308" s="34"/>
      <c r="AN2308" s="34"/>
      <c r="AO2308" s="34"/>
      <c r="AP2308" s="34"/>
      <c r="AQ2308" s="34"/>
      <c r="AR2308" s="34"/>
      <c r="AS2308" s="34"/>
      <c r="AT2308" s="34"/>
      <c r="AU2308" s="34"/>
      <c r="AV2308" s="34"/>
      <c r="AW2308" s="34"/>
      <c r="AX2308" s="34"/>
      <c r="AY2308" s="34"/>
      <c r="AZ2308" s="34"/>
      <c r="BA2308" s="34"/>
      <c r="BB2308" s="34"/>
      <c r="BC2308" s="34"/>
      <c r="BD2308" s="34"/>
      <c r="BE2308" s="34"/>
      <c r="BF2308" s="34"/>
      <c r="BG2308" s="34"/>
      <c r="BH2308" s="34"/>
      <c r="BI2308" s="34"/>
      <c r="BJ2308" s="34"/>
      <c r="BK2308" s="34"/>
      <c r="BL2308" s="34"/>
      <c r="BM2308" s="34"/>
      <c r="BN2308" s="34"/>
      <c r="BO2308" s="34"/>
      <c r="BP2308" s="34"/>
      <c r="BQ2308" s="34"/>
      <c r="BR2308" s="34"/>
      <c r="BS2308" s="34"/>
      <c r="BT2308" s="34"/>
      <c r="BU2308" s="34"/>
      <c r="BV2308" s="34"/>
      <c r="BW2308" s="34"/>
      <c r="BX2308" s="34"/>
      <c r="BY2308" s="34"/>
      <c r="BZ2308" s="34"/>
      <c r="CA2308" s="34"/>
      <c r="CB2308" s="34"/>
      <c r="CC2308" s="34"/>
      <c r="CD2308" s="34"/>
      <c r="CE2308" s="34"/>
      <c r="CF2308" s="34"/>
      <c r="CG2308" s="34"/>
      <c r="CH2308" s="34"/>
      <c r="CI2308" s="8"/>
    </row>
    <row r="2309" spans="1:87" x14ac:dyDescent="0.2">
      <c r="A2309" s="8" t="str">
        <f>IF(AND(COUNTIF(W$3:W$13,A$22)&gt;0,A$22&lt;&gt;B2070),A$22,IFERROR(IF(MATCH(A$22,Z$3:Z$13,0)=11,A$22," ")," "))</f>
        <v xml:space="preserve"> </v>
      </c>
      <c r="B2309" s="8" t="str">
        <f>IF(A2309=" "," ",MAX(B2302:B2308)+1)</f>
        <v xml:space="preserve"> </v>
      </c>
      <c r="C2309" s="8" t="str">
        <f>IFERROR(INDEX(A2302:A2323,MATCH(SMALL(B2302:B2323,8),B2302:B2323,0),1)," ")</f>
        <v>C18</v>
      </c>
      <c r="D2309" s="8">
        <f t="shared" si="10041"/>
        <v>0</v>
      </c>
      <c r="E2309" s="8">
        <f t="shared" si="10042"/>
        <v>0</v>
      </c>
      <c r="F2309" s="8">
        <f t="shared" si="10043"/>
        <v>0</v>
      </c>
      <c r="G2309" s="8">
        <f t="shared" si="10044"/>
        <v>0</v>
      </c>
      <c r="H2309" s="8">
        <f t="shared" si="10045"/>
        <v>0</v>
      </c>
      <c r="I2309" s="8">
        <f t="shared" si="10046"/>
        <v>0</v>
      </c>
      <c r="J2309" s="8">
        <f t="shared" si="10047"/>
        <v>1</v>
      </c>
      <c r="K2309" s="8">
        <f t="shared" si="10048"/>
        <v>0</v>
      </c>
      <c r="L2309" s="8">
        <f t="shared" si="10049"/>
        <v>0</v>
      </c>
      <c r="M2309" s="8">
        <f t="shared" si="10050"/>
        <v>0</v>
      </c>
      <c r="N2309" s="8">
        <f t="shared" si="10051"/>
        <v>0</v>
      </c>
      <c r="O2309" s="8">
        <f t="shared" si="10052"/>
        <v>0</v>
      </c>
      <c r="P2309" s="8" t="e">
        <v>#NUM!</v>
      </c>
      <c r="Q2309" s="8" t="e">
        <f t="shared" ref="Q2309" si="10081">IF(COUNTIF(P2302:P2312,"&lt;"&amp;-0.001)=0,IF(ABS(P2309)&lt;0.001,0,P2309)," ")</f>
        <v>#NUM!</v>
      </c>
      <c r="R2309" s="8"/>
      <c r="S2309" s="8"/>
      <c r="U2309" s="34"/>
      <c r="V2309" s="34"/>
      <c r="W2309" s="34"/>
      <c r="X2309" s="34"/>
      <c r="Y2309" s="34"/>
      <c r="Z2309" s="34"/>
      <c r="AA2309" s="34"/>
      <c r="AB2309" s="34"/>
      <c r="AC2309" s="34"/>
      <c r="AD2309" s="34"/>
      <c r="AE2309" s="34"/>
      <c r="AF2309" s="34"/>
      <c r="AG2309" s="34"/>
      <c r="AH2309" s="34"/>
      <c r="AI2309" s="34"/>
      <c r="AJ2309" s="34"/>
      <c r="AK2309" s="34"/>
      <c r="AL2309" s="34"/>
      <c r="AM2309" s="34"/>
      <c r="AN2309" s="34"/>
      <c r="AO2309" s="34"/>
      <c r="AP2309" s="34"/>
      <c r="AQ2309" s="34"/>
      <c r="AR2309" s="34"/>
      <c r="AS2309" s="34"/>
      <c r="AT2309" s="34"/>
      <c r="AU2309" s="34"/>
      <c r="AV2309" s="34"/>
      <c r="AW2309" s="34"/>
      <c r="AX2309" s="34"/>
      <c r="AY2309" s="34"/>
      <c r="AZ2309" s="34"/>
      <c r="BA2309" s="34"/>
      <c r="BB2309" s="34"/>
      <c r="BC2309" s="34"/>
      <c r="BD2309" s="34"/>
      <c r="BE2309" s="34"/>
      <c r="BF2309" s="34"/>
      <c r="BG2309" s="34"/>
      <c r="BH2309" s="34"/>
      <c r="BI2309" s="34"/>
      <c r="BJ2309" s="34"/>
      <c r="BK2309" s="34"/>
      <c r="BL2309" s="34"/>
      <c r="BM2309" s="34"/>
      <c r="BN2309" s="34"/>
      <c r="BO2309" s="34"/>
      <c r="BP2309" s="34"/>
      <c r="BQ2309" s="34"/>
      <c r="BR2309" s="34"/>
      <c r="BS2309" s="34"/>
      <c r="BT2309" s="34"/>
      <c r="BU2309" s="34"/>
      <c r="BV2309" s="34"/>
      <c r="BW2309" s="34"/>
      <c r="BX2309" s="34"/>
      <c r="BY2309" s="34"/>
      <c r="BZ2309" s="34"/>
      <c r="CA2309" s="34"/>
      <c r="CB2309" s="34"/>
      <c r="CC2309" s="34"/>
      <c r="CD2309" s="34"/>
      <c r="CE2309" s="34"/>
      <c r="CF2309" s="34"/>
      <c r="CG2309" s="34"/>
      <c r="CH2309" s="34"/>
      <c r="CI2309" s="8"/>
    </row>
    <row r="2310" spans="1:87" x14ac:dyDescent="0.2">
      <c r="A2310" s="8" t="str">
        <f>IF(AND(COUNTIF(W$3:W$13,A$23)&gt;0,A$23&lt;&gt;B2070),A$23,IFERROR(IF(MATCH(A$23,Z$3:Z$13,0)=11,A$23," ")," "))</f>
        <v xml:space="preserve"> </v>
      </c>
      <c r="B2310" s="8" t="str">
        <f>IF(A2310=" "," ",MAX(B2302:B2309)+1)</f>
        <v xml:space="preserve"> </v>
      </c>
      <c r="C2310" s="8" t="str">
        <f>IFERROR(INDEX(A2302:A2323,MATCH(SMALL(B2302:B2323,9),B2302:B2323,0),1)," ")</f>
        <v>C19</v>
      </c>
      <c r="D2310" s="8">
        <f t="shared" si="10041"/>
        <v>0</v>
      </c>
      <c r="E2310" s="8">
        <f t="shared" si="10042"/>
        <v>0</v>
      </c>
      <c r="F2310" s="8">
        <f t="shared" si="10043"/>
        <v>0</v>
      </c>
      <c r="G2310" s="8">
        <f t="shared" si="10044"/>
        <v>0</v>
      </c>
      <c r="H2310" s="8">
        <f t="shared" si="10045"/>
        <v>0</v>
      </c>
      <c r="I2310" s="8">
        <f t="shared" si="10046"/>
        <v>0</v>
      </c>
      <c r="J2310" s="8">
        <f t="shared" si="10047"/>
        <v>0</v>
      </c>
      <c r="K2310" s="8">
        <f t="shared" si="10048"/>
        <v>1</v>
      </c>
      <c r="L2310" s="8">
        <f t="shared" si="10049"/>
        <v>0</v>
      </c>
      <c r="M2310" s="8">
        <f t="shared" si="10050"/>
        <v>0</v>
      </c>
      <c r="N2310" s="8">
        <f t="shared" si="10051"/>
        <v>0</v>
      </c>
      <c r="O2310" s="8">
        <f t="shared" si="10052"/>
        <v>0</v>
      </c>
      <c r="P2310" s="6" t="e">
        <v>#NUM!</v>
      </c>
      <c r="Q2310" s="8" t="e">
        <f t="shared" ref="Q2310" si="10082">IF(COUNTIF(P2302:P2312,"&lt;"&amp;-0.001)=0,IF(ABS(P2310)&lt;0.001,0,P2310)," ")</f>
        <v>#NUM!</v>
      </c>
      <c r="R2310" s="8"/>
      <c r="S2310" s="8"/>
      <c r="U2310" s="34"/>
      <c r="V2310" s="34"/>
      <c r="W2310" s="34"/>
      <c r="X2310" s="34"/>
      <c r="Y2310" s="34"/>
      <c r="Z2310" s="34"/>
      <c r="AA2310" s="34"/>
      <c r="AB2310" s="34"/>
      <c r="AC2310" s="34"/>
      <c r="AD2310" s="34"/>
      <c r="AE2310" s="34"/>
      <c r="AF2310" s="34"/>
      <c r="AG2310" s="34"/>
      <c r="AH2310" s="34"/>
      <c r="AI2310" s="34"/>
      <c r="AJ2310" s="34"/>
      <c r="AK2310" s="34"/>
      <c r="AL2310" s="34"/>
      <c r="AM2310" s="34"/>
      <c r="AN2310" s="34"/>
      <c r="AO2310" s="34"/>
      <c r="AP2310" s="34"/>
      <c r="AQ2310" s="34"/>
      <c r="AR2310" s="34"/>
      <c r="AS2310" s="34"/>
      <c r="AT2310" s="34"/>
      <c r="AU2310" s="34"/>
      <c r="AV2310" s="34"/>
      <c r="AW2310" s="34"/>
      <c r="AX2310" s="34"/>
      <c r="AY2310" s="34"/>
      <c r="AZ2310" s="34"/>
      <c r="BA2310" s="34"/>
      <c r="BB2310" s="34"/>
      <c r="BC2310" s="34"/>
      <c r="BD2310" s="34"/>
      <c r="BE2310" s="34"/>
      <c r="BF2310" s="34"/>
      <c r="BG2310" s="34"/>
      <c r="BH2310" s="34"/>
      <c r="BI2310" s="34"/>
      <c r="BJ2310" s="34"/>
      <c r="BK2310" s="34"/>
      <c r="BL2310" s="34"/>
      <c r="BM2310" s="34"/>
      <c r="BN2310" s="34"/>
      <c r="BO2310" s="34"/>
      <c r="BP2310" s="34"/>
      <c r="BQ2310" s="34"/>
      <c r="BR2310" s="34"/>
      <c r="BS2310" s="34"/>
      <c r="BT2310" s="34"/>
      <c r="BU2310" s="34"/>
      <c r="BV2310" s="34"/>
      <c r="BW2310" s="34"/>
      <c r="BX2310" s="34"/>
      <c r="BY2310" s="34"/>
      <c r="BZ2310" s="34"/>
      <c r="CA2310" s="34"/>
      <c r="CB2310" s="34"/>
      <c r="CC2310" s="34"/>
      <c r="CD2310" s="34"/>
      <c r="CE2310" s="34"/>
      <c r="CF2310" s="34"/>
      <c r="CG2310" s="34"/>
      <c r="CH2310" s="34"/>
      <c r="CI2310" s="8"/>
    </row>
    <row r="2311" spans="1:87" x14ac:dyDescent="0.2">
      <c r="A2311" s="8" t="str">
        <f>IF(AND(COUNTIF(W$3:W$13,A$24)&gt;0,A$24&lt;&gt;B2070),A$24,IFERROR(IF(MATCH(A$24,Z$3:Z$13,0)=11,A$24," ")," "))</f>
        <v xml:space="preserve"> </v>
      </c>
      <c r="B2311" s="8" t="str">
        <f>IF(A2311=" "," ",MAX(B2302:B2310)+1)</f>
        <v xml:space="preserve"> </v>
      </c>
      <c r="C2311" s="8" t="str">
        <f>IFERROR(INDEX(A2302:A2323,MATCH(SMALL(B2302:B2323,10),B2302:B2323,0),1)," ")</f>
        <v>C21</v>
      </c>
      <c r="D2311" s="8">
        <f t="shared" si="10041"/>
        <v>0</v>
      </c>
      <c r="E2311" s="8">
        <f t="shared" si="10042"/>
        <v>0</v>
      </c>
      <c r="F2311" s="8">
        <f t="shared" si="10043"/>
        <v>0</v>
      </c>
      <c r="G2311" s="8">
        <f t="shared" si="10044"/>
        <v>0</v>
      </c>
      <c r="H2311" s="8">
        <f t="shared" si="10045"/>
        <v>0</v>
      </c>
      <c r="I2311" s="8">
        <f t="shared" si="10046"/>
        <v>0</v>
      </c>
      <c r="J2311" s="8">
        <f t="shared" si="10047"/>
        <v>0</v>
      </c>
      <c r="K2311" s="8">
        <f t="shared" si="10048"/>
        <v>0</v>
      </c>
      <c r="L2311" s="8">
        <f t="shared" si="10049"/>
        <v>0</v>
      </c>
      <c r="M2311" s="8">
        <f t="shared" si="10050"/>
        <v>1</v>
      </c>
      <c r="N2311" s="8">
        <f t="shared" si="10051"/>
        <v>0</v>
      </c>
      <c r="O2311" s="8">
        <f t="shared" si="10052"/>
        <v>0</v>
      </c>
      <c r="P2311" s="8" t="e">
        <v>#NUM!</v>
      </c>
      <c r="Q2311" s="8" t="e">
        <f t="shared" ref="Q2311" si="10083">IF(COUNTIF(P2302:P2312,"&lt;"&amp;-0.001)=0,IF(ABS(P2311)&lt;0.001,0,P2311)," ")</f>
        <v>#NUM!</v>
      </c>
      <c r="R2311" s="8"/>
      <c r="S2311" s="8"/>
      <c r="U2311" s="34"/>
      <c r="V2311" s="34"/>
      <c r="W2311" s="34"/>
      <c r="X2311" s="34"/>
      <c r="Y2311" s="34"/>
      <c r="Z2311" s="34"/>
      <c r="AA2311" s="34"/>
      <c r="AB2311" s="34"/>
      <c r="AC2311" s="34"/>
      <c r="AD2311" s="34"/>
      <c r="AE2311" s="34"/>
      <c r="AF2311" s="34"/>
      <c r="AG2311" s="34"/>
      <c r="AH2311" s="34"/>
      <c r="AI2311" s="34"/>
      <c r="AJ2311" s="34"/>
      <c r="AK2311" s="34"/>
      <c r="AL2311" s="34"/>
      <c r="AM2311" s="34"/>
      <c r="AN2311" s="34"/>
      <c r="AO2311" s="34"/>
      <c r="AP2311" s="34"/>
      <c r="AQ2311" s="34"/>
      <c r="AR2311" s="34"/>
      <c r="AS2311" s="34"/>
      <c r="AT2311" s="34"/>
      <c r="AU2311" s="34"/>
      <c r="AV2311" s="34"/>
      <c r="AW2311" s="34"/>
      <c r="AX2311" s="34"/>
      <c r="AY2311" s="34"/>
      <c r="AZ2311" s="34"/>
      <c r="BA2311" s="34"/>
      <c r="BB2311" s="34"/>
      <c r="BC2311" s="34"/>
      <c r="BD2311" s="34"/>
      <c r="BE2311" s="34"/>
      <c r="BF2311" s="34"/>
      <c r="BG2311" s="34"/>
      <c r="BH2311" s="34"/>
      <c r="BI2311" s="34"/>
      <c r="BJ2311" s="34"/>
      <c r="BK2311" s="34"/>
      <c r="BL2311" s="34"/>
      <c r="BM2311" s="34"/>
      <c r="BN2311" s="34"/>
      <c r="BO2311" s="34"/>
      <c r="BP2311" s="34"/>
      <c r="BQ2311" s="34"/>
      <c r="BR2311" s="34"/>
      <c r="BS2311" s="34"/>
      <c r="BT2311" s="34"/>
      <c r="BU2311" s="34"/>
      <c r="BV2311" s="34"/>
      <c r="BW2311" s="34"/>
      <c r="BX2311" s="34"/>
      <c r="BY2311" s="34"/>
      <c r="BZ2311" s="34"/>
      <c r="CA2311" s="34"/>
      <c r="CB2311" s="34"/>
      <c r="CC2311" s="34"/>
      <c r="CD2311" s="34"/>
      <c r="CE2311" s="34"/>
      <c r="CF2311" s="34"/>
      <c r="CG2311" s="34"/>
      <c r="CH2311" s="34"/>
      <c r="CI2311" s="8"/>
    </row>
    <row r="2312" spans="1:87" x14ac:dyDescent="0.2">
      <c r="A2312" s="8" t="str">
        <f>IF(AND(COUNTIF(W$3:W$13,A$25)&gt;0,A$25&lt;&gt;B2070),A$25,IFERROR(IF(MATCH(A$25,Z$3:Z$13,0)=11,A$25," ")," "))</f>
        <v xml:space="preserve"> </v>
      </c>
      <c r="B2312" s="8" t="str">
        <f>IF(A2312=" "," ",MAX(B2302:B2311)+1)</f>
        <v xml:space="preserve"> </v>
      </c>
      <c r="C2312" s="8" t="str">
        <f>IFERROR(INDEX(A2302:A2323,MATCH(SMALL(B2302:B2323,11),B2302:B2323,0),1)," ")</f>
        <v>C22</v>
      </c>
      <c r="D2312" s="8">
        <f t="shared" si="10041"/>
        <v>0</v>
      </c>
      <c r="E2312" s="8">
        <f t="shared" si="10042"/>
        <v>0</v>
      </c>
      <c r="F2312" s="8">
        <f t="shared" si="10043"/>
        <v>0</v>
      </c>
      <c r="G2312" s="8">
        <f t="shared" si="10044"/>
        <v>0</v>
      </c>
      <c r="H2312" s="8">
        <f t="shared" si="10045"/>
        <v>0</v>
      </c>
      <c r="I2312" s="8">
        <f t="shared" si="10046"/>
        <v>0</v>
      </c>
      <c r="J2312" s="8">
        <f t="shared" si="10047"/>
        <v>0</v>
      </c>
      <c r="K2312" s="8">
        <f t="shared" si="10048"/>
        <v>0</v>
      </c>
      <c r="L2312" s="8">
        <f t="shared" si="10049"/>
        <v>0</v>
      </c>
      <c r="M2312" s="8">
        <f t="shared" si="10050"/>
        <v>0</v>
      </c>
      <c r="N2312" s="8">
        <f t="shared" si="10051"/>
        <v>1</v>
      </c>
      <c r="O2312" s="8">
        <f t="shared" si="10052"/>
        <v>0</v>
      </c>
      <c r="P2312" s="8" t="e">
        <v>#NUM!</v>
      </c>
      <c r="Q2312" s="8" t="e">
        <f t="shared" ref="Q2312" si="10084">IF(COUNTIF(P2302:P2312,"&lt;"&amp;-0.001)=0,IF(ABS(P2312)&lt;0.001,0,P2312)," ")</f>
        <v>#NUM!</v>
      </c>
      <c r="R2312" s="8"/>
      <c r="S2312" s="8"/>
      <c r="U2312" s="34"/>
      <c r="V2312" s="34"/>
      <c r="W2312" s="34"/>
      <c r="X2312" s="34"/>
      <c r="Y2312" s="34"/>
      <c r="Z2312" s="34"/>
      <c r="AA2312" s="34"/>
      <c r="AB2312" s="34"/>
      <c r="AC2312" s="34"/>
      <c r="AD2312" s="34"/>
      <c r="AE2312" s="34"/>
      <c r="AF2312" s="34"/>
      <c r="AG2312" s="34"/>
      <c r="AH2312" s="34"/>
      <c r="AI2312" s="34"/>
      <c r="AJ2312" s="34"/>
      <c r="AK2312" s="34"/>
      <c r="AL2312" s="34"/>
      <c r="AM2312" s="34"/>
      <c r="AN2312" s="34"/>
      <c r="AO2312" s="34"/>
      <c r="AP2312" s="34"/>
      <c r="AQ2312" s="34"/>
      <c r="AR2312" s="34"/>
      <c r="AS2312" s="34"/>
      <c r="AT2312" s="34"/>
      <c r="AU2312" s="34"/>
      <c r="AV2312" s="34"/>
      <c r="AW2312" s="34"/>
      <c r="AX2312" s="34"/>
      <c r="AY2312" s="34"/>
      <c r="AZ2312" s="34"/>
      <c r="BA2312" s="34"/>
      <c r="BB2312" s="34"/>
      <c r="BC2312" s="34"/>
      <c r="BD2312" s="34"/>
      <c r="BE2312" s="34"/>
      <c r="BF2312" s="34"/>
      <c r="BG2312" s="34"/>
      <c r="BH2312" s="34"/>
      <c r="BI2312" s="34"/>
      <c r="BJ2312" s="34"/>
      <c r="BK2312" s="34"/>
      <c r="BL2312" s="34"/>
      <c r="BM2312" s="34"/>
      <c r="BN2312" s="34"/>
      <c r="BO2312" s="34"/>
      <c r="BP2312" s="34"/>
      <c r="BQ2312" s="34"/>
      <c r="BR2312" s="34"/>
      <c r="BS2312" s="34"/>
      <c r="BT2312" s="34"/>
      <c r="BU2312" s="34"/>
      <c r="BV2312" s="34"/>
      <c r="BW2312" s="34"/>
      <c r="BX2312" s="34"/>
      <c r="BY2312" s="34"/>
      <c r="BZ2312" s="34"/>
      <c r="CA2312" s="34"/>
      <c r="CB2312" s="34"/>
      <c r="CC2312" s="34"/>
      <c r="CD2312" s="34"/>
      <c r="CE2312" s="34"/>
      <c r="CF2312" s="34"/>
      <c r="CG2312" s="34"/>
      <c r="CH2312" s="34"/>
      <c r="CI2312" s="8"/>
    </row>
    <row r="2313" spans="1:87" x14ac:dyDescent="0.2">
      <c r="A2313" s="8" t="str">
        <f>IF(AND(COUNTIF(W$3:W$13,A$26)&gt;0,A$26&lt;&gt;B2070),A$26,IFERROR(IF(MATCH(A$26,Z$3:Z$13,0)=11,A$26," ")," "))</f>
        <v xml:space="preserve"> </v>
      </c>
      <c r="B2313" s="8" t="str">
        <f>IF(A2313=" "," ",MAX(B2302:B2312)+1)</f>
        <v xml:space="preserve"> </v>
      </c>
      <c r="C2313" s="8"/>
      <c r="D2313" s="8"/>
      <c r="E2313" s="8"/>
      <c r="F2313" s="8"/>
      <c r="G2313" s="8"/>
      <c r="H2313" s="8"/>
      <c r="I2313" s="8"/>
      <c r="J2313" s="8"/>
      <c r="K2313" s="8"/>
      <c r="L2313" s="8"/>
      <c r="M2313" s="8"/>
      <c r="N2313" s="8"/>
      <c r="O2313" s="8"/>
      <c r="P2313" s="8"/>
      <c r="Q2313" s="8"/>
      <c r="R2313" s="8"/>
      <c r="S2313" s="8"/>
      <c r="U2313" s="34"/>
      <c r="V2313" s="34"/>
      <c r="W2313" s="34"/>
      <c r="X2313" s="34"/>
      <c r="Y2313" s="34"/>
      <c r="Z2313" s="34"/>
      <c r="AA2313" s="34"/>
      <c r="AB2313" s="34"/>
      <c r="AC2313" s="34"/>
      <c r="AD2313" s="34"/>
      <c r="AE2313" s="34"/>
      <c r="AF2313" s="34"/>
      <c r="AG2313" s="34"/>
      <c r="AH2313" s="34"/>
      <c r="AI2313" s="34"/>
      <c r="AJ2313" s="34"/>
      <c r="AK2313" s="34"/>
      <c r="AL2313" s="34"/>
      <c r="AM2313" s="34"/>
      <c r="AN2313" s="34"/>
      <c r="AO2313" s="34"/>
      <c r="AP2313" s="34"/>
      <c r="AQ2313" s="34"/>
      <c r="AR2313" s="34"/>
      <c r="AS2313" s="34"/>
      <c r="AT2313" s="34"/>
      <c r="AU2313" s="34"/>
      <c r="AV2313" s="34"/>
      <c r="AW2313" s="34"/>
      <c r="AX2313" s="34"/>
      <c r="AY2313" s="34"/>
      <c r="AZ2313" s="34"/>
      <c r="BA2313" s="34"/>
      <c r="BB2313" s="34"/>
      <c r="BC2313" s="34"/>
      <c r="BD2313" s="34"/>
      <c r="BE2313" s="34"/>
      <c r="BF2313" s="34"/>
      <c r="BG2313" s="34"/>
      <c r="BH2313" s="34"/>
      <c r="BI2313" s="34"/>
      <c r="BJ2313" s="34"/>
      <c r="BK2313" s="34"/>
      <c r="BL2313" s="34"/>
      <c r="BM2313" s="34"/>
      <c r="BN2313" s="34"/>
      <c r="BO2313" s="34"/>
      <c r="BP2313" s="34"/>
      <c r="BQ2313" s="34"/>
      <c r="BR2313" s="34"/>
      <c r="BS2313" s="34"/>
      <c r="BT2313" s="34"/>
      <c r="BU2313" s="34"/>
      <c r="BV2313" s="34"/>
      <c r="BW2313" s="34"/>
      <c r="BX2313" s="34"/>
      <c r="BY2313" s="34"/>
      <c r="BZ2313" s="34"/>
      <c r="CA2313" s="34"/>
      <c r="CB2313" s="34"/>
      <c r="CC2313" s="34"/>
      <c r="CD2313" s="34"/>
      <c r="CE2313" s="34"/>
      <c r="CF2313" s="34"/>
      <c r="CG2313" s="34"/>
      <c r="CH2313" s="34"/>
      <c r="CI2313" s="8"/>
    </row>
    <row r="2314" spans="1:87" x14ac:dyDescent="0.2">
      <c r="A2314" s="8" t="str">
        <f>IF(AND(COUNTIF(W$3:W$13,A$27)&gt;0,A$27&lt;&gt;B2070),A$27,IFERROR(IF(MATCH(A$27,Z$3:Z$13,0)=11,A$27," ")," "))</f>
        <v>C13</v>
      </c>
      <c r="B2314" s="8">
        <f>IF(A2314=" "," ",MAX(B2302:B2313)+1)</f>
        <v>3</v>
      </c>
      <c r="C2314" s="8"/>
      <c r="D2314" s="8"/>
      <c r="E2314" s="8"/>
      <c r="F2314" s="8"/>
      <c r="G2314" s="8"/>
      <c r="H2314" s="8"/>
      <c r="I2314" s="8"/>
      <c r="J2314" s="8"/>
      <c r="K2314" s="8"/>
      <c r="L2314" s="8"/>
      <c r="M2314" s="8"/>
      <c r="N2314" s="8"/>
      <c r="O2314" s="8"/>
      <c r="P2314" s="8"/>
      <c r="Q2314" s="8"/>
      <c r="R2314" s="8"/>
      <c r="S2314" s="8"/>
      <c r="U2314" s="34"/>
      <c r="V2314" s="34"/>
      <c r="W2314" s="34"/>
      <c r="X2314" s="34"/>
      <c r="Y2314" s="34"/>
      <c r="Z2314" s="34"/>
      <c r="AA2314" s="34"/>
      <c r="AB2314" s="34"/>
      <c r="AC2314" s="34"/>
      <c r="AD2314" s="34"/>
      <c r="AE2314" s="34"/>
      <c r="AF2314" s="34"/>
      <c r="AG2314" s="34"/>
      <c r="AH2314" s="34"/>
      <c r="AI2314" s="34"/>
      <c r="AJ2314" s="34"/>
      <c r="AK2314" s="34"/>
      <c r="AL2314" s="34"/>
      <c r="AM2314" s="34"/>
      <c r="AN2314" s="34"/>
      <c r="AO2314" s="34"/>
      <c r="AP2314" s="34"/>
      <c r="AQ2314" s="34"/>
      <c r="AR2314" s="34"/>
      <c r="AS2314" s="34"/>
      <c r="AT2314" s="34"/>
      <c r="AU2314" s="34"/>
      <c r="AV2314" s="34"/>
      <c r="AW2314" s="34"/>
      <c r="AX2314" s="34"/>
      <c r="AY2314" s="34"/>
      <c r="AZ2314" s="34"/>
      <c r="BA2314" s="34"/>
      <c r="BB2314" s="34"/>
      <c r="BC2314" s="34"/>
      <c r="BD2314" s="34"/>
      <c r="BE2314" s="34"/>
      <c r="BF2314" s="34"/>
      <c r="BG2314" s="34"/>
      <c r="BH2314" s="34"/>
      <c r="BI2314" s="34"/>
      <c r="BJ2314" s="34"/>
      <c r="BK2314" s="34"/>
      <c r="BL2314" s="34"/>
      <c r="BM2314" s="34"/>
      <c r="BN2314" s="34"/>
      <c r="BO2314" s="34"/>
      <c r="BP2314" s="34"/>
      <c r="BQ2314" s="34"/>
      <c r="BR2314" s="34"/>
      <c r="BS2314" s="34"/>
      <c r="BT2314" s="34"/>
      <c r="BU2314" s="34"/>
      <c r="BV2314" s="34"/>
      <c r="BW2314" s="34"/>
      <c r="BX2314" s="34"/>
      <c r="BY2314" s="34"/>
      <c r="BZ2314" s="34"/>
      <c r="CA2314" s="34"/>
      <c r="CB2314" s="34"/>
      <c r="CC2314" s="34"/>
      <c r="CD2314" s="34"/>
      <c r="CE2314" s="34"/>
      <c r="CF2314" s="34"/>
      <c r="CG2314" s="34"/>
      <c r="CH2314" s="34"/>
      <c r="CI2314" s="8"/>
    </row>
    <row r="2315" spans="1:87" x14ac:dyDescent="0.2">
      <c r="A2315" s="8" t="str">
        <f>IF(AND(COUNTIF(W$3:W$13,A$28)&gt;0,A$28&lt;&gt;B2070),A$28,IFERROR(IF(MATCH(A$28,Z$3:Z$13,0)=11,A$28," ")," "))</f>
        <v>C14</v>
      </c>
      <c r="B2315" s="8">
        <f>IF(A2315=" "," ",MAX(B2302:B2314)+1)</f>
        <v>4</v>
      </c>
      <c r="C2315" s="8"/>
      <c r="D2315" s="8"/>
      <c r="E2315" s="8"/>
      <c r="F2315" s="8"/>
      <c r="G2315" s="8"/>
      <c r="H2315" s="8"/>
      <c r="I2315" s="8"/>
      <c r="J2315" s="8"/>
      <c r="K2315" s="8"/>
      <c r="L2315" s="8"/>
      <c r="M2315" s="8"/>
      <c r="N2315" s="8"/>
      <c r="O2315" s="8"/>
      <c r="P2315" s="8"/>
      <c r="Q2315" s="8"/>
      <c r="R2315" s="8"/>
      <c r="S2315" s="8"/>
      <c r="U2315" s="34"/>
      <c r="V2315" s="34"/>
      <c r="W2315" s="34"/>
      <c r="X2315" s="34"/>
      <c r="Y2315" s="34"/>
      <c r="Z2315" s="34"/>
      <c r="AA2315" s="34"/>
      <c r="AB2315" s="34"/>
      <c r="AC2315" s="34"/>
      <c r="AD2315" s="34"/>
      <c r="AE2315" s="34"/>
      <c r="AF2315" s="34"/>
      <c r="AG2315" s="34"/>
      <c r="AH2315" s="34"/>
      <c r="AI2315" s="34"/>
      <c r="AJ2315" s="34"/>
      <c r="AK2315" s="34"/>
      <c r="AL2315" s="34"/>
      <c r="AM2315" s="34"/>
      <c r="AN2315" s="34"/>
      <c r="AO2315" s="34"/>
      <c r="AP2315" s="34"/>
      <c r="AQ2315" s="34"/>
      <c r="AR2315" s="34"/>
      <c r="AS2315" s="34"/>
      <c r="AT2315" s="34"/>
      <c r="AU2315" s="34"/>
      <c r="AV2315" s="34"/>
      <c r="AW2315" s="34"/>
      <c r="AX2315" s="34"/>
      <c r="AY2315" s="34"/>
      <c r="AZ2315" s="34"/>
      <c r="BA2315" s="34"/>
      <c r="BB2315" s="34"/>
      <c r="BC2315" s="34"/>
      <c r="BD2315" s="34"/>
      <c r="BE2315" s="34"/>
      <c r="BF2315" s="34"/>
      <c r="BG2315" s="34"/>
      <c r="BH2315" s="34"/>
      <c r="BI2315" s="34"/>
      <c r="BJ2315" s="34"/>
      <c r="BK2315" s="34"/>
      <c r="BL2315" s="34"/>
      <c r="BM2315" s="34"/>
      <c r="BN2315" s="34"/>
      <c r="BO2315" s="34"/>
      <c r="BP2315" s="34"/>
      <c r="BQ2315" s="34"/>
      <c r="BR2315" s="34"/>
      <c r="BS2315" s="34"/>
      <c r="BT2315" s="34"/>
      <c r="BU2315" s="34"/>
      <c r="BV2315" s="34"/>
      <c r="BW2315" s="34"/>
      <c r="BX2315" s="34"/>
      <c r="BY2315" s="34"/>
      <c r="BZ2315" s="34"/>
      <c r="CA2315" s="34"/>
      <c r="CB2315" s="34"/>
      <c r="CC2315" s="34"/>
      <c r="CD2315" s="34"/>
      <c r="CE2315" s="34"/>
      <c r="CF2315" s="34"/>
      <c r="CG2315" s="34"/>
      <c r="CH2315" s="34"/>
      <c r="CI2315" s="8"/>
    </row>
    <row r="2316" spans="1:87" x14ac:dyDescent="0.2">
      <c r="A2316" s="8" t="str">
        <f>IF(AND(COUNTIF(W$3:W$13,A$29)&gt;0,A$29&lt;&gt;B2070),A$29,IFERROR(IF(MATCH(A$29,Z$3:Z$13,0)=11,A$29," ")," "))</f>
        <v>C15</v>
      </c>
      <c r="B2316" s="8">
        <f>IF(A2316=" "," ",MAX(B2302:B2315)+1)</f>
        <v>5</v>
      </c>
      <c r="C2316" s="8"/>
      <c r="D2316" s="8"/>
      <c r="E2316" s="8"/>
      <c r="F2316" s="8"/>
      <c r="G2316" s="8"/>
      <c r="H2316" s="8"/>
      <c r="I2316" s="8"/>
      <c r="J2316" s="8"/>
      <c r="K2316" s="8"/>
      <c r="L2316" s="8"/>
      <c r="M2316" s="8"/>
      <c r="N2316" s="8"/>
      <c r="O2316" s="8"/>
      <c r="P2316" s="8"/>
      <c r="Q2316" s="8"/>
      <c r="R2316" s="8"/>
      <c r="S2316" s="8"/>
      <c r="U2316" s="34"/>
      <c r="V2316" s="34"/>
      <c r="W2316" s="34"/>
      <c r="X2316" s="34"/>
      <c r="Y2316" s="34"/>
      <c r="Z2316" s="34"/>
      <c r="AA2316" s="34"/>
      <c r="AB2316" s="34"/>
      <c r="AC2316" s="34"/>
      <c r="AD2316" s="34"/>
      <c r="AE2316" s="34"/>
      <c r="AF2316" s="34"/>
      <c r="AG2316" s="34"/>
      <c r="AH2316" s="34"/>
      <c r="AI2316" s="34"/>
      <c r="AJ2316" s="34"/>
      <c r="AK2316" s="34"/>
      <c r="AL2316" s="34"/>
      <c r="AM2316" s="34"/>
      <c r="AN2316" s="34"/>
      <c r="AO2316" s="34"/>
      <c r="AP2316" s="34"/>
      <c r="AQ2316" s="34"/>
      <c r="AR2316" s="34"/>
      <c r="AS2316" s="34"/>
      <c r="AT2316" s="34"/>
      <c r="AU2316" s="34"/>
      <c r="AV2316" s="34"/>
      <c r="AW2316" s="34"/>
      <c r="AX2316" s="34"/>
      <c r="AY2316" s="34"/>
      <c r="AZ2316" s="34"/>
      <c r="BA2316" s="34"/>
      <c r="BB2316" s="34"/>
      <c r="BC2316" s="34"/>
      <c r="BD2316" s="34"/>
      <c r="BE2316" s="34"/>
      <c r="BF2316" s="34"/>
      <c r="BG2316" s="34"/>
      <c r="BH2316" s="34"/>
      <c r="BI2316" s="34"/>
      <c r="BJ2316" s="34"/>
      <c r="BK2316" s="34"/>
      <c r="BL2316" s="34"/>
      <c r="BM2316" s="34"/>
      <c r="BN2316" s="34"/>
      <c r="BO2316" s="34"/>
      <c r="BP2316" s="34"/>
      <c r="BQ2316" s="34"/>
      <c r="BR2316" s="34"/>
      <c r="BS2316" s="34"/>
      <c r="BT2316" s="34"/>
      <c r="BU2316" s="34"/>
      <c r="BV2316" s="34"/>
      <c r="BW2316" s="34"/>
      <c r="BX2316" s="34"/>
      <c r="BY2316" s="34"/>
      <c r="BZ2316" s="34"/>
      <c r="CA2316" s="34"/>
      <c r="CB2316" s="34"/>
      <c r="CC2316" s="34"/>
      <c r="CD2316" s="34"/>
      <c r="CE2316" s="34"/>
      <c r="CF2316" s="34"/>
      <c r="CG2316" s="34"/>
      <c r="CH2316" s="34"/>
      <c r="CI2316" s="8"/>
    </row>
    <row r="2317" spans="1:87" x14ac:dyDescent="0.2">
      <c r="A2317" s="8" t="str">
        <f>IF(AND(COUNTIF(W$3:W$13,A$30)&gt;0,A$30&lt;&gt;B2070),A$30,IFERROR(IF(MATCH(A$30,Z$3:Z$13,0)=11,A$30," ")," "))</f>
        <v>C16</v>
      </c>
      <c r="B2317" s="8">
        <f>IF(A2317=" "," ",MAX(B2302:B2316)+1)</f>
        <v>6</v>
      </c>
      <c r="C2317" s="8"/>
      <c r="D2317" s="8"/>
      <c r="E2317" s="8"/>
      <c r="F2317" s="8"/>
      <c r="G2317" s="8"/>
      <c r="H2317" s="8"/>
      <c r="I2317" s="8"/>
      <c r="J2317" s="8"/>
      <c r="K2317" s="8"/>
      <c r="L2317" s="8"/>
      <c r="M2317" s="8"/>
      <c r="N2317" s="8"/>
      <c r="O2317" s="8"/>
      <c r="P2317" s="8"/>
      <c r="Q2317" s="8"/>
      <c r="R2317" s="8"/>
      <c r="S2317" s="8"/>
      <c r="U2317" s="34"/>
      <c r="V2317" s="34"/>
      <c r="W2317" s="34"/>
      <c r="X2317" s="34"/>
      <c r="Y2317" s="34"/>
      <c r="Z2317" s="34"/>
      <c r="AA2317" s="34"/>
      <c r="AB2317" s="34"/>
      <c r="AC2317" s="34"/>
      <c r="AD2317" s="34"/>
      <c r="AE2317" s="34"/>
      <c r="AF2317" s="34"/>
      <c r="AG2317" s="34"/>
      <c r="AH2317" s="34"/>
      <c r="AI2317" s="34"/>
      <c r="AJ2317" s="34"/>
      <c r="AK2317" s="34"/>
      <c r="AL2317" s="34"/>
      <c r="AM2317" s="34"/>
      <c r="AN2317" s="34"/>
      <c r="AO2317" s="34"/>
      <c r="AP2317" s="34"/>
      <c r="AQ2317" s="34"/>
      <c r="AR2317" s="34"/>
      <c r="AS2317" s="34"/>
      <c r="AT2317" s="34"/>
      <c r="AU2317" s="34"/>
      <c r="AV2317" s="34"/>
      <c r="AW2317" s="34"/>
      <c r="AX2317" s="34"/>
      <c r="AY2317" s="34"/>
      <c r="AZ2317" s="34"/>
      <c r="BA2317" s="34"/>
      <c r="BB2317" s="34"/>
      <c r="BC2317" s="34"/>
      <c r="BD2317" s="34"/>
      <c r="BE2317" s="34"/>
      <c r="BF2317" s="34"/>
      <c r="BG2317" s="34"/>
      <c r="BH2317" s="34"/>
      <c r="BI2317" s="34"/>
      <c r="BJ2317" s="34"/>
      <c r="BK2317" s="34"/>
      <c r="BL2317" s="34"/>
      <c r="BM2317" s="34"/>
      <c r="BN2317" s="34"/>
      <c r="BO2317" s="34"/>
      <c r="BP2317" s="34"/>
      <c r="BQ2317" s="34"/>
      <c r="BR2317" s="34"/>
      <c r="BS2317" s="34"/>
      <c r="BT2317" s="34"/>
      <c r="BU2317" s="34"/>
      <c r="BV2317" s="34"/>
      <c r="BW2317" s="34"/>
      <c r="BX2317" s="34"/>
      <c r="BY2317" s="34"/>
      <c r="BZ2317" s="34"/>
      <c r="CA2317" s="34"/>
      <c r="CB2317" s="34"/>
      <c r="CC2317" s="34"/>
      <c r="CD2317" s="34"/>
      <c r="CE2317" s="34"/>
      <c r="CF2317" s="34"/>
      <c r="CG2317" s="34"/>
      <c r="CH2317" s="34"/>
      <c r="CI2317" s="8"/>
    </row>
    <row r="2318" spans="1:87" x14ac:dyDescent="0.2">
      <c r="A2318" s="8" t="str">
        <f>IF(AND(COUNTIF(W$3:W$13,A$31)&gt;0,A$31&lt;&gt;B2070),A$31,IFERROR(IF(MATCH(A$31,Z$3:Z$13,0)=11,A$31," ")," "))</f>
        <v>C17</v>
      </c>
      <c r="B2318" s="8">
        <f>IF(A2318=" "," ",MAX(B2302:B2317)+1)</f>
        <v>7</v>
      </c>
      <c r="C2318" s="8"/>
      <c r="D2318" s="8"/>
      <c r="E2318" s="8"/>
      <c r="F2318" s="8"/>
      <c r="G2318" s="8"/>
      <c r="H2318" s="8"/>
      <c r="I2318" s="8"/>
      <c r="J2318" s="8"/>
      <c r="K2318" s="8"/>
      <c r="L2318" s="8"/>
      <c r="M2318" s="8"/>
      <c r="N2318" s="8"/>
      <c r="O2318" s="8"/>
      <c r="P2318" s="8"/>
      <c r="Q2318" s="8"/>
      <c r="R2318" s="8"/>
      <c r="S2318" s="8"/>
      <c r="U2318" s="34"/>
      <c r="V2318" s="34"/>
      <c r="W2318" s="34"/>
      <c r="X2318" s="34"/>
      <c r="Y2318" s="34"/>
      <c r="Z2318" s="34"/>
      <c r="AA2318" s="34"/>
      <c r="AB2318" s="34"/>
      <c r="AC2318" s="34"/>
      <c r="AD2318" s="34"/>
      <c r="AE2318" s="34"/>
      <c r="AF2318" s="34"/>
      <c r="AG2318" s="34"/>
      <c r="AH2318" s="34"/>
      <c r="AI2318" s="34"/>
      <c r="AJ2318" s="34"/>
      <c r="AK2318" s="34"/>
      <c r="AL2318" s="34"/>
      <c r="AM2318" s="34"/>
      <c r="AN2318" s="34"/>
      <c r="AO2318" s="34"/>
      <c r="AP2318" s="34"/>
      <c r="AQ2318" s="34"/>
      <c r="AR2318" s="34"/>
      <c r="AS2318" s="34"/>
      <c r="AT2318" s="34"/>
      <c r="AU2318" s="34"/>
      <c r="AV2318" s="34"/>
      <c r="AW2318" s="34"/>
      <c r="AX2318" s="34"/>
      <c r="AY2318" s="34"/>
      <c r="AZ2318" s="34"/>
      <c r="BA2318" s="34"/>
      <c r="BB2318" s="34"/>
      <c r="BC2318" s="34"/>
      <c r="BD2318" s="34"/>
      <c r="BE2318" s="34"/>
      <c r="BF2318" s="34"/>
      <c r="BG2318" s="34"/>
      <c r="BH2318" s="34"/>
      <c r="BI2318" s="34"/>
      <c r="BJ2318" s="34"/>
      <c r="BK2318" s="34"/>
      <c r="BL2318" s="34"/>
      <c r="BM2318" s="34"/>
      <c r="BN2318" s="34"/>
      <c r="BO2318" s="34"/>
      <c r="BP2318" s="34"/>
      <c r="BQ2318" s="34"/>
      <c r="BR2318" s="34"/>
      <c r="BS2318" s="34"/>
      <c r="BT2318" s="34"/>
      <c r="BU2318" s="34"/>
      <c r="BV2318" s="34"/>
      <c r="BW2318" s="34"/>
      <c r="BX2318" s="34"/>
      <c r="BY2318" s="34"/>
      <c r="BZ2318" s="34"/>
      <c r="CA2318" s="34"/>
      <c r="CB2318" s="34"/>
      <c r="CC2318" s="34"/>
      <c r="CD2318" s="34"/>
      <c r="CE2318" s="34"/>
      <c r="CF2318" s="34"/>
      <c r="CG2318" s="34"/>
      <c r="CH2318" s="34"/>
      <c r="CI2318" s="8"/>
    </row>
    <row r="2319" spans="1:87" x14ac:dyDescent="0.2">
      <c r="A2319" s="8" t="str">
        <f>IF(AND(COUNTIF(W$3:W$13,A$32)&gt;0,A$32&lt;&gt;B2070),A$32,IFERROR(IF(MATCH(A$32,Z$3:Z$13,0)=11,A$32," ")," "))</f>
        <v>C18</v>
      </c>
      <c r="B2319" s="8">
        <f>IF(A2319=" "," ",MAX(B2302:B2318)+1)</f>
        <v>8</v>
      </c>
      <c r="C2319" s="8"/>
      <c r="D2319" s="8"/>
      <c r="E2319" s="8"/>
      <c r="F2319" s="8"/>
      <c r="G2319" s="8"/>
      <c r="H2319" s="8"/>
      <c r="I2319" s="8"/>
      <c r="J2319" s="8"/>
      <c r="K2319" s="8"/>
      <c r="L2319" s="8"/>
      <c r="M2319" s="8"/>
      <c r="N2319" s="8"/>
      <c r="O2319" s="8"/>
      <c r="P2319" s="8"/>
      <c r="Q2319" s="8"/>
      <c r="R2319" s="8"/>
      <c r="S2319" s="8"/>
      <c r="U2319" s="34"/>
      <c r="V2319" s="34"/>
      <c r="W2319" s="34"/>
      <c r="X2319" s="34"/>
      <c r="Y2319" s="34"/>
      <c r="Z2319" s="34"/>
      <c r="AA2319" s="34"/>
      <c r="AB2319" s="34"/>
      <c r="AC2319" s="34"/>
      <c r="AD2319" s="34"/>
      <c r="AE2319" s="34"/>
      <c r="AF2319" s="34"/>
      <c r="AG2319" s="34"/>
      <c r="AH2319" s="34"/>
      <c r="AI2319" s="34"/>
      <c r="AJ2319" s="34"/>
      <c r="AK2319" s="34"/>
      <c r="AL2319" s="34"/>
      <c r="AM2319" s="34"/>
      <c r="AN2319" s="34"/>
      <c r="AO2319" s="34"/>
      <c r="AP2319" s="34"/>
      <c r="AQ2319" s="34"/>
      <c r="AR2319" s="34"/>
      <c r="AS2319" s="34"/>
      <c r="AT2319" s="34"/>
      <c r="AU2319" s="34"/>
      <c r="AV2319" s="34"/>
      <c r="AW2319" s="34"/>
      <c r="AX2319" s="34"/>
      <c r="AY2319" s="34"/>
      <c r="AZ2319" s="34"/>
      <c r="BA2319" s="34"/>
      <c r="BB2319" s="34"/>
      <c r="BC2319" s="34"/>
      <c r="BD2319" s="34"/>
      <c r="BE2319" s="34"/>
      <c r="BF2319" s="34"/>
      <c r="BG2319" s="34"/>
      <c r="BH2319" s="34"/>
      <c r="BI2319" s="34"/>
      <c r="BJ2319" s="34"/>
      <c r="BK2319" s="34"/>
      <c r="BL2319" s="34"/>
      <c r="BM2319" s="34"/>
      <c r="BN2319" s="34"/>
      <c r="BO2319" s="34"/>
      <c r="BP2319" s="34"/>
      <c r="BQ2319" s="34"/>
      <c r="BR2319" s="34"/>
      <c r="BS2319" s="34"/>
      <c r="BT2319" s="34"/>
      <c r="BU2319" s="34"/>
      <c r="BV2319" s="34"/>
      <c r="BW2319" s="34"/>
      <c r="BX2319" s="34"/>
      <c r="BY2319" s="34"/>
      <c r="BZ2319" s="34"/>
      <c r="CA2319" s="34"/>
      <c r="CB2319" s="34"/>
      <c r="CC2319" s="34"/>
      <c r="CD2319" s="34"/>
      <c r="CE2319" s="34"/>
      <c r="CF2319" s="34"/>
      <c r="CG2319" s="34"/>
      <c r="CH2319" s="34"/>
      <c r="CI2319" s="8"/>
    </row>
    <row r="2320" spans="1:87" x14ac:dyDescent="0.2">
      <c r="A2320" s="8" t="str">
        <f>IF(AND(COUNTIF(W$3:W$13,A$33)&gt;0,A$33&lt;&gt;B2070),A$33,IFERROR(IF(MATCH(A$33,Z$3:Z$13,0)=11,A$33," ")," "))</f>
        <v>C19</v>
      </c>
      <c r="B2320" s="8">
        <f>IF(A2320=" "," ",MAX(B2302:B2319)+1)</f>
        <v>9</v>
      </c>
      <c r="C2320" s="8"/>
      <c r="D2320" s="8"/>
      <c r="E2320" s="8"/>
      <c r="F2320" s="8"/>
      <c r="G2320" s="8"/>
      <c r="H2320" s="8"/>
      <c r="I2320" s="8"/>
      <c r="J2320" s="8"/>
      <c r="K2320" s="8"/>
      <c r="L2320" s="8"/>
      <c r="M2320" s="8"/>
      <c r="N2320" s="8"/>
      <c r="O2320" s="8"/>
      <c r="P2320" s="8"/>
      <c r="Q2320" s="8"/>
      <c r="R2320" s="8"/>
      <c r="S2320" s="8"/>
      <c r="U2320" s="34"/>
      <c r="V2320" s="34"/>
      <c r="W2320" s="34"/>
      <c r="X2320" s="34"/>
      <c r="Y2320" s="34"/>
      <c r="Z2320" s="34"/>
      <c r="AA2320" s="34"/>
      <c r="AB2320" s="34"/>
      <c r="AC2320" s="34"/>
      <c r="AD2320" s="34"/>
      <c r="AE2320" s="34"/>
      <c r="AF2320" s="34"/>
      <c r="AG2320" s="34"/>
      <c r="AH2320" s="34"/>
      <c r="AI2320" s="34"/>
      <c r="AJ2320" s="34"/>
      <c r="AK2320" s="34"/>
      <c r="AL2320" s="34"/>
      <c r="AM2320" s="34"/>
      <c r="AN2320" s="34"/>
      <c r="AO2320" s="34"/>
      <c r="AP2320" s="34"/>
      <c r="AQ2320" s="34"/>
      <c r="AR2320" s="34"/>
      <c r="AS2320" s="34"/>
      <c r="AT2320" s="34"/>
      <c r="AU2320" s="34"/>
      <c r="AV2320" s="34"/>
      <c r="AW2320" s="34"/>
      <c r="AX2320" s="34"/>
      <c r="AY2320" s="34"/>
      <c r="AZ2320" s="34"/>
      <c r="BA2320" s="34"/>
      <c r="BB2320" s="34"/>
      <c r="BC2320" s="34"/>
      <c r="BD2320" s="34"/>
      <c r="BE2320" s="34"/>
      <c r="BF2320" s="34"/>
      <c r="BG2320" s="34"/>
      <c r="BH2320" s="34"/>
      <c r="BI2320" s="34"/>
      <c r="BJ2320" s="34"/>
      <c r="BK2320" s="34"/>
      <c r="BL2320" s="34"/>
      <c r="BM2320" s="34"/>
      <c r="BN2320" s="34"/>
      <c r="BO2320" s="34"/>
      <c r="BP2320" s="34"/>
      <c r="BQ2320" s="34"/>
      <c r="BR2320" s="34"/>
      <c r="BS2320" s="34"/>
      <c r="BT2320" s="34"/>
      <c r="BU2320" s="34"/>
      <c r="BV2320" s="34"/>
      <c r="BW2320" s="34"/>
      <c r="BX2320" s="34"/>
      <c r="BY2320" s="34"/>
      <c r="BZ2320" s="34"/>
      <c r="CA2320" s="34"/>
      <c r="CB2320" s="34"/>
      <c r="CC2320" s="34"/>
      <c r="CD2320" s="34"/>
      <c r="CE2320" s="34"/>
      <c r="CF2320" s="34"/>
      <c r="CG2320" s="34"/>
      <c r="CH2320" s="34"/>
      <c r="CI2320" s="8"/>
    </row>
    <row r="2321" spans="1:87" x14ac:dyDescent="0.2">
      <c r="A2321" s="8" t="str">
        <f>IF(AND(COUNTIF(W$3:W$13,A$34)&gt;0,A$34&lt;&gt;B2070),A$34,IFERROR(IF(MATCH(A$34,Z$3:Z$13,0)=11,A$34," ")," "))</f>
        <v xml:space="preserve"> </v>
      </c>
      <c r="B2321" s="8" t="str">
        <f>IF(A2321=" "," ",MAX(B2302:B2320)+1)</f>
        <v xml:space="preserve"> </v>
      </c>
      <c r="C2321" s="8"/>
      <c r="D2321" s="8"/>
      <c r="E2321" s="8"/>
      <c r="F2321" s="8"/>
      <c r="G2321" s="8"/>
      <c r="H2321" s="8"/>
      <c r="I2321" s="8"/>
      <c r="J2321" s="8"/>
      <c r="K2321" s="8"/>
      <c r="L2321" s="8"/>
      <c r="M2321" s="8"/>
      <c r="N2321" s="8"/>
      <c r="O2321" s="8"/>
      <c r="P2321" s="8"/>
      <c r="Q2321" s="8"/>
      <c r="R2321" s="8"/>
      <c r="S2321" s="8"/>
      <c r="U2321" s="34"/>
      <c r="V2321" s="34"/>
      <c r="W2321" s="34"/>
      <c r="X2321" s="34"/>
      <c r="Y2321" s="34"/>
      <c r="Z2321" s="34"/>
      <c r="AA2321" s="34"/>
      <c r="AB2321" s="34"/>
      <c r="AC2321" s="34"/>
      <c r="AD2321" s="34"/>
      <c r="AE2321" s="34"/>
      <c r="AF2321" s="34"/>
      <c r="AG2321" s="34"/>
      <c r="AH2321" s="34"/>
      <c r="AI2321" s="34"/>
      <c r="AJ2321" s="34"/>
      <c r="AK2321" s="34"/>
      <c r="AL2321" s="34"/>
      <c r="AM2321" s="34"/>
      <c r="AN2321" s="34"/>
      <c r="AO2321" s="34"/>
      <c r="AP2321" s="34"/>
      <c r="AQ2321" s="34"/>
      <c r="AR2321" s="34"/>
      <c r="AS2321" s="34"/>
      <c r="AT2321" s="34"/>
      <c r="AU2321" s="34"/>
      <c r="AV2321" s="34"/>
      <c r="AW2321" s="34"/>
      <c r="AX2321" s="34"/>
      <c r="AY2321" s="34"/>
      <c r="AZ2321" s="34"/>
      <c r="BA2321" s="34"/>
      <c r="BB2321" s="34"/>
      <c r="BC2321" s="34"/>
      <c r="BD2321" s="34"/>
      <c r="BE2321" s="34"/>
      <c r="BF2321" s="34"/>
      <c r="BG2321" s="34"/>
      <c r="BH2321" s="34"/>
      <c r="BI2321" s="34"/>
      <c r="BJ2321" s="34"/>
      <c r="BK2321" s="34"/>
      <c r="BL2321" s="34"/>
      <c r="BM2321" s="34"/>
      <c r="BN2321" s="34"/>
      <c r="BO2321" s="34"/>
      <c r="BP2321" s="34"/>
      <c r="BQ2321" s="34"/>
      <c r="BR2321" s="34"/>
      <c r="BS2321" s="34"/>
      <c r="BT2321" s="34"/>
      <c r="BU2321" s="34"/>
      <c r="BV2321" s="34"/>
      <c r="BW2321" s="34"/>
      <c r="BX2321" s="34"/>
      <c r="BY2321" s="34"/>
      <c r="BZ2321" s="34"/>
      <c r="CA2321" s="34"/>
      <c r="CB2321" s="34"/>
      <c r="CC2321" s="34"/>
      <c r="CD2321" s="34"/>
      <c r="CE2321" s="34"/>
      <c r="CF2321" s="34"/>
      <c r="CG2321" s="34"/>
      <c r="CH2321" s="34"/>
      <c r="CI2321" s="8"/>
    </row>
    <row r="2322" spans="1:87" x14ac:dyDescent="0.2">
      <c r="A2322" s="8" t="str">
        <f>IF(AND(COUNTIF(W$3:W$13,A$35)&gt;0,A$35&lt;&gt;B2070),A$35,IFERROR(IF(MATCH(A$35,Z$3:Z$13,0)=11,A$35," ")," "))</f>
        <v>C21</v>
      </c>
      <c r="B2322" s="8">
        <f>IF(A2322=" "," ",MAX(B2302:B2321)+1)</f>
        <v>10</v>
      </c>
      <c r="C2322" s="8"/>
      <c r="D2322" s="8"/>
      <c r="E2322" s="8"/>
      <c r="F2322" s="8"/>
      <c r="G2322" s="8"/>
      <c r="H2322" s="8"/>
      <c r="I2322" s="8"/>
      <c r="J2322" s="8"/>
      <c r="K2322" s="8"/>
      <c r="L2322" s="8"/>
      <c r="M2322" s="8"/>
      <c r="N2322" s="8"/>
      <c r="O2322" s="8"/>
      <c r="P2322" s="8"/>
      <c r="Q2322" s="8"/>
      <c r="R2322" s="8"/>
      <c r="S2322" s="8"/>
      <c r="U2322" s="34"/>
      <c r="V2322" s="34"/>
      <c r="W2322" s="34"/>
      <c r="X2322" s="34"/>
      <c r="Y2322" s="34"/>
      <c r="Z2322" s="34"/>
      <c r="AA2322" s="34"/>
      <c r="AB2322" s="34"/>
      <c r="AC2322" s="34"/>
      <c r="AD2322" s="34"/>
      <c r="AE2322" s="34"/>
      <c r="AF2322" s="34"/>
      <c r="AG2322" s="34"/>
      <c r="AH2322" s="34"/>
      <c r="AI2322" s="34"/>
      <c r="AJ2322" s="34"/>
      <c r="AK2322" s="34"/>
      <c r="AL2322" s="34"/>
      <c r="AM2322" s="34"/>
      <c r="AN2322" s="34"/>
      <c r="AO2322" s="34"/>
      <c r="AP2322" s="34"/>
      <c r="AQ2322" s="34"/>
      <c r="AR2322" s="34"/>
      <c r="AS2322" s="34"/>
      <c r="AT2322" s="34"/>
      <c r="AU2322" s="34"/>
      <c r="AV2322" s="34"/>
      <c r="AW2322" s="34"/>
      <c r="AX2322" s="34"/>
      <c r="AY2322" s="34"/>
      <c r="AZ2322" s="34"/>
      <c r="BA2322" s="34"/>
      <c r="BB2322" s="34"/>
      <c r="BC2322" s="34"/>
      <c r="BD2322" s="34"/>
      <c r="BE2322" s="34"/>
      <c r="BF2322" s="34"/>
      <c r="BG2322" s="34"/>
      <c r="BH2322" s="34"/>
      <c r="BI2322" s="34"/>
      <c r="BJ2322" s="34"/>
      <c r="BK2322" s="34"/>
      <c r="BL2322" s="34"/>
      <c r="BM2322" s="34"/>
      <c r="BN2322" s="34"/>
      <c r="BO2322" s="34"/>
      <c r="BP2322" s="34"/>
      <c r="BQ2322" s="34"/>
      <c r="BR2322" s="34"/>
      <c r="BS2322" s="34"/>
      <c r="BT2322" s="34"/>
      <c r="BU2322" s="34"/>
      <c r="BV2322" s="34"/>
      <c r="BW2322" s="34"/>
      <c r="BX2322" s="34"/>
      <c r="BY2322" s="34"/>
      <c r="BZ2322" s="34"/>
      <c r="CA2322" s="34"/>
      <c r="CB2322" s="34"/>
      <c r="CC2322" s="34"/>
      <c r="CD2322" s="34"/>
      <c r="CE2322" s="34"/>
      <c r="CF2322" s="34"/>
      <c r="CG2322" s="34"/>
      <c r="CH2322" s="34"/>
      <c r="CI2322" s="8"/>
    </row>
    <row r="2323" spans="1:87" x14ac:dyDescent="0.2">
      <c r="A2323" s="8" t="str">
        <f>IF(AND(COUNTIF(W$3:W$13,A$36)&gt;0,A$36&lt;&gt;B2070),A$36,IFERROR(IF(MATCH(A$36,Z$3:Z$13,0)=11,A$36," ")," "))</f>
        <v>C22</v>
      </c>
      <c r="B2323" s="8">
        <f>IF(A2323=" "," ",MAX(B2302:B2322)+1)</f>
        <v>11</v>
      </c>
      <c r="C2323" s="8"/>
      <c r="D2323" s="8"/>
      <c r="E2323" s="8"/>
      <c r="F2323" s="8"/>
      <c r="G2323" s="8"/>
      <c r="H2323" s="8"/>
      <c r="I2323" s="8"/>
      <c r="J2323" s="8"/>
      <c r="K2323" s="8"/>
      <c r="L2323" s="8"/>
      <c r="M2323" s="8"/>
      <c r="N2323" s="8"/>
      <c r="O2323" s="8"/>
      <c r="P2323" s="8"/>
      <c r="Q2323" s="8"/>
      <c r="R2323" s="8"/>
      <c r="S2323" s="8"/>
      <c r="U2323" s="34"/>
      <c r="V2323" s="34"/>
      <c r="W2323" s="34"/>
      <c r="X2323" s="34"/>
      <c r="Y2323" s="34"/>
      <c r="Z2323" s="34"/>
      <c r="AA2323" s="34"/>
      <c r="AB2323" s="34"/>
      <c r="AC2323" s="34"/>
      <c r="AD2323" s="34"/>
      <c r="AE2323" s="34"/>
      <c r="AF2323" s="34"/>
      <c r="AG2323" s="34"/>
      <c r="AH2323" s="34"/>
      <c r="AI2323" s="34"/>
      <c r="AJ2323" s="34"/>
      <c r="AK2323" s="34"/>
      <c r="AL2323" s="34"/>
      <c r="AM2323" s="34"/>
      <c r="AN2323" s="34"/>
      <c r="AO2323" s="34"/>
      <c r="AP2323" s="34"/>
      <c r="AQ2323" s="34"/>
      <c r="AR2323" s="34"/>
      <c r="AS2323" s="34"/>
      <c r="AT2323" s="34"/>
      <c r="AU2323" s="34"/>
      <c r="AV2323" s="34"/>
      <c r="AW2323" s="34"/>
      <c r="AX2323" s="34"/>
      <c r="AY2323" s="34"/>
      <c r="AZ2323" s="34"/>
      <c r="BA2323" s="34"/>
      <c r="BB2323" s="34"/>
      <c r="BC2323" s="34"/>
      <c r="BD2323" s="34"/>
      <c r="BE2323" s="34"/>
      <c r="BF2323" s="34"/>
      <c r="BG2323" s="34"/>
      <c r="BH2323" s="34"/>
      <c r="BI2323" s="34"/>
      <c r="BJ2323" s="34"/>
      <c r="BK2323" s="34"/>
      <c r="BL2323" s="34"/>
      <c r="BM2323" s="34"/>
      <c r="BN2323" s="34"/>
      <c r="BO2323" s="34"/>
      <c r="BP2323" s="34"/>
      <c r="BQ2323" s="34"/>
      <c r="BR2323" s="34"/>
      <c r="BS2323" s="34"/>
      <c r="BT2323" s="34"/>
      <c r="BU2323" s="34"/>
      <c r="BV2323" s="34"/>
      <c r="BW2323" s="34"/>
      <c r="BX2323" s="34"/>
      <c r="BY2323" s="34"/>
      <c r="BZ2323" s="34"/>
      <c r="CA2323" s="34"/>
      <c r="CB2323" s="34"/>
      <c r="CC2323" s="34"/>
      <c r="CD2323" s="34"/>
      <c r="CE2323" s="34"/>
      <c r="CF2323" s="34"/>
      <c r="CG2323" s="34"/>
      <c r="CH2323" s="34"/>
      <c r="CI2323" s="8"/>
    </row>
    <row r="2324" spans="1:87" s="16" customFormat="1" x14ac:dyDescent="0.2">
      <c r="A2324" s="28"/>
      <c r="B2324" s="49" t="str">
        <f>W12</f>
        <v>C21</v>
      </c>
      <c r="C2324" s="49"/>
      <c r="D2324" s="49"/>
      <c r="E2324" s="49"/>
      <c r="F2324" s="49"/>
      <c r="G2324" s="49"/>
      <c r="H2324" s="49"/>
      <c r="I2324" s="49"/>
      <c r="J2324" s="49"/>
      <c r="K2324" s="49"/>
      <c r="L2324" s="49"/>
      <c r="M2324" s="49"/>
      <c r="N2324" s="49"/>
      <c r="O2324" s="49"/>
      <c r="P2324" s="49"/>
      <c r="Q2324" s="49"/>
      <c r="R2324" s="28" t="e">
        <f>(N$2*INDEX(Q2325:R2577,MATCH(T2324,R2325:R2577,0),1)+N$3*INDEX(Q2325:R2577,MATCH(T2324,R2325:R2577,0)+1,1)+N$4*INDEX(Q2325:R2577,MATCH(T2324,R2325:R2577,0)+2,1)+N$5*INDEX(Q2325:R2577,MATCH(T2324,R2325:R2577,0)+3,1)+N$6*INDEX(Q2325:R2577,MATCH(T2324,R2325:R2577,0)+4,1)+N$7*INDEX(Q2325:R2577,MATCH(T2324,R2325:R2577,0)+5,1)+N$8*INDEX(Q2325:R2577,MATCH(T2324,R2325:R2577,0)+6,1)+N$9*INDEX(Q2325:R2577,MATCH(T2324,R2325:R2577,0)+7,1)+N$10*INDEX(Q2325:R2577,MATCH(T2324,R2325:R2577,0)+8,1)+N$11*INDEX(Q2325:R2577,MATCH(T2324,R2325:R2577,0)+9,1)+N$12*INDEX(Q2325:R2577,MATCH(T2324,R2325:R2577,0)+10,1)-N$2*INDEX(Q2325:R2577,MATCH(S2324,R2325:R2577,0),1)-N$3*INDEX(Q2325:R2577,MATCH(S2324,R2325:R2577,0)+1,1)-N$4*INDEX(Q2325:R2577,MATCH(S2324,R2325:R2577,0)+2,1)-N$5*INDEX(Q2325:R2577,MATCH(S2324,R2325:R2577,0)+3,1)-N$6*INDEX(Q2325:R2577,MATCH(S2324,R2325:R2577,0)+4,1)-N$7*INDEX(Q2325:R2577,MATCH(S2324,R2325:R2577,0)+5,1)-N$8*INDEX(Q2325:R2577,MATCH(S2324,R2325:R2577,0)+6,1)-N$9*INDEX(Q2325:R2577,MATCH(S2324,R2325:R2577,0)+7,1)-N$10*INDEX(Q2325:R2577,MATCH(S2324,R2325:R2577,0)+8,1)-N$11*INDEX(Q2325:R2577,MATCH(S2324,R2325:R2577,0)+9,1)-N$12*INDEX(Q2325:R2577,MATCH(S2324,R2325:R2577,0)+10,1))/(T2324-S2324)</f>
        <v>#N/A</v>
      </c>
      <c r="S2324" s="28" t="e">
        <f>INDEX(R2326:T2577,MATCH(MAX(S2326:S2577),S2326:S2577,0),1)</f>
        <v>#N/A</v>
      </c>
      <c r="T2324" s="20" t="e">
        <f>INDEX(R2326:T2577,MATCH(MIN(T2326:T2577),T2326:T2577,0),1)</f>
        <v>#N/A</v>
      </c>
      <c r="U2324" s="50" t="str">
        <f t="shared" ref="U2324" si="10085">A$2</f>
        <v>X1</v>
      </c>
      <c r="V2324" s="49"/>
      <c r="W2324" s="49"/>
      <c r="X2324" s="49"/>
      <c r="Y2324" s="35" t="str">
        <f t="shared" ref="Y2324" si="10086">IF(INDEX($A$15:$N$36,MATCH($B2324,$A$15:$A$36,0),14)&lt;&gt;"=",IFERROR(INDEX(X2325:Z2577,MATCH(MAX(Y2325:Y2577),Y2325:Y2577,0),1)," ")," ")</f>
        <v xml:space="preserve"> </v>
      </c>
      <c r="Z2324" s="35" t="str">
        <f t="shared" ref="Z2324" si="10087">IF(INDEX($A$15:$N$36,MATCH($B2324,$A$15:$A$36,0),14)&lt;&gt;"=",IFERROR(INDEX(X2325:Z2577,MATCH(MIN(Z2325:Z2577),Z2325:Z2577,0),1)," ")," ")</f>
        <v xml:space="preserve"> </v>
      </c>
      <c r="AA2324" s="49" t="str">
        <f t="shared" ref="AA2324" si="10088">A$3</f>
        <v>X2</v>
      </c>
      <c r="AB2324" s="49"/>
      <c r="AC2324" s="49"/>
      <c r="AD2324" s="49"/>
      <c r="AE2324" s="35" t="str">
        <f t="shared" ref="AE2324" si="10089">IF(INDEX($A$15:$N$36,MATCH($B2324,$A$15:$A$36,0),14)&lt;&gt;"=",IFERROR(INDEX(AD2325:AF2577,MATCH(MAX(AE2325:AE2577),AE2325:AE2577,0),1)," ")," ")</f>
        <v xml:space="preserve"> </v>
      </c>
      <c r="AF2324" s="35" t="str">
        <f t="shared" ref="AF2324" si="10090">IF(INDEX($A$15:$N$36,MATCH($B2324,$A$15:$A$36,0),14)&lt;&gt;"=",IFERROR(INDEX(AD2325:AF2577,MATCH(MIN(AF2325:AF2577),AF2325:AF2577,0),1)," ")," ")</f>
        <v xml:space="preserve"> </v>
      </c>
      <c r="AG2324" s="49" t="str">
        <f t="shared" ref="AG2324" si="10091">A$4</f>
        <v>X3</v>
      </c>
      <c r="AH2324" s="49"/>
      <c r="AI2324" s="49"/>
      <c r="AJ2324" s="49"/>
      <c r="AK2324" s="35" t="str">
        <f t="shared" ref="AK2324" si="10092">IF(INDEX($A$15:$N$36,MATCH($B2324,$A$15:$A$36,0),14)&lt;&gt;"=",IFERROR(INDEX(AJ2325:AL2577,MATCH(MAX(AK2325:AK2577),AK2325:AK2577,0),1)," ")," ")</f>
        <v xml:space="preserve"> </v>
      </c>
      <c r="AL2324" s="35" t="str">
        <f t="shared" ref="AL2324" si="10093">IF(INDEX($A$15:$N$36,MATCH($B2324,$A$15:$A$36,0),14)&lt;&gt;"=",IFERROR(INDEX(AJ2325:AL2577,MATCH(MIN(AL2325:AL2577),AL2325:AL2577,0),1)," ")," ")</f>
        <v xml:space="preserve"> </v>
      </c>
      <c r="AM2324" s="49" t="str">
        <f t="shared" ref="AM2324" si="10094">A$5</f>
        <v>X4</v>
      </c>
      <c r="AN2324" s="49"/>
      <c r="AO2324" s="49"/>
      <c r="AP2324" s="49"/>
      <c r="AQ2324" s="35" t="str">
        <f t="shared" ref="AQ2324" si="10095">IF(INDEX($A$15:$N$36,MATCH($B2324,$A$15:$A$36,0),14)&lt;&gt;"=",IFERROR(INDEX(AP2325:AR2577,MATCH(MAX(AQ2325:AQ2577),AQ2325:AQ2577,0),1)," ")," ")</f>
        <v xml:space="preserve"> </v>
      </c>
      <c r="AR2324" s="35" t="str">
        <f t="shared" ref="AR2324" si="10096">IF(INDEX($A$15:$N$36,MATCH($B2324,$A$15:$A$36,0),14)&lt;&gt;"=",IFERROR(INDEX(AP2325:AR2577,MATCH(MIN(AR2325:AR2577),AR2325:AR2577,0),1)," ")," ")</f>
        <v xml:space="preserve"> </v>
      </c>
      <c r="AS2324" s="49" t="str">
        <f t="shared" ref="AS2324" si="10097">A$6</f>
        <v>X5</v>
      </c>
      <c r="AT2324" s="49"/>
      <c r="AU2324" s="49"/>
      <c r="AV2324" s="49"/>
      <c r="AW2324" s="35" t="str">
        <f t="shared" ref="AW2324" si="10098">IF(INDEX($A$15:$N$36,MATCH($B2324,$A$15:$A$36,0),14)&lt;&gt;"=",IFERROR(INDEX(AV2325:AX2577,MATCH(MAX(AW2325:AW2577),AW2325:AW2577,0),1)," ")," ")</f>
        <v xml:space="preserve"> </v>
      </c>
      <c r="AX2324" s="35" t="str">
        <f t="shared" ref="AX2324" si="10099">IF(INDEX($A$15:$N$36,MATCH($B2324,$A$15:$A$36,0),14)&lt;&gt;"=",IFERROR(INDEX(AV2325:AX2577,MATCH(MIN(AX2325:AX2577),AX2325:AX2577,0),1)," ")," ")</f>
        <v xml:space="preserve"> </v>
      </c>
      <c r="AY2324" s="49" t="str">
        <f t="shared" ref="AY2324" si="10100">A$7</f>
        <v>X6</v>
      </c>
      <c r="AZ2324" s="49"/>
      <c r="BA2324" s="49"/>
      <c r="BB2324" s="49"/>
      <c r="BC2324" s="35" t="str">
        <f t="shared" ref="BC2324" si="10101">IF(INDEX($A$15:$N$36,MATCH($B2324,$A$15:$A$36,0),14)&lt;&gt;"=",IFERROR(INDEX(BB2325:BD2577,MATCH(MAX(BC2325:BC2577),BC2325:BC2577,0),1)," ")," ")</f>
        <v xml:space="preserve"> </v>
      </c>
      <c r="BD2324" s="35" t="str">
        <f t="shared" ref="BD2324" si="10102">IF(INDEX($A$15:$N$36,MATCH($B2324,$A$15:$A$36,0),14)&lt;&gt;"=",IFERROR(INDEX(BB2325:BD2577,MATCH(MIN(BD2325:BD2577),BD2325:BD2577,0),1)," ")," ")</f>
        <v xml:space="preserve"> </v>
      </c>
      <c r="BE2324" s="49" t="str">
        <f t="shared" ref="BE2324" si="10103">A$8</f>
        <v>X7</v>
      </c>
      <c r="BF2324" s="49"/>
      <c r="BG2324" s="49"/>
      <c r="BH2324" s="49"/>
      <c r="BI2324" s="35" t="str">
        <f t="shared" ref="BI2324" si="10104">IF(INDEX($A$15:$N$36,MATCH($B2324,$A$15:$A$36,0),14)&lt;&gt;"=",IFERROR(INDEX(BH2325:BJ2577,MATCH(MAX(BI2325:BI2577),BI2325:BI2577,0),1)," ")," ")</f>
        <v xml:space="preserve"> </v>
      </c>
      <c r="BJ2324" s="35" t="str">
        <f t="shared" ref="BJ2324" si="10105">IF(INDEX($A$15:$N$36,MATCH($B2324,$A$15:$A$36,0),14)&lt;&gt;"=",IFERROR(INDEX(BH2325:BJ2577,MATCH(MIN(BJ2325:BJ2577),BJ2325:BJ2577,0),1)," ")," ")</f>
        <v xml:space="preserve"> </v>
      </c>
      <c r="BK2324" s="49" t="str">
        <f t="shared" ref="BK2324" si="10106">A$9</f>
        <v>X8</v>
      </c>
      <c r="BL2324" s="49"/>
      <c r="BM2324" s="49"/>
      <c r="BN2324" s="49"/>
      <c r="BO2324" s="35" t="str">
        <f t="shared" ref="BO2324" si="10107">IF(INDEX($A$15:$N$36,MATCH($B2324,$A$15:$A$36,0),14)&lt;&gt;"=",IFERROR(INDEX(BN2325:BP2577,MATCH(MAX(BO2325:BO2577),BO2325:BO2577,0),1)," ")," ")</f>
        <v xml:space="preserve"> </v>
      </c>
      <c r="BP2324" s="35" t="str">
        <f t="shared" ref="BP2324" si="10108">IF(INDEX($A$15:$N$36,MATCH($B2324,$A$15:$A$36,0),14)&lt;&gt;"=",IFERROR(INDEX(BN2325:BP2577,MATCH(MIN(BP2325:BP2577),BP2325:BP2577,0),1)," ")," ")</f>
        <v xml:space="preserve"> </v>
      </c>
      <c r="BQ2324" s="49" t="str">
        <f t="shared" ref="BQ2324" si="10109">A$10</f>
        <v>X9</v>
      </c>
      <c r="BR2324" s="49"/>
      <c r="BS2324" s="49"/>
      <c r="BT2324" s="49"/>
      <c r="BU2324" s="35" t="str">
        <f t="shared" ref="BU2324" si="10110">IF(INDEX($A$15:$N$36,MATCH($B2324,$A$15:$A$36,0),14)&lt;&gt;"=",IFERROR(INDEX(BT2325:BV2577,MATCH(MAX(BU2325:BU2577),BU2325:BU2577,0),1)," ")," ")</f>
        <v xml:space="preserve"> </v>
      </c>
      <c r="BV2324" s="35" t="str">
        <f t="shared" ref="BV2324" si="10111">IF(INDEX($A$15:$N$36,MATCH($B2324,$A$15:$A$36,0),14)&lt;&gt;"=",IFERROR(INDEX(BT2325:BV2577,MATCH(MIN(BV2325:BV2577),BV2325:BV2577,0),1)," ")," ")</f>
        <v xml:space="preserve"> </v>
      </c>
      <c r="BW2324" s="49" t="str">
        <f t="shared" ref="BW2324" si="10112">A$11</f>
        <v>X10</v>
      </c>
      <c r="BX2324" s="49"/>
      <c r="BY2324" s="49"/>
      <c r="BZ2324" s="49"/>
      <c r="CA2324" s="35" t="str">
        <f t="shared" ref="CA2324" si="10113">IF(INDEX($A$15:$N$36,MATCH($B2324,$A$15:$A$36,0),14)&lt;&gt;"=",IFERROR(INDEX(BZ2325:CB2577,MATCH(MAX(CA2325:CA2577),CA2325:CA2577,0),1)," ")," ")</f>
        <v xml:space="preserve"> </v>
      </c>
      <c r="CB2324" s="35" t="str">
        <f t="shared" ref="CB2324" si="10114">IF(INDEX($A$15:$N$36,MATCH($B2324,$A$15:$A$36,0),14)&lt;&gt;"=",IFERROR(INDEX(BZ2325:CB2577,MATCH(MIN(CB2325:CB2577),CB2325:CB2577,0),1)," ")," ")</f>
        <v xml:space="preserve"> </v>
      </c>
      <c r="CC2324" s="49" t="str">
        <f t="shared" ref="CC2324" si="10115">A$12</f>
        <v>X11</v>
      </c>
      <c r="CD2324" s="49"/>
      <c r="CE2324" s="49"/>
      <c r="CF2324" s="49"/>
      <c r="CG2324" s="35" t="str">
        <f t="shared" ref="CG2324" si="10116">IF(INDEX($A$15:$N$36,MATCH($B2324,$A$15:$A$36,0),14)&lt;&gt;"=",IFERROR(INDEX(CF2325:CH2577,MATCH(MAX(CG2325:CG2577),CG2325:CG2577,0),1)," ")," ")</f>
        <v xml:space="preserve"> </v>
      </c>
      <c r="CH2324" s="35" t="str">
        <f t="shared" ref="CH2324" si="10117">IF(INDEX($A$15:$N$36,MATCH($B2324,$A$15:$A$36,0),14)&lt;&gt;"=",IFERROR(INDEX(CF2325:CH2577,MATCH(MIN(CH2325:CH2577),CH2325:CH2577,0),1)," ")," ")</f>
        <v xml:space="preserve"> </v>
      </c>
    </row>
    <row r="2325" spans="1:87" x14ac:dyDescent="0.2">
      <c r="A2325" s="11" t="s">
        <v>17</v>
      </c>
      <c r="B2325" s="11"/>
      <c r="C2325" s="27" t="s">
        <v>18</v>
      </c>
      <c r="D2325" s="27" t="s">
        <v>2</v>
      </c>
      <c r="E2325" s="27" t="s">
        <v>6</v>
      </c>
      <c r="F2325" s="27" t="s">
        <v>15</v>
      </c>
      <c r="G2325" s="27" t="s">
        <v>36</v>
      </c>
      <c r="H2325" s="27" t="s">
        <v>37</v>
      </c>
      <c r="I2325" s="27" t="s">
        <v>38</v>
      </c>
      <c r="J2325" s="27" t="s">
        <v>39</v>
      </c>
      <c r="K2325" s="27" t="s">
        <v>40</v>
      </c>
      <c r="L2325" s="27" t="s">
        <v>41</v>
      </c>
      <c r="M2325" s="27" t="s">
        <v>42</v>
      </c>
      <c r="N2325" s="27" t="s">
        <v>43</v>
      </c>
      <c r="O2325" s="27" t="s">
        <v>9</v>
      </c>
      <c r="P2325" s="27" t="s">
        <v>12</v>
      </c>
      <c r="Q2325" s="27" t="s">
        <v>19</v>
      </c>
      <c r="R2325" s="27" t="s">
        <v>55</v>
      </c>
      <c r="S2325" s="27" t="s">
        <v>26</v>
      </c>
      <c r="T2325" s="19" t="s">
        <v>25</v>
      </c>
      <c r="U2325" s="33" t="s">
        <v>27</v>
      </c>
      <c r="V2325" s="33" t="s">
        <v>9</v>
      </c>
      <c r="W2325" s="33" t="s">
        <v>23</v>
      </c>
      <c r="X2325" s="33" t="s">
        <v>12</v>
      </c>
      <c r="Y2325" s="33" t="s">
        <v>26</v>
      </c>
      <c r="Z2325" s="33" t="s">
        <v>25</v>
      </c>
      <c r="AA2325" s="33" t="s">
        <v>27</v>
      </c>
      <c r="AB2325" s="33" t="s">
        <v>9</v>
      </c>
      <c r="AC2325" s="33" t="s">
        <v>23</v>
      </c>
      <c r="AD2325" s="33" t="s">
        <v>12</v>
      </c>
      <c r="AE2325" s="33" t="s">
        <v>26</v>
      </c>
      <c r="AF2325" s="33" t="s">
        <v>25</v>
      </c>
      <c r="AG2325" s="33" t="s">
        <v>27</v>
      </c>
      <c r="AH2325" s="33" t="s">
        <v>9</v>
      </c>
      <c r="AI2325" s="33" t="s">
        <v>23</v>
      </c>
      <c r="AJ2325" s="33" t="s">
        <v>12</v>
      </c>
      <c r="AK2325" s="33" t="s">
        <v>26</v>
      </c>
      <c r="AL2325" s="33" t="s">
        <v>25</v>
      </c>
      <c r="AM2325" s="33" t="s">
        <v>27</v>
      </c>
      <c r="AN2325" s="33" t="s">
        <v>9</v>
      </c>
      <c r="AO2325" s="33" t="s">
        <v>23</v>
      </c>
      <c r="AP2325" s="33" t="s">
        <v>12</v>
      </c>
      <c r="AQ2325" s="33" t="s">
        <v>26</v>
      </c>
      <c r="AR2325" s="33" t="s">
        <v>25</v>
      </c>
      <c r="AS2325" s="33" t="s">
        <v>27</v>
      </c>
      <c r="AT2325" s="33" t="s">
        <v>9</v>
      </c>
      <c r="AU2325" s="33" t="s">
        <v>23</v>
      </c>
      <c r="AV2325" s="33" t="s">
        <v>12</v>
      </c>
      <c r="AW2325" s="33" t="s">
        <v>26</v>
      </c>
      <c r="AX2325" s="33" t="s">
        <v>25</v>
      </c>
      <c r="AY2325" s="33" t="s">
        <v>27</v>
      </c>
      <c r="AZ2325" s="33" t="s">
        <v>9</v>
      </c>
      <c r="BA2325" s="33" t="s">
        <v>23</v>
      </c>
      <c r="BB2325" s="33" t="s">
        <v>12</v>
      </c>
      <c r="BC2325" s="33" t="s">
        <v>26</v>
      </c>
      <c r="BD2325" s="33" t="s">
        <v>25</v>
      </c>
      <c r="BE2325" s="33" t="s">
        <v>27</v>
      </c>
      <c r="BF2325" s="33" t="s">
        <v>9</v>
      </c>
      <c r="BG2325" s="33" t="s">
        <v>23</v>
      </c>
      <c r="BH2325" s="33" t="s">
        <v>12</v>
      </c>
      <c r="BI2325" s="33" t="s">
        <v>26</v>
      </c>
      <c r="BJ2325" s="33" t="s">
        <v>25</v>
      </c>
      <c r="BK2325" s="33" t="s">
        <v>27</v>
      </c>
      <c r="BL2325" s="33" t="s">
        <v>9</v>
      </c>
      <c r="BM2325" s="33" t="s">
        <v>23</v>
      </c>
      <c r="BN2325" s="33" t="s">
        <v>12</v>
      </c>
      <c r="BO2325" s="33" t="s">
        <v>26</v>
      </c>
      <c r="BP2325" s="33" t="s">
        <v>25</v>
      </c>
      <c r="BQ2325" s="33" t="s">
        <v>27</v>
      </c>
      <c r="BR2325" s="33" t="s">
        <v>9</v>
      </c>
      <c r="BS2325" s="33" t="s">
        <v>23</v>
      </c>
      <c r="BT2325" s="33" t="s">
        <v>12</v>
      </c>
      <c r="BU2325" s="33" t="s">
        <v>26</v>
      </c>
      <c r="BV2325" s="33" t="s">
        <v>25</v>
      </c>
      <c r="BW2325" s="33" t="s">
        <v>27</v>
      </c>
      <c r="BX2325" s="33" t="s">
        <v>9</v>
      </c>
      <c r="BY2325" s="33" t="s">
        <v>23</v>
      </c>
      <c r="BZ2325" s="33" t="s">
        <v>12</v>
      </c>
      <c r="CA2325" s="33" t="s">
        <v>26</v>
      </c>
      <c r="CB2325" s="33" t="s">
        <v>25</v>
      </c>
      <c r="CC2325" s="33" t="s">
        <v>27</v>
      </c>
      <c r="CD2325" s="33" t="s">
        <v>9</v>
      </c>
      <c r="CE2325" s="33" t="s">
        <v>23</v>
      </c>
      <c r="CF2325" s="33" t="s">
        <v>12</v>
      </c>
      <c r="CG2325" s="33" t="s">
        <v>26</v>
      </c>
      <c r="CH2325" s="33" t="s">
        <v>25</v>
      </c>
      <c r="CI2325" s="8"/>
    </row>
    <row r="2326" spans="1:87" x14ac:dyDescent="0.2">
      <c r="A2326" s="8" t="str">
        <f>IF(AND(COUNTIF(W$3:W$13,A$15)&gt;0,A$15&lt;&gt;B2324),A$15,IFERROR(IF(MATCH(A$15,Z$3:Z$13,0)=1,A$15," ")," "))</f>
        <v>C1</v>
      </c>
      <c r="B2326" s="8">
        <f>IF(A2326=" "," ",1)</f>
        <v>1</v>
      </c>
      <c r="C2326" s="8" t="str">
        <f>IFERROR(INDEX(A2326:A2347,MATCH(SMALL(B2326:B2347,1),B2326:B2347,0),1)," ")</f>
        <v>C1</v>
      </c>
      <c r="D2326" s="8">
        <f>IFERROR(VLOOKUP($C2326,$A$15:$O$36,2,FALSE)," ")</f>
        <v>1</v>
      </c>
      <c r="E2326" s="8">
        <f>IFERROR(VLOOKUP($C2326,$A$15:$O$36,3,FALSE)," ")</f>
        <v>1</v>
      </c>
      <c r="F2326" s="8">
        <f>IFERROR(VLOOKUP($C2326,$A$15:$O$36,4,FALSE)," ")</f>
        <v>1</v>
      </c>
      <c r="G2326" s="8">
        <f>IFERROR(VLOOKUP($C2326,$A$15:$O$36,5,FALSE)," ")</f>
        <v>0</v>
      </c>
      <c r="H2326" s="8">
        <f>IFERROR(VLOOKUP($C2326,$A$15:$O$36,6,FALSE)," ")</f>
        <v>0</v>
      </c>
      <c r="I2326" s="8">
        <f>IFERROR(VLOOKUP($C2326,$A$15:$O$36,7,FALSE)," ")</f>
        <v>0</v>
      </c>
      <c r="J2326" s="8">
        <f>IFERROR(VLOOKUP($C2326,$A$15:$O$36,8,FALSE)," ")</f>
        <v>0</v>
      </c>
      <c r="K2326" s="8">
        <f>IFERROR(VLOOKUP($C2326,$A$15:$O$36,9,FALSE)," ")</f>
        <v>0</v>
      </c>
      <c r="L2326" s="8">
        <f>IFERROR(VLOOKUP($C2326,$A$15:$O$36,10,FALSE)," ")</f>
        <v>0</v>
      </c>
      <c r="M2326" s="8">
        <f>IFERROR(VLOOKUP($C2326,$A$15:$O$36,11,FALSE)," ")</f>
        <v>0</v>
      </c>
      <c r="N2326" s="8">
        <f>IFERROR(VLOOKUP($C2326,$A$15:$O$36,12,FALSE)," ")</f>
        <v>0</v>
      </c>
      <c r="O2326" s="8">
        <f>IFERROR(VLOOKUP($C2326,$A$15:$O$36,15,FALSE)," ")</f>
        <v>550</v>
      </c>
      <c r="P2326" s="8" t="e">
        <f t="array" ref="P2326:P2336">MMULT(MINVERSE(D2326:N2336),O2326:O2336)</f>
        <v>#NUM!</v>
      </c>
      <c r="Q2326" s="8" t="e">
        <f t="shared" ref="Q2326" si="10118">IF(COUNTIF(P2326:P2336,"&lt;"&amp;-0.001)=0,IF(ABS(P2326)&lt;0.001,0,P2326)," ")</f>
        <v>#NUM!</v>
      </c>
      <c r="R2326" s="8" t="str">
        <f>IFERROR(VLOOKUP(B2324,A$15:L$36,2,FALSE)*Q2326+VLOOKUP(B2324,A$15:L$36,3,FALSE)*Q2327+VLOOKUP(B2324,A$15:L$36,4,FALSE)*Q2328+VLOOKUP(B2324,A$15:L$36,5,FALSE)*Q2329+VLOOKUP(B2324,A$15:L$36,6,FALSE)*Q2330+VLOOKUP(B2324,A$15:L$36,7,FALSE)*Q2331+VLOOKUP(B2324,A$15:L$36,8,FALSE)*Q2332+VLOOKUP(B2324,A$15:L$36,9,FALSE)*Q2333+VLOOKUP(B2324,A$15:L$36,10,FALSE)*Q2334+VLOOKUP(B2324,A$15:L$36,11,FALSE)*Q2335+VLOOKUP(B2324,A$15:L$36,12,FALSE)*Q2336," ")</f>
        <v xml:space="preserve"> </v>
      </c>
      <c r="S2326" s="8" t="str">
        <f>IFERROR(IF(R2326-VLOOKUP(B2324,A$15:O$36,15,FALSE)&lt;0,R2326-VLOOKUP(B2324,A$15:O$36,15,FALSE)," ")," ")</f>
        <v xml:space="preserve"> </v>
      </c>
      <c r="T2326" s="18" t="str">
        <f>IFERROR(IF(R2326-VLOOKUP(B2324,A$15:O$36,15,FALSE)&gt;0,R2326-VLOOKUP(B2324,A$15:O$36,15,FALSE)," ")," ")</f>
        <v xml:space="preserve"> </v>
      </c>
      <c r="U2326" s="34">
        <f t="shared" ref="U2326" si="10119">$M$2</f>
        <v>100.00000000000001</v>
      </c>
      <c r="V2326" s="34">
        <v>-1</v>
      </c>
      <c r="W2326" s="34">
        <f t="shared" ref="W2326" si="10120">-SUMPRODUCT($M$3:$M$12,$N$3:$N$12)</f>
        <v>-105000</v>
      </c>
      <c r="X2326" s="34" t="e">
        <f t="shared" ref="X2326" si="10121">IF(U2326&lt;&gt;U2327,MMULT(MINVERSE(U2326:V2327),W2326:W2327)," ")</f>
        <v>#NUM!</v>
      </c>
      <c r="Y2326" s="34" t="str">
        <f t="shared" ref="Y2326" si="10122">IFERROR(IF(X2326-VLOOKUP(U$38,$A$2:$N$12,14,FALSE)&lt;0,X2326-VLOOKUP(U$38,$A$2:$N$12,14,FALSE)," ")," ")</f>
        <v xml:space="preserve"> </v>
      </c>
      <c r="Z2326" s="34" t="str">
        <f t="shared" ref="Z2326" si="10123">IFERROR(IF(X2326-VLOOKUP(U$38,$A$2:$N$12,14,FALSE)&gt;0,X2326-VLOOKUP(U$38,$A$2:$N$12,14,FALSE)," ")," ")</f>
        <v xml:space="preserve"> </v>
      </c>
      <c r="AA2326" s="34">
        <f t="shared" ref="AA2326" si="10124">$M$3</f>
        <v>0</v>
      </c>
      <c r="AB2326" s="34">
        <v>-1</v>
      </c>
      <c r="AC2326" s="34">
        <f t="shared" ref="AC2326" si="10125">-SUMPRODUCT($M$2:$M$2,$N$2:$N$2)-SUMPRODUCT($M$4:$M$12,$N$4:$N$12)</f>
        <v>-120000</v>
      </c>
      <c r="AD2326" s="34" t="e">
        <f t="shared" ref="AD2326" si="10126">IF(AA2326&lt;&gt;AA2327,MMULT(MINVERSE(AA2326:AB2327),AC2326:AC2327)," ")</f>
        <v>#NUM!</v>
      </c>
      <c r="AE2326" s="34" t="str">
        <f t="shared" ref="AE2326" si="10127">IFERROR(IF(AD2326-VLOOKUP(AA$38,$A$2:$N$12,14,FALSE)&lt;0,AD2326-VLOOKUP(AA$38,$A$2:$N$12,14,FALSE)," ")," ")</f>
        <v xml:space="preserve"> </v>
      </c>
      <c r="AF2326" s="34" t="str">
        <f t="shared" ref="AF2326" si="10128">IFERROR(IF(AD2326-VLOOKUP(AA$38,$A$2:$N$12,14,FALSE)&gt;0,AD2326-VLOOKUP(AA$38,$A$2:$N$12,14,FALSE)," ")," ")</f>
        <v xml:space="preserve"> </v>
      </c>
      <c r="AG2326" s="34">
        <f t="shared" ref="AG2326" si="10129">$M$4</f>
        <v>300</v>
      </c>
      <c r="AH2326" s="34">
        <v>-1</v>
      </c>
      <c r="AI2326" s="34">
        <f t="shared" ref="AI2326" si="10130">-SUMPRODUCT($M$2:$M$3,$N$2:$N$3)-SUMPRODUCT($M$5:$M$12,$N$5:$N$12)</f>
        <v>-15000.000000000002</v>
      </c>
      <c r="AJ2326" s="34" t="e">
        <f t="shared" ref="AJ2326" si="10131">IF(AG2326&lt;&gt;AG2327,MMULT(MINVERSE(AG2326:AH2327),AI2326:AI2327)," ")</f>
        <v>#NUM!</v>
      </c>
      <c r="AK2326" s="34" t="str">
        <f t="shared" ref="AK2326" si="10132">IFERROR(IF(AJ2326-VLOOKUP(AG$38,$A$2:$N$12,14,FALSE)&lt;0,AJ2326-VLOOKUP(AG$38,$A$2:$N$12,14,FALSE)," ")," ")</f>
        <v xml:space="preserve"> </v>
      </c>
      <c r="AL2326" s="34" t="str">
        <f t="shared" ref="AL2326" si="10133">IFERROR(IF(AJ2326-VLOOKUP(AG$38,$A$2:$N$12,14,FALSE)&gt;0,AJ2326-VLOOKUP(AG$38,$A$2:$N$12,14,FALSE)," ")," ")</f>
        <v xml:space="preserve"> </v>
      </c>
      <c r="AM2326" s="34">
        <f t="shared" ref="AM2326" si="10134">$M$5</f>
        <v>0</v>
      </c>
      <c r="AN2326" s="34">
        <v>-1</v>
      </c>
      <c r="AO2326" s="34">
        <f t="shared" ref="AO2326" si="10135">-SUMPRODUCT($M$2:$M$4,$N$2:$N$4)-SUMPRODUCT($M$6:$M$12,$N$6:$N$12)</f>
        <v>-120000</v>
      </c>
      <c r="AP2326" s="34" t="e">
        <f t="shared" ref="AP2326" si="10136">IF(AM2326&lt;&gt;AM2327,MMULT(MINVERSE(AM2326:AN2327),AO2326:AO2327)," ")</f>
        <v>#NUM!</v>
      </c>
      <c r="AQ2326" s="34" t="str">
        <f t="shared" ref="AQ2326" si="10137">IFERROR(IF(AP2326-VLOOKUP(AM$38,$A$2:$N$12,14,FALSE)&lt;0,AP2326-VLOOKUP(AM$38,$A$2:$N$12,14,FALSE)," ")," ")</f>
        <v xml:space="preserve"> </v>
      </c>
      <c r="AR2326" s="34" t="str">
        <f t="shared" ref="AR2326" si="10138">IFERROR(IF(AP2326-VLOOKUP(AM$38,$A$2:$N$12,14,FALSE)&gt;0,AP2326-VLOOKUP(AM$38,$A$2:$N$12,14,FALSE)," ")," ")</f>
        <v xml:space="preserve"> </v>
      </c>
      <c r="AS2326" s="34">
        <f t="shared" ref="AS2326" si="10139">$M$6</f>
        <v>0</v>
      </c>
      <c r="AT2326" s="34">
        <v>-1</v>
      </c>
      <c r="AU2326" s="34">
        <f t="shared" ref="AU2326" si="10140">-SUMPRODUCT($M$2:$M$5,$N$2:$N$5)-SUMPRODUCT($M$7:$M$12,$N$7:$N$12)</f>
        <v>-120000</v>
      </c>
      <c r="AV2326" s="34" t="e">
        <f t="shared" ref="AV2326" si="10141">IF(AS2326&lt;&gt;AS2327,MMULT(MINVERSE(AS2326:AT2327),AU2326:AU2327)," ")</f>
        <v>#NUM!</v>
      </c>
      <c r="AW2326" s="34" t="str">
        <f t="shared" ref="AW2326" si="10142">IFERROR(IF(AV2326-VLOOKUP(AS$38,$A$2:$N$12,14,FALSE)&lt;0,AV2326-VLOOKUP(AS$38,$A$2:$N$12,14,FALSE)," ")," ")</f>
        <v xml:space="preserve"> </v>
      </c>
      <c r="AX2326" s="34" t="str">
        <f t="shared" ref="AX2326" si="10143">IFERROR(IF(AV2326-VLOOKUP(AS$38,$A$2:$N$12,14,FALSE)&gt;0,AV2326-VLOOKUP(AS$38,$A$2:$N$12,14,FALSE)," ")," ")</f>
        <v xml:space="preserve"> </v>
      </c>
      <c r="AY2326" s="34">
        <f t="shared" ref="AY2326" si="10144">$M$7</f>
        <v>0</v>
      </c>
      <c r="AZ2326" s="34">
        <v>-1</v>
      </c>
      <c r="BA2326" s="34">
        <f t="shared" ref="BA2326" si="10145">-SUMPRODUCT($M$2:$M$6,$N$2:$N$6)-SUMPRODUCT($M$8:$M$12,$N$8:$N$12)</f>
        <v>-120000</v>
      </c>
      <c r="BB2326" s="34" t="e">
        <f t="shared" ref="BB2326" si="10146">IF(AY2326&lt;&gt;AY2327,MMULT(MINVERSE(AY2326:AZ2327),BA2326:BA2327)," ")</f>
        <v>#NUM!</v>
      </c>
      <c r="BC2326" s="34" t="str">
        <f t="shared" ref="BC2326" si="10147">IFERROR(IF(BB2326-VLOOKUP(AY$38,$A$2:$N$12,14,FALSE)&lt;0,BB2326-VLOOKUP(AY$38,$A$2:$N$12,14,FALSE)," ")," ")</f>
        <v xml:space="preserve"> </v>
      </c>
      <c r="BD2326" s="34" t="str">
        <f t="shared" ref="BD2326" si="10148">IFERROR(IF(BB2326-VLOOKUP(AY$38,$A$2:$N$12,14,FALSE)&gt;0,BB2326-VLOOKUP(AY$38,$A$2:$N$12,14,FALSE)," ")," ")</f>
        <v xml:space="preserve"> </v>
      </c>
      <c r="BE2326" s="34">
        <f t="shared" ref="BE2326" si="10149">$M$8</f>
        <v>0</v>
      </c>
      <c r="BF2326" s="34">
        <v>-1</v>
      </c>
      <c r="BG2326" s="34">
        <f t="shared" ref="BG2326" si="10150">-SUMPRODUCT($M$2:$M$7,$N$2:$N$7)-SUMPRODUCT($M$9:$M$12,$N$9:$N$12)</f>
        <v>-120000</v>
      </c>
      <c r="BH2326" s="34" t="e">
        <f t="shared" ref="BH2326" si="10151">IF(BE2326&lt;&gt;BE2327,MMULT(MINVERSE(BE2326:BF2327),BG2326:BG2327)," ")</f>
        <v>#NUM!</v>
      </c>
      <c r="BI2326" s="34" t="str">
        <f t="shared" ref="BI2326" si="10152">IFERROR(IF(BH2326-VLOOKUP(BE$38,$A$2:$N$12,14,FALSE)&lt;0,BH2326-VLOOKUP(BE$38,$A$2:$N$12,14,FALSE)," ")," ")</f>
        <v xml:space="preserve"> </v>
      </c>
      <c r="BJ2326" s="34" t="str">
        <f t="shared" ref="BJ2326" si="10153">IFERROR(IF(BH2326-VLOOKUP(BE$38,$A$2:$N$12,14,FALSE)&gt;0,BH2326-VLOOKUP(BE$38,$A$2:$N$12,14,FALSE)," ")," ")</f>
        <v xml:space="preserve"> </v>
      </c>
      <c r="BK2326" s="34">
        <f t="shared" ref="BK2326" si="10154">$M$9</f>
        <v>0</v>
      </c>
      <c r="BL2326" s="34">
        <v>-1</v>
      </c>
      <c r="BM2326" s="34">
        <f t="shared" ref="BM2326" si="10155">-SUMPRODUCT($M$2:$M$8,$N$2:$N$8)-SUMPRODUCT($M$10:$M$12,$N$10:$N$12)</f>
        <v>-120000</v>
      </c>
      <c r="BN2326" s="34" t="e">
        <f t="shared" ref="BN2326" si="10156">IF(BK2326&lt;&gt;BK2327,MMULT(MINVERSE(BK2326:BL2327),BM2326:BM2327)," ")</f>
        <v>#NUM!</v>
      </c>
      <c r="BO2326" s="34" t="str">
        <f t="shared" ref="BO2326" si="10157">IFERROR(IF(BN2326-VLOOKUP(BK$38,$A$2:$N$12,14,FALSE)&lt;0,BN2326-VLOOKUP(BK$38,$A$2:$N$12,14,FALSE)," ")," ")</f>
        <v xml:space="preserve"> </v>
      </c>
      <c r="BP2326" s="34" t="str">
        <f t="shared" ref="BP2326" si="10158">IFERROR(IF(BN2326-VLOOKUP(BK$38,$A$2:$N$12,14,FALSE)&gt;0,BN2326-VLOOKUP(BK$38,$A$2:$N$12,14,FALSE)," ")," ")</f>
        <v xml:space="preserve"> </v>
      </c>
      <c r="BQ2326" s="34">
        <f t="shared" ref="BQ2326" si="10159">$M$10</f>
        <v>0</v>
      </c>
      <c r="BR2326" s="34">
        <v>-1</v>
      </c>
      <c r="BS2326" s="34">
        <f t="shared" ref="BS2326" si="10160">-SUMPRODUCT($M$2:$M$9,$N$2:$N$9)-SUMPRODUCT($M$11:$M$12,$N$11:$N$12)</f>
        <v>-120000</v>
      </c>
      <c r="BT2326" s="34" t="e">
        <f t="shared" ref="BT2326" si="10161">IF(BQ2326&lt;&gt;BQ2327,MMULT(MINVERSE(BQ2326:BR2327),BS2326:BS2327)," ")</f>
        <v>#NUM!</v>
      </c>
      <c r="BU2326" s="34" t="str">
        <f t="shared" ref="BU2326" si="10162">IFERROR(IF(BT2326-VLOOKUP(BQ$38,$A$2:$N$12,14,FALSE)&lt;0,BT2326-VLOOKUP(BQ$38,$A$2:$N$12,14,FALSE)," ")," ")</f>
        <v xml:space="preserve"> </v>
      </c>
      <c r="BV2326" s="34" t="str">
        <f t="shared" ref="BV2326" si="10163">IFERROR(IF(BT2326-VLOOKUP(BQ$38,$A$2:$N$12,14,FALSE)&gt;0,BT2326-VLOOKUP(BQ$38,$A$2:$N$12,14,FALSE)," ")," ")</f>
        <v xml:space="preserve"> </v>
      </c>
      <c r="BW2326" s="34">
        <f t="shared" ref="BW2326" si="10164">$M$11</f>
        <v>0</v>
      </c>
      <c r="BX2326" s="34">
        <v>-1</v>
      </c>
      <c r="BY2326" s="34">
        <f t="shared" ref="BY2326" si="10165">-SUMPRODUCT($M$2:$M$10,$N$2:$N$10)-SUMPRODUCT($M$12,$N$12)</f>
        <v>-120000</v>
      </c>
      <c r="BZ2326" s="34" t="e">
        <f t="shared" ref="BZ2326" si="10166">IF(BW2326&lt;&gt;BW2327,MMULT(MINVERSE(BW2326:BX2327),BY2326:BY2327)," ")</f>
        <v>#NUM!</v>
      </c>
      <c r="CA2326" s="34" t="str">
        <f t="shared" ref="CA2326" si="10167">IFERROR(IF(BZ2326-VLOOKUP(BW$38,$A$2:$N$12,14,FALSE)&lt;0,BZ2326-VLOOKUP(BW$38,$A$2:$N$12,14,FALSE)," ")," ")</f>
        <v xml:space="preserve"> </v>
      </c>
      <c r="CB2326" s="34" t="str">
        <f t="shared" ref="CB2326" si="10168">IFERROR(IF(BZ2326-VLOOKUP(BW$38,$A$2:$N$12,14,FALSE)&gt;0,BZ2326-VLOOKUP(BW$38,$A$2:$N$12,14,FALSE)," ")," ")</f>
        <v xml:space="preserve"> </v>
      </c>
      <c r="CC2326" s="34">
        <f t="shared" ref="CC2326" si="10169">$M$12</f>
        <v>0</v>
      </c>
      <c r="CD2326" s="34">
        <v>-1</v>
      </c>
      <c r="CE2326" s="34">
        <f t="shared" ref="CE2326" si="10170">-SUMPRODUCT($M$2:$M$11,$N$2:$N$11)</f>
        <v>-120000</v>
      </c>
      <c r="CF2326" s="34" t="e">
        <f t="shared" ref="CF2326" si="10171">IF(CC2326&lt;&gt;CC2327,MMULT(MINVERSE(CC2326:CD2327),CE2326:CE2327)," ")</f>
        <v>#NUM!</v>
      </c>
      <c r="CG2326" s="34" t="str">
        <f t="shared" ref="CG2326" si="10172">IFERROR(IF(CF2326-VLOOKUP(CC$38,$A$2:$N$12,14,FALSE)&lt;0,CF2326-VLOOKUP(CC$38,$A$2:$N$12,14,FALSE)," ")," ")</f>
        <v xml:space="preserve"> </v>
      </c>
      <c r="CH2326" s="34" t="str">
        <f t="shared" ref="CH2326" si="10173">IFERROR(IF(CF2326-VLOOKUP(CC$38,$A$2:$N$12,14,FALSE)&gt;0,CF2326-VLOOKUP(CC$38,$A$2:$N$12,14,FALSE)," ")," ")</f>
        <v xml:space="preserve"> </v>
      </c>
      <c r="CI2326" s="8"/>
    </row>
    <row r="2327" spans="1:87" x14ac:dyDescent="0.2">
      <c r="A2327" s="8" t="str">
        <f>IF(AND(COUNTIF(W$3:W$13,A$16)&gt;0,A$16&lt;&gt;B2324),A$16,IFERROR(IF(MATCH(A$16,Z$3:Z$13,0)=1,A$16," ")," "))</f>
        <v xml:space="preserve"> </v>
      </c>
      <c r="B2327" s="8" t="str">
        <f>IF(A2327=" "," ",MAX(B2326:B2326)+1)</f>
        <v xml:space="preserve"> </v>
      </c>
      <c r="C2327" s="8" t="str">
        <f>IFERROR(INDEX(A2326:A2347,MATCH(SMALL(B2326:B2347,2),B2326:B2347,0),1)," ")</f>
        <v>C3</v>
      </c>
      <c r="D2327" s="8">
        <f t="shared" ref="D2327:D2336" si="10174">IFERROR(VLOOKUP($C2327,$A$15:$O$36,2,FALSE)," ")</f>
        <v>2</v>
      </c>
      <c r="E2327" s="8">
        <f t="shared" ref="E2327:E2336" si="10175">IFERROR(VLOOKUP($C2327,$A$15:$O$36,3,FALSE)," ")</f>
        <v>5</v>
      </c>
      <c r="F2327" s="8">
        <f t="shared" ref="F2327:F2336" si="10176">IFERROR(VLOOKUP($C2327,$A$15:$O$36,4,FALSE)," ")</f>
        <v>6</v>
      </c>
      <c r="G2327" s="8">
        <f t="shared" ref="G2327:G2336" si="10177">IFERROR(VLOOKUP($C2327,$A$15:$O$36,5,FALSE)," ")</f>
        <v>0</v>
      </c>
      <c r="H2327" s="8">
        <f t="shared" ref="H2327:H2336" si="10178">IFERROR(VLOOKUP($C2327,$A$15:$O$36,6,FALSE)," ")</f>
        <v>0</v>
      </c>
      <c r="I2327" s="8">
        <f t="shared" ref="I2327:I2336" si="10179">IFERROR(VLOOKUP($C2327,$A$15:$O$36,7,FALSE)," ")</f>
        <v>0</v>
      </c>
      <c r="J2327" s="8">
        <f t="shared" ref="J2327:J2336" si="10180">IFERROR(VLOOKUP($C2327,$A$15:$O$36,8,FALSE)," ")</f>
        <v>0</v>
      </c>
      <c r="K2327" s="8">
        <f t="shared" ref="K2327:K2336" si="10181">IFERROR(VLOOKUP($C2327,$A$15:$O$36,9,FALSE)," ")</f>
        <v>0</v>
      </c>
      <c r="L2327" s="8">
        <f t="shared" ref="L2327:L2336" si="10182">IFERROR(VLOOKUP($C2327,$A$15:$O$36,10,FALSE)," ")</f>
        <v>0</v>
      </c>
      <c r="M2327" s="8">
        <f t="shared" ref="M2327:M2336" si="10183">IFERROR(VLOOKUP($C2327,$A$15:$O$36,11,FALSE)," ")</f>
        <v>0</v>
      </c>
      <c r="N2327" s="8">
        <f t="shared" ref="N2327:N2336" si="10184">IFERROR(VLOOKUP($C2327,$A$15:$O$36,12,FALSE)," ")</f>
        <v>0</v>
      </c>
      <c r="O2327" s="8">
        <f t="shared" ref="O2327:O2336" si="10185">IFERROR(VLOOKUP($C2327,$A$15:$O$36,15,FALSE)," ")</f>
        <v>2000</v>
      </c>
      <c r="P2327" s="8" t="e">
        <v>#NUM!</v>
      </c>
      <c r="Q2327" s="8" t="e">
        <f t="shared" ref="Q2327" si="10186">IF(COUNTIF(P2326:P2336,"&lt;"&amp;-0.001)=0,IF(ABS(P2327)&lt;0.001,0,P2327)," ")</f>
        <v>#NUM!</v>
      </c>
      <c r="R2327" s="8"/>
      <c r="S2327" s="8"/>
      <c r="U2327" s="34" t="e">
        <f t="shared" ref="U2327" si="10187">$Q2326</f>
        <v>#NUM!</v>
      </c>
      <c r="V2327" s="34">
        <v>-1</v>
      </c>
      <c r="W2327" s="34" t="e">
        <f t="shared" ref="W2327" si="10188">-SUMPRODUCT($Q2327:$Q2336,$N$3:$N$12)</f>
        <v>#NUM!</v>
      </c>
      <c r="X2327" s="34"/>
      <c r="Y2327" s="34"/>
      <c r="Z2327" s="34"/>
      <c r="AA2327" s="34" t="e">
        <f t="shared" ref="AA2327" si="10189">$Q2327</f>
        <v>#NUM!</v>
      </c>
      <c r="AB2327" s="34">
        <v>-1</v>
      </c>
      <c r="AC2327" s="34" t="e">
        <f t="shared" ref="AC2327" si="10190">-SUMPRODUCT($Q2326:$Q2326,$N$2:$N$2)-SUMPRODUCT($Q2328:$Q2336,$N$4:$N$12)</f>
        <v>#NUM!</v>
      </c>
      <c r="AD2327" s="34"/>
      <c r="AE2327" s="34"/>
      <c r="AF2327" s="34"/>
      <c r="AG2327" s="34" t="e">
        <f t="shared" ref="AG2327" si="10191">$Q2328</f>
        <v>#NUM!</v>
      </c>
      <c r="AH2327" s="34">
        <v>-1</v>
      </c>
      <c r="AI2327" s="34" t="e">
        <f t="shared" ref="AI2327" si="10192">-SUMPRODUCT($Q2326:$Q2327,$N$2:$N$3)-SUMPRODUCT($Q2329:$Q2336,$N$5:$N$12)</f>
        <v>#NUM!</v>
      </c>
      <c r="AJ2327" s="34"/>
      <c r="AK2327" s="34"/>
      <c r="AL2327" s="34"/>
      <c r="AM2327" s="34" t="e">
        <f t="shared" ref="AM2327" si="10193">$Q2329</f>
        <v>#NUM!</v>
      </c>
      <c r="AN2327" s="34">
        <v>-1</v>
      </c>
      <c r="AO2327" s="34" t="e">
        <f t="shared" ref="AO2327" si="10194">-SUMPRODUCT($Q2326:$Q2328,$N$2:$N$4)-SUMPRODUCT($Q2330:$Q2336,$N$6:$N$12)</f>
        <v>#NUM!</v>
      </c>
      <c r="AP2327" s="34"/>
      <c r="AQ2327" s="34"/>
      <c r="AR2327" s="34"/>
      <c r="AS2327" s="34" t="e">
        <f t="shared" ref="AS2327" si="10195">$Q2330</f>
        <v>#NUM!</v>
      </c>
      <c r="AT2327" s="34">
        <v>-1</v>
      </c>
      <c r="AU2327" s="34" t="e">
        <f t="shared" ref="AU2327" si="10196">-SUMPRODUCT($Q2326:$Q2329,$N$2:$N$5)-SUMPRODUCT($Q2331:$Q2336,$N$7:$N$12)</f>
        <v>#NUM!</v>
      </c>
      <c r="AV2327" s="34"/>
      <c r="AW2327" s="34"/>
      <c r="AX2327" s="34"/>
      <c r="AY2327" s="34" t="e">
        <f t="shared" ref="AY2327" si="10197">$Q2331</f>
        <v>#NUM!</v>
      </c>
      <c r="AZ2327" s="34">
        <v>-1</v>
      </c>
      <c r="BA2327" s="34" t="e">
        <f t="shared" ref="BA2327" si="10198">-SUMPRODUCT($Q2326:$Q2330,$N$2:$N$6)-SUMPRODUCT($Q2332:$Q2336,$N$8:$N$12)</f>
        <v>#NUM!</v>
      </c>
      <c r="BB2327" s="34"/>
      <c r="BC2327" s="34"/>
      <c r="BD2327" s="34"/>
      <c r="BE2327" s="34" t="e">
        <f t="shared" ref="BE2327" si="10199">$Q2332</f>
        <v>#NUM!</v>
      </c>
      <c r="BF2327" s="34">
        <v>-1</v>
      </c>
      <c r="BG2327" s="34" t="e">
        <f t="shared" ref="BG2327" si="10200">-SUMPRODUCT($Q2326:$Q2331,$N$2:$N$7)-SUMPRODUCT($Q2333:$Q2336,$N$9:$N$12)</f>
        <v>#NUM!</v>
      </c>
      <c r="BH2327" s="34"/>
      <c r="BI2327" s="34"/>
      <c r="BJ2327" s="34"/>
      <c r="BK2327" s="34" t="e">
        <f t="shared" ref="BK2327" si="10201">$Q2333</f>
        <v>#NUM!</v>
      </c>
      <c r="BL2327" s="34">
        <v>-1</v>
      </c>
      <c r="BM2327" s="34" t="e">
        <f t="shared" ref="BM2327" si="10202">-SUMPRODUCT($Q2326:$Q2332,$N$2:$N$8)-SUMPRODUCT($Q2334:$Q2336,$N$10:$N$12)</f>
        <v>#NUM!</v>
      </c>
      <c r="BN2327" s="34"/>
      <c r="BO2327" s="34"/>
      <c r="BP2327" s="34"/>
      <c r="BQ2327" s="34" t="e">
        <f t="shared" ref="BQ2327" si="10203">$Q2334</f>
        <v>#NUM!</v>
      </c>
      <c r="BR2327" s="34">
        <v>-1</v>
      </c>
      <c r="BS2327" s="34" t="e">
        <f t="shared" ref="BS2327" si="10204">-SUMPRODUCT($Q2326:$Q2333,$N$2:$N$9)-SUMPRODUCT($Q2335:$Q2336,$N$11:$N$12)</f>
        <v>#NUM!</v>
      </c>
      <c r="BT2327" s="34"/>
      <c r="BU2327" s="34"/>
      <c r="BV2327" s="34"/>
      <c r="BW2327" s="34" t="e">
        <f t="shared" ref="BW2327" si="10205">$Q2335</f>
        <v>#NUM!</v>
      </c>
      <c r="BX2327" s="34">
        <v>-1</v>
      </c>
      <c r="BY2327" s="34" t="e">
        <f t="shared" ref="BY2327" si="10206">-SUMPRODUCT($Q2326:$Q2334,$N$2:$N$10)-SUMPRODUCT($Q2336,$N$12)</f>
        <v>#NUM!</v>
      </c>
      <c r="BZ2327" s="34"/>
      <c r="CA2327" s="34"/>
      <c r="CB2327" s="34"/>
      <c r="CC2327" s="34" t="e">
        <f t="shared" ref="CC2327" si="10207">$Q2336</f>
        <v>#NUM!</v>
      </c>
      <c r="CD2327" s="34">
        <v>-1</v>
      </c>
      <c r="CE2327" s="34" t="e">
        <f t="shared" ref="CE2327" si="10208">-SUMPRODUCT($Q2326:$Q2335,$N$2:$N$11)</f>
        <v>#NUM!</v>
      </c>
      <c r="CF2327" s="34"/>
      <c r="CG2327" s="34"/>
      <c r="CH2327" s="34"/>
      <c r="CI2327" s="8"/>
    </row>
    <row r="2328" spans="1:87" x14ac:dyDescent="0.2">
      <c r="A2328" s="8" t="str">
        <f>IF(AND(COUNTIF(W$3:W$13,A$17)&gt;0,A$17&lt;&gt;B2324),A$17,IFERROR(IF(MATCH(A$17,Z$3:Z$13,0)=1,A$17," ")," "))</f>
        <v>C3</v>
      </c>
      <c r="B2328" s="8">
        <f>IF(A2328=" "," ",MAX(B2326:B2327)+1)</f>
        <v>2</v>
      </c>
      <c r="C2328" s="8" t="str">
        <f>IFERROR(INDEX(A2326:A2347,MATCH(SMALL(B2326:B2347,3),B2326:B2347,0),1)," ")</f>
        <v>C4</v>
      </c>
      <c r="D2328" s="8">
        <f t="shared" si="10174"/>
        <v>1</v>
      </c>
      <c r="E2328" s="8">
        <f t="shared" si="10175"/>
        <v>0</v>
      </c>
      <c r="F2328" s="8">
        <f t="shared" si="10176"/>
        <v>1</v>
      </c>
      <c r="G2328" s="8">
        <f t="shared" si="10177"/>
        <v>0</v>
      </c>
      <c r="H2328" s="8">
        <f t="shared" si="10178"/>
        <v>0</v>
      </c>
      <c r="I2328" s="8">
        <f t="shared" si="10179"/>
        <v>0</v>
      </c>
      <c r="J2328" s="8">
        <f t="shared" si="10180"/>
        <v>0</v>
      </c>
      <c r="K2328" s="8">
        <f t="shared" si="10181"/>
        <v>0</v>
      </c>
      <c r="L2328" s="8">
        <f t="shared" si="10182"/>
        <v>0</v>
      </c>
      <c r="M2328" s="8">
        <f t="shared" si="10183"/>
        <v>0</v>
      </c>
      <c r="N2328" s="8">
        <f t="shared" si="10184"/>
        <v>0</v>
      </c>
      <c r="O2328" s="8">
        <f t="shared" si="10185"/>
        <v>400</v>
      </c>
      <c r="P2328" s="8" t="e">
        <v>#NUM!</v>
      </c>
      <c r="Q2328" s="8" t="e">
        <f t="shared" ref="Q2328" si="10209">IF(COUNTIF(P2326:P2336,"&lt;"&amp;-0.001)=0,IF(ABS(P2328)&lt;0.001,0,P2328)," ")</f>
        <v>#NUM!</v>
      </c>
      <c r="R2328" s="8"/>
      <c r="S2328" s="8"/>
      <c r="U2328" s="34"/>
      <c r="V2328" s="34"/>
      <c r="W2328" s="34"/>
      <c r="X2328" s="34"/>
      <c r="Y2328" s="34"/>
      <c r="Z2328" s="34"/>
      <c r="AA2328" s="34"/>
      <c r="AB2328" s="34"/>
      <c r="AC2328" s="34"/>
      <c r="AD2328" s="34"/>
      <c r="AE2328" s="34"/>
      <c r="AF2328" s="34"/>
      <c r="AG2328" s="34"/>
      <c r="AH2328" s="34"/>
      <c r="AI2328" s="34"/>
      <c r="AJ2328" s="34"/>
      <c r="AK2328" s="34"/>
      <c r="AL2328" s="34"/>
      <c r="AM2328" s="34"/>
      <c r="AN2328" s="34"/>
      <c r="AO2328" s="34"/>
      <c r="AP2328" s="34"/>
      <c r="AQ2328" s="34"/>
      <c r="AR2328" s="34"/>
      <c r="AS2328" s="34"/>
      <c r="AT2328" s="34"/>
      <c r="AU2328" s="34"/>
      <c r="AV2328" s="34"/>
      <c r="AW2328" s="34"/>
      <c r="AX2328" s="34"/>
      <c r="AY2328" s="34"/>
      <c r="AZ2328" s="34"/>
      <c r="BA2328" s="34"/>
      <c r="BB2328" s="34"/>
      <c r="BC2328" s="34"/>
      <c r="BD2328" s="34"/>
      <c r="BE2328" s="34"/>
      <c r="BF2328" s="34"/>
      <c r="BG2328" s="34"/>
      <c r="BH2328" s="34"/>
      <c r="BI2328" s="34"/>
      <c r="BJ2328" s="34"/>
      <c r="BK2328" s="34"/>
      <c r="BL2328" s="34"/>
      <c r="BM2328" s="34"/>
      <c r="BN2328" s="34"/>
      <c r="BO2328" s="34"/>
      <c r="BP2328" s="34"/>
      <c r="BQ2328" s="34"/>
      <c r="BR2328" s="34"/>
      <c r="BS2328" s="34"/>
      <c r="BT2328" s="34"/>
      <c r="BU2328" s="34"/>
      <c r="BV2328" s="34"/>
      <c r="BW2328" s="34"/>
      <c r="BX2328" s="34"/>
      <c r="BY2328" s="34"/>
      <c r="BZ2328" s="34"/>
      <c r="CA2328" s="34"/>
      <c r="CB2328" s="34"/>
      <c r="CC2328" s="34"/>
      <c r="CD2328" s="34"/>
      <c r="CE2328" s="34"/>
      <c r="CF2328" s="34"/>
      <c r="CG2328" s="34"/>
      <c r="CH2328" s="34"/>
      <c r="CI2328" s="8"/>
    </row>
    <row r="2329" spans="1:87" x14ac:dyDescent="0.2">
      <c r="A2329" s="8" t="str">
        <f>IF(AND(COUNTIF(W$3:W$13,A$18)&gt;0,A$18&lt;&gt;B2324),A$18,IFERROR(IF(MATCH(A$18,Z$3:Z$13,0)=1,A$18," ")," "))</f>
        <v>C4</v>
      </c>
      <c r="B2329" s="8">
        <f>IF(A2329=" "," ",MAX(B2326:B2328)+1)</f>
        <v>3</v>
      </c>
      <c r="C2329" s="8" t="str">
        <f>IFERROR(INDEX(A2326:A2347,MATCH(SMALL(B2326:B2347,4),B2326:B2347,0),1)," ")</f>
        <v>C13</v>
      </c>
      <c r="D2329" s="8">
        <f t="shared" si="10174"/>
        <v>0</v>
      </c>
      <c r="E2329" s="8">
        <f t="shared" si="10175"/>
        <v>1</v>
      </c>
      <c r="F2329" s="8">
        <f t="shared" si="10176"/>
        <v>0</v>
      </c>
      <c r="G2329" s="8">
        <f t="shared" si="10177"/>
        <v>0</v>
      </c>
      <c r="H2329" s="8">
        <f t="shared" si="10178"/>
        <v>0</v>
      </c>
      <c r="I2329" s="8">
        <f t="shared" si="10179"/>
        <v>0</v>
      </c>
      <c r="J2329" s="8">
        <f t="shared" si="10180"/>
        <v>0</v>
      </c>
      <c r="K2329" s="8">
        <f t="shared" si="10181"/>
        <v>0</v>
      </c>
      <c r="L2329" s="8">
        <f t="shared" si="10182"/>
        <v>0</v>
      </c>
      <c r="M2329" s="8">
        <f t="shared" si="10183"/>
        <v>0</v>
      </c>
      <c r="N2329" s="8">
        <f t="shared" si="10184"/>
        <v>0</v>
      </c>
      <c r="O2329" s="8">
        <f t="shared" si="10185"/>
        <v>0</v>
      </c>
      <c r="P2329" s="8" t="e">
        <v>#NUM!</v>
      </c>
      <c r="Q2329" s="8" t="e">
        <f t="shared" ref="Q2329" si="10210">IF(COUNTIF(P2326:P2336,"&lt;"&amp;-0.001)=0,IF(ABS(P2329)&lt;0.001,0,P2329)," ")</f>
        <v>#NUM!</v>
      </c>
      <c r="R2329" s="8"/>
      <c r="S2329" s="8"/>
      <c r="U2329" s="34"/>
      <c r="V2329" s="34"/>
      <c r="W2329" s="34"/>
      <c r="X2329" s="34"/>
      <c r="Y2329" s="34"/>
      <c r="Z2329" s="34"/>
      <c r="AA2329" s="34"/>
      <c r="AB2329" s="34"/>
      <c r="AC2329" s="34"/>
      <c r="AD2329" s="34"/>
      <c r="AE2329" s="34"/>
      <c r="AF2329" s="34"/>
      <c r="AG2329" s="34"/>
      <c r="AH2329" s="34"/>
      <c r="AI2329" s="34"/>
      <c r="AJ2329" s="34"/>
      <c r="AK2329" s="34"/>
      <c r="AL2329" s="34"/>
      <c r="AM2329" s="34"/>
      <c r="AN2329" s="34"/>
      <c r="AO2329" s="34"/>
      <c r="AP2329" s="34"/>
      <c r="AQ2329" s="34"/>
      <c r="AR2329" s="34"/>
      <c r="AS2329" s="34"/>
      <c r="AT2329" s="34"/>
      <c r="AU2329" s="34"/>
      <c r="AV2329" s="34"/>
      <c r="AW2329" s="34"/>
      <c r="AX2329" s="34"/>
      <c r="AY2329" s="34"/>
      <c r="AZ2329" s="34"/>
      <c r="BA2329" s="34"/>
      <c r="BB2329" s="34"/>
      <c r="BC2329" s="34"/>
      <c r="BD2329" s="34"/>
      <c r="BE2329" s="34"/>
      <c r="BF2329" s="34"/>
      <c r="BG2329" s="34"/>
      <c r="BH2329" s="34"/>
      <c r="BI2329" s="34"/>
      <c r="BJ2329" s="34"/>
      <c r="BK2329" s="34"/>
      <c r="BL2329" s="34"/>
      <c r="BM2329" s="34"/>
      <c r="BN2329" s="34"/>
      <c r="BO2329" s="34"/>
      <c r="BP2329" s="34"/>
      <c r="BQ2329" s="34"/>
      <c r="BR2329" s="34"/>
      <c r="BS2329" s="34"/>
      <c r="BT2329" s="34"/>
      <c r="BU2329" s="34"/>
      <c r="BV2329" s="34"/>
      <c r="BW2329" s="34"/>
      <c r="BX2329" s="34"/>
      <c r="BY2329" s="34"/>
      <c r="BZ2329" s="34"/>
      <c r="CA2329" s="34"/>
      <c r="CB2329" s="34"/>
      <c r="CC2329" s="34"/>
      <c r="CD2329" s="34"/>
      <c r="CE2329" s="34"/>
      <c r="CF2329" s="34"/>
      <c r="CG2329" s="34"/>
      <c r="CH2329" s="34"/>
      <c r="CI2329" s="8"/>
    </row>
    <row r="2330" spans="1:87" x14ac:dyDescent="0.2">
      <c r="A2330" s="8" t="str">
        <f>IF(AND(COUNTIF(W$3:W$13,A$19)&gt;0,A$19&lt;&gt;B2324),A$19,IFERROR(IF(MATCH(A$19,Z$3:Z$13,0)=1,A$19," ")," "))</f>
        <v xml:space="preserve"> </v>
      </c>
      <c r="B2330" s="8" t="str">
        <f>IF(A2330=" "," ",MAX(B2326:B2329)+1)</f>
        <v xml:space="preserve"> </v>
      </c>
      <c r="C2330" s="8" t="str">
        <f>IFERROR(INDEX(A2326:A2347,MATCH(SMALL(B2326:B2347,5),B2326:B2347,0),1)," ")</f>
        <v>C15</v>
      </c>
      <c r="D2330" s="8">
        <f t="shared" si="10174"/>
        <v>0</v>
      </c>
      <c r="E2330" s="8">
        <f t="shared" si="10175"/>
        <v>0</v>
      </c>
      <c r="F2330" s="8">
        <f t="shared" si="10176"/>
        <v>0</v>
      </c>
      <c r="G2330" s="8">
        <f t="shared" si="10177"/>
        <v>1</v>
      </c>
      <c r="H2330" s="8">
        <f t="shared" si="10178"/>
        <v>0</v>
      </c>
      <c r="I2330" s="8">
        <f t="shared" si="10179"/>
        <v>0</v>
      </c>
      <c r="J2330" s="8">
        <f t="shared" si="10180"/>
        <v>0</v>
      </c>
      <c r="K2330" s="8">
        <f t="shared" si="10181"/>
        <v>0</v>
      </c>
      <c r="L2330" s="8">
        <f t="shared" si="10182"/>
        <v>0</v>
      </c>
      <c r="M2330" s="8">
        <f t="shared" si="10183"/>
        <v>0</v>
      </c>
      <c r="N2330" s="8">
        <f t="shared" si="10184"/>
        <v>0</v>
      </c>
      <c r="O2330" s="8">
        <f t="shared" si="10185"/>
        <v>0</v>
      </c>
      <c r="P2330" s="8" t="e">
        <v>#NUM!</v>
      </c>
      <c r="Q2330" s="8" t="e">
        <f t="shared" ref="Q2330" si="10211">IF(COUNTIF(P2326:P2336,"&lt;"&amp;-0.001)=0,IF(ABS(P2330)&lt;0.001,0,P2330)," ")</f>
        <v>#NUM!</v>
      </c>
      <c r="R2330" s="8"/>
      <c r="S2330" s="8"/>
      <c r="U2330" s="34"/>
      <c r="V2330" s="34"/>
      <c r="W2330" s="34"/>
      <c r="X2330" s="34"/>
      <c r="Y2330" s="34"/>
      <c r="Z2330" s="34"/>
      <c r="AA2330" s="34"/>
      <c r="AB2330" s="34"/>
      <c r="AC2330" s="34"/>
      <c r="AD2330" s="34"/>
      <c r="AE2330" s="34"/>
      <c r="AF2330" s="34"/>
      <c r="AG2330" s="34"/>
      <c r="AH2330" s="34"/>
      <c r="AI2330" s="34"/>
      <c r="AJ2330" s="34"/>
      <c r="AK2330" s="34"/>
      <c r="AL2330" s="34"/>
      <c r="AM2330" s="34"/>
      <c r="AN2330" s="34"/>
      <c r="AO2330" s="34"/>
      <c r="AP2330" s="34"/>
      <c r="AQ2330" s="34"/>
      <c r="AR2330" s="34"/>
      <c r="AS2330" s="34"/>
      <c r="AT2330" s="34"/>
      <c r="AU2330" s="34"/>
      <c r="AV2330" s="34"/>
      <c r="AW2330" s="34"/>
      <c r="AX2330" s="34"/>
      <c r="AY2330" s="34"/>
      <c r="AZ2330" s="34"/>
      <c r="BA2330" s="34"/>
      <c r="BB2330" s="34"/>
      <c r="BC2330" s="34"/>
      <c r="BD2330" s="34"/>
      <c r="BE2330" s="34"/>
      <c r="BF2330" s="34"/>
      <c r="BG2330" s="34"/>
      <c r="BH2330" s="34"/>
      <c r="BI2330" s="34"/>
      <c r="BJ2330" s="34"/>
      <c r="BK2330" s="34"/>
      <c r="BL2330" s="34"/>
      <c r="BM2330" s="34"/>
      <c r="BN2330" s="34"/>
      <c r="BO2330" s="34"/>
      <c r="BP2330" s="34"/>
      <c r="BQ2330" s="34"/>
      <c r="BR2330" s="34"/>
      <c r="BS2330" s="34"/>
      <c r="BT2330" s="34"/>
      <c r="BU2330" s="34"/>
      <c r="BV2330" s="34"/>
      <c r="BW2330" s="34"/>
      <c r="BX2330" s="34"/>
      <c r="BY2330" s="34"/>
      <c r="BZ2330" s="34"/>
      <c r="CA2330" s="34"/>
      <c r="CB2330" s="34"/>
      <c r="CC2330" s="34"/>
      <c r="CD2330" s="34"/>
      <c r="CE2330" s="34"/>
      <c r="CF2330" s="34"/>
      <c r="CG2330" s="34"/>
      <c r="CH2330" s="34"/>
      <c r="CI2330" s="8"/>
    </row>
    <row r="2331" spans="1:87" x14ac:dyDescent="0.2">
      <c r="A2331" s="8" t="str">
        <f>IF(AND(COUNTIF(W$3:W$13,A$20)&gt;0,A$20&lt;&gt;B2324),A$20,IFERROR(IF(MATCH(A$20,Z$3:Z$13,0)=1,A$20," ")," "))</f>
        <v xml:space="preserve"> </v>
      </c>
      <c r="B2331" s="8" t="str">
        <f>IF(A2331=" "," ",MAX(B2326:B2330)+1)</f>
        <v xml:space="preserve"> </v>
      </c>
      <c r="C2331" s="8" t="str">
        <f>IFERROR(INDEX(A2326:A2347,MATCH(SMALL(B2326:B2347,6),B2326:B2347,0),1)," ")</f>
        <v>C16</v>
      </c>
      <c r="D2331" s="8">
        <f t="shared" si="10174"/>
        <v>0</v>
      </c>
      <c r="E2331" s="8">
        <f t="shared" si="10175"/>
        <v>0</v>
      </c>
      <c r="F2331" s="8">
        <f t="shared" si="10176"/>
        <v>0</v>
      </c>
      <c r="G2331" s="8">
        <f t="shared" si="10177"/>
        <v>0</v>
      </c>
      <c r="H2331" s="8">
        <f t="shared" si="10178"/>
        <v>1</v>
      </c>
      <c r="I2331" s="8">
        <f t="shared" si="10179"/>
        <v>0</v>
      </c>
      <c r="J2331" s="8">
        <f t="shared" si="10180"/>
        <v>0</v>
      </c>
      <c r="K2331" s="8">
        <f t="shared" si="10181"/>
        <v>0</v>
      </c>
      <c r="L2331" s="8">
        <f t="shared" si="10182"/>
        <v>0</v>
      </c>
      <c r="M2331" s="8">
        <f t="shared" si="10183"/>
        <v>0</v>
      </c>
      <c r="N2331" s="8">
        <f t="shared" si="10184"/>
        <v>0</v>
      </c>
      <c r="O2331" s="8">
        <f t="shared" si="10185"/>
        <v>0</v>
      </c>
      <c r="P2331" s="8" t="e">
        <v>#NUM!</v>
      </c>
      <c r="Q2331" s="8" t="e">
        <f t="shared" ref="Q2331" si="10212">IF(COUNTIF(P2326:P2336,"&lt;"&amp;-0.001)=0,IF(ABS(P2331)&lt;0.001,0,P2331)," ")</f>
        <v>#NUM!</v>
      </c>
      <c r="R2331" s="8"/>
      <c r="S2331" s="8"/>
      <c r="U2331" s="34"/>
      <c r="V2331" s="34"/>
      <c r="W2331" s="34"/>
      <c r="X2331" s="34"/>
      <c r="Y2331" s="34"/>
      <c r="Z2331" s="34"/>
      <c r="AA2331" s="34"/>
      <c r="AB2331" s="34"/>
      <c r="AC2331" s="34"/>
      <c r="AD2331" s="34"/>
      <c r="AE2331" s="34"/>
      <c r="AF2331" s="34"/>
      <c r="AG2331" s="34"/>
      <c r="AH2331" s="34"/>
      <c r="AI2331" s="34"/>
      <c r="AJ2331" s="34"/>
      <c r="AK2331" s="34"/>
      <c r="AL2331" s="34"/>
      <c r="AM2331" s="34"/>
      <c r="AN2331" s="34"/>
      <c r="AO2331" s="34"/>
      <c r="AP2331" s="34"/>
      <c r="AQ2331" s="34"/>
      <c r="AR2331" s="34"/>
      <c r="AS2331" s="34"/>
      <c r="AT2331" s="34"/>
      <c r="AU2331" s="34"/>
      <c r="AV2331" s="34"/>
      <c r="AW2331" s="34"/>
      <c r="AX2331" s="34"/>
      <c r="AY2331" s="34"/>
      <c r="AZ2331" s="34"/>
      <c r="BA2331" s="34"/>
      <c r="BB2331" s="34"/>
      <c r="BC2331" s="34"/>
      <c r="BD2331" s="34"/>
      <c r="BE2331" s="34"/>
      <c r="BF2331" s="34"/>
      <c r="BG2331" s="34"/>
      <c r="BH2331" s="34"/>
      <c r="BI2331" s="34"/>
      <c r="BJ2331" s="34"/>
      <c r="BK2331" s="34"/>
      <c r="BL2331" s="34"/>
      <c r="BM2331" s="34"/>
      <c r="BN2331" s="34"/>
      <c r="BO2331" s="34"/>
      <c r="BP2331" s="34"/>
      <c r="BQ2331" s="34"/>
      <c r="BR2331" s="34"/>
      <c r="BS2331" s="34"/>
      <c r="BT2331" s="34"/>
      <c r="BU2331" s="34"/>
      <c r="BV2331" s="34"/>
      <c r="BW2331" s="34"/>
      <c r="BX2331" s="34"/>
      <c r="BY2331" s="34"/>
      <c r="BZ2331" s="34"/>
      <c r="CA2331" s="34"/>
      <c r="CB2331" s="34"/>
      <c r="CC2331" s="34"/>
      <c r="CD2331" s="34"/>
      <c r="CE2331" s="34"/>
      <c r="CF2331" s="34"/>
      <c r="CG2331" s="34"/>
      <c r="CH2331" s="34"/>
      <c r="CI2331" s="8"/>
    </row>
    <row r="2332" spans="1:87" x14ac:dyDescent="0.2">
      <c r="A2332" s="8" t="str">
        <f>IF(AND(COUNTIF(W$3:W$13,A$21)&gt;0,A$21&lt;&gt;B2324),A$21,IFERROR(IF(MATCH(A$21,Z$3:Z$13,0)=1,A$21," ")," "))</f>
        <v xml:space="preserve"> </v>
      </c>
      <c r="B2332" s="8" t="str">
        <f>IF(A2332=" "," ",MAX(B2326:B2331)+1)</f>
        <v xml:space="preserve"> </v>
      </c>
      <c r="C2332" s="8" t="str">
        <f>IFERROR(INDEX(A2326:A2347,MATCH(SMALL(B2326:B2347,7),B2326:B2347,0),1)," ")</f>
        <v>C17</v>
      </c>
      <c r="D2332" s="8">
        <f t="shared" si="10174"/>
        <v>0</v>
      </c>
      <c r="E2332" s="8">
        <f t="shared" si="10175"/>
        <v>0</v>
      </c>
      <c r="F2332" s="8">
        <f t="shared" si="10176"/>
        <v>0</v>
      </c>
      <c r="G2332" s="8">
        <f t="shared" si="10177"/>
        <v>0</v>
      </c>
      <c r="H2332" s="8">
        <f t="shared" si="10178"/>
        <v>0</v>
      </c>
      <c r="I2332" s="8">
        <f t="shared" si="10179"/>
        <v>1</v>
      </c>
      <c r="J2332" s="8">
        <f t="shared" si="10180"/>
        <v>0</v>
      </c>
      <c r="K2332" s="8">
        <f t="shared" si="10181"/>
        <v>0</v>
      </c>
      <c r="L2332" s="8">
        <f t="shared" si="10182"/>
        <v>0</v>
      </c>
      <c r="M2332" s="8">
        <f t="shared" si="10183"/>
        <v>0</v>
      </c>
      <c r="N2332" s="8">
        <f t="shared" si="10184"/>
        <v>0</v>
      </c>
      <c r="O2332" s="8">
        <f t="shared" si="10185"/>
        <v>0</v>
      </c>
      <c r="P2332" s="8" t="e">
        <v>#NUM!</v>
      </c>
      <c r="Q2332" s="8" t="e">
        <f t="shared" ref="Q2332" si="10213">IF(COUNTIF(P2326:P2336,"&lt;"&amp;-0.001)=0,IF(ABS(P2332)&lt;0.001,0,P2332)," ")</f>
        <v>#NUM!</v>
      </c>
      <c r="R2332" s="8"/>
      <c r="S2332" s="8"/>
      <c r="U2332" s="34"/>
      <c r="V2332" s="34"/>
      <c r="W2332" s="34"/>
      <c r="X2332" s="34"/>
      <c r="Y2332" s="34"/>
      <c r="Z2332" s="34"/>
      <c r="AA2332" s="34"/>
      <c r="AB2332" s="34"/>
      <c r="AC2332" s="34"/>
      <c r="AD2332" s="34"/>
      <c r="AE2332" s="34"/>
      <c r="AF2332" s="34"/>
      <c r="AG2332" s="34"/>
      <c r="AH2332" s="34"/>
      <c r="AI2332" s="34"/>
      <c r="AJ2332" s="34"/>
      <c r="AK2332" s="34"/>
      <c r="AL2332" s="34"/>
      <c r="AM2332" s="34"/>
      <c r="AN2332" s="34"/>
      <c r="AO2332" s="34"/>
      <c r="AP2332" s="34"/>
      <c r="AQ2332" s="34"/>
      <c r="AR2332" s="34"/>
      <c r="AS2332" s="34"/>
      <c r="AT2332" s="34"/>
      <c r="AU2332" s="34"/>
      <c r="AV2332" s="34"/>
      <c r="AW2332" s="34"/>
      <c r="AX2332" s="34"/>
      <c r="AY2332" s="34"/>
      <c r="AZ2332" s="34"/>
      <c r="BA2332" s="34"/>
      <c r="BB2332" s="34"/>
      <c r="BC2332" s="34"/>
      <c r="BD2332" s="34"/>
      <c r="BE2332" s="34"/>
      <c r="BF2332" s="34"/>
      <c r="BG2332" s="34"/>
      <c r="BH2332" s="34"/>
      <c r="BI2332" s="34"/>
      <c r="BJ2332" s="34"/>
      <c r="BK2332" s="34"/>
      <c r="BL2332" s="34"/>
      <c r="BM2332" s="34"/>
      <c r="BN2332" s="34"/>
      <c r="BO2332" s="34"/>
      <c r="BP2332" s="34"/>
      <c r="BQ2332" s="34"/>
      <c r="BR2332" s="34"/>
      <c r="BS2332" s="34"/>
      <c r="BT2332" s="34"/>
      <c r="BU2332" s="34"/>
      <c r="BV2332" s="34"/>
      <c r="BW2332" s="34"/>
      <c r="BX2332" s="34"/>
      <c r="BY2332" s="34"/>
      <c r="BZ2332" s="34"/>
      <c r="CA2332" s="34"/>
      <c r="CB2332" s="34"/>
      <c r="CC2332" s="34"/>
      <c r="CD2332" s="34"/>
      <c r="CE2332" s="34"/>
      <c r="CF2332" s="34"/>
      <c r="CG2332" s="34"/>
      <c r="CH2332" s="34"/>
      <c r="CI2332" s="8"/>
    </row>
    <row r="2333" spans="1:87" x14ac:dyDescent="0.2">
      <c r="A2333" s="8" t="str">
        <f>IF(AND(COUNTIF(W$3:W$13,A$22)&gt;0,A$22&lt;&gt;B2324),A$22,IFERROR(IF(MATCH(A$22,Z$3:Z$13,0)=1,A$22," ")," "))</f>
        <v xml:space="preserve"> </v>
      </c>
      <c r="B2333" s="8" t="str">
        <f>IF(A2333=" "," ",MAX(B2326:B2332)+1)</f>
        <v xml:space="preserve"> </v>
      </c>
      <c r="C2333" s="8" t="str">
        <f>IFERROR(INDEX(A2326:A2347,MATCH(SMALL(B2326:B2347,8),B2326:B2347,0),1)," ")</f>
        <v>C18</v>
      </c>
      <c r="D2333" s="8">
        <f t="shared" si="10174"/>
        <v>0</v>
      </c>
      <c r="E2333" s="8">
        <f t="shared" si="10175"/>
        <v>0</v>
      </c>
      <c r="F2333" s="8">
        <f t="shared" si="10176"/>
        <v>0</v>
      </c>
      <c r="G2333" s="8">
        <f t="shared" si="10177"/>
        <v>0</v>
      </c>
      <c r="H2333" s="8">
        <f t="shared" si="10178"/>
        <v>0</v>
      </c>
      <c r="I2333" s="8">
        <f t="shared" si="10179"/>
        <v>0</v>
      </c>
      <c r="J2333" s="8">
        <f t="shared" si="10180"/>
        <v>1</v>
      </c>
      <c r="K2333" s="8">
        <f t="shared" si="10181"/>
        <v>0</v>
      </c>
      <c r="L2333" s="8">
        <f t="shared" si="10182"/>
        <v>0</v>
      </c>
      <c r="M2333" s="8">
        <f t="shared" si="10183"/>
        <v>0</v>
      </c>
      <c r="N2333" s="8">
        <f t="shared" si="10184"/>
        <v>0</v>
      </c>
      <c r="O2333" s="8">
        <f t="shared" si="10185"/>
        <v>0</v>
      </c>
      <c r="P2333" s="8" t="e">
        <v>#NUM!</v>
      </c>
      <c r="Q2333" s="8" t="e">
        <f t="shared" ref="Q2333" si="10214">IF(COUNTIF(P2326:P2336,"&lt;"&amp;-0.001)=0,IF(ABS(P2333)&lt;0.001,0,P2333)," ")</f>
        <v>#NUM!</v>
      </c>
      <c r="R2333" s="8"/>
      <c r="S2333" s="8"/>
      <c r="U2333" s="34"/>
      <c r="V2333" s="34"/>
      <c r="W2333" s="34"/>
      <c r="X2333" s="34"/>
      <c r="Y2333" s="34"/>
      <c r="Z2333" s="34"/>
      <c r="AA2333" s="34"/>
      <c r="AB2333" s="34"/>
      <c r="AC2333" s="34"/>
      <c r="AD2333" s="34"/>
      <c r="AE2333" s="34"/>
      <c r="AF2333" s="34"/>
      <c r="AG2333" s="34"/>
      <c r="AH2333" s="34"/>
      <c r="AI2333" s="34"/>
      <c r="AJ2333" s="34"/>
      <c r="AK2333" s="34"/>
      <c r="AL2333" s="34"/>
      <c r="AM2333" s="34"/>
      <c r="AN2333" s="34"/>
      <c r="AO2333" s="34"/>
      <c r="AP2333" s="34"/>
      <c r="AQ2333" s="34"/>
      <c r="AR2333" s="34"/>
      <c r="AS2333" s="34"/>
      <c r="AT2333" s="34"/>
      <c r="AU2333" s="34"/>
      <c r="AV2333" s="34"/>
      <c r="AW2333" s="34"/>
      <c r="AX2333" s="34"/>
      <c r="AY2333" s="34"/>
      <c r="AZ2333" s="34"/>
      <c r="BA2333" s="34"/>
      <c r="BB2333" s="34"/>
      <c r="BC2333" s="34"/>
      <c r="BD2333" s="34"/>
      <c r="BE2333" s="34"/>
      <c r="BF2333" s="34"/>
      <c r="BG2333" s="34"/>
      <c r="BH2333" s="34"/>
      <c r="BI2333" s="34"/>
      <c r="BJ2333" s="34"/>
      <c r="BK2333" s="34"/>
      <c r="BL2333" s="34"/>
      <c r="BM2333" s="34"/>
      <c r="BN2333" s="34"/>
      <c r="BO2333" s="34"/>
      <c r="BP2333" s="34"/>
      <c r="BQ2333" s="34"/>
      <c r="BR2333" s="34"/>
      <c r="BS2333" s="34"/>
      <c r="BT2333" s="34"/>
      <c r="BU2333" s="34"/>
      <c r="BV2333" s="34"/>
      <c r="BW2333" s="34"/>
      <c r="BX2333" s="34"/>
      <c r="BY2333" s="34"/>
      <c r="BZ2333" s="34"/>
      <c r="CA2333" s="34"/>
      <c r="CB2333" s="34"/>
      <c r="CC2333" s="34"/>
      <c r="CD2333" s="34"/>
      <c r="CE2333" s="34"/>
      <c r="CF2333" s="34"/>
      <c r="CG2333" s="34"/>
      <c r="CH2333" s="34"/>
      <c r="CI2333" s="8"/>
    </row>
    <row r="2334" spans="1:87" x14ac:dyDescent="0.2">
      <c r="A2334" s="8" t="str">
        <f>IF(AND(COUNTIF(W$3:W$13,A$23)&gt;0,A$23&lt;&gt;B2324),A$23,IFERROR(IF(MATCH(A$23,Z$3:Z$13,0)=1,A$23," ")," "))</f>
        <v xml:space="preserve"> </v>
      </c>
      <c r="B2334" s="8" t="str">
        <f>IF(A2334=" "," ",MAX(B2326:B2333)+1)</f>
        <v xml:space="preserve"> </v>
      </c>
      <c r="C2334" s="8" t="str">
        <f>IFERROR(INDEX(A2326:A2347,MATCH(SMALL(B2326:B2347,9),B2326:B2347,0),1)," ")</f>
        <v>C19</v>
      </c>
      <c r="D2334" s="8">
        <f t="shared" si="10174"/>
        <v>0</v>
      </c>
      <c r="E2334" s="8">
        <f t="shared" si="10175"/>
        <v>0</v>
      </c>
      <c r="F2334" s="8">
        <f t="shared" si="10176"/>
        <v>0</v>
      </c>
      <c r="G2334" s="8">
        <f t="shared" si="10177"/>
        <v>0</v>
      </c>
      <c r="H2334" s="8">
        <f t="shared" si="10178"/>
        <v>0</v>
      </c>
      <c r="I2334" s="8">
        <f t="shared" si="10179"/>
        <v>0</v>
      </c>
      <c r="J2334" s="8">
        <f t="shared" si="10180"/>
        <v>0</v>
      </c>
      <c r="K2334" s="8">
        <f t="shared" si="10181"/>
        <v>1</v>
      </c>
      <c r="L2334" s="8">
        <f t="shared" si="10182"/>
        <v>0</v>
      </c>
      <c r="M2334" s="8">
        <f t="shared" si="10183"/>
        <v>0</v>
      </c>
      <c r="N2334" s="8">
        <f t="shared" si="10184"/>
        <v>0</v>
      </c>
      <c r="O2334" s="8">
        <f t="shared" si="10185"/>
        <v>0</v>
      </c>
      <c r="P2334" s="6" t="e">
        <v>#NUM!</v>
      </c>
      <c r="Q2334" s="8" t="e">
        <f t="shared" ref="Q2334" si="10215">IF(COUNTIF(P2326:P2336,"&lt;"&amp;-0.001)=0,IF(ABS(P2334)&lt;0.001,0,P2334)," ")</f>
        <v>#NUM!</v>
      </c>
      <c r="R2334" s="8"/>
      <c r="S2334" s="8"/>
      <c r="U2334" s="34"/>
      <c r="V2334" s="34"/>
      <c r="W2334" s="34"/>
      <c r="X2334" s="34"/>
      <c r="Y2334" s="34"/>
      <c r="Z2334" s="34"/>
      <c r="AA2334" s="34"/>
      <c r="AB2334" s="34"/>
      <c r="AC2334" s="34"/>
      <c r="AD2334" s="34"/>
      <c r="AE2334" s="34"/>
      <c r="AF2334" s="34"/>
      <c r="AG2334" s="34"/>
      <c r="AH2334" s="34"/>
      <c r="AI2334" s="34"/>
      <c r="AJ2334" s="34"/>
      <c r="AK2334" s="34"/>
      <c r="AL2334" s="34"/>
      <c r="AM2334" s="34"/>
      <c r="AN2334" s="34"/>
      <c r="AO2334" s="34"/>
      <c r="AP2334" s="34"/>
      <c r="AQ2334" s="34"/>
      <c r="AR2334" s="34"/>
      <c r="AS2334" s="34"/>
      <c r="AT2334" s="34"/>
      <c r="AU2334" s="34"/>
      <c r="AV2334" s="34"/>
      <c r="AW2334" s="34"/>
      <c r="AX2334" s="34"/>
      <c r="AY2334" s="34"/>
      <c r="AZ2334" s="34"/>
      <c r="BA2334" s="34"/>
      <c r="BB2334" s="34"/>
      <c r="BC2334" s="34"/>
      <c r="BD2334" s="34"/>
      <c r="BE2334" s="34"/>
      <c r="BF2334" s="34"/>
      <c r="BG2334" s="34"/>
      <c r="BH2334" s="34"/>
      <c r="BI2334" s="34"/>
      <c r="BJ2334" s="34"/>
      <c r="BK2334" s="34"/>
      <c r="BL2334" s="34"/>
      <c r="BM2334" s="34"/>
      <c r="BN2334" s="34"/>
      <c r="BO2334" s="34"/>
      <c r="BP2334" s="34"/>
      <c r="BQ2334" s="34"/>
      <c r="BR2334" s="34"/>
      <c r="BS2334" s="34"/>
      <c r="BT2334" s="34"/>
      <c r="BU2334" s="34"/>
      <c r="BV2334" s="34"/>
      <c r="BW2334" s="34"/>
      <c r="BX2334" s="34"/>
      <c r="BY2334" s="34"/>
      <c r="BZ2334" s="34"/>
      <c r="CA2334" s="34"/>
      <c r="CB2334" s="34"/>
      <c r="CC2334" s="34"/>
      <c r="CD2334" s="34"/>
      <c r="CE2334" s="34"/>
      <c r="CF2334" s="34"/>
      <c r="CG2334" s="34"/>
      <c r="CH2334" s="34"/>
      <c r="CI2334" s="8"/>
    </row>
    <row r="2335" spans="1:87" x14ac:dyDescent="0.2">
      <c r="A2335" s="8" t="str">
        <f>IF(AND(COUNTIF(W$3:W$13,A$24)&gt;0,A$24&lt;&gt;B2324),A$24,IFERROR(IF(MATCH(A$24,Z$3:Z$13,0)=1,A$24," ")," "))</f>
        <v xml:space="preserve"> </v>
      </c>
      <c r="B2335" s="8" t="str">
        <f>IF(A2335=" "," ",MAX(B2326:B2334)+1)</f>
        <v xml:space="preserve"> </v>
      </c>
      <c r="C2335" s="8" t="str">
        <f>IFERROR(INDEX(A2326:A2347,MATCH(SMALL(B2326:B2347,10),B2326:B2347,0),1)," ")</f>
        <v>C20</v>
      </c>
      <c r="D2335" s="8">
        <f t="shared" si="10174"/>
        <v>0</v>
      </c>
      <c r="E2335" s="8">
        <f t="shared" si="10175"/>
        <v>0</v>
      </c>
      <c r="F2335" s="8">
        <f t="shared" si="10176"/>
        <v>0</v>
      </c>
      <c r="G2335" s="8">
        <f t="shared" si="10177"/>
        <v>0</v>
      </c>
      <c r="H2335" s="8">
        <f t="shared" si="10178"/>
        <v>0</v>
      </c>
      <c r="I2335" s="8">
        <f t="shared" si="10179"/>
        <v>0</v>
      </c>
      <c r="J2335" s="8">
        <f t="shared" si="10180"/>
        <v>0</v>
      </c>
      <c r="K2335" s="8">
        <f t="shared" si="10181"/>
        <v>0</v>
      </c>
      <c r="L2335" s="8">
        <f t="shared" si="10182"/>
        <v>1</v>
      </c>
      <c r="M2335" s="8">
        <f t="shared" si="10183"/>
        <v>0</v>
      </c>
      <c r="N2335" s="8">
        <f t="shared" si="10184"/>
        <v>0</v>
      </c>
      <c r="O2335" s="8">
        <f t="shared" si="10185"/>
        <v>0</v>
      </c>
      <c r="P2335" s="8" t="e">
        <v>#NUM!</v>
      </c>
      <c r="Q2335" s="8" t="e">
        <f t="shared" ref="Q2335" si="10216">IF(COUNTIF(P2326:P2336,"&lt;"&amp;-0.001)=0,IF(ABS(P2335)&lt;0.001,0,P2335)," ")</f>
        <v>#NUM!</v>
      </c>
      <c r="R2335" s="8"/>
      <c r="S2335" s="8"/>
      <c r="U2335" s="34"/>
      <c r="V2335" s="34"/>
      <c r="W2335" s="34"/>
      <c r="X2335" s="34"/>
      <c r="Y2335" s="34"/>
      <c r="Z2335" s="34"/>
      <c r="AA2335" s="34"/>
      <c r="AB2335" s="34"/>
      <c r="AC2335" s="34"/>
      <c r="AD2335" s="34"/>
      <c r="AE2335" s="34"/>
      <c r="AF2335" s="34"/>
      <c r="AG2335" s="34"/>
      <c r="AH2335" s="34"/>
      <c r="AI2335" s="34"/>
      <c r="AJ2335" s="34"/>
      <c r="AK2335" s="34"/>
      <c r="AL2335" s="34"/>
      <c r="AM2335" s="34"/>
      <c r="AN2335" s="34"/>
      <c r="AO2335" s="34"/>
      <c r="AP2335" s="34"/>
      <c r="AQ2335" s="34"/>
      <c r="AR2335" s="34"/>
      <c r="AS2335" s="34"/>
      <c r="AT2335" s="34"/>
      <c r="AU2335" s="34"/>
      <c r="AV2335" s="34"/>
      <c r="AW2335" s="34"/>
      <c r="AX2335" s="34"/>
      <c r="AY2335" s="34"/>
      <c r="AZ2335" s="34"/>
      <c r="BA2335" s="34"/>
      <c r="BB2335" s="34"/>
      <c r="BC2335" s="34"/>
      <c r="BD2335" s="34"/>
      <c r="BE2335" s="34"/>
      <c r="BF2335" s="34"/>
      <c r="BG2335" s="34"/>
      <c r="BH2335" s="34"/>
      <c r="BI2335" s="34"/>
      <c r="BJ2335" s="34"/>
      <c r="BK2335" s="34"/>
      <c r="BL2335" s="34"/>
      <c r="BM2335" s="34"/>
      <c r="BN2335" s="34"/>
      <c r="BO2335" s="34"/>
      <c r="BP2335" s="34"/>
      <c r="BQ2335" s="34"/>
      <c r="BR2335" s="34"/>
      <c r="BS2335" s="34"/>
      <c r="BT2335" s="34"/>
      <c r="BU2335" s="34"/>
      <c r="BV2335" s="34"/>
      <c r="BW2335" s="34"/>
      <c r="BX2335" s="34"/>
      <c r="BY2335" s="34"/>
      <c r="BZ2335" s="34"/>
      <c r="CA2335" s="34"/>
      <c r="CB2335" s="34"/>
      <c r="CC2335" s="34"/>
      <c r="CD2335" s="34"/>
      <c r="CE2335" s="34"/>
      <c r="CF2335" s="34"/>
      <c r="CG2335" s="34"/>
      <c r="CH2335" s="34"/>
      <c r="CI2335" s="8"/>
    </row>
    <row r="2336" spans="1:87" x14ac:dyDescent="0.2">
      <c r="A2336" s="8" t="str">
        <f>IF(AND(COUNTIF(W$3:W$13,A$25)&gt;0,A$25&lt;&gt;B2324),A$25,IFERROR(IF(MATCH(A$25,Z$3:Z$13,0)=1,A$25," ")," "))</f>
        <v xml:space="preserve"> </v>
      </c>
      <c r="B2336" s="8" t="str">
        <f>IF(A2336=" "," ",MAX(B2326:B2335)+1)</f>
        <v xml:space="preserve"> </v>
      </c>
      <c r="C2336" s="8" t="str">
        <f>IFERROR(INDEX(A2326:A2347,MATCH(SMALL(B2326:B2347,11),B2326:B2347,0),1)," ")</f>
        <v>C22</v>
      </c>
      <c r="D2336" s="8">
        <f t="shared" si="10174"/>
        <v>0</v>
      </c>
      <c r="E2336" s="8">
        <f t="shared" si="10175"/>
        <v>0</v>
      </c>
      <c r="F2336" s="8">
        <f t="shared" si="10176"/>
        <v>0</v>
      </c>
      <c r="G2336" s="8">
        <f t="shared" si="10177"/>
        <v>0</v>
      </c>
      <c r="H2336" s="8">
        <f t="shared" si="10178"/>
        <v>0</v>
      </c>
      <c r="I2336" s="8">
        <f t="shared" si="10179"/>
        <v>0</v>
      </c>
      <c r="J2336" s="8">
        <f t="shared" si="10180"/>
        <v>0</v>
      </c>
      <c r="K2336" s="8">
        <f t="shared" si="10181"/>
        <v>0</v>
      </c>
      <c r="L2336" s="8">
        <f t="shared" si="10182"/>
        <v>0</v>
      </c>
      <c r="M2336" s="8">
        <f t="shared" si="10183"/>
        <v>0</v>
      </c>
      <c r="N2336" s="8">
        <f t="shared" si="10184"/>
        <v>1</v>
      </c>
      <c r="O2336" s="8">
        <f t="shared" si="10185"/>
        <v>0</v>
      </c>
      <c r="P2336" s="8" t="e">
        <v>#NUM!</v>
      </c>
      <c r="Q2336" s="8" t="e">
        <f t="shared" ref="Q2336" si="10217">IF(COUNTIF(P2326:P2336,"&lt;"&amp;-0.001)=0,IF(ABS(P2336)&lt;0.001,0,P2336)," ")</f>
        <v>#NUM!</v>
      </c>
      <c r="R2336" s="8"/>
      <c r="S2336" s="8"/>
      <c r="U2336" s="34"/>
      <c r="V2336" s="34"/>
      <c r="W2336" s="34"/>
      <c r="X2336" s="34"/>
      <c r="Y2336" s="34"/>
      <c r="Z2336" s="34"/>
      <c r="AA2336" s="34"/>
      <c r="AB2336" s="34"/>
      <c r="AC2336" s="34"/>
      <c r="AD2336" s="34"/>
      <c r="AE2336" s="34"/>
      <c r="AF2336" s="34"/>
      <c r="AG2336" s="34"/>
      <c r="AH2336" s="34"/>
      <c r="AI2336" s="34"/>
      <c r="AJ2336" s="34"/>
      <c r="AK2336" s="34"/>
      <c r="AL2336" s="34"/>
      <c r="AM2336" s="34"/>
      <c r="AN2336" s="34"/>
      <c r="AO2336" s="34"/>
      <c r="AP2336" s="34"/>
      <c r="AQ2336" s="34"/>
      <c r="AR2336" s="34"/>
      <c r="AS2336" s="34"/>
      <c r="AT2336" s="34"/>
      <c r="AU2336" s="34"/>
      <c r="AV2336" s="34"/>
      <c r="AW2336" s="34"/>
      <c r="AX2336" s="34"/>
      <c r="AY2336" s="34"/>
      <c r="AZ2336" s="34"/>
      <c r="BA2336" s="34"/>
      <c r="BB2336" s="34"/>
      <c r="BC2336" s="34"/>
      <c r="BD2336" s="34"/>
      <c r="BE2336" s="34"/>
      <c r="BF2336" s="34"/>
      <c r="BG2336" s="34"/>
      <c r="BH2336" s="34"/>
      <c r="BI2336" s="34"/>
      <c r="BJ2336" s="34"/>
      <c r="BK2336" s="34"/>
      <c r="BL2336" s="34"/>
      <c r="BM2336" s="34"/>
      <c r="BN2336" s="34"/>
      <c r="BO2336" s="34"/>
      <c r="BP2336" s="34"/>
      <c r="BQ2336" s="34"/>
      <c r="BR2336" s="34"/>
      <c r="BS2336" s="34"/>
      <c r="BT2336" s="34"/>
      <c r="BU2336" s="34"/>
      <c r="BV2336" s="34"/>
      <c r="BW2336" s="34"/>
      <c r="BX2336" s="34"/>
      <c r="BY2336" s="34"/>
      <c r="BZ2336" s="34"/>
      <c r="CA2336" s="34"/>
      <c r="CB2336" s="34"/>
      <c r="CC2336" s="34"/>
      <c r="CD2336" s="34"/>
      <c r="CE2336" s="34"/>
      <c r="CF2336" s="34"/>
      <c r="CG2336" s="34"/>
      <c r="CH2336" s="34"/>
      <c r="CI2336" s="8"/>
    </row>
    <row r="2337" spans="1:87" x14ac:dyDescent="0.2">
      <c r="A2337" s="8" t="str">
        <f>IF(AND(COUNTIF(W$3:W$13,A$26)&gt;0,A$26&lt;&gt;B2324),A$26,IFERROR(IF(MATCH(A$26,Z$3:Z$13,0)=1,A$26," ")," "))</f>
        <v xml:space="preserve"> </v>
      </c>
      <c r="B2337" s="8" t="str">
        <f>IF(A2337=" "," ",MAX(B2326:B2336)+1)</f>
        <v xml:space="preserve"> </v>
      </c>
      <c r="C2337" s="8"/>
      <c r="D2337" s="8"/>
      <c r="E2337" s="8"/>
      <c r="F2337" s="8"/>
      <c r="G2337" s="8"/>
      <c r="H2337" s="8"/>
      <c r="I2337" s="8"/>
      <c r="J2337" s="8"/>
      <c r="K2337" s="8"/>
      <c r="L2337" s="8"/>
      <c r="M2337" s="8"/>
      <c r="N2337" s="8"/>
      <c r="O2337" s="8"/>
      <c r="P2337" s="8"/>
      <c r="Q2337" s="8"/>
      <c r="R2337" s="8"/>
      <c r="S2337" s="8"/>
      <c r="U2337" s="34"/>
      <c r="V2337" s="34"/>
      <c r="W2337" s="34"/>
      <c r="X2337" s="34"/>
      <c r="Y2337" s="34"/>
      <c r="Z2337" s="34"/>
      <c r="AA2337" s="34"/>
      <c r="AB2337" s="34"/>
      <c r="AC2337" s="34"/>
      <c r="AD2337" s="34"/>
      <c r="AE2337" s="34"/>
      <c r="AF2337" s="34"/>
      <c r="AG2337" s="34"/>
      <c r="AH2337" s="34"/>
      <c r="AI2337" s="34"/>
      <c r="AJ2337" s="34"/>
      <c r="AK2337" s="34"/>
      <c r="AL2337" s="34"/>
      <c r="AM2337" s="34"/>
      <c r="AN2337" s="34"/>
      <c r="AO2337" s="34"/>
      <c r="AP2337" s="34"/>
      <c r="AQ2337" s="34"/>
      <c r="AR2337" s="34"/>
      <c r="AS2337" s="34"/>
      <c r="AT2337" s="34"/>
      <c r="AU2337" s="34"/>
      <c r="AV2337" s="34"/>
      <c r="AW2337" s="34"/>
      <c r="AX2337" s="34"/>
      <c r="AY2337" s="34"/>
      <c r="AZ2337" s="34"/>
      <c r="BA2337" s="34"/>
      <c r="BB2337" s="34"/>
      <c r="BC2337" s="34"/>
      <c r="BD2337" s="34"/>
      <c r="BE2337" s="34"/>
      <c r="BF2337" s="34"/>
      <c r="BG2337" s="34"/>
      <c r="BH2337" s="34"/>
      <c r="BI2337" s="34"/>
      <c r="BJ2337" s="34"/>
      <c r="BK2337" s="34"/>
      <c r="BL2337" s="34"/>
      <c r="BM2337" s="34"/>
      <c r="BN2337" s="34"/>
      <c r="BO2337" s="34"/>
      <c r="BP2337" s="34"/>
      <c r="BQ2337" s="34"/>
      <c r="BR2337" s="34"/>
      <c r="BS2337" s="34"/>
      <c r="BT2337" s="34"/>
      <c r="BU2337" s="34"/>
      <c r="BV2337" s="34"/>
      <c r="BW2337" s="34"/>
      <c r="BX2337" s="34"/>
      <c r="BY2337" s="34"/>
      <c r="BZ2337" s="34"/>
      <c r="CA2337" s="34"/>
      <c r="CB2337" s="34"/>
      <c r="CC2337" s="34"/>
      <c r="CD2337" s="34"/>
      <c r="CE2337" s="34"/>
      <c r="CF2337" s="34"/>
      <c r="CG2337" s="34"/>
      <c r="CH2337" s="34"/>
      <c r="CI2337" s="8"/>
    </row>
    <row r="2338" spans="1:87" x14ac:dyDescent="0.2">
      <c r="A2338" s="8" t="str">
        <f>IF(AND(COUNTIF(W$3:W$13,A$27)&gt;0,A$27&lt;&gt;B2324),A$27,IFERROR(IF(MATCH(A$27,Z$3:Z$13,0)=1,A$27," ")," "))</f>
        <v>C13</v>
      </c>
      <c r="B2338" s="8">
        <f>IF(A2338=" "," ",MAX(B2326:B2337)+1)</f>
        <v>4</v>
      </c>
      <c r="C2338" s="8"/>
      <c r="D2338" s="8"/>
      <c r="E2338" s="8"/>
      <c r="F2338" s="8"/>
      <c r="G2338" s="8"/>
      <c r="H2338" s="8"/>
      <c r="I2338" s="8"/>
      <c r="J2338" s="8"/>
      <c r="K2338" s="8"/>
      <c r="L2338" s="8"/>
      <c r="M2338" s="8"/>
      <c r="N2338" s="8"/>
      <c r="O2338" s="8"/>
      <c r="P2338" s="6"/>
      <c r="Q2338" s="8"/>
      <c r="R2338" s="8"/>
      <c r="S2338" s="8"/>
      <c r="U2338" s="34"/>
      <c r="V2338" s="34"/>
      <c r="W2338" s="34"/>
      <c r="X2338" s="34"/>
      <c r="Y2338" s="34"/>
      <c r="Z2338" s="34"/>
      <c r="AA2338" s="34"/>
      <c r="AB2338" s="34"/>
      <c r="AC2338" s="34"/>
      <c r="AD2338" s="34"/>
      <c r="AE2338" s="34"/>
      <c r="AF2338" s="34"/>
      <c r="AG2338" s="34"/>
      <c r="AH2338" s="34"/>
      <c r="AI2338" s="34"/>
      <c r="AJ2338" s="34"/>
      <c r="AK2338" s="34"/>
      <c r="AL2338" s="34"/>
      <c r="AM2338" s="34"/>
      <c r="AN2338" s="34"/>
      <c r="AO2338" s="34"/>
      <c r="AP2338" s="34"/>
      <c r="AQ2338" s="34"/>
      <c r="AR2338" s="34"/>
      <c r="AS2338" s="34"/>
      <c r="AT2338" s="34"/>
      <c r="AU2338" s="34"/>
      <c r="AV2338" s="34"/>
      <c r="AW2338" s="34"/>
      <c r="AX2338" s="34"/>
      <c r="AY2338" s="34"/>
      <c r="AZ2338" s="34"/>
      <c r="BA2338" s="34"/>
      <c r="BB2338" s="34"/>
      <c r="BC2338" s="34"/>
      <c r="BD2338" s="34"/>
      <c r="BE2338" s="34"/>
      <c r="BF2338" s="34"/>
      <c r="BG2338" s="34"/>
      <c r="BH2338" s="34"/>
      <c r="BI2338" s="34"/>
      <c r="BJ2338" s="34"/>
      <c r="BK2338" s="34"/>
      <c r="BL2338" s="34"/>
      <c r="BM2338" s="34"/>
      <c r="BN2338" s="34"/>
      <c r="BO2338" s="34"/>
      <c r="BP2338" s="34"/>
      <c r="BQ2338" s="34"/>
      <c r="BR2338" s="34"/>
      <c r="BS2338" s="34"/>
      <c r="BT2338" s="34"/>
      <c r="BU2338" s="34"/>
      <c r="BV2338" s="34"/>
      <c r="BW2338" s="34"/>
      <c r="BX2338" s="34"/>
      <c r="BY2338" s="34"/>
      <c r="BZ2338" s="34"/>
      <c r="CA2338" s="34"/>
      <c r="CB2338" s="34"/>
      <c r="CC2338" s="34"/>
      <c r="CD2338" s="34"/>
      <c r="CE2338" s="34"/>
      <c r="CF2338" s="34"/>
      <c r="CG2338" s="34"/>
      <c r="CH2338" s="34"/>
      <c r="CI2338" s="8"/>
    </row>
    <row r="2339" spans="1:87" x14ac:dyDescent="0.2">
      <c r="A2339" s="8" t="str">
        <f>IF(AND(COUNTIF(W$3:W$13,A$28)&gt;0,A$28&lt;&gt;B2324),A$28,IFERROR(IF(MATCH(A$28,Z$3:Z$13,0)=1,A$28," ")," "))</f>
        <v xml:space="preserve"> </v>
      </c>
      <c r="B2339" s="8" t="str">
        <f>IF(A2339=" "," ",MAX(B2326:B2338)+1)</f>
        <v xml:space="preserve"> </v>
      </c>
      <c r="C2339" s="8"/>
      <c r="D2339" s="8"/>
      <c r="E2339" s="8"/>
      <c r="F2339" s="8"/>
      <c r="G2339" s="8"/>
      <c r="H2339" s="8"/>
      <c r="I2339" s="8"/>
      <c r="J2339" s="8"/>
      <c r="K2339" s="8"/>
      <c r="L2339" s="8"/>
      <c r="M2339" s="8"/>
      <c r="N2339" s="8"/>
      <c r="O2339" s="8"/>
      <c r="P2339" s="8"/>
      <c r="Q2339" s="8"/>
      <c r="R2339" s="8"/>
      <c r="S2339" s="8"/>
      <c r="U2339" s="34"/>
      <c r="V2339" s="34"/>
      <c r="W2339" s="34"/>
      <c r="X2339" s="34"/>
      <c r="Y2339" s="34"/>
      <c r="Z2339" s="34"/>
      <c r="AA2339" s="34"/>
      <c r="AB2339" s="34"/>
      <c r="AC2339" s="34"/>
      <c r="AD2339" s="34"/>
      <c r="AE2339" s="34"/>
      <c r="AF2339" s="34"/>
      <c r="AG2339" s="34"/>
      <c r="AH2339" s="34"/>
      <c r="AI2339" s="34"/>
      <c r="AJ2339" s="34"/>
      <c r="AK2339" s="34"/>
      <c r="AL2339" s="34"/>
      <c r="AM2339" s="34"/>
      <c r="AN2339" s="34"/>
      <c r="AO2339" s="34"/>
      <c r="AP2339" s="34"/>
      <c r="AQ2339" s="34"/>
      <c r="AR2339" s="34"/>
      <c r="AS2339" s="34"/>
      <c r="AT2339" s="34"/>
      <c r="AU2339" s="34"/>
      <c r="AV2339" s="34"/>
      <c r="AW2339" s="34"/>
      <c r="AX2339" s="34"/>
      <c r="AY2339" s="34"/>
      <c r="AZ2339" s="34"/>
      <c r="BA2339" s="34"/>
      <c r="BB2339" s="34"/>
      <c r="BC2339" s="34"/>
      <c r="BD2339" s="34"/>
      <c r="BE2339" s="34"/>
      <c r="BF2339" s="34"/>
      <c r="BG2339" s="34"/>
      <c r="BH2339" s="34"/>
      <c r="BI2339" s="34"/>
      <c r="BJ2339" s="34"/>
      <c r="BK2339" s="34"/>
      <c r="BL2339" s="34"/>
      <c r="BM2339" s="34"/>
      <c r="BN2339" s="34"/>
      <c r="BO2339" s="34"/>
      <c r="BP2339" s="34"/>
      <c r="BQ2339" s="34"/>
      <c r="BR2339" s="34"/>
      <c r="BS2339" s="34"/>
      <c r="BT2339" s="34"/>
      <c r="BU2339" s="34"/>
      <c r="BV2339" s="34"/>
      <c r="BW2339" s="34"/>
      <c r="BX2339" s="34"/>
      <c r="BY2339" s="34"/>
      <c r="BZ2339" s="34"/>
      <c r="CA2339" s="34"/>
      <c r="CB2339" s="34"/>
      <c r="CC2339" s="34"/>
      <c r="CD2339" s="34"/>
      <c r="CE2339" s="34"/>
      <c r="CF2339" s="34"/>
      <c r="CG2339" s="34"/>
      <c r="CH2339" s="34"/>
      <c r="CI2339" s="8"/>
    </row>
    <row r="2340" spans="1:87" x14ac:dyDescent="0.2">
      <c r="A2340" s="8" t="str">
        <f>IF(AND(COUNTIF(W$3:W$13,A$29)&gt;0,A$29&lt;&gt;B2324),A$29,IFERROR(IF(MATCH(A$29,Z$3:Z$13,0)=1,A$29," ")," "))</f>
        <v>C15</v>
      </c>
      <c r="B2340" s="8">
        <f>IF(A2340=" "," ",MAX(B2326:B2339)+1)</f>
        <v>5</v>
      </c>
      <c r="C2340" s="8"/>
      <c r="D2340" s="8"/>
      <c r="E2340" s="8"/>
      <c r="F2340" s="8"/>
      <c r="G2340" s="8"/>
      <c r="H2340" s="8"/>
      <c r="I2340" s="8"/>
      <c r="J2340" s="8"/>
      <c r="K2340" s="8"/>
      <c r="L2340" s="8"/>
      <c r="M2340" s="8"/>
      <c r="N2340" s="8"/>
      <c r="O2340" s="8"/>
      <c r="P2340" s="8"/>
      <c r="Q2340" s="8"/>
      <c r="R2340" s="8"/>
      <c r="S2340" s="8"/>
      <c r="U2340" s="34"/>
      <c r="V2340" s="34"/>
      <c r="W2340" s="34"/>
      <c r="X2340" s="34"/>
      <c r="Y2340" s="34"/>
      <c r="Z2340" s="34"/>
      <c r="AA2340" s="34"/>
      <c r="AB2340" s="34"/>
      <c r="AC2340" s="34"/>
      <c r="AD2340" s="34"/>
      <c r="AE2340" s="34"/>
      <c r="AF2340" s="34"/>
      <c r="AG2340" s="34"/>
      <c r="AH2340" s="34"/>
      <c r="AI2340" s="34"/>
      <c r="AJ2340" s="34"/>
      <c r="AK2340" s="34"/>
      <c r="AL2340" s="34"/>
      <c r="AM2340" s="34"/>
      <c r="AN2340" s="34"/>
      <c r="AO2340" s="34"/>
      <c r="AP2340" s="34"/>
      <c r="AQ2340" s="34"/>
      <c r="AR2340" s="34"/>
      <c r="AS2340" s="34"/>
      <c r="AT2340" s="34"/>
      <c r="AU2340" s="34"/>
      <c r="AV2340" s="34"/>
      <c r="AW2340" s="34"/>
      <c r="AX2340" s="34"/>
      <c r="AY2340" s="34"/>
      <c r="AZ2340" s="34"/>
      <c r="BA2340" s="34"/>
      <c r="BB2340" s="34"/>
      <c r="BC2340" s="34"/>
      <c r="BD2340" s="34"/>
      <c r="BE2340" s="34"/>
      <c r="BF2340" s="34"/>
      <c r="BG2340" s="34"/>
      <c r="BH2340" s="34"/>
      <c r="BI2340" s="34"/>
      <c r="BJ2340" s="34"/>
      <c r="BK2340" s="34"/>
      <c r="BL2340" s="34"/>
      <c r="BM2340" s="34"/>
      <c r="BN2340" s="34"/>
      <c r="BO2340" s="34"/>
      <c r="BP2340" s="34"/>
      <c r="BQ2340" s="34"/>
      <c r="BR2340" s="34"/>
      <c r="BS2340" s="34"/>
      <c r="BT2340" s="34"/>
      <c r="BU2340" s="34"/>
      <c r="BV2340" s="34"/>
      <c r="BW2340" s="34"/>
      <c r="BX2340" s="34"/>
      <c r="BY2340" s="34"/>
      <c r="BZ2340" s="34"/>
      <c r="CA2340" s="34"/>
      <c r="CB2340" s="34"/>
      <c r="CC2340" s="34"/>
      <c r="CD2340" s="34"/>
      <c r="CE2340" s="34"/>
      <c r="CF2340" s="34"/>
      <c r="CG2340" s="34"/>
      <c r="CH2340" s="34"/>
      <c r="CI2340" s="8"/>
    </row>
    <row r="2341" spans="1:87" x14ac:dyDescent="0.2">
      <c r="A2341" s="8" t="str">
        <f>IF(AND(COUNTIF(W$3:W$13,A$30)&gt;0,A$30&lt;&gt;B2324),A$30,IFERROR(IF(MATCH(A$30,Z$3:Z$13,0)=1,A$30," ")," "))</f>
        <v>C16</v>
      </c>
      <c r="B2341" s="8">
        <f>IF(A2341=" "," ",MAX(B2326:B2340)+1)</f>
        <v>6</v>
      </c>
      <c r="C2341" s="8"/>
      <c r="D2341" s="8"/>
      <c r="E2341" s="8"/>
      <c r="F2341" s="8"/>
      <c r="G2341" s="8"/>
      <c r="H2341" s="8"/>
      <c r="I2341" s="8"/>
      <c r="J2341" s="8"/>
      <c r="K2341" s="8"/>
      <c r="L2341" s="8"/>
      <c r="M2341" s="8"/>
      <c r="N2341" s="8"/>
      <c r="O2341" s="8"/>
      <c r="P2341" s="8"/>
      <c r="Q2341" s="8"/>
      <c r="R2341" s="8"/>
      <c r="S2341" s="8"/>
      <c r="U2341" s="34"/>
      <c r="V2341" s="34"/>
      <c r="W2341" s="34"/>
      <c r="X2341" s="34"/>
      <c r="Y2341" s="34"/>
      <c r="Z2341" s="34"/>
      <c r="AA2341" s="34"/>
      <c r="AB2341" s="34"/>
      <c r="AC2341" s="34"/>
      <c r="AD2341" s="34"/>
      <c r="AE2341" s="34"/>
      <c r="AF2341" s="34"/>
      <c r="AG2341" s="34"/>
      <c r="AH2341" s="34"/>
      <c r="AI2341" s="34"/>
      <c r="AJ2341" s="34"/>
      <c r="AK2341" s="34"/>
      <c r="AL2341" s="34"/>
      <c r="AM2341" s="34"/>
      <c r="AN2341" s="34"/>
      <c r="AO2341" s="34"/>
      <c r="AP2341" s="34"/>
      <c r="AQ2341" s="34"/>
      <c r="AR2341" s="34"/>
      <c r="AS2341" s="34"/>
      <c r="AT2341" s="34"/>
      <c r="AU2341" s="34"/>
      <c r="AV2341" s="34"/>
      <c r="AW2341" s="34"/>
      <c r="AX2341" s="34"/>
      <c r="AY2341" s="34"/>
      <c r="AZ2341" s="34"/>
      <c r="BA2341" s="34"/>
      <c r="BB2341" s="34"/>
      <c r="BC2341" s="34"/>
      <c r="BD2341" s="34"/>
      <c r="BE2341" s="34"/>
      <c r="BF2341" s="34"/>
      <c r="BG2341" s="34"/>
      <c r="BH2341" s="34"/>
      <c r="BI2341" s="34"/>
      <c r="BJ2341" s="34"/>
      <c r="BK2341" s="34"/>
      <c r="BL2341" s="34"/>
      <c r="BM2341" s="34"/>
      <c r="BN2341" s="34"/>
      <c r="BO2341" s="34"/>
      <c r="BP2341" s="34"/>
      <c r="BQ2341" s="34"/>
      <c r="BR2341" s="34"/>
      <c r="BS2341" s="34"/>
      <c r="BT2341" s="34"/>
      <c r="BU2341" s="34"/>
      <c r="BV2341" s="34"/>
      <c r="BW2341" s="34"/>
      <c r="BX2341" s="34"/>
      <c r="BY2341" s="34"/>
      <c r="BZ2341" s="34"/>
      <c r="CA2341" s="34"/>
      <c r="CB2341" s="34"/>
      <c r="CC2341" s="34"/>
      <c r="CD2341" s="34"/>
      <c r="CE2341" s="34"/>
      <c r="CF2341" s="34"/>
      <c r="CG2341" s="34"/>
      <c r="CH2341" s="34"/>
      <c r="CI2341" s="8"/>
    </row>
    <row r="2342" spans="1:87" x14ac:dyDescent="0.2">
      <c r="A2342" s="8" t="str">
        <f>IF(AND(COUNTIF(W$3:W$13,A$31)&gt;0,A$31&lt;&gt;B2324),A$31,IFERROR(IF(MATCH(A$31,Z$3:Z$13,0)=1,A$31," ")," "))</f>
        <v>C17</v>
      </c>
      <c r="B2342" s="8">
        <f>IF(A2342=" "," ",MAX(B2326:B2341)+1)</f>
        <v>7</v>
      </c>
      <c r="C2342" s="8"/>
      <c r="D2342" s="8"/>
      <c r="E2342" s="8"/>
      <c r="F2342" s="8"/>
      <c r="G2342" s="8"/>
      <c r="H2342" s="8"/>
      <c r="I2342" s="8"/>
      <c r="J2342" s="8"/>
      <c r="K2342" s="8"/>
      <c r="L2342" s="8"/>
      <c r="M2342" s="8"/>
      <c r="N2342" s="8"/>
      <c r="O2342" s="8"/>
      <c r="P2342" s="8"/>
      <c r="Q2342" s="8"/>
      <c r="R2342" s="8"/>
      <c r="S2342" s="8"/>
      <c r="U2342" s="34"/>
      <c r="V2342" s="34"/>
      <c r="W2342" s="34"/>
      <c r="X2342" s="34"/>
      <c r="Y2342" s="34"/>
      <c r="Z2342" s="34"/>
      <c r="AA2342" s="34"/>
      <c r="AB2342" s="34"/>
      <c r="AC2342" s="34"/>
      <c r="AD2342" s="34"/>
      <c r="AE2342" s="34"/>
      <c r="AF2342" s="34"/>
      <c r="AG2342" s="34"/>
      <c r="AH2342" s="34"/>
      <c r="AI2342" s="34"/>
      <c r="AJ2342" s="34"/>
      <c r="AK2342" s="34"/>
      <c r="AL2342" s="34"/>
      <c r="AM2342" s="34"/>
      <c r="AN2342" s="34"/>
      <c r="AO2342" s="34"/>
      <c r="AP2342" s="34"/>
      <c r="AQ2342" s="34"/>
      <c r="AR2342" s="34"/>
      <c r="AS2342" s="34"/>
      <c r="AT2342" s="34"/>
      <c r="AU2342" s="34"/>
      <c r="AV2342" s="34"/>
      <c r="AW2342" s="34"/>
      <c r="AX2342" s="34"/>
      <c r="AY2342" s="34"/>
      <c r="AZ2342" s="34"/>
      <c r="BA2342" s="34"/>
      <c r="BB2342" s="34"/>
      <c r="BC2342" s="34"/>
      <c r="BD2342" s="34"/>
      <c r="BE2342" s="34"/>
      <c r="BF2342" s="34"/>
      <c r="BG2342" s="34"/>
      <c r="BH2342" s="34"/>
      <c r="BI2342" s="34"/>
      <c r="BJ2342" s="34"/>
      <c r="BK2342" s="34"/>
      <c r="BL2342" s="34"/>
      <c r="BM2342" s="34"/>
      <c r="BN2342" s="34"/>
      <c r="BO2342" s="34"/>
      <c r="BP2342" s="34"/>
      <c r="BQ2342" s="34"/>
      <c r="BR2342" s="34"/>
      <c r="BS2342" s="34"/>
      <c r="BT2342" s="34"/>
      <c r="BU2342" s="34"/>
      <c r="BV2342" s="34"/>
      <c r="BW2342" s="34"/>
      <c r="BX2342" s="34"/>
      <c r="BY2342" s="34"/>
      <c r="BZ2342" s="34"/>
      <c r="CA2342" s="34"/>
      <c r="CB2342" s="34"/>
      <c r="CC2342" s="34"/>
      <c r="CD2342" s="34"/>
      <c r="CE2342" s="34"/>
      <c r="CF2342" s="34"/>
      <c r="CG2342" s="34"/>
      <c r="CH2342" s="34"/>
      <c r="CI2342" s="8"/>
    </row>
    <row r="2343" spans="1:87" x14ac:dyDescent="0.2">
      <c r="A2343" s="8" t="str">
        <f>IF(AND(COUNTIF(W$3:W$13,A$32)&gt;0,A$32&lt;&gt;B2324),A$32,IFERROR(IF(MATCH(A$32,Z$3:Z$13,0)=1,A$32," ")," "))</f>
        <v>C18</v>
      </c>
      <c r="B2343" s="8">
        <f>IF(A2343=" "," ",MAX(B2326:B2342)+1)</f>
        <v>8</v>
      </c>
      <c r="C2343" s="8"/>
      <c r="D2343" s="8"/>
      <c r="E2343" s="8"/>
      <c r="F2343" s="8"/>
      <c r="G2343" s="8"/>
      <c r="H2343" s="8"/>
      <c r="I2343" s="8"/>
      <c r="J2343" s="8"/>
      <c r="K2343" s="8"/>
      <c r="L2343" s="8"/>
      <c r="M2343" s="8"/>
      <c r="N2343" s="8"/>
      <c r="O2343" s="8"/>
      <c r="P2343" s="8"/>
      <c r="Q2343" s="8"/>
      <c r="R2343" s="8"/>
      <c r="S2343" s="8"/>
      <c r="U2343" s="34"/>
      <c r="V2343" s="34"/>
      <c r="W2343" s="34"/>
      <c r="X2343" s="34"/>
      <c r="Y2343" s="34"/>
      <c r="Z2343" s="34"/>
      <c r="AA2343" s="34"/>
      <c r="AB2343" s="34"/>
      <c r="AC2343" s="34"/>
      <c r="AD2343" s="34"/>
      <c r="AE2343" s="34"/>
      <c r="AF2343" s="34"/>
      <c r="AG2343" s="34"/>
      <c r="AH2343" s="34"/>
      <c r="AI2343" s="34"/>
      <c r="AJ2343" s="34"/>
      <c r="AK2343" s="34"/>
      <c r="AL2343" s="34"/>
      <c r="AM2343" s="34"/>
      <c r="AN2343" s="34"/>
      <c r="AO2343" s="34"/>
      <c r="AP2343" s="34"/>
      <c r="AQ2343" s="34"/>
      <c r="AR2343" s="34"/>
      <c r="AS2343" s="34"/>
      <c r="AT2343" s="34"/>
      <c r="AU2343" s="34"/>
      <c r="AV2343" s="34"/>
      <c r="AW2343" s="34"/>
      <c r="AX2343" s="34"/>
      <c r="AY2343" s="34"/>
      <c r="AZ2343" s="34"/>
      <c r="BA2343" s="34"/>
      <c r="BB2343" s="34"/>
      <c r="BC2343" s="34"/>
      <c r="BD2343" s="34"/>
      <c r="BE2343" s="34"/>
      <c r="BF2343" s="34"/>
      <c r="BG2343" s="34"/>
      <c r="BH2343" s="34"/>
      <c r="BI2343" s="34"/>
      <c r="BJ2343" s="34"/>
      <c r="BK2343" s="34"/>
      <c r="BL2343" s="34"/>
      <c r="BM2343" s="34"/>
      <c r="BN2343" s="34"/>
      <c r="BO2343" s="34"/>
      <c r="BP2343" s="34"/>
      <c r="BQ2343" s="34"/>
      <c r="BR2343" s="34"/>
      <c r="BS2343" s="34"/>
      <c r="BT2343" s="34"/>
      <c r="BU2343" s="34"/>
      <c r="BV2343" s="34"/>
      <c r="BW2343" s="34"/>
      <c r="BX2343" s="34"/>
      <c r="BY2343" s="34"/>
      <c r="BZ2343" s="34"/>
      <c r="CA2343" s="34"/>
      <c r="CB2343" s="34"/>
      <c r="CC2343" s="34"/>
      <c r="CD2343" s="34"/>
      <c r="CE2343" s="34"/>
      <c r="CF2343" s="34"/>
      <c r="CG2343" s="34"/>
      <c r="CH2343" s="34"/>
      <c r="CI2343" s="8"/>
    </row>
    <row r="2344" spans="1:87" x14ac:dyDescent="0.2">
      <c r="A2344" s="8" t="str">
        <f>IF(AND(COUNTIF(W$3:W$13,A$33)&gt;0,A$33&lt;&gt;B2324),A$33,IFERROR(IF(MATCH(A$33,Z$3:Z$13,0)=1,A$33," ")," "))</f>
        <v>C19</v>
      </c>
      <c r="B2344" s="8">
        <f>IF(A2344=" "," ",MAX(B2326:B2343)+1)</f>
        <v>9</v>
      </c>
      <c r="C2344" s="8"/>
      <c r="D2344" s="8"/>
      <c r="E2344" s="8"/>
      <c r="F2344" s="8"/>
      <c r="G2344" s="8"/>
      <c r="H2344" s="8"/>
      <c r="I2344" s="8"/>
      <c r="J2344" s="8"/>
      <c r="K2344" s="8"/>
      <c r="L2344" s="8"/>
      <c r="M2344" s="8"/>
      <c r="N2344" s="8"/>
      <c r="O2344" s="8"/>
      <c r="P2344" s="8"/>
      <c r="Q2344" s="8"/>
      <c r="R2344" s="8"/>
      <c r="S2344" s="8"/>
      <c r="U2344" s="34"/>
      <c r="V2344" s="34"/>
      <c r="W2344" s="34"/>
      <c r="X2344" s="34"/>
      <c r="Y2344" s="34"/>
      <c r="Z2344" s="34"/>
      <c r="AA2344" s="34"/>
      <c r="AB2344" s="34"/>
      <c r="AC2344" s="34"/>
      <c r="AD2344" s="34"/>
      <c r="AE2344" s="34"/>
      <c r="AF2344" s="34"/>
      <c r="AG2344" s="34"/>
      <c r="AH2344" s="34"/>
      <c r="AI2344" s="34"/>
      <c r="AJ2344" s="34"/>
      <c r="AK2344" s="34"/>
      <c r="AL2344" s="34"/>
      <c r="AM2344" s="34"/>
      <c r="AN2344" s="34"/>
      <c r="AO2344" s="34"/>
      <c r="AP2344" s="34"/>
      <c r="AQ2344" s="34"/>
      <c r="AR2344" s="34"/>
      <c r="AS2344" s="34"/>
      <c r="AT2344" s="34"/>
      <c r="AU2344" s="34"/>
      <c r="AV2344" s="34"/>
      <c r="AW2344" s="34"/>
      <c r="AX2344" s="34"/>
      <c r="AY2344" s="34"/>
      <c r="AZ2344" s="34"/>
      <c r="BA2344" s="34"/>
      <c r="BB2344" s="34"/>
      <c r="BC2344" s="34"/>
      <c r="BD2344" s="34"/>
      <c r="BE2344" s="34"/>
      <c r="BF2344" s="34"/>
      <c r="BG2344" s="34"/>
      <c r="BH2344" s="34"/>
      <c r="BI2344" s="34"/>
      <c r="BJ2344" s="34"/>
      <c r="BK2344" s="34"/>
      <c r="BL2344" s="34"/>
      <c r="BM2344" s="34"/>
      <c r="BN2344" s="34"/>
      <c r="BO2344" s="34"/>
      <c r="BP2344" s="34"/>
      <c r="BQ2344" s="34"/>
      <c r="BR2344" s="34"/>
      <c r="BS2344" s="34"/>
      <c r="BT2344" s="34"/>
      <c r="BU2344" s="34"/>
      <c r="BV2344" s="34"/>
      <c r="BW2344" s="34"/>
      <c r="BX2344" s="34"/>
      <c r="BY2344" s="34"/>
      <c r="BZ2344" s="34"/>
      <c r="CA2344" s="34"/>
      <c r="CB2344" s="34"/>
      <c r="CC2344" s="34"/>
      <c r="CD2344" s="34"/>
      <c r="CE2344" s="34"/>
      <c r="CF2344" s="34"/>
      <c r="CG2344" s="34"/>
      <c r="CH2344" s="34"/>
      <c r="CI2344" s="8"/>
    </row>
    <row r="2345" spans="1:87" x14ac:dyDescent="0.2">
      <c r="A2345" s="8" t="str">
        <f>IF(AND(COUNTIF(W$3:W$13,A$34)&gt;0,A$34&lt;&gt;B2324),A$34,IFERROR(IF(MATCH(A$34,Z$3:Z$13,0)=1,A$34," ")," "))</f>
        <v>C20</v>
      </c>
      <c r="B2345" s="8">
        <f>IF(A2345=" "," ",MAX(B2326:B2344)+1)</f>
        <v>10</v>
      </c>
      <c r="C2345" s="8"/>
      <c r="D2345" s="8"/>
      <c r="E2345" s="8"/>
      <c r="F2345" s="8"/>
      <c r="G2345" s="8"/>
      <c r="H2345" s="8"/>
      <c r="I2345" s="8"/>
      <c r="J2345" s="8"/>
      <c r="K2345" s="8"/>
      <c r="L2345" s="8"/>
      <c r="M2345" s="8"/>
      <c r="N2345" s="8"/>
      <c r="O2345" s="8"/>
      <c r="P2345" s="8"/>
      <c r="Q2345" s="8"/>
      <c r="R2345" s="8"/>
      <c r="S2345" s="8"/>
      <c r="U2345" s="34"/>
      <c r="V2345" s="34"/>
      <c r="W2345" s="34"/>
      <c r="X2345" s="34"/>
      <c r="Y2345" s="34"/>
      <c r="Z2345" s="34"/>
      <c r="AA2345" s="34"/>
      <c r="AB2345" s="34"/>
      <c r="AC2345" s="34"/>
      <c r="AD2345" s="34"/>
      <c r="AE2345" s="34"/>
      <c r="AF2345" s="34"/>
      <c r="AG2345" s="34"/>
      <c r="AH2345" s="34"/>
      <c r="AI2345" s="34"/>
      <c r="AJ2345" s="34"/>
      <c r="AK2345" s="34"/>
      <c r="AL2345" s="34"/>
      <c r="AM2345" s="34"/>
      <c r="AN2345" s="34"/>
      <c r="AO2345" s="34"/>
      <c r="AP2345" s="34"/>
      <c r="AQ2345" s="34"/>
      <c r="AR2345" s="34"/>
      <c r="AS2345" s="34"/>
      <c r="AT2345" s="34"/>
      <c r="AU2345" s="34"/>
      <c r="AV2345" s="34"/>
      <c r="AW2345" s="34"/>
      <c r="AX2345" s="34"/>
      <c r="AY2345" s="34"/>
      <c r="AZ2345" s="34"/>
      <c r="BA2345" s="34"/>
      <c r="BB2345" s="34"/>
      <c r="BC2345" s="34"/>
      <c r="BD2345" s="34"/>
      <c r="BE2345" s="34"/>
      <c r="BF2345" s="34"/>
      <c r="BG2345" s="34"/>
      <c r="BH2345" s="34"/>
      <c r="BI2345" s="34"/>
      <c r="BJ2345" s="34"/>
      <c r="BK2345" s="34"/>
      <c r="BL2345" s="34"/>
      <c r="BM2345" s="34"/>
      <c r="BN2345" s="34"/>
      <c r="BO2345" s="34"/>
      <c r="BP2345" s="34"/>
      <c r="BQ2345" s="34"/>
      <c r="BR2345" s="34"/>
      <c r="BS2345" s="34"/>
      <c r="BT2345" s="34"/>
      <c r="BU2345" s="34"/>
      <c r="BV2345" s="34"/>
      <c r="BW2345" s="34"/>
      <c r="BX2345" s="34"/>
      <c r="BY2345" s="34"/>
      <c r="BZ2345" s="34"/>
      <c r="CA2345" s="34"/>
      <c r="CB2345" s="34"/>
      <c r="CC2345" s="34"/>
      <c r="CD2345" s="34"/>
      <c r="CE2345" s="34"/>
      <c r="CF2345" s="34"/>
      <c r="CG2345" s="34"/>
      <c r="CH2345" s="34"/>
      <c r="CI2345" s="8"/>
    </row>
    <row r="2346" spans="1:87" x14ac:dyDescent="0.2">
      <c r="A2346" s="8" t="str">
        <f>IF(AND(COUNTIF(W$3:W$13,A$35)&gt;0,A$35&lt;&gt;B2324),A$35,IFERROR(IF(MATCH(A$35,Z$3:Z$13,0)=1,A$35," ")," "))</f>
        <v xml:space="preserve"> </v>
      </c>
      <c r="B2346" s="8" t="str">
        <f>IF(A2346=" "," ",MAX(B2326:B2345)+1)</f>
        <v xml:space="preserve"> </v>
      </c>
      <c r="C2346" s="8"/>
      <c r="D2346" s="8"/>
      <c r="E2346" s="8"/>
      <c r="F2346" s="8"/>
      <c r="G2346" s="8"/>
      <c r="H2346" s="8"/>
      <c r="I2346" s="8"/>
      <c r="J2346" s="8"/>
      <c r="K2346" s="8"/>
      <c r="L2346" s="8"/>
      <c r="M2346" s="8"/>
      <c r="N2346" s="8"/>
      <c r="O2346" s="8"/>
      <c r="P2346" s="8"/>
      <c r="Q2346" s="8"/>
      <c r="R2346" s="8"/>
      <c r="S2346" s="8"/>
      <c r="U2346" s="34"/>
      <c r="V2346" s="34"/>
      <c r="W2346" s="34"/>
      <c r="X2346" s="34"/>
      <c r="Y2346" s="34"/>
      <c r="Z2346" s="34"/>
      <c r="AA2346" s="34"/>
      <c r="AB2346" s="34"/>
      <c r="AC2346" s="34"/>
      <c r="AD2346" s="34"/>
      <c r="AE2346" s="34"/>
      <c r="AF2346" s="34"/>
      <c r="AG2346" s="34"/>
      <c r="AH2346" s="34"/>
      <c r="AI2346" s="34"/>
      <c r="AJ2346" s="34"/>
      <c r="AK2346" s="34"/>
      <c r="AL2346" s="34"/>
      <c r="AM2346" s="34"/>
      <c r="AN2346" s="34"/>
      <c r="AO2346" s="34"/>
      <c r="AP2346" s="34"/>
      <c r="AQ2346" s="34"/>
      <c r="AR2346" s="34"/>
      <c r="AS2346" s="34"/>
      <c r="AT2346" s="34"/>
      <c r="AU2346" s="34"/>
      <c r="AV2346" s="34"/>
      <c r="AW2346" s="34"/>
      <c r="AX2346" s="34"/>
      <c r="AY2346" s="34"/>
      <c r="AZ2346" s="34"/>
      <c r="BA2346" s="34"/>
      <c r="BB2346" s="34"/>
      <c r="BC2346" s="34"/>
      <c r="BD2346" s="34"/>
      <c r="BE2346" s="34"/>
      <c r="BF2346" s="34"/>
      <c r="BG2346" s="34"/>
      <c r="BH2346" s="34"/>
      <c r="BI2346" s="34"/>
      <c r="BJ2346" s="34"/>
      <c r="BK2346" s="34"/>
      <c r="BL2346" s="34"/>
      <c r="BM2346" s="34"/>
      <c r="BN2346" s="34"/>
      <c r="BO2346" s="34"/>
      <c r="BP2346" s="34"/>
      <c r="BQ2346" s="34"/>
      <c r="BR2346" s="34"/>
      <c r="BS2346" s="34"/>
      <c r="BT2346" s="34"/>
      <c r="BU2346" s="34"/>
      <c r="BV2346" s="34"/>
      <c r="BW2346" s="34"/>
      <c r="BX2346" s="34"/>
      <c r="BY2346" s="34"/>
      <c r="BZ2346" s="34"/>
      <c r="CA2346" s="34"/>
      <c r="CB2346" s="34"/>
      <c r="CC2346" s="34"/>
      <c r="CD2346" s="34"/>
      <c r="CE2346" s="34"/>
      <c r="CF2346" s="34"/>
      <c r="CG2346" s="34"/>
      <c r="CH2346" s="34"/>
      <c r="CI2346" s="8"/>
    </row>
    <row r="2347" spans="1:87" x14ac:dyDescent="0.2">
      <c r="A2347" s="8" t="str">
        <f>IF(AND(COUNTIF(W$3:W$13,A$36)&gt;0,A$36&lt;&gt;B2324),A$36,IFERROR(IF(MATCH(A$36,Z$3:Z$13,0)=1,A$36," ")," "))</f>
        <v>C22</v>
      </c>
      <c r="B2347" s="8">
        <f>IF(A2347=" "," ",MAX(B2326:B2346)+1)</f>
        <v>11</v>
      </c>
      <c r="C2347" s="8"/>
      <c r="D2347" s="8"/>
      <c r="E2347" s="8"/>
      <c r="F2347" s="8"/>
      <c r="G2347" s="8"/>
      <c r="H2347" s="8"/>
      <c r="I2347" s="8"/>
      <c r="J2347" s="8"/>
      <c r="K2347" s="8"/>
      <c r="L2347" s="8"/>
      <c r="M2347" s="8"/>
      <c r="N2347" s="8"/>
      <c r="O2347" s="8"/>
      <c r="P2347" s="8"/>
      <c r="Q2347" s="8"/>
      <c r="R2347" s="8"/>
      <c r="S2347" s="8"/>
      <c r="U2347" s="34"/>
      <c r="V2347" s="34"/>
      <c r="W2347" s="34"/>
      <c r="X2347" s="34"/>
      <c r="Y2347" s="34"/>
      <c r="Z2347" s="34"/>
      <c r="AA2347" s="34"/>
      <c r="AB2347" s="34"/>
      <c r="AC2347" s="34"/>
      <c r="AD2347" s="34"/>
      <c r="AE2347" s="34"/>
      <c r="AF2347" s="34"/>
      <c r="AG2347" s="34"/>
      <c r="AH2347" s="34"/>
      <c r="AI2347" s="34"/>
      <c r="AJ2347" s="34"/>
      <c r="AK2347" s="34"/>
      <c r="AL2347" s="34"/>
      <c r="AM2347" s="34"/>
      <c r="AN2347" s="34"/>
      <c r="AO2347" s="34"/>
      <c r="AP2347" s="34"/>
      <c r="AQ2347" s="34"/>
      <c r="AR2347" s="34"/>
      <c r="AS2347" s="34"/>
      <c r="AT2347" s="34"/>
      <c r="AU2347" s="34"/>
      <c r="AV2347" s="34"/>
      <c r="AW2347" s="34"/>
      <c r="AX2347" s="34"/>
      <c r="AY2347" s="34"/>
      <c r="AZ2347" s="34"/>
      <c r="BA2347" s="34"/>
      <c r="BB2347" s="34"/>
      <c r="BC2347" s="34"/>
      <c r="BD2347" s="34"/>
      <c r="BE2347" s="34"/>
      <c r="BF2347" s="34"/>
      <c r="BG2347" s="34"/>
      <c r="BH2347" s="34"/>
      <c r="BI2347" s="34"/>
      <c r="BJ2347" s="34"/>
      <c r="BK2347" s="34"/>
      <c r="BL2347" s="34"/>
      <c r="BM2347" s="34"/>
      <c r="BN2347" s="34"/>
      <c r="BO2347" s="34"/>
      <c r="BP2347" s="34"/>
      <c r="BQ2347" s="34"/>
      <c r="BR2347" s="34"/>
      <c r="BS2347" s="34"/>
      <c r="BT2347" s="34"/>
      <c r="BU2347" s="34"/>
      <c r="BV2347" s="34"/>
      <c r="BW2347" s="34"/>
      <c r="BX2347" s="34"/>
      <c r="BY2347" s="34"/>
      <c r="BZ2347" s="34"/>
      <c r="CA2347" s="34"/>
      <c r="CB2347" s="34"/>
      <c r="CC2347" s="34"/>
      <c r="CD2347" s="34"/>
      <c r="CE2347" s="34"/>
      <c r="CF2347" s="34"/>
      <c r="CG2347" s="34"/>
      <c r="CH2347" s="34"/>
      <c r="CI2347" s="8"/>
    </row>
    <row r="2348" spans="1:87" x14ac:dyDescent="0.2">
      <c r="A2348" s="11" t="s">
        <v>17</v>
      </c>
      <c r="B2348" s="11"/>
      <c r="C2348" s="27" t="s">
        <v>18</v>
      </c>
      <c r="D2348" s="27" t="s">
        <v>2</v>
      </c>
      <c r="E2348" s="27" t="s">
        <v>6</v>
      </c>
      <c r="F2348" s="27" t="s">
        <v>15</v>
      </c>
      <c r="G2348" s="27" t="s">
        <v>36</v>
      </c>
      <c r="H2348" s="27" t="s">
        <v>37</v>
      </c>
      <c r="I2348" s="27" t="s">
        <v>38</v>
      </c>
      <c r="J2348" s="27" t="s">
        <v>39</v>
      </c>
      <c r="K2348" s="27" t="s">
        <v>40</v>
      </c>
      <c r="L2348" s="27" t="s">
        <v>41</v>
      </c>
      <c r="M2348" s="27" t="s">
        <v>42</v>
      </c>
      <c r="N2348" s="27" t="s">
        <v>43</v>
      </c>
      <c r="O2348" s="27" t="s">
        <v>9</v>
      </c>
      <c r="P2348" s="27" t="s">
        <v>12</v>
      </c>
      <c r="Q2348" s="27" t="s">
        <v>19</v>
      </c>
      <c r="R2348" s="27" t="s">
        <v>55</v>
      </c>
      <c r="S2348" s="27" t="s">
        <v>26</v>
      </c>
      <c r="T2348" s="19" t="s">
        <v>25</v>
      </c>
      <c r="U2348" s="33" t="s">
        <v>27</v>
      </c>
      <c r="V2348" s="33" t="s">
        <v>9</v>
      </c>
      <c r="W2348" s="33" t="s">
        <v>23</v>
      </c>
      <c r="X2348" s="33" t="s">
        <v>12</v>
      </c>
      <c r="Y2348" s="33" t="s">
        <v>26</v>
      </c>
      <c r="Z2348" s="33" t="s">
        <v>25</v>
      </c>
      <c r="AA2348" s="33" t="s">
        <v>27</v>
      </c>
      <c r="AB2348" s="33" t="s">
        <v>9</v>
      </c>
      <c r="AC2348" s="33" t="s">
        <v>23</v>
      </c>
      <c r="AD2348" s="33" t="s">
        <v>12</v>
      </c>
      <c r="AE2348" s="33" t="s">
        <v>26</v>
      </c>
      <c r="AF2348" s="33" t="s">
        <v>25</v>
      </c>
      <c r="AG2348" s="33" t="s">
        <v>27</v>
      </c>
      <c r="AH2348" s="33" t="s">
        <v>9</v>
      </c>
      <c r="AI2348" s="33" t="s">
        <v>23</v>
      </c>
      <c r="AJ2348" s="33" t="s">
        <v>12</v>
      </c>
      <c r="AK2348" s="33" t="s">
        <v>26</v>
      </c>
      <c r="AL2348" s="33" t="s">
        <v>25</v>
      </c>
      <c r="AM2348" s="33" t="s">
        <v>27</v>
      </c>
      <c r="AN2348" s="33" t="s">
        <v>9</v>
      </c>
      <c r="AO2348" s="33" t="s">
        <v>23</v>
      </c>
      <c r="AP2348" s="33" t="s">
        <v>12</v>
      </c>
      <c r="AQ2348" s="33" t="s">
        <v>26</v>
      </c>
      <c r="AR2348" s="33" t="s">
        <v>25</v>
      </c>
      <c r="AS2348" s="33" t="s">
        <v>27</v>
      </c>
      <c r="AT2348" s="33" t="s">
        <v>9</v>
      </c>
      <c r="AU2348" s="33" t="s">
        <v>23</v>
      </c>
      <c r="AV2348" s="33" t="s">
        <v>12</v>
      </c>
      <c r="AW2348" s="33" t="s">
        <v>26</v>
      </c>
      <c r="AX2348" s="33" t="s">
        <v>25</v>
      </c>
      <c r="AY2348" s="33" t="s">
        <v>27</v>
      </c>
      <c r="AZ2348" s="33" t="s">
        <v>9</v>
      </c>
      <c r="BA2348" s="33" t="s">
        <v>23</v>
      </c>
      <c r="BB2348" s="33" t="s">
        <v>12</v>
      </c>
      <c r="BC2348" s="33" t="s">
        <v>26</v>
      </c>
      <c r="BD2348" s="33" t="s">
        <v>25</v>
      </c>
      <c r="BE2348" s="33" t="s">
        <v>27</v>
      </c>
      <c r="BF2348" s="33" t="s">
        <v>9</v>
      </c>
      <c r="BG2348" s="33" t="s">
        <v>23</v>
      </c>
      <c r="BH2348" s="33" t="s">
        <v>12</v>
      </c>
      <c r="BI2348" s="33" t="s">
        <v>26</v>
      </c>
      <c r="BJ2348" s="33" t="s">
        <v>25</v>
      </c>
      <c r="BK2348" s="33" t="s">
        <v>27</v>
      </c>
      <c r="BL2348" s="33" t="s">
        <v>9</v>
      </c>
      <c r="BM2348" s="33" t="s">
        <v>23</v>
      </c>
      <c r="BN2348" s="33" t="s">
        <v>12</v>
      </c>
      <c r="BO2348" s="33" t="s">
        <v>26</v>
      </c>
      <c r="BP2348" s="33" t="s">
        <v>25</v>
      </c>
      <c r="BQ2348" s="33" t="s">
        <v>27</v>
      </c>
      <c r="BR2348" s="33" t="s">
        <v>9</v>
      </c>
      <c r="BS2348" s="33" t="s">
        <v>23</v>
      </c>
      <c r="BT2348" s="33" t="s">
        <v>12</v>
      </c>
      <c r="BU2348" s="33" t="s">
        <v>26</v>
      </c>
      <c r="BV2348" s="33" t="s">
        <v>25</v>
      </c>
      <c r="BW2348" s="33" t="s">
        <v>27</v>
      </c>
      <c r="BX2348" s="33" t="s">
        <v>9</v>
      </c>
      <c r="BY2348" s="33" t="s">
        <v>23</v>
      </c>
      <c r="BZ2348" s="33" t="s">
        <v>12</v>
      </c>
      <c r="CA2348" s="33" t="s">
        <v>26</v>
      </c>
      <c r="CB2348" s="33" t="s">
        <v>25</v>
      </c>
      <c r="CC2348" s="33" t="s">
        <v>27</v>
      </c>
      <c r="CD2348" s="33" t="s">
        <v>9</v>
      </c>
      <c r="CE2348" s="33" t="s">
        <v>23</v>
      </c>
      <c r="CF2348" s="33" t="s">
        <v>12</v>
      </c>
      <c r="CG2348" s="33" t="s">
        <v>26</v>
      </c>
      <c r="CH2348" s="33" t="s">
        <v>25</v>
      </c>
      <c r="CI2348" s="8"/>
    </row>
    <row r="2349" spans="1:87" x14ac:dyDescent="0.2">
      <c r="A2349" s="8" t="str">
        <f>IF(AND(COUNTIF(W$3:W$13,A$15)&gt;0,A$15&lt;&gt;B2324),A$15,IFERROR(IF(MATCH(A$15,Z$3:Z$13,0)=2,A$15," ")," "))</f>
        <v xml:space="preserve"> </v>
      </c>
      <c r="B2349" s="8" t="str">
        <f>IF(A2349=" "," ",1)</f>
        <v xml:space="preserve"> </v>
      </c>
      <c r="C2349" s="8" t="str">
        <f>IFERROR(INDEX(A2349:A2370,MATCH(SMALL(B2349:B2370,1),B2349:B2370,0),1)," ")</f>
        <v>C2</v>
      </c>
      <c r="D2349" s="8">
        <f>IFERROR(VLOOKUP($C2349,$A$15:$O$36,2,FALSE)," ")</f>
        <v>1</v>
      </c>
      <c r="E2349" s="8">
        <f>IFERROR(VLOOKUP($C2349,$A$15:$O$36,3,FALSE)," ")</f>
        <v>3</v>
      </c>
      <c r="F2349" s="8">
        <f>IFERROR(VLOOKUP($C2349,$A$15:$O$36,4,FALSE)," ")</f>
        <v>2</v>
      </c>
      <c r="G2349" s="8">
        <f>IFERROR(VLOOKUP($C2349,$A$15:$O$36,5,FALSE)," ")</f>
        <v>0</v>
      </c>
      <c r="H2349" s="8">
        <f>IFERROR(VLOOKUP($C2349,$A$15:$O$36,6,FALSE)," ")</f>
        <v>0</v>
      </c>
      <c r="I2349" s="8">
        <f>IFERROR(VLOOKUP($C2349,$A$15:$O$36,7,FALSE)," ")</f>
        <v>0</v>
      </c>
      <c r="J2349" s="8">
        <f>IFERROR(VLOOKUP($C2349,$A$15:$O$36,8,FALSE)," ")</f>
        <v>0</v>
      </c>
      <c r="K2349" s="8">
        <f>IFERROR(VLOOKUP($C2349,$A$15:$O$36,9,FALSE)," ")</f>
        <v>0</v>
      </c>
      <c r="L2349" s="8">
        <f>IFERROR(VLOOKUP($C2349,$A$15:$O$36,10,FALSE)," ")</f>
        <v>0</v>
      </c>
      <c r="M2349" s="8">
        <f>IFERROR(VLOOKUP($C2349,$A$15:$O$36,11,FALSE)," ")</f>
        <v>0</v>
      </c>
      <c r="N2349" s="8">
        <f>IFERROR(VLOOKUP($C2349,$A$15:$O$36,12,FALSE)," ")</f>
        <v>0</v>
      </c>
      <c r="O2349" s="8">
        <f>IFERROR(VLOOKUP($C2349,$A$15:$O$36,15,FALSE)," ")</f>
        <v>1000</v>
      </c>
      <c r="P2349" s="8" t="e">
        <f t="array" ref="P2349:P2359">MMULT(MINVERSE(D2349:N2359),O2349:O2359)</f>
        <v>#NUM!</v>
      </c>
      <c r="Q2349" s="8" t="e">
        <f t="shared" ref="Q2349" si="10218">IF(COUNTIF(P2349:P2359,"&lt;"&amp;-0.001)=0,IF(ABS(P2349)&lt;0.001,0,P2349)," ")</f>
        <v>#NUM!</v>
      </c>
      <c r="R2349" s="8" t="str">
        <f>IFERROR(VLOOKUP(B2324,A$15:L$36,2,FALSE)*Q2349+VLOOKUP(B2324,A$15:L$36,3,FALSE)*Q2350+VLOOKUP(B2324,A$15:L$36,4,FALSE)*Q2351+VLOOKUP(B2324,A$15:L$36,5,FALSE)*Q2352+VLOOKUP(B2324,A$15:L$36,6,FALSE)*Q2353+VLOOKUP(B2324,A$15:L$36,7,FALSE)*Q2354+VLOOKUP(B2324,A$15:L$36,8,FALSE)*Q2355+VLOOKUP(B2324,A$15:L$36,9,FALSE)*Q2356+VLOOKUP(B2324,A$15:L$36,10,FALSE)*Q2357+VLOOKUP(B2324,A$15:L$36,11,FALSE)*Q2358+VLOOKUP(B2324,A$15:L$36,12,FALSE)*Q2359," ")</f>
        <v xml:space="preserve"> </v>
      </c>
      <c r="S2349" s="8" t="str">
        <f>IFERROR(IF(R2349-VLOOKUP(B2324,A$15:O$36,15,FALSE)&lt;0,R2349-VLOOKUP(B2324,A$15:O$36,15,FALSE)," ")," ")</f>
        <v xml:space="preserve"> </v>
      </c>
      <c r="T2349" s="18" t="str">
        <f>IFERROR(IF(R2349-VLOOKUP(B2324,A$15:O$36,15,FALSE)&gt;0,R2349-VLOOKUP(B2324,A$15:O$36,15,FALSE)," ")," ")</f>
        <v xml:space="preserve"> </v>
      </c>
      <c r="U2349" s="34">
        <f t="shared" ref="U2349" si="10219">$M$2</f>
        <v>100.00000000000001</v>
      </c>
      <c r="V2349" s="34">
        <v>-1</v>
      </c>
      <c r="W2349" s="34">
        <f t="shared" ref="W2349" si="10220">-SUMPRODUCT($M$3:$M$12,$N$3:$N$12)</f>
        <v>-105000</v>
      </c>
      <c r="X2349" s="34" t="e">
        <f t="shared" ref="X2349" si="10221">IF(U2349&lt;&gt;U2350,MMULT(MINVERSE(U2349:V2350),W2349:W2350)," ")</f>
        <v>#NUM!</v>
      </c>
      <c r="Y2349" s="34" t="str">
        <f t="shared" ref="Y2349" si="10222">IFERROR(IF(X2349-VLOOKUP(U$38,$A$2:$N$12,14,FALSE)&lt;0,X2349-VLOOKUP(U$38,$A$2:$N$12,14,FALSE)," ")," ")</f>
        <v xml:space="preserve"> </v>
      </c>
      <c r="Z2349" s="34" t="str">
        <f t="shared" ref="Z2349" si="10223">IFERROR(IF(X2349-VLOOKUP(U$38,$A$2:$N$12,14,FALSE)&gt;0,X2349-VLOOKUP(U$38,$A$2:$N$12,14,FALSE)," ")," ")</f>
        <v xml:space="preserve"> </v>
      </c>
      <c r="AA2349" s="34">
        <f t="shared" ref="AA2349" si="10224">$M$3</f>
        <v>0</v>
      </c>
      <c r="AB2349" s="34">
        <v>-1</v>
      </c>
      <c r="AC2349" s="34">
        <f t="shared" ref="AC2349" si="10225">-SUMPRODUCT($M$2:$M$2,$N$2:$N$2)-SUMPRODUCT($M$4:$M$12,$N$4:$N$12)</f>
        <v>-120000</v>
      </c>
      <c r="AD2349" s="34" t="e">
        <f t="shared" ref="AD2349" si="10226">IF(AA2349&lt;&gt;AA2350,MMULT(MINVERSE(AA2349:AB2350),AC2349:AC2350)," ")</f>
        <v>#NUM!</v>
      </c>
      <c r="AE2349" s="34" t="str">
        <f t="shared" ref="AE2349" si="10227">IFERROR(IF(AD2349-VLOOKUP(AA$38,$A$2:$N$12,14,FALSE)&lt;0,AD2349-VLOOKUP(AA$38,$A$2:$N$12,14,FALSE)," ")," ")</f>
        <v xml:space="preserve"> </v>
      </c>
      <c r="AF2349" s="34" t="str">
        <f t="shared" ref="AF2349" si="10228">IFERROR(IF(AD2349-VLOOKUP(AA$38,$A$2:$N$12,14,FALSE)&gt;0,AD2349-VLOOKUP(AA$38,$A$2:$N$12,14,FALSE)," ")," ")</f>
        <v xml:space="preserve"> </v>
      </c>
      <c r="AG2349" s="34">
        <f t="shared" ref="AG2349" si="10229">$M$4</f>
        <v>300</v>
      </c>
      <c r="AH2349" s="34">
        <v>-1</v>
      </c>
      <c r="AI2349" s="34">
        <f t="shared" ref="AI2349" si="10230">-SUMPRODUCT($M$2:$M$3,$N$2:$N$3)-SUMPRODUCT($M$5:$M$12,$N$5:$N$12)</f>
        <v>-15000.000000000002</v>
      </c>
      <c r="AJ2349" s="34" t="e">
        <f t="shared" ref="AJ2349" si="10231">IF(AG2349&lt;&gt;AG2350,MMULT(MINVERSE(AG2349:AH2350),AI2349:AI2350)," ")</f>
        <v>#NUM!</v>
      </c>
      <c r="AK2349" s="34" t="str">
        <f t="shared" ref="AK2349" si="10232">IFERROR(IF(AJ2349-VLOOKUP(AG$38,$A$2:$N$12,14,FALSE)&lt;0,AJ2349-VLOOKUP(AG$38,$A$2:$N$12,14,FALSE)," ")," ")</f>
        <v xml:space="preserve"> </v>
      </c>
      <c r="AL2349" s="34" t="str">
        <f t="shared" ref="AL2349" si="10233">IFERROR(IF(AJ2349-VLOOKUP(AG$38,$A$2:$N$12,14,FALSE)&gt;0,AJ2349-VLOOKUP(AG$38,$A$2:$N$12,14,FALSE)," ")," ")</f>
        <v xml:space="preserve"> </v>
      </c>
      <c r="AM2349" s="34">
        <f t="shared" ref="AM2349" si="10234">$M$5</f>
        <v>0</v>
      </c>
      <c r="AN2349" s="34">
        <v>-1</v>
      </c>
      <c r="AO2349" s="34">
        <f t="shared" ref="AO2349" si="10235">-SUMPRODUCT($M$2:$M$4,$N$2:$N$4)-SUMPRODUCT($M$6:$M$12,$N$6:$N$12)</f>
        <v>-120000</v>
      </c>
      <c r="AP2349" s="34" t="e">
        <f t="shared" ref="AP2349" si="10236">IF(AM2349&lt;&gt;AM2350,MMULT(MINVERSE(AM2349:AN2350),AO2349:AO2350)," ")</f>
        <v>#NUM!</v>
      </c>
      <c r="AQ2349" s="34" t="str">
        <f t="shared" ref="AQ2349" si="10237">IFERROR(IF(AP2349-VLOOKUP(AM$38,$A$2:$N$12,14,FALSE)&lt;0,AP2349-VLOOKUP(AM$38,$A$2:$N$12,14,FALSE)," ")," ")</f>
        <v xml:space="preserve"> </v>
      </c>
      <c r="AR2349" s="34" t="str">
        <f t="shared" ref="AR2349" si="10238">IFERROR(IF(AP2349-VLOOKUP(AM$38,$A$2:$N$12,14,FALSE)&gt;0,AP2349-VLOOKUP(AM$38,$A$2:$N$12,14,FALSE)," ")," ")</f>
        <v xml:space="preserve"> </v>
      </c>
      <c r="AS2349" s="34">
        <f t="shared" ref="AS2349" si="10239">$M$6</f>
        <v>0</v>
      </c>
      <c r="AT2349" s="34">
        <v>-1</v>
      </c>
      <c r="AU2349" s="34">
        <f t="shared" ref="AU2349" si="10240">-SUMPRODUCT($M$2:$M$5,$N$2:$N$5)-SUMPRODUCT($M$7:$M$12,$N$7:$N$12)</f>
        <v>-120000</v>
      </c>
      <c r="AV2349" s="34" t="e">
        <f t="shared" ref="AV2349" si="10241">IF(AS2349&lt;&gt;AS2350,MMULT(MINVERSE(AS2349:AT2350),AU2349:AU2350)," ")</f>
        <v>#NUM!</v>
      </c>
      <c r="AW2349" s="34" t="str">
        <f t="shared" ref="AW2349" si="10242">IFERROR(IF(AV2349-VLOOKUP(AS$38,$A$2:$N$12,14,FALSE)&lt;0,AV2349-VLOOKUP(AS$38,$A$2:$N$12,14,FALSE)," ")," ")</f>
        <v xml:space="preserve"> </v>
      </c>
      <c r="AX2349" s="34" t="str">
        <f t="shared" ref="AX2349" si="10243">IFERROR(IF(AV2349-VLOOKUP(AS$38,$A$2:$N$12,14,FALSE)&gt;0,AV2349-VLOOKUP(AS$38,$A$2:$N$12,14,FALSE)," ")," ")</f>
        <v xml:space="preserve"> </v>
      </c>
      <c r="AY2349" s="34">
        <f t="shared" ref="AY2349" si="10244">$M$7</f>
        <v>0</v>
      </c>
      <c r="AZ2349" s="34">
        <v>-1</v>
      </c>
      <c r="BA2349" s="34">
        <f t="shared" ref="BA2349" si="10245">-SUMPRODUCT($M$2:$M$6,$N$2:$N$6)-SUMPRODUCT($M$8:$M$12,$N$8:$N$12)</f>
        <v>-120000</v>
      </c>
      <c r="BB2349" s="34" t="e">
        <f t="shared" ref="BB2349" si="10246">IF(AY2349&lt;&gt;AY2350,MMULT(MINVERSE(AY2349:AZ2350),BA2349:BA2350)," ")</f>
        <v>#NUM!</v>
      </c>
      <c r="BC2349" s="34" t="str">
        <f t="shared" ref="BC2349" si="10247">IFERROR(IF(BB2349-VLOOKUP(AY$38,$A$2:$N$12,14,FALSE)&lt;0,BB2349-VLOOKUP(AY$38,$A$2:$N$12,14,FALSE)," ")," ")</f>
        <v xml:space="preserve"> </v>
      </c>
      <c r="BD2349" s="34" t="str">
        <f t="shared" ref="BD2349" si="10248">IFERROR(IF(BB2349-VLOOKUP(AY$38,$A$2:$N$12,14,FALSE)&gt;0,BB2349-VLOOKUP(AY$38,$A$2:$N$12,14,FALSE)," ")," ")</f>
        <v xml:space="preserve"> </v>
      </c>
      <c r="BE2349" s="34">
        <f t="shared" ref="BE2349" si="10249">$M$8</f>
        <v>0</v>
      </c>
      <c r="BF2349" s="34">
        <v>-1</v>
      </c>
      <c r="BG2349" s="34">
        <f t="shared" ref="BG2349" si="10250">-SUMPRODUCT($M$2:$M$7,$N$2:$N$7)-SUMPRODUCT($M$9:$M$12,$N$9:$N$12)</f>
        <v>-120000</v>
      </c>
      <c r="BH2349" s="34" t="e">
        <f t="shared" ref="BH2349" si="10251">IF(BE2349&lt;&gt;BE2350,MMULT(MINVERSE(BE2349:BF2350),BG2349:BG2350)," ")</f>
        <v>#NUM!</v>
      </c>
      <c r="BI2349" s="34" t="str">
        <f t="shared" ref="BI2349" si="10252">IFERROR(IF(BH2349-VLOOKUP(BE$38,$A$2:$N$12,14,FALSE)&lt;0,BH2349-VLOOKUP(BE$38,$A$2:$N$12,14,FALSE)," ")," ")</f>
        <v xml:space="preserve"> </v>
      </c>
      <c r="BJ2349" s="34" t="str">
        <f t="shared" ref="BJ2349" si="10253">IFERROR(IF(BH2349-VLOOKUP(BE$38,$A$2:$N$12,14,FALSE)&gt;0,BH2349-VLOOKUP(BE$38,$A$2:$N$12,14,FALSE)," ")," ")</f>
        <v xml:space="preserve"> </v>
      </c>
      <c r="BK2349" s="34">
        <f t="shared" ref="BK2349" si="10254">$M$9</f>
        <v>0</v>
      </c>
      <c r="BL2349" s="34">
        <v>-1</v>
      </c>
      <c r="BM2349" s="34">
        <f t="shared" ref="BM2349" si="10255">-SUMPRODUCT($M$2:$M$8,$N$2:$N$8)-SUMPRODUCT($M$10:$M$12,$N$10:$N$12)</f>
        <v>-120000</v>
      </c>
      <c r="BN2349" s="34" t="e">
        <f t="shared" ref="BN2349" si="10256">IF(BK2349&lt;&gt;BK2350,MMULT(MINVERSE(BK2349:BL2350),BM2349:BM2350)," ")</f>
        <v>#NUM!</v>
      </c>
      <c r="BO2349" s="34" t="str">
        <f t="shared" ref="BO2349" si="10257">IFERROR(IF(BN2349-VLOOKUP(BK$38,$A$2:$N$12,14,FALSE)&lt;0,BN2349-VLOOKUP(BK$38,$A$2:$N$12,14,FALSE)," ")," ")</f>
        <v xml:space="preserve"> </v>
      </c>
      <c r="BP2349" s="34" t="str">
        <f t="shared" ref="BP2349" si="10258">IFERROR(IF(BN2349-VLOOKUP(BK$38,$A$2:$N$12,14,FALSE)&gt;0,BN2349-VLOOKUP(BK$38,$A$2:$N$12,14,FALSE)," ")," ")</f>
        <v xml:space="preserve"> </v>
      </c>
      <c r="BQ2349" s="34">
        <f t="shared" ref="BQ2349" si="10259">$M$10</f>
        <v>0</v>
      </c>
      <c r="BR2349" s="34">
        <v>-1</v>
      </c>
      <c r="BS2349" s="34">
        <f t="shared" ref="BS2349" si="10260">-SUMPRODUCT($M$2:$M$9,$N$2:$N$9)-SUMPRODUCT($M$11:$M$12,$N$11:$N$12)</f>
        <v>-120000</v>
      </c>
      <c r="BT2349" s="34" t="e">
        <f t="shared" ref="BT2349" si="10261">IF(BQ2349&lt;&gt;BQ2350,MMULT(MINVERSE(BQ2349:BR2350),BS2349:BS2350)," ")</f>
        <v>#NUM!</v>
      </c>
      <c r="BU2349" s="34" t="str">
        <f t="shared" ref="BU2349" si="10262">IFERROR(IF(BT2349-VLOOKUP(BQ$38,$A$2:$N$12,14,FALSE)&lt;0,BT2349-VLOOKUP(BQ$38,$A$2:$N$12,14,FALSE)," ")," ")</f>
        <v xml:space="preserve"> </v>
      </c>
      <c r="BV2349" s="34" t="str">
        <f t="shared" ref="BV2349" si="10263">IFERROR(IF(BT2349-VLOOKUP(BQ$38,$A$2:$N$12,14,FALSE)&gt;0,BT2349-VLOOKUP(BQ$38,$A$2:$N$12,14,FALSE)," ")," ")</f>
        <v xml:space="preserve"> </v>
      </c>
      <c r="BW2349" s="34">
        <f t="shared" ref="BW2349" si="10264">$M$11</f>
        <v>0</v>
      </c>
      <c r="BX2349" s="34">
        <v>-1</v>
      </c>
      <c r="BY2349" s="34">
        <f t="shared" ref="BY2349" si="10265">-SUMPRODUCT($M$2:$M$10,$N$2:$N$10)-SUMPRODUCT($M$12,$N$12)</f>
        <v>-120000</v>
      </c>
      <c r="BZ2349" s="34" t="e">
        <f t="shared" ref="BZ2349" si="10266">IF(BW2349&lt;&gt;BW2350,MMULT(MINVERSE(BW2349:BX2350),BY2349:BY2350)," ")</f>
        <v>#NUM!</v>
      </c>
      <c r="CA2349" s="34" t="str">
        <f t="shared" ref="CA2349" si="10267">IFERROR(IF(BZ2349-VLOOKUP(BW$38,$A$2:$N$12,14,FALSE)&lt;0,BZ2349-VLOOKUP(BW$38,$A$2:$N$12,14,FALSE)," ")," ")</f>
        <v xml:space="preserve"> </v>
      </c>
      <c r="CB2349" s="34" t="str">
        <f t="shared" ref="CB2349" si="10268">IFERROR(IF(BZ2349-VLOOKUP(BW$38,$A$2:$N$12,14,FALSE)&gt;0,BZ2349-VLOOKUP(BW$38,$A$2:$N$12,14,FALSE)," ")," ")</f>
        <v xml:space="preserve"> </v>
      </c>
      <c r="CC2349" s="34">
        <f t="shared" ref="CC2349" si="10269">$M$12</f>
        <v>0</v>
      </c>
      <c r="CD2349" s="34">
        <v>-1</v>
      </c>
      <c r="CE2349" s="34">
        <f t="shared" ref="CE2349" si="10270">-SUMPRODUCT($M$2:$M$11,$N$2:$N$11)</f>
        <v>-120000</v>
      </c>
      <c r="CF2349" s="34" t="e">
        <f t="shared" ref="CF2349" si="10271">IF(CC2349&lt;&gt;CC2350,MMULT(MINVERSE(CC2349:CD2350),CE2349:CE2350)," ")</f>
        <v>#NUM!</v>
      </c>
      <c r="CG2349" s="34" t="str">
        <f t="shared" ref="CG2349" si="10272">IFERROR(IF(CF2349-VLOOKUP(CC$38,$A$2:$N$12,14,FALSE)&lt;0,CF2349-VLOOKUP(CC$38,$A$2:$N$12,14,FALSE)," ")," ")</f>
        <v xml:space="preserve"> </v>
      </c>
      <c r="CH2349" s="34" t="str">
        <f t="shared" ref="CH2349" si="10273">IFERROR(IF(CF2349-VLOOKUP(CC$38,$A$2:$N$12,14,FALSE)&gt;0,CF2349-VLOOKUP(CC$38,$A$2:$N$12,14,FALSE)," ")," ")</f>
        <v xml:space="preserve"> </v>
      </c>
      <c r="CI2349" s="8"/>
    </row>
    <row r="2350" spans="1:87" x14ac:dyDescent="0.2">
      <c r="A2350" s="8" t="str">
        <f>IF(AND(COUNTIF(W$3:W$13,A$16)&gt;0,A$16&lt;&gt;B2324),A$16,IFERROR(IF(MATCH(A$16,Z$3:Z$13,0)=2,A$16," ")," "))</f>
        <v>C2</v>
      </c>
      <c r="B2350" s="8">
        <f>IF(A2350=" "," ",MAX(B2349:B2349)+1)</f>
        <v>1</v>
      </c>
      <c r="C2350" s="8" t="str">
        <f>IFERROR(INDEX(A2349:A2370,MATCH(SMALL(B2349:B2370,2),B2349:B2370,0),1)," ")</f>
        <v>C3</v>
      </c>
      <c r="D2350" s="8">
        <f t="shared" ref="D2350:D2359" si="10274">IFERROR(VLOOKUP($C2350,$A$15:$O$36,2,FALSE)," ")</f>
        <v>2</v>
      </c>
      <c r="E2350" s="8">
        <f t="shared" ref="E2350:E2359" si="10275">IFERROR(VLOOKUP($C2350,$A$15:$O$36,3,FALSE)," ")</f>
        <v>5</v>
      </c>
      <c r="F2350" s="8">
        <f t="shared" ref="F2350:F2359" si="10276">IFERROR(VLOOKUP($C2350,$A$15:$O$36,4,FALSE)," ")</f>
        <v>6</v>
      </c>
      <c r="G2350" s="8">
        <f t="shared" ref="G2350:G2359" si="10277">IFERROR(VLOOKUP($C2350,$A$15:$O$36,5,FALSE)," ")</f>
        <v>0</v>
      </c>
      <c r="H2350" s="8">
        <f t="shared" ref="H2350:H2359" si="10278">IFERROR(VLOOKUP($C2350,$A$15:$O$36,6,FALSE)," ")</f>
        <v>0</v>
      </c>
      <c r="I2350" s="8">
        <f t="shared" ref="I2350:I2359" si="10279">IFERROR(VLOOKUP($C2350,$A$15:$O$36,7,FALSE)," ")</f>
        <v>0</v>
      </c>
      <c r="J2350" s="8">
        <f t="shared" ref="J2350:J2359" si="10280">IFERROR(VLOOKUP($C2350,$A$15:$O$36,8,FALSE)," ")</f>
        <v>0</v>
      </c>
      <c r="K2350" s="8">
        <f t="shared" ref="K2350:K2359" si="10281">IFERROR(VLOOKUP($C2350,$A$15:$O$36,9,FALSE)," ")</f>
        <v>0</v>
      </c>
      <c r="L2350" s="8">
        <f t="shared" ref="L2350:L2359" si="10282">IFERROR(VLOOKUP($C2350,$A$15:$O$36,10,FALSE)," ")</f>
        <v>0</v>
      </c>
      <c r="M2350" s="8">
        <f t="shared" ref="M2350:M2359" si="10283">IFERROR(VLOOKUP($C2350,$A$15:$O$36,11,FALSE)," ")</f>
        <v>0</v>
      </c>
      <c r="N2350" s="8">
        <f t="shared" ref="N2350:N2359" si="10284">IFERROR(VLOOKUP($C2350,$A$15:$O$36,12,FALSE)," ")</f>
        <v>0</v>
      </c>
      <c r="O2350" s="8">
        <f t="shared" ref="O2350:O2359" si="10285">IFERROR(VLOOKUP($C2350,$A$15:$O$36,15,FALSE)," ")</f>
        <v>2000</v>
      </c>
      <c r="P2350" s="8" t="e">
        <v>#NUM!</v>
      </c>
      <c r="Q2350" s="8" t="e">
        <f t="shared" ref="Q2350" si="10286">IF(COUNTIF(P2349:P2359,"&lt;"&amp;-0.001)=0,IF(ABS(P2350)&lt;0.001,0,P2350)," ")</f>
        <v>#NUM!</v>
      </c>
      <c r="R2350" s="8"/>
      <c r="S2350" s="8"/>
      <c r="U2350" s="34" t="e">
        <f t="shared" ref="U2350" si="10287">$Q2349</f>
        <v>#NUM!</v>
      </c>
      <c r="V2350" s="34">
        <v>-1</v>
      </c>
      <c r="W2350" s="34" t="e">
        <f t="shared" ref="W2350" si="10288">-SUMPRODUCT($Q2350:$Q2359,$N$3:$N$12)</f>
        <v>#NUM!</v>
      </c>
      <c r="X2350" s="34"/>
      <c r="Y2350" s="34"/>
      <c r="Z2350" s="34"/>
      <c r="AA2350" s="34" t="e">
        <f t="shared" ref="AA2350" si="10289">$Q2350</f>
        <v>#NUM!</v>
      </c>
      <c r="AB2350" s="34">
        <v>-1</v>
      </c>
      <c r="AC2350" s="34" t="e">
        <f t="shared" ref="AC2350" si="10290">-SUMPRODUCT($Q2349:$Q2349,$N$2:$N$2)-SUMPRODUCT($Q2351:$Q2359,$N$4:$N$12)</f>
        <v>#NUM!</v>
      </c>
      <c r="AD2350" s="34"/>
      <c r="AE2350" s="34"/>
      <c r="AF2350" s="34"/>
      <c r="AG2350" s="34" t="e">
        <f t="shared" ref="AG2350" si="10291">$Q2351</f>
        <v>#NUM!</v>
      </c>
      <c r="AH2350" s="34">
        <v>-1</v>
      </c>
      <c r="AI2350" s="34" t="e">
        <f t="shared" ref="AI2350" si="10292">-SUMPRODUCT($Q2349:$Q2350,$N$2:$N$3)-SUMPRODUCT($Q2352:$Q2359,$N$5:$N$12)</f>
        <v>#NUM!</v>
      </c>
      <c r="AJ2350" s="34"/>
      <c r="AK2350" s="34"/>
      <c r="AL2350" s="34"/>
      <c r="AM2350" s="34" t="e">
        <f t="shared" ref="AM2350" si="10293">$Q2352</f>
        <v>#NUM!</v>
      </c>
      <c r="AN2350" s="34">
        <v>-1</v>
      </c>
      <c r="AO2350" s="34" t="e">
        <f t="shared" ref="AO2350" si="10294">-SUMPRODUCT($Q2349:$Q2351,$N$2:$N$4)-SUMPRODUCT($Q2353:$Q2359,$N$6:$N$12)</f>
        <v>#NUM!</v>
      </c>
      <c r="AP2350" s="34"/>
      <c r="AQ2350" s="34"/>
      <c r="AR2350" s="34"/>
      <c r="AS2350" s="34" t="e">
        <f t="shared" ref="AS2350" si="10295">$Q2353</f>
        <v>#NUM!</v>
      </c>
      <c r="AT2350" s="34">
        <v>-1</v>
      </c>
      <c r="AU2350" s="34" t="e">
        <f t="shared" ref="AU2350" si="10296">-SUMPRODUCT($Q2349:$Q2352,$N$2:$N$5)-SUMPRODUCT($Q2354:$Q2359,$N$7:$N$12)</f>
        <v>#NUM!</v>
      </c>
      <c r="AV2350" s="34"/>
      <c r="AW2350" s="34"/>
      <c r="AX2350" s="34"/>
      <c r="AY2350" s="34" t="e">
        <f t="shared" ref="AY2350" si="10297">$Q2354</f>
        <v>#NUM!</v>
      </c>
      <c r="AZ2350" s="34">
        <v>-1</v>
      </c>
      <c r="BA2350" s="34" t="e">
        <f t="shared" ref="BA2350" si="10298">-SUMPRODUCT($Q2349:$Q2353,$N$2:$N$6)-SUMPRODUCT($Q2355:$Q2359,$N$8:$N$12)</f>
        <v>#NUM!</v>
      </c>
      <c r="BB2350" s="34"/>
      <c r="BC2350" s="34"/>
      <c r="BD2350" s="34"/>
      <c r="BE2350" s="34" t="e">
        <f t="shared" ref="BE2350" si="10299">$Q2355</f>
        <v>#NUM!</v>
      </c>
      <c r="BF2350" s="34">
        <v>-1</v>
      </c>
      <c r="BG2350" s="34" t="e">
        <f t="shared" ref="BG2350" si="10300">-SUMPRODUCT($Q2349:$Q2354,$N$2:$N$7)-SUMPRODUCT($Q2356:$Q2359,$N$9:$N$12)</f>
        <v>#NUM!</v>
      </c>
      <c r="BH2350" s="34"/>
      <c r="BI2350" s="34"/>
      <c r="BJ2350" s="34"/>
      <c r="BK2350" s="34" t="e">
        <f t="shared" ref="BK2350" si="10301">$Q2356</f>
        <v>#NUM!</v>
      </c>
      <c r="BL2350" s="34">
        <v>-1</v>
      </c>
      <c r="BM2350" s="34" t="e">
        <f t="shared" ref="BM2350" si="10302">-SUMPRODUCT($Q2349:$Q2355,$N$2:$N$8)-SUMPRODUCT($Q2357:$Q2359,$N$10:$N$12)</f>
        <v>#NUM!</v>
      </c>
      <c r="BN2350" s="34"/>
      <c r="BO2350" s="34"/>
      <c r="BP2350" s="34"/>
      <c r="BQ2350" s="34" t="e">
        <f t="shared" ref="BQ2350" si="10303">$Q2357</f>
        <v>#NUM!</v>
      </c>
      <c r="BR2350" s="34">
        <v>-1</v>
      </c>
      <c r="BS2350" s="34" t="e">
        <f t="shared" ref="BS2350" si="10304">-SUMPRODUCT($Q2349:$Q2356,$N$2:$N$9)-SUMPRODUCT($Q2358:$Q2359,$N$11:$N$12)</f>
        <v>#NUM!</v>
      </c>
      <c r="BT2350" s="34"/>
      <c r="BU2350" s="34"/>
      <c r="BV2350" s="34"/>
      <c r="BW2350" s="34" t="e">
        <f t="shared" ref="BW2350" si="10305">$Q2358</f>
        <v>#NUM!</v>
      </c>
      <c r="BX2350" s="34">
        <v>-1</v>
      </c>
      <c r="BY2350" s="34" t="e">
        <f t="shared" ref="BY2350" si="10306">-SUMPRODUCT($Q2349:$Q2357,$N$2:$N$10)-SUMPRODUCT($Q2359,$N$12)</f>
        <v>#NUM!</v>
      </c>
      <c r="BZ2350" s="34"/>
      <c r="CA2350" s="34"/>
      <c r="CB2350" s="34"/>
      <c r="CC2350" s="34" t="e">
        <f t="shared" ref="CC2350" si="10307">$Q2359</f>
        <v>#NUM!</v>
      </c>
      <c r="CD2350" s="34">
        <v>-1</v>
      </c>
      <c r="CE2350" s="34" t="e">
        <f t="shared" ref="CE2350" si="10308">-SUMPRODUCT($Q2349:$Q2358,$N$2:$N$11)</f>
        <v>#NUM!</v>
      </c>
      <c r="CF2350" s="34"/>
      <c r="CG2350" s="34"/>
      <c r="CH2350" s="34"/>
      <c r="CI2350" s="8"/>
    </row>
    <row r="2351" spans="1:87" x14ac:dyDescent="0.2">
      <c r="A2351" s="8" t="str">
        <f>IF(AND(COUNTIF(W$3:W$13,A$17)&gt;0,A$17&lt;&gt;B2324),A$17,IFERROR(IF(MATCH(A$17,Z$3:Z$13,0)=2,A$17," ")," "))</f>
        <v>C3</v>
      </c>
      <c r="B2351" s="8">
        <f>IF(A2351=" "," ",MAX(B2349:B2350)+1)</f>
        <v>2</v>
      </c>
      <c r="C2351" s="8" t="str">
        <f>IFERROR(INDEX(A2349:A2370,MATCH(SMALL(B2349:B2370,3),B2349:B2370,0),1)," ")</f>
        <v>C4</v>
      </c>
      <c r="D2351" s="8">
        <f t="shared" si="10274"/>
        <v>1</v>
      </c>
      <c r="E2351" s="8">
        <f t="shared" si="10275"/>
        <v>0</v>
      </c>
      <c r="F2351" s="8">
        <f t="shared" si="10276"/>
        <v>1</v>
      </c>
      <c r="G2351" s="8">
        <f t="shared" si="10277"/>
        <v>0</v>
      </c>
      <c r="H2351" s="8">
        <f t="shared" si="10278"/>
        <v>0</v>
      </c>
      <c r="I2351" s="8">
        <f t="shared" si="10279"/>
        <v>0</v>
      </c>
      <c r="J2351" s="8">
        <f t="shared" si="10280"/>
        <v>0</v>
      </c>
      <c r="K2351" s="8">
        <f t="shared" si="10281"/>
        <v>0</v>
      </c>
      <c r="L2351" s="8">
        <f t="shared" si="10282"/>
        <v>0</v>
      </c>
      <c r="M2351" s="8">
        <f t="shared" si="10283"/>
        <v>0</v>
      </c>
      <c r="N2351" s="8">
        <f t="shared" si="10284"/>
        <v>0</v>
      </c>
      <c r="O2351" s="8">
        <f t="shared" si="10285"/>
        <v>400</v>
      </c>
      <c r="P2351" s="8" t="e">
        <v>#NUM!</v>
      </c>
      <c r="Q2351" s="8" t="e">
        <f t="shared" ref="Q2351" si="10309">IF(COUNTIF(P2349:P2359,"&lt;"&amp;-0.001)=0,IF(ABS(P2351)&lt;0.001,0,P2351)," ")</f>
        <v>#NUM!</v>
      </c>
      <c r="R2351" s="8"/>
      <c r="S2351" s="8"/>
      <c r="U2351" s="34"/>
      <c r="V2351" s="34"/>
      <c r="W2351" s="34"/>
      <c r="X2351" s="34"/>
      <c r="Y2351" s="34"/>
      <c r="Z2351" s="34"/>
      <c r="AA2351" s="34"/>
      <c r="AB2351" s="34"/>
      <c r="AC2351" s="34"/>
      <c r="AD2351" s="34"/>
      <c r="AE2351" s="34"/>
      <c r="AF2351" s="34"/>
      <c r="AG2351" s="34"/>
      <c r="AH2351" s="34"/>
      <c r="AI2351" s="34"/>
      <c r="AJ2351" s="34"/>
      <c r="AK2351" s="34"/>
      <c r="AL2351" s="34"/>
      <c r="AM2351" s="34"/>
      <c r="AN2351" s="34"/>
      <c r="AO2351" s="34"/>
      <c r="AP2351" s="34"/>
      <c r="AQ2351" s="34"/>
      <c r="AR2351" s="34"/>
      <c r="AS2351" s="34"/>
      <c r="AT2351" s="34"/>
      <c r="AU2351" s="34"/>
      <c r="AV2351" s="34"/>
      <c r="AW2351" s="34"/>
      <c r="AX2351" s="34"/>
      <c r="AY2351" s="34"/>
      <c r="AZ2351" s="34"/>
      <c r="BA2351" s="34"/>
      <c r="BB2351" s="34"/>
      <c r="BC2351" s="34"/>
      <c r="BD2351" s="34"/>
      <c r="BE2351" s="34"/>
      <c r="BF2351" s="34"/>
      <c r="BG2351" s="34"/>
      <c r="BH2351" s="34"/>
      <c r="BI2351" s="34"/>
      <c r="BJ2351" s="34"/>
      <c r="BK2351" s="34"/>
      <c r="BL2351" s="34"/>
      <c r="BM2351" s="34"/>
      <c r="BN2351" s="34"/>
      <c r="BO2351" s="34"/>
      <c r="BP2351" s="34"/>
      <c r="BQ2351" s="34"/>
      <c r="BR2351" s="34"/>
      <c r="BS2351" s="34"/>
      <c r="BT2351" s="34"/>
      <c r="BU2351" s="34"/>
      <c r="BV2351" s="34"/>
      <c r="BW2351" s="34"/>
      <c r="BX2351" s="34"/>
      <c r="BY2351" s="34"/>
      <c r="BZ2351" s="34"/>
      <c r="CA2351" s="34"/>
      <c r="CB2351" s="34"/>
      <c r="CC2351" s="34"/>
      <c r="CD2351" s="34"/>
      <c r="CE2351" s="34"/>
      <c r="CF2351" s="34"/>
      <c r="CG2351" s="34"/>
      <c r="CH2351" s="34"/>
      <c r="CI2351" s="8"/>
    </row>
    <row r="2352" spans="1:87" x14ac:dyDescent="0.2">
      <c r="A2352" s="8" t="str">
        <f>IF(AND(COUNTIF(W$3:W$13,A$18)&gt;0,A$18&lt;&gt;B2324),A$18,IFERROR(IF(MATCH(A$18,Z$3:Z$13,0)=2,A$18," ")," "))</f>
        <v>C4</v>
      </c>
      <c r="B2352" s="8">
        <f>IF(A2352=" "," ",MAX(B2349:B2351)+1)</f>
        <v>3</v>
      </c>
      <c r="C2352" s="8" t="str">
        <f>IFERROR(INDEX(A2349:A2370,MATCH(SMALL(B2349:B2370,4),B2349:B2370,0),1)," ")</f>
        <v>C13</v>
      </c>
      <c r="D2352" s="8">
        <f t="shared" si="10274"/>
        <v>0</v>
      </c>
      <c r="E2352" s="8">
        <f t="shared" si="10275"/>
        <v>1</v>
      </c>
      <c r="F2352" s="8">
        <f t="shared" si="10276"/>
        <v>0</v>
      </c>
      <c r="G2352" s="8">
        <f t="shared" si="10277"/>
        <v>0</v>
      </c>
      <c r="H2352" s="8">
        <f t="shared" si="10278"/>
        <v>0</v>
      </c>
      <c r="I2352" s="8">
        <f t="shared" si="10279"/>
        <v>0</v>
      </c>
      <c r="J2352" s="8">
        <f t="shared" si="10280"/>
        <v>0</v>
      </c>
      <c r="K2352" s="8">
        <f t="shared" si="10281"/>
        <v>0</v>
      </c>
      <c r="L2352" s="8">
        <f t="shared" si="10282"/>
        <v>0</v>
      </c>
      <c r="M2352" s="8">
        <f t="shared" si="10283"/>
        <v>0</v>
      </c>
      <c r="N2352" s="8">
        <f t="shared" si="10284"/>
        <v>0</v>
      </c>
      <c r="O2352" s="8">
        <f t="shared" si="10285"/>
        <v>0</v>
      </c>
      <c r="P2352" s="8" t="e">
        <v>#NUM!</v>
      </c>
      <c r="Q2352" s="8" t="e">
        <f t="shared" ref="Q2352" si="10310">IF(COUNTIF(P2349:P2359,"&lt;"&amp;-0.001)=0,IF(ABS(P2352)&lt;0.001,0,P2352)," ")</f>
        <v>#NUM!</v>
      </c>
      <c r="R2352" s="8"/>
      <c r="S2352" s="8"/>
      <c r="U2352" s="34"/>
      <c r="V2352" s="34"/>
      <c r="W2352" s="34"/>
      <c r="X2352" s="34"/>
      <c r="Y2352" s="34"/>
      <c r="Z2352" s="34"/>
      <c r="AA2352" s="34"/>
      <c r="AB2352" s="34"/>
      <c r="AC2352" s="34"/>
      <c r="AD2352" s="34"/>
      <c r="AE2352" s="34"/>
      <c r="AF2352" s="34"/>
      <c r="AG2352" s="34"/>
      <c r="AH2352" s="34"/>
      <c r="AI2352" s="34"/>
      <c r="AJ2352" s="34"/>
      <c r="AK2352" s="34"/>
      <c r="AL2352" s="34"/>
      <c r="AM2352" s="34"/>
      <c r="AN2352" s="34"/>
      <c r="AO2352" s="34"/>
      <c r="AP2352" s="34"/>
      <c r="AQ2352" s="34"/>
      <c r="AR2352" s="34"/>
      <c r="AS2352" s="34"/>
      <c r="AT2352" s="34"/>
      <c r="AU2352" s="34"/>
      <c r="AV2352" s="34"/>
      <c r="AW2352" s="34"/>
      <c r="AX2352" s="34"/>
      <c r="AY2352" s="34"/>
      <c r="AZ2352" s="34"/>
      <c r="BA2352" s="34"/>
      <c r="BB2352" s="34"/>
      <c r="BC2352" s="34"/>
      <c r="BD2352" s="34"/>
      <c r="BE2352" s="34"/>
      <c r="BF2352" s="34"/>
      <c r="BG2352" s="34"/>
      <c r="BH2352" s="34"/>
      <c r="BI2352" s="34"/>
      <c r="BJ2352" s="34"/>
      <c r="BK2352" s="34"/>
      <c r="BL2352" s="34"/>
      <c r="BM2352" s="34"/>
      <c r="BN2352" s="34"/>
      <c r="BO2352" s="34"/>
      <c r="BP2352" s="34"/>
      <c r="BQ2352" s="34"/>
      <c r="BR2352" s="34"/>
      <c r="BS2352" s="34"/>
      <c r="BT2352" s="34"/>
      <c r="BU2352" s="34"/>
      <c r="BV2352" s="34"/>
      <c r="BW2352" s="34"/>
      <c r="BX2352" s="34"/>
      <c r="BY2352" s="34"/>
      <c r="BZ2352" s="34"/>
      <c r="CA2352" s="34"/>
      <c r="CB2352" s="34"/>
      <c r="CC2352" s="34"/>
      <c r="CD2352" s="34"/>
      <c r="CE2352" s="34"/>
      <c r="CF2352" s="34"/>
      <c r="CG2352" s="34"/>
      <c r="CH2352" s="34"/>
      <c r="CI2352" s="8"/>
    </row>
    <row r="2353" spans="1:87" x14ac:dyDescent="0.2">
      <c r="A2353" s="8" t="str">
        <f>IF(AND(COUNTIF(W$3:W$13,A$19)&gt;0,A$19&lt;&gt;B2324),A$19,IFERROR(IF(MATCH(A$19,Z$3:Z$13,0)=2,A$19," ")," "))</f>
        <v xml:space="preserve"> </v>
      </c>
      <c r="B2353" s="8" t="str">
        <f>IF(A2353=" "," ",MAX(B2349:B2352)+1)</f>
        <v xml:space="preserve"> </v>
      </c>
      <c r="C2353" s="8" t="str">
        <f>IFERROR(INDEX(A2349:A2370,MATCH(SMALL(B2349:B2370,5),B2349:B2370,0),1)," ")</f>
        <v>C15</v>
      </c>
      <c r="D2353" s="8">
        <f t="shared" si="10274"/>
        <v>0</v>
      </c>
      <c r="E2353" s="8">
        <f t="shared" si="10275"/>
        <v>0</v>
      </c>
      <c r="F2353" s="8">
        <f t="shared" si="10276"/>
        <v>0</v>
      </c>
      <c r="G2353" s="8">
        <f t="shared" si="10277"/>
        <v>1</v>
      </c>
      <c r="H2353" s="8">
        <f t="shared" si="10278"/>
        <v>0</v>
      </c>
      <c r="I2353" s="8">
        <f t="shared" si="10279"/>
        <v>0</v>
      </c>
      <c r="J2353" s="8">
        <f t="shared" si="10280"/>
        <v>0</v>
      </c>
      <c r="K2353" s="8">
        <f t="shared" si="10281"/>
        <v>0</v>
      </c>
      <c r="L2353" s="8">
        <f t="shared" si="10282"/>
        <v>0</v>
      </c>
      <c r="M2353" s="8">
        <f t="shared" si="10283"/>
        <v>0</v>
      </c>
      <c r="N2353" s="8">
        <f t="shared" si="10284"/>
        <v>0</v>
      </c>
      <c r="O2353" s="8">
        <f t="shared" si="10285"/>
        <v>0</v>
      </c>
      <c r="P2353" s="8" t="e">
        <v>#NUM!</v>
      </c>
      <c r="Q2353" s="8" t="e">
        <f t="shared" ref="Q2353" si="10311">IF(COUNTIF(P2349:P2359,"&lt;"&amp;-0.001)=0,IF(ABS(P2353)&lt;0.001,0,P2353)," ")</f>
        <v>#NUM!</v>
      </c>
      <c r="R2353" s="8"/>
      <c r="S2353" s="8"/>
      <c r="U2353" s="34"/>
      <c r="V2353" s="34"/>
      <c r="W2353" s="34"/>
      <c r="X2353" s="34"/>
      <c r="Y2353" s="34"/>
      <c r="Z2353" s="34"/>
      <c r="AA2353" s="34"/>
      <c r="AB2353" s="34"/>
      <c r="AC2353" s="34"/>
      <c r="AD2353" s="34"/>
      <c r="AE2353" s="34"/>
      <c r="AF2353" s="34"/>
      <c r="AG2353" s="34"/>
      <c r="AH2353" s="34"/>
      <c r="AI2353" s="34"/>
      <c r="AJ2353" s="34"/>
      <c r="AK2353" s="34"/>
      <c r="AL2353" s="34"/>
      <c r="AM2353" s="34"/>
      <c r="AN2353" s="34"/>
      <c r="AO2353" s="34"/>
      <c r="AP2353" s="34"/>
      <c r="AQ2353" s="34"/>
      <c r="AR2353" s="34"/>
      <c r="AS2353" s="34"/>
      <c r="AT2353" s="34"/>
      <c r="AU2353" s="34"/>
      <c r="AV2353" s="34"/>
      <c r="AW2353" s="34"/>
      <c r="AX2353" s="34"/>
      <c r="AY2353" s="34"/>
      <c r="AZ2353" s="34"/>
      <c r="BA2353" s="34"/>
      <c r="BB2353" s="34"/>
      <c r="BC2353" s="34"/>
      <c r="BD2353" s="34"/>
      <c r="BE2353" s="34"/>
      <c r="BF2353" s="34"/>
      <c r="BG2353" s="34"/>
      <c r="BH2353" s="34"/>
      <c r="BI2353" s="34"/>
      <c r="BJ2353" s="34"/>
      <c r="BK2353" s="34"/>
      <c r="BL2353" s="34"/>
      <c r="BM2353" s="34"/>
      <c r="BN2353" s="34"/>
      <c r="BO2353" s="34"/>
      <c r="BP2353" s="34"/>
      <c r="BQ2353" s="34"/>
      <c r="BR2353" s="34"/>
      <c r="BS2353" s="34"/>
      <c r="BT2353" s="34"/>
      <c r="BU2353" s="34"/>
      <c r="BV2353" s="34"/>
      <c r="BW2353" s="34"/>
      <c r="BX2353" s="34"/>
      <c r="BY2353" s="34"/>
      <c r="BZ2353" s="34"/>
      <c r="CA2353" s="34"/>
      <c r="CB2353" s="34"/>
      <c r="CC2353" s="34"/>
      <c r="CD2353" s="34"/>
      <c r="CE2353" s="34"/>
      <c r="CF2353" s="34"/>
      <c r="CG2353" s="34"/>
      <c r="CH2353" s="34"/>
      <c r="CI2353" s="8"/>
    </row>
    <row r="2354" spans="1:87" x14ac:dyDescent="0.2">
      <c r="A2354" s="8" t="str">
        <f>IF(AND(COUNTIF(W$3:W$13,A$20)&gt;0,A$20&lt;&gt;B2324),A$20,IFERROR(IF(MATCH(A$20,Z$3:Z$13,0)=2,A$20," ")," "))</f>
        <v xml:space="preserve"> </v>
      </c>
      <c r="B2354" s="8" t="str">
        <f>IF(A2354=" "," ",MAX(B2349:B2353)+1)</f>
        <v xml:space="preserve"> </v>
      </c>
      <c r="C2354" s="8" t="str">
        <f>IFERROR(INDEX(A2349:A2370,MATCH(SMALL(B2349:B2370,6),B2349:B2370,0),1)," ")</f>
        <v>C16</v>
      </c>
      <c r="D2354" s="8">
        <f t="shared" si="10274"/>
        <v>0</v>
      </c>
      <c r="E2354" s="8">
        <f t="shared" si="10275"/>
        <v>0</v>
      </c>
      <c r="F2354" s="8">
        <f t="shared" si="10276"/>
        <v>0</v>
      </c>
      <c r="G2354" s="8">
        <f t="shared" si="10277"/>
        <v>0</v>
      </c>
      <c r="H2354" s="8">
        <f t="shared" si="10278"/>
        <v>1</v>
      </c>
      <c r="I2354" s="8">
        <f t="shared" si="10279"/>
        <v>0</v>
      </c>
      <c r="J2354" s="8">
        <f t="shared" si="10280"/>
        <v>0</v>
      </c>
      <c r="K2354" s="8">
        <f t="shared" si="10281"/>
        <v>0</v>
      </c>
      <c r="L2354" s="8">
        <f t="shared" si="10282"/>
        <v>0</v>
      </c>
      <c r="M2354" s="8">
        <f t="shared" si="10283"/>
        <v>0</v>
      </c>
      <c r="N2354" s="8">
        <f t="shared" si="10284"/>
        <v>0</v>
      </c>
      <c r="O2354" s="8">
        <f t="shared" si="10285"/>
        <v>0</v>
      </c>
      <c r="P2354" s="8" t="e">
        <v>#NUM!</v>
      </c>
      <c r="Q2354" s="8" t="e">
        <f t="shared" ref="Q2354" si="10312">IF(COUNTIF(P2349:P2359,"&lt;"&amp;-0.001)=0,IF(ABS(P2354)&lt;0.001,0,P2354)," ")</f>
        <v>#NUM!</v>
      </c>
      <c r="R2354" s="8"/>
      <c r="S2354" s="8"/>
      <c r="U2354" s="34"/>
      <c r="V2354" s="34"/>
      <c r="W2354" s="34"/>
      <c r="X2354" s="34"/>
      <c r="Y2354" s="34"/>
      <c r="Z2354" s="34"/>
      <c r="AA2354" s="34"/>
      <c r="AB2354" s="34"/>
      <c r="AC2354" s="34"/>
      <c r="AD2354" s="34"/>
      <c r="AE2354" s="34"/>
      <c r="AF2354" s="34"/>
      <c r="AG2354" s="34"/>
      <c r="AH2354" s="34"/>
      <c r="AI2354" s="34"/>
      <c r="AJ2354" s="34"/>
      <c r="AK2354" s="34"/>
      <c r="AL2354" s="34"/>
      <c r="AM2354" s="34"/>
      <c r="AN2354" s="34"/>
      <c r="AO2354" s="34"/>
      <c r="AP2354" s="34"/>
      <c r="AQ2354" s="34"/>
      <c r="AR2354" s="34"/>
      <c r="AS2354" s="34"/>
      <c r="AT2354" s="34"/>
      <c r="AU2354" s="34"/>
      <c r="AV2354" s="34"/>
      <c r="AW2354" s="34"/>
      <c r="AX2354" s="34"/>
      <c r="AY2354" s="34"/>
      <c r="AZ2354" s="34"/>
      <c r="BA2354" s="34"/>
      <c r="BB2354" s="34"/>
      <c r="BC2354" s="34"/>
      <c r="BD2354" s="34"/>
      <c r="BE2354" s="34"/>
      <c r="BF2354" s="34"/>
      <c r="BG2354" s="34"/>
      <c r="BH2354" s="34"/>
      <c r="BI2354" s="34"/>
      <c r="BJ2354" s="34"/>
      <c r="BK2354" s="34"/>
      <c r="BL2354" s="34"/>
      <c r="BM2354" s="34"/>
      <c r="BN2354" s="34"/>
      <c r="BO2354" s="34"/>
      <c r="BP2354" s="34"/>
      <c r="BQ2354" s="34"/>
      <c r="BR2354" s="34"/>
      <c r="BS2354" s="34"/>
      <c r="BT2354" s="34"/>
      <c r="BU2354" s="34"/>
      <c r="BV2354" s="34"/>
      <c r="BW2354" s="34"/>
      <c r="BX2354" s="34"/>
      <c r="BY2354" s="34"/>
      <c r="BZ2354" s="34"/>
      <c r="CA2354" s="34"/>
      <c r="CB2354" s="34"/>
      <c r="CC2354" s="34"/>
      <c r="CD2354" s="34"/>
      <c r="CE2354" s="34"/>
      <c r="CF2354" s="34"/>
      <c r="CG2354" s="34"/>
      <c r="CH2354" s="34"/>
      <c r="CI2354" s="8"/>
    </row>
    <row r="2355" spans="1:87" x14ac:dyDescent="0.2">
      <c r="A2355" s="8" t="str">
        <f>IF(AND(COUNTIF(W$3:W$13,A$21)&gt;0,A$21&lt;&gt;B2324),A$21,IFERROR(IF(MATCH(A$21,Z$3:Z$13,0)=2,A$21," ")," "))</f>
        <v xml:space="preserve"> </v>
      </c>
      <c r="B2355" s="8" t="str">
        <f>IF(A2355=" "," ",MAX(B2349:B2354)+1)</f>
        <v xml:space="preserve"> </v>
      </c>
      <c r="C2355" s="8" t="str">
        <f>IFERROR(INDEX(A2349:A2370,MATCH(SMALL(B2349:B2370,7),B2349:B2370,0),1)," ")</f>
        <v>C17</v>
      </c>
      <c r="D2355" s="8">
        <f t="shared" si="10274"/>
        <v>0</v>
      </c>
      <c r="E2355" s="8">
        <f t="shared" si="10275"/>
        <v>0</v>
      </c>
      <c r="F2355" s="8">
        <f t="shared" si="10276"/>
        <v>0</v>
      </c>
      <c r="G2355" s="8">
        <f t="shared" si="10277"/>
        <v>0</v>
      </c>
      <c r="H2355" s="8">
        <f t="shared" si="10278"/>
        <v>0</v>
      </c>
      <c r="I2355" s="8">
        <f t="shared" si="10279"/>
        <v>1</v>
      </c>
      <c r="J2355" s="8">
        <f t="shared" si="10280"/>
        <v>0</v>
      </c>
      <c r="K2355" s="8">
        <f t="shared" si="10281"/>
        <v>0</v>
      </c>
      <c r="L2355" s="8">
        <f t="shared" si="10282"/>
        <v>0</v>
      </c>
      <c r="M2355" s="8">
        <f t="shared" si="10283"/>
        <v>0</v>
      </c>
      <c r="N2355" s="8">
        <f t="shared" si="10284"/>
        <v>0</v>
      </c>
      <c r="O2355" s="8">
        <f t="shared" si="10285"/>
        <v>0</v>
      </c>
      <c r="P2355" s="8" t="e">
        <v>#NUM!</v>
      </c>
      <c r="Q2355" s="8" t="e">
        <f t="shared" ref="Q2355" si="10313">IF(COUNTIF(P2349:P2359,"&lt;"&amp;-0.001)=0,IF(ABS(P2355)&lt;0.001,0,P2355)," ")</f>
        <v>#NUM!</v>
      </c>
      <c r="R2355" s="8"/>
      <c r="S2355" s="8"/>
      <c r="U2355" s="34"/>
      <c r="V2355" s="34"/>
      <c r="W2355" s="34"/>
      <c r="X2355" s="34"/>
      <c r="Y2355" s="34"/>
      <c r="Z2355" s="34"/>
      <c r="AA2355" s="34"/>
      <c r="AB2355" s="34"/>
      <c r="AC2355" s="34"/>
      <c r="AD2355" s="34"/>
      <c r="AE2355" s="34"/>
      <c r="AF2355" s="34"/>
      <c r="AG2355" s="34"/>
      <c r="AH2355" s="34"/>
      <c r="AI2355" s="34"/>
      <c r="AJ2355" s="34"/>
      <c r="AK2355" s="34"/>
      <c r="AL2355" s="34"/>
      <c r="AM2355" s="34"/>
      <c r="AN2355" s="34"/>
      <c r="AO2355" s="34"/>
      <c r="AP2355" s="34"/>
      <c r="AQ2355" s="34"/>
      <c r="AR2355" s="34"/>
      <c r="AS2355" s="34"/>
      <c r="AT2355" s="34"/>
      <c r="AU2355" s="34"/>
      <c r="AV2355" s="34"/>
      <c r="AW2355" s="34"/>
      <c r="AX2355" s="34"/>
      <c r="AY2355" s="34"/>
      <c r="AZ2355" s="34"/>
      <c r="BA2355" s="34"/>
      <c r="BB2355" s="34"/>
      <c r="BC2355" s="34"/>
      <c r="BD2355" s="34"/>
      <c r="BE2355" s="34"/>
      <c r="BF2355" s="34"/>
      <c r="BG2355" s="34"/>
      <c r="BH2355" s="34"/>
      <c r="BI2355" s="34"/>
      <c r="BJ2355" s="34"/>
      <c r="BK2355" s="34"/>
      <c r="BL2355" s="34"/>
      <c r="BM2355" s="34"/>
      <c r="BN2355" s="34"/>
      <c r="BO2355" s="34"/>
      <c r="BP2355" s="34"/>
      <c r="BQ2355" s="34"/>
      <c r="BR2355" s="34"/>
      <c r="BS2355" s="34"/>
      <c r="BT2355" s="34"/>
      <c r="BU2355" s="34"/>
      <c r="BV2355" s="34"/>
      <c r="BW2355" s="34"/>
      <c r="BX2355" s="34"/>
      <c r="BY2355" s="34"/>
      <c r="BZ2355" s="34"/>
      <c r="CA2355" s="34"/>
      <c r="CB2355" s="34"/>
      <c r="CC2355" s="34"/>
      <c r="CD2355" s="34"/>
      <c r="CE2355" s="34"/>
      <c r="CF2355" s="34"/>
      <c r="CG2355" s="34"/>
      <c r="CH2355" s="34"/>
      <c r="CI2355" s="8"/>
    </row>
    <row r="2356" spans="1:87" x14ac:dyDescent="0.2">
      <c r="A2356" s="8" t="str">
        <f>IF(AND(COUNTIF(W$3:W$13,A$22)&gt;0,A$22&lt;&gt;B2324),A$22,IFERROR(IF(MATCH(A$22,Z$3:Z$13,0)=2,A$22," ")," "))</f>
        <v xml:space="preserve"> </v>
      </c>
      <c r="B2356" s="8" t="str">
        <f>IF(A2356=" "," ",MAX(B2349:B2355)+1)</f>
        <v xml:space="preserve"> </v>
      </c>
      <c r="C2356" s="8" t="str">
        <f>IFERROR(INDEX(A2349:A2370,MATCH(SMALL(B2349:B2370,8),B2349:B2370,0),1)," ")</f>
        <v>C18</v>
      </c>
      <c r="D2356" s="8">
        <f t="shared" si="10274"/>
        <v>0</v>
      </c>
      <c r="E2356" s="8">
        <f t="shared" si="10275"/>
        <v>0</v>
      </c>
      <c r="F2356" s="8">
        <f t="shared" si="10276"/>
        <v>0</v>
      </c>
      <c r="G2356" s="8">
        <f t="shared" si="10277"/>
        <v>0</v>
      </c>
      <c r="H2356" s="8">
        <f t="shared" si="10278"/>
        <v>0</v>
      </c>
      <c r="I2356" s="8">
        <f t="shared" si="10279"/>
        <v>0</v>
      </c>
      <c r="J2356" s="8">
        <f t="shared" si="10280"/>
        <v>1</v>
      </c>
      <c r="K2356" s="8">
        <f t="shared" si="10281"/>
        <v>0</v>
      </c>
      <c r="L2356" s="8">
        <f t="shared" si="10282"/>
        <v>0</v>
      </c>
      <c r="M2356" s="8">
        <f t="shared" si="10283"/>
        <v>0</v>
      </c>
      <c r="N2356" s="8">
        <f t="shared" si="10284"/>
        <v>0</v>
      </c>
      <c r="O2356" s="8">
        <f t="shared" si="10285"/>
        <v>0</v>
      </c>
      <c r="P2356" s="8" t="e">
        <v>#NUM!</v>
      </c>
      <c r="Q2356" s="8" t="e">
        <f t="shared" ref="Q2356" si="10314">IF(COUNTIF(P2349:P2359,"&lt;"&amp;-0.001)=0,IF(ABS(P2356)&lt;0.001,0,P2356)," ")</f>
        <v>#NUM!</v>
      </c>
      <c r="R2356" s="8"/>
      <c r="S2356" s="8"/>
      <c r="U2356" s="34"/>
      <c r="V2356" s="34"/>
      <c r="W2356" s="34"/>
      <c r="X2356" s="34"/>
      <c r="Y2356" s="34"/>
      <c r="Z2356" s="34"/>
      <c r="AA2356" s="34"/>
      <c r="AB2356" s="34"/>
      <c r="AC2356" s="34"/>
      <c r="AD2356" s="34"/>
      <c r="AE2356" s="34"/>
      <c r="AF2356" s="34"/>
      <c r="AG2356" s="34"/>
      <c r="AH2356" s="34"/>
      <c r="AI2356" s="34"/>
      <c r="AJ2356" s="34"/>
      <c r="AK2356" s="34"/>
      <c r="AL2356" s="34"/>
      <c r="AM2356" s="34"/>
      <c r="AN2356" s="34"/>
      <c r="AO2356" s="34"/>
      <c r="AP2356" s="34"/>
      <c r="AQ2356" s="34"/>
      <c r="AR2356" s="34"/>
      <c r="AS2356" s="34"/>
      <c r="AT2356" s="34"/>
      <c r="AU2356" s="34"/>
      <c r="AV2356" s="34"/>
      <c r="AW2356" s="34"/>
      <c r="AX2356" s="34"/>
      <c r="AY2356" s="34"/>
      <c r="AZ2356" s="34"/>
      <c r="BA2356" s="34"/>
      <c r="BB2356" s="34"/>
      <c r="BC2356" s="34"/>
      <c r="BD2356" s="34"/>
      <c r="BE2356" s="34"/>
      <c r="BF2356" s="34"/>
      <c r="BG2356" s="34"/>
      <c r="BH2356" s="34"/>
      <c r="BI2356" s="34"/>
      <c r="BJ2356" s="34"/>
      <c r="BK2356" s="34"/>
      <c r="BL2356" s="34"/>
      <c r="BM2356" s="34"/>
      <c r="BN2356" s="34"/>
      <c r="BO2356" s="34"/>
      <c r="BP2356" s="34"/>
      <c r="BQ2356" s="34"/>
      <c r="BR2356" s="34"/>
      <c r="BS2356" s="34"/>
      <c r="BT2356" s="34"/>
      <c r="BU2356" s="34"/>
      <c r="BV2356" s="34"/>
      <c r="BW2356" s="34"/>
      <c r="BX2356" s="34"/>
      <c r="BY2356" s="34"/>
      <c r="BZ2356" s="34"/>
      <c r="CA2356" s="34"/>
      <c r="CB2356" s="34"/>
      <c r="CC2356" s="34"/>
      <c r="CD2356" s="34"/>
      <c r="CE2356" s="34"/>
      <c r="CF2356" s="34"/>
      <c r="CG2356" s="34"/>
      <c r="CH2356" s="34"/>
      <c r="CI2356" s="8"/>
    </row>
    <row r="2357" spans="1:87" x14ac:dyDescent="0.2">
      <c r="A2357" s="8" t="str">
        <f>IF(AND(COUNTIF(W$3:W$13,A$23)&gt;0,A$23&lt;&gt;B2324),A$23,IFERROR(IF(MATCH(A$23,Z$3:Z$13,0)=2,A$23," ")," "))</f>
        <v xml:space="preserve"> </v>
      </c>
      <c r="B2357" s="8" t="str">
        <f>IF(A2357=" "," ",MAX(B2349:B2356)+1)</f>
        <v xml:space="preserve"> </v>
      </c>
      <c r="C2357" s="8" t="str">
        <f>IFERROR(INDEX(A2349:A2370,MATCH(SMALL(B2349:B2370,9),B2349:B2370,0),1)," ")</f>
        <v>C19</v>
      </c>
      <c r="D2357" s="8">
        <f t="shared" si="10274"/>
        <v>0</v>
      </c>
      <c r="E2357" s="8">
        <f t="shared" si="10275"/>
        <v>0</v>
      </c>
      <c r="F2357" s="8">
        <f t="shared" si="10276"/>
        <v>0</v>
      </c>
      <c r="G2357" s="8">
        <f t="shared" si="10277"/>
        <v>0</v>
      </c>
      <c r="H2357" s="8">
        <f t="shared" si="10278"/>
        <v>0</v>
      </c>
      <c r="I2357" s="8">
        <f t="shared" si="10279"/>
        <v>0</v>
      </c>
      <c r="J2357" s="8">
        <f t="shared" si="10280"/>
        <v>0</v>
      </c>
      <c r="K2357" s="8">
        <f t="shared" si="10281"/>
        <v>1</v>
      </c>
      <c r="L2357" s="8">
        <f t="shared" si="10282"/>
        <v>0</v>
      </c>
      <c r="M2357" s="8">
        <f t="shared" si="10283"/>
        <v>0</v>
      </c>
      <c r="N2357" s="8">
        <f t="shared" si="10284"/>
        <v>0</v>
      </c>
      <c r="O2357" s="8">
        <f t="shared" si="10285"/>
        <v>0</v>
      </c>
      <c r="P2357" s="6" t="e">
        <v>#NUM!</v>
      </c>
      <c r="Q2357" s="8" t="e">
        <f t="shared" ref="Q2357" si="10315">IF(COUNTIF(P2349:P2359,"&lt;"&amp;-0.001)=0,IF(ABS(P2357)&lt;0.001,0,P2357)," ")</f>
        <v>#NUM!</v>
      </c>
      <c r="R2357" s="12"/>
      <c r="S2357" s="12"/>
      <c r="T2357" s="21"/>
      <c r="U2357" s="34"/>
      <c r="V2357" s="34"/>
      <c r="W2357" s="34"/>
      <c r="X2357" s="34"/>
      <c r="Y2357" s="34"/>
      <c r="Z2357" s="34"/>
      <c r="AA2357" s="34"/>
      <c r="AB2357" s="34"/>
      <c r="AC2357" s="34"/>
      <c r="AD2357" s="34"/>
      <c r="AE2357" s="34"/>
      <c r="AF2357" s="34"/>
      <c r="AG2357" s="34"/>
      <c r="AH2357" s="34"/>
      <c r="AI2357" s="34"/>
      <c r="AJ2357" s="34"/>
      <c r="AK2357" s="34"/>
      <c r="AL2357" s="34"/>
      <c r="AM2357" s="34"/>
      <c r="AN2357" s="34"/>
      <c r="AO2357" s="34"/>
      <c r="AP2357" s="34"/>
      <c r="AQ2357" s="34"/>
      <c r="AR2357" s="34"/>
      <c r="AS2357" s="34"/>
      <c r="AT2357" s="34"/>
      <c r="AU2357" s="34"/>
      <c r="AV2357" s="34"/>
      <c r="AW2357" s="34"/>
      <c r="AX2357" s="34"/>
      <c r="AY2357" s="34"/>
      <c r="AZ2357" s="34"/>
      <c r="BA2357" s="34"/>
      <c r="BB2357" s="34"/>
      <c r="BC2357" s="34"/>
      <c r="BD2357" s="34"/>
      <c r="BE2357" s="34"/>
      <c r="BF2357" s="34"/>
      <c r="BG2357" s="34"/>
      <c r="BH2357" s="34"/>
      <c r="BI2357" s="34"/>
      <c r="BJ2357" s="34"/>
      <c r="BK2357" s="34"/>
      <c r="BL2357" s="34"/>
      <c r="BM2357" s="34"/>
      <c r="BN2357" s="34"/>
      <c r="BO2357" s="34"/>
      <c r="BP2357" s="34"/>
      <c r="BQ2357" s="34"/>
      <c r="BR2357" s="34"/>
      <c r="BS2357" s="34"/>
      <c r="BT2357" s="34"/>
      <c r="BU2357" s="34"/>
      <c r="BV2357" s="34"/>
      <c r="BW2357" s="34"/>
      <c r="BX2357" s="34"/>
      <c r="BY2357" s="34"/>
      <c r="BZ2357" s="34"/>
      <c r="CA2357" s="34"/>
      <c r="CB2357" s="34"/>
      <c r="CC2357" s="34"/>
      <c r="CD2357" s="34"/>
      <c r="CE2357" s="34"/>
      <c r="CF2357" s="34"/>
      <c r="CG2357" s="34"/>
      <c r="CH2357" s="34"/>
      <c r="CI2357" s="8"/>
    </row>
    <row r="2358" spans="1:87" x14ac:dyDescent="0.2">
      <c r="A2358" s="8" t="str">
        <f>IF(AND(COUNTIF(W$3:W$13,A$24)&gt;0,A$24&lt;&gt;B2324),A$24,IFERROR(IF(MATCH(A$24,Z$3:Z$13,0)=2,A$24," ")," "))</f>
        <v xml:space="preserve"> </v>
      </c>
      <c r="B2358" s="8" t="str">
        <f>IF(A2358=" "," ",MAX(B2349:B2357)+1)</f>
        <v xml:space="preserve"> </v>
      </c>
      <c r="C2358" s="8" t="str">
        <f>IFERROR(INDEX(A2349:A2370,MATCH(SMALL(B2349:B2370,10),B2349:B2370,0),1)," ")</f>
        <v>C20</v>
      </c>
      <c r="D2358" s="8">
        <f t="shared" si="10274"/>
        <v>0</v>
      </c>
      <c r="E2358" s="8">
        <f t="shared" si="10275"/>
        <v>0</v>
      </c>
      <c r="F2358" s="8">
        <f t="shared" si="10276"/>
        <v>0</v>
      </c>
      <c r="G2358" s="8">
        <f t="shared" si="10277"/>
        <v>0</v>
      </c>
      <c r="H2358" s="8">
        <f t="shared" si="10278"/>
        <v>0</v>
      </c>
      <c r="I2358" s="8">
        <f t="shared" si="10279"/>
        <v>0</v>
      </c>
      <c r="J2358" s="8">
        <f t="shared" si="10280"/>
        <v>0</v>
      </c>
      <c r="K2358" s="8">
        <f t="shared" si="10281"/>
        <v>0</v>
      </c>
      <c r="L2358" s="8">
        <f t="shared" si="10282"/>
        <v>1</v>
      </c>
      <c r="M2358" s="8">
        <f t="shared" si="10283"/>
        <v>0</v>
      </c>
      <c r="N2358" s="8">
        <f t="shared" si="10284"/>
        <v>0</v>
      </c>
      <c r="O2358" s="8">
        <f t="shared" si="10285"/>
        <v>0</v>
      </c>
      <c r="P2358" s="8" t="e">
        <v>#NUM!</v>
      </c>
      <c r="Q2358" s="8" t="e">
        <f t="shared" ref="Q2358" si="10316">IF(COUNTIF(P2349:P2359,"&lt;"&amp;-0.001)=0,IF(ABS(P2358)&lt;0.001,0,P2358)," ")</f>
        <v>#NUM!</v>
      </c>
      <c r="R2358" s="8"/>
      <c r="S2358" s="8"/>
      <c r="U2358" s="34"/>
      <c r="V2358" s="34"/>
      <c r="W2358" s="34"/>
      <c r="X2358" s="34"/>
      <c r="Y2358" s="34"/>
      <c r="Z2358" s="34"/>
      <c r="AA2358" s="34"/>
      <c r="AB2358" s="34"/>
      <c r="AC2358" s="34"/>
      <c r="AD2358" s="34"/>
      <c r="AE2358" s="34"/>
      <c r="AF2358" s="34"/>
      <c r="AG2358" s="34"/>
      <c r="AH2358" s="34"/>
      <c r="AI2358" s="34"/>
      <c r="AJ2358" s="34"/>
      <c r="AK2358" s="34"/>
      <c r="AL2358" s="34"/>
      <c r="AM2358" s="34"/>
      <c r="AN2358" s="34"/>
      <c r="AO2358" s="34"/>
      <c r="AP2358" s="34"/>
      <c r="AQ2358" s="34"/>
      <c r="AR2358" s="34"/>
      <c r="AS2358" s="34"/>
      <c r="AT2358" s="34"/>
      <c r="AU2358" s="34"/>
      <c r="AV2358" s="34"/>
      <c r="AW2358" s="34"/>
      <c r="AX2358" s="34"/>
      <c r="AY2358" s="34"/>
      <c r="AZ2358" s="34"/>
      <c r="BA2358" s="34"/>
      <c r="BB2358" s="34"/>
      <c r="BC2358" s="34"/>
      <c r="BD2358" s="34"/>
      <c r="BE2358" s="34"/>
      <c r="BF2358" s="34"/>
      <c r="BG2358" s="34"/>
      <c r="BH2358" s="34"/>
      <c r="BI2358" s="34"/>
      <c r="BJ2358" s="34"/>
      <c r="BK2358" s="34"/>
      <c r="BL2358" s="34"/>
      <c r="BM2358" s="34"/>
      <c r="BN2358" s="34"/>
      <c r="BO2358" s="34"/>
      <c r="BP2358" s="34"/>
      <c r="BQ2358" s="34"/>
      <c r="BR2358" s="34"/>
      <c r="BS2358" s="34"/>
      <c r="BT2358" s="34"/>
      <c r="BU2358" s="34"/>
      <c r="BV2358" s="34"/>
      <c r="BW2358" s="34"/>
      <c r="BX2358" s="34"/>
      <c r="BY2358" s="34"/>
      <c r="BZ2358" s="34"/>
      <c r="CA2358" s="34"/>
      <c r="CB2358" s="34"/>
      <c r="CC2358" s="34"/>
      <c r="CD2358" s="34"/>
      <c r="CE2358" s="34"/>
      <c r="CF2358" s="34"/>
      <c r="CG2358" s="34"/>
      <c r="CH2358" s="34"/>
      <c r="CI2358" s="8"/>
    </row>
    <row r="2359" spans="1:87" x14ac:dyDescent="0.2">
      <c r="A2359" s="8" t="str">
        <f>IF(AND(COUNTIF(W$3:W$13,A$25)&gt;0,A$25&lt;&gt;B2324),A$25,IFERROR(IF(MATCH(A$25,Z$3:Z$13,0)=2,A$25," ")," "))</f>
        <v xml:space="preserve"> </v>
      </c>
      <c r="B2359" s="8" t="str">
        <f>IF(A2359=" "," ",MAX(B2349:B2358)+1)</f>
        <v xml:space="preserve"> </v>
      </c>
      <c r="C2359" s="8" t="str">
        <f>IFERROR(INDEX(A2349:A2370,MATCH(SMALL(B2349:B2370,11),B2349:B2370,0),1)," ")</f>
        <v>C22</v>
      </c>
      <c r="D2359" s="8">
        <f t="shared" si="10274"/>
        <v>0</v>
      </c>
      <c r="E2359" s="8">
        <f t="shared" si="10275"/>
        <v>0</v>
      </c>
      <c r="F2359" s="8">
        <f t="shared" si="10276"/>
        <v>0</v>
      </c>
      <c r="G2359" s="8">
        <f t="shared" si="10277"/>
        <v>0</v>
      </c>
      <c r="H2359" s="8">
        <f t="shared" si="10278"/>
        <v>0</v>
      </c>
      <c r="I2359" s="8">
        <f t="shared" si="10279"/>
        <v>0</v>
      </c>
      <c r="J2359" s="8">
        <f t="shared" si="10280"/>
        <v>0</v>
      </c>
      <c r="K2359" s="8">
        <f t="shared" si="10281"/>
        <v>0</v>
      </c>
      <c r="L2359" s="8">
        <f t="shared" si="10282"/>
        <v>0</v>
      </c>
      <c r="M2359" s="8">
        <f t="shared" si="10283"/>
        <v>0</v>
      </c>
      <c r="N2359" s="8">
        <f t="shared" si="10284"/>
        <v>1</v>
      </c>
      <c r="O2359" s="8">
        <f t="shared" si="10285"/>
        <v>0</v>
      </c>
      <c r="P2359" s="8" t="e">
        <v>#NUM!</v>
      </c>
      <c r="Q2359" s="8" t="e">
        <f t="shared" ref="Q2359" si="10317">IF(COUNTIF(P2349:P2359,"&lt;"&amp;-0.001)=0,IF(ABS(P2359)&lt;0.001,0,P2359)," ")</f>
        <v>#NUM!</v>
      </c>
      <c r="R2359" s="8"/>
      <c r="S2359" s="8"/>
      <c r="U2359" s="34"/>
      <c r="V2359" s="34"/>
      <c r="W2359" s="34"/>
      <c r="X2359" s="34"/>
      <c r="Y2359" s="34"/>
      <c r="Z2359" s="34"/>
      <c r="AA2359" s="34"/>
      <c r="AB2359" s="34"/>
      <c r="AC2359" s="34"/>
      <c r="AD2359" s="34"/>
      <c r="AE2359" s="34"/>
      <c r="AF2359" s="34"/>
      <c r="AG2359" s="34"/>
      <c r="AH2359" s="34"/>
      <c r="AI2359" s="34"/>
      <c r="AJ2359" s="34"/>
      <c r="AK2359" s="34"/>
      <c r="AL2359" s="34"/>
      <c r="AM2359" s="34"/>
      <c r="AN2359" s="34"/>
      <c r="AO2359" s="34"/>
      <c r="AP2359" s="34"/>
      <c r="AQ2359" s="34"/>
      <c r="AR2359" s="34"/>
      <c r="AS2359" s="34"/>
      <c r="AT2359" s="34"/>
      <c r="AU2359" s="34"/>
      <c r="AV2359" s="34"/>
      <c r="AW2359" s="34"/>
      <c r="AX2359" s="34"/>
      <c r="AY2359" s="34"/>
      <c r="AZ2359" s="34"/>
      <c r="BA2359" s="34"/>
      <c r="BB2359" s="34"/>
      <c r="BC2359" s="34"/>
      <c r="BD2359" s="34"/>
      <c r="BE2359" s="34"/>
      <c r="BF2359" s="34"/>
      <c r="BG2359" s="34"/>
      <c r="BH2359" s="34"/>
      <c r="BI2359" s="34"/>
      <c r="BJ2359" s="34"/>
      <c r="BK2359" s="34"/>
      <c r="BL2359" s="34"/>
      <c r="BM2359" s="34"/>
      <c r="BN2359" s="34"/>
      <c r="BO2359" s="34"/>
      <c r="BP2359" s="34"/>
      <c r="BQ2359" s="34"/>
      <c r="BR2359" s="34"/>
      <c r="BS2359" s="34"/>
      <c r="BT2359" s="34"/>
      <c r="BU2359" s="34"/>
      <c r="BV2359" s="34"/>
      <c r="BW2359" s="34"/>
      <c r="BX2359" s="34"/>
      <c r="BY2359" s="34"/>
      <c r="BZ2359" s="34"/>
      <c r="CA2359" s="34"/>
      <c r="CB2359" s="34"/>
      <c r="CC2359" s="34"/>
      <c r="CD2359" s="34"/>
      <c r="CE2359" s="34"/>
      <c r="CF2359" s="34"/>
      <c r="CG2359" s="34"/>
      <c r="CH2359" s="34"/>
      <c r="CI2359" s="8"/>
    </row>
    <row r="2360" spans="1:87" x14ac:dyDescent="0.2">
      <c r="A2360" s="8" t="str">
        <f>IF(AND(COUNTIF(W$3:W$13,A$26)&gt;0,A$26&lt;&gt;B2324),A$26,IFERROR(IF(MATCH(A$26,Z$3:Z$13,0)=2,A$26," ")," "))</f>
        <v xml:space="preserve"> </v>
      </c>
      <c r="B2360" s="8" t="str">
        <f>IF(A2360=" "," ",MAX(B2349:B2359)+1)</f>
        <v xml:space="preserve"> </v>
      </c>
      <c r="C2360" s="8"/>
      <c r="D2360" s="8"/>
      <c r="E2360" s="8"/>
      <c r="F2360" s="8"/>
      <c r="G2360" s="8"/>
      <c r="H2360" s="8"/>
      <c r="I2360" s="8"/>
      <c r="J2360" s="8"/>
      <c r="K2360" s="8"/>
      <c r="L2360" s="8"/>
      <c r="M2360" s="8"/>
      <c r="N2360" s="8"/>
      <c r="O2360" s="8"/>
      <c r="P2360" s="8"/>
      <c r="Q2360" s="8"/>
      <c r="R2360" s="8"/>
      <c r="S2360" s="8"/>
      <c r="U2360" s="34"/>
      <c r="V2360" s="34"/>
      <c r="W2360" s="34"/>
      <c r="X2360" s="34"/>
      <c r="Y2360" s="34"/>
      <c r="Z2360" s="34"/>
      <c r="AA2360" s="34"/>
      <c r="AB2360" s="34"/>
      <c r="AC2360" s="34"/>
      <c r="AD2360" s="34"/>
      <c r="AE2360" s="34"/>
      <c r="AF2360" s="34"/>
      <c r="AG2360" s="34"/>
      <c r="AH2360" s="34"/>
      <c r="AI2360" s="34"/>
      <c r="AJ2360" s="34"/>
      <c r="AK2360" s="34"/>
      <c r="AL2360" s="34"/>
      <c r="AM2360" s="34"/>
      <c r="AN2360" s="34"/>
      <c r="AO2360" s="34"/>
      <c r="AP2360" s="34"/>
      <c r="AQ2360" s="34"/>
      <c r="AR2360" s="34"/>
      <c r="AS2360" s="34"/>
      <c r="AT2360" s="34"/>
      <c r="AU2360" s="34"/>
      <c r="AV2360" s="34"/>
      <c r="AW2360" s="34"/>
      <c r="AX2360" s="34"/>
      <c r="AY2360" s="34"/>
      <c r="AZ2360" s="34"/>
      <c r="BA2360" s="34"/>
      <c r="BB2360" s="34"/>
      <c r="BC2360" s="34"/>
      <c r="BD2360" s="34"/>
      <c r="BE2360" s="34"/>
      <c r="BF2360" s="34"/>
      <c r="BG2360" s="34"/>
      <c r="BH2360" s="34"/>
      <c r="BI2360" s="34"/>
      <c r="BJ2360" s="34"/>
      <c r="BK2360" s="34"/>
      <c r="BL2360" s="34"/>
      <c r="BM2360" s="34"/>
      <c r="BN2360" s="34"/>
      <c r="BO2360" s="34"/>
      <c r="BP2360" s="34"/>
      <c r="BQ2360" s="34"/>
      <c r="BR2360" s="34"/>
      <c r="BS2360" s="34"/>
      <c r="BT2360" s="34"/>
      <c r="BU2360" s="34"/>
      <c r="BV2360" s="34"/>
      <c r="BW2360" s="34"/>
      <c r="BX2360" s="34"/>
      <c r="BY2360" s="34"/>
      <c r="BZ2360" s="34"/>
      <c r="CA2360" s="34"/>
      <c r="CB2360" s="34"/>
      <c r="CC2360" s="34"/>
      <c r="CD2360" s="34"/>
      <c r="CE2360" s="34"/>
      <c r="CF2360" s="34"/>
      <c r="CG2360" s="34"/>
      <c r="CH2360" s="34"/>
      <c r="CI2360" s="8"/>
    </row>
    <row r="2361" spans="1:87" x14ac:dyDescent="0.2">
      <c r="A2361" s="8" t="str">
        <f>IF(AND(COUNTIF(W$3:W$13,A$27)&gt;0,A$27&lt;&gt;B2324),A$27,IFERROR(IF(MATCH(A$27,Z$3:Z$13,0)=2,A$27," ")," "))</f>
        <v>C13</v>
      </c>
      <c r="B2361" s="8">
        <f>IF(A2361=" "," ",MAX(B2349:B2360)+1)</f>
        <v>4</v>
      </c>
      <c r="C2361" s="8"/>
      <c r="D2361" s="8"/>
      <c r="E2361" s="8"/>
      <c r="F2361" s="8"/>
      <c r="G2361" s="8"/>
      <c r="H2361" s="8"/>
      <c r="I2361" s="8"/>
      <c r="J2361" s="8"/>
      <c r="K2361" s="8"/>
      <c r="L2361" s="8"/>
      <c r="M2361" s="8"/>
      <c r="N2361" s="8"/>
      <c r="O2361" s="8"/>
      <c r="P2361" s="8"/>
      <c r="Q2361" s="8"/>
      <c r="R2361" s="8"/>
      <c r="S2361" s="8"/>
      <c r="U2361" s="34"/>
      <c r="V2361" s="34"/>
      <c r="W2361" s="34"/>
      <c r="X2361" s="34"/>
      <c r="Y2361" s="34"/>
      <c r="Z2361" s="34"/>
      <c r="AA2361" s="34"/>
      <c r="AB2361" s="34"/>
      <c r="AC2361" s="34"/>
      <c r="AD2361" s="34"/>
      <c r="AE2361" s="34"/>
      <c r="AF2361" s="34"/>
      <c r="AG2361" s="34"/>
      <c r="AH2361" s="34"/>
      <c r="AI2361" s="34"/>
      <c r="AJ2361" s="34"/>
      <c r="AK2361" s="34"/>
      <c r="AL2361" s="34"/>
      <c r="AM2361" s="34"/>
      <c r="AN2361" s="34"/>
      <c r="AO2361" s="34"/>
      <c r="AP2361" s="34"/>
      <c r="AQ2361" s="34"/>
      <c r="AR2361" s="34"/>
      <c r="AS2361" s="34"/>
      <c r="AT2361" s="34"/>
      <c r="AU2361" s="34"/>
      <c r="AV2361" s="34"/>
      <c r="AW2361" s="34"/>
      <c r="AX2361" s="34"/>
      <c r="AY2361" s="34"/>
      <c r="AZ2361" s="34"/>
      <c r="BA2361" s="34"/>
      <c r="BB2361" s="34"/>
      <c r="BC2361" s="34"/>
      <c r="BD2361" s="34"/>
      <c r="BE2361" s="34"/>
      <c r="BF2361" s="34"/>
      <c r="BG2361" s="34"/>
      <c r="BH2361" s="34"/>
      <c r="BI2361" s="34"/>
      <c r="BJ2361" s="34"/>
      <c r="BK2361" s="34"/>
      <c r="BL2361" s="34"/>
      <c r="BM2361" s="34"/>
      <c r="BN2361" s="34"/>
      <c r="BO2361" s="34"/>
      <c r="BP2361" s="34"/>
      <c r="BQ2361" s="34"/>
      <c r="BR2361" s="34"/>
      <c r="BS2361" s="34"/>
      <c r="BT2361" s="34"/>
      <c r="BU2361" s="34"/>
      <c r="BV2361" s="34"/>
      <c r="BW2361" s="34"/>
      <c r="BX2361" s="34"/>
      <c r="BY2361" s="34"/>
      <c r="BZ2361" s="34"/>
      <c r="CA2361" s="34"/>
      <c r="CB2361" s="34"/>
      <c r="CC2361" s="34"/>
      <c r="CD2361" s="34"/>
      <c r="CE2361" s="34"/>
      <c r="CF2361" s="34"/>
      <c r="CG2361" s="34"/>
      <c r="CH2361" s="34"/>
    </row>
    <row r="2362" spans="1:87" x14ac:dyDescent="0.2">
      <c r="A2362" s="8" t="str">
        <f>IF(AND(COUNTIF(W$3:W$13,A$28)&gt;0,A$28&lt;&gt;B2324),A$28,IFERROR(IF(MATCH(A$28,Z$3:Z$13,0)=2,A$28," ")," "))</f>
        <v xml:space="preserve"> </v>
      </c>
      <c r="B2362" s="8" t="str">
        <f>IF(A2362=" "," ",MAX(B2349:B2361)+1)</f>
        <v xml:space="preserve"> </v>
      </c>
      <c r="C2362" s="8"/>
      <c r="D2362" s="8"/>
      <c r="E2362" s="8"/>
      <c r="F2362" s="8"/>
      <c r="G2362" s="8"/>
      <c r="H2362" s="8"/>
      <c r="I2362" s="8"/>
      <c r="J2362" s="8"/>
      <c r="K2362" s="8"/>
      <c r="L2362" s="8"/>
      <c r="M2362" s="8"/>
      <c r="N2362" s="8"/>
      <c r="O2362" s="8"/>
      <c r="P2362" s="8"/>
      <c r="Q2362" s="8"/>
      <c r="R2362" s="8"/>
      <c r="S2362" s="8"/>
      <c r="U2362" s="34"/>
      <c r="V2362" s="34"/>
      <c r="W2362" s="34"/>
      <c r="X2362" s="34"/>
      <c r="Y2362" s="34"/>
      <c r="Z2362" s="34"/>
      <c r="AA2362" s="34"/>
      <c r="AB2362" s="34"/>
      <c r="AC2362" s="34"/>
      <c r="AD2362" s="34"/>
      <c r="AE2362" s="34"/>
      <c r="AF2362" s="34"/>
      <c r="AG2362" s="34"/>
      <c r="AH2362" s="34"/>
      <c r="AI2362" s="34"/>
      <c r="AJ2362" s="34"/>
      <c r="AK2362" s="34"/>
      <c r="AL2362" s="34"/>
      <c r="AM2362" s="34"/>
      <c r="AN2362" s="34"/>
      <c r="AO2362" s="34"/>
      <c r="AP2362" s="34"/>
      <c r="AQ2362" s="34"/>
      <c r="AR2362" s="34"/>
      <c r="AS2362" s="34"/>
      <c r="AT2362" s="34"/>
      <c r="AU2362" s="34"/>
      <c r="AV2362" s="34"/>
      <c r="AW2362" s="34"/>
      <c r="AX2362" s="34"/>
      <c r="AY2362" s="34"/>
      <c r="AZ2362" s="34"/>
      <c r="BA2362" s="34"/>
      <c r="BB2362" s="34"/>
      <c r="BC2362" s="34"/>
      <c r="BD2362" s="34"/>
      <c r="BE2362" s="34"/>
      <c r="BF2362" s="34"/>
      <c r="BG2362" s="34"/>
      <c r="BH2362" s="34"/>
      <c r="BI2362" s="34"/>
      <c r="BJ2362" s="34"/>
      <c r="BK2362" s="34"/>
      <c r="BL2362" s="34"/>
      <c r="BM2362" s="34"/>
      <c r="BN2362" s="34"/>
      <c r="BO2362" s="34"/>
      <c r="BP2362" s="34"/>
      <c r="BQ2362" s="34"/>
      <c r="BR2362" s="34"/>
      <c r="BS2362" s="34"/>
      <c r="BT2362" s="34"/>
      <c r="BU2362" s="34"/>
      <c r="BV2362" s="34"/>
      <c r="BW2362" s="34"/>
      <c r="BX2362" s="34"/>
      <c r="BY2362" s="34"/>
      <c r="BZ2362" s="34"/>
      <c r="CA2362" s="34"/>
      <c r="CB2362" s="34"/>
      <c r="CC2362" s="34"/>
      <c r="CD2362" s="34"/>
      <c r="CE2362" s="34"/>
      <c r="CF2362" s="34"/>
      <c r="CG2362" s="34"/>
      <c r="CH2362" s="34"/>
    </row>
    <row r="2363" spans="1:87" x14ac:dyDescent="0.2">
      <c r="A2363" s="8" t="str">
        <f>IF(AND(COUNTIF(W$3:W$13,A$29)&gt;0,A$29&lt;&gt;B2324),A$29,IFERROR(IF(MATCH(A$29,Z$3:Z$13,0)=2,A$29," ")," "))</f>
        <v>C15</v>
      </c>
      <c r="B2363" s="8">
        <f>IF(A2363=" "," ",MAX(B2349:B2362)+1)</f>
        <v>5</v>
      </c>
      <c r="C2363" s="8"/>
      <c r="D2363" s="8"/>
      <c r="E2363" s="8"/>
      <c r="F2363" s="8"/>
      <c r="G2363" s="8"/>
      <c r="H2363" s="8"/>
      <c r="I2363" s="8"/>
      <c r="J2363" s="8"/>
      <c r="K2363" s="8"/>
      <c r="L2363" s="8"/>
      <c r="M2363" s="8"/>
      <c r="N2363" s="8"/>
      <c r="O2363" s="8"/>
      <c r="P2363" s="8"/>
      <c r="Q2363" s="8"/>
      <c r="R2363" s="8"/>
      <c r="S2363" s="8"/>
      <c r="U2363" s="34"/>
      <c r="V2363" s="34"/>
      <c r="W2363" s="34"/>
      <c r="X2363" s="34"/>
      <c r="Y2363" s="34"/>
      <c r="Z2363" s="34"/>
      <c r="AA2363" s="34"/>
      <c r="AB2363" s="34"/>
      <c r="AC2363" s="34"/>
      <c r="AD2363" s="34"/>
      <c r="AE2363" s="34"/>
      <c r="AF2363" s="34"/>
      <c r="AG2363" s="34"/>
      <c r="AH2363" s="34"/>
      <c r="AI2363" s="34"/>
      <c r="AJ2363" s="34"/>
      <c r="AK2363" s="34"/>
      <c r="AL2363" s="34"/>
      <c r="AM2363" s="34"/>
      <c r="AN2363" s="34"/>
      <c r="AO2363" s="34"/>
      <c r="AP2363" s="34"/>
      <c r="AQ2363" s="34"/>
      <c r="AR2363" s="34"/>
      <c r="AS2363" s="34"/>
      <c r="AT2363" s="34"/>
      <c r="AU2363" s="34"/>
      <c r="AV2363" s="34"/>
      <c r="AW2363" s="34"/>
      <c r="AX2363" s="34"/>
      <c r="AY2363" s="34"/>
      <c r="AZ2363" s="34"/>
      <c r="BA2363" s="34"/>
      <c r="BB2363" s="34"/>
      <c r="BC2363" s="34"/>
      <c r="BD2363" s="34"/>
      <c r="BE2363" s="34"/>
      <c r="BF2363" s="34"/>
      <c r="BG2363" s="34"/>
      <c r="BH2363" s="34"/>
      <c r="BI2363" s="34"/>
      <c r="BJ2363" s="34"/>
      <c r="BK2363" s="34"/>
      <c r="BL2363" s="34"/>
      <c r="BM2363" s="34"/>
      <c r="BN2363" s="34"/>
      <c r="BO2363" s="34"/>
      <c r="BP2363" s="34"/>
      <c r="BQ2363" s="34"/>
      <c r="BR2363" s="34"/>
      <c r="BS2363" s="34"/>
      <c r="BT2363" s="34"/>
      <c r="BU2363" s="34"/>
      <c r="BV2363" s="34"/>
      <c r="BW2363" s="34"/>
      <c r="BX2363" s="34"/>
      <c r="BY2363" s="34"/>
      <c r="BZ2363" s="34"/>
      <c r="CA2363" s="34"/>
      <c r="CB2363" s="34"/>
      <c r="CC2363" s="34"/>
      <c r="CD2363" s="34"/>
      <c r="CE2363" s="34"/>
      <c r="CF2363" s="34"/>
      <c r="CG2363" s="34"/>
      <c r="CH2363" s="34"/>
    </row>
    <row r="2364" spans="1:87" x14ac:dyDescent="0.2">
      <c r="A2364" s="8" t="str">
        <f>IF(AND(COUNTIF(W$3:W$13,A$30)&gt;0,A$30&lt;&gt;B2324),A$30,IFERROR(IF(MATCH(A$30,Z$3:Z$13,0)=2,A$30," ")," "))</f>
        <v>C16</v>
      </c>
      <c r="B2364" s="8">
        <f>IF(A2364=" "," ",MAX(B2349:B2363)+1)</f>
        <v>6</v>
      </c>
      <c r="C2364" s="8"/>
      <c r="D2364" s="8"/>
      <c r="E2364" s="8"/>
      <c r="F2364" s="8"/>
      <c r="G2364" s="8"/>
      <c r="H2364" s="8"/>
      <c r="I2364" s="8"/>
      <c r="J2364" s="8"/>
      <c r="K2364" s="8"/>
      <c r="L2364" s="8"/>
      <c r="M2364" s="8"/>
      <c r="N2364" s="8"/>
      <c r="O2364" s="8"/>
      <c r="P2364" s="8"/>
      <c r="Q2364" s="8"/>
      <c r="R2364" s="8"/>
      <c r="S2364" s="8"/>
      <c r="U2364" s="34"/>
      <c r="V2364" s="34"/>
      <c r="W2364" s="34"/>
      <c r="X2364" s="34"/>
      <c r="Y2364" s="34"/>
      <c r="Z2364" s="34"/>
      <c r="AA2364" s="34"/>
      <c r="AB2364" s="34"/>
      <c r="AC2364" s="34"/>
      <c r="AD2364" s="34"/>
      <c r="AE2364" s="34"/>
      <c r="AF2364" s="34"/>
      <c r="AG2364" s="34"/>
      <c r="AH2364" s="34"/>
      <c r="AI2364" s="34"/>
      <c r="AJ2364" s="34"/>
      <c r="AK2364" s="34"/>
      <c r="AL2364" s="34"/>
      <c r="AM2364" s="34"/>
      <c r="AN2364" s="34"/>
      <c r="AO2364" s="34"/>
      <c r="AP2364" s="34"/>
      <c r="AQ2364" s="34"/>
      <c r="AR2364" s="34"/>
      <c r="AS2364" s="34"/>
      <c r="AT2364" s="34"/>
      <c r="AU2364" s="34"/>
      <c r="AV2364" s="34"/>
      <c r="AW2364" s="34"/>
      <c r="AX2364" s="34"/>
      <c r="AY2364" s="34"/>
      <c r="AZ2364" s="34"/>
      <c r="BA2364" s="34"/>
      <c r="BB2364" s="34"/>
      <c r="BC2364" s="34"/>
      <c r="BD2364" s="34"/>
      <c r="BE2364" s="34"/>
      <c r="BF2364" s="34"/>
      <c r="BG2364" s="34"/>
      <c r="BH2364" s="34"/>
      <c r="BI2364" s="34"/>
      <c r="BJ2364" s="34"/>
      <c r="BK2364" s="34"/>
      <c r="BL2364" s="34"/>
      <c r="BM2364" s="34"/>
      <c r="BN2364" s="34"/>
      <c r="BO2364" s="34"/>
      <c r="BP2364" s="34"/>
      <c r="BQ2364" s="34"/>
      <c r="BR2364" s="34"/>
      <c r="BS2364" s="34"/>
      <c r="BT2364" s="34"/>
      <c r="BU2364" s="34"/>
      <c r="BV2364" s="34"/>
      <c r="BW2364" s="34"/>
      <c r="BX2364" s="34"/>
      <c r="BY2364" s="34"/>
      <c r="BZ2364" s="34"/>
      <c r="CA2364" s="34"/>
      <c r="CB2364" s="34"/>
      <c r="CC2364" s="34"/>
      <c r="CD2364" s="34"/>
      <c r="CE2364" s="34"/>
      <c r="CF2364" s="34"/>
      <c r="CG2364" s="34"/>
      <c r="CH2364" s="34"/>
    </row>
    <row r="2365" spans="1:87" x14ac:dyDescent="0.2">
      <c r="A2365" s="8" t="str">
        <f>IF(AND(COUNTIF(W$3:W$13,A$31)&gt;0,A$31&lt;&gt;B2324),A$31,IFERROR(IF(MATCH(A$31,Z$3:Z$13,0)=2,A$31," ")," "))</f>
        <v>C17</v>
      </c>
      <c r="B2365" s="8">
        <f>IF(A2365=" "," ",MAX(B2349:B2364)+1)</f>
        <v>7</v>
      </c>
      <c r="C2365" s="8"/>
      <c r="D2365" s="8"/>
      <c r="E2365" s="8"/>
      <c r="F2365" s="8"/>
      <c r="G2365" s="8"/>
      <c r="H2365" s="8"/>
      <c r="I2365" s="8"/>
      <c r="J2365" s="8"/>
      <c r="K2365" s="8"/>
      <c r="L2365" s="8"/>
      <c r="M2365" s="8"/>
      <c r="N2365" s="8"/>
      <c r="O2365" s="8"/>
      <c r="P2365" s="8"/>
      <c r="Q2365" s="8"/>
      <c r="R2365" s="8"/>
      <c r="S2365" s="8"/>
      <c r="U2365" s="34"/>
      <c r="V2365" s="34"/>
      <c r="W2365" s="34"/>
      <c r="X2365" s="34"/>
      <c r="Y2365" s="34"/>
      <c r="Z2365" s="34"/>
      <c r="AA2365" s="34"/>
      <c r="AB2365" s="34"/>
      <c r="AC2365" s="34"/>
      <c r="AD2365" s="34"/>
      <c r="AE2365" s="34"/>
      <c r="AF2365" s="34"/>
      <c r="AG2365" s="34"/>
      <c r="AH2365" s="34"/>
      <c r="AI2365" s="34"/>
      <c r="AJ2365" s="34"/>
      <c r="AK2365" s="34"/>
      <c r="AL2365" s="34"/>
      <c r="AM2365" s="34"/>
      <c r="AN2365" s="34"/>
      <c r="AO2365" s="34"/>
      <c r="AP2365" s="34"/>
      <c r="AQ2365" s="34"/>
      <c r="AR2365" s="34"/>
      <c r="AS2365" s="34"/>
      <c r="AT2365" s="34"/>
      <c r="AU2365" s="34"/>
      <c r="AV2365" s="34"/>
      <c r="AW2365" s="34"/>
      <c r="AX2365" s="34"/>
      <c r="AY2365" s="34"/>
      <c r="AZ2365" s="34"/>
      <c r="BA2365" s="34"/>
      <c r="BB2365" s="34"/>
      <c r="BC2365" s="34"/>
      <c r="BD2365" s="34"/>
      <c r="BE2365" s="34"/>
      <c r="BF2365" s="34"/>
      <c r="BG2365" s="34"/>
      <c r="BH2365" s="34"/>
      <c r="BI2365" s="34"/>
      <c r="BJ2365" s="34"/>
      <c r="BK2365" s="34"/>
      <c r="BL2365" s="34"/>
      <c r="BM2365" s="34"/>
      <c r="BN2365" s="34"/>
      <c r="BO2365" s="34"/>
      <c r="BP2365" s="34"/>
      <c r="BQ2365" s="34"/>
      <c r="BR2365" s="34"/>
      <c r="BS2365" s="34"/>
      <c r="BT2365" s="34"/>
      <c r="BU2365" s="34"/>
      <c r="BV2365" s="34"/>
      <c r="BW2365" s="34"/>
      <c r="BX2365" s="34"/>
      <c r="BY2365" s="34"/>
      <c r="BZ2365" s="34"/>
      <c r="CA2365" s="34"/>
      <c r="CB2365" s="34"/>
      <c r="CC2365" s="34"/>
      <c r="CD2365" s="34"/>
      <c r="CE2365" s="34"/>
      <c r="CF2365" s="34"/>
      <c r="CG2365" s="34"/>
      <c r="CH2365" s="34"/>
    </row>
    <row r="2366" spans="1:87" x14ac:dyDescent="0.2">
      <c r="A2366" s="8" t="str">
        <f>IF(AND(COUNTIF(W$3:W$13,A$32)&gt;0,A$32&lt;&gt;B2324),A$32,IFERROR(IF(MATCH(A$32,Z$3:Z$13,0)=2,A$32," ")," "))</f>
        <v>C18</v>
      </c>
      <c r="B2366" s="8">
        <f>IF(A2366=" "," ",MAX(B2349:B2365)+1)</f>
        <v>8</v>
      </c>
      <c r="C2366" s="8"/>
      <c r="D2366" s="8"/>
      <c r="E2366" s="8"/>
      <c r="F2366" s="8"/>
      <c r="G2366" s="8"/>
      <c r="H2366" s="8"/>
      <c r="I2366" s="8"/>
      <c r="J2366" s="8"/>
      <c r="K2366" s="8"/>
      <c r="L2366" s="8"/>
      <c r="M2366" s="8"/>
      <c r="N2366" s="8"/>
      <c r="O2366" s="8"/>
      <c r="P2366" s="8"/>
      <c r="Q2366" s="8"/>
      <c r="R2366" s="8"/>
      <c r="S2366" s="8"/>
      <c r="U2366" s="34"/>
      <c r="V2366" s="34"/>
      <c r="W2366" s="34"/>
      <c r="X2366" s="34"/>
      <c r="Y2366" s="34"/>
      <c r="Z2366" s="34"/>
      <c r="AA2366" s="34"/>
      <c r="AB2366" s="34"/>
      <c r="AC2366" s="34"/>
      <c r="AD2366" s="34"/>
      <c r="AE2366" s="34"/>
      <c r="AF2366" s="34"/>
      <c r="AG2366" s="34"/>
      <c r="AH2366" s="34"/>
      <c r="AI2366" s="34"/>
      <c r="AJ2366" s="34"/>
      <c r="AK2366" s="34"/>
      <c r="AL2366" s="34"/>
      <c r="AM2366" s="34"/>
      <c r="AN2366" s="34"/>
      <c r="AO2366" s="34"/>
      <c r="AP2366" s="34"/>
      <c r="AQ2366" s="34"/>
      <c r="AR2366" s="34"/>
      <c r="AS2366" s="34"/>
      <c r="AT2366" s="34"/>
      <c r="AU2366" s="34"/>
      <c r="AV2366" s="34"/>
      <c r="AW2366" s="34"/>
      <c r="AX2366" s="34"/>
      <c r="AY2366" s="34"/>
      <c r="AZ2366" s="34"/>
      <c r="BA2366" s="34"/>
      <c r="BB2366" s="34"/>
      <c r="BC2366" s="34"/>
      <c r="BD2366" s="34"/>
      <c r="BE2366" s="34"/>
      <c r="BF2366" s="34"/>
      <c r="BG2366" s="34"/>
      <c r="BH2366" s="34"/>
      <c r="BI2366" s="34"/>
      <c r="BJ2366" s="34"/>
      <c r="BK2366" s="34"/>
      <c r="BL2366" s="34"/>
      <c r="BM2366" s="34"/>
      <c r="BN2366" s="34"/>
      <c r="BO2366" s="34"/>
      <c r="BP2366" s="34"/>
      <c r="BQ2366" s="34"/>
      <c r="BR2366" s="34"/>
      <c r="BS2366" s="34"/>
      <c r="BT2366" s="34"/>
      <c r="BU2366" s="34"/>
      <c r="BV2366" s="34"/>
      <c r="BW2366" s="34"/>
      <c r="BX2366" s="34"/>
      <c r="BY2366" s="34"/>
      <c r="BZ2366" s="34"/>
      <c r="CA2366" s="34"/>
      <c r="CB2366" s="34"/>
      <c r="CC2366" s="34"/>
      <c r="CD2366" s="34"/>
      <c r="CE2366" s="34"/>
      <c r="CF2366" s="34"/>
      <c r="CG2366" s="34"/>
      <c r="CH2366" s="34"/>
    </row>
    <row r="2367" spans="1:87" x14ac:dyDescent="0.2">
      <c r="A2367" s="8" t="str">
        <f>IF(AND(COUNTIF(W$3:W$13,A$33)&gt;0,A$33&lt;&gt;B2324),A$33,IFERROR(IF(MATCH(A$33,Z$3:Z$13,0)=2,A$33," ")," "))</f>
        <v>C19</v>
      </c>
      <c r="B2367" s="8">
        <f>IF(A2367=" "," ",MAX(B2349:B2366)+1)</f>
        <v>9</v>
      </c>
      <c r="C2367" s="8"/>
      <c r="D2367" s="8"/>
      <c r="E2367" s="8"/>
      <c r="F2367" s="8"/>
      <c r="G2367" s="8"/>
      <c r="H2367" s="8"/>
      <c r="I2367" s="8"/>
      <c r="J2367" s="8"/>
      <c r="K2367" s="8"/>
      <c r="L2367" s="8"/>
      <c r="M2367" s="8"/>
      <c r="N2367" s="8"/>
      <c r="O2367" s="8"/>
      <c r="P2367" s="8"/>
      <c r="Q2367" s="8"/>
      <c r="R2367" s="8"/>
      <c r="S2367" s="8"/>
      <c r="U2367" s="34"/>
      <c r="V2367" s="34"/>
      <c r="W2367" s="34"/>
      <c r="X2367" s="34"/>
      <c r="Y2367" s="34"/>
      <c r="Z2367" s="34"/>
      <c r="AA2367" s="34"/>
      <c r="AB2367" s="34"/>
      <c r="AC2367" s="34"/>
      <c r="AD2367" s="34"/>
      <c r="AE2367" s="34"/>
      <c r="AF2367" s="34"/>
      <c r="AG2367" s="34"/>
      <c r="AH2367" s="34"/>
      <c r="AI2367" s="34"/>
      <c r="AJ2367" s="34"/>
      <c r="AK2367" s="34"/>
      <c r="AL2367" s="34"/>
      <c r="AM2367" s="34"/>
      <c r="AN2367" s="34"/>
      <c r="AO2367" s="34"/>
      <c r="AP2367" s="34"/>
      <c r="AQ2367" s="34"/>
      <c r="AR2367" s="34"/>
      <c r="AS2367" s="34"/>
      <c r="AT2367" s="34"/>
      <c r="AU2367" s="34"/>
      <c r="AV2367" s="34"/>
      <c r="AW2367" s="34"/>
      <c r="AX2367" s="34"/>
      <c r="AY2367" s="34"/>
      <c r="AZ2367" s="34"/>
      <c r="BA2367" s="34"/>
      <c r="BB2367" s="34"/>
      <c r="BC2367" s="34"/>
      <c r="BD2367" s="34"/>
      <c r="BE2367" s="34"/>
      <c r="BF2367" s="34"/>
      <c r="BG2367" s="34"/>
      <c r="BH2367" s="34"/>
      <c r="BI2367" s="34"/>
      <c r="BJ2367" s="34"/>
      <c r="BK2367" s="34"/>
      <c r="BL2367" s="34"/>
      <c r="BM2367" s="34"/>
      <c r="BN2367" s="34"/>
      <c r="BO2367" s="34"/>
      <c r="BP2367" s="34"/>
      <c r="BQ2367" s="34"/>
      <c r="BR2367" s="34"/>
      <c r="BS2367" s="34"/>
      <c r="BT2367" s="34"/>
      <c r="BU2367" s="34"/>
      <c r="BV2367" s="34"/>
      <c r="BW2367" s="34"/>
      <c r="BX2367" s="34"/>
      <c r="BY2367" s="34"/>
      <c r="BZ2367" s="34"/>
      <c r="CA2367" s="34"/>
      <c r="CB2367" s="34"/>
      <c r="CC2367" s="34"/>
      <c r="CD2367" s="34"/>
      <c r="CE2367" s="34"/>
      <c r="CF2367" s="34"/>
      <c r="CG2367" s="34"/>
      <c r="CH2367" s="34"/>
    </row>
    <row r="2368" spans="1:87" x14ac:dyDescent="0.2">
      <c r="A2368" s="8" t="str">
        <f>IF(AND(COUNTIF(W$3:W$13,A$34)&gt;0,A$34&lt;&gt;B2324),A$34,IFERROR(IF(MATCH(A$34,Z$3:Z$13,0)=2,A$34," ")," "))</f>
        <v>C20</v>
      </c>
      <c r="B2368" s="8">
        <f>IF(A2368=" "," ",MAX(B2349:B2367)+1)</f>
        <v>10</v>
      </c>
      <c r="C2368" s="8"/>
      <c r="D2368" s="8"/>
      <c r="E2368" s="8"/>
      <c r="F2368" s="8"/>
      <c r="G2368" s="8"/>
      <c r="H2368" s="8"/>
      <c r="I2368" s="8"/>
      <c r="J2368" s="8"/>
      <c r="K2368" s="8"/>
      <c r="L2368" s="8"/>
      <c r="M2368" s="8"/>
      <c r="N2368" s="8"/>
      <c r="O2368" s="8"/>
      <c r="P2368" s="8"/>
      <c r="Q2368" s="8"/>
      <c r="R2368" s="8"/>
      <c r="S2368" s="8"/>
      <c r="U2368" s="34"/>
      <c r="V2368" s="34"/>
      <c r="W2368" s="34"/>
      <c r="X2368" s="34"/>
      <c r="Y2368" s="34"/>
      <c r="Z2368" s="34"/>
      <c r="AA2368" s="34"/>
      <c r="AB2368" s="34"/>
      <c r="AC2368" s="34"/>
      <c r="AD2368" s="34"/>
      <c r="AE2368" s="34"/>
      <c r="AF2368" s="34"/>
      <c r="AG2368" s="34"/>
      <c r="AH2368" s="34"/>
      <c r="AI2368" s="34"/>
      <c r="AJ2368" s="34"/>
      <c r="AK2368" s="34"/>
      <c r="AL2368" s="34"/>
      <c r="AM2368" s="34"/>
      <c r="AN2368" s="34"/>
      <c r="AO2368" s="34"/>
      <c r="AP2368" s="34"/>
      <c r="AQ2368" s="34"/>
      <c r="AR2368" s="34"/>
      <c r="AS2368" s="34"/>
      <c r="AT2368" s="34"/>
      <c r="AU2368" s="34"/>
      <c r="AV2368" s="34"/>
      <c r="AW2368" s="34"/>
      <c r="AX2368" s="34"/>
      <c r="AY2368" s="34"/>
      <c r="AZ2368" s="34"/>
      <c r="BA2368" s="34"/>
      <c r="BB2368" s="34"/>
      <c r="BC2368" s="34"/>
      <c r="BD2368" s="34"/>
      <c r="BE2368" s="34"/>
      <c r="BF2368" s="34"/>
      <c r="BG2368" s="34"/>
      <c r="BH2368" s="34"/>
      <c r="BI2368" s="34"/>
      <c r="BJ2368" s="34"/>
      <c r="BK2368" s="34"/>
      <c r="BL2368" s="34"/>
      <c r="BM2368" s="34"/>
      <c r="BN2368" s="34"/>
      <c r="BO2368" s="34"/>
      <c r="BP2368" s="34"/>
      <c r="BQ2368" s="34"/>
      <c r="BR2368" s="34"/>
      <c r="BS2368" s="34"/>
      <c r="BT2368" s="34"/>
      <c r="BU2368" s="34"/>
      <c r="BV2368" s="34"/>
      <c r="BW2368" s="34"/>
      <c r="BX2368" s="34"/>
      <c r="BY2368" s="34"/>
      <c r="BZ2368" s="34"/>
      <c r="CA2368" s="34"/>
      <c r="CB2368" s="34"/>
      <c r="CC2368" s="34"/>
      <c r="CD2368" s="34"/>
      <c r="CE2368" s="34"/>
      <c r="CF2368" s="34"/>
      <c r="CG2368" s="34"/>
      <c r="CH2368" s="34"/>
    </row>
    <row r="2369" spans="1:86" x14ac:dyDescent="0.2">
      <c r="A2369" s="8" t="str">
        <f>IF(AND(COUNTIF(W$3:W$13,A$35)&gt;0,A$35&lt;&gt;B2324),A$35,IFERROR(IF(MATCH(A$35,Z$3:Z$13,0)=2,A$35," ")," "))</f>
        <v xml:space="preserve"> </v>
      </c>
      <c r="B2369" s="8" t="str">
        <f>IF(A2369=" "," ",MAX(B2349:B2368)+1)</f>
        <v xml:space="preserve"> </v>
      </c>
      <c r="C2369" s="8"/>
      <c r="D2369" s="8"/>
      <c r="E2369" s="8"/>
      <c r="F2369" s="8"/>
      <c r="G2369" s="8"/>
      <c r="H2369" s="8"/>
      <c r="I2369" s="8"/>
      <c r="J2369" s="8"/>
      <c r="K2369" s="8"/>
      <c r="L2369" s="8"/>
      <c r="M2369" s="8"/>
      <c r="N2369" s="8"/>
      <c r="O2369" s="8"/>
      <c r="P2369" s="8"/>
      <c r="Q2369" s="8"/>
      <c r="R2369" s="8"/>
      <c r="S2369" s="8"/>
      <c r="U2369" s="34"/>
      <c r="V2369" s="34"/>
      <c r="W2369" s="34"/>
      <c r="X2369" s="34"/>
      <c r="Y2369" s="34"/>
      <c r="Z2369" s="34"/>
      <c r="AA2369" s="34"/>
      <c r="AB2369" s="34"/>
      <c r="AC2369" s="34"/>
      <c r="AD2369" s="34"/>
      <c r="AE2369" s="34"/>
      <c r="AF2369" s="34"/>
      <c r="AG2369" s="34"/>
      <c r="AH2369" s="34"/>
      <c r="AI2369" s="34"/>
      <c r="AJ2369" s="34"/>
      <c r="AK2369" s="34"/>
      <c r="AL2369" s="34"/>
      <c r="AM2369" s="34"/>
      <c r="AN2369" s="34"/>
      <c r="AO2369" s="34"/>
      <c r="AP2369" s="34"/>
      <c r="AQ2369" s="34"/>
      <c r="AR2369" s="34"/>
      <c r="AS2369" s="34"/>
      <c r="AT2369" s="34"/>
      <c r="AU2369" s="34"/>
      <c r="AV2369" s="34"/>
      <c r="AW2369" s="34"/>
      <c r="AX2369" s="34"/>
      <c r="AY2369" s="34"/>
      <c r="AZ2369" s="34"/>
      <c r="BA2369" s="34"/>
      <c r="BB2369" s="34"/>
      <c r="BC2369" s="34"/>
      <c r="BD2369" s="34"/>
      <c r="BE2369" s="34"/>
      <c r="BF2369" s="34"/>
      <c r="BG2369" s="34"/>
      <c r="BH2369" s="34"/>
      <c r="BI2369" s="34"/>
      <c r="BJ2369" s="34"/>
      <c r="BK2369" s="34"/>
      <c r="BL2369" s="34"/>
      <c r="BM2369" s="34"/>
      <c r="BN2369" s="34"/>
      <c r="BO2369" s="34"/>
      <c r="BP2369" s="34"/>
      <c r="BQ2369" s="34"/>
      <c r="BR2369" s="34"/>
      <c r="BS2369" s="34"/>
      <c r="BT2369" s="34"/>
      <c r="BU2369" s="34"/>
      <c r="BV2369" s="34"/>
      <c r="BW2369" s="34"/>
      <c r="BX2369" s="34"/>
      <c r="BY2369" s="34"/>
      <c r="BZ2369" s="34"/>
      <c r="CA2369" s="34"/>
      <c r="CB2369" s="34"/>
      <c r="CC2369" s="34"/>
      <c r="CD2369" s="34"/>
      <c r="CE2369" s="34"/>
      <c r="CF2369" s="34"/>
      <c r="CG2369" s="34"/>
      <c r="CH2369" s="34"/>
    </row>
    <row r="2370" spans="1:86" x14ac:dyDescent="0.2">
      <c r="A2370" s="8" t="str">
        <f>IF(AND(COUNTIF(W$3:W$13,A$36)&gt;0,A$36&lt;&gt;B2324),A$36,IFERROR(IF(MATCH(A$36,Z$3:Z$13,0)=2,A$36," ")," "))</f>
        <v>C22</v>
      </c>
      <c r="B2370" s="8">
        <f>IF(A2370=" "," ",MAX(B2349:B2369)+1)</f>
        <v>11</v>
      </c>
      <c r="C2370" s="8"/>
      <c r="D2370" s="8"/>
      <c r="E2370" s="8"/>
      <c r="F2370" s="8"/>
      <c r="G2370" s="8"/>
      <c r="H2370" s="8"/>
      <c r="I2370" s="8"/>
      <c r="J2370" s="8"/>
      <c r="K2370" s="8"/>
      <c r="L2370" s="8"/>
      <c r="M2370" s="8"/>
      <c r="N2370" s="8"/>
      <c r="O2370" s="8"/>
      <c r="P2370" s="8"/>
      <c r="Q2370" s="8"/>
      <c r="R2370" s="8"/>
      <c r="S2370" s="8"/>
      <c r="U2370" s="34"/>
      <c r="V2370" s="34"/>
      <c r="W2370" s="34"/>
      <c r="X2370" s="34"/>
      <c r="Y2370" s="34"/>
      <c r="Z2370" s="34"/>
      <c r="AA2370" s="34"/>
      <c r="AB2370" s="34"/>
      <c r="AC2370" s="34"/>
      <c r="AD2370" s="34"/>
      <c r="AE2370" s="34"/>
      <c r="AF2370" s="34"/>
      <c r="AG2370" s="34"/>
      <c r="AH2370" s="34"/>
      <c r="AI2370" s="34"/>
      <c r="AJ2370" s="34"/>
      <c r="AK2370" s="34"/>
      <c r="AL2370" s="34"/>
      <c r="AM2370" s="34"/>
      <c r="AN2370" s="34"/>
      <c r="AO2370" s="34"/>
      <c r="AP2370" s="34"/>
      <c r="AQ2370" s="34"/>
      <c r="AR2370" s="34"/>
      <c r="AS2370" s="34"/>
      <c r="AT2370" s="34"/>
      <c r="AU2370" s="34"/>
      <c r="AV2370" s="34"/>
      <c r="AW2370" s="34"/>
      <c r="AX2370" s="34"/>
      <c r="AY2370" s="34"/>
      <c r="AZ2370" s="34"/>
      <c r="BA2370" s="34"/>
      <c r="BB2370" s="34"/>
      <c r="BC2370" s="34"/>
      <c r="BD2370" s="34"/>
      <c r="BE2370" s="34"/>
      <c r="BF2370" s="34"/>
      <c r="BG2370" s="34"/>
      <c r="BH2370" s="34"/>
      <c r="BI2370" s="34"/>
      <c r="BJ2370" s="34"/>
      <c r="BK2370" s="34"/>
      <c r="BL2370" s="34"/>
      <c r="BM2370" s="34"/>
      <c r="BN2370" s="34"/>
      <c r="BO2370" s="34"/>
      <c r="BP2370" s="34"/>
      <c r="BQ2370" s="34"/>
      <c r="BR2370" s="34"/>
      <c r="BS2370" s="34"/>
      <c r="BT2370" s="34"/>
      <c r="BU2370" s="34"/>
      <c r="BV2370" s="34"/>
      <c r="BW2370" s="34"/>
      <c r="BX2370" s="34"/>
      <c r="BY2370" s="34"/>
      <c r="BZ2370" s="34"/>
      <c r="CA2370" s="34"/>
      <c r="CB2370" s="34"/>
      <c r="CC2370" s="34"/>
      <c r="CD2370" s="34"/>
      <c r="CE2370" s="34"/>
      <c r="CF2370" s="34"/>
      <c r="CG2370" s="34"/>
      <c r="CH2370" s="34"/>
    </row>
    <row r="2371" spans="1:86" x14ac:dyDescent="0.2">
      <c r="A2371" s="11" t="s">
        <v>17</v>
      </c>
      <c r="B2371" s="11"/>
      <c r="C2371" s="27" t="s">
        <v>18</v>
      </c>
      <c r="D2371" s="27" t="s">
        <v>2</v>
      </c>
      <c r="E2371" s="27" t="s">
        <v>6</v>
      </c>
      <c r="F2371" s="27" t="s">
        <v>15</v>
      </c>
      <c r="G2371" s="27" t="s">
        <v>36</v>
      </c>
      <c r="H2371" s="27" t="s">
        <v>37</v>
      </c>
      <c r="I2371" s="27" t="s">
        <v>38</v>
      </c>
      <c r="J2371" s="27" t="s">
        <v>39</v>
      </c>
      <c r="K2371" s="27" t="s">
        <v>40</v>
      </c>
      <c r="L2371" s="27" t="s">
        <v>41</v>
      </c>
      <c r="M2371" s="27" t="s">
        <v>42</v>
      </c>
      <c r="N2371" s="27" t="s">
        <v>43</v>
      </c>
      <c r="O2371" s="27" t="s">
        <v>9</v>
      </c>
      <c r="P2371" s="27" t="s">
        <v>12</v>
      </c>
      <c r="Q2371" s="27" t="s">
        <v>19</v>
      </c>
      <c r="R2371" s="27" t="s">
        <v>55</v>
      </c>
      <c r="S2371" s="27" t="s">
        <v>26</v>
      </c>
      <c r="T2371" s="19" t="s">
        <v>25</v>
      </c>
      <c r="U2371" s="33" t="s">
        <v>27</v>
      </c>
      <c r="V2371" s="33" t="s">
        <v>9</v>
      </c>
      <c r="W2371" s="33" t="s">
        <v>23</v>
      </c>
      <c r="X2371" s="33" t="s">
        <v>12</v>
      </c>
      <c r="Y2371" s="33" t="s">
        <v>26</v>
      </c>
      <c r="Z2371" s="33" t="s">
        <v>25</v>
      </c>
      <c r="AA2371" s="33" t="s">
        <v>27</v>
      </c>
      <c r="AB2371" s="33" t="s">
        <v>9</v>
      </c>
      <c r="AC2371" s="33" t="s">
        <v>23</v>
      </c>
      <c r="AD2371" s="33" t="s">
        <v>12</v>
      </c>
      <c r="AE2371" s="33" t="s">
        <v>26</v>
      </c>
      <c r="AF2371" s="33" t="s">
        <v>25</v>
      </c>
      <c r="AG2371" s="33" t="s">
        <v>27</v>
      </c>
      <c r="AH2371" s="33" t="s">
        <v>9</v>
      </c>
      <c r="AI2371" s="33" t="s">
        <v>23</v>
      </c>
      <c r="AJ2371" s="33" t="s">
        <v>12</v>
      </c>
      <c r="AK2371" s="33" t="s">
        <v>26</v>
      </c>
      <c r="AL2371" s="33" t="s">
        <v>25</v>
      </c>
      <c r="AM2371" s="33" t="s">
        <v>27</v>
      </c>
      <c r="AN2371" s="33" t="s">
        <v>9</v>
      </c>
      <c r="AO2371" s="33" t="s">
        <v>23</v>
      </c>
      <c r="AP2371" s="33" t="s">
        <v>12</v>
      </c>
      <c r="AQ2371" s="33" t="s">
        <v>26</v>
      </c>
      <c r="AR2371" s="33" t="s">
        <v>25</v>
      </c>
      <c r="AS2371" s="33" t="s">
        <v>27</v>
      </c>
      <c r="AT2371" s="33" t="s">
        <v>9</v>
      </c>
      <c r="AU2371" s="33" t="s">
        <v>23</v>
      </c>
      <c r="AV2371" s="33" t="s">
        <v>12</v>
      </c>
      <c r="AW2371" s="33" t="s">
        <v>26</v>
      </c>
      <c r="AX2371" s="33" t="s">
        <v>25</v>
      </c>
      <c r="AY2371" s="33" t="s">
        <v>27</v>
      </c>
      <c r="AZ2371" s="33" t="s">
        <v>9</v>
      </c>
      <c r="BA2371" s="33" t="s">
        <v>23</v>
      </c>
      <c r="BB2371" s="33" t="s">
        <v>12</v>
      </c>
      <c r="BC2371" s="33" t="s">
        <v>26</v>
      </c>
      <c r="BD2371" s="33" t="s">
        <v>25</v>
      </c>
      <c r="BE2371" s="33" t="s">
        <v>27</v>
      </c>
      <c r="BF2371" s="33" t="s">
        <v>9</v>
      </c>
      <c r="BG2371" s="33" t="s">
        <v>23</v>
      </c>
      <c r="BH2371" s="33" t="s">
        <v>12</v>
      </c>
      <c r="BI2371" s="33" t="s">
        <v>26</v>
      </c>
      <c r="BJ2371" s="33" t="s">
        <v>25</v>
      </c>
      <c r="BK2371" s="33" t="s">
        <v>27</v>
      </c>
      <c r="BL2371" s="33" t="s">
        <v>9</v>
      </c>
      <c r="BM2371" s="33" t="s">
        <v>23</v>
      </c>
      <c r="BN2371" s="33" t="s">
        <v>12</v>
      </c>
      <c r="BO2371" s="33" t="s">
        <v>26</v>
      </c>
      <c r="BP2371" s="33" t="s">
        <v>25</v>
      </c>
      <c r="BQ2371" s="33" t="s">
        <v>27</v>
      </c>
      <c r="BR2371" s="33" t="s">
        <v>9</v>
      </c>
      <c r="BS2371" s="33" t="s">
        <v>23</v>
      </c>
      <c r="BT2371" s="33" t="s">
        <v>12</v>
      </c>
      <c r="BU2371" s="33" t="s">
        <v>26</v>
      </c>
      <c r="BV2371" s="33" t="s">
        <v>25</v>
      </c>
      <c r="BW2371" s="33" t="s">
        <v>27</v>
      </c>
      <c r="BX2371" s="33" t="s">
        <v>9</v>
      </c>
      <c r="BY2371" s="33" t="s">
        <v>23</v>
      </c>
      <c r="BZ2371" s="33" t="s">
        <v>12</v>
      </c>
      <c r="CA2371" s="33" t="s">
        <v>26</v>
      </c>
      <c r="CB2371" s="33" t="s">
        <v>25</v>
      </c>
      <c r="CC2371" s="33" t="s">
        <v>27</v>
      </c>
      <c r="CD2371" s="33" t="s">
        <v>9</v>
      </c>
      <c r="CE2371" s="33" t="s">
        <v>23</v>
      </c>
      <c r="CF2371" s="33" t="s">
        <v>12</v>
      </c>
      <c r="CG2371" s="33" t="s">
        <v>26</v>
      </c>
      <c r="CH2371" s="33" t="s">
        <v>25</v>
      </c>
    </row>
    <row r="2372" spans="1:86" x14ac:dyDescent="0.2">
      <c r="A2372" s="8" t="str">
        <f>IF(AND(COUNTIF(W$3:W$13,A$15)&gt;0,A$15&lt;&gt;B2324),A$15,IFERROR(IF(MATCH(A$15,Z$3:Z$13,0)=3,A$15," ")," "))</f>
        <v xml:space="preserve"> </v>
      </c>
      <c r="B2372" s="8" t="str">
        <f>IF(A2372=" "," ",1)</f>
        <v xml:space="preserve"> </v>
      </c>
      <c r="C2372" s="8" t="str">
        <f>IFERROR(INDEX(A2372:A2393,MATCH(SMALL(B2372:B2393,1),B2372:B2393,0),1)," ")</f>
        <v>C3</v>
      </c>
      <c r="D2372" s="8">
        <f>IFERROR(VLOOKUP($C2372,$A$15:$O$36,2,FALSE)," ")</f>
        <v>2</v>
      </c>
      <c r="E2372" s="8">
        <f>IFERROR(VLOOKUP($C2372,$A$15:$O$36,3,FALSE)," ")</f>
        <v>5</v>
      </c>
      <c r="F2372" s="8">
        <f>IFERROR(VLOOKUP($C2372,$A$15:$O$36,4,FALSE)," ")</f>
        <v>6</v>
      </c>
      <c r="G2372" s="8">
        <f>IFERROR(VLOOKUP($C2372,$A$15:$O$36,5,FALSE)," ")</f>
        <v>0</v>
      </c>
      <c r="H2372" s="8">
        <f>IFERROR(VLOOKUP($C2372,$A$15:$O$36,6,FALSE)," ")</f>
        <v>0</v>
      </c>
      <c r="I2372" s="8">
        <f>IFERROR(VLOOKUP($C2372,$A$15:$O$36,7,FALSE)," ")</f>
        <v>0</v>
      </c>
      <c r="J2372" s="8">
        <f>IFERROR(VLOOKUP($C2372,$A$15:$O$36,8,FALSE)," ")</f>
        <v>0</v>
      </c>
      <c r="K2372" s="8">
        <f>IFERROR(VLOOKUP($C2372,$A$15:$O$36,9,FALSE)," ")</f>
        <v>0</v>
      </c>
      <c r="L2372" s="8">
        <f>IFERROR(VLOOKUP($C2372,$A$15:$O$36,10,FALSE)," ")</f>
        <v>0</v>
      </c>
      <c r="M2372" s="8">
        <f>IFERROR(VLOOKUP($C2372,$A$15:$O$36,11,FALSE)," ")</f>
        <v>0</v>
      </c>
      <c r="N2372" s="8">
        <f>IFERROR(VLOOKUP($C2372,$A$15:$O$36,12,FALSE)," ")</f>
        <v>0</v>
      </c>
      <c r="O2372" s="8">
        <f>IFERROR(VLOOKUP($C2372,$A$15:$O$36,15,FALSE)," ")</f>
        <v>2000</v>
      </c>
      <c r="P2372" s="8" t="e">
        <f t="array" ref="P2372:P2382">MMULT(MINVERSE(D2372:N2382),O2372:O2382)</f>
        <v>#NUM!</v>
      </c>
      <c r="Q2372" s="8" t="e">
        <f t="shared" ref="Q2372" si="10318">IF(COUNTIF(P2372:P2382,"&lt;"&amp;-0.001)=0,IF(ABS(P2372)&lt;0.001,0,P2372)," ")</f>
        <v>#NUM!</v>
      </c>
      <c r="R2372" s="8" t="str">
        <f>IFERROR(VLOOKUP(B2324,A$15:L$36,2,FALSE)*Q2372+VLOOKUP(B2324,A$15:L$36,3,FALSE)*Q2373+VLOOKUP(B2324,A$15:L$36,4,FALSE)*Q2374+VLOOKUP(B2324,A$15:L$36,5,FALSE)*Q2375+VLOOKUP(B2324,A$15:L$36,6,FALSE)*Q2376+VLOOKUP(B2324,A$15:L$36,7,FALSE)*Q2377+VLOOKUP(B2324,A$15:L$36,8,FALSE)*Q2378+VLOOKUP(B2324,A$15:L$36,9,FALSE)*Q2379+VLOOKUP(B2324,A$15:L$36,10,FALSE)*Q2380+VLOOKUP(B2324,A$15:L$36,11,FALSE)*Q2381+VLOOKUP(B2324,A$15:L$36,12,FALSE)*Q2382," ")</f>
        <v xml:space="preserve"> </v>
      </c>
      <c r="S2372" s="8" t="str">
        <f>IFERROR(IF(R2372-VLOOKUP(B2324,A$15:O$36,15,FALSE)&lt;0,R2372-VLOOKUP(B2324,A$15:O$36,15,FALSE)," ")," ")</f>
        <v xml:space="preserve"> </v>
      </c>
      <c r="T2372" s="18" t="str">
        <f>IFERROR(IF(R2372-VLOOKUP(B2324,A$15:O$36,15,FALSE)&gt;0,R2372-VLOOKUP(B2324,A$15:O$36,15,FALSE)," ")," ")</f>
        <v xml:space="preserve"> </v>
      </c>
      <c r="U2372" s="34">
        <f t="shared" ref="U2372" si="10319">$M$2</f>
        <v>100.00000000000001</v>
      </c>
      <c r="V2372" s="34">
        <v>-1</v>
      </c>
      <c r="W2372" s="34">
        <f t="shared" ref="W2372" si="10320">-SUMPRODUCT($M$3:$M$12,$N$3:$N$12)</f>
        <v>-105000</v>
      </c>
      <c r="X2372" s="34" t="e">
        <f t="shared" ref="X2372" si="10321">IF(U2372&lt;&gt;U2373,MMULT(MINVERSE(U2372:V2373),W2372:W2373)," ")</f>
        <v>#NUM!</v>
      </c>
      <c r="Y2372" s="34" t="str">
        <f t="shared" ref="Y2372" si="10322">IFERROR(IF(X2372-VLOOKUP(U$38,$A$2:$N$12,14,FALSE)&lt;0,X2372-VLOOKUP(U$38,$A$2:$N$12,14,FALSE)," ")," ")</f>
        <v xml:space="preserve"> </v>
      </c>
      <c r="Z2372" s="34" t="str">
        <f t="shared" ref="Z2372" si="10323">IFERROR(IF(X2372-VLOOKUP(U$38,$A$2:$N$12,14,FALSE)&gt;0,X2372-VLOOKUP(U$38,$A$2:$N$12,14,FALSE)," ")," ")</f>
        <v xml:space="preserve"> </v>
      </c>
      <c r="AA2372" s="34">
        <f t="shared" ref="AA2372" si="10324">$M$3</f>
        <v>0</v>
      </c>
      <c r="AB2372" s="34">
        <v>-1</v>
      </c>
      <c r="AC2372" s="34">
        <f t="shared" ref="AC2372" si="10325">-SUMPRODUCT($M$2:$M$2,$N$2:$N$2)-SUMPRODUCT($M$4:$M$12,$N$4:$N$12)</f>
        <v>-120000</v>
      </c>
      <c r="AD2372" s="34" t="e">
        <f t="shared" ref="AD2372" si="10326">IF(AA2372&lt;&gt;AA2373,MMULT(MINVERSE(AA2372:AB2373),AC2372:AC2373)," ")</f>
        <v>#NUM!</v>
      </c>
      <c r="AE2372" s="34" t="str">
        <f t="shared" ref="AE2372" si="10327">IFERROR(IF(AD2372-VLOOKUP(AA$38,$A$2:$N$12,14,FALSE)&lt;0,AD2372-VLOOKUP(AA$38,$A$2:$N$12,14,FALSE)," ")," ")</f>
        <v xml:space="preserve"> </v>
      </c>
      <c r="AF2372" s="34" t="str">
        <f t="shared" ref="AF2372" si="10328">IFERROR(IF(AD2372-VLOOKUP(AA$38,$A$2:$N$12,14,FALSE)&gt;0,AD2372-VLOOKUP(AA$38,$A$2:$N$12,14,FALSE)," ")," ")</f>
        <v xml:space="preserve"> </v>
      </c>
      <c r="AG2372" s="34">
        <f t="shared" ref="AG2372" si="10329">$M$4</f>
        <v>300</v>
      </c>
      <c r="AH2372" s="34">
        <v>-1</v>
      </c>
      <c r="AI2372" s="34">
        <f t="shared" ref="AI2372" si="10330">-SUMPRODUCT($M$2:$M$3,$N$2:$N$3)-SUMPRODUCT($M$5:$M$12,$N$5:$N$12)</f>
        <v>-15000.000000000002</v>
      </c>
      <c r="AJ2372" s="34" t="e">
        <f t="shared" ref="AJ2372" si="10331">IF(AG2372&lt;&gt;AG2373,MMULT(MINVERSE(AG2372:AH2373),AI2372:AI2373)," ")</f>
        <v>#NUM!</v>
      </c>
      <c r="AK2372" s="34" t="str">
        <f t="shared" ref="AK2372" si="10332">IFERROR(IF(AJ2372-VLOOKUP(AG$38,$A$2:$N$12,14,FALSE)&lt;0,AJ2372-VLOOKUP(AG$38,$A$2:$N$12,14,FALSE)," ")," ")</f>
        <v xml:space="preserve"> </v>
      </c>
      <c r="AL2372" s="34" t="str">
        <f t="shared" ref="AL2372" si="10333">IFERROR(IF(AJ2372-VLOOKUP(AG$38,$A$2:$N$12,14,FALSE)&gt;0,AJ2372-VLOOKUP(AG$38,$A$2:$N$12,14,FALSE)," ")," ")</f>
        <v xml:space="preserve"> </v>
      </c>
      <c r="AM2372" s="34">
        <f t="shared" ref="AM2372" si="10334">$M$5</f>
        <v>0</v>
      </c>
      <c r="AN2372" s="34">
        <v>-1</v>
      </c>
      <c r="AO2372" s="34">
        <f t="shared" ref="AO2372" si="10335">-SUMPRODUCT($M$2:$M$4,$N$2:$N$4)-SUMPRODUCT($M$6:$M$12,$N$6:$N$12)</f>
        <v>-120000</v>
      </c>
      <c r="AP2372" s="34" t="e">
        <f t="shared" ref="AP2372" si="10336">IF(AM2372&lt;&gt;AM2373,MMULT(MINVERSE(AM2372:AN2373),AO2372:AO2373)," ")</f>
        <v>#NUM!</v>
      </c>
      <c r="AQ2372" s="34" t="str">
        <f t="shared" ref="AQ2372" si="10337">IFERROR(IF(AP2372-VLOOKUP(AM$38,$A$2:$N$12,14,FALSE)&lt;0,AP2372-VLOOKUP(AM$38,$A$2:$N$12,14,FALSE)," ")," ")</f>
        <v xml:space="preserve"> </v>
      </c>
      <c r="AR2372" s="34" t="str">
        <f t="shared" ref="AR2372" si="10338">IFERROR(IF(AP2372-VLOOKUP(AM$38,$A$2:$N$12,14,FALSE)&gt;0,AP2372-VLOOKUP(AM$38,$A$2:$N$12,14,FALSE)," ")," ")</f>
        <v xml:space="preserve"> </v>
      </c>
      <c r="AS2372" s="34">
        <f t="shared" ref="AS2372" si="10339">$M$6</f>
        <v>0</v>
      </c>
      <c r="AT2372" s="34">
        <v>-1</v>
      </c>
      <c r="AU2372" s="34">
        <f t="shared" ref="AU2372" si="10340">-SUMPRODUCT($M$2:$M$5,$N$2:$N$5)-SUMPRODUCT($M$7:$M$12,$N$7:$N$12)</f>
        <v>-120000</v>
      </c>
      <c r="AV2372" s="34" t="e">
        <f t="shared" ref="AV2372" si="10341">IF(AS2372&lt;&gt;AS2373,MMULT(MINVERSE(AS2372:AT2373),AU2372:AU2373)," ")</f>
        <v>#NUM!</v>
      </c>
      <c r="AW2372" s="34" t="str">
        <f t="shared" ref="AW2372" si="10342">IFERROR(IF(AV2372-VLOOKUP(AS$38,$A$2:$N$12,14,FALSE)&lt;0,AV2372-VLOOKUP(AS$38,$A$2:$N$12,14,FALSE)," ")," ")</f>
        <v xml:space="preserve"> </v>
      </c>
      <c r="AX2372" s="34" t="str">
        <f t="shared" ref="AX2372" si="10343">IFERROR(IF(AV2372-VLOOKUP(AS$38,$A$2:$N$12,14,FALSE)&gt;0,AV2372-VLOOKUP(AS$38,$A$2:$N$12,14,FALSE)," ")," ")</f>
        <v xml:space="preserve"> </v>
      </c>
      <c r="AY2372" s="34">
        <f t="shared" ref="AY2372" si="10344">$M$7</f>
        <v>0</v>
      </c>
      <c r="AZ2372" s="34">
        <v>-1</v>
      </c>
      <c r="BA2372" s="34">
        <f t="shared" ref="BA2372" si="10345">-SUMPRODUCT($M$2:$M$6,$N$2:$N$6)-SUMPRODUCT($M$8:$M$12,$N$8:$N$12)</f>
        <v>-120000</v>
      </c>
      <c r="BB2372" s="34" t="e">
        <f t="shared" ref="BB2372" si="10346">IF(AY2372&lt;&gt;AY2373,MMULT(MINVERSE(AY2372:AZ2373),BA2372:BA2373)," ")</f>
        <v>#NUM!</v>
      </c>
      <c r="BC2372" s="34" t="str">
        <f t="shared" ref="BC2372" si="10347">IFERROR(IF(BB2372-VLOOKUP(AY$38,$A$2:$N$12,14,FALSE)&lt;0,BB2372-VLOOKUP(AY$38,$A$2:$N$12,14,FALSE)," ")," ")</f>
        <v xml:space="preserve"> </v>
      </c>
      <c r="BD2372" s="34" t="str">
        <f t="shared" ref="BD2372" si="10348">IFERROR(IF(BB2372-VLOOKUP(AY$38,$A$2:$N$12,14,FALSE)&gt;0,BB2372-VLOOKUP(AY$38,$A$2:$N$12,14,FALSE)," ")," ")</f>
        <v xml:space="preserve"> </v>
      </c>
      <c r="BE2372" s="34">
        <f t="shared" ref="BE2372" si="10349">$M$8</f>
        <v>0</v>
      </c>
      <c r="BF2372" s="34">
        <v>-1</v>
      </c>
      <c r="BG2372" s="34">
        <f t="shared" ref="BG2372" si="10350">-SUMPRODUCT($M$2:$M$7,$N$2:$N$7)-SUMPRODUCT($M$9:$M$12,$N$9:$N$12)</f>
        <v>-120000</v>
      </c>
      <c r="BH2372" s="34" t="e">
        <f t="shared" ref="BH2372" si="10351">IF(BE2372&lt;&gt;BE2373,MMULT(MINVERSE(BE2372:BF2373),BG2372:BG2373)," ")</f>
        <v>#NUM!</v>
      </c>
      <c r="BI2372" s="34" t="str">
        <f t="shared" ref="BI2372" si="10352">IFERROR(IF(BH2372-VLOOKUP(BE$38,$A$2:$N$12,14,FALSE)&lt;0,BH2372-VLOOKUP(BE$38,$A$2:$N$12,14,FALSE)," ")," ")</f>
        <v xml:space="preserve"> </v>
      </c>
      <c r="BJ2372" s="34" t="str">
        <f t="shared" ref="BJ2372" si="10353">IFERROR(IF(BH2372-VLOOKUP(BE$38,$A$2:$N$12,14,FALSE)&gt;0,BH2372-VLOOKUP(BE$38,$A$2:$N$12,14,FALSE)," ")," ")</f>
        <v xml:space="preserve"> </v>
      </c>
      <c r="BK2372" s="34">
        <f t="shared" ref="BK2372" si="10354">$M$9</f>
        <v>0</v>
      </c>
      <c r="BL2372" s="34">
        <v>-1</v>
      </c>
      <c r="BM2372" s="34">
        <f t="shared" ref="BM2372" si="10355">-SUMPRODUCT($M$2:$M$8,$N$2:$N$8)-SUMPRODUCT($M$10:$M$12,$N$10:$N$12)</f>
        <v>-120000</v>
      </c>
      <c r="BN2372" s="34" t="e">
        <f t="shared" ref="BN2372" si="10356">IF(BK2372&lt;&gt;BK2373,MMULT(MINVERSE(BK2372:BL2373),BM2372:BM2373)," ")</f>
        <v>#NUM!</v>
      </c>
      <c r="BO2372" s="34" t="str">
        <f t="shared" ref="BO2372" si="10357">IFERROR(IF(BN2372-VLOOKUP(BK$38,$A$2:$N$12,14,FALSE)&lt;0,BN2372-VLOOKUP(BK$38,$A$2:$N$12,14,FALSE)," ")," ")</f>
        <v xml:space="preserve"> </v>
      </c>
      <c r="BP2372" s="34" t="str">
        <f t="shared" ref="BP2372" si="10358">IFERROR(IF(BN2372-VLOOKUP(BK$38,$A$2:$N$12,14,FALSE)&gt;0,BN2372-VLOOKUP(BK$38,$A$2:$N$12,14,FALSE)," ")," ")</f>
        <v xml:space="preserve"> </v>
      </c>
      <c r="BQ2372" s="34">
        <f t="shared" ref="BQ2372" si="10359">$M$10</f>
        <v>0</v>
      </c>
      <c r="BR2372" s="34">
        <v>-1</v>
      </c>
      <c r="BS2372" s="34">
        <f t="shared" ref="BS2372" si="10360">-SUMPRODUCT($M$2:$M$9,$N$2:$N$9)-SUMPRODUCT($M$11:$M$12,$N$11:$N$12)</f>
        <v>-120000</v>
      </c>
      <c r="BT2372" s="34" t="e">
        <f t="shared" ref="BT2372" si="10361">IF(BQ2372&lt;&gt;BQ2373,MMULT(MINVERSE(BQ2372:BR2373),BS2372:BS2373)," ")</f>
        <v>#NUM!</v>
      </c>
      <c r="BU2372" s="34" t="str">
        <f t="shared" ref="BU2372" si="10362">IFERROR(IF(BT2372-VLOOKUP(BQ$38,$A$2:$N$12,14,FALSE)&lt;0,BT2372-VLOOKUP(BQ$38,$A$2:$N$12,14,FALSE)," ")," ")</f>
        <v xml:space="preserve"> </v>
      </c>
      <c r="BV2372" s="34" t="str">
        <f t="shared" ref="BV2372" si="10363">IFERROR(IF(BT2372-VLOOKUP(BQ$38,$A$2:$N$12,14,FALSE)&gt;0,BT2372-VLOOKUP(BQ$38,$A$2:$N$12,14,FALSE)," ")," ")</f>
        <v xml:space="preserve"> </v>
      </c>
      <c r="BW2372" s="34">
        <f t="shared" ref="BW2372" si="10364">$M$11</f>
        <v>0</v>
      </c>
      <c r="BX2372" s="34">
        <v>-1</v>
      </c>
      <c r="BY2372" s="34">
        <f t="shared" ref="BY2372" si="10365">-SUMPRODUCT($M$2:$M$10,$N$2:$N$10)-SUMPRODUCT($M$12,$N$12)</f>
        <v>-120000</v>
      </c>
      <c r="BZ2372" s="34" t="e">
        <f t="shared" ref="BZ2372" si="10366">IF(BW2372&lt;&gt;BW2373,MMULT(MINVERSE(BW2372:BX2373),BY2372:BY2373)," ")</f>
        <v>#NUM!</v>
      </c>
      <c r="CA2372" s="34" t="str">
        <f t="shared" ref="CA2372" si="10367">IFERROR(IF(BZ2372-VLOOKUP(BW$38,$A$2:$N$12,14,FALSE)&lt;0,BZ2372-VLOOKUP(BW$38,$A$2:$N$12,14,FALSE)," ")," ")</f>
        <v xml:space="preserve"> </v>
      </c>
      <c r="CB2372" s="34" t="str">
        <f t="shared" ref="CB2372" si="10368">IFERROR(IF(BZ2372-VLOOKUP(BW$38,$A$2:$N$12,14,FALSE)&gt;0,BZ2372-VLOOKUP(BW$38,$A$2:$N$12,14,FALSE)," ")," ")</f>
        <v xml:space="preserve"> </v>
      </c>
      <c r="CC2372" s="34">
        <f t="shared" ref="CC2372" si="10369">$M$12</f>
        <v>0</v>
      </c>
      <c r="CD2372" s="34">
        <v>-1</v>
      </c>
      <c r="CE2372" s="34">
        <f t="shared" ref="CE2372" si="10370">-SUMPRODUCT($M$2:$M$11,$N$2:$N$11)</f>
        <v>-120000</v>
      </c>
      <c r="CF2372" s="34" t="e">
        <f t="shared" ref="CF2372" si="10371">IF(CC2372&lt;&gt;CC2373,MMULT(MINVERSE(CC2372:CD2373),CE2372:CE2373)," ")</f>
        <v>#NUM!</v>
      </c>
      <c r="CG2372" s="34" t="str">
        <f t="shared" ref="CG2372" si="10372">IFERROR(IF(CF2372-VLOOKUP(CC$38,$A$2:$N$12,14,FALSE)&lt;0,CF2372-VLOOKUP(CC$38,$A$2:$N$12,14,FALSE)," ")," ")</f>
        <v xml:space="preserve"> </v>
      </c>
      <c r="CH2372" s="34" t="str">
        <f t="shared" ref="CH2372" si="10373">IFERROR(IF(CF2372-VLOOKUP(CC$38,$A$2:$N$12,14,FALSE)&gt;0,CF2372-VLOOKUP(CC$38,$A$2:$N$12,14,FALSE)," ")," ")</f>
        <v xml:space="preserve"> </v>
      </c>
    </row>
    <row r="2373" spans="1:86" x14ac:dyDescent="0.2">
      <c r="A2373" s="8" t="str">
        <f>IF(AND(COUNTIF(W$3:W$13,A$16)&gt;0,A$16&lt;&gt;B2324),A$16,IFERROR(IF(MATCH(A$16,Z$3:Z$13,0)=3,A$16," ")," "))</f>
        <v xml:space="preserve"> </v>
      </c>
      <c r="B2373" s="8" t="str">
        <f>IF(A2373=" "," ",MAX(B2372:B2372)+1)</f>
        <v xml:space="preserve"> </v>
      </c>
      <c r="C2373" s="8" t="str">
        <f>IFERROR(INDEX(A2372:A2393,MATCH(SMALL(B2372:B2393,2),B2372:B2393,0),1)," ")</f>
        <v>C4</v>
      </c>
      <c r="D2373" s="8">
        <f t="shared" ref="D2373:D2382" si="10374">IFERROR(VLOOKUP($C2373,$A$15:$O$36,2,FALSE)," ")</f>
        <v>1</v>
      </c>
      <c r="E2373" s="8">
        <f t="shared" ref="E2373:E2382" si="10375">IFERROR(VLOOKUP($C2373,$A$15:$O$36,3,FALSE)," ")</f>
        <v>0</v>
      </c>
      <c r="F2373" s="8">
        <f t="shared" ref="F2373:F2382" si="10376">IFERROR(VLOOKUP($C2373,$A$15:$O$36,4,FALSE)," ")</f>
        <v>1</v>
      </c>
      <c r="G2373" s="8">
        <f t="shared" ref="G2373:G2382" si="10377">IFERROR(VLOOKUP($C2373,$A$15:$O$36,5,FALSE)," ")</f>
        <v>0</v>
      </c>
      <c r="H2373" s="8">
        <f t="shared" ref="H2373:H2382" si="10378">IFERROR(VLOOKUP($C2373,$A$15:$O$36,6,FALSE)," ")</f>
        <v>0</v>
      </c>
      <c r="I2373" s="8">
        <f t="shared" ref="I2373:I2382" si="10379">IFERROR(VLOOKUP($C2373,$A$15:$O$36,7,FALSE)," ")</f>
        <v>0</v>
      </c>
      <c r="J2373" s="8">
        <f t="shared" ref="J2373:J2382" si="10380">IFERROR(VLOOKUP($C2373,$A$15:$O$36,8,FALSE)," ")</f>
        <v>0</v>
      </c>
      <c r="K2373" s="8">
        <f t="shared" ref="K2373:K2382" si="10381">IFERROR(VLOOKUP($C2373,$A$15:$O$36,9,FALSE)," ")</f>
        <v>0</v>
      </c>
      <c r="L2373" s="8">
        <f t="shared" ref="L2373:L2382" si="10382">IFERROR(VLOOKUP($C2373,$A$15:$O$36,10,FALSE)," ")</f>
        <v>0</v>
      </c>
      <c r="M2373" s="8">
        <f t="shared" ref="M2373:M2382" si="10383">IFERROR(VLOOKUP($C2373,$A$15:$O$36,11,FALSE)," ")</f>
        <v>0</v>
      </c>
      <c r="N2373" s="8">
        <f t="shared" ref="N2373:N2382" si="10384">IFERROR(VLOOKUP($C2373,$A$15:$O$36,12,FALSE)," ")</f>
        <v>0</v>
      </c>
      <c r="O2373" s="8">
        <f t="shared" ref="O2373:O2382" si="10385">IFERROR(VLOOKUP($C2373,$A$15:$O$36,15,FALSE)," ")</f>
        <v>400</v>
      </c>
      <c r="P2373" s="8" t="e">
        <v>#NUM!</v>
      </c>
      <c r="Q2373" s="8" t="e">
        <f t="shared" ref="Q2373" si="10386">IF(COUNTIF(P2372:P2382,"&lt;"&amp;-0.001)=0,IF(ABS(P2373)&lt;0.001,0,P2373)," ")</f>
        <v>#NUM!</v>
      </c>
      <c r="R2373" s="8"/>
      <c r="S2373" s="8"/>
      <c r="U2373" s="34" t="e">
        <f t="shared" ref="U2373" si="10387">$Q2372</f>
        <v>#NUM!</v>
      </c>
      <c r="V2373" s="34">
        <v>-1</v>
      </c>
      <c r="W2373" s="34" t="e">
        <f t="shared" ref="W2373" si="10388">-SUMPRODUCT($Q2373:$Q2382,$N$3:$N$12)</f>
        <v>#NUM!</v>
      </c>
      <c r="X2373" s="34"/>
      <c r="Y2373" s="34"/>
      <c r="Z2373" s="34"/>
      <c r="AA2373" s="34" t="e">
        <f t="shared" ref="AA2373" si="10389">$Q2373</f>
        <v>#NUM!</v>
      </c>
      <c r="AB2373" s="34">
        <v>-1</v>
      </c>
      <c r="AC2373" s="34" t="e">
        <f t="shared" ref="AC2373" si="10390">-SUMPRODUCT($Q2372:$Q2372,$N$2:$N$2)-SUMPRODUCT($Q2374:$Q2382,$N$4:$N$12)</f>
        <v>#NUM!</v>
      </c>
      <c r="AD2373" s="34"/>
      <c r="AE2373" s="34"/>
      <c r="AF2373" s="34"/>
      <c r="AG2373" s="34" t="e">
        <f t="shared" ref="AG2373" si="10391">$Q2374</f>
        <v>#NUM!</v>
      </c>
      <c r="AH2373" s="34">
        <v>-1</v>
      </c>
      <c r="AI2373" s="34" t="e">
        <f t="shared" ref="AI2373" si="10392">-SUMPRODUCT($Q2372:$Q2373,$N$2:$N$3)-SUMPRODUCT($Q2375:$Q2382,$N$5:$N$12)</f>
        <v>#NUM!</v>
      </c>
      <c r="AJ2373" s="34"/>
      <c r="AK2373" s="34"/>
      <c r="AL2373" s="34"/>
      <c r="AM2373" s="34" t="e">
        <f t="shared" ref="AM2373" si="10393">$Q2375</f>
        <v>#NUM!</v>
      </c>
      <c r="AN2373" s="34">
        <v>-1</v>
      </c>
      <c r="AO2373" s="34" t="e">
        <f t="shared" ref="AO2373" si="10394">-SUMPRODUCT($Q2372:$Q2374,$N$2:$N$4)-SUMPRODUCT($Q2376:$Q2382,$N$6:$N$12)</f>
        <v>#NUM!</v>
      </c>
      <c r="AP2373" s="34"/>
      <c r="AQ2373" s="34"/>
      <c r="AR2373" s="34"/>
      <c r="AS2373" s="34" t="e">
        <f t="shared" ref="AS2373" si="10395">$Q2376</f>
        <v>#NUM!</v>
      </c>
      <c r="AT2373" s="34">
        <v>-1</v>
      </c>
      <c r="AU2373" s="34" t="e">
        <f t="shared" ref="AU2373" si="10396">-SUMPRODUCT($Q2372:$Q2375,$N$2:$N$5)-SUMPRODUCT($Q2377:$Q2382,$N$7:$N$12)</f>
        <v>#NUM!</v>
      </c>
      <c r="AV2373" s="34"/>
      <c r="AW2373" s="34"/>
      <c r="AX2373" s="34"/>
      <c r="AY2373" s="34" t="e">
        <f t="shared" ref="AY2373" si="10397">$Q2377</f>
        <v>#NUM!</v>
      </c>
      <c r="AZ2373" s="34">
        <v>-1</v>
      </c>
      <c r="BA2373" s="34" t="e">
        <f t="shared" ref="BA2373" si="10398">-SUMPRODUCT($Q2372:$Q2376,$N$2:$N$6)-SUMPRODUCT($Q2378:$Q2382,$N$8:$N$12)</f>
        <v>#NUM!</v>
      </c>
      <c r="BB2373" s="34"/>
      <c r="BC2373" s="34"/>
      <c r="BD2373" s="34"/>
      <c r="BE2373" s="34" t="e">
        <f t="shared" ref="BE2373" si="10399">$Q2378</f>
        <v>#NUM!</v>
      </c>
      <c r="BF2373" s="34">
        <v>-1</v>
      </c>
      <c r="BG2373" s="34" t="e">
        <f t="shared" ref="BG2373" si="10400">-SUMPRODUCT($Q2372:$Q2377,$N$2:$N$7)-SUMPRODUCT($Q2379:$Q2382,$N$9:$N$12)</f>
        <v>#NUM!</v>
      </c>
      <c r="BH2373" s="34"/>
      <c r="BI2373" s="34"/>
      <c r="BJ2373" s="34"/>
      <c r="BK2373" s="34" t="e">
        <f t="shared" ref="BK2373" si="10401">$Q2379</f>
        <v>#NUM!</v>
      </c>
      <c r="BL2373" s="34">
        <v>-1</v>
      </c>
      <c r="BM2373" s="34" t="e">
        <f t="shared" ref="BM2373" si="10402">-SUMPRODUCT($Q2372:$Q2378,$N$2:$N$8)-SUMPRODUCT($Q2380:$Q2382,$N$10:$N$12)</f>
        <v>#NUM!</v>
      </c>
      <c r="BN2373" s="34"/>
      <c r="BO2373" s="34"/>
      <c r="BP2373" s="34"/>
      <c r="BQ2373" s="34" t="e">
        <f t="shared" ref="BQ2373" si="10403">$Q2380</f>
        <v>#NUM!</v>
      </c>
      <c r="BR2373" s="34">
        <v>-1</v>
      </c>
      <c r="BS2373" s="34" t="e">
        <f t="shared" ref="BS2373" si="10404">-SUMPRODUCT($Q2372:$Q2379,$N$2:$N$9)-SUMPRODUCT($Q2381:$Q2382,$N$11:$N$12)</f>
        <v>#NUM!</v>
      </c>
      <c r="BT2373" s="34"/>
      <c r="BU2373" s="34"/>
      <c r="BV2373" s="34"/>
      <c r="BW2373" s="34" t="e">
        <f t="shared" ref="BW2373" si="10405">$Q2381</f>
        <v>#NUM!</v>
      </c>
      <c r="BX2373" s="34">
        <v>-1</v>
      </c>
      <c r="BY2373" s="34" t="e">
        <f t="shared" ref="BY2373" si="10406">-SUMPRODUCT($Q2372:$Q2380,$N$2:$N$10)-SUMPRODUCT($Q2382,$N$12)</f>
        <v>#NUM!</v>
      </c>
      <c r="BZ2373" s="34"/>
      <c r="CA2373" s="34"/>
      <c r="CB2373" s="34"/>
      <c r="CC2373" s="34" t="e">
        <f t="shared" ref="CC2373" si="10407">$Q2382</f>
        <v>#NUM!</v>
      </c>
      <c r="CD2373" s="34">
        <v>-1</v>
      </c>
      <c r="CE2373" s="34" t="e">
        <f t="shared" ref="CE2373" si="10408">-SUMPRODUCT($Q2372:$Q2381,$N$2:$N$11)</f>
        <v>#NUM!</v>
      </c>
      <c r="CF2373" s="34"/>
      <c r="CG2373" s="34"/>
      <c r="CH2373" s="34"/>
    </row>
    <row r="2374" spans="1:86" x14ac:dyDescent="0.2">
      <c r="A2374" s="8" t="str">
        <f>IF(AND(COUNTIF(W$3:W$13,A$17)&gt;0,A$17&lt;&gt;B2324),A$17,IFERROR(IF(MATCH(A$17,Z$3:Z$13,0)=3,A$17," ")," "))</f>
        <v>C3</v>
      </c>
      <c r="B2374" s="8">
        <f>IF(A2374=" "," ",MAX(B2372:B2373)+1)</f>
        <v>1</v>
      </c>
      <c r="C2374" s="8" t="str">
        <f>IFERROR(INDEX(A2372:A2393,MATCH(SMALL(B2372:B2393,3),B2372:B2393,0),1)," ")</f>
        <v>C5</v>
      </c>
      <c r="D2374" s="8">
        <f t="shared" si="10374"/>
        <v>0</v>
      </c>
      <c r="E2374" s="8">
        <f t="shared" si="10375"/>
        <v>0</v>
      </c>
      <c r="F2374" s="8">
        <f t="shared" si="10376"/>
        <v>0</v>
      </c>
      <c r="G2374" s="8">
        <f t="shared" si="10377"/>
        <v>0</v>
      </c>
      <c r="H2374" s="8">
        <f t="shared" si="10378"/>
        <v>0</v>
      </c>
      <c r="I2374" s="8">
        <f t="shared" si="10379"/>
        <v>0</v>
      </c>
      <c r="J2374" s="8">
        <f t="shared" si="10380"/>
        <v>0</v>
      </c>
      <c r="K2374" s="8">
        <f t="shared" si="10381"/>
        <v>0</v>
      </c>
      <c r="L2374" s="8">
        <f t="shared" si="10382"/>
        <v>0</v>
      </c>
      <c r="M2374" s="8">
        <f t="shared" si="10383"/>
        <v>0</v>
      </c>
      <c r="N2374" s="8">
        <f t="shared" si="10384"/>
        <v>0</v>
      </c>
      <c r="O2374" s="8">
        <f t="shared" si="10385"/>
        <v>0</v>
      </c>
      <c r="P2374" s="8" t="e">
        <v>#NUM!</v>
      </c>
      <c r="Q2374" s="8" t="e">
        <f t="shared" ref="Q2374" si="10409">IF(COUNTIF(P2372:P2382,"&lt;"&amp;-0.001)=0,IF(ABS(P2374)&lt;0.001,0,P2374)," ")</f>
        <v>#NUM!</v>
      </c>
      <c r="R2374" s="8"/>
      <c r="S2374" s="8"/>
      <c r="U2374" s="34"/>
      <c r="V2374" s="34"/>
      <c r="W2374" s="34"/>
      <c r="X2374" s="34"/>
      <c r="Y2374" s="34"/>
      <c r="Z2374" s="34"/>
      <c r="AA2374" s="34"/>
      <c r="AB2374" s="34"/>
      <c r="AC2374" s="34"/>
      <c r="AD2374" s="34"/>
      <c r="AE2374" s="34"/>
      <c r="AF2374" s="34"/>
      <c r="AG2374" s="34"/>
      <c r="AH2374" s="34"/>
      <c r="AI2374" s="34"/>
      <c r="AJ2374" s="34"/>
      <c r="AK2374" s="34"/>
      <c r="AL2374" s="34"/>
      <c r="AM2374" s="34"/>
      <c r="AN2374" s="34"/>
      <c r="AO2374" s="34"/>
      <c r="AP2374" s="34"/>
      <c r="AQ2374" s="34"/>
      <c r="AR2374" s="34"/>
      <c r="AS2374" s="34"/>
      <c r="AT2374" s="34"/>
      <c r="AU2374" s="34"/>
      <c r="AV2374" s="34"/>
      <c r="AW2374" s="34"/>
      <c r="AX2374" s="34"/>
      <c r="AY2374" s="34"/>
      <c r="AZ2374" s="34"/>
      <c r="BA2374" s="34"/>
      <c r="BB2374" s="34"/>
      <c r="BC2374" s="34"/>
      <c r="BD2374" s="34"/>
      <c r="BE2374" s="34"/>
      <c r="BF2374" s="34"/>
      <c r="BG2374" s="34"/>
      <c r="BH2374" s="34"/>
      <c r="BI2374" s="34"/>
      <c r="BJ2374" s="34"/>
      <c r="BK2374" s="34"/>
      <c r="BL2374" s="34"/>
      <c r="BM2374" s="34"/>
      <c r="BN2374" s="34"/>
      <c r="BO2374" s="34"/>
      <c r="BP2374" s="34"/>
      <c r="BQ2374" s="34"/>
      <c r="BR2374" s="34"/>
      <c r="BS2374" s="34"/>
      <c r="BT2374" s="34"/>
      <c r="BU2374" s="34"/>
      <c r="BV2374" s="34"/>
      <c r="BW2374" s="34"/>
      <c r="BX2374" s="34"/>
      <c r="BY2374" s="34"/>
      <c r="BZ2374" s="34"/>
      <c r="CA2374" s="34"/>
      <c r="CB2374" s="34"/>
      <c r="CC2374" s="34"/>
      <c r="CD2374" s="34"/>
      <c r="CE2374" s="34"/>
      <c r="CF2374" s="34"/>
      <c r="CG2374" s="34"/>
      <c r="CH2374" s="34"/>
    </row>
    <row r="2375" spans="1:86" x14ac:dyDescent="0.2">
      <c r="A2375" s="8" t="str">
        <f>IF(AND(COUNTIF(W$3:W$13,A$18)&gt;0,A$18&lt;&gt;B2324),A$18,IFERROR(IF(MATCH(A$18,Z$3:Z$13,0)=3,A$18," ")," "))</f>
        <v>C4</v>
      </c>
      <c r="B2375" s="8">
        <f>IF(A2375=" "," ",MAX(B2372:B2374)+1)</f>
        <v>2</v>
      </c>
      <c r="C2375" s="8" t="str">
        <f>IFERROR(INDEX(A2372:A2393,MATCH(SMALL(B2372:B2393,4),B2372:B2393,0),1)," ")</f>
        <v>C13</v>
      </c>
      <c r="D2375" s="8">
        <f t="shared" si="10374"/>
        <v>0</v>
      </c>
      <c r="E2375" s="8">
        <f t="shared" si="10375"/>
        <v>1</v>
      </c>
      <c r="F2375" s="8">
        <f t="shared" si="10376"/>
        <v>0</v>
      </c>
      <c r="G2375" s="8">
        <f t="shared" si="10377"/>
        <v>0</v>
      </c>
      <c r="H2375" s="8">
        <f t="shared" si="10378"/>
        <v>0</v>
      </c>
      <c r="I2375" s="8">
        <f t="shared" si="10379"/>
        <v>0</v>
      </c>
      <c r="J2375" s="8">
        <f t="shared" si="10380"/>
        <v>0</v>
      </c>
      <c r="K2375" s="8">
        <f t="shared" si="10381"/>
        <v>0</v>
      </c>
      <c r="L2375" s="8">
        <f t="shared" si="10382"/>
        <v>0</v>
      </c>
      <c r="M2375" s="8">
        <f t="shared" si="10383"/>
        <v>0</v>
      </c>
      <c r="N2375" s="8">
        <f t="shared" si="10384"/>
        <v>0</v>
      </c>
      <c r="O2375" s="8">
        <f t="shared" si="10385"/>
        <v>0</v>
      </c>
      <c r="P2375" s="8" t="e">
        <v>#NUM!</v>
      </c>
      <c r="Q2375" s="8" t="e">
        <f t="shared" ref="Q2375" si="10410">IF(COUNTIF(P2372:P2382,"&lt;"&amp;-0.001)=0,IF(ABS(P2375)&lt;0.001,0,P2375)," ")</f>
        <v>#NUM!</v>
      </c>
      <c r="R2375" s="8"/>
      <c r="S2375" s="8"/>
      <c r="U2375" s="34"/>
      <c r="V2375" s="34"/>
      <c r="W2375" s="34"/>
      <c r="X2375" s="34"/>
      <c r="Y2375" s="34"/>
      <c r="Z2375" s="34"/>
      <c r="AA2375" s="34"/>
      <c r="AB2375" s="34"/>
      <c r="AC2375" s="34"/>
      <c r="AD2375" s="34"/>
      <c r="AE2375" s="34"/>
      <c r="AF2375" s="34"/>
      <c r="AG2375" s="34"/>
      <c r="AH2375" s="34"/>
      <c r="AI2375" s="34"/>
      <c r="AJ2375" s="34"/>
      <c r="AK2375" s="34"/>
      <c r="AL2375" s="34"/>
      <c r="AM2375" s="34"/>
      <c r="AN2375" s="34"/>
      <c r="AO2375" s="34"/>
      <c r="AP2375" s="34"/>
      <c r="AQ2375" s="34"/>
      <c r="AR2375" s="34"/>
      <c r="AS2375" s="34"/>
      <c r="AT2375" s="34"/>
      <c r="AU2375" s="34"/>
      <c r="AV2375" s="34"/>
      <c r="AW2375" s="34"/>
      <c r="AX2375" s="34"/>
      <c r="AY2375" s="34"/>
      <c r="AZ2375" s="34"/>
      <c r="BA2375" s="34"/>
      <c r="BB2375" s="34"/>
      <c r="BC2375" s="34"/>
      <c r="BD2375" s="34"/>
      <c r="BE2375" s="34"/>
      <c r="BF2375" s="34"/>
      <c r="BG2375" s="34"/>
      <c r="BH2375" s="34"/>
      <c r="BI2375" s="34"/>
      <c r="BJ2375" s="34"/>
      <c r="BK2375" s="34"/>
      <c r="BL2375" s="34"/>
      <c r="BM2375" s="34"/>
      <c r="BN2375" s="34"/>
      <c r="BO2375" s="34"/>
      <c r="BP2375" s="34"/>
      <c r="BQ2375" s="34"/>
      <c r="BR2375" s="34"/>
      <c r="BS2375" s="34"/>
      <c r="BT2375" s="34"/>
      <c r="BU2375" s="34"/>
      <c r="BV2375" s="34"/>
      <c r="BW2375" s="34"/>
      <c r="BX2375" s="34"/>
      <c r="BY2375" s="34"/>
      <c r="BZ2375" s="34"/>
      <c r="CA2375" s="34"/>
      <c r="CB2375" s="34"/>
      <c r="CC2375" s="34"/>
      <c r="CD2375" s="34"/>
      <c r="CE2375" s="34"/>
      <c r="CF2375" s="34"/>
      <c r="CG2375" s="34"/>
      <c r="CH2375" s="34"/>
    </row>
    <row r="2376" spans="1:86" x14ac:dyDescent="0.2">
      <c r="A2376" s="8" t="str">
        <f>IF(AND(COUNTIF(W$3:W$13,A$19)&gt;0,A$19&lt;&gt;B2324),A$19,IFERROR(IF(MATCH(A$19,Z$3:Z$13,0)=3,A$19," ")," "))</f>
        <v>C5</v>
      </c>
      <c r="B2376" s="8">
        <f>IF(A2376=" "," ",MAX(B2372:B2375)+1)</f>
        <v>3</v>
      </c>
      <c r="C2376" s="8" t="str">
        <f>IFERROR(INDEX(A2372:A2393,MATCH(SMALL(B2372:B2393,5),B2372:B2393,0),1)," ")</f>
        <v>C15</v>
      </c>
      <c r="D2376" s="8">
        <f t="shared" si="10374"/>
        <v>0</v>
      </c>
      <c r="E2376" s="8">
        <f t="shared" si="10375"/>
        <v>0</v>
      </c>
      <c r="F2376" s="8">
        <f t="shared" si="10376"/>
        <v>0</v>
      </c>
      <c r="G2376" s="8">
        <f t="shared" si="10377"/>
        <v>1</v>
      </c>
      <c r="H2376" s="8">
        <f t="shared" si="10378"/>
        <v>0</v>
      </c>
      <c r="I2376" s="8">
        <f t="shared" si="10379"/>
        <v>0</v>
      </c>
      <c r="J2376" s="8">
        <f t="shared" si="10380"/>
        <v>0</v>
      </c>
      <c r="K2376" s="8">
        <f t="shared" si="10381"/>
        <v>0</v>
      </c>
      <c r="L2376" s="8">
        <f t="shared" si="10382"/>
        <v>0</v>
      </c>
      <c r="M2376" s="8">
        <f t="shared" si="10383"/>
        <v>0</v>
      </c>
      <c r="N2376" s="8">
        <f t="shared" si="10384"/>
        <v>0</v>
      </c>
      <c r="O2376" s="8">
        <f t="shared" si="10385"/>
        <v>0</v>
      </c>
      <c r="P2376" s="8" t="e">
        <v>#NUM!</v>
      </c>
      <c r="Q2376" s="8" t="e">
        <f t="shared" ref="Q2376" si="10411">IF(COUNTIF(P2372:P2382,"&lt;"&amp;-0.001)=0,IF(ABS(P2376)&lt;0.001,0,P2376)," ")</f>
        <v>#NUM!</v>
      </c>
      <c r="R2376" s="8"/>
      <c r="S2376" s="8"/>
      <c r="U2376" s="34"/>
      <c r="V2376" s="34"/>
      <c r="W2376" s="34"/>
      <c r="X2376" s="34"/>
      <c r="Y2376" s="34"/>
      <c r="Z2376" s="34"/>
      <c r="AA2376" s="34"/>
      <c r="AB2376" s="34"/>
      <c r="AC2376" s="34"/>
      <c r="AD2376" s="34"/>
      <c r="AE2376" s="34"/>
      <c r="AF2376" s="34"/>
      <c r="AG2376" s="34"/>
      <c r="AH2376" s="34"/>
      <c r="AI2376" s="34"/>
      <c r="AJ2376" s="34"/>
      <c r="AK2376" s="34"/>
      <c r="AL2376" s="34"/>
      <c r="AM2376" s="34"/>
      <c r="AN2376" s="34"/>
      <c r="AO2376" s="34"/>
      <c r="AP2376" s="34"/>
      <c r="AQ2376" s="34"/>
      <c r="AR2376" s="34"/>
      <c r="AS2376" s="34"/>
      <c r="AT2376" s="34"/>
      <c r="AU2376" s="34"/>
      <c r="AV2376" s="34"/>
      <c r="AW2376" s="34"/>
      <c r="AX2376" s="34"/>
      <c r="AY2376" s="34"/>
      <c r="AZ2376" s="34"/>
      <c r="BA2376" s="34"/>
      <c r="BB2376" s="34"/>
      <c r="BC2376" s="34"/>
      <c r="BD2376" s="34"/>
      <c r="BE2376" s="34"/>
      <c r="BF2376" s="34"/>
      <c r="BG2376" s="34"/>
      <c r="BH2376" s="34"/>
      <c r="BI2376" s="34"/>
      <c r="BJ2376" s="34"/>
      <c r="BK2376" s="34"/>
      <c r="BL2376" s="34"/>
      <c r="BM2376" s="34"/>
      <c r="BN2376" s="34"/>
      <c r="BO2376" s="34"/>
      <c r="BP2376" s="34"/>
      <c r="BQ2376" s="34"/>
      <c r="BR2376" s="34"/>
      <c r="BS2376" s="34"/>
      <c r="BT2376" s="34"/>
      <c r="BU2376" s="34"/>
      <c r="BV2376" s="34"/>
      <c r="BW2376" s="34"/>
      <c r="BX2376" s="34"/>
      <c r="BY2376" s="34"/>
      <c r="BZ2376" s="34"/>
      <c r="CA2376" s="34"/>
      <c r="CB2376" s="34"/>
      <c r="CC2376" s="34"/>
      <c r="CD2376" s="34"/>
      <c r="CE2376" s="34"/>
      <c r="CF2376" s="34"/>
      <c r="CG2376" s="34"/>
      <c r="CH2376" s="34"/>
    </row>
    <row r="2377" spans="1:86" x14ac:dyDescent="0.2">
      <c r="A2377" s="8" t="str">
        <f>IF(AND(COUNTIF(W$3:W$13,A$20)&gt;0,A$20&lt;&gt;B2324),A$20,IFERROR(IF(MATCH(A$20,Z$3:Z$13,0)=3,A$20," ")," "))</f>
        <v xml:space="preserve"> </v>
      </c>
      <c r="B2377" s="8" t="str">
        <f>IF(A2377=" "," ",MAX(B2372:B2376)+1)</f>
        <v xml:space="preserve"> </v>
      </c>
      <c r="C2377" s="8" t="str">
        <f>IFERROR(INDEX(A2372:A2393,MATCH(SMALL(B2372:B2393,6),B2372:B2393,0),1)," ")</f>
        <v>C16</v>
      </c>
      <c r="D2377" s="8">
        <f t="shared" si="10374"/>
        <v>0</v>
      </c>
      <c r="E2377" s="8">
        <f t="shared" si="10375"/>
        <v>0</v>
      </c>
      <c r="F2377" s="8">
        <f t="shared" si="10376"/>
        <v>0</v>
      </c>
      <c r="G2377" s="8">
        <f t="shared" si="10377"/>
        <v>0</v>
      </c>
      <c r="H2377" s="8">
        <f t="shared" si="10378"/>
        <v>1</v>
      </c>
      <c r="I2377" s="8">
        <f t="shared" si="10379"/>
        <v>0</v>
      </c>
      <c r="J2377" s="8">
        <f t="shared" si="10380"/>
        <v>0</v>
      </c>
      <c r="K2377" s="8">
        <f t="shared" si="10381"/>
        <v>0</v>
      </c>
      <c r="L2377" s="8">
        <f t="shared" si="10382"/>
        <v>0</v>
      </c>
      <c r="M2377" s="8">
        <f t="shared" si="10383"/>
        <v>0</v>
      </c>
      <c r="N2377" s="8">
        <f t="shared" si="10384"/>
        <v>0</v>
      </c>
      <c r="O2377" s="8">
        <f t="shared" si="10385"/>
        <v>0</v>
      </c>
      <c r="P2377" s="8" t="e">
        <v>#NUM!</v>
      </c>
      <c r="Q2377" s="8" t="e">
        <f t="shared" ref="Q2377" si="10412">IF(COUNTIF(P2372:P2382,"&lt;"&amp;-0.001)=0,IF(ABS(P2377)&lt;0.001,0,P2377)," ")</f>
        <v>#NUM!</v>
      </c>
      <c r="R2377" s="8"/>
      <c r="S2377" s="8"/>
      <c r="U2377" s="34"/>
      <c r="V2377" s="34"/>
      <c r="W2377" s="34"/>
      <c r="X2377" s="34"/>
      <c r="Y2377" s="34"/>
      <c r="Z2377" s="34"/>
      <c r="AA2377" s="34"/>
      <c r="AB2377" s="34"/>
      <c r="AC2377" s="34"/>
      <c r="AD2377" s="34"/>
      <c r="AE2377" s="34"/>
      <c r="AF2377" s="34"/>
      <c r="AG2377" s="34"/>
      <c r="AH2377" s="34"/>
      <c r="AI2377" s="34"/>
      <c r="AJ2377" s="34"/>
      <c r="AK2377" s="34"/>
      <c r="AL2377" s="34"/>
      <c r="AM2377" s="34"/>
      <c r="AN2377" s="34"/>
      <c r="AO2377" s="34"/>
      <c r="AP2377" s="34"/>
      <c r="AQ2377" s="34"/>
      <c r="AR2377" s="34"/>
      <c r="AS2377" s="34"/>
      <c r="AT2377" s="34"/>
      <c r="AU2377" s="34"/>
      <c r="AV2377" s="34"/>
      <c r="AW2377" s="34"/>
      <c r="AX2377" s="34"/>
      <c r="AY2377" s="34"/>
      <c r="AZ2377" s="34"/>
      <c r="BA2377" s="34"/>
      <c r="BB2377" s="34"/>
      <c r="BC2377" s="34"/>
      <c r="BD2377" s="34"/>
      <c r="BE2377" s="34"/>
      <c r="BF2377" s="34"/>
      <c r="BG2377" s="34"/>
      <c r="BH2377" s="34"/>
      <c r="BI2377" s="34"/>
      <c r="BJ2377" s="34"/>
      <c r="BK2377" s="34"/>
      <c r="BL2377" s="34"/>
      <c r="BM2377" s="34"/>
      <c r="BN2377" s="34"/>
      <c r="BO2377" s="34"/>
      <c r="BP2377" s="34"/>
      <c r="BQ2377" s="34"/>
      <c r="BR2377" s="34"/>
      <c r="BS2377" s="34"/>
      <c r="BT2377" s="34"/>
      <c r="BU2377" s="34"/>
      <c r="BV2377" s="34"/>
      <c r="BW2377" s="34"/>
      <c r="BX2377" s="34"/>
      <c r="BY2377" s="34"/>
      <c r="BZ2377" s="34"/>
      <c r="CA2377" s="34"/>
      <c r="CB2377" s="34"/>
      <c r="CC2377" s="34"/>
      <c r="CD2377" s="34"/>
      <c r="CE2377" s="34"/>
      <c r="CF2377" s="34"/>
      <c r="CG2377" s="34"/>
      <c r="CH2377" s="34"/>
    </row>
    <row r="2378" spans="1:86" x14ac:dyDescent="0.2">
      <c r="A2378" s="8" t="str">
        <f>IF(AND(COUNTIF(W$3:W$13,A$21)&gt;0,A$21&lt;&gt;B2324),A$21,IFERROR(IF(MATCH(A$21,Z$3:Z$13,0)=3,A$21," ")," "))</f>
        <v xml:space="preserve"> </v>
      </c>
      <c r="B2378" s="8" t="str">
        <f>IF(A2378=" "," ",MAX(B2372:B2377)+1)</f>
        <v xml:space="preserve"> </v>
      </c>
      <c r="C2378" s="8" t="str">
        <f>IFERROR(INDEX(A2372:A2393,MATCH(SMALL(B2372:B2393,7),B2372:B2393,0),1)," ")</f>
        <v>C17</v>
      </c>
      <c r="D2378" s="8">
        <f t="shared" si="10374"/>
        <v>0</v>
      </c>
      <c r="E2378" s="8">
        <f t="shared" si="10375"/>
        <v>0</v>
      </c>
      <c r="F2378" s="8">
        <f t="shared" si="10376"/>
        <v>0</v>
      </c>
      <c r="G2378" s="8">
        <f t="shared" si="10377"/>
        <v>0</v>
      </c>
      <c r="H2378" s="8">
        <f t="shared" si="10378"/>
        <v>0</v>
      </c>
      <c r="I2378" s="8">
        <f t="shared" si="10379"/>
        <v>1</v>
      </c>
      <c r="J2378" s="8">
        <f t="shared" si="10380"/>
        <v>0</v>
      </c>
      <c r="K2378" s="8">
        <f t="shared" si="10381"/>
        <v>0</v>
      </c>
      <c r="L2378" s="8">
        <f t="shared" si="10382"/>
        <v>0</v>
      </c>
      <c r="M2378" s="8">
        <f t="shared" si="10383"/>
        <v>0</v>
      </c>
      <c r="N2378" s="8">
        <f t="shared" si="10384"/>
        <v>0</v>
      </c>
      <c r="O2378" s="8">
        <f t="shared" si="10385"/>
        <v>0</v>
      </c>
      <c r="P2378" s="8" t="e">
        <v>#NUM!</v>
      </c>
      <c r="Q2378" s="8" t="e">
        <f t="shared" ref="Q2378" si="10413">IF(COUNTIF(P2372:P2382,"&lt;"&amp;-0.001)=0,IF(ABS(P2378)&lt;0.001,0,P2378)," ")</f>
        <v>#NUM!</v>
      </c>
      <c r="R2378" s="8"/>
      <c r="S2378" s="8"/>
      <c r="U2378" s="34"/>
      <c r="V2378" s="34"/>
      <c r="W2378" s="34"/>
      <c r="X2378" s="34"/>
      <c r="Y2378" s="34"/>
      <c r="Z2378" s="34"/>
      <c r="AA2378" s="34"/>
      <c r="AB2378" s="34"/>
      <c r="AC2378" s="34"/>
      <c r="AD2378" s="34"/>
      <c r="AE2378" s="34"/>
      <c r="AF2378" s="34"/>
      <c r="AG2378" s="34"/>
      <c r="AH2378" s="34"/>
      <c r="AI2378" s="34"/>
      <c r="AJ2378" s="34"/>
      <c r="AK2378" s="34"/>
      <c r="AL2378" s="34"/>
      <c r="AM2378" s="34"/>
      <c r="AN2378" s="34"/>
      <c r="AO2378" s="34"/>
      <c r="AP2378" s="34"/>
      <c r="AQ2378" s="34"/>
      <c r="AR2378" s="34"/>
      <c r="AS2378" s="34"/>
      <c r="AT2378" s="34"/>
      <c r="AU2378" s="34"/>
      <c r="AV2378" s="34"/>
      <c r="AW2378" s="34"/>
      <c r="AX2378" s="34"/>
      <c r="AY2378" s="34"/>
      <c r="AZ2378" s="34"/>
      <c r="BA2378" s="34"/>
      <c r="BB2378" s="34"/>
      <c r="BC2378" s="34"/>
      <c r="BD2378" s="34"/>
      <c r="BE2378" s="34"/>
      <c r="BF2378" s="34"/>
      <c r="BG2378" s="34"/>
      <c r="BH2378" s="34"/>
      <c r="BI2378" s="34"/>
      <c r="BJ2378" s="34"/>
      <c r="BK2378" s="34"/>
      <c r="BL2378" s="34"/>
      <c r="BM2378" s="34"/>
      <c r="BN2378" s="34"/>
      <c r="BO2378" s="34"/>
      <c r="BP2378" s="34"/>
      <c r="BQ2378" s="34"/>
      <c r="BR2378" s="34"/>
      <c r="BS2378" s="34"/>
      <c r="BT2378" s="34"/>
      <c r="BU2378" s="34"/>
      <c r="BV2378" s="34"/>
      <c r="BW2378" s="34"/>
      <c r="BX2378" s="34"/>
      <c r="BY2378" s="34"/>
      <c r="BZ2378" s="34"/>
      <c r="CA2378" s="34"/>
      <c r="CB2378" s="34"/>
      <c r="CC2378" s="34"/>
      <c r="CD2378" s="34"/>
      <c r="CE2378" s="34"/>
      <c r="CF2378" s="34"/>
      <c r="CG2378" s="34"/>
      <c r="CH2378" s="34"/>
    </row>
    <row r="2379" spans="1:86" x14ac:dyDescent="0.2">
      <c r="A2379" s="8" t="str">
        <f>IF(AND(COUNTIF(W$3:W$13,A$22)&gt;0,A$22&lt;&gt;B2324),A$22,IFERROR(IF(MATCH(A$22,Z$3:Z$13,0)=3,A$22," ")," "))</f>
        <v xml:space="preserve"> </v>
      </c>
      <c r="B2379" s="8" t="str">
        <f>IF(A2379=" "," ",MAX(B2372:B2378)+1)</f>
        <v xml:space="preserve"> </v>
      </c>
      <c r="C2379" s="8" t="str">
        <f>IFERROR(INDEX(A2372:A2393,MATCH(SMALL(B2372:B2393,8),B2372:B2393,0),1)," ")</f>
        <v>C18</v>
      </c>
      <c r="D2379" s="8">
        <f t="shared" si="10374"/>
        <v>0</v>
      </c>
      <c r="E2379" s="8">
        <f t="shared" si="10375"/>
        <v>0</v>
      </c>
      <c r="F2379" s="8">
        <f t="shared" si="10376"/>
        <v>0</v>
      </c>
      <c r="G2379" s="8">
        <f t="shared" si="10377"/>
        <v>0</v>
      </c>
      <c r="H2379" s="8">
        <f t="shared" si="10378"/>
        <v>0</v>
      </c>
      <c r="I2379" s="8">
        <f t="shared" si="10379"/>
        <v>0</v>
      </c>
      <c r="J2379" s="8">
        <f t="shared" si="10380"/>
        <v>1</v>
      </c>
      <c r="K2379" s="8">
        <f t="shared" si="10381"/>
        <v>0</v>
      </c>
      <c r="L2379" s="8">
        <f t="shared" si="10382"/>
        <v>0</v>
      </c>
      <c r="M2379" s="8">
        <f t="shared" si="10383"/>
        <v>0</v>
      </c>
      <c r="N2379" s="8">
        <f t="shared" si="10384"/>
        <v>0</v>
      </c>
      <c r="O2379" s="8">
        <f t="shared" si="10385"/>
        <v>0</v>
      </c>
      <c r="P2379" s="8" t="e">
        <v>#NUM!</v>
      </c>
      <c r="Q2379" s="8" t="e">
        <f t="shared" ref="Q2379" si="10414">IF(COUNTIF(P2372:P2382,"&lt;"&amp;-0.001)=0,IF(ABS(P2379)&lt;0.001,0,P2379)," ")</f>
        <v>#NUM!</v>
      </c>
      <c r="R2379" s="8"/>
      <c r="S2379" s="8"/>
      <c r="U2379" s="34"/>
      <c r="V2379" s="34"/>
      <c r="W2379" s="34"/>
      <c r="X2379" s="34"/>
      <c r="Y2379" s="34"/>
      <c r="Z2379" s="34"/>
      <c r="AA2379" s="34"/>
      <c r="AB2379" s="34"/>
      <c r="AC2379" s="34"/>
      <c r="AD2379" s="34"/>
      <c r="AE2379" s="34"/>
      <c r="AF2379" s="34"/>
      <c r="AG2379" s="34"/>
      <c r="AH2379" s="34"/>
      <c r="AI2379" s="34"/>
      <c r="AJ2379" s="34"/>
      <c r="AK2379" s="34"/>
      <c r="AL2379" s="34"/>
      <c r="AM2379" s="34"/>
      <c r="AN2379" s="34"/>
      <c r="AO2379" s="34"/>
      <c r="AP2379" s="34"/>
      <c r="AQ2379" s="34"/>
      <c r="AR2379" s="34"/>
      <c r="AS2379" s="34"/>
      <c r="AT2379" s="34"/>
      <c r="AU2379" s="34"/>
      <c r="AV2379" s="34"/>
      <c r="AW2379" s="34"/>
      <c r="AX2379" s="34"/>
      <c r="AY2379" s="34"/>
      <c r="AZ2379" s="34"/>
      <c r="BA2379" s="34"/>
      <c r="BB2379" s="34"/>
      <c r="BC2379" s="34"/>
      <c r="BD2379" s="34"/>
      <c r="BE2379" s="34"/>
      <c r="BF2379" s="34"/>
      <c r="BG2379" s="34"/>
      <c r="BH2379" s="34"/>
      <c r="BI2379" s="34"/>
      <c r="BJ2379" s="34"/>
      <c r="BK2379" s="34"/>
      <c r="BL2379" s="34"/>
      <c r="BM2379" s="34"/>
      <c r="BN2379" s="34"/>
      <c r="BO2379" s="34"/>
      <c r="BP2379" s="34"/>
      <c r="BQ2379" s="34"/>
      <c r="BR2379" s="34"/>
      <c r="BS2379" s="34"/>
      <c r="BT2379" s="34"/>
      <c r="BU2379" s="34"/>
      <c r="BV2379" s="34"/>
      <c r="BW2379" s="34"/>
      <c r="BX2379" s="34"/>
      <c r="BY2379" s="34"/>
      <c r="BZ2379" s="34"/>
      <c r="CA2379" s="34"/>
      <c r="CB2379" s="34"/>
      <c r="CC2379" s="34"/>
      <c r="CD2379" s="34"/>
      <c r="CE2379" s="34"/>
      <c r="CF2379" s="34"/>
      <c r="CG2379" s="34"/>
      <c r="CH2379" s="34"/>
    </row>
    <row r="2380" spans="1:86" x14ac:dyDescent="0.2">
      <c r="A2380" s="8" t="str">
        <f>IF(AND(COUNTIF(W$3:W$13,A$23)&gt;0,A$23&lt;&gt;B2324),A$23,IFERROR(IF(MATCH(A$23,Z$3:Z$13,0)=3,A$23," ")," "))</f>
        <v xml:space="preserve"> </v>
      </c>
      <c r="B2380" s="8" t="str">
        <f>IF(A2380=" "," ",MAX(B2372:B2379)+1)</f>
        <v xml:space="preserve"> </v>
      </c>
      <c r="C2380" s="8" t="str">
        <f>IFERROR(INDEX(A2372:A2393,MATCH(SMALL(B2372:B2393,9),B2372:B2393,0),1)," ")</f>
        <v>C19</v>
      </c>
      <c r="D2380" s="8">
        <f t="shared" si="10374"/>
        <v>0</v>
      </c>
      <c r="E2380" s="8">
        <f t="shared" si="10375"/>
        <v>0</v>
      </c>
      <c r="F2380" s="8">
        <f t="shared" si="10376"/>
        <v>0</v>
      </c>
      <c r="G2380" s="8">
        <f t="shared" si="10377"/>
        <v>0</v>
      </c>
      <c r="H2380" s="8">
        <f t="shared" si="10378"/>
        <v>0</v>
      </c>
      <c r="I2380" s="8">
        <f t="shared" si="10379"/>
        <v>0</v>
      </c>
      <c r="J2380" s="8">
        <f t="shared" si="10380"/>
        <v>0</v>
      </c>
      <c r="K2380" s="8">
        <f t="shared" si="10381"/>
        <v>1</v>
      </c>
      <c r="L2380" s="8">
        <f t="shared" si="10382"/>
        <v>0</v>
      </c>
      <c r="M2380" s="8">
        <f t="shared" si="10383"/>
        <v>0</v>
      </c>
      <c r="N2380" s="8">
        <f t="shared" si="10384"/>
        <v>0</v>
      </c>
      <c r="O2380" s="8">
        <f t="shared" si="10385"/>
        <v>0</v>
      </c>
      <c r="P2380" s="6" t="e">
        <v>#NUM!</v>
      </c>
      <c r="Q2380" s="8" t="e">
        <f t="shared" ref="Q2380" si="10415">IF(COUNTIF(P2372:P2382,"&lt;"&amp;-0.001)=0,IF(ABS(P2380)&lt;0.001,0,P2380)," ")</f>
        <v>#NUM!</v>
      </c>
      <c r="R2380" s="8"/>
      <c r="S2380" s="8"/>
      <c r="U2380" s="34"/>
      <c r="V2380" s="34"/>
      <c r="W2380" s="34"/>
      <c r="X2380" s="34"/>
      <c r="Y2380" s="34"/>
      <c r="Z2380" s="34"/>
      <c r="AA2380" s="34"/>
      <c r="AB2380" s="34"/>
      <c r="AC2380" s="34"/>
      <c r="AD2380" s="34"/>
      <c r="AE2380" s="34"/>
      <c r="AF2380" s="34"/>
      <c r="AG2380" s="34"/>
      <c r="AH2380" s="34"/>
      <c r="AI2380" s="34"/>
      <c r="AJ2380" s="34"/>
      <c r="AK2380" s="34"/>
      <c r="AL2380" s="34"/>
      <c r="AM2380" s="34"/>
      <c r="AN2380" s="34"/>
      <c r="AO2380" s="34"/>
      <c r="AP2380" s="34"/>
      <c r="AQ2380" s="34"/>
      <c r="AR2380" s="34"/>
      <c r="AS2380" s="34"/>
      <c r="AT2380" s="34"/>
      <c r="AU2380" s="34"/>
      <c r="AV2380" s="34"/>
      <c r="AW2380" s="34"/>
      <c r="AX2380" s="34"/>
      <c r="AY2380" s="34"/>
      <c r="AZ2380" s="34"/>
      <c r="BA2380" s="34"/>
      <c r="BB2380" s="34"/>
      <c r="BC2380" s="34"/>
      <c r="BD2380" s="34"/>
      <c r="BE2380" s="34"/>
      <c r="BF2380" s="34"/>
      <c r="BG2380" s="34"/>
      <c r="BH2380" s="34"/>
      <c r="BI2380" s="34"/>
      <c r="BJ2380" s="34"/>
      <c r="BK2380" s="34"/>
      <c r="BL2380" s="34"/>
      <c r="BM2380" s="34"/>
      <c r="BN2380" s="34"/>
      <c r="BO2380" s="34"/>
      <c r="BP2380" s="34"/>
      <c r="BQ2380" s="34"/>
      <c r="BR2380" s="34"/>
      <c r="BS2380" s="34"/>
      <c r="BT2380" s="34"/>
      <c r="BU2380" s="34"/>
      <c r="BV2380" s="34"/>
      <c r="BW2380" s="34"/>
      <c r="BX2380" s="34"/>
      <c r="BY2380" s="34"/>
      <c r="BZ2380" s="34"/>
      <c r="CA2380" s="34"/>
      <c r="CB2380" s="34"/>
      <c r="CC2380" s="34"/>
      <c r="CD2380" s="34"/>
      <c r="CE2380" s="34"/>
      <c r="CF2380" s="34"/>
      <c r="CG2380" s="34"/>
      <c r="CH2380" s="34"/>
    </row>
    <row r="2381" spans="1:86" x14ac:dyDescent="0.2">
      <c r="A2381" s="8" t="str">
        <f>IF(AND(COUNTIF(W$3:W$13,A$24)&gt;0,A$24&lt;&gt;B2324),A$24,IFERROR(IF(MATCH(A$24,Z$3:Z$13,0)=3,A$24," ")," "))</f>
        <v xml:space="preserve"> </v>
      </c>
      <c r="B2381" s="8" t="str">
        <f>IF(A2381=" "," ",MAX(B2372:B2380)+1)</f>
        <v xml:space="preserve"> </v>
      </c>
      <c r="C2381" s="8" t="str">
        <f>IFERROR(INDEX(A2372:A2393,MATCH(SMALL(B2372:B2393,10),B2372:B2393,0),1)," ")</f>
        <v>C20</v>
      </c>
      <c r="D2381" s="8">
        <f t="shared" si="10374"/>
        <v>0</v>
      </c>
      <c r="E2381" s="8">
        <f t="shared" si="10375"/>
        <v>0</v>
      </c>
      <c r="F2381" s="8">
        <f t="shared" si="10376"/>
        <v>0</v>
      </c>
      <c r="G2381" s="8">
        <f t="shared" si="10377"/>
        <v>0</v>
      </c>
      <c r="H2381" s="8">
        <f t="shared" si="10378"/>
        <v>0</v>
      </c>
      <c r="I2381" s="8">
        <f t="shared" si="10379"/>
        <v>0</v>
      </c>
      <c r="J2381" s="8">
        <f t="shared" si="10380"/>
        <v>0</v>
      </c>
      <c r="K2381" s="8">
        <f t="shared" si="10381"/>
        <v>0</v>
      </c>
      <c r="L2381" s="8">
        <f t="shared" si="10382"/>
        <v>1</v>
      </c>
      <c r="M2381" s="8">
        <f t="shared" si="10383"/>
        <v>0</v>
      </c>
      <c r="N2381" s="8">
        <f t="shared" si="10384"/>
        <v>0</v>
      </c>
      <c r="O2381" s="8">
        <f t="shared" si="10385"/>
        <v>0</v>
      </c>
      <c r="P2381" s="8" t="e">
        <v>#NUM!</v>
      </c>
      <c r="Q2381" s="8" t="e">
        <f t="shared" ref="Q2381" si="10416">IF(COUNTIF(P2372:P2382,"&lt;"&amp;-0.001)=0,IF(ABS(P2381)&lt;0.001,0,P2381)," ")</f>
        <v>#NUM!</v>
      </c>
      <c r="R2381" s="8"/>
      <c r="S2381" s="8"/>
      <c r="U2381" s="34"/>
      <c r="V2381" s="34"/>
      <c r="W2381" s="34"/>
      <c r="X2381" s="34"/>
      <c r="Y2381" s="34"/>
      <c r="Z2381" s="34"/>
      <c r="AA2381" s="34"/>
      <c r="AB2381" s="34"/>
      <c r="AC2381" s="34"/>
      <c r="AD2381" s="34"/>
      <c r="AE2381" s="34"/>
      <c r="AF2381" s="34"/>
      <c r="AG2381" s="34"/>
      <c r="AH2381" s="34"/>
      <c r="AI2381" s="34"/>
      <c r="AJ2381" s="34"/>
      <c r="AK2381" s="34"/>
      <c r="AL2381" s="34"/>
      <c r="AM2381" s="34"/>
      <c r="AN2381" s="34"/>
      <c r="AO2381" s="34"/>
      <c r="AP2381" s="34"/>
      <c r="AQ2381" s="34"/>
      <c r="AR2381" s="34"/>
      <c r="AS2381" s="34"/>
      <c r="AT2381" s="34"/>
      <c r="AU2381" s="34"/>
      <c r="AV2381" s="34"/>
      <c r="AW2381" s="34"/>
      <c r="AX2381" s="34"/>
      <c r="AY2381" s="34"/>
      <c r="AZ2381" s="34"/>
      <c r="BA2381" s="34"/>
      <c r="BB2381" s="34"/>
      <c r="BC2381" s="34"/>
      <c r="BD2381" s="34"/>
      <c r="BE2381" s="34"/>
      <c r="BF2381" s="34"/>
      <c r="BG2381" s="34"/>
      <c r="BH2381" s="34"/>
      <c r="BI2381" s="34"/>
      <c r="BJ2381" s="34"/>
      <c r="BK2381" s="34"/>
      <c r="BL2381" s="34"/>
      <c r="BM2381" s="34"/>
      <c r="BN2381" s="34"/>
      <c r="BO2381" s="34"/>
      <c r="BP2381" s="34"/>
      <c r="BQ2381" s="34"/>
      <c r="BR2381" s="34"/>
      <c r="BS2381" s="34"/>
      <c r="BT2381" s="34"/>
      <c r="BU2381" s="34"/>
      <c r="BV2381" s="34"/>
      <c r="BW2381" s="34"/>
      <c r="BX2381" s="34"/>
      <c r="BY2381" s="34"/>
      <c r="BZ2381" s="34"/>
      <c r="CA2381" s="34"/>
      <c r="CB2381" s="34"/>
      <c r="CC2381" s="34"/>
      <c r="CD2381" s="34"/>
      <c r="CE2381" s="34"/>
      <c r="CF2381" s="34"/>
      <c r="CG2381" s="34"/>
      <c r="CH2381" s="34"/>
    </row>
    <row r="2382" spans="1:86" x14ac:dyDescent="0.2">
      <c r="A2382" s="8" t="str">
        <f>IF(AND(COUNTIF(W$3:W$13,A$25)&gt;0,A$25&lt;&gt;B2324),A$25,IFERROR(IF(MATCH(A$25,Z$3:Z$13,0)=3,A$25," ")," "))</f>
        <v xml:space="preserve"> </v>
      </c>
      <c r="B2382" s="8" t="str">
        <f>IF(A2382=" "," ",MAX(B2372:B2381)+1)</f>
        <v xml:space="preserve"> </v>
      </c>
      <c r="C2382" s="8" t="str">
        <f>IFERROR(INDEX(A2372:A2393,MATCH(SMALL(B2372:B2393,11),B2372:B2393,0),1)," ")</f>
        <v>C22</v>
      </c>
      <c r="D2382" s="8">
        <f t="shared" si="10374"/>
        <v>0</v>
      </c>
      <c r="E2382" s="8">
        <f t="shared" si="10375"/>
        <v>0</v>
      </c>
      <c r="F2382" s="8">
        <f t="shared" si="10376"/>
        <v>0</v>
      </c>
      <c r="G2382" s="8">
        <f t="shared" si="10377"/>
        <v>0</v>
      </c>
      <c r="H2382" s="8">
        <f t="shared" si="10378"/>
        <v>0</v>
      </c>
      <c r="I2382" s="8">
        <f t="shared" si="10379"/>
        <v>0</v>
      </c>
      <c r="J2382" s="8">
        <f t="shared" si="10380"/>
        <v>0</v>
      </c>
      <c r="K2382" s="8">
        <f t="shared" si="10381"/>
        <v>0</v>
      </c>
      <c r="L2382" s="8">
        <f t="shared" si="10382"/>
        <v>0</v>
      </c>
      <c r="M2382" s="8">
        <f t="shared" si="10383"/>
        <v>0</v>
      </c>
      <c r="N2382" s="8">
        <f t="shared" si="10384"/>
        <v>1</v>
      </c>
      <c r="O2382" s="8">
        <f t="shared" si="10385"/>
        <v>0</v>
      </c>
      <c r="P2382" s="8" t="e">
        <v>#NUM!</v>
      </c>
      <c r="Q2382" s="8" t="e">
        <f t="shared" ref="Q2382" si="10417">IF(COUNTIF(P2372:P2382,"&lt;"&amp;-0.001)=0,IF(ABS(P2382)&lt;0.001,0,P2382)," ")</f>
        <v>#NUM!</v>
      </c>
      <c r="R2382" s="8"/>
      <c r="S2382" s="8"/>
      <c r="U2382" s="34"/>
      <c r="V2382" s="34"/>
      <c r="W2382" s="34"/>
      <c r="X2382" s="34"/>
      <c r="Y2382" s="34"/>
      <c r="Z2382" s="34"/>
      <c r="AA2382" s="34"/>
      <c r="AB2382" s="34"/>
      <c r="AC2382" s="34"/>
      <c r="AD2382" s="34"/>
      <c r="AE2382" s="34"/>
      <c r="AF2382" s="34"/>
      <c r="AG2382" s="34"/>
      <c r="AH2382" s="34"/>
      <c r="AI2382" s="34"/>
      <c r="AJ2382" s="34"/>
      <c r="AK2382" s="34"/>
      <c r="AL2382" s="34"/>
      <c r="AM2382" s="34"/>
      <c r="AN2382" s="34"/>
      <c r="AO2382" s="34"/>
      <c r="AP2382" s="34"/>
      <c r="AQ2382" s="34"/>
      <c r="AR2382" s="34"/>
      <c r="AS2382" s="34"/>
      <c r="AT2382" s="34"/>
      <c r="AU2382" s="34"/>
      <c r="AV2382" s="34"/>
      <c r="AW2382" s="34"/>
      <c r="AX2382" s="34"/>
      <c r="AY2382" s="34"/>
      <c r="AZ2382" s="34"/>
      <c r="BA2382" s="34"/>
      <c r="BB2382" s="34"/>
      <c r="BC2382" s="34"/>
      <c r="BD2382" s="34"/>
      <c r="BE2382" s="34"/>
      <c r="BF2382" s="34"/>
      <c r="BG2382" s="34"/>
      <c r="BH2382" s="34"/>
      <c r="BI2382" s="34"/>
      <c r="BJ2382" s="34"/>
      <c r="BK2382" s="34"/>
      <c r="BL2382" s="34"/>
      <c r="BM2382" s="34"/>
      <c r="BN2382" s="34"/>
      <c r="BO2382" s="34"/>
      <c r="BP2382" s="34"/>
      <c r="BQ2382" s="34"/>
      <c r="BR2382" s="34"/>
      <c r="BS2382" s="34"/>
      <c r="BT2382" s="34"/>
      <c r="BU2382" s="34"/>
      <c r="BV2382" s="34"/>
      <c r="BW2382" s="34"/>
      <c r="BX2382" s="34"/>
      <c r="BY2382" s="34"/>
      <c r="BZ2382" s="34"/>
      <c r="CA2382" s="34"/>
      <c r="CB2382" s="34"/>
      <c r="CC2382" s="34"/>
      <c r="CD2382" s="34"/>
      <c r="CE2382" s="34"/>
      <c r="CF2382" s="34"/>
      <c r="CG2382" s="34"/>
      <c r="CH2382" s="34"/>
    </row>
    <row r="2383" spans="1:86" x14ac:dyDescent="0.2">
      <c r="A2383" s="8" t="str">
        <f>IF(AND(COUNTIF(W$3:W$13,A$26)&gt;0,A$26&lt;&gt;B2324),A$26,IFERROR(IF(MATCH(A$26,Z$3:Z$13,0)=3,A$26," ")," "))</f>
        <v xml:space="preserve"> </v>
      </c>
      <c r="B2383" s="8" t="str">
        <f>IF(A2383=" "," ",MAX(B2372:B2382)+1)</f>
        <v xml:space="preserve"> </v>
      </c>
      <c r="C2383" s="8"/>
      <c r="D2383" s="8"/>
      <c r="E2383" s="8"/>
      <c r="F2383" s="8"/>
      <c r="G2383" s="8"/>
      <c r="H2383" s="8"/>
      <c r="I2383" s="8"/>
      <c r="J2383" s="8"/>
      <c r="K2383" s="8"/>
      <c r="L2383" s="8"/>
      <c r="M2383" s="8"/>
      <c r="N2383" s="8"/>
      <c r="O2383" s="8"/>
      <c r="P2383" s="8"/>
      <c r="Q2383" s="8"/>
      <c r="R2383" s="8"/>
      <c r="S2383" s="8"/>
      <c r="U2383" s="34"/>
      <c r="V2383" s="34"/>
      <c r="W2383" s="34"/>
      <c r="X2383" s="34"/>
      <c r="Y2383" s="34"/>
      <c r="Z2383" s="34"/>
      <c r="AA2383" s="34"/>
      <c r="AB2383" s="34"/>
      <c r="AC2383" s="34"/>
      <c r="AD2383" s="34"/>
      <c r="AE2383" s="34"/>
      <c r="AF2383" s="34"/>
      <c r="AG2383" s="34"/>
      <c r="AH2383" s="34"/>
      <c r="AI2383" s="34"/>
      <c r="AJ2383" s="34"/>
      <c r="AK2383" s="34"/>
      <c r="AL2383" s="34"/>
      <c r="AM2383" s="34"/>
      <c r="AN2383" s="34"/>
      <c r="AO2383" s="34"/>
      <c r="AP2383" s="34"/>
      <c r="AQ2383" s="34"/>
      <c r="AR2383" s="34"/>
      <c r="AS2383" s="34"/>
      <c r="AT2383" s="34"/>
      <c r="AU2383" s="34"/>
      <c r="AV2383" s="34"/>
      <c r="AW2383" s="34"/>
      <c r="AX2383" s="34"/>
      <c r="AY2383" s="34"/>
      <c r="AZ2383" s="34"/>
      <c r="BA2383" s="34"/>
      <c r="BB2383" s="34"/>
      <c r="BC2383" s="34"/>
      <c r="BD2383" s="34"/>
      <c r="BE2383" s="34"/>
      <c r="BF2383" s="34"/>
      <c r="BG2383" s="34"/>
      <c r="BH2383" s="34"/>
      <c r="BI2383" s="34"/>
      <c r="BJ2383" s="34"/>
      <c r="BK2383" s="34"/>
      <c r="BL2383" s="34"/>
      <c r="BM2383" s="34"/>
      <c r="BN2383" s="34"/>
      <c r="BO2383" s="34"/>
      <c r="BP2383" s="34"/>
      <c r="BQ2383" s="34"/>
      <c r="BR2383" s="34"/>
      <c r="BS2383" s="34"/>
      <c r="BT2383" s="34"/>
      <c r="BU2383" s="34"/>
      <c r="BV2383" s="34"/>
      <c r="BW2383" s="34"/>
      <c r="BX2383" s="34"/>
      <c r="BY2383" s="34"/>
      <c r="BZ2383" s="34"/>
      <c r="CA2383" s="34"/>
      <c r="CB2383" s="34"/>
      <c r="CC2383" s="34"/>
      <c r="CD2383" s="34"/>
      <c r="CE2383" s="34"/>
      <c r="CF2383" s="34"/>
      <c r="CG2383" s="34"/>
      <c r="CH2383" s="34"/>
    </row>
    <row r="2384" spans="1:86" x14ac:dyDescent="0.2">
      <c r="A2384" s="8" t="str">
        <f>IF(AND(COUNTIF(W$3:W$13,A$27)&gt;0,A$27&lt;&gt;B2324),A$27,IFERROR(IF(MATCH(A$27,Z$3:Z$13,0)=3,A$27," ")," "))</f>
        <v>C13</v>
      </c>
      <c r="B2384" s="8">
        <f>IF(A2384=" "," ",MAX(B2372:B2383)+1)</f>
        <v>4</v>
      </c>
      <c r="C2384" s="8"/>
      <c r="D2384" s="8"/>
      <c r="E2384" s="8"/>
      <c r="F2384" s="8"/>
      <c r="G2384" s="8"/>
      <c r="H2384" s="8"/>
      <c r="I2384" s="8"/>
      <c r="J2384" s="8"/>
      <c r="K2384" s="8"/>
      <c r="L2384" s="8"/>
      <c r="M2384" s="8"/>
      <c r="N2384" s="8"/>
      <c r="O2384" s="8"/>
      <c r="P2384" s="8"/>
      <c r="Q2384" s="8"/>
      <c r="R2384" s="8"/>
      <c r="S2384" s="8"/>
      <c r="U2384" s="34"/>
      <c r="V2384" s="34"/>
      <c r="W2384" s="34"/>
      <c r="X2384" s="34"/>
      <c r="Y2384" s="34"/>
      <c r="Z2384" s="34"/>
      <c r="AA2384" s="34"/>
      <c r="AB2384" s="34"/>
      <c r="AC2384" s="34"/>
      <c r="AD2384" s="34"/>
      <c r="AE2384" s="34"/>
      <c r="AF2384" s="34"/>
      <c r="AG2384" s="34"/>
      <c r="AH2384" s="34"/>
      <c r="AI2384" s="34"/>
      <c r="AJ2384" s="34"/>
      <c r="AK2384" s="34"/>
      <c r="AL2384" s="34"/>
      <c r="AM2384" s="34"/>
      <c r="AN2384" s="34"/>
      <c r="AO2384" s="34"/>
      <c r="AP2384" s="34"/>
      <c r="AQ2384" s="34"/>
      <c r="AR2384" s="34"/>
      <c r="AS2384" s="34"/>
      <c r="AT2384" s="34"/>
      <c r="AU2384" s="34"/>
      <c r="AV2384" s="34"/>
      <c r="AW2384" s="34"/>
      <c r="AX2384" s="34"/>
      <c r="AY2384" s="34"/>
      <c r="AZ2384" s="34"/>
      <c r="BA2384" s="34"/>
      <c r="BB2384" s="34"/>
      <c r="BC2384" s="34"/>
      <c r="BD2384" s="34"/>
      <c r="BE2384" s="34"/>
      <c r="BF2384" s="34"/>
      <c r="BG2384" s="34"/>
      <c r="BH2384" s="34"/>
      <c r="BI2384" s="34"/>
      <c r="BJ2384" s="34"/>
      <c r="BK2384" s="34"/>
      <c r="BL2384" s="34"/>
      <c r="BM2384" s="34"/>
      <c r="BN2384" s="34"/>
      <c r="BO2384" s="34"/>
      <c r="BP2384" s="34"/>
      <c r="BQ2384" s="34"/>
      <c r="BR2384" s="34"/>
      <c r="BS2384" s="34"/>
      <c r="BT2384" s="34"/>
      <c r="BU2384" s="34"/>
      <c r="BV2384" s="34"/>
      <c r="BW2384" s="34"/>
      <c r="BX2384" s="34"/>
      <c r="BY2384" s="34"/>
      <c r="BZ2384" s="34"/>
      <c r="CA2384" s="34"/>
      <c r="CB2384" s="34"/>
      <c r="CC2384" s="34"/>
      <c r="CD2384" s="34"/>
      <c r="CE2384" s="34"/>
      <c r="CF2384" s="34"/>
      <c r="CG2384" s="34"/>
      <c r="CH2384" s="34"/>
    </row>
    <row r="2385" spans="1:86" x14ac:dyDescent="0.2">
      <c r="A2385" s="8" t="str">
        <f>IF(AND(COUNTIF(W$3:W$13,A$28)&gt;0,A$28&lt;&gt;B2324),A$28,IFERROR(IF(MATCH(A$28,Z$3:Z$13,0)=3,A$28," ")," "))</f>
        <v xml:space="preserve"> </v>
      </c>
      <c r="B2385" s="8" t="str">
        <f>IF(A2385=" "," ",MAX(B2372:B2384)+1)</f>
        <v xml:space="preserve"> </v>
      </c>
      <c r="C2385" s="8"/>
      <c r="D2385" s="8"/>
      <c r="E2385" s="8"/>
      <c r="F2385" s="8"/>
      <c r="G2385" s="8"/>
      <c r="H2385" s="8"/>
      <c r="I2385" s="8"/>
      <c r="J2385" s="8"/>
      <c r="K2385" s="8"/>
      <c r="L2385" s="8"/>
      <c r="M2385" s="8"/>
      <c r="N2385" s="8"/>
      <c r="O2385" s="8"/>
      <c r="P2385" s="8"/>
      <c r="Q2385" s="8"/>
      <c r="R2385" s="8"/>
      <c r="S2385" s="8"/>
      <c r="U2385" s="34"/>
      <c r="V2385" s="34"/>
      <c r="W2385" s="34"/>
      <c r="X2385" s="34"/>
      <c r="Y2385" s="34"/>
      <c r="Z2385" s="34"/>
      <c r="AA2385" s="34"/>
      <c r="AB2385" s="34"/>
      <c r="AC2385" s="34"/>
      <c r="AD2385" s="34"/>
      <c r="AE2385" s="34"/>
      <c r="AF2385" s="34"/>
      <c r="AG2385" s="34"/>
      <c r="AH2385" s="34"/>
      <c r="AI2385" s="34"/>
      <c r="AJ2385" s="34"/>
      <c r="AK2385" s="34"/>
      <c r="AL2385" s="34"/>
      <c r="AM2385" s="34"/>
      <c r="AN2385" s="34"/>
      <c r="AO2385" s="34"/>
      <c r="AP2385" s="34"/>
      <c r="AQ2385" s="34"/>
      <c r="AR2385" s="34"/>
      <c r="AS2385" s="34"/>
      <c r="AT2385" s="34"/>
      <c r="AU2385" s="34"/>
      <c r="AV2385" s="34"/>
      <c r="AW2385" s="34"/>
      <c r="AX2385" s="34"/>
      <c r="AY2385" s="34"/>
      <c r="AZ2385" s="34"/>
      <c r="BA2385" s="34"/>
      <c r="BB2385" s="34"/>
      <c r="BC2385" s="34"/>
      <c r="BD2385" s="34"/>
      <c r="BE2385" s="34"/>
      <c r="BF2385" s="34"/>
      <c r="BG2385" s="34"/>
      <c r="BH2385" s="34"/>
      <c r="BI2385" s="34"/>
      <c r="BJ2385" s="34"/>
      <c r="BK2385" s="34"/>
      <c r="BL2385" s="34"/>
      <c r="BM2385" s="34"/>
      <c r="BN2385" s="34"/>
      <c r="BO2385" s="34"/>
      <c r="BP2385" s="34"/>
      <c r="BQ2385" s="34"/>
      <c r="BR2385" s="34"/>
      <c r="BS2385" s="34"/>
      <c r="BT2385" s="34"/>
      <c r="BU2385" s="34"/>
      <c r="BV2385" s="34"/>
      <c r="BW2385" s="34"/>
      <c r="BX2385" s="34"/>
      <c r="BY2385" s="34"/>
      <c r="BZ2385" s="34"/>
      <c r="CA2385" s="34"/>
      <c r="CB2385" s="34"/>
      <c r="CC2385" s="34"/>
      <c r="CD2385" s="34"/>
      <c r="CE2385" s="34"/>
      <c r="CF2385" s="34"/>
      <c r="CG2385" s="34"/>
      <c r="CH2385" s="34"/>
    </row>
    <row r="2386" spans="1:86" x14ac:dyDescent="0.2">
      <c r="A2386" s="8" t="str">
        <f>IF(AND(COUNTIF(W$3:W$13,A$29)&gt;0,A$29&lt;&gt;B2324),A$29,IFERROR(IF(MATCH(A$29,Z$3:Z$13,0)=3,A$29," ")," "))</f>
        <v>C15</v>
      </c>
      <c r="B2386" s="8">
        <f>IF(A2386=" "," ",MAX(B2372:B2385)+1)</f>
        <v>5</v>
      </c>
      <c r="C2386" s="8"/>
      <c r="D2386" s="8"/>
      <c r="E2386" s="8"/>
      <c r="F2386" s="8"/>
      <c r="G2386" s="8"/>
      <c r="H2386" s="8"/>
      <c r="I2386" s="8"/>
      <c r="J2386" s="8"/>
      <c r="K2386" s="8"/>
      <c r="L2386" s="8"/>
      <c r="M2386" s="8"/>
      <c r="N2386" s="8"/>
      <c r="O2386" s="8"/>
      <c r="P2386" s="8"/>
      <c r="Q2386" s="8"/>
      <c r="R2386" s="8"/>
      <c r="S2386" s="8"/>
      <c r="U2386" s="34"/>
      <c r="V2386" s="34"/>
      <c r="W2386" s="34"/>
      <c r="X2386" s="34"/>
      <c r="Y2386" s="34"/>
      <c r="Z2386" s="34"/>
      <c r="AA2386" s="34"/>
      <c r="AB2386" s="34"/>
      <c r="AC2386" s="34"/>
      <c r="AD2386" s="34"/>
      <c r="AE2386" s="34"/>
      <c r="AF2386" s="34"/>
      <c r="AG2386" s="34"/>
      <c r="AH2386" s="34"/>
      <c r="AI2386" s="34"/>
      <c r="AJ2386" s="34"/>
      <c r="AK2386" s="34"/>
      <c r="AL2386" s="34"/>
      <c r="AM2386" s="34"/>
      <c r="AN2386" s="34"/>
      <c r="AO2386" s="34"/>
      <c r="AP2386" s="34"/>
      <c r="AQ2386" s="34"/>
      <c r="AR2386" s="34"/>
      <c r="AS2386" s="34"/>
      <c r="AT2386" s="34"/>
      <c r="AU2386" s="34"/>
      <c r="AV2386" s="34"/>
      <c r="AW2386" s="34"/>
      <c r="AX2386" s="34"/>
      <c r="AY2386" s="34"/>
      <c r="AZ2386" s="34"/>
      <c r="BA2386" s="34"/>
      <c r="BB2386" s="34"/>
      <c r="BC2386" s="34"/>
      <c r="BD2386" s="34"/>
      <c r="BE2386" s="34"/>
      <c r="BF2386" s="34"/>
      <c r="BG2386" s="34"/>
      <c r="BH2386" s="34"/>
      <c r="BI2386" s="34"/>
      <c r="BJ2386" s="34"/>
      <c r="BK2386" s="34"/>
      <c r="BL2386" s="34"/>
      <c r="BM2386" s="34"/>
      <c r="BN2386" s="34"/>
      <c r="BO2386" s="34"/>
      <c r="BP2386" s="34"/>
      <c r="BQ2386" s="34"/>
      <c r="BR2386" s="34"/>
      <c r="BS2386" s="34"/>
      <c r="BT2386" s="34"/>
      <c r="BU2386" s="34"/>
      <c r="BV2386" s="34"/>
      <c r="BW2386" s="34"/>
      <c r="BX2386" s="34"/>
      <c r="BY2386" s="34"/>
      <c r="BZ2386" s="34"/>
      <c r="CA2386" s="34"/>
      <c r="CB2386" s="34"/>
      <c r="CC2386" s="34"/>
      <c r="CD2386" s="34"/>
      <c r="CE2386" s="34"/>
      <c r="CF2386" s="34"/>
      <c r="CG2386" s="34"/>
      <c r="CH2386" s="34"/>
    </row>
    <row r="2387" spans="1:86" x14ac:dyDescent="0.2">
      <c r="A2387" s="8" t="str">
        <f>IF(AND(COUNTIF(W$3:W$13,A$30)&gt;0,A$30&lt;&gt;B2324),A$30,IFERROR(IF(MATCH(A$30,Z$3:Z$13,0)=3,A$30," ")," "))</f>
        <v>C16</v>
      </c>
      <c r="B2387" s="8">
        <f>IF(A2387=" "," ",MAX(B2372:B2386)+1)</f>
        <v>6</v>
      </c>
      <c r="C2387" s="8"/>
      <c r="D2387" s="8"/>
      <c r="E2387" s="8"/>
      <c r="F2387" s="8"/>
      <c r="G2387" s="8"/>
      <c r="H2387" s="8"/>
      <c r="I2387" s="8"/>
      <c r="J2387" s="8"/>
      <c r="K2387" s="8"/>
      <c r="L2387" s="8"/>
      <c r="M2387" s="8"/>
      <c r="N2387" s="8"/>
      <c r="O2387" s="8"/>
      <c r="P2387" s="8"/>
      <c r="Q2387" s="8"/>
      <c r="R2387" s="8"/>
      <c r="S2387" s="8"/>
      <c r="U2387" s="34"/>
      <c r="V2387" s="34"/>
      <c r="W2387" s="34"/>
      <c r="X2387" s="34"/>
      <c r="Y2387" s="34"/>
      <c r="Z2387" s="34"/>
      <c r="AA2387" s="34"/>
      <c r="AB2387" s="34"/>
      <c r="AC2387" s="34"/>
      <c r="AD2387" s="34"/>
      <c r="AE2387" s="34"/>
      <c r="AF2387" s="34"/>
      <c r="AG2387" s="34"/>
      <c r="AH2387" s="34"/>
      <c r="AI2387" s="34"/>
      <c r="AJ2387" s="34"/>
      <c r="AK2387" s="34"/>
      <c r="AL2387" s="34"/>
      <c r="AM2387" s="34"/>
      <c r="AN2387" s="34"/>
      <c r="AO2387" s="34"/>
      <c r="AP2387" s="34"/>
      <c r="AQ2387" s="34"/>
      <c r="AR2387" s="34"/>
      <c r="AS2387" s="34"/>
      <c r="AT2387" s="34"/>
      <c r="AU2387" s="34"/>
      <c r="AV2387" s="34"/>
      <c r="AW2387" s="34"/>
      <c r="AX2387" s="34"/>
      <c r="AY2387" s="34"/>
      <c r="AZ2387" s="34"/>
      <c r="BA2387" s="34"/>
      <c r="BB2387" s="34"/>
      <c r="BC2387" s="34"/>
      <c r="BD2387" s="34"/>
      <c r="BE2387" s="34"/>
      <c r="BF2387" s="34"/>
      <c r="BG2387" s="34"/>
      <c r="BH2387" s="34"/>
      <c r="BI2387" s="34"/>
      <c r="BJ2387" s="34"/>
      <c r="BK2387" s="34"/>
      <c r="BL2387" s="34"/>
      <c r="BM2387" s="34"/>
      <c r="BN2387" s="34"/>
      <c r="BO2387" s="34"/>
      <c r="BP2387" s="34"/>
      <c r="BQ2387" s="34"/>
      <c r="BR2387" s="34"/>
      <c r="BS2387" s="34"/>
      <c r="BT2387" s="34"/>
      <c r="BU2387" s="34"/>
      <c r="BV2387" s="34"/>
      <c r="BW2387" s="34"/>
      <c r="BX2387" s="34"/>
      <c r="BY2387" s="34"/>
      <c r="BZ2387" s="34"/>
      <c r="CA2387" s="34"/>
      <c r="CB2387" s="34"/>
      <c r="CC2387" s="34"/>
      <c r="CD2387" s="34"/>
      <c r="CE2387" s="34"/>
      <c r="CF2387" s="34"/>
      <c r="CG2387" s="34"/>
      <c r="CH2387" s="34"/>
    </row>
    <row r="2388" spans="1:86" x14ac:dyDescent="0.2">
      <c r="A2388" s="8" t="str">
        <f>IF(AND(COUNTIF(W$3:W$13,A$31)&gt;0,A$31&lt;&gt;B2324),A$31,IFERROR(IF(MATCH(A$31,Z$3:Z$13,0)=3,A$31," ")," "))</f>
        <v>C17</v>
      </c>
      <c r="B2388" s="8">
        <f>IF(A2388=" "," ",MAX(B2372:B2387)+1)</f>
        <v>7</v>
      </c>
      <c r="C2388" s="8"/>
      <c r="D2388" s="8"/>
      <c r="E2388" s="8"/>
      <c r="F2388" s="8"/>
      <c r="G2388" s="8"/>
      <c r="H2388" s="8"/>
      <c r="I2388" s="8"/>
      <c r="J2388" s="8"/>
      <c r="K2388" s="8"/>
      <c r="L2388" s="8"/>
      <c r="M2388" s="8"/>
      <c r="N2388" s="8"/>
      <c r="O2388" s="8"/>
      <c r="P2388" s="8"/>
      <c r="Q2388" s="8"/>
      <c r="R2388" s="8"/>
      <c r="S2388" s="8"/>
      <c r="U2388" s="34"/>
      <c r="V2388" s="34"/>
      <c r="W2388" s="34"/>
      <c r="X2388" s="34"/>
      <c r="Y2388" s="34"/>
      <c r="Z2388" s="34"/>
      <c r="AA2388" s="34"/>
      <c r="AB2388" s="34"/>
      <c r="AC2388" s="34"/>
      <c r="AD2388" s="34"/>
      <c r="AE2388" s="34"/>
      <c r="AF2388" s="34"/>
      <c r="AG2388" s="34"/>
      <c r="AH2388" s="34"/>
      <c r="AI2388" s="34"/>
      <c r="AJ2388" s="34"/>
      <c r="AK2388" s="34"/>
      <c r="AL2388" s="34"/>
      <c r="AM2388" s="34"/>
      <c r="AN2388" s="34"/>
      <c r="AO2388" s="34"/>
      <c r="AP2388" s="34"/>
      <c r="AQ2388" s="34"/>
      <c r="AR2388" s="34"/>
      <c r="AS2388" s="34"/>
      <c r="AT2388" s="34"/>
      <c r="AU2388" s="34"/>
      <c r="AV2388" s="34"/>
      <c r="AW2388" s="34"/>
      <c r="AX2388" s="34"/>
      <c r="AY2388" s="34"/>
      <c r="AZ2388" s="34"/>
      <c r="BA2388" s="34"/>
      <c r="BB2388" s="34"/>
      <c r="BC2388" s="34"/>
      <c r="BD2388" s="34"/>
      <c r="BE2388" s="34"/>
      <c r="BF2388" s="34"/>
      <c r="BG2388" s="34"/>
      <c r="BH2388" s="34"/>
      <c r="BI2388" s="34"/>
      <c r="BJ2388" s="34"/>
      <c r="BK2388" s="34"/>
      <c r="BL2388" s="34"/>
      <c r="BM2388" s="34"/>
      <c r="BN2388" s="34"/>
      <c r="BO2388" s="34"/>
      <c r="BP2388" s="34"/>
      <c r="BQ2388" s="34"/>
      <c r="BR2388" s="34"/>
      <c r="BS2388" s="34"/>
      <c r="BT2388" s="34"/>
      <c r="BU2388" s="34"/>
      <c r="BV2388" s="34"/>
      <c r="BW2388" s="34"/>
      <c r="BX2388" s="34"/>
      <c r="BY2388" s="34"/>
      <c r="BZ2388" s="34"/>
      <c r="CA2388" s="34"/>
      <c r="CB2388" s="34"/>
      <c r="CC2388" s="34"/>
      <c r="CD2388" s="34"/>
      <c r="CE2388" s="34"/>
      <c r="CF2388" s="34"/>
      <c r="CG2388" s="34"/>
      <c r="CH2388" s="34"/>
    </row>
    <row r="2389" spans="1:86" x14ac:dyDescent="0.2">
      <c r="A2389" s="8" t="str">
        <f>IF(AND(COUNTIF(W$3:W$13,A$32)&gt;0,A$32&lt;&gt;B2324),A$32,IFERROR(IF(MATCH(A$32,Z$3:Z$13,0)=3,A$32," ")," "))</f>
        <v>C18</v>
      </c>
      <c r="B2389" s="8">
        <f>IF(A2389=" "," ",MAX(B2372:B2388)+1)</f>
        <v>8</v>
      </c>
      <c r="C2389" s="8"/>
      <c r="D2389" s="8"/>
      <c r="E2389" s="8"/>
      <c r="F2389" s="8"/>
      <c r="G2389" s="8"/>
      <c r="H2389" s="8"/>
      <c r="I2389" s="8"/>
      <c r="J2389" s="8"/>
      <c r="K2389" s="8"/>
      <c r="L2389" s="8"/>
      <c r="M2389" s="8"/>
      <c r="N2389" s="8"/>
      <c r="O2389" s="8"/>
      <c r="P2389" s="8"/>
      <c r="Q2389" s="8"/>
      <c r="R2389" s="8"/>
      <c r="S2389" s="8"/>
      <c r="U2389" s="34"/>
      <c r="V2389" s="34"/>
      <c r="W2389" s="34"/>
      <c r="X2389" s="34"/>
      <c r="Y2389" s="34"/>
      <c r="Z2389" s="34"/>
      <c r="AA2389" s="34"/>
      <c r="AB2389" s="34"/>
      <c r="AC2389" s="34"/>
      <c r="AD2389" s="34"/>
      <c r="AE2389" s="34"/>
      <c r="AF2389" s="34"/>
      <c r="AG2389" s="34"/>
      <c r="AH2389" s="34"/>
      <c r="AI2389" s="34"/>
      <c r="AJ2389" s="34"/>
      <c r="AK2389" s="34"/>
      <c r="AL2389" s="34"/>
      <c r="AM2389" s="34"/>
      <c r="AN2389" s="34"/>
      <c r="AO2389" s="34"/>
      <c r="AP2389" s="34"/>
      <c r="AQ2389" s="34"/>
      <c r="AR2389" s="34"/>
      <c r="AS2389" s="34"/>
      <c r="AT2389" s="34"/>
      <c r="AU2389" s="34"/>
      <c r="AV2389" s="34"/>
      <c r="AW2389" s="34"/>
      <c r="AX2389" s="34"/>
      <c r="AY2389" s="34"/>
      <c r="AZ2389" s="34"/>
      <c r="BA2389" s="34"/>
      <c r="BB2389" s="34"/>
      <c r="BC2389" s="34"/>
      <c r="BD2389" s="34"/>
      <c r="BE2389" s="34"/>
      <c r="BF2389" s="34"/>
      <c r="BG2389" s="34"/>
      <c r="BH2389" s="34"/>
      <c r="BI2389" s="34"/>
      <c r="BJ2389" s="34"/>
      <c r="BK2389" s="34"/>
      <c r="BL2389" s="34"/>
      <c r="BM2389" s="34"/>
      <c r="BN2389" s="34"/>
      <c r="BO2389" s="34"/>
      <c r="BP2389" s="34"/>
      <c r="BQ2389" s="34"/>
      <c r="BR2389" s="34"/>
      <c r="BS2389" s="34"/>
      <c r="BT2389" s="34"/>
      <c r="BU2389" s="34"/>
      <c r="BV2389" s="34"/>
      <c r="BW2389" s="34"/>
      <c r="BX2389" s="34"/>
      <c r="BY2389" s="34"/>
      <c r="BZ2389" s="34"/>
      <c r="CA2389" s="34"/>
      <c r="CB2389" s="34"/>
      <c r="CC2389" s="34"/>
      <c r="CD2389" s="34"/>
      <c r="CE2389" s="34"/>
      <c r="CF2389" s="34"/>
      <c r="CG2389" s="34"/>
      <c r="CH2389" s="34"/>
    </row>
    <row r="2390" spans="1:86" x14ac:dyDescent="0.2">
      <c r="A2390" s="8" t="str">
        <f>IF(AND(COUNTIF(W$3:W$13,A$33)&gt;0,A$33&lt;&gt;B2324),A$33,IFERROR(IF(MATCH(A$33,Z$3:Z$13,0)=3,A$33," ")," "))</f>
        <v>C19</v>
      </c>
      <c r="B2390" s="8">
        <f>IF(A2390=" "," ",MAX(B2372:B2389)+1)</f>
        <v>9</v>
      </c>
      <c r="C2390" s="14"/>
      <c r="D2390" s="14"/>
      <c r="E2390" s="14"/>
      <c r="F2390" s="14"/>
      <c r="G2390" s="14"/>
      <c r="H2390" s="14"/>
      <c r="I2390" s="14"/>
      <c r="J2390" s="12"/>
      <c r="K2390" s="12"/>
      <c r="L2390" s="12"/>
      <c r="M2390" s="12"/>
      <c r="N2390" s="12"/>
      <c r="O2390" s="12"/>
      <c r="P2390" s="12"/>
      <c r="Q2390" s="8"/>
      <c r="R2390" s="12"/>
      <c r="S2390" s="12"/>
      <c r="T2390" s="21"/>
      <c r="U2390" s="34"/>
      <c r="V2390" s="34"/>
      <c r="W2390" s="34"/>
      <c r="X2390" s="34"/>
      <c r="Y2390" s="34"/>
      <c r="Z2390" s="34"/>
      <c r="AA2390" s="34"/>
      <c r="AB2390" s="34"/>
      <c r="AC2390" s="34"/>
      <c r="AD2390" s="34"/>
      <c r="AE2390" s="34"/>
      <c r="AF2390" s="34"/>
      <c r="AG2390" s="34"/>
      <c r="AH2390" s="34"/>
      <c r="AI2390" s="34"/>
      <c r="AJ2390" s="34"/>
      <c r="AK2390" s="34"/>
      <c r="AL2390" s="34"/>
      <c r="AM2390" s="34"/>
      <c r="AN2390" s="34"/>
      <c r="AO2390" s="34"/>
      <c r="AP2390" s="34"/>
      <c r="AQ2390" s="34"/>
      <c r="AR2390" s="34"/>
      <c r="AS2390" s="34"/>
      <c r="AT2390" s="34"/>
      <c r="AU2390" s="34"/>
      <c r="AV2390" s="34"/>
      <c r="AW2390" s="34"/>
      <c r="AX2390" s="34"/>
      <c r="AY2390" s="34"/>
      <c r="AZ2390" s="34"/>
      <c r="BA2390" s="34"/>
      <c r="BB2390" s="34"/>
      <c r="BC2390" s="34"/>
      <c r="BD2390" s="34"/>
      <c r="BE2390" s="34"/>
      <c r="BF2390" s="34"/>
      <c r="BG2390" s="34"/>
      <c r="BH2390" s="34"/>
      <c r="BI2390" s="34"/>
      <c r="BJ2390" s="34"/>
      <c r="BK2390" s="34"/>
      <c r="BL2390" s="34"/>
      <c r="BM2390" s="34"/>
      <c r="BN2390" s="34"/>
      <c r="BO2390" s="34"/>
      <c r="BP2390" s="34"/>
      <c r="BQ2390" s="34"/>
      <c r="BR2390" s="34"/>
      <c r="BS2390" s="34"/>
      <c r="BT2390" s="34"/>
      <c r="BU2390" s="34"/>
      <c r="BV2390" s="34"/>
      <c r="BW2390" s="34"/>
      <c r="BX2390" s="34"/>
      <c r="BY2390" s="34"/>
      <c r="BZ2390" s="34"/>
      <c r="CA2390" s="34"/>
      <c r="CB2390" s="34"/>
      <c r="CC2390" s="34"/>
      <c r="CD2390" s="34"/>
      <c r="CE2390" s="34"/>
      <c r="CF2390" s="34"/>
      <c r="CG2390" s="34"/>
      <c r="CH2390" s="34"/>
    </row>
    <row r="2391" spans="1:86" x14ac:dyDescent="0.2">
      <c r="A2391" s="8" t="str">
        <f>IF(AND(COUNTIF(W$3:W$13,A$34)&gt;0,A$34&lt;&gt;B2324),A$34,IFERROR(IF(MATCH(A$34,Z$3:Z$13,0)=3,A$34," ")," "))</f>
        <v>C20</v>
      </c>
      <c r="B2391" s="8">
        <f>IF(A2391=" "," ",MAX(B2372:B2390)+1)</f>
        <v>10</v>
      </c>
      <c r="C2391" s="8"/>
      <c r="D2391" s="8"/>
      <c r="E2391" s="8"/>
      <c r="F2391" s="8"/>
      <c r="G2391" s="8"/>
      <c r="H2391" s="8"/>
      <c r="I2391" s="8"/>
      <c r="J2391" s="8"/>
      <c r="K2391" s="8"/>
      <c r="L2391" s="8"/>
      <c r="M2391" s="8"/>
      <c r="N2391" s="8"/>
      <c r="O2391" s="8"/>
      <c r="P2391" s="8"/>
      <c r="Q2391" s="8"/>
      <c r="R2391" s="8"/>
      <c r="S2391" s="8"/>
      <c r="U2391" s="34"/>
      <c r="V2391" s="34"/>
      <c r="W2391" s="34"/>
      <c r="X2391" s="34"/>
      <c r="Y2391" s="34"/>
      <c r="Z2391" s="34"/>
      <c r="AA2391" s="34"/>
      <c r="AB2391" s="34"/>
      <c r="AC2391" s="34"/>
      <c r="AD2391" s="34"/>
      <c r="AE2391" s="34"/>
      <c r="AF2391" s="34"/>
      <c r="AG2391" s="34"/>
      <c r="AH2391" s="34"/>
      <c r="AI2391" s="34"/>
      <c r="AJ2391" s="34"/>
      <c r="AK2391" s="34"/>
      <c r="AL2391" s="34"/>
      <c r="AM2391" s="34"/>
      <c r="AN2391" s="34"/>
      <c r="AO2391" s="34"/>
      <c r="AP2391" s="34"/>
      <c r="AQ2391" s="34"/>
      <c r="AR2391" s="34"/>
      <c r="AS2391" s="34"/>
      <c r="AT2391" s="34"/>
      <c r="AU2391" s="34"/>
      <c r="AV2391" s="34"/>
      <c r="AW2391" s="34"/>
      <c r="AX2391" s="34"/>
      <c r="AY2391" s="34"/>
      <c r="AZ2391" s="34"/>
      <c r="BA2391" s="34"/>
      <c r="BB2391" s="34"/>
      <c r="BC2391" s="34"/>
      <c r="BD2391" s="34"/>
      <c r="BE2391" s="34"/>
      <c r="BF2391" s="34"/>
      <c r="BG2391" s="34"/>
      <c r="BH2391" s="34"/>
      <c r="BI2391" s="34"/>
      <c r="BJ2391" s="34"/>
      <c r="BK2391" s="34"/>
      <c r="BL2391" s="34"/>
      <c r="BM2391" s="34"/>
      <c r="BN2391" s="34"/>
      <c r="BO2391" s="34"/>
      <c r="BP2391" s="34"/>
      <c r="BQ2391" s="34"/>
      <c r="BR2391" s="34"/>
      <c r="BS2391" s="34"/>
      <c r="BT2391" s="34"/>
      <c r="BU2391" s="34"/>
      <c r="BV2391" s="34"/>
      <c r="BW2391" s="34"/>
      <c r="BX2391" s="34"/>
      <c r="BY2391" s="34"/>
      <c r="BZ2391" s="34"/>
      <c r="CA2391" s="34"/>
      <c r="CB2391" s="34"/>
      <c r="CC2391" s="34"/>
      <c r="CD2391" s="34"/>
      <c r="CE2391" s="34"/>
      <c r="CF2391" s="34"/>
      <c r="CG2391" s="34"/>
      <c r="CH2391" s="34"/>
    </row>
    <row r="2392" spans="1:86" x14ac:dyDescent="0.2">
      <c r="A2392" s="8" t="str">
        <f>IF(AND(COUNTIF(W$3:W$13,A$35)&gt;0,A$35&lt;&gt;B2324),A$35,IFERROR(IF(MATCH(A$35,Z$3:Z$13,0)=3,A$35," ")," "))</f>
        <v xml:space="preserve"> </v>
      </c>
      <c r="B2392" s="8" t="str">
        <f>IF(A2392=" "," ",MAX(B2372:B2391)+1)</f>
        <v xml:space="preserve"> </v>
      </c>
      <c r="C2392" s="8"/>
      <c r="D2392" s="8"/>
      <c r="E2392" s="8"/>
      <c r="F2392" s="8"/>
      <c r="G2392" s="8"/>
      <c r="H2392" s="8"/>
      <c r="I2392" s="8"/>
      <c r="J2392" s="8"/>
      <c r="K2392" s="8"/>
      <c r="L2392" s="8"/>
      <c r="M2392" s="8"/>
      <c r="N2392" s="8"/>
      <c r="O2392" s="8"/>
      <c r="P2392" s="8"/>
      <c r="Q2392" s="8"/>
      <c r="R2392" s="8"/>
      <c r="S2392" s="8"/>
      <c r="U2392" s="34"/>
      <c r="V2392" s="34"/>
      <c r="W2392" s="34"/>
      <c r="X2392" s="34"/>
      <c r="Y2392" s="34"/>
      <c r="Z2392" s="34"/>
      <c r="AA2392" s="34"/>
      <c r="AB2392" s="34"/>
      <c r="AC2392" s="34"/>
      <c r="AD2392" s="34"/>
      <c r="AE2392" s="34"/>
      <c r="AF2392" s="34"/>
      <c r="AG2392" s="34"/>
      <c r="AH2392" s="34"/>
      <c r="AI2392" s="34"/>
      <c r="AJ2392" s="34"/>
      <c r="AK2392" s="34"/>
      <c r="AL2392" s="34"/>
      <c r="AM2392" s="34"/>
      <c r="AN2392" s="34"/>
      <c r="AO2392" s="34"/>
      <c r="AP2392" s="34"/>
      <c r="AQ2392" s="34"/>
      <c r="AR2392" s="34"/>
      <c r="AS2392" s="34"/>
      <c r="AT2392" s="34"/>
      <c r="AU2392" s="34"/>
      <c r="AV2392" s="34"/>
      <c r="AW2392" s="34"/>
      <c r="AX2392" s="34"/>
      <c r="AY2392" s="34"/>
      <c r="AZ2392" s="34"/>
      <c r="BA2392" s="34"/>
      <c r="BB2392" s="34"/>
      <c r="BC2392" s="34"/>
      <c r="BD2392" s="34"/>
      <c r="BE2392" s="34"/>
      <c r="BF2392" s="34"/>
      <c r="BG2392" s="34"/>
      <c r="BH2392" s="34"/>
      <c r="BI2392" s="34"/>
      <c r="BJ2392" s="34"/>
      <c r="BK2392" s="34"/>
      <c r="BL2392" s="34"/>
      <c r="BM2392" s="34"/>
      <c r="BN2392" s="34"/>
      <c r="BO2392" s="34"/>
      <c r="BP2392" s="34"/>
      <c r="BQ2392" s="34"/>
      <c r="BR2392" s="34"/>
      <c r="BS2392" s="34"/>
      <c r="BT2392" s="34"/>
      <c r="BU2392" s="34"/>
      <c r="BV2392" s="34"/>
      <c r="BW2392" s="34"/>
      <c r="BX2392" s="34"/>
      <c r="BY2392" s="34"/>
      <c r="BZ2392" s="34"/>
      <c r="CA2392" s="34"/>
      <c r="CB2392" s="34"/>
      <c r="CC2392" s="34"/>
      <c r="CD2392" s="34"/>
      <c r="CE2392" s="34"/>
      <c r="CF2392" s="34"/>
      <c r="CG2392" s="34"/>
      <c r="CH2392" s="34"/>
    </row>
    <row r="2393" spans="1:86" x14ac:dyDescent="0.2">
      <c r="A2393" s="8" t="str">
        <f>IF(AND(COUNTIF(W$3:W$13,A$36)&gt;0,A$36&lt;&gt;B2324),A$36,IFERROR(IF(MATCH(A$36,Z$3:Z$13,0)=3,A$36," ")," "))</f>
        <v>C22</v>
      </c>
      <c r="B2393" s="8">
        <f>IF(A2393=" "," ",MAX(B2372:B2392)+1)</f>
        <v>11</v>
      </c>
      <c r="C2393" s="8"/>
      <c r="D2393" s="8"/>
      <c r="E2393" s="8"/>
      <c r="F2393" s="8"/>
      <c r="G2393" s="8"/>
      <c r="H2393" s="8"/>
      <c r="I2393" s="8"/>
      <c r="J2393" s="8"/>
      <c r="K2393" s="8"/>
      <c r="L2393" s="8"/>
      <c r="M2393" s="8"/>
      <c r="N2393" s="8"/>
      <c r="O2393" s="8"/>
      <c r="P2393" s="8"/>
      <c r="Q2393" s="8"/>
      <c r="R2393" s="8"/>
      <c r="S2393" s="8"/>
      <c r="U2393" s="34"/>
      <c r="V2393" s="34"/>
      <c r="W2393" s="34"/>
      <c r="X2393" s="34"/>
      <c r="Y2393" s="34"/>
      <c r="Z2393" s="34"/>
      <c r="AA2393" s="34"/>
      <c r="AB2393" s="34"/>
      <c r="AC2393" s="34"/>
      <c r="AD2393" s="34"/>
      <c r="AE2393" s="34"/>
      <c r="AF2393" s="34"/>
      <c r="AG2393" s="34"/>
      <c r="AH2393" s="34"/>
      <c r="AI2393" s="34"/>
      <c r="AJ2393" s="34"/>
      <c r="AK2393" s="34"/>
      <c r="AL2393" s="34"/>
      <c r="AM2393" s="34"/>
      <c r="AN2393" s="34"/>
      <c r="AO2393" s="34"/>
      <c r="AP2393" s="34"/>
      <c r="AQ2393" s="34"/>
      <c r="AR2393" s="34"/>
      <c r="AS2393" s="34"/>
      <c r="AT2393" s="34"/>
      <c r="AU2393" s="34"/>
      <c r="AV2393" s="34"/>
      <c r="AW2393" s="34"/>
      <c r="AX2393" s="34"/>
      <c r="AY2393" s="34"/>
      <c r="AZ2393" s="34"/>
      <c r="BA2393" s="34"/>
      <c r="BB2393" s="34"/>
      <c r="BC2393" s="34"/>
      <c r="BD2393" s="34"/>
      <c r="BE2393" s="34"/>
      <c r="BF2393" s="34"/>
      <c r="BG2393" s="34"/>
      <c r="BH2393" s="34"/>
      <c r="BI2393" s="34"/>
      <c r="BJ2393" s="34"/>
      <c r="BK2393" s="34"/>
      <c r="BL2393" s="34"/>
      <c r="BM2393" s="34"/>
      <c r="BN2393" s="34"/>
      <c r="BO2393" s="34"/>
      <c r="BP2393" s="34"/>
      <c r="BQ2393" s="34"/>
      <c r="BR2393" s="34"/>
      <c r="BS2393" s="34"/>
      <c r="BT2393" s="34"/>
      <c r="BU2393" s="34"/>
      <c r="BV2393" s="34"/>
      <c r="BW2393" s="34"/>
      <c r="BX2393" s="34"/>
      <c r="BY2393" s="34"/>
      <c r="BZ2393" s="34"/>
      <c r="CA2393" s="34"/>
      <c r="CB2393" s="34"/>
      <c r="CC2393" s="34"/>
      <c r="CD2393" s="34"/>
      <c r="CE2393" s="34"/>
      <c r="CF2393" s="34"/>
      <c r="CG2393" s="34"/>
      <c r="CH2393" s="34"/>
    </row>
    <row r="2394" spans="1:86" x14ac:dyDescent="0.2">
      <c r="A2394" s="11" t="s">
        <v>17</v>
      </c>
      <c r="B2394" s="11"/>
      <c r="C2394" s="27" t="s">
        <v>18</v>
      </c>
      <c r="D2394" s="27" t="s">
        <v>2</v>
      </c>
      <c r="E2394" s="27" t="s">
        <v>6</v>
      </c>
      <c r="F2394" s="27" t="s">
        <v>15</v>
      </c>
      <c r="G2394" s="27" t="s">
        <v>36</v>
      </c>
      <c r="H2394" s="27" t="s">
        <v>37</v>
      </c>
      <c r="I2394" s="27" t="s">
        <v>38</v>
      </c>
      <c r="J2394" s="27" t="s">
        <v>39</v>
      </c>
      <c r="K2394" s="27" t="s">
        <v>40</v>
      </c>
      <c r="L2394" s="27" t="s">
        <v>41</v>
      </c>
      <c r="M2394" s="27" t="s">
        <v>42</v>
      </c>
      <c r="N2394" s="27" t="s">
        <v>43</v>
      </c>
      <c r="O2394" s="27" t="s">
        <v>9</v>
      </c>
      <c r="P2394" s="27" t="s">
        <v>12</v>
      </c>
      <c r="Q2394" s="27" t="s">
        <v>19</v>
      </c>
      <c r="R2394" s="27" t="s">
        <v>55</v>
      </c>
      <c r="S2394" s="27" t="s">
        <v>26</v>
      </c>
      <c r="T2394" s="19" t="s">
        <v>25</v>
      </c>
      <c r="U2394" s="33" t="s">
        <v>27</v>
      </c>
      <c r="V2394" s="33" t="s">
        <v>9</v>
      </c>
      <c r="W2394" s="33" t="s">
        <v>23</v>
      </c>
      <c r="X2394" s="33" t="s">
        <v>12</v>
      </c>
      <c r="Y2394" s="33" t="s">
        <v>26</v>
      </c>
      <c r="Z2394" s="33" t="s">
        <v>25</v>
      </c>
      <c r="AA2394" s="33" t="s">
        <v>27</v>
      </c>
      <c r="AB2394" s="33" t="s">
        <v>9</v>
      </c>
      <c r="AC2394" s="33" t="s">
        <v>23</v>
      </c>
      <c r="AD2394" s="33" t="s">
        <v>12</v>
      </c>
      <c r="AE2394" s="33" t="s">
        <v>26</v>
      </c>
      <c r="AF2394" s="33" t="s">
        <v>25</v>
      </c>
      <c r="AG2394" s="33" t="s">
        <v>27</v>
      </c>
      <c r="AH2394" s="33" t="s">
        <v>9</v>
      </c>
      <c r="AI2394" s="33" t="s">
        <v>23</v>
      </c>
      <c r="AJ2394" s="33" t="s">
        <v>12</v>
      </c>
      <c r="AK2394" s="33" t="s">
        <v>26</v>
      </c>
      <c r="AL2394" s="33" t="s">
        <v>25</v>
      </c>
      <c r="AM2394" s="33" t="s">
        <v>27</v>
      </c>
      <c r="AN2394" s="33" t="s">
        <v>9</v>
      </c>
      <c r="AO2394" s="33" t="s">
        <v>23</v>
      </c>
      <c r="AP2394" s="33" t="s">
        <v>12</v>
      </c>
      <c r="AQ2394" s="33" t="s">
        <v>26</v>
      </c>
      <c r="AR2394" s="33" t="s">
        <v>25</v>
      </c>
      <c r="AS2394" s="33" t="s">
        <v>27</v>
      </c>
      <c r="AT2394" s="33" t="s">
        <v>9</v>
      </c>
      <c r="AU2394" s="33" t="s">
        <v>23</v>
      </c>
      <c r="AV2394" s="33" t="s">
        <v>12</v>
      </c>
      <c r="AW2394" s="33" t="s">
        <v>26</v>
      </c>
      <c r="AX2394" s="33" t="s">
        <v>25</v>
      </c>
      <c r="AY2394" s="33" t="s">
        <v>27</v>
      </c>
      <c r="AZ2394" s="33" t="s">
        <v>9</v>
      </c>
      <c r="BA2394" s="33" t="s">
        <v>23</v>
      </c>
      <c r="BB2394" s="33" t="s">
        <v>12</v>
      </c>
      <c r="BC2394" s="33" t="s">
        <v>26</v>
      </c>
      <c r="BD2394" s="33" t="s">
        <v>25</v>
      </c>
      <c r="BE2394" s="33" t="s">
        <v>27</v>
      </c>
      <c r="BF2394" s="33" t="s">
        <v>9</v>
      </c>
      <c r="BG2394" s="33" t="s">
        <v>23</v>
      </c>
      <c r="BH2394" s="33" t="s">
        <v>12</v>
      </c>
      <c r="BI2394" s="33" t="s">
        <v>26</v>
      </c>
      <c r="BJ2394" s="33" t="s">
        <v>25</v>
      </c>
      <c r="BK2394" s="33" t="s">
        <v>27</v>
      </c>
      <c r="BL2394" s="33" t="s">
        <v>9</v>
      </c>
      <c r="BM2394" s="33" t="s">
        <v>23</v>
      </c>
      <c r="BN2394" s="33" t="s">
        <v>12</v>
      </c>
      <c r="BO2394" s="33" t="s">
        <v>26</v>
      </c>
      <c r="BP2394" s="33" t="s">
        <v>25</v>
      </c>
      <c r="BQ2394" s="33" t="s">
        <v>27</v>
      </c>
      <c r="BR2394" s="33" t="s">
        <v>9</v>
      </c>
      <c r="BS2394" s="33" t="s">
        <v>23</v>
      </c>
      <c r="BT2394" s="33" t="s">
        <v>12</v>
      </c>
      <c r="BU2394" s="33" t="s">
        <v>26</v>
      </c>
      <c r="BV2394" s="33" t="s">
        <v>25</v>
      </c>
      <c r="BW2394" s="33" t="s">
        <v>27</v>
      </c>
      <c r="BX2394" s="33" t="s">
        <v>9</v>
      </c>
      <c r="BY2394" s="33" t="s">
        <v>23</v>
      </c>
      <c r="BZ2394" s="33" t="s">
        <v>12</v>
      </c>
      <c r="CA2394" s="33" t="s">
        <v>26</v>
      </c>
      <c r="CB2394" s="33" t="s">
        <v>25</v>
      </c>
      <c r="CC2394" s="33" t="s">
        <v>27</v>
      </c>
      <c r="CD2394" s="33" t="s">
        <v>9</v>
      </c>
      <c r="CE2394" s="33" t="s">
        <v>23</v>
      </c>
      <c r="CF2394" s="33" t="s">
        <v>12</v>
      </c>
      <c r="CG2394" s="33" t="s">
        <v>26</v>
      </c>
      <c r="CH2394" s="33" t="s">
        <v>25</v>
      </c>
    </row>
    <row r="2395" spans="1:86" x14ac:dyDescent="0.2">
      <c r="A2395" s="8" t="str">
        <f>IF(AND(COUNTIF(W$3:W$13,A$15)&gt;0,A$15&lt;&gt;B2324),A$15,IFERROR(IF(MATCH(A$15,Z$3:Z$13,0)=4,A$15," ")," "))</f>
        <v xml:space="preserve"> </v>
      </c>
      <c r="B2395" s="8" t="str">
        <f>IF(A2395=" "," ",1)</f>
        <v xml:space="preserve"> </v>
      </c>
      <c r="C2395" s="8" t="str">
        <f>IFERROR(INDEX(A2395:A2416,MATCH(SMALL(B2395:B2416,1),B2395:B2416,0),1)," ")</f>
        <v>C3</v>
      </c>
      <c r="D2395" s="8">
        <f>IFERROR(VLOOKUP($C2395,$A$15:$O$36,2,FALSE)," ")</f>
        <v>2</v>
      </c>
      <c r="E2395" s="8">
        <f>IFERROR(VLOOKUP($C2395,$A$15:$O$36,3,FALSE)," ")</f>
        <v>5</v>
      </c>
      <c r="F2395" s="8">
        <f>IFERROR(VLOOKUP($C2395,$A$15:$O$36,4,FALSE)," ")</f>
        <v>6</v>
      </c>
      <c r="G2395" s="8">
        <f>IFERROR(VLOOKUP($C2395,$A$15:$O$36,5,FALSE)," ")</f>
        <v>0</v>
      </c>
      <c r="H2395" s="8">
        <f>IFERROR(VLOOKUP($C2395,$A$15:$O$36,6,FALSE)," ")</f>
        <v>0</v>
      </c>
      <c r="I2395" s="8">
        <f>IFERROR(VLOOKUP($C2395,$A$15:$O$36,7,FALSE)," ")</f>
        <v>0</v>
      </c>
      <c r="J2395" s="8">
        <f>IFERROR(VLOOKUP($C2395,$A$15:$O$36,8,FALSE)," ")</f>
        <v>0</v>
      </c>
      <c r="K2395" s="8">
        <f>IFERROR(VLOOKUP($C2395,$A$15:$O$36,9,FALSE)," ")</f>
        <v>0</v>
      </c>
      <c r="L2395" s="8">
        <f>IFERROR(VLOOKUP($C2395,$A$15:$O$36,10,FALSE)," ")</f>
        <v>0</v>
      </c>
      <c r="M2395" s="8">
        <f>IFERROR(VLOOKUP($C2395,$A$15:$O$36,11,FALSE)," ")</f>
        <v>0</v>
      </c>
      <c r="N2395" s="8">
        <f>IFERROR(VLOOKUP($C2395,$A$15:$O$36,12,FALSE)," ")</f>
        <v>0</v>
      </c>
      <c r="O2395" s="8">
        <f>IFERROR(VLOOKUP($C2395,$A$15:$O$36,15,FALSE)," ")</f>
        <v>2000</v>
      </c>
      <c r="P2395" s="8" t="e">
        <f t="array" ref="P2395:P2405">MMULT(MINVERSE(D2395:N2405),O2395:O2405)</f>
        <v>#NUM!</v>
      </c>
      <c r="Q2395" s="8" t="e">
        <f t="shared" ref="Q2395" si="10418">IF(COUNTIF(P2395:P2405,"&lt;"&amp;-0.001)=0,IF(ABS(P2395)&lt;0.001,0,P2395)," ")</f>
        <v>#NUM!</v>
      </c>
      <c r="R2395" s="8" t="str">
        <f>IFERROR(VLOOKUP(B2324,A$15:L$36,2,FALSE)*Q2395+VLOOKUP(B2324,A$15:L$36,3,FALSE)*Q2396+VLOOKUP(B2324,A$15:L$36,4,FALSE)*Q2397+VLOOKUP(B2324,A$15:L$36,5,FALSE)*Q2398+VLOOKUP(B2324,A$15:L$36,6,FALSE)*Q2399+VLOOKUP(B2324,A$15:L$36,7,FALSE)*Q2400+VLOOKUP(B2324,A$15:L$36,8,FALSE)*Q2401+VLOOKUP(B2324,A$15:L$36,9,FALSE)*Q2402+VLOOKUP(B2324,A$15:L$36,10,FALSE)*Q2403+VLOOKUP(B2324,A$15:L$36,11,FALSE)*Q2404+VLOOKUP(B2324,A$15:L$36,12,FALSE)*Q2405," ")</f>
        <v xml:space="preserve"> </v>
      </c>
      <c r="S2395" s="8" t="str">
        <f>IFERROR(IF(R2395-VLOOKUP(B2324,A$15:O$36,15,FALSE)&lt;0,R2395-VLOOKUP(B2324,A$15:O$36,15,FALSE)," ")," ")</f>
        <v xml:space="preserve"> </v>
      </c>
      <c r="T2395" s="18" t="str">
        <f>IFERROR(IF(R2395-VLOOKUP(B2324,A$15:O$36,15,FALSE)&gt;0,R2395-VLOOKUP(B2324,A$15:O$36,15,FALSE)," ")," ")</f>
        <v xml:space="preserve"> </v>
      </c>
      <c r="U2395" s="34">
        <f t="shared" ref="U2395" si="10419">$M$2</f>
        <v>100.00000000000001</v>
      </c>
      <c r="V2395" s="34">
        <v>-1</v>
      </c>
      <c r="W2395" s="34">
        <f t="shared" ref="W2395" si="10420">-SUMPRODUCT($M$3:$M$12,$N$3:$N$12)</f>
        <v>-105000</v>
      </c>
      <c r="X2395" s="34" t="e">
        <f t="shared" ref="X2395" si="10421">IF(U2395&lt;&gt;U2396,MMULT(MINVERSE(U2395:V2396),W2395:W2396)," ")</f>
        <v>#NUM!</v>
      </c>
      <c r="Y2395" s="34" t="str">
        <f t="shared" ref="Y2395" si="10422">IFERROR(IF(X2395-VLOOKUP(U$38,$A$2:$N$12,14,FALSE)&lt;0,X2395-VLOOKUP(U$38,$A$2:$N$12,14,FALSE)," ")," ")</f>
        <v xml:space="preserve"> </v>
      </c>
      <c r="Z2395" s="34" t="str">
        <f t="shared" ref="Z2395" si="10423">IFERROR(IF(X2395-VLOOKUP(U$38,$A$2:$N$12,14,FALSE)&gt;0,X2395-VLOOKUP(U$38,$A$2:$N$12,14,FALSE)," ")," ")</f>
        <v xml:space="preserve"> </v>
      </c>
      <c r="AA2395" s="34">
        <f t="shared" ref="AA2395" si="10424">$M$3</f>
        <v>0</v>
      </c>
      <c r="AB2395" s="34">
        <v>-1</v>
      </c>
      <c r="AC2395" s="34">
        <f t="shared" ref="AC2395" si="10425">-SUMPRODUCT($M$2:$M$2,$N$2:$N$2)-SUMPRODUCT($M$4:$M$12,$N$4:$N$12)</f>
        <v>-120000</v>
      </c>
      <c r="AD2395" s="34" t="e">
        <f t="shared" ref="AD2395" si="10426">IF(AA2395&lt;&gt;AA2396,MMULT(MINVERSE(AA2395:AB2396),AC2395:AC2396)," ")</f>
        <v>#NUM!</v>
      </c>
      <c r="AE2395" s="34" t="str">
        <f t="shared" ref="AE2395" si="10427">IFERROR(IF(AD2395-VLOOKUP(AA$38,$A$2:$N$12,14,FALSE)&lt;0,AD2395-VLOOKUP(AA$38,$A$2:$N$12,14,FALSE)," ")," ")</f>
        <v xml:space="preserve"> </v>
      </c>
      <c r="AF2395" s="34" t="str">
        <f t="shared" ref="AF2395" si="10428">IFERROR(IF(AD2395-VLOOKUP(AA$38,$A$2:$N$12,14,FALSE)&gt;0,AD2395-VLOOKUP(AA$38,$A$2:$N$12,14,FALSE)," ")," ")</f>
        <v xml:space="preserve"> </v>
      </c>
      <c r="AG2395" s="34">
        <f t="shared" ref="AG2395" si="10429">$M$4</f>
        <v>300</v>
      </c>
      <c r="AH2395" s="34">
        <v>-1</v>
      </c>
      <c r="AI2395" s="34">
        <f t="shared" ref="AI2395" si="10430">-SUMPRODUCT($M$2:$M$3,$N$2:$N$3)-SUMPRODUCT($M$5:$M$12,$N$5:$N$12)</f>
        <v>-15000.000000000002</v>
      </c>
      <c r="AJ2395" s="34" t="e">
        <f t="shared" ref="AJ2395" si="10431">IF(AG2395&lt;&gt;AG2396,MMULT(MINVERSE(AG2395:AH2396),AI2395:AI2396)," ")</f>
        <v>#NUM!</v>
      </c>
      <c r="AK2395" s="34" t="str">
        <f t="shared" ref="AK2395" si="10432">IFERROR(IF(AJ2395-VLOOKUP(AG$38,$A$2:$N$12,14,FALSE)&lt;0,AJ2395-VLOOKUP(AG$38,$A$2:$N$12,14,FALSE)," ")," ")</f>
        <v xml:space="preserve"> </v>
      </c>
      <c r="AL2395" s="34" t="str">
        <f t="shared" ref="AL2395" si="10433">IFERROR(IF(AJ2395-VLOOKUP(AG$38,$A$2:$N$12,14,FALSE)&gt;0,AJ2395-VLOOKUP(AG$38,$A$2:$N$12,14,FALSE)," ")," ")</f>
        <v xml:space="preserve"> </v>
      </c>
      <c r="AM2395" s="34">
        <f t="shared" ref="AM2395" si="10434">$M$5</f>
        <v>0</v>
      </c>
      <c r="AN2395" s="34">
        <v>-1</v>
      </c>
      <c r="AO2395" s="34">
        <f t="shared" ref="AO2395" si="10435">-SUMPRODUCT($M$2:$M$4,$N$2:$N$4)-SUMPRODUCT($M$6:$M$12,$N$6:$N$12)</f>
        <v>-120000</v>
      </c>
      <c r="AP2395" s="34" t="e">
        <f t="shared" ref="AP2395" si="10436">IF(AM2395&lt;&gt;AM2396,MMULT(MINVERSE(AM2395:AN2396),AO2395:AO2396)," ")</f>
        <v>#NUM!</v>
      </c>
      <c r="AQ2395" s="34" t="str">
        <f t="shared" ref="AQ2395" si="10437">IFERROR(IF(AP2395-VLOOKUP(AM$38,$A$2:$N$12,14,FALSE)&lt;0,AP2395-VLOOKUP(AM$38,$A$2:$N$12,14,FALSE)," ")," ")</f>
        <v xml:space="preserve"> </v>
      </c>
      <c r="AR2395" s="34" t="str">
        <f t="shared" ref="AR2395" si="10438">IFERROR(IF(AP2395-VLOOKUP(AM$38,$A$2:$N$12,14,FALSE)&gt;0,AP2395-VLOOKUP(AM$38,$A$2:$N$12,14,FALSE)," ")," ")</f>
        <v xml:space="preserve"> </v>
      </c>
      <c r="AS2395" s="34">
        <f t="shared" ref="AS2395" si="10439">$M$6</f>
        <v>0</v>
      </c>
      <c r="AT2395" s="34">
        <v>-1</v>
      </c>
      <c r="AU2395" s="34">
        <f t="shared" ref="AU2395" si="10440">-SUMPRODUCT($M$2:$M$5,$N$2:$N$5)-SUMPRODUCT($M$7:$M$12,$N$7:$N$12)</f>
        <v>-120000</v>
      </c>
      <c r="AV2395" s="34" t="e">
        <f t="shared" ref="AV2395" si="10441">IF(AS2395&lt;&gt;AS2396,MMULT(MINVERSE(AS2395:AT2396),AU2395:AU2396)," ")</f>
        <v>#NUM!</v>
      </c>
      <c r="AW2395" s="34" t="str">
        <f t="shared" ref="AW2395" si="10442">IFERROR(IF(AV2395-VLOOKUP(AS$38,$A$2:$N$12,14,FALSE)&lt;0,AV2395-VLOOKUP(AS$38,$A$2:$N$12,14,FALSE)," ")," ")</f>
        <v xml:space="preserve"> </v>
      </c>
      <c r="AX2395" s="34" t="str">
        <f t="shared" ref="AX2395" si="10443">IFERROR(IF(AV2395-VLOOKUP(AS$38,$A$2:$N$12,14,FALSE)&gt;0,AV2395-VLOOKUP(AS$38,$A$2:$N$12,14,FALSE)," ")," ")</f>
        <v xml:space="preserve"> </v>
      </c>
      <c r="AY2395" s="34">
        <f t="shared" ref="AY2395" si="10444">$M$7</f>
        <v>0</v>
      </c>
      <c r="AZ2395" s="34">
        <v>-1</v>
      </c>
      <c r="BA2395" s="34">
        <f t="shared" ref="BA2395" si="10445">-SUMPRODUCT($M$2:$M$6,$N$2:$N$6)-SUMPRODUCT($M$8:$M$12,$N$8:$N$12)</f>
        <v>-120000</v>
      </c>
      <c r="BB2395" s="34" t="e">
        <f t="shared" ref="BB2395" si="10446">IF(AY2395&lt;&gt;AY2396,MMULT(MINVERSE(AY2395:AZ2396),BA2395:BA2396)," ")</f>
        <v>#NUM!</v>
      </c>
      <c r="BC2395" s="34" t="str">
        <f t="shared" ref="BC2395" si="10447">IFERROR(IF(BB2395-VLOOKUP(AY$38,$A$2:$N$12,14,FALSE)&lt;0,BB2395-VLOOKUP(AY$38,$A$2:$N$12,14,FALSE)," ")," ")</f>
        <v xml:space="preserve"> </v>
      </c>
      <c r="BD2395" s="34" t="str">
        <f t="shared" ref="BD2395" si="10448">IFERROR(IF(BB2395-VLOOKUP(AY$38,$A$2:$N$12,14,FALSE)&gt;0,BB2395-VLOOKUP(AY$38,$A$2:$N$12,14,FALSE)," ")," ")</f>
        <v xml:space="preserve"> </v>
      </c>
      <c r="BE2395" s="34">
        <f t="shared" ref="BE2395" si="10449">$M$8</f>
        <v>0</v>
      </c>
      <c r="BF2395" s="34">
        <v>-1</v>
      </c>
      <c r="BG2395" s="34">
        <f t="shared" ref="BG2395" si="10450">-SUMPRODUCT($M$2:$M$7,$N$2:$N$7)-SUMPRODUCT($M$9:$M$12,$N$9:$N$12)</f>
        <v>-120000</v>
      </c>
      <c r="BH2395" s="34" t="e">
        <f t="shared" ref="BH2395" si="10451">IF(BE2395&lt;&gt;BE2396,MMULT(MINVERSE(BE2395:BF2396),BG2395:BG2396)," ")</f>
        <v>#NUM!</v>
      </c>
      <c r="BI2395" s="34" t="str">
        <f t="shared" ref="BI2395" si="10452">IFERROR(IF(BH2395-VLOOKUP(BE$38,$A$2:$N$12,14,FALSE)&lt;0,BH2395-VLOOKUP(BE$38,$A$2:$N$12,14,FALSE)," ")," ")</f>
        <v xml:space="preserve"> </v>
      </c>
      <c r="BJ2395" s="34" t="str">
        <f t="shared" ref="BJ2395" si="10453">IFERROR(IF(BH2395-VLOOKUP(BE$38,$A$2:$N$12,14,FALSE)&gt;0,BH2395-VLOOKUP(BE$38,$A$2:$N$12,14,FALSE)," ")," ")</f>
        <v xml:space="preserve"> </v>
      </c>
      <c r="BK2395" s="34">
        <f t="shared" ref="BK2395" si="10454">$M$9</f>
        <v>0</v>
      </c>
      <c r="BL2395" s="34">
        <v>-1</v>
      </c>
      <c r="BM2395" s="34">
        <f t="shared" ref="BM2395" si="10455">-SUMPRODUCT($M$2:$M$8,$N$2:$N$8)-SUMPRODUCT($M$10:$M$12,$N$10:$N$12)</f>
        <v>-120000</v>
      </c>
      <c r="BN2395" s="34" t="e">
        <f t="shared" ref="BN2395" si="10456">IF(BK2395&lt;&gt;BK2396,MMULT(MINVERSE(BK2395:BL2396),BM2395:BM2396)," ")</f>
        <v>#NUM!</v>
      </c>
      <c r="BO2395" s="34" t="str">
        <f t="shared" ref="BO2395" si="10457">IFERROR(IF(BN2395-VLOOKUP(BK$38,$A$2:$N$12,14,FALSE)&lt;0,BN2395-VLOOKUP(BK$38,$A$2:$N$12,14,FALSE)," ")," ")</f>
        <v xml:space="preserve"> </v>
      </c>
      <c r="BP2395" s="34" t="str">
        <f t="shared" ref="BP2395" si="10458">IFERROR(IF(BN2395-VLOOKUP(BK$38,$A$2:$N$12,14,FALSE)&gt;0,BN2395-VLOOKUP(BK$38,$A$2:$N$12,14,FALSE)," ")," ")</f>
        <v xml:space="preserve"> </v>
      </c>
      <c r="BQ2395" s="34">
        <f t="shared" ref="BQ2395" si="10459">$M$10</f>
        <v>0</v>
      </c>
      <c r="BR2395" s="34">
        <v>-1</v>
      </c>
      <c r="BS2395" s="34">
        <f t="shared" ref="BS2395" si="10460">-SUMPRODUCT($M$2:$M$9,$N$2:$N$9)-SUMPRODUCT($M$11:$M$12,$N$11:$N$12)</f>
        <v>-120000</v>
      </c>
      <c r="BT2395" s="34" t="e">
        <f t="shared" ref="BT2395" si="10461">IF(BQ2395&lt;&gt;BQ2396,MMULT(MINVERSE(BQ2395:BR2396),BS2395:BS2396)," ")</f>
        <v>#NUM!</v>
      </c>
      <c r="BU2395" s="34" t="str">
        <f t="shared" ref="BU2395" si="10462">IFERROR(IF(BT2395-VLOOKUP(BQ$38,$A$2:$N$12,14,FALSE)&lt;0,BT2395-VLOOKUP(BQ$38,$A$2:$N$12,14,FALSE)," ")," ")</f>
        <v xml:space="preserve"> </v>
      </c>
      <c r="BV2395" s="34" t="str">
        <f t="shared" ref="BV2395" si="10463">IFERROR(IF(BT2395-VLOOKUP(BQ$38,$A$2:$N$12,14,FALSE)&gt;0,BT2395-VLOOKUP(BQ$38,$A$2:$N$12,14,FALSE)," ")," ")</f>
        <v xml:space="preserve"> </v>
      </c>
      <c r="BW2395" s="34">
        <f t="shared" ref="BW2395" si="10464">$M$11</f>
        <v>0</v>
      </c>
      <c r="BX2395" s="34">
        <v>-1</v>
      </c>
      <c r="BY2395" s="34">
        <f t="shared" ref="BY2395" si="10465">-SUMPRODUCT($M$2:$M$10,$N$2:$N$10)-SUMPRODUCT($M$12,$N$12)</f>
        <v>-120000</v>
      </c>
      <c r="BZ2395" s="34" t="e">
        <f t="shared" ref="BZ2395" si="10466">IF(BW2395&lt;&gt;BW2396,MMULT(MINVERSE(BW2395:BX2396),BY2395:BY2396)," ")</f>
        <v>#NUM!</v>
      </c>
      <c r="CA2395" s="34" t="str">
        <f t="shared" ref="CA2395" si="10467">IFERROR(IF(BZ2395-VLOOKUP(BW$38,$A$2:$N$12,14,FALSE)&lt;0,BZ2395-VLOOKUP(BW$38,$A$2:$N$12,14,FALSE)," ")," ")</f>
        <v xml:space="preserve"> </v>
      </c>
      <c r="CB2395" s="34" t="str">
        <f t="shared" ref="CB2395" si="10468">IFERROR(IF(BZ2395-VLOOKUP(BW$38,$A$2:$N$12,14,FALSE)&gt;0,BZ2395-VLOOKUP(BW$38,$A$2:$N$12,14,FALSE)," ")," ")</f>
        <v xml:space="preserve"> </v>
      </c>
      <c r="CC2395" s="34">
        <f t="shared" ref="CC2395" si="10469">$M$12</f>
        <v>0</v>
      </c>
      <c r="CD2395" s="34">
        <v>-1</v>
      </c>
      <c r="CE2395" s="34">
        <f t="shared" ref="CE2395" si="10470">-SUMPRODUCT($M$2:$M$11,$N$2:$N$11)</f>
        <v>-120000</v>
      </c>
      <c r="CF2395" s="34" t="e">
        <f t="shared" ref="CF2395" si="10471">IF(CC2395&lt;&gt;CC2396,MMULT(MINVERSE(CC2395:CD2396),CE2395:CE2396)," ")</f>
        <v>#NUM!</v>
      </c>
      <c r="CG2395" s="34" t="str">
        <f t="shared" ref="CG2395" si="10472">IFERROR(IF(CF2395-VLOOKUP(CC$38,$A$2:$N$12,14,FALSE)&lt;0,CF2395-VLOOKUP(CC$38,$A$2:$N$12,14,FALSE)," ")," ")</f>
        <v xml:space="preserve"> </v>
      </c>
      <c r="CH2395" s="34" t="str">
        <f t="shared" ref="CH2395" si="10473">IFERROR(IF(CF2395-VLOOKUP(CC$38,$A$2:$N$12,14,FALSE)&gt;0,CF2395-VLOOKUP(CC$38,$A$2:$N$12,14,FALSE)," ")," ")</f>
        <v xml:space="preserve"> </v>
      </c>
    </row>
    <row r="2396" spans="1:86" x14ac:dyDescent="0.2">
      <c r="A2396" s="8" t="str">
        <f>IF(AND(COUNTIF(W$3:W$13,A$16)&gt;0,A$16&lt;&gt;B2324),A$16,IFERROR(IF(MATCH(A$16,Z$3:Z$13,0)=4,A$16," ")," "))</f>
        <v xml:space="preserve"> </v>
      </c>
      <c r="B2396" s="8" t="str">
        <f>IF(A2396=" "," ",MAX(B2395:B2395)+1)</f>
        <v xml:space="preserve"> </v>
      </c>
      <c r="C2396" s="8" t="str">
        <f>IFERROR(INDEX(A2395:A2416,MATCH(SMALL(B2395:B2416,2),B2395:B2416,0),1)," ")</f>
        <v>C4</v>
      </c>
      <c r="D2396" s="8">
        <f t="shared" ref="D2396:D2405" si="10474">IFERROR(VLOOKUP($C2396,$A$15:$O$36,2,FALSE)," ")</f>
        <v>1</v>
      </c>
      <c r="E2396" s="8">
        <f t="shared" ref="E2396:E2405" si="10475">IFERROR(VLOOKUP($C2396,$A$15:$O$36,3,FALSE)," ")</f>
        <v>0</v>
      </c>
      <c r="F2396" s="8">
        <f t="shared" ref="F2396:F2405" si="10476">IFERROR(VLOOKUP($C2396,$A$15:$O$36,4,FALSE)," ")</f>
        <v>1</v>
      </c>
      <c r="G2396" s="8">
        <f t="shared" ref="G2396:G2405" si="10477">IFERROR(VLOOKUP($C2396,$A$15:$O$36,5,FALSE)," ")</f>
        <v>0</v>
      </c>
      <c r="H2396" s="8">
        <f t="shared" ref="H2396:H2405" si="10478">IFERROR(VLOOKUP($C2396,$A$15:$O$36,6,FALSE)," ")</f>
        <v>0</v>
      </c>
      <c r="I2396" s="8">
        <f t="shared" ref="I2396:I2405" si="10479">IFERROR(VLOOKUP($C2396,$A$15:$O$36,7,FALSE)," ")</f>
        <v>0</v>
      </c>
      <c r="J2396" s="8">
        <f t="shared" ref="J2396:J2405" si="10480">IFERROR(VLOOKUP($C2396,$A$15:$O$36,8,FALSE)," ")</f>
        <v>0</v>
      </c>
      <c r="K2396" s="8">
        <f t="shared" ref="K2396:K2405" si="10481">IFERROR(VLOOKUP($C2396,$A$15:$O$36,9,FALSE)," ")</f>
        <v>0</v>
      </c>
      <c r="L2396" s="8">
        <f t="shared" ref="L2396:L2405" si="10482">IFERROR(VLOOKUP($C2396,$A$15:$O$36,10,FALSE)," ")</f>
        <v>0</v>
      </c>
      <c r="M2396" s="8">
        <f t="shared" ref="M2396:M2405" si="10483">IFERROR(VLOOKUP($C2396,$A$15:$O$36,11,FALSE)," ")</f>
        <v>0</v>
      </c>
      <c r="N2396" s="8">
        <f t="shared" ref="N2396:N2405" si="10484">IFERROR(VLOOKUP($C2396,$A$15:$O$36,12,FALSE)," ")</f>
        <v>0</v>
      </c>
      <c r="O2396" s="8">
        <f t="shared" ref="O2396:O2405" si="10485">IFERROR(VLOOKUP($C2396,$A$15:$O$36,15,FALSE)," ")</f>
        <v>400</v>
      </c>
      <c r="P2396" s="8" t="e">
        <v>#NUM!</v>
      </c>
      <c r="Q2396" s="8" t="e">
        <f t="shared" ref="Q2396" si="10486">IF(COUNTIF(P2395:P2405,"&lt;"&amp;-0.001)=0,IF(ABS(P2396)&lt;0.001,0,P2396)," ")</f>
        <v>#NUM!</v>
      </c>
      <c r="R2396" s="8"/>
      <c r="S2396" s="8"/>
      <c r="U2396" s="34" t="e">
        <f t="shared" ref="U2396" si="10487">$Q2395</f>
        <v>#NUM!</v>
      </c>
      <c r="V2396" s="34">
        <v>-1</v>
      </c>
      <c r="W2396" s="34" t="e">
        <f t="shared" ref="W2396" si="10488">-SUMPRODUCT($Q2396:$Q2405,$N$3:$N$12)</f>
        <v>#NUM!</v>
      </c>
      <c r="X2396" s="34"/>
      <c r="Y2396" s="34"/>
      <c r="Z2396" s="34"/>
      <c r="AA2396" s="34" t="e">
        <f t="shared" ref="AA2396" si="10489">$Q2396</f>
        <v>#NUM!</v>
      </c>
      <c r="AB2396" s="34">
        <v>-1</v>
      </c>
      <c r="AC2396" s="34" t="e">
        <f t="shared" ref="AC2396" si="10490">-SUMPRODUCT($Q2395:$Q2395,$N$2:$N$2)-SUMPRODUCT($Q2397:$Q2405,$N$4:$N$12)</f>
        <v>#NUM!</v>
      </c>
      <c r="AD2396" s="34"/>
      <c r="AE2396" s="34"/>
      <c r="AF2396" s="34"/>
      <c r="AG2396" s="34" t="e">
        <f t="shared" ref="AG2396" si="10491">$Q2397</f>
        <v>#NUM!</v>
      </c>
      <c r="AH2396" s="34">
        <v>-1</v>
      </c>
      <c r="AI2396" s="34" t="e">
        <f t="shared" ref="AI2396" si="10492">-SUMPRODUCT($Q2395:$Q2396,$N$2:$N$3)-SUMPRODUCT($Q2398:$Q2405,$N$5:$N$12)</f>
        <v>#NUM!</v>
      </c>
      <c r="AJ2396" s="34"/>
      <c r="AK2396" s="34"/>
      <c r="AL2396" s="34"/>
      <c r="AM2396" s="34" t="e">
        <f t="shared" ref="AM2396" si="10493">$Q2398</f>
        <v>#NUM!</v>
      </c>
      <c r="AN2396" s="34">
        <v>-1</v>
      </c>
      <c r="AO2396" s="34" t="e">
        <f t="shared" ref="AO2396" si="10494">-SUMPRODUCT($Q2395:$Q2397,$N$2:$N$4)-SUMPRODUCT($Q2399:$Q2405,$N$6:$N$12)</f>
        <v>#NUM!</v>
      </c>
      <c r="AP2396" s="34"/>
      <c r="AQ2396" s="34"/>
      <c r="AR2396" s="34"/>
      <c r="AS2396" s="34" t="e">
        <f t="shared" ref="AS2396" si="10495">$Q2399</f>
        <v>#NUM!</v>
      </c>
      <c r="AT2396" s="34">
        <v>-1</v>
      </c>
      <c r="AU2396" s="34" t="e">
        <f t="shared" ref="AU2396" si="10496">-SUMPRODUCT($Q2395:$Q2398,$N$2:$N$5)-SUMPRODUCT($Q2400:$Q2405,$N$7:$N$12)</f>
        <v>#NUM!</v>
      </c>
      <c r="AV2396" s="34"/>
      <c r="AW2396" s="34"/>
      <c r="AX2396" s="34"/>
      <c r="AY2396" s="34" t="e">
        <f t="shared" ref="AY2396" si="10497">$Q2400</f>
        <v>#NUM!</v>
      </c>
      <c r="AZ2396" s="34">
        <v>-1</v>
      </c>
      <c r="BA2396" s="34" t="e">
        <f t="shared" ref="BA2396" si="10498">-SUMPRODUCT($Q2395:$Q2399,$N$2:$N$6)-SUMPRODUCT($Q2401:$Q2405,$N$8:$N$12)</f>
        <v>#NUM!</v>
      </c>
      <c r="BB2396" s="34"/>
      <c r="BC2396" s="34"/>
      <c r="BD2396" s="34"/>
      <c r="BE2396" s="34" t="e">
        <f t="shared" ref="BE2396" si="10499">$Q2401</f>
        <v>#NUM!</v>
      </c>
      <c r="BF2396" s="34">
        <v>-1</v>
      </c>
      <c r="BG2396" s="34" t="e">
        <f t="shared" ref="BG2396" si="10500">-SUMPRODUCT($Q2395:$Q2400,$N$2:$N$7)-SUMPRODUCT($Q2402:$Q2405,$N$9:$N$12)</f>
        <v>#NUM!</v>
      </c>
      <c r="BH2396" s="34"/>
      <c r="BI2396" s="34"/>
      <c r="BJ2396" s="34"/>
      <c r="BK2396" s="34" t="e">
        <f t="shared" ref="BK2396" si="10501">$Q2402</f>
        <v>#NUM!</v>
      </c>
      <c r="BL2396" s="34">
        <v>-1</v>
      </c>
      <c r="BM2396" s="34" t="e">
        <f t="shared" ref="BM2396" si="10502">-SUMPRODUCT($Q2395:$Q2401,$N$2:$N$8)-SUMPRODUCT($Q2403:$Q2405,$N$10:$N$12)</f>
        <v>#NUM!</v>
      </c>
      <c r="BN2396" s="34"/>
      <c r="BO2396" s="34"/>
      <c r="BP2396" s="34"/>
      <c r="BQ2396" s="34" t="e">
        <f t="shared" ref="BQ2396" si="10503">$Q2403</f>
        <v>#NUM!</v>
      </c>
      <c r="BR2396" s="34">
        <v>-1</v>
      </c>
      <c r="BS2396" s="34" t="e">
        <f t="shared" ref="BS2396" si="10504">-SUMPRODUCT($Q2395:$Q2402,$N$2:$N$9)-SUMPRODUCT($Q2404:$Q2405,$N$11:$N$12)</f>
        <v>#NUM!</v>
      </c>
      <c r="BT2396" s="34"/>
      <c r="BU2396" s="34"/>
      <c r="BV2396" s="34"/>
      <c r="BW2396" s="34" t="e">
        <f t="shared" ref="BW2396" si="10505">$Q2404</f>
        <v>#NUM!</v>
      </c>
      <c r="BX2396" s="34">
        <v>-1</v>
      </c>
      <c r="BY2396" s="34" t="e">
        <f t="shared" ref="BY2396" si="10506">-SUMPRODUCT($Q2395:$Q2403,$N$2:$N$10)-SUMPRODUCT($Q2405,$N$12)</f>
        <v>#NUM!</v>
      </c>
      <c r="BZ2396" s="34"/>
      <c r="CA2396" s="34"/>
      <c r="CB2396" s="34"/>
      <c r="CC2396" s="34" t="e">
        <f t="shared" ref="CC2396" si="10507">$Q2405</f>
        <v>#NUM!</v>
      </c>
      <c r="CD2396" s="34">
        <v>-1</v>
      </c>
      <c r="CE2396" s="34" t="e">
        <f t="shared" ref="CE2396" si="10508">-SUMPRODUCT($Q2395:$Q2404,$N$2:$N$11)</f>
        <v>#NUM!</v>
      </c>
      <c r="CF2396" s="34"/>
      <c r="CG2396" s="34"/>
      <c r="CH2396" s="34"/>
    </row>
    <row r="2397" spans="1:86" x14ac:dyDescent="0.2">
      <c r="A2397" s="8" t="str">
        <f>IF(AND(COUNTIF(W$3:W$13,A$17)&gt;0,A$17&lt;&gt;B2324),A$17,IFERROR(IF(MATCH(A$17,Z$3:Z$13,0)=4,A$17," ")," "))</f>
        <v>C3</v>
      </c>
      <c r="B2397" s="8">
        <f>IF(A2397=" "," ",MAX(B2395:B2396)+1)</f>
        <v>1</v>
      </c>
      <c r="C2397" s="8" t="str">
        <f>IFERROR(INDEX(A2395:A2416,MATCH(SMALL(B2395:B2416,3),B2395:B2416,0),1)," ")</f>
        <v>C6</v>
      </c>
      <c r="D2397" s="8">
        <f t="shared" si="10474"/>
        <v>0</v>
      </c>
      <c r="E2397" s="8">
        <f t="shared" si="10475"/>
        <v>0</v>
      </c>
      <c r="F2397" s="8">
        <f t="shared" si="10476"/>
        <v>0</v>
      </c>
      <c r="G2397" s="8">
        <f t="shared" si="10477"/>
        <v>0</v>
      </c>
      <c r="H2397" s="8">
        <f t="shared" si="10478"/>
        <v>0</v>
      </c>
      <c r="I2397" s="8">
        <f t="shared" si="10479"/>
        <v>0</v>
      </c>
      <c r="J2397" s="8">
        <f t="shared" si="10480"/>
        <v>0</v>
      </c>
      <c r="K2397" s="8">
        <f t="shared" si="10481"/>
        <v>0</v>
      </c>
      <c r="L2397" s="8">
        <f t="shared" si="10482"/>
        <v>0</v>
      </c>
      <c r="M2397" s="8">
        <f t="shared" si="10483"/>
        <v>0</v>
      </c>
      <c r="N2397" s="8">
        <f t="shared" si="10484"/>
        <v>0</v>
      </c>
      <c r="O2397" s="8">
        <f t="shared" si="10485"/>
        <v>0</v>
      </c>
      <c r="P2397" s="8" t="e">
        <v>#NUM!</v>
      </c>
      <c r="Q2397" s="8" t="e">
        <f t="shared" ref="Q2397" si="10509">IF(COUNTIF(P2395:P2405,"&lt;"&amp;-0.001)=0,IF(ABS(P2397)&lt;0.001,0,P2397)," ")</f>
        <v>#NUM!</v>
      </c>
      <c r="R2397" s="8"/>
      <c r="S2397" s="8"/>
      <c r="U2397" s="34"/>
      <c r="V2397" s="34"/>
      <c r="W2397" s="34"/>
      <c r="X2397" s="34"/>
      <c r="Y2397" s="34"/>
      <c r="Z2397" s="34"/>
      <c r="AA2397" s="34"/>
      <c r="AB2397" s="34"/>
      <c r="AC2397" s="34"/>
      <c r="AD2397" s="34"/>
      <c r="AE2397" s="34"/>
      <c r="AF2397" s="34"/>
      <c r="AG2397" s="34"/>
      <c r="AH2397" s="34"/>
      <c r="AI2397" s="34"/>
      <c r="AJ2397" s="34"/>
      <c r="AK2397" s="34"/>
      <c r="AL2397" s="34"/>
      <c r="AM2397" s="34"/>
      <c r="AN2397" s="34"/>
      <c r="AO2397" s="34"/>
      <c r="AP2397" s="34"/>
      <c r="AQ2397" s="34"/>
      <c r="AR2397" s="34"/>
      <c r="AS2397" s="34"/>
      <c r="AT2397" s="34"/>
      <c r="AU2397" s="34"/>
      <c r="AV2397" s="34"/>
      <c r="AW2397" s="34"/>
      <c r="AX2397" s="34"/>
      <c r="AY2397" s="34"/>
      <c r="AZ2397" s="34"/>
      <c r="BA2397" s="34"/>
      <c r="BB2397" s="34"/>
      <c r="BC2397" s="34"/>
      <c r="BD2397" s="34"/>
      <c r="BE2397" s="34"/>
      <c r="BF2397" s="34"/>
      <c r="BG2397" s="34"/>
      <c r="BH2397" s="34"/>
      <c r="BI2397" s="34"/>
      <c r="BJ2397" s="34"/>
      <c r="BK2397" s="34"/>
      <c r="BL2397" s="34"/>
      <c r="BM2397" s="34"/>
      <c r="BN2397" s="34"/>
      <c r="BO2397" s="34"/>
      <c r="BP2397" s="34"/>
      <c r="BQ2397" s="34"/>
      <c r="BR2397" s="34"/>
      <c r="BS2397" s="34"/>
      <c r="BT2397" s="34"/>
      <c r="BU2397" s="34"/>
      <c r="BV2397" s="34"/>
      <c r="BW2397" s="34"/>
      <c r="BX2397" s="34"/>
      <c r="BY2397" s="34"/>
      <c r="BZ2397" s="34"/>
      <c r="CA2397" s="34"/>
      <c r="CB2397" s="34"/>
      <c r="CC2397" s="34"/>
      <c r="CD2397" s="34"/>
      <c r="CE2397" s="34"/>
      <c r="CF2397" s="34"/>
      <c r="CG2397" s="34"/>
      <c r="CH2397" s="34"/>
    </row>
    <row r="2398" spans="1:86" x14ac:dyDescent="0.2">
      <c r="A2398" s="8" t="str">
        <f>IF(AND(COUNTIF(W$3:W$13,A$18)&gt;0,A$18&lt;&gt;B2324),A$18,IFERROR(IF(MATCH(A$18,Z$3:Z$13,0)=4,A$18," ")," "))</f>
        <v>C4</v>
      </c>
      <c r="B2398" s="8">
        <f>IF(A2398=" "," ",MAX(B2395:B2397)+1)</f>
        <v>2</v>
      </c>
      <c r="C2398" s="8" t="str">
        <f>IFERROR(INDEX(A2395:A2416,MATCH(SMALL(B2395:B2416,4),B2395:B2416,0),1)," ")</f>
        <v>C13</v>
      </c>
      <c r="D2398" s="8">
        <f t="shared" si="10474"/>
        <v>0</v>
      </c>
      <c r="E2398" s="8">
        <f t="shared" si="10475"/>
        <v>1</v>
      </c>
      <c r="F2398" s="8">
        <f t="shared" si="10476"/>
        <v>0</v>
      </c>
      <c r="G2398" s="8">
        <f t="shared" si="10477"/>
        <v>0</v>
      </c>
      <c r="H2398" s="8">
        <f t="shared" si="10478"/>
        <v>0</v>
      </c>
      <c r="I2398" s="8">
        <f t="shared" si="10479"/>
        <v>0</v>
      </c>
      <c r="J2398" s="8">
        <f t="shared" si="10480"/>
        <v>0</v>
      </c>
      <c r="K2398" s="8">
        <f t="shared" si="10481"/>
        <v>0</v>
      </c>
      <c r="L2398" s="8">
        <f t="shared" si="10482"/>
        <v>0</v>
      </c>
      <c r="M2398" s="8">
        <f t="shared" si="10483"/>
        <v>0</v>
      </c>
      <c r="N2398" s="8">
        <f t="shared" si="10484"/>
        <v>0</v>
      </c>
      <c r="O2398" s="8">
        <f t="shared" si="10485"/>
        <v>0</v>
      </c>
      <c r="P2398" s="8" t="e">
        <v>#NUM!</v>
      </c>
      <c r="Q2398" s="8" t="e">
        <f t="shared" ref="Q2398" si="10510">IF(COUNTIF(P2395:P2405,"&lt;"&amp;-0.001)=0,IF(ABS(P2398)&lt;0.001,0,P2398)," ")</f>
        <v>#NUM!</v>
      </c>
      <c r="R2398" s="8"/>
      <c r="S2398" s="8"/>
      <c r="U2398" s="34"/>
      <c r="V2398" s="34"/>
      <c r="W2398" s="34"/>
      <c r="X2398" s="34"/>
      <c r="Y2398" s="34"/>
      <c r="Z2398" s="34"/>
      <c r="AA2398" s="34"/>
      <c r="AB2398" s="34"/>
      <c r="AC2398" s="34"/>
      <c r="AD2398" s="34"/>
      <c r="AE2398" s="34"/>
      <c r="AF2398" s="34"/>
      <c r="AG2398" s="34"/>
      <c r="AH2398" s="34"/>
      <c r="AI2398" s="34"/>
      <c r="AJ2398" s="34"/>
      <c r="AK2398" s="34"/>
      <c r="AL2398" s="34"/>
      <c r="AM2398" s="34"/>
      <c r="AN2398" s="34"/>
      <c r="AO2398" s="34"/>
      <c r="AP2398" s="34"/>
      <c r="AQ2398" s="34"/>
      <c r="AR2398" s="34"/>
      <c r="AS2398" s="34"/>
      <c r="AT2398" s="34"/>
      <c r="AU2398" s="34"/>
      <c r="AV2398" s="34"/>
      <c r="AW2398" s="34"/>
      <c r="AX2398" s="34"/>
      <c r="AY2398" s="34"/>
      <c r="AZ2398" s="34"/>
      <c r="BA2398" s="34"/>
      <c r="BB2398" s="34"/>
      <c r="BC2398" s="34"/>
      <c r="BD2398" s="34"/>
      <c r="BE2398" s="34"/>
      <c r="BF2398" s="34"/>
      <c r="BG2398" s="34"/>
      <c r="BH2398" s="34"/>
      <c r="BI2398" s="34"/>
      <c r="BJ2398" s="34"/>
      <c r="BK2398" s="34"/>
      <c r="BL2398" s="34"/>
      <c r="BM2398" s="34"/>
      <c r="BN2398" s="34"/>
      <c r="BO2398" s="34"/>
      <c r="BP2398" s="34"/>
      <c r="BQ2398" s="34"/>
      <c r="BR2398" s="34"/>
      <c r="BS2398" s="34"/>
      <c r="BT2398" s="34"/>
      <c r="BU2398" s="34"/>
      <c r="BV2398" s="34"/>
      <c r="BW2398" s="34"/>
      <c r="BX2398" s="34"/>
      <c r="BY2398" s="34"/>
      <c r="BZ2398" s="34"/>
      <c r="CA2398" s="34"/>
      <c r="CB2398" s="34"/>
      <c r="CC2398" s="34"/>
      <c r="CD2398" s="34"/>
      <c r="CE2398" s="34"/>
      <c r="CF2398" s="34"/>
      <c r="CG2398" s="34"/>
      <c r="CH2398" s="34"/>
    </row>
    <row r="2399" spans="1:86" x14ac:dyDescent="0.2">
      <c r="A2399" s="8" t="str">
        <f>IF(AND(COUNTIF(W$3:W$13,A$19)&gt;0,A$19&lt;&gt;B2324),A$19,IFERROR(IF(MATCH(A$19,Z$3:Z$13,0)=4,A$19," ")," "))</f>
        <v xml:space="preserve"> </v>
      </c>
      <c r="B2399" s="8" t="str">
        <f>IF(A2399=" "," ",MAX(B2395:B2398)+1)</f>
        <v xml:space="preserve"> </v>
      </c>
      <c r="C2399" s="8" t="str">
        <f>IFERROR(INDEX(A2395:A2416,MATCH(SMALL(B2395:B2416,5),B2395:B2416,0),1)," ")</f>
        <v>C15</v>
      </c>
      <c r="D2399" s="8">
        <f t="shared" si="10474"/>
        <v>0</v>
      </c>
      <c r="E2399" s="8">
        <f t="shared" si="10475"/>
        <v>0</v>
      </c>
      <c r="F2399" s="8">
        <f t="shared" si="10476"/>
        <v>0</v>
      </c>
      <c r="G2399" s="8">
        <f t="shared" si="10477"/>
        <v>1</v>
      </c>
      <c r="H2399" s="8">
        <f t="shared" si="10478"/>
        <v>0</v>
      </c>
      <c r="I2399" s="8">
        <f t="shared" si="10479"/>
        <v>0</v>
      </c>
      <c r="J2399" s="8">
        <f t="shared" si="10480"/>
        <v>0</v>
      </c>
      <c r="K2399" s="8">
        <f t="shared" si="10481"/>
        <v>0</v>
      </c>
      <c r="L2399" s="8">
        <f t="shared" si="10482"/>
        <v>0</v>
      </c>
      <c r="M2399" s="8">
        <f t="shared" si="10483"/>
        <v>0</v>
      </c>
      <c r="N2399" s="8">
        <f t="shared" si="10484"/>
        <v>0</v>
      </c>
      <c r="O2399" s="8">
        <f t="shared" si="10485"/>
        <v>0</v>
      </c>
      <c r="P2399" s="8" t="e">
        <v>#NUM!</v>
      </c>
      <c r="Q2399" s="8" t="e">
        <f t="shared" ref="Q2399" si="10511">IF(COUNTIF(P2395:P2405,"&lt;"&amp;-0.001)=0,IF(ABS(P2399)&lt;0.001,0,P2399)," ")</f>
        <v>#NUM!</v>
      </c>
      <c r="R2399" s="8"/>
      <c r="S2399" s="8"/>
      <c r="U2399" s="34"/>
      <c r="V2399" s="34"/>
      <c r="W2399" s="34"/>
      <c r="X2399" s="34"/>
      <c r="Y2399" s="34"/>
      <c r="Z2399" s="34"/>
      <c r="AA2399" s="34"/>
      <c r="AB2399" s="34"/>
      <c r="AC2399" s="34"/>
      <c r="AD2399" s="34"/>
      <c r="AE2399" s="34"/>
      <c r="AF2399" s="34"/>
      <c r="AG2399" s="34"/>
      <c r="AH2399" s="34"/>
      <c r="AI2399" s="34"/>
      <c r="AJ2399" s="34"/>
      <c r="AK2399" s="34"/>
      <c r="AL2399" s="34"/>
      <c r="AM2399" s="34"/>
      <c r="AN2399" s="34"/>
      <c r="AO2399" s="34"/>
      <c r="AP2399" s="34"/>
      <c r="AQ2399" s="34"/>
      <c r="AR2399" s="34"/>
      <c r="AS2399" s="34"/>
      <c r="AT2399" s="34"/>
      <c r="AU2399" s="34"/>
      <c r="AV2399" s="34"/>
      <c r="AW2399" s="34"/>
      <c r="AX2399" s="34"/>
      <c r="AY2399" s="34"/>
      <c r="AZ2399" s="34"/>
      <c r="BA2399" s="34"/>
      <c r="BB2399" s="34"/>
      <c r="BC2399" s="34"/>
      <c r="BD2399" s="34"/>
      <c r="BE2399" s="34"/>
      <c r="BF2399" s="34"/>
      <c r="BG2399" s="34"/>
      <c r="BH2399" s="34"/>
      <c r="BI2399" s="34"/>
      <c r="BJ2399" s="34"/>
      <c r="BK2399" s="34"/>
      <c r="BL2399" s="34"/>
      <c r="BM2399" s="34"/>
      <c r="BN2399" s="34"/>
      <c r="BO2399" s="34"/>
      <c r="BP2399" s="34"/>
      <c r="BQ2399" s="34"/>
      <c r="BR2399" s="34"/>
      <c r="BS2399" s="34"/>
      <c r="BT2399" s="34"/>
      <c r="BU2399" s="34"/>
      <c r="BV2399" s="34"/>
      <c r="BW2399" s="34"/>
      <c r="BX2399" s="34"/>
      <c r="BY2399" s="34"/>
      <c r="BZ2399" s="34"/>
      <c r="CA2399" s="34"/>
      <c r="CB2399" s="34"/>
      <c r="CC2399" s="34"/>
      <c r="CD2399" s="34"/>
      <c r="CE2399" s="34"/>
      <c r="CF2399" s="34"/>
      <c r="CG2399" s="34"/>
      <c r="CH2399" s="34"/>
    </row>
    <row r="2400" spans="1:86" x14ac:dyDescent="0.2">
      <c r="A2400" s="8" t="str">
        <f>IF(AND(COUNTIF(W$3:W$13,A$20)&gt;0,A$20&lt;&gt;B2324),A$20,IFERROR(IF(MATCH(A$20,Z$3:Z$13,0)=4,A$20," ")," "))</f>
        <v>C6</v>
      </c>
      <c r="B2400" s="8">
        <f>IF(A2400=" "," ",MAX(B2395:B2399)+1)</f>
        <v>3</v>
      </c>
      <c r="C2400" s="8" t="str">
        <f>IFERROR(INDEX(A2395:A2416,MATCH(SMALL(B2395:B2416,6),B2395:B2416,0),1)," ")</f>
        <v>C16</v>
      </c>
      <c r="D2400" s="8">
        <f t="shared" si="10474"/>
        <v>0</v>
      </c>
      <c r="E2400" s="8">
        <f t="shared" si="10475"/>
        <v>0</v>
      </c>
      <c r="F2400" s="8">
        <f t="shared" si="10476"/>
        <v>0</v>
      </c>
      <c r="G2400" s="8">
        <f t="shared" si="10477"/>
        <v>0</v>
      </c>
      <c r="H2400" s="8">
        <f t="shared" si="10478"/>
        <v>1</v>
      </c>
      <c r="I2400" s="8">
        <f t="shared" si="10479"/>
        <v>0</v>
      </c>
      <c r="J2400" s="8">
        <f t="shared" si="10480"/>
        <v>0</v>
      </c>
      <c r="K2400" s="8">
        <f t="shared" si="10481"/>
        <v>0</v>
      </c>
      <c r="L2400" s="8">
        <f t="shared" si="10482"/>
        <v>0</v>
      </c>
      <c r="M2400" s="8">
        <f t="shared" si="10483"/>
        <v>0</v>
      </c>
      <c r="N2400" s="8">
        <f t="shared" si="10484"/>
        <v>0</v>
      </c>
      <c r="O2400" s="8">
        <f t="shared" si="10485"/>
        <v>0</v>
      </c>
      <c r="P2400" s="8" t="e">
        <v>#NUM!</v>
      </c>
      <c r="Q2400" s="8" t="e">
        <f t="shared" ref="Q2400" si="10512">IF(COUNTIF(P2395:P2405,"&lt;"&amp;-0.001)=0,IF(ABS(P2400)&lt;0.001,0,P2400)," ")</f>
        <v>#NUM!</v>
      </c>
      <c r="R2400" s="8"/>
      <c r="S2400" s="8"/>
      <c r="U2400" s="34"/>
      <c r="V2400" s="34"/>
      <c r="W2400" s="34"/>
      <c r="X2400" s="34"/>
      <c r="Y2400" s="34"/>
      <c r="Z2400" s="34"/>
      <c r="AA2400" s="34"/>
      <c r="AB2400" s="34"/>
      <c r="AC2400" s="34"/>
      <c r="AD2400" s="34"/>
      <c r="AE2400" s="34"/>
      <c r="AF2400" s="34"/>
      <c r="AG2400" s="34"/>
      <c r="AH2400" s="34"/>
      <c r="AI2400" s="34"/>
      <c r="AJ2400" s="34"/>
      <c r="AK2400" s="34"/>
      <c r="AL2400" s="34"/>
      <c r="AM2400" s="34"/>
      <c r="AN2400" s="34"/>
      <c r="AO2400" s="34"/>
      <c r="AP2400" s="34"/>
      <c r="AQ2400" s="34"/>
      <c r="AR2400" s="34"/>
      <c r="AS2400" s="34"/>
      <c r="AT2400" s="34"/>
      <c r="AU2400" s="34"/>
      <c r="AV2400" s="34"/>
      <c r="AW2400" s="34"/>
      <c r="AX2400" s="34"/>
      <c r="AY2400" s="34"/>
      <c r="AZ2400" s="34"/>
      <c r="BA2400" s="34"/>
      <c r="BB2400" s="34"/>
      <c r="BC2400" s="34"/>
      <c r="BD2400" s="34"/>
      <c r="BE2400" s="34"/>
      <c r="BF2400" s="34"/>
      <c r="BG2400" s="34"/>
      <c r="BH2400" s="34"/>
      <c r="BI2400" s="34"/>
      <c r="BJ2400" s="34"/>
      <c r="BK2400" s="34"/>
      <c r="BL2400" s="34"/>
      <c r="BM2400" s="34"/>
      <c r="BN2400" s="34"/>
      <c r="BO2400" s="34"/>
      <c r="BP2400" s="34"/>
      <c r="BQ2400" s="34"/>
      <c r="BR2400" s="34"/>
      <c r="BS2400" s="34"/>
      <c r="BT2400" s="34"/>
      <c r="BU2400" s="34"/>
      <c r="BV2400" s="34"/>
      <c r="BW2400" s="34"/>
      <c r="BX2400" s="34"/>
      <c r="BY2400" s="34"/>
      <c r="BZ2400" s="34"/>
      <c r="CA2400" s="34"/>
      <c r="CB2400" s="34"/>
      <c r="CC2400" s="34"/>
      <c r="CD2400" s="34"/>
      <c r="CE2400" s="34"/>
      <c r="CF2400" s="34"/>
      <c r="CG2400" s="34"/>
      <c r="CH2400" s="34"/>
    </row>
    <row r="2401" spans="1:86" x14ac:dyDescent="0.2">
      <c r="A2401" s="8" t="str">
        <f>IF(AND(COUNTIF(W$3:W$13,A$21)&gt;0,A$21&lt;&gt;B2324),A$21,IFERROR(IF(MATCH(A$21,Z$3:Z$13,0)=4,A$21," ")," "))</f>
        <v xml:space="preserve"> </v>
      </c>
      <c r="B2401" s="8" t="str">
        <f>IF(A2401=" "," ",MAX(B2395:B2400)+1)</f>
        <v xml:space="preserve"> </v>
      </c>
      <c r="C2401" s="8" t="str">
        <f>IFERROR(INDEX(A2395:A2416,MATCH(SMALL(B2395:B2416,7),B2395:B2416,0),1)," ")</f>
        <v>C17</v>
      </c>
      <c r="D2401" s="8">
        <f t="shared" si="10474"/>
        <v>0</v>
      </c>
      <c r="E2401" s="8">
        <f t="shared" si="10475"/>
        <v>0</v>
      </c>
      <c r="F2401" s="8">
        <f t="shared" si="10476"/>
        <v>0</v>
      </c>
      <c r="G2401" s="8">
        <f t="shared" si="10477"/>
        <v>0</v>
      </c>
      <c r="H2401" s="8">
        <f t="shared" si="10478"/>
        <v>0</v>
      </c>
      <c r="I2401" s="8">
        <f t="shared" si="10479"/>
        <v>1</v>
      </c>
      <c r="J2401" s="8">
        <f t="shared" si="10480"/>
        <v>0</v>
      </c>
      <c r="K2401" s="8">
        <f t="shared" si="10481"/>
        <v>0</v>
      </c>
      <c r="L2401" s="8">
        <f t="shared" si="10482"/>
        <v>0</v>
      </c>
      <c r="M2401" s="8">
        <f t="shared" si="10483"/>
        <v>0</v>
      </c>
      <c r="N2401" s="8">
        <f t="shared" si="10484"/>
        <v>0</v>
      </c>
      <c r="O2401" s="8">
        <f t="shared" si="10485"/>
        <v>0</v>
      </c>
      <c r="P2401" s="8" t="e">
        <v>#NUM!</v>
      </c>
      <c r="Q2401" s="8" t="e">
        <f t="shared" ref="Q2401" si="10513">IF(COUNTIF(P2395:P2405,"&lt;"&amp;-0.001)=0,IF(ABS(P2401)&lt;0.001,0,P2401)," ")</f>
        <v>#NUM!</v>
      </c>
      <c r="R2401" s="8"/>
      <c r="S2401" s="8"/>
      <c r="U2401" s="34"/>
      <c r="V2401" s="34"/>
      <c r="W2401" s="34"/>
      <c r="X2401" s="34"/>
      <c r="Y2401" s="34"/>
      <c r="Z2401" s="34"/>
      <c r="AA2401" s="34"/>
      <c r="AB2401" s="34"/>
      <c r="AC2401" s="34"/>
      <c r="AD2401" s="34"/>
      <c r="AE2401" s="34"/>
      <c r="AF2401" s="34"/>
      <c r="AG2401" s="34"/>
      <c r="AH2401" s="34"/>
      <c r="AI2401" s="34"/>
      <c r="AJ2401" s="34"/>
      <c r="AK2401" s="34"/>
      <c r="AL2401" s="34"/>
      <c r="AM2401" s="34"/>
      <c r="AN2401" s="34"/>
      <c r="AO2401" s="34"/>
      <c r="AP2401" s="34"/>
      <c r="AQ2401" s="34"/>
      <c r="AR2401" s="34"/>
      <c r="AS2401" s="34"/>
      <c r="AT2401" s="34"/>
      <c r="AU2401" s="34"/>
      <c r="AV2401" s="34"/>
      <c r="AW2401" s="34"/>
      <c r="AX2401" s="34"/>
      <c r="AY2401" s="34"/>
      <c r="AZ2401" s="34"/>
      <c r="BA2401" s="34"/>
      <c r="BB2401" s="34"/>
      <c r="BC2401" s="34"/>
      <c r="BD2401" s="34"/>
      <c r="BE2401" s="34"/>
      <c r="BF2401" s="34"/>
      <c r="BG2401" s="34"/>
      <c r="BH2401" s="34"/>
      <c r="BI2401" s="34"/>
      <c r="BJ2401" s="34"/>
      <c r="BK2401" s="34"/>
      <c r="BL2401" s="34"/>
      <c r="BM2401" s="34"/>
      <c r="BN2401" s="34"/>
      <c r="BO2401" s="34"/>
      <c r="BP2401" s="34"/>
      <c r="BQ2401" s="34"/>
      <c r="BR2401" s="34"/>
      <c r="BS2401" s="34"/>
      <c r="BT2401" s="34"/>
      <c r="BU2401" s="34"/>
      <c r="BV2401" s="34"/>
      <c r="BW2401" s="34"/>
      <c r="BX2401" s="34"/>
      <c r="BY2401" s="34"/>
      <c r="BZ2401" s="34"/>
      <c r="CA2401" s="34"/>
      <c r="CB2401" s="34"/>
      <c r="CC2401" s="34"/>
      <c r="CD2401" s="34"/>
      <c r="CE2401" s="34"/>
      <c r="CF2401" s="34"/>
      <c r="CG2401" s="34"/>
      <c r="CH2401" s="34"/>
    </row>
    <row r="2402" spans="1:86" x14ac:dyDescent="0.2">
      <c r="A2402" s="8" t="str">
        <f>IF(AND(COUNTIF(W$3:W$13,A$22)&gt;0,A$22&lt;&gt;B2324),A$22,IFERROR(IF(MATCH(A$22,Z$3:Z$13,0)=4,A$22," ")," "))</f>
        <v xml:space="preserve"> </v>
      </c>
      <c r="B2402" s="8" t="str">
        <f>IF(A2402=" "," ",MAX(B2395:B2401)+1)</f>
        <v xml:space="preserve"> </v>
      </c>
      <c r="C2402" s="8" t="str">
        <f>IFERROR(INDEX(A2395:A2416,MATCH(SMALL(B2395:B2416,8),B2395:B2416,0),1)," ")</f>
        <v>C18</v>
      </c>
      <c r="D2402" s="8">
        <f t="shared" si="10474"/>
        <v>0</v>
      </c>
      <c r="E2402" s="8">
        <f t="shared" si="10475"/>
        <v>0</v>
      </c>
      <c r="F2402" s="8">
        <f t="shared" si="10476"/>
        <v>0</v>
      </c>
      <c r="G2402" s="8">
        <f t="shared" si="10477"/>
        <v>0</v>
      </c>
      <c r="H2402" s="8">
        <f t="shared" si="10478"/>
        <v>0</v>
      </c>
      <c r="I2402" s="8">
        <f t="shared" si="10479"/>
        <v>0</v>
      </c>
      <c r="J2402" s="8">
        <f t="shared" si="10480"/>
        <v>1</v>
      </c>
      <c r="K2402" s="8">
        <f t="shared" si="10481"/>
        <v>0</v>
      </c>
      <c r="L2402" s="8">
        <f t="shared" si="10482"/>
        <v>0</v>
      </c>
      <c r="M2402" s="8">
        <f t="shared" si="10483"/>
        <v>0</v>
      </c>
      <c r="N2402" s="8">
        <f t="shared" si="10484"/>
        <v>0</v>
      </c>
      <c r="O2402" s="8">
        <f t="shared" si="10485"/>
        <v>0</v>
      </c>
      <c r="P2402" s="8" t="e">
        <v>#NUM!</v>
      </c>
      <c r="Q2402" s="8" t="e">
        <f t="shared" ref="Q2402" si="10514">IF(COUNTIF(P2395:P2405,"&lt;"&amp;-0.001)=0,IF(ABS(P2402)&lt;0.001,0,P2402)," ")</f>
        <v>#NUM!</v>
      </c>
      <c r="R2402" s="8"/>
      <c r="S2402" s="8"/>
      <c r="U2402" s="34"/>
      <c r="V2402" s="34"/>
      <c r="W2402" s="34"/>
      <c r="X2402" s="34"/>
      <c r="Y2402" s="34"/>
      <c r="Z2402" s="34"/>
      <c r="AA2402" s="34"/>
      <c r="AB2402" s="34"/>
      <c r="AC2402" s="34"/>
      <c r="AD2402" s="34"/>
      <c r="AE2402" s="34"/>
      <c r="AF2402" s="34"/>
      <c r="AG2402" s="34"/>
      <c r="AH2402" s="34"/>
      <c r="AI2402" s="34"/>
      <c r="AJ2402" s="34"/>
      <c r="AK2402" s="34"/>
      <c r="AL2402" s="34"/>
      <c r="AM2402" s="34"/>
      <c r="AN2402" s="34"/>
      <c r="AO2402" s="34"/>
      <c r="AP2402" s="34"/>
      <c r="AQ2402" s="34"/>
      <c r="AR2402" s="34"/>
      <c r="AS2402" s="34"/>
      <c r="AT2402" s="34"/>
      <c r="AU2402" s="34"/>
      <c r="AV2402" s="34"/>
      <c r="AW2402" s="34"/>
      <c r="AX2402" s="34"/>
      <c r="AY2402" s="34"/>
      <c r="AZ2402" s="34"/>
      <c r="BA2402" s="34"/>
      <c r="BB2402" s="34"/>
      <c r="BC2402" s="34"/>
      <c r="BD2402" s="34"/>
      <c r="BE2402" s="34"/>
      <c r="BF2402" s="34"/>
      <c r="BG2402" s="34"/>
      <c r="BH2402" s="34"/>
      <c r="BI2402" s="34"/>
      <c r="BJ2402" s="34"/>
      <c r="BK2402" s="34"/>
      <c r="BL2402" s="34"/>
      <c r="BM2402" s="34"/>
      <c r="BN2402" s="34"/>
      <c r="BO2402" s="34"/>
      <c r="BP2402" s="34"/>
      <c r="BQ2402" s="34"/>
      <c r="BR2402" s="34"/>
      <c r="BS2402" s="34"/>
      <c r="BT2402" s="34"/>
      <c r="BU2402" s="34"/>
      <c r="BV2402" s="34"/>
      <c r="BW2402" s="34"/>
      <c r="BX2402" s="34"/>
      <c r="BY2402" s="34"/>
      <c r="BZ2402" s="34"/>
      <c r="CA2402" s="34"/>
      <c r="CB2402" s="34"/>
      <c r="CC2402" s="34"/>
      <c r="CD2402" s="34"/>
      <c r="CE2402" s="34"/>
      <c r="CF2402" s="34"/>
      <c r="CG2402" s="34"/>
      <c r="CH2402" s="34"/>
    </row>
    <row r="2403" spans="1:86" x14ac:dyDescent="0.2">
      <c r="A2403" s="8" t="str">
        <f>IF(AND(COUNTIF(W$3:W$13,A$23)&gt;0,A$23&lt;&gt;B2324),A$23,IFERROR(IF(MATCH(A$23,Z$3:Z$13,0)=4,A$23," ")," "))</f>
        <v xml:space="preserve"> </v>
      </c>
      <c r="B2403" s="8" t="str">
        <f>IF(A2403=" "," ",MAX(B2395:B2402)+1)</f>
        <v xml:space="preserve"> </v>
      </c>
      <c r="C2403" s="8" t="str">
        <f>IFERROR(INDEX(A2395:A2416,MATCH(SMALL(B2395:B2416,9),B2395:B2416,0),1)," ")</f>
        <v>C19</v>
      </c>
      <c r="D2403" s="8">
        <f t="shared" si="10474"/>
        <v>0</v>
      </c>
      <c r="E2403" s="8">
        <f t="shared" si="10475"/>
        <v>0</v>
      </c>
      <c r="F2403" s="8">
        <f t="shared" si="10476"/>
        <v>0</v>
      </c>
      <c r="G2403" s="8">
        <f t="shared" si="10477"/>
        <v>0</v>
      </c>
      <c r="H2403" s="8">
        <f t="shared" si="10478"/>
        <v>0</v>
      </c>
      <c r="I2403" s="8">
        <f t="shared" si="10479"/>
        <v>0</v>
      </c>
      <c r="J2403" s="8">
        <f t="shared" si="10480"/>
        <v>0</v>
      </c>
      <c r="K2403" s="8">
        <f t="shared" si="10481"/>
        <v>1</v>
      </c>
      <c r="L2403" s="8">
        <f t="shared" si="10482"/>
        <v>0</v>
      </c>
      <c r="M2403" s="8">
        <f t="shared" si="10483"/>
        <v>0</v>
      </c>
      <c r="N2403" s="8">
        <f t="shared" si="10484"/>
        <v>0</v>
      </c>
      <c r="O2403" s="8">
        <f t="shared" si="10485"/>
        <v>0</v>
      </c>
      <c r="P2403" s="6" t="e">
        <v>#NUM!</v>
      </c>
      <c r="Q2403" s="8" t="e">
        <f t="shared" ref="Q2403" si="10515">IF(COUNTIF(P2395:P2405,"&lt;"&amp;-0.001)=0,IF(ABS(P2403)&lt;0.001,0,P2403)," ")</f>
        <v>#NUM!</v>
      </c>
      <c r="R2403" s="8"/>
      <c r="S2403" s="8"/>
      <c r="U2403" s="34"/>
      <c r="V2403" s="34"/>
      <c r="W2403" s="34"/>
      <c r="X2403" s="34"/>
      <c r="Y2403" s="34"/>
      <c r="Z2403" s="34"/>
      <c r="AA2403" s="34"/>
      <c r="AB2403" s="34"/>
      <c r="AC2403" s="34"/>
      <c r="AD2403" s="34"/>
      <c r="AE2403" s="34"/>
      <c r="AF2403" s="34"/>
      <c r="AG2403" s="34"/>
      <c r="AH2403" s="34"/>
      <c r="AI2403" s="34"/>
      <c r="AJ2403" s="34"/>
      <c r="AK2403" s="34"/>
      <c r="AL2403" s="34"/>
      <c r="AM2403" s="34"/>
      <c r="AN2403" s="34"/>
      <c r="AO2403" s="34"/>
      <c r="AP2403" s="34"/>
      <c r="AQ2403" s="34"/>
      <c r="AR2403" s="34"/>
      <c r="AS2403" s="34"/>
      <c r="AT2403" s="34"/>
      <c r="AU2403" s="34"/>
      <c r="AV2403" s="34"/>
      <c r="AW2403" s="34"/>
      <c r="AX2403" s="34"/>
      <c r="AY2403" s="34"/>
      <c r="AZ2403" s="34"/>
      <c r="BA2403" s="34"/>
      <c r="BB2403" s="34"/>
      <c r="BC2403" s="34"/>
      <c r="BD2403" s="34"/>
      <c r="BE2403" s="34"/>
      <c r="BF2403" s="34"/>
      <c r="BG2403" s="34"/>
      <c r="BH2403" s="34"/>
      <c r="BI2403" s="34"/>
      <c r="BJ2403" s="34"/>
      <c r="BK2403" s="34"/>
      <c r="BL2403" s="34"/>
      <c r="BM2403" s="34"/>
      <c r="BN2403" s="34"/>
      <c r="BO2403" s="34"/>
      <c r="BP2403" s="34"/>
      <c r="BQ2403" s="34"/>
      <c r="BR2403" s="34"/>
      <c r="BS2403" s="34"/>
      <c r="BT2403" s="34"/>
      <c r="BU2403" s="34"/>
      <c r="BV2403" s="34"/>
      <c r="BW2403" s="34"/>
      <c r="BX2403" s="34"/>
      <c r="BY2403" s="34"/>
      <c r="BZ2403" s="34"/>
      <c r="CA2403" s="34"/>
      <c r="CB2403" s="34"/>
      <c r="CC2403" s="34"/>
      <c r="CD2403" s="34"/>
      <c r="CE2403" s="34"/>
      <c r="CF2403" s="34"/>
      <c r="CG2403" s="34"/>
      <c r="CH2403" s="34"/>
    </row>
    <row r="2404" spans="1:86" x14ac:dyDescent="0.2">
      <c r="A2404" s="8" t="str">
        <f>IF(AND(COUNTIF(W$3:W$13,A$24)&gt;0,A$24&lt;&gt;B2324),A$24,IFERROR(IF(MATCH(A$24,Z$3:Z$13,0)=4,A$24," ")," "))</f>
        <v xml:space="preserve"> </v>
      </c>
      <c r="B2404" s="8" t="str">
        <f>IF(A2404=" "," ",MAX(B2395:B2403)+1)</f>
        <v xml:space="preserve"> </v>
      </c>
      <c r="C2404" s="8" t="str">
        <f>IFERROR(INDEX(A2395:A2416,MATCH(SMALL(B2395:B2416,10),B2395:B2416,0),1)," ")</f>
        <v>C20</v>
      </c>
      <c r="D2404" s="8">
        <f t="shared" si="10474"/>
        <v>0</v>
      </c>
      <c r="E2404" s="8">
        <f t="shared" si="10475"/>
        <v>0</v>
      </c>
      <c r="F2404" s="8">
        <f t="shared" si="10476"/>
        <v>0</v>
      </c>
      <c r="G2404" s="8">
        <f t="shared" si="10477"/>
        <v>0</v>
      </c>
      <c r="H2404" s="8">
        <f t="shared" si="10478"/>
        <v>0</v>
      </c>
      <c r="I2404" s="8">
        <f t="shared" si="10479"/>
        <v>0</v>
      </c>
      <c r="J2404" s="8">
        <f t="shared" si="10480"/>
        <v>0</v>
      </c>
      <c r="K2404" s="8">
        <f t="shared" si="10481"/>
        <v>0</v>
      </c>
      <c r="L2404" s="8">
        <f t="shared" si="10482"/>
        <v>1</v>
      </c>
      <c r="M2404" s="8">
        <f t="shared" si="10483"/>
        <v>0</v>
      </c>
      <c r="N2404" s="8">
        <f t="shared" si="10484"/>
        <v>0</v>
      </c>
      <c r="O2404" s="8">
        <f t="shared" si="10485"/>
        <v>0</v>
      </c>
      <c r="P2404" s="8" t="e">
        <v>#NUM!</v>
      </c>
      <c r="Q2404" s="8" t="e">
        <f t="shared" ref="Q2404" si="10516">IF(COUNTIF(P2395:P2405,"&lt;"&amp;-0.001)=0,IF(ABS(P2404)&lt;0.001,0,P2404)," ")</f>
        <v>#NUM!</v>
      </c>
      <c r="R2404" s="8"/>
      <c r="S2404" s="8"/>
      <c r="U2404" s="34"/>
      <c r="V2404" s="34"/>
      <c r="W2404" s="34"/>
      <c r="X2404" s="34"/>
      <c r="Y2404" s="34"/>
      <c r="Z2404" s="34"/>
      <c r="AA2404" s="34"/>
      <c r="AB2404" s="34"/>
      <c r="AC2404" s="34"/>
      <c r="AD2404" s="34"/>
      <c r="AE2404" s="34"/>
      <c r="AF2404" s="34"/>
      <c r="AG2404" s="34"/>
      <c r="AH2404" s="34"/>
      <c r="AI2404" s="34"/>
      <c r="AJ2404" s="34"/>
      <c r="AK2404" s="34"/>
      <c r="AL2404" s="34"/>
      <c r="AM2404" s="34"/>
      <c r="AN2404" s="34"/>
      <c r="AO2404" s="34"/>
      <c r="AP2404" s="34"/>
      <c r="AQ2404" s="34"/>
      <c r="AR2404" s="34"/>
      <c r="AS2404" s="34"/>
      <c r="AT2404" s="34"/>
      <c r="AU2404" s="34"/>
      <c r="AV2404" s="34"/>
      <c r="AW2404" s="34"/>
      <c r="AX2404" s="34"/>
      <c r="AY2404" s="34"/>
      <c r="AZ2404" s="34"/>
      <c r="BA2404" s="34"/>
      <c r="BB2404" s="34"/>
      <c r="BC2404" s="34"/>
      <c r="BD2404" s="34"/>
      <c r="BE2404" s="34"/>
      <c r="BF2404" s="34"/>
      <c r="BG2404" s="34"/>
      <c r="BH2404" s="34"/>
      <c r="BI2404" s="34"/>
      <c r="BJ2404" s="34"/>
      <c r="BK2404" s="34"/>
      <c r="BL2404" s="34"/>
      <c r="BM2404" s="34"/>
      <c r="BN2404" s="34"/>
      <c r="BO2404" s="34"/>
      <c r="BP2404" s="34"/>
      <c r="BQ2404" s="34"/>
      <c r="BR2404" s="34"/>
      <c r="BS2404" s="34"/>
      <c r="BT2404" s="34"/>
      <c r="BU2404" s="34"/>
      <c r="BV2404" s="34"/>
      <c r="BW2404" s="34"/>
      <c r="BX2404" s="34"/>
      <c r="BY2404" s="34"/>
      <c r="BZ2404" s="34"/>
      <c r="CA2404" s="34"/>
      <c r="CB2404" s="34"/>
      <c r="CC2404" s="34"/>
      <c r="CD2404" s="34"/>
      <c r="CE2404" s="34"/>
      <c r="CF2404" s="34"/>
      <c r="CG2404" s="34"/>
      <c r="CH2404" s="34"/>
    </row>
    <row r="2405" spans="1:86" x14ac:dyDescent="0.2">
      <c r="A2405" s="8" t="str">
        <f>IF(AND(COUNTIF(W$3:W$13,A$25)&gt;0,A$25&lt;&gt;B2324),A$25,IFERROR(IF(MATCH(A$25,Z$3:Z$13,0)=4,A$25," ")," "))</f>
        <v xml:space="preserve"> </v>
      </c>
      <c r="B2405" s="8" t="str">
        <f>IF(A2405=" "," ",MAX(B2395:B2404)+1)</f>
        <v xml:space="preserve"> </v>
      </c>
      <c r="C2405" s="8" t="str">
        <f>IFERROR(INDEX(A2395:A2416,MATCH(SMALL(B2395:B2416,11),B2395:B2416,0),1)," ")</f>
        <v>C22</v>
      </c>
      <c r="D2405" s="8">
        <f t="shared" si="10474"/>
        <v>0</v>
      </c>
      <c r="E2405" s="8">
        <f t="shared" si="10475"/>
        <v>0</v>
      </c>
      <c r="F2405" s="8">
        <f t="shared" si="10476"/>
        <v>0</v>
      </c>
      <c r="G2405" s="8">
        <f t="shared" si="10477"/>
        <v>0</v>
      </c>
      <c r="H2405" s="8">
        <f t="shared" si="10478"/>
        <v>0</v>
      </c>
      <c r="I2405" s="8">
        <f t="shared" si="10479"/>
        <v>0</v>
      </c>
      <c r="J2405" s="8">
        <f t="shared" si="10480"/>
        <v>0</v>
      </c>
      <c r="K2405" s="8">
        <f t="shared" si="10481"/>
        <v>0</v>
      </c>
      <c r="L2405" s="8">
        <f t="shared" si="10482"/>
        <v>0</v>
      </c>
      <c r="M2405" s="8">
        <f t="shared" si="10483"/>
        <v>0</v>
      </c>
      <c r="N2405" s="8">
        <f t="shared" si="10484"/>
        <v>1</v>
      </c>
      <c r="O2405" s="8">
        <f t="shared" si="10485"/>
        <v>0</v>
      </c>
      <c r="P2405" s="8" t="e">
        <v>#NUM!</v>
      </c>
      <c r="Q2405" s="8" t="e">
        <f t="shared" ref="Q2405" si="10517">IF(COUNTIF(P2395:P2405,"&lt;"&amp;-0.001)=0,IF(ABS(P2405)&lt;0.001,0,P2405)," ")</f>
        <v>#NUM!</v>
      </c>
      <c r="R2405" s="8"/>
      <c r="S2405" s="8"/>
      <c r="U2405" s="34"/>
      <c r="V2405" s="34"/>
      <c r="W2405" s="34"/>
      <c r="X2405" s="34"/>
      <c r="Y2405" s="34"/>
      <c r="Z2405" s="34"/>
      <c r="AA2405" s="34"/>
      <c r="AB2405" s="34"/>
      <c r="AC2405" s="34"/>
      <c r="AD2405" s="34"/>
      <c r="AE2405" s="34"/>
      <c r="AF2405" s="34"/>
      <c r="AG2405" s="34"/>
      <c r="AH2405" s="34"/>
      <c r="AI2405" s="34"/>
      <c r="AJ2405" s="34"/>
      <c r="AK2405" s="34"/>
      <c r="AL2405" s="34"/>
      <c r="AM2405" s="34"/>
      <c r="AN2405" s="34"/>
      <c r="AO2405" s="34"/>
      <c r="AP2405" s="34"/>
      <c r="AQ2405" s="34"/>
      <c r="AR2405" s="34"/>
      <c r="AS2405" s="34"/>
      <c r="AT2405" s="34"/>
      <c r="AU2405" s="34"/>
      <c r="AV2405" s="34"/>
      <c r="AW2405" s="34"/>
      <c r="AX2405" s="34"/>
      <c r="AY2405" s="34"/>
      <c r="AZ2405" s="34"/>
      <c r="BA2405" s="34"/>
      <c r="BB2405" s="34"/>
      <c r="BC2405" s="34"/>
      <c r="BD2405" s="34"/>
      <c r="BE2405" s="34"/>
      <c r="BF2405" s="34"/>
      <c r="BG2405" s="34"/>
      <c r="BH2405" s="34"/>
      <c r="BI2405" s="34"/>
      <c r="BJ2405" s="34"/>
      <c r="BK2405" s="34"/>
      <c r="BL2405" s="34"/>
      <c r="BM2405" s="34"/>
      <c r="BN2405" s="34"/>
      <c r="BO2405" s="34"/>
      <c r="BP2405" s="34"/>
      <c r="BQ2405" s="34"/>
      <c r="BR2405" s="34"/>
      <c r="BS2405" s="34"/>
      <c r="BT2405" s="34"/>
      <c r="BU2405" s="34"/>
      <c r="BV2405" s="34"/>
      <c r="BW2405" s="34"/>
      <c r="BX2405" s="34"/>
      <c r="BY2405" s="34"/>
      <c r="BZ2405" s="34"/>
      <c r="CA2405" s="34"/>
      <c r="CB2405" s="34"/>
      <c r="CC2405" s="34"/>
      <c r="CD2405" s="34"/>
      <c r="CE2405" s="34"/>
      <c r="CF2405" s="34"/>
      <c r="CG2405" s="34"/>
      <c r="CH2405" s="34"/>
    </row>
    <row r="2406" spans="1:86" x14ac:dyDescent="0.2">
      <c r="A2406" s="8" t="str">
        <f>IF(AND(COUNTIF(W$3:W$13,A$26)&gt;0,A$26&lt;&gt;B2324),A$26,IFERROR(IF(MATCH(A$26,Z$3:Z$13,0)=4,A$26," ")," "))</f>
        <v xml:space="preserve"> </v>
      </c>
      <c r="B2406" s="8" t="str">
        <f>IF(A2406=" "," ",MAX(B2395:B2405)+1)</f>
        <v xml:space="preserve"> </v>
      </c>
      <c r="C2406" s="8"/>
      <c r="D2406" s="8"/>
      <c r="E2406" s="8"/>
      <c r="F2406" s="8"/>
      <c r="G2406" s="8"/>
      <c r="H2406" s="8"/>
      <c r="I2406" s="8"/>
      <c r="J2406" s="8"/>
      <c r="K2406" s="8"/>
      <c r="L2406" s="8"/>
      <c r="M2406" s="8"/>
      <c r="N2406" s="8"/>
      <c r="O2406" s="8"/>
      <c r="P2406" s="8"/>
      <c r="Q2406" s="8"/>
      <c r="R2406" s="8"/>
      <c r="S2406" s="8"/>
      <c r="U2406" s="34"/>
      <c r="V2406" s="34"/>
      <c r="W2406" s="34"/>
      <c r="X2406" s="34"/>
      <c r="Y2406" s="34"/>
      <c r="Z2406" s="34"/>
      <c r="AA2406" s="34"/>
      <c r="AB2406" s="34"/>
      <c r="AC2406" s="34"/>
      <c r="AD2406" s="34"/>
      <c r="AE2406" s="34"/>
      <c r="AF2406" s="34"/>
      <c r="AG2406" s="34"/>
      <c r="AH2406" s="34"/>
      <c r="AI2406" s="34"/>
      <c r="AJ2406" s="34"/>
      <c r="AK2406" s="34"/>
      <c r="AL2406" s="34"/>
      <c r="AM2406" s="34"/>
      <c r="AN2406" s="34"/>
      <c r="AO2406" s="34"/>
      <c r="AP2406" s="34"/>
      <c r="AQ2406" s="34"/>
      <c r="AR2406" s="34"/>
      <c r="AS2406" s="34"/>
      <c r="AT2406" s="34"/>
      <c r="AU2406" s="34"/>
      <c r="AV2406" s="34"/>
      <c r="AW2406" s="34"/>
      <c r="AX2406" s="34"/>
      <c r="AY2406" s="34"/>
      <c r="AZ2406" s="34"/>
      <c r="BA2406" s="34"/>
      <c r="BB2406" s="34"/>
      <c r="BC2406" s="34"/>
      <c r="BD2406" s="34"/>
      <c r="BE2406" s="34"/>
      <c r="BF2406" s="34"/>
      <c r="BG2406" s="34"/>
      <c r="BH2406" s="34"/>
      <c r="BI2406" s="34"/>
      <c r="BJ2406" s="34"/>
      <c r="BK2406" s="34"/>
      <c r="BL2406" s="34"/>
      <c r="BM2406" s="34"/>
      <c r="BN2406" s="34"/>
      <c r="BO2406" s="34"/>
      <c r="BP2406" s="34"/>
      <c r="BQ2406" s="34"/>
      <c r="BR2406" s="34"/>
      <c r="BS2406" s="34"/>
      <c r="BT2406" s="34"/>
      <c r="BU2406" s="34"/>
      <c r="BV2406" s="34"/>
      <c r="BW2406" s="34"/>
      <c r="BX2406" s="34"/>
      <c r="BY2406" s="34"/>
      <c r="BZ2406" s="34"/>
      <c r="CA2406" s="34"/>
      <c r="CB2406" s="34"/>
      <c r="CC2406" s="34"/>
      <c r="CD2406" s="34"/>
      <c r="CE2406" s="34"/>
      <c r="CF2406" s="34"/>
      <c r="CG2406" s="34"/>
      <c r="CH2406" s="34"/>
    </row>
    <row r="2407" spans="1:86" x14ac:dyDescent="0.2">
      <c r="A2407" s="8" t="str">
        <f>IF(AND(COUNTIF(W$3:W$13,A$27)&gt;0,A$27&lt;&gt;B2324),A$27,IFERROR(IF(MATCH(A$27,Z$3:Z$13,0)=4,A$27," ")," "))</f>
        <v>C13</v>
      </c>
      <c r="B2407" s="8">
        <f>IF(A2407=" "," ",MAX(B2395:B2406)+1)</f>
        <v>4</v>
      </c>
      <c r="C2407" s="8"/>
      <c r="D2407" s="8"/>
      <c r="E2407" s="8"/>
      <c r="F2407" s="8"/>
      <c r="G2407" s="8"/>
      <c r="H2407" s="8"/>
      <c r="I2407" s="8"/>
      <c r="J2407" s="8"/>
      <c r="K2407" s="8"/>
      <c r="L2407" s="8"/>
      <c r="M2407" s="8"/>
      <c r="N2407" s="8"/>
      <c r="O2407" s="8"/>
      <c r="P2407" s="8"/>
      <c r="Q2407" s="8"/>
      <c r="R2407" s="8"/>
      <c r="S2407" s="8"/>
      <c r="U2407" s="34"/>
      <c r="V2407" s="34"/>
      <c r="W2407" s="34"/>
      <c r="X2407" s="34"/>
      <c r="Y2407" s="34"/>
      <c r="Z2407" s="34"/>
      <c r="AA2407" s="34"/>
      <c r="AB2407" s="34"/>
      <c r="AC2407" s="34"/>
      <c r="AD2407" s="34"/>
      <c r="AE2407" s="34"/>
      <c r="AF2407" s="34"/>
      <c r="AG2407" s="34"/>
      <c r="AH2407" s="34"/>
      <c r="AI2407" s="34"/>
      <c r="AJ2407" s="34"/>
      <c r="AK2407" s="34"/>
      <c r="AL2407" s="34"/>
      <c r="AM2407" s="34"/>
      <c r="AN2407" s="34"/>
      <c r="AO2407" s="34"/>
      <c r="AP2407" s="34"/>
      <c r="AQ2407" s="34"/>
      <c r="AR2407" s="34"/>
      <c r="AS2407" s="34"/>
      <c r="AT2407" s="34"/>
      <c r="AU2407" s="34"/>
      <c r="AV2407" s="34"/>
      <c r="AW2407" s="34"/>
      <c r="AX2407" s="34"/>
      <c r="AY2407" s="34"/>
      <c r="AZ2407" s="34"/>
      <c r="BA2407" s="34"/>
      <c r="BB2407" s="34"/>
      <c r="BC2407" s="34"/>
      <c r="BD2407" s="34"/>
      <c r="BE2407" s="34"/>
      <c r="BF2407" s="34"/>
      <c r="BG2407" s="34"/>
      <c r="BH2407" s="34"/>
      <c r="BI2407" s="34"/>
      <c r="BJ2407" s="34"/>
      <c r="BK2407" s="34"/>
      <c r="BL2407" s="34"/>
      <c r="BM2407" s="34"/>
      <c r="BN2407" s="34"/>
      <c r="BO2407" s="34"/>
      <c r="BP2407" s="34"/>
      <c r="BQ2407" s="34"/>
      <c r="BR2407" s="34"/>
      <c r="BS2407" s="34"/>
      <c r="BT2407" s="34"/>
      <c r="BU2407" s="34"/>
      <c r="BV2407" s="34"/>
      <c r="BW2407" s="34"/>
      <c r="BX2407" s="34"/>
      <c r="BY2407" s="34"/>
      <c r="BZ2407" s="34"/>
      <c r="CA2407" s="34"/>
      <c r="CB2407" s="34"/>
      <c r="CC2407" s="34"/>
      <c r="CD2407" s="34"/>
      <c r="CE2407" s="34"/>
      <c r="CF2407" s="34"/>
      <c r="CG2407" s="34"/>
      <c r="CH2407" s="34"/>
    </row>
    <row r="2408" spans="1:86" x14ac:dyDescent="0.2">
      <c r="A2408" s="8" t="str">
        <f>IF(AND(COUNTIF(W$3:W$13,A$28)&gt;0,A$28&lt;&gt;B2324),A$28,IFERROR(IF(MATCH(A$28,Z$3:Z$13,0)=4,A$28," ")," "))</f>
        <v xml:space="preserve"> </v>
      </c>
      <c r="B2408" s="8" t="str">
        <f>IF(A2408=" "," ",MAX(B2395:B2407)+1)</f>
        <v xml:space="preserve"> </v>
      </c>
      <c r="C2408" s="8"/>
      <c r="D2408" s="8"/>
      <c r="E2408" s="8"/>
      <c r="F2408" s="8"/>
      <c r="G2408" s="8"/>
      <c r="H2408" s="8"/>
      <c r="I2408" s="8"/>
      <c r="J2408" s="8"/>
      <c r="K2408" s="8"/>
      <c r="L2408" s="8"/>
      <c r="M2408" s="8"/>
      <c r="N2408" s="8"/>
      <c r="O2408" s="8"/>
      <c r="P2408" s="8"/>
      <c r="Q2408" s="8"/>
      <c r="R2408" s="8"/>
      <c r="S2408" s="8"/>
      <c r="U2408" s="34"/>
      <c r="V2408" s="34"/>
      <c r="W2408" s="34"/>
      <c r="X2408" s="34"/>
      <c r="Y2408" s="34"/>
      <c r="Z2408" s="34"/>
      <c r="AA2408" s="34"/>
      <c r="AB2408" s="34"/>
      <c r="AC2408" s="34"/>
      <c r="AD2408" s="34"/>
      <c r="AE2408" s="34"/>
      <c r="AF2408" s="34"/>
      <c r="AG2408" s="34"/>
      <c r="AH2408" s="34"/>
      <c r="AI2408" s="34"/>
      <c r="AJ2408" s="34"/>
      <c r="AK2408" s="34"/>
      <c r="AL2408" s="34"/>
      <c r="AM2408" s="34"/>
      <c r="AN2408" s="34"/>
      <c r="AO2408" s="34"/>
      <c r="AP2408" s="34"/>
      <c r="AQ2408" s="34"/>
      <c r="AR2408" s="34"/>
      <c r="AS2408" s="34"/>
      <c r="AT2408" s="34"/>
      <c r="AU2408" s="34"/>
      <c r="AV2408" s="34"/>
      <c r="AW2408" s="34"/>
      <c r="AX2408" s="34"/>
      <c r="AY2408" s="34"/>
      <c r="AZ2408" s="34"/>
      <c r="BA2408" s="34"/>
      <c r="BB2408" s="34"/>
      <c r="BC2408" s="34"/>
      <c r="BD2408" s="34"/>
      <c r="BE2408" s="34"/>
      <c r="BF2408" s="34"/>
      <c r="BG2408" s="34"/>
      <c r="BH2408" s="34"/>
      <c r="BI2408" s="34"/>
      <c r="BJ2408" s="34"/>
      <c r="BK2408" s="34"/>
      <c r="BL2408" s="34"/>
      <c r="BM2408" s="34"/>
      <c r="BN2408" s="34"/>
      <c r="BO2408" s="34"/>
      <c r="BP2408" s="34"/>
      <c r="BQ2408" s="34"/>
      <c r="BR2408" s="34"/>
      <c r="BS2408" s="34"/>
      <c r="BT2408" s="34"/>
      <c r="BU2408" s="34"/>
      <c r="BV2408" s="34"/>
      <c r="BW2408" s="34"/>
      <c r="BX2408" s="34"/>
      <c r="BY2408" s="34"/>
      <c r="BZ2408" s="34"/>
      <c r="CA2408" s="34"/>
      <c r="CB2408" s="34"/>
      <c r="CC2408" s="34"/>
      <c r="CD2408" s="34"/>
      <c r="CE2408" s="34"/>
      <c r="CF2408" s="34"/>
      <c r="CG2408" s="34"/>
      <c r="CH2408" s="34"/>
    </row>
    <row r="2409" spans="1:86" x14ac:dyDescent="0.2">
      <c r="A2409" s="8" t="str">
        <f>IF(AND(COUNTIF(W$3:W$13,A$29)&gt;0,A$29&lt;&gt;B2324),A$29,IFERROR(IF(MATCH(A$29,Z$3:Z$13,0)=4,A$29," ")," "))</f>
        <v>C15</v>
      </c>
      <c r="B2409" s="8">
        <f>IF(A2409=" "," ",MAX(B2395:B2408)+1)</f>
        <v>5</v>
      </c>
      <c r="C2409" s="8"/>
      <c r="D2409" s="8"/>
      <c r="E2409" s="8"/>
      <c r="F2409" s="8"/>
      <c r="G2409" s="8"/>
      <c r="H2409" s="8"/>
      <c r="I2409" s="8"/>
      <c r="J2409" s="8"/>
      <c r="K2409" s="8"/>
      <c r="L2409" s="8"/>
      <c r="M2409" s="8"/>
      <c r="N2409" s="8"/>
      <c r="O2409" s="8"/>
      <c r="P2409" s="8"/>
      <c r="Q2409" s="8"/>
      <c r="R2409" s="8"/>
      <c r="S2409" s="8"/>
      <c r="U2409" s="34"/>
      <c r="V2409" s="34"/>
      <c r="W2409" s="34"/>
      <c r="X2409" s="34"/>
      <c r="Y2409" s="34"/>
      <c r="Z2409" s="34"/>
      <c r="AA2409" s="34"/>
      <c r="AB2409" s="34"/>
      <c r="AC2409" s="34"/>
      <c r="AD2409" s="34"/>
      <c r="AE2409" s="34"/>
      <c r="AF2409" s="34"/>
      <c r="AG2409" s="34"/>
      <c r="AH2409" s="34"/>
      <c r="AI2409" s="34"/>
      <c r="AJ2409" s="34"/>
      <c r="AK2409" s="34"/>
      <c r="AL2409" s="34"/>
      <c r="AM2409" s="34"/>
      <c r="AN2409" s="34"/>
      <c r="AO2409" s="34"/>
      <c r="AP2409" s="34"/>
      <c r="AQ2409" s="34"/>
      <c r="AR2409" s="34"/>
      <c r="AS2409" s="34"/>
      <c r="AT2409" s="34"/>
      <c r="AU2409" s="34"/>
      <c r="AV2409" s="34"/>
      <c r="AW2409" s="34"/>
      <c r="AX2409" s="34"/>
      <c r="AY2409" s="34"/>
      <c r="AZ2409" s="34"/>
      <c r="BA2409" s="34"/>
      <c r="BB2409" s="34"/>
      <c r="BC2409" s="34"/>
      <c r="BD2409" s="34"/>
      <c r="BE2409" s="34"/>
      <c r="BF2409" s="34"/>
      <c r="BG2409" s="34"/>
      <c r="BH2409" s="34"/>
      <c r="BI2409" s="34"/>
      <c r="BJ2409" s="34"/>
      <c r="BK2409" s="34"/>
      <c r="BL2409" s="34"/>
      <c r="BM2409" s="34"/>
      <c r="BN2409" s="34"/>
      <c r="BO2409" s="34"/>
      <c r="BP2409" s="34"/>
      <c r="BQ2409" s="34"/>
      <c r="BR2409" s="34"/>
      <c r="BS2409" s="34"/>
      <c r="BT2409" s="34"/>
      <c r="BU2409" s="34"/>
      <c r="BV2409" s="34"/>
      <c r="BW2409" s="34"/>
      <c r="BX2409" s="34"/>
      <c r="BY2409" s="34"/>
      <c r="BZ2409" s="34"/>
      <c r="CA2409" s="34"/>
      <c r="CB2409" s="34"/>
      <c r="CC2409" s="34"/>
      <c r="CD2409" s="34"/>
      <c r="CE2409" s="34"/>
      <c r="CF2409" s="34"/>
      <c r="CG2409" s="34"/>
      <c r="CH2409" s="34"/>
    </row>
    <row r="2410" spans="1:86" x14ac:dyDescent="0.2">
      <c r="A2410" s="8" t="str">
        <f>IF(AND(COUNTIF(W$3:W$13,A$30)&gt;0,A$30&lt;&gt;B2324),A$30,IFERROR(IF(MATCH(A$30,Z$3:Z$13,0)=4,A$30," ")," "))</f>
        <v>C16</v>
      </c>
      <c r="B2410" s="8">
        <f>IF(A2410=" "," ",MAX(B2395:B2409)+1)</f>
        <v>6</v>
      </c>
      <c r="C2410" s="8"/>
      <c r="D2410" s="8"/>
      <c r="E2410" s="8"/>
      <c r="F2410" s="8"/>
      <c r="G2410" s="8"/>
      <c r="H2410" s="8"/>
      <c r="I2410" s="8"/>
      <c r="J2410" s="8"/>
      <c r="K2410" s="8"/>
      <c r="L2410" s="8"/>
      <c r="M2410" s="8"/>
      <c r="N2410" s="8"/>
      <c r="O2410" s="8"/>
      <c r="P2410" s="8"/>
      <c r="Q2410" s="8"/>
      <c r="R2410" s="8"/>
      <c r="S2410" s="8"/>
      <c r="U2410" s="34"/>
      <c r="V2410" s="34"/>
      <c r="W2410" s="34"/>
      <c r="X2410" s="34"/>
      <c r="Y2410" s="34"/>
      <c r="Z2410" s="34"/>
      <c r="AA2410" s="34"/>
      <c r="AB2410" s="34"/>
      <c r="AC2410" s="34"/>
      <c r="AD2410" s="34"/>
      <c r="AE2410" s="34"/>
      <c r="AF2410" s="34"/>
      <c r="AG2410" s="34"/>
      <c r="AH2410" s="34"/>
      <c r="AI2410" s="34"/>
      <c r="AJ2410" s="34"/>
      <c r="AK2410" s="34"/>
      <c r="AL2410" s="34"/>
      <c r="AM2410" s="34"/>
      <c r="AN2410" s="34"/>
      <c r="AO2410" s="34"/>
      <c r="AP2410" s="34"/>
      <c r="AQ2410" s="34"/>
      <c r="AR2410" s="34"/>
      <c r="AS2410" s="34"/>
      <c r="AT2410" s="34"/>
      <c r="AU2410" s="34"/>
      <c r="AV2410" s="34"/>
      <c r="AW2410" s="34"/>
      <c r="AX2410" s="34"/>
      <c r="AY2410" s="34"/>
      <c r="AZ2410" s="34"/>
      <c r="BA2410" s="34"/>
      <c r="BB2410" s="34"/>
      <c r="BC2410" s="34"/>
      <c r="BD2410" s="34"/>
      <c r="BE2410" s="34"/>
      <c r="BF2410" s="34"/>
      <c r="BG2410" s="34"/>
      <c r="BH2410" s="34"/>
      <c r="BI2410" s="34"/>
      <c r="BJ2410" s="34"/>
      <c r="BK2410" s="34"/>
      <c r="BL2410" s="34"/>
      <c r="BM2410" s="34"/>
      <c r="BN2410" s="34"/>
      <c r="BO2410" s="34"/>
      <c r="BP2410" s="34"/>
      <c r="BQ2410" s="34"/>
      <c r="BR2410" s="34"/>
      <c r="BS2410" s="34"/>
      <c r="BT2410" s="34"/>
      <c r="BU2410" s="34"/>
      <c r="BV2410" s="34"/>
      <c r="BW2410" s="34"/>
      <c r="BX2410" s="34"/>
      <c r="BY2410" s="34"/>
      <c r="BZ2410" s="34"/>
      <c r="CA2410" s="34"/>
      <c r="CB2410" s="34"/>
      <c r="CC2410" s="34"/>
      <c r="CD2410" s="34"/>
      <c r="CE2410" s="34"/>
      <c r="CF2410" s="34"/>
      <c r="CG2410" s="34"/>
      <c r="CH2410" s="34"/>
    </row>
    <row r="2411" spans="1:86" x14ac:dyDescent="0.2">
      <c r="A2411" s="8" t="str">
        <f>IF(AND(COUNTIF(W$3:W$13,A$31)&gt;0,A$31&lt;&gt;B2324),A$31,IFERROR(IF(MATCH(A$31,Z$3:Z$13,0)=4,A$31," ")," "))</f>
        <v>C17</v>
      </c>
      <c r="B2411" s="8">
        <f>IF(A2411=" "," ",MAX(B2395:B2410)+1)</f>
        <v>7</v>
      </c>
      <c r="C2411" s="8"/>
      <c r="D2411" s="8"/>
      <c r="E2411" s="8"/>
      <c r="F2411" s="8"/>
      <c r="G2411" s="8"/>
      <c r="H2411" s="8"/>
      <c r="I2411" s="8"/>
      <c r="J2411" s="8"/>
      <c r="K2411" s="8"/>
      <c r="L2411" s="8"/>
      <c r="M2411" s="8"/>
      <c r="N2411" s="8"/>
      <c r="O2411" s="8"/>
      <c r="P2411" s="8"/>
      <c r="Q2411" s="8"/>
      <c r="R2411" s="8"/>
      <c r="S2411" s="8"/>
      <c r="U2411" s="34"/>
      <c r="V2411" s="34"/>
      <c r="W2411" s="34"/>
      <c r="X2411" s="34"/>
      <c r="Y2411" s="34"/>
      <c r="Z2411" s="34"/>
      <c r="AA2411" s="34"/>
      <c r="AB2411" s="34"/>
      <c r="AC2411" s="34"/>
      <c r="AD2411" s="34"/>
      <c r="AE2411" s="34"/>
      <c r="AF2411" s="34"/>
      <c r="AG2411" s="34"/>
      <c r="AH2411" s="34"/>
      <c r="AI2411" s="34"/>
      <c r="AJ2411" s="34"/>
      <c r="AK2411" s="34"/>
      <c r="AL2411" s="34"/>
      <c r="AM2411" s="34"/>
      <c r="AN2411" s="34"/>
      <c r="AO2411" s="34"/>
      <c r="AP2411" s="34"/>
      <c r="AQ2411" s="34"/>
      <c r="AR2411" s="34"/>
      <c r="AS2411" s="34"/>
      <c r="AT2411" s="34"/>
      <c r="AU2411" s="34"/>
      <c r="AV2411" s="34"/>
      <c r="AW2411" s="34"/>
      <c r="AX2411" s="34"/>
      <c r="AY2411" s="34"/>
      <c r="AZ2411" s="34"/>
      <c r="BA2411" s="34"/>
      <c r="BB2411" s="34"/>
      <c r="BC2411" s="34"/>
      <c r="BD2411" s="34"/>
      <c r="BE2411" s="34"/>
      <c r="BF2411" s="34"/>
      <c r="BG2411" s="34"/>
      <c r="BH2411" s="34"/>
      <c r="BI2411" s="34"/>
      <c r="BJ2411" s="34"/>
      <c r="BK2411" s="34"/>
      <c r="BL2411" s="34"/>
      <c r="BM2411" s="34"/>
      <c r="BN2411" s="34"/>
      <c r="BO2411" s="34"/>
      <c r="BP2411" s="34"/>
      <c r="BQ2411" s="34"/>
      <c r="BR2411" s="34"/>
      <c r="BS2411" s="34"/>
      <c r="BT2411" s="34"/>
      <c r="BU2411" s="34"/>
      <c r="BV2411" s="34"/>
      <c r="BW2411" s="34"/>
      <c r="BX2411" s="34"/>
      <c r="BY2411" s="34"/>
      <c r="BZ2411" s="34"/>
      <c r="CA2411" s="34"/>
      <c r="CB2411" s="34"/>
      <c r="CC2411" s="34"/>
      <c r="CD2411" s="34"/>
      <c r="CE2411" s="34"/>
      <c r="CF2411" s="34"/>
      <c r="CG2411" s="34"/>
      <c r="CH2411" s="34"/>
    </row>
    <row r="2412" spans="1:86" x14ac:dyDescent="0.2">
      <c r="A2412" s="8" t="str">
        <f>IF(AND(COUNTIF(W$3:W$13,A$32)&gt;0,A$32&lt;&gt;B2324),A$32,IFERROR(IF(MATCH(A$32,Z$3:Z$13,0)=4,A$32," ")," "))</f>
        <v>C18</v>
      </c>
      <c r="B2412" s="8">
        <f>IF(A2412=" "," ",MAX(B2395:B2411)+1)</f>
        <v>8</v>
      </c>
      <c r="C2412" s="8"/>
      <c r="D2412" s="8"/>
      <c r="E2412" s="8"/>
      <c r="F2412" s="8"/>
      <c r="G2412" s="8"/>
      <c r="H2412" s="8"/>
      <c r="I2412" s="8"/>
      <c r="J2412" s="8"/>
      <c r="K2412" s="8"/>
      <c r="L2412" s="8"/>
      <c r="M2412" s="8"/>
      <c r="N2412" s="8"/>
      <c r="O2412" s="8"/>
      <c r="P2412" s="8"/>
      <c r="Q2412" s="8"/>
      <c r="R2412" s="8"/>
      <c r="S2412" s="8"/>
      <c r="U2412" s="34"/>
      <c r="V2412" s="34"/>
      <c r="W2412" s="34"/>
      <c r="X2412" s="34"/>
      <c r="Y2412" s="34"/>
      <c r="Z2412" s="34"/>
      <c r="AA2412" s="34"/>
      <c r="AB2412" s="34"/>
      <c r="AC2412" s="34"/>
      <c r="AD2412" s="34"/>
      <c r="AE2412" s="34"/>
      <c r="AF2412" s="34"/>
      <c r="AG2412" s="34"/>
      <c r="AH2412" s="34"/>
      <c r="AI2412" s="34"/>
      <c r="AJ2412" s="34"/>
      <c r="AK2412" s="34"/>
      <c r="AL2412" s="34"/>
      <c r="AM2412" s="34"/>
      <c r="AN2412" s="34"/>
      <c r="AO2412" s="34"/>
      <c r="AP2412" s="34"/>
      <c r="AQ2412" s="34"/>
      <c r="AR2412" s="34"/>
      <c r="AS2412" s="34"/>
      <c r="AT2412" s="34"/>
      <c r="AU2412" s="34"/>
      <c r="AV2412" s="34"/>
      <c r="AW2412" s="34"/>
      <c r="AX2412" s="34"/>
      <c r="AY2412" s="34"/>
      <c r="AZ2412" s="34"/>
      <c r="BA2412" s="34"/>
      <c r="BB2412" s="34"/>
      <c r="BC2412" s="34"/>
      <c r="BD2412" s="34"/>
      <c r="BE2412" s="34"/>
      <c r="BF2412" s="34"/>
      <c r="BG2412" s="34"/>
      <c r="BH2412" s="34"/>
      <c r="BI2412" s="34"/>
      <c r="BJ2412" s="34"/>
      <c r="BK2412" s="34"/>
      <c r="BL2412" s="34"/>
      <c r="BM2412" s="34"/>
      <c r="BN2412" s="34"/>
      <c r="BO2412" s="34"/>
      <c r="BP2412" s="34"/>
      <c r="BQ2412" s="34"/>
      <c r="BR2412" s="34"/>
      <c r="BS2412" s="34"/>
      <c r="BT2412" s="34"/>
      <c r="BU2412" s="34"/>
      <c r="BV2412" s="34"/>
      <c r="BW2412" s="34"/>
      <c r="BX2412" s="34"/>
      <c r="BY2412" s="34"/>
      <c r="BZ2412" s="34"/>
      <c r="CA2412" s="34"/>
      <c r="CB2412" s="34"/>
      <c r="CC2412" s="34"/>
      <c r="CD2412" s="34"/>
      <c r="CE2412" s="34"/>
      <c r="CF2412" s="34"/>
      <c r="CG2412" s="34"/>
      <c r="CH2412" s="34"/>
    </row>
    <row r="2413" spans="1:86" x14ac:dyDescent="0.2">
      <c r="A2413" s="8" t="str">
        <f>IF(AND(COUNTIF(W$3:W$13,A$33)&gt;0,A$33&lt;&gt;B2324),A$33,IFERROR(IF(MATCH(A$33,Z$3:Z$13,0)=4,A$33," ")," "))</f>
        <v>C19</v>
      </c>
      <c r="B2413" s="8">
        <f>IF(A2413=" "," ",MAX(B2395:B2412)+1)</f>
        <v>9</v>
      </c>
      <c r="C2413" s="8"/>
      <c r="D2413" s="8"/>
      <c r="E2413" s="8"/>
      <c r="F2413" s="8"/>
      <c r="G2413" s="8"/>
      <c r="H2413" s="8"/>
      <c r="I2413" s="8"/>
      <c r="J2413" s="8"/>
      <c r="K2413" s="8"/>
      <c r="L2413" s="8"/>
      <c r="M2413" s="8"/>
      <c r="N2413" s="8"/>
      <c r="O2413" s="8"/>
      <c r="P2413" s="8"/>
      <c r="Q2413" s="8"/>
      <c r="R2413" s="8"/>
      <c r="S2413" s="8"/>
      <c r="U2413" s="34"/>
      <c r="V2413" s="34"/>
      <c r="W2413" s="34"/>
      <c r="X2413" s="34"/>
      <c r="Y2413" s="34"/>
      <c r="Z2413" s="34"/>
      <c r="AA2413" s="34"/>
      <c r="AB2413" s="34"/>
      <c r="AC2413" s="34"/>
      <c r="AD2413" s="34"/>
      <c r="AE2413" s="34"/>
      <c r="AF2413" s="34"/>
      <c r="AG2413" s="34"/>
      <c r="AH2413" s="34"/>
      <c r="AI2413" s="34"/>
      <c r="AJ2413" s="34"/>
      <c r="AK2413" s="34"/>
      <c r="AL2413" s="34"/>
      <c r="AM2413" s="34"/>
      <c r="AN2413" s="34"/>
      <c r="AO2413" s="34"/>
      <c r="AP2413" s="34"/>
      <c r="AQ2413" s="34"/>
      <c r="AR2413" s="34"/>
      <c r="AS2413" s="34"/>
      <c r="AT2413" s="34"/>
      <c r="AU2413" s="34"/>
      <c r="AV2413" s="34"/>
      <c r="AW2413" s="34"/>
      <c r="AX2413" s="34"/>
      <c r="AY2413" s="34"/>
      <c r="AZ2413" s="34"/>
      <c r="BA2413" s="34"/>
      <c r="BB2413" s="34"/>
      <c r="BC2413" s="34"/>
      <c r="BD2413" s="34"/>
      <c r="BE2413" s="34"/>
      <c r="BF2413" s="34"/>
      <c r="BG2413" s="34"/>
      <c r="BH2413" s="34"/>
      <c r="BI2413" s="34"/>
      <c r="BJ2413" s="34"/>
      <c r="BK2413" s="34"/>
      <c r="BL2413" s="34"/>
      <c r="BM2413" s="34"/>
      <c r="BN2413" s="34"/>
      <c r="BO2413" s="34"/>
      <c r="BP2413" s="34"/>
      <c r="BQ2413" s="34"/>
      <c r="BR2413" s="34"/>
      <c r="BS2413" s="34"/>
      <c r="BT2413" s="34"/>
      <c r="BU2413" s="34"/>
      <c r="BV2413" s="34"/>
      <c r="BW2413" s="34"/>
      <c r="BX2413" s="34"/>
      <c r="BY2413" s="34"/>
      <c r="BZ2413" s="34"/>
      <c r="CA2413" s="34"/>
      <c r="CB2413" s="34"/>
      <c r="CC2413" s="34"/>
      <c r="CD2413" s="34"/>
      <c r="CE2413" s="34"/>
      <c r="CF2413" s="34"/>
      <c r="CG2413" s="34"/>
      <c r="CH2413" s="34"/>
    </row>
    <row r="2414" spans="1:86" x14ac:dyDescent="0.2">
      <c r="A2414" s="8" t="str">
        <f>IF(AND(COUNTIF(W$3:W$13,A$34)&gt;0,A$34&lt;&gt;B2324),A$34,IFERROR(IF(MATCH(A$34,Z$3:Z$13,0)=4,A$34," ")," "))</f>
        <v>C20</v>
      </c>
      <c r="B2414" s="8">
        <f>IF(A2414=" "," ",MAX(B2395:B2413)+1)</f>
        <v>10</v>
      </c>
      <c r="C2414" s="8"/>
      <c r="D2414" s="8"/>
      <c r="E2414" s="8"/>
      <c r="F2414" s="8"/>
      <c r="G2414" s="8"/>
      <c r="H2414" s="8"/>
      <c r="I2414" s="8"/>
      <c r="J2414" s="8"/>
      <c r="K2414" s="8"/>
      <c r="L2414" s="8"/>
      <c r="M2414" s="8"/>
      <c r="N2414" s="8"/>
      <c r="O2414" s="8"/>
      <c r="P2414" s="8"/>
      <c r="Q2414" s="8"/>
      <c r="R2414" s="8"/>
      <c r="S2414" s="8"/>
      <c r="U2414" s="34"/>
      <c r="V2414" s="34"/>
      <c r="W2414" s="34"/>
      <c r="X2414" s="34"/>
      <c r="Y2414" s="34"/>
      <c r="Z2414" s="34"/>
      <c r="AA2414" s="34"/>
      <c r="AB2414" s="34"/>
      <c r="AC2414" s="34"/>
      <c r="AD2414" s="34"/>
      <c r="AE2414" s="34"/>
      <c r="AF2414" s="34"/>
      <c r="AG2414" s="34"/>
      <c r="AH2414" s="34"/>
      <c r="AI2414" s="34"/>
      <c r="AJ2414" s="34"/>
      <c r="AK2414" s="34"/>
      <c r="AL2414" s="34"/>
      <c r="AM2414" s="34"/>
      <c r="AN2414" s="34"/>
      <c r="AO2414" s="34"/>
      <c r="AP2414" s="34"/>
      <c r="AQ2414" s="34"/>
      <c r="AR2414" s="34"/>
      <c r="AS2414" s="34"/>
      <c r="AT2414" s="34"/>
      <c r="AU2414" s="34"/>
      <c r="AV2414" s="34"/>
      <c r="AW2414" s="34"/>
      <c r="AX2414" s="34"/>
      <c r="AY2414" s="34"/>
      <c r="AZ2414" s="34"/>
      <c r="BA2414" s="34"/>
      <c r="BB2414" s="34"/>
      <c r="BC2414" s="34"/>
      <c r="BD2414" s="34"/>
      <c r="BE2414" s="34"/>
      <c r="BF2414" s="34"/>
      <c r="BG2414" s="34"/>
      <c r="BH2414" s="34"/>
      <c r="BI2414" s="34"/>
      <c r="BJ2414" s="34"/>
      <c r="BK2414" s="34"/>
      <c r="BL2414" s="34"/>
      <c r="BM2414" s="34"/>
      <c r="BN2414" s="34"/>
      <c r="BO2414" s="34"/>
      <c r="BP2414" s="34"/>
      <c r="BQ2414" s="34"/>
      <c r="BR2414" s="34"/>
      <c r="BS2414" s="34"/>
      <c r="BT2414" s="34"/>
      <c r="BU2414" s="34"/>
      <c r="BV2414" s="34"/>
      <c r="BW2414" s="34"/>
      <c r="BX2414" s="34"/>
      <c r="BY2414" s="34"/>
      <c r="BZ2414" s="34"/>
      <c r="CA2414" s="34"/>
      <c r="CB2414" s="34"/>
      <c r="CC2414" s="34"/>
      <c r="CD2414" s="34"/>
      <c r="CE2414" s="34"/>
      <c r="CF2414" s="34"/>
      <c r="CG2414" s="34"/>
      <c r="CH2414" s="34"/>
    </row>
    <row r="2415" spans="1:86" x14ac:dyDescent="0.2">
      <c r="A2415" s="8" t="str">
        <f>IF(AND(COUNTIF(W$3:W$13,A$35)&gt;0,A$35&lt;&gt;B2324),A$35,IFERROR(IF(MATCH(A$35,Z$3:Z$13,0)=4,A$35," ")," "))</f>
        <v xml:space="preserve"> </v>
      </c>
      <c r="B2415" s="8" t="str">
        <f>IF(A2415=" "," ",MAX(B2395:B2414)+1)</f>
        <v xml:space="preserve"> </v>
      </c>
      <c r="C2415" s="8"/>
      <c r="D2415" s="8"/>
      <c r="E2415" s="8"/>
      <c r="F2415" s="8"/>
      <c r="G2415" s="8"/>
      <c r="H2415" s="8"/>
      <c r="I2415" s="8"/>
      <c r="J2415" s="8"/>
      <c r="K2415" s="8"/>
      <c r="L2415" s="8"/>
      <c r="M2415" s="8"/>
      <c r="N2415" s="8"/>
      <c r="O2415" s="8"/>
      <c r="P2415" s="8"/>
      <c r="Q2415" s="8"/>
      <c r="R2415" s="8"/>
      <c r="S2415" s="8"/>
      <c r="U2415" s="34"/>
      <c r="V2415" s="34"/>
      <c r="W2415" s="34"/>
      <c r="X2415" s="34"/>
      <c r="Y2415" s="34"/>
      <c r="Z2415" s="34"/>
      <c r="AA2415" s="34"/>
      <c r="AB2415" s="34"/>
      <c r="AC2415" s="34"/>
      <c r="AD2415" s="34"/>
      <c r="AE2415" s="34"/>
      <c r="AF2415" s="34"/>
      <c r="AG2415" s="34"/>
      <c r="AH2415" s="34"/>
      <c r="AI2415" s="34"/>
      <c r="AJ2415" s="34"/>
      <c r="AK2415" s="34"/>
      <c r="AL2415" s="34"/>
      <c r="AM2415" s="34"/>
      <c r="AN2415" s="34"/>
      <c r="AO2415" s="34"/>
      <c r="AP2415" s="34"/>
      <c r="AQ2415" s="34"/>
      <c r="AR2415" s="34"/>
      <c r="AS2415" s="34"/>
      <c r="AT2415" s="34"/>
      <c r="AU2415" s="34"/>
      <c r="AV2415" s="34"/>
      <c r="AW2415" s="34"/>
      <c r="AX2415" s="34"/>
      <c r="AY2415" s="34"/>
      <c r="AZ2415" s="34"/>
      <c r="BA2415" s="34"/>
      <c r="BB2415" s="34"/>
      <c r="BC2415" s="34"/>
      <c r="BD2415" s="34"/>
      <c r="BE2415" s="34"/>
      <c r="BF2415" s="34"/>
      <c r="BG2415" s="34"/>
      <c r="BH2415" s="34"/>
      <c r="BI2415" s="34"/>
      <c r="BJ2415" s="34"/>
      <c r="BK2415" s="34"/>
      <c r="BL2415" s="34"/>
      <c r="BM2415" s="34"/>
      <c r="BN2415" s="34"/>
      <c r="BO2415" s="34"/>
      <c r="BP2415" s="34"/>
      <c r="BQ2415" s="34"/>
      <c r="BR2415" s="34"/>
      <c r="BS2415" s="34"/>
      <c r="BT2415" s="34"/>
      <c r="BU2415" s="34"/>
      <c r="BV2415" s="34"/>
      <c r="BW2415" s="34"/>
      <c r="BX2415" s="34"/>
      <c r="BY2415" s="34"/>
      <c r="BZ2415" s="34"/>
      <c r="CA2415" s="34"/>
      <c r="CB2415" s="34"/>
      <c r="CC2415" s="34"/>
      <c r="CD2415" s="34"/>
      <c r="CE2415" s="34"/>
      <c r="CF2415" s="34"/>
      <c r="CG2415" s="34"/>
      <c r="CH2415" s="34"/>
    </row>
    <row r="2416" spans="1:86" x14ac:dyDescent="0.2">
      <c r="A2416" s="8" t="str">
        <f>IF(AND(COUNTIF(W$3:W$13,A$36)&gt;0,A$36&lt;&gt;B2324),A$36,IFERROR(IF(MATCH(A$36,Z$3:Z$13,0)=4,A$36," ")," "))</f>
        <v>C22</v>
      </c>
      <c r="B2416" s="8">
        <f>IF(A2416=" "," ",MAX(B2395:B2415)+1)</f>
        <v>11</v>
      </c>
      <c r="C2416" s="8"/>
      <c r="D2416" s="8"/>
      <c r="E2416" s="8"/>
      <c r="F2416" s="8"/>
      <c r="G2416" s="8"/>
      <c r="H2416" s="8"/>
      <c r="I2416" s="8"/>
      <c r="J2416" s="8"/>
      <c r="K2416" s="8"/>
      <c r="L2416" s="8"/>
      <c r="M2416" s="8"/>
      <c r="N2416" s="8"/>
      <c r="O2416" s="8"/>
      <c r="P2416" s="8"/>
      <c r="Q2416" s="8"/>
      <c r="R2416" s="8"/>
      <c r="S2416" s="8"/>
      <c r="U2416" s="34"/>
      <c r="V2416" s="34"/>
      <c r="W2416" s="34"/>
      <c r="X2416" s="34"/>
      <c r="Y2416" s="34"/>
      <c r="Z2416" s="34"/>
      <c r="AA2416" s="34"/>
      <c r="AB2416" s="34"/>
      <c r="AC2416" s="34"/>
      <c r="AD2416" s="34"/>
      <c r="AE2416" s="34"/>
      <c r="AF2416" s="34"/>
      <c r="AG2416" s="34"/>
      <c r="AH2416" s="34"/>
      <c r="AI2416" s="34"/>
      <c r="AJ2416" s="34"/>
      <c r="AK2416" s="34"/>
      <c r="AL2416" s="34"/>
      <c r="AM2416" s="34"/>
      <c r="AN2416" s="34"/>
      <c r="AO2416" s="34"/>
      <c r="AP2416" s="34"/>
      <c r="AQ2416" s="34"/>
      <c r="AR2416" s="34"/>
      <c r="AS2416" s="34"/>
      <c r="AT2416" s="34"/>
      <c r="AU2416" s="34"/>
      <c r="AV2416" s="34"/>
      <c r="AW2416" s="34"/>
      <c r="AX2416" s="34"/>
      <c r="AY2416" s="34"/>
      <c r="AZ2416" s="34"/>
      <c r="BA2416" s="34"/>
      <c r="BB2416" s="34"/>
      <c r="BC2416" s="34"/>
      <c r="BD2416" s="34"/>
      <c r="BE2416" s="34"/>
      <c r="BF2416" s="34"/>
      <c r="BG2416" s="34"/>
      <c r="BH2416" s="34"/>
      <c r="BI2416" s="34"/>
      <c r="BJ2416" s="34"/>
      <c r="BK2416" s="34"/>
      <c r="BL2416" s="34"/>
      <c r="BM2416" s="34"/>
      <c r="BN2416" s="34"/>
      <c r="BO2416" s="34"/>
      <c r="BP2416" s="34"/>
      <c r="BQ2416" s="34"/>
      <c r="BR2416" s="34"/>
      <c r="BS2416" s="34"/>
      <c r="BT2416" s="34"/>
      <c r="BU2416" s="34"/>
      <c r="BV2416" s="34"/>
      <c r="BW2416" s="34"/>
      <c r="BX2416" s="34"/>
      <c r="BY2416" s="34"/>
      <c r="BZ2416" s="34"/>
      <c r="CA2416" s="34"/>
      <c r="CB2416" s="34"/>
      <c r="CC2416" s="34"/>
      <c r="CD2416" s="34"/>
      <c r="CE2416" s="34"/>
      <c r="CF2416" s="34"/>
      <c r="CG2416" s="34"/>
      <c r="CH2416" s="34"/>
    </row>
    <row r="2417" spans="1:86" x14ac:dyDescent="0.2">
      <c r="A2417" s="11" t="s">
        <v>17</v>
      </c>
      <c r="B2417" s="11"/>
      <c r="C2417" s="27" t="s">
        <v>18</v>
      </c>
      <c r="D2417" s="27" t="s">
        <v>2</v>
      </c>
      <c r="E2417" s="27" t="s">
        <v>6</v>
      </c>
      <c r="F2417" s="27" t="s">
        <v>15</v>
      </c>
      <c r="G2417" s="27" t="s">
        <v>36</v>
      </c>
      <c r="H2417" s="27" t="s">
        <v>37</v>
      </c>
      <c r="I2417" s="27" t="s">
        <v>38</v>
      </c>
      <c r="J2417" s="27" t="s">
        <v>39</v>
      </c>
      <c r="K2417" s="27" t="s">
        <v>40</v>
      </c>
      <c r="L2417" s="27" t="s">
        <v>41</v>
      </c>
      <c r="M2417" s="27" t="s">
        <v>42</v>
      </c>
      <c r="N2417" s="27" t="s">
        <v>43</v>
      </c>
      <c r="O2417" s="27" t="s">
        <v>9</v>
      </c>
      <c r="P2417" s="27" t="s">
        <v>12</v>
      </c>
      <c r="Q2417" s="27" t="s">
        <v>19</v>
      </c>
      <c r="R2417" s="27" t="s">
        <v>55</v>
      </c>
      <c r="S2417" s="27" t="s">
        <v>26</v>
      </c>
      <c r="T2417" s="19" t="s">
        <v>25</v>
      </c>
      <c r="U2417" s="33" t="s">
        <v>27</v>
      </c>
      <c r="V2417" s="33" t="s">
        <v>9</v>
      </c>
      <c r="W2417" s="33" t="s">
        <v>23</v>
      </c>
      <c r="X2417" s="33" t="s">
        <v>12</v>
      </c>
      <c r="Y2417" s="33" t="s">
        <v>26</v>
      </c>
      <c r="Z2417" s="33" t="s">
        <v>25</v>
      </c>
      <c r="AA2417" s="33" t="s">
        <v>27</v>
      </c>
      <c r="AB2417" s="33" t="s">
        <v>9</v>
      </c>
      <c r="AC2417" s="33" t="s">
        <v>23</v>
      </c>
      <c r="AD2417" s="33" t="s">
        <v>12</v>
      </c>
      <c r="AE2417" s="33" t="s">
        <v>26</v>
      </c>
      <c r="AF2417" s="33" t="s">
        <v>25</v>
      </c>
      <c r="AG2417" s="33" t="s">
        <v>27</v>
      </c>
      <c r="AH2417" s="33" t="s">
        <v>9</v>
      </c>
      <c r="AI2417" s="33" t="s">
        <v>23</v>
      </c>
      <c r="AJ2417" s="33" t="s">
        <v>12</v>
      </c>
      <c r="AK2417" s="33" t="s">
        <v>26</v>
      </c>
      <c r="AL2417" s="33" t="s">
        <v>25</v>
      </c>
      <c r="AM2417" s="33" t="s">
        <v>27</v>
      </c>
      <c r="AN2417" s="33" t="s">
        <v>9</v>
      </c>
      <c r="AO2417" s="33" t="s">
        <v>23</v>
      </c>
      <c r="AP2417" s="33" t="s">
        <v>12</v>
      </c>
      <c r="AQ2417" s="33" t="s">
        <v>26</v>
      </c>
      <c r="AR2417" s="33" t="s">
        <v>25</v>
      </c>
      <c r="AS2417" s="33" t="s">
        <v>27</v>
      </c>
      <c r="AT2417" s="33" t="s">
        <v>9</v>
      </c>
      <c r="AU2417" s="33" t="s">
        <v>23</v>
      </c>
      <c r="AV2417" s="33" t="s">
        <v>12</v>
      </c>
      <c r="AW2417" s="33" t="s">
        <v>26</v>
      </c>
      <c r="AX2417" s="33" t="s">
        <v>25</v>
      </c>
      <c r="AY2417" s="33" t="s">
        <v>27</v>
      </c>
      <c r="AZ2417" s="33" t="s">
        <v>9</v>
      </c>
      <c r="BA2417" s="33" t="s">
        <v>23</v>
      </c>
      <c r="BB2417" s="33" t="s">
        <v>12</v>
      </c>
      <c r="BC2417" s="33" t="s">
        <v>26</v>
      </c>
      <c r="BD2417" s="33" t="s">
        <v>25</v>
      </c>
      <c r="BE2417" s="33" t="s">
        <v>27</v>
      </c>
      <c r="BF2417" s="33" t="s">
        <v>9</v>
      </c>
      <c r="BG2417" s="33" t="s">
        <v>23</v>
      </c>
      <c r="BH2417" s="33" t="s">
        <v>12</v>
      </c>
      <c r="BI2417" s="33" t="s">
        <v>26</v>
      </c>
      <c r="BJ2417" s="33" t="s">
        <v>25</v>
      </c>
      <c r="BK2417" s="33" t="s">
        <v>27</v>
      </c>
      <c r="BL2417" s="33" t="s">
        <v>9</v>
      </c>
      <c r="BM2417" s="33" t="s">
        <v>23</v>
      </c>
      <c r="BN2417" s="33" t="s">
        <v>12</v>
      </c>
      <c r="BO2417" s="33" t="s">
        <v>26</v>
      </c>
      <c r="BP2417" s="33" t="s">
        <v>25</v>
      </c>
      <c r="BQ2417" s="33" t="s">
        <v>27</v>
      </c>
      <c r="BR2417" s="33" t="s">
        <v>9</v>
      </c>
      <c r="BS2417" s="33" t="s">
        <v>23</v>
      </c>
      <c r="BT2417" s="33" t="s">
        <v>12</v>
      </c>
      <c r="BU2417" s="33" t="s">
        <v>26</v>
      </c>
      <c r="BV2417" s="33" t="s">
        <v>25</v>
      </c>
      <c r="BW2417" s="33" t="s">
        <v>27</v>
      </c>
      <c r="BX2417" s="33" t="s">
        <v>9</v>
      </c>
      <c r="BY2417" s="33" t="s">
        <v>23</v>
      </c>
      <c r="BZ2417" s="33" t="s">
        <v>12</v>
      </c>
      <c r="CA2417" s="33" t="s">
        <v>26</v>
      </c>
      <c r="CB2417" s="33" t="s">
        <v>25</v>
      </c>
      <c r="CC2417" s="33" t="s">
        <v>27</v>
      </c>
      <c r="CD2417" s="33" t="s">
        <v>9</v>
      </c>
      <c r="CE2417" s="33" t="s">
        <v>23</v>
      </c>
      <c r="CF2417" s="33" t="s">
        <v>12</v>
      </c>
      <c r="CG2417" s="33" t="s">
        <v>26</v>
      </c>
      <c r="CH2417" s="33" t="s">
        <v>25</v>
      </c>
    </row>
    <row r="2418" spans="1:86" x14ac:dyDescent="0.2">
      <c r="A2418" s="8" t="str">
        <f>IF(AND(COUNTIF(W$3:W$13,A$15)&gt;0,A$15&lt;&gt;B2324),A$15,IFERROR(IF(MATCH(A$15,Z$3:Z$13,0)=5,A$15," ")," "))</f>
        <v xml:space="preserve"> </v>
      </c>
      <c r="B2418" s="8" t="str">
        <f>IF(A2418=" "," ",1)</f>
        <v xml:space="preserve"> </v>
      </c>
      <c r="C2418" s="8" t="str">
        <f>IFERROR(INDEX(A2418:A2439,MATCH(SMALL(B2418:B2439,1),B2418:B2439,0),1)," ")</f>
        <v>C3</v>
      </c>
      <c r="D2418" s="8">
        <f>IFERROR(VLOOKUP($C2418,$A$15:$O$36,2,FALSE)," ")</f>
        <v>2</v>
      </c>
      <c r="E2418" s="8">
        <f>IFERROR(VLOOKUP($C2418,$A$15:$O$36,3,FALSE)," ")</f>
        <v>5</v>
      </c>
      <c r="F2418" s="8">
        <f>IFERROR(VLOOKUP($C2418,$A$15:$O$36,4,FALSE)," ")</f>
        <v>6</v>
      </c>
      <c r="G2418" s="8">
        <f>IFERROR(VLOOKUP($C2418,$A$15:$O$36,5,FALSE)," ")</f>
        <v>0</v>
      </c>
      <c r="H2418" s="8">
        <f>IFERROR(VLOOKUP($C2418,$A$15:$O$36,6,FALSE)," ")</f>
        <v>0</v>
      </c>
      <c r="I2418" s="8">
        <f>IFERROR(VLOOKUP($C2418,$A$15:$O$36,7,FALSE)," ")</f>
        <v>0</v>
      </c>
      <c r="J2418" s="8">
        <f>IFERROR(VLOOKUP($C2418,$A$15:$O$36,8,FALSE)," ")</f>
        <v>0</v>
      </c>
      <c r="K2418" s="8">
        <f>IFERROR(VLOOKUP($C2418,$A$15:$O$36,9,FALSE)," ")</f>
        <v>0</v>
      </c>
      <c r="L2418" s="8">
        <f>IFERROR(VLOOKUP($C2418,$A$15:$O$36,10,FALSE)," ")</f>
        <v>0</v>
      </c>
      <c r="M2418" s="8">
        <f>IFERROR(VLOOKUP($C2418,$A$15:$O$36,11,FALSE)," ")</f>
        <v>0</v>
      </c>
      <c r="N2418" s="8">
        <f>IFERROR(VLOOKUP($C2418,$A$15:$O$36,12,FALSE)," ")</f>
        <v>0</v>
      </c>
      <c r="O2418" s="8">
        <f>IFERROR(VLOOKUP($C2418,$A$15:$O$36,15,FALSE)," ")</f>
        <v>2000</v>
      </c>
      <c r="P2418" s="8" t="e">
        <f t="array" ref="P2418:P2428">MMULT(MINVERSE(D2418:N2428),O2418:O2428)</f>
        <v>#NUM!</v>
      </c>
      <c r="Q2418" s="8" t="e">
        <f t="shared" ref="Q2418" si="10518">IF(COUNTIF(P2418:P2428,"&lt;"&amp;-0.001)=0,IF(ABS(P2418)&lt;0.001,0,P2418)," ")</f>
        <v>#NUM!</v>
      </c>
      <c r="R2418" s="8" t="str">
        <f>IFERROR(VLOOKUP(B2324,A$15:L$36,2,FALSE)*Q2418+VLOOKUP(B2324,A$15:L$36,3,FALSE)*Q2419+VLOOKUP(B2324,A$15:L$36,4,FALSE)*Q2420+VLOOKUP(B2324,A$15:L$36,5,FALSE)*Q2421+VLOOKUP(B2324,A$15:L$36,6,FALSE)*Q2422+VLOOKUP(B2324,A$15:L$36,7,FALSE)*Q2423+VLOOKUP(B2324,A$15:L$36,8,FALSE)*Q2424+VLOOKUP(B2324,A$15:L$36,9,FALSE)*Q2425+VLOOKUP(B2324,A$15:L$36,10,FALSE)*Q2426+VLOOKUP(B2324,A$15:L$36,11,FALSE)*Q2427+VLOOKUP(B2324,A$15:L$36,12,FALSE)*Q2428," ")</f>
        <v xml:space="preserve"> </v>
      </c>
      <c r="S2418" s="8" t="str">
        <f>IFERROR(IF(R2418-VLOOKUP(B2324,A$15:O$36,15,FALSE)&lt;0,R2418-VLOOKUP(B2324,A$15:O$36,15,FALSE)," ")," ")</f>
        <v xml:space="preserve"> </v>
      </c>
      <c r="T2418" s="18" t="str">
        <f>IFERROR(IF(R2418-VLOOKUP(B2324,A$15:O$36,15,FALSE)&gt;0,R2418-VLOOKUP(B2324,A$15:O$36,15,FALSE)," ")," ")</f>
        <v xml:space="preserve"> </v>
      </c>
      <c r="U2418" s="34">
        <f t="shared" ref="U2418" si="10519">$M$2</f>
        <v>100.00000000000001</v>
      </c>
      <c r="V2418" s="34">
        <v>-1</v>
      </c>
      <c r="W2418" s="34">
        <f t="shared" ref="W2418" si="10520">-SUMPRODUCT($M$3:$M$12,$N$3:$N$12)</f>
        <v>-105000</v>
      </c>
      <c r="X2418" s="34" t="e">
        <f t="shared" ref="X2418" si="10521">IF(U2418&lt;&gt;U2419,MMULT(MINVERSE(U2418:V2419),W2418:W2419)," ")</f>
        <v>#NUM!</v>
      </c>
      <c r="Y2418" s="34" t="str">
        <f t="shared" ref="Y2418" si="10522">IFERROR(IF(X2418-VLOOKUP(U$38,$A$2:$N$12,14,FALSE)&lt;0,X2418-VLOOKUP(U$38,$A$2:$N$12,14,FALSE)," ")," ")</f>
        <v xml:space="preserve"> </v>
      </c>
      <c r="Z2418" s="34" t="str">
        <f t="shared" ref="Z2418" si="10523">IFERROR(IF(X2418-VLOOKUP(U$38,$A$2:$N$12,14,FALSE)&gt;0,X2418-VLOOKUP(U$38,$A$2:$N$12,14,FALSE)," ")," ")</f>
        <v xml:space="preserve"> </v>
      </c>
      <c r="AA2418" s="34">
        <f t="shared" ref="AA2418" si="10524">$M$3</f>
        <v>0</v>
      </c>
      <c r="AB2418" s="34">
        <v>-1</v>
      </c>
      <c r="AC2418" s="34">
        <f t="shared" ref="AC2418" si="10525">-SUMPRODUCT($M$2:$M$2,$N$2:$N$2)-SUMPRODUCT($M$4:$M$12,$N$4:$N$12)</f>
        <v>-120000</v>
      </c>
      <c r="AD2418" s="34" t="e">
        <f t="shared" ref="AD2418" si="10526">IF(AA2418&lt;&gt;AA2419,MMULT(MINVERSE(AA2418:AB2419),AC2418:AC2419)," ")</f>
        <v>#NUM!</v>
      </c>
      <c r="AE2418" s="34" t="str">
        <f t="shared" ref="AE2418" si="10527">IFERROR(IF(AD2418-VLOOKUP(AA$38,$A$2:$N$12,14,FALSE)&lt;0,AD2418-VLOOKUP(AA$38,$A$2:$N$12,14,FALSE)," ")," ")</f>
        <v xml:space="preserve"> </v>
      </c>
      <c r="AF2418" s="34" t="str">
        <f t="shared" ref="AF2418" si="10528">IFERROR(IF(AD2418-VLOOKUP(AA$38,$A$2:$N$12,14,FALSE)&gt;0,AD2418-VLOOKUP(AA$38,$A$2:$N$12,14,FALSE)," ")," ")</f>
        <v xml:space="preserve"> </v>
      </c>
      <c r="AG2418" s="34">
        <f t="shared" ref="AG2418" si="10529">$M$4</f>
        <v>300</v>
      </c>
      <c r="AH2418" s="34">
        <v>-1</v>
      </c>
      <c r="AI2418" s="34">
        <f t="shared" ref="AI2418" si="10530">-SUMPRODUCT($M$2:$M$3,$N$2:$N$3)-SUMPRODUCT($M$5:$M$12,$N$5:$N$12)</f>
        <v>-15000.000000000002</v>
      </c>
      <c r="AJ2418" s="34" t="e">
        <f t="shared" ref="AJ2418" si="10531">IF(AG2418&lt;&gt;AG2419,MMULT(MINVERSE(AG2418:AH2419),AI2418:AI2419)," ")</f>
        <v>#NUM!</v>
      </c>
      <c r="AK2418" s="34" t="str">
        <f t="shared" ref="AK2418" si="10532">IFERROR(IF(AJ2418-VLOOKUP(AG$38,$A$2:$N$12,14,FALSE)&lt;0,AJ2418-VLOOKUP(AG$38,$A$2:$N$12,14,FALSE)," ")," ")</f>
        <v xml:space="preserve"> </v>
      </c>
      <c r="AL2418" s="34" t="str">
        <f t="shared" ref="AL2418" si="10533">IFERROR(IF(AJ2418-VLOOKUP(AG$38,$A$2:$N$12,14,FALSE)&gt;0,AJ2418-VLOOKUP(AG$38,$A$2:$N$12,14,FALSE)," ")," ")</f>
        <v xml:space="preserve"> </v>
      </c>
      <c r="AM2418" s="34">
        <f t="shared" ref="AM2418" si="10534">$M$5</f>
        <v>0</v>
      </c>
      <c r="AN2418" s="34">
        <v>-1</v>
      </c>
      <c r="AO2418" s="34">
        <f t="shared" ref="AO2418" si="10535">-SUMPRODUCT($M$2:$M$4,$N$2:$N$4)-SUMPRODUCT($M$6:$M$12,$N$6:$N$12)</f>
        <v>-120000</v>
      </c>
      <c r="AP2418" s="34" t="e">
        <f t="shared" ref="AP2418" si="10536">IF(AM2418&lt;&gt;AM2419,MMULT(MINVERSE(AM2418:AN2419),AO2418:AO2419)," ")</f>
        <v>#NUM!</v>
      </c>
      <c r="AQ2418" s="34" t="str">
        <f t="shared" ref="AQ2418" si="10537">IFERROR(IF(AP2418-VLOOKUP(AM$38,$A$2:$N$12,14,FALSE)&lt;0,AP2418-VLOOKUP(AM$38,$A$2:$N$12,14,FALSE)," ")," ")</f>
        <v xml:space="preserve"> </v>
      </c>
      <c r="AR2418" s="34" t="str">
        <f t="shared" ref="AR2418" si="10538">IFERROR(IF(AP2418-VLOOKUP(AM$38,$A$2:$N$12,14,FALSE)&gt;0,AP2418-VLOOKUP(AM$38,$A$2:$N$12,14,FALSE)," ")," ")</f>
        <v xml:space="preserve"> </v>
      </c>
      <c r="AS2418" s="34">
        <f t="shared" ref="AS2418" si="10539">$M$6</f>
        <v>0</v>
      </c>
      <c r="AT2418" s="34">
        <v>-1</v>
      </c>
      <c r="AU2418" s="34">
        <f t="shared" ref="AU2418" si="10540">-SUMPRODUCT($M$2:$M$5,$N$2:$N$5)-SUMPRODUCT($M$7:$M$12,$N$7:$N$12)</f>
        <v>-120000</v>
      </c>
      <c r="AV2418" s="34" t="e">
        <f t="shared" ref="AV2418" si="10541">IF(AS2418&lt;&gt;AS2419,MMULT(MINVERSE(AS2418:AT2419),AU2418:AU2419)," ")</f>
        <v>#NUM!</v>
      </c>
      <c r="AW2418" s="34" t="str">
        <f t="shared" ref="AW2418" si="10542">IFERROR(IF(AV2418-VLOOKUP(AS$38,$A$2:$N$12,14,FALSE)&lt;0,AV2418-VLOOKUP(AS$38,$A$2:$N$12,14,FALSE)," ")," ")</f>
        <v xml:space="preserve"> </v>
      </c>
      <c r="AX2418" s="34" t="str">
        <f t="shared" ref="AX2418" si="10543">IFERROR(IF(AV2418-VLOOKUP(AS$38,$A$2:$N$12,14,FALSE)&gt;0,AV2418-VLOOKUP(AS$38,$A$2:$N$12,14,FALSE)," ")," ")</f>
        <v xml:space="preserve"> </v>
      </c>
      <c r="AY2418" s="34">
        <f t="shared" ref="AY2418" si="10544">$M$7</f>
        <v>0</v>
      </c>
      <c r="AZ2418" s="34">
        <v>-1</v>
      </c>
      <c r="BA2418" s="34">
        <f t="shared" ref="BA2418" si="10545">-SUMPRODUCT($M$2:$M$6,$N$2:$N$6)-SUMPRODUCT($M$8:$M$12,$N$8:$N$12)</f>
        <v>-120000</v>
      </c>
      <c r="BB2418" s="34" t="e">
        <f t="shared" ref="BB2418" si="10546">IF(AY2418&lt;&gt;AY2419,MMULT(MINVERSE(AY2418:AZ2419),BA2418:BA2419)," ")</f>
        <v>#NUM!</v>
      </c>
      <c r="BC2418" s="34" t="str">
        <f t="shared" ref="BC2418" si="10547">IFERROR(IF(BB2418-VLOOKUP(AY$38,$A$2:$N$12,14,FALSE)&lt;0,BB2418-VLOOKUP(AY$38,$A$2:$N$12,14,FALSE)," ")," ")</f>
        <v xml:space="preserve"> </v>
      </c>
      <c r="BD2418" s="34" t="str">
        <f t="shared" ref="BD2418" si="10548">IFERROR(IF(BB2418-VLOOKUP(AY$38,$A$2:$N$12,14,FALSE)&gt;0,BB2418-VLOOKUP(AY$38,$A$2:$N$12,14,FALSE)," ")," ")</f>
        <v xml:space="preserve"> </v>
      </c>
      <c r="BE2418" s="34">
        <f t="shared" ref="BE2418" si="10549">$M$8</f>
        <v>0</v>
      </c>
      <c r="BF2418" s="34">
        <v>-1</v>
      </c>
      <c r="BG2418" s="34">
        <f t="shared" ref="BG2418" si="10550">-SUMPRODUCT($M$2:$M$7,$N$2:$N$7)-SUMPRODUCT($M$9:$M$12,$N$9:$N$12)</f>
        <v>-120000</v>
      </c>
      <c r="BH2418" s="34" t="e">
        <f t="shared" ref="BH2418" si="10551">IF(BE2418&lt;&gt;BE2419,MMULT(MINVERSE(BE2418:BF2419),BG2418:BG2419)," ")</f>
        <v>#NUM!</v>
      </c>
      <c r="BI2418" s="34" t="str">
        <f t="shared" ref="BI2418" si="10552">IFERROR(IF(BH2418-VLOOKUP(BE$38,$A$2:$N$12,14,FALSE)&lt;0,BH2418-VLOOKUP(BE$38,$A$2:$N$12,14,FALSE)," ")," ")</f>
        <v xml:space="preserve"> </v>
      </c>
      <c r="BJ2418" s="34" t="str">
        <f t="shared" ref="BJ2418" si="10553">IFERROR(IF(BH2418-VLOOKUP(BE$38,$A$2:$N$12,14,FALSE)&gt;0,BH2418-VLOOKUP(BE$38,$A$2:$N$12,14,FALSE)," ")," ")</f>
        <v xml:space="preserve"> </v>
      </c>
      <c r="BK2418" s="34">
        <f t="shared" ref="BK2418" si="10554">$M$9</f>
        <v>0</v>
      </c>
      <c r="BL2418" s="34">
        <v>-1</v>
      </c>
      <c r="BM2418" s="34">
        <f t="shared" ref="BM2418" si="10555">-SUMPRODUCT($M$2:$M$8,$N$2:$N$8)-SUMPRODUCT($M$10:$M$12,$N$10:$N$12)</f>
        <v>-120000</v>
      </c>
      <c r="BN2418" s="34" t="e">
        <f t="shared" ref="BN2418" si="10556">IF(BK2418&lt;&gt;BK2419,MMULT(MINVERSE(BK2418:BL2419),BM2418:BM2419)," ")</f>
        <v>#NUM!</v>
      </c>
      <c r="BO2418" s="34" t="str">
        <f t="shared" ref="BO2418" si="10557">IFERROR(IF(BN2418-VLOOKUP(BK$38,$A$2:$N$12,14,FALSE)&lt;0,BN2418-VLOOKUP(BK$38,$A$2:$N$12,14,FALSE)," ")," ")</f>
        <v xml:space="preserve"> </v>
      </c>
      <c r="BP2418" s="34" t="str">
        <f t="shared" ref="BP2418" si="10558">IFERROR(IF(BN2418-VLOOKUP(BK$38,$A$2:$N$12,14,FALSE)&gt;0,BN2418-VLOOKUP(BK$38,$A$2:$N$12,14,FALSE)," ")," ")</f>
        <v xml:space="preserve"> </v>
      </c>
      <c r="BQ2418" s="34">
        <f t="shared" ref="BQ2418" si="10559">$M$10</f>
        <v>0</v>
      </c>
      <c r="BR2418" s="34">
        <v>-1</v>
      </c>
      <c r="BS2418" s="34">
        <f t="shared" ref="BS2418" si="10560">-SUMPRODUCT($M$2:$M$9,$N$2:$N$9)-SUMPRODUCT($M$11:$M$12,$N$11:$N$12)</f>
        <v>-120000</v>
      </c>
      <c r="BT2418" s="34" t="e">
        <f t="shared" ref="BT2418" si="10561">IF(BQ2418&lt;&gt;BQ2419,MMULT(MINVERSE(BQ2418:BR2419),BS2418:BS2419)," ")</f>
        <v>#NUM!</v>
      </c>
      <c r="BU2418" s="34" t="str">
        <f t="shared" ref="BU2418" si="10562">IFERROR(IF(BT2418-VLOOKUP(BQ$38,$A$2:$N$12,14,FALSE)&lt;0,BT2418-VLOOKUP(BQ$38,$A$2:$N$12,14,FALSE)," ")," ")</f>
        <v xml:space="preserve"> </v>
      </c>
      <c r="BV2418" s="34" t="str">
        <f t="shared" ref="BV2418" si="10563">IFERROR(IF(BT2418-VLOOKUP(BQ$38,$A$2:$N$12,14,FALSE)&gt;0,BT2418-VLOOKUP(BQ$38,$A$2:$N$12,14,FALSE)," ")," ")</f>
        <v xml:space="preserve"> </v>
      </c>
      <c r="BW2418" s="34">
        <f t="shared" ref="BW2418" si="10564">$M$11</f>
        <v>0</v>
      </c>
      <c r="BX2418" s="34">
        <v>-1</v>
      </c>
      <c r="BY2418" s="34">
        <f t="shared" ref="BY2418" si="10565">-SUMPRODUCT($M$2:$M$10,$N$2:$N$10)-SUMPRODUCT($M$12,$N$12)</f>
        <v>-120000</v>
      </c>
      <c r="BZ2418" s="34" t="e">
        <f t="shared" ref="BZ2418" si="10566">IF(BW2418&lt;&gt;BW2419,MMULT(MINVERSE(BW2418:BX2419),BY2418:BY2419)," ")</f>
        <v>#NUM!</v>
      </c>
      <c r="CA2418" s="34" t="str">
        <f t="shared" ref="CA2418" si="10567">IFERROR(IF(BZ2418-VLOOKUP(BW$38,$A$2:$N$12,14,FALSE)&lt;0,BZ2418-VLOOKUP(BW$38,$A$2:$N$12,14,FALSE)," ")," ")</f>
        <v xml:space="preserve"> </v>
      </c>
      <c r="CB2418" s="34" t="str">
        <f t="shared" ref="CB2418" si="10568">IFERROR(IF(BZ2418-VLOOKUP(BW$38,$A$2:$N$12,14,FALSE)&gt;0,BZ2418-VLOOKUP(BW$38,$A$2:$N$12,14,FALSE)," ")," ")</f>
        <v xml:space="preserve"> </v>
      </c>
      <c r="CC2418" s="34">
        <f t="shared" ref="CC2418" si="10569">$M$12</f>
        <v>0</v>
      </c>
      <c r="CD2418" s="34">
        <v>-1</v>
      </c>
      <c r="CE2418" s="34">
        <f t="shared" ref="CE2418" si="10570">-SUMPRODUCT($M$2:$M$11,$N$2:$N$11)</f>
        <v>-120000</v>
      </c>
      <c r="CF2418" s="34" t="e">
        <f t="shared" ref="CF2418" si="10571">IF(CC2418&lt;&gt;CC2419,MMULT(MINVERSE(CC2418:CD2419),CE2418:CE2419)," ")</f>
        <v>#NUM!</v>
      </c>
      <c r="CG2418" s="34" t="str">
        <f t="shared" ref="CG2418" si="10572">IFERROR(IF(CF2418-VLOOKUP(CC$38,$A$2:$N$12,14,FALSE)&lt;0,CF2418-VLOOKUP(CC$38,$A$2:$N$12,14,FALSE)," ")," ")</f>
        <v xml:space="preserve"> </v>
      </c>
      <c r="CH2418" s="34" t="str">
        <f t="shared" ref="CH2418" si="10573">IFERROR(IF(CF2418-VLOOKUP(CC$38,$A$2:$N$12,14,FALSE)&gt;0,CF2418-VLOOKUP(CC$38,$A$2:$N$12,14,FALSE)," ")," ")</f>
        <v xml:space="preserve"> </v>
      </c>
    </row>
    <row r="2419" spans="1:86" x14ac:dyDescent="0.2">
      <c r="A2419" s="8" t="str">
        <f>IF(AND(COUNTIF(W$3:W$13,A$16)&gt;0,A$16&lt;&gt;B2324),A$16,IFERROR(IF(MATCH(A$16,Z$3:Z$13,0)=5,A$16," ")," "))</f>
        <v xml:space="preserve"> </v>
      </c>
      <c r="B2419" s="8" t="str">
        <f>IF(A2419=" "," ",MAX(B2418:B2418)+1)</f>
        <v xml:space="preserve"> </v>
      </c>
      <c r="C2419" s="8" t="str">
        <f>IFERROR(INDEX(A2418:A2439,MATCH(SMALL(B2418:B2439,2),B2418:B2439,0),1)," ")</f>
        <v>C4</v>
      </c>
      <c r="D2419" s="8">
        <f t="shared" ref="D2419:D2428" si="10574">IFERROR(VLOOKUP($C2419,$A$15:$O$36,2,FALSE)," ")</f>
        <v>1</v>
      </c>
      <c r="E2419" s="8">
        <f t="shared" ref="E2419:E2428" si="10575">IFERROR(VLOOKUP($C2419,$A$15:$O$36,3,FALSE)," ")</f>
        <v>0</v>
      </c>
      <c r="F2419" s="8">
        <f t="shared" ref="F2419:F2428" si="10576">IFERROR(VLOOKUP($C2419,$A$15:$O$36,4,FALSE)," ")</f>
        <v>1</v>
      </c>
      <c r="G2419" s="8">
        <f t="shared" ref="G2419:G2428" si="10577">IFERROR(VLOOKUP($C2419,$A$15:$O$36,5,FALSE)," ")</f>
        <v>0</v>
      </c>
      <c r="H2419" s="8">
        <f t="shared" ref="H2419:H2428" si="10578">IFERROR(VLOOKUP($C2419,$A$15:$O$36,6,FALSE)," ")</f>
        <v>0</v>
      </c>
      <c r="I2419" s="8">
        <f t="shared" ref="I2419:I2428" si="10579">IFERROR(VLOOKUP($C2419,$A$15:$O$36,7,FALSE)," ")</f>
        <v>0</v>
      </c>
      <c r="J2419" s="8">
        <f t="shared" ref="J2419:J2428" si="10580">IFERROR(VLOOKUP($C2419,$A$15:$O$36,8,FALSE)," ")</f>
        <v>0</v>
      </c>
      <c r="K2419" s="8">
        <f t="shared" ref="K2419:K2428" si="10581">IFERROR(VLOOKUP($C2419,$A$15:$O$36,9,FALSE)," ")</f>
        <v>0</v>
      </c>
      <c r="L2419" s="8">
        <f t="shared" ref="L2419:L2428" si="10582">IFERROR(VLOOKUP($C2419,$A$15:$O$36,10,FALSE)," ")</f>
        <v>0</v>
      </c>
      <c r="M2419" s="8">
        <f t="shared" ref="M2419:M2428" si="10583">IFERROR(VLOOKUP($C2419,$A$15:$O$36,11,FALSE)," ")</f>
        <v>0</v>
      </c>
      <c r="N2419" s="8">
        <f t="shared" ref="N2419:N2428" si="10584">IFERROR(VLOOKUP($C2419,$A$15:$O$36,12,FALSE)," ")</f>
        <v>0</v>
      </c>
      <c r="O2419" s="8">
        <f t="shared" ref="O2419:O2428" si="10585">IFERROR(VLOOKUP($C2419,$A$15:$O$36,15,FALSE)," ")</f>
        <v>400</v>
      </c>
      <c r="P2419" s="8" t="e">
        <v>#NUM!</v>
      </c>
      <c r="Q2419" s="8" t="e">
        <f t="shared" ref="Q2419" si="10586">IF(COUNTIF(P2418:P2428,"&lt;"&amp;-0.001)=0,IF(ABS(P2419)&lt;0.001,0,P2419)," ")</f>
        <v>#NUM!</v>
      </c>
      <c r="R2419" s="8"/>
      <c r="S2419" s="8"/>
      <c r="U2419" s="34" t="e">
        <f t="shared" ref="U2419" si="10587">$Q2418</f>
        <v>#NUM!</v>
      </c>
      <c r="V2419" s="34">
        <v>-1</v>
      </c>
      <c r="W2419" s="34" t="e">
        <f t="shared" ref="W2419" si="10588">-SUMPRODUCT($Q2419:$Q2428,$N$3:$N$12)</f>
        <v>#NUM!</v>
      </c>
      <c r="X2419" s="34"/>
      <c r="Y2419" s="34"/>
      <c r="Z2419" s="34"/>
      <c r="AA2419" s="34" t="e">
        <f t="shared" ref="AA2419" si="10589">$Q2419</f>
        <v>#NUM!</v>
      </c>
      <c r="AB2419" s="34">
        <v>-1</v>
      </c>
      <c r="AC2419" s="34" t="e">
        <f t="shared" ref="AC2419" si="10590">-SUMPRODUCT($Q2418:$Q2418,$N$2:$N$2)-SUMPRODUCT($Q2420:$Q2428,$N$4:$N$12)</f>
        <v>#NUM!</v>
      </c>
      <c r="AD2419" s="34"/>
      <c r="AE2419" s="34"/>
      <c r="AF2419" s="34"/>
      <c r="AG2419" s="34" t="e">
        <f t="shared" ref="AG2419" si="10591">$Q2420</f>
        <v>#NUM!</v>
      </c>
      <c r="AH2419" s="34">
        <v>-1</v>
      </c>
      <c r="AI2419" s="34" t="e">
        <f t="shared" ref="AI2419" si="10592">-SUMPRODUCT($Q2418:$Q2419,$N$2:$N$3)-SUMPRODUCT($Q2421:$Q2428,$N$5:$N$12)</f>
        <v>#NUM!</v>
      </c>
      <c r="AJ2419" s="34"/>
      <c r="AK2419" s="34"/>
      <c r="AL2419" s="34"/>
      <c r="AM2419" s="34" t="e">
        <f t="shared" ref="AM2419" si="10593">$Q2421</f>
        <v>#NUM!</v>
      </c>
      <c r="AN2419" s="34">
        <v>-1</v>
      </c>
      <c r="AO2419" s="34" t="e">
        <f t="shared" ref="AO2419" si="10594">-SUMPRODUCT($Q2418:$Q2420,$N$2:$N$4)-SUMPRODUCT($Q2422:$Q2428,$N$6:$N$12)</f>
        <v>#NUM!</v>
      </c>
      <c r="AP2419" s="34"/>
      <c r="AQ2419" s="34"/>
      <c r="AR2419" s="34"/>
      <c r="AS2419" s="34" t="e">
        <f t="shared" ref="AS2419" si="10595">$Q2422</f>
        <v>#NUM!</v>
      </c>
      <c r="AT2419" s="34">
        <v>-1</v>
      </c>
      <c r="AU2419" s="34" t="e">
        <f t="shared" ref="AU2419" si="10596">-SUMPRODUCT($Q2418:$Q2421,$N$2:$N$5)-SUMPRODUCT($Q2423:$Q2428,$N$7:$N$12)</f>
        <v>#NUM!</v>
      </c>
      <c r="AV2419" s="34"/>
      <c r="AW2419" s="34"/>
      <c r="AX2419" s="34"/>
      <c r="AY2419" s="34" t="e">
        <f t="shared" ref="AY2419" si="10597">$Q2423</f>
        <v>#NUM!</v>
      </c>
      <c r="AZ2419" s="34">
        <v>-1</v>
      </c>
      <c r="BA2419" s="34" t="e">
        <f t="shared" ref="BA2419" si="10598">-SUMPRODUCT($Q2418:$Q2422,$N$2:$N$6)-SUMPRODUCT($Q2424:$Q2428,$N$8:$N$12)</f>
        <v>#NUM!</v>
      </c>
      <c r="BB2419" s="34"/>
      <c r="BC2419" s="34"/>
      <c r="BD2419" s="34"/>
      <c r="BE2419" s="34" t="e">
        <f t="shared" ref="BE2419" si="10599">$Q2424</f>
        <v>#NUM!</v>
      </c>
      <c r="BF2419" s="34">
        <v>-1</v>
      </c>
      <c r="BG2419" s="34" t="e">
        <f t="shared" ref="BG2419" si="10600">-SUMPRODUCT($Q2418:$Q2423,$N$2:$N$7)-SUMPRODUCT($Q2425:$Q2428,$N$9:$N$12)</f>
        <v>#NUM!</v>
      </c>
      <c r="BH2419" s="34"/>
      <c r="BI2419" s="34"/>
      <c r="BJ2419" s="34"/>
      <c r="BK2419" s="34" t="e">
        <f t="shared" ref="BK2419" si="10601">$Q2425</f>
        <v>#NUM!</v>
      </c>
      <c r="BL2419" s="34">
        <v>-1</v>
      </c>
      <c r="BM2419" s="34" t="e">
        <f t="shared" ref="BM2419" si="10602">-SUMPRODUCT($Q2418:$Q2424,$N$2:$N$8)-SUMPRODUCT($Q2426:$Q2428,$N$10:$N$12)</f>
        <v>#NUM!</v>
      </c>
      <c r="BN2419" s="34"/>
      <c r="BO2419" s="34"/>
      <c r="BP2419" s="34"/>
      <c r="BQ2419" s="34" t="e">
        <f t="shared" ref="BQ2419" si="10603">$Q2426</f>
        <v>#NUM!</v>
      </c>
      <c r="BR2419" s="34">
        <v>-1</v>
      </c>
      <c r="BS2419" s="34" t="e">
        <f t="shared" ref="BS2419" si="10604">-SUMPRODUCT($Q2418:$Q2425,$N$2:$N$9)-SUMPRODUCT($Q2427:$Q2428,$N$11:$N$12)</f>
        <v>#NUM!</v>
      </c>
      <c r="BT2419" s="34"/>
      <c r="BU2419" s="34"/>
      <c r="BV2419" s="34"/>
      <c r="BW2419" s="34" t="e">
        <f t="shared" ref="BW2419" si="10605">$Q2427</f>
        <v>#NUM!</v>
      </c>
      <c r="BX2419" s="34">
        <v>-1</v>
      </c>
      <c r="BY2419" s="34" t="e">
        <f t="shared" ref="BY2419" si="10606">-SUMPRODUCT($Q2418:$Q2426,$N$2:$N$10)-SUMPRODUCT($Q2428,$N$12)</f>
        <v>#NUM!</v>
      </c>
      <c r="BZ2419" s="34"/>
      <c r="CA2419" s="34"/>
      <c r="CB2419" s="34"/>
      <c r="CC2419" s="34" t="e">
        <f t="shared" ref="CC2419" si="10607">$Q2428</f>
        <v>#NUM!</v>
      </c>
      <c r="CD2419" s="34">
        <v>-1</v>
      </c>
      <c r="CE2419" s="34" t="e">
        <f t="shared" ref="CE2419" si="10608">-SUMPRODUCT($Q2418:$Q2427,$N$2:$N$11)</f>
        <v>#NUM!</v>
      </c>
      <c r="CF2419" s="34"/>
      <c r="CG2419" s="34"/>
      <c r="CH2419" s="34"/>
    </row>
    <row r="2420" spans="1:86" x14ac:dyDescent="0.2">
      <c r="A2420" s="8" t="str">
        <f>IF(AND(COUNTIF(W$3:W$13,A$17)&gt;0,A$17&lt;&gt;B2324),A$17,IFERROR(IF(MATCH(A$17,Z$3:Z$13,0)=5,A$17," ")," "))</f>
        <v>C3</v>
      </c>
      <c r="B2420" s="8">
        <f>IF(A2420=" "," ",MAX(B2418:B2419)+1)</f>
        <v>1</v>
      </c>
      <c r="C2420" s="8" t="str">
        <f>IFERROR(INDEX(A2418:A2439,MATCH(SMALL(B2418:B2439,3),B2418:B2439,0),1)," ")</f>
        <v>C7</v>
      </c>
      <c r="D2420" s="8">
        <f t="shared" si="10574"/>
        <v>0</v>
      </c>
      <c r="E2420" s="8">
        <f t="shared" si="10575"/>
        <v>0</v>
      </c>
      <c r="F2420" s="8">
        <f t="shared" si="10576"/>
        <v>0</v>
      </c>
      <c r="G2420" s="8">
        <f t="shared" si="10577"/>
        <v>0</v>
      </c>
      <c r="H2420" s="8">
        <f t="shared" si="10578"/>
        <v>0</v>
      </c>
      <c r="I2420" s="8">
        <f t="shared" si="10579"/>
        <v>0</v>
      </c>
      <c r="J2420" s="8">
        <f t="shared" si="10580"/>
        <v>0</v>
      </c>
      <c r="K2420" s="8">
        <f t="shared" si="10581"/>
        <v>0</v>
      </c>
      <c r="L2420" s="8">
        <f t="shared" si="10582"/>
        <v>0</v>
      </c>
      <c r="M2420" s="8">
        <f t="shared" si="10583"/>
        <v>0</v>
      </c>
      <c r="N2420" s="8">
        <f t="shared" si="10584"/>
        <v>0</v>
      </c>
      <c r="O2420" s="8">
        <f t="shared" si="10585"/>
        <v>0</v>
      </c>
      <c r="P2420" s="8" t="e">
        <v>#NUM!</v>
      </c>
      <c r="Q2420" s="8" t="e">
        <f t="shared" ref="Q2420" si="10609">IF(COUNTIF(P2418:P2428,"&lt;"&amp;-0.001)=0,IF(ABS(P2420)&lt;0.001,0,P2420)," ")</f>
        <v>#NUM!</v>
      </c>
      <c r="R2420" s="8"/>
      <c r="S2420" s="8"/>
      <c r="U2420" s="34"/>
      <c r="V2420" s="34"/>
      <c r="W2420" s="34"/>
      <c r="X2420" s="34"/>
      <c r="Y2420" s="34"/>
      <c r="Z2420" s="34"/>
      <c r="AA2420" s="34"/>
      <c r="AB2420" s="34"/>
      <c r="AC2420" s="34"/>
      <c r="AD2420" s="34"/>
      <c r="AE2420" s="34"/>
      <c r="AF2420" s="34"/>
      <c r="AG2420" s="34"/>
      <c r="AH2420" s="34"/>
      <c r="AI2420" s="34"/>
      <c r="AJ2420" s="34"/>
      <c r="AK2420" s="34"/>
      <c r="AL2420" s="34"/>
      <c r="AM2420" s="34"/>
      <c r="AN2420" s="34"/>
      <c r="AO2420" s="34"/>
      <c r="AP2420" s="34"/>
      <c r="AQ2420" s="34"/>
      <c r="AR2420" s="34"/>
      <c r="AS2420" s="34"/>
      <c r="AT2420" s="34"/>
      <c r="AU2420" s="34"/>
      <c r="AV2420" s="34"/>
      <c r="AW2420" s="34"/>
      <c r="AX2420" s="34"/>
      <c r="AY2420" s="34"/>
      <c r="AZ2420" s="34"/>
      <c r="BA2420" s="34"/>
      <c r="BB2420" s="34"/>
      <c r="BC2420" s="34"/>
      <c r="BD2420" s="34"/>
      <c r="BE2420" s="34"/>
      <c r="BF2420" s="34"/>
      <c r="BG2420" s="34"/>
      <c r="BH2420" s="34"/>
      <c r="BI2420" s="34"/>
      <c r="BJ2420" s="34"/>
      <c r="BK2420" s="34"/>
      <c r="BL2420" s="34"/>
      <c r="BM2420" s="34"/>
      <c r="BN2420" s="34"/>
      <c r="BO2420" s="34"/>
      <c r="BP2420" s="34"/>
      <c r="BQ2420" s="34"/>
      <c r="BR2420" s="34"/>
      <c r="BS2420" s="34"/>
      <c r="BT2420" s="34"/>
      <c r="BU2420" s="34"/>
      <c r="BV2420" s="34"/>
      <c r="BW2420" s="34"/>
      <c r="BX2420" s="34"/>
      <c r="BY2420" s="34"/>
      <c r="BZ2420" s="34"/>
      <c r="CA2420" s="34"/>
      <c r="CB2420" s="34"/>
      <c r="CC2420" s="34"/>
      <c r="CD2420" s="34"/>
      <c r="CE2420" s="34"/>
      <c r="CF2420" s="34"/>
      <c r="CG2420" s="34"/>
      <c r="CH2420" s="34"/>
    </row>
    <row r="2421" spans="1:86" x14ac:dyDescent="0.2">
      <c r="A2421" s="8" t="str">
        <f>IF(AND(COUNTIF(W$3:W$13,A$18)&gt;0,A$18&lt;&gt;B2324),A$18,IFERROR(IF(MATCH(A$18,Z$3:Z$13,0)=5,A$18," ")," "))</f>
        <v>C4</v>
      </c>
      <c r="B2421" s="8">
        <f>IF(A2421=" "," ",MAX(B2418:B2420)+1)</f>
        <v>2</v>
      </c>
      <c r="C2421" s="8" t="str">
        <f>IFERROR(INDEX(A2418:A2439,MATCH(SMALL(B2418:B2439,4),B2418:B2439,0),1)," ")</f>
        <v>C13</v>
      </c>
      <c r="D2421" s="8">
        <f t="shared" si="10574"/>
        <v>0</v>
      </c>
      <c r="E2421" s="8">
        <f t="shared" si="10575"/>
        <v>1</v>
      </c>
      <c r="F2421" s="8">
        <f t="shared" si="10576"/>
        <v>0</v>
      </c>
      <c r="G2421" s="8">
        <f t="shared" si="10577"/>
        <v>0</v>
      </c>
      <c r="H2421" s="8">
        <f t="shared" si="10578"/>
        <v>0</v>
      </c>
      <c r="I2421" s="8">
        <f t="shared" si="10579"/>
        <v>0</v>
      </c>
      <c r="J2421" s="8">
        <f t="shared" si="10580"/>
        <v>0</v>
      </c>
      <c r="K2421" s="8">
        <f t="shared" si="10581"/>
        <v>0</v>
      </c>
      <c r="L2421" s="8">
        <f t="shared" si="10582"/>
        <v>0</v>
      </c>
      <c r="M2421" s="8">
        <f t="shared" si="10583"/>
        <v>0</v>
      </c>
      <c r="N2421" s="8">
        <f t="shared" si="10584"/>
        <v>0</v>
      </c>
      <c r="O2421" s="8">
        <f t="shared" si="10585"/>
        <v>0</v>
      </c>
      <c r="P2421" s="8" t="e">
        <v>#NUM!</v>
      </c>
      <c r="Q2421" s="8" t="e">
        <f t="shared" ref="Q2421" si="10610">IF(COUNTIF(P2418:P2428,"&lt;"&amp;-0.001)=0,IF(ABS(P2421)&lt;0.001,0,P2421)," ")</f>
        <v>#NUM!</v>
      </c>
      <c r="R2421" s="8"/>
      <c r="S2421" s="8"/>
      <c r="U2421" s="34"/>
      <c r="V2421" s="34"/>
      <c r="W2421" s="34"/>
      <c r="X2421" s="34"/>
      <c r="Y2421" s="34"/>
      <c r="Z2421" s="34"/>
      <c r="AA2421" s="34"/>
      <c r="AB2421" s="34"/>
      <c r="AC2421" s="34"/>
      <c r="AD2421" s="34"/>
      <c r="AE2421" s="34"/>
      <c r="AF2421" s="34"/>
      <c r="AG2421" s="34"/>
      <c r="AH2421" s="34"/>
      <c r="AI2421" s="34"/>
      <c r="AJ2421" s="34"/>
      <c r="AK2421" s="34"/>
      <c r="AL2421" s="34"/>
      <c r="AM2421" s="34"/>
      <c r="AN2421" s="34"/>
      <c r="AO2421" s="34"/>
      <c r="AP2421" s="34"/>
      <c r="AQ2421" s="34"/>
      <c r="AR2421" s="34"/>
      <c r="AS2421" s="34"/>
      <c r="AT2421" s="34"/>
      <c r="AU2421" s="34"/>
      <c r="AV2421" s="34"/>
      <c r="AW2421" s="34"/>
      <c r="AX2421" s="34"/>
      <c r="AY2421" s="34"/>
      <c r="AZ2421" s="34"/>
      <c r="BA2421" s="34"/>
      <c r="BB2421" s="34"/>
      <c r="BC2421" s="34"/>
      <c r="BD2421" s="34"/>
      <c r="BE2421" s="34"/>
      <c r="BF2421" s="34"/>
      <c r="BG2421" s="34"/>
      <c r="BH2421" s="34"/>
      <c r="BI2421" s="34"/>
      <c r="BJ2421" s="34"/>
      <c r="BK2421" s="34"/>
      <c r="BL2421" s="34"/>
      <c r="BM2421" s="34"/>
      <c r="BN2421" s="34"/>
      <c r="BO2421" s="34"/>
      <c r="BP2421" s="34"/>
      <c r="BQ2421" s="34"/>
      <c r="BR2421" s="34"/>
      <c r="BS2421" s="34"/>
      <c r="BT2421" s="34"/>
      <c r="BU2421" s="34"/>
      <c r="BV2421" s="34"/>
      <c r="BW2421" s="34"/>
      <c r="BX2421" s="34"/>
      <c r="BY2421" s="34"/>
      <c r="BZ2421" s="34"/>
      <c r="CA2421" s="34"/>
      <c r="CB2421" s="34"/>
      <c r="CC2421" s="34"/>
      <c r="CD2421" s="34"/>
      <c r="CE2421" s="34"/>
      <c r="CF2421" s="34"/>
      <c r="CG2421" s="34"/>
      <c r="CH2421" s="34"/>
    </row>
    <row r="2422" spans="1:86" x14ac:dyDescent="0.2">
      <c r="A2422" s="8" t="str">
        <f>IF(AND(COUNTIF(W$3:W$13,A$19)&gt;0,A$19&lt;&gt;B2324),A$19,IFERROR(IF(MATCH(A$19,Z$3:Z$13,0)=5,A$19," ")," "))</f>
        <v xml:space="preserve"> </v>
      </c>
      <c r="B2422" s="8" t="str">
        <f>IF(A2422=" "," ",MAX(B2418:B2421)+1)</f>
        <v xml:space="preserve"> </v>
      </c>
      <c r="C2422" s="8" t="str">
        <f>IFERROR(INDEX(A2418:A2439,MATCH(SMALL(B2418:B2439,5),B2418:B2439,0),1)," ")</f>
        <v>C15</v>
      </c>
      <c r="D2422" s="8">
        <f t="shared" si="10574"/>
        <v>0</v>
      </c>
      <c r="E2422" s="8">
        <f t="shared" si="10575"/>
        <v>0</v>
      </c>
      <c r="F2422" s="8">
        <f t="shared" si="10576"/>
        <v>0</v>
      </c>
      <c r="G2422" s="8">
        <f t="shared" si="10577"/>
        <v>1</v>
      </c>
      <c r="H2422" s="8">
        <f t="shared" si="10578"/>
        <v>0</v>
      </c>
      <c r="I2422" s="8">
        <f t="shared" si="10579"/>
        <v>0</v>
      </c>
      <c r="J2422" s="8">
        <f t="shared" si="10580"/>
        <v>0</v>
      </c>
      <c r="K2422" s="8">
        <f t="shared" si="10581"/>
        <v>0</v>
      </c>
      <c r="L2422" s="8">
        <f t="shared" si="10582"/>
        <v>0</v>
      </c>
      <c r="M2422" s="8">
        <f t="shared" si="10583"/>
        <v>0</v>
      </c>
      <c r="N2422" s="8">
        <f t="shared" si="10584"/>
        <v>0</v>
      </c>
      <c r="O2422" s="8">
        <f t="shared" si="10585"/>
        <v>0</v>
      </c>
      <c r="P2422" s="8" t="e">
        <v>#NUM!</v>
      </c>
      <c r="Q2422" s="8" t="e">
        <f t="shared" ref="Q2422" si="10611">IF(COUNTIF(P2418:P2428,"&lt;"&amp;-0.001)=0,IF(ABS(P2422)&lt;0.001,0,P2422)," ")</f>
        <v>#NUM!</v>
      </c>
      <c r="R2422" s="8"/>
      <c r="S2422" s="8"/>
      <c r="U2422" s="34"/>
      <c r="V2422" s="34"/>
      <c r="W2422" s="34"/>
      <c r="X2422" s="34"/>
      <c r="Y2422" s="34"/>
      <c r="Z2422" s="34"/>
      <c r="AA2422" s="34"/>
      <c r="AB2422" s="34"/>
      <c r="AC2422" s="34"/>
      <c r="AD2422" s="34"/>
      <c r="AE2422" s="34"/>
      <c r="AF2422" s="34"/>
      <c r="AG2422" s="34"/>
      <c r="AH2422" s="34"/>
      <c r="AI2422" s="34"/>
      <c r="AJ2422" s="34"/>
      <c r="AK2422" s="34"/>
      <c r="AL2422" s="34"/>
      <c r="AM2422" s="34"/>
      <c r="AN2422" s="34"/>
      <c r="AO2422" s="34"/>
      <c r="AP2422" s="34"/>
      <c r="AQ2422" s="34"/>
      <c r="AR2422" s="34"/>
      <c r="AS2422" s="34"/>
      <c r="AT2422" s="34"/>
      <c r="AU2422" s="34"/>
      <c r="AV2422" s="34"/>
      <c r="AW2422" s="34"/>
      <c r="AX2422" s="34"/>
      <c r="AY2422" s="34"/>
      <c r="AZ2422" s="34"/>
      <c r="BA2422" s="34"/>
      <c r="BB2422" s="34"/>
      <c r="BC2422" s="34"/>
      <c r="BD2422" s="34"/>
      <c r="BE2422" s="34"/>
      <c r="BF2422" s="34"/>
      <c r="BG2422" s="34"/>
      <c r="BH2422" s="34"/>
      <c r="BI2422" s="34"/>
      <c r="BJ2422" s="34"/>
      <c r="BK2422" s="34"/>
      <c r="BL2422" s="34"/>
      <c r="BM2422" s="34"/>
      <c r="BN2422" s="34"/>
      <c r="BO2422" s="34"/>
      <c r="BP2422" s="34"/>
      <c r="BQ2422" s="34"/>
      <c r="BR2422" s="34"/>
      <c r="BS2422" s="34"/>
      <c r="BT2422" s="34"/>
      <c r="BU2422" s="34"/>
      <c r="BV2422" s="34"/>
      <c r="BW2422" s="34"/>
      <c r="BX2422" s="34"/>
      <c r="BY2422" s="34"/>
      <c r="BZ2422" s="34"/>
      <c r="CA2422" s="34"/>
      <c r="CB2422" s="34"/>
      <c r="CC2422" s="34"/>
      <c r="CD2422" s="34"/>
      <c r="CE2422" s="34"/>
      <c r="CF2422" s="34"/>
      <c r="CG2422" s="34"/>
      <c r="CH2422" s="34"/>
    </row>
    <row r="2423" spans="1:86" x14ac:dyDescent="0.2">
      <c r="A2423" s="8" t="str">
        <f>IF(AND(COUNTIF(W$3:W$13,A$20)&gt;0,A$20&lt;&gt;B2324),A$20,IFERROR(IF(MATCH(A$20,Z$3:Z$13,0)=5,A$20," ")," "))</f>
        <v xml:space="preserve"> </v>
      </c>
      <c r="B2423" s="8" t="str">
        <f>IF(A2423=" "," ",MAX(B2418:B2422)+1)</f>
        <v xml:space="preserve"> </v>
      </c>
      <c r="C2423" s="8" t="str">
        <f>IFERROR(INDEX(A2418:A2439,MATCH(SMALL(B2418:B2439,6),B2418:B2439,0),1)," ")</f>
        <v>C16</v>
      </c>
      <c r="D2423" s="8">
        <f t="shared" si="10574"/>
        <v>0</v>
      </c>
      <c r="E2423" s="8">
        <f t="shared" si="10575"/>
        <v>0</v>
      </c>
      <c r="F2423" s="8">
        <f t="shared" si="10576"/>
        <v>0</v>
      </c>
      <c r="G2423" s="8">
        <f t="shared" si="10577"/>
        <v>0</v>
      </c>
      <c r="H2423" s="8">
        <f t="shared" si="10578"/>
        <v>1</v>
      </c>
      <c r="I2423" s="8">
        <f t="shared" si="10579"/>
        <v>0</v>
      </c>
      <c r="J2423" s="8">
        <f t="shared" si="10580"/>
        <v>0</v>
      </c>
      <c r="K2423" s="8">
        <f t="shared" si="10581"/>
        <v>0</v>
      </c>
      <c r="L2423" s="8">
        <f t="shared" si="10582"/>
        <v>0</v>
      </c>
      <c r="M2423" s="8">
        <f t="shared" si="10583"/>
        <v>0</v>
      </c>
      <c r="N2423" s="8">
        <f t="shared" si="10584"/>
        <v>0</v>
      </c>
      <c r="O2423" s="8">
        <f t="shared" si="10585"/>
        <v>0</v>
      </c>
      <c r="P2423" s="8" t="e">
        <v>#NUM!</v>
      </c>
      <c r="Q2423" s="8" t="e">
        <f t="shared" ref="Q2423" si="10612">IF(COUNTIF(P2418:P2428,"&lt;"&amp;-0.001)=0,IF(ABS(P2423)&lt;0.001,0,P2423)," ")</f>
        <v>#NUM!</v>
      </c>
      <c r="R2423" s="8"/>
      <c r="S2423" s="8"/>
      <c r="U2423" s="34"/>
      <c r="V2423" s="34"/>
      <c r="W2423" s="34"/>
      <c r="X2423" s="34"/>
      <c r="Y2423" s="34"/>
      <c r="Z2423" s="34"/>
      <c r="AA2423" s="34"/>
      <c r="AB2423" s="34"/>
      <c r="AC2423" s="34"/>
      <c r="AD2423" s="34"/>
      <c r="AE2423" s="34"/>
      <c r="AF2423" s="34"/>
      <c r="AG2423" s="34"/>
      <c r="AH2423" s="34"/>
      <c r="AI2423" s="34"/>
      <c r="AJ2423" s="34"/>
      <c r="AK2423" s="34"/>
      <c r="AL2423" s="34"/>
      <c r="AM2423" s="34"/>
      <c r="AN2423" s="34"/>
      <c r="AO2423" s="34"/>
      <c r="AP2423" s="34"/>
      <c r="AQ2423" s="34"/>
      <c r="AR2423" s="34"/>
      <c r="AS2423" s="34"/>
      <c r="AT2423" s="34"/>
      <c r="AU2423" s="34"/>
      <c r="AV2423" s="34"/>
      <c r="AW2423" s="34"/>
      <c r="AX2423" s="34"/>
      <c r="AY2423" s="34"/>
      <c r="AZ2423" s="34"/>
      <c r="BA2423" s="34"/>
      <c r="BB2423" s="34"/>
      <c r="BC2423" s="34"/>
      <c r="BD2423" s="34"/>
      <c r="BE2423" s="34"/>
      <c r="BF2423" s="34"/>
      <c r="BG2423" s="34"/>
      <c r="BH2423" s="34"/>
      <c r="BI2423" s="34"/>
      <c r="BJ2423" s="34"/>
      <c r="BK2423" s="34"/>
      <c r="BL2423" s="34"/>
      <c r="BM2423" s="34"/>
      <c r="BN2423" s="34"/>
      <c r="BO2423" s="34"/>
      <c r="BP2423" s="34"/>
      <c r="BQ2423" s="34"/>
      <c r="BR2423" s="34"/>
      <c r="BS2423" s="34"/>
      <c r="BT2423" s="34"/>
      <c r="BU2423" s="34"/>
      <c r="BV2423" s="34"/>
      <c r="BW2423" s="34"/>
      <c r="BX2423" s="34"/>
      <c r="BY2423" s="34"/>
      <c r="BZ2423" s="34"/>
      <c r="CA2423" s="34"/>
      <c r="CB2423" s="34"/>
      <c r="CC2423" s="34"/>
      <c r="CD2423" s="34"/>
      <c r="CE2423" s="34"/>
      <c r="CF2423" s="34"/>
      <c r="CG2423" s="34"/>
      <c r="CH2423" s="34"/>
    </row>
    <row r="2424" spans="1:86" x14ac:dyDescent="0.2">
      <c r="A2424" s="8" t="str">
        <f>IF(AND(COUNTIF(W$3:W$13,A$21)&gt;0,A$21&lt;&gt;B2324),A$21,IFERROR(IF(MATCH(A$21,Z$3:Z$13,0)=5,A$21," ")," "))</f>
        <v>C7</v>
      </c>
      <c r="B2424" s="8">
        <f>IF(A2424=" "," ",MAX(B2418:B2423)+1)</f>
        <v>3</v>
      </c>
      <c r="C2424" s="8" t="str">
        <f>IFERROR(INDEX(A2418:A2439,MATCH(SMALL(B2418:B2439,7),B2418:B2439,0),1)," ")</f>
        <v>C17</v>
      </c>
      <c r="D2424" s="8">
        <f t="shared" si="10574"/>
        <v>0</v>
      </c>
      <c r="E2424" s="8">
        <f t="shared" si="10575"/>
        <v>0</v>
      </c>
      <c r="F2424" s="8">
        <f t="shared" si="10576"/>
        <v>0</v>
      </c>
      <c r="G2424" s="8">
        <f t="shared" si="10577"/>
        <v>0</v>
      </c>
      <c r="H2424" s="8">
        <f t="shared" si="10578"/>
        <v>0</v>
      </c>
      <c r="I2424" s="8">
        <f t="shared" si="10579"/>
        <v>1</v>
      </c>
      <c r="J2424" s="8">
        <f t="shared" si="10580"/>
        <v>0</v>
      </c>
      <c r="K2424" s="8">
        <f t="shared" si="10581"/>
        <v>0</v>
      </c>
      <c r="L2424" s="8">
        <f t="shared" si="10582"/>
        <v>0</v>
      </c>
      <c r="M2424" s="8">
        <f t="shared" si="10583"/>
        <v>0</v>
      </c>
      <c r="N2424" s="8">
        <f t="shared" si="10584"/>
        <v>0</v>
      </c>
      <c r="O2424" s="8">
        <f t="shared" si="10585"/>
        <v>0</v>
      </c>
      <c r="P2424" s="8" t="e">
        <v>#NUM!</v>
      </c>
      <c r="Q2424" s="8" t="e">
        <f t="shared" ref="Q2424" si="10613">IF(COUNTIF(P2418:P2428,"&lt;"&amp;-0.001)=0,IF(ABS(P2424)&lt;0.001,0,P2424)," ")</f>
        <v>#NUM!</v>
      </c>
      <c r="R2424" s="8"/>
      <c r="S2424" s="8"/>
      <c r="U2424" s="34"/>
      <c r="V2424" s="34"/>
      <c r="W2424" s="34"/>
      <c r="X2424" s="34"/>
      <c r="Y2424" s="34"/>
      <c r="Z2424" s="34"/>
      <c r="AA2424" s="34"/>
      <c r="AB2424" s="34"/>
      <c r="AC2424" s="34"/>
      <c r="AD2424" s="34"/>
      <c r="AE2424" s="34"/>
      <c r="AF2424" s="34"/>
      <c r="AG2424" s="34"/>
      <c r="AH2424" s="34"/>
      <c r="AI2424" s="34"/>
      <c r="AJ2424" s="34"/>
      <c r="AK2424" s="34"/>
      <c r="AL2424" s="34"/>
      <c r="AM2424" s="34"/>
      <c r="AN2424" s="34"/>
      <c r="AO2424" s="34"/>
      <c r="AP2424" s="34"/>
      <c r="AQ2424" s="34"/>
      <c r="AR2424" s="34"/>
      <c r="AS2424" s="34"/>
      <c r="AT2424" s="34"/>
      <c r="AU2424" s="34"/>
      <c r="AV2424" s="34"/>
      <c r="AW2424" s="34"/>
      <c r="AX2424" s="34"/>
      <c r="AY2424" s="34"/>
      <c r="AZ2424" s="34"/>
      <c r="BA2424" s="34"/>
      <c r="BB2424" s="34"/>
      <c r="BC2424" s="34"/>
      <c r="BD2424" s="34"/>
      <c r="BE2424" s="34"/>
      <c r="BF2424" s="34"/>
      <c r="BG2424" s="34"/>
      <c r="BH2424" s="34"/>
      <c r="BI2424" s="34"/>
      <c r="BJ2424" s="34"/>
      <c r="BK2424" s="34"/>
      <c r="BL2424" s="34"/>
      <c r="BM2424" s="34"/>
      <c r="BN2424" s="34"/>
      <c r="BO2424" s="34"/>
      <c r="BP2424" s="34"/>
      <c r="BQ2424" s="34"/>
      <c r="BR2424" s="34"/>
      <c r="BS2424" s="34"/>
      <c r="BT2424" s="34"/>
      <c r="BU2424" s="34"/>
      <c r="BV2424" s="34"/>
      <c r="BW2424" s="34"/>
      <c r="BX2424" s="34"/>
      <c r="BY2424" s="34"/>
      <c r="BZ2424" s="34"/>
      <c r="CA2424" s="34"/>
      <c r="CB2424" s="34"/>
      <c r="CC2424" s="34"/>
      <c r="CD2424" s="34"/>
      <c r="CE2424" s="34"/>
      <c r="CF2424" s="34"/>
      <c r="CG2424" s="34"/>
      <c r="CH2424" s="34"/>
    </row>
    <row r="2425" spans="1:86" x14ac:dyDescent="0.2">
      <c r="A2425" s="8" t="str">
        <f>IF(AND(COUNTIF(W$3:W$13,A$22)&gt;0,A$22&lt;&gt;B2324),A$22,IFERROR(IF(MATCH(A$22,Z$3:Z$13,0)=5,A$22," ")," "))</f>
        <v xml:space="preserve"> </v>
      </c>
      <c r="B2425" s="8" t="str">
        <f>IF(A2425=" "," ",MAX(B2418:B2424)+1)</f>
        <v xml:space="preserve"> </v>
      </c>
      <c r="C2425" s="8" t="str">
        <f>IFERROR(INDEX(A2418:A2439,MATCH(SMALL(B2418:B2439,8),B2418:B2439,0),1)," ")</f>
        <v>C18</v>
      </c>
      <c r="D2425" s="8">
        <f t="shared" si="10574"/>
        <v>0</v>
      </c>
      <c r="E2425" s="8">
        <f t="shared" si="10575"/>
        <v>0</v>
      </c>
      <c r="F2425" s="8">
        <f t="shared" si="10576"/>
        <v>0</v>
      </c>
      <c r="G2425" s="8">
        <f t="shared" si="10577"/>
        <v>0</v>
      </c>
      <c r="H2425" s="8">
        <f t="shared" si="10578"/>
        <v>0</v>
      </c>
      <c r="I2425" s="8">
        <f t="shared" si="10579"/>
        <v>0</v>
      </c>
      <c r="J2425" s="8">
        <f t="shared" si="10580"/>
        <v>1</v>
      </c>
      <c r="K2425" s="8">
        <f t="shared" si="10581"/>
        <v>0</v>
      </c>
      <c r="L2425" s="8">
        <f t="shared" si="10582"/>
        <v>0</v>
      </c>
      <c r="M2425" s="8">
        <f t="shared" si="10583"/>
        <v>0</v>
      </c>
      <c r="N2425" s="8">
        <f t="shared" si="10584"/>
        <v>0</v>
      </c>
      <c r="O2425" s="8">
        <f t="shared" si="10585"/>
        <v>0</v>
      </c>
      <c r="P2425" s="8" t="e">
        <v>#NUM!</v>
      </c>
      <c r="Q2425" s="8" t="e">
        <f t="shared" ref="Q2425" si="10614">IF(COUNTIF(P2418:P2428,"&lt;"&amp;-0.001)=0,IF(ABS(P2425)&lt;0.001,0,P2425)," ")</f>
        <v>#NUM!</v>
      </c>
      <c r="R2425" s="8"/>
      <c r="S2425" s="8"/>
      <c r="U2425" s="34"/>
      <c r="V2425" s="34"/>
      <c r="W2425" s="34"/>
      <c r="X2425" s="34"/>
      <c r="Y2425" s="34"/>
      <c r="Z2425" s="34"/>
      <c r="AA2425" s="34"/>
      <c r="AB2425" s="34"/>
      <c r="AC2425" s="34"/>
      <c r="AD2425" s="34"/>
      <c r="AE2425" s="34"/>
      <c r="AF2425" s="34"/>
      <c r="AG2425" s="34"/>
      <c r="AH2425" s="34"/>
      <c r="AI2425" s="34"/>
      <c r="AJ2425" s="34"/>
      <c r="AK2425" s="34"/>
      <c r="AL2425" s="34"/>
      <c r="AM2425" s="34"/>
      <c r="AN2425" s="34"/>
      <c r="AO2425" s="34"/>
      <c r="AP2425" s="34"/>
      <c r="AQ2425" s="34"/>
      <c r="AR2425" s="34"/>
      <c r="AS2425" s="34"/>
      <c r="AT2425" s="34"/>
      <c r="AU2425" s="34"/>
      <c r="AV2425" s="34"/>
      <c r="AW2425" s="34"/>
      <c r="AX2425" s="34"/>
      <c r="AY2425" s="34"/>
      <c r="AZ2425" s="34"/>
      <c r="BA2425" s="34"/>
      <c r="BB2425" s="34"/>
      <c r="BC2425" s="34"/>
      <c r="BD2425" s="34"/>
      <c r="BE2425" s="34"/>
      <c r="BF2425" s="34"/>
      <c r="BG2425" s="34"/>
      <c r="BH2425" s="34"/>
      <c r="BI2425" s="34"/>
      <c r="BJ2425" s="34"/>
      <c r="BK2425" s="34"/>
      <c r="BL2425" s="34"/>
      <c r="BM2425" s="34"/>
      <c r="BN2425" s="34"/>
      <c r="BO2425" s="34"/>
      <c r="BP2425" s="34"/>
      <c r="BQ2425" s="34"/>
      <c r="BR2425" s="34"/>
      <c r="BS2425" s="34"/>
      <c r="BT2425" s="34"/>
      <c r="BU2425" s="34"/>
      <c r="BV2425" s="34"/>
      <c r="BW2425" s="34"/>
      <c r="BX2425" s="34"/>
      <c r="BY2425" s="34"/>
      <c r="BZ2425" s="34"/>
      <c r="CA2425" s="34"/>
      <c r="CB2425" s="34"/>
      <c r="CC2425" s="34"/>
      <c r="CD2425" s="34"/>
      <c r="CE2425" s="34"/>
      <c r="CF2425" s="34"/>
      <c r="CG2425" s="34"/>
      <c r="CH2425" s="34"/>
    </row>
    <row r="2426" spans="1:86" x14ac:dyDescent="0.2">
      <c r="A2426" s="8" t="str">
        <f>IF(AND(COUNTIF(W$3:W$13,A$23)&gt;0,A$23&lt;&gt;B2324),A$23,IFERROR(IF(MATCH(A$23,Z$3:Z$13,0)=5,A$23," ")," "))</f>
        <v xml:space="preserve"> </v>
      </c>
      <c r="B2426" s="8" t="str">
        <f>IF(A2426=" "," ",MAX(B2418:B2425)+1)</f>
        <v xml:space="preserve"> </v>
      </c>
      <c r="C2426" s="8" t="str">
        <f>IFERROR(INDEX(A2418:A2439,MATCH(SMALL(B2418:B2439,9),B2418:B2439,0),1)," ")</f>
        <v>C19</v>
      </c>
      <c r="D2426" s="8">
        <f t="shared" si="10574"/>
        <v>0</v>
      </c>
      <c r="E2426" s="8">
        <f t="shared" si="10575"/>
        <v>0</v>
      </c>
      <c r="F2426" s="8">
        <f t="shared" si="10576"/>
        <v>0</v>
      </c>
      <c r="G2426" s="8">
        <f t="shared" si="10577"/>
        <v>0</v>
      </c>
      <c r="H2426" s="8">
        <f t="shared" si="10578"/>
        <v>0</v>
      </c>
      <c r="I2426" s="8">
        <f t="shared" si="10579"/>
        <v>0</v>
      </c>
      <c r="J2426" s="8">
        <f t="shared" si="10580"/>
        <v>0</v>
      </c>
      <c r="K2426" s="8">
        <f t="shared" si="10581"/>
        <v>1</v>
      </c>
      <c r="L2426" s="8">
        <f t="shared" si="10582"/>
        <v>0</v>
      </c>
      <c r="M2426" s="8">
        <f t="shared" si="10583"/>
        <v>0</v>
      </c>
      <c r="N2426" s="8">
        <f t="shared" si="10584"/>
        <v>0</v>
      </c>
      <c r="O2426" s="8">
        <f t="shared" si="10585"/>
        <v>0</v>
      </c>
      <c r="P2426" s="6" t="e">
        <v>#NUM!</v>
      </c>
      <c r="Q2426" s="8" t="e">
        <f t="shared" ref="Q2426" si="10615">IF(COUNTIF(P2418:P2428,"&lt;"&amp;-0.001)=0,IF(ABS(P2426)&lt;0.001,0,P2426)," ")</f>
        <v>#NUM!</v>
      </c>
      <c r="R2426" s="8"/>
      <c r="S2426" s="8"/>
      <c r="U2426" s="34"/>
      <c r="V2426" s="34"/>
      <c r="W2426" s="34"/>
      <c r="X2426" s="34"/>
      <c r="Y2426" s="34"/>
      <c r="Z2426" s="34"/>
      <c r="AA2426" s="34"/>
      <c r="AB2426" s="34"/>
      <c r="AC2426" s="34"/>
      <c r="AD2426" s="34"/>
      <c r="AE2426" s="34"/>
      <c r="AF2426" s="34"/>
      <c r="AG2426" s="34"/>
      <c r="AH2426" s="34"/>
      <c r="AI2426" s="34"/>
      <c r="AJ2426" s="34"/>
      <c r="AK2426" s="34"/>
      <c r="AL2426" s="34"/>
      <c r="AM2426" s="34"/>
      <c r="AN2426" s="34"/>
      <c r="AO2426" s="34"/>
      <c r="AP2426" s="34"/>
      <c r="AQ2426" s="34"/>
      <c r="AR2426" s="34"/>
      <c r="AS2426" s="34"/>
      <c r="AT2426" s="34"/>
      <c r="AU2426" s="34"/>
      <c r="AV2426" s="34"/>
      <c r="AW2426" s="34"/>
      <c r="AX2426" s="34"/>
      <c r="AY2426" s="34"/>
      <c r="AZ2426" s="34"/>
      <c r="BA2426" s="34"/>
      <c r="BB2426" s="34"/>
      <c r="BC2426" s="34"/>
      <c r="BD2426" s="34"/>
      <c r="BE2426" s="34"/>
      <c r="BF2426" s="34"/>
      <c r="BG2426" s="34"/>
      <c r="BH2426" s="34"/>
      <c r="BI2426" s="34"/>
      <c r="BJ2426" s="34"/>
      <c r="BK2426" s="34"/>
      <c r="BL2426" s="34"/>
      <c r="BM2426" s="34"/>
      <c r="BN2426" s="34"/>
      <c r="BO2426" s="34"/>
      <c r="BP2426" s="34"/>
      <c r="BQ2426" s="34"/>
      <c r="BR2426" s="34"/>
      <c r="BS2426" s="34"/>
      <c r="BT2426" s="34"/>
      <c r="BU2426" s="34"/>
      <c r="BV2426" s="34"/>
      <c r="BW2426" s="34"/>
      <c r="BX2426" s="34"/>
      <c r="BY2426" s="34"/>
      <c r="BZ2426" s="34"/>
      <c r="CA2426" s="34"/>
      <c r="CB2426" s="34"/>
      <c r="CC2426" s="34"/>
      <c r="CD2426" s="34"/>
      <c r="CE2426" s="34"/>
      <c r="CF2426" s="34"/>
      <c r="CG2426" s="34"/>
      <c r="CH2426" s="34"/>
    </row>
    <row r="2427" spans="1:86" x14ac:dyDescent="0.2">
      <c r="A2427" s="8" t="str">
        <f>IF(AND(COUNTIF(W$3:W$13,A$24)&gt;0,A$24&lt;&gt;B2324),A$24,IFERROR(IF(MATCH(A$24,Z$3:Z$13,0)=5,A$24," ")," "))</f>
        <v xml:space="preserve"> </v>
      </c>
      <c r="B2427" s="8" t="str">
        <f>IF(A2427=" "," ",MAX(B2418:B2426)+1)</f>
        <v xml:space="preserve"> </v>
      </c>
      <c r="C2427" s="8" t="str">
        <f>IFERROR(INDEX(A2418:A2439,MATCH(SMALL(B2418:B2439,10),B2418:B2439,0),1)," ")</f>
        <v>C20</v>
      </c>
      <c r="D2427" s="8">
        <f t="shared" si="10574"/>
        <v>0</v>
      </c>
      <c r="E2427" s="8">
        <f t="shared" si="10575"/>
        <v>0</v>
      </c>
      <c r="F2427" s="8">
        <f t="shared" si="10576"/>
        <v>0</v>
      </c>
      <c r="G2427" s="8">
        <f t="shared" si="10577"/>
        <v>0</v>
      </c>
      <c r="H2427" s="8">
        <f t="shared" si="10578"/>
        <v>0</v>
      </c>
      <c r="I2427" s="8">
        <f t="shared" si="10579"/>
        <v>0</v>
      </c>
      <c r="J2427" s="8">
        <f t="shared" si="10580"/>
        <v>0</v>
      </c>
      <c r="K2427" s="8">
        <f t="shared" si="10581"/>
        <v>0</v>
      </c>
      <c r="L2427" s="8">
        <f t="shared" si="10582"/>
        <v>1</v>
      </c>
      <c r="M2427" s="8">
        <f t="shared" si="10583"/>
        <v>0</v>
      </c>
      <c r="N2427" s="8">
        <f t="shared" si="10584"/>
        <v>0</v>
      </c>
      <c r="O2427" s="8">
        <f t="shared" si="10585"/>
        <v>0</v>
      </c>
      <c r="P2427" s="8" t="e">
        <v>#NUM!</v>
      </c>
      <c r="Q2427" s="8" t="e">
        <f t="shared" ref="Q2427" si="10616">IF(COUNTIF(P2418:P2428,"&lt;"&amp;-0.001)=0,IF(ABS(P2427)&lt;0.001,0,P2427)," ")</f>
        <v>#NUM!</v>
      </c>
      <c r="R2427" s="8"/>
      <c r="S2427" s="8"/>
      <c r="U2427" s="34"/>
      <c r="V2427" s="34"/>
      <c r="W2427" s="34"/>
      <c r="X2427" s="34"/>
      <c r="Y2427" s="34"/>
      <c r="Z2427" s="34"/>
      <c r="AA2427" s="34"/>
      <c r="AB2427" s="34"/>
      <c r="AC2427" s="34"/>
      <c r="AD2427" s="34"/>
      <c r="AE2427" s="34"/>
      <c r="AF2427" s="34"/>
      <c r="AG2427" s="34"/>
      <c r="AH2427" s="34"/>
      <c r="AI2427" s="34"/>
      <c r="AJ2427" s="34"/>
      <c r="AK2427" s="34"/>
      <c r="AL2427" s="34"/>
      <c r="AM2427" s="34"/>
      <c r="AN2427" s="34"/>
      <c r="AO2427" s="34"/>
      <c r="AP2427" s="34"/>
      <c r="AQ2427" s="34"/>
      <c r="AR2427" s="34"/>
      <c r="AS2427" s="34"/>
      <c r="AT2427" s="34"/>
      <c r="AU2427" s="34"/>
      <c r="AV2427" s="34"/>
      <c r="AW2427" s="34"/>
      <c r="AX2427" s="34"/>
      <c r="AY2427" s="34"/>
      <c r="AZ2427" s="34"/>
      <c r="BA2427" s="34"/>
      <c r="BB2427" s="34"/>
      <c r="BC2427" s="34"/>
      <c r="BD2427" s="34"/>
      <c r="BE2427" s="34"/>
      <c r="BF2427" s="34"/>
      <c r="BG2427" s="34"/>
      <c r="BH2427" s="34"/>
      <c r="BI2427" s="34"/>
      <c r="BJ2427" s="34"/>
      <c r="BK2427" s="34"/>
      <c r="BL2427" s="34"/>
      <c r="BM2427" s="34"/>
      <c r="BN2427" s="34"/>
      <c r="BO2427" s="34"/>
      <c r="BP2427" s="34"/>
      <c r="BQ2427" s="34"/>
      <c r="BR2427" s="34"/>
      <c r="BS2427" s="34"/>
      <c r="BT2427" s="34"/>
      <c r="BU2427" s="34"/>
      <c r="BV2427" s="34"/>
      <c r="BW2427" s="34"/>
      <c r="BX2427" s="34"/>
      <c r="BY2427" s="34"/>
      <c r="BZ2427" s="34"/>
      <c r="CA2427" s="34"/>
      <c r="CB2427" s="34"/>
      <c r="CC2427" s="34"/>
      <c r="CD2427" s="34"/>
      <c r="CE2427" s="34"/>
      <c r="CF2427" s="34"/>
      <c r="CG2427" s="34"/>
      <c r="CH2427" s="34"/>
    </row>
    <row r="2428" spans="1:86" x14ac:dyDescent="0.2">
      <c r="A2428" s="8" t="str">
        <f>IF(AND(COUNTIF(W$3:W$13,A$25)&gt;0,A$25&lt;&gt;B2324),A$25,IFERROR(IF(MATCH(A$25,Z$3:Z$13,0)=5,A$25," ")," "))</f>
        <v xml:space="preserve"> </v>
      </c>
      <c r="B2428" s="8" t="str">
        <f>IF(A2428=" "," ",MAX(B2418:B2427)+1)</f>
        <v xml:space="preserve"> </v>
      </c>
      <c r="C2428" s="8" t="str">
        <f>IFERROR(INDEX(A2418:A2439,MATCH(SMALL(B2418:B2439,11),B2418:B2439,0),1)," ")</f>
        <v>C22</v>
      </c>
      <c r="D2428" s="8">
        <f t="shared" si="10574"/>
        <v>0</v>
      </c>
      <c r="E2428" s="8">
        <f t="shared" si="10575"/>
        <v>0</v>
      </c>
      <c r="F2428" s="8">
        <f t="shared" si="10576"/>
        <v>0</v>
      </c>
      <c r="G2428" s="8">
        <f t="shared" si="10577"/>
        <v>0</v>
      </c>
      <c r="H2428" s="8">
        <f t="shared" si="10578"/>
        <v>0</v>
      </c>
      <c r="I2428" s="8">
        <f t="shared" si="10579"/>
        <v>0</v>
      </c>
      <c r="J2428" s="8">
        <f t="shared" si="10580"/>
        <v>0</v>
      </c>
      <c r="K2428" s="8">
        <f t="shared" si="10581"/>
        <v>0</v>
      </c>
      <c r="L2428" s="8">
        <f t="shared" si="10582"/>
        <v>0</v>
      </c>
      <c r="M2428" s="8">
        <f t="shared" si="10583"/>
        <v>0</v>
      </c>
      <c r="N2428" s="8">
        <f t="shared" si="10584"/>
        <v>1</v>
      </c>
      <c r="O2428" s="8">
        <f t="shared" si="10585"/>
        <v>0</v>
      </c>
      <c r="P2428" s="8" t="e">
        <v>#NUM!</v>
      </c>
      <c r="Q2428" s="8" t="e">
        <f t="shared" ref="Q2428" si="10617">IF(COUNTIF(P2418:P2428,"&lt;"&amp;-0.001)=0,IF(ABS(P2428)&lt;0.001,0,P2428)," ")</f>
        <v>#NUM!</v>
      </c>
      <c r="R2428" s="8"/>
      <c r="S2428" s="8"/>
      <c r="U2428" s="34"/>
      <c r="V2428" s="34"/>
      <c r="W2428" s="34"/>
      <c r="X2428" s="34"/>
      <c r="Y2428" s="34"/>
      <c r="Z2428" s="34"/>
      <c r="AA2428" s="34"/>
      <c r="AB2428" s="34"/>
      <c r="AC2428" s="34"/>
      <c r="AD2428" s="34"/>
      <c r="AE2428" s="34"/>
      <c r="AF2428" s="34"/>
      <c r="AG2428" s="34"/>
      <c r="AH2428" s="34"/>
      <c r="AI2428" s="34"/>
      <c r="AJ2428" s="34"/>
      <c r="AK2428" s="34"/>
      <c r="AL2428" s="34"/>
      <c r="AM2428" s="34"/>
      <c r="AN2428" s="34"/>
      <c r="AO2428" s="34"/>
      <c r="AP2428" s="34"/>
      <c r="AQ2428" s="34"/>
      <c r="AR2428" s="34"/>
      <c r="AS2428" s="34"/>
      <c r="AT2428" s="34"/>
      <c r="AU2428" s="34"/>
      <c r="AV2428" s="34"/>
      <c r="AW2428" s="34"/>
      <c r="AX2428" s="34"/>
      <c r="AY2428" s="34"/>
      <c r="AZ2428" s="34"/>
      <c r="BA2428" s="34"/>
      <c r="BB2428" s="34"/>
      <c r="BC2428" s="34"/>
      <c r="BD2428" s="34"/>
      <c r="BE2428" s="34"/>
      <c r="BF2428" s="34"/>
      <c r="BG2428" s="34"/>
      <c r="BH2428" s="34"/>
      <c r="BI2428" s="34"/>
      <c r="BJ2428" s="34"/>
      <c r="BK2428" s="34"/>
      <c r="BL2428" s="34"/>
      <c r="BM2428" s="34"/>
      <c r="BN2428" s="34"/>
      <c r="BO2428" s="34"/>
      <c r="BP2428" s="34"/>
      <c r="BQ2428" s="34"/>
      <c r="BR2428" s="34"/>
      <c r="BS2428" s="34"/>
      <c r="BT2428" s="34"/>
      <c r="BU2428" s="34"/>
      <c r="BV2428" s="34"/>
      <c r="BW2428" s="34"/>
      <c r="BX2428" s="34"/>
      <c r="BY2428" s="34"/>
      <c r="BZ2428" s="34"/>
      <c r="CA2428" s="34"/>
      <c r="CB2428" s="34"/>
      <c r="CC2428" s="34"/>
      <c r="CD2428" s="34"/>
      <c r="CE2428" s="34"/>
      <c r="CF2428" s="34"/>
      <c r="CG2428" s="34"/>
      <c r="CH2428" s="34"/>
    </row>
    <row r="2429" spans="1:86" x14ac:dyDescent="0.2">
      <c r="A2429" s="8" t="str">
        <f>IF(AND(COUNTIF(W$3:W$13,A$26)&gt;0,A$26&lt;&gt;B2324),A$26,IFERROR(IF(MATCH(A$26,Z$3:Z$13,0)=5,A$26," ")," "))</f>
        <v xml:space="preserve"> </v>
      </c>
      <c r="B2429" s="8" t="str">
        <f>IF(A2429=" "," ",MAX(B2418:B2428)+1)</f>
        <v xml:space="preserve"> </v>
      </c>
      <c r="C2429" s="8"/>
      <c r="D2429" s="8"/>
      <c r="E2429" s="8"/>
      <c r="F2429" s="8"/>
      <c r="G2429" s="8"/>
      <c r="H2429" s="8"/>
      <c r="I2429" s="8"/>
      <c r="J2429" s="8"/>
      <c r="K2429" s="8"/>
      <c r="L2429" s="8"/>
      <c r="M2429" s="8"/>
      <c r="N2429" s="8"/>
      <c r="O2429" s="8"/>
      <c r="P2429" s="8"/>
      <c r="Q2429" s="8"/>
      <c r="R2429" s="8"/>
      <c r="S2429" s="8"/>
      <c r="U2429" s="34"/>
      <c r="V2429" s="34"/>
      <c r="W2429" s="34"/>
      <c r="X2429" s="34"/>
      <c r="Y2429" s="34"/>
      <c r="Z2429" s="34"/>
      <c r="AA2429" s="34"/>
      <c r="AB2429" s="34"/>
      <c r="AC2429" s="34"/>
      <c r="AD2429" s="34"/>
      <c r="AE2429" s="34"/>
      <c r="AF2429" s="34"/>
      <c r="AG2429" s="34"/>
      <c r="AH2429" s="34"/>
      <c r="AI2429" s="34"/>
      <c r="AJ2429" s="34"/>
      <c r="AK2429" s="34"/>
      <c r="AL2429" s="34"/>
      <c r="AM2429" s="34"/>
      <c r="AN2429" s="34"/>
      <c r="AO2429" s="34"/>
      <c r="AP2429" s="34"/>
      <c r="AQ2429" s="34"/>
      <c r="AR2429" s="34"/>
      <c r="AS2429" s="34"/>
      <c r="AT2429" s="34"/>
      <c r="AU2429" s="34"/>
      <c r="AV2429" s="34"/>
      <c r="AW2429" s="34"/>
      <c r="AX2429" s="34"/>
      <c r="AY2429" s="34"/>
      <c r="AZ2429" s="34"/>
      <c r="BA2429" s="34"/>
      <c r="BB2429" s="34"/>
      <c r="BC2429" s="34"/>
      <c r="BD2429" s="34"/>
      <c r="BE2429" s="34"/>
      <c r="BF2429" s="34"/>
      <c r="BG2429" s="34"/>
      <c r="BH2429" s="34"/>
      <c r="BI2429" s="34"/>
      <c r="BJ2429" s="34"/>
      <c r="BK2429" s="34"/>
      <c r="BL2429" s="34"/>
      <c r="BM2429" s="34"/>
      <c r="BN2429" s="34"/>
      <c r="BO2429" s="34"/>
      <c r="BP2429" s="34"/>
      <c r="BQ2429" s="34"/>
      <c r="BR2429" s="34"/>
      <c r="BS2429" s="34"/>
      <c r="BT2429" s="34"/>
      <c r="BU2429" s="34"/>
      <c r="BV2429" s="34"/>
      <c r="BW2429" s="34"/>
      <c r="BX2429" s="34"/>
      <c r="BY2429" s="34"/>
      <c r="BZ2429" s="34"/>
      <c r="CA2429" s="34"/>
      <c r="CB2429" s="34"/>
      <c r="CC2429" s="34"/>
      <c r="CD2429" s="34"/>
      <c r="CE2429" s="34"/>
      <c r="CF2429" s="34"/>
      <c r="CG2429" s="34"/>
      <c r="CH2429" s="34"/>
    </row>
    <row r="2430" spans="1:86" x14ac:dyDescent="0.2">
      <c r="A2430" s="8" t="str">
        <f>IF(AND(COUNTIF(W$3:W$13,A$27)&gt;0,A$27&lt;&gt;B2324),A$27,IFERROR(IF(MATCH(A$27,Z$3:Z$13,0)=5,A$27," ")," "))</f>
        <v>C13</v>
      </c>
      <c r="B2430" s="8">
        <f>IF(A2430=" "," ",MAX(B2418:B2429)+1)</f>
        <v>4</v>
      </c>
      <c r="C2430" s="8"/>
      <c r="D2430" s="8"/>
      <c r="E2430" s="8"/>
      <c r="F2430" s="8"/>
      <c r="G2430" s="8"/>
      <c r="H2430" s="8"/>
      <c r="I2430" s="8"/>
      <c r="J2430" s="8"/>
      <c r="K2430" s="8"/>
      <c r="L2430" s="8"/>
      <c r="M2430" s="8"/>
      <c r="N2430" s="8"/>
      <c r="O2430" s="8"/>
      <c r="P2430" s="8"/>
      <c r="Q2430" s="8"/>
      <c r="R2430" s="8"/>
      <c r="S2430" s="8"/>
      <c r="U2430" s="34"/>
      <c r="V2430" s="34"/>
      <c r="W2430" s="34"/>
      <c r="X2430" s="34"/>
      <c r="Y2430" s="34"/>
      <c r="Z2430" s="34"/>
      <c r="AA2430" s="34"/>
      <c r="AB2430" s="34"/>
      <c r="AC2430" s="34"/>
      <c r="AD2430" s="34"/>
      <c r="AE2430" s="34"/>
      <c r="AF2430" s="34"/>
      <c r="AG2430" s="34"/>
      <c r="AH2430" s="34"/>
      <c r="AI2430" s="34"/>
      <c r="AJ2430" s="34"/>
      <c r="AK2430" s="34"/>
      <c r="AL2430" s="34"/>
      <c r="AM2430" s="34"/>
      <c r="AN2430" s="34"/>
      <c r="AO2430" s="34"/>
      <c r="AP2430" s="34"/>
      <c r="AQ2430" s="34"/>
      <c r="AR2430" s="34"/>
      <c r="AS2430" s="34"/>
      <c r="AT2430" s="34"/>
      <c r="AU2430" s="34"/>
      <c r="AV2430" s="34"/>
      <c r="AW2430" s="34"/>
      <c r="AX2430" s="34"/>
      <c r="AY2430" s="34"/>
      <c r="AZ2430" s="34"/>
      <c r="BA2430" s="34"/>
      <c r="BB2430" s="34"/>
      <c r="BC2430" s="34"/>
      <c r="BD2430" s="34"/>
      <c r="BE2430" s="34"/>
      <c r="BF2430" s="34"/>
      <c r="BG2430" s="34"/>
      <c r="BH2430" s="34"/>
      <c r="BI2430" s="34"/>
      <c r="BJ2430" s="34"/>
      <c r="BK2430" s="34"/>
      <c r="BL2430" s="34"/>
      <c r="BM2430" s="34"/>
      <c r="BN2430" s="34"/>
      <c r="BO2430" s="34"/>
      <c r="BP2430" s="34"/>
      <c r="BQ2430" s="34"/>
      <c r="BR2430" s="34"/>
      <c r="BS2430" s="34"/>
      <c r="BT2430" s="34"/>
      <c r="BU2430" s="34"/>
      <c r="BV2430" s="34"/>
      <c r="BW2430" s="34"/>
      <c r="BX2430" s="34"/>
      <c r="BY2430" s="34"/>
      <c r="BZ2430" s="34"/>
      <c r="CA2430" s="34"/>
      <c r="CB2430" s="34"/>
      <c r="CC2430" s="34"/>
      <c r="CD2430" s="34"/>
      <c r="CE2430" s="34"/>
      <c r="CF2430" s="34"/>
      <c r="CG2430" s="34"/>
      <c r="CH2430" s="34"/>
    </row>
    <row r="2431" spans="1:86" x14ac:dyDescent="0.2">
      <c r="A2431" s="8" t="str">
        <f>IF(AND(COUNTIF(W$3:W$13,A$28)&gt;0,A$28&lt;&gt;B2324),A$28,IFERROR(IF(MATCH(A$28,Z$3:Z$13,0)=5,A$28," ")," "))</f>
        <v xml:space="preserve"> </v>
      </c>
      <c r="B2431" s="8" t="str">
        <f>IF(A2431=" "," ",MAX(B2418:B2430)+1)</f>
        <v xml:space="preserve"> </v>
      </c>
      <c r="C2431" s="8"/>
      <c r="D2431" s="8"/>
      <c r="E2431" s="8"/>
      <c r="F2431" s="8"/>
      <c r="G2431" s="8"/>
      <c r="H2431" s="8"/>
      <c r="I2431" s="8"/>
      <c r="J2431" s="8"/>
      <c r="K2431" s="8"/>
      <c r="L2431" s="8"/>
      <c r="M2431" s="8"/>
      <c r="N2431" s="8"/>
      <c r="O2431" s="8"/>
      <c r="P2431" s="8"/>
      <c r="Q2431" s="8"/>
      <c r="R2431" s="8"/>
      <c r="S2431" s="8"/>
      <c r="U2431" s="34"/>
      <c r="V2431" s="34"/>
      <c r="W2431" s="34"/>
      <c r="X2431" s="34"/>
      <c r="Y2431" s="34"/>
      <c r="Z2431" s="34"/>
      <c r="AA2431" s="34"/>
      <c r="AB2431" s="34"/>
      <c r="AC2431" s="34"/>
      <c r="AD2431" s="34"/>
      <c r="AE2431" s="34"/>
      <c r="AF2431" s="34"/>
      <c r="AG2431" s="34"/>
      <c r="AH2431" s="34"/>
      <c r="AI2431" s="34"/>
      <c r="AJ2431" s="34"/>
      <c r="AK2431" s="34"/>
      <c r="AL2431" s="34"/>
      <c r="AM2431" s="34"/>
      <c r="AN2431" s="34"/>
      <c r="AO2431" s="34"/>
      <c r="AP2431" s="34"/>
      <c r="AQ2431" s="34"/>
      <c r="AR2431" s="34"/>
      <c r="AS2431" s="34"/>
      <c r="AT2431" s="34"/>
      <c r="AU2431" s="34"/>
      <c r="AV2431" s="34"/>
      <c r="AW2431" s="34"/>
      <c r="AX2431" s="34"/>
      <c r="AY2431" s="34"/>
      <c r="AZ2431" s="34"/>
      <c r="BA2431" s="34"/>
      <c r="BB2431" s="34"/>
      <c r="BC2431" s="34"/>
      <c r="BD2431" s="34"/>
      <c r="BE2431" s="34"/>
      <c r="BF2431" s="34"/>
      <c r="BG2431" s="34"/>
      <c r="BH2431" s="34"/>
      <c r="BI2431" s="34"/>
      <c r="BJ2431" s="34"/>
      <c r="BK2431" s="34"/>
      <c r="BL2431" s="34"/>
      <c r="BM2431" s="34"/>
      <c r="BN2431" s="34"/>
      <c r="BO2431" s="34"/>
      <c r="BP2431" s="34"/>
      <c r="BQ2431" s="34"/>
      <c r="BR2431" s="34"/>
      <c r="BS2431" s="34"/>
      <c r="BT2431" s="34"/>
      <c r="BU2431" s="34"/>
      <c r="BV2431" s="34"/>
      <c r="BW2431" s="34"/>
      <c r="BX2431" s="34"/>
      <c r="BY2431" s="34"/>
      <c r="BZ2431" s="34"/>
      <c r="CA2431" s="34"/>
      <c r="CB2431" s="34"/>
      <c r="CC2431" s="34"/>
      <c r="CD2431" s="34"/>
      <c r="CE2431" s="34"/>
      <c r="CF2431" s="34"/>
      <c r="CG2431" s="34"/>
      <c r="CH2431" s="34"/>
    </row>
    <row r="2432" spans="1:86" x14ac:dyDescent="0.2">
      <c r="A2432" s="8" t="str">
        <f>IF(AND(COUNTIF(W$3:W$13,A$29)&gt;0,A$29&lt;&gt;B2324),A$29,IFERROR(IF(MATCH(A$29,Z$3:Z$13,0)=5,A$29," ")," "))</f>
        <v>C15</v>
      </c>
      <c r="B2432" s="8">
        <f>IF(A2432=" "," ",MAX(B2418:B2431)+1)</f>
        <v>5</v>
      </c>
      <c r="C2432" s="8"/>
      <c r="D2432" s="8"/>
      <c r="E2432" s="8"/>
      <c r="F2432" s="8"/>
      <c r="G2432" s="8"/>
      <c r="H2432" s="8"/>
      <c r="I2432" s="8"/>
      <c r="J2432" s="8"/>
      <c r="K2432" s="8"/>
      <c r="L2432" s="8"/>
      <c r="M2432" s="8"/>
      <c r="N2432" s="8"/>
      <c r="O2432" s="8"/>
      <c r="P2432" s="8"/>
      <c r="Q2432" s="8"/>
      <c r="R2432" s="8"/>
      <c r="S2432" s="8"/>
      <c r="U2432" s="34"/>
      <c r="V2432" s="34"/>
      <c r="W2432" s="34"/>
      <c r="X2432" s="34"/>
      <c r="Y2432" s="34"/>
      <c r="Z2432" s="34"/>
      <c r="AA2432" s="34"/>
      <c r="AB2432" s="34"/>
      <c r="AC2432" s="34"/>
      <c r="AD2432" s="34"/>
      <c r="AE2432" s="34"/>
      <c r="AF2432" s="34"/>
      <c r="AG2432" s="34"/>
      <c r="AH2432" s="34"/>
      <c r="AI2432" s="34"/>
      <c r="AJ2432" s="34"/>
      <c r="AK2432" s="34"/>
      <c r="AL2432" s="34"/>
      <c r="AM2432" s="34"/>
      <c r="AN2432" s="34"/>
      <c r="AO2432" s="34"/>
      <c r="AP2432" s="34"/>
      <c r="AQ2432" s="34"/>
      <c r="AR2432" s="34"/>
      <c r="AS2432" s="34"/>
      <c r="AT2432" s="34"/>
      <c r="AU2432" s="34"/>
      <c r="AV2432" s="34"/>
      <c r="AW2432" s="34"/>
      <c r="AX2432" s="34"/>
      <c r="AY2432" s="34"/>
      <c r="AZ2432" s="34"/>
      <c r="BA2432" s="34"/>
      <c r="BB2432" s="34"/>
      <c r="BC2432" s="34"/>
      <c r="BD2432" s="34"/>
      <c r="BE2432" s="34"/>
      <c r="BF2432" s="34"/>
      <c r="BG2432" s="34"/>
      <c r="BH2432" s="34"/>
      <c r="BI2432" s="34"/>
      <c r="BJ2432" s="34"/>
      <c r="BK2432" s="34"/>
      <c r="BL2432" s="34"/>
      <c r="BM2432" s="34"/>
      <c r="BN2432" s="34"/>
      <c r="BO2432" s="34"/>
      <c r="BP2432" s="34"/>
      <c r="BQ2432" s="34"/>
      <c r="BR2432" s="34"/>
      <c r="BS2432" s="34"/>
      <c r="BT2432" s="34"/>
      <c r="BU2432" s="34"/>
      <c r="BV2432" s="34"/>
      <c r="BW2432" s="34"/>
      <c r="BX2432" s="34"/>
      <c r="BY2432" s="34"/>
      <c r="BZ2432" s="34"/>
      <c r="CA2432" s="34"/>
      <c r="CB2432" s="34"/>
      <c r="CC2432" s="34"/>
      <c r="CD2432" s="34"/>
      <c r="CE2432" s="34"/>
      <c r="CF2432" s="34"/>
      <c r="CG2432" s="34"/>
      <c r="CH2432" s="34"/>
    </row>
    <row r="2433" spans="1:86" x14ac:dyDescent="0.2">
      <c r="A2433" s="8" t="str">
        <f>IF(AND(COUNTIF(W$3:W$13,A$30)&gt;0,A$30&lt;&gt;B2324),A$30,IFERROR(IF(MATCH(A$30,Z$3:Z$13,0)=5,A$30," ")," "))</f>
        <v>C16</v>
      </c>
      <c r="B2433" s="8">
        <f>IF(A2433=" "," ",MAX(B2418:B2432)+1)</f>
        <v>6</v>
      </c>
      <c r="C2433" s="8"/>
      <c r="D2433" s="8"/>
      <c r="E2433" s="8"/>
      <c r="F2433" s="8"/>
      <c r="G2433" s="8"/>
      <c r="H2433" s="8"/>
      <c r="I2433" s="8"/>
      <c r="J2433" s="8"/>
      <c r="K2433" s="8"/>
      <c r="L2433" s="8"/>
      <c r="M2433" s="8"/>
      <c r="N2433" s="8"/>
      <c r="O2433" s="8"/>
      <c r="P2433" s="8"/>
      <c r="Q2433" s="8"/>
      <c r="R2433" s="8"/>
      <c r="S2433" s="8"/>
      <c r="U2433" s="34"/>
      <c r="V2433" s="34"/>
      <c r="W2433" s="34"/>
      <c r="X2433" s="34"/>
      <c r="Y2433" s="34"/>
      <c r="Z2433" s="34"/>
      <c r="AA2433" s="34"/>
      <c r="AB2433" s="34"/>
      <c r="AC2433" s="34"/>
      <c r="AD2433" s="34"/>
      <c r="AE2433" s="34"/>
      <c r="AF2433" s="34"/>
      <c r="AG2433" s="34"/>
      <c r="AH2433" s="34"/>
      <c r="AI2433" s="34"/>
      <c r="AJ2433" s="34"/>
      <c r="AK2433" s="34"/>
      <c r="AL2433" s="34"/>
      <c r="AM2433" s="34"/>
      <c r="AN2433" s="34"/>
      <c r="AO2433" s="34"/>
      <c r="AP2433" s="34"/>
      <c r="AQ2433" s="34"/>
      <c r="AR2433" s="34"/>
      <c r="AS2433" s="34"/>
      <c r="AT2433" s="34"/>
      <c r="AU2433" s="34"/>
      <c r="AV2433" s="34"/>
      <c r="AW2433" s="34"/>
      <c r="AX2433" s="34"/>
      <c r="AY2433" s="34"/>
      <c r="AZ2433" s="34"/>
      <c r="BA2433" s="34"/>
      <c r="BB2433" s="34"/>
      <c r="BC2433" s="34"/>
      <c r="BD2433" s="34"/>
      <c r="BE2433" s="34"/>
      <c r="BF2433" s="34"/>
      <c r="BG2433" s="34"/>
      <c r="BH2433" s="34"/>
      <c r="BI2433" s="34"/>
      <c r="BJ2433" s="34"/>
      <c r="BK2433" s="34"/>
      <c r="BL2433" s="34"/>
      <c r="BM2433" s="34"/>
      <c r="BN2433" s="34"/>
      <c r="BO2433" s="34"/>
      <c r="BP2433" s="34"/>
      <c r="BQ2433" s="34"/>
      <c r="BR2433" s="34"/>
      <c r="BS2433" s="34"/>
      <c r="BT2433" s="34"/>
      <c r="BU2433" s="34"/>
      <c r="BV2433" s="34"/>
      <c r="BW2433" s="34"/>
      <c r="BX2433" s="34"/>
      <c r="BY2433" s="34"/>
      <c r="BZ2433" s="34"/>
      <c r="CA2433" s="34"/>
      <c r="CB2433" s="34"/>
      <c r="CC2433" s="34"/>
      <c r="CD2433" s="34"/>
      <c r="CE2433" s="34"/>
      <c r="CF2433" s="34"/>
      <c r="CG2433" s="34"/>
      <c r="CH2433" s="34"/>
    </row>
    <row r="2434" spans="1:86" x14ac:dyDescent="0.2">
      <c r="A2434" s="8" t="str">
        <f>IF(AND(COUNTIF(W$3:W$13,A$31)&gt;0,A$31&lt;&gt;B2324),A$31,IFERROR(IF(MATCH(A$31,Z$3:Z$13,0)=5,A$31," ")," "))</f>
        <v>C17</v>
      </c>
      <c r="B2434" s="8">
        <f>IF(A2434=" "," ",MAX(B2418:B2433)+1)</f>
        <v>7</v>
      </c>
      <c r="C2434" s="8"/>
      <c r="D2434" s="8"/>
      <c r="E2434" s="8"/>
      <c r="F2434" s="8"/>
      <c r="G2434" s="8"/>
      <c r="H2434" s="8"/>
      <c r="I2434" s="8"/>
      <c r="J2434" s="8"/>
      <c r="K2434" s="8"/>
      <c r="L2434" s="8"/>
      <c r="M2434" s="8"/>
      <c r="N2434" s="8"/>
      <c r="O2434" s="8"/>
      <c r="P2434" s="8"/>
      <c r="Q2434" s="8"/>
      <c r="R2434" s="8"/>
      <c r="S2434" s="8"/>
      <c r="U2434" s="34"/>
      <c r="V2434" s="34"/>
      <c r="W2434" s="34"/>
      <c r="X2434" s="34"/>
      <c r="Y2434" s="34"/>
      <c r="Z2434" s="34"/>
      <c r="AA2434" s="34"/>
      <c r="AB2434" s="34"/>
      <c r="AC2434" s="34"/>
      <c r="AD2434" s="34"/>
      <c r="AE2434" s="34"/>
      <c r="AF2434" s="34"/>
      <c r="AG2434" s="34"/>
      <c r="AH2434" s="34"/>
      <c r="AI2434" s="34"/>
      <c r="AJ2434" s="34"/>
      <c r="AK2434" s="34"/>
      <c r="AL2434" s="34"/>
      <c r="AM2434" s="34"/>
      <c r="AN2434" s="34"/>
      <c r="AO2434" s="34"/>
      <c r="AP2434" s="34"/>
      <c r="AQ2434" s="34"/>
      <c r="AR2434" s="34"/>
      <c r="AS2434" s="34"/>
      <c r="AT2434" s="34"/>
      <c r="AU2434" s="34"/>
      <c r="AV2434" s="34"/>
      <c r="AW2434" s="34"/>
      <c r="AX2434" s="34"/>
      <c r="AY2434" s="34"/>
      <c r="AZ2434" s="34"/>
      <c r="BA2434" s="34"/>
      <c r="BB2434" s="34"/>
      <c r="BC2434" s="34"/>
      <c r="BD2434" s="34"/>
      <c r="BE2434" s="34"/>
      <c r="BF2434" s="34"/>
      <c r="BG2434" s="34"/>
      <c r="BH2434" s="34"/>
      <c r="BI2434" s="34"/>
      <c r="BJ2434" s="34"/>
      <c r="BK2434" s="34"/>
      <c r="BL2434" s="34"/>
      <c r="BM2434" s="34"/>
      <c r="BN2434" s="34"/>
      <c r="BO2434" s="34"/>
      <c r="BP2434" s="34"/>
      <c r="BQ2434" s="34"/>
      <c r="BR2434" s="34"/>
      <c r="BS2434" s="34"/>
      <c r="BT2434" s="34"/>
      <c r="BU2434" s="34"/>
      <c r="BV2434" s="34"/>
      <c r="BW2434" s="34"/>
      <c r="BX2434" s="34"/>
      <c r="BY2434" s="34"/>
      <c r="BZ2434" s="34"/>
      <c r="CA2434" s="34"/>
      <c r="CB2434" s="34"/>
      <c r="CC2434" s="34"/>
      <c r="CD2434" s="34"/>
      <c r="CE2434" s="34"/>
      <c r="CF2434" s="34"/>
      <c r="CG2434" s="34"/>
      <c r="CH2434" s="34"/>
    </row>
    <row r="2435" spans="1:86" x14ac:dyDescent="0.2">
      <c r="A2435" s="8" t="str">
        <f>IF(AND(COUNTIF(W$3:W$13,A$32)&gt;0,A$32&lt;&gt;B2324),A$32,IFERROR(IF(MATCH(A$32,Z$3:Z$13,0)=5,A$32," ")," "))</f>
        <v>C18</v>
      </c>
      <c r="B2435" s="8">
        <f>IF(A2435=" "," ",MAX(B2418:B2434)+1)</f>
        <v>8</v>
      </c>
      <c r="C2435" s="8"/>
      <c r="D2435" s="8"/>
      <c r="E2435" s="8"/>
      <c r="F2435" s="8"/>
      <c r="G2435" s="8"/>
      <c r="H2435" s="8"/>
      <c r="I2435" s="8"/>
      <c r="J2435" s="8"/>
      <c r="K2435" s="8"/>
      <c r="L2435" s="8"/>
      <c r="M2435" s="8"/>
      <c r="N2435" s="8"/>
      <c r="O2435" s="8"/>
      <c r="P2435" s="8"/>
      <c r="Q2435" s="8"/>
      <c r="R2435" s="8"/>
      <c r="S2435" s="8"/>
      <c r="U2435" s="34"/>
      <c r="V2435" s="34"/>
      <c r="W2435" s="34"/>
      <c r="X2435" s="34"/>
      <c r="Y2435" s="34"/>
      <c r="Z2435" s="34"/>
      <c r="AA2435" s="34"/>
      <c r="AB2435" s="34"/>
      <c r="AC2435" s="34"/>
      <c r="AD2435" s="34"/>
      <c r="AE2435" s="34"/>
      <c r="AF2435" s="34"/>
      <c r="AG2435" s="34"/>
      <c r="AH2435" s="34"/>
      <c r="AI2435" s="34"/>
      <c r="AJ2435" s="34"/>
      <c r="AK2435" s="34"/>
      <c r="AL2435" s="34"/>
      <c r="AM2435" s="34"/>
      <c r="AN2435" s="34"/>
      <c r="AO2435" s="34"/>
      <c r="AP2435" s="34"/>
      <c r="AQ2435" s="34"/>
      <c r="AR2435" s="34"/>
      <c r="AS2435" s="34"/>
      <c r="AT2435" s="34"/>
      <c r="AU2435" s="34"/>
      <c r="AV2435" s="34"/>
      <c r="AW2435" s="34"/>
      <c r="AX2435" s="34"/>
      <c r="AY2435" s="34"/>
      <c r="AZ2435" s="34"/>
      <c r="BA2435" s="34"/>
      <c r="BB2435" s="34"/>
      <c r="BC2435" s="34"/>
      <c r="BD2435" s="34"/>
      <c r="BE2435" s="34"/>
      <c r="BF2435" s="34"/>
      <c r="BG2435" s="34"/>
      <c r="BH2435" s="34"/>
      <c r="BI2435" s="34"/>
      <c r="BJ2435" s="34"/>
      <c r="BK2435" s="34"/>
      <c r="BL2435" s="34"/>
      <c r="BM2435" s="34"/>
      <c r="BN2435" s="34"/>
      <c r="BO2435" s="34"/>
      <c r="BP2435" s="34"/>
      <c r="BQ2435" s="34"/>
      <c r="BR2435" s="34"/>
      <c r="BS2435" s="34"/>
      <c r="BT2435" s="34"/>
      <c r="BU2435" s="34"/>
      <c r="BV2435" s="34"/>
      <c r="BW2435" s="34"/>
      <c r="BX2435" s="34"/>
      <c r="BY2435" s="34"/>
      <c r="BZ2435" s="34"/>
      <c r="CA2435" s="34"/>
      <c r="CB2435" s="34"/>
      <c r="CC2435" s="34"/>
      <c r="CD2435" s="34"/>
      <c r="CE2435" s="34"/>
      <c r="CF2435" s="34"/>
      <c r="CG2435" s="34"/>
      <c r="CH2435" s="34"/>
    </row>
    <row r="2436" spans="1:86" x14ac:dyDescent="0.2">
      <c r="A2436" s="8" t="str">
        <f>IF(AND(COUNTIF(W$3:W$13,A$33)&gt;0,A$33&lt;&gt;B2324),A$33,IFERROR(IF(MATCH(A$33,Z$3:Z$13,0)=5,A$33," ")," "))</f>
        <v>C19</v>
      </c>
      <c r="B2436" s="8">
        <f>IF(A2436=" "," ",MAX(B2418:B2435)+1)</f>
        <v>9</v>
      </c>
      <c r="C2436" s="8"/>
      <c r="D2436" s="8"/>
      <c r="E2436" s="8"/>
      <c r="F2436" s="8"/>
      <c r="G2436" s="8"/>
      <c r="H2436" s="8"/>
      <c r="I2436" s="8"/>
      <c r="J2436" s="8"/>
      <c r="K2436" s="8"/>
      <c r="L2436" s="8"/>
      <c r="M2436" s="8"/>
      <c r="N2436" s="8"/>
      <c r="O2436" s="8"/>
      <c r="P2436" s="8"/>
      <c r="Q2436" s="8"/>
      <c r="R2436" s="8"/>
      <c r="S2436" s="8"/>
      <c r="U2436" s="34"/>
      <c r="V2436" s="34"/>
      <c r="W2436" s="34"/>
      <c r="X2436" s="34"/>
      <c r="Y2436" s="34"/>
      <c r="Z2436" s="34"/>
      <c r="AA2436" s="34"/>
      <c r="AB2436" s="34"/>
      <c r="AC2436" s="34"/>
      <c r="AD2436" s="34"/>
      <c r="AE2436" s="34"/>
      <c r="AF2436" s="34"/>
      <c r="AG2436" s="34"/>
      <c r="AH2436" s="34"/>
      <c r="AI2436" s="34"/>
      <c r="AJ2436" s="34"/>
      <c r="AK2436" s="34"/>
      <c r="AL2436" s="34"/>
      <c r="AM2436" s="34"/>
      <c r="AN2436" s="34"/>
      <c r="AO2436" s="34"/>
      <c r="AP2436" s="34"/>
      <c r="AQ2436" s="34"/>
      <c r="AR2436" s="34"/>
      <c r="AS2436" s="34"/>
      <c r="AT2436" s="34"/>
      <c r="AU2436" s="34"/>
      <c r="AV2436" s="34"/>
      <c r="AW2436" s="34"/>
      <c r="AX2436" s="34"/>
      <c r="AY2436" s="34"/>
      <c r="AZ2436" s="34"/>
      <c r="BA2436" s="34"/>
      <c r="BB2436" s="34"/>
      <c r="BC2436" s="34"/>
      <c r="BD2436" s="34"/>
      <c r="BE2436" s="34"/>
      <c r="BF2436" s="34"/>
      <c r="BG2436" s="34"/>
      <c r="BH2436" s="34"/>
      <c r="BI2436" s="34"/>
      <c r="BJ2436" s="34"/>
      <c r="BK2436" s="34"/>
      <c r="BL2436" s="34"/>
      <c r="BM2436" s="34"/>
      <c r="BN2436" s="34"/>
      <c r="BO2436" s="34"/>
      <c r="BP2436" s="34"/>
      <c r="BQ2436" s="34"/>
      <c r="BR2436" s="34"/>
      <c r="BS2436" s="34"/>
      <c r="BT2436" s="34"/>
      <c r="BU2436" s="34"/>
      <c r="BV2436" s="34"/>
      <c r="BW2436" s="34"/>
      <c r="BX2436" s="34"/>
      <c r="BY2436" s="34"/>
      <c r="BZ2436" s="34"/>
      <c r="CA2436" s="34"/>
      <c r="CB2436" s="34"/>
      <c r="CC2436" s="34"/>
      <c r="CD2436" s="34"/>
      <c r="CE2436" s="34"/>
      <c r="CF2436" s="34"/>
      <c r="CG2436" s="34"/>
      <c r="CH2436" s="34"/>
    </row>
    <row r="2437" spans="1:86" x14ac:dyDescent="0.2">
      <c r="A2437" s="8" t="str">
        <f>IF(AND(COUNTIF(W$3:W$13,A$34)&gt;0,A$34&lt;&gt;B2324),A$34,IFERROR(IF(MATCH(A$34,Z$3:Z$13,0)=5,A$34," ")," "))</f>
        <v>C20</v>
      </c>
      <c r="B2437" s="8">
        <f>IF(A2437=" "," ",MAX(B2418:B2436)+1)</f>
        <v>10</v>
      </c>
      <c r="C2437" s="8"/>
      <c r="D2437" s="8"/>
      <c r="E2437" s="8"/>
      <c r="F2437" s="8"/>
      <c r="G2437" s="8"/>
      <c r="H2437" s="8"/>
      <c r="I2437" s="8"/>
      <c r="J2437" s="8"/>
      <c r="K2437" s="8"/>
      <c r="L2437" s="8"/>
      <c r="M2437" s="8"/>
      <c r="N2437" s="8"/>
      <c r="O2437" s="8"/>
      <c r="P2437" s="8"/>
      <c r="Q2437" s="8"/>
      <c r="R2437" s="8"/>
      <c r="S2437" s="8"/>
      <c r="U2437" s="34"/>
      <c r="V2437" s="34"/>
      <c r="W2437" s="34"/>
      <c r="X2437" s="34"/>
      <c r="Y2437" s="34"/>
      <c r="Z2437" s="34"/>
      <c r="AA2437" s="34"/>
      <c r="AB2437" s="34"/>
      <c r="AC2437" s="34"/>
      <c r="AD2437" s="34"/>
      <c r="AE2437" s="34"/>
      <c r="AF2437" s="34"/>
      <c r="AG2437" s="34"/>
      <c r="AH2437" s="34"/>
      <c r="AI2437" s="34"/>
      <c r="AJ2437" s="34"/>
      <c r="AK2437" s="34"/>
      <c r="AL2437" s="34"/>
      <c r="AM2437" s="34"/>
      <c r="AN2437" s="34"/>
      <c r="AO2437" s="34"/>
      <c r="AP2437" s="34"/>
      <c r="AQ2437" s="34"/>
      <c r="AR2437" s="34"/>
      <c r="AS2437" s="34"/>
      <c r="AT2437" s="34"/>
      <c r="AU2437" s="34"/>
      <c r="AV2437" s="34"/>
      <c r="AW2437" s="34"/>
      <c r="AX2437" s="34"/>
      <c r="AY2437" s="34"/>
      <c r="AZ2437" s="34"/>
      <c r="BA2437" s="34"/>
      <c r="BB2437" s="34"/>
      <c r="BC2437" s="34"/>
      <c r="BD2437" s="34"/>
      <c r="BE2437" s="34"/>
      <c r="BF2437" s="34"/>
      <c r="BG2437" s="34"/>
      <c r="BH2437" s="34"/>
      <c r="BI2437" s="34"/>
      <c r="BJ2437" s="34"/>
      <c r="BK2437" s="34"/>
      <c r="BL2437" s="34"/>
      <c r="BM2437" s="34"/>
      <c r="BN2437" s="34"/>
      <c r="BO2437" s="34"/>
      <c r="BP2437" s="34"/>
      <c r="BQ2437" s="34"/>
      <c r="BR2437" s="34"/>
      <c r="BS2437" s="34"/>
      <c r="BT2437" s="34"/>
      <c r="BU2437" s="34"/>
      <c r="BV2437" s="34"/>
      <c r="BW2437" s="34"/>
      <c r="BX2437" s="34"/>
      <c r="BY2437" s="34"/>
      <c r="BZ2437" s="34"/>
      <c r="CA2437" s="34"/>
      <c r="CB2437" s="34"/>
      <c r="CC2437" s="34"/>
      <c r="CD2437" s="34"/>
      <c r="CE2437" s="34"/>
      <c r="CF2437" s="34"/>
      <c r="CG2437" s="34"/>
      <c r="CH2437" s="34"/>
    </row>
    <row r="2438" spans="1:86" x14ac:dyDescent="0.2">
      <c r="A2438" s="8" t="str">
        <f>IF(AND(COUNTIF(W$3:W$13,A$35)&gt;0,A$35&lt;&gt;B2324),A$35,IFERROR(IF(MATCH(A$35,Z$3:Z$13,0)=5,A$35," ")," "))</f>
        <v xml:space="preserve"> </v>
      </c>
      <c r="B2438" s="8" t="str">
        <f>IF(A2438=" "," ",MAX(B2418:B2437)+1)</f>
        <v xml:space="preserve"> </v>
      </c>
      <c r="C2438" s="8"/>
      <c r="D2438" s="8"/>
      <c r="E2438" s="8"/>
      <c r="F2438" s="8"/>
      <c r="G2438" s="8"/>
      <c r="H2438" s="8"/>
      <c r="I2438" s="8"/>
      <c r="J2438" s="8"/>
      <c r="K2438" s="8"/>
      <c r="L2438" s="8"/>
      <c r="M2438" s="8"/>
      <c r="N2438" s="8"/>
      <c r="O2438" s="8"/>
      <c r="P2438" s="8"/>
      <c r="Q2438" s="8"/>
      <c r="R2438" s="8"/>
      <c r="S2438" s="8"/>
      <c r="U2438" s="34"/>
      <c r="V2438" s="34"/>
      <c r="W2438" s="34"/>
      <c r="X2438" s="34"/>
      <c r="Y2438" s="34"/>
      <c r="Z2438" s="34"/>
      <c r="AA2438" s="34"/>
      <c r="AB2438" s="34"/>
      <c r="AC2438" s="34"/>
      <c r="AD2438" s="34"/>
      <c r="AE2438" s="34"/>
      <c r="AF2438" s="34"/>
      <c r="AG2438" s="34"/>
      <c r="AH2438" s="34"/>
      <c r="AI2438" s="34"/>
      <c r="AJ2438" s="34"/>
      <c r="AK2438" s="34"/>
      <c r="AL2438" s="34"/>
      <c r="AM2438" s="34"/>
      <c r="AN2438" s="34"/>
      <c r="AO2438" s="34"/>
      <c r="AP2438" s="34"/>
      <c r="AQ2438" s="34"/>
      <c r="AR2438" s="34"/>
      <c r="AS2438" s="34"/>
      <c r="AT2438" s="34"/>
      <c r="AU2438" s="34"/>
      <c r="AV2438" s="34"/>
      <c r="AW2438" s="34"/>
      <c r="AX2438" s="34"/>
      <c r="AY2438" s="34"/>
      <c r="AZ2438" s="34"/>
      <c r="BA2438" s="34"/>
      <c r="BB2438" s="34"/>
      <c r="BC2438" s="34"/>
      <c r="BD2438" s="34"/>
      <c r="BE2438" s="34"/>
      <c r="BF2438" s="34"/>
      <c r="BG2438" s="34"/>
      <c r="BH2438" s="34"/>
      <c r="BI2438" s="34"/>
      <c r="BJ2438" s="34"/>
      <c r="BK2438" s="34"/>
      <c r="BL2438" s="34"/>
      <c r="BM2438" s="34"/>
      <c r="BN2438" s="34"/>
      <c r="BO2438" s="34"/>
      <c r="BP2438" s="34"/>
      <c r="BQ2438" s="34"/>
      <c r="BR2438" s="34"/>
      <c r="BS2438" s="34"/>
      <c r="BT2438" s="34"/>
      <c r="BU2438" s="34"/>
      <c r="BV2438" s="34"/>
      <c r="BW2438" s="34"/>
      <c r="BX2438" s="34"/>
      <c r="BY2438" s="34"/>
      <c r="BZ2438" s="34"/>
      <c r="CA2438" s="34"/>
      <c r="CB2438" s="34"/>
      <c r="CC2438" s="34"/>
      <c r="CD2438" s="34"/>
      <c r="CE2438" s="34"/>
      <c r="CF2438" s="34"/>
      <c r="CG2438" s="34"/>
      <c r="CH2438" s="34"/>
    </row>
    <row r="2439" spans="1:86" x14ac:dyDescent="0.2">
      <c r="A2439" s="8" t="str">
        <f>IF(AND(COUNTIF(W$3:W$13,A$36)&gt;0,A$36&lt;&gt;B2324),A$36,IFERROR(IF(MATCH(A$36,Z$3:Z$13,0)=5,A$36," ")," "))</f>
        <v>C22</v>
      </c>
      <c r="B2439" s="8">
        <f>IF(A2439=" "," ",MAX(B2418:B2438)+1)</f>
        <v>11</v>
      </c>
      <c r="C2439" s="8"/>
      <c r="D2439" s="8"/>
      <c r="E2439" s="8"/>
      <c r="F2439" s="8"/>
      <c r="G2439" s="8"/>
      <c r="H2439" s="8"/>
      <c r="I2439" s="8"/>
      <c r="J2439" s="8"/>
      <c r="K2439" s="8"/>
      <c r="L2439" s="8"/>
      <c r="M2439" s="8"/>
      <c r="N2439" s="8"/>
      <c r="O2439" s="8"/>
      <c r="P2439" s="8"/>
      <c r="Q2439" s="8"/>
      <c r="R2439" s="8"/>
      <c r="S2439" s="8"/>
      <c r="U2439" s="34"/>
      <c r="V2439" s="34"/>
      <c r="W2439" s="34"/>
      <c r="X2439" s="34"/>
      <c r="Y2439" s="34"/>
      <c r="Z2439" s="34"/>
      <c r="AA2439" s="34"/>
      <c r="AB2439" s="34"/>
      <c r="AC2439" s="34"/>
      <c r="AD2439" s="34"/>
      <c r="AE2439" s="34"/>
      <c r="AF2439" s="34"/>
      <c r="AG2439" s="34"/>
      <c r="AH2439" s="34"/>
      <c r="AI2439" s="34"/>
      <c r="AJ2439" s="34"/>
      <c r="AK2439" s="34"/>
      <c r="AL2439" s="34"/>
      <c r="AM2439" s="34"/>
      <c r="AN2439" s="34"/>
      <c r="AO2439" s="34"/>
      <c r="AP2439" s="34"/>
      <c r="AQ2439" s="34"/>
      <c r="AR2439" s="34"/>
      <c r="AS2439" s="34"/>
      <c r="AT2439" s="34"/>
      <c r="AU2439" s="34"/>
      <c r="AV2439" s="34"/>
      <c r="AW2439" s="34"/>
      <c r="AX2439" s="34"/>
      <c r="AY2439" s="34"/>
      <c r="AZ2439" s="34"/>
      <c r="BA2439" s="34"/>
      <c r="BB2439" s="34"/>
      <c r="BC2439" s="34"/>
      <c r="BD2439" s="34"/>
      <c r="BE2439" s="34"/>
      <c r="BF2439" s="34"/>
      <c r="BG2439" s="34"/>
      <c r="BH2439" s="34"/>
      <c r="BI2439" s="34"/>
      <c r="BJ2439" s="34"/>
      <c r="BK2439" s="34"/>
      <c r="BL2439" s="34"/>
      <c r="BM2439" s="34"/>
      <c r="BN2439" s="34"/>
      <c r="BO2439" s="34"/>
      <c r="BP2439" s="34"/>
      <c r="BQ2439" s="34"/>
      <c r="BR2439" s="34"/>
      <c r="BS2439" s="34"/>
      <c r="BT2439" s="34"/>
      <c r="BU2439" s="34"/>
      <c r="BV2439" s="34"/>
      <c r="BW2439" s="34"/>
      <c r="BX2439" s="34"/>
      <c r="BY2439" s="34"/>
      <c r="BZ2439" s="34"/>
      <c r="CA2439" s="34"/>
      <c r="CB2439" s="34"/>
      <c r="CC2439" s="34"/>
      <c r="CD2439" s="34"/>
      <c r="CE2439" s="34"/>
      <c r="CF2439" s="34"/>
      <c r="CG2439" s="34"/>
      <c r="CH2439" s="34"/>
    </row>
    <row r="2440" spans="1:86" x14ac:dyDescent="0.2">
      <c r="A2440" s="11" t="s">
        <v>17</v>
      </c>
      <c r="B2440" s="11"/>
      <c r="C2440" s="27" t="s">
        <v>18</v>
      </c>
      <c r="D2440" s="27" t="s">
        <v>2</v>
      </c>
      <c r="E2440" s="27" t="s">
        <v>6</v>
      </c>
      <c r="F2440" s="27" t="s">
        <v>15</v>
      </c>
      <c r="G2440" s="27" t="s">
        <v>36</v>
      </c>
      <c r="H2440" s="27" t="s">
        <v>37</v>
      </c>
      <c r="I2440" s="27" t="s">
        <v>38</v>
      </c>
      <c r="J2440" s="27" t="s">
        <v>39</v>
      </c>
      <c r="K2440" s="27" t="s">
        <v>40</v>
      </c>
      <c r="L2440" s="27" t="s">
        <v>41</v>
      </c>
      <c r="M2440" s="27" t="s">
        <v>42</v>
      </c>
      <c r="N2440" s="27" t="s">
        <v>43</v>
      </c>
      <c r="O2440" s="27" t="s">
        <v>9</v>
      </c>
      <c r="P2440" s="27" t="s">
        <v>12</v>
      </c>
      <c r="Q2440" s="27" t="s">
        <v>19</v>
      </c>
      <c r="R2440" s="27" t="s">
        <v>55</v>
      </c>
      <c r="S2440" s="27" t="s">
        <v>26</v>
      </c>
      <c r="T2440" s="19" t="s">
        <v>25</v>
      </c>
      <c r="U2440" s="33" t="s">
        <v>27</v>
      </c>
      <c r="V2440" s="33" t="s">
        <v>9</v>
      </c>
      <c r="W2440" s="33" t="s">
        <v>23</v>
      </c>
      <c r="X2440" s="33" t="s">
        <v>12</v>
      </c>
      <c r="Y2440" s="33" t="s">
        <v>26</v>
      </c>
      <c r="Z2440" s="33" t="s">
        <v>25</v>
      </c>
      <c r="AA2440" s="33" t="s">
        <v>27</v>
      </c>
      <c r="AB2440" s="33" t="s">
        <v>9</v>
      </c>
      <c r="AC2440" s="33" t="s">
        <v>23</v>
      </c>
      <c r="AD2440" s="33" t="s">
        <v>12</v>
      </c>
      <c r="AE2440" s="33" t="s">
        <v>26</v>
      </c>
      <c r="AF2440" s="33" t="s">
        <v>25</v>
      </c>
      <c r="AG2440" s="33" t="s">
        <v>27</v>
      </c>
      <c r="AH2440" s="33" t="s">
        <v>9</v>
      </c>
      <c r="AI2440" s="33" t="s">
        <v>23</v>
      </c>
      <c r="AJ2440" s="33" t="s">
        <v>12</v>
      </c>
      <c r="AK2440" s="33" t="s">
        <v>26</v>
      </c>
      <c r="AL2440" s="33" t="s">
        <v>25</v>
      </c>
      <c r="AM2440" s="33" t="s">
        <v>27</v>
      </c>
      <c r="AN2440" s="33" t="s">
        <v>9</v>
      </c>
      <c r="AO2440" s="33" t="s">
        <v>23</v>
      </c>
      <c r="AP2440" s="33" t="s">
        <v>12</v>
      </c>
      <c r="AQ2440" s="33" t="s">
        <v>26</v>
      </c>
      <c r="AR2440" s="33" t="s">
        <v>25</v>
      </c>
      <c r="AS2440" s="33" t="s">
        <v>27</v>
      </c>
      <c r="AT2440" s="33" t="s">
        <v>9</v>
      </c>
      <c r="AU2440" s="33" t="s">
        <v>23</v>
      </c>
      <c r="AV2440" s="33" t="s">
        <v>12</v>
      </c>
      <c r="AW2440" s="33" t="s">
        <v>26</v>
      </c>
      <c r="AX2440" s="33" t="s">
        <v>25</v>
      </c>
      <c r="AY2440" s="33" t="s">
        <v>27</v>
      </c>
      <c r="AZ2440" s="33" t="s">
        <v>9</v>
      </c>
      <c r="BA2440" s="33" t="s">
        <v>23</v>
      </c>
      <c r="BB2440" s="33" t="s">
        <v>12</v>
      </c>
      <c r="BC2440" s="33" t="s">
        <v>26</v>
      </c>
      <c r="BD2440" s="33" t="s">
        <v>25</v>
      </c>
      <c r="BE2440" s="33" t="s">
        <v>27</v>
      </c>
      <c r="BF2440" s="33" t="s">
        <v>9</v>
      </c>
      <c r="BG2440" s="33" t="s">
        <v>23</v>
      </c>
      <c r="BH2440" s="33" t="s">
        <v>12</v>
      </c>
      <c r="BI2440" s="33" t="s">
        <v>26</v>
      </c>
      <c r="BJ2440" s="33" t="s">
        <v>25</v>
      </c>
      <c r="BK2440" s="33" t="s">
        <v>27</v>
      </c>
      <c r="BL2440" s="33" t="s">
        <v>9</v>
      </c>
      <c r="BM2440" s="33" t="s">
        <v>23</v>
      </c>
      <c r="BN2440" s="33" t="s">
        <v>12</v>
      </c>
      <c r="BO2440" s="33" t="s">
        <v>26</v>
      </c>
      <c r="BP2440" s="33" t="s">
        <v>25</v>
      </c>
      <c r="BQ2440" s="33" t="s">
        <v>27</v>
      </c>
      <c r="BR2440" s="33" t="s">
        <v>9</v>
      </c>
      <c r="BS2440" s="33" t="s">
        <v>23</v>
      </c>
      <c r="BT2440" s="33" t="s">
        <v>12</v>
      </c>
      <c r="BU2440" s="33" t="s">
        <v>26</v>
      </c>
      <c r="BV2440" s="33" t="s">
        <v>25</v>
      </c>
      <c r="BW2440" s="33" t="s">
        <v>27</v>
      </c>
      <c r="BX2440" s="33" t="s">
        <v>9</v>
      </c>
      <c r="BY2440" s="33" t="s">
        <v>23</v>
      </c>
      <c r="BZ2440" s="33" t="s">
        <v>12</v>
      </c>
      <c r="CA2440" s="33" t="s">
        <v>26</v>
      </c>
      <c r="CB2440" s="33" t="s">
        <v>25</v>
      </c>
      <c r="CC2440" s="33" t="s">
        <v>27</v>
      </c>
      <c r="CD2440" s="33" t="s">
        <v>9</v>
      </c>
      <c r="CE2440" s="33" t="s">
        <v>23</v>
      </c>
      <c r="CF2440" s="33" t="s">
        <v>12</v>
      </c>
      <c r="CG2440" s="33" t="s">
        <v>26</v>
      </c>
      <c r="CH2440" s="33" t="s">
        <v>25</v>
      </c>
    </row>
    <row r="2441" spans="1:86" x14ac:dyDescent="0.2">
      <c r="A2441" s="8" t="str">
        <f>IF(AND(COUNTIF(W$3:W$13,A$15)&gt;0,A$15&lt;&gt;B2324),A$15,IFERROR(IF(MATCH(A$15,Z$3:Z$13,0)=6,A$15," ")," "))</f>
        <v xml:space="preserve"> </v>
      </c>
      <c r="B2441" s="8" t="str">
        <f>IF(A2441=" "," ",1)</f>
        <v xml:space="preserve"> </v>
      </c>
      <c r="C2441" s="8" t="str">
        <f>IFERROR(INDEX(A2441:A2462,MATCH(SMALL(B2441:B2462,1),B2441:B2462,0),1)," ")</f>
        <v>C3</v>
      </c>
      <c r="D2441" s="8">
        <f>IFERROR(VLOOKUP($C2441,$A$15:$O$36,2,FALSE)," ")</f>
        <v>2</v>
      </c>
      <c r="E2441" s="8">
        <f>IFERROR(VLOOKUP($C2441,$A$15:$O$36,3,FALSE)," ")</f>
        <v>5</v>
      </c>
      <c r="F2441" s="8">
        <f>IFERROR(VLOOKUP($C2441,$A$15:$O$36,4,FALSE)," ")</f>
        <v>6</v>
      </c>
      <c r="G2441" s="8">
        <f>IFERROR(VLOOKUP($C2441,$A$15:$O$36,5,FALSE)," ")</f>
        <v>0</v>
      </c>
      <c r="H2441" s="8">
        <f>IFERROR(VLOOKUP($C2441,$A$15:$O$36,6,FALSE)," ")</f>
        <v>0</v>
      </c>
      <c r="I2441" s="8">
        <f>IFERROR(VLOOKUP($C2441,$A$15:$O$36,7,FALSE)," ")</f>
        <v>0</v>
      </c>
      <c r="J2441" s="8">
        <f>IFERROR(VLOOKUP($C2441,$A$15:$O$36,8,FALSE)," ")</f>
        <v>0</v>
      </c>
      <c r="K2441" s="8">
        <f>IFERROR(VLOOKUP($C2441,$A$15:$O$36,9,FALSE)," ")</f>
        <v>0</v>
      </c>
      <c r="L2441" s="8">
        <f>IFERROR(VLOOKUP($C2441,$A$15:$O$36,10,FALSE)," ")</f>
        <v>0</v>
      </c>
      <c r="M2441" s="8">
        <f>IFERROR(VLOOKUP($C2441,$A$15:$O$36,11,FALSE)," ")</f>
        <v>0</v>
      </c>
      <c r="N2441" s="8">
        <f>IFERROR(VLOOKUP($C2441,$A$15:$O$36,12,FALSE)," ")</f>
        <v>0</v>
      </c>
      <c r="O2441" s="8">
        <f>IFERROR(VLOOKUP($C2441,$A$15:$O$36,15,FALSE)," ")</f>
        <v>2000</v>
      </c>
      <c r="P2441" s="8" t="e">
        <f t="array" ref="P2441:P2451">MMULT(MINVERSE(D2441:N2451),O2441:O2451)</f>
        <v>#NUM!</v>
      </c>
      <c r="Q2441" s="8" t="e">
        <f t="shared" ref="Q2441" si="10618">IF(COUNTIF(P2441:P2451,"&lt;"&amp;-0.001)=0,IF(ABS(P2441)&lt;0.001,0,P2441)," ")</f>
        <v>#NUM!</v>
      </c>
      <c r="R2441" s="8" t="str">
        <f>IFERROR(VLOOKUP(B2324,A$15:L$36,2,FALSE)*Q2441+VLOOKUP(B2324,A$15:L$36,3,FALSE)*Q2442+VLOOKUP(B2324,A$15:L$36,4,FALSE)*Q2443+VLOOKUP(B2324,A$15:L$36,5,FALSE)*Q2444+VLOOKUP(B2324,A$15:L$36,6,FALSE)*Q2445+VLOOKUP(B2324,A$15:L$36,7,FALSE)*Q2446+VLOOKUP(B2324,A$15:L$36,8,FALSE)*Q2447+VLOOKUP(B2324,A$15:L$36,9,FALSE)*Q2448+VLOOKUP(B2324,A$15:L$36,10,FALSE)*Q2449+VLOOKUP(B2324,A$15:L$36,11,FALSE)*Q2450+VLOOKUP(B2324,A$15:L$36,12,FALSE)*Q2451," ")</f>
        <v xml:space="preserve"> </v>
      </c>
      <c r="S2441" s="8" t="str">
        <f>IFERROR(IF(R2441-VLOOKUP(B2324,A$15:O$36,15,FALSE)&lt;0,R2441-VLOOKUP(B2324,A$15:O$36,15,FALSE)," ")," ")</f>
        <v xml:space="preserve"> </v>
      </c>
      <c r="T2441" s="18" t="str">
        <f>IFERROR(IF(R2441-VLOOKUP(B2324,A$15:O$36,15,FALSE)&gt;0,R2441-VLOOKUP(B2324,A$15:O$36,15,FALSE)," ")," ")</f>
        <v xml:space="preserve"> </v>
      </c>
      <c r="U2441" s="34">
        <f t="shared" ref="U2441" si="10619">$M$2</f>
        <v>100.00000000000001</v>
      </c>
      <c r="V2441" s="34">
        <v>-1</v>
      </c>
      <c r="W2441" s="34">
        <f t="shared" ref="W2441" si="10620">-SUMPRODUCT($M$3:$M$12,$N$3:$N$12)</f>
        <v>-105000</v>
      </c>
      <c r="X2441" s="34" t="e">
        <f t="shared" ref="X2441" si="10621">IF(U2441&lt;&gt;U2442,MMULT(MINVERSE(U2441:V2442),W2441:W2442)," ")</f>
        <v>#NUM!</v>
      </c>
      <c r="Y2441" s="34" t="str">
        <f t="shared" ref="Y2441" si="10622">IFERROR(IF(X2441-VLOOKUP(U$38,$A$2:$N$12,14,FALSE)&lt;0,X2441-VLOOKUP(U$38,$A$2:$N$12,14,FALSE)," ")," ")</f>
        <v xml:space="preserve"> </v>
      </c>
      <c r="Z2441" s="34" t="str">
        <f t="shared" ref="Z2441" si="10623">IFERROR(IF(X2441-VLOOKUP(U$38,$A$2:$N$12,14,FALSE)&gt;0,X2441-VLOOKUP(U$38,$A$2:$N$12,14,FALSE)," ")," ")</f>
        <v xml:space="preserve"> </v>
      </c>
      <c r="AA2441" s="34">
        <f t="shared" ref="AA2441" si="10624">$M$3</f>
        <v>0</v>
      </c>
      <c r="AB2441" s="34">
        <v>-1</v>
      </c>
      <c r="AC2441" s="34">
        <f t="shared" ref="AC2441" si="10625">-SUMPRODUCT($M$2:$M$2,$N$2:$N$2)-SUMPRODUCT($M$4:$M$12,$N$4:$N$12)</f>
        <v>-120000</v>
      </c>
      <c r="AD2441" s="34" t="e">
        <f t="shared" ref="AD2441" si="10626">IF(AA2441&lt;&gt;AA2442,MMULT(MINVERSE(AA2441:AB2442),AC2441:AC2442)," ")</f>
        <v>#NUM!</v>
      </c>
      <c r="AE2441" s="34" t="str">
        <f t="shared" ref="AE2441" si="10627">IFERROR(IF(AD2441-VLOOKUP(AA$38,$A$2:$N$12,14,FALSE)&lt;0,AD2441-VLOOKUP(AA$38,$A$2:$N$12,14,FALSE)," ")," ")</f>
        <v xml:space="preserve"> </v>
      </c>
      <c r="AF2441" s="34" t="str">
        <f t="shared" ref="AF2441" si="10628">IFERROR(IF(AD2441-VLOOKUP(AA$38,$A$2:$N$12,14,FALSE)&gt;0,AD2441-VLOOKUP(AA$38,$A$2:$N$12,14,FALSE)," ")," ")</f>
        <v xml:space="preserve"> </v>
      </c>
      <c r="AG2441" s="34">
        <f t="shared" ref="AG2441" si="10629">$M$4</f>
        <v>300</v>
      </c>
      <c r="AH2441" s="34">
        <v>-1</v>
      </c>
      <c r="AI2441" s="34">
        <f t="shared" ref="AI2441" si="10630">-SUMPRODUCT($M$2:$M$3,$N$2:$N$3)-SUMPRODUCT($M$5:$M$12,$N$5:$N$12)</f>
        <v>-15000.000000000002</v>
      </c>
      <c r="AJ2441" s="34" t="e">
        <f t="shared" ref="AJ2441" si="10631">IF(AG2441&lt;&gt;AG2442,MMULT(MINVERSE(AG2441:AH2442),AI2441:AI2442)," ")</f>
        <v>#NUM!</v>
      </c>
      <c r="AK2441" s="34" t="str">
        <f t="shared" ref="AK2441" si="10632">IFERROR(IF(AJ2441-VLOOKUP(AG$38,$A$2:$N$12,14,FALSE)&lt;0,AJ2441-VLOOKUP(AG$38,$A$2:$N$12,14,FALSE)," ")," ")</f>
        <v xml:space="preserve"> </v>
      </c>
      <c r="AL2441" s="34" t="str">
        <f t="shared" ref="AL2441" si="10633">IFERROR(IF(AJ2441-VLOOKUP(AG$38,$A$2:$N$12,14,FALSE)&gt;0,AJ2441-VLOOKUP(AG$38,$A$2:$N$12,14,FALSE)," ")," ")</f>
        <v xml:space="preserve"> </v>
      </c>
      <c r="AM2441" s="34">
        <f t="shared" ref="AM2441" si="10634">$M$5</f>
        <v>0</v>
      </c>
      <c r="AN2441" s="34">
        <v>-1</v>
      </c>
      <c r="AO2441" s="34">
        <f t="shared" ref="AO2441" si="10635">-SUMPRODUCT($M$2:$M$4,$N$2:$N$4)-SUMPRODUCT($M$6:$M$12,$N$6:$N$12)</f>
        <v>-120000</v>
      </c>
      <c r="AP2441" s="34" t="e">
        <f t="shared" ref="AP2441" si="10636">IF(AM2441&lt;&gt;AM2442,MMULT(MINVERSE(AM2441:AN2442),AO2441:AO2442)," ")</f>
        <v>#NUM!</v>
      </c>
      <c r="AQ2441" s="34" t="str">
        <f t="shared" ref="AQ2441" si="10637">IFERROR(IF(AP2441-VLOOKUP(AM$38,$A$2:$N$12,14,FALSE)&lt;0,AP2441-VLOOKUP(AM$38,$A$2:$N$12,14,FALSE)," ")," ")</f>
        <v xml:space="preserve"> </v>
      </c>
      <c r="AR2441" s="34" t="str">
        <f t="shared" ref="AR2441" si="10638">IFERROR(IF(AP2441-VLOOKUP(AM$38,$A$2:$N$12,14,FALSE)&gt;0,AP2441-VLOOKUP(AM$38,$A$2:$N$12,14,FALSE)," ")," ")</f>
        <v xml:space="preserve"> </v>
      </c>
      <c r="AS2441" s="34">
        <f t="shared" ref="AS2441" si="10639">$M$6</f>
        <v>0</v>
      </c>
      <c r="AT2441" s="34">
        <v>-1</v>
      </c>
      <c r="AU2441" s="34">
        <f t="shared" ref="AU2441" si="10640">-SUMPRODUCT($M$2:$M$5,$N$2:$N$5)-SUMPRODUCT($M$7:$M$12,$N$7:$N$12)</f>
        <v>-120000</v>
      </c>
      <c r="AV2441" s="34" t="e">
        <f t="shared" ref="AV2441" si="10641">IF(AS2441&lt;&gt;AS2442,MMULT(MINVERSE(AS2441:AT2442),AU2441:AU2442)," ")</f>
        <v>#NUM!</v>
      </c>
      <c r="AW2441" s="34" t="str">
        <f t="shared" ref="AW2441" si="10642">IFERROR(IF(AV2441-VLOOKUP(AS$38,$A$2:$N$12,14,FALSE)&lt;0,AV2441-VLOOKUP(AS$38,$A$2:$N$12,14,FALSE)," ")," ")</f>
        <v xml:space="preserve"> </v>
      </c>
      <c r="AX2441" s="34" t="str">
        <f t="shared" ref="AX2441" si="10643">IFERROR(IF(AV2441-VLOOKUP(AS$38,$A$2:$N$12,14,FALSE)&gt;0,AV2441-VLOOKUP(AS$38,$A$2:$N$12,14,FALSE)," ")," ")</f>
        <v xml:space="preserve"> </v>
      </c>
      <c r="AY2441" s="34">
        <f t="shared" ref="AY2441" si="10644">$M$7</f>
        <v>0</v>
      </c>
      <c r="AZ2441" s="34">
        <v>-1</v>
      </c>
      <c r="BA2441" s="34">
        <f t="shared" ref="BA2441" si="10645">-SUMPRODUCT($M$2:$M$6,$N$2:$N$6)-SUMPRODUCT($M$8:$M$12,$N$8:$N$12)</f>
        <v>-120000</v>
      </c>
      <c r="BB2441" s="34" t="e">
        <f t="shared" ref="BB2441" si="10646">IF(AY2441&lt;&gt;AY2442,MMULT(MINVERSE(AY2441:AZ2442),BA2441:BA2442)," ")</f>
        <v>#NUM!</v>
      </c>
      <c r="BC2441" s="34" t="str">
        <f t="shared" ref="BC2441" si="10647">IFERROR(IF(BB2441-VLOOKUP(AY$38,$A$2:$N$12,14,FALSE)&lt;0,BB2441-VLOOKUP(AY$38,$A$2:$N$12,14,FALSE)," ")," ")</f>
        <v xml:space="preserve"> </v>
      </c>
      <c r="BD2441" s="34" t="str">
        <f t="shared" ref="BD2441" si="10648">IFERROR(IF(BB2441-VLOOKUP(AY$38,$A$2:$N$12,14,FALSE)&gt;0,BB2441-VLOOKUP(AY$38,$A$2:$N$12,14,FALSE)," ")," ")</f>
        <v xml:space="preserve"> </v>
      </c>
      <c r="BE2441" s="34">
        <f t="shared" ref="BE2441" si="10649">$M$8</f>
        <v>0</v>
      </c>
      <c r="BF2441" s="34">
        <v>-1</v>
      </c>
      <c r="BG2441" s="34">
        <f t="shared" ref="BG2441" si="10650">-SUMPRODUCT($M$2:$M$7,$N$2:$N$7)-SUMPRODUCT($M$9:$M$12,$N$9:$N$12)</f>
        <v>-120000</v>
      </c>
      <c r="BH2441" s="34" t="e">
        <f t="shared" ref="BH2441" si="10651">IF(BE2441&lt;&gt;BE2442,MMULT(MINVERSE(BE2441:BF2442),BG2441:BG2442)," ")</f>
        <v>#NUM!</v>
      </c>
      <c r="BI2441" s="34" t="str">
        <f t="shared" ref="BI2441" si="10652">IFERROR(IF(BH2441-VLOOKUP(BE$38,$A$2:$N$12,14,FALSE)&lt;0,BH2441-VLOOKUP(BE$38,$A$2:$N$12,14,FALSE)," ")," ")</f>
        <v xml:space="preserve"> </v>
      </c>
      <c r="BJ2441" s="34" t="str">
        <f t="shared" ref="BJ2441" si="10653">IFERROR(IF(BH2441-VLOOKUP(BE$38,$A$2:$N$12,14,FALSE)&gt;0,BH2441-VLOOKUP(BE$38,$A$2:$N$12,14,FALSE)," ")," ")</f>
        <v xml:space="preserve"> </v>
      </c>
      <c r="BK2441" s="34">
        <f t="shared" ref="BK2441" si="10654">$M$9</f>
        <v>0</v>
      </c>
      <c r="BL2441" s="34">
        <v>-1</v>
      </c>
      <c r="BM2441" s="34">
        <f t="shared" ref="BM2441" si="10655">-SUMPRODUCT($M$2:$M$8,$N$2:$N$8)-SUMPRODUCT($M$10:$M$12,$N$10:$N$12)</f>
        <v>-120000</v>
      </c>
      <c r="BN2441" s="34" t="e">
        <f t="shared" ref="BN2441" si="10656">IF(BK2441&lt;&gt;BK2442,MMULT(MINVERSE(BK2441:BL2442),BM2441:BM2442)," ")</f>
        <v>#NUM!</v>
      </c>
      <c r="BO2441" s="34" t="str">
        <f t="shared" ref="BO2441" si="10657">IFERROR(IF(BN2441-VLOOKUP(BK$38,$A$2:$N$12,14,FALSE)&lt;0,BN2441-VLOOKUP(BK$38,$A$2:$N$12,14,FALSE)," ")," ")</f>
        <v xml:space="preserve"> </v>
      </c>
      <c r="BP2441" s="34" t="str">
        <f t="shared" ref="BP2441" si="10658">IFERROR(IF(BN2441-VLOOKUP(BK$38,$A$2:$N$12,14,FALSE)&gt;0,BN2441-VLOOKUP(BK$38,$A$2:$N$12,14,FALSE)," ")," ")</f>
        <v xml:space="preserve"> </v>
      </c>
      <c r="BQ2441" s="34">
        <f t="shared" ref="BQ2441" si="10659">$M$10</f>
        <v>0</v>
      </c>
      <c r="BR2441" s="34">
        <v>-1</v>
      </c>
      <c r="BS2441" s="34">
        <f t="shared" ref="BS2441" si="10660">-SUMPRODUCT($M$2:$M$9,$N$2:$N$9)-SUMPRODUCT($M$11:$M$12,$N$11:$N$12)</f>
        <v>-120000</v>
      </c>
      <c r="BT2441" s="34" t="e">
        <f t="shared" ref="BT2441" si="10661">IF(BQ2441&lt;&gt;BQ2442,MMULT(MINVERSE(BQ2441:BR2442),BS2441:BS2442)," ")</f>
        <v>#NUM!</v>
      </c>
      <c r="BU2441" s="34" t="str">
        <f t="shared" ref="BU2441" si="10662">IFERROR(IF(BT2441-VLOOKUP(BQ$38,$A$2:$N$12,14,FALSE)&lt;0,BT2441-VLOOKUP(BQ$38,$A$2:$N$12,14,FALSE)," ")," ")</f>
        <v xml:space="preserve"> </v>
      </c>
      <c r="BV2441" s="34" t="str">
        <f t="shared" ref="BV2441" si="10663">IFERROR(IF(BT2441-VLOOKUP(BQ$38,$A$2:$N$12,14,FALSE)&gt;0,BT2441-VLOOKUP(BQ$38,$A$2:$N$12,14,FALSE)," ")," ")</f>
        <v xml:space="preserve"> </v>
      </c>
      <c r="BW2441" s="34">
        <f t="shared" ref="BW2441" si="10664">$M$11</f>
        <v>0</v>
      </c>
      <c r="BX2441" s="34">
        <v>-1</v>
      </c>
      <c r="BY2441" s="34">
        <f t="shared" ref="BY2441" si="10665">-SUMPRODUCT($M$2:$M$10,$N$2:$N$10)-SUMPRODUCT($M$12,$N$12)</f>
        <v>-120000</v>
      </c>
      <c r="BZ2441" s="34" t="e">
        <f t="shared" ref="BZ2441" si="10666">IF(BW2441&lt;&gt;BW2442,MMULT(MINVERSE(BW2441:BX2442),BY2441:BY2442)," ")</f>
        <v>#NUM!</v>
      </c>
      <c r="CA2441" s="34" t="str">
        <f t="shared" ref="CA2441" si="10667">IFERROR(IF(BZ2441-VLOOKUP(BW$38,$A$2:$N$12,14,FALSE)&lt;0,BZ2441-VLOOKUP(BW$38,$A$2:$N$12,14,FALSE)," ")," ")</f>
        <v xml:space="preserve"> </v>
      </c>
      <c r="CB2441" s="34" t="str">
        <f t="shared" ref="CB2441" si="10668">IFERROR(IF(BZ2441-VLOOKUP(BW$38,$A$2:$N$12,14,FALSE)&gt;0,BZ2441-VLOOKUP(BW$38,$A$2:$N$12,14,FALSE)," ")," ")</f>
        <v xml:space="preserve"> </v>
      </c>
      <c r="CC2441" s="34">
        <f t="shared" ref="CC2441" si="10669">$M$12</f>
        <v>0</v>
      </c>
      <c r="CD2441" s="34">
        <v>-1</v>
      </c>
      <c r="CE2441" s="34">
        <f t="shared" ref="CE2441" si="10670">-SUMPRODUCT($M$2:$M$11,$N$2:$N$11)</f>
        <v>-120000</v>
      </c>
      <c r="CF2441" s="34" t="e">
        <f t="shared" ref="CF2441" si="10671">IF(CC2441&lt;&gt;CC2442,MMULT(MINVERSE(CC2441:CD2442),CE2441:CE2442)," ")</f>
        <v>#NUM!</v>
      </c>
      <c r="CG2441" s="34" t="str">
        <f t="shared" ref="CG2441" si="10672">IFERROR(IF(CF2441-VLOOKUP(CC$38,$A$2:$N$12,14,FALSE)&lt;0,CF2441-VLOOKUP(CC$38,$A$2:$N$12,14,FALSE)," ")," ")</f>
        <v xml:space="preserve"> </v>
      </c>
      <c r="CH2441" s="34" t="str">
        <f t="shared" ref="CH2441" si="10673">IFERROR(IF(CF2441-VLOOKUP(CC$38,$A$2:$N$12,14,FALSE)&gt;0,CF2441-VLOOKUP(CC$38,$A$2:$N$12,14,FALSE)," ")," ")</f>
        <v xml:space="preserve"> </v>
      </c>
    </row>
    <row r="2442" spans="1:86" x14ac:dyDescent="0.2">
      <c r="A2442" s="8" t="str">
        <f>IF(AND(COUNTIF(W$3:W$13,A$16)&gt;0,A$16&lt;&gt;B2324),A$16,IFERROR(IF(MATCH(A$16,Z$3:Z$13,0)=6,A$16," ")," "))</f>
        <v xml:space="preserve"> </v>
      </c>
      <c r="B2442" s="8" t="str">
        <f>IF(A2442=" "," ",MAX(B2441:B2441)+1)</f>
        <v xml:space="preserve"> </v>
      </c>
      <c r="C2442" s="8" t="str">
        <f>IFERROR(INDEX(A2441:A2462,MATCH(SMALL(B2441:B2462,2),B2441:B2462,0),1)," ")</f>
        <v>C4</v>
      </c>
      <c r="D2442" s="8">
        <f t="shared" ref="D2442:D2451" si="10674">IFERROR(VLOOKUP($C2442,$A$15:$O$36,2,FALSE)," ")</f>
        <v>1</v>
      </c>
      <c r="E2442" s="8">
        <f t="shared" ref="E2442:E2451" si="10675">IFERROR(VLOOKUP($C2442,$A$15:$O$36,3,FALSE)," ")</f>
        <v>0</v>
      </c>
      <c r="F2442" s="8">
        <f t="shared" ref="F2442:F2451" si="10676">IFERROR(VLOOKUP($C2442,$A$15:$O$36,4,FALSE)," ")</f>
        <v>1</v>
      </c>
      <c r="G2442" s="8">
        <f t="shared" ref="G2442:G2451" si="10677">IFERROR(VLOOKUP($C2442,$A$15:$O$36,5,FALSE)," ")</f>
        <v>0</v>
      </c>
      <c r="H2442" s="8">
        <f t="shared" ref="H2442:H2451" si="10678">IFERROR(VLOOKUP($C2442,$A$15:$O$36,6,FALSE)," ")</f>
        <v>0</v>
      </c>
      <c r="I2442" s="8">
        <f t="shared" ref="I2442:I2451" si="10679">IFERROR(VLOOKUP($C2442,$A$15:$O$36,7,FALSE)," ")</f>
        <v>0</v>
      </c>
      <c r="J2442" s="8">
        <f t="shared" ref="J2442:J2451" si="10680">IFERROR(VLOOKUP($C2442,$A$15:$O$36,8,FALSE)," ")</f>
        <v>0</v>
      </c>
      <c r="K2442" s="8">
        <f t="shared" ref="K2442:K2451" si="10681">IFERROR(VLOOKUP($C2442,$A$15:$O$36,9,FALSE)," ")</f>
        <v>0</v>
      </c>
      <c r="L2442" s="8">
        <f t="shared" ref="L2442:L2451" si="10682">IFERROR(VLOOKUP($C2442,$A$15:$O$36,10,FALSE)," ")</f>
        <v>0</v>
      </c>
      <c r="M2442" s="8">
        <f t="shared" ref="M2442:M2451" si="10683">IFERROR(VLOOKUP($C2442,$A$15:$O$36,11,FALSE)," ")</f>
        <v>0</v>
      </c>
      <c r="N2442" s="8">
        <f t="shared" ref="N2442:N2451" si="10684">IFERROR(VLOOKUP($C2442,$A$15:$O$36,12,FALSE)," ")</f>
        <v>0</v>
      </c>
      <c r="O2442" s="8">
        <f t="shared" ref="O2442:O2451" si="10685">IFERROR(VLOOKUP($C2442,$A$15:$O$36,15,FALSE)," ")</f>
        <v>400</v>
      </c>
      <c r="P2442" s="8" t="e">
        <v>#NUM!</v>
      </c>
      <c r="Q2442" s="8" t="e">
        <f t="shared" ref="Q2442" si="10686">IF(COUNTIF(P2441:P2451,"&lt;"&amp;-0.001)=0,IF(ABS(P2442)&lt;0.001,0,P2442)," ")</f>
        <v>#NUM!</v>
      </c>
      <c r="R2442" s="8"/>
      <c r="S2442" s="8"/>
      <c r="U2442" s="34" t="e">
        <f t="shared" ref="U2442" si="10687">$Q2441</f>
        <v>#NUM!</v>
      </c>
      <c r="V2442" s="34">
        <v>-1</v>
      </c>
      <c r="W2442" s="34" t="e">
        <f t="shared" ref="W2442" si="10688">-SUMPRODUCT($Q2442:$Q2451,$N$3:$N$12)</f>
        <v>#NUM!</v>
      </c>
      <c r="X2442" s="34"/>
      <c r="Y2442" s="34"/>
      <c r="Z2442" s="34"/>
      <c r="AA2442" s="34" t="e">
        <f t="shared" ref="AA2442" si="10689">$Q2442</f>
        <v>#NUM!</v>
      </c>
      <c r="AB2442" s="34">
        <v>-1</v>
      </c>
      <c r="AC2442" s="34" t="e">
        <f t="shared" ref="AC2442" si="10690">-SUMPRODUCT($Q2441:$Q2441,$N$2:$N$2)-SUMPRODUCT($Q2443:$Q2451,$N$4:$N$12)</f>
        <v>#NUM!</v>
      </c>
      <c r="AD2442" s="34"/>
      <c r="AE2442" s="34"/>
      <c r="AF2442" s="34"/>
      <c r="AG2442" s="34" t="e">
        <f t="shared" ref="AG2442" si="10691">$Q2443</f>
        <v>#NUM!</v>
      </c>
      <c r="AH2442" s="34">
        <v>-1</v>
      </c>
      <c r="AI2442" s="34" t="e">
        <f t="shared" ref="AI2442" si="10692">-SUMPRODUCT($Q2441:$Q2442,$N$2:$N$3)-SUMPRODUCT($Q2444:$Q2451,$N$5:$N$12)</f>
        <v>#NUM!</v>
      </c>
      <c r="AJ2442" s="34"/>
      <c r="AK2442" s="34"/>
      <c r="AL2442" s="34"/>
      <c r="AM2442" s="34" t="e">
        <f t="shared" ref="AM2442" si="10693">$Q2444</f>
        <v>#NUM!</v>
      </c>
      <c r="AN2442" s="34">
        <v>-1</v>
      </c>
      <c r="AO2442" s="34" t="e">
        <f t="shared" ref="AO2442" si="10694">-SUMPRODUCT($Q2441:$Q2443,$N$2:$N$4)-SUMPRODUCT($Q2445:$Q2451,$N$6:$N$12)</f>
        <v>#NUM!</v>
      </c>
      <c r="AP2442" s="34"/>
      <c r="AQ2442" s="34"/>
      <c r="AR2442" s="34"/>
      <c r="AS2442" s="34" t="e">
        <f t="shared" ref="AS2442" si="10695">$Q2445</f>
        <v>#NUM!</v>
      </c>
      <c r="AT2442" s="34">
        <v>-1</v>
      </c>
      <c r="AU2442" s="34" t="e">
        <f t="shared" ref="AU2442" si="10696">-SUMPRODUCT($Q2441:$Q2444,$N$2:$N$5)-SUMPRODUCT($Q2446:$Q2451,$N$7:$N$12)</f>
        <v>#NUM!</v>
      </c>
      <c r="AV2442" s="34"/>
      <c r="AW2442" s="34"/>
      <c r="AX2442" s="34"/>
      <c r="AY2442" s="34" t="e">
        <f t="shared" ref="AY2442" si="10697">$Q2446</f>
        <v>#NUM!</v>
      </c>
      <c r="AZ2442" s="34">
        <v>-1</v>
      </c>
      <c r="BA2442" s="34" t="e">
        <f t="shared" ref="BA2442" si="10698">-SUMPRODUCT($Q2441:$Q2445,$N$2:$N$6)-SUMPRODUCT($Q2447:$Q2451,$N$8:$N$12)</f>
        <v>#NUM!</v>
      </c>
      <c r="BB2442" s="34"/>
      <c r="BC2442" s="34"/>
      <c r="BD2442" s="34"/>
      <c r="BE2442" s="34" t="e">
        <f t="shared" ref="BE2442" si="10699">$Q2447</f>
        <v>#NUM!</v>
      </c>
      <c r="BF2442" s="34">
        <v>-1</v>
      </c>
      <c r="BG2442" s="34" t="e">
        <f t="shared" ref="BG2442" si="10700">-SUMPRODUCT($Q2441:$Q2446,$N$2:$N$7)-SUMPRODUCT($Q2448:$Q2451,$N$9:$N$12)</f>
        <v>#NUM!</v>
      </c>
      <c r="BH2442" s="34"/>
      <c r="BI2442" s="34"/>
      <c r="BJ2442" s="34"/>
      <c r="BK2442" s="34" t="e">
        <f t="shared" ref="BK2442" si="10701">$Q2448</f>
        <v>#NUM!</v>
      </c>
      <c r="BL2442" s="34">
        <v>-1</v>
      </c>
      <c r="BM2442" s="34" t="e">
        <f t="shared" ref="BM2442" si="10702">-SUMPRODUCT($Q2441:$Q2447,$N$2:$N$8)-SUMPRODUCT($Q2449:$Q2451,$N$10:$N$12)</f>
        <v>#NUM!</v>
      </c>
      <c r="BN2442" s="34"/>
      <c r="BO2442" s="34"/>
      <c r="BP2442" s="34"/>
      <c r="BQ2442" s="34" t="e">
        <f t="shared" ref="BQ2442" si="10703">$Q2449</f>
        <v>#NUM!</v>
      </c>
      <c r="BR2442" s="34">
        <v>-1</v>
      </c>
      <c r="BS2442" s="34" t="e">
        <f t="shared" ref="BS2442" si="10704">-SUMPRODUCT($Q2441:$Q2448,$N$2:$N$9)-SUMPRODUCT($Q2450:$Q2451,$N$11:$N$12)</f>
        <v>#NUM!</v>
      </c>
      <c r="BT2442" s="34"/>
      <c r="BU2442" s="34"/>
      <c r="BV2442" s="34"/>
      <c r="BW2442" s="34" t="e">
        <f t="shared" ref="BW2442" si="10705">$Q2450</f>
        <v>#NUM!</v>
      </c>
      <c r="BX2442" s="34">
        <v>-1</v>
      </c>
      <c r="BY2442" s="34" t="e">
        <f t="shared" ref="BY2442" si="10706">-SUMPRODUCT($Q2441:$Q2449,$N$2:$N$10)-SUMPRODUCT($Q2451,$N$12)</f>
        <v>#NUM!</v>
      </c>
      <c r="BZ2442" s="34"/>
      <c r="CA2442" s="34"/>
      <c r="CB2442" s="34"/>
      <c r="CC2442" s="34" t="e">
        <f t="shared" ref="CC2442" si="10707">$Q2451</f>
        <v>#NUM!</v>
      </c>
      <c r="CD2442" s="34">
        <v>-1</v>
      </c>
      <c r="CE2442" s="34" t="e">
        <f t="shared" ref="CE2442" si="10708">-SUMPRODUCT($Q2441:$Q2450,$N$2:$N$11)</f>
        <v>#NUM!</v>
      </c>
      <c r="CF2442" s="34"/>
      <c r="CG2442" s="34"/>
      <c r="CH2442" s="34"/>
    </row>
    <row r="2443" spans="1:86" x14ac:dyDescent="0.2">
      <c r="A2443" s="8" t="str">
        <f>IF(AND(COUNTIF(W$3:W$13,A$17)&gt;0,A$17&lt;&gt;B2324),A$17,IFERROR(IF(MATCH(A$17,Z$3:Z$13,0)=6,A$17," ")," "))</f>
        <v>C3</v>
      </c>
      <c r="B2443" s="8">
        <f>IF(A2443=" "," ",MAX(B2441:B2442)+1)</f>
        <v>1</v>
      </c>
      <c r="C2443" s="8" t="str">
        <f>IFERROR(INDEX(A2441:A2462,MATCH(SMALL(B2441:B2462,3),B2441:B2462,0),1)," ")</f>
        <v>C8</v>
      </c>
      <c r="D2443" s="8">
        <f t="shared" si="10674"/>
        <v>0</v>
      </c>
      <c r="E2443" s="8">
        <f t="shared" si="10675"/>
        <v>0</v>
      </c>
      <c r="F2443" s="8">
        <f t="shared" si="10676"/>
        <v>0</v>
      </c>
      <c r="G2443" s="8">
        <f t="shared" si="10677"/>
        <v>0</v>
      </c>
      <c r="H2443" s="8">
        <f t="shared" si="10678"/>
        <v>0</v>
      </c>
      <c r="I2443" s="8">
        <f t="shared" si="10679"/>
        <v>0</v>
      </c>
      <c r="J2443" s="8">
        <f t="shared" si="10680"/>
        <v>0</v>
      </c>
      <c r="K2443" s="8">
        <f t="shared" si="10681"/>
        <v>0</v>
      </c>
      <c r="L2443" s="8">
        <f t="shared" si="10682"/>
        <v>0</v>
      </c>
      <c r="M2443" s="8">
        <f t="shared" si="10683"/>
        <v>0</v>
      </c>
      <c r="N2443" s="8">
        <f t="shared" si="10684"/>
        <v>0</v>
      </c>
      <c r="O2443" s="8">
        <f t="shared" si="10685"/>
        <v>0</v>
      </c>
      <c r="P2443" s="8" t="e">
        <v>#NUM!</v>
      </c>
      <c r="Q2443" s="8" t="e">
        <f t="shared" ref="Q2443" si="10709">IF(COUNTIF(P2441:P2451,"&lt;"&amp;-0.001)=0,IF(ABS(P2443)&lt;0.001,0,P2443)," ")</f>
        <v>#NUM!</v>
      </c>
      <c r="R2443" s="8"/>
      <c r="S2443" s="8"/>
      <c r="U2443" s="34"/>
      <c r="V2443" s="34"/>
      <c r="W2443" s="34"/>
      <c r="X2443" s="34"/>
      <c r="Y2443" s="34"/>
      <c r="Z2443" s="34"/>
      <c r="AA2443" s="34"/>
      <c r="AB2443" s="34"/>
      <c r="AC2443" s="34"/>
      <c r="AD2443" s="34"/>
      <c r="AE2443" s="34"/>
      <c r="AF2443" s="34"/>
      <c r="AG2443" s="34"/>
      <c r="AH2443" s="34"/>
      <c r="AI2443" s="34"/>
      <c r="AJ2443" s="34"/>
      <c r="AK2443" s="34"/>
      <c r="AL2443" s="34"/>
      <c r="AM2443" s="34"/>
      <c r="AN2443" s="34"/>
      <c r="AO2443" s="34"/>
      <c r="AP2443" s="34"/>
      <c r="AQ2443" s="34"/>
      <c r="AR2443" s="34"/>
      <c r="AS2443" s="34"/>
      <c r="AT2443" s="34"/>
      <c r="AU2443" s="34"/>
      <c r="AV2443" s="34"/>
      <c r="AW2443" s="34"/>
      <c r="AX2443" s="34"/>
      <c r="AY2443" s="34"/>
      <c r="AZ2443" s="34"/>
      <c r="BA2443" s="34"/>
      <c r="BB2443" s="34"/>
      <c r="BC2443" s="34"/>
      <c r="BD2443" s="34"/>
      <c r="BE2443" s="34"/>
      <c r="BF2443" s="34"/>
      <c r="BG2443" s="34"/>
      <c r="BH2443" s="34"/>
      <c r="BI2443" s="34"/>
      <c r="BJ2443" s="34"/>
      <c r="BK2443" s="34"/>
      <c r="BL2443" s="34"/>
      <c r="BM2443" s="34"/>
      <c r="BN2443" s="34"/>
      <c r="BO2443" s="34"/>
      <c r="BP2443" s="34"/>
      <c r="BQ2443" s="34"/>
      <c r="BR2443" s="34"/>
      <c r="BS2443" s="34"/>
      <c r="BT2443" s="34"/>
      <c r="BU2443" s="34"/>
      <c r="BV2443" s="34"/>
      <c r="BW2443" s="34"/>
      <c r="BX2443" s="34"/>
      <c r="BY2443" s="34"/>
      <c r="BZ2443" s="34"/>
      <c r="CA2443" s="34"/>
      <c r="CB2443" s="34"/>
      <c r="CC2443" s="34"/>
      <c r="CD2443" s="34"/>
      <c r="CE2443" s="34"/>
      <c r="CF2443" s="34"/>
      <c r="CG2443" s="34"/>
      <c r="CH2443" s="34"/>
    </row>
    <row r="2444" spans="1:86" x14ac:dyDescent="0.2">
      <c r="A2444" s="8" t="str">
        <f>IF(AND(COUNTIF(W$3:W$13,A$18)&gt;0,A$18&lt;&gt;B2324),A$18,IFERROR(IF(MATCH(A$18,Z$3:Z$13,0)=6,A$18," ")," "))</f>
        <v>C4</v>
      </c>
      <c r="B2444" s="8">
        <f>IF(A2444=" "," ",MAX(B2441:B2443)+1)</f>
        <v>2</v>
      </c>
      <c r="C2444" s="8" t="str">
        <f>IFERROR(INDEX(A2441:A2462,MATCH(SMALL(B2441:B2462,4),B2441:B2462,0),1)," ")</f>
        <v>C13</v>
      </c>
      <c r="D2444" s="8">
        <f t="shared" si="10674"/>
        <v>0</v>
      </c>
      <c r="E2444" s="8">
        <f t="shared" si="10675"/>
        <v>1</v>
      </c>
      <c r="F2444" s="8">
        <f t="shared" si="10676"/>
        <v>0</v>
      </c>
      <c r="G2444" s="8">
        <f t="shared" si="10677"/>
        <v>0</v>
      </c>
      <c r="H2444" s="8">
        <f t="shared" si="10678"/>
        <v>0</v>
      </c>
      <c r="I2444" s="8">
        <f t="shared" si="10679"/>
        <v>0</v>
      </c>
      <c r="J2444" s="8">
        <f t="shared" si="10680"/>
        <v>0</v>
      </c>
      <c r="K2444" s="8">
        <f t="shared" si="10681"/>
        <v>0</v>
      </c>
      <c r="L2444" s="8">
        <f t="shared" si="10682"/>
        <v>0</v>
      </c>
      <c r="M2444" s="8">
        <f t="shared" si="10683"/>
        <v>0</v>
      </c>
      <c r="N2444" s="8">
        <f t="shared" si="10684"/>
        <v>0</v>
      </c>
      <c r="O2444" s="8">
        <f t="shared" si="10685"/>
        <v>0</v>
      </c>
      <c r="P2444" s="8" t="e">
        <v>#NUM!</v>
      </c>
      <c r="Q2444" s="8" t="e">
        <f t="shared" ref="Q2444" si="10710">IF(COUNTIF(P2441:P2451,"&lt;"&amp;-0.001)=0,IF(ABS(P2444)&lt;0.001,0,P2444)," ")</f>
        <v>#NUM!</v>
      </c>
      <c r="R2444" s="8"/>
      <c r="S2444" s="8"/>
      <c r="U2444" s="34"/>
      <c r="V2444" s="34"/>
      <c r="W2444" s="34"/>
      <c r="X2444" s="34"/>
      <c r="Y2444" s="34"/>
      <c r="Z2444" s="34"/>
      <c r="AA2444" s="34"/>
      <c r="AB2444" s="34"/>
      <c r="AC2444" s="34"/>
      <c r="AD2444" s="34"/>
      <c r="AE2444" s="34"/>
      <c r="AF2444" s="34"/>
      <c r="AG2444" s="34"/>
      <c r="AH2444" s="34"/>
      <c r="AI2444" s="34"/>
      <c r="AJ2444" s="34"/>
      <c r="AK2444" s="34"/>
      <c r="AL2444" s="34"/>
      <c r="AM2444" s="34"/>
      <c r="AN2444" s="34"/>
      <c r="AO2444" s="34"/>
      <c r="AP2444" s="34"/>
      <c r="AQ2444" s="34"/>
      <c r="AR2444" s="34"/>
      <c r="AS2444" s="34"/>
      <c r="AT2444" s="34"/>
      <c r="AU2444" s="34"/>
      <c r="AV2444" s="34"/>
      <c r="AW2444" s="34"/>
      <c r="AX2444" s="34"/>
      <c r="AY2444" s="34"/>
      <c r="AZ2444" s="34"/>
      <c r="BA2444" s="34"/>
      <c r="BB2444" s="34"/>
      <c r="BC2444" s="34"/>
      <c r="BD2444" s="34"/>
      <c r="BE2444" s="34"/>
      <c r="BF2444" s="34"/>
      <c r="BG2444" s="34"/>
      <c r="BH2444" s="34"/>
      <c r="BI2444" s="34"/>
      <c r="BJ2444" s="34"/>
      <c r="BK2444" s="34"/>
      <c r="BL2444" s="34"/>
      <c r="BM2444" s="34"/>
      <c r="BN2444" s="34"/>
      <c r="BO2444" s="34"/>
      <c r="BP2444" s="34"/>
      <c r="BQ2444" s="34"/>
      <c r="BR2444" s="34"/>
      <c r="BS2444" s="34"/>
      <c r="BT2444" s="34"/>
      <c r="BU2444" s="34"/>
      <c r="BV2444" s="34"/>
      <c r="BW2444" s="34"/>
      <c r="BX2444" s="34"/>
      <c r="BY2444" s="34"/>
      <c r="BZ2444" s="34"/>
      <c r="CA2444" s="34"/>
      <c r="CB2444" s="34"/>
      <c r="CC2444" s="34"/>
      <c r="CD2444" s="34"/>
      <c r="CE2444" s="34"/>
      <c r="CF2444" s="34"/>
      <c r="CG2444" s="34"/>
      <c r="CH2444" s="34"/>
    </row>
    <row r="2445" spans="1:86" x14ac:dyDescent="0.2">
      <c r="A2445" s="8" t="str">
        <f>IF(AND(COUNTIF(W$3:W$13,A$19)&gt;0,A$19&lt;&gt;B2324),A$19,IFERROR(IF(MATCH(A$19,Z$3:Z$13,0)=6,A$19," ")," "))</f>
        <v xml:space="preserve"> </v>
      </c>
      <c r="B2445" s="8" t="str">
        <f>IF(A2445=" "," ",MAX(B2441:B2444)+1)</f>
        <v xml:space="preserve"> </v>
      </c>
      <c r="C2445" s="8" t="str">
        <f>IFERROR(INDEX(A2441:A2462,MATCH(SMALL(B2441:B2462,5),B2441:B2462,0),1)," ")</f>
        <v>C15</v>
      </c>
      <c r="D2445" s="8">
        <f t="shared" si="10674"/>
        <v>0</v>
      </c>
      <c r="E2445" s="8">
        <f t="shared" si="10675"/>
        <v>0</v>
      </c>
      <c r="F2445" s="8">
        <f t="shared" si="10676"/>
        <v>0</v>
      </c>
      <c r="G2445" s="8">
        <f t="shared" si="10677"/>
        <v>1</v>
      </c>
      <c r="H2445" s="8">
        <f t="shared" si="10678"/>
        <v>0</v>
      </c>
      <c r="I2445" s="8">
        <f t="shared" si="10679"/>
        <v>0</v>
      </c>
      <c r="J2445" s="8">
        <f t="shared" si="10680"/>
        <v>0</v>
      </c>
      <c r="K2445" s="8">
        <f t="shared" si="10681"/>
        <v>0</v>
      </c>
      <c r="L2445" s="8">
        <f t="shared" si="10682"/>
        <v>0</v>
      </c>
      <c r="M2445" s="8">
        <f t="shared" si="10683"/>
        <v>0</v>
      </c>
      <c r="N2445" s="8">
        <f t="shared" si="10684"/>
        <v>0</v>
      </c>
      <c r="O2445" s="8">
        <f t="shared" si="10685"/>
        <v>0</v>
      </c>
      <c r="P2445" s="8" t="e">
        <v>#NUM!</v>
      </c>
      <c r="Q2445" s="8" t="e">
        <f t="shared" ref="Q2445" si="10711">IF(COUNTIF(P2441:P2451,"&lt;"&amp;-0.001)=0,IF(ABS(P2445)&lt;0.001,0,P2445)," ")</f>
        <v>#NUM!</v>
      </c>
      <c r="R2445" s="8"/>
      <c r="S2445" s="8"/>
      <c r="U2445" s="34"/>
      <c r="V2445" s="34"/>
      <c r="W2445" s="34"/>
      <c r="X2445" s="34"/>
      <c r="Y2445" s="34"/>
      <c r="Z2445" s="34"/>
      <c r="AA2445" s="34"/>
      <c r="AB2445" s="34"/>
      <c r="AC2445" s="34"/>
      <c r="AD2445" s="34"/>
      <c r="AE2445" s="34"/>
      <c r="AF2445" s="34"/>
      <c r="AG2445" s="34"/>
      <c r="AH2445" s="34"/>
      <c r="AI2445" s="34"/>
      <c r="AJ2445" s="34"/>
      <c r="AK2445" s="34"/>
      <c r="AL2445" s="34"/>
      <c r="AM2445" s="34"/>
      <c r="AN2445" s="34"/>
      <c r="AO2445" s="34"/>
      <c r="AP2445" s="34"/>
      <c r="AQ2445" s="34"/>
      <c r="AR2445" s="34"/>
      <c r="AS2445" s="34"/>
      <c r="AT2445" s="34"/>
      <c r="AU2445" s="34"/>
      <c r="AV2445" s="34"/>
      <c r="AW2445" s="34"/>
      <c r="AX2445" s="34"/>
      <c r="AY2445" s="34"/>
      <c r="AZ2445" s="34"/>
      <c r="BA2445" s="34"/>
      <c r="BB2445" s="34"/>
      <c r="BC2445" s="34"/>
      <c r="BD2445" s="34"/>
      <c r="BE2445" s="34"/>
      <c r="BF2445" s="34"/>
      <c r="BG2445" s="34"/>
      <c r="BH2445" s="34"/>
      <c r="BI2445" s="34"/>
      <c r="BJ2445" s="34"/>
      <c r="BK2445" s="34"/>
      <c r="BL2445" s="34"/>
      <c r="BM2445" s="34"/>
      <c r="BN2445" s="34"/>
      <c r="BO2445" s="34"/>
      <c r="BP2445" s="34"/>
      <c r="BQ2445" s="34"/>
      <c r="BR2445" s="34"/>
      <c r="BS2445" s="34"/>
      <c r="BT2445" s="34"/>
      <c r="BU2445" s="34"/>
      <c r="BV2445" s="34"/>
      <c r="BW2445" s="34"/>
      <c r="BX2445" s="34"/>
      <c r="BY2445" s="34"/>
      <c r="BZ2445" s="34"/>
      <c r="CA2445" s="34"/>
      <c r="CB2445" s="34"/>
      <c r="CC2445" s="34"/>
      <c r="CD2445" s="34"/>
      <c r="CE2445" s="34"/>
      <c r="CF2445" s="34"/>
      <c r="CG2445" s="34"/>
      <c r="CH2445" s="34"/>
    </row>
    <row r="2446" spans="1:86" x14ac:dyDescent="0.2">
      <c r="A2446" s="8" t="str">
        <f>IF(AND(COUNTIF(W$3:W$13,A$20)&gt;0,A$20&lt;&gt;B2324),A$20,IFERROR(IF(MATCH(A$20,Z$3:Z$13,0)=6,A$20," ")," "))</f>
        <v xml:space="preserve"> </v>
      </c>
      <c r="B2446" s="8" t="str">
        <f>IF(A2446=" "," ",MAX(B2441:B2445)+1)</f>
        <v xml:space="preserve"> </v>
      </c>
      <c r="C2446" s="8" t="str">
        <f>IFERROR(INDEX(A2441:A2462,MATCH(SMALL(B2441:B2462,6),B2441:B2462,0),1)," ")</f>
        <v>C16</v>
      </c>
      <c r="D2446" s="8">
        <f t="shared" si="10674"/>
        <v>0</v>
      </c>
      <c r="E2446" s="8">
        <f t="shared" si="10675"/>
        <v>0</v>
      </c>
      <c r="F2446" s="8">
        <f t="shared" si="10676"/>
        <v>0</v>
      </c>
      <c r="G2446" s="8">
        <f t="shared" si="10677"/>
        <v>0</v>
      </c>
      <c r="H2446" s="8">
        <f t="shared" si="10678"/>
        <v>1</v>
      </c>
      <c r="I2446" s="8">
        <f t="shared" si="10679"/>
        <v>0</v>
      </c>
      <c r="J2446" s="8">
        <f t="shared" si="10680"/>
        <v>0</v>
      </c>
      <c r="K2446" s="8">
        <f t="shared" si="10681"/>
        <v>0</v>
      </c>
      <c r="L2446" s="8">
        <f t="shared" si="10682"/>
        <v>0</v>
      </c>
      <c r="M2446" s="8">
        <f t="shared" si="10683"/>
        <v>0</v>
      </c>
      <c r="N2446" s="8">
        <f t="shared" si="10684"/>
        <v>0</v>
      </c>
      <c r="O2446" s="8">
        <f t="shared" si="10685"/>
        <v>0</v>
      </c>
      <c r="P2446" s="8" t="e">
        <v>#NUM!</v>
      </c>
      <c r="Q2446" s="8" t="e">
        <f t="shared" ref="Q2446" si="10712">IF(COUNTIF(P2441:P2451,"&lt;"&amp;-0.001)=0,IF(ABS(P2446)&lt;0.001,0,P2446)," ")</f>
        <v>#NUM!</v>
      </c>
      <c r="R2446" s="8"/>
      <c r="S2446" s="8"/>
      <c r="U2446" s="34"/>
      <c r="V2446" s="34"/>
      <c r="W2446" s="34"/>
      <c r="X2446" s="34"/>
      <c r="Y2446" s="34"/>
      <c r="Z2446" s="34"/>
      <c r="AA2446" s="34"/>
      <c r="AB2446" s="34"/>
      <c r="AC2446" s="34"/>
      <c r="AD2446" s="34"/>
      <c r="AE2446" s="34"/>
      <c r="AF2446" s="34"/>
      <c r="AG2446" s="34"/>
      <c r="AH2446" s="34"/>
      <c r="AI2446" s="34"/>
      <c r="AJ2446" s="34"/>
      <c r="AK2446" s="34"/>
      <c r="AL2446" s="34"/>
      <c r="AM2446" s="34"/>
      <c r="AN2446" s="34"/>
      <c r="AO2446" s="34"/>
      <c r="AP2446" s="34"/>
      <c r="AQ2446" s="34"/>
      <c r="AR2446" s="34"/>
      <c r="AS2446" s="34"/>
      <c r="AT2446" s="34"/>
      <c r="AU2446" s="34"/>
      <c r="AV2446" s="34"/>
      <c r="AW2446" s="34"/>
      <c r="AX2446" s="34"/>
      <c r="AY2446" s="34"/>
      <c r="AZ2446" s="34"/>
      <c r="BA2446" s="34"/>
      <c r="BB2446" s="34"/>
      <c r="BC2446" s="34"/>
      <c r="BD2446" s="34"/>
      <c r="BE2446" s="34"/>
      <c r="BF2446" s="34"/>
      <c r="BG2446" s="34"/>
      <c r="BH2446" s="34"/>
      <c r="BI2446" s="34"/>
      <c r="BJ2446" s="34"/>
      <c r="BK2446" s="34"/>
      <c r="BL2446" s="34"/>
      <c r="BM2446" s="34"/>
      <c r="BN2446" s="34"/>
      <c r="BO2446" s="34"/>
      <c r="BP2446" s="34"/>
      <c r="BQ2446" s="34"/>
      <c r="BR2446" s="34"/>
      <c r="BS2446" s="34"/>
      <c r="BT2446" s="34"/>
      <c r="BU2446" s="34"/>
      <c r="BV2446" s="34"/>
      <c r="BW2446" s="34"/>
      <c r="BX2446" s="34"/>
      <c r="BY2446" s="34"/>
      <c r="BZ2446" s="34"/>
      <c r="CA2446" s="34"/>
      <c r="CB2446" s="34"/>
      <c r="CC2446" s="34"/>
      <c r="CD2446" s="34"/>
      <c r="CE2446" s="34"/>
      <c r="CF2446" s="34"/>
      <c r="CG2446" s="34"/>
      <c r="CH2446" s="34"/>
    </row>
    <row r="2447" spans="1:86" x14ac:dyDescent="0.2">
      <c r="A2447" s="8" t="str">
        <f>IF(AND(COUNTIF(W$3:W$13,A$21)&gt;0,A$21&lt;&gt;B2324),A$21,IFERROR(IF(MATCH(A$21,Z$3:Z$13,0)=6,A$21," ")," "))</f>
        <v xml:space="preserve"> </v>
      </c>
      <c r="B2447" s="8" t="str">
        <f>IF(A2447=" "," ",MAX(B2441:B2446)+1)</f>
        <v xml:space="preserve"> </v>
      </c>
      <c r="C2447" s="8" t="str">
        <f>IFERROR(INDEX(A2441:A2462,MATCH(SMALL(B2441:B2462,7),B2441:B2462,0),1)," ")</f>
        <v>C17</v>
      </c>
      <c r="D2447" s="8">
        <f t="shared" si="10674"/>
        <v>0</v>
      </c>
      <c r="E2447" s="8">
        <f t="shared" si="10675"/>
        <v>0</v>
      </c>
      <c r="F2447" s="8">
        <f t="shared" si="10676"/>
        <v>0</v>
      </c>
      <c r="G2447" s="8">
        <f t="shared" si="10677"/>
        <v>0</v>
      </c>
      <c r="H2447" s="8">
        <f t="shared" si="10678"/>
        <v>0</v>
      </c>
      <c r="I2447" s="8">
        <f t="shared" si="10679"/>
        <v>1</v>
      </c>
      <c r="J2447" s="8">
        <f t="shared" si="10680"/>
        <v>0</v>
      </c>
      <c r="K2447" s="8">
        <f t="shared" si="10681"/>
        <v>0</v>
      </c>
      <c r="L2447" s="8">
        <f t="shared" si="10682"/>
        <v>0</v>
      </c>
      <c r="M2447" s="8">
        <f t="shared" si="10683"/>
        <v>0</v>
      </c>
      <c r="N2447" s="8">
        <f t="shared" si="10684"/>
        <v>0</v>
      </c>
      <c r="O2447" s="8">
        <f t="shared" si="10685"/>
        <v>0</v>
      </c>
      <c r="P2447" s="8" t="e">
        <v>#NUM!</v>
      </c>
      <c r="Q2447" s="8" t="e">
        <f t="shared" ref="Q2447" si="10713">IF(COUNTIF(P2441:P2451,"&lt;"&amp;-0.001)=0,IF(ABS(P2447)&lt;0.001,0,P2447)," ")</f>
        <v>#NUM!</v>
      </c>
      <c r="R2447" s="8"/>
      <c r="S2447" s="8"/>
      <c r="U2447" s="34"/>
      <c r="V2447" s="34"/>
      <c r="W2447" s="34"/>
      <c r="X2447" s="34"/>
      <c r="Y2447" s="34"/>
      <c r="Z2447" s="34"/>
      <c r="AA2447" s="34"/>
      <c r="AB2447" s="34"/>
      <c r="AC2447" s="34"/>
      <c r="AD2447" s="34"/>
      <c r="AE2447" s="34"/>
      <c r="AF2447" s="34"/>
      <c r="AG2447" s="34"/>
      <c r="AH2447" s="34"/>
      <c r="AI2447" s="34"/>
      <c r="AJ2447" s="34"/>
      <c r="AK2447" s="34"/>
      <c r="AL2447" s="34"/>
      <c r="AM2447" s="34"/>
      <c r="AN2447" s="34"/>
      <c r="AO2447" s="34"/>
      <c r="AP2447" s="34"/>
      <c r="AQ2447" s="34"/>
      <c r="AR2447" s="34"/>
      <c r="AS2447" s="34"/>
      <c r="AT2447" s="34"/>
      <c r="AU2447" s="34"/>
      <c r="AV2447" s="34"/>
      <c r="AW2447" s="34"/>
      <c r="AX2447" s="34"/>
      <c r="AY2447" s="34"/>
      <c r="AZ2447" s="34"/>
      <c r="BA2447" s="34"/>
      <c r="BB2447" s="34"/>
      <c r="BC2447" s="34"/>
      <c r="BD2447" s="34"/>
      <c r="BE2447" s="34"/>
      <c r="BF2447" s="34"/>
      <c r="BG2447" s="34"/>
      <c r="BH2447" s="34"/>
      <c r="BI2447" s="34"/>
      <c r="BJ2447" s="34"/>
      <c r="BK2447" s="34"/>
      <c r="BL2447" s="34"/>
      <c r="BM2447" s="34"/>
      <c r="BN2447" s="34"/>
      <c r="BO2447" s="34"/>
      <c r="BP2447" s="34"/>
      <c r="BQ2447" s="34"/>
      <c r="BR2447" s="34"/>
      <c r="BS2447" s="34"/>
      <c r="BT2447" s="34"/>
      <c r="BU2447" s="34"/>
      <c r="BV2447" s="34"/>
      <c r="BW2447" s="34"/>
      <c r="BX2447" s="34"/>
      <c r="BY2447" s="34"/>
      <c r="BZ2447" s="34"/>
      <c r="CA2447" s="34"/>
      <c r="CB2447" s="34"/>
      <c r="CC2447" s="34"/>
      <c r="CD2447" s="34"/>
      <c r="CE2447" s="34"/>
      <c r="CF2447" s="34"/>
      <c r="CG2447" s="34"/>
      <c r="CH2447" s="34"/>
    </row>
    <row r="2448" spans="1:86" x14ac:dyDescent="0.2">
      <c r="A2448" s="8" t="str">
        <f>IF(AND(COUNTIF(W$3:W$13,A$22)&gt;0,A$22&lt;&gt;B2324),A$22,IFERROR(IF(MATCH(A$22,Z$3:Z$13,0)=6,A$22," ")," "))</f>
        <v>C8</v>
      </c>
      <c r="B2448" s="8">
        <f>IF(A2448=" "," ",MAX(B2441:B2447)+1)</f>
        <v>3</v>
      </c>
      <c r="C2448" s="8" t="str">
        <f>IFERROR(INDEX(A2441:A2462,MATCH(SMALL(B2441:B2462,8),B2441:B2462,0),1)," ")</f>
        <v>C18</v>
      </c>
      <c r="D2448" s="8">
        <f t="shared" si="10674"/>
        <v>0</v>
      </c>
      <c r="E2448" s="8">
        <f t="shared" si="10675"/>
        <v>0</v>
      </c>
      <c r="F2448" s="8">
        <f t="shared" si="10676"/>
        <v>0</v>
      </c>
      <c r="G2448" s="8">
        <f t="shared" si="10677"/>
        <v>0</v>
      </c>
      <c r="H2448" s="8">
        <f t="shared" si="10678"/>
        <v>0</v>
      </c>
      <c r="I2448" s="8">
        <f t="shared" si="10679"/>
        <v>0</v>
      </c>
      <c r="J2448" s="8">
        <f t="shared" si="10680"/>
        <v>1</v>
      </c>
      <c r="K2448" s="8">
        <f t="shared" si="10681"/>
        <v>0</v>
      </c>
      <c r="L2448" s="8">
        <f t="shared" si="10682"/>
        <v>0</v>
      </c>
      <c r="M2448" s="8">
        <f t="shared" si="10683"/>
        <v>0</v>
      </c>
      <c r="N2448" s="8">
        <f t="shared" si="10684"/>
        <v>0</v>
      </c>
      <c r="O2448" s="8">
        <f t="shared" si="10685"/>
        <v>0</v>
      </c>
      <c r="P2448" s="8" t="e">
        <v>#NUM!</v>
      </c>
      <c r="Q2448" s="8" t="e">
        <f t="shared" ref="Q2448" si="10714">IF(COUNTIF(P2441:P2451,"&lt;"&amp;-0.001)=0,IF(ABS(P2448)&lt;0.001,0,P2448)," ")</f>
        <v>#NUM!</v>
      </c>
      <c r="R2448" s="8"/>
      <c r="S2448" s="8"/>
      <c r="U2448" s="34"/>
      <c r="V2448" s="34"/>
      <c r="W2448" s="34"/>
      <c r="X2448" s="34"/>
      <c r="Y2448" s="34"/>
      <c r="Z2448" s="34"/>
      <c r="AA2448" s="34"/>
      <c r="AB2448" s="34"/>
      <c r="AC2448" s="34"/>
      <c r="AD2448" s="34"/>
      <c r="AE2448" s="34"/>
      <c r="AF2448" s="34"/>
      <c r="AG2448" s="34"/>
      <c r="AH2448" s="34"/>
      <c r="AI2448" s="34"/>
      <c r="AJ2448" s="34"/>
      <c r="AK2448" s="34"/>
      <c r="AL2448" s="34"/>
      <c r="AM2448" s="34"/>
      <c r="AN2448" s="34"/>
      <c r="AO2448" s="34"/>
      <c r="AP2448" s="34"/>
      <c r="AQ2448" s="34"/>
      <c r="AR2448" s="34"/>
      <c r="AS2448" s="34"/>
      <c r="AT2448" s="34"/>
      <c r="AU2448" s="34"/>
      <c r="AV2448" s="34"/>
      <c r="AW2448" s="34"/>
      <c r="AX2448" s="34"/>
      <c r="AY2448" s="34"/>
      <c r="AZ2448" s="34"/>
      <c r="BA2448" s="34"/>
      <c r="BB2448" s="34"/>
      <c r="BC2448" s="34"/>
      <c r="BD2448" s="34"/>
      <c r="BE2448" s="34"/>
      <c r="BF2448" s="34"/>
      <c r="BG2448" s="34"/>
      <c r="BH2448" s="34"/>
      <c r="BI2448" s="34"/>
      <c r="BJ2448" s="34"/>
      <c r="BK2448" s="34"/>
      <c r="BL2448" s="34"/>
      <c r="BM2448" s="34"/>
      <c r="BN2448" s="34"/>
      <c r="BO2448" s="34"/>
      <c r="BP2448" s="34"/>
      <c r="BQ2448" s="34"/>
      <c r="BR2448" s="34"/>
      <c r="BS2448" s="34"/>
      <c r="BT2448" s="34"/>
      <c r="BU2448" s="34"/>
      <c r="BV2448" s="34"/>
      <c r="BW2448" s="34"/>
      <c r="BX2448" s="34"/>
      <c r="BY2448" s="34"/>
      <c r="BZ2448" s="34"/>
      <c r="CA2448" s="34"/>
      <c r="CB2448" s="34"/>
      <c r="CC2448" s="34"/>
      <c r="CD2448" s="34"/>
      <c r="CE2448" s="34"/>
      <c r="CF2448" s="34"/>
      <c r="CG2448" s="34"/>
      <c r="CH2448" s="34"/>
    </row>
    <row r="2449" spans="1:86" x14ac:dyDescent="0.2">
      <c r="A2449" s="8" t="str">
        <f>IF(AND(COUNTIF(W$3:W$13,A$23)&gt;0,A$23&lt;&gt;B2324),A$23,IFERROR(IF(MATCH(A$23,Z$3:Z$13,0)=6,A$23," ")," "))</f>
        <v xml:space="preserve"> </v>
      </c>
      <c r="B2449" s="8" t="str">
        <f>IF(A2449=" "," ",MAX(B2441:B2448)+1)</f>
        <v xml:space="preserve"> </v>
      </c>
      <c r="C2449" s="8" t="str">
        <f>IFERROR(INDEX(A2441:A2462,MATCH(SMALL(B2441:B2462,9),B2441:B2462,0),1)," ")</f>
        <v>C19</v>
      </c>
      <c r="D2449" s="8">
        <f t="shared" si="10674"/>
        <v>0</v>
      </c>
      <c r="E2449" s="8">
        <f t="shared" si="10675"/>
        <v>0</v>
      </c>
      <c r="F2449" s="8">
        <f t="shared" si="10676"/>
        <v>0</v>
      </c>
      <c r="G2449" s="8">
        <f t="shared" si="10677"/>
        <v>0</v>
      </c>
      <c r="H2449" s="8">
        <f t="shared" si="10678"/>
        <v>0</v>
      </c>
      <c r="I2449" s="8">
        <f t="shared" si="10679"/>
        <v>0</v>
      </c>
      <c r="J2449" s="8">
        <f t="shared" si="10680"/>
        <v>0</v>
      </c>
      <c r="K2449" s="8">
        <f t="shared" si="10681"/>
        <v>1</v>
      </c>
      <c r="L2449" s="8">
        <f t="shared" si="10682"/>
        <v>0</v>
      </c>
      <c r="M2449" s="8">
        <f t="shared" si="10683"/>
        <v>0</v>
      </c>
      <c r="N2449" s="8">
        <f t="shared" si="10684"/>
        <v>0</v>
      </c>
      <c r="O2449" s="8">
        <f t="shared" si="10685"/>
        <v>0</v>
      </c>
      <c r="P2449" s="6" t="e">
        <v>#NUM!</v>
      </c>
      <c r="Q2449" s="8" t="e">
        <f t="shared" ref="Q2449" si="10715">IF(COUNTIF(P2441:P2451,"&lt;"&amp;-0.001)=0,IF(ABS(P2449)&lt;0.001,0,P2449)," ")</f>
        <v>#NUM!</v>
      </c>
      <c r="R2449" s="8"/>
      <c r="S2449" s="8"/>
      <c r="U2449" s="34"/>
      <c r="V2449" s="34"/>
      <c r="W2449" s="34"/>
      <c r="X2449" s="34"/>
      <c r="Y2449" s="34"/>
      <c r="Z2449" s="34"/>
      <c r="AA2449" s="34"/>
      <c r="AB2449" s="34"/>
      <c r="AC2449" s="34"/>
      <c r="AD2449" s="34"/>
      <c r="AE2449" s="34"/>
      <c r="AF2449" s="34"/>
      <c r="AG2449" s="34"/>
      <c r="AH2449" s="34"/>
      <c r="AI2449" s="34"/>
      <c r="AJ2449" s="34"/>
      <c r="AK2449" s="34"/>
      <c r="AL2449" s="34"/>
      <c r="AM2449" s="34"/>
      <c r="AN2449" s="34"/>
      <c r="AO2449" s="34"/>
      <c r="AP2449" s="34"/>
      <c r="AQ2449" s="34"/>
      <c r="AR2449" s="34"/>
      <c r="AS2449" s="34"/>
      <c r="AT2449" s="34"/>
      <c r="AU2449" s="34"/>
      <c r="AV2449" s="34"/>
      <c r="AW2449" s="34"/>
      <c r="AX2449" s="34"/>
      <c r="AY2449" s="34"/>
      <c r="AZ2449" s="34"/>
      <c r="BA2449" s="34"/>
      <c r="BB2449" s="34"/>
      <c r="BC2449" s="34"/>
      <c r="BD2449" s="34"/>
      <c r="BE2449" s="34"/>
      <c r="BF2449" s="34"/>
      <c r="BG2449" s="34"/>
      <c r="BH2449" s="34"/>
      <c r="BI2449" s="34"/>
      <c r="BJ2449" s="34"/>
      <c r="BK2449" s="34"/>
      <c r="BL2449" s="34"/>
      <c r="BM2449" s="34"/>
      <c r="BN2449" s="34"/>
      <c r="BO2449" s="34"/>
      <c r="BP2449" s="34"/>
      <c r="BQ2449" s="34"/>
      <c r="BR2449" s="34"/>
      <c r="BS2449" s="34"/>
      <c r="BT2449" s="34"/>
      <c r="BU2449" s="34"/>
      <c r="BV2449" s="34"/>
      <c r="BW2449" s="34"/>
      <c r="BX2449" s="34"/>
      <c r="BY2449" s="34"/>
      <c r="BZ2449" s="34"/>
      <c r="CA2449" s="34"/>
      <c r="CB2449" s="34"/>
      <c r="CC2449" s="34"/>
      <c r="CD2449" s="34"/>
      <c r="CE2449" s="34"/>
      <c r="CF2449" s="34"/>
      <c r="CG2449" s="34"/>
      <c r="CH2449" s="34"/>
    </row>
    <row r="2450" spans="1:86" x14ac:dyDescent="0.2">
      <c r="A2450" s="8" t="str">
        <f>IF(AND(COUNTIF(W$3:W$13,A$24)&gt;0,A$24&lt;&gt;B2324),A$24,IFERROR(IF(MATCH(A$24,Z$3:Z$13,0)=6,A$24," ")," "))</f>
        <v xml:space="preserve"> </v>
      </c>
      <c r="B2450" s="8" t="str">
        <f>IF(A2450=" "," ",MAX(B2441:B2449)+1)</f>
        <v xml:space="preserve"> </v>
      </c>
      <c r="C2450" s="8" t="str">
        <f>IFERROR(INDEX(A2441:A2462,MATCH(SMALL(B2441:B2462,10),B2441:B2462,0),1)," ")</f>
        <v>C20</v>
      </c>
      <c r="D2450" s="8">
        <f t="shared" si="10674"/>
        <v>0</v>
      </c>
      <c r="E2450" s="8">
        <f t="shared" si="10675"/>
        <v>0</v>
      </c>
      <c r="F2450" s="8">
        <f t="shared" si="10676"/>
        <v>0</v>
      </c>
      <c r="G2450" s="8">
        <f t="shared" si="10677"/>
        <v>0</v>
      </c>
      <c r="H2450" s="8">
        <f t="shared" si="10678"/>
        <v>0</v>
      </c>
      <c r="I2450" s="8">
        <f t="shared" si="10679"/>
        <v>0</v>
      </c>
      <c r="J2450" s="8">
        <f t="shared" si="10680"/>
        <v>0</v>
      </c>
      <c r="K2450" s="8">
        <f t="shared" si="10681"/>
        <v>0</v>
      </c>
      <c r="L2450" s="8">
        <f t="shared" si="10682"/>
        <v>1</v>
      </c>
      <c r="M2450" s="8">
        <f t="shared" si="10683"/>
        <v>0</v>
      </c>
      <c r="N2450" s="8">
        <f t="shared" si="10684"/>
        <v>0</v>
      </c>
      <c r="O2450" s="8">
        <f t="shared" si="10685"/>
        <v>0</v>
      </c>
      <c r="P2450" s="8" t="e">
        <v>#NUM!</v>
      </c>
      <c r="Q2450" s="8" t="e">
        <f t="shared" ref="Q2450" si="10716">IF(COUNTIF(P2441:P2451,"&lt;"&amp;-0.001)=0,IF(ABS(P2450)&lt;0.001,0,P2450)," ")</f>
        <v>#NUM!</v>
      </c>
      <c r="R2450" s="8"/>
      <c r="S2450" s="8"/>
      <c r="U2450" s="34"/>
      <c r="V2450" s="34"/>
      <c r="W2450" s="34"/>
      <c r="X2450" s="34"/>
      <c r="Y2450" s="34"/>
      <c r="Z2450" s="34"/>
      <c r="AA2450" s="34"/>
      <c r="AB2450" s="34"/>
      <c r="AC2450" s="34"/>
      <c r="AD2450" s="34"/>
      <c r="AE2450" s="34"/>
      <c r="AF2450" s="34"/>
      <c r="AG2450" s="34"/>
      <c r="AH2450" s="34"/>
      <c r="AI2450" s="34"/>
      <c r="AJ2450" s="34"/>
      <c r="AK2450" s="34"/>
      <c r="AL2450" s="34"/>
      <c r="AM2450" s="34"/>
      <c r="AN2450" s="34"/>
      <c r="AO2450" s="34"/>
      <c r="AP2450" s="34"/>
      <c r="AQ2450" s="34"/>
      <c r="AR2450" s="34"/>
      <c r="AS2450" s="34"/>
      <c r="AT2450" s="34"/>
      <c r="AU2450" s="34"/>
      <c r="AV2450" s="34"/>
      <c r="AW2450" s="34"/>
      <c r="AX2450" s="34"/>
      <c r="AY2450" s="34"/>
      <c r="AZ2450" s="34"/>
      <c r="BA2450" s="34"/>
      <c r="BB2450" s="34"/>
      <c r="BC2450" s="34"/>
      <c r="BD2450" s="34"/>
      <c r="BE2450" s="34"/>
      <c r="BF2450" s="34"/>
      <c r="BG2450" s="34"/>
      <c r="BH2450" s="34"/>
      <c r="BI2450" s="34"/>
      <c r="BJ2450" s="34"/>
      <c r="BK2450" s="34"/>
      <c r="BL2450" s="34"/>
      <c r="BM2450" s="34"/>
      <c r="BN2450" s="34"/>
      <c r="BO2450" s="34"/>
      <c r="BP2450" s="34"/>
      <c r="BQ2450" s="34"/>
      <c r="BR2450" s="34"/>
      <c r="BS2450" s="34"/>
      <c r="BT2450" s="34"/>
      <c r="BU2450" s="34"/>
      <c r="BV2450" s="34"/>
      <c r="BW2450" s="34"/>
      <c r="BX2450" s="34"/>
      <c r="BY2450" s="34"/>
      <c r="BZ2450" s="34"/>
      <c r="CA2450" s="34"/>
      <c r="CB2450" s="34"/>
      <c r="CC2450" s="34"/>
      <c r="CD2450" s="34"/>
      <c r="CE2450" s="34"/>
      <c r="CF2450" s="34"/>
      <c r="CG2450" s="34"/>
      <c r="CH2450" s="34"/>
    </row>
    <row r="2451" spans="1:86" x14ac:dyDescent="0.2">
      <c r="A2451" s="8" t="str">
        <f>IF(AND(COUNTIF(W$3:W$13,A$25)&gt;0,A$25&lt;&gt;B2324),A$25,IFERROR(IF(MATCH(A$25,Z$3:Z$13,0)=6,A$25," ")," "))</f>
        <v xml:space="preserve"> </v>
      </c>
      <c r="B2451" s="8" t="str">
        <f>IF(A2451=" "," ",MAX(B2441:B2450)+1)</f>
        <v xml:space="preserve"> </v>
      </c>
      <c r="C2451" s="8" t="str">
        <f>IFERROR(INDEX(A2441:A2462,MATCH(SMALL(B2441:B2462,11),B2441:B2462,0),1)," ")</f>
        <v>C22</v>
      </c>
      <c r="D2451" s="8">
        <f t="shared" si="10674"/>
        <v>0</v>
      </c>
      <c r="E2451" s="8">
        <f t="shared" si="10675"/>
        <v>0</v>
      </c>
      <c r="F2451" s="8">
        <f t="shared" si="10676"/>
        <v>0</v>
      </c>
      <c r="G2451" s="8">
        <f t="shared" si="10677"/>
        <v>0</v>
      </c>
      <c r="H2451" s="8">
        <f t="shared" si="10678"/>
        <v>0</v>
      </c>
      <c r="I2451" s="8">
        <f t="shared" si="10679"/>
        <v>0</v>
      </c>
      <c r="J2451" s="8">
        <f t="shared" si="10680"/>
        <v>0</v>
      </c>
      <c r="K2451" s="8">
        <f t="shared" si="10681"/>
        <v>0</v>
      </c>
      <c r="L2451" s="8">
        <f t="shared" si="10682"/>
        <v>0</v>
      </c>
      <c r="M2451" s="8">
        <f t="shared" si="10683"/>
        <v>0</v>
      </c>
      <c r="N2451" s="8">
        <f t="shared" si="10684"/>
        <v>1</v>
      </c>
      <c r="O2451" s="8">
        <f t="shared" si="10685"/>
        <v>0</v>
      </c>
      <c r="P2451" s="8" t="e">
        <v>#NUM!</v>
      </c>
      <c r="Q2451" s="8" t="e">
        <f t="shared" ref="Q2451" si="10717">IF(COUNTIF(P2441:P2451,"&lt;"&amp;-0.001)=0,IF(ABS(P2451)&lt;0.001,0,P2451)," ")</f>
        <v>#NUM!</v>
      </c>
      <c r="R2451" s="8"/>
      <c r="S2451" s="8"/>
      <c r="U2451" s="34"/>
      <c r="V2451" s="34"/>
      <c r="W2451" s="34"/>
      <c r="X2451" s="34"/>
      <c r="Y2451" s="34"/>
      <c r="Z2451" s="34"/>
      <c r="AA2451" s="34"/>
      <c r="AB2451" s="34"/>
      <c r="AC2451" s="34"/>
      <c r="AD2451" s="34"/>
      <c r="AE2451" s="34"/>
      <c r="AF2451" s="34"/>
      <c r="AG2451" s="34"/>
      <c r="AH2451" s="34"/>
      <c r="AI2451" s="34"/>
      <c r="AJ2451" s="34"/>
      <c r="AK2451" s="34"/>
      <c r="AL2451" s="34"/>
      <c r="AM2451" s="34"/>
      <c r="AN2451" s="34"/>
      <c r="AO2451" s="34"/>
      <c r="AP2451" s="34"/>
      <c r="AQ2451" s="34"/>
      <c r="AR2451" s="34"/>
      <c r="AS2451" s="34"/>
      <c r="AT2451" s="34"/>
      <c r="AU2451" s="34"/>
      <c r="AV2451" s="34"/>
      <c r="AW2451" s="34"/>
      <c r="AX2451" s="34"/>
      <c r="AY2451" s="34"/>
      <c r="AZ2451" s="34"/>
      <c r="BA2451" s="34"/>
      <c r="BB2451" s="34"/>
      <c r="BC2451" s="34"/>
      <c r="BD2451" s="34"/>
      <c r="BE2451" s="34"/>
      <c r="BF2451" s="34"/>
      <c r="BG2451" s="34"/>
      <c r="BH2451" s="34"/>
      <c r="BI2451" s="34"/>
      <c r="BJ2451" s="34"/>
      <c r="BK2451" s="34"/>
      <c r="BL2451" s="34"/>
      <c r="BM2451" s="34"/>
      <c r="BN2451" s="34"/>
      <c r="BO2451" s="34"/>
      <c r="BP2451" s="34"/>
      <c r="BQ2451" s="34"/>
      <c r="BR2451" s="34"/>
      <c r="BS2451" s="34"/>
      <c r="BT2451" s="34"/>
      <c r="BU2451" s="34"/>
      <c r="BV2451" s="34"/>
      <c r="BW2451" s="34"/>
      <c r="BX2451" s="34"/>
      <c r="BY2451" s="34"/>
      <c r="BZ2451" s="34"/>
      <c r="CA2451" s="34"/>
      <c r="CB2451" s="34"/>
      <c r="CC2451" s="34"/>
      <c r="CD2451" s="34"/>
      <c r="CE2451" s="34"/>
      <c r="CF2451" s="34"/>
      <c r="CG2451" s="34"/>
      <c r="CH2451" s="34"/>
    </row>
    <row r="2452" spans="1:86" x14ac:dyDescent="0.2">
      <c r="A2452" s="8" t="str">
        <f>IF(AND(COUNTIF(W$3:W$13,A$26)&gt;0,A$26&lt;&gt;B2324),A$26,IFERROR(IF(MATCH(A$26,Z$3:Z$13,0)=6,A$26," ")," "))</f>
        <v xml:space="preserve"> </v>
      </c>
      <c r="B2452" s="8" t="str">
        <f>IF(A2452=" "," ",MAX(B2441:B2451)+1)</f>
        <v xml:space="preserve"> </v>
      </c>
      <c r="C2452" s="8"/>
      <c r="D2452" s="8"/>
      <c r="E2452" s="8"/>
      <c r="F2452" s="8"/>
      <c r="G2452" s="8"/>
      <c r="H2452" s="8"/>
      <c r="I2452" s="8"/>
      <c r="J2452" s="8"/>
      <c r="K2452" s="8"/>
      <c r="L2452" s="8"/>
      <c r="M2452" s="8"/>
      <c r="N2452" s="8"/>
      <c r="O2452" s="8"/>
      <c r="P2452" s="8"/>
      <c r="Q2452" s="8"/>
      <c r="R2452" s="8"/>
      <c r="S2452" s="8"/>
      <c r="U2452" s="34"/>
      <c r="V2452" s="34"/>
      <c r="W2452" s="34"/>
      <c r="X2452" s="34"/>
      <c r="Y2452" s="34"/>
      <c r="Z2452" s="34"/>
      <c r="AA2452" s="34"/>
      <c r="AB2452" s="34"/>
      <c r="AC2452" s="34"/>
      <c r="AD2452" s="34"/>
      <c r="AE2452" s="34"/>
      <c r="AF2452" s="34"/>
      <c r="AG2452" s="34"/>
      <c r="AH2452" s="34"/>
      <c r="AI2452" s="34"/>
      <c r="AJ2452" s="34"/>
      <c r="AK2452" s="34"/>
      <c r="AL2452" s="34"/>
      <c r="AM2452" s="34"/>
      <c r="AN2452" s="34"/>
      <c r="AO2452" s="34"/>
      <c r="AP2452" s="34"/>
      <c r="AQ2452" s="34"/>
      <c r="AR2452" s="34"/>
      <c r="AS2452" s="34"/>
      <c r="AT2452" s="34"/>
      <c r="AU2452" s="34"/>
      <c r="AV2452" s="34"/>
      <c r="AW2452" s="34"/>
      <c r="AX2452" s="34"/>
      <c r="AY2452" s="34"/>
      <c r="AZ2452" s="34"/>
      <c r="BA2452" s="34"/>
      <c r="BB2452" s="34"/>
      <c r="BC2452" s="34"/>
      <c r="BD2452" s="34"/>
      <c r="BE2452" s="34"/>
      <c r="BF2452" s="34"/>
      <c r="BG2452" s="34"/>
      <c r="BH2452" s="34"/>
      <c r="BI2452" s="34"/>
      <c r="BJ2452" s="34"/>
      <c r="BK2452" s="34"/>
      <c r="BL2452" s="34"/>
      <c r="BM2452" s="34"/>
      <c r="BN2452" s="34"/>
      <c r="BO2452" s="34"/>
      <c r="BP2452" s="34"/>
      <c r="BQ2452" s="34"/>
      <c r="BR2452" s="34"/>
      <c r="BS2452" s="34"/>
      <c r="BT2452" s="34"/>
      <c r="BU2452" s="34"/>
      <c r="BV2452" s="34"/>
      <c r="BW2452" s="34"/>
      <c r="BX2452" s="34"/>
      <c r="BY2452" s="34"/>
      <c r="BZ2452" s="34"/>
      <c r="CA2452" s="34"/>
      <c r="CB2452" s="34"/>
      <c r="CC2452" s="34"/>
      <c r="CD2452" s="34"/>
      <c r="CE2452" s="34"/>
      <c r="CF2452" s="34"/>
      <c r="CG2452" s="34"/>
      <c r="CH2452" s="34"/>
    </row>
    <row r="2453" spans="1:86" x14ac:dyDescent="0.2">
      <c r="A2453" s="8" t="str">
        <f>IF(AND(COUNTIF(W$3:W$13,A$27)&gt;0,A$27&lt;&gt;B2324),A$27,IFERROR(IF(MATCH(A$27,Z$3:Z$13,0)=6,A$27," ")," "))</f>
        <v>C13</v>
      </c>
      <c r="B2453" s="8">
        <f>IF(A2453=" "," ",MAX(B2441:B2452)+1)</f>
        <v>4</v>
      </c>
      <c r="C2453" s="8"/>
      <c r="D2453" s="8"/>
      <c r="E2453" s="8"/>
      <c r="F2453" s="8"/>
      <c r="G2453" s="8"/>
      <c r="H2453" s="8"/>
      <c r="I2453" s="8"/>
      <c r="J2453" s="8"/>
      <c r="K2453" s="8"/>
      <c r="L2453" s="8"/>
      <c r="M2453" s="8"/>
      <c r="N2453" s="8"/>
      <c r="O2453" s="8"/>
      <c r="P2453" s="8"/>
      <c r="Q2453" s="8"/>
      <c r="R2453" s="8"/>
      <c r="S2453" s="8"/>
      <c r="U2453" s="34"/>
      <c r="V2453" s="34"/>
      <c r="W2453" s="34"/>
      <c r="X2453" s="34"/>
      <c r="Y2453" s="34"/>
      <c r="Z2453" s="34"/>
      <c r="AA2453" s="34"/>
      <c r="AB2453" s="34"/>
      <c r="AC2453" s="34"/>
      <c r="AD2453" s="34"/>
      <c r="AE2453" s="34"/>
      <c r="AF2453" s="34"/>
      <c r="AG2453" s="34"/>
      <c r="AH2453" s="34"/>
      <c r="AI2453" s="34"/>
      <c r="AJ2453" s="34"/>
      <c r="AK2453" s="34"/>
      <c r="AL2453" s="34"/>
      <c r="AM2453" s="34"/>
      <c r="AN2453" s="34"/>
      <c r="AO2453" s="34"/>
      <c r="AP2453" s="34"/>
      <c r="AQ2453" s="34"/>
      <c r="AR2453" s="34"/>
      <c r="AS2453" s="34"/>
      <c r="AT2453" s="34"/>
      <c r="AU2453" s="34"/>
      <c r="AV2453" s="34"/>
      <c r="AW2453" s="34"/>
      <c r="AX2453" s="34"/>
      <c r="AY2453" s="34"/>
      <c r="AZ2453" s="34"/>
      <c r="BA2453" s="34"/>
      <c r="BB2453" s="34"/>
      <c r="BC2453" s="34"/>
      <c r="BD2453" s="34"/>
      <c r="BE2453" s="34"/>
      <c r="BF2453" s="34"/>
      <c r="BG2453" s="34"/>
      <c r="BH2453" s="34"/>
      <c r="BI2453" s="34"/>
      <c r="BJ2453" s="34"/>
      <c r="BK2453" s="34"/>
      <c r="BL2453" s="34"/>
      <c r="BM2453" s="34"/>
      <c r="BN2453" s="34"/>
      <c r="BO2453" s="34"/>
      <c r="BP2453" s="34"/>
      <c r="BQ2453" s="34"/>
      <c r="BR2453" s="34"/>
      <c r="BS2453" s="34"/>
      <c r="BT2453" s="34"/>
      <c r="BU2453" s="34"/>
      <c r="BV2453" s="34"/>
      <c r="BW2453" s="34"/>
      <c r="BX2453" s="34"/>
      <c r="BY2453" s="34"/>
      <c r="BZ2453" s="34"/>
      <c r="CA2453" s="34"/>
      <c r="CB2453" s="34"/>
      <c r="CC2453" s="34"/>
      <c r="CD2453" s="34"/>
      <c r="CE2453" s="34"/>
      <c r="CF2453" s="34"/>
      <c r="CG2453" s="34"/>
      <c r="CH2453" s="34"/>
    </row>
    <row r="2454" spans="1:86" x14ac:dyDescent="0.2">
      <c r="A2454" s="8" t="str">
        <f>IF(AND(COUNTIF(W$3:W$13,A$28)&gt;0,A$28&lt;&gt;B2324),A$28,IFERROR(IF(MATCH(A$28,Z$3:Z$13,0)=6,A$28," ")," "))</f>
        <v xml:space="preserve"> </v>
      </c>
      <c r="B2454" s="8" t="str">
        <f>IF(A2454=" "," ",MAX(B2441:B2453)+1)</f>
        <v xml:space="preserve"> </v>
      </c>
      <c r="C2454" s="8"/>
      <c r="D2454" s="8"/>
      <c r="E2454" s="8"/>
      <c r="F2454" s="8"/>
      <c r="G2454" s="8"/>
      <c r="H2454" s="8"/>
      <c r="I2454" s="8"/>
      <c r="J2454" s="8"/>
      <c r="K2454" s="8"/>
      <c r="L2454" s="8"/>
      <c r="M2454" s="8"/>
      <c r="N2454" s="8"/>
      <c r="O2454" s="8"/>
      <c r="P2454" s="8"/>
      <c r="Q2454" s="8"/>
      <c r="R2454" s="8"/>
      <c r="S2454" s="8"/>
      <c r="U2454" s="34"/>
      <c r="V2454" s="34"/>
      <c r="W2454" s="34"/>
      <c r="X2454" s="34"/>
      <c r="Y2454" s="34"/>
      <c r="Z2454" s="34"/>
      <c r="AA2454" s="34"/>
      <c r="AB2454" s="34"/>
      <c r="AC2454" s="34"/>
      <c r="AD2454" s="34"/>
      <c r="AE2454" s="34"/>
      <c r="AF2454" s="34"/>
      <c r="AG2454" s="34"/>
      <c r="AH2454" s="34"/>
      <c r="AI2454" s="34"/>
      <c r="AJ2454" s="34"/>
      <c r="AK2454" s="34"/>
      <c r="AL2454" s="34"/>
      <c r="AM2454" s="34"/>
      <c r="AN2454" s="34"/>
      <c r="AO2454" s="34"/>
      <c r="AP2454" s="34"/>
      <c r="AQ2454" s="34"/>
      <c r="AR2454" s="34"/>
      <c r="AS2454" s="34"/>
      <c r="AT2454" s="34"/>
      <c r="AU2454" s="34"/>
      <c r="AV2454" s="34"/>
      <c r="AW2454" s="34"/>
      <c r="AX2454" s="34"/>
      <c r="AY2454" s="34"/>
      <c r="AZ2454" s="34"/>
      <c r="BA2454" s="34"/>
      <c r="BB2454" s="34"/>
      <c r="BC2454" s="34"/>
      <c r="BD2454" s="34"/>
      <c r="BE2454" s="34"/>
      <c r="BF2454" s="34"/>
      <c r="BG2454" s="34"/>
      <c r="BH2454" s="34"/>
      <c r="BI2454" s="34"/>
      <c r="BJ2454" s="34"/>
      <c r="BK2454" s="34"/>
      <c r="BL2454" s="34"/>
      <c r="BM2454" s="34"/>
      <c r="BN2454" s="34"/>
      <c r="BO2454" s="34"/>
      <c r="BP2454" s="34"/>
      <c r="BQ2454" s="34"/>
      <c r="BR2454" s="34"/>
      <c r="BS2454" s="34"/>
      <c r="BT2454" s="34"/>
      <c r="BU2454" s="34"/>
      <c r="BV2454" s="34"/>
      <c r="BW2454" s="34"/>
      <c r="BX2454" s="34"/>
      <c r="BY2454" s="34"/>
      <c r="BZ2454" s="34"/>
      <c r="CA2454" s="34"/>
      <c r="CB2454" s="34"/>
      <c r="CC2454" s="34"/>
      <c r="CD2454" s="34"/>
      <c r="CE2454" s="34"/>
      <c r="CF2454" s="34"/>
      <c r="CG2454" s="34"/>
      <c r="CH2454" s="34"/>
    </row>
    <row r="2455" spans="1:86" x14ac:dyDescent="0.2">
      <c r="A2455" s="8" t="str">
        <f>IF(AND(COUNTIF(W$3:W$13,A$29)&gt;0,A$29&lt;&gt;B2324),A$29,IFERROR(IF(MATCH(A$29,Z$3:Z$13,0)=6,A$29," ")," "))</f>
        <v>C15</v>
      </c>
      <c r="B2455" s="8">
        <f>IF(A2455=" "," ",MAX(B2441:B2454)+1)</f>
        <v>5</v>
      </c>
      <c r="C2455" s="8"/>
      <c r="D2455" s="8"/>
      <c r="E2455" s="8"/>
      <c r="F2455" s="8"/>
      <c r="G2455" s="8"/>
      <c r="H2455" s="8"/>
      <c r="I2455" s="8"/>
      <c r="J2455" s="8"/>
      <c r="K2455" s="8"/>
      <c r="L2455" s="8"/>
      <c r="M2455" s="8"/>
      <c r="N2455" s="8"/>
      <c r="O2455" s="8"/>
      <c r="P2455" s="8"/>
      <c r="Q2455" s="8"/>
      <c r="R2455" s="8"/>
      <c r="S2455" s="8"/>
      <c r="U2455" s="34"/>
      <c r="V2455" s="34"/>
      <c r="W2455" s="34"/>
      <c r="X2455" s="34"/>
      <c r="Y2455" s="34"/>
      <c r="Z2455" s="34"/>
      <c r="AA2455" s="34"/>
      <c r="AB2455" s="34"/>
      <c r="AC2455" s="34"/>
      <c r="AD2455" s="34"/>
      <c r="AE2455" s="34"/>
      <c r="AF2455" s="34"/>
      <c r="AG2455" s="34"/>
      <c r="AH2455" s="34"/>
      <c r="AI2455" s="34"/>
      <c r="AJ2455" s="34"/>
      <c r="AK2455" s="34"/>
      <c r="AL2455" s="34"/>
      <c r="AM2455" s="34"/>
      <c r="AN2455" s="34"/>
      <c r="AO2455" s="34"/>
      <c r="AP2455" s="34"/>
      <c r="AQ2455" s="34"/>
      <c r="AR2455" s="34"/>
      <c r="AS2455" s="34"/>
      <c r="AT2455" s="34"/>
      <c r="AU2455" s="34"/>
      <c r="AV2455" s="34"/>
      <c r="AW2455" s="34"/>
      <c r="AX2455" s="34"/>
      <c r="AY2455" s="34"/>
      <c r="AZ2455" s="34"/>
      <c r="BA2455" s="34"/>
      <c r="BB2455" s="34"/>
      <c r="BC2455" s="34"/>
      <c r="BD2455" s="34"/>
      <c r="BE2455" s="34"/>
      <c r="BF2455" s="34"/>
      <c r="BG2455" s="34"/>
      <c r="BH2455" s="34"/>
      <c r="BI2455" s="34"/>
      <c r="BJ2455" s="34"/>
      <c r="BK2455" s="34"/>
      <c r="BL2455" s="34"/>
      <c r="BM2455" s="34"/>
      <c r="BN2455" s="34"/>
      <c r="BO2455" s="34"/>
      <c r="BP2455" s="34"/>
      <c r="BQ2455" s="34"/>
      <c r="BR2455" s="34"/>
      <c r="BS2455" s="34"/>
      <c r="BT2455" s="34"/>
      <c r="BU2455" s="34"/>
      <c r="BV2455" s="34"/>
      <c r="BW2455" s="34"/>
      <c r="BX2455" s="34"/>
      <c r="BY2455" s="34"/>
      <c r="BZ2455" s="34"/>
      <c r="CA2455" s="34"/>
      <c r="CB2455" s="34"/>
      <c r="CC2455" s="34"/>
      <c r="CD2455" s="34"/>
      <c r="CE2455" s="34"/>
      <c r="CF2455" s="34"/>
      <c r="CG2455" s="34"/>
      <c r="CH2455" s="34"/>
    </row>
    <row r="2456" spans="1:86" x14ac:dyDescent="0.2">
      <c r="A2456" s="8" t="str">
        <f>IF(AND(COUNTIF(W$3:W$13,A$30)&gt;0,A$30&lt;&gt;B2324),A$30,IFERROR(IF(MATCH(A$30,Z$3:Z$13,0)=6,A$30," ")," "))</f>
        <v>C16</v>
      </c>
      <c r="B2456" s="8">
        <f>IF(A2456=" "," ",MAX(B2441:B2455)+1)</f>
        <v>6</v>
      </c>
      <c r="C2456" s="8"/>
      <c r="D2456" s="8"/>
      <c r="E2456" s="8"/>
      <c r="F2456" s="8"/>
      <c r="G2456" s="8"/>
      <c r="H2456" s="8"/>
      <c r="I2456" s="8"/>
      <c r="J2456" s="8"/>
      <c r="K2456" s="8"/>
      <c r="L2456" s="8"/>
      <c r="M2456" s="8"/>
      <c r="N2456" s="8"/>
      <c r="O2456" s="8"/>
      <c r="P2456" s="8"/>
      <c r="Q2456" s="8"/>
      <c r="R2456" s="8"/>
      <c r="S2456" s="8"/>
      <c r="U2456" s="34"/>
      <c r="V2456" s="34"/>
      <c r="W2456" s="34"/>
      <c r="X2456" s="34"/>
      <c r="Y2456" s="34"/>
      <c r="Z2456" s="34"/>
      <c r="AA2456" s="34"/>
      <c r="AB2456" s="34"/>
      <c r="AC2456" s="34"/>
      <c r="AD2456" s="34"/>
      <c r="AE2456" s="34"/>
      <c r="AF2456" s="34"/>
      <c r="AG2456" s="34"/>
      <c r="AH2456" s="34"/>
      <c r="AI2456" s="34"/>
      <c r="AJ2456" s="34"/>
      <c r="AK2456" s="34"/>
      <c r="AL2456" s="34"/>
      <c r="AM2456" s="34"/>
      <c r="AN2456" s="34"/>
      <c r="AO2456" s="34"/>
      <c r="AP2456" s="34"/>
      <c r="AQ2456" s="34"/>
      <c r="AR2456" s="34"/>
      <c r="AS2456" s="34"/>
      <c r="AT2456" s="34"/>
      <c r="AU2456" s="34"/>
      <c r="AV2456" s="34"/>
      <c r="AW2456" s="34"/>
      <c r="AX2456" s="34"/>
      <c r="AY2456" s="34"/>
      <c r="AZ2456" s="34"/>
      <c r="BA2456" s="34"/>
      <c r="BB2456" s="34"/>
      <c r="BC2456" s="34"/>
      <c r="BD2456" s="34"/>
      <c r="BE2456" s="34"/>
      <c r="BF2456" s="34"/>
      <c r="BG2456" s="34"/>
      <c r="BH2456" s="34"/>
      <c r="BI2456" s="34"/>
      <c r="BJ2456" s="34"/>
      <c r="BK2456" s="34"/>
      <c r="BL2456" s="34"/>
      <c r="BM2456" s="34"/>
      <c r="BN2456" s="34"/>
      <c r="BO2456" s="34"/>
      <c r="BP2456" s="34"/>
      <c r="BQ2456" s="34"/>
      <c r="BR2456" s="34"/>
      <c r="BS2456" s="34"/>
      <c r="BT2456" s="34"/>
      <c r="BU2456" s="34"/>
      <c r="BV2456" s="34"/>
      <c r="BW2456" s="34"/>
      <c r="BX2456" s="34"/>
      <c r="BY2456" s="34"/>
      <c r="BZ2456" s="34"/>
      <c r="CA2456" s="34"/>
      <c r="CB2456" s="34"/>
      <c r="CC2456" s="34"/>
      <c r="CD2456" s="34"/>
      <c r="CE2456" s="34"/>
      <c r="CF2456" s="34"/>
      <c r="CG2456" s="34"/>
      <c r="CH2456" s="34"/>
    </row>
    <row r="2457" spans="1:86" x14ac:dyDescent="0.2">
      <c r="A2457" s="8" t="str">
        <f>IF(AND(COUNTIF(W$3:W$13,A$31)&gt;0,A$31&lt;&gt;B2324),A$31,IFERROR(IF(MATCH(A$31,Z$3:Z$13,0)=6,A$31," ")," "))</f>
        <v>C17</v>
      </c>
      <c r="B2457" s="8">
        <f>IF(A2457=" "," ",MAX(B2441:B2456)+1)</f>
        <v>7</v>
      </c>
      <c r="C2457" s="8"/>
      <c r="D2457" s="8"/>
      <c r="E2457" s="8"/>
      <c r="F2457" s="8"/>
      <c r="G2457" s="8"/>
      <c r="H2457" s="8"/>
      <c r="I2457" s="8"/>
      <c r="J2457" s="8"/>
      <c r="K2457" s="8"/>
      <c r="L2457" s="8"/>
      <c r="M2457" s="8"/>
      <c r="N2457" s="8"/>
      <c r="O2457" s="8"/>
      <c r="P2457" s="8"/>
      <c r="Q2457" s="8"/>
      <c r="R2457" s="8"/>
      <c r="S2457" s="8"/>
      <c r="U2457" s="34"/>
      <c r="V2457" s="34"/>
      <c r="W2457" s="34"/>
      <c r="X2457" s="34"/>
      <c r="Y2457" s="34"/>
      <c r="Z2457" s="34"/>
      <c r="AA2457" s="34"/>
      <c r="AB2457" s="34"/>
      <c r="AC2457" s="34"/>
      <c r="AD2457" s="34"/>
      <c r="AE2457" s="34"/>
      <c r="AF2457" s="34"/>
      <c r="AG2457" s="34"/>
      <c r="AH2457" s="34"/>
      <c r="AI2457" s="34"/>
      <c r="AJ2457" s="34"/>
      <c r="AK2457" s="34"/>
      <c r="AL2457" s="34"/>
      <c r="AM2457" s="34"/>
      <c r="AN2457" s="34"/>
      <c r="AO2457" s="34"/>
      <c r="AP2457" s="34"/>
      <c r="AQ2457" s="34"/>
      <c r="AR2457" s="34"/>
      <c r="AS2457" s="34"/>
      <c r="AT2457" s="34"/>
      <c r="AU2457" s="34"/>
      <c r="AV2457" s="34"/>
      <c r="AW2457" s="34"/>
      <c r="AX2457" s="34"/>
      <c r="AY2457" s="34"/>
      <c r="AZ2457" s="34"/>
      <c r="BA2457" s="34"/>
      <c r="BB2457" s="34"/>
      <c r="BC2457" s="34"/>
      <c r="BD2457" s="34"/>
      <c r="BE2457" s="34"/>
      <c r="BF2457" s="34"/>
      <c r="BG2457" s="34"/>
      <c r="BH2457" s="34"/>
      <c r="BI2457" s="34"/>
      <c r="BJ2457" s="34"/>
      <c r="BK2457" s="34"/>
      <c r="BL2457" s="34"/>
      <c r="BM2457" s="34"/>
      <c r="BN2457" s="34"/>
      <c r="BO2457" s="34"/>
      <c r="BP2457" s="34"/>
      <c r="BQ2457" s="34"/>
      <c r="BR2457" s="34"/>
      <c r="BS2457" s="34"/>
      <c r="BT2457" s="34"/>
      <c r="BU2457" s="34"/>
      <c r="BV2457" s="34"/>
      <c r="BW2457" s="34"/>
      <c r="BX2457" s="34"/>
      <c r="BY2457" s="34"/>
      <c r="BZ2457" s="34"/>
      <c r="CA2457" s="34"/>
      <c r="CB2457" s="34"/>
      <c r="CC2457" s="34"/>
      <c r="CD2457" s="34"/>
      <c r="CE2457" s="34"/>
      <c r="CF2457" s="34"/>
      <c r="CG2457" s="34"/>
      <c r="CH2457" s="34"/>
    </row>
    <row r="2458" spans="1:86" x14ac:dyDescent="0.2">
      <c r="A2458" s="8" t="str">
        <f>IF(AND(COUNTIF(W$3:W$13,A$32)&gt;0,A$32&lt;&gt;B2324),A$32,IFERROR(IF(MATCH(A$32,Z$3:Z$13,0)=6,A$32," ")," "))</f>
        <v>C18</v>
      </c>
      <c r="B2458" s="8">
        <f>IF(A2458=" "," ",MAX(B2441:B2457)+1)</f>
        <v>8</v>
      </c>
      <c r="C2458" s="8"/>
      <c r="D2458" s="8"/>
      <c r="E2458" s="8"/>
      <c r="F2458" s="8"/>
      <c r="G2458" s="8"/>
      <c r="H2458" s="8"/>
      <c r="I2458" s="8"/>
      <c r="J2458" s="8"/>
      <c r="K2458" s="8"/>
      <c r="L2458" s="8"/>
      <c r="M2458" s="8"/>
      <c r="N2458" s="8"/>
      <c r="O2458" s="8"/>
      <c r="P2458" s="8"/>
      <c r="Q2458" s="8"/>
      <c r="R2458" s="8"/>
      <c r="S2458" s="8"/>
      <c r="U2458" s="34"/>
      <c r="V2458" s="34"/>
      <c r="W2458" s="34"/>
      <c r="X2458" s="34"/>
      <c r="Y2458" s="34"/>
      <c r="Z2458" s="34"/>
      <c r="AA2458" s="34"/>
      <c r="AB2458" s="34"/>
      <c r="AC2458" s="34"/>
      <c r="AD2458" s="34"/>
      <c r="AE2458" s="34"/>
      <c r="AF2458" s="34"/>
      <c r="AG2458" s="34"/>
      <c r="AH2458" s="34"/>
      <c r="AI2458" s="34"/>
      <c r="AJ2458" s="34"/>
      <c r="AK2458" s="34"/>
      <c r="AL2458" s="34"/>
      <c r="AM2458" s="34"/>
      <c r="AN2458" s="34"/>
      <c r="AO2458" s="34"/>
      <c r="AP2458" s="34"/>
      <c r="AQ2458" s="34"/>
      <c r="AR2458" s="34"/>
      <c r="AS2458" s="34"/>
      <c r="AT2458" s="34"/>
      <c r="AU2458" s="34"/>
      <c r="AV2458" s="34"/>
      <c r="AW2458" s="34"/>
      <c r="AX2458" s="34"/>
      <c r="AY2458" s="34"/>
      <c r="AZ2458" s="34"/>
      <c r="BA2458" s="34"/>
      <c r="BB2458" s="34"/>
      <c r="BC2458" s="34"/>
      <c r="BD2458" s="34"/>
      <c r="BE2458" s="34"/>
      <c r="BF2458" s="34"/>
      <c r="BG2458" s="34"/>
      <c r="BH2458" s="34"/>
      <c r="BI2458" s="34"/>
      <c r="BJ2458" s="34"/>
      <c r="BK2458" s="34"/>
      <c r="BL2458" s="34"/>
      <c r="BM2458" s="34"/>
      <c r="BN2458" s="34"/>
      <c r="BO2458" s="34"/>
      <c r="BP2458" s="34"/>
      <c r="BQ2458" s="34"/>
      <c r="BR2458" s="34"/>
      <c r="BS2458" s="34"/>
      <c r="BT2458" s="34"/>
      <c r="BU2458" s="34"/>
      <c r="BV2458" s="34"/>
      <c r="BW2458" s="34"/>
      <c r="BX2458" s="34"/>
      <c r="BY2458" s="34"/>
      <c r="BZ2458" s="34"/>
      <c r="CA2458" s="34"/>
      <c r="CB2458" s="34"/>
      <c r="CC2458" s="34"/>
      <c r="CD2458" s="34"/>
      <c r="CE2458" s="34"/>
      <c r="CF2458" s="34"/>
      <c r="CG2458" s="34"/>
      <c r="CH2458" s="34"/>
    </row>
    <row r="2459" spans="1:86" x14ac:dyDescent="0.2">
      <c r="A2459" s="8" t="str">
        <f>IF(AND(COUNTIF(W$3:W$13,A$33)&gt;0,A$33&lt;&gt;B2324),A$33,IFERROR(IF(MATCH(A$33,Z$3:Z$13,0)=6,A$33," ")," "))</f>
        <v>C19</v>
      </c>
      <c r="B2459" s="8">
        <f>IF(A2459=" "," ",MAX(B2441:B2458)+1)</f>
        <v>9</v>
      </c>
      <c r="C2459" s="8"/>
      <c r="D2459" s="8"/>
      <c r="E2459" s="8"/>
      <c r="F2459" s="8"/>
      <c r="G2459" s="8"/>
      <c r="H2459" s="8"/>
      <c r="I2459" s="8"/>
      <c r="J2459" s="8"/>
      <c r="K2459" s="8"/>
      <c r="L2459" s="8"/>
      <c r="M2459" s="8"/>
      <c r="N2459" s="8"/>
      <c r="O2459" s="8"/>
      <c r="P2459" s="8"/>
      <c r="Q2459" s="8"/>
      <c r="R2459" s="8"/>
      <c r="S2459" s="8"/>
      <c r="U2459" s="34"/>
      <c r="V2459" s="34"/>
      <c r="W2459" s="34"/>
      <c r="X2459" s="34"/>
      <c r="Y2459" s="34"/>
      <c r="Z2459" s="34"/>
      <c r="AA2459" s="34"/>
      <c r="AB2459" s="34"/>
      <c r="AC2459" s="34"/>
      <c r="AD2459" s="34"/>
      <c r="AE2459" s="34"/>
      <c r="AF2459" s="34"/>
      <c r="AG2459" s="34"/>
      <c r="AH2459" s="34"/>
      <c r="AI2459" s="34"/>
      <c r="AJ2459" s="34"/>
      <c r="AK2459" s="34"/>
      <c r="AL2459" s="34"/>
      <c r="AM2459" s="34"/>
      <c r="AN2459" s="34"/>
      <c r="AO2459" s="34"/>
      <c r="AP2459" s="34"/>
      <c r="AQ2459" s="34"/>
      <c r="AR2459" s="34"/>
      <c r="AS2459" s="34"/>
      <c r="AT2459" s="34"/>
      <c r="AU2459" s="34"/>
      <c r="AV2459" s="34"/>
      <c r="AW2459" s="34"/>
      <c r="AX2459" s="34"/>
      <c r="AY2459" s="34"/>
      <c r="AZ2459" s="34"/>
      <c r="BA2459" s="34"/>
      <c r="BB2459" s="34"/>
      <c r="BC2459" s="34"/>
      <c r="BD2459" s="34"/>
      <c r="BE2459" s="34"/>
      <c r="BF2459" s="34"/>
      <c r="BG2459" s="34"/>
      <c r="BH2459" s="34"/>
      <c r="BI2459" s="34"/>
      <c r="BJ2459" s="34"/>
      <c r="BK2459" s="34"/>
      <c r="BL2459" s="34"/>
      <c r="BM2459" s="34"/>
      <c r="BN2459" s="34"/>
      <c r="BO2459" s="34"/>
      <c r="BP2459" s="34"/>
      <c r="BQ2459" s="34"/>
      <c r="BR2459" s="34"/>
      <c r="BS2459" s="34"/>
      <c r="BT2459" s="34"/>
      <c r="BU2459" s="34"/>
      <c r="BV2459" s="34"/>
      <c r="BW2459" s="34"/>
      <c r="BX2459" s="34"/>
      <c r="BY2459" s="34"/>
      <c r="BZ2459" s="34"/>
      <c r="CA2459" s="34"/>
      <c r="CB2459" s="34"/>
      <c r="CC2459" s="34"/>
      <c r="CD2459" s="34"/>
      <c r="CE2459" s="34"/>
      <c r="CF2459" s="34"/>
      <c r="CG2459" s="34"/>
      <c r="CH2459" s="34"/>
    </row>
    <row r="2460" spans="1:86" x14ac:dyDescent="0.2">
      <c r="A2460" s="8" t="str">
        <f>IF(AND(COUNTIF(W$3:W$13,A$34)&gt;0,A$34&lt;&gt;B2324),A$34,IFERROR(IF(MATCH(A$34,Z$3:Z$13,0)=6,A$34," ")," "))</f>
        <v>C20</v>
      </c>
      <c r="B2460" s="8">
        <f>IF(A2460=" "," ",MAX(B2441:B2459)+1)</f>
        <v>10</v>
      </c>
      <c r="C2460" s="8"/>
      <c r="D2460" s="8"/>
      <c r="E2460" s="8"/>
      <c r="F2460" s="8"/>
      <c r="G2460" s="8"/>
      <c r="H2460" s="8"/>
      <c r="I2460" s="8"/>
      <c r="J2460" s="8"/>
      <c r="K2460" s="8"/>
      <c r="L2460" s="8"/>
      <c r="M2460" s="8"/>
      <c r="N2460" s="8"/>
      <c r="O2460" s="8"/>
      <c r="P2460" s="8"/>
      <c r="Q2460" s="8"/>
      <c r="R2460" s="8"/>
      <c r="S2460" s="8"/>
      <c r="U2460" s="34"/>
      <c r="V2460" s="34"/>
      <c r="W2460" s="34"/>
      <c r="X2460" s="34"/>
      <c r="Y2460" s="34"/>
      <c r="Z2460" s="34"/>
      <c r="AA2460" s="34"/>
      <c r="AB2460" s="34"/>
      <c r="AC2460" s="34"/>
      <c r="AD2460" s="34"/>
      <c r="AE2460" s="34"/>
      <c r="AF2460" s="34"/>
      <c r="AG2460" s="34"/>
      <c r="AH2460" s="34"/>
      <c r="AI2460" s="34"/>
      <c r="AJ2460" s="34"/>
      <c r="AK2460" s="34"/>
      <c r="AL2460" s="34"/>
      <c r="AM2460" s="34"/>
      <c r="AN2460" s="34"/>
      <c r="AO2460" s="34"/>
      <c r="AP2460" s="34"/>
      <c r="AQ2460" s="34"/>
      <c r="AR2460" s="34"/>
      <c r="AS2460" s="34"/>
      <c r="AT2460" s="34"/>
      <c r="AU2460" s="34"/>
      <c r="AV2460" s="34"/>
      <c r="AW2460" s="34"/>
      <c r="AX2460" s="34"/>
      <c r="AY2460" s="34"/>
      <c r="AZ2460" s="34"/>
      <c r="BA2460" s="34"/>
      <c r="BB2460" s="34"/>
      <c r="BC2460" s="34"/>
      <c r="BD2460" s="34"/>
      <c r="BE2460" s="34"/>
      <c r="BF2460" s="34"/>
      <c r="BG2460" s="34"/>
      <c r="BH2460" s="34"/>
      <c r="BI2460" s="34"/>
      <c r="BJ2460" s="34"/>
      <c r="BK2460" s="34"/>
      <c r="BL2460" s="34"/>
      <c r="BM2460" s="34"/>
      <c r="BN2460" s="34"/>
      <c r="BO2460" s="34"/>
      <c r="BP2460" s="34"/>
      <c r="BQ2460" s="34"/>
      <c r="BR2460" s="34"/>
      <c r="BS2460" s="34"/>
      <c r="BT2460" s="34"/>
      <c r="BU2460" s="34"/>
      <c r="BV2460" s="34"/>
      <c r="BW2460" s="34"/>
      <c r="BX2460" s="34"/>
      <c r="BY2460" s="34"/>
      <c r="BZ2460" s="34"/>
      <c r="CA2460" s="34"/>
      <c r="CB2460" s="34"/>
      <c r="CC2460" s="34"/>
      <c r="CD2460" s="34"/>
      <c r="CE2460" s="34"/>
      <c r="CF2460" s="34"/>
      <c r="CG2460" s="34"/>
      <c r="CH2460" s="34"/>
    </row>
    <row r="2461" spans="1:86" x14ac:dyDescent="0.2">
      <c r="A2461" s="8" t="str">
        <f>IF(AND(COUNTIF(W$3:W$13,A$35)&gt;0,A$35&lt;&gt;B2324),A$35,IFERROR(IF(MATCH(A$35,Z$3:Z$13,0)=6,A$35," ")," "))</f>
        <v xml:space="preserve"> </v>
      </c>
      <c r="B2461" s="8" t="str">
        <f>IF(A2461=" "," ",MAX(B2441:B2460)+1)</f>
        <v xml:space="preserve"> </v>
      </c>
      <c r="C2461" s="8"/>
      <c r="D2461" s="8"/>
      <c r="E2461" s="8"/>
      <c r="F2461" s="8"/>
      <c r="G2461" s="8"/>
      <c r="H2461" s="8"/>
      <c r="I2461" s="8"/>
      <c r="J2461" s="8"/>
      <c r="K2461" s="8"/>
      <c r="L2461" s="8"/>
      <c r="M2461" s="8"/>
      <c r="N2461" s="8"/>
      <c r="O2461" s="8"/>
      <c r="P2461" s="8"/>
      <c r="Q2461" s="8"/>
      <c r="R2461" s="8"/>
      <c r="S2461" s="8"/>
      <c r="U2461" s="34"/>
      <c r="V2461" s="34"/>
      <c r="W2461" s="34"/>
      <c r="X2461" s="34"/>
      <c r="Y2461" s="34"/>
      <c r="Z2461" s="34"/>
      <c r="AA2461" s="34"/>
      <c r="AB2461" s="34"/>
      <c r="AC2461" s="34"/>
      <c r="AD2461" s="34"/>
      <c r="AE2461" s="34"/>
      <c r="AF2461" s="34"/>
      <c r="AG2461" s="34"/>
      <c r="AH2461" s="34"/>
      <c r="AI2461" s="34"/>
      <c r="AJ2461" s="34"/>
      <c r="AK2461" s="34"/>
      <c r="AL2461" s="34"/>
      <c r="AM2461" s="34"/>
      <c r="AN2461" s="34"/>
      <c r="AO2461" s="34"/>
      <c r="AP2461" s="34"/>
      <c r="AQ2461" s="34"/>
      <c r="AR2461" s="34"/>
      <c r="AS2461" s="34"/>
      <c r="AT2461" s="34"/>
      <c r="AU2461" s="34"/>
      <c r="AV2461" s="34"/>
      <c r="AW2461" s="34"/>
      <c r="AX2461" s="34"/>
      <c r="AY2461" s="34"/>
      <c r="AZ2461" s="34"/>
      <c r="BA2461" s="34"/>
      <c r="BB2461" s="34"/>
      <c r="BC2461" s="34"/>
      <c r="BD2461" s="34"/>
      <c r="BE2461" s="34"/>
      <c r="BF2461" s="34"/>
      <c r="BG2461" s="34"/>
      <c r="BH2461" s="34"/>
      <c r="BI2461" s="34"/>
      <c r="BJ2461" s="34"/>
      <c r="BK2461" s="34"/>
      <c r="BL2461" s="34"/>
      <c r="BM2461" s="34"/>
      <c r="BN2461" s="34"/>
      <c r="BO2461" s="34"/>
      <c r="BP2461" s="34"/>
      <c r="BQ2461" s="34"/>
      <c r="BR2461" s="34"/>
      <c r="BS2461" s="34"/>
      <c r="BT2461" s="34"/>
      <c r="BU2461" s="34"/>
      <c r="BV2461" s="34"/>
      <c r="BW2461" s="34"/>
      <c r="BX2461" s="34"/>
      <c r="BY2461" s="34"/>
      <c r="BZ2461" s="34"/>
      <c r="CA2461" s="34"/>
      <c r="CB2461" s="34"/>
      <c r="CC2461" s="34"/>
      <c r="CD2461" s="34"/>
      <c r="CE2461" s="34"/>
      <c r="CF2461" s="34"/>
      <c r="CG2461" s="34"/>
      <c r="CH2461" s="34"/>
    </row>
    <row r="2462" spans="1:86" x14ac:dyDescent="0.2">
      <c r="A2462" s="8" t="str">
        <f>IF(AND(COUNTIF(W$3:W$13,A$36)&gt;0,A$36&lt;&gt;B2324),A$36,IFERROR(IF(MATCH(A$36,Z$3:Z$13,0)=6,A$36," ")," "))</f>
        <v>C22</v>
      </c>
      <c r="B2462" s="8">
        <f>IF(A2462=" "," ",MAX(B2441:B2461)+1)</f>
        <v>11</v>
      </c>
      <c r="C2462" s="8"/>
      <c r="D2462" s="8"/>
      <c r="E2462" s="8"/>
      <c r="F2462" s="8"/>
      <c r="G2462" s="8"/>
      <c r="H2462" s="8"/>
      <c r="I2462" s="8"/>
      <c r="J2462" s="8"/>
      <c r="K2462" s="8"/>
      <c r="L2462" s="8"/>
      <c r="M2462" s="8"/>
      <c r="N2462" s="8"/>
      <c r="O2462" s="8"/>
      <c r="P2462" s="8"/>
      <c r="Q2462" s="8"/>
      <c r="R2462" s="8"/>
      <c r="S2462" s="8"/>
      <c r="U2462" s="34"/>
      <c r="V2462" s="34"/>
      <c r="W2462" s="34"/>
      <c r="X2462" s="34"/>
      <c r="Y2462" s="34"/>
      <c r="Z2462" s="34"/>
      <c r="AA2462" s="34"/>
      <c r="AB2462" s="34"/>
      <c r="AC2462" s="34"/>
      <c r="AD2462" s="34"/>
      <c r="AE2462" s="34"/>
      <c r="AF2462" s="34"/>
      <c r="AG2462" s="34"/>
      <c r="AH2462" s="34"/>
      <c r="AI2462" s="34"/>
      <c r="AJ2462" s="34"/>
      <c r="AK2462" s="34"/>
      <c r="AL2462" s="34"/>
      <c r="AM2462" s="34"/>
      <c r="AN2462" s="34"/>
      <c r="AO2462" s="34"/>
      <c r="AP2462" s="34"/>
      <c r="AQ2462" s="34"/>
      <c r="AR2462" s="34"/>
      <c r="AS2462" s="34"/>
      <c r="AT2462" s="34"/>
      <c r="AU2462" s="34"/>
      <c r="AV2462" s="34"/>
      <c r="AW2462" s="34"/>
      <c r="AX2462" s="34"/>
      <c r="AY2462" s="34"/>
      <c r="AZ2462" s="34"/>
      <c r="BA2462" s="34"/>
      <c r="BB2462" s="34"/>
      <c r="BC2462" s="34"/>
      <c r="BD2462" s="34"/>
      <c r="BE2462" s="34"/>
      <c r="BF2462" s="34"/>
      <c r="BG2462" s="34"/>
      <c r="BH2462" s="34"/>
      <c r="BI2462" s="34"/>
      <c r="BJ2462" s="34"/>
      <c r="BK2462" s="34"/>
      <c r="BL2462" s="34"/>
      <c r="BM2462" s="34"/>
      <c r="BN2462" s="34"/>
      <c r="BO2462" s="34"/>
      <c r="BP2462" s="34"/>
      <c r="BQ2462" s="34"/>
      <c r="BR2462" s="34"/>
      <c r="BS2462" s="34"/>
      <c r="BT2462" s="34"/>
      <c r="BU2462" s="34"/>
      <c r="BV2462" s="34"/>
      <c r="BW2462" s="34"/>
      <c r="BX2462" s="34"/>
      <c r="BY2462" s="34"/>
      <c r="BZ2462" s="34"/>
      <c r="CA2462" s="34"/>
      <c r="CB2462" s="34"/>
      <c r="CC2462" s="34"/>
      <c r="CD2462" s="34"/>
      <c r="CE2462" s="34"/>
      <c r="CF2462" s="34"/>
      <c r="CG2462" s="34"/>
      <c r="CH2462" s="34"/>
    </row>
    <row r="2463" spans="1:86" x14ac:dyDescent="0.2">
      <c r="A2463" s="11" t="s">
        <v>17</v>
      </c>
      <c r="B2463" s="11"/>
      <c r="C2463" s="27" t="s">
        <v>18</v>
      </c>
      <c r="D2463" s="27" t="s">
        <v>2</v>
      </c>
      <c r="E2463" s="27" t="s">
        <v>6</v>
      </c>
      <c r="F2463" s="27" t="s">
        <v>15</v>
      </c>
      <c r="G2463" s="27" t="s">
        <v>36</v>
      </c>
      <c r="H2463" s="27" t="s">
        <v>37</v>
      </c>
      <c r="I2463" s="27" t="s">
        <v>38</v>
      </c>
      <c r="J2463" s="27" t="s">
        <v>39</v>
      </c>
      <c r="K2463" s="27" t="s">
        <v>40</v>
      </c>
      <c r="L2463" s="27" t="s">
        <v>41</v>
      </c>
      <c r="M2463" s="27" t="s">
        <v>42</v>
      </c>
      <c r="N2463" s="27" t="s">
        <v>43</v>
      </c>
      <c r="O2463" s="27" t="s">
        <v>9</v>
      </c>
      <c r="P2463" s="27" t="s">
        <v>12</v>
      </c>
      <c r="Q2463" s="27" t="s">
        <v>19</v>
      </c>
      <c r="R2463" s="27" t="s">
        <v>55</v>
      </c>
      <c r="S2463" s="27" t="s">
        <v>26</v>
      </c>
      <c r="T2463" s="19" t="s">
        <v>25</v>
      </c>
      <c r="U2463" s="33" t="s">
        <v>27</v>
      </c>
      <c r="V2463" s="33" t="s">
        <v>9</v>
      </c>
      <c r="W2463" s="33" t="s">
        <v>23</v>
      </c>
      <c r="X2463" s="33" t="s">
        <v>12</v>
      </c>
      <c r="Y2463" s="33" t="s">
        <v>26</v>
      </c>
      <c r="Z2463" s="33" t="s">
        <v>25</v>
      </c>
      <c r="AA2463" s="33" t="s">
        <v>27</v>
      </c>
      <c r="AB2463" s="33" t="s">
        <v>9</v>
      </c>
      <c r="AC2463" s="33" t="s">
        <v>23</v>
      </c>
      <c r="AD2463" s="33" t="s">
        <v>12</v>
      </c>
      <c r="AE2463" s="33" t="s">
        <v>26</v>
      </c>
      <c r="AF2463" s="33" t="s">
        <v>25</v>
      </c>
      <c r="AG2463" s="33" t="s">
        <v>27</v>
      </c>
      <c r="AH2463" s="33" t="s">
        <v>9</v>
      </c>
      <c r="AI2463" s="33" t="s">
        <v>23</v>
      </c>
      <c r="AJ2463" s="33" t="s">
        <v>12</v>
      </c>
      <c r="AK2463" s="33" t="s">
        <v>26</v>
      </c>
      <c r="AL2463" s="33" t="s">
        <v>25</v>
      </c>
      <c r="AM2463" s="33" t="s">
        <v>27</v>
      </c>
      <c r="AN2463" s="33" t="s">
        <v>9</v>
      </c>
      <c r="AO2463" s="33" t="s">
        <v>23</v>
      </c>
      <c r="AP2463" s="33" t="s">
        <v>12</v>
      </c>
      <c r="AQ2463" s="33" t="s">
        <v>26</v>
      </c>
      <c r="AR2463" s="33" t="s">
        <v>25</v>
      </c>
      <c r="AS2463" s="33" t="s">
        <v>27</v>
      </c>
      <c r="AT2463" s="33" t="s">
        <v>9</v>
      </c>
      <c r="AU2463" s="33" t="s">
        <v>23</v>
      </c>
      <c r="AV2463" s="33" t="s">
        <v>12</v>
      </c>
      <c r="AW2463" s="33" t="s">
        <v>26</v>
      </c>
      <c r="AX2463" s="33" t="s">
        <v>25</v>
      </c>
      <c r="AY2463" s="33" t="s">
        <v>27</v>
      </c>
      <c r="AZ2463" s="33" t="s">
        <v>9</v>
      </c>
      <c r="BA2463" s="33" t="s">
        <v>23</v>
      </c>
      <c r="BB2463" s="33" t="s">
        <v>12</v>
      </c>
      <c r="BC2463" s="33" t="s">
        <v>26</v>
      </c>
      <c r="BD2463" s="33" t="s">
        <v>25</v>
      </c>
      <c r="BE2463" s="33" t="s">
        <v>27</v>
      </c>
      <c r="BF2463" s="33" t="s">
        <v>9</v>
      </c>
      <c r="BG2463" s="33" t="s">
        <v>23</v>
      </c>
      <c r="BH2463" s="33" t="s">
        <v>12</v>
      </c>
      <c r="BI2463" s="33" t="s">
        <v>26</v>
      </c>
      <c r="BJ2463" s="33" t="s">
        <v>25</v>
      </c>
      <c r="BK2463" s="33" t="s">
        <v>27</v>
      </c>
      <c r="BL2463" s="33" t="s">
        <v>9</v>
      </c>
      <c r="BM2463" s="33" t="s">
        <v>23</v>
      </c>
      <c r="BN2463" s="33" t="s">
        <v>12</v>
      </c>
      <c r="BO2463" s="33" t="s">
        <v>26</v>
      </c>
      <c r="BP2463" s="33" t="s">
        <v>25</v>
      </c>
      <c r="BQ2463" s="33" t="s">
        <v>27</v>
      </c>
      <c r="BR2463" s="33" t="s">
        <v>9</v>
      </c>
      <c r="BS2463" s="33" t="s">
        <v>23</v>
      </c>
      <c r="BT2463" s="33" t="s">
        <v>12</v>
      </c>
      <c r="BU2463" s="33" t="s">
        <v>26</v>
      </c>
      <c r="BV2463" s="33" t="s">
        <v>25</v>
      </c>
      <c r="BW2463" s="33" t="s">
        <v>27</v>
      </c>
      <c r="BX2463" s="33" t="s">
        <v>9</v>
      </c>
      <c r="BY2463" s="33" t="s">
        <v>23</v>
      </c>
      <c r="BZ2463" s="33" t="s">
        <v>12</v>
      </c>
      <c r="CA2463" s="33" t="s">
        <v>26</v>
      </c>
      <c r="CB2463" s="33" t="s">
        <v>25</v>
      </c>
      <c r="CC2463" s="33" t="s">
        <v>27</v>
      </c>
      <c r="CD2463" s="33" t="s">
        <v>9</v>
      </c>
      <c r="CE2463" s="33" t="s">
        <v>23</v>
      </c>
      <c r="CF2463" s="33" t="s">
        <v>12</v>
      </c>
      <c r="CG2463" s="33" t="s">
        <v>26</v>
      </c>
      <c r="CH2463" s="33" t="s">
        <v>25</v>
      </c>
    </row>
    <row r="2464" spans="1:86" x14ac:dyDescent="0.2">
      <c r="A2464" s="8" t="str">
        <f>IF(AND(COUNTIF(W$3:W$13,A$15)&gt;0,A$15&lt;&gt;B2324),A$15,IFERROR(IF(MATCH(A$15,Z$3:Z$13,0)=7,A$15," ")," "))</f>
        <v xml:space="preserve"> </v>
      </c>
      <c r="B2464" s="8" t="str">
        <f>IF(A2464=" "," ",1)</f>
        <v xml:space="preserve"> </v>
      </c>
      <c r="C2464" s="8" t="str">
        <f>IFERROR(INDEX(A2464:A2485,MATCH(SMALL(B2464:B2485,1),B2464:B2485,0),1)," ")</f>
        <v>C3</v>
      </c>
      <c r="D2464" s="8">
        <f>IFERROR(VLOOKUP($C2464,$A$15:$O$36,2,FALSE)," ")</f>
        <v>2</v>
      </c>
      <c r="E2464" s="8">
        <f>IFERROR(VLOOKUP($C2464,$A$15:$O$36,3,FALSE)," ")</f>
        <v>5</v>
      </c>
      <c r="F2464" s="8">
        <f>IFERROR(VLOOKUP($C2464,$A$15:$O$36,4,FALSE)," ")</f>
        <v>6</v>
      </c>
      <c r="G2464" s="8">
        <f>IFERROR(VLOOKUP($C2464,$A$15:$O$36,5,FALSE)," ")</f>
        <v>0</v>
      </c>
      <c r="H2464" s="8">
        <f>IFERROR(VLOOKUP($C2464,$A$15:$O$36,6,FALSE)," ")</f>
        <v>0</v>
      </c>
      <c r="I2464" s="8">
        <f>IFERROR(VLOOKUP($C2464,$A$15:$O$36,7,FALSE)," ")</f>
        <v>0</v>
      </c>
      <c r="J2464" s="8">
        <f>IFERROR(VLOOKUP($C2464,$A$15:$O$36,8,FALSE)," ")</f>
        <v>0</v>
      </c>
      <c r="K2464" s="8">
        <f>IFERROR(VLOOKUP($C2464,$A$15:$O$36,9,FALSE)," ")</f>
        <v>0</v>
      </c>
      <c r="L2464" s="8">
        <f>IFERROR(VLOOKUP($C2464,$A$15:$O$36,10,FALSE)," ")</f>
        <v>0</v>
      </c>
      <c r="M2464" s="8">
        <f>IFERROR(VLOOKUP($C2464,$A$15:$O$36,11,FALSE)," ")</f>
        <v>0</v>
      </c>
      <c r="N2464" s="8">
        <f>IFERROR(VLOOKUP($C2464,$A$15:$O$36,12,FALSE)," ")</f>
        <v>0</v>
      </c>
      <c r="O2464" s="8">
        <f>IFERROR(VLOOKUP($C2464,$A$15:$O$36,15,FALSE)," ")</f>
        <v>2000</v>
      </c>
      <c r="P2464" s="8" t="e">
        <f t="array" ref="P2464:P2474">MMULT(MINVERSE(D2464:N2474),O2464:O2474)</f>
        <v>#NUM!</v>
      </c>
      <c r="Q2464" s="8" t="e">
        <f t="shared" ref="Q2464" si="10718">IF(COUNTIF(P2464:P2474,"&lt;"&amp;-0.001)=0,IF(ABS(P2464)&lt;0.001,0,P2464)," ")</f>
        <v>#NUM!</v>
      </c>
      <c r="R2464" s="8" t="str">
        <f>IFERROR(VLOOKUP(B2324,A$15:L$36,2,FALSE)*Q2464+VLOOKUP(B2324,A$15:L$36,3,FALSE)*Q2465+VLOOKUP(B2324,A$15:L$36,4,FALSE)*Q2466+VLOOKUP(B2324,A$15:L$36,5,FALSE)*Q2467+VLOOKUP(B2324,A$15:L$36,6,FALSE)*Q2468+VLOOKUP(B2324,A$15:L$36,7,FALSE)*Q2469+VLOOKUP(B2324,A$15:L$36,8,FALSE)*Q2470+VLOOKUP(B2324,A$15:L$36,9,FALSE)*Q2471+VLOOKUP(B2324,A$15:L$36,10,FALSE)*Q2472+VLOOKUP(B2324,A$15:L$36,11,FALSE)*Q2473+VLOOKUP(B2324,A$15:L$36,12,FALSE)*Q2474," ")</f>
        <v xml:space="preserve"> </v>
      </c>
      <c r="S2464" s="8" t="str">
        <f>IFERROR(IF(R2464-VLOOKUP(B2324,A$15:O$36,15,FALSE)&lt;0,R2464-VLOOKUP(B2324,A$15:O$36,15,FALSE)," ")," ")</f>
        <v xml:space="preserve"> </v>
      </c>
      <c r="T2464" s="18" t="str">
        <f>IFERROR(IF(R2464-VLOOKUP(B2324,A$15:O$36,15,FALSE)&gt;0,R2464-VLOOKUP(B2324,A$15:O$36,15,FALSE)," ")," ")</f>
        <v xml:space="preserve"> </v>
      </c>
      <c r="U2464" s="34">
        <f t="shared" ref="U2464" si="10719">$M$2</f>
        <v>100.00000000000001</v>
      </c>
      <c r="V2464" s="34">
        <v>-1</v>
      </c>
      <c r="W2464" s="34">
        <f t="shared" ref="W2464" si="10720">-SUMPRODUCT($M$3:$M$12,$N$3:$N$12)</f>
        <v>-105000</v>
      </c>
      <c r="X2464" s="34" t="e">
        <f t="shared" ref="X2464" si="10721">IF(U2464&lt;&gt;U2465,MMULT(MINVERSE(U2464:V2465),W2464:W2465)," ")</f>
        <v>#NUM!</v>
      </c>
      <c r="Y2464" s="34" t="str">
        <f t="shared" ref="Y2464" si="10722">IFERROR(IF(X2464-VLOOKUP(U$38,$A$2:$N$12,14,FALSE)&lt;0,X2464-VLOOKUP(U$38,$A$2:$N$12,14,FALSE)," ")," ")</f>
        <v xml:space="preserve"> </v>
      </c>
      <c r="Z2464" s="34" t="str">
        <f t="shared" ref="Z2464" si="10723">IFERROR(IF(X2464-VLOOKUP(U$38,$A$2:$N$12,14,FALSE)&gt;0,X2464-VLOOKUP(U$38,$A$2:$N$12,14,FALSE)," ")," ")</f>
        <v xml:space="preserve"> </v>
      </c>
      <c r="AA2464" s="34">
        <f t="shared" ref="AA2464" si="10724">$M$3</f>
        <v>0</v>
      </c>
      <c r="AB2464" s="34">
        <v>-1</v>
      </c>
      <c r="AC2464" s="34">
        <f t="shared" ref="AC2464" si="10725">-SUMPRODUCT($M$2:$M$2,$N$2:$N$2)-SUMPRODUCT($M$4:$M$12,$N$4:$N$12)</f>
        <v>-120000</v>
      </c>
      <c r="AD2464" s="34" t="e">
        <f t="shared" ref="AD2464" si="10726">IF(AA2464&lt;&gt;AA2465,MMULT(MINVERSE(AA2464:AB2465),AC2464:AC2465)," ")</f>
        <v>#NUM!</v>
      </c>
      <c r="AE2464" s="34" t="str">
        <f t="shared" ref="AE2464" si="10727">IFERROR(IF(AD2464-VLOOKUP(AA$38,$A$2:$N$12,14,FALSE)&lt;0,AD2464-VLOOKUP(AA$38,$A$2:$N$12,14,FALSE)," ")," ")</f>
        <v xml:space="preserve"> </v>
      </c>
      <c r="AF2464" s="34" t="str">
        <f t="shared" ref="AF2464" si="10728">IFERROR(IF(AD2464-VLOOKUP(AA$38,$A$2:$N$12,14,FALSE)&gt;0,AD2464-VLOOKUP(AA$38,$A$2:$N$12,14,FALSE)," ")," ")</f>
        <v xml:space="preserve"> </v>
      </c>
      <c r="AG2464" s="34">
        <f t="shared" ref="AG2464" si="10729">$M$4</f>
        <v>300</v>
      </c>
      <c r="AH2464" s="34">
        <v>-1</v>
      </c>
      <c r="AI2464" s="34">
        <f t="shared" ref="AI2464" si="10730">-SUMPRODUCT($M$2:$M$3,$N$2:$N$3)-SUMPRODUCT($M$5:$M$12,$N$5:$N$12)</f>
        <v>-15000.000000000002</v>
      </c>
      <c r="AJ2464" s="34" t="e">
        <f t="shared" ref="AJ2464" si="10731">IF(AG2464&lt;&gt;AG2465,MMULT(MINVERSE(AG2464:AH2465),AI2464:AI2465)," ")</f>
        <v>#NUM!</v>
      </c>
      <c r="AK2464" s="34" t="str">
        <f t="shared" ref="AK2464" si="10732">IFERROR(IF(AJ2464-VLOOKUP(AG$38,$A$2:$N$12,14,FALSE)&lt;0,AJ2464-VLOOKUP(AG$38,$A$2:$N$12,14,FALSE)," ")," ")</f>
        <v xml:space="preserve"> </v>
      </c>
      <c r="AL2464" s="34" t="str">
        <f t="shared" ref="AL2464" si="10733">IFERROR(IF(AJ2464-VLOOKUP(AG$38,$A$2:$N$12,14,FALSE)&gt;0,AJ2464-VLOOKUP(AG$38,$A$2:$N$12,14,FALSE)," ")," ")</f>
        <v xml:space="preserve"> </v>
      </c>
      <c r="AM2464" s="34">
        <f t="shared" ref="AM2464" si="10734">$M$5</f>
        <v>0</v>
      </c>
      <c r="AN2464" s="34">
        <v>-1</v>
      </c>
      <c r="AO2464" s="34">
        <f t="shared" ref="AO2464" si="10735">-SUMPRODUCT($M$2:$M$4,$N$2:$N$4)-SUMPRODUCT($M$6:$M$12,$N$6:$N$12)</f>
        <v>-120000</v>
      </c>
      <c r="AP2464" s="34" t="e">
        <f t="shared" ref="AP2464" si="10736">IF(AM2464&lt;&gt;AM2465,MMULT(MINVERSE(AM2464:AN2465),AO2464:AO2465)," ")</f>
        <v>#NUM!</v>
      </c>
      <c r="AQ2464" s="34" t="str">
        <f t="shared" ref="AQ2464" si="10737">IFERROR(IF(AP2464-VLOOKUP(AM$38,$A$2:$N$12,14,FALSE)&lt;0,AP2464-VLOOKUP(AM$38,$A$2:$N$12,14,FALSE)," ")," ")</f>
        <v xml:space="preserve"> </v>
      </c>
      <c r="AR2464" s="34" t="str">
        <f t="shared" ref="AR2464" si="10738">IFERROR(IF(AP2464-VLOOKUP(AM$38,$A$2:$N$12,14,FALSE)&gt;0,AP2464-VLOOKUP(AM$38,$A$2:$N$12,14,FALSE)," ")," ")</f>
        <v xml:space="preserve"> </v>
      </c>
      <c r="AS2464" s="34">
        <f t="shared" ref="AS2464" si="10739">$M$6</f>
        <v>0</v>
      </c>
      <c r="AT2464" s="34">
        <v>-1</v>
      </c>
      <c r="AU2464" s="34">
        <f t="shared" ref="AU2464" si="10740">-SUMPRODUCT($M$2:$M$5,$N$2:$N$5)-SUMPRODUCT($M$7:$M$12,$N$7:$N$12)</f>
        <v>-120000</v>
      </c>
      <c r="AV2464" s="34" t="e">
        <f t="shared" ref="AV2464" si="10741">IF(AS2464&lt;&gt;AS2465,MMULT(MINVERSE(AS2464:AT2465),AU2464:AU2465)," ")</f>
        <v>#NUM!</v>
      </c>
      <c r="AW2464" s="34" t="str">
        <f t="shared" ref="AW2464" si="10742">IFERROR(IF(AV2464-VLOOKUP(AS$38,$A$2:$N$12,14,FALSE)&lt;0,AV2464-VLOOKUP(AS$38,$A$2:$N$12,14,FALSE)," ")," ")</f>
        <v xml:space="preserve"> </v>
      </c>
      <c r="AX2464" s="34" t="str">
        <f t="shared" ref="AX2464" si="10743">IFERROR(IF(AV2464-VLOOKUP(AS$38,$A$2:$N$12,14,FALSE)&gt;0,AV2464-VLOOKUP(AS$38,$A$2:$N$12,14,FALSE)," ")," ")</f>
        <v xml:space="preserve"> </v>
      </c>
      <c r="AY2464" s="34">
        <f t="shared" ref="AY2464" si="10744">$M$7</f>
        <v>0</v>
      </c>
      <c r="AZ2464" s="34">
        <v>-1</v>
      </c>
      <c r="BA2464" s="34">
        <f t="shared" ref="BA2464" si="10745">-SUMPRODUCT($M$2:$M$6,$N$2:$N$6)-SUMPRODUCT($M$8:$M$12,$N$8:$N$12)</f>
        <v>-120000</v>
      </c>
      <c r="BB2464" s="34" t="e">
        <f t="shared" ref="BB2464" si="10746">IF(AY2464&lt;&gt;AY2465,MMULT(MINVERSE(AY2464:AZ2465),BA2464:BA2465)," ")</f>
        <v>#NUM!</v>
      </c>
      <c r="BC2464" s="34" t="str">
        <f t="shared" ref="BC2464" si="10747">IFERROR(IF(BB2464-VLOOKUP(AY$38,$A$2:$N$12,14,FALSE)&lt;0,BB2464-VLOOKUP(AY$38,$A$2:$N$12,14,FALSE)," ")," ")</f>
        <v xml:space="preserve"> </v>
      </c>
      <c r="BD2464" s="34" t="str">
        <f t="shared" ref="BD2464" si="10748">IFERROR(IF(BB2464-VLOOKUP(AY$38,$A$2:$N$12,14,FALSE)&gt;0,BB2464-VLOOKUP(AY$38,$A$2:$N$12,14,FALSE)," ")," ")</f>
        <v xml:space="preserve"> </v>
      </c>
      <c r="BE2464" s="34">
        <f t="shared" ref="BE2464" si="10749">$M$8</f>
        <v>0</v>
      </c>
      <c r="BF2464" s="34">
        <v>-1</v>
      </c>
      <c r="BG2464" s="34">
        <f t="shared" ref="BG2464" si="10750">-SUMPRODUCT($M$2:$M$7,$N$2:$N$7)-SUMPRODUCT($M$9:$M$12,$N$9:$N$12)</f>
        <v>-120000</v>
      </c>
      <c r="BH2464" s="34" t="e">
        <f t="shared" ref="BH2464" si="10751">IF(BE2464&lt;&gt;BE2465,MMULT(MINVERSE(BE2464:BF2465),BG2464:BG2465)," ")</f>
        <v>#NUM!</v>
      </c>
      <c r="BI2464" s="34" t="str">
        <f t="shared" ref="BI2464" si="10752">IFERROR(IF(BH2464-VLOOKUP(BE$38,$A$2:$N$12,14,FALSE)&lt;0,BH2464-VLOOKUP(BE$38,$A$2:$N$12,14,FALSE)," ")," ")</f>
        <v xml:space="preserve"> </v>
      </c>
      <c r="BJ2464" s="34" t="str">
        <f t="shared" ref="BJ2464" si="10753">IFERROR(IF(BH2464-VLOOKUP(BE$38,$A$2:$N$12,14,FALSE)&gt;0,BH2464-VLOOKUP(BE$38,$A$2:$N$12,14,FALSE)," ")," ")</f>
        <v xml:space="preserve"> </v>
      </c>
      <c r="BK2464" s="34">
        <f t="shared" ref="BK2464" si="10754">$M$9</f>
        <v>0</v>
      </c>
      <c r="BL2464" s="34">
        <v>-1</v>
      </c>
      <c r="BM2464" s="34">
        <f t="shared" ref="BM2464" si="10755">-SUMPRODUCT($M$2:$M$8,$N$2:$N$8)-SUMPRODUCT($M$10:$M$12,$N$10:$N$12)</f>
        <v>-120000</v>
      </c>
      <c r="BN2464" s="34" t="e">
        <f t="shared" ref="BN2464" si="10756">IF(BK2464&lt;&gt;BK2465,MMULT(MINVERSE(BK2464:BL2465),BM2464:BM2465)," ")</f>
        <v>#NUM!</v>
      </c>
      <c r="BO2464" s="34" t="str">
        <f t="shared" ref="BO2464" si="10757">IFERROR(IF(BN2464-VLOOKUP(BK$38,$A$2:$N$12,14,FALSE)&lt;0,BN2464-VLOOKUP(BK$38,$A$2:$N$12,14,FALSE)," ")," ")</f>
        <v xml:space="preserve"> </v>
      </c>
      <c r="BP2464" s="34" t="str">
        <f t="shared" ref="BP2464" si="10758">IFERROR(IF(BN2464-VLOOKUP(BK$38,$A$2:$N$12,14,FALSE)&gt;0,BN2464-VLOOKUP(BK$38,$A$2:$N$12,14,FALSE)," ")," ")</f>
        <v xml:space="preserve"> </v>
      </c>
      <c r="BQ2464" s="34">
        <f t="shared" ref="BQ2464" si="10759">$M$10</f>
        <v>0</v>
      </c>
      <c r="BR2464" s="34">
        <v>-1</v>
      </c>
      <c r="BS2464" s="34">
        <f t="shared" ref="BS2464" si="10760">-SUMPRODUCT($M$2:$M$9,$N$2:$N$9)-SUMPRODUCT($M$11:$M$12,$N$11:$N$12)</f>
        <v>-120000</v>
      </c>
      <c r="BT2464" s="34" t="e">
        <f t="shared" ref="BT2464" si="10761">IF(BQ2464&lt;&gt;BQ2465,MMULT(MINVERSE(BQ2464:BR2465),BS2464:BS2465)," ")</f>
        <v>#NUM!</v>
      </c>
      <c r="BU2464" s="34" t="str">
        <f t="shared" ref="BU2464" si="10762">IFERROR(IF(BT2464-VLOOKUP(BQ$38,$A$2:$N$12,14,FALSE)&lt;0,BT2464-VLOOKUP(BQ$38,$A$2:$N$12,14,FALSE)," ")," ")</f>
        <v xml:space="preserve"> </v>
      </c>
      <c r="BV2464" s="34" t="str">
        <f t="shared" ref="BV2464" si="10763">IFERROR(IF(BT2464-VLOOKUP(BQ$38,$A$2:$N$12,14,FALSE)&gt;0,BT2464-VLOOKUP(BQ$38,$A$2:$N$12,14,FALSE)," ")," ")</f>
        <v xml:space="preserve"> </v>
      </c>
      <c r="BW2464" s="34">
        <f t="shared" ref="BW2464" si="10764">$M$11</f>
        <v>0</v>
      </c>
      <c r="BX2464" s="34">
        <v>-1</v>
      </c>
      <c r="BY2464" s="34">
        <f t="shared" ref="BY2464" si="10765">-SUMPRODUCT($M$2:$M$10,$N$2:$N$10)-SUMPRODUCT($M$12,$N$12)</f>
        <v>-120000</v>
      </c>
      <c r="BZ2464" s="34" t="e">
        <f t="shared" ref="BZ2464" si="10766">IF(BW2464&lt;&gt;BW2465,MMULT(MINVERSE(BW2464:BX2465),BY2464:BY2465)," ")</f>
        <v>#NUM!</v>
      </c>
      <c r="CA2464" s="34" t="str">
        <f t="shared" ref="CA2464" si="10767">IFERROR(IF(BZ2464-VLOOKUP(BW$38,$A$2:$N$12,14,FALSE)&lt;0,BZ2464-VLOOKUP(BW$38,$A$2:$N$12,14,FALSE)," ")," ")</f>
        <v xml:space="preserve"> </v>
      </c>
      <c r="CB2464" s="34" t="str">
        <f t="shared" ref="CB2464" si="10768">IFERROR(IF(BZ2464-VLOOKUP(BW$38,$A$2:$N$12,14,FALSE)&gt;0,BZ2464-VLOOKUP(BW$38,$A$2:$N$12,14,FALSE)," ")," ")</f>
        <v xml:space="preserve"> </v>
      </c>
      <c r="CC2464" s="34">
        <f t="shared" ref="CC2464" si="10769">$M$12</f>
        <v>0</v>
      </c>
      <c r="CD2464" s="34">
        <v>-1</v>
      </c>
      <c r="CE2464" s="34">
        <f t="shared" ref="CE2464" si="10770">-SUMPRODUCT($M$2:$M$11,$N$2:$N$11)</f>
        <v>-120000</v>
      </c>
      <c r="CF2464" s="34" t="e">
        <f t="shared" ref="CF2464" si="10771">IF(CC2464&lt;&gt;CC2465,MMULT(MINVERSE(CC2464:CD2465),CE2464:CE2465)," ")</f>
        <v>#NUM!</v>
      </c>
      <c r="CG2464" s="34" t="str">
        <f t="shared" ref="CG2464" si="10772">IFERROR(IF(CF2464-VLOOKUP(CC$38,$A$2:$N$12,14,FALSE)&lt;0,CF2464-VLOOKUP(CC$38,$A$2:$N$12,14,FALSE)," ")," ")</f>
        <v xml:space="preserve"> </v>
      </c>
      <c r="CH2464" s="34" t="str">
        <f t="shared" ref="CH2464" si="10773">IFERROR(IF(CF2464-VLOOKUP(CC$38,$A$2:$N$12,14,FALSE)&gt;0,CF2464-VLOOKUP(CC$38,$A$2:$N$12,14,FALSE)," ")," ")</f>
        <v xml:space="preserve"> </v>
      </c>
    </row>
    <row r="2465" spans="1:86" x14ac:dyDescent="0.2">
      <c r="A2465" s="8" t="str">
        <f>IF(AND(COUNTIF(W$3:W$13,A$16)&gt;0,A$16&lt;&gt;B2924),A$16,IFERROR(IF(MATCH(A$16,Z$3:Z$13,0)=7,A$16," ")," "))</f>
        <v xml:space="preserve"> </v>
      </c>
      <c r="B2465" s="8" t="str">
        <f>IF(A2465=" "," ",MAX(B2464:B2464)+1)</f>
        <v xml:space="preserve"> </v>
      </c>
      <c r="C2465" s="8" t="str">
        <f>IFERROR(INDEX(A2464:A2485,MATCH(SMALL(B2464:B2485,2),B2464:B2485,0),1)," ")</f>
        <v>C4</v>
      </c>
      <c r="D2465" s="8">
        <f t="shared" ref="D2465:D2474" si="10774">IFERROR(VLOOKUP($C2465,$A$15:$O$36,2,FALSE)," ")</f>
        <v>1</v>
      </c>
      <c r="E2465" s="8">
        <f t="shared" ref="E2465:E2474" si="10775">IFERROR(VLOOKUP($C2465,$A$15:$O$36,3,FALSE)," ")</f>
        <v>0</v>
      </c>
      <c r="F2465" s="8">
        <f t="shared" ref="F2465:F2474" si="10776">IFERROR(VLOOKUP($C2465,$A$15:$O$36,4,FALSE)," ")</f>
        <v>1</v>
      </c>
      <c r="G2465" s="8">
        <f t="shared" ref="G2465:G2474" si="10777">IFERROR(VLOOKUP($C2465,$A$15:$O$36,5,FALSE)," ")</f>
        <v>0</v>
      </c>
      <c r="H2465" s="8">
        <f t="shared" ref="H2465:H2474" si="10778">IFERROR(VLOOKUP($C2465,$A$15:$O$36,6,FALSE)," ")</f>
        <v>0</v>
      </c>
      <c r="I2465" s="8">
        <f t="shared" ref="I2465:I2474" si="10779">IFERROR(VLOOKUP($C2465,$A$15:$O$36,7,FALSE)," ")</f>
        <v>0</v>
      </c>
      <c r="J2465" s="8">
        <f t="shared" ref="J2465:J2474" si="10780">IFERROR(VLOOKUP($C2465,$A$15:$O$36,8,FALSE)," ")</f>
        <v>0</v>
      </c>
      <c r="K2465" s="8">
        <f t="shared" ref="K2465:K2474" si="10781">IFERROR(VLOOKUP($C2465,$A$15:$O$36,9,FALSE)," ")</f>
        <v>0</v>
      </c>
      <c r="L2465" s="8">
        <f t="shared" ref="L2465:L2474" si="10782">IFERROR(VLOOKUP($C2465,$A$15:$O$36,10,FALSE)," ")</f>
        <v>0</v>
      </c>
      <c r="M2465" s="8">
        <f t="shared" ref="M2465:M2474" si="10783">IFERROR(VLOOKUP($C2465,$A$15:$O$36,11,FALSE)," ")</f>
        <v>0</v>
      </c>
      <c r="N2465" s="8">
        <f t="shared" ref="N2465:N2474" si="10784">IFERROR(VLOOKUP($C2465,$A$15:$O$36,12,FALSE)," ")</f>
        <v>0</v>
      </c>
      <c r="O2465" s="8">
        <f t="shared" ref="O2465:O2474" si="10785">IFERROR(VLOOKUP($C2465,$A$15:$O$36,15,FALSE)," ")</f>
        <v>400</v>
      </c>
      <c r="P2465" s="8" t="e">
        <v>#NUM!</v>
      </c>
      <c r="Q2465" s="8" t="e">
        <f t="shared" ref="Q2465" si="10786">IF(COUNTIF(P2464:P2474,"&lt;"&amp;-0.001)=0,IF(ABS(P2465)&lt;0.001,0,P2465)," ")</f>
        <v>#NUM!</v>
      </c>
      <c r="R2465" s="8"/>
      <c r="S2465" s="8"/>
      <c r="U2465" s="34" t="e">
        <f t="shared" ref="U2465" si="10787">$Q2464</f>
        <v>#NUM!</v>
      </c>
      <c r="V2465" s="34">
        <v>-1</v>
      </c>
      <c r="W2465" s="34" t="e">
        <f t="shared" ref="W2465" si="10788">-SUMPRODUCT($Q2465:$Q2474,$N$3:$N$12)</f>
        <v>#NUM!</v>
      </c>
      <c r="X2465" s="34"/>
      <c r="Y2465" s="34"/>
      <c r="Z2465" s="34"/>
      <c r="AA2465" s="34" t="e">
        <f t="shared" ref="AA2465" si="10789">$Q2465</f>
        <v>#NUM!</v>
      </c>
      <c r="AB2465" s="34">
        <v>-1</v>
      </c>
      <c r="AC2465" s="34" t="e">
        <f t="shared" ref="AC2465" si="10790">-SUMPRODUCT($Q2464:$Q2464,$N$2:$N$2)-SUMPRODUCT($Q2466:$Q2474,$N$4:$N$12)</f>
        <v>#NUM!</v>
      </c>
      <c r="AD2465" s="34"/>
      <c r="AE2465" s="34"/>
      <c r="AF2465" s="34"/>
      <c r="AG2465" s="34" t="e">
        <f t="shared" ref="AG2465" si="10791">$Q2466</f>
        <v>#NUM!</v>
      </c>
      <c r="AH2465" s="34">
        <v>-1</v>
      </c>
      <c r="AI2465" s="34" t="e">
        <f t="shared" ref="AI2465" si="10792">-SUMPRODUCT($Q2464:$Q2465,$N$2:$N$3)-SUMPRODUCT($Q2467:$Q2474,$N$5:$N$12)</f>
        <v>#NUM!</v>
      </c>
      <c r="AJ2465" s="34"/>
      <c r="AK2465" s="34"/>
      <c r="AL2465" s="34"/>
      <c r="AM2465" s="34" t="e">
        <f t="shared" ref="AM2465" si="10793">$Q2467</f>
        <v>#NUM!</v>
      </c>
      <c r="AN2465" s="34">
        <v>-1</v>
      </c>
      <c r="AO2465" s="34" t="e">
        <f t="shared" ref="AO2465" si="10794">-SUMPRODUCT($Q2464:$Q2466,$N$2:$N$4)-SUMPRODUCT($Q2468:$Q2474,$N$6:$N$12)</f>
        <v>#NUM!</v>
      </c>
      <c r="AP2465" s="34"/>
      <c r="AQ2465" s="34"/>
      <c r="AR2465" s="34"/>
      <c r="AS2465" s="34" t="e">
        <f t="shared" ref="AS2465" si="10795">$Q2468</f>
        <v>#NUM!</v>
      </c>
      <c r="AT2465" s="34">
        <v>-1</v>
      </c>
      <c r="AU2465" s="34" t="e">
        <f t="shared" ref="AU2465" si="10796">-SUMPRODUCT($Q2464:$Q2467,$N$2:$N$5)-SUMPRODUCT($Q2469:$Q2474,$N$7:$N$12)</f>
        <v>#NUM!</v>
      </c>
      <c r="AV2465" s="34"/>
      <c r="AW2465" s="34"/>
      <c r="AX2465" s="34"/>
      <c r="AY2465" s="34" t="e">
        <f t="shared" ref="AY2465" si="10797">$Q2469</f>
        <v>#NUM!</v>
      </c>
      <c r="AZ2465" s="34">
        <v>-1</v>
      </c>
      <c r="BA2465" s="34" t="e">
        <f t="shared" ref="BA2465" si="10798">-SUMPRODUCT($Q2464:$Q2468,$N$2:$N$6)-SUMPRODUCT($Q2470:$Q2474,$N$8:$N$12)</f>
        <v>#NUM!</v>
      </c>
      <c r="BB2465" s="34"/>
      <c r="BC2465" s="34"/>
      <c r="BD2465" s="34"/>
      <c r="BE2465" s="34" t="e">
        <f t="shared" ref="BE2465" si="10799">$Q2470</f>
        <v>#NUM!</v>
      </c>
      <c r="BF2465" s="34">
        <v>-1</v>
      </c>
      <c r="BG2465" s="34" t="e">
        <f t="shared" ref="BG2465" si="10800">-SUMPRODUCT($Q2464:$Q2469,$N$2:$N$7)-SUMPRODUCT($Q2471:$Q2474,$N$9:$N$12)</f>
        <v>#NUM!</v>
      </c>
      <c r="BH2465" s="34"/>
      <c r="BI2465" s="34"/>
      <c r="BJ2465" s="34"/>
      <c r="BK2465" s="34" t="e">
        <f t="shared" ref="BK2465" si="10801">$Q2471</f>
        <v>#NUM!</v>
      </c>
      <c r="BL2465" s="34">
        <v>-1</v>
      </c>
      <c r="BM2465" s="34" t="e">
        <f t="shared" ref="BM2465" si="10802">-SUMPRODUCT($Q2464:$Q2470,$N$2:$N$8)-SUMPRODUCT($Q2472:$Q2474,$N$10:$N$12)</f>
        <v>#NUM!</v>
      </c>
      <c r="BN2465" s="34"/>
      <c r="BO2465" s="34"/>
      <c r="BP2465" s="34"/>
      <c r="BQ2465" s="34" t="e">
        <f t="shared" ref="BQ2465" si="10803">$Q2472</f>
        <v>#NUM!</v>
      </c>
      <c r="BR2465" s="34">
        <v>-1</v>
      </c>
      <c r="BS2465" s="34" t="e">
        <f t="shared" ref="BS2465" si="10804">-SUMPRODUCT($Q2464:$Q2471,$N$2:$N$9)-SUMPRODUCT($Q2473:$Q2474,$N$11:$N$12)</f>
        <v>#NUM!</v>
      </c>
      <c r="BT2465" s="34"/>
      <c r="BU2465" s="34"/>
      <c r="BV2465" s="34"/>
      <c r="BW2465" s="34" t="e">
        <f t="shared" ref="BW2465" si="10805">$Q2473</f>
        <v>#NUM!</v>
      </c>
      <c r="BX2465" s="34">
        <v>-1</v>
      </c>
      <c r="BY2465" s="34" t="e">
        <f t="shared" ref="BY2465" si="10806">-SUMPRODUCT($Q2464:$Q2472,$N$2:$N$10)-SUMPRODUCT($Q2474,$N$12)</f>
        <v>#NUM!</v>
      </c>
      <c r="BZ2465" s="34"/>
      <c r="CA2465" s="34"/>
      <c r="CB2465" s="34"/>
      <c r="CC2465" s="34" t="e">
        <f t="shared" ref="CC2465" si="10807">$Q2474</f>
        <v>#NUM!</v>
      </c>
      <c r="CD2465" s="34">
        <v>-1</v>
      </c>
      <c r="CE2465" s="34" t="e">
        <f t="shared" ref="CE2465" si="10808">-SUMPRODUCT($Q2464:$Q2473,$N$2:$N$11)</f>
        <v>#NUM!</v>
      </c>
      <c r="CF2465" s="34"/>
      <c r="CG2465" s="34"/>
      <c r="CH2465" s="34"/>
    </row>
    <row r="2466" spans="1:86" x14ac:dyDescent="0.2">
      <c r="A2466" s="8" t="str">
        <f>IF(AND(COUNTIF(W$3:W$13,A$17)&gt;0,A$17&lt;&gt;B2324),A$17,IFERROR(IF(MATCH(A$17,Z$3:Z$13,0)=7,A$17," ")," "))</f>
        <v>C3</v>
      </c>
      <c r="B2466" s="8">
        <f>IF(A2466=" "," ",MAX(B2464:B2465)+1)</f>
        <v>1</v>
      </c>
      <c r="C2466" s="8" t="str">
        <f>IFERROR(INDEX(A2464:A2485,MATCH(SMALL(B2464:B2485,3),B2464:B2485,0),1)," ")</f>
        <v>C9</v>
      </c>
      <c r="D2466" s="8">
        <f t="shared" si="10774"/>
        <v>0</v>
      </c>
      <c r="E2466" s="8">
        <f t="shared" si="10775"/>
        <v>0</v>
      </c>
      <c r="F2466" s="8">
        <f t="shared" si="10776"/>
        <v>0</v>
      </c>
      <c r="G2466" s="8">
        <f t="shared" si="10777"/>
        <v>0</v>
      </c>
      <c r="H2466" s="8">
        <f t="shared" si="10778"/>
        <v>0</v>
      </c>
      <c r="I2466" s="8">
        <f t="shared" si="10779"/>
        <v>0</v>
      </c>
      <c r="J2466" s="8">
        <f t="shared" si="10780"/>
        <v>0</v>
      </c>
      <c r="K2466" s="8">
        <f t="shared" si="10781"/>
        <v>0</v>
      </c>
      <c r="L2466" s="8">
        <f t="shared" si="10782"/>
        <v>0</v>
      </c>
      <c r="M2466" s="8">
        <f t="shared" si="10783"/>
        <v>0</v>
      </c>
      <c r="N2466" s="8">
        <f t="shared" si="10784"/>
        <v>0</v>
      </c>
      <c r="O2466" s="8">
        <f t="shared" si="10785"/>
        <v>0</v>
      </c>
      <c r="P2466" s="8" t="e">
        <v>#NUM!</v>
      </c>
      <c r="Q2466" s="8" t="e">
        <f t="shared" ref="Q2466" si="10809">IF(COUNTIF(P2464:P2474,"&lt;"&amp;-0.001)=0,IF(ABS(P2466)&lt;0.001,0,P2466)," ")</f>
        <v>#NUM!</v>
      </c>
      <c r="R2466" s="8"/>
      <c r="S2466" s="8"/>
      <c r="U2466" s="34"/>
      <c r="V2466" s="34"/>
      <c r="W2466" s="34"/>
      <c r="X2466" s="34"/>
      <c r="Y2466" s="34"/>
      <c r="Z2466" s="34"/>
      <c r="AA2466" s="34"/>
      <c r="AB2466" s="34"/>
      <c r="AC2466" s="34"/>
      <c r="AD2466" s="34"/>
      <c r="AE2466" s="34"/>
      <c r="AF2466" s="34"/>
      <c r="AG2466" s="34"/>
      <c r="AH2466" s="34"/>
      <c r="AI2466" s="34"/>
      <c r="AJ2466" s="34"/>
      <c r="AK2466" s="34"/>
      <c r="AL2466" s="34"/>
      <c r="AM2466" s="34"/>
      <c r="AN2466" s="34"/>
      <c r="AO2466" s="34"/>
      <c r="AP2466" s="34"/>
      <c r="AQ2466" s="34"/>
      <c r="AR2466" s="34"/>
      <c r="AS2466" s="34"/>
      <c r="AT2466" s="34"/>
      <c r="AU2466" s="34"/>
      <c r="AV2466" s="34"/>
      <c r="AW2466" s="34"/>
      <c r="AX2466" s="34"/>
      <c r="AY2466" s="34"/>
      <c r="AZ2466" s="34"/>
      <c r="BA2466" s="34"/>
      <c r="BB2466" s="34"/>
      <c r="BC2466" s="34"/>
      <c r="BD2466" s="34"/>
      <c r="BE2466" s="34"/>
      <c r="BF2466" s="34"/>
      <c r="BG2466" s="34"/>
      <c r="BH2466" s="34"/>
      <c r="BI2466" s="34"/>
      <c r="BJ2466" s="34"/>
      <c r="BK2466" s="34"/>
      <c r="BL2466" s="34"/>
      <c r="BM2466" s="34"/>
      <c r="BN2466" s="34"/>
      <c r="BO2466" s="34"/>
      <c r="BP2466" s="34"/>
      <c r="BQ2466" s="34"/>
      <c r="BR2466" s="34"/>
      <c r="BS2466" s="34"/>
      <c r="BT2466" s="34"/>
      <c r="BU2466" s="34"/>
      <c r="BV2466" s="34"/>
      <c r="BW2466" s="34"/>
      <c r="BX2466" s="34"/>
      <c r="BY2466" s="34"/>
      <c r="BZ2466" s="34"/>
      <c r="CA2466" s="34"/>
      <c r="CB2466" s="34"/>
      <c r="CC2466" s="34"/>
      <c r="CD2466" s="34"/>
      <c r="CE2466" s="34"/>
      <c r="CF2466" s="34"/>
      <c r="CG2466" s="34"/>
      <c r="CH2466" s="34"/>
    </row>
    <row r="2467" spans="1:86" x14ac:dyDescent="0.2">
      <c r="A2467" s="8" t="str">
        <f>IF(AND(COUNTIF(W$3:W$13,A$18)&gt;0,A$18&lt;&gt;B2324),A$18,IFERROR(IF(MATCH(A$18,Z$3:Z$13,0)=7,A$18," ")," "))</f>
        <v>C4</v>
      </c>
      <c r="B2467" s="8">
        <f>IF(A2467=" "," ",MAX(B2464:B2466)+1)</f>
        <v>2</v>
      </c>
      <c r="C2467" s="8" t="str">
        <f>IFERROR(INDEX(A2464:A2485,MATCH(SMALL(B2464:B2485,4),B2464:B2485,0),1)," ")</f>
        <v>C13</v>
      </c>
      <c r="D2467" s="8">
        <f t="shared" si="10774"/>
        <v>0</v>
      </c>
      <c r="E2467" s="8">
        <f t="shared" si="10775"/>
        <v>1</v>
      </c>
      <c r="F2467" s="8">
        <f t="shared" si="10776"/>
        <v>0</v>
      </c>
      <c r="G2467" s="8">
        <f t="shared" si="10777"/>
        <v>0</v>
      </c>
      <c r="H2467" s="8">
        <f t="shared" si="10778"/>
        <v>0</v>
      </c>
      <c r="I2467" s="8">
        <f t="shared" si="10779"/>
        <v>0</v>
      </c>
      <c r="J2467" s="8">
        <f t="shared" si="10780"/>
        <v>0</v>
      </c>
      <c r="K2467" s="8">
        <f t="shared" si="10781"/>
        <v>0</v>
      </c>
      <c r="L2467" s="8">
        <f t="shared" si="10782"/>
        <v>0</v>
      </c>
      <c r="M2467" s="8">
        <f t="shared" si="10783"/>
        <v>0</v>
      </c>
      <c r="N2467" s="8">
        <f t="shared" si="10784"/>
        <v>0</v>
      </c>
      <c r="O2467" s="8">
        <f t="shared" si="10785"/>
        <v>0</v>
      </c>
      <c r="P2467" s="8" t="e">
        <v>#NUM!</v>
      </c>
      <c r="Q2467" s="8" t="e">
        <f t="shared" ref="Q2467" si="10810">IF(COUNTIF(P2464:P2474,"&lt;"&amp;-0.001)=0,IF(ABS(P2467)&lt;0.001,0,P2467)," ")</f>
        <v>#NUM!</v>
      </c>
      <c r="R2467" s="8"/>
      <c r="S2467" s="8"/>
      <c r="U2467" s="34"/>
      <c r="V2467" s="34"/>
      <c r="W2467" s="34"/>
      <c r="X2467" s="34"/>
      <c r="Y2467" s="34"/>
      <c r="Z2467" s="34"/>
      <c r="AA2467" s="34"/>
      <c r="AB2467" s="34"/>
      <c r="AC2467" s="34"/>
      <c r="AD2467" s="34"/>
      <c r="AE2467" s="34"/>
      <c r="AF2467" s="34"/>
      <c r="AG2467" s="34"/>
      <c r="AH2467" s="34"/>
      <c r="AI2467" s="34"/>
      <c r="AJ2467" s="34"/>
      <c r="AK2467" s="34"/>
      <c r="AL2467" s="34"/>
      <c r="AM2467" s="34"/>
      <c r="AN2467" s="34"/>
      <c r="AO2467" s="34"/>
      <c r="AP2467" s="34"/>
      <c r="AQ2467" s="34"/>
      <c r="AR2467" s="34"/>
      <c r="AS2467" s="34"/>
      <c r="AT2467" s="34"/>
      <c r="AU2467" s="34"/>
      <c r="AV2467" s="34"/>
      <c r="AW2467" s="34"/>
      <c r="AX2467" s="34"/>
      <c r="AY2467" s="34"/>
      <c r="AZ2467" s="34"/>
      <c r="BA2467" s="34"/>
      <c r="BB2467" s="34"/>
      <c r="BC2467" s="34"/>
      <c r="BD2467" s="34"/>
      <c r="BE2467" s="34"/>
      <c r="BF2467" s="34"/>
      <c r="BG2467" s="34"/>
      <c r="BH2467" s="34"/>
      <c r="BI2467" s="34"/>
      <c r="BJ2467" s="34"/>
      <c r="BK2467" s="34"/>
      <c r="BL2467" s="34"/>
      <c r="BM2467" s="34"/>
      <c r="BN2467" s="34"/>
      <c r="BO2467" s="34"/>
      <c r="BP2467" s="34"/>
      <c r="BQ2467" s="34"/>
      <c r="BR2467" s="34"/>
      <c r="BS2467" s="34"/>
      <c r="BT2467" s="34"/>
      <c r="BU2467" s="34"/>
      <c r="BV2467" s="34"/>
      <c r="BW2467" s="34"/>
      <c r="BX2467" s="34"/>
      <c r="BY2467" s="34"/>
      <c r="BZ2467" s="34"/>
      <c r="CA2467" s="34"/>
      <c r="CB2467" s="34"/>
      <c r="CC2467" s="34"/>
      <c r="CD2467" s="34"/>
      <c r="CE2467" s="34"/>
      <c r="CF2467" s="34"/>
      <c r="CG2467" s="34"/>
      <c r="CH2467" s="34"/>
    </row>
    <row r="2468" spans="1:86" x14ac:dyDescent="0.2">
      <c r="A2468" s="8" t="str">
        <f>IF(AND(COUNTIF(W$3:W$13,A$19)&gt;0,A$19&lt;&gt;B2324),A$19,IFERROR(IF(MATCH(A$19,Z$3:Z$13,0)=7,A$19," ")," "))</f>
        <v xml:space="preserve"> </v>
      </c>
      <c r="B2468" s="8" t="str">
        <f>IF(A2468=" "," ",MAX(B2464:B2467)+1)</f>
        <v xml:space="preserve"> </v>
      </c>
      <c r="C2468" s="8" t="str">
        <f>IFERROR(INDEX(A2464:A2485,MATCH(SMALL(B2464:B2485,5),B2464:B2485,0),1)," ")</f>
        <v>C15</v>
      </c>
      <c r="D2468" s="8">
        <f t="shared" si="10774"/>
        <v>0</v>
      </c>
      <c r="E2468" s="8">
        <f t="shared" si="10775"/>
        <v>0</v>
      </c>
      <c r="F2468" s="8">
        <f t="shared" si="10776"/>
        <v>0</v>
      </c>
      <c r="G2468" s="8">
        <f t="shared" si="10777"/>
        <v>1</v>
      </c>
      <c r="H2468" s="8">
        <f t="shared" si="10778"/>
        <v>0</v>
      </c>
      <c r="I2468" s="8">
        <f t="shared" si="10779"/>
        <v>0</v>
      </c>
      <c r="J2468" s="8">
        <f t="shared" si="10780"/>
        <v>0</v>
      </c>
      <c r="K2468" s="8">
        <f t="shared" si="10781"/>
        <v>0</v>
      </c>
      <c r="L2468" s="8">
        <f t="shared" si="10782"/>
        <v>0</v>
      </c>
      <c r="M2468" s="8">
        <f t="shared" si="10783"/>
        <v>0</v>
      </c>
      <c r="N2468" s="8">
        <f t="shared" si="10784"/>
        <v>0</v>
      </c>
      <c r="O2468" s="8">
        <f t="shared" si="10785"/>
        <v>0</v>
      </c>
      <c r="P2468" s="8" t="e">
        <v>#NUM!</v>
      </c>
      <c r="Q2468" s="8" t="e">
        <f t="shared" ref="Q2468" si="10811">IF(COUNTIF(P2464:P2474,"&lt;"&amp;-0.001)=0,IF(ABS(P2468)&lt;0.001,0,P2468)," ")</f>
        <v>#NUM!</v>
      </c>
      <c r="R2468" s="8"/>
      <c r="S2468" s="8"/>
      <c r="U2468" s="34"/>
      <c r="V2468" s="34"/>
      <c r="W2468" s="34"/>
      <c r="X2468" s="34"/>
      <c r="Y2468" s="34"/>
      <c r="Z2468" s="34"/>
      <c r="AA2468" s="34"/>
      <c r="AB2468" s="34"/>
      <c r="AC2468" s="34"/>
      <c r="AD2468" s="34"/>
      <c r="AE2468" s="34"/>
      <c r="AF2468" s="34"/>
      <c r="AG2468" s="34"/>
      <c r="AH2468" s="34"/>
      <c r="AI2468" s="34"/>
      <c r="AJ2468" s="34"/>
      <c r="AK2468" s="34"/>
      <c r="AL2468" s="34"/>
      <c r="AM2468" s="34"/>
      <c r="AN2468" s="34"/>
      <c r="AO2468" s="34"/>
      <c r="AP2468" s="34"/>
      <c r="AQ2468" s="34"/>
      <c r="AR2468" s="34"/>
      <c r="AS2468" s="34"/>
      <c r="AT2468" s="34"/>
      <c r="AU2468" s="34"/>
      <c r="AV2468" s="34"/>
      <c r="AW2468" s="34"/>
      <c r="AX2468" s="34"/>
      <c r="AY2468" s="34"/>
      <c r="AZ2468" s="34"/>
      <c r="BA2468" s="34"/>
      <c r="BB2468" s="34"/>
      <c r="BC2468" s="34"/>
      <c r="BD2468" s="34"/>
      <c r="BE2468" s="34"/>
      <c r="BF2468" s="34"/>
      <c r="BG2468" s="34"/>
      <c r="BH2468" s="34"/>
      <c r="BI2468" s="34"/>
      <c r="BJ2468" s="34"/>
      <c r="BK2468" s="34"/>
      <c r="BL2468" s="34"/>
      <c r="BM2468" s="34"/>
      <c r="BN2468" s="34"/>
      <c r="BO2468" s="34"/>
      <c r="BP2468" s="34"/>
      <c r="BQ2468" s="34"/>
      <c r="BR2468" s="34"/>
      <c r="BS2468" s="34"/>
      <c r="BT2468" s="34"/>
      <c r="BU2468" s="34"/>
      <c r="BV2468" s="34"/>
      <c r="BW2468" s="34"/>
      <c r="BX2468" s="34"/>
      <c r="BY2468" s="34"/>
      <c r="BZ2468" s="34"/>
      <c r="CA2468" s="34"/>
      <c r="CB2468" s="34"/>
      <c r="CC2468" s="34"/>
      <c r="CD2468" s="34"/>
      <c r="CE2468" s="34"/>
      <c r="CF2468" s="34"/>
      <c r="CG2468" s="34"/>
      <c r="CH2468" s="34"/>
    </row>
    <row r="2469" spans="1:86" x14ac:dyDescent="0.2">
      <c r="A2469" s="8" t="str">
        <f>IF(AND(COUNTIF(W$3:W$13,A$20)&gt;0,A$20&lt;&gt;B2324),A$20,IFERROR(IF(MATCH(A$20,Z$3:Z$13,0)=7,A$20," ")," "))</f>
        <v xml:space="preserve"> </v>
      </c>
      <c r="B2469" s="8" t="str">
        <f>IF(A2469=" "," ",MAX(B2464:B2468)+1)</f>
        <v xml:space="preserve"> </v>
      </c>
      <c r="C2469" s="8" t="str">
        <f>IFERROR(INDEX(A2464:A2485,MATCH(SMALL(B2464:B2485,6),B2464:B2485,0),1)," ")</f>
        <v>C16</v>
      </c>
      <c r="D2469" s="8">
        <f t="shared" si="10774"/>
        <v>0</v>
      </c>
      <c r="E2469" s="8">
        <f t="shared" si="10775"/>
        <v>0</v>
      </c>
      <c r="F2469" s="8">
        <f t="shared" si="10776"/>
        <v>0</v>
      </c>
      <c r="G2469" s="8">
        <f t="shared" si="10777"/>
        <v>0</v>
      </c>
      <c r="H2469" s="8">
        <f t="shared" si="10778"/>
        <v>1</v>
      </c>
      <c r="I2469" s="8">
        <f t="shared" si="10779"/>
        <v>0</v>
      </c>
      <c r="J2469" s="8">
        <f t="shared" si="10780"/>
        <v>0</v>
      </c>
      <c r="K2469" s="8">
        <f t="shared" si="10781"/>
        <v>0</v>
      </c>
      <c r="L2469" s="8">
        <f t="shared" si="10782"/>
        <v>0</v>
      </c>
      <c r="M2469" s="8">
        <f t="shared" si="10783"/>
        <v>0</v>
      </c>
      <c r="N2469" s="8">
        <f t="shared" si="10784"/>
        <v>0</v>
      </c>
      <c r="O2469" s="8">
        <f t="shared" si="10785"/>
        <v>0</v>
      </c>
      <c r="P2469" s="8" t="e">
        <v>#NUM!</v>
      </c>
      <c r="Q2469" s="8" t="e">
        <f t="shared" ref="Q2469" si="10812">IF(COUNTIF(P2464:P2474,"&lt;"&amp;-0.001)=0,IF(ABS(P2469)&lt;0.001,0,P2469)," ")</f>
        <v>#NUM!</v>
      </c>
      <c r="R2469" s="8"/>
      <c r="S2469" s="8"/>
      <c r="U2469" s="34"/>
      <c r="V2469" s="34"/>
      <c r="W2469" s="34"/>
      <c r="X2469" s="34"/>
      <c r="Y2469" s="34"/>
      <c r="Z2469" s="34"/>
      <c r="AA2469" s="34"/>
      <c r="AB2469" s="34"/>
      <c r="AC2469" s="34"/>
      <c r="AD2469" s="34"/>
      <c r="AE2469" s="34"/>
      <c r="AF2469" s="34"/>
      <c r="AG2469" s="34"/>
      <c r="AH2469" s="34"/>
      <c r="AI2469" s="34"/>
      <c r="AJ2469" s="34"/>
      <c r="AK2469" s="34"/>
      <c r="AL2469" s="34"/>
      <c r="AM2469" s="34"/>
      <c r="AN2469" s="34"/>
      <c r="AO2469" s="34"/>
      <c r="AP2469" s="34"/>
      <c r="AQ2469" s="34"/>
      <c r="AR2469" s="34"/>
      <c r="AS2469" s="34"/>
      <c r="AT2469" s="34"/>
      <c r="AU2469" s="34"/>
      <c r="AV2469" s="34"/>
      <c r="AW2469" s="34"/>
      <c r="AX2469" s="34"/>
      <c r="AY2469" s="34"/>
      <c r="AZ2469" s="34"/>
      <c r="BA2469" s="34"/>
      <c r="BB2469" s="34"/>
      <c r="BC2469" s="34"/>
      <c r="BD2469" s="34"/>
      <c r="BE2469" s="34"/>
      <c r="BF2469" s="34"/>
      <c r="BG2469" s="34"/>
      <c r="BH2469" s="34"/>
      <c r="BI2469" s="34"/>
      <c r="BJ2469" s="34"/>
      <c r="BK2469" s="34"/>
      <c r="BL2469" s="34"/>
      <c r="BM2469" s="34"/>
      <c r="BN2469" s="34"/>
      <c r="BO2469" s="34"/>
      <c r="BP2469" s="34"/>
      <c r="BQ2469" s="34"/>
      <c r="BR2469" s="34"/>
      <c r="BS2469" s="34"/>
      <c r="BT2469" s="34"/>
      <c r="BU2469" s="34"/>
      <c r="BV2469" s="34"/>
      <c r="BW2469" s="34"/>
      <c r="BX2469" s="34"/>
      <c r="BY2469" s="34"/>
      <c r="BZ2469" s="34"/>
      <c r="CA2469" s="34"/>
      <c r="CB2469" s="34"/>
      <c r="CC2469" s="34"/>
      <c r="CD2469" s="34"/>
      <c r="CE2469" s="34"/>
      <c r="CF2469" s="34"/>
      <c r="CG2469" s="34"/>
      <c r="CH2469" s="34"/>
    </row>
    <row r="2470" spans="1:86" x14ac:dyDescent="0.2">
      <c r="A2470" s="8" t="str">
        <f>IF(AND(COUNTIF(W$3:W$13,A$21)&gt;0,A$21&lt;&gt;B2324),A$21,IFERROR(IF(MATCH(A$21,Z$3:Z$13,0)=7,A$21," ")," "))</f>
        <v xml:space="preserve"> </v>
      </c>
      <c r="B2470" s="8" t="str">
        <f>IF(A2470=" "," ",MAX(B2464:B2469)+1)</f>
        <v xml:space="preserve"> </v>
      </c>
      <c r="C2470" s="8" t="str">
        <f>IFERROR(INDEX(A2464:A2485,MATCH(SMALL(B2464:B2485,7),B2464:B2485,0),1)," ")</f>
        <v>C17</v>
      </c>
      <c r="D2470" s="8">
        <f t="shared" si="10774"/>
        <v>0</v>
      </c>
      <c r="E2470" s="8">
        <f t="shared" si="10775"/>
        <v>0</v>
      </c>
      <c r="F2470" s="8">
        <f t="shared" si="10776"/>
        <v>0</v>
      </c>
      <c r="G2470" s="8">
        <f t="shared" si="10777"/>
        <v>0</v>
      </c>
      <c r="H2470" s="8">
        <f t="shared" si="10778"/>
        <v>0</v>
      </c>
      <c r="I2470" s="8">
        <f t="shared" si="10779"/>
        <v>1</v>
      </c>
      <c r="J2470" s="8">
        <f t="shared" si="10780"/>
        <v>0</v>
      </c>
      <c r="K2470" s="8">
        <f t="shared" si="10781"/>
        <v>0</v>
      </c>
      <c r="L2470" s="8">
        <f t="shared" si="10782"/>
        <v>0</v>
      </c>
      <c r="M2470" s="8">
        <f t="shared" si="10783"/>
        <v>0</v>
      </c>
      <c r="N2470" s="8">
        <f t="shared" si="10784"/>
        <v>0</v>
      </c>
      <c r="O2470" s="8">
        <f t="shared" si="10785"/>
        <v>0</v>
      </c>
      <c r="P2470" s="8" t="e">
        <v>#NUM!</v>
      </c>
      <c r="Q2470" s="8" t="e">
        <f t="shared" ref="Q2470" si="10813">IF(COUNTIF(P2464:P2474,"&lt;"&amp;-0.001)=0,IF(ABS(P2470)&lt;0.001,0,P2470)," ")</f>
        <v>#NUM!</v>
      </c>
      <c r="R2470" s="8"/>
      <c r="S2470" s="8"/>
      <c r="U2470" s="34"/>
      <c r="V2470" s="34"/>
      <c r="W2470" s="34"/>
      <c r="X2470" s="34"/>
      <c r="Y2470" s="34"/>
      <c r="Z2470" s="34"/>
      <c r="AA2470" s="34"/>
      <c r="AB2470" s="34"/>
      <c r="AC2470" s="34"/>
      <c r="AD2470" s="34"/>
      <c r="AE2470" s="34"/>
      <c r="AF2470" s="34"/>
      <c r="AG2470" s="34"/>
      <c r="AH2470" s="34"/>
      <c r="AI2470" s="34"/>
      <c r="AJ2470" s="34"/>
      <c r="AK2470" s="34"/>
      <c r="AL2470" s="34"/>
      <c r="AM2470" s="34"/>
      <c r="AN2470" s="34"/>
      <c r="AO2470" s="34"/>
      <c r="AP2470" s="34"/>
      <c r="AQ2470" s="34"/>
      <c r="AR2470" s="34"/>
      <c r="AS2470" s="34"/>
      <c r="AT2470" s="34"/>
      <c r="AU2470" s="34"/>
      <c r="AV2470" s="34"/>
      <c r="AW2470" s="34"/>
      <c r="AX2470" s="34"/>
      <c r="AY2470" s="34"/>
      <c r="AZ2470" s="34"/>
      <c r="BA2470" s="34"/>
      <c r="BB2470" s="34"/>
      <c r="BC2470" s="34"/>
      <c r="BD2470" s="34"/>
      <c r="BE2470" s="34"/>
      <c r="BF2470" s="34"/>
      <c r="BG2470" s="34"/>
      <c r="BH2470" s="34"/>
      <c r="BI2470" s="34"/>
      <c r="BJ2470" s="34"/>
      <c r="BK2470" s="34"/>
      <c r="BL2470" s="34"/>
      <c r="BM2470" s="34"/>
      <c r="BN2470" s="34"/>
      <c r="BO2470" s="34"/>
      <c r="BP2470" s="34"/>
      <c r="BQ2470" s="34"/>
      <c r="BR2470" s="34"/>
      <c r="BS2470" s="34"/>
      <c r="BT2470" s="34"/>
      <c r="BU2470" s="34"/>
      <c r="BV2470" s="34"/>
      <c r="BW2470" s="34"/>
      <c r="BX2470" s="34"/>
      <c r="BY2470" s="34"/>
      <c r="BZ2470" s="34"/>
      <c r="CA2470" s="34"/>
      <c r="CB2470" s="34"/>
      <c r="CC2470" s="34"/>
      <c r="CD2470" s="34"/>
      <c r="CE2470" s="34"/>
      <c r="CF2470" s="34"/>
      <c r="CG2470" s="34"/>
      <c r="CH2470" s="34"/>
    </row>
    <row r="2471" spans="1:86" x14ac:dyDescent="0.2">
      <c r="A2471" s="8" t="str">
        <f>IF(AND(COUNTIF(W$3:W$13,A$22)&gt;0,A$22&lt;&gt;B2324),A$22,IFERROR(IF(MATCH(A$22,Z$3:Z$13,0)=7,A$22," ")," "))</f>
        <v xml:space="preserve"> </v>
      </c>
      <c r="B2471" s="8" t="str">
        <f>IF(A2471=" "," ",MAX(B2464:B2470)+1)</f>
        <v xml:space="preserve"> </v>
      </c>
      <c r="C2471" s="8" t="str">
        <f>IFERROR(INDEX(A2464:A2485,MATCH(SMALL(B2464:B2485,8),B2464:B2485,0),1)," ")</f>
        <v>C18</v>
      </c>
      <c r="D2471" s="8">
        <f t="shared" si="10774"/>
        <v>0</v>
      </c>
      <c r="E2471" s="8">
        <f t="shared" si="10775"/>
        <v>0</v>
      </c>
      <c r="F2471" s="8">
        <f t="shared" si="10776"/>
        <v>0</v>
      </c>
      <c r="G2471" s="8">
        <f t="shared" si="10777"/>
        <v>0</v>
      </c>
      <c r="H2471" s="8">
        <f t="shared" si="10778"/>
        <v>0</v>
      </c>
      <c r="I2471" s="8">
        <f t="shared" si="10779"/>
        <v>0</v>
      </c>
      <c r="J2471" s="8">
        <f t="shared" si="10780"/>
        <v>1</v>
      </c>
      <c r="K2471" s="8">
        <f t="shared" si="10781"/>
        <v>0</v>
      </c>
      <c r="L2471" s="8">
        <f t="shared" si="10782"/>
        <v>0</v>
      </c>
      <c r="M2471" s="8">
        <f t="shared" si="10783"/>
        <v>0</v>
      </c>
      <c r="N2471" s="8">
        <f t="shared" si="10784"/>
        <v>0</v>
      </c>
      <c r="O2471" s="8">
        <f t="shared" si="10785"/>
        <v>0</v>
      </c>
      <c r="P2471" s="8" t="e">
        <v>#NUM!</v>
      </c>
      <c r="Q2471" s="8" t="e">
        <f t="shared" ref="Q2471" si="10814">IF(COUNTIF(P2464:P2474,"&lt;"&amp;-0.001)=0,IF(ABS(P2471)&lt;0.001,0,P2471)," ")</f>
        <v>#NUM!</v>
      </c>
      <c r="R2471" s="8"/>
      <c r="S2471" s="8"/>
      <c r="U2471" s="34"/>
      <c r="V2471" s="34"/>
      <c r="W2471" s="34"/>
      <c r="X2471" s="34"/>
      <c r="Y2471" s="34"/>
      <c r="Z2471" s="34"/>
      <c r="AA2471" s="34"/>
      <c r="AB2471" s="34"/>
      <c r="AC2471" s="34"/>
      <c r="AD2471" s="34"/>
      <c r="AE2471" s="34"/>
      <c r="AF2471" s="34"/>
      <c r="AG2471" s="34"/>
      <c r="AH2471" s="34"/>
      <c r="AI2471" s="34"/>
      <c r="AJ2471" s="34"/>
      <c r="AK2471" s="34"/>
      <c r="AL2471" s="34"/>
      <c r="AM2471" s="34"/>
      <c r="AN2471" s="34"/>
      <c r="AO2471" s="34"/>
      <c r="AP2471" s="34"/>
      <c r="AQ2471" s="34"/>
      <c r="AR2471" s="34"/>
      <c r="AS2471" s="34"/>
      <c r="AT2471" s="34"/>
      <c r="AU2471" s="34"/>
      <c r="AV2471" s="34"/>
      <c r="AW2471" s="34"/>
      <c r="AX2471" s="34"/>
      <c r="AY2471" s="34"/>
      <c r="AZ2471" s="34"/>
      <c r="BA2471" s="34"/>
      <c r="BB2471" s="34"/>
      <c r="BC2471" s="34"/>
      <c r="BD2471" s="34"/>
      <c r="BE2471" s="34"/>
      <c r="BF2471" s="34"/>
      <c r="BG2471" s="34"/>
      <c r="BH2471" s="34"/>
      <c r="BI2471" s="34"/>
      <c r="BJ2471" s="34"/>
      <c r="BK2471" s="34"/>
      <c r="BL2471" s="34"/>
      <c r="BM2471" s="34"/>
      <c r="BN2471" s="34"/>
      <c r="BO2471" s="34"/>
      <c r="BP2471" s="34"/>
      <c r="BQ2471" s="34"/>
      <c r="BR2471" s="34"/>
      <c r="BS2471" s="34"/>
      <c r="BT2471" s="34"/>
      <c r="BU2471" s="34"/>
      <c r="BV2471" s="34"/>
      <c r="BW2471" s="34"/>
      <c r="BX2471" s="34"/>
      <c r="BY2471" s="34"/>
      <c r="BZ2471" s="34"/>
      <c r="CA2471" s="34"/>
      <c r="CB2471" s="34"/>
      <c r="CC2471" s="34"/>
      <c r="CD2471" s="34"/>
      <c r="CE2471" s="34"/>
      <c r="CF2471" s="34"/>
      <c r="CG2471" s="34"/>
      <c r="CH2471" s="34"/>
    </row>
    <row r="2472" spans="1:86" x14ac:dyDescent="0.2">
      <c r="A2472" s="8" t="str">
        <f>IF(AND(COUNTIF(W$3:W$13,A$23)&gt;0,A$23&lt;&gt;B2324),A$23,IFERROR(IF(MATCH(A$23,Z$3:Z$13,0)=7,A$23," ")," "))</f>
        <v>C9</v>
      </c>
      <c r="B2472" s="8">
        <f>IF(A2472=" "," ",MAX(B2464:B2471)+1)</f>
        <v>3</v>
      </c>
      <c r="C2472" s="8" t="str">
        <f>IFERROR(INDEX(A2464:A2485,MATCH(SMALL(B2464:B2485,9),B2464:B2485,0),1)," ")</f>
        <v>C19</v>
      </c>
      <c r="D2472" s="8">
        <f t="shared" si="10774"/>
        <v>0</v>
      </c>
      <c r="E2472" s="8">
        <f t="shared" si="10775"/>
        <v>0</v>
      </c>
      <c r="F2472" s="8">
        <f t="shared" si="10776"/>
        <v>0</v>
      </c>
      <c r="G2472" s="8">
        <f t="shared" si="10777"/>
        <v>0</v>
      </c>
      <c r="H2472" s="8">
        <f t="shared" si="10778"/>
        <v>0</v>
      </c>
      <c r="I2472" s="8">
        <f t="shared" si="10779"/>
        <v>0</v>
      </c>
      <c r="J2472" s="8">
        <f t="shared" si="10780"/>
        <v>0</v>
      </c>
      <c r="K2472" s="8">
        <f t="shared" si="10781"/>
        <v>1</v>
      </c>
      <c r="L2472" s="8">
        <f t="shared" si="10782"/>
        <v>0</v>
      </c>
      <c r="M2472" s="8">
        <f t="shared" si="10783"/>
        <v>0</v>
      </c>
      <c r="N2472" s="8">
        <f t="shared" si="10784"/>
        <v>0</v>
      </c>
      <c r="O2472" s="8">
        <f t="shared" si="10785"/>
        <v>0</v>
      </c>
      <c r="P2472" s="6" t="e">
        <v>#NUM!</v>
      </c>
      <c r="Q2472" s="8" t="e">
        <f t="shared" ref="Q2472" si="10815">IF(COUNTIF(P2464:P2474,"&lt;"&amp;-0.001)=0,IF(ABS(P2472)&lt;0.001,0,P2472)," ")</f>
        <v>#NUM!</v>
      </c>
      <c r="R2472" s="8"/>
      <c r="S2472" s="8"/>
      <c r="U2472" s="34"/>
      <c r="V2472" s="34"/>
      <c r="W2472" s="34"/>
      <c r="X2472" s="34"/>
      <c r="Y2472" s="34"/>
      <c r="Z2472" s="34"/>
      <c r="AA2472" s="34"/>
      <c r="AB2472" s="34"/>
      <c r="AC2472" s="34"/>
      <c r="AD2472" s="34"/>
      <c r="AE2472" s="34"/>
      <c r="AF2472" s="34"/>
      <c r="AG2472" s="34"/>
      <c r="AH2472" s="34"/>
      <c r="AI2472" s="34"/>
      <c r="AJ2472" s="34"/>
      <c r="AK2472" s="34"/>
      <c r="AL2472" s="34"/>
      <c r="AM2472" s="34"/>
      <c r="AN2472" s="34"/>
      <c r="AO2472" s="34"/>
      <c r="AP2472" s="34"/>
      <c r="AQ2472" s="34"/>
      <c r="AR2472" s="34"/>
      <c r="AS2472" s="34"/>
      <c r="AT2472" s="34"/>
      <c r="AU2472" s="34"/>
      <c r="AV2472" s="34"/>
      <c r="AW2472" s="34"/>
      <c r="AX2472" s="34"/>
      <c r="AY2472" s="34"/>
      <c r="AZ2472" s="34"/>
      <c r="BA2472" s="34"/>
      <c r="BB2472" s="34"/>
      <c r="BC2472" s="34"/>
      <c r="BD2472" s="34"/>
      <c r="BE2472" s="34"/>
      <c r="BF2472" s="34"/>
      <c r="BG2472" s="34"/>
      <c r="BH2472" s="34"/>
      <c r="BI2472" s="34"/>
      <c r="BJ2472" s="34"/>
      <c r="BK2472" s="34"/>
      <c r="BL2472" s="34"/>
      <c r="BM2472" s="34"/>
      <c r="BN2472" s="34"/>
      <c r="BO2472" s="34"/>
      <c r="BP2472" s="34"/>
      <c r="BQ2472" s="34"/>
      <c r="BR2472" s="34"/>
      <c r="BS2472" s="34"/>
      <c r="BT2472" s="34"/>
      <c r="BU2472" s="34"/>
      <c r="BV2472" s="34"/>
      <c r="BW2472" s="34"/>
      <c r="BX2472" s="34"/>
      <c r="BY2472" s="34"/>
      <c r="BZ2472" s="34"/>
      <c r="CA2472" s="34"/>
      <c r="CB2472" s="34"/>
      <c r="CC2472" s="34"/>
      <c r="CD2472" s="34"/>
      <c r="CE2472" s="34"/>
      <c r="CF2472" s="34"/>
      <c r="CG2472" s="34"/>
      <c r="CH2472" s="34"/>
    </row>
    <row r="2473" spans="1:86" x14ac:dyDescent="0.2">
      <c r="A2473" s="8" t="str">
        <f>IF(AND(COUNTIF(W$3:W$13,A$24)&gt;0,A$24&lt;&gt;B2324),A$24,IFERROR(IF(MATCH(A$24,Z$3:Z$13,0)=7,A$24," ")," "))</f>
        <v xml:space="preserve"> </v>
      </c>
      <c r="B2473" s="8" t="str">
        <f>IF(A2473=" "," ",MAX(B2464:B2472)+1)</f>
        <v xml:space="preserve"> </v>
      </c>
      <c r="C2473" s="8" t="str">
        <f>IFERROR(INDEX(A2464:A2485,MATCH(SMALL(B2464:B2485,10),B2464:B2485,0),1)," ")</f>
        <v>C20</v>
      </c>
      <c r="D2473" s="8">
        <f t="shared" si="10774"/>
        <v>0</v>
      </c>
      <c r="E2473" s="8">
        <f t="shared" si="10775"/>
        <v>0</v>
      </c>
      <c r="F2473" s="8">
        <f t="shared" si="10776"/>
        <v>0</v>
      </c>
      <c r="G2473" s="8">
        <f t="shared" si="10777"/>
        <v>0</v>
      </c>
      <c r="H2473" s="8">
        <f t="shared" si="10778"/>
        <v>0</v>
      </c>
      <c r="I2473" s="8">
        <f t="shared" si="10779"/>
        <v>0</v>
      </c>
      <c r="J2473" s="8">
        <f t="shared" si="10780"/>
        <v>0</v>
      </c>
      <c r="K2473" s="8">
        <f t="shared" si="10781"/>
        <v>0</v>
      </c>
      <c r="L2473" s="8">
        <f t="shared" si="10782"/>
        <v>1</v>
      </c>
      <c r="M2473" s="8">
        <f t="shared" si="10783"/>
        <v>0</v>
      </c>
      <c r="N2473" s="8">
        <f t="shared" si="10784"/>
        <v>0</v>
      </c>
      <c r="O2473" s="8">
        <f t="shared" si="10785"/>
        <v>0</v>
      </c>
      <c r="P2473" s="8" t="e">
        <v>#NUM!</v>
      </c>
      <c r="Q2473" s="8" t="e">
        <f t="shared" ref="Q2473" si="10816">IF(COUNTIF(P2464:P2474,"&lt;"&amp;-0.001)=0,IF(ABS(P2473)&lt;0.001,0,P2473)," ")</f>
        <v>#NUM!</v>
      </c>
      <c r="R2473" s="8"/>
      <c r="S2473" s="8"/>
      <c r="U2473" s="34"/>
      <c r="V2473" s="34"/>
      <c r="W2473" s="34"/>
      <c r="X2473" s="34"/>
      <c r="Y2473" s="34"/>
      <c r="Z2473" s="34"/>
      <c r="AA2473" s="34"/>
      <c r="AB2473" s="34"/>
      <c r="AC2473" s="34"/>
      <c r="AD2473" s="34"/>
      <c r="AE2473" s="34"/>
      <c r="AF2473" s="34"/>
      <c r="AG2473" s="34"/>
      <c r="AH2473" s="34"/>
      <c r="AI2473" s="34"/>
      <c r="AJ2473" s="34"/>
      <c r="AK2473" s="34"/>
      <c r="AL2473" s="34"/>
      <c r="AM2473" s="34"/>
      <c r="AN2473" s="34"/>
      <c r="AO2473" s="34"/>
      <c r="AP2473" s="34"/>
      <c r="AQ2473" s="34"/>
      <c r="AR2473" s="34"/>
      <c r="AS2473" s="34"/>
      <c r="AT2473" s="34"/>
      <c r="AU2473" s="34"/>
      <c r="AV2473" s="34"/>
      <c r="AW2473" s="34"/>
      <c r="AX2473" s="34"/>
      <c r="AY2473" s="34"/>
      <c r="AZ2473" s="34"/>
      <c r="BA2473" s="34"/>
      <c r="BB2473" s="34"/>
      <c r="BC2473" s="34"/>
      <c r="BD2473" s="34"/>
      <c r="BE2473" s="34"/>
      <c r="BF2473" s="34"/>
      <c r="BG2473" s="34"/>
      <c r="BH2473" s="34"/>
      <c r="BI2473" s="34"/>
      <c r="BJ2473" s="34"/>
      <c r="BK2473" s="34"/>
      <c r="BL2473" s="34"/>
      <c r="BM2473" s="34"/>
      <c r="BN2473" s="34"/>
      <c r="BO2473" s="34"/>
      <c r="BP2473" s="34"/>
      <c r="BQ2473" s="34"/>
      <c r="BR2473" s="34"/>
      <c r="BS2473" s="34"/>
      <c r="BT2473" s="34"/>
      <c r="BU2473" s="34"/>
      <c r="BV2473" s="34"/>
      <c r="BW2473" s="34"/>
      <c r="BX2473" s="34"/>
      <c r="BY2473" s="34"/>
      <c r="BZ2473" s="34"/>
      <c r="CA2473" s="34"/>
      <c r="CB2473" s="34"/>
      <c r="CC2473" s="34"/>
      <c r="CD2473" s="34"/>
      <c r="CE2473" s="34"/>
      <c r="CF2473" s="34"/>
      <c r="CG2473" s="34"/>
      <c r="CH2473" s="34"/>
    </row>
    <row r="2474" spans="1:86" x14ac:dyDescent="0.2">
      <c r="A2474" s="8" t="str">
        <f>IF(AND(COUNTIF(W$3:W$13,A$25)&gt;0,A$25&lt;&gt;B2324),A$25,IFERROR(IF(MATCH(A$25,Z$3:Z$13,0)=7,A$25," ")," "))</f>
        <v xml:space="preserve"> </v>
      </c>
      <c r="B2474" s="8" t="str">
        <f>IF(A2474=" "," ",MAX(B2464:B2473)+1)</f>
        <v xml:space="preserve"> </v>
      </c>
      <c r="C2474" s="8" t="str">
        <f>IFERROR(INDEX(A2464:A2485,MATCH(SMALL(B2464:B2485,11),B2464:B2485,0),1)," ")</f>
        <v>C22</v>
      </c>
      <c r="D2474" s="8">
        <f t="shared" si="10774"/>
        <v>0</v>
      </c>
      <c r="E2474" s="8">
        <f t="shared" si="10775"/>
        <v>0</v>
      </c>
      <c r="F2474" s="8">
        <f t="shared" si="10776"/>
        <v>0</v>
      </c>
      <c r="G2474" s="8">
        <f t="shared" si="10777"/>
        <v>0</v>
      </c>
      <c r="H2474" s="8">
        <f t="shared" si="10778"/>
        <v>0</v>
      </c>
      <c r="I2474" s="8">
        <f t="shared" si="10779"/>
        <v>0</v>
      </c>
      <c r="J2474" s="8">
        <f t="shared" si="10780"/>
        <v>0</v>
      </c>
      <c r="K2474" s="8">
        <f t="shared" si="10781"/>
        <v>0</v>
      </c>
      <c r="L2474" s="8">
        <f t="shared" si="10782"/>
        <v>0</v>
      </c>
      <c r="M2474" s="8">
        <f t="shared" si="10783"/>
        <v>0</v>
      </c>
      <c r="N2474" s="8">
        <f t="shared" si="10784"/>
        <v>1</v>
      </c>
      <c r="O2474" s="8">
        <f t="shared" si="10785"/>
        <v>0</v>
      </c>
      <c r="P2474" s="8" t="e">
        <v>#NUM!</v>
      </c>
      <c r="Q2474" s="8" t="e">
        <f t="shared" ref="Q2474" si="10817">IF(COUNTIF(P2464:P2474,"&lt;"&amp;-0.001)=0,IF(ABS(P2474)&lt;0.001,0,P2474)," ")</f>
        <v>#NUM!</v>
      </c>
      <c r="R2474" s="8"/>
      <c r="S2474" s="8"/>
      <c r="U2474" s="34"/>
      <c r="V2474" s="34"/>
      <c r="W2474" s="34"/>
      <c r="X2474" s="34"/>
      <c r="Y2474" s="34"/>
      <c r="Z2474" s="34"/>
      <c r="AA2474" s="34"/>
      <c r="AB2474" s="34"/>
      <c r="AC2474" s="34"/>
      <c r="AD2474" s="34"/>
      <c r="AE2474" s="34"/>
      <c r="AF2474" s="34"/>
      <c r="AG2474" s="34"/>
      <c r="AH2474" s="34"/>
      <c r="AI2474" s="34"/>
      <c r="AJ2474" s="34"/>
      <c r="AK2474" s="34"/>
      <c r="AL2474" s="34"/>
      <c r="AM2474" s="34"/>
      <c r="AN2474" s="34"/>
      <c r="AO2474" s="34"/>
      <c r="AP2474" s="34"/>
      <c r="AQ2474" s="34"/>
      <c r="AR2474" s="34"/>
      <c r="AS2474" s="34"/>
      <c r="AT2474" s="34"/>
      <c r="AU2474" s="34"/>
      <c r="AV2474" s="34"/>
      <c r="AW2474" s="34"/>
      <c r="AX2474" s="34"/>
      <c r="AY2474" s="34"/>
      <c r="AZ2474" s="34"/>
      <c r="BA2474" s="34"/>
      <c r="BB2474" s="34"/>
      <c r="BC2474" s="34"/>
      <c r="BD2474" s="34"/>
      <c r="BE2474" s="34"/>
      <c r="BF2474" s="34"/>
      <c r="BG2474" s="34"/>
      <c r="BH2474" s="34"/>
      <c r="BI2474" s="34"/>
      <c r="BJ2474" s="34"/>
      <c r="BK2474" s="34"/>
      <c r="BL2474" s="34"/>
      <c r="BM2474" s="34"/>
      <c r="BN2474" s="34"/>
      <c r="BO2474" s="34"/>
      <c r="BP2474" s="34"/>
      <c r="BQ2474" s="34"/>
      <c r="BR2474" s="34"/>
      <c r="BS2474" s="34"/>
      <c r="BT2474" s="34"/>
      <c r="BU2474" s="34"/>
      <c r="BV2474" s="34"/>
      <c r="BW2474" s="34"/>
      <c r="BX2474" s="34"/>
      <c r="BY2474" s="34"/>
      <c r="BZ2474" s="34"/>
      <c r="CA2474" s="34"/>
      <c r="CB2474" s="34"/>
      <c r="CC2474" s="34"/>
      <c r="CD2474" s="34"/>
      <c r="CE2474" s="34"/>
      <c r="CF2474" s="34"/>
      <c r="CG2474" s="34"/>
      <c r="CH2474" s="34"/>
    </row>
    <row r="2475" spans="1:86" x14ac:dyDescent="0.2">
      <c r="A2475" s="8" t="str">
        <f>IF(AND(COUNTIF(W$3:W$13,A$26)&gt;0,A$26&lt;&gt;B2324),A$26,IFERROR(IF(MATCH(A$26,Z$3:Z$13,0)=7,A$26," ")," "))</f>
        <v xml:space="preserve"> </v>
      </c>
      <c r="B2475" s="8" t="str">
        <f>IF(A2475=" "," ",MAX(B2464:B2474)+1)</f>
        <v xml:space="preserve"> </v>
      </c>
      <c r="C2475" s="8"/>
      <c r="D2475" s="8"/>
      <c r="E2475" s="8"/>
      <c r="F2475" s="8"/>
      <c r="G2475" s="8"/>
      <c r="H2475" s="8"/>
      <c r="I2475" s="8"/>
      <c r="J2475" s="8"/>
      <c r="K2475" s="8"/>
      <c r="L2475" s="8"/>
      <c r="M2475" s="8"/>
      <c r="N2475" s="8"/>
      <c r="O2475" s="8"/>
      <c r="P2475" s="8"/>
      <c r="Q2475" s="8"/>
      <c r="R2475" s="8"/>
      <c r="S2475" s="8"/>
      <c r="U2475" s="34"/>
      <c r="V2475" s="34"/>
      <c r="W2475" s="34"/>
      <c r="X2475" s="34"/>
      <c r="Y2475" s="34"/>
      <c r="Z2475" s="34"/>
      <c r="AA2475" s="34"/>
      <c r="AB2475" s="34"/>
      <c r="AC2475" s="34"/>
      <c r="AD2475" s="34"/>
      <c r="AE2475" s="34"/>
      <c r="AF2475" s="34"/>
      <c r="AG2475" s="34"/>
      <c r="AH2475" s="34"/>
      <c r="AI2475" s="34"/>
      <c r="AJ2475" s="34"/>
      <c r="AK2475" s="34"/>
      <c r="AL2475" s="34"/>
      <c r="AM2475" s="34"/>
      <c r="AN2475" s="34"/>
      <c r="AO2475" s="34"/>
      <c r="AP2475" s="34"/>
      <c r="AQ2475" s="34"/>
      <c r="AR2475" s="34"/>
      <c r="AS2475" s="34"/>
      <c r="AT2475" s="34"/>
      <c r="AU2475" s="34"/>
      <c r="AV2475" s="34"/>
      <c r="AW2475" s="34"/>
      <c r="AX2475" s="34"/>
      <c r="AY2475" s="34"/>
      <c r="AZ2475" s="34"/>
      <c r="BA2475" s="34"/>
      <c r="BB2475" s="34"/>
      <c r="BC2475" s="34"/>
      <c r="BD2475" s="34"/>
      <c r="BE2475" s="34"/>
      <c r="BF2475" s="34"/>
      <c r="BG2475" s="34"/>
      <c r="BH2475" s="34"/>
      <c r="BI2475" s="34"/>
      <c r="BJ2475" s="34"/>
      <c r="BK2475" s="34"/>
      <c r="BL2475" s="34"/>
      <c r="BM2475" s="34"/>
      <c r="BN2475" s="34"/>
      <c r="BO2475" s="34"/>
      <c r="BP2475" s="34"/>
      <c r="BQ2475" s="34"/>
      <c r="BR2475" s="34"/>
      <c r="BS2475" s="34"/>
      <c r="BT2475" s="34"/>
      <c r="BU2475" s="34"/>
      <c r="BV2475" s="34"/>
      <c r="BW2475" s="34"/>
      <c r="BX2475" s="34"/>
      <c r="BY2475" s="34"/>
      <c r="BZ2475" s="34"/>
      <c r="CA2475" s="34"/>
      <c r="CB2475" s="34"/>
      <c r="CC2475" s="34"/>
      <c r="CD2475" s="34"/>
      <c r="CE2475" s="34"/>
      <c r="CF2475" s="34"/>
      <c r="CG2475" s="34"/>
      <c r="CH2475" s="34"/>
    </row>
    <row r="2476" spans="1:86" x14ac:dyDescent="0.2">
      <c r="A2476" s="8" t="str">
        <f>IF(AND(COUNTIF(W$3:W$13,A$27)&gt;0,A$27&lt;&gt;B2324),A$27,IFERROR(IF(MATCH(A$27,Z$3:Z$13,0)=7,A$27," ")," "))</f>
        <v>C13</v>
      </c>
      <c r="B2476" s="8">
        <f>IF(A2476=" "," ",MAX(B2464:B2475)+1)</f>
        <v>4</v>
      </c>
      <c r="C2476" s="8"/>
      <c r="D2476" s="8"/>
      <c r="E2476" s="8"/>
      <c r="F2476" s="8"/>
      <c r="G2476" s="8"/>
      <c r="H2476" s="8"/>
      <c r="I2476" s="8"/>
      <c r="J2476" s="8"/>
      <c r="K2476" s="8"/>
      <c r="L2476" s="8"/>
      <c r="M2476" s="8"/>
      <c r="N2476" s="8"/>
      <c r="O2476" s="8"/>
      <c r="P2476" s="8"/>
      <c r="Q2476" s="8"/>
      <c r="R2476" s="8"/>
      <c r="S2476" s="8"/>
      <c r="U2476" s="34"/>
      <c r="V2476" s="34"/>
      <c r="W2476" s="34"/>
      <c r="X2476" s="34"/>
      <c r="Y2476" s="34"/>
      <c r="Z2476" s="34"/>
      <c r="AA2476" s="34"/>
      <c r="AB2476" s="34"/>
      <c r="AC2476" s="34"/>
      <c r="AD2476" s="34"/>
      <c r="AE2476" s="34"/>
      <c r="AF2476" s="34"/>
      <c r="AG2476" s="34"/>
      <c r="AH2476" s="34"/>
      <c r="AI2476" s="34"/>
      <c r="AJ2476" s="34"/>
      <c r="AK2476" s="34"/>
      <c r="AL2476" s="34"/>
      <c r="AM2476" s="34"/>
      <c r="AN2476" s="34"/>
      <c r="AO2476" s="34"/>
      <c r="AP2476" s="34"/>
      <c r="AQ2476" s="34"/>
      <c r="AR2476" s="34"/>
      <c r="AS2476" s="34"/>
      <c r="AT2476" s="34"/>
      <c r="AU2476" s="34"/>
      <c r="AV2476" s="34"/>
      <c r="AW2476" s="34"/>
      <c r="AX2476" s="34"/>
      <c r="AY2476" s="34"/>
      <c r="AZ2476" s="34"/>
      <c r="BA2476" s="34"/>
      <c r="BB2476" s="34"/>
      <c r="BC2476" s="34"/>
      <c r="BD2476" s="34"/>
      <c r="BE2476" s="34"/>
      <c r="BF2476" s="34"/>
      <c r="BG2476" s="34"/>
      <c r="BH2476" s="34"/>
      <c r="BI2476" s="34"/>
      <c r="BJ2476" s="34"/>
      <c r="BK2476" s="34"/>
      <c r="BL2476" s="34"/>
      <c r="BM2476" s="34"/>
      <c r="BN2476" s="34"/>
      <c r="BO2476" s="34"/>
      <c r="BP2476" s="34"/>
      <c r="BQ2476" s="34"/>
      <c r="BR2476" s="34"/>
      <c r="BS2476" s="34"/>
      <c r="BT2476" s="34"/>
      <c r="BU2476" s="34"/>
      <c r="BV2476" s="34"/>
      <c r="BW2476" s="34"/>
      <c r="BX2476" s="34"/>
      <c r="BY2476" s="34"/>
      <c r="BZ2476" s="34"/>
      <c r="CA2476" s="34"/>
      <c r="CB2476" s="34"/>
      <c r="CC2476" s="34"/>
      <c r="CD2476" s="34"/>
      <c r="CE2476" s="34"/>
      <c r="CF2476" s="34"/>
      <c r="CG2476" s="34"/>
      <c r="CH2476" s="34"/>
    </row>
    <row r="2477" spans="1:86" x14ac:dyDescent="0.2">
      <c r="A2477" s="8" t="str">
        <f>IF(AND(COUNTIF(W$3:W$13,A$28)&gt;0,A$28&lt;&gt;B2324),A$28,IFERROR(IF(MATCH(A$28,Z$3:Z$13,0)=7,A$28," ")," "))</f>
        <v xml:space="preserve"> </v>
      </c>
      <c r="B2477" s="8" t="str">
        <f>IF(A2477=" "," ",MAX(B2464:B2476)+1)</f>
        <v xml:space="preserve"> </v>
      </c>
      <c r="C2477" s="8"/>
      <c r="D2477" s="8"/>
      <c r="E2477" s="8"/>
      <c r="F2477" s="8"/>
      <c r="G2477" s="8"/>
      <c r="H2477" s="8"/>
      <c r="I2477" s="8"/>
      <c r="J2477" s="8"/>
      <c r="K2477" s="8"/>
      <c r="L2477" s="8"/>
      <c r="M2477" s="8"/>
      <c r="N2477" s="8"/>
      <c r="O2477" s="8"/>
      <c r="P2477" s="8"/>
      <c r="Q2477" s="8"/>
      <c r="R2477" s="8"/>
      <c r="S2477" s="8"/>
      <c r="U2477" s="34"/>
      <c r="V2477" s="34"/>
      <c r="W2477" s="34"/>
      <c r="X2477" s="34"/>
      <c r="Y2477" s="34"/>
      <c r="Z2477" s="34"/>
      <c r="AA2477" s="34"/>
      <c r="AB2477" s="34"/>
      <c r="AC2477" s="34"/>
      <c r="AD2477" s="34"/>
      <c r="AE2477" s="34"/>
      <c r="AF2477" s="34"/>
      <c r="AG2477" s="34"/>
      <c r="AH2477" s="34"/>
      <c r="AI2477" s="34"/>
      <c r="AJ2477" s="34"/>
      <c r="AK2477" s="34"/>
      <c r="AL2477" s="34"/>
      <c r="AM2477" s="34"/>
      <c r="AN2477" s="34"/>
      <c r="AO2477" s="34"/>
      <c r="AP2477" s="34"/>
      <c r="AQ2477" s="34"/>
      <c r="AR2477" s="34"/>
      <c r="AS2477" s="34"/>
      <c r="AT2477" s="34"/>
      <c r="AU2477" s="34"/>
      <c r="AV2477" s="34"/>
      <c r="AW2477" s="34"/>
      <c r="AX2477" s="34"/>
      <c r="AY2477" s="34"/>
      <c r="AZ2477" s="34"/>
      <c r="BA2477" s="34"/>
      <c r="BB2477" s="34"/>
      <c r="BC2477" s="34"/>
      <c r="BD2477" s="34"/>
      <c r="BE2477" s="34"/>
      <c r="BF2477" s="34"/>
      <c r="BG2477" s="34"/>
      <c r="BH2477" s="34"/>
      <c r="BI2477" s="34"/>
      <c r="BJ2477" s="34"/>
      <c r="BK2477" s="34"/>
      <c r="BL2477" s="34"/>
      <c r="BM2477" s="34"/>
      <c r="BN2477" s="34"/>
      <c r="BO2477" s="34"/>
      <c r="BP2477" s="34"/>
      <c r="BQ2477" s="34"/>
      <c r="BR2477" s="34"/>
      <c r="BS2477" s="34"/>
      <c r="BT2477" s="34"/>
      <c r="BU2477" s="34"/>
      <c r="BV2477" s="34"/>
      <c r="BW2477" s="34"/>
      <c r="BX2477" s="34"/>
      <c r="BY2477" s="34"/>
      <c r="BZ2477" s="34"/>
      <c r="CA2477" s="34"/>
      <c r="CB2477" s="34"/>
      <c r="CC2477" s="34"/>
      <c r="CD2477" s="34"/>
      <c r="CE2477" s="34"/>
      <c r="CF2477" s="34"/>
      <c r="CG2477" s="34"/>
      <c r="CH2477" s="34"/>
    </row>
    <row r="2478" spans="1:86" x14ac:dyDescent="0.2">
      <c r="A2478" s="8" t="str">
        <f>IF(AND(COUNTIF(W$3:W$13,A$29)&gt;0,A$29&lt;&gt;B2324),A$29,IFERROR(IF(MATCH(A$29,Z$3:Z$13,0)=7,A$29," ")," "))</f>
        <v>C15</v>
      </c>
      <c r="B2478" s="8">
        <f>IF(A2478=" "," ",MAX(B2464:B2477)+1)</f>
        <v>5</v>
      </c>
      <c r="C2478" s="8"/>
      <c r="D2478" s="8"/>
      <c r="E2478" s="8"/>
      <c r="F2478" s="8"/>
      <c r="G2478" s="8"/>
      <c r="H2478" s="8"/>
      <c r="I2478" s="8"/>
      <c r="J2478" s="8"/>
      <c r="K2478" s="8"/>
      <c r="L2478" s="8"/>
      <c r="M2478" s="8"/>
      <c r="N2478" s="8"/>
      <c r="O2478" s="8"/>
      <c r="P2478" s="8"/>
      <c r="Q2478" s="8"/>
      <c r="R2478" s="8"/>
      <c r="S2478" s="8"/>
      <c r="U2478" s="34"/>
      <c r="V2478" s="34"/>
      <c r="W2478" s="34"/>
      <c r="X2478" s="34"/>
      <c r="Y2478" s="34"/>
      <c r="Z2478" s="34"/>
      <c r="AA2478" s="34"/>
      <c r="AB2478" s="34"/>
      <c r="AC2478" s="34"/>
      <c r="AD2478" s="34"/>
      <c r="AE2478" s="34"/>
      <c r="AF2478" s="34"/>
      <c r="AG2478" s="34"/>
      <c r="AH2478" s="34"/>
      <c r="AI2478" s="34"/>
      <c r="AJ2478" s="34"/>
      <c r="AK2478" s="34"/>
      <c r="AL2478" s="34"/>
      <c r="AM2478" s="34"/>
      <c r="AN2478" s="34"/>
      <c r="AO2478" s="34"/>
      <c r="AP2478" s="34"/>
      <c r="AQ2478" s="34"/>
      <c r="AR2478" s="34"/>
      <c r="AS2478" s="34"/>
      <c r="AT2478" s="34"/>
      <c r="AU2478" s="34"/>
      <c r="AV2478" s="34"/>
      <c r="AW2478" s="34"/>
      <c r="AX2478" s="34"/>
      <c r="AY2478" s="34"/>
      <c r="AZ2478" s="34"/>
      <c r="BA2478" s="34"/>
      <c r="BB2478" s="34"/>
      <c r="BC2478" s="34"/>
      <c r="BD2478" s="34"/>
      <c r="BE2478" s="34"/>
      <c r="BF2478" s="34"/>
      <c r="BG2478" s="34"/>
      <c r="BH2478" s="34"/>
      <c r="BI2478" s="34"/>
      <c r="BJ2478" s="34"/>
      <c r="BK2478" s="34"/>
      <c r="BL2478" s="34"/>
      <c r="BM2478" s="34"/>
      <c r="BN2478" s="34"/>
      <c r="BO2478" s="34"/>
      <c r="BP2478" s="34"/>
      <c r="BQ2478" s="34"/>
      <c r="BR2478" s="34"/>
      <c r="BS2478" s="34"/>
      <c r="BT2478" s="34"/>
      <c r="BU2478" s="34"/>
      <c r="BV2478" s="34"/>
      <c r="BW2478" s="34"/>
      <c r="BX2478" s="34"/>
      <c r="BY2478" s="34"/>
      <c r="BZ2478" s="34"/>
      <c r="CA2478" s="34"/>
      <c r="CB2478" s="34"/>
      <c r="CC2478" s="34"/>
      <c r="CD2478" s="34"/>
      <c r="CE2478" s="34"/>
      <c r="CF2478" s="34"/>
      <c r="CG2478" s="34"/>
      <c r="CH2478" s="34"/>
    </row>
    <row r="2479" spans="1:86" x14ac:dyDescent="0.2">
      <c r="A2479" s="8" t="str">
        <f>IF(AND(COUNTIF(W$3:W$13,A$30)&gt;0,A$30&lt;&gt;B2324),A$30,IFERROR(IF(MATCH(A$30,Z$3:Z$13,0)=7,A$30," ")," "))</f>
        <v>C16</v>
      </c>
      <c r="B2479" s="8">
        <f>IF(A2479=" "," ",MAX(B2464:B2478)+1)</f>
        <v>6</v>
      </c>
      <c r="C2479" s="8"/>
      <c r="D2479" s="8"/>
      <c r="E2479" s="8"/>
      <c r="F2479" s="8"/>
      <c r="G2479" s="8"/>
      <c r="H2479" s="8"/>
      <c r="I2479" s="8"/>
      <c r="J2479" s="8"/>
      <c r="K2479" s="8"/>
      <c r="L2479" s="8"/>
      <c r="M2479" s="8"/>
      <c r="N2479" s="8"/>
      <c r="O2479" s="8"/>
      <c r="P2479" s="8"/>
      <c r="Q2479" s="8"/>
      <c r="R2479" s="8"/>
      <c r="S2479" s="8"/>
      <c r="U2479" s="34"/>
      <c r="V2479" s="34"/>
      <c r="W2479" s="34"/>
      <c r="X2479" s="34"/>
      <c r="Y2479" s="34"/>
      <c r="Z2479" s="34"/>
      <c r="AA2479" s="34"/>
      <c r="AB2479" s="34"/>
      <c r="AC2479" s="34"/>
      <c r="AD2479" s="34"/>
      <c r="AE2479" s="34"/>
      <c r="AF2479" s="34"/>
      <c r="AG2479" s="34"/>
      <c r="AH2479" s="34"/>
      <c r="AI2479" s="34"/>
      <c r="AJ2479" s="34"/>
      <c r="AK2479" s="34"/>
      <c r="AL2479" s="34"/>
      <c r="AM2479" s="34"/>
      <c r="AN2479" s="34"/>
      <c r="AO2479" s="34"/>
      <c r="AP2479" s="34"/>
      <c r="AQ2479" s="34"/>
      <c r="AR2479" s="34"/>
      <c r="AS2479" s="34"/>
      <c r="AT2479" s="34"/>
      <c r="AU2479" s="34"/>
      <c r="AV2479" s="34"/>
      <c r="AW2479" s="34"/>
      <c r="AX2479" s="34"/>
      <c r="AY2479" s="34"/>
      <c r="AZ2479" s="34"/>
      <c r="BA2479" s="34"/>
      <c r="BB2479" s="34"/>
      <c r="BC2479" s="34"/>
      <c r="BD2479" s="34"/>
      <c r="BE2479" s="34"/>
      <c r="BF2479" s="34"/>
      <c r="BG2479" s="34"/>
      <c r="BH2479" s="34"/>
      <c r="BI2479" s="34"/>
      <c r="BJ2479" s="34"/>
      <c r="BK2479" s="34"/>
      <c r="BL2479" s="34"/>
      <c r="BM2479" s="34"/>
      <c r="BN2479" s="34"/>
      <c r="BO2479" s="34"/>
      <c r="BP2479" s="34"/>
      <c r="BQ2479" s="34"/>
      <c r="BR2479" s="34"/>
      <c r="BS2479" s="34"/>
      <c r="BT2479" s="34"/>
      <c r="BU2479" s="34"/>
      <c r="BV2479" s="34"/>
      <c r="BW2479" s="34"/>
      <c r="BX2479" s="34"/>
      <c r="BY2479" s="34"/>
      <c r="BZ2479" s="34"/>
      <c r="CA2479" s="34"/>
      <c r="CB2479" s="34"/>
      <c r="CC2479" s="34"/>
      <c r="CD2479" s="34"/>
      <c r="CE2479" s="34"/>
      <c r="CF2479" s="34"/>
      <c r="CG2479" s="34"/>
      <c r="CH2479" s="34"/>
    </row>
    <row r="2480" spans="1:86" x14ac:dyDescent="0.2">
      <c r="A2480" s="8" t="str">
        <f>IF(AND(COUNTIF(W$3:W$13,A$31)&gt;0,A$31&lt;&gt;B2324),A$31,IFERROR(IF(MATCH(A$31,Z$3:Z$13,0)=7,A$31," ")," "))</f>
        <v>C17</v>
      </c>
      <c r="B2480" s="8">
        <f>IF(A2480=" "," ",MAX(B2464:B2479)+1)</f>
        <v>7</v>
      </c>
      <c r="C2480" s="8"/>
      <c r="D2480" s="8"/>
      <c r="E2480" s="8"/>
      <c r="F2480" s="8"/>
      <c r="G2480" s="8"/>
      <c r="H2480" s="8"/>
      <c r="I2480" s="8"/>
      <c r="J2480" s="8"/>
      <c r="K2480" s="8"/>
      <c r="L2480" s="8"/>
      <c r="M2480" s="8"/>
      <c r="N2480" s="8"/>
      <c r="O2480" s="8"/>
      <c r="P2480" s="8"/>
      <c r="Q2480" s="8"/>
      <c r="R2480" s="8"/>
      <c r="S2480" s="8"/>
      <c r="U2480" s="34"/>
      <c r="V2480" s="34"/>
      <c r="W2480" s="34"/>
      <c r="X2480" s="34"/>
      <c r="Y2480" s="34"/>
      <c r="Z2480" s="34"/>
      <c r="AA2480" s="34"/>
      <c r="AB2480" s="34"/>
      <c r="AC2480" s="34"/>
      <c r="AD2480" s="34"/>
      <c r="AE2480" s="34"/>
      <c r="AF2480" s="34"/>
      <c r="AG2480" s="34"/>
      <c r="AH2480" s="34"/>
      <c r="AI2480" s="34"/>
      <c r="AJ2480" s="34"/>
      <c r="AK2480" s="34"/>
      <c r="AL2480" s="34"/>
      <c r="AM2480" s="34"/>
      <c r="AN2480" s="34"/>
      <c r="AO2480" s="34"/>
      <c r="AP2480" s="34"/>
      <c r="AQ2480" s="34"/>
      <c r="AR2480" s="34"/>
      <c r="AS2480" s="34"/>
      <c r="AT2480" s="34"/>
      <c r="AU2480" s="34"/>
      <c r="AV2480" s="34"/>
      <c r="AW2480" s="34"/>
      <c r="AX2480" s="34"/>
      <c r="AY2480" s="34"/>
      <c r="AZ2480" s="34"/>
      <c r="BA2480" s="34"/>
      <c r="BB2480" s="34"/>
      <c r="BC2480" s="34"/>
      <c r="BD2480" s="34"/>
      <c r="BE2480" s="34"/>
      <c r="BF2480" s="34"/>
      <c r="BG2480" s="34"/>
      <c r="BH2480" s="34"/>
      <c r="BI2480" s="34"/>
      <c r="BJ2480" s="34"/>
      <c r="BK2480" s="34"/>
      <c r="BL2480" s="34"/>
      <c r="BM2480" s="34"/>
      <c r="BN2480" s="34"/>
      <c r="BO2480" s="34"/>
      <c r="BP2480" s="34"/>
      <c r="BQ2480" s="34"/>
      <c r="BR2480" s="34"/>
      <c r="BS2480" s="34"/>
      <c r="BT2480" s="34"/>
      <c r="BU2480" s="34"/>
      <c r="BV2480" s="34"/>
      <c r="BW2480" s="34"/>
      <c r="BX2480" s="34"/>
      <c r="BY2480" s="34"/>
      <c r="BZ2480" s="34"/>
      <c r="CA2480" s="34"/>
      <c r="CB2480" s="34"/>
      <c r="CC2480" s="34"/>
      <c r="CD2480" s="34"/>
      <c r="CE2480" s="34"/>
      <c r="CF2480" s="34"/>
      <c r="CG2480" s="34"/>
      <c r="CH2480" s="34"/>
    </row>
    <row r="2481" spans="1:86" x14ac:dyDescent="0.2">
      <c r="A2481" s="8" t="str">
        <f>IF(AND(COUNTIF(W$3:W$13,A$32)&gt;0,A$32&lt;&gt;B2324),A$32,IFERROR(IF(MATCH(A$32,Z$3:Z$13,0)=7,A$32," ")," "))</f>
        <v>C18</v>
      </c>
      <c r="B2481" s="8">
        <f>IF(A2481=" "," ",MAX(B2464:B2480)+1)</f>
        <v>8</v>
      </c>
      <c r="C2481" s="8"/>
      <c r="D2481" s="8"/>
      <c r="E2481" s="8"/>
      <c r="F2481" s="8"/>
      <c r="G2481" s="8"/>
      <c r="H2481" s="8"/>
      <c r="I2481" s="8"/>
      <c r="J2481" s="8"/>
      <c r="K2481" s="8"/>
      <c r="L2481" s="8"/>
      <c r="M2481" s="8"/>
      <c r="N2481" s="8"/>
      <c r="O2481" s="8"/>
      <c r="P2481" s="8"/>
      <c r="Q2481" s="8"/>
      <c r="R2481" s="8"/>
      <c r="S2481" s="8"/>
      <c r="U2481" s="34"/>
      <c r="V2481" s="34"/>
      <c r="W2481" s="34"/>
      <c r="X2481" s="34"/>
      <c r="Y2481" s="34"/>
      <c r="Z2481" s="34"/>
      <c r="AA2481" s="34"/>
      <c r="AB2481" s="34"/>
      <c r="AC2481" s="34"/>
      <c r="AD2481" s="34"/>
      <c r="AE2481" s="34"/>
      <c r="AF2481" s="34"/>
      <c r="AG2481" s="34"/>
      <c r="AH2481" s="34"/>
      <c r="AI2481" s="34"/>
      <c r="AJ2481" s="34"/>
      <c r="AK2481" s="34"/>
      <c r="AL2481" s="34"/>
      <c r="AM2481" s="34"/>
      <c r="AN2481" s="34"/>
      <c r="AO2481" s="34"/>
      <c r="AP2481" s="34"/>
      <c r="AQ2481" s="34"/>
      <c r="AR2481" s="34"/>
      <c r="AS2481" s="34"/>
      <c r="AT2481" s="34"/>
      <c r="AU2481" s="34"/>
      <c r="AV2481" s="34"/>
      <c r="AW2481" s="34"/>
      <c r="AX2481" s="34"/>
      <c r="AY2481" s="34"/>
      <c r="AZ2481" s="34"/>
      <c r="BA2481" s="34"/>
      <c r="BB2481" s="34"/>
      <c r="BC2481" s="34"/>
      <c r="BD2481" s="34"/>
      <c r="BE2481" s="34"/>
      <c r="BF2481" s="34"/>
      <c r="BG2481" s="34"/>
      <c r="BH2481" s="34"/>
      <c r="BI2481" s="34"/>
      <c r="BJ2481" s="34"/>
      <c r="BK2481" s="34"/>
      <c r="BL2481" s="34"/>
      <c r="BM2481" s="34"/>
      <c r="BN2481" s="34"/>
      <c r="BO2481" s="34"/>
      <c r="BP2481" s="34"/>
      <c r="BQ2481" s="34"/>
      <c r="BR2481" s="34"/>
      <c r="BS2481" s="34"/>
      <c r="BT2481" s="34"/>
      <c r="BU2481" s="34"/>
      <c r="BV2481" s="34"/>
      <c r="BW2481" s="34"/>
      <c r="BX2481" s="34"/>
      <c r="BY2481" s="34"/>
      <c r="BZ2481" s="34"/>
      <c r="CA2481" s="34"/>
      <c r="CB2481" s="34"/>
      <c r="CC2481" s="34"/>
      <c r="CD2481" s="34"/>
      <c r="CE2481" s="34"/>
      <c r="CF2481" s="34"/>
      <c r="CG2481" s="34"/>
      <c r="CH2481" s="34"/>
    </row>
    <row r="2482" spans="1:86" x14ac:dyDescent="0.2">
      <c r="A2482" s="8" t="str">
        <f>IF(AND(COUNTIF(W$3:W$13,A$33)&gt;0,A$33&lt;&gt;B2324),A$33,IFERROR(IF(MATCH(A$33,Z$3:Z$13,0)=7,A$33," ")," "))</f>
        <v>C19</v>
      </c>
      <c r="B2482" s="8">
        <f>IF(A2482=" "," ",MAX(B2464:B2481)+1)</f>
        <v>9</v>
      </c>
      <c r="C2482" s="8"/>
      <c r="D2482" s="8"/>
      <c r="E2482" s="8"/>
      <c r="F2482" s="8"/>
      <c r="G2482" s="8"/>
      <c r="H2482" s="8"/>
      <c r="I2482" s="8"/>
      <c r="J2482" s="8"/>
      <c r="K2482" s="8"/>
      <c r="L2482" s="8"/>
      <c r="M2482" s="8"/>
      <c r="N2482" s="8"/>
      <c r="O2482" s="8"/>
      <c r="P2482" s="8"/>
      <c r="Q2482" s="8"/>
      <c r="R2482" s="8"/>
      <c r="S2482" s="8"/>
      <c r="U2482" s="34"/>
      <c r="V2482" s="34"/>
      <c r="W2482" s="34"/>
      <c r="X2482" s="34"/>
      <c r="Y2482" s="34"/>
      <c r="Z2482" s="34"/>
      <c r="AA2482" s="34"/>
      <c r="AB2482" s="34"/>
      <c r="AC2482" s="34"/>
      <c r="AD2482" s="34"/>
      <c r="AE2482" s="34"/>
      <c r="AF2482" s="34"/>
      <c r="AG2482" s="34"/>
      <c r="AH2482" s="34"/>
      <c r="AI2482" s="34"/>
      <c r="AJ2482" s="34"/>
      <c r="AK2482" s="34"/>
      <c r="AL2482" s="34"/>
      <c r="AM2482" s="34"/>
      <c r="AN2482" s="34"/>
      <c r="AO2482" s="34"/>
      <c r="AP2482" s="34"/>
      <c r="AQ2482" s="34"/>
      <c r="AR2482" s="34"/>
      <c r="AS2482" s="34"/>
      <c r="AT2482" s="34"/>
      <c r="AU2482" s="34"/>
      <c r="AV2482" s="34"/>
      <c r="AW2482" s="34"/>
      <c r="AX2482" s="34"/>
      <c r="AY2482" s="34"/>
      <c r="AZ2482" s="34"/>
      <c r="BA2482" s="34"/>
      <c r="BB2482" s="34"/>
      <c r="BC2482" s="34"/>
      <c r="BD2482" s="34"/>
      <c r="BE2482" s="34"/>
      <c r="BF2482" s="34"/>
      <c r="BG2482" s="34"/>
      <c r="BH2482" s="34"/>
      <c r="BI2482" s="34"/>
      <c r="BJ2482" s="34"/>
      <c r="BK2482" s="34"/>
      <c r="BL2482" s="34"/>
      <c r="BM2482" s="34"/>
      <c r="BN2482" s="34"/>
      <c r="BO2482" s="34"/>
      <c r="BP2482" s="34"/>
      <c r="BQ2482" s="34"/>
      <c r="BR2482" s="34"/>
      <c r="BS2482" s="34"/>
      <c r="BT2482" s="34"/>
      <c r="BU2482" s="34"/>
      <c r="BV2482" s="34"/>
      <c r="BW2482" s="34"/>
      <c r="BX2482" s="34"/>
      <c r="BY2482" s="34"/>
      <c r="BZ2482" s="34"/>
      <c r="CA2482" s="34"/>
      <c r="CB2482" s="34"/>
      <c r="CC2482" s="34"/>
      <c r="CD2482" s="34"/>
      <c r="CE2482" s="34"/>
      <c r="CF2482" s="34"/>
      <c r="CG2482" s="34"/>
      <c r="CH2482" s="34"/>
    </row>
    <row r="2483" spans="1:86" x14ac:dyDescent="0.2">
      <c r="A2483" s="8" t="str">
        <f>IF(AND(COUNTIF(W$3:W$13,A$34)&gt;0,A$34&lt;&gt;B2324),A$34,IFERROR(IF(MATCH(A$34,Z$3:Z$13,0)=7,A$34," ")," "))</f>
        <v>C20</v>
      </c>
      <c r="B2483" s="8">
        <f>IF(A2483=" "," ",MAX(B2464:B2482)+1)</f>
        <v>10</v>
      </c>
      <c r="C2483" s="8"/>
      <c r="D2483" s="8"/>
      <c r="E2483" s="8"/>
      <c r="F2483" s="8"/>
      <c r="G2483" s="8"/>
      <c r="H2483" s="8"/>
      <c r="I2483" s="8"/>
      <c r="J2483" s="8"/>
      <c r="K2483" s="8"/>
      <c r="L2483" s="8"/>
      <c r="M2483" s="8"/>
      <c r="N2483" s="8"/>
      <c r="O2483" s="8"/>
      <c r="P2483" s="8"/>
      <c r="Q2483" s="8"/>
      <c r="R2483" s="8"/>
      <c r="S2483" s="8"/>
      <c r="U2483" s="34"/>
      <c r="V2483" s="34"/>
      <c r="W2483" s="34"/>
      <c r="X2483" s="34"/>
      <c r="Y2483" s="34"/>
      <c r="Z2483" s="34"/>
      <c r="AA2483" s="34"/>
      <c r="AB2483" s="34"/>
      <c r="AC2483" s="34"/>
      <c r="AD2483" s="34"/>
      <c r="AE2483" s="34"/>
      <c r="AF2483" s="34"/>
      <c r="AG2483" s="34"/>
      <c r="AH2483" s="34"/>
      <c r="AI2483" s="34"/>
      <c r="AJ2483" s="34"/>
      <c r="AK2483" s="34"/>
      <c r="AL2483" s="34"/>
      <c r="AM2483" s="34"/>
      <c r="AN2483" s="34"/>
      <c r="AO2483" s="34"/>
      <c r="AP2483" s="34"/>
      <c r="AQ2483" s="34"/>
      <c r="AR2483" s="34"/>
      <c r="AS2483" s="34"/>
      <c r="AT2483" s="34"/>
      <c r="AU2483" s="34"/>
      <c r="AV2483" s="34"/>
      <c r="AW2483" s="34"/>
      <c r="AX2483" s="34"/>
      <c r="AY2483" s="34"/>
      <c r="AZ2483" s="34"/>
      <c r="BA2483" s="34"/>
      <c r="BB2483" s="34"/>
      <c r="BC2483" s="34"/>
      <c r="BD2483" s="34"/>
      <c r="BE2483" s="34"/>
      <c r="BF2483" s="34"/>
      <c r="BG2483" s="34"/>
      <c r="BH2483" s="34"/>
      <c r="BI2483" s="34"/>
      <c r="BJ2483" s="34"/>
      <c r="BK2483" s="34"/>
      <c r="BL2483" s="34"/>
      <c r="BM2483" s="34"/>
      <c r="BN2483" s="34"/>
      <c r="BO2483" s="34"/>
      <c r="BP2483" s="34"/>
      <c r="BQ2483" s="34"/>
      <c r="BR2483" s="34"/>
      <c r="BS2483" s="34"/>
      <c r="BT2483" s="34"/>
      <c r="BU2483" s="34"/>
      <c r="BV2483" s="34"/>
      <c r="BW2483" s="34"/>
      <c r="BX2483" s="34"/>
      <c r="BY2483" s="34"/>
      <c r="BZ2483" s="34"/>
      <c r="CA2483" s="34"/>
      <c r="CB2483" s="34"/>
      <c r="CC2483" s="34"/>
      <c r="CD2483" s="34"/>
      <c r="CE2483" s="34"/>
      <c r="CF2483" s="34"/>
      <c r="CG2483" s="34"/>
      <c r="CH2483" s="34"/>
    </row>
    <row r="2484" spans="1:86" x14ac:dyDescent="0.2">
      <c r="A2484" s="8" t="str">
        <f>IF(AND(COUNTIF(W$3:W$13,A$35)&gt;0,A$35&lt;&gt;B2324),A$35,IFERROR(IF(MATCH(A$35,Z$3:Z$13,0)=7,A$35," ")," "))</f>
        <v xml:space="preserve"> </v>
      </c>
      <c r="B2484" s="8" t="str">
        <f>IF(A2484=" "," ",MAX(B2464:B2483)+1)</f>
        <v xml:space="preserve"> </v>
      </c>
      <c r="C2484" s="8"/>
      <c r="D2484" s="8"/>
      <c r="E2484" s="8"/>
      <c r="F2484" s="8"/>
      <c r="G2484" s="8"/>
      <c r="H2484" s="8"/>
      <c r="I2484" s="8"/>
      <c r="J2484" s="8"/>
      <c r="K2484" s="8"/>
      <c r="L2484" s="8"/>
      <c r="M2484" s="8"/>
      <c r="N2484" s="8"/>
      <c r="O2484" s="8"/>
      <c r="P2484" s="8"/>
      <c r="Q2484" s="8"/>
      <c r="R2484" s="8"/>
      <c r="S2484" s="8"/>
      <c r="U2484" s="34"/>
      <c r="V2484" s="34"/>
      <c r="W2484" s="34"/>
      <c r="X2484" s="34"/>
      <c r="Y2484" s="34"/>
      <c r="Z2484" s="34"/>
      <c r="AA2484" s="34"/>
      <c r="AB2484" s="34"/>
      <c r="AC2484" s="34"/>
      <c r="AD2484" s="34"/>
      <c r="AE2484" s="34"/>
      <c r="AF2484" s="34"/>
      <c r="AG2484" s="34"/>
      <c r="AH2484" s="34"/>
      <c r="AI2484" s="34"/>
      <c r="AJ2484" s="34"/>
      <c r="AK2484" s="34"/>
      <c r="AL2484" s="34"/>
      <c r="AM2484" s="34"/>
      <c r="AN2484" s="34"/>
      <c r="AO2484" s="34"/>
      <c r="AP2484" s="34"/>
      <c r="AQ2484" s="34"/>
      <c r="AR2484" s="34"/>
      <c r="AS2484" s="34"/>
      <c r="AT2484" s="34"/>
      <c r="AU2484" s="34"/>
      <c r="AV2484" s="34"/>
      <c r="AW2484" s="34"/>
      <c r="AX2484" s="34"/>
      <c r="AY2484" s="34"/>
      <c r="AZ2484" s="34"/>
      <c r="BA2484" s="34"/>
      <c r="BB2484" s="34"/>
      <c r="BC2484" s="34"/>
      <c r="BD2484" s="34"/>
      <c r="BE2484" s="34"/>
      <c r="BF2484" s="34"/>
      <c r="BG2484" s="34"/>
      <c r="BH2484" s="34"/>
      <c r="BI2484" s="34"/>
      <c r="BJ2484" s="34"/>
      <c r="BK2484" s="34"/>
      <c r="BL2484" s="34"/>
      <c r="BM2484" s="34"/>
      <c r="BN2484" s="34"/>
      <c r="BO2484" s="34"/>
      <c r="BP2484" s="34"/>
      <c r="BQ2484" s="34"/>
      <c r="BR2484" s="34"/>
      <c r="BS2484" s="34"/>
      <c r="BT2484" s="34"/>
      <c r="BU2484" s="34"/>
      <c r="BV2484" s="34"/>
      <c r="BW2484" s="34"/>
      <c r="BX2484" s="34"/>
      <c r="BY2484" s="34"/>
      <c r="BZ2484" s="34"/>
      <c r="CA2484" s="34"/>
      <c r="CB2484" s="34"/>
      <c r="CC2484" s="34"/>
      <c r="CD2484" s="34"/>
      <c r="CE2484" s="34"/>
      <c r="CF2484" s="34"/>
      <c r="CG2484" s="34"/>
      <c r="CH2484" s="34"/>
    </row>
    <row r="2485" spans="1:86" x14ac:dyDescent="0.2">
      <c r="A2485" s="8" t="str">
        <f>IF(AND(COUNTIF(W$3:W$13,A$36)&gt;0,A$36&lt;&gt;B2324),A$36,IFERROR(IF(MATCH(A$36,Z$3:Z$13,0)=7,A$36," ")," "))</f>
        <v>C22</v>
      </c>
      <c r="B2485" s="8">
        <f>IF(A2485=" "," ",MAX(B2464:B2484)+1)</f>
        <v>11</v>
      </c>
      <c r="C2485" s="8"/>
      <c r="D2485" s="8"/>
      <c r="E2485" s="8"/>
      <c r="F2485" s="8"/>
      <c r="G2485" s="8"/>
      <c r="H2485" s="8"/>
      <c r="I2485" s="8"/>
      <c r="J2485" s="8"/>
      <c r="K2485" s="8"/>
      <c r="L2485" s="8"/>
      <c r="M2485" s="8"/>
      <c r="N2485" s="8"/>
      <c r="O2485" s="8"/>
      <c r="P2485" s="8"/>
      <c r="Q2485" s="8"/>
      <c r="R2485" s="8"/>
      <c r="S2485" s="8"/>
      <c r="U2485" s="34"/>
      <c r="V2485" s="34"/>
      <c r="W2485" s="34"/>
      <c r="X2485" s="34"/>
      <c r="Y2485" s="34"/>
      <c r="Z2485" s="34"/>
      <c r="AA2485" s="34"/>
      <c r="AB2485" s="34"/>
      <c r="AC2485" s="34"/>
      <c r="AD2485" s="34"/>
      <c r="AE2485" s="34"/>
      <c r="AF2485" s="34"/>
      <c r="AG2485" s="34"/>
      <c r="AH2485" s="34"/>
      <c r="AI2485" s="34"/>
      <c r="AJ2485" s="34"/>
      <c r="AK2485" s="34"/>
      <c r="AL2485" s="34"/>
      <c r="AM2485" s="34"/>
      <c r="AN2485" s="34"/>
      <c r="AO2485" s="34"/>
      <c r="AP2485" s="34"/>
      <c r="AQ2485" s="34"/>
      <c r="AR2485" s="34"/>
      <c r="AS2485" s="34"/>
      <c r="AT2485" s="34"/>
      <c r="AU2485" s="34"/>
      <c r="AV2485" s="34"/>
      <c r="AW2485" s="34"/>
      <c r="AX2485" s="34"/>
      <c r="AY2485" s="34"/>
      <c r="AZ2485" s="34"/>
      <c r="BA2485" s="34"/>
      <c r="BB2485" s="34"/>
      <c r="BC2485" s="34"/>
      <c r="BD2485" s="34"/>
      <c r="BE2485" s="34"/>
      <c r="BF2485" s="34"/>
      <c r="BG2485" s="34"/>
      <c r="BH2485" s="34"/>
      <c r="BI2485" s="34"/>
      <c r="BJ2485" s="34"/>
      <c r="BK2485" s="34"/>
      <c r="BL2485" s="34"/>
      <c r="BM2485" s="34"/>
      <c r="BN2485" s="34"/>
      <c r="BO2485" s="34"/>
      <c r="BP2485" s="34"/>
      <c r="BQ2485" s="34"/>
      <c r="BR2485" s="34"/>
      <c r="BS2485" s="34"/>
      <c r="BT2485" s="34"/>
      <c r="BU2485" s="34"/>
      <c r="BV2485" s="34"/>
      <c r="BW2485" s="34"/>
      <c r="BX2485" s="34"/>
      <c r="BY2485" s="34"/>
      <c r="BZ2485" s="34"/>
      <c r="CA2485" s="34"/>
      <c r="CB2485" s="34"/>
      <c r="CC2485" s="34"/>
      <c r="CD2485" s="34"/>
      <c r="CE2485" s="34"/>
      <c r="CF2485" s="34"/>
      <c r="CG2485" s="34"/>
      <c r="CH2485" s="34"/>
    </row>
    <row r="2486" spans="1:86" x14ac:dyDescent="0.2">
      <c r="A2486" s="11" t="s">
        <v>17</v>
      </c>
      <c r="B2486" s="11"/>
      <c r="C2486" s="27" t="s">
        <v>18</v>
      </c>
      <c r="D2486" s="27" t="s">
        <v>2</v>
      </c>
      <c r="E2486" s="27" t="s">
        <v>6</v>
      </c>
      <c r="F2486" s="27" t="s">
        <v>15</v>
      </c>
      <c r="G2486" s="27" t="s">
        <v>36</v>
      </c>
      <c r="H2486" s="27" t="s">
        <v>37</v>
      </c>
      <c r="I2486" s="27" t="s">
        <v>38</v>
      </c>
      <c r="J2486" s="27" t="s">
        <v>39</v>
      </c>
      <c r="K2486" s="27" t="s">
        <v>40</v>
      </c>
      <c r="L2486" s="27" t="s">
        <v>41</v>
      </c>
      <c r="M2486" s="27" t="s">
        <v>42</v>
      </c>
      <c r="N2486" s="27" t="s">
        <v>43</v>
      </c>
      <c r="O2486" s="27" t="s">
        <v>9</v>
      </c>
      <c r="P2486" s="27" t="s">
        <v>12</v>
      </c>
      <c r="Q2486" s="27" t="s">
        <v>19</v>
      </c>
      <c r="R2486" s="27" t="s">
        <v>55</v>
      </c>
      <c r="S2486" s="27" t="s">
        <v>26</v>
      </c>
      <c r="T2486" s="19" t="s">
        <v>25</v>
      </c>
      <c r="U2486" s="33" t="s">
        <v>27</v>
      </c>
      <c r="V2486" s="33" t="s">
        <v>9</v>
      </c>
      <c r="W2486" s="33" t="s">
        <v>23</v>
      </c>
      <c r="X2486" s="33" t="s">
        <v>12</v>
      </c>
      <c r="Y2486" s="33" t="s">
        <v>26</v>
      </c>
      <c r="Z2486" s="33" t="s">
        <v>25</v>
      </c>
      <c r="AA2486" s="33" t="s">
        <v>27</v>
      </c>
      <c r="AB2486" s="33" t="s">
        <v>9</v>
      </c>
      <c r="AC2486" s="33" t="s">
        <v>23</v>
      </c>
      <c r="AD2486" s="33" t="s">
        <v>12</v>
      </c>
      <c r="AE2486" s="33" t="s">
        <v>26</v>
      </c>
      <c r="AF2486" s="33" t="s">
        <v>25</v>
      </c>
      <c r="AG2486" s="33" t="s">
        <v>27</v>
      </c>
      <c r="AH2486" s="33" t="s">
        <v>9</v>
      </c>
      <c r="AI2486" s="33" t="s">
        <v>23</v>
      </c>
      <c r="AJ2486" s="33" t="s">
        <v>12</v>
      </c>
      <c r="AK2486" s="33" t="s">
        <v>26</v>
      </c>
      <c r="AL2486" s="33" t="s">
        <v>25</v>
      </c>
      <c r="AM2486" s="33" t="s">
        <v>27</v>
      </c>
      <c r="AN2486" s="33" t="s">
        <v>9</v>
      </c>
      <c r="AO2486" s="33" t="s">
        <v>23</v>
      </c>
      <c r="AP2486" s="33" t="s">
        <v>12</v>
      </c>
      <c r="AQ2486" s="33" t="s">
        <v>26</v>
      </c>
      <c r="AR2486" s="33" t="s">
        <v>25</v>
      </c>
      <c r="AS2486" s="33" t="s">
        <v>27</v>
      </c>
      <c r="AT2486" s="33" t="s">
        <v>9</v>
      </c>
      <c r="AU2486" s="33" t="s">
        <v>23</v>
      </c>
      <c r="AV2486" s="33" t="s">
        <v>12</v>
      </c>
      <c r="AW2486" s="33" t="s">
        <v>26</v>
      </c>
      <c r="AX2486" s="33" t="s">
        <v>25</v>
      </c>
      <c r="AY2486" s="33" t="s">
        <v>27</v>
      </c>
      <c r="AZ2486" s="33" t="s">
        <v>9</v>
      </c>
      <c r="BA2486" s="33" t="s">
        <v>23</v>
      </c>
      <c r="BB2486" s="33" t="s">
        <v>12</v>
      </c>
      <c r="BC2486" s="33" t="s">
        <v>26</v>
      </c>
      <c r="BD2486" s="33" t="s">
        <v>25</v>
      </c>
      <c r="BE2486" s="33" t="s">
        <v>27</v>
      </c>
      <c r="BF2486" s="33" t="s">
        <v>9</v>
      </c>
      <c r="BG2486" s="33" t="s">
        <v>23</v>
      </c>
      <c r="BH2486" s="33" t="s">
        <v>12</v>
      </c>
      <c r="BI2486" s="33" t="s">
        <v>26</v>
      </c>
      <c r="BJ2486" s="33" t="s">
        <v>25</v>
      </c>
      <c r="BK2486" s="33" t="s">
        <v>27</v>
      </c>
      <c r="BL2486" s="33" t="s">
        <v>9</v>
      </c>
      <c r="BM2486" s="33" t="s">
        <v>23</v>
      </c>
      <c r="BN2486" s="33" t="s">
        <v>12</v>
      </c>
      <c r="BO2486" s="33" t="s">
        <v>26</v>
      </c>
      <c r="BP2486" s="33" t="s">
        <v>25</v>
      </c>
      <c r="BQ2486" s="33" t="s">
        <v>27</v>
      </c>
      <c r="BR2486" s="33" t="s">
        <v>9</v>
      </c>
      <c r="BS2486" s="33" t="s">
        <v>23</v>
      </c>
      <c r="BT2486" s="33" t="s">
        <v>12</v>
      </c>
      <c r="BU2486" s="33" t="s">
        <v>26</v>
      </c>
      <c r="BV2486" s="33" t="s">
        <v>25</v>
      </c>
      <c r="BW2486" s="33" t="s">
        <v>27</v>
      </c>
      <c r="BX2486" s="33" t="s">
        <v>9</v>
      </c>
      <c r="BY2486" s="33" t="s">
        <v>23</v>
      </c>
      <c r="BZ2486" s="33" t="s">
        <v>12</v>
      </c>
      <c r="CA2486" s="33" t="s">
        <v>26</v>
      </c>
      <c r="CB2486" s="33" t="s">
        <v>25</v>
      </c>
      <c r="CC2486" s="33" t="s">
        <v>27</v>
      </c>
      <c r="CD2486" s="33" t="s">
        <v>9</v>
      </c>
      <c r="CE2486" s="33" t="s">
        <v>23</v>
      </c>
      <c r="CF2486" s="33" t="s">
        <v>12</v>
      </c>
      <c r="CG2486" s="33" t="s">
        <v>26</v>
      </c>
      <c r="CH2486" s="33" t="s">
        <v>25</v>
      </c>
    </row>
    <row r="2487" spans="1:86" x14ac:dyDescent="0.2">
      <c r="A2487" s="8" t="str">
        <f>IF(AND(COUNTIF(W$3:W$13,A$15)&gt;0,A$15&lt;&gt;B2324),A$15,IFERROR(IF(MATCH(A$15,Z$3:Z$13,0)=8,A$15," ")," "))</f>
        <v xml:space="preserve"> </v>
      </c>
      <c r="B2487" s="8" t="str">
        <f>IF(A2487=" "," ",1)</f>
        <v xml:space="preserve"> </v>
      </c>
      <c r="C2487" s="8" t="str">
        <f>IFERROR(INDEX(A2487:A2508,MATCH(SMALL(B2487:B2508,1),B2487:B2508,0),1)," ")</f>
        <v>C3</v>
      </c>
      <c r="D2487" s="8">
        <f>IFERROR(VLOOKUP($C2487,$A$15:$O$36,2,FALSE)," ")</f>
        <v>2</v>
      </c>
      <c r="E2487" s="8">
        <f>IFERROR(VLOOKUP($C2487,$A$15:$O$36,3,FALSE)," ")</f>
        <v>5</v>
      </c>
      <c r="F2487" s="8">
        <f>IFERROR(VLOOKUP($C2487,$A$15:$O$36,4,FALSE)," ")</f>
        <v>6</v>
      </c>
      <c r="G2487" s="8">
        <f>IFERROR(VLOOKUP($C2487,$A$15:$O$36,5,FALSE)," ")</f>
        <v>0</v>
      </c>
      <c r="H2487" s="8">
        <f>IFERROR(VLOOKUP($C2487,$A$15:$O$36,6,FALSE)," ")</f>
        <v>0</v>
      </c>
      <c r="I2487" s="8">
        <f>IFERROR(VLOOKUP($C2487,$A$15:$O$36,7,FALSE)," ")</f>
        <v>0</v>
      </c>
      <c r="J2487" s="8">
        <f>IFERROR(VLOOKUP($C2487,$A$15:$O$36,8,FALSE)," ")</f>
        <v>0</v>
      </c>
      <c r="K2487" s="8">
        <f>IFERROR(VLOOKUP($C2487,$A$15:$O$36,9,FALSE)," ")</f>
        <v>0</v>
      </c>
      <c r="L2487" s="8">
        <f>IFERROR(VLOOKUP($C2487,$A$15:$O$36,10,FALSE)," ")</f>
        <v>0</v>
      </c>
      <c r="M2487" s="8">
        <f>IFERROR(VLOOKUP($C2487,$A$15:$O$36,11,FALSE)," ")</f>
        <v>0</v>
      </c>
      <c r="N2487" s="8">
        <f>IFERROR(VLOOKUP($C2487,$A$15:$O$36,12,FALSE)," ")</f>
        <v>0</v>
      </c>
      <c r="O2487" s="8">
        <f>IFERROR(VLOOKUP($C2487,$A$15:$O$36,15,FALSE)," ")</f>
        <v>2000</v>
      </c>
      <c r="P2487" s="8" t="e">
        <f t="array" ref="P2487:P2497">MMULT(MINVERSE(D2487:N2497),O2487:O2497)</f>
        <v>#NUM!</v>
      </c>
      <c r="Q2487" s="8" t="e">
        <f t="shared" ref="Q2487" si="10818">IF(COUNTIF(P2487:P2497,"&lt;"&amp;-0.001)=0,IF(ABS(P2487)&lt;0.001,0,P2487)," ")</f>
        <v>#NUM!</v>
      </c>
      <c r="R2487" s="8" t="str">
        <f>IFERROR(VLOOKUP(B2324,A$15:L$36,2,FALSE)*Q2487+VLOOKUP(B2324,A$15:L$36,3,FALSE)*Q2488+VLOOKUP(B2324,A$15:L$36,4,FALSE)*Q2489+VLOOKUP(B2324,A$15:L$36,5,FALSE)*Q2490+VLOOKUP(B2324,A$15:L$36,6,FALSE)*Q2491+VLOOKUP(B2324,A$15:L$36,7,FALSE)*Q2492+VLOOKUP(B2324,A$15:L$36,8,FALSE)*Q2493+VLOOKUP(B2324,A$15:L$36,9,FALSE)*Q2494+VLOOKUP(B2324,A$15:L$36,10,FALSE)*Q2495+VLOOKUP(B2324,A$15:L$36,11,FALSE)*Q2496+VLOOKUP(B2324,A$15:L$36,12,FALSE)*Q2497," ")</f>
        <v xml:space="preserve"> </v>
      </c>
      <c r="S2487" s="8" t="str">
        <f>IFERROR(IF(R2487-VLOOKUP(B2324,A$15:O$36,15,FALSE)&lt;0,R2487-VLOOKUP(B2324,A$15:O$36,15,FALSE)," ")," ")</f>
        <v xml:space="preserve"> </v>
      </c>
      <c r="T2487" s="18" t="str">
        <f>IFERROR(IF(R2487-VLOOKUP(B2324,A$15:O$36,15,FALSE)&gt;0,R2487-VLOOKUP(B2324,A$15:O$36,15,FALSE)," ")," ")</f>
        <v xml:space="preserve"> </v>
      </c>
      <c r="U2487" s="34">
        <f t="shared" ref="U2487" si="10819">$M$2</f>
        <v>100.00000000000001</v>
      </c>
      <c r="V2487" s="34">
        <v>-1</v>
      </c>
      <c r="W2487" s="34">
        <f t="shared" ref="W2487" si="10820">-SUMPRODUCT($M$3:$M$12,$N$3:$N$12)</f>
        <v>-105000</v>
      </c>
      <c r="X2487" s="34" t="e">
        <f t="shared" ref="X2487" si="10821">IF(U2487&lt;&gt;U2488,MMULT(MINVERSE(U2487:V2488),W2487:W2488)," ")</f>
        <v>#NUM!</v>
      </c>
      <c r="Y2487" s="34" t="str">
        <f t="shared" ref="Y2487" si="10822">IFERROR(IF(X2487-VLOOKUP(U$38,$A$2:$N$12,14,FALSE)&lt;0,X2487-VLOOKUP(U$38,$A$2:$N$12,14,FALSE)," ")," ")</f>
        <v xml:space="preserve"> </v>
      </c>
      <c r="Z2487" s="34" t="str">
        <f t="shared" ref="Z2487" si="10823">IFERROR(IF(X2487-VLOOKUP(U$38,$A$2:$N$12,14,FALSE)&gt;0,X2487-VLOOKUP(U$38,$A$2:$N$12,14,FALSE)," ")," ")</f>
        <v xml:space="preserve"> </v>
      </c>
      <c r="AA2487" s="34">
        <f t="shared" ref="AA2487" si="10824">$M$3</f>
        <v>0</v>
      </c>
      <c r="AB2487" s="34">
        <v>-1</v>
      </c>
      <c r="AC2487" s="34">
        <f t="shared" ref="AC2487" si="10825">-SUMPRODUCT($M$2:$M$2,$N$2:$N$2)-SUMPRODUCT($M$4:$M$12,$N$4:$N$12)</f>
        <v>-120000</v>
      </c>
      <c r="AD2487" s="34" t="e">
        <f t="shared" ref="AD2487" si="10826">IF(AA2487&lt;&gt;AA2488,MMULT(MINVERSE(AA2487:AB2488),AC2487:AC2488)," ")</f>
        <v>#NUM!</v>
      </c>
      <c r="AE2487" s="34" t="str">
        <f t="shared" ref="AE2487" si="10827">IFERROR(IF(AD2487-VLOOKUP(AA$38,$A$2:$N$12,14,FALSE)&lt;0,AD2487-VLOOKUP(AA$38,$A$2:$N$12,14,FALSE)," ")," ")</f>
        <v xml:space="preserve"> </v>
      </c>
      <c r="AF2487" s="34" t="str">
        <f t="shared" ref="AF2487" si="10828">IFERROR(IF(AD2487-VLOOKUP(AA$38,$A$2:$N$12,14,FALSE)&gt;0,AD2487-VLOOKUP(AA$38,$A$2:$N$12,14,FALSE)," ")," ")</f>
        <v xml:space="preserve"> </v>
      </c>
      <c r="AG2487" s="34">
        <f t="shared" ref="AG2487" si="10829">$M$4</f>
        <v>300</v>
      </c>
      <c r="AH2487" s="34">
        <v>-1</v>
      </c>
      <c r="AI2487" s="34">
        <f t="shared" ref="AI2487" si="10830">-SUMPRODUCT($M$2:$M$3,$N$2:$N$3)-SUMPRODUCT($M$5:$M$12,$N$5:$N$12)</f>
        <v>-15000.000000000002</v>
      </c>
      <c r="AJ2487" s="34" t="e">
        <f t="shared" ref="AJ2487" si="10831">IF(AG2487&lt;&gt;AG2488,MMULT(MINVERSE(AG2487:AH2488),AI2487:AI2488)," ")</f>
        <v>#NUM!</v>
      </c>
      <c r="AK2487" s="34" t="str">
        <f t="shared" ref="AK2487" si="10832">IFERROR(IF(AJ2487-VLOOKUP(AG$38,$A$2:$N$12,14,FALSE)&lt;0,AJ2487-VLOOKUP(AG$38,$A$2:$N$12,14,FALSE)," ")," ")</f>
        <v xml:space="preserve"> </v>
      </c>
      <c r="AL2487" s="34" t="str">
        <f t="shared" ref="AL2487" si="10833">IFERROR(IF(AJ2487-VLOOKUP(AG$38,$A$2:$N$12,14,FALSE)&gt;0,AJ2487-VLOOKUP(AG$38,$A$2:$N$12,14,FALSE)," ")," ")</f>
        <v xml:space="preserve"> </v>
      </c>
      <c r="AM2487" s="34">
        <f t="shared" ref="AM2487" si="10834">$M$5</f>
        <v>0</v>
      </c>
      <c r="AN2487" s="34">
        <v>-1</v>
      </c>
      <c r="AO2487" s="34">
        <f t="shared" ref="AO2487" si="10835">-SUMPRODUCT($M$2:$M$4,$N$2:$N$4)-SUMPRODUCT($M$6:$M$12,$N$6:$N$12)</f>
        <v>-120000</v>
      </c>
      <c r="AP2487" s="34" t="e">
        <f t="shared" ref="AP2487" si="10836">IF(AM2487&lt;&gt;AM2488,MMULT(MINVERSE(AM2487:AN2488),AO2487:AO2488)," ")</f>
        <v>#NUM!</v>
      </c>
      <c r="AQ2487" s="34" t="str">
        <f t="shared" ref="AQ2487" si="10837">IFERROR(IF(AP2487-VLOOKUP(AM$38,$A$2:$N$12,14,FALSE)&lt;0,AP2487-VLOOKUP(AM$38,$A$2:$N$12,14,FALSE)," ")," ")</f>
        <v xml:space="preserve"> </v>
      </c>
      <c r="AR2487" s="34" t="str">
        <f t="shared" ref="AR2487" si="10838">IFERROR(IF(AP2487-VLOOKUP(AM$38,$A$2:$N$12,14,FALSE)&gt;0,AP2487-VLOOKUP(AM$38,$A$2:$N$12,14,FALSE)," ")," ")</f>
        <v xml:space="preserve"> </v>
      </c>
      <c r="AS2487" s="34">
        <f t="shared" ref="AS2487" si="10839">$M$6</f>
        <v>0</v>
      </c>
      <c r="AT2487" s="34">
        <v>-1</v>
      </c>
      <c r="AU2487" s="34">
        <f t="shared" ref="AU2487" si="10840">-SUMPRODUCT($M$2:$M$5,$N$2:$N$5)-SUMPRODUCT($M$7:$M$12,$N$7:$N$12)</f>
        <v>-120000</v>
      </c>
      <c r="AV2487" s="34" t="e">
        <f t="shared" ref="AV2487" si="10841">IF(AS2487&lt;&gt;AS2488,MMULT(MINVERSE(AS2487:AT2488),AU2487:AU2488)," ")</f>
        <v>#NUM!</v>
      </c>
      <c r="AW2487" s="34" t="str">
        <f t="shared" ref="AW2487" si="10842">IFERROR(IF(AV2487-VLOOKUP(AS$38,$A$2:$N$12,14,FALSE)&lt;0,AV2487-VLOOKUP(AS$38,$A$2:$N$12,14,FALSE)," ")," ")</f>
        <v xml:space="preserve"> </v>
      </c>
      <c r="AX2487" s="34" t="str">
        <f t="shared" ref="AX2487" si="10843">IFERROR(IF(AV2487-VLOOKUP(AS$38,$A$2:$N$12,14,FALSE)&gt;0,AV2487-VLOOKUP(AS$38,$A$2:$N$12,14,FALSE)," ")," ")</f>
        <v xml:space="preserve"> </v>
      </c>
      <c r="AY2487" s="34">
        <f t="shared" ref="AY2487" si="10844">$M$7</f>
        <v>0</v>
      </c>
      <c r="AZ2487" s="34">
        <v>-1</v>
      </c>
      <c r="BA2487" s="34">
        <f t="shared" ref="BA2487" si="10845">-SUMPRODUCT($M$2:$M$6,$N$2:$N$6)-SUMPRODUCT($M$8:$M$12,$N$8:$N$12)</f>
        <v>-120000</v>
      </c>
      <c r="BB2487" s="34" t="e">
        <f t="shared" ref="BB2487" si="10846">IF(AY2487&lt;&gt;AY2488,MMULT(MINVERSE(AY2487:AZ2488),BA2487:BA2488)," ")</f>
        <v>#NUM!</v>
      </c>
      <c r="BC2487" s="34" t="str">
        <f t="shared" ref="BC2487" si="10847">IFERROR(IF(BB2487-VLOOKUP(AY$38,$A$2:$N$12,14,FALSE)&lt;0,BB2487-VLOOKUP(AY$38,$A$2:$N$12,14,FALSE)," ")," ")</f>
        <v xml:space="preserve"> </v>
      </c>
      <c r="BD2487" s="34" t="str">
        <f t="shared" ref="BD2487" si="10848">IFERROR(IF(BB2487-VLOOKUP(AY$38,$A$2:$N$12,14,FALSE)&gt;0,BB2487-VLOOKUP(AY$38,$A$2:$N$12,14,FALSE)," ")," ")</f>
        <v xml:space="preserve"> </v>
      </c>
      <c r="BE2487" s="34">
        <f t="shared" ref="BE2487" si="10849">$M$8</f>
        <v>0</v>
      </c>
      <c r="BF2487" s="34">
        <v>-1</v>
      </c>
      <c r="BG2487" s="34">
        <f t="shared" ref="BG2487" si="10850">-SUMPRODUCT($M$2:$M$7,$N$2:$N$7)-SUMPRODUCT($M$9:$M$12,$N$9:$N$12)</f>
        <v>-120000</v>
      </c>
      <c r="BH2487" s="34" t="e">
        <f t="shared" ref="BH2487" si="10851">IF(BE2487&lt;&gt;BE2488,MMULT(MINVERSE(BE2487:BF2488),BG2487:BG2488)," ")</f>
        <v>#NUM!</v>
      </c>
      <c r="BI2487" s="34" t="str">
        <f t="shared" ref="BI2487" si="10852">IFERROR(IF(BH2487-VLOOKUP(BE$38,$A$2:$N$12,14,FALSE)&lt;0,BH2487-VLOOKUP(BE$38,$A$2:$N$12,14,FALSE)," ")," ")</f>
        <v xml:space="preserve"> </v>
      </c>
      <c r="BJ2487" s="34" t="str">
        <f t="shared" ref="BJ2487" si="10853">IFERROR(IF(BH2487-VLOOKUP(BE$38,$A$2:$N$12,14,FALSE)&gt;0,BH2487-VLOOKUP(BE$38,$A$2:$N$12,14,FALSE)," ")," ")</f>
        <v xml:space="preserve"> </v>
      </c>
      <c r="BK2487" s="34">
        <f t="shared" ref="BK2487" si="10854">$M$9</f>
        <v>0</v>
      </c>
      <c r="BL2487" s="34">
        <v>-1</v>
      </c>
      <c r="BM2487" s="34">
        <f t="shared" ref="BM2487" si="10855">-SUMPRODUCT($M$2:$M$8,$N$2:$N$8)-SUMPRODUCT($M$10:$M$12,$N$10:$N$12)</f>
        <v>-120000</v>
      </c>
      <c r="BN2487" s="34" t="e">
        <f t="shared" ref="BN2487" si="10856">IF(BK2487&lt;&gt;BK2488,MMULT(MINVERSE(BK2487:BL2488),BM2487:BM2488)," ")</f>
        <v>#NUM!</v>
      </c>
      <c r="BO2487" s="34" t="str">
        <f t="shared" ref="BO2487" si="10857">IFERROR(IF(BN2487-VLOOKUP(BK$38,$A$2:$N$12,14,FALSE)&lt;0,BN2487-VLOOKUP(BK$38,$A$2:$N$12,14,FALSE)," ")," ")</f>
        <v xml:space="preserve"> </v>
      </c>
      <c r="BP2487" s="34" t="str">
        <f t="shared" ref="BP2487" si="10858">IFERROR(IF(BN2487-VLOOKUP(BK$38,$A$2:$N$12,14,FALSE)&gt;0,BN2487-VLOOKUP(BK$38,$A$2:$N$12,14,FALSE)," ")," ")</f>
        <v xml:space="preserve"> </v>
      </c>
      <c r="BQ2487" s="34">
        <f t="shared" ref="BQ2487" si="10859">$M$10</f>
        <v>0</v>
      </c>
      <c r="BR2487" s="34">
        <v>-1</v>
      </c>
      <c r="BS2487" s="34">
        <f t="shared" ref="BS2487" si="10860">-SUMPRODUCT($M$2:$M$9,$N$2:$N$9)-SUMPRODUCT($M$11:$M$12,$N$11:$N$12)</f>
        <v>-120000</v>
      </c>
      <c r="BT2487" s="34" t="e">
        <f t="shared" ref="BT2487" si="10861">IF(BQ2487&lt;&gt;BQ2488,MMULT(MINVERSE(BQ2487:BR2488),BS2487:BS2488)," ")</f>
        <v>#NUM!</v>
      </c>
      <c r="BU2487" s="34" t="str">
        <f t="shared" ref="BU2487" si="10862">IFERROR(IF(BT2487-VLOOKUP(BQ$38,$A$2:$N$12,14,FALSE)&lt;0,BT2487-VLOOKUP(BQ$38,$A$2:$N$12,14,FALSE)," ")," ")</f>
        <v xml:space="preserve"> </v>
      </c>
      <c r="BV2487" s="34" t="str">
        <f t="shared" ref="BV2487" si="10863">IFERROR(IF(BT2487-VLOOKUP(BQ$38,$A$2:$N$12,14,FALSE)&gt;0,BT2487-VLOOKUP(BQ$38,$A$2:$N$12,14,FALSE)," ")," ")</f>
        <v xml:space="preserve"> </v>
      </c>
      <c r="BW2487" s="34">
        <f t="shared" ref="BW2487" si="10864">$M$11</f>
        <v>0</v>
      </c>
      <c r="BX2487" s="34">
        <v>-1</v>
      </c>
      <c r="BY2487" s="34">
        <f t="shared" ref="BY2487" si="10865">-SUMPRODUCT($M$2:$M$10,$N$2:$N$10)-SUMPRODUCT($M$12,$N$12)</f>
        <v>-120000</v>
      </c>
      <c r="BZ2487" s="34" t="e">
        <f t="shared" ref="BZ2487" si="10866">IF(BW2487&lt;&gt;BW2488,MMULT(MINVERSE(BW2487:BX2488),BY2487:BY2488)," ")</f>
        <v>#NUM!</v>
      </c>
      <c r="CA2487" s="34" t="str">
        <f t="shared" ref="CA2487" si="10867">IFERROR(IF(BZ2487-VLOOKUP(BW$38,$A$2:$N$12,14,FALSE)&lt;0,BZ2487-VLOOKUP(BW$38,$A$2:$N$12,14,FALSE)," ")," ")</f>
        <v xml:space="preserve"> </v>
      </c>
      <c r="CB2487" s="34" t="str">
        <f t="shared" ref="CB2487" si="10868">IFERROR(IF(BZ2487-VLOOKUP(BW$38,$A$2:$N$12,14,FALSE)&gt;0,BZ2487-VLOOKUP(BW$38,$A$2:$N$12,14,FALSE)," ")," ")</f>
        <v xml:space="preserve"> </v>
      </c>
      <c r="CC2487" s="34">
        <f t="shared" ref="CC2487" si="10869">$M$12</f>
        <v>0</v>
      </c>
      <c r="CD2487" s="34">
        <v>-1</v>
      </c>
      <c r="CE2487" s="34">
        <f t="shared" ref="CE2487" si="10870">-SUMPRODUCT($M$2:$M$11,$N$2:$N$11)</f>
        <v>-120000</v>
      </c>
      <c r="CF2487" s="34" t="e">
        <f t="shared" ref="CF2487" si="10871">IF(CC2487&lt;&gt;CC2488,MMULT(MINVERSE(CC2487:CD2488),CE2487:CE2488)," ")</f>
        <v>#NUM!</v>
      </c>
      <c r="CG2487" s="34" t="str">
        <f t="shared" ref="CG2487" si="10872">IFERROR(IF(CF2487-VLOOKUP(CC$38,$A$2:$N$12,14,FALSE)&lt;0,CF2487-VLOOKUP(CC$38,$A$2:$N$12,14,FALSE)," ")," ")</f>
        <v xml:space="preserve"> </v>
      </c>
      <c r="CH2487" s="34" t="str">
        <f t="shared" ref="CH2487" si="10873">IFERROR(IF(CF2487-VLOOKUP(CC$38,$A$2:$N$12,14,FALSE)&gt;0,CF2487-VLOOKUP(CC$38,$A$2:$N$12,14,FALSE)," ")," ")</f>
        <v xml:space="preserve"> </v>
      </c>
    </row>
    <row r="2488" spans="1:86" x14ac:dyDescent="0.2">
      <c r="A2488" s="8" t="str">
        <f>IF(AND(COUNTIF(W$3:W$13,A$16)&gt;0,A$16&lt;&gt;B2324),A$16,IFERROR(IF(MATCH(A$16,Z$3:Z$13,0)=8,A$16," ")," "))</f>
        <v xml:space="preserve"> </v>
      </c>
      <c r="B2488" s="8" t="str">
        <f>IF(A2488=" "," ",MAX(B2487:B2487)+1)</f>
        <v xml:space="preserve"> </v>
      </c>
      <c r="C2488" s="8" t="str">
        <f>IFERROR(INDEX(A2487:A2508,MATCH(SMALL(B2487:B2508,2),B2487:B2508,0),1)," ")</f>
        <v>C4</v>
      </c>
      <c r="D2488" s="8">
        <f t="shared" ref="D2488:D2497" si="10874">IFERROR(VLOOKUP($C2488,$A$15:$O$36,2,FALSE)," ")</f>
        <v>1</v>
      </c>
      <c r="E2488" s="8">
        <f t="shared" ref="E2488:E2497" si="10875">IFERROR(VLOOKUP($C2488,$A$15:$O$36,3,FALSE)," ")</f>
        <v>0</v>
      </c>
      <c r="F2488" s="8">
        <f t="shared" ref="F2488:F2497" si="10876">IFERROR(VLOOKUP($C2488,$A$15:$O$36,4,FALSE)," ")</f>
        <v>1</v>
      </c>
      <c r="G2488" s="8">
        <f t="shared" ref="G2488:G2497" si="10877">IFERROR(VLOOKUP($C2488,$A$15:$O$36,5,FALSE)," ")</f>
        <v>0</v>
      </c>
      <c r="H2488" s="8">
        <f t="shared" ref="H2488:H2497" si="10878">IFERROR(VLOOKUP($C2488,$A$15:$O$36,6,FALSE)," ")</f>
        <v>0</v>
      </c>
      <c r="I2488" s="8">
        <f t="shared" ref="I2488:I2497" si="10879">IFERROR(VLOOKUP($C2488,$A$15:$O$36,7,FALSE)," ")</f>
        <v>0</v>
      </c>
      <c r="J2488" s="8">
        <f t="shared" ref="J2488:J2497" si="10880">IFERROR(VLOOKUP($C2488,$A$15:$O$36,8,FALSE)," ")</f>
        <v>0</v>
      </c>
      <c r="K2488" s="8">
        <f t="shared" ref="K2488:K2497" si="10881">IFERROR(VLOOKUP($C2488,$A$15:$O$36,9,FALSE)," ")</f>
        <v>0</v>
      </c>
      <c r="L2488" s="8">
        <f t="shared" ref="L2488:L2497" si="10882">IFERROR(VLOOKUP($C2488,$A$15:$O$36,10,FALSE)," ")</f>
        <v>0</v>
      </c>
      <c r="M2488" s="8">
        <f t="shared" ref="M2488:M2497" si="10883">IFERROR(VLOOKUP($C2488,$A$15:$O$36,11,FALSE)," ")</f>
        <v>0</v>
      </c>
      <c r="N2488" s="8">
        <f t="shared" ref="N2488:N2497" si="10884">IFERROR(VLOOKUP($C2488,$A$15:$O$36,12,FALSE)," ")</f>
        <v>0</v>
      </c>
      <c r="O2488" s="8">
        <f t="shared" ref="O2488:O2497" si="10885">IFERROR(VLOOKUP($C2488,$A$15:$O$36,15,FALSE)," ")</f>
        <v>400</v>
      </c>
      <c r="P2488" s="8" t="e">
        <v>#NUM!</v>
      </c>
      <c r="Q2488" s="8" t="e">
        <f t="shared" ref="Q2488" si="10886">IF(COUNTIF(P2487:P2497,"&lt;"&amp;-0.001)=0,IF(ABS(P2488)&lt;0.001,0,P2488)," ")</f>
        <v>#NUM!</v>
      </c>
      <c r="R2488" s="8"/>
      <c r="S2488" s="8"/>
      <c r="U2488" s="34" t="e">
        <f t="shared" ref="U2488" si="10887">$Q2487</f>
        <v>#NUM!</v>
      </c>
      <c r="V2488" s="34">
        <v>-1</v>
      </c>
      <c r="W2488" s="34" t="e">
        <f t="shared" ref="W2488" si="10888">-SUMPRODUCT($Q2488:$Q2497,$N$3:$N$12)</f>
        <v>#NUM!</v>
      </c>
      <c r="X2488" s="34"/>
      <c r="Y2488" s="34"/>
      <c r="Z2488" s="34"/>
      <c r="AA2488" s="34" t="e">
        <f t="shared" ref="AA2488" si="10889">$Q2488</f>
        <v>#NUM!</v>
      </c>
      <c r="AB2488" s="34">
        <v>-1</v>
      </c>
      <c r="AC2488" s="34" t="e">
        <f t="shared" ref="AC2488" si="10890">-SUMPRODUCT($Q2487:$Q2487,$N$2:$N$2)-SUMPRODUCT($Q2489:$Q2497,$N$4:$N$12)</f>
        <v>#NUM!</v>
      </c>
      <c r="AD2488" s="34"/>
      <c r="AE2488" s="34"/>
      <c r="AF2488" s="34"/>
      <c r="AG2488" s="34" t="e">
        <f t="shared" ref="AG2488" si="10891">$Q2489</f>
        <v>#NUM!</v>
      </c>
      <c r="AH2488" s="34">
        <v>-1</v>
      </c>
      <c r="AI2488" s="34" t="e">
        <f t="shared" ref="AI2488" si="10892">-SUMPRODUCT($Q2487:$Q2488,$N$2:$N$3)-SUMPRODUCT($Q2490:$Q2497,$N$5:$N$12)</f>
        <v>#NUM!</v>
      </c>
      <c r="AJ2488" s="34"/>
      <c r="AK2488" s="34"/>
      <c r="AL2488" s="34"/>
      <c r="AM2488" s="34" t="e">
        <f t="shared" ref="AM2488" si="10893">$Q2490</f>
        <v>#NUM!</v>
      </c>
      <c r="AN2488" s="34">
        <v>-1</v>
      </c>
      <c r="AO2488" s="34" t="e">
        <f t="shared" ref="AO2488" si="10894">-SUMPRODUCT($Q2487:$Q2489,$N$2:$N$4)-SUMPRODUCT($Q2491:$Q2497,$N$6:$N$12)</f>
        <v>#NUM!</v>
      </c>
      <c r="AP2488" s="34"/>
      <c r="AQ2488" s="34"/>
      <c r="AR2488" s="34"/>
      <c r="AS2488" s="34" t="e">
        <f t="shared" ref="AS2488" si="10895">$Q2491</f>
        <v>#NUM!</v>
      </c>
      <c r="AT2488" s="34">
        <v>-1</v>
      </c>
      <c r="AU2488" s="34" t="e">
        <f t="shared" ref="AU2488" si="10896">-SUMPRODUCT($Q2487:$Q2490,$N$2:$N$5)-SUMPRODUCT($Q2492:$Q2497,$N$7:$N$12)</f>
        <v>#NUM!</v>
      </c>
      <c r="AV2488" s="34"/>
      <c r="AW2488" s="34"/>
      <c r="AX2488" s="34"/>
      <c r="AY2488" s="34" t="e">
        <f t="shared" ref="AY2488" si="10897">$Q2492</f>
        <v>#NUM!</v>
      </c>
      <c r="AZ2488" s="34">
        <v>-1</v>
      </c>
      <c r="BA2488" s="34" t="e">
        <f t="shared" ref="BA2488" si="10898">-SUMPRODUCT($Q2487:$Q2491,$N$2:$N$6)-SUMPRODUCT($Q2493:$Q2497,$N$8:$N$12)</f>
        <v>#NUM!</v>
      </c>
      <c r="BB2488" s="34"/>
      <c r="BC2488" s="34"/>
      <c r="BD2488" s="34"/>
      <c r="BE2488" s="34" t="e">
        <f t="shared" ref="BE2488" si="10899">$Q2493</f>
        <v>#NUM!</v>
      </c>
      <c r="BF2488" s="34">
        <v>-1</v>
      </c>
      <c r="BG2488" s="34" t="e">
        <f t="shared" ref="BG2488" si="10900">-SUMPRODUCT($Q2487:$Q2492,$N$2:$N$7)-SUMPRODUCT($Q2494:$Q2497,$N$9:$N$12)</f>
        <v>#NUM!</v>
      </c>
      <c r="BH2488" s="34"/>
      <c r="BI2488" s="34"/>
      <c r="BJ2488" s="34"/>
      <c r="BK2488" s="34" t="e">
        <f t="shared" ref="BK2488" si="10901">$Q2494</f>
        <v>#NUM!</v>
      </c>
      <c r="BL2488" s="34">
        <v>-1</v>
      </c>
      <c r="BM2488" s="34" t="e">
        <f t="shared" ref="BM2488" si="10902">-SUMPRODUCT($Q2487:$Q2493,$N$2:$N$8)-SUMPRODUCT($Q2495:$Q2497,$N$10:$N$12)</f>
        <v>#NUM!</v>
      </c>
      <c r="BN2488" s="34"/>
      <c r="BO2488" s="34"/>
      <c r="BP2488" s="34"/>
      <c r="BQ2488" s="34" t="e">
        <f t="shared" ref="BQ2488" si="10903">$Q2495</f>
        <v>#NUM!</v>
      </c>
      <c r="BR2488" s="34">
        <v>-1</v>
      </c>
      <c r="BS2488" s="34" t="e">
        <f t="shared" ref="BS2488" si="10904">-SUMPRODUCT($Q2487:$Q2494,$N$2:$N$9)-SUMPRODUCT($Q2496:$Q2497,$N$11:$N$12)</f>
        <v>#NUM!</v>
      </c>
      <c r="BT2488" s="34"/>
      <c r="BU2488" s="34"/>
      <c r="BV2488" s="34"/>
      <c r="BW2488" s="34" t="e">
        <f t="shared" ref="BW2488" si="10905">$Q2496</f>
        <v>#NUM!</v>
      </c>
      <c r="BX2488" s="34">
        <v>-1</v>
      </c>
      <c r="BY2488" s="34" t="e">
        <f t="shared" ref="BY2488" si="10906">-SUMPRODUCT($Q2487:$Q2495,$N$2:$N$10)-SUMPRODUCT($Q2497,$N$12)</f>
        <v>#NUM!</v>
      </c>
      <c r="BZ2488" s="34"/>
      <c r="CA2488" s="34"/>
      <c r="CB2488" s="34"/>
      <c r="CC2488" s="34" t="e">
        <f t="shared" ref="CC2488" si="10907">$Q2497</f>
        <v>#NUM!</v>
      </c>
      <c r="CD2488" s="34">
        <v>-1</v>
      </c>
      <c r="CE2488" s="34" t="e">
        <f t="shared" ref="CE2488" si="10908">-SUMPRODUCT($Q2487:$Q2496,$N$2:$N$11)</f>
        <v>#NUM!</v>
      </c>
      <c r="CF2488" s="34"/>
      <c r="CG2488" s="34"/>
      <c r="CH2488" s="34"/>
    </row>
    <row r="2489" spans="1:86" x14ac:dyDescent="0.2">
      <c r="A2489" s="8" t="str">
        <f>IF(AND(COUNTIF(W$3:W$13,A$17)&gt;0,A$17&lt;&gt;B2324),A$17,IFERROR(IF(MATCH(A$17,Z$3:Z$13,0)=8,A$17," ")," "))</f>
        <v>C3</v>
      </c>
      <c r="B2489" s="8">
        <f>IF(A2489=" "," ",MAX(B2487:B2488)+1)</f>
        <v>1</v>
      </c>
      <c r="C2489" s="8" t="str">
        <f>IFERROR(INDEX(A2487:A2508,MATCH(SMALL(B2487:B2508,3),B2487:B2508,0),1)," ")</f>
        <v>C10</v>
      </c>
      <c r="D2489" s="8">
        <f t="shared" si="10874"/>
        <v>0</v>
      </c>
      <c r="E2489" s="8">
        <f t="shared" si="10875"/>
        <v>0</v>
      </c>
      <c r="F2489" s="8">
        <f t="shared" si="10876"/>
        <v>0</v>
      </c>
      <c r="G2489" s="8">
        <f t="shared" si="10877"/>
        <v>0</v>
      </c>
      <c r="H2489" s="8">
        <f t="shared" si="10878"/>
        <v>0</v>
      </c>
      <c r="I2489" s="8">
        <f t="shared" si="10879"/>
        <v>0</v>
      </c>
      <c r="J2489" s="8">
        <f t="shared" si="10880"/>
        <v>0</v>
      </c>
      <c r="K2489" s="8">
        <f t="shared" si="10881"/>
        <v>0</v>
      </c>
      <c r="L2489" s="8">
        <f t="shared" si="10882"/>
        <v>0</v>
      </c>
      <c r="M2489" s="8">
        <f t="shared" si="10883"/>
        <v>0</v>
      </c>
      <c r="N2489" s="8">
        <f t="shared" si="10884"/>
        <v>0</v>
      </c>
      <c r="O2489" s="8">
        <f t="shared" si="10885"/>
        <v>0</v>
      </c>
      <c r="P2489" s="8" t="e">
        <v>#NUM!</v>
      </c>
      <c r="Q2489" s="8" t="e">
        <f t="shared" ref="Q2489" si="10909">IF(COUNTIF(P2487:P2497,"&lt;"&amp;-0.001)=0,IF(ABS(P2489)&lt;0.001,0,P2489)," ")</f>
        <v>#NUM!</v>
      </c>
      <c r="R2489" s="8"/>
      <c r="S2489" s="8"/>
      <c r="U2489" s="34"/>
      <c r="V2489" s="34"/>
      <c r="W2489" s="34"/>
      <c r="X2489" s="34"/>
      <c r="Y2489" s="34"/>
      <c r="Z2489" s="34"/>
      <c r="AA2489" s="34"/>
      <c r="AB2489" s="34"/>
      <c r="AC2489" s="34"/>
      <c r="AD2489" s="34"/>
      <c r="AE2489" s="34"/>
      <c r="AF2489" s="34"/>
      <c r="AG2489" s="34"/>
      <c r="AH2489" s="34"/>
      <c r="AI2489" s="34"/>
      <c r="AJ2489" s="34"/>
      <c r="AK2489" s="34"/>
      <c r="AL2489" s="34"/>
      <c r="AM2489" s="34"/>
      <c r="AN2489" s="34"/>
      <c r="AO2489" s="34"/>
      <c r="AP2489" s="34"/>
      <c r="AQ2489" s="34"/>
      <c r="AR2489" s="34"/>
      <c r="AS2489" s="34"/>
      <c r="AT2489" s="34"/>
      <c r="AU2489" s="34"/>
      <c r="AV2489" s="34"/>
      <c r="AW2489" s="34"/>
      <c r="AX2489" s="34"/>
      <c r="AY2489" s="34"/>
      <c r="AZ2489" s="34"/>
      <c r="BA2489" s="34"/>
      <c r="BB2489" s="34"/>
      <c r="BC2489" s="34"/>
      <c r="BD2489" s="34"/>
      <c r="BE2489" s="34"/>
      <c r="BF2489" s="34"/>
      <c r="BG2489" s="34"/>
      <c r="BH2489" s="34"/>
      <c r="BI2489" s="34"/>
      <c r="BJ2489" s="34"/>
      <c r="BK2489" s="34"/>
      <c r="BL2489" s="34"/>
      <c r="BM2489" s="34"/>
      <c r="BN2489" s="34"/>
      <c r="BO2489" s="34"/>
      <c r="BP2489" s="34"/>
      <c r="BQ2489" s="34"/>
      <c r="BR2489" s="34"/>
      <c r="BS2489" s="34"/>
      <c r="BT2489" s="34"/>
      <c r="BU2489" s="34"/>
      <c r="BV2489" s="34"/>
      <c r="BW2489" s="34"/>
      <c r="BX2489" s="34"/>
      <c r="BY2489" s="34"/>
      <c r="BZ2489" s="34"/>
      <c r="CA2489" s="34"/>
      <c r="CB2489" s="34"/>
      <c r="CC2489" s="34"/>
      <c r="CD2489" s="34"/>
      <c r="CE2489" s="34"/>
      <c r="CF2489" s="34"/>
      <c r="CG2489" s="34"/>
      <c r="CH2489" s="34"/>
    </row>
    <row r="2490" spans="1:86" x14ac:dyDescent="0.2">
      <c r="A2490" s="8" t="str">
        <f>IF(AND(COUNTIF(W$3:W$13,A$18)&gt;0,A$18&lt;&gt;B2324),A$18,IFERROR(IF(MATCH(A$18,Z$3:Z$13,0)=8,A$18," ")," "))</f>
        <v>C4</v>
      </c>
      <c r="B2490" s="8">
        <f>IF(A2490=" "," ",MAX(B2487:B2489)+1)</f>
        <v>2</v>
      </c>
      <c r="C2490" s="8" t="str">
        <f>IFERROR(INDEX(A2487:A2508,MATCH(SMALL(B2487:B2508,4),B2487:B2508,0),1)," ")</f>
        <v>C13</v>
      </c>
      <c r="D2490" s="8">
        <f t="shared" si="10874"/>
        <v>0</v>
      </c>
      <c r="E2490" s="8">
        <f t="shared" si="10875"/>
        <v>1</v>
      </c>
      <c r="F2490" s="8">
        <f t="shared" si="10876"/>
        <v>0</v>
      </c>
      <c r="G2490" s="8">
        <f t="shared" si="10877"/>
        <v>0</v>
      </c>
      <c r="H2490" s="8">
        <f t="shared" si="10878"/>
        <v>0</v>
      </c>
      <c r="I2490" s="8">
        <f t="shared" si="10879"/>
        <v>0</v>
      </c>
      <c r="J2490" s="8">
        <f t="shared" si="10880"/>
        <v>0</v>
      </c>
      <c r="K2490" s="8">
        <f t="shared" si="10881"/>
        <v>0</v>
      </c>
      <c r="L2490" s="8">
        <f t="shared" si="10882"/>
        <v>0</v>
      </c>
      <c r="M2490" s="8">
        <f t="shared" si="10883"/>
        <v>0</v>
      </c>
      <c r="N2490" s="8">
        <f t="shared" si="10884"/>
        <v>0</v>
      </c>
      <c r="O2490" s="8">
        <f t="shared" si="10885"/>
        <v>0</v>
      </c>
      <c r="P2490" s="8" t="e">
        <v>#NUM!</v>
      </c>
      <c r="Q2490" s="8" t="e">
        <f t="shared" ref="Q2490" si="10910">IF(COUNTIF(P2487:P2497,"&lt;"&amp;-0.001)=0,IF(ABS(P2490)&lt;0.001,0,P2490)," ")</f>
        <v>#NUM!</v>
      </c>
      <c r="R2490" s="8"/>
      <c r="S2490" s="8"/>
      <c r="U2490" s="34"/>
      <c r="V2490" s="34"/>
      <c r="W2490" s="34"/>
      <c r="X2490" s="34"/>
      <c r="Y2490" s="34"/>
      <c r="Z2490" s="34"/>
      <c r="AA2490" s="34"/>
      <c r="AB2490" s="34"/>
      <c r="AC2490" s="34"/>
      <c r="AD2490" s="34"/>
      <c r="AE2490" s="34"/>
      <c r="AF2490" s="34"/>
      <c r="AG2490" s="34"/>
      <c r="AH2490" s="34"/>
      <c r="AI2490" s="34"/>
      <c r="AJ2490" s="34"/>
      <c r="AK2490" s="34"/>
      <c r="AL2490" s="34"/>
      <c r="AM2490" s="34"/>
      <c r="AN2490" s="34"/>
      <c r="AO2490" s="34"/>
      <c r="AP2490" s="34"/>
      <c r="AQ2490" s="34"/>
      <c r="AR2490" s="34"/>
      <c r="AS2490" s="34"/>
      <c r="AT2490" s="34"/>
      <c r="AU2490" s="34"/>
      <c r="AV2490" s="34"/>
      <c r="AW2490" s="34"/>
      <c r="AX2490" s="34"/>
      <c r="AY2490" s="34"/>
      <c r="AZ2490" s="34"/>
      <c r="BA2490" s="34"/>
      <c r="BB2490" s="34"/>
      <c r="BC2490" s="34"/>
      <c r="BD2490" s="34"/>
      <c r="BE2490" s="34"/>
      <c r="BF2490" s="34"/>
      <c r="BG2490" s="34"/>
      <c r="BH2490" s="34"/>
      <c r="BI2490" s="34"/>
      <c r="BJ2490" s="34"/>
      <c r="BK2490" s="34"/>
      <c r="BL2490" s="34"/>
      <c r="BM2490" s="34"/>
      <c r="BN2490" s="34"/>
      <c r="BO2490" s="34"/>
      <c r="BP2490" s="34"/>
      <c r="BQ2490" s="34"/>
      <c r="BR2490" s="34"/>
      <c r="BS2490" s="34"/>
      <c r="BT2490" s="34"/>
      <c r="BU2490" s="34"/>
      <c r="BV2490" s="34"/>
      <c r="BW2490" s="34"/>
      <c r="BX2490" s="34"/>
      <c r="BY2490" s="34"/>
      <c r="BZ2490" s="34"/>
      <c r="CA2490" s="34"/>
      <c r="CB2490" s="34"/>
      <c r="CC2490" s="34"/>
      <c r="CD2490" s="34"/>
      <c r="CE2490" s="34"/>
      <c r="CF2490" s="34"/>
      <c r="CG2490" s="34"/>
      <c r="CH2490" s="34"/>
    </row>
    <row r="2491" spans="1:86" x14ac:dyDescent="0.2">
      <c r="A2491" s="8" t="str">
        <f>IF(AND(COUNTIF(W$3:W$13,A$19)&gt;0,A$19&lt;&gt;B2324),A$19,IFERROR(IF(MATCH(A$19,Z$3:Z$13,0)=8,A$19," ")," "))</f>
        <v xml:space="preserve"> </v>
      </c>
      <c r="B2491" s="8" t="str">
        <f>IF(A2491=" "," ",MAX(B2487:B2490)+1)</f>
        <v xml:space="preserve"> </v>
      </c>
      <c r="C2491" s="8" t="str">
        <f>IFERROR(INDEX(A2487:A2508,MATCH(SMALL(B2487:B2508,5),B2487:B2508,0),1)," ")</f>
        <v>C15</v>
      </c>
      <c r="D2491" s="8">
        <f t="shared" si="10874"/>
        <v>0</v>
      </c>
      <c r="E2491" s="8">
        <f t="shared" si="10875"/>
        <v>0</v>
      </c>
      <c r="F2491" s="8">
        <f t="shared" si="10876"/>
        <v>0</v>
      </c>
      <c r="G2491" s="8">
        <f t="shared" si="10877"/>
        <v>1</v>
      </c>
      <c r="H2491" s="8">
        <f t="shared" si="10878"/>
        <v>0</v>
      </c>
      <c r="I2491" s="8">
        <f t="shared" si="10879"/>
        <v>0</v>
      </c>
      <c r="J2491" s="8">
        <f t="shared" si="10880"/>
        <v>0</v>
      </c>
      <c r="K2491" s="8">
        <f t="shared" si="10881"/>
        <v>0</v>
      </c>
      <c r="L2491" s="8">
        <f t="shared" si="10882"/>
        <v>0</v>
      </c>
      <c r="M2491" s="8">
        <f t="shared" si="10883"/>
        <v>0</v>
      </c>
      <c r="N2491" s="8">
        <f t="shared" si="10884"/>
        <v>0</v>
      </c>
      <c r="O2491" s="8">
        <f t="shared" si="10885"/>
        <v>0</v>
      </c>
      <c r="P2491" s="8" t="e">
        <v>#NUM!</v>
      </c>
      <c r="Q2491" s="8" t="e">
        <f t="shared" ref="Q2491" si="10911">IF(COUNTIF(P2487:P2497,"&lt;"&amp;-0.001)=0,IF(ABS(P2491)&lt;0.001,0,P2491)," ")</f>
        <v>#NUM!</v>
      </c>
      <c r="R2491" s="8"/>
      <c r="S2491" s="8"/>
      <c r="U2491" s="34"/>
      <c r="V2491" s="34"/>
      <c r="W2491" s="34"/>
      <c r="X2491" s="34"/>
      <c r="Y2491" s="34"/>
      <c r="Z2491" s="34"/>
      <c r="AA2491" s="34"/>
      <c r="AB2491" s="34"/>
      <c r="AC2491" s="34"/>
      <c r="AD2491" s="34"/>
      <c r="AE2491" s="34"/>
      <c r="AF2491" s="34"/>
      <c r="AG2491" s="34"/>
      <c r="AH2491" s="34"/>
      <c r="AI2491" s="34"/>
      <c r="AJ2491" s="34"/>
      <c r="AK2491" s="34"/>
      <c r="AL2491" s="34"/>
      <c r="AM2491" s="34"/>
      <c r="AN2491" s="34"/>
      <c r="AO2491" s="34"/>
      <c r="AP2491" s="34"/>
      <c r="AQ2491" s="34"/>
      <c r="AR2491" s="34"/>
      <c r="AS2491" s="34"/>
      <c r="AT2491" s="34"/>
      <c r="AU2491" s="34"/>
      <c r="AV2491" s="34"/>
      <c r="AW2491" s="34"/>
      <c r="AX2491" s="34"/>
      <c r="AY2491" s="34"/>
      <c r="AZ2491" s="34"/>
      <c r="BA2491" s="34"/>
      <c r="BB2491" s="34"/>
      <c r="BC2491" s="34"/>
      <c r="BD2491" s="34"/>
      <c r="BE2491" s="34"/>
      <c r="BF2491" s="34"/>
      <c r="BG2491" s="34"/>
      <c r="BH2491" s="34"/>
      <c r="BI2491" s="34"/>
      <c r="BJ2491" s="34"/>
      <c r="BK2491" s="34"/>
      <c r="BL2491" s="34"/>
      <c r="BM2491" s="34"/>
      <c r="BN2491" s="34"/>
      <c r="BO2491" s="34"/>
      <c r="BP2491" s="34"/>
      <c r="BQ2491" s="34"/>
      <c r="BR2491" s="34"/>
      <c r="BS2491" s="34"/>
      <c r="BT2491" s="34"/>
      <c r="BU2491" s="34"/>
      <c r="BV2491" s="34"/>
      <c r="BW2491" s="34"/>
      <c r="BX2491" s="34"/>
      <c r="BY2491" s="34"/>
      <c r="BZ2491" s="34"/>
      <c r="CA2491" s="34"/>
      <c r="CB2491" s="34"/>
      <c r="CC2491" s="34"/>
      <c r="CD2491" s="34"/>
      <c r="CE2491" s="34"/>
      <c r="CF2491" s="34"/>
      <c r="CG2491" s="34"/>
      <c r="CH2491" s="34"/>
    </row>
    <row r="2492" spans="1:86" x14ac:dyDescent="0.2">
      <c r="A2492" s="8" t="str">
        <f>IF(AND(COUNTIF(W$3:W$13,A$20)&gt;0,A$20&lt;&gt;B2324),A$20,IFERROR(IF(MATCH(A$20,Z$3:Z$13,0)=8,A$20," ")," "))</f>
        <v xml:space="preserve"> </v>
      </c>
      <c r="B2492" s="8" t="str">
        <f>IF(A2492=" "," ",MAX(B2487:B2491)+1)</f>
        <v xml:space="preserve"> </v>
      </c>
      <c r="C2492" s="8" t="str">
        <f>IFERROR(INDEX(A2487:A2508,MATCH(SMALL(B2487:B2508,6),B2487:B2508,0),1)," ")</f>
        <v>C16</v>
      </c>
      <c r="D2492" s="8">
        <f t="shared" si="10874"/>
        <v>0</v>
      </c>
      <c r="E2492" s="8">
        <f t="shared" si="10875"/>
        <v>0</v>
      </c>
      <c r="F2492" s="8">
        <f t="shared" si="10876"/>
        <v>0</v>
      </c>
      <c r="G2492" s="8">
        <f t="shared" si="10877"/>
        <v>0</v>
      </c>
      <c r="H2492" s="8">
        <f t="shared" si="10878"/>
        <v>1</v>
      </c>
      <c r="I2492" s="8">
        <f t="shared" si="10879"/>
        <v>0</v>
      </c>
      <c r="J2492" s="8">
        <f t="shared" si="10880"/>
        <v>0</v>
      </c>
      <c r="K2492" s="8">
        <f t="shared" si="10881"/>
        <v>0</v>
      </c>
      <c r="L2492" s="8">
        <f t="shared" si="10882"/>
        <v>0</v>
      </c>
      <c r="M2492" s="8">
        <f t="shared" si="10883"/>
        <v>0</v>
      </c>
      <c r="N2492" s="8">
        <f t="shared" si="10884"/>
        <v>0</v>
      </c>
      <c r="O2492" s="8">
        <f t="shared" si="10885"/>
        <v>0</v>
      </c>
      <c r="P2492" s="8" t="e">
        <v>#NUM!</v>
      </c>
      <c r="Q2492" s="8" t="e">
        <f t="shared" ref="Q2492" si="10912">IF(COUNTIF(P2487:P2497,"&lt;"&amp;-0.001)=0,IF(ABS(P2492)&lt;0.001,0,P2492)," ")</f>
        <v>#NUM!</v>
      </c>
      <c r="R2492" s="8"/>
      <c r="S2492" s="8"/>
      <c r="U2492" s="34"/>
      <c r="V2492" s="34"/>
      <c r="W2492" s="34"/>
      <c r="X2492" s="34"/>
      <c r="Y2492" s="34"/>
      <c r="Z2492" s="34"/>
      <c r="AA2492" s="34"/>
      <c r="AB2492" s="34"/>
      <c r="AC2492" s="34"/>
      <c r="AD2492" s="34"/>
      <c r="AE2492" s="34"/>
      <c r="AF2492" s="34"/>
      <c r="AG2492" s="34"/>
      <c r="AH2492" s="34"/>
      <c r="AI2492" s="34"/>
      <c r="AJ2492" s="34"/>
      <c r="AK2492" s="34"/>
      <c r="AL2492" s="34"/>
      <c r="AM2492" s="34"/>
      <c r="AN2492" s="34"/>
      <c r="AO2492" s="34"/>
      <c r="AP2492" s="34"/>
      <c r="AQ2492" s="34"/>
      <c r="AR2492" s="34"/>
      <c r="AS2492" s="34"/>
      <c r="AT2492" s="34"/>
      <c r="AU2492" s="34"/>
      <c r="AV2492" s="34"/>
      <c r="AW2492" s="34"/>
      <c r="AX2492" s="34"/>
      <c r="AY2492" s="34"/>
      <c r="AZ2492" s="34"/>
      <c r="BA2492" s="34"/>
      <c r="BB2492" s="34"/>
      <c r="BC2492" s="34"/>
      <c r="BD2492" s="34"/>
      <c r="BE2492" s="34"/>
      <c r="BF2492" s="34"/>
      <c r="BG2492" s="34"/>
      <c r="BH2492" s="34"/>
      <c r="BI2492" s="34"/>
      <c r="BJ2492" s="34"/>
      <c r="BK2492" s="34"/>
      <c r="BL2492" s="34"/>
      <c r="BM2492" s="34"/>
      <c r="BN2492" s="34"/>
      <c r="BO2492" s="34"/>
      <c r="BP2492" s="34"/>
      <c r="BQ2492" s="34"/>
      <c r="BR2492" s="34"/>
      <c r="BS2492" s="34"/>
      <c r="BT2492" s="34"/>
      <c r="BU2492" s="34"/>
      <c r="BV2492" s="34"/>
      <c r="BW2492" s="34"/>
      <c r="BX2492" s="34"/>
      <c r="BY2492" s="34"/>
      <c r="BZ2492" s="34"/>
      <c r="CA2492" s="34"/>
      <c r="CB2492" s="34"/>
      <c r="CC2492" s="34"/>
      <c r="CD2492" s="34"/>
      <c r="CE2492" s="34"/>
      <c r="CF2492" s="34"/>
      <c r="CG2492" s="34"/>
      <c r="CH2492" s="34"/>
    </row>
    <row r="2493" spans="1:86" x14ac:dyDescent="0.2">
      <c r="A2493" s="8" t="str">
        <f>IF(AND(COUNTIF(W$3:W$13,A$21)&gt;0,A$21&lt;&gt;B2324),A$21,IFERROR(IF(MATCH(A$21,Z$3:Z$13,0)=8,A$21," ")," "))</f>
        <v xml:space="preserve"> </v>
      </c>
      <c r="B2493" s="8" t="str">
        <f>IF(A2493=" "," ",MAX(B2487:B2492)+1)</f>
        <v xml:space="preserve"> </v>
      </c>
      <c r="C2493" s="8" t="str">
        <f>IFERROR(INDEX(A2487:A2508,MATCH(SMALL(B2487:B2508,7),B2487:B2508,0),1)," ")</f>
        <v>C17</v>
      </c>
      <c r="D2493" s="8">
        <f t="shared" si="10874"/>
        <v>0</v>
      </c>
      <c r="E2493" s="8">
        <f t="shared" si="10875"/>
        <v>0</v>
      </c>
      <c r="F2493" s="8">
        <f t="shared" si="10876"/>
        <v>0</v>
      </c>
      <c r="G2493" s="8">
        <f t="shared" si="10877"/>
        <v>0</v>
      </c>
      <c r="H2493" s="8">
        <f t="shared" si="10878"/>
        <v>0</v>
      </c>
      <c r="I2493" s="8">
        <f t="shared" si="10879"/>
        <v>1</v>
      </c>
      <c r="J2493" s="8">
        <f t="shared" si="10880"/>
        <v>0</v>
      </c>
      <c r="K2493" s="8">
        <f t="shared" si="10881"/>
        <v>0</v>
      </c>
      <c r="L2493" s="8">
        <f t="shared" si="10882"/>
        <v>0</v>
      </c>
      <c r="M2493" s="8">
        <f t="shared" si="10883"/>
        <v>0</v>
      </c>
      <c r="N2493" s="8">
        <f t="shared" si="10884"/>
        <v>0</v>
      </c>
      <c r="O2493" s="8">
        <f t="shared" si="10885"/>
        <v>0</v>
      </c>
      <c r="P2493" s="8" t="e">
        <v>#NUM!</v>
      </c>
      <c r="Q2493" s="8" t="e">
        <f t="shared" ref="Q2493" si="10913">IF(COUNTIF(P2487:P2497,"&lt;"&amp;-0.001)=0,IF(ABS(P2493)&lt;0.001,0,P2493)," ")</f>
        <v>#NUM!</v>
      </c>
      <c r="R2493" s="8"/>
      <c r="S2493" s="8"/>
      <c r="U2493" s="34"/>
      <c r="V2493" s="34"/>
      <c r="W2493" s="34"/>
      <c r="X2493" s="34"/>
      <c r="Y2493" s="34"/>
      <c r="Z2493" s="34"/>
      <c r="AA2493" s="34"/>
      <c r="AB2493" s="34"/>
      <c r="AC2493" s="34"/>
      <c r="AD2493" s="34"/>
      <c r="AE2493" s="34"/>
      <c r="AF2493" s="34"/>
      <c r="AG2493" s="34"/>
      <c r="AH2493" s="34"/>
      <c r="AI2493" s="34"/>
      <c r="AJ2493" s="34"/>
      <c r="AK2493" s="34"/>
      <c r="AL2493" s="34"/>
      <c r="AM2493" s="34"/>
      <c r="AN2493" s="34"/>
      <c r="AO2493" s="34"/>
      <c r="AP2493" s="34"/>
      <c r="AQ2493" s="34"/>
      <c r="AR2493" s="34"/>
      <c r="AS2493" s="34"/>
      <c r="AT2493" s="34"/>
      <c r="AU2493" s="34"/>
      <c r="AV2493" s="34"/>
      <c r="AW2493" s="34"/>
      <c r="AX2493" s="34"/>
      <c r="AY2493" s="34"/>
      <c r="AZ2493" s="34"/>
      <c r="BA2493" s="34"/>
      <c r="BB2493" s="34"/>
      <c r="BC2493" s="34"/>
      <c r="BD2493" s="34"/>
      <c r="BE2493" s="34"/>
      <c r="BF2493" s="34"/>
      <c r="BG2493" s="34"/>
      <c r="BH2493" s="34"/>
      <c r="BI2493" s="34"/>
      <c r="BJ2493" s="34"/>
      <c r="BK2493" s="34"/>
      <c r="BL2493" s="34"/>
      <c r="BM2493" s="34"/>
      <c r="BN2493" s="34"/>
      <c r="BO2493" s="34"/>
      <c r="BP2493" s="34"/>
      <c r="BQ2493" s="34"/>
      <c r="BR2493" s="34"/>
      <c r="BS2493" s="34"/>
      <c r="BT2493" s="34"/>
      <c r="BU2493" s="34"/>
      <c r="BV2493" s="34"/>
      <c r="BW2493" s="34"/>
      <c r="BX2493" s="34"/>
      <c r="BY2493" s="34"/>
      <c r="BZ2493" s="34"/>
      <c r="CA2493" s="34"/>
      <c r="CB2493" s="34"/>
      <c r="CC2493" s="34"/>
      <c r="CD2493" s="34"/>
      <c r="CE2493" s="34"/>
      <c r="CF2493" s="34"/>
      <c r="CG2493" s="34"/>
      <c r="CH2493" s="34"/>
    </row>
    <row r="2494" spans="1:86" x14ac:dyDescent="0.2">
      <c r="A2494" s="8" t="str">
        <f>IF(AND(COUNTIF(W$3:W$13,A$22)&gt;0,A$22&lt;&gt;B2324),A$22,IFERROR(IF(MATCH(A$22,Z$3:Z$13,0)=8,A$22," ")," "))</f>
        <v xml:space="preserve"> </v>
      </c>
      <c r="B2494" s="8" t="str">
        <f>IF(A2494=" "," ",MAX(B2487:B2493)+1)</f>
        <v xml:space="preserve"> </v>
      </c>
      <c r="C2494" s="8" t="str">
        <f>IFERROR(INDEX(A2487:A2508,MATCH(SMALL(B2487:B2508,8),B2487:B2508,0),1)," ")</f>
        <v>C18</v>
      </c>
      <c r="D2494" s="8">
        <f t="shared" si="10874"/>
        <v>0</v>
      </c>
      <c r="E2494" s="8">
        <f t="shared" si="10875"/>
        <v>0</v>
      </c>
      <c r="F2494" s="8">
        <f t="shared" si="10876"/>
        <v>0</v>
      </c>
      <c r="G2494" s="8">
        <f t="shared" si="10877"/>
        <v>0</v>
      </c>
      <c r="H2494" s="8">
        <f t="shared" si="10878"/>
        <v>0</v>
      </c>
      <c r="I2494" s="8">
        <f t="shared" si="10879"/>
        <v>0</v>
      </c>
      <c r="J2494" s="8">
        <f t="shared" si="10880"/>
        <v>1</v>
      </c>
      <c r="K2494" s="8">
        <f t="shared" si="10881"/>
        <v>0</v>
      </c>
      <c r="L2494" s="8">
        <f t="shared" si="10882"/>
        <v>0</v>
      </c>
      <c r="M2494" s="8">
        <f t="shared" si="10883"/>
        <v>0</v>
      </c>
      <c r="N2494" s="8">
        <f t="shared" si="10884"/>
        <v>0</v>
      </c>
      <c r="O2494" s="8">
        <f t="shared" si="10885"/>
        <v>0</v>
      </c>
      <c r="P2494" s="8" t="e">
        <v>#NUM!</v>
      </c>
      <c r="Q2494" s="8" t="e">
        <f t="shared" ref="Q2494" si="10914">IF(COUNTIF(P2487:P2497,"&lt;"&amp;-0.001)=0,IF(ABS(P2494)&lt;0.001,0,P2494)," ")</f>
        <v>#NUM!</v>
      </c>
      <c r="R2494" s="8"/>
      <c r="S2494" s="8"/>
      <c r="U2494" s="34"/>
      <c r="V2494" s="34"/>
      <c r="W2494" s="34"/>
      <c r="X2494" s="34"/>
      <c r="Y2494" s="34"/>
      <c r="Z2494" s="34"/>
      <c r="AA2494" s="34"/>
      <c r="AB2494" s="34"/>
      <c r="AC2494" s="34"/>
      <c r="AD2494" s="34"/>
      <c r="AE2494" s="34"/>
      <c r="AF2494" s="34"/>
      <c r="AG2494" s="34"/>
      <c r="AH2494" s="34"/>
      <c r="AI2494" s="34"/>
      <c r="AJ2494" s="34"/>
      <c r="AK2494" s="34"/>
      <c r="AL2494" s="34"/>
      <c r="AM2494" s="34"/>
      <c r="AN2494" s="34"/>
      <c r="AO2494" s="34"/>
      <c r="AP2494" s="34"/>
      <c r="AQ2494" s="34"/>
      <c r="AR2494" s="34"/>
      <c r="AS2494" s="34"/>
      <c r="AT2494" s="34"/>
      <c r="AU2494" s="34"/>
      <c r="AV2494" s="34"/>
      <c r="AW2494" s="34"/>
      <c r="AX2494" s="34"/>
      <c r="AY2494" s="34"/>
      <c r="AZ2494" s="34"/>
      <c r="BA2494" s="34"/>
      <c r="BB2494" s="34"/>
      <c r="BC2494" s="34"/>
      <c r="BD2494" s="34"/>
      <c r="BE2494" s="34"/>
      <c r="BF2494" s="34"/>
      <c r="BG2494" s="34"/>
      <c r="BH2494" s="34"/>
      <c r="BI2494" s="34"/>
      <c r="BJ2494" s="34"/>
      <c r="BK2494" s="34"/>
      <c r="BL2494" s="34"/>
      <c r="BM2494" s="34"/>
      <c r="BN2494" s="34"/>
      <c r="BO2494" s="34"/>
      <c r="BP2494" s="34"/>
      <c r="BQ2494" s="34"/>
      <c r="BR2494" s="34"/>
      <c r="BS2494" s="34"/>
      <c r="BT2494" s="34"/>
      <c r="BU2494" s="34"/>
      <c r="BV2494" s="34"/>
      <c r="BW2494" s="34"/>
      <c r="BX2494" s="34"/>
      <c r="BY2494" s="34"/>
      <c r="BZ2494" s="34"/>
      <c r="CA2494" s="34"/>
      <c r="CB2494" s="34"/>
      <c r="CC2494" s="34"/>
      <c r="CD2494" s="34"/>
      <c r="CE2494" s="34"/>
      <c r="CF2494" s="34"/>
      <c r="CG2494" s="34"/>
      <c r="CH2494" s="34"/>
    </row>
    <row r="2495" spans="1:86" x14ac:dyDescent="0.2">
      <c r="A2495" s="8" t="str">
        <f>IF(AND(COUNTIF(W$3:W$13,A$23)&gt;0,A$23&lt;&gt;B2324),A$23,IFERROR(IF(MATCH(A$23,Z$3:Z$13,0)=8,A$23," ")," "))</f>
        <v xml:space="preserve"> </v>
      </c>
      <c r="B2495" s="8" t="str">
        <f>IF(A2495=" "," ",MAX(B2487:B2494)+1)</f>
        <v xml:space="preserve"> </v>
      </c>
      <c r="C2495" s="8" t="str">
        <f>IFERROR(INDEX(A2487:A2508,MATCH(SMALL(B2487:B2508,9),B2487:B2508,0),1)," ")</f>
        <v>C19</v>
      </c>
      <c r="D2495" s="8">
        <f t="shared" si="10874"/>
        <v>0</v>
      </c>
      <c r="E2495" s="8">
        <f t="shared" si="10875"/>
        <v>0</v>
      </c>
      <c r="F2495" s="8">
        <f t="shared" si="10876"/>
        <v>0</v>
      </c>
      <c r="G2495" s="8">
        <f t="shared" si="10877"/>
        <v>0</v>
      </c>
      <c r="H2495" s="8">
        <f t="shared" si="10878"/>
        <v>0</v>
      </c>
      <c r="I2495" s="8">
        <f t="shared" si="10879"/>
        <v>0</v>
      </c>
      <c r="J2495" s="8">
        <f t="shared" si="10880"/>
        <v>0</v>
      </c>
      <c r="K2495" s="8">
        <f t="shared" si="10881"/>
        <v>1</v>
      </c>
      <c r="L2495" s="8">
        <f t="shared" si="10882"/>
        <v>0</v>
      </c>
      <c r="M2495" s="8">
        <f t="shared" si="10883"/>
        <v>0</v>
      </c>
      <c r="N2495" s="8">
        <f t="shared" si="10884"/>
        <v>0</v>
      </c>
      <c r="O2495" s="8">
        <f t="shared" si="10885"/>
        <v>0</v>
      </c>
      <c r="P2495" s="6" t="e">
        <v>#NUM!</v>
      </c>
      <c r="Q2495" s="8" t="e">
        <f t="shared" ref="Q2495" si="10915">IF(COUNTIF(P2487:P2497,"&lt;"&amp;-0.001)=0,IF(ABS(P2495)&lt;0.001,0,P2495)," ")</f>
        <v>#NUM!</v>
      </c>
      <c r="R2495" s="8"/>
      <c r="S2495" s="8"/>
      <c r="U2495" s="34"/>
      <c r="V2495" s="34"/>
      <c r="W2495" s="34"/>
      <c r="X2495" s="34"/>
      <c r="Y2495" s="34"/>
      <c r="Z2495" s="34"/>
      <c r="AA2495" s="34"/>
      <c r="AB2495" s="34"/>
      <c r="AC2495" s="34"/>
      <c r="AD2495" s="34"/>
      <c r="AE2495" s="34"/>
      <c r="AF2495" s="34"/>
      <c r="AG2495" s="34"/>
      <c r="AH2495" s="34"/>
      <c r="AI2495" s="34"/>
      <c r="AJ2495" s="34"/>
      <c r="AK2495" s="34"/>
      <c r="AL2495" s="34"/>
      <c r="AM2495" s="34"/>
      <c r="AN2495" s="34"/>
      <c r="AO2495" s="34"/>
      <c r="AP2495" s="34"/>
      <c r="AQ2495" s="34"/>
      <c r="AR2495" s="34"/>
      <c r="AS2495" s="34"/>
      <c r="AT2495" s="34"/>
      <c r="AU2495" s="34"/>
      <c r="AV2495" s="34"/>
      <c r="AW2495" s="34"/>
      <c r="AX2495" s="34"/>
      <c r="AY2495" s="34"/>
      <c r="AZ2495" s="34"/>
      <c r="BA2495" s="34"/>
      <c r="BB2495" s="34"/>
      <c r="BC2495" s="34"/>
      <c r="BD2495" s="34"/>
      <c r="BE2495" s="34"/>
      <c r="BF2495" s="34"/>
      <c r="BG2495" s="34"/>
      <c r="BH2495" s="34"/>
      <c r="BI2495" s="34"/>
      <c r="BJ2495" s="34"/>
      <c r="BK2495" s="34"/>
      <c r="BL2495" s="34"/>
      <c r="BM2495" s="34"/>
      <c r="BN2495" s="34"/>
      <c r="BO2495" s="34"/>
      <c r="BP2495" s="34"/>
      <c r="BQ2495" s="34"/>
      <c r="BR2495" s="34"/>
      <c r="BS2495" s="34"/>
      <c r="BT2495" s="34"/>
      <c r="BU2495" s="34"/>
      <c r="BV2495" s="34"/>
      <c r="BW2495" s="34"/>
      <c r="BX2495" s="34"/>
      <c r="BY2495" s="34"/>
      <c r="BZ2495" s="34"/>
      <c r="CA2495" s="34"/>
      <c r="CB2495" s="34"/>
      <c r="CC2495" s="34"/>
      <c r="CD2495" s="34"/>
      <c r="CE2495" s="34"/>
      <c r="CF2495" s="34"/>
      <c r="CG2495" s="34"/>
      <c r="CH2495" s="34"/>
    </row>
    <row r="2496" spans="1:86" x14ac:dyDescent="0.2">
      <c r="A2496" s="8" t="str">
        <f>IF(AND(COUNTIF(W$3:W$13,A$24)&gt;0,A$24&lt;&gt;B2324),A$24,IFERROR(IF(MATCH(A$24,Z$3:Z$13,0)=8,A$24," ")," "))</f>
        <v>C10</v>
      </c>
      <c r="B2496" s="8">
        <f>IF(A2496=" "," ",MAX(B2487:B2495)+1)</f>
        <v>3</v>
      </c>
      <c r="C2496" s="8" t="str">
        <f>IFERROR(INDEX(A2487:A2508,MATCH(SMALL(B2487:B2508,10),B2487:B2508,0),1)," ")</f>
        <v>C20</v>
      </c>
      <c r="D2496" s="8">
        <f t="shared" si="10874"/>
        <v>0</v>
      </c>
      <c r="E2496" s="8">
        <f t="shared" si="10875"/>
        <v>0</v>
      </c>
      <c r="F2496" s="8">
        <f t="shared" si="10876"/>
        <v>0</v>
      </c>
      <c r="G2496" s="8">
        <f t="shared" si="10877"/>
        <v>0</v>
      </c>
      <c r="H2496" s="8">
        <f t="shared" si="10878"/>
        <v>0</v>
      </c>
      <c r="I2496" s="8">
        <f t="shared" si="10879"/>
        <v>0</v>
      </c>
      <c r="J2496" s="8">
        <f t="shared" si="10880"/>
        <v>0</v>
      </c>
      <c r="K2496" s="8">
        <f t="shared" si="10881"/>
        <v>0</v>
      </c>
      <c r="L2496" s="8">
        <f t="shared" si="10882"/>
        <v>1</v>
      </c>
      <c r="M2496" s="8">
        <f t="shared" si="10883"/>
        <v>0</v>
      </c>
      <c r="N2496" s="8">
        <f t="shared" si="10884"/>
        <v>0</v>
      </c>
      <c r="O2496" s="8">
        <f t="shared" si="10885"/>
        <v>0</v>
      </c>
      <c r="P2496" s="8" t="e">
        <v>#NUM!</v>
      </c>
      <c r="Q2496" s="8" t="e">
        <f t="shared" ref="Q2496" si="10916">IF(COUNTIF(P2487:P2497,"&lt;"&amp;-0.001)=0,IF(ABS(P2496)&lt;0.001,0,P2496)," ")</f>
        <v>#NUM!</v>
      </c>
      <c r="R2496" s="8"/>
      <c r="S2496" s="8"/>
      <c r="U2496" s="34"/>
      <c r="V2496" s="34"/>
      <c r="W2496" s="34"/>
      <c r="X2496" s="34"/>
      <c r="Y2496" s="34"/>
      <c r="Z2496" s="34"/>
      <c r="AA2496" s="34"/>
      <c r="AB2496" s="34"/>
      <c r="AC2496" s="34"/>
      <c r="AD2496" s="34"/>
      <c r="AE2496" s="34"/>
      <c r="AF2496" s="34"/>
      <c r="AG2496" s="34"/>
      <c r="AH2496" s="34"/>
      <c r="AI2496" s="34"/>
      <c r="AJ2496" s="34"/>
      <c r="AK2496" s="34"/>
      <c r="AL2496" s="34"/>
      <c r="AM2496" s="34"/>
      <c r="AN2496" s="34"/>
      <c r="AO2496" s="34"/>
      <c r="AP2496" s="34"/>
      <c r="AQ2496" s="34"/>
      <c r="AR2496" s="34"/>
      <c r="AS2496" s="34"/>
      <c r="AT2496" s="34"/>
      <c r="AU2496" s="34"/>
      <c r="AV2496" s="34"/>
      <c r="AW2496" s="34"/>
      <c r="AX2496" s="34"/>
      <c r="AY2496" s="34"/>
      <c r="AZ2496" s="34"/>
      <c r="BA2496" s="34"/>
      <c r="BB2496" s="34"/>
      <c r="BC2496" s="34"/>
      <c r="BD2496" s="34"/>
      <c r="BE2496" s="34"/>
      <c r="BF2496" s="34"/>
      <c r="BG2496" s="34"/>
      <c r="BH2496" s="34"/>
      <c r="BI2496" s="34"/>
      <c r="BJ2496" s="34"/>
      <c r="BK2496" s="34"/>
      <c r="BL2496" s="34"/>
      <c r="BM2496" s="34"/>
      <c r="BN2496" s="34"/>
      <c r="BO2496" s="34"/>
      <c r="BP2496" s="34"/>
      <c r="BQ2496" s="34"/>
      <c r="BR2496" s="34"/>
      <c r="BS2496" s="34"/>
      <c r="BT2496" s="34"/>
      <c r="BU2496" s="34"/>
      <c r="BV2496" s="34"/>
      <c r="BW2496" s="34"/>
      <c r="BX2496" s="34"/>
      <c r="BY2496" s="34"/>
      <c r="BZ2496" s="34"/>
      <c r="CA2496" s="34"/>
      <c r="CB2496" s="34"/>
      <c r="CC2496" s="34"/>
      <c r="CD2496" s="34"/>
      <c r="CE2496" s="34"/>
      <c r="CF2496" s="34"/>
      <c r="CG2496" s="34"/>
      <c r="CH2496" s="34"/>
    </row>
    <row r="2497" spans="1:86" x14ac:dyDescent="0.2">
      <c r="A2497" s="8" t="str">
        <f>IF(AND(COUNTIF(W$3:W$13,A$25)&gt;0,A$25&lt;&gt;B2324),A$25,IFERROR(IF(MATCH(A$25,Z$3:Z$13,0)=8,A$25," ")," "))</f>
        <v xml:space="preserve"> </v>
      </c>
      <c r="B2497" s="8" t="str">
        <f>IF(A2497=" "," ",MAX(B2487:B2496)+1)</f>
        <v xml:space="preserve"> </v>
      </c>
      <c r="C2497" s="8" t="str">
        <f>IFERROR(INDEX(A2487:A2508,MATCH(SMALL(B2487:B2508,11),B2487:B2508,0),1)," ")</f>
        <v>C22</v>
      </c>
      <c r="D2497" s="8">
        <f t="shared" si="10874"/>
        <v>0</v>
      </c>
      <c r="E2497" s="8">
        <f t="shared" si="10875"/>
        <v>0</v>
      </c>
      <c r="F2497" s="8">
        <f t="shared" si="10876"/>
        <v>0</v>
      </c>
      <c r="G2497" s="8">
        <f t="shared" si="10877"/>
        <v>0</v>
      </c>
      <c r="H2497" s="8">
        <f t="shared" si="10878"/>
        <v>0</v>
      </c>
      <c r="I2497" s="8">
        <f t="shared" si="10879"/>
        <v>0</v>
      </c>
      <c r="J2497" s="8">
        <f t="shared" si="10880"/>
        <v>0</v>
      </c>
      <c r="K2497" s="8">
        <f t="shared" si="10881"/>
        <v>0</v>
      </c>
      <c r="L2497" s="8">
        <f t="shared" si="10882"/>
        <v>0</v>
      </c>
      <c r="M2497" s="8">
        <f t="shared" si="10883"/>
        <v>0</v>
      </c>
      <c r="N2497" s="8">
        <f t="shared" si="10884"/>
        <v>1</v>
      </c>
      <c r="O2497" s="8">
        <f t="shared" si="10885"/>
        <v>0</v>
      </c>
      <c r="P2497" s="8" t="e">
        <v>#NUM!</v>
      </c>
      <c r="Q2497" s="8" t="e">
        <f t="shared" ref="Q2497" si="10917">IF(COUNTIF(P2487:P2497,"&lt;"&amp;-0.001)=0,IF(ABS(P2497)&lt;0.001,0,P2497)," ")</f>
        <v>#NUM!</v>
      </c>
      <c r="R2497" s="8"/>
      <c r="S2497" s="8"/>
      <c r="U2497" s="34"/>
      <c r="V2497" s="34"/>
      <c r="W2497" s="34"/>
      <c r="X2497" s="34"/>
      <c r="Y2497" s="34"/>
      <c r="Z2497" s="34"/>
      <c r="AA2497" s="34"/>
      <c r="AB2497" s="34"/>
      <c r="AC2497" s="34"/>
      <c r="AD2497" s="34"/>
      <c r="AE2497" s="34"/>
      <c r="AF2497" s="34"/>
      <c r="AG2497" s="34"/>
      <c r="AH2497" s="34"/>
      <c r="AI2497" s="34"/>
      <c r="AJ2497" s="34"/>
      <c r="AK2497" s="34"/>
      <c r="AL2497" s="34"/>
      <c r="AM2497" s="34"/>
      <c r="AN2497" s="34"/>
      <c r="AO2497" s="34"/>
      <c r="AP2497" s="34"/>
      <c r="AQ2497" s="34"/>
      <c r="AR2497" s="34"/>
      <c r="AS2497" s="34"/>
      <c r="AT2497" s="34"/>
      <c r="AU2497" s="34"/>
      <c r="AV2497" s="34"/>
      <c r="AW2497" s="34"/>
      <c r="AX2497" s="34"/>
      <c r="AY2497" s="34"/>
      <c r="AZ2497" s="34"/>
      <c r="BA2497" s="34"/>
      <c r="BB2497" s="34"/>
      <c r="BC2497" s="34"/>
      <c r="BD2497" s="34"/>
      <c r="BE2497" s="34"/>
      <c r="BF2497" s="34"/>
      <c r="BG2497" s="34"/>
      <c r="BH2497" s="34"/>
      <c r="BI2497" s="34"/>
      <c r="BJ2497" s="34"/>
      <c r="BK2497" s="34"/>
      <c r="BL2497" s="34"/>
      <c r="BM2497" s="34"/>
      <c r="BN2497" s="34"/>
      <c r="BO2497" s="34"/>
      <c r="BP2497" s="34"/>
      <c r="BQ2497" s="34"/>
      <c r="BR2497" s="34"/>
      <c r="BS2497" s="34"/>
      <c r="BT2497" s="34"/>
      <c r="BU2497" s="34"/>
      <c r="BV2497" s="34"/>
      <c r="BW2497" s="34"/>
      <c r="BX2497" s="34"/>
      <c r="BY2497" s="34"/>
      <c r="BZ2497" s="34"/>
      <c r="CA2497" s="34"/>
      <c r="CB2497" s="34"/>
      <c r="CC2497" s="34"/>
      <c r="CD2497" s="34"/>
      <c r="CE2497" s="34"/>
      <c r="CF2497" s="34"/>
      <c r="CG2497" s="34"/>
      <c r="CH2497" s="34"/>
    </row>
    <row r="2498" spans="1:86" x14ac:dyDescent="0.2">
      <c r="A2498" s="8" t="str">
        <f>IF(AND(COUNTIF(W$3:W$13,A$26)&gt;0,A$26&lt;&gt;B2324),A$26,IFERROR(IF(MATCH(A$26,Z$3:Z$13,0)=8,A$26," ")," "))</f>
        <v xml:space="preserve"> </v>
      </c>
      <c r="B2498" s="8" t="str">
        <f>IF(A2498=" "," ",MAX(B2487:B2497)+1)</f>
        <v xml:space="preserve"> </v>
      </c>
      <c r="C2498" s="8"/>
      <c r="D2498" s="8"/>
      <c r="E2498" s="8"/>
      <c r="F2498" s="8"/>
      <c r="G2498" s="8"/>
      <c r="H2498" s="8"/>
      <c r="I2498" s="8"/>
      <c r="J2498" s="8"/>
      <c r="K2498" s="8"/>
      <c r="L2498" s="8"/>
      <c r="M2498" s="8"/>
      <c r="N2498" s="8"/>
      <c r="O2498" s="8"/>
      <c r="P2498" s="8"/>
      <c r="Q2498" s="8"/>
      <c r="R2498" s="8"/>
      <c r="S2498" s="8"/>
      <c r="U2498" s="34"/>
      <c r="V2498" s="34"/>
      <c r="W2498" s="34"/>
      <c r="X2498" s="34"/>
      <c r="Y2498" s="34"/>
      <c r="Z2498" s="34"/>
      <c r="AA2498" s="34"/>
      <c r="AB2498" s="34"/>
      <c r="AC2498" s="34"/>
      <c r="AD2498" s="34"/>
      <c r="AE2498" s="34"/>
      <c r="AF2498" s="34"/>
      <c r="AG2498" s="34"/>
      <c r="AH2498" s="34"/>
      <c r="AI2498" s="34"/>
      <c r="AJ2498" s="34"/>
      <c r="AK2498" s="34"/>
      <c r="AL2498" s="34"/>
      <c r="AM2498" s="34"/>
      <c r="AN2498" s="34"/>
      <c r="AO2498" s="34"/>
      <c r="AP2498" s="34"/>
      <c r="AQ2498" s="34"/>
      <c r="AR2498" s="34"/>
      <c r="AS2498" s="34"/>
      <c r="AT2498" s="34"/>
      <c r="AU2498" s="34"/>
      <c r="AV2498" s="34"/>
      <c r="AW2498" s="34"/>
      <c r="AX2498" s="34"/>
      <c r="AY2498" s="34"/>
      <c r="AZ2498" s="34"/>
      <c r="BA2498" s="34"/>
      <c r="BB2498" s="34"/>
      <c r="BC2498" s="34"/>
      <c r="BD2498" s="34"/>
      <c r="BE2498" s="34"/>
      <c r="BF2498" s="34"/>
      <c r="BG2498" s="34"/>
      <c r="BH2498" s="34"/>
      <c r="BI2498" s="34"/>
      <c r="BJ2498" s="34"/>
      <c r="BK2498" s="34"/>
      <c r="BL2498" s="34"/>
      <c r="BM2498" s="34"/>
      <c r="BN2498" s="34"/>
      <c r="BO2498" s="34"/>
      <c r="BP2498" s="34"/>
      <c r="BQ2498" s="34"/>
      <c r="BR2498" s="34"/>
      <c r="BS2498" s="34"/>
      <c r="BT2498" s="34"/>
      <c r="BU2498" s="34"/>
      <c r="BV2498" s="34"/>
      <c r="BW2498" s="34"/>
      <c r="BX2498" s="34"/>
      <c r="BY2498" s="34"/>
      <c r="BZ2498" s="34"/>
      <c r="CA2498" s="34"/>
      <c r="CB2498" s="34"/>
      <c r="CC2498" s="34"/>
      <c r="CD2498" s="34"/>
      <c r="CE2498" s="34"/>
      <c r="CF2498" s="34"/>
      <c r="CG2498" s="34"/>
      <c r="CH2498" s="34"/>
    </row>
    <row r="2499" spans="1:86" x14ac:dyDescent="0.2">
      <c r="A2499" s="8" t="str">
        <f>IF(AND(COUNTIF(W$3:W$13,A$27)&gt;0,A$27&lt;&gt;B2324),A$27,IFERROR(IF(MATCH(A$27,Z$3:Z$13,0)=8,A$27," ")," "))</f>
        <v>C13</v>
      </c>
      <c r="B2499" s="8">
        <f>IF(A2499=" "," ",MAX(B2487:B2498)+1)</f>
        <v>4</v>
      </c>
      <c r="C2499" s="8"/>
      <c r="D2499" s="8"/>
      <c r="E2499" s="8"/>
      <c r="F2499" s="8"/>
      <c r="G2499" s="8"/>
      <c r="H2499" s="8"/>
      <c r="I2499" s="8"/>
      <c r="J2499" s="8"/>
      <c r="K2499" s="8"/>
      <c r="L2499" s="8"/>
      <c r="M2499" s="8"/>
      <c r="N2499" s="8"/>
      <c r="O2499" s="8"/>
      <c r="P2499" s="8"/>
      <c r="Q2499" s="8"/>
      <c r="R2499" s="8"/>
      <c r="S2499" s="8"/>
      <c r="U2499" s="34"/>
      <c r="V2499" s="34"/>
      <c r="W2499" s="34"/>
      <c r="X2499" s="34"/>
      <c r="Y2499" s="34"/>
      <c r="Z2499" s="34"/>
      <c r="AA2499" s="34"/>
      <c r="AB2499" s="34"/>
      <c r="AC2499" s="34"/>
      <c r="AD2499" s="34"/>
      <c r="AE2499" s="34"/>
      <c r="AF2499" s="34"/>
      <c r="AG2499" s="34"/>
      <c r="AH2499" s="34"/>
      <c r="AI2499" s="34"/>
      <c r="AJ2499" s="34"/>
      <c r="AK2499" s="34"/>
      <c r="AL2499" s="34"/>
      <c r="AM2499" s="34"/>
      <c r="AN2499" s="34"/>
      <c r="AO2499" s="34"/>
      <c r="AP2499" s="34"/>
      <c r="AQ2499" s="34"/>
      <c r="AR2499" s="34"/>
      <c r="AS2499" s="34"/>
      <c r="AT2499" s="34"/>
      <c r="AU2499" s="34"/>
      <c r="AV2499" s="34"/>
      <c r="AW2499" s="34"/>
      <c r="AX2499" s="34"/>
      <c r="AY2499" s="34"/>
      <c r="AZ2499" s="34"/>
      <c r="BA2499" s="34"/>
      <c r="BB2499" s="34"/>
      <c r="BC2499" s="34"/>
      <c r="BD2499" s="34"/>
      <c r="BE2499" s="34"/>
      <c r="BF2499" s="34"/>
      <c r="BG2499" s="34"/>
      <c r="BH2499" s="34"/>
      <c r="BI2499" s="34"/>
      <c r="BJ2499" s="34"/>
      <c r="BK2499" s="34"/>
      <c r="BL2499" s="34"/>
      <c r="BM2499" s="34"/>
      <c r="BN2499" s="34"/>
      <c r="BO2499" s="34"/>
      <c r="BP2499" s="34"/>
      <c r="BQ2499" s="34"/>
      <c r="BR2499" s="34"/>
      <c r="BS2499" s="34"/>
      <c r="BT2499" s="34"/>
      <c r="BU2499" s="34"/>
      <c r="BV2499" s="34"/>
      <c r="BW2499" s="34"/>
      <c r="BX2499" s="34"/>
      <c r="BY2499" s="34"/>
      <c r="BZ2499" s="34"/>
      <c r="CA2499" s="34"/>
      <c r="CB2499" s="34"/>
      <c r="CC2499" s="34"/>
      <c r="CD2499" s="34"/>
      <c r="CE2499" s="34"/>
      <c r="CF2499" s="34"/>
      <c r="CG2499" s="34"/>
      <c r="CH2499" s="34"/>
    </row>
    <row r="2500" spans="1:86" x14ac:dyDescent="0.2">
      <c r="A2500" s="8" t="str">
        <f>IF(AND(COUNTIF(W$3:W$13,A$28)&gt;0,A$28&lt;&gt;B2324),A$28,IFERROR(IF(MATCH(A$28,Z$3:Z$13,0)=8,A$28," ")," "))</f>
        <v xml:space="preserve"> </v>
      </c>
      <c r="B2500" s="8" t="str">
        <f>IF(A2500=" "," ",MAX(B2487:B2499)+1)</f>
        <v xml:space="preserve"> </v>
      </c>
      <c r="C2500" s="8"/>
      <c r="D2500" s="8"/>
      <c r="E2500" s="8"/>
      <c r="F2500" s="8"/>
      <c r="G2500" s="8"/>
      <c r="H2500" s="8"/>
      <c r="I2500" s="8"/>
      <c r="J2500" s="8"/>
      <c r="K2500" s="8"/>
      <c r="L2500" s="8"/>
      <c r="M2500" s="8"/>
      <c r="N2500" s="8"/>
      <c r="O2500" s="8"/>
      <c r="P2500" s="8"/>
      <c r="Q2500" s="8"/>
      <c r="R2500" s="8"/>
      <c r="S2500" s="8"/>
      <c r="U2500" s="34"/>
      <c r="V2500" s="34"/>
      <c r="W2500" s="34"/>
      <c r="X2500" s="34"/>
      <c r="Y2500" s="34"/>
      <c r="Z2500" s="34"/>
      <c r="AA2500" s="34"/>
      <c r="AB2500" s="34"/>
      <c r="AC2500" s="34"/>
      <c r="AD2500" s="34"/>
      <c r="AE2500" s="34"/>
      <c r="AF2500" s="34"/>
      <c r="AG2500" s="34"/>
      <c r="AH2500" s="34"/>
      <c r="AI2500" s="34"/>
      <c r="AJ2500" s="34"/>
      <c r="AK2500" s="34"/>
      <c r="AL2500" s="34"/>
      <c r="AM2500" s="34"/>
      <c r="AN2500" s="34"/>
      <c r="AO2500" s="34"/>
      <c r="AP2500" s="34"/>
      <c r="AQ2500" s="34"/>
      <c r="AR2500" s="34"/>
      <c r="AS2500" s="34"/>
      <c r="AT2500" s="34"/>
      <c r="AU2500" s="34"/>
      <c r="AV2500" s="34"/>
      <c r="AW2500" s="34"/>
      <c r="AX2500" s="34"/>
      <c r="AY2500" s="34"/>
      <c r="AZ2500" s="34"/>
      <c r="BA2500" s="34"/>
      <c r="BB2500" s="34"/>
      <c r="BC2500" s="34"/>
      <c r="BD2500" s="34"/>
      <c r="BE2500" s="34"/>
      <c r="BF2500" s="34"/>
      <c r="BG2500" s="34"/>
      <c r="BH2500" s="34"/>
      <c r="BI2500" s="34"/>
      <c r="BJ2500" s="34"/>
      <c r="BK2500" s="34"/>
      <c r="BL2500" s="34"/>
      <c r="BM2500" s="34"/>
      <c r="BN2500" s="34"/>
      <c r="BO2500" s="34"/>
      <c r="BP2500" s="34"/>
      <c r="BQ2500" s="34"/>
      <c r="BR2500" s="34"/>
      <c r="BS2500" s="34"/>
      <c r="BT2500" s="34"/>
      <c r="BU2500" s="34"/>
      <c r="BV2500" s="34"/>
      <c r="BW2500" s="34"/>
      <c r="BX2500" s="34"/>
      <c r="BY2500" s="34"/>
      <c r="BZ2500" s="34"/>
      <c r="CA2500" s="34"/>
      <c r="CB2500" s="34"/>
      <c r="CC2500" s="34"/>
      <c r="CD2500" s="34"/>
      <c r="CE2500" s="34"/>
      <c r="CF2500" s="34"/>
      <c r="CG2500" s="34"/>
      <c r="CH2500" s="34"/>
    </row>
    <row r="2501" spans="1:86" x14ac:dyDescent="0.2">
      <c r="A2501" s="8" t="str">
        <f>IF(AND(COUNTIF(W$3:W$13,A$29)&gt;0,A$29&lt;&gt;B2324),A$29,IFERROR(IF(MATCH(A$29,Z$3:Z$13,0)=8,A$29," ")," "))</f>
        <v>C15</v>
      </c>
      <c r="B2501" s="8">
        <f>IF(A2501=" "," ",MAX(B2487:B2500)+1)</f>
        <v>5</v>
      </c>
      <c r="C2501" s="8"/>
      <c r="D2501" s="8"/>
      <c r="E2501" s="8"/>
      <c r="F2501" s="8"/>
      <c r="G2501" s="8"/>
      <c r="H2501" s="8"/>
      <c r="I2501" s="8"/>
      <c r="J2501" s="8"/>
      <c r="K2501" s="8"/>
      <c r="L2501" s="8"/>
      <c r="M2501" s="8"/>
      <c r="N2501" s="8"/>
      <c r="O2501" s="8"/>
      <c r="P2501" s="8"/>
      <c r="Q2501" s="8"/>
      <c r="R2501" s="8"/>
      <c r="S2501" s="8"/>
      <c r="U2501" s="34"/>
      <c r="V2501" s="34"/>
      <c r="W2501" s="34"/>
      <c r="X2501" s="34"/>
      <c r="Y2501" s="34"/>
      <c r="Z2501" s="34"/>
      <c r="AA2501" s="34"/>
      <c r="AB2501" s="34"/>
      <c r="AC2501" s="34"/>
      <c r="AD2501" s="34"/>
      <c r="AE2501" s="34"/>
      <c r="AF2501" s="34"/>
      <c r="AG2501" s="34"/>
      <c r="AH2501" s="34"/>
      <c r="AI2501" s="34"/>
      <c r="AJ2501" s="34"/>
      <c r="AK2501" s="34"/>
      <c r="AL2501" s="34"/>
      <c r="AM2501" s="34"/>
      <c r="AN2501" s="34"/>
      <c r="AO2501" s="34"/>
      <c r="AP2501" s="34"/>
      <c r="AQ2501" s="34"/>
      <c r="AR2501" s="34"/>
      <c r="AS2501" s="34"/>
      <c r="AT2501" s="34"/>
      <c r="AU2501" s="34"/>
      <c r="AV2501" s="34"/>
      <c r="AW2501" s="34"/>
      <c r="AX2501" s="34"/>
      <c r="AY2501" s="34"/>
      <c r="AZ2501" s="34"/>
      <c r="BA2501" s="34"/>
      <c r="BB2501" s="34"/>
      <c r="BC2501" s="34"/>
      <c r="BD2501" s="34"/>
      <c r="BE2501" s="34"/>
      <c r="BF2501" s="34"/>
      <c r="BG2501" s="34"/>
      <c r="BH2501" s="34"/>
      <c r="BI2501" s="34"/>
      <c r="BJ2501" s="34"/>
      <c r="BK2501" s="34"/>
      <c r="BL2501" s="34"/>
      <c r="BM2501" s="34"/>
      <c r="BN2501" s="34"/>
      <c r="BO2501" s="34"/>
      <c r="BP2501" s="34"/>
      <c r="BQ2501" s="34"/>
      <c r="BR2501" s="34"/>
      <c r="BS2501" s="34"/>
      <c r="BT2501" s="34"/>
      <c r="BU2501" s="34"/>
      <c r="BV2501" s="34"/>
      <c r="BW2501" s="34"/>
      <c r="BX2501" s="34"/>
      <c r="BY2501" s="34"/>
      <c r="BZ2501" s="34"/>
      <c r="CA2501" s="34"/>
      <c r="CB2501" s="34"/>
      <c r="CC2501" s="34"/>
      <c r="CD2501" s="34"/>
      <c r="CE2501" s="34"/>
      <c r="CF2501" s="34"/>
      <c r="CG2501" s="34"/>
      <c r="CH2501" s="34"/>
    </row>
    <row r="2502" spans="1:86" x14ac:dyDescent="0.2">
      <c r="A2502" s="8" t="str">
        <f>IF(AND(COUNTIF(W$3:W$13,A$30)&gt;0,A$30&lt;&gt;B2324),A$30,IFERROR(IF(MATCH(A$30,Z$3:Z$13,0)=8,A$30," ")," "))</f>
        <v>C16</v>
      </c>
      <c r="B2502" s="8">
        <f>IF(A2502=" "," ",MAX(B2487:B2501)+1)</f>
        <v>6</v>
      </c>
      <c r="C2502" s="8"/>
      <c r="D2502" s="8"/>
      <c r="E2502" s="8"/>
      <c r="F2502" s="8"/>
      <c r="G2502" s="8"/>
      <c r="H2502" s="8"/>
      <c r="I2502" s="8"/>
      <c r="J2502" s="8"/>
      <c r="K2502" s="8"/>
      <c r="L2502" s="8"/>
      <c r="M2502" s="8"/>
      <c r="N2502" s="8"/>
      <c r="O2502" s="8"/>
      <c r="P2502" s="8"/>
      <c r="Q2502" s="8"/>
      <c r="R2502" s="8"/>
      <c r="S2502" s="8"/>
      <c r="U2502" s="34"/>
      <c r="V2502" s="34"/>
      <c r="W2502" s="34"/>
      <c r="X2502" s="34"/>
      <c r="Y2502" s="34"/>
      <c r="Z2502" s="34"/>
      <c r="AA2502" s="34"/>
      <c r="AB2502" s="34"/>
      <c r="AC2502" s="34"/>
      <c r="AD2502" s="34"/>
      <c r="AE2502" s="34"/>
      <c r="AF2502" s="34"/>
      <c r="AG2502" s="34"/>
      <c r="AH2502" s="34"/>
      <c r="AI2502" s="34"/>
      <c r="AJ2502" s="34"/>
      <c r="AK2502" s="34"/>
      <c r="AL2502" s="34"/>
      <c r="AM2502" s="34"/>
      <c r="AN2502" s="34"/>
      <c r="AO2502" s="34"/>
      <c r="AP2502" s="34"/>
      <c r="AQ2502" s="34"/>
      <c r="AR2502" s="34"/>
      <c r="AS2502" s="34"/>
      <c r="AT2502" s="34"/>
      <c r="AU2502" s="34"/>
      <c r="AV2502" s="34"/>
      <c r="AW2502" s="34"/>
      <c r="AX2502" s="34"/>
      <c r="AY2502" s="34"/>
      <c r="AZ2502" s="34"/>
      <c r="BA2502" s="34"/>
      <c r="BB2502" s="34"/>
      <c r="BC2502" s="34"/>
      <c r="BD2502" s="34"/>
      <c r="BE2502" s="34"/>
      <c r="BF2502" s="34"/>
      <c r="BG2502" s="34"/>
      <c r="BH2502" s="34"/>
      <c r="BI2502" s="34"/>
      <c r="BJ2502" s="34"/>
      <c r="BK2502" s="34"/>
      <c r="BL2502" s="34"/>
      <c r="BM2502" s="34"/>
      <c r="BN2502" s="34"/>
      <c r="BO2502" s="34"/>
      <c r="BP2502" s="34"/>
      <c r="BQ2502" s="34"/>
      <c r="BR2502" s="34"/>
      <c r="BS2502" s="34"/>
      <c r="BT2502" s="34"/>
      <c r="BU2502" s="34"/>
      <c r="BV2502" s="34"/>
      <c r="BW2502" s="34"/>
      <c r="BX2502" s="34"/>
      <c r="BY2502" s="34"/>
      <c r="BZ2502" s="34"/>
      <c r="CA2502" s="34"/>
      <c r="CB2502" s="34"/>
      <c r="CC2502" s="34"/>
      <c r="CD2502" s="34"/>
      <c r="CE2502" s="34"/>
      <c r="CF2502" s="34"/>
      <c r="CG2502" s="34"/>
      <c r="CH2502" s="34"/>
    </row>
    <row r="2503" spans="1:86" x14ac:dyDescent="0.2">
      <c r="A2503" s="8" t="str">
        <f>IF(AND(COUNTIF(W$3:W$13,A$31)&gt;0,A$31&lt;&gt;B2324),A$31,IFERROR(IF(MATCH(A$31,Z$3:Z$13,0)=8,A$31," ")," "))</f>
        <v>C17</v>
      </c>
      <c r="B2503" s="8">
        <f>IF(A2503=" "," ",MAX(B2487:B2502)+1)</f>
        <v>7</v>
      </c>
      <c r="C2503" s="8"/>
      <c r="D2503" s="8"/>
      <c r="E2503" s="8"/>
      <c r="F2503" s="8"/>
      <c r="G2503" s="8"/>
      <c r="H2503" s="8"/>
      <c r="I2503" s="8"/>
      <c r="J2503" s="8"/>
      <c r="K2503" s="8"/>
      <c r="L2503" s="8"/>
      <c r="M2503" s="8"/>
      <c r="N2503" s="8"/>
      <c r="O2503" s="8"/>
      <c r="P2503" s="8"/>
      <c r="Q2503" s="8"/>
      <c r="R2503" s="8"/>
      <c r="S2503" s="8"/>
      <c r="U2503" s="34"/>
      <c r="V2503" s="34"/>
      <c r="W2503" s="34"/>
      <c r="X2503" s="34"/>
      <c r="Y2503" s="34"/>
      <c r="Z2503" s="34"/>
      <c r="AA2503" s="34"/>
      <c r="AB2503" s="34"/>
      <c r="AC2503" s="34"/>
      <c r="AD2503" s="34"/>
      <c r="AE2503" s="34"/>
      <c r="AF2503" s="34"/>
      <c r="AG2503" s="34"/>
      <c r="AH2503" s="34"/>
      <c r="AI2503" s="34"/>
      <c r="AJ2503" s="34"/>
      <c r="AK2503" s="34"/>
      <c r="AL2503" s="34"/>
      <c r="AM2503" s="34"/>
      <c r="AN2503" s="34"/>
      <c r="AO2503" s="34"/>
      <c r="AP2503" s="34"/>
      <c r="AQ2503" s="34"/>
      <c r="AR2503" s="34"/>
      <c r="AS2503" s="34"/>
      <c r="AT2503" s="34"/>
      <c r="AU2503" s="34"/>
      <c r="AV2503" s="34"/>
      <c r="AW2503" s="34"/>
      <c r="AX2503" s="34"/>
      <c r="AY2503" s="34"/>
      <c r="AZ2503" s="34"/>
      <c r="BA2503" s="34"/>
      <c r="BB2503" s="34"/>
      <c r="BC2503" s="34"/>
      <c r="BD2503" s="34"/>
      <c r="BE2503" s="34"/>
      <c r="BF2503" s="34"/>
      <c r="BG2503" s="34"/>
      <c r="BH2503" s="34"/>
      <c r="BI2503" s="34"/>
      <c r="BJ2503" s="34"/>
      <c r="BK2503" s="34"/>
      <c r="BL2503" s="34"/>
      <c r="BM2503" s="34"/>
      <c r="BN2503" s="34"/>
      <c r="BO2503" s="34"/>
      <c r="BP2503" s="34"/>
      <c r="BQ2503" s="34"/>
      <c r="BR2503" s="34"/>
      <c r="BS2503" s="34"/>
      <c r="BT2503" s="34"/>
      <c r="BU2503" s="34"/>
      <c r="BV2503" s="34"/>
      <c r="BW2503" s="34"/>
      <c r="BX2503" s="34"/>
      <c r="BY2503" s="34"/>
      <c r="BZ2503" s="34"/>
      <c r="CA2503" s="34"/>
      <c r="CB2503" s="34"/>
      <c r="CC2503" s="34"/>
      <c r="CD2503" s="34"/>
      <c r="CE2503" s="34"/>
      <c r="CF2503" s="34"/>
      <c r="CG2503" s="34"/>
      <c r="CH2503" s="34"/>
    </row>
    <row r="2504" spans="1:86" x14ac:dyDescent="0.2">
      <c r="A2504" s="8" t="str">
        <f>IF(AND(COUNTIF(W$3:W$13,A$32)&gt;0,A$32&lt;&gt;B2324),A$32,IFERROR(IF(MATCH(A$32,Z$3:Z$13,0)=8,A$32," ")," "))</f>
        <v>C18</v>
      </c>
      <c r="B2504" s="8">
        <f>IF(A2504=" "," ",MAX(B2487:B2503)+1)</f>
        <v>8</v>
      </c>
      <c r="C2504" s="8"/>
      <c r="D2504" s="8"/>
      <c r="E2504" s="8"/>
      <c r="F2504" s="8"/>
      <c r="G2504" s="8"/>
      <c r="H2504" s="8"/>
      <c r="I2504" s="8"/>
      <c r="J2504" s="8"/>
      <c r="K2504" s="8"/>
      <c r="L2504" s="8"/>
      <c r="M2504" s="8"/>
      <c r="N2504" s="8"/>
      <c r="O2504" s="8"/>
      <c r="P2504" s="8"/>
      <c r="Q2504" s="8"/>
      <c r="R2504" s="8"/>
      <c r="S2504" s="8"/>
      <c r="U2504" s="34"/>
      <c r="V2504" s="34"/>
      <c r="W2504" s="34"/>
      <c r="X2504" s="34"/>
      <c r="Y2504" s="34"/>
      <c r="Z2504" s="34"/>
      <c r="AA2504" s="34"/>
      <c r="AB2504" s="34"/>
      <c r="AC2504" s="34"/>
      <c r="AD2504" s="34"/>
      <c r="AE2504" s="34"/>
      <c r="AF2504" s="34"/>
      <c r="AG2504" s="34"/>
      <c r="AH2504" s="34"/>
      <c r="AI2504" s="34"/>
      <c r="AJ2504" s="34"/>
      <c r="AK2504" s="34"/>
      <c r="AL2504" s="34"/>
      <c r="AM2504" s="34"/>
      <c r="AN2504" s="34"/>
      <c r="AO2504" s="34"/>
      <c r="AP2504" s="34"/>
      <c r="AQ2504" s="34"/>
      <c r="AR2504" s="34"/>
      <c r="AS2504" s="34"/>
      <c r="AT2504" s="34"/>
      <c r="AU2504" s="34"/>
      <c r="AV2504" s="34"/>
      <c r="AW2504" s="34"/>
      <c r="AX2504" s="34"/>
      <c r="AY2504" s="34"/>
      <c r="AZ2504" s="34"/>
      <c r="BA2504" s="34"/>
      <c r="BB2504" s="34"/>
      <c r="BC2504" s="34"/>
      <c r="BD2504" s="34"/>
      <c r="BE2504" s="34"/>
      <c r="BF2504" s="34"/>
      <c r="BG2504" s="34"/>
      <c r="BH2504" s="34"/>
      <c r="BI2504" s="34"/>
      <c r="BJ2504" s="34"/>
      <c r="BK2504" s="34"/>
      <c r="BL2504" s="34"/>
      <c r="BM2504" s="34"/>
      <c r="BN2504" s="34"/>
      <c r="BO2504" s="34"/>
      <c r="BP2504" s="34"/>
      <c r="BQ2504" s="34"/>
      <c r="BR2504" s="34"/>
      <c r="BS2504" s="34"/>
      <c r="BT2504" s="34"/>
      <c r="BU2504" s="34"/>
      <c r="BV2504" s="34"/>
      <c r="BW2504" s="34"/>
      <c r="BX2504" s="34"/>
      <c r="BY2504" s="34"/>
      <c r="BZ2504" s="34"/>
      <c r="CA2504" s="34"/>
      <c r="CB2504" s="34"/>
      <c r="CC2504" s="34"/>
      <c r="CD2504" s="34"/>
      <c r="CE2504" s="34"/>
      <c r="CF2504" s="34"/>
      <c r="CG2504" s="34"/>
      <c r="CH2504" s="34"/>
    </row>
    <row r="2505" spans="1:86" x14ac:dyDescent="0.2">
      <c r="A2505" s="8" t="str">
        <f>IF(AND(COUNTIF(W$3:W$13,A$33)&gt;0,A$33&lt;&gt;B2324),A$33,IFERROR(IF(MATCH(A$33,Z$3:Z$13,0)=8,A$33," ")," "))</f>
        <v>C19</v>
      </c>
      <c r="B2505" s="8">
        <f>IF(A2505=" "," ",MAX(B2487:B2504)+1)</f>
        <v>9</v>
      </c>
      <c r="C2505" s="8"/>
      <c r="D2505" s="8"/>
      <c r="E2505" s="8"/>
      <c r="F2505" s="8"/>
      <c r="G2505" s="8"/>
      <c r="H2505" s="8"/>
      <c r="I2505" s="8"/>
      <c r="J2505" s="8"/>
      <c r="K2505" s="8"/>
      <c r="L2505" s="8"/>
      <c r="M2505" s="8"/>
      <c r="N2505" s="8"/>
      <c r="O2505" s="8"/>
      <c r="P2505" s="8"/>
      <c r="Q2505" s="8"/>
      <c r="R2505" s="8"/>
      <c r="S2505" s="8"/>
      <c r="U2505" s="34"/>
      <c r="V2505" s="34"/>
      <c r="W2505" s="34"/>
      <c r="X2505" s="34"/>
      <c r="Y2505" s="34"/>
      <c r="Z2505" s="34"/>
      <c r="AA2505" s="34"/>
      <c r="AB2505" s="34"/>
      <c r="AC2505" s="34"/>
      <c r="AD2505" s="34"/>
      <c r="AE2505" s="34"/>
      <c r="AF2505" s="34"/>
      <c r="AG2505" s="34"/>
      <c r="AH2505" s="34"/>
      <c r="AI2505" s="34"/>
      <c r="AJ2505" s="34"/>
      <c r="AK2505" s="34"/>
      <c r="AL2505" s="34"/>
      <c r="AM2505" s="34"/>
      <c r="AN2505" s="34"/>
      <c r="AO2505" s="34"/>
      <c r="AP2505" s="34"/>
      <c r="AQ2505" s="34"/>
      <c r="AR2505" s="34"/>
      <c r="AS2505" s="34"/>
      <c r="AT2505" s="34"/>
      <c r="AU2505" s="34"/>
      <c r="AV2505" s="34"/>
      <c r="AW2505" s="34"/>
      <c r="AX2505" s="34"/>
      <c r="AY2505" s="34"/>
      <c r="AZ2505" s="34"/>
      <c r="BA2505" s="34"/>
      <c r="BB2505" s="34"/>
      <c r="BC2505" s="34"/>
      <c r="BD2505" s="34"/>
      <c r="BE2505" s="34"/>
      <c r="BF2505" s="34"/>
      <c r="BG2505" s="34"/>
      <c r="BH2505" s="34"/>
      <c r="BI2505" s="34"/>
      <c r="BJ2505" s="34"/>
      <c r="BK2505" s="34"/>
      <c r="BL2505" s="34"/>
      <c r="BM2505" s="34"/>
      <c r="BN2505" s="34"/>
      <c r="BO2505" s="34"/>
      <c r="BP2505" s="34"/>
      <c r="BQ2505" s="34"/>
      <c r="BR2505" s="34"/>
      <c r="BS2505" s="34"/>
      <c r="BT2505" s="34"/>
      <c r="BU2505" s="34"/>
      <c r="BV2505" s="34"/>
      <c r="BW2505" s="34"/>
      <c r="BX2505" s="34"/>
      <c r="BY2505" s="34"/>
      <c r="BZ2505" s="34"/>
      <c r="CA2505" s="34"/>
      <c r="CB2505" s="34"/>
      <c r="CC2505" s="34"/>
      <c r="CD2505" s="34"/>
      <c r="CE2505" s="34"/>
      <c r="CF2505" s="34"/>
      <c r="CG2505" s="34"/>
      <c r="CH2505" s="34"/>
    </row>
    <row r="2506" spans="1:86" x14ac:dyDescent="0.2">
      <c r="A2506" s="8" t="str">
        <f>IF(AND(COUNTIF(W$3:W$13,A$34)&gt;0,A$34&lt;&gt;B2324),A$34,IFERROR(IF(MATCH(A$34,Z$3:Z$13,0)=8,A$34," ")," "))</f>
        <v>C20</v>
      </c>
      <c r="B2506" s="8">
        <f>IF(A2506=" "," ",MAX(B2487:B2505)+1)</f>
        <v>10</v>
      </c>
      <c r="C2506" s="8"/>
      <c r="D2506" s="8"/>
      <c r="E2506" s="8"/>
      <c r="F2506" s="8"/>
      <c r="G2506" s="8"/>
      <c r="H2506" s="8"/>
      <c r="I2506" s="8"/>
      <c r="J2506" s="8"/>
      <c r="K2506" s="8"/>
      <c r="L2506" s="8"/>
      <c r="M2506" s="8"/>
      <c r="N2506" s="8"/>
      <c r="O2506" s="8"/>
      <c r="P2506" s="8"/>
      <c r="Q2506" s="8"/>
      <c r="R2506" s="8"/>
      <c r="S2506" s="8"/>
      <c r="U2506" s="34"/>
      <c r="V2506" s="34"/>
      <c r="W2506" s="34"/>
      <c r="X2506" s="34"/>
      <c r="Y2506" s="34"/>
      <c r="Z2506" s="34"/>
      <c r="AA2506" s="34"/>
      <c r="AB2506" s="34"/>
      <c r="AC2506" s="34"/>
      <c r="AD2506" s="34"/>
      <c r="AE2506" s="34"/>
      <c r="AF2506" s="34"/>
      <c r="AG2506" s="34"/>
      <c r="AH2506" s="34"/>
      <c r="AI2506" s="34"/>
      <c r="AJ2506" s="34"/>
      <c r="AK2506" s="34"/>
      <c r="AL2506" s="34"/>
      <c r="AM2506" s="34"/>
      <c r="AN2506" s="34"/>
      <c r="AO2506" s="34"/>
      <c r="AP2506" s="34"/>
      <c r="AQ2506" s="34"/>
      <c r="AR2506" s="34"/>
      <c r="AS2506" s="34"/>
      <c r="AT2506" s="34"/>
      <c r="AU2506" s="34"/>
      <c r="AV2506" s="34"/>
      <c r="AW2506" s="34"/>
      <c r="AX2506" s="34"/>
      <c r="AY2506" s="34"/>
      <c r="AZ2506" s="34"/>
      <c r="BA2506" s="34"/>
      <c r="BB2506" s="34"/>
      <c r="BC2506" s="34"/>
      <c r="BD2506" s="34"/>
      <c r="BE2506" s="34"/>
      <c r="BF2506" s="34"/>
      <c r="BG2506" s="34"/>
      <c r="BH2506" s="34"/>
      <c r="BI2506" s="34"/>
      <c r="BJ2506" s="34"/>
      <c r="BK2506" s="34"/>
      <c r="BL2506" s="34"/>
      <c r="BM2506" s="34"/>
      <c r="BN2506" s="34"/>
      <c r="BO2506" s="34"/>
      <c r="BP2506" s="34"/>
      <c r="BQ2506" s="34"/>
      <c r="BR2506" s="34"/>
      <c r="BS2506" s="34"/>
      <c r="BT2506" s="34"/>
      <c r="BU2506" s="34"/>
      <c r="BV2506" s="34"/>
      <c r="BW2506" s="34"/>
      <c r="BX2506" s="34"/>
      <c r="BY2506" s="34"/>
      <c r="BZ2506" s="34"/>
      <c r="CA2506" s="34"/>
      <c r="CB2506" s="34"/>
      <c r="CC2506" s="34"/>
      <c r="CD2506" s="34"/>
      <c r="CE2506" s="34"/>
      <c r="CF2506" s="34"/>
      <c r="CG2506" s="34"/>
      <c r="CH2506" s="34"/>
    </row>
    <row r="2507" spans="1:86" x14ac:dyDescent="0.2">
      <c r="A2507" s="8" t="str">
        <f>IF(AND(COUNTIF(W$3:W$13,A$35)&gt;0,A$35&lt;&gt;B2324),A$35,IFERROR(IF(MATCH(A$35,Z$3:Z$13,0)=8,A$35," ")," "))</f>
        <v xml:space="preserve"> </v>
      </c>
      <c r="B2507" s="8" t="str">
        <f>IF(A2507=" "," ",MAX(B2487:B2506)+1)</f>
        <v xml:space="preserve"> </v>
      </c>
      <c r="C2507" s="8"/>
      <c r="D2507" s="8"/>
      <c r="E2507" s="8"/>
      <c r="F2507" s="8"/>
      <c r="G2507" s="8"/>
      <c r="H2507" s="8"/>
      <c r="I2507" s="8"/>
      <c r="J2507" s="8"/>
      <c r="K2507" s="8"/>
      <c r="L2507" s="8"/>
      <c r="M2507" s="8"/>
      <c r="N2507" s="8"/>
      <c r="O2507" s="8"/>
      <c r="P2507" s="8"/>
      <c r="Q2507" s="8"/>
      <c r="R2507" s="8"/>
      <c r="S2507" s="8"/>
      <c r="U2507" s="34"/>
      <c r="V2507" s="34"/>
      <c r="W2507" s="34"/>
      <c r="X2507" s="34"/>
      <c r="Y2507" s="34"/>
      <c r="Z2507" s="34"/>
      <c r="AA2507" s="34"/>
      <c r="AB2507" s="34"/>
      <c r="AC2507" s="34"/>
      <c r="AD2507" s="34"/>
      <c r="AE2507" s="34"/>
      <c r="AF2507" s="34"/>
      <c r="AG2507" s="34"/>
      <c r="AH2507" s="34"/>
      <c r="AI2507" s="34"/>
      <c r="AJ2507" s="34"/>
      <c r="AK2507" s="34"/>
      <c r="AL2507" s="34"/>
      <c r="AM2507" s="34"/>
      <c r="AN2507" s="34"/>
      <c r="AO2507" s="34"/>
      <c r="AP2507" s="34"/>
      <c r="AQ2507" s="34"/>
      <c r="AR2507" s="34"/>
      <c r="AS2507" s="34"/>
      <c r="AT2507" s="34"/>
      <c r="AU2507" s="34"/>
      <c r="AV2507" s="34"/>
      <c r="AW2507" s="34"/>
      <c r="AX2507" s="34"/>
      <c r="AY2507" s="34"/>
      <c r="AZ2507" s="34"/>
      <c r="BA2507" s="34"/>
      <c r="BB2507" s="34"/>
      <c r="BC2507" s="34"/>
      <c r="BD2507" s="34"/>
      <c r="BE2507" s="34"/>
      <c r="BF2507" s="34"/>
      <c r="BG2507" s="34"/>
      <c r="BH2507" s="34"/>
      <c r="BI2507" s="34"/>
      <c r="BJ2507" s="34"/>
      <c r="BK2507" s="34"/>
      <c r="BL2507" s="34"/>
      <c r="BM2507" s="34"/>
      <c r="BN2507" s="34"/>
      <c r="BO2507" s="34"/>
      <c r="BP2507" s="34"/>
      <c r="BQ2507" s="34"/>
      <c r="BR2507" s="34"/>
      <c r="BS2507" s="34"/>
      <c r="BT2507" s="34"/>
      <c r="BU2507" s="34"/>
      <c r="BV2507" s="34"/>
      <c r="BW2507" s="34"/>
      <c r="BX2507" s="34"/>
      <c r="BY2507" s="34"/>
      <c r="BZ2507" s="34"/>
      <c r="CA2507" s="34"/>
      <c r="CB2507" s="34"/>
      <c r="CC2507" s="34"/>
      <c r="CD2507" s="34"/>
      <c r="CE2507" s="34"/>
      <c r="CF2507" s="34"/>
      <c r="CG2507" s="34"/>
      <c r="CH2507" s="34"/>
    </row>
    <row r="2508" spans="1:86" x14ac:dyDescent="0.2">
      <c r="A2508" s="8" t="str">
        <f>IF(AND(COUNTIF(W$3:W$13,A$36)&gt;0,A$36&lt;&gt;B2324),A$36,IFERROR(IF(MATCH(A$36,Z$3:Z$13,0)=8,A$36," ")," "))</f>
        <v>C22</v>
      </c>
      <c r="B2508" s="8">
        <f>IF(A2508=" "," ",MAX(B2487:B2507)+1)</f>
        <v>11</v>
      </c>
      <c r="C2508" s="8"/>
      <c r="D2508" s="8"/>
      <c r="E2508" s="8"/>
      <c r="F2508" s="8"/>
      <c r="G2508" s="8"/>
      <c r="H2508" s="8"/>
      <c r="I2508" s="8"/>
      <c r="J2508" s="8"/>
      <c r="K2508" s="8"/>
      <c r="L2508" s="8"/>
      <c r="M2508" s="8"/>
      <c r="N2508" s="8"/>
      <c r="O2508" s="8"/>
      <c r="P2508" s="8"/>
      <c r="Q2508" s="8"/>
      <c r="R2508" s="8"/>
      <c r="S2508" s="8"/>
      <c r="U2508" s="34"/>
      <c r="V2508" s="34"/>
      <c r="W2508" s="34"/>
      <c r="X2508" s="34"/>
      <c r="Y2508" s="34"/>
      <c r="Z2508" s="34"/>
      <c r="AA2508" s="34"/>
      <c r="AB2508" s="34"/>
      <c r="AC2508" s="34"/>
      <c r="AD2508" s="34"/>
      <c r="AE2508" s="34"/>
      <c r="AF2508" s="34"/>
      <c r="AG2508" s="34"/>
      <c r="AH2508" s="34"/>
      <c r="AI2508" s="34"/>
      <c r="AJ2508" s="34"/>
      <c r="AK2508" s="34"/>
      <c r="AL2508" s="34"/>
      <c r="AM2508" s="34"/>
      <c r="AN2508" s="34"/>
      <c r="AO2508" s="34"/>
      <c r="AP2508" s="34"/>
      <c r="AQ2508" s="34"/>
      <c r="AR2508" s="34"/>
      <c r="AS2508" s="34"/>
      <c r="AT2508" s="34"/>
      <c r="AU2508" s="34"/>
      <c r="AV2508" s="34"/>
      <c r="AW2508" s="34"/>
      <c r="AX2508" s="34"/>
      <c r="AY2508" s="34"/>
      <c r="AZ2508" s="34"/>
      <c r="BA2508" s="34"/>
      <c r="BB2508" s="34"/>
      <c r="BC2508" s="34"/>
      <c r="BD2508" s="34"/>
      <c r="BE2508" s="34"/>
      <c r="BF2508" s="34"/>
      <c r="BG2508" s="34"/>
      <c r="BH2508" s="34"/>
      <c r="BI2508" s="34"/>
      <c r="BJ2508" s="34"/>
      <c r="BK2508" s="34"/>
      <c r="BL2508" s="34"/>
      <c r="BM2508" s="34"/>
      <c r="BN2508" s="34"/>
      <c r="BO2508" s="34"/>
      <c r="BP2508" s="34"/>
      <c r="BQ2508" s="34"/>
      <c r="BR2508" s="34"/>
      <c r="BS2508" s="34"/>
      <c r="BT2508" s="34"/>
      <c r="BU2508" s="34"/>
      <c r="BV2508" s="34"/>
      <c r="BW2508" s="34"/>
      <c r="BX2508" s="34"/>
      <c r="BY2508" s="34"/>
      <c r="BZ2508" s="34"/>
      <c r="CA2508" s="34"/>
      <c r="CB2508" s="34"/>
      <c r="CC2508" s="34"/>
      <c r="CD2508" s="34"/>
      <c r="CE2508" s="34"/>
      <c r="CF2508" s="34"/>
      <c r="CG2508" s="34"/>
      <c r="CH2508" s="34"/>
    </row>
    <row r="2509" spans="1:86" x14ac:dyDescent="0.2">
      <c r="A2509" s="11" t="s">
        <v>17</v>
      </c>
      <c r="B2509" s="11"/>
      <c r="C2509" s="27" t="s">
        <v>18</v>
      </c>
      <c r="D2509" s="27" t="s">
        <v>2</v>
      </c>
      <c r="E2509" s="27" t="s">
        <v>6</v>
      </c>
      <c r="F2509" s="27" t="s">
        <v>15</v>
      </c>
      <c r="G2509" s="27" t="s">
        <v>36</v>
      </c>
      <c r="H2509" s="27" t="s">
        <v>37</v>
      </c>
      <c r="I2509" s="27" t="s">
        <v>38</v>
      </c>
      <c r="J2509" s="27" t="s">
        <v>39</v>
      </c>
      <c r="K2509" s="27" t="s">
        <v>40</v>
      </c>
      <c r="L2509" s="27" t="s">
        <v>41</v>
      </c>
      <c r="M2509" s="27" t="s">
        <v>42</v>
      </c>
      <c r="N2509" s="27" t="s">
        <v>43</v>
      </c>
      <c r="O2509" s="27" t="s">
        <v>9</v>
      </c>
      <c r="P2509" s="27" t="s">
        <v>12</v>
      </c>
      <c r="Q2509" s="27" t="s">
        <v>19</v>
      </c>
      <c r="R2509" s="27" t="s">
        <v>55</v>
      </c>
      <c r="S2509" s="27" t="s">
        <v>26</v>
      </c>
      <c r="T2509" s="19" t="s">
        <v>25</v>
      </c>
      <c r="U2509" s="33" t="s">
        <v>27</v>
      </c>
      <c r="V2509" s="33" t="s">
        <v>9</v>
      </c>
      <c r="W2509" s="33" t="s">
        <v>23</v>
      </c>
      <c r="X2509" s="33" t="s">
        <v>12</v>
      </c>
      <c r="Y2509" s="33" t="s">
        <v>26</v>
      </c>
      <c r="Z2509" s="33" t="s">
        <v>25</v>
      </c>
      <c r="AA2509" s="33" t="s">
        <v>27</v>
      </c>
      <c r="AB2509" s="33" t="s">
        <v>9</v>
      </c>
      <c r="AC2509" s="33" t="s">
        <v>23</v>
      </c>
      <c r="AD2509" s="33" t="s">
        <v>12</v>
      </c>
      <c r="AE2509" s="33" t="s">
        <v>26</v>
      </c>
      <c r="AF2509" s="33" t="s">
        <v>25</v>
      </c>
      <c r="AG2509" s="33" t="s">
        <v>27</v>
      </c>
      <c r="AH2509" s="33" t="s">
        <v>9</v>
      </c>
      <c r="AI2509" s="33" t="s">
        <v>23</v>
      </c>
      <c r="AJ2509" s="33" t="s">
        <v>12</v>
      </c>
      <c r="AK2509" s="33" t="s">
        <v>26</v>
      </c>
      <c r="AL2509" s="33" t="s">
        <v>25</v>
      </c>
      <c r="AM2509" s="33" t="s">
        <v>27</v>
      </c>
      <c r="AN2509" s="33" t="s">
        <v>9</v>
      </c>
      <c r="AO2509" s="33" t="s">
        <v>23</v>
      </c>
      <c r="AP2509" s="33" t="s">
        <v>12</v>
      </c>
      <c r="AQ2509" s="33" t="s">
        <v>26</v>
      </c>
      <c r="AR2509" s="33" t="s">
        <v>25</v>
      </c>
      <c r="AS2509" s="33" t="s">
        <v>27</v>
      </c>
      <c r="AT2509" s="33" t="s">
        <v>9</v>
      </c>
      <c r="AU2509" s="33" t="s">
        <v>23</v>
      </c>
      <c r="AV2509" s="33" t="s">
        <v>12</v>
      </c>
      <c r="AW2509" s="33" t="s">
        <v>26</v>
      </c>
      <c r="AX2509" s="33" t="s">
        <v>25</v>
      </c>
      <c r="AY2509" s="33" t="s">
        <v>27</v>
      </c>
      <c r="AZ2509" s="33" t="s">
        <v>9</v>
      </c>
      <c r="BA2509" s="33" t="s">
        <v>23</v>
      </c>
      <c r="BB2509" s="33" t="s">
        <v>12</v>
      </c>
      <c r="BC2509" s="33" t="s">
        <v>26</v>
      </c>
      <c r="BD2509" s="33" t="s">
        <v>25</v>
      </c>
      <c r="BE2509" s="33" t="s">
        <v>27</v>
      </c>
      <c r="BF2509" s="33" t="s">
        <v>9</v>
      </c>
      <c r="BG2509" s="33" t="s">
        <v>23</v>
      </c>
      <c r="BH2509" s="33" t="s">
        <v>12</v>
      </c>
      <c r="BI2509" s="33" t="s">
        <v>26</v>
      </c>
      <c r="BJ2509" s="33" t="s">
        <v>25</v>
      </c>
      <c r="BK2509" s="33" t="s">
        <v>27</v>
      </c>
      <c r="BL2509" s="33" t="s">
        <v>9</v>
      </c>
      <c r="BM2509" s="33" t="s">
        <v>23</v>
      </c>
      <c r="BN2509" s="33" t="s">
        <v>12</v>
      </c>
      <c r="BO2509" s="33" t="s">
        <v>26</v>
      </c>
      <c r="BP2509" s="33" t="s">
        <v>25</v>
      </c>
      <c r="BQ2509" s="33" t="s">
        <v>27</v>
      </c>
      <c r="BR2509" s="33" t="s">
        <v>9</v>
      </c>
      <c r="BS2509" s="33" t="s">
        <v>23</v>
      </c>
      <c r="BT2509" s="33" t="s">
        <v>12</v>
      </c>
      <c r="BU2509" s="33" t="s">
        <v>26</v>
      </c>
      <c r="BV2509" s="33" t="s">
        <v>25</v>
      </c>
      <c r="BW2509" s="33" t="s">
        <v>27</v>
      </c>
      <c r="BX2509" s="33" t="s">
        <v>9</v>
      </c>
      <c r="BY2509" s="33" t="s">
        <v>23</v>
      </c>
      <c r="BZ2509" s="33" t="s">
        <v>12</v>
      </c>
      <c r="CA2509" s="33" t="s">
        <v>26</v>
      </c>
      <c r="CB2509" s="33" t="s">
        <v>25</v>
      </c>
      <c r="CC2509" s="33" t="s">
        <v>27</v>
      </c>
      <c r="CD2509" s="33" t="s">
        <v>9</v>
      </c>
      <c r="CE2509" s="33" t="s">
        <v>23</v>
      </c>
      <c r="CF2509" s="33" t="s">
        <v>12</v>
      </c>
      <c r="CG2509" s="33" t="s">
        <v>26</v>
      </c>
      <c r="CH2509" s="33" t="s">
        <v>25</v>
      </c>
    </row>
    <row r="2510" spans="1:86" x14ac:dyDescent="0.2">
      <c r="A2510" s="8" t="str">
        <f>IF(AND(COUNTIF(W$3:W$13,A$15)&gt;0,A$15&lt;&gt;B2324),A$15,IFERROR(IF(MATCH(A$15,Z$3:Z$13,0)=9,A$15," ")," "))</f>
        <v xml:space="preserve"> </v>
      </c>
      <c r="B2510" s="8" t="str">
        <f>IF(A2510=" "," ",1)</f>
        <v xml:space="preserve"> </v>
      </c>
      <c r="C2510" s="8" t="str">
        <f>IFERROR(INDEX(A2510:A2531,MATCH(SMALL(B2510:B2531,1),B2510:B2531,0),1)," ")</f>
        <v>C3</v>
      </c>
      <c r="D2510" s="8">
        <f>IFERROR(VLOOKUP($C2510,$A$15:$O$36,2,FALSE)," ")</f>
        <v>2</v>
      </c>
      <c r="E2510" s="8">
        <f>IFERROR(VLOOKUP($C2510,$A$15:$O$36,3,FALSE)," ")</f>
        <v>5</v>
      </c>
      <c r="F2510" s="8">
        <f>IFERROR(VLOOKUP($C2510,$A$15:$O$36,4,FALSE)," ")</f>
        <v>6</v>
      </c>
      <c r="G2510" s="8">
        <f>IFERROR(VLOOKUP($C2510,$A$15:$O$36,5,FALSE)," ")</f>
        <v>0</v>
      </c>
      <c r="H2510" s="8">
        <f>IFERROR(VLOOKUP($C2510,$A$15:$O$36,6,FALSE)," ")</f>
        <v>0</v>
      </c>
      <c r="I2510" s="8">
        <f>IFERROR(VLOOKUP($C2510,$A$15:$O$36,7,FALSE)," ")</f>
        <v>0</v>
      </c>
      <c r="J2510" s="8">
        <f>IFERROR(VLOOKUP($C2510,$A$15:$O$36,8,FALSE)," ")</f>
        <v>0</v>
      </c>
      <c r="K2510" s="8">
        <f>IFERROR(VLOOKUP($C2510,$A$15:$O$36,9,FALSE)," ")</f>
        <v>0</v>
      </c>
      <c r="L2510" s="8">
        <f>IFERROR(VLOOKUP($C2510,$A$15:$O$36,10,FALSE)," ")</f>
        <v>0</v>
      </c>
      <c r="M2510" s="8">
        <f>IFERROR(VLOOKUP($C2510,$A$15:$O$36,11,FALSE)," ")</f>
        <v>0</v>
      </c>
      <c r="N2510" s="8">
        <f>IFERROR(VLOOKUP($C2510,$A$15:$O$36,12,FALSE)," ")</f>
        <v>0</v>
      </c>
      <c r="O2510" s="8">
        <f>IFERROR(VLOOKUP($C2510,$A$15:$O$36,15,FALSE)," ")</f>
        <v>2000</v>
      </c>
      <c r="P2510" s="8" t="e">
        <f t="array" ref="P2510:P2520">MMULT(MINVERSE(D2510:N2520),O2510:O2520)</f>
        <v>#NUM!</v>
      </c>
      <c r="Q2510" s="8" t="e">
        <f t="shared" ref="Q2510" si="10918">IF(COUNTIF(P2510:P2520,"&lt;"&amp;-0.001)=0,IF(ABS(P2510)&lt;0.001,0,P2510)," ")</f>
        <v>#NUM!</v>
      </c>
      <c r="R2510" s="8" t="str">
        <f>IFERROR(VLOOKUP(B2324,A$15:L$36,2,FALSE)*Q2510+VLOOKUP(B2324,A$15:L$36,3,FALSE)*Q2511+VLOOKUP(B2324,A$15:L$36,4,FALSE)*Q2512+VLOOKUP(B2324,A$15:L$36,5,FALSE)*Q2513+VLOOKUP(B2324,A$15:L$36,6,FALSE)*Q2514+VLOOKUP(B2324,A$15:L$36,7,FALSE)*Q2515+VLOOKUP(B2324,A$15:L$36,8,FALSE)*Q2516+VLOOKUP(B2324,A$15:L$36,9,FALSE)*Q2517+VLOOKUP(B2324,A$15:L$36,10,FALSE)*Q2518+VLOOKUP(B2324,A$15:L$36,11,FALSE)*Q2519+VLOOKUP(B2324,A$15:L$36,12,FALSE)*Q2520," ")</f>
        <v xml:space="preserve"> </v>
      </c>
      <c r="S2510" s="8" t="str">
        <f>IFERROR(IF(R2510-VLOOKUP(B2324,A$15:O$36,15,FALSE)&lt;0,R2510-VLOOKUP(B2324,A$15:O$36,15,FALSE)," ")," ")</f>
        <v xml:space="preserve"> </v>
      </c>
      <c r="T2510" s="18" t="str">
        <f>IFERROR(IF(R2510-VLOOKUP(B2324,A$15:O$36,15,FALSE)&gt;0,R2510-VLOOKUP(B2324,A$15:O$36,15,FALSE)," ")," ")</f>
        <v xml:space="preserve"> </v>
      </c>
      <c r="U2510" s="34">
        <f t="shared" ref="U2510" si="10919">$M$2</f>
        <v>100.00000000000001</v>
      </c>
      <c r="V2510" s="34">
        <v>-1</v>
      </c>
      <c r="W2510" s="34">
        <f t="shared" ref="W2510" si="10920">-SUMPRODUCT($M$3:$M$12,$N$3:$N$12)</f>
        <v>-105000</v>
      </c>
      <c r="X2510" s="34" t="e">
        <f t="shared" ref="X2510" si="10921">IF(U2510&lt;&gt;U2511,MMULT(MINVERSE(U2510:V2511),W2510:W2511)," ")</f>
        <v>#NUM!</v>
      </c>
      <c r="Y2510" s="34" t="str">
        <f t="shared" ref="Y2510" si="10922">IFERROR(IF(X2510-VLOOKUP(U$38,$A$2:$N$12,14,FALSE)&lt;0,X2510-VLOOKUP(U$38,$A$2:$N$12,14,FALSE)," ")," ")</f>
        <v xml:space="preserve"> </v>
      </c>
      <c r="Z2510" s="34" t="str">
        <f t="shared" ref="Z2510" si="10923">IFERROR(IF(X2510-VLOOKUP(U$38,$A$2:$N$12,14,FALSE)&gt;0,X2510-VLOOKUP(U$38,$A$2:$N$12,14,FALSE)," ")," ")</f>
        <v xml:space="preserve"> </v>
      </c>
      <c r="AA2510" s="34">
        <f t="shared" ref="AA2510" si="10924">$M$3</f>
        <v>0</v>
      </c>
      <c r="AB2510" s="34">
        <v>-1</v>
      </c>
      <c r="AC2510" s="34">
        <f t="shared" ref="AC2510" si="10925">-SUMPRODUCT($M$2:$M$2,$N$2:$N$2)-SUMPRODUCT($M$4:$M$12,$N$4:$N$12)</f>
        <v>-120000</v>
      </c>
      <c r="AD2510" s="34" t="e">
        <f t="shared" ref="AD2510" si="10926">IF(AA2510&lt;&gt;AA2511,MMULT(MINVERSE(AA2510:AB2511),AC2510:AC2511)," ")</f>
        <v>#NUM!</v>
      </c>
      <c r="AE2510" s="34" t="str">
        <f t="shared" ref="AE2510" si="10927">IFERROR(IF(AD2510-VLOOKUP(AA$38,$A$2:$N$12,14,FALSE)&lt;0,AD2510-VLOOKUP(AA$38,$A$2:$N$12,14,FALSE)," ")," ")</f>
        <v xml:space="preserve"> </v>
      </c>
      <c r="AF2510" s="34" t="str">
        <f t="shared" ref="AF2510" si="10928">IFERROR(IF(AD2510-VLOOKUP(AA$38,$A$2:$N$12,14,FALSE)&gt;0,AD2510-VLOOKUP(AA$38,$A$2:$N$12,14,FALSE)," ")," ")</f>
        <v xml:space="preserve"> </v>
      </c>
      <c r="AG2510" s="34">
        <f t="shared" ref="AG2510" si="10929">$M$4</f>
        <v>300</v>
      </c>
      <c r="AH2510" s="34">
        <v>-1</v>
      </c>
      <c r="AI2510" s="34">
        <f t="shared" ref="AI2510" si="10930">-SUMPRODUCT($M$2:$M$3,$N$2:$N$3)-SUMPRODUCT($M$5:$M$12,$N$5:$N$12)</f>
        <v>-15000.000000000002</v>
      </c>
      <c r="AJ2510" s="34" t="e">
        <f t="shared" ref="AJ2510" si="10931">IF(AG2510&lt;&gt;AG2511,MMULT(MINVERSE(AG2510:AH2511),AI2510:AI2511)," ")</f>
        <v>#NUM!</v>
      </c>
      <c r="AK2510" s="34" t="str">
        <f t="shared" ref="AK2510" si="10932">IFERROR(IF(AJ2510-VLOOKUP(AG$38,$A$2:$N$12,14,FALSE)&lt;0,AJ2510-VLOOKUP(AG$38,$A$2:$N$12,14,FALSE)," ")," ")</f>
        <v xml:space="preserve"> </v>
      </c>
      <c r="AL2510" s="34" t="str">
        <f t="shared" ref="AL2510" si="10933">IFERROR(IF(AJ2510-VLOOKUP(AG$38,$A$2:$N$12,14,FALSE)&gt;0,AJ2510-VLOOKUP(AG$38,$A$2:$N$12,14,FALSE)," ")," ")</f>
        <v xml:space="preserve"> </v>
      </c>
      <c r="AM2510" s="34">
        <f t="shared" ref="AM2510" si="10934">$M$5</f>
        <v>0</v>
      </c>
      <c r="AN2510" s="34">
        <v>-1</v>
      </c>
      <c r="AO2510" s="34">
        <f t="shared" ref="AO2510" si="10935">-SUMPRODUCT($M$2:$M$4,$N$2:$N$4)-SUMPRODUCT($M$6:$M$12,$N$6:$N$12)</f>
        <v>-120000</v>
      </c>
      <c r="AP2510" s="34" t="e">
        <f t="shared" ref="AP2510" si="10936">IF(AM2510&lt;&gt;AM2511,MMULT(MINVERSE(AM2510:AN2511),AO2510:AO2511)," ")</f>
        <v>#NUM!</v>
      </c>
      <c r="AQ2510" s="34" t="str">
        <f t="shared" ref="AQ2510" si="10937">IFERROR(IF(AP2510-VLOOKUP(AM$38,$A$2:$N$12,14,FALSE)&lt;0,AP2510-VLOOKUP(AM$38,$A$2:$N$12,14,FALSE)," ")," ")</f>
        <v xml:space="preserve"> </v>
      </c>
      <c r="AR2510" s="34" t="str">
        <f t="shared" ref="AR2510" si="10938">IFERROR(IF(AP2510-VLOOKUP(AM$38,$A$2:$N$12,14,FALSE)&gt;0,AP2510-VLOOKUP(AM$38,$A$2:$N$12,14,FALSE)," ")," ")</f>
        <v xml:space="preserve"> </v>
      </c>
      <c r="AS2510" s="34">
        <f t="shared" ref="AS2510" si="10939">$M$6</f>
        <v>0</v>
      </c>
      <c r="AT2510" s="34">
        <v>-1</v>
      </c>
      <c r="AU2510" s="34">
        <f t="shared" ref="AU2510" si="10940">-SUMPRODUCT($M$2:$M$5,$N$2:$N$5)-SUMPRODUCT($M$7:$M$12,$N$7:$N$12)</f>
        <v>-120000</v>
      </c>
      <c r="AV2510" s="34" t="e">
        <f t="shared" ref="AV2510" si="10941">IF(AS2510&lt;&gt;AS2511,MMULT(MINVERSE(AS2510:AT2511),AU2510:AU2511)," ")</f>
        <v>#NUM!</v>
      </c>
      <c r="AW2510" s="34" t="str">
        <f t="shared" ref="AW2510" si="10942">IFERROR(IF(AV2510-VLOOKUP(AS$38,$A$2:$N$12,14,FALSE)&lt;0,AV2510-VLOOKUP(AS$38,$A$2:$N$12,14,FALSE)," ")," ")</f>
        <v xml:space="preserve"> </v>
      </c>
      <c r="AX2510" s="34" t="str">
        <f t="shared" ref="AX2510" si="10943">IFERROR(IF(AV2510-VLOOKUP(AS$38,$A$2:$N$12,14,FALSE)&gt;0,AV2510-VLOOKUP(AS$38,$A$2:$N$12,14,FALSE)," ")," ")</f>
        <v xml:space="preserve"> </v>
      </c>
      <c r="AY2510" s="34">
        <f t="shared" ref="AY2510" si="10944">$M$7</f>
        <v>0</v>
      </c>
      <c r="AZ2510" s="34">
        <v>-1</v>
      </c>
      <c r="BA2510" s="34">
        <f t="shared" ref="BA2510" si="10945">-SUMPRODUCT($M$2:$M$6,$N$2:$N$6)-SUMPRODUCT($M$8:$M$12,$N$8:$N$12)</f>
        <v>-120000</v>
      </c>
      <c r="BB2510" s="34" t="e">
        <f t="shared" ref="BB2510" si="10946">IF(AY2510&lt;&gt;AY2511,MMULT(MINVERSE(AY2510:AZ2511),BA2510:BA2511)," ")</f>
        <v>#NUM!</v>
      </c>
      <c r="BC2510" s="34" t="str">
        <f t="shared" ref="BC2510" si="10947">IFERROR(IF(BB2510-VLOOKUP(AY$38,$A$2:$N$12,14,FALSE)&lt;0,BB2510-VLOOKUP(AY$38,$A$2:$N$12,14,FALSE)," ")," ")</f>
        <v xml:space="preserve"> </v>
      </c>
      <c r="BD2510" s="34" t="str">
        <f t="shared" ref="BD2510" si="10948">IFERROR(IF(BB2510-VLOOKUP(AY$38,$A$2:$N$12,14,FALSE)&gt;0,BB2510-VLOOKUP(AY$38,$A$2:$N$12,14,FALSE)," ")," ")</f>
        <v xml:space="preserve"> </v>
      </c>
      <c r="BE2510" s="34">
        <f t="shared" ref="BE2510" si="10949">$M$8</f>
        <v>0</v>
      </c>
      <c r="BF2510" s="34">
        <v>-1</v>
      </c>
      <c r="BG2510" s="34">
        <f t="shared" ref="BG2510" si="10950">-SUMPRODUCT($M$2:$M$7,$N$2:$N$7)-SUMPRODUCT($M$9:$M$12,$N$9:$N$12)</f>
        <v>-120000</v>
      </c>
      <c r="BH2510" s="34" t="e">
        <f t="shared" ref="BH2510" si="10951">IF(BE2510&lt;&gt;BE2511,MMULT(MINVERSE(BE2510:BF2511),BG2510:BG2511)," ")</f>
        <v>#NUM!</v>
      </c>
      <c r="BI2510" s="34" t="str">
        <f t="shared" ref="BI2510" si="10952">IFERROR(IF(BH2510-VLOOKUP(BE$38,$A$2:$N$12,14,FALSE)&lt;0,BH2510-VLOOKUP(BE$38,$A$2:$N$12,14,FALSE)," ")," ")</f>
        <v xml:space="preserve"> </v>
      </c>
      <c r="BJ2510" s="34" t="str">
        <f t="shared" ref="BJ2510" si="10953">IFERROR(IF(BH2510-VLOOKUP(BE$38,$A$2:$N$12,14,FALSE)&gt;0,BH2510-VLOOKUP(BE$38,$A$2:$N$12,14,FALSE)," ")," ")</f>
        <v xml:space="preserve"> </v>
      </c>
      <c r="BK2510" s="34">
        <f t="shared" ref="BK2510" si="10954">$M$9</f>
        <v>0</v>
      </c>
      <c r="BL2510" s="34">
        <v>-1</v>
      </c>
      <c r="BM2510" s="34">
        <f t="shared" ref="BM2510" si="10955">-SUMPRODUCT($M$2:$M$8,$N$2:$N$8)-SUMPRODUCT($M$10:$M$12,$N$10:$N$12)</f>
        <v>-120000</v>
      </c>
      <c r="BN2510" s="34" t="e">
        <f t="shared" ref="BN2510" si="10956">IF(BK2510&lt;&gt;BK2511,MMULT(MINVERSE(BK2510:BL2511),BM2510:BM2511)," ")</f>
        <v>#NUM!</v>
      </c>
      <c r="BO2510" s="34" t="str">
        <f t="shared" ref="BO2510" si="10957">IFERROR(IF(BN2510-VLOOKUP(BK$38,$A$2:$N$12,14,FALSE)&lt;0,BN2510-VLOOKUP(BK$38,$A$2:$N$12,14,FALSE)," ")," ")</f>
        <v xml:space="preserve"> </v>
      </c>
      <c r="BP2510" s="34" t="str">
        <f t="shared" ref="BP2510" si="10958">IFERROR(IF(BN2510-VLOOKUP(BK$38,$A$2:$N$12,14,FALSE)&gt;0,BN2510-VLOOKUP(BK$38,$A$2:$N$12,14,FALSE)," ")," ")</f>
        <v xml:space="preserve"> </v>
      </c>
      <c r="BQ2510" s="34">
        <f t="shared" ref="BQ2510" si="10959">$M$10</f>
        <v>0</v>
      </c>
      <c r="BR2510" s="34">
        <v>-1</v>
      </c>
      <c r="BS2510" s="34">
        <f t="shared" ref="BS2510" si="10960">-SUMPRODUCT($M$2:$M$9,$N$2:$N$9)-SUMPRODUCT($M$11:$M$12,$N$11:$N$12)</f>
        <v>-120000</v>
      </c>
      <c r="BT2510" s="34" t="e">
        <f t="shared" ref="BT2510" si="10961">IF(BQ2510&lt;&gt;BQ2511,MMULT(MINVERSE(BQ2510:BR2511),BS2510:BS2511)," ")</f>
        <v>#NUM!</v>
      </c>
      <c r="BU2510" s="34" t="str">
        <f t="shared" ref="BU2510" si="10962">IFERROR(IF(BT2510-VLOOKUP(BQ$38,$A$2:$N$12,14,FALSE)&lt;0,BT2510-VLOOKUP(BQ$38,$A$2:$N$12,14,FALSE)," ")," ")</f>
        <v xml:space="preserve"> </v>
      </c>
      <c r="BV2510" s="34" t="str">
        <f t="shared" ref="BV2510" si="10963">IFERROR(IF(BT2510-VLOOKUP(BQ$38,$A$2:$N$12,14,FALSE)&gt;0,BT2510-VLOOKUP(BQ$38,$A$2:$N$12,14,FALSE)," ")," ")</f>
        <v xml:space="preserve"> </v>
      </c>
      <c r="BW2510" s="34">
        <f t="shared" ref="BW2510" si="10964">$M$11</f>
        <v>0</v>
      </c>
      <c r="BX2510" s="34">
        <v>-1</v>
      </c>
      <c r="BY2510" s="34">
        <f t="shared" ref="BY2510" si="10965">-SUMPRODUCT($M$2:$M$10,$N$2:$N$10)-SUMPRODUCT($M$12,$N$12)</f>
        <v>-120000</v>
      </c>
      <c r="BZ2510" s="34" t="e">
        <f t="shared" ref="BZ2510" si="10966">IF(BW2510&lt;&gt;BW2511,MMULT(MINVERSE(BW2510:BX2511),BY2510:BY2511)," ")</f>
        <v>#NUM!</v>
      </c>
      <c r="CA2510" s="34" t="str">
        <f t="shared" ref="CA2510" si="10967">IFERROR(IF(BZ2510-VLOOKUP(BW$38,$A$2:$N$12,14,FALSE)&lt;0,BZ2510-VLOOKUP(BW$38,$A$2:$N$12,14,FALSE)," ")," ")</f>
        <v xml:space="preserve"> </v>
      </c>
      <c r="CB2510" s="34" t="str">
        <f t="shared" ref="CB2510" si="10968">IFERROR(IF(BZ2510-VLOOKUP(BW$38,$A$2:$N$12,14,FALSE)&gt;0,BZ2510-VLOOKUP(BW$38,$A$2:$N$12,14,FALSE)," ")," ")</f>
        <v xml:space="preserve"> </v>
      </c>
      <c r="CC2510" s="34">
        <f t="shared" ref="CC2510" si="10969">$M$12</f>
        <v>0</v>
      </c>
      <c r="CD2510" s="34">
        <v>-1</v>
      </c>
      <c r="CE2510" s="34">
        <f t="shared" ref="CE2510" si="10970">-SUMPRODUCT($M$2:$M$11,$N$2:$N$11)</f>
        <v>-120000</v>
      </c>
      <c r="CF2510" s="34" t="e">
        <f t="shared" ref="CF2510" si="10971">IF(CC2510&lt;&gt;CC2511,MMULT(MINVERSE(CC2510:CD2511),CE2510:CE2511)," ")</f>
        <v>#NUM!</v>
      </c>
      <c r="CG2510" s="34" t="str">
        <f t="shared" ref="CG2510" si="10972">IFERROR(IF(CF2510-VLOOKUP(CC$38,$A$2:$N$12,14,FALSE)&lt;0,CF2510-VLOOKUP(CC$38,$A$2:$N$12,14,FALSE)," ")," ")</f>
        <v xml:space="preserve"> </v>
      </c>
      <c r="CH2510" s="34" t="str">
        <f t="shared" ref="CH2510" si="10973">IFERROR(IF(CF2510-VLOOKUP(CC$38,$A$2:$N$12,14,FALSE)&gt;0,CF2510-VLOOKUP(CC$38,$A$2:$N$12,14,FALSE)," ")," ")</f>
        <v xml:space="preserve"> </v>
      </c>
    </row>
    <row r="2511" spans="1:86" x14ac:dyDescent="0.2">
      <c r="A2511" s="8" t="str">
        <f>IF(AND(COUNTIF(W$3:W$13,A$16)&gt;0,A$16&lt;&gt;B2324),A$16,IFERROR(IF(MATCH(A$16,Z$3:Z$13,0)=9,A$16," ")," "))</f>
        <v xml:space="preserve"> </v>
      </c>
      <c r="B2511" s="8" t="str">
        <f>IF(A2511=" "," ",MAX(B2510:B2510)+1)</f>
        <v xml:space="preserve"> </v>
      </c>
      <c r="C2511" s="8" t="str">
        <f>IFERROR(INDEX(A2510:A2531,MATCH(SMALL(B2510:B2531,2),B2510:B2531,0),1)," ")</f>
        <v>C4</v>
      </c>
      <c r="D2511" s="8">
        <f t="shared" ref="D2511:D2520" si="10974">IFERROR(VLOOKUP($C2511,$A$15:$O$36,2,FALSE)," ")</f>
        <v>1</v>
      </c>
      <c r="E2511" s="8">
        <f t="shared" ref="E2511:E2520" si="10975">IFERROR(VLOOKUP($C2511,$A$15:$O$36,3,FALSE)," ")</f>
        <v>0</v>
      </c>
      <c r="F2511" s="8">
        <f t="shared" ref="F2511:F2520" si="10976">IFERROR(VLOOKUP($C2511,$A$15:$O$36,4,FALSE)," ")</f>
        <v>1</v>
      </c>
      <c r="G2511" s="8">
        <f t="shared" ref="G2511:G2520" si="10977">IFERROR(VLOOKUP($C2511,$A$15:$O$36,5,FALSE)," ")</f>
        <v>0</v>
      </c>
      <c r="H2511" s="8">
        <f t="shared" ref="H2511:H2520" si="10978">IFERROR(VLOOKUP($C2511,$A$15:$O$36,6,FALSE)," ")</f>
        <v>0</v>
      </c>
      <c r="I2511" s="8">
        <f t="shared" ref="I2511:I2520" si="10979">IFERROR(VLOOKUP($C2511,$A$15:$O$36,7,FALSE)," ")</f>
        <v>0</v>
      </c>
      <c r="J2511" s="8">
        <f t="shared" ref="J2511:J2520" si="10980">IFERROR(VLOOKUP($C2511,$A$15:$O$36,8,FALSE)," ")</f>
        <v>0</v>
      </c>
      <c r="K2511" s="8">
        <f t="shared" ref="K2511:K2520" si="10981">IFERROR(VLOOKUP($C2511,$A$15:$O$36,9,FALSE)," ")</f>
        <v>0</v>
      </c>
      <c r="L2511" s="8">
        <f t="shared" ref="L2511:L2520" si="10982">IFERROR(VLOOKUP($C2511,$A$15:$O$36,10,FALSE)," ")</f>
        <v>0</v>
      </c>
      <c r="M2511" s="8">
        <f t="shared" ref="M2511:M2520" si="10983">IFERROR(VLOOKUP($C2511,$A$15:$O$36,11,FALSE)," ")</f>
        <v>0</v>
      </c>
      <c r="N2511" s="8">
        <f t="shared" ref="N2511:N2520" si="10984">IFERROR(VLOOKUP($C2511,$A$15:$O$36,12,FALSE)," ")</f>
        <v>0</v>
      </c>
      <c r="O2511" s="8">
        <f t="shared" ref="O2511:O2520" si="10985">IFERROR(VLOOKUP($C2511,$A$15:$O$36,15,FALSE)," ")</f>
        <v>400</v>
      </c>
      <c r="P2511" s="8" t="e">
        <v>#NUM!</v>
      </c>
      <c r="Q2511" s="8" t="e">
        <f t="shared" ref="Q2511" si="10986">IF(COUNTIF(P2510:P2520,"&lt;"&amp;-0.001)=0,IF(ABS(P2511)&lt;0.001,0,P2511)," ")</f>
        <v>#NUM!</v>
      </c>
      <c r="R2511" s="8"/>
      <c r="S2511" s="8"/>
      <c r="U2511" s="34" t="e">
        <f t="shared" ref="U2511" si="10987">$Q2510</f>
        <v>#NUM!</v>
      </c>
      <c r="V2511" s="34">
        <v>-1</v>
      </c>
      <c r="W2511" s="34" t="e">
        <f t="shared" ref="W2511" si="10988">-SUMPRODUCT($Q2511:$Q2520,$N$3:$N$12)</f>
        <v>#NUM!</v>
      </c>
      <c r="X2511" s="34"/>
      <c r="Y2511" s="34"/>
      <c r="Z2511" s="34"/>
      <c r="AA2511" s="34" t="e">
        <f t="shared" ref="AA2511" si="10989">$Q2511</f>
        <v>#NUM!</v>
      </c>
      <c r="AB2511" s="34">
        <v>-1</v>
      </c>
      <c r="AC2511" s="34" t="e">
        <f t="shared" ref="AC2511" si="10990">-SUMPRODUCT($Q2510:$Q2510,$N$2:$N$2)-SUMPRODUCT($Q2512:$Q2520,$N$4:$N$12)</f>
        <v>#NUM!</v>
      </c>
      <c r="AD2511" s="34"/>
      <c r="AE2511" s="34"/>
      <c r="AF2511" s="34"/>
      <c r="AG2511" s="34" t="e">
        <f t="shared" ref="AG2511" si="10991">$Q2512</f>
        <v>#NUM!</v>
      </c>
      <c r="AH2511" s="34">
        <v>-1</v>
      </c>
      <c r="AI2511" s="34" t="e">
        <f t="shared" ref="AI2511" si="10992">-SUMPRODUCT($Q2510:$Q2511,$N$2:$N$3)-SUMPRODUCT($Q2513:$Q2520,$N$5:$N$12)</f>
        <v>#NUM!</v>
      </c>
      <c r="AJ2511" s="34"/>
      <c r="AK2511" s="34"/>
      <c r="AL2511" s="34"/>
      <c r="AM2511" s="34" t="e">
        <f t="shared" ref="AM2511" si="10993">$Q2513</f>
        <v>#NUM!</v>
      </c>
      <c r="AN2511" s="34">
        <v>-1</v>
      </c>
      <c r="AO2511" s="34" t="e">
        <f t="shared" ref="AO2511" si="10994">-SUMPRODUCT($Q2510:$Q2512,$N$2:$N$4)-SUMPRODUCT($Q2514:$Q2520,$N$6:$N$12)</f>
        <v>#NUM!</v>
      </c>
      <c r="AP2511" s="34"/>
      <c r="AQ2511" s="34"/>
      <c r="AR2511" s="34"/>
      <c r="AS2511" s="34" t="e">
        <f t="shared" ref="AS2511" si="10995">$Q2514</f>
        <v>#NUM!</v>
      </c>
      <c r="AT2511" s="34">
        <v>-1</v>
      </c>
      <c r="AU2511" s="34" t="e">
        <f t="shared" ref="AU2511" si="10996">-SUMPRODUCT($Q2510:$Q2513,$N$2:$N$5)-SUMPRODUCT($Q2515:$Q2520,$N$7:$N$12)</f>
        <v>#NUM!</v>
      </c>
      <c r="AV2511" s="34"/>
      <c r="AW2511" s="34"/>
      <c r="AX2511" s="34"/>
      <c r="AY2511" s="34" t="e">
        <f t="shared" ref="AY2511" si="10997">$Q2515</f>
        <v>#NUM!</v>
      </c>
      <c r="AZ2511" s="34">
        <v>-1</v>
      </c>
      <c r="BA2511" s="34" t="e">
        <f t="shared" ref="BA2511" si="10998">-SUMPRODUCT($Q2510:$Q2514,$N$2:$N$6)-SUMPRODUCT($Q2516:$Q2520,$N$8:$N$12)</f>
        <v>#NUM!</v>
      </c>
      <c r="BB2511" s="34"/>
      <c r="BC2511" s="34"/>
      <c r="BD2511" s="34"/>
      <c r="BE2511" s="34" t="e">
        <f t="shared" ref="BE2511" si="10999">$Q2516</f>
        <v>#NUM!</v>
      </c>
      <c r="BF2511" s="34">
        <v>-1</v>
      </c>
      <c r="BG2511" s="34" t="e">
        <f t="shared" ref="BG2511" si="11000">-SUMPRODUCT($Q2510:$Q2515,$N$2:$N$7)-SUMPRODUCT($Q2517:$Q2520,$N$9:$N$12)</f>
        <v>#NUM!</v>
      </c>
      <c r="BH2511" s="34"/>
      <c r="BI2511" s="34"/>
      <c r="BJ2511" s="34"/>
      <c r="BK2511" s="34" t="e">
        <f t="shared" ref="BK2511" si="11001">$Q2517</f>
        <v>#NUM!</v>
      </c>
      <c r="BL2511" s="34">
        <v>-1</v>
      </c>
      <c r="BM2511" s="34" t="e">
        <f t="shared" ref="BM2511" si="11002">-SUMPRODUCT($Q2510:$Q2516,$N$2:$N$8)-SUMPRODUCT($Q2518:$Q2520,$N$10:$N$12)</f>
        <v>#NUM!</v>
      </c>
      <c r="BN2511" s="34"/>
      <c r="BO2511" s="34"/>
      <c r="BP2511" s="34"/>
      <c r="BQ2511" s="34" t="e">
        <f t="shared" ref="BQ2511" si="11003">$Q2518</f>
        <v>#NUM!</v>
      </c>
      <c r="BR2511" s="34">
        <v>-1</v>
      </c>
      <c r="BS2511" s="34" t="e">
        <f t="shared" ref="BS2511" si="11004">-SUMPRODUCT($Q2510:$Q2517,$N$2:$N$9)-SUMPRODUCT($Q2519:$Q2520,$N$11:$N$12)</f>
        <v>#NUM!</v>
      </c>
      <c r="BT2511" s="34"/>
      <c r="BU2511" s="34"/>
      <c r="BV2511" s="34"/>
      <c r="BW2511" s="34" t="e">
        <f t="shared" ref="BW2511" si="11005">$Q2519</f>
        <v>#NUM!</v>
      </c>
      <c r="BX2511" s="34">
        <v>-1</v>
      </c>
      <c r="BY2511" s="34" t="e">
        <f t="shared" ref="BY2511" si="11006">-SUMPRODUCT($Q2510:$Q2518,$N$2:$N$10)-SUMPRODUCT($Q2520,$N$12)</f>
        <v>#NUM!</v>
      </c>
      <c r="BZ2511" s="34"/>
      <c r="CA2511" s="34"/>
      <c r="CB2511" s="34"/>
      <c r="CC2511" s="34" t="e">
        <f t="shared" ref="CC2511" si="11007">$Q2520</f>
        <v>#NUM!</v>
      </c>
      <c r="CD2511" s="34">
        <v>-1</v>
      </c>
      <c r="CE2511" s="34" t="e">
        <f t="shared" ref="CE2511" si="11008">-SUMPRODUCT($Q2510:$Q2519,$N$2:$N$11)</f>
        <v>#NUM!</v>
      </c>
      <c r="CF2511" s="34"/>
      <c r="CG2511" s="34"/>
      <c r="CH2511" s="34"/>
    </row>
    <row r="2512" spans="1:86" x14ac:dyDescent="0.2">
      <c r="A2512" s="8" t="str">
        <f>IF(AND(COUNTIF(W$3:W$13,A$17)&gt;0,A$17&lt;&gt;B2324),A$17,IFERROR(IF(MATCH(A$17,Z$3:Z$13,0)=9,A$17," ")," "))</f>
        <v>C3</v>
      </c>
      <c r="B2512" s="8">
        <f>IF(A2512=" "," ",MAX(B2510:B2511)+1)</f>
        <v>1</v>
      </c>
      <c r="C2512" s="8" t="str">
        <f>IFERROR(INDEX(A2510:A2531,MATCH(SMALL(B2510:B2531,3),B2510:B2531,0),1)," ")</f>
        <v>C11</v>
      </c>
      <c r="D2512" s="8">
        <f t="shared" si="10974"/>
        <v>0</v>
      </c>
      <c r="E2512" s="8">
        <f t="shared" si="10975"/>
        <v>0</v>
      </c>
      <c r="F2512" s="8">
        <f t="shared" si="10976"/>
        <v>0</v>
      </c>
      <c r="G2512" s="8">
        <f t="shared" si="10977"/>
        <v>0</v>
      </c>
      <c r="H2512" s="8">
        <f t="shared" si="10978"/>
        <v>0</v>
      </c>
      <c r="I2512" s="8">
        <f t="shared" si="10979"/>
        <v>0</v>
      </c>
      <c r="J2512" s="8">
        <f t="shared" si="10980"/>
        <v>0</v>
      </c>
      <c r="K2512" s="8">
        <f t="shared" si="10981"/>
        <v>0</v>
      </c>
      <c r="L2512" s="8">
        <f t="shared" si="10982"/>
        <v>0</v>
      </c>
      <c r="M2512" s="8">
        <f t="shared" si="10983"/>
        <v>0</v>
      </c>
      <c r="N2512" s="8">
        <f t="shared" si="10984"/>
        <v>0</v>
      </c>
      <c r="O2512" s="8">
        <f t="shared" si="10985"/>
        <v>0</v>
      </c>
      <c r="P2512" s="8" t="e">
        <v>#NUM!</v>
      </c>
      <c r="Q2512" s="8" t="e">
        <f t="shared" ref="Q2512" si="11009">IF(COUNTIF(P2510:P2520,"&lt;"&amp;-0.001)=0,IF(ABS(P2512)&lt;0.001,0,P2512)," ")</f>
        <v>#NUM!</v>
      </c>
      <c r="R2512" s="8"/>
      <c r="S2512" s="8"/>
      <c r="U2512" s="34"/>
      <c r="V2512" s="34"/>
      <c r="W2512" s="34"/>
      <c r="X2512" s="34"/>
      <c r="Y2512" s="34"/>
      <c r="Z2512" s="34"/>
      <c r="AA2512" s="34"/>
      <c r="AB2512" s="34"/>
      <c r="AC2512" s="34"/>
      <c r="AD2512" s="34"/>
      <c r="AE2512" s="34"/>
      <c r="AF2512" s="34"/>
      <c r="AG2512" s="34"/>
      <c r="AH2512" s="34"/>
      <c r="AI2512" s="34"/>
      <c r="AJ2512" s="34"/>
      <c r="AK2512" s="34"/>
      <c r="AL2512" s="34"/>
      <c r="AM2512" s="34"/>
      <c r="AN2512" s="34"/>
      <c r="AO2512" s="34"/>
      <c r="AP2512" s="34"/>
      <c r="AQ2512" s="34"/>
      <c r="AR2512" s="34"/>
      <c r="AS2512" s="34"/>
      <c r="AT2512" s="34"/>
      <c r="AU2512" s="34"/>
      <c r="AV2512" s="34"/>
      <c r="AW2512" s="34"/>
      <c r="AX2512" s="34"/>
      <c r="AY2512" s="34"/>
      <c r="AZ2512" s="34"/>
      <c r="BA2512" s="34"/>
      <c r="BB2512" s="34"/>
      <c r="BC2512" s="34"/>
      <c r="BD2512" s="34"/>
      <c r="BE2512" s="34"/>
      <c r="BF2512" s="34"/>
      <c r="BG2512" s="34"/>
      <c r="BH2512" s="34"/>
      <c r="BI2512" s="34"/>
      <c r="BJ2512" s="34"/>
      <c r="BK2512" s="34"/>
      <c r="BL2512" s="34"/>
      <c r="BM2512" s="34"/>
      <c r="BN2512" s="34"/>
      <c r="BO2512" s="34"/>
      <c r="BP2512" s="34"/>
      <c r="BQ2512" s="34"/>
      <c r="BR2512" s="34"/>
      <c r="BS2512" s="34"/>
      <c r="BT2512" s="34"/>
      <c r="BU2512" s="34"/>
      <c r="BV2512" s="34"/>
      <c r="BW2512" s="34"/>
      <c r="BX2512" s="34"/>
      <c r="BY2512" s="34"/>
      <c r="BZ2512" s="34"/>
      <c r="CA2512" s="34"/>
      <c r="CB2512" s="34"/>
      <c r="CC2512" s="34"/>
      <c r="CD2512" s="34"/>
      <c r="CE2512" s="34"/>
      <c r="CF2512" s="34"/>
      <c r="CG2512" s="34"/>
      <c r="CH2512" s="34"/>
    </row>
    <row r="2513" spans="1:86" x14ac:dyDescent="0.2">
      <c r="A2513" s="8" t="str">
        <f>IF(AND(COUNTIF(W$3:W$13,A$18)&gt;0,A$18&lt;&gt;B2324),A$18,IFERROR(IF(MATCH(A$18,Z$3:Z$13,0)=9,A$18," ")," "))</f>
        <v>C4</v>
      </c>
      <c r="B2513" s="8">
        <f>IF(A2513=" "," ",MAX(B2510:B2512)+1)</f>
        <v>2</v>
      </c>
      <c r="C2513" s="8" t="str">
        <f>IFERROR(INDEX(A2510:A2531,MATCH(SMALL(B2510:B2531,4),B2510:B2531,0),1)," ")</f>
        <v>C13</v>
      </c>
      <c r="D2513" s="8">
        <f t="shared" si="10974"/>
        <v>0</v>
      </c>
      <c r="E2513" s="8">
        <f t="shared" si="10975"/>
        <v>1</v>
      </c>
      <c r="F2513" s="8">
        <f t="shared" si="10976"/>
        <v>0</v>
      </c>
      <c r="G2513" s="8">
        <f t="shared" si="10977"/>
        <v>0</v>
      </c>
      <c r="H2513" s="8">
        <f t="shared" si="10978"/>
        <v>0</v>
      </c>
      <c r="I2513" s="8">
        <f t="shared" si="10979"/>
        <v>0</v>
      </c>
      <c r="J2513" s="8">
        <f t="shared" si="10980"/>
        <v>0</v>
      </c>
      <c r="K2513" s="8">
        <f t="shared" si="10981"/>
        <v>0</v>
      </c>
      <c r="L2513" s="8">
        <f t="shared" si="10982"/>
        <v>0</v>
      </c>
      <c r="M2513" s="8">
        <f t="shared" si="10983"/>
        <v>0</v>
      </c>
      <c r="N2513" s="8">
        <f t="shared" si="10984"/>
        <v>0</v>
      </c>
      <c r="O2513" s="8">
        <f t="shared" si="10985"/>
        <v>0</v>
      </c>
      <c r="P2513" s="8" t="e">
        <v>#NUM!</v>
      </c>
      <c r="Q2513" s="8" t="e">
        <f t="shared" ref="Q2513" si="11010">IF(COUNTIF(P2510:P2520,"&lt;"&amp;-0.001)=0,IF(ABS(P2513)&lt;0.001,0,P2513)," ")</f>
        <v>#NUM!</v>
      </c>
      <c r="R2513" s="8"/>
      <c r="S2513" s="8"/>
      <c r="U2513" s="34"/>
      <c r="V2513" s="34"/>
      <c r="W2513" s="34"/>
      <c r="X2513" s="34"/>
      <c r="Y2513" s="34"/>
      <c r="Z2513" s="34"/>
      <c r="AA2513" s="34"/>
      <c r="AB2513" s="34"/>
      <c r="AC2513" s="34"/>
      <c r="AD2513" s="34"/>
      <c r="AE2513" s="34"/>
      <c r="AF2513" s="34"/>
      <c r="AG2513" s="34"/>
      <c r="AH2513" s="34"/>
      <c r="AI2513" s="34"/>
      <c r="AJ2513" s="34"/>
      <c r="AK2513" s="34"/>
      <c r="AL2513" s="34"/>
      <c r="AM2513" s="34"/>
      <c r="AN2513" s="34"/>
      <c r="AO2513" s="34"/>
      <c r="AP2513" s="34"/>
      <c r="AQ2513" s="34"/>
      <c r="AR2513" s="34"/>
      <c r="AS2513" s="34"/>
      <c r="AT2513" s="34"/>
      <c r="AU2513" s="34"/>
      <c r="AV2513" s="34"/>
      <c r="AW2513" s="34"/>
      <c r="AX2513" s="34"/>
      <c r="AY2513" s="34"/>
      <c r="AZ2513" s="34"/>
      <c r="BA2513" s="34"/>
      <c r="BB2513" s="34"/>
      <c r="BC2513" s="34"/>
      <c r="BD2513" s="34"/>
      <c r="BE2513" s="34"/>
      <c r="BF2513" s="34"/>
      <c r="BG2513" s="34"/>
      <c r="BH2513" s="34"/>
      <c r="BI2513" s="34"/>
      <c r="BJ2513" s="34"/>
      <c r="BK2513" s="34"/>
      <c r="BL2513" s="34"/>
      <c r="BM2513" s="34"/>
      <c r="BN2513" s="34"/>
      <c r="BO2513" s="34"/>
      <c r="BP2513" s="34"/>
      <c r="BQ2513" s="34"/>
      <c r="BR2513" s="34"/>
      <c r="BS2513" s="34"/>
      <c r="BT2513" s="34"/>
      <c r="BU2513" s="34"/>
      <c r="BV2513" s="34"/>
      <c r="BW2513" s="34"/>
      <c r="BX2513" s="34"/>
      <c r="BY2513" s="34"/>
      <c r="BZ2513" s="34"/>
      <c r="CA2513" s="34"/>
      <c r="CB2513" s="34"/>
      <c r="CC2513" s="34"/>
      <c r="CD2513" s="34"/>
      <c r="CE2513" s="34"/>
      <c r="CF2513" s="34"/>
      <c r="CG2513" s="34"/>
      <c r="CH2513" s="34"/>
    </row>
    <row r="2514" spans="1:86" x14ac:dyDescent="0.2">
      <c r="A2514" s="8" t="str">
        <f>IF(AND(COUNTIF(W$3:W$13,A$19)&gt;0,A$19&lt;&gt;B2324),A$19,IFERROR(IF(MATCH(A$19,Z$3:Z$13,0)=9,A$19," ")," "))</f>
        <v xml:space="preserve"> </v>
      </c>
      <c r="B2514" s="8" t="str">
        <f>IF(A2514=" "," ",MAX(B2510:B2513)+1)</f>
        <v xml:space="preserve"> </v>
      </c>
      <c r="C2514" s="8" t="str">
        <f>IFERROR(INDEX(A2510:A2531,MATCH(SMALL(B2510:B2531,5),B2510:B2531,0),1)," ")</f>
        <v>C15</v>
      </c>
      <c r="D2514" s="8">
        <f t="shared" si="10974"/>
        <v>0</v>
      </c>
      <c r="E2514" s="8">
        <f t="shared" si="10975"/>
        <v>0</v>
      </c>
      <c r="F2514" s="8">
        <f t="shared" si="10976"/>
        <v>0</v>
      </c>
      <c r="G2514" s="8">
        <f t="shared" si="10977"/>
        <v>1</v>
      </c>
      <c r="H2514" s="8">
        <f t="shared" si="10978"/>
        <v>0</v>
      </c>
      <c r="I2514" s="8">
        <f t="shared" si="10979"/>
        <v>0</v>
      </c>
      <c r="J2514" s="8">
        <f t="shared" si="10980"/>
        <v>0</v>
      </c>
      <c r="K2514" s="8">
        <f t="shared" si="10981"/>
        <v>0</v>
      </c>
      <c r="L2514" s="8">
        <f t="shared" si="10982"/>
        <v>0</v>
      </c>
      <c r="M2514" s="8">
        <f t="shared" si="10983"/>
        <v>0</v>
      </c>
      <c r="N2514" s="8">
        <f t="shared" si="10984"/>
        <v>0</v>
      </c>
      <c r="O2514" s="8">
        <f t="shared" si="10985"/>
        <v>0</v>
      </c>
      <c r="P2514" s="8" t="e">
        <v>#NUM!</v>
      </c>
      <c r="Q2514" s="8" t="e">
        <f t="shared" ref="Q2514" si="11011">IF(COUNTIF(P2510:P2520,"&lt;"&amp;-0.001)=0,IF(ABS(P2514)&lt;0.001,0,P2514)," ")</f>
        <v>#NUM!</v>
      </c>
      <c r="R2514" s="8"/>
      <c r="S2514" s="8"/>
      <c r="U2514" s="34"/>
      <c r="V2514" s="34"/>
      <c r="W2514" s="34"/>
      <c r="X2514" s="34"/>
      <c r="Y2514" s="34"/>
      <c r="Z2514" s="34"/>
      <c r="AA2514" s="34"/>
      <c r="AB2514" s="34"/>
      <c r="AC2514" s="34"/>
      <c r="AD2514" s="34"/>
      <c r="AE2514" s="34"/>
      <c r="AF2514" s="34"/>
      <c r="AG2514" s="34"/>
      <c r="AH2514" s="34"/>
      <c r="AI2514" s="34"/>
      <c r="AJ2514" s="34"/>
      <c r="AK2514" s="34"/>
      <c r="AL2514" s="34"/>
      <c r="AM2514" s="34"/>
      <c r="AN2514" s="34"/>
      <c r="AO2514" s="34"/>
      <c r="AP2514" s="34"/>
      <c r="AQ2514" s="34"/>
      <c r="AR2514" s="34"/>
      <c r="AS2514" s="34"/>
      <c r="AT2514" s="34"/>
      <c r="AU2514" s="34"/>
      <c r="AV2514" s="34"/>
      <c r="AW2514" s="34"/>
      <c r="AX2514" s="34"/>
      <c r="AY2514" s="34"/>
      <c r="AZ2514" s="34"/>
      <c r="BA2514" s="34"/>
      <c r="BB2514" s="34"/>
      <c r="BC2514" s="34"/>
      <c r="BD2514" s="34"/>
      <c r="BE2514" s="34"/>
      <c r="BF2514" s="34"/>
      <c r="BG2514" s="34"/>
      <c r="BH2514" s="34"/>
      <c r="BI2514" s="34"/>
      <c r="BJ2514" s="34"/>
      <c r="BK2514" s="34"/>
      <c r="BL2514" s="34"/>
      <c r="BM2514" s="34"/>
      <c r="BN2514" s="34"/>
      <c r="BO2514" s="34"/>
      <c r="BP2514" s="34"/>
      <c r="BQ2514" s="34"/>
      <c r="BR2514" s="34"/>
      <c r="BS2514" s="34"/>
      <c r="BT2514" s="34"/>
      <c r="BU2514" s="34"/>
      <c r="BV2514" s="34"/>
      <c r="BW2514" s="34"/>
      <c r="BX2514" s="34"/>
      <c r="BY2514" s="34"/>
      <c r="BZ2514" s="34"/>
      <c r="CA2514" s="34"/>
      <c r="CB2514" s="34"/>
      <c r="CC2514" s="34"/>
      <c r="CD2514" s="34"/>
      <c r="CE2514" s="34"/>
      <c r="CF2514" s="34"/>
      <c r="CG2514" s="34"/>
      <c r="CH2514" s="34"/>
    </row>
    <row r="2515" spans="1:86" x14ac:dyDescent="0.2">
      <c r="A2515" s="8" t="str">
        <f>IF(AND(COUNTIF(W$3:W$13,A$20)&gt;0,A$20&lt;&gt;B2324),A$20,IFERROR(IF(MATCH(A$20,Z$3:Z$13,0)=9,A$20," ")," "))</f>
        <v xml:space="preserve"> </v>
      </c>
      <c r="B2515" s="8" t="str">
        <f>IF(A2515=" "," ",MAX(B2510:B2514)+1)</f>
        <v xml:space="preserve"> </v>
      </c>
      <c r="C2515" s="8" t="str">
        <f>IFERROR(INDEX(A2510:A2531,MATCH(SMALL(B2510:B2531,6),B2510:B2531,0),1)," ")</f>
        <v>C16</v>
      </c>
      <c r="D2515" s="8">
        <f t="shared" si="10974"/>
        <v>0</v>
      </c>
      <c r="E2515" s="8">
        <f t="shared" si="10975"/>
        <v>0</v>
      </c>
      <c r="F2515" s="8">
        <f t="shared" si="10976"/>
        <v>0</v>
      </c>
      <c r="G2515" s="8">
        <f t="shared" si="10977"/>
        <v>0</v>
      </c>
      <c r="H2515" s="8">
        <f t="shared" si="10978"/>
        <v>1</v>
      </c>
      <c r="I2515" s="8">
        <f t="shared" si="10979"/>
        <v>0</v>
      </c>
      <c r="J2515" s="8">
        <f t="shared" si="10980"/>
        <v>0</v>
      </c>
      <c r="K2515" s="8">
        <f t="shared" si="10981"/>
        <v>0</v>
      </c>
      <c r="L2515" s="8">
        <f t="shared" si="10982"/>
        <v>0</v>
      </c>
      <c r="M2515" s="8">
        <f t="shared" si="10983"/>
        <v>0</v>
      </c>
      <c r="N2515" s="8">
        <f t="shared" si="10984"/>
        <v>0</v>
      </c>
      <c r="O2515" s="8">
        <f t="shared" si="10985"/>
        <v>0</v>
      </c>
      <c r="P2515" s="8" t="e">
        <v>#NUM!</v>
      </c>
      <c r="Q2515" s="8" t="e">
        <f t="shared" ref="Q2515" si="11012">IF(COUNTIF(P2510:P2520,"&lt;"&amp;-0.001)=0,IF(ABS(P2515)&lt;0.001,0,P2515)," ")</f>
        <v>#NUM!</v>
      </c>
      <c r="R2515" s="8"/>
      <c r="S2515" s="8"/>
      <c r="U2515" s="34"/>
      <c r="V2515" s="34"/>
      <c r="W2515" s="34"/>
      <c r="X2515" s="34"/>
      <c r="Y2515" s="34"/>
      <c r="Z2515" s="34"/>
      <c r="AA2515" s="34"/>
      <c r="AB2515" s="34"/>
      <c r="AC2515" s="34"/>
      <c r="AD2515" s="34"/>
      <c r="AE2515" s="34"/>
      <c r="AF2515" s="34"/>
      <c r="AG2515" s="34"/>
      <c r="AH2515" s="34"/>
      <c r="AI2515" s="34"/>
      <c r="AJ2515" s="34"/>
      <c r="AK2515" s="34"/>
      <c r="AL2515" s="34"/>
      <c r="AM2515" s="34"/>
      <c r="AN2515" s="34"/>
      <c r="AO2515" s="34"/>
      <c r="AP2515" s="34"/>
      <c r="AQ2515" s="34"/>
      <c r="AR2515" s="34"/>
      <c r="AS2515" s="34"/>
      <c r="AT2515" s="34"/>
      <c r="AU2515" s="34"/>
      <c r="AV2515" s="34"/>
      <c r="AW2515" s="34"/>
      <c r="AX2515" s="34"/>
      <c r="AY2515" s="34"/>
      <c r="AZ2515" s="34"/>
      <c r="BA2515" s="34"/>
      <c r="BB2515" s="34"/>
      <c r="BC2515" s="34"/>
      <c r="BD2515" s="34"/>
      <c r="BE2515" s="34"/>
      <c r="BF2515" s="34"/>
      <c r="BG2515" s="34"/>
      <c r="BH2515" s="34"/>
      <c r="BI2515" s="34"/>
      <c r="BJ2515" s="34"/>
      <c r="BK2515" s="34"/>
      <c r="BL2515" s="34"/>
      <c r="BM2515" s="34"/>
      <c r="BN2515" s="34"/>
      <c r="BO2515" s="34"/>
      <c r="BP2515" s="34"/>
      <c r="BQ2515" s="34"/>
      <c r="BR2515" s="34"/>
      <c r="BS2515" s="34"/>
      <c r="BT2515" s="34"/>
      <c r="BU2515" s="34"/>
      <c r="BV2515" s="34"/>
      <c r="BW2515" s="34"/>
      <c r="BX2515" s="34"/>
      <c r="BY2515" s="34"/>
      <c r="BZ2515" s="34"/>
      <c r="CA2515" s="34"/>
      <c r="CB2515" s="34"/>
      <c r="CC2515" s="34"/>
      <c r="CD2515" s="34"/>
      <c r="CE2515" s="34"/>
      <c r="CF2515" s="34"/>
      <c r="CG2515" s="34"/>
      <c r="CH2515" s="34"/>
    </row>
    <row r="2516" spans="1:86" x14ac:dyDescent="0.2">
      <c r="A2516" s="8" t="str">
        <f>IF(AND(COUNTIF(W$3:W$13,A$21)&gt;0,A$21&lt;&gt;B2324),A$21,IFERROR(IF(MATCH(A$21,Z$3:Z$13,0)=9,A$21," ")," "))</f>
        <v xml:space="preserve"> </v>
      </c>
      <c r="B2516" s="8" t="str">
        <f>IF(A2516=" "," ",MAX(B2510:B2515)+1)</f>
        <v xml:space="preserve"> </v>
      </c>
      <c r="C2516" s="8" t="str">
        <f>IFERROR(INDEX(A2510:A2531,MATCH(SMALL(B2510:B2531,7),B2510:B2531,0),1)," ")</f>
        <v>C17</v>
      </c>
      <c r="D2516" s="8">
        <f t="shared" si="10974"/>
        <v>0</v>
      </c>
      <c r="E2516" s="8">
        <f t="shared" si="10975"/>
        <v>0</v>
      </c>
      <c r="F2516" s="8">
        <f t="shared" si="10976"/>
        <v>0</v>
      </c>
      <c r="G2516" s="8">
        <f t="shared" si="10977"/>
        <v>0</v>
      </c>
      <c r="H2516" s="8">
        <f t="shared" si="10978"/>
        <v>0</v>
      </c>
      <c r="I2516" s="8">
        <f t="shared" si="10979"/>
        <v>1</v>
      </c>
      <c r="J2516" s="8">
        <f t="shared" si="10980"/>
        <v>0</v>
      </c>
      <c r="K2516" s="8">
        <f t="shared" si="10981"/>
        <v>0</v>
      </c>
      <c r="L2516" s="8">
        <f t="shared" si="10982"/>
        <v>0</v>
      </c>
      <c r="M2516" s="8">
        <f t="shared" si="10983"/>
        <v>0</v>
      </c>
      <c r="N2516" s="8">
        <f t="shared" si="10984"/>
        <v>0</v>
      </c>
      <c r="O2516" s="8">
        <f t="shared" si="10985"/>
        <v>0</v>
      </c>
      <c r="P2516" s="8" t="e">
        <v>#NUM!</v>
      </c>
      <c r="Q2516" s="8" t="e">
        <f t="shared" ref="Q2516" si="11013">IF(COUNTIF(P2510:P2520,"&lt;"&amp;-0.001)=0,IF(ABS(P2516)&lt;0.001,0,P2516)," ")</f>
        <v>#NUM!</v>
      </c>
      <c r="R2516" s="8"/>
      <c r="S2516" s="8"/>
      <c r="U2516" s="34"/>
      <c r="V2516" s="34"/>
      <c r="W2516" s="34"/>
      <c r="X2516" s="34"/>
      <c r="Y2516" s="34"/>
      <c r="Z2516" s="34"/>
      <c r="AA2516" s="34"/>
      <c r="AB2516" s="34"/>
      <c r="AC2516" s="34"/>
      <c r="AD2516" s="34"/>
      <c r="AE2516" s="34"/>
      <c r="AF2516" s="34"/>
      <c r="AG2516" s="34"/>
      <c r="AH2516" s="34"/>
      <c r="AI2516" s="34"/>
      <c r="AJ2516" s="34"/>
      <c r="AK2516" s="34"/>
      <c r="AL2516" s="34"/>
      <c r="AM2516" s="34"/>
      <c r="AN2516" s="34"/>
      <c r="AO2516" s="34"/>
      <c r="AP2516" s="34"/>
      <c r="AQ2516" s="34"/>
      <c r="AR2516" s="34"/>
      <c r="AS2516" s="34"/>
      <c r="AT2516" s="34"/>
      <c r="AU2516" s="34"/>
      <c r="AV2516" s="34"/>
      <c r="AW2516" s="34"/>
      <c r="AX2516" s="34"/>
      <c r="AY2516" s="34"/>
      <c r="AZ2516" s="34"/>
      <c r="BA2516" s="34"/>
      <c r="BB2516" s="34"/>
      <c r="BC2516" s="34"/>
      <c r="BD2516" s="34"/>
      <c r="BE2516" s="34"/>
      <c r="BF2516" s="34"/>
      <c r="BG2516" s="34"/>
      <c r="BH2516" s="34"/>
      <c r="BI2516" s="34"/>
      <c r="BJ2516" s="34"/>
      <c r="BK2516" s="34"/>
      <c r="BL2516" s="34"/>
      <c r="BM2516" s="34"/>
      <c r="BN2516" s="34"/>
      <c r="BO2516" s="34"/>
      <c r="BP2516" s="34"/>
      <c r="BQ2516" s="34"/>
      <c r="BR2516" s="34"/>
      <c r="BS2516" s="34"/>
      <c r="BT2516" s="34"/>
      <c r="BU2516" s="34"/>
      <c r="BV2516" s="34"/>
      <c r="BW2516" s="34"/>
      <c r="BX2516" s="34"/>
      <c r="BY2516" s="34"/>
      <c r="BZ2516" s="34"/>
      <c r="CA2516" s="34"/>
      <c r="CB2516" s="34"/>
      <c r="CC2516" s="34"/>
      <c r="CD2516" s="34"/>
      <c r="CE2516" s="34"/>
      <c r="CF2516" s="34"/>
      <c r="CG2516" s="34"/>
      <c r="CH2516" s="34"/>
    </row>
    <row r="2517" spans="1:86" x14ac:dyDescent="0.2">
      <c r="A2517" s="8" t="str">
        <f>IF(AND(COUNTIF(W$3:W$13,A$22)&gt;0,A$22&lt;&gt;B2324),A$22,IFERROR(IF(MATCH(A$22,Z$3:Z$13,0)=9,A$22," ")," "))</f>
        <v xml:space="preserve"> </v>
      </c>
      <c r="B2517" s="8" t="str">
        <f>IF(A2517=" "," ",MAX(B2510:B2516)+1)</f>
        <v xml:space="preserve"> </v>
      </c>
      <c r="C2517" s="8" t="str">
        <f>IFERROR(INDEX(A2510:A2531,MATCH(SMALL(B2510:B2531,8),B2510:B2531,0),1)," ")</f>
        <v>C18</v>
      </c>
      <c r="D2517" s="8">
        <f t="shared" si="10974"/>
        <v>0</v>
      </c>
      <c r="E2517" s="8">
        <f t="shared" si="10975"/>
        <v>0</v>
      </c>
      <c r="F2517" s="8">
        <f t="shared" si="10976"/>
        <v>0</v>
      </c>
      <c r="G2517" s="8">
        <f t="shared" si="10977"/>
        <v>0</v>
      </c>
      <c r="H2517" s="8">
        <f t="shared" si="10978"/>
        <v>0</v>
      </c>
      <c r="I2517" s="8">
        <f t="shared" si="10979"/>
        <v>0</v>
      </c>
      <c r="J2517" s="8">
        <f t="shared" si="10980"/>
        <v>1</v>
      </c>
      <c r="K2517" s="8">
        <f t="shared" si="10981"/>
        <v>0</v>
      </c>
      <c r="L2517" s="8">
        <f t="shared" si="10982"/>
        <v>0</v>
      </c>
      <c r="M2517" s="8">
        <f t="shared" si="10983"/>
        <v>0</v>
      </c>
      <c r="N2517" s="8">
        <f t="shared" si="10984"/>
        <v>0</v>
      </c>
      <c r="O2517" s="8">
        <f t="shared" si="10985"/>
        <v>0</v>
      </c>
      <c r="P2517" s="8" t="e">
        <v>#NUM!</v>
      </c>
      <c r="Q2517" s="8" t="e">
        <f t="shared" ref="Q2517" si="11014">IF(COUNTIF(P2510:P2520,"&lt;"&amp;-0.001)=0,IF(ABS(P2517)&lt;0.001,0,P2517)," ")</f>
        <v>#NUM!</v>
      </c>
      <c r="R2517" s="8"/>
      <c r="S2517" s="8"/>
      <c r="U2517" s="34"/>
      <c r="V2517" s="34"/>
      <c r="W2517" s="34"/>
      <c r="X2517" s="34"/>
      <c r="Y2517" s="34"/>
      <c r="Z2517" s="34"/>
      <c r="AA2517" s="34"/>
      <c r="AB2517" s="34"/>
      <c r="AC2517" s="34"/>
      <c r="AD2517" s="34"/>
      <c r="AE2517" s="34"/>
      <c r="AF2517" s="34"/>
      <c r="AG2517" s="34"/>
      <c r="AH2517" s="34"/>
      <c r="AI2517" s="34"/>
      <c r="AJ2517" s="34"/>
      <c r="AK2517" s="34"/>
      <c r="AL2517" s="34"/>
      <c r="AM2517" s="34"/>
      <c r="AN2517" s="34"/>
      <c r="AO2517" s="34"/>
      <c r="AP2517" s="34"/>
      <c r="AQ2517" s="34"/>
      <c r="AR2517" s="34"/>
      <c r="AS2517" s="34"/>
      <c r="AT2517" s="34"/>
      <c r="AU2517" s="34"/>
      <c r="AV2517" s="34"/>
      <c r="AW2517" s="34"/>
      <c r="AX2517" s="34"/>
      <c r="AY2517" s="34"/>
      <c r="AZ2517" s="34"/>
      <c r="BA2517" s="34"/>
      <c r="BB2517" s="34"/>
      <c r="BC2517" s="34"/>
      <c r="BD2517" s="34"/>
      <c r="BE2517" s="34"/>
      <c r="BF2517" s="34"/>
      <c r="BG2517" s="34"/>
      <c r="BH2517" s="34"/>
      <c r="BI2517" s="34"/>
      <c r="BJ2517" s="34"/>
      <c r="BK2517" s="34"/>
      <c r="BL2517" s="34"/>
      <c r="BM2517" s="34"/>
      <c r="BN2517" s="34"/>
      <c r="BO2517" s="34"/>
      <c r="BP2517" s="34"/>
      <c r="BQ2517" s="34"/>
      <c r="BR2517" s="34"/>
      <c r="BS2517" s="34"/>
      <c r="BT2517" s="34"/>
      <c r="BU2517" s="34"/>
      <c r="BV2517" s="34"/>
      <c r="BW2517" s="34"/>
      <c r="BX2517" s="34"/>
      <c r="BY2517" s="34"/>
      <c r="BZ2517" s="34"/>
      <c r="CA2517" s="34"/>
      <c r="CB2517" s="34"/>
      <c r="CC2517" s="34"/>
      <c r="CD2517" s="34"/>
      <c r="CE2517" s="34"/>
      <c r="CF2517" s="34"/>
      <c r="CG2517" s="34"/>
      <c r="CH2517" s="34"/>
    </row>
    <row r="2518" spans="1:86" x14ac:dyDescent="0.2">
      <c r="A2518" s="8" t="str">
        <f>IF(AND(COUNTIF(W$3:W$13,A$23)&gt;0,A$23&lt;&gt;B2324),A$23,IFERROR(IF(MATCH(A$23,Z$3:Z$13,0)=9,A$23," ")," "))</f>
        <v xml:space="preserve"> </v>
      </c>
      <c r="B2518" s="8" t="str">
        <f>IF(A2518=" "," ",MAX(B2510:B2517)+1)</f>
        <v xml:space="preserve"> </v>
      </c>
      <c r="C2518" s="8" t="str">
        <f>IFERROR(INDEX(A2510:A2531,MATCH(SMALL(B2510:B2531,9),B2510:B2531,0),1)," ")</f>
        <v>C19</v>
      </c>
      <c r="D2518" s="8">
        <f t="shared" si="10974"/>
        <v>0</v>
      </c>
      <c r="E2518" s="8">
        <f t="shared" si="10975"/>
        <v>0</v>
      </c>
      <c r="F2518" s="8">
        <f t="shared" si="10976"/>
        <v>0</v>
      </c>
      <c r="G2518" s="8">
        <f t="shared" si="10977"/>
        <v>0</v>
      </c>
      <c r="H2518" s="8">
        <f t="shared" si="10978"/>
        <v>0</v>
      </c>
      <c r="I2518" s="8">
        <f t="shared" si="10979"/>
        <v>0</v>
      </c>
      <c r="J2518" s="8">
        <f t="shared" si="10980"/>
        <v>0</v>
      </c>
      <c r="K2518" s="8">
        <f t="shared" si="10981"/>
        <v>1</v>
      </c>
      <c r="L2518" s="8">
        <f t="shared" si="10982"/>
        <v>0</v>
      </c>
      <c r="M2518" s="8">
        <f t="shared" si="10983"/>
        <v>0</v>
      </c>
      <c r="N2518" s="8">
        <f t="shared" si="10984"/>
        <v>0</v>
      </c>
      <c r="O2518" s="8">
        <f t="shared" si="10985"/>
        <v>0</v>
      </c>
      <c r="P2518" s="6" t="e">
        <v>#NUM!</v>
      </c>
      <c r="Q2518" s="8" t="e">
        <f t="shared" ref="Q2518" si="11015">IF(COUNTIF(P2510:P2520,"&lt;"&amp;-0.001)=0,IF(ABS(P2518)&lt;0.001,0,P2518)," ")</f>
        <v>#NUM!</v>
      </c>
      <c r="R2518" s="8"/>
      <c r="S2518" s="8"/>
      <c r="U2518" s="34"/>
      <c r="V2518" s="34"/>
      <c r="W2518" s="34"/>
      <c r="X2518" s="34"/>
      <c r="Y2518" s="34"/>
      <c r="Z2518" s="34"/>
      <c r="AA2518" s="34"/>
      <c r="AB2518" s="34"/>
      <c r="AC2518" s="34"/>
      <c r="AD2518" s="34"/>
      <c r="AE2518" s="34"/>
      <c r="AF2518" s="34"/>
      <c r="AG2518" s="34"/>
      <c r="AH2518" s="34"/>
      <c r="AI2518" s="34"/>
      <c r="AJ2518" s="34"/>
      <c r="AK2518" s="34"/>
      <c r="AL2518" s="34"/>
      <c r="AM2518" s="34"/>
      <c r="AN2518" s="34"/>
      <c r="AO2518" s="34"/>
      <c r="AP2518" s="34"/>
      <c r="AQ2518" s="34"/>
      <c r="AR2518" s="34"/>
      <c r="AS2518" s="34"/>
      <c r="AT2518" s="34"/>
      <c r="AU2518" s="34"/>
      <c r="AV2518" s="34"/>
      <c r="AW2518" s="34"/>
      <c r="AX2518" s="34"/>
      <c r="AY2518" s="34"/>
      <c r="AZ2518" s="34"/>
      <c r="BA2518" s="34"/>
      <c r="BB2518" s="34"/>
      <c r="BC2518" s="34"/>
      <c r="BD2518" s="34"/>
      <c r="BE2518" s="34"/>
      <c r="BF2518" s="34"/>
      <c r="BG2518" s="34"/>
      <c r="BH2518" s="34"/>
      <c r="BI2518" s="34"/>
      <c r="BJ2518" s="34"/>
      <c r="BK2518" s="34"/>
      <c r="BL2518" s="34"/>
      <c r="BM2518" s="34"/>
      <c r="BN2518" s="34"/>
      <c r="BO2518" s="34"/>
      <c r="BP2518" s="34"/>
      <c r="BQ2518" s="34"/>
      <c r="BR2518" s="34"/>
      <c r="BS2518" s="34"/>
      <c r="BT2518" s="34"/>
      <c r="BU2518" s="34"/>
      <c r="BV2518" s="34"/>
      <c r="BW2518" s="34"/>
      <c r="BX2518" s="34"/>
      <c r="BY2518" s="34"/>
      <c r="BZ2518" s="34"/>
      <c r="CA2518" s="34"/>
      <c r="CB2518" s="34"/>
      <c r="CC2518" s="34"/>
      <c r="CD2518" s="34"/>
      <c r="CE2518" s="34"/>
      <c r="CF2518" s="34"/>
      <c r="CG2518" s="34"/>
      <c r="CH2518" s="34"/>
    </row>
    <row r="2519" spans="1:86" x14ac:dyDescent="0.2">
      <c r="A2519" s="8" t="str">
        <f>IF(AND(COUNTIF(W$3:W$13,A$24)&gt;0,A$24&lt;&gt;B2324),A$24,IFERROR(IF(MATCH(A$24,Z$3:Z$13,0)=9,A$24," ")," "))</f>
        <v xml:space="preserve"> </v>
      </c>
      <c r="B2519" s="8" t="str">
        <f>IF(A2519=" "," ",MAX(B2510:B2518)+1)</f>
        <v xml:space="preserve"> </v>
      </c>
      <c r="C2519" s="8" t="str">
        <f>IFERROR(INDEX(A2510:A2531,MATCH(SMALL(B2510:B2531,10),B2510:B2531,0),1)," ")</f>
        <v>C20</v>
      </c>
      <c r="D2519" s="8">
        <f t="shared" si="10974"/>
        <v>0</v>
      </c>
      <c r="E2519" s="8">
        <f t="shared" si="10975"/>
        <v>0</v>
      </c>
      <c r="F2519" s="8">
        <f t="shared" si="10976"/>
        <v>0</v>
      </c>
      <c r="G2519" s="8">
        <f t="shared" si="10977"/>
        <v>0</v>
      </c>
      <c r="H2519" s="8">
        <f t="shared" si="10978"/>
        <v>0</v>
      </c>
      <c r="I2519" s="8">
        <f t="shared" si="10979"/>
        <v>0</v>
      </c>
      <c r="J2519" s="8">
        <f t="shared" si="10980"/>
        <v>0</v>
      </c>
      <c r="K2519" s="8">
        <f t="shared" si="10981"/>
        <v>0</v>
      </c>
      <c r="L2519" s="8">
        <f t="shared" si="10982"/>
        <v>1</v>
      </c>
      <c r="M2519" s="8">
        <f t="shared" si="10983"/>
        <v>0</v>
      </c>
      <c r="N2519" s="8">
        <f t="shared" si="10984"/>
        <v>0</v>
      </c>
      <c r="O2519" s="8">
        <f t="shared" si="10985"/>
        <v>0</v>
      </c>
      <c r="P2519" s="8" t="e">
        <v>#NUM!</v>
      </c>
      <c r="Q2519" s="8" t="e">
        <f t="shared" ref="Q2519" si="11016">IF(COUNTIF(P2510:P2520,"&lt;"&amp;-0.001)=0,IF(ABS(P2519)&lt;0.001,0,P2519)," ")</f>
        <v>#NUM!</v>
      </c>
      <c r="R2519" s="8"/>
      <c r="S2519" s="8"/>
      <c r="U2519" s="34"/>
      <c r="V2519" s="34"/>
      <c r="W2519" s="34"/>
      <c r="X2519" s="34"/>
      <c r="Y2519" s="34"/>
      <c r="Z2519" s="34"/>
      <c r="AA2519" s="34"/>
      <c r="AB2519" s="34"/>
      <c r="AC2519" s="34"/>
      <c r="AD2519" s="34"/>
      <c r="AE2519" s="34"/>
      <c r="AF2519" s="34"/>
      <c r="AG2519" s="34"/>
      <c r="AH2519" s="34"/>
      <c r="AI2519" s="34"/>
      <c r="AJ2519" s="34"/>
      <c r="AK2519" s="34"/>
      <c r="AL2519" s="34"/>
      <c r="AM2519" s="34"/>
      <c r="AN2519" s="34"/>
      <c r="AO2519" s="34"/>
      <c r="AP2519" s="34"/>
      <c r="AQ2519" s="34"/>
      <c r="AR2519" s="34"/>
      <c r="AS2519" s="34"/>
      <c r="AT2519" s="34"/>
      <c r="AU2519" s="34"/>
      <c r="AV2519" s="34"/>
      <c r="AW2519" s="34"/>
      <c r="AX2519" s="34"/>
      <c r="AY2519" s="34"/>
      <c r="AZ2519" s="34"/>
      <c r="BA2519" s="34"/>
      <c r="BB2519" s="34"/>
      <c r="BC2519" s="34"/>
      <c r="BD2519" s="34"/>
      <c r="BE2519" s="34"/>
      <c r="BF2519" s="34"/>
      <c r="BG2519" s="34"/>
      <c r="BH2519" s="34"/>
      <c r="BI2519" s="34"/>
      <c r="BJ2519" s="34"/>
      <c r="BK2519" s="34"/>
      <c r="BL2519" s="34"/>
      <c r="BM2519" s="34"/>
      <c r="BN2519" s="34"/>
      <c r="BO2519" s="34"/>
      <c r="BP2519" s="34"/>
      <c r="BQ2519" s="34"/>
      <c r="BR2519" s="34"/>
      <c r="BS2519" s="34"/>
      <c r="BT2519" s="34"/>
      <c r="BU2519" s="34"/>
      <c r="BV2519" s="34"/>
      <c r="BW2519" s="34"/>
      <c r="BX2519" s="34"/>
      <c r="BY2519" s="34"/>
      <c r="BZ2519" s="34"/>
      <c r="CA2519" s="34"/>
      <c r="CB2519" s="34"/>
      <c r="CC2519" s="34"/>
      <c r="CD2519" s="34"/>
      <c r="CE2519" s="34"/>
      <c r="CF2519" s="34"/>
      <c r="CG2519" s="34"/>
      <c r="CH2519" s="34"/>
    </row>
    <row r="2520" spans="1:86" x14ac:dyDescent="0.2">
      <c r="A2520" s="8" t="str">
        <f>IF(AND(COUNTIF(W$3:W$13,A$25)&gt;0,A$25&lt;&gt;B2324),A$25,IFERROR(IF(MATCH(A$25,Z$3:Z$13,0)=9,A$25," ")," "))</f>
        <v>C11</v>
      </c>
      <c r="B2520" s="8">
        <f>IF(A2520=" "," ",MAX(B2510:B2519)+1)</f>
        <v>3</v>
      </c>
      <c r="C2520" s="8" t="str">
        <f>IFERROR(INDEX(A2510:A2531,MATCH(SMALL(B2510:B2531,11),B2510:B2531,0),1)," ")</f>
        <v>C22</v>
      </c>
      <c r="D2520" s="8">
        <f t="shared" si="10974"/>
        <v>0</v>
      </c>
      <c r="E2520" s="8">
        <f t="shared" si="10975"/>
        <v>0</v>
      </c>
      <c r="F2520" s="8">
        <f t="shared" si="10976"/>
        <v>0</v>
      </c>
      <c r="G2520" s="8">
        <f t="shared" si="10977"/>
        <v>0</v>
      </c>
      <c r="H2520" s="8">
        <f t="shared" si="10978"/>
        <v>0</v>
      </c>
      <c r="I2520" s="8">
        <f t="shared" si="10979"/>
        <v>0</v>
      </c>
      <c r="J2520" s="8">
        <f t="shared" si="10980"/>
        <v>0</v>
      </c>
      <c r="K2520" s="8">
        <f t="shared" si="10981"/>
        <v>0</v>
      </c>
      <c r="L2520" s="8">
        <f t="shared" si="10982"/>
        <v>0</v>
      </c>
      <c r="M2520" s="8">
        <f t="shared" si="10983"/>
        <v>0</v>
      </c>
      <c r="N2520" s="8">
        <f t="shared" si="10984"/>
        <v>1</v>
      </c>
      <c r="O2520" s="8">
        <f t="shared" si="10985"/>
        <v>0</v>
      </c>
      <c r="P2520" s="8" t="e">
        <v>#NUM!</v>
      </c>
      <c r="Q2520" s="8" t="e">
        <f t="shared" ref="Q2520" si="11017">IF(COUNTIF(P2510:P2520,"&lt;"&amp;-0.001)=0,IF(ABS(P2520)&lt;0.001,0,P2520)," ")</f>
        <v>#NUM!</v>
      </c>
      <c r="R2520" s="8"/>
      <c r="S2520" s="8"/>
      <c r="U2520" s="34"/>
      <c r="V2520" s="34"/>
      <c r="W2520" s="34"/>
      <c r="X2520" s="34"/>
      <c r="Y2520" s="34"/>
      <c r="Z2520" s="34"/>
      <c r="AA2520" s="34"/>
      <c r="AB2520" s="34"/>
      <c r="AC2520" s="34"/>
      <c r="AD2520" s="34"/>
      <c r="AE2520" s="34"/>
      <c r="AF2520" s="34"/>
      <c r="AG2520" s="34"/>
      <c r="AH2520" s="34"/>
      <c r="AI2520" s="34"/>
      <c r="AJ2520" s="34"/>
      <c r="AK2520" s="34"/>
      <c r="AL2520" s="34"/>
      <c r="AM2520" s="34"/>
      <c r="AN2520" s="34"/>
      <c r="AO2520" s="34"/>
      <c r="AP2520" s="34"/>
      <c r="AQ2520" s="34"/>
      <c r="AR2520" s="34"/>
      <c r="AS2520" s="34"/>
      <c r="AT2520" s="34"/>
      <c r="AU2520" s="34"/>
      <c r="AV2520" s="34"/>
      <c r="AW2520" s="34"/>
      <c r="AX2520" s="34"/>
      <c r="AY2520" s="34"/>
      <c r="AZ2520" s="34"/>
      <c r="BA2520" s="34"/>
      <c r="BB2520" s="34"/>
      <c r="BC2520" s="34"/>
      <c r="BD2520" s="34"/>
      <c r="BE2520" s="34"/>
      <c r="BF2520" s="34"/>
      <c r="BG2520" s="34"/>
      <c r="BH2520" s="34"/>
      <c r="BI2520" s="34"/>
      <c r="BJ2520" s="34"/>
      <c r="BK2520" s="34"/>
      <c r="BL2520" s="34"/>
      <c r="BM2520" s="34"/>
      <c r="BN2520" s="34"/>
      <c r="BO2520" s="34"/>
      <c r="BP2520" s="34"/>
      <c r="BQ2520" s="34"/>
      <c r="BR2520" s="34"/>
      <c r="BS2520" s="34"/>
      <c r="BT2520" s="34"/>
      <c r="BU2520" s="34"/>
      <c r="BV2520" s="34"/>
      <c r="BW2520" s="34"/>
      <c r="BX2520" s="34"/>
      <c r="BY2520" s="34"/>
      <c r="BZ2520" s="34"/>
      <c r="CA2520" s="34"/>
      <c r="CB2520" s="34"/>
      <c r="CC2520" s="34"/>
      <c r="CD2520" s="34"/>
      <c r="CE2520" s="34"/>
      <c r="CF2520" s="34"/>
      <c r="CG2520" s="34"/>
      <c r="CH2520" s="34"/>
    </row>
    <row r="2521" spans="1:86" x14ac:dyDescent="0.2">
      <c r="A2521" s="8" t="str">
        <f>IF(AND(COUNTIF(W$3:W$13,A$26)&gt;0,A$26&lt;&gt;B2324),A$26,IFERROR(IF(MATCH(A$26,Z$3:Z$13,0)=9,A$26," ")," "))</f>
        <v xml:space="preserve"> </v>
      </c>
      <c r="B2521" s="8" t="str">
        <f>IF(A2521=" "," ",MAX(B2510:B2520)+1)</f>
        <v xml:space="preserve"> </v>
      </c>
      <c r="C2521" s="8"/>
      <c r="D2521" s="8"/>
      <c r="E2521" s="8"/>
      <c r="F2521" s="8"/>
      <c r="G2521" s="8"/>
      <c r="H2521" s="8"/>
      <c r="I2521" s="8"/>
      <c r="J2521" s="8"/>
      <c r="K2521" s="8"/>
      <c r="L2521" s="8"/>
      <c r="M2521" s="8"/>
      <c r="N2521" s="8"/>
      <c r="O2521" s="8"/>
      <c r="P2521" s="8"/>
      <c r="Q2521" s="8"/>
      <c r="R2521" s="8"/>
      <c r="S2521" s="8"/>
      <c r="U2521" s="34"/>
      <c r="V2521" s="34"/>
      <c r="W2521" s="34"/>
      <c r="X2521" s="34"/>
      <c r="Y2521" s="34"/>
      <c r="Z2521" s="34"/>
      <c r="AA2521" s="34"/>
      <c r="AB2521" s="34"/>
      <c r="AC2521" s="34"/>
      <c r="AD2521" s="34"/>
      <c r="AE2521" s="34"/>
      <c r="AF2521" s="34"/>
      <c r="AG2521" s="34"/>
      <c r="AH2521" s="34"/>
      <c r="AI2521" s="34"/>
      <c r="AJ2521" s="34"/>
      <c r="AK2521" s="34"/>
      <c r="AL2521" s="34"/>
      <c r="AM2521" s="34"/>
      <c r="AN2521" s="34"/>
      <c r="AO2521" s="34"/>
      <c r="AP2521" s="34"/>
      <c r="AQ2521" s="34"/>
      <c r="AR2521" s="34"/>
      <c r="AS2521" s="34"/>
      <c r="AT2521" s="34"/>
      <c r="AU2521" s="34"/>
      <c r="AV2521" s="34"/>
      <c r="AW2521" s="34"/>
      <c r="AX2521" s="34"/>
      <c r="AY2521" s="34"/>
      <c r="AZ2521" s="34"/>
      <c r="BA2521" s="34"/>
      <c r="BB2521" s="34"/>
      <c r="BC2521" s="34"/>
      <c r="BD2521" s="34"/>
      <c r="BE2521" s="34"/>
      <c r="BF2521" s="34"/>
      <c r="BG2521" s="34"/>
      <c r="BH2521" s="34"/>
      <c r="BI2521" s="34"/>
      <c r="BJ2521" s="34"/>
      <c r="BK2521" s="34"/>
      <c r="BL2521" s="34"/>
      <c r="BM2521" s="34"/>
      <c r="BN2521" s="34"/>
      <c r="BO2521" s="34"/>
      <c r="BP2521" s="34"/>
      <c r="BQ2521" s="34"/>
      <c r="BR2521" s="34"/>
      <c r="BS2521" s="34"/>
      <c r="BT2521" s="34"/>
      <c r="BU2521" s="34"/>
      <c r="BV2521" s="34"/>
      <c r="BW2521" s="34"/>
      <c r="BX2521" s="34"/>
      <c r="BY2521" s="34"/>
      <c r="BZ2521" s="34"/>
      <c r="CA2521" s="34"/>
      <c r="CB2521" s="34"/>
      <c r="CC2521" s="34"/>
      <c r="CD2521" s="34"/>
      <c r="CE2521" s="34"/>
      <c r="CF2521" s="34"/>
      <c r="CG2521" s="34"/>
      <c r="CH2521" s="34"/>
    </row>
    <row r="2522" spans="1:86" x14ac:dyDescent="0.2">
      <c r="A2522" s="8" t="str">
        <f>IF(AND(COUNTIF(W$3:W$13,A$27)&gt;0,A$27&lt;&gt;B2324),A$27,IFERROR(IF(MATCH(A$27,Z$3:Z$13,0)=9,A$27," ")," "))</f>
        <v>C13</v>
      </c>
      <c r="B2522" s="8">
        <f>IF(A2522=" "," ",MAX(B2510:B2521)+1)</f>
        <v>4</v>
      </c>
      <c r="C2522" s="8"/>
      <c r="D2522" s="8"/>
      <c r="E2522" s="8"/>
      <c r="F2522" s="8"/>
      <c r="G2522" s="8"/>
      <c r="H2522" s="8"/>
      <c r="I2522" s="8"/>
      <c r="J2522" s="8"/>
      <c r="K2522" s="8"/>
      <c r="L2522" s="8"/>
      <c r="M2522" s="8"/>
      <c r="N2522" s="8"/>
      <c r="O2522" s="8"/>
      <c r="P2522" s="8"/>
      <c r="Q2522" s="8"/>
      <c r="R2522" s="8"/>
      <c r="S2522" s="8"/>
      <c r="U2522" s="34"/>
      <c r="V2522" s="34"/>
      <c r="W2522" s="34"/>
      <c r="X2522" s="34"/>
      <c r="Y2522" s="34"/>
      <c r="Z2522" s="34"/>
      <c r="AA2522" s="34"/>
      <c r="AB2522" s="34"/>
      <c r="AC2522" s="34"/>
      <c r="AD2522" s="34"/>
      <c r="AE2522" s="34"/>
      <c r="AF2522" s="34"/>
      <c r="AG2522" s="34"/>
      <c r="AH2522" s="34"/>
      <c r="AI2522" s="34"/>
      <c r="AJ2522" s="34"/>
      <c r="AK2522" s="34"/>
      <c r="AL2522" s="34"/>
      <c r="AM2522" s="34"/>
      <c r="AN2522" s="34"/>
      <c r="AO2522" s="34"/>
      <c r="AP2522" s="34"/>
      <c r="AQ2522" s="34"/>
      <c r="AR2522" s="34"/>
      <c r="AS2522" s="34"/>
      <c r="AT2522" s="34"/>
      <c r="AU2522" s="34"/>
      <c r="AV2522" s="34"/>
      <c r="AW2522" s="34"/>
      <c r="AX2522" s="34"/>
      <c r="AY2522" s="34"/>
      <c r="AZ2522" s="34"/>
      <c r="BA2522" s="34"/>
      <c r="BB2522" s="34"/>
      <c r="BC2522" s="34"/>
      <c r="BD2522" s="34"/>
      <c r="BE2522" s="34"/>
      <c r="BF2522" s="34"/>
      <c r="BG2522" s="34"/>
      <c r="BH2522" s="34"/>
      <c r="BI2522" s="34"/>
      <c r="BJ2522" s="34"/>
      <c r="BK2522" s="34"/>
      <c r="BL2522" s="34"/>
      <c r="BM2522" s="34"/>
      <c r="BN2522" s="34"/>
      <c r="BO2522" s="34"/>
      <c r="BP2522" s="34"/>
      <c r="BQ2522" s="34"/>
      <c r="BR2522" s="34"/>
      <c r="BS2522" s="34"/>
      <c r="BT2522" s="34"/>
      <c r="BU2522" s="34"/>
      <c r="BV2522" s="34"/>
      <c r="BW2522" s="34"/>
      <c r="BX2522" s="34"/>
      <c r="BY2522" s="34"/>
      <c r="BZ2522" s="34"/>
      <c r="CA2522" s="34"/>
      <c r="CB2522" s="34"/>
      <c r="CC2522" s="34"/>
      <c r="CD2522" s="34"/>
      <c r="CE2522" s="34"/>
      <c r="CF2522" s="34"/>
      <c r="CG2522" s="34"/>
      <c r="CH2522" s="34"/>
    </row>
    <row r="2523" spans="1:86" x14ac:dyDescent="0.2">
      <c r="A2523" s="8" t="str">
        <f>IF(AND(COUNTIF(W$3:W$13,A$28)&gt;0,A$28&lt;&gt;B2324),A$28,IFERROR(IF(MATCH(A$28,Z$3:Z$13,0)=9,A$28," ")," "))</f>
        <v xml:space="preserve"> </v>
      </c>
      <c r="B2523" s="8" t="str">
        <f>IF(A2523=" "," ",MAX(B2510:B2522)+1)</f>
        <v xml:space="preserve"> </v>
      </c>
      <c r="C2523" s="8"/>
      <c r="D2523" s="8"/>
      <c r="E2523" s="8"/>
      <c r="F2523" s="8"/>
      <c r="G2523" s="8"/>
      <c r="H2523" s="8"/>
      <c r="I2523" s="8"/>
      <c r="J2523" s="8"/>
      <c r="K2523" s="8"/>
      <c r="L2523" s="8"/>
      <c r="M2523" s="8"/>
      <c r="N2523" s="8"/>
      <c r="O2523" s="8"/>
      <c r="P2523" s="8"/>
      <c r="Q2523" s="8"/>
      <c r="R2523" s="8"/>
      <c r="S2523" s="8"/>
      <c r="U2523" s="34"/>
      <c r="V2523" s="34"/>
      <c r="W2523" s="34"/>
      <c r="X2523" s="34"/>
      <c r="Y2523" s="34"/>
      <c r="Z2523" s="34"/>
      <c r="AA2523" s="34"/>
      <c r="AB2523" s="34"/>
      <c r="AC2523" s="34"/>
      <c r="AD2523" s="34"/>
      <c r="AE2523" s="34"/>
      <c r="AF2523" s="34"/>
      <c r="AG2523" s="34"/>
      <c r="AH2523" s="34"/>
      <c r="AI2523" s="34"/>
      <c r="AJ2523" s="34"/>
      <c r="AK2523" s="34"/>
      <c r="AL2523" s="34"/>
      <c r="AM2523" s="34"/>
      <c r="AN2523" s="34"/>
      <c r="AO2523" s="34"/>
      <c r="AP2523" s="34"/>
      <c r="AQ2523" s="34"/>
      <c r="AR2523" s="34"/>
      <c r="AS2523" s="34"/>
      <c r="AT2523" s="34"/>
      <c r="AU2523" s="34"/>
      <c r="AV2523" s="34"/>
      <c r="AW2523" s="34"/>
      <c r="AX2523" s="34"/>
      <c r="AY2523" s="34"/>
      <c r="AZ2523" s="34"/>
      <c r="BA2523" s="34"/>
      <c r="BB2523" s="34"/>
      <c r="BC2523" s="34"/>
      <c r="BD2523" s="34"/>
      <c r="BE2523" s="34"/>
      <c r="BF2523" s="34"/>
      <c r="BG2523" s="34"/>
      <c r="BH2523" s="34"/>
      <c r="BI2523" s="34"/>
      <c r="BJ2523" s="34"/>
      <c r="BK2523" s="34"/>
      <c r="BL2523" s="34"/>
      <c r="BM2523" s="34"/>
      <c r="BN2523" s="34"/>
      <c r="BO2523" s="34"/>
      <c r="BP2523" s="34"/>
      <c r="BQ2523" s="34"/>
      <c r="BR2523" s="34"/>
      <c r="BS2523" s="34"/>
      <c r="BT2523" s="34"/>
      <c r="BU2523" s="34"/>
      <c r="BV2523" s="34"/>
      <c r="BW2523" s="34"/>
      <c r="BX2523" s="34"/>
      <c r="BY2523" s="34"/>
      <c r="BZ2523" s="34"/>
      <c r="CA2523" s="34"/>
      <c r="CB2523" s="34"/>
      <c r="CC2523" s="34"/>
      <c r="CD2523" s="34"/>
      <c r="CE2523" s="34"/>
      <c r="CF2523" s="34"/>
      <c r="CG2523" s="34"/>
      <c r="CH2523" s="34"/>
    </row>
    <row r="2524" spans="1:86" x14ac:dyDescent="0.2">
      <c r="A2524" s="8" t="str">
        <f>IF(AND(COUNTIF(W$3:W$13,A$29)&gt;0,A$29&lt;&gt;B2324),A$29,IFERROR(IF(MATCH(A$29,Z$3:Z$13,0)=9,A$29," ")," "))</f>
        <v>C15</v>
      </c>
      <c r="B2524" s="8">
        <f>IF(A2524=" "," ",MAX(B2510:B2523)+1)</f>
        <v>5</v>
      </c>
      <c r="C2524" s="8"/>
      <c r="D2524" s="8"/>
      <c r="E2524" s="8"/>
      <c r="F2524" s="8"/>
      <c r="G2524" s="8"/>
      <c r="H2524" s="8"/>
      <c r="I2524" s="8"/>
      <c r="J2524" s="8"/>
      <c r="K2524" s="8"/>
      <c r="L2524" s="8"/>
      <c r="M2524" s="8"/>
      <c r="N2524" s="8"/>
      <c r="O2524" s="8"/>
      <c r="P2524" s="8"/>
      <c r="Q2524" s="8"/>
      <c r="R2524" s="8"/>
      <c r="S2524" s="8"/>
      <c r="U2524" s="34"/>
      <c r="V2524" s="34"/>
      <c r="W2524" s="34"/>
      <c r="X2524" s="34"/>
      <c r="Y2524" s="34"/>
      <c r="Z2524" s="34"/>
      <c r="AA2524" s="34"/>
      <c r="AB2524" s="34"/>
      <c r="AC2524" s="34"/>
      <c r="AD2524" s="34"/>
      <c r="AE2524" s="34"/>
      <c r="AF2524" s="34"/>
      <c r="AG2524" s="34"/>
      <c r="AH2524" s="34"/>
      <c r="AI2524" s="34"/>
      <c r="AJ2524" s="34"/>
      <c r="AK2524" s="34"/>
      <c r="AL2524" s="34"/>
      <c r="AM2524" s="34"/>
      <c r="AN2524" s="34"/>
      <c r="AO2524" s="34"/>
      <c r="AP2524" s="34"/>
      <c r="AQ2524" s="34"/>
      <c r="AR2524" s="34"/>
      <c r="AS2524" s="34"/>
      <c r="AT2524" s="34"/>
      <c r="AU2524" s="34"/>
      <c r="AV2524" s="34"/>
      <c r="AW2524" s="34"/>
      <c r="AX2524" s="34"/>
      <c r="AY2524" s="34"/>
      <c r="AZ2524" s="34"/>
      <c r="BA2524" s="34"/>
      <c r="BB2524" s="34"/>
      <c r="BC2524" s="34"/>
      <c r="BD2524" s="34"/>
      <c r="BE2524" s="34"/>
      <c r="BF2524" s="34"/>
      <c r="BG2524" s="34"/>
      <c r="BH2524" s="34"/>
      <c r="BI2524" s="34"/>
      <c r="BJ2524" s="34"/>
      <c r="BK2524" s="34"/>
      <c r="BL2524" s="34"/>
      <c r="BM2524" s="34"/>
      <c r="BN2524" s="34"/>
      <c r="BO2524" s="34"/>
      <c r="BP2524" s="34"/>
      <c r="BQ2524" s="34"/>
      <c r="BR2524" s="34"/>
      <c r="BS2524" s="34"/>
      <c r="BT2524" s="34"/>
      <c r="BU2524" s="34"/>
      <c r="BV2524" s="34"/>
      <c r="BW2524" s="34"/>
      <c r="BX2524" s="34"/>
      <c r="BY2524" s="34"/>
      <c r="BZ2524" s="34"/>
      <c r="CA2524" s="34"/>
      <c r="CB2524" s="34"/>
      <c r="CC2524" s="34"/>
      <c r="CD2524" s="34"/>
      <c r="CE2524" s="34"/>
      <c r="CF2524" s="34"/>
      <c r="CG2524" s="34"/>
      <c r="CH2524" s="34"/>
    </row>
    <row r="2525" spans="1:86" x14ac:dyDescent="0.2">
      <c r="A2525" s="8" t="str">
        <f>IF(AND(COUNTIF(W$3:W$13,A$30)&gt;0,A$30&lt;&gt;B2324),A$30,IFERROR(IF(MATCH(A$30,Z$3:Z$13,0)=9,A$30," ")," "))</f>
        <v>C16</v>
      </c>
      <c r="B2525" s="8">
        <f>IF(A2525=" "," ",MAX(B2510:B2524)+1)</f>
        <v>6</v>
      </c>
      <c r="C2525" s="8"/>
      <c r="D2525" s="8"/>
      <c r="E2525" s="8"/>
      <c r="F2525" s="8"/>
      <c r="G2525" s="8"/>
      <c r="H2525" s="8"/>
      <c r="I2525" s="8"/>
      <c r="J2525" s="8"/>
      <c r="K2525" s="8"/>
      <c r="L2525" s="8"/>
      <c r="M2525" s="8"/>
      <c r="N2525" s="8"/>
      <c r="O2525" s="8"/>
      <c r="P2525" s="8"/>
      <c r="Q2525" s="8"/>
      <c r="R2525" s="8"/>
      <c r="S2525" s="8"/>
      <c r="U2525" s="34"/>
      <c r="V2525" s="34"/>
      <c r="W2525" s="34"/>
      <c r="X2525" s="34"/>
      <c r="Y2525" s="34"/>
      <c r="Z2525" s="34"/>
      <c r="AA2525" s="34"/>
      <c r="AB2525" s="34"/>
      <c r="AC2525" s="34"/>
      <c r="AD2525" s="34"/>
      <c r="AE2525" s="34"/>
      <c r="AF2525" s="34"/>
      <c r="AG2525" s="34"/>
      <c r="AH2525" s="34"/>
      <c r="AI2525" s="34"/>
      <c r="AJ2525" s="34"/>
      <c r="AK2525" s="34"/>
      <c r="AL2525" s="34"/>
      <c r="AM2525" s="34"/>
      <c r="AN2525" s="34"/>
      <c r="AO2525" s="34"/>
      <c r="AP2525" s="34"/>
      <c r="AQ2525" s="34"/>
      <c r="AR2525" s="34"/>
      <c r="AS2525" s="34"/>
      <c r="AT2525" s="34"/>
      <c r="AU2525" s="34"/>
      <c r="AV2525" s="34"/>
      <c r="AW2525" s="34"/>
      <c r="AX2525" s="34"/>
      <c r="AY2525" s="34"/>
      <c r="AZ2525" s="34"/>
      <c r="BA2525" s="34"/>
      <c r="BB2525" s="34"/>
      <c r="BC2525" s="34"/>
      <c r="BD2525" s="34"/>
      <c r="BE2525" s="34"/>
      <c r="BF2525" s="34"/>
      <c r="BG2525" s="34"/>
      <c r="BH2525" s="34"/>
      <c r="BI2525" s="34"/>
      <c r="BJ2525" s="34"/>
      <c r="BK2525" s="34"/>
      <c r="BL2525" s="34"/>
      <c r="BM2525" s="34"/>
      <c r="BN2525" s="34"/>
      <c r="BO2525" s="34"/>
      <c r="BP2525" s="34"/>
      <c r="BQ2525" s="34"/>
      <c r="BR2525" s="34"/>
      <c r="BS2525" s="34"/>
      <c r="BT2525" s="34"/>
      <c r="BU2525" s="34"/>
      <c r="BV2525" s="34"/>
      <c r="BW2525" s="34"/>
      <c r="BX2525" s="34"/>
      <c r="BY2525" s="34"/>
      <c r="BZ2525" s="34"/>
      <c r="CA2525" s="34"/>
      <c r="CB2525" s="34"/>
      <c r="CC2525" s="34"/>
      <c r="CD2525" s="34"/>
      <c r="CE2525" s="34"/>
      <c r="CF2525" s="34"/>
      <c r="CG2525" s="34"/>
      <c r="CH2525" s="34"/>
    </row>
    <row r="2526" spans="1:86" x14ac:dyDescent="0.2">
      <c r="A2526" s="8" t="str">
        <f>IF(AND(COUNTIF(W$3:W$13,A$31)&gt;0,A$31&lt;&gt;B2324),A$31,IFERROR(IF(MATCH(A$31,Z$3:Z$13,0)=9,A$31," ")," "))</f>
        <v>C17</v>
      </c>
      <c r="B2526" s="8">
        <f>IF(A2526=" "," ",MAX(B2510:B2525)+1)</f>
        <v>7</v>
      </c>
      <c r="C2526" s="8"/>
      <c r="D2526" s="8"/>
      <c r="E2526" s="8"/>
      <c r="F2526" s="8"/>
      <c r="G2526" s="8"/>
      <c r="H2526" s="8"/>
      <c r="I2526" s="8"/>
      <c r="J2526" s="8"/>
      <c r="K2526" s="8"/>
      <c r="L2526" s="8"/>
      <c r="M2526" s="8"/>
      <c r="N2526" s="8"/>
      <c r="O2526" s="8"/>
      <c r="P2526" s="8"/>
      <c r="Q2526" s="8"/>
      <c r="R2526" s="8"/>
      <c r="S2526" s="8"/>
      <c r="U2526" s="34"/>
      <c r="V2526" s="34"/>
      <c r="W2526" s="34"/>
      <c r="X2526" s="34"/>
      <c r="Y2526" s="34"/>
      <c r="Z2526" s="34"/>
      <c r="AA2526" s="34"/>
      <c r="AB2526" s="34"/>
      <c r="AC2526" s="34"/>
      <c r="AD2526" s="34"/>
      <c r="AE2526" s="34"/>
      <c r="AF2526" s="34"/>
      <c r="AG2526" s="34"/>
      <c r="AH2526" s="34"/>
      <c r="AI2526" s="34"/>
      <c r="AJ2526" s="34"/>
      <c r="AK2526" s="34"/>
      <c r="AL2526" s="34"/>
      <c r="AM2526" s="34"/>
      <c r="AN2526" s="34"/>
      <c r="AO2526" s="34"/>
      <c r="AP2526" s="34"/>
      <c r="AQ2526" s="34"/>
      <c r="AR2526" s="34"/>
      <c r="AS2526" s="34"/>
      <c r="AT2526" s="34"/>
      <c r="AU2526" s="34"/>
      <c r="AV2526" s="34"/>
      <c r="AW2526" s="34"/>
      <c r="AX2526" s="34"/>
      <c r="AY2526" s="34"/>
      <c r="AZ2526" s="34"/>
      <c r="BA2526" s="34"/>
      <c r="BB2526" s="34"/>
      <c r="BC2526" s="34"/>
      <c r="BD2526" s="34"/>
      <c r="BE2526" s="34"/>
      <c r="BF2526" s="34"/>
      <c r="BG2526" s="34"/>
      <c r="BH2526" s="34"/>
      <c r="BI2526" s="34"/>
      <c r="BJ2526" s="34"/>
      <c r="BK2526" s="34"/>
      <c r="BL2526" s="34"/>
      <c r="BM2526" s="34"/>
      <c r="BN2526" s="34"/>
      <c r="BO2526" s="34"/>
      <c r="BP2526" s="34"/>
      <c r="BQ2526" s="34"/>
      <c r="BR2526" s="34"/>
      <c r="BS2526" s="34"/>
      <c r="BT2526" s="34"/>
      <c r="BU2526" s="34"/>
      <c r="BV2526" s="34"/>
      <c r="BW2526" s="34"/>
      <c r="BX2526" s="34"/>
      <c r="BY2526" s="34"/>
      <c r="BZ2526" s="34"/>
      <c r="CA2526" s="34"/>
      <c r="CB2526" s="34"/>
      <c r="CC2526" s="34"/>
      <c r="CD2526" s="34"/>
      <c r="CE2526" s="34"/>
      <c r="CF2526" s="34"/>
      <c r="CG2526" s="34"/>
      <c r="CH2526" s="34"/>
    </row>
    <row r="2527" spans="1:86" x14ac:dyDescent="0.2">
      <c r="A2527" s="8" t="str">
        <f>IF(AND(COUNTIF(W$3:W$13,A$32)&gt;0,A$32&lt;&gt;B2324),A$32,IFERROR(IF(MATCH(A$32,Z$3:Z$13,0)=9,A$32," ")," "))</f>
        <v>C18</v>
      </c>
      <c r="B2527" s="8">
        <f>IF(A2527=" "," ",MAX(B2510:B2526)+1)</f>
        <v>8</v>
      </c>
      <c r="C2527" s="8"/>
      <c r="D2527" s="8"/>
      <c r="E2527" s="8"/>
      <c r="F2527" s="8"/>
      <c r="G2527" s="8"/>
      <c r="H2527" s="8"/>
      <c r="I2527" s="8"/>
      <c r="J2527" s="8"/>
      <c r="K2527" s="8"/>
      <c r="L2527" s="8"/>
      <c r="M2527" s="8"/>
      <c r="N2527" s="8"/>
      <c r="O2527" s="8"/>
      <c r="P2527" s="8"/>
      <c r="Q2527" s="8"/>
      <c r="R2527" s="8"/>
      <c r="S2527" s="8"/>
      <c r="U2527" s="34"/>
      <c r="V2527" s="34"/>
      <c r="W2527" s="34"/>
      <c r="X2527" s="34"/>
      <c r="Y2527" s="34"/>
      <c r="Z2527" s="34"/>
      <c r="AA2527" s="34"/>
      <c r="AB2527" s="34"/>
      <c r="AC2527" s="34"/>
      <c r="AD2527" s="34"/>
      <c r="AE2527" s="34"/>
      <c r="AF2527" s="34"/>
      <c r="AG2527" s="34"/>
      <c r="AH2527" s="34"/>
      <c r="AI2527" s="34"/>
      <c r="AJ2527" s="34"/>
      <c r="AK2527" s="34"/>
      <c r="AL2527" s="34"/>
      <c r="AM2527" s="34"/>
      <c r="AN2527" s="34"/>
      <c r="AO2527" s="34"/>
      <c r="AP2527" s="34"/>
      <c r="AQ2527" s="34"/>
      <c r="AR2527" s="34"/>
      <c r="AS2527" s="34"/>
      <c r="AT2527" s="34"/>
      <c r="AU2527" s="34"/>
      <c r="AV2527" s="34"/>
      <c r="AW2527" s="34"/>
      <c r="AX2527" s="34"/>
      <c r="AY2527" s="34"/>
      <c r="AZ2527" s="34"/>
      <c r="BA2527" s="34"/>
      <c r="BB2527" s="34"/>
      <c r="BC2527" s="34"/>
      <c r="BD2527" s="34"/>
      <c r="BE2527" s="34"/>
      <c r="BF2527" s="34"/>
      <c r="BG2527" s="34"/>
      <c r="BH2527" s="34"/>
      <c r="BI2527" s="34"/>
      <c r="BJ2527" s="34"/>
      <c r="BK2527" s="34"/>
      <c r="BL2527" s="34"/>
      <c r="BM2527" s="34"/>
      <c r="BN2527" s="34"/>
      <c r="BO2527" s="34"/>
      <c r="BP2527" s="34"/>
      <c r="BQ2527" s="34"/>
      <c r="BR2527" s="34"/>
      <c r="BS2527" s="34"/>
      <c r="BT2527" s="34"/>
      <c r="BU2527" s="34"/>
      <c r="BV2527" s="34"/>
      <c r="BW2527" s="34"/>
      <c r="BX2527" s="34"/>
      <c r="BY2527" s="34"/>
      <c r="BZ2527" s="34"/>
      <c r="CA2527" s="34"/>
      <c r="CB2527" s="34"/>
      <c r="CC2527" s="34"/>
      <c r="CD2527" s="34"/>
      <c r="CE2527" s="34"/>
      <c r="CF2527" s="34"/>
      <c r="CG2527" s="34"/>
      <c r="CH2527" s="34"/>
    </row>
    <row r="2528" spans="1:86" x14ac:dyDescent="0.2">
      <c r="A2528" s="8" t="str">
        <f>IF(AND(COUNTIF(W$3:W$13,A$33)&gt;0,A$33&lt;&gt;B2324),A$33,IFERROR(IF(MATCH(A$33,Z$3:Z$13,0)=9,A$33," ")," "))</f>
        <v>C19</v>
      </c>
      <c r="B2528" s="8">
        <f>IF(A2528=" "," ",MAX(B2510:B2527)+1)</f>
        <v>9</v>
      </c>
      <c r="C2528" s="8"/>
      <c r="D2528" s="8"/>
      <c r="E2528" s="8"/>
      <c r="F2528" s="8"/>
      <c r="G2528" s="8"/>
      <c r="H2528" s="8"/>
      <c r="I2528" s="8"/>
      <c r="J2528" s="8"/>
      <c r="K2528" s="8"/>
      <c r="L2528" s="8"/>
      <c r="M2528" s="8"/>
      <c r="N2528" s="8"/>
      <c r="O2528" s="8"/>
      <c r="P2528" s="8"/>
      <c r="Q2528" s="8"/>
      <c r="R2528" s="8"/>
      <c r="S2528" s="8"/>
      <c r="U2528" s="34"/>
      <c r="V2528" s="34"/>
      <c r="W2528" s="34"/>
      <c r="X2528" s="34"/>
      <c r="Y2528" s="34"/>
      <c r="Z2528" s="34"/>
      <c r="AA2528" s="34"/>
      <c r="AB2528" s="34"/>
      <c r="AC2528" s="34"/>
      <c r="AD2528" s="34"/>
      <c r="AE2528" s="34"/>
      <c r="AF2528" s="34"/>
      <c r="AG2528" s="34"/>
      <c r="AH2528" s="34"/>
      <c r="AI2528" s="34"/>
      <c r="AJ2528" s="34"/>
      <c r="AK2528" s="34"/>
      <c r="AL2528" s="34"/>
      <c r="AM2528" s="34"/>
      <c r="AN2528" s="34"/>
      <c r="AO2528" s="34"/>
      <c r="AP2528" s="34"/>
      <c r="AQ2528" s="34"/>
      <c r="AR2528" s="34"/>
      <c r="AS2528" s="34"/>
      <c r="AT2528" s="34"/>
      <c r="AU2528" s="34"/>
      <c r="AV2528" s="34"/>
      <c r="AW2528" s="34"/>
      <c r="AX2528" s="34"/>
      <c r="AY2528" s="34"/>
      <c r="AZ2528" s="34"/>
      <c r="BA2528" s="34"/>
      <c r="BB2528" s="34"/>
      <c r="BC2528" s="34"/>
      <c r="BD2528" s="34"/>
      <c r="BE2528" s="34"/>
      <c r="BF2528" s="34"/>
      <c r="BG2528" s="34"/>
      <c r="BH2528" s="34"/>
      <c r="BI2528" s="34"/>
      <c r="BJ2528" s="34"/>
      <c r="BK2528" s="34"/>
      <c r="BL2528" s="34"/>
      <c r="BM2528" s="34"/>
      <c r="BN2528" s="34"/>
      <c r="BO2528" s="34"/>
      <c r="BP2528" s="34"/>
      <c r="BQ2528" s="34"/>
      <c r="BR2528" s="34"/>
      <c r="BS2528" s="34"/>
      <c r="BT2528" s="34"/>
      <c r="BU2528" s="34"/>
      <c r="BV2528" s="34"/>
      <c r="BW2528" s="34"/>
      <c r="BX2528" s="34"/>
      <c r="BY2528" s="34"/>
      <c r="BZ2528" s="34"/>
      <c r="CA2528" s="34"/>
      <c r="CB2528" s="34"/>
      <c r="CC2528" s="34"/>
      <c r="CD2528" s="34"/>
      <c r="CE2528" s="34"/>
      <c r="CF2528" s="34"/>
      <c r="CG2528" s="34"/>
      <c r="CH2528" s="34"/>
    </row>
    <row r="2529" spans="1:86" x14ac:dyDescent="0.2">
      <c r="A2529" s="8" t="str">
        <f>IF(AND(COUNTIF(W$3:W$13,A$34)&gt;0,A$34&lt;&gt;B2324),A$34,IFERROR(IF(MATCH(A$34,Z$3:Z$13,0)=9,A$34," ")," "))</f>
        <v>C20</v>
      </c>
      <c r="B2529" s="8">
        <f>IF(A2529=" "," ",MAX(B2510:B2528)+1)</f>
        <v>10</v>
      </c>
      <c r="C2529" s="8"/>
      <c r="D2529" s="8"/>
      <c r="E2529" s="8"/>
      <c r="F2529" s="8"/>
      <c r="G2529" s="8"/>
      <c r="H2529" s="8"/>
      <c r="I2529" s="8"/>
      <c r="J2529" s="8"/>
      <c r="K2529" s="8"/>
      <c r="L2529" s="8"/>
      <c r="M2529" s="8"/>
      <c r="N2529" s="8"/>
      <c r="O2529" s="8"/>
      <c r="P2529" s="8"/>
      <c r="Q2529" s="8"/>
      <c r="R2529" s="8"/>
      <c r="S2529" s="8"/>
      <c r="U2529" s="34"/>
      <c r="V2529" s="34"/>
      <c r="W2529" s="34"/>
      <c r="X2529" s="34"/>
      <c r="Y2529" s="34"/>
      <c r="Z2529" s="34"/>
      <c r="AA2529" s="34"/>
      <c r="AB2529" s="34"/>
      <c r="AC2529" s="34"/>
      <c r="AD2529" s="34"/>
      <c r="AE2529" s="34"/>
      <c r="AF2529" s="34"/>
      <c r="AG2529" s="34"/>
      <c r="AH2529" s="34"/>
      <c r="AI2529" s="34"/>
      <c r="AJ2529" s="34"/>
      <c r="AK2529" s="34"/>
      <c r="AL2529" s="34"/>
      <c r="AM2529" s="34"/>
      <c r="AN2529" s="34"/>
      <c r="AO2529" s="34"/>
      <c r="AP2529" s="34"/>
      <c r="AQ2529" s="34"/>
      <c r="AR2529" s="34"/>
      <c r="AS2529" s="34"/>
      <c r="AT2529" s="34"/>
      <c r="AU2529" s="34"/>
      <c r="AV2529" s="34"/>
      <c r="AW2529" s="34"/>
      <c r="AX2529" s="34"/>
      <c r="AY2529" s="34"/>
      <c r="AZ2529" s="34"/>
      <c r="BA2529" s="34"/>
      <c r="BB2529" s="34"/>
      <c r="BC2529" s="34"/>
      <c r="BD2529" s="34"/>
      <c r="BE2529" s="34"/>
      <c r="BF2529" s="34"/>
      <c r="BG2529" s="34"/>
      <c r="BH2529" s="34"/>
      <c r="BI2529" s="34"/>
      <c r="BJ2529" s="34"/>
      <c r="BK2529" s="34"/>
      <c r="BL2529" s="34"/>
      <c r="BM2529" s="34"/>
      <c r="BN2529" s="34"/>
      <c r="BO2529" s="34"/>
      <c r="BP2529" s="34"/>
      <c r="BQ2529" s="34"/>
      <c r="BR2529" s="34"/>
      <c r="BS2529" s="34"/>
      <c r="BT2529" s="34"/>
      <c r="BU2529" s="34"/>
      <c r="BV2529" s="34"/>
      <c r="BW2529" s="34"/>
      <c r="BX2529" s="34"/>
      <c r="BY2529" s="34"/>
      <c r="BZ2529" s="34"/>
      <c r="CA2529" s="34"/>
      <c r="CB2529" s="34"/>
      <c r="CC2529" s="34"/>
      <c r="CD2529" s="34"/>
      <c r="CE2529" s="34"/>
      <c r="CF2529" s="34"/>
      <c r="CG2529" s="34"/>
      <c r="CH2529" s="34"/>
    </row>
    <row r="2530" spans="1:86" x14ac:dyDescent="0.2">
      <c r="A2530" s="8" t="str">
        <f>IF(AND(COUNTIF(W$3:W$13,A$35)&gt;0,A$35&lt;&gt;B2324),A$35,IFERROR(IF(MATCH(A$35,Z$3:Z$13,0)=9,A$35," ")," "))</f>
        <v xml:space="preserve"> </v>
      </c>
      <c r="B2530" s="8" t="str">
        <f>IF(A2530=" "," ",MAX(B2510:B2529)+1)</f>
        <v xml:space="preserve"> </v>
      </c>
      <c r="C2530" s="8"/>
      <c r="D2530" s="8"/>
      <c r="E2530" s="8"/>
      <c r="F2530" s="8"/>
      <c r="G2530" s="8"/>
      <c r="H2530" s="8"/>
      <c r="I2530" s="8"/>
      <c r="J2530" s="8"/>
      <c r="K2530" s="8"/>
      <c r="L2530" s="8"/>
      <c r="M2530" s="8"/>
      <c r="N2530" s="8"/>
      <c r="O2530" s="8"/>
      <c r="P2530" s="8"/>
      <c r="Q2530" s="8"/>
      <c r="R2530" s="8"/>
      <c r="S2530" s="8"/>
      <c r="U2530" s="34"/>
      <c r="V2530" s="34"/>
      <c r="W2530" s="34"/>
      <c r="X2530" s="34"/>
      <c r="Y2530" s="34"/>
      <c r="Z2530" s="34"/>
      <c r="AA2530" s="34"/>
      <c r="AB2530" s="34"/>
      <c r="AC2530" s="34"/>
      <c r="AD2530" s="34"/>
      <c r="AE2530" s="34"/>
      <c r="AF2530" s="34"/>
      <c r="AG2530" s="34"/>
      <c r="AH2530" s="34"/>
      <c r="AI2530" s="34"/>
      <c r="AJ2530" s="34"/>
      <c r="AK2530" s="34"/>
      <c r="AL2530" s="34"/>
      <c r="AM2530" s="34"/>
      <c r="AN2530" s="34"/>
      <c r="AO2530" s="34"/>
      <c r="AP2530" s="34"/>
      <c r="AQ2530" s="34"/>
      <c r="AR2530" s="34"/>
      <c r="AS2530" s="34"/>
      <c r="AT2530" s="34"/>
      <c r="AU2530" s="34"/>
      <c r="AV2530" s="34"/>
      <c r="AW2530" s="34"/>
      <c r="AX2530" s="34"/>
      <c r="AY2530" s="34"/>
      <c r="AZ2530" s="34"/>
      <c r="BA2530" s="34"/>
      <c r="BB2530" s="34"/>
      <c r="BC2530" s="34"/>
      <c r="BD2530" s="34"/>
      <c r="BE2530" s="34"/>
      <c r="BF2530" s="34"/>
      <c r="BG2530" s="34"/>
      <c r="BH2530" s="34"/>
      <c r="BI2530" s="34"/>
      <c r="BJ2530" s="34"/>
      <c r="BK2530" s="34"/>
      <c r="BL2530" s="34"/>
      <c r="BM2530" s="34"/>
      <c r="BN2530" s="34"/>
      <c r="BO2530" s="34"/>
      <c r="BP2530" s="34"/>
      <c r="BQ2530" s="34"/>
      <c r="BR2530" s="34"/>
      <c r="BS2530" s="34"/>
      <c r="BT2530" s="34"/>
      <c r="BU2530" s="34"/>
      <c r="BV2530" s="34"/>
      <c r="BW2530" s="34"/>
      <c r="BX2530" s="34"/>
      <c r="BY2530" s="34"/>
      <c r="BZ2530" s="34"/>
      <c r="CA2530" s="34"/>
      <c r="CB2530" s="34"/>
      <c r="CC2530" s="34"/>
      <c r="CD2530" s="34"/>
      <c r="CE2530" s="34"/>
      <c r="CF2530" s="34"/>
      <c r="CG2530" s="34"/>
      <c r="CH2530" s="34"/>
    </row>
    <row r="2531" spans="1:86" x14ac:dyDescent="0.2">
      <c r="A2531" s="8" t="str">
        <f>IF(AND(COUNTIF(W$3:W$13,A$36)&gt;0,A$36&lt;&gt;B2324),A$36,IFERROR(IF(MATCH(A$36,Z$3:Z$13,0)=9,A$36," ")," "))</f>
        <v>C22</v>
      </c>
      <c r="B2531" s="8">
        <f>IF(A2531=" "," ",MAX(B2510:B2530)+1)</f>
        <v>11</v>
      </c>
      <c r="C2531" s="8"/>
      <c r="D2531" s="8"/>
      <c r="E2531" s="8"/>
      <c r="F2531" s="8"/>
      <c r="G2531" s="8"/>
      <c r="H2531" s="8"/>
      <c r="I2531" s="8"/>
      <c r="J2531" s="8"/>
      <c r="K2531" s="8"/>
      <c r="L2531" s="8"/>
      <c r="M2531" s="8"/>
      <c r="N2531" s="8"/>
      <c r="O2531" s="8"/>
      <c r="P2531" s="8"/>
      <c r="Q2531" s="8"/>
      <c r="R2531" s="8"/>
      <c r="S2531" s="8"/>
      <c r="U2531" s="34"/>
      <c r="V2531" s="34"/>
      <c r="W2531" s="34"/>
      <c r="X2531" s="34"/>
      <c r="Y2531" s="34"/>
      <c r="Z2531" s="34"/>
      <c r="AA2531" s="34"/>
      <c r="AB2531" s="34"/>
      <c r="AC2531" s="34"/>
      <c r="AD2531" s="34"/>
      <c r="AE2531" s="34"/>
      <c r="AF2531" s="34"/>
      <c r="AG2531" s="34"/>
      <c r="AH2531" s="34"/>
      <c r="AI2531" s="34"/>
      <c r="AJ2531" s="34"/>
      <c r="AK2531" s="34"/>
      <c r="AL2531" s="34"/>
      <c r="AM2531" s="34"/>
      <c r="AN2531" s="34"/>
      <c r="AO2531" s="34"/>
      <c r="AP2531" s="34"/>
      <c r="AQ2531" s="34"/>
      <c r="AR2531" s="34"/>
      <c r="AS2531" s="34"/>
      <c r="AT2531" s="34"/>
      <c r="AU2531" s="34"/>
      <c r="AV2531" s="34"/>
      <c r="AW2531" s="34"/>
      <c r="AX2531" s="34"/>
      <c r="AY2531" s="34"/>
      <c r="AZ2531" s="34"/>
      <c r="BA2531" s="34"/>
      <c r="BB2531" s="34"/>
      <c r="BC2531" s="34"/>
      <c r="BD2531" s="34"/>
      <c r="BE2531" s="34"/>
      <c r="BF2531" s="34"/>
      <c r="BG2531" s="34"/>
      <c r="BH2531" s="34"/>
      <c r="BI2531" s="34"/>
      <c r="BJ2531" s="34"/>
      <c r="BK2531" s="34"/>
      <c r="BL2531" s="34"/>
      <c r="BM2531" s="34"/>
      <c r="BN2531" s="34"/>
      <c r="BO2531" s="34"/>
      <c r="BP2531" s="34"/>
      <c r="BQ2531" s="34"/>
      <c r="BR2531" s="34"/>
      <c r="BS2531" s="34"/>
      <c r="BT2531" s="34"/>
      <c r="BU2531" s="34"/>
      <c r="BV2531" s="34"/>
      <c r="BW2531" s="34"/>
      <c r="BX2531" s="34"/>
      <c r="BY2531" s="34"/>
      <c r="BZ2531" s="34"/>
      <c r="CA2531" s="34"/>
      <c r="CB2531" s="34"/>
      <c r="CC2531" s="34"/>
      <c r="CD2531" s="34"/>
      <c r="CE2531" s="34"/>
      <c r="CF2531" s="34"/>
      <c r="CG2531" s="34"/>
      <c r="CH2531" s="34"/>
    </row>
    <row r="2532" spans="1:86" x14ac:dyDescent="0.2">
      <c r="A2532" s="11" t="s">
        <v>17</v>
      </c>
      <c r="B2532" s="11"/>
      <c r="C2532" s="27" t="s">
        <v>18</v>
      </c>
      <c r="D2532" s="27" t="s">
        <v>2</v>
      </c>
      <c r="E2532" s="27" t="s">
        <v>6</v>
      </c>
      <c r="F2532" s="27" t="s">
        <v>15</v>
      </c>
      <c r="G2532" s="27" t="s">
        <v>36</v>
      </c>
      <c r="H2532" s="27" t="s">
        <v>37</v>
      </c>
      <c r="I2532" s="27" t="s">
        <v>38</v>
      </c>
      <c r="J2532" s="27" t="s">
        <v>39</v>
      </c>
      <c r="K2532" s="27" t="s">
        <v>40</v>
      </c>
      <c r="L2532" s="27" t="s">
        <v>41</v>
      </c>
      <c r="M2532" s="27" t="s">
        <v>42</v>
      </c>
      <c r="N2532" s="27" t="s">
        <v>43</v>
      </c>
      <c r="O2532" s="27" t="s">
        <v>9</v>
      </c>
      <c r="P2532" s="27" t="s">
        <v>12</v>
      </c>
      <c r="Q2532" s="27" t="s">
        <v>19</v>
      </c>
      <c r="R2532" s="27" t="s">
        <v>55</v>
      </c>
      <c r="S2532" s="27" t="s">
        <v>26</v>
      </c>
      <c r="T2532" s="19" t="s">
        <v>25</v>
      </c>
      <c r="U2532" s="33" t="s">
        <v>27</v>
      </c>
      <c r="V2532" s="33" t="s">
        <v>9</v>
      </c>
      <c r="W2532" s="33" t="s">
        <v>23</v>
      </c>
      <c r="X2532" s="33" t="s">
        <v>12</v>
      </c>
      <c r="Y2532" s="33" t="s">
        <v>26</v>
      </c>
      <c r="Z2532" s="33" t="s">
        <v>25</v>
      </c>
      <c r="AA2532" s="33" t="s">
        <v>27</v>
      </c>
      <c r="AB2532" s="33" t="s">
        <v>9</v>
      </c>
      <c r="AC2532" s="33" t="s">
        <v>23</v>
      </c>
      <c r="AD2532" s="33" t="s">
        <v>12</v>
      </c>
      <c r="AE2532" s="33" t="s">
        <v>26</v>
      </c>
      <c r="AF2532" s="33" t="s">
        <v>25</v>
      </c>
      <c r="AG2532" s="33" t="s">
        <v>27</v>
      </c>
      <c r="AH2532" s="33" t="s">
        <v>9</v>
      </c>
      <c r="AI2532" s="33" t="s">
        <v>23</v>
      </c>
      <c r="AJ2532" s="33" t="s">
        <v>12</v>
      </c>
      <c r="AK2532" s="33" t="s">
        <v>26</v>
      </c>
      <c r="AL2532" s="33" t="s">
        <v>25</v>
      </c>
      <c r="AM2532" s="33" t="s">
        <v>27</v>
      </c>
      <c r="AN2532" s="33" t="s">
        <v>9</v>
      </c>
      <c r="AO2532" s="33" t="s">
        <v>23</v>
      </c>
      <c r="AP2532" s="33" t="s">
        <v>12</v>
      </c>
      <c r="AQ2532" s="33" t="s">
        <v>26</v>
      </c>
      <c r="AR2532" s="33" t="s">
        <v>25</v>
      </c>
      <c r="AS2532" s="33" t="s">
        <v>27</v>
      </c>
      <c r="AT2532" s="33" t="s">
        <v>9</v>
      </c>
      <c r="AU2532" s="33" t="s">
        <v>23</v>
      </c>
      <c r="AV2532" s="33" t="s">
        <v>12</v>
      </c>
      <c r="AW2532" s="33" t="s">
        <v>26</v>
      </c>
      <c r="AX2532" s="33" t="s">
        <v>25</v>
      </c>
      <c r="AY2532" s="33" t="s">
        <v>27</v>
      </c>
      <c r="AZ2532" s="33" t="s">
        <v>9</v>
      </c>
      <c r="BA2532" s="33" t="s">
        <v>23</v>
      </c>
      <c r="BB2532" s="33" t="s">
        <v>12</v>
      </c>
      <c r="BC2532" s="33" t="s">
        <v>26</v>
      </c>
      <c r="BD2532" s="33" t="s">
        <v>25</v>
      </c>
      <c r="BE2532" s="33" t="s">
        <v>27</v>
      </c>
      <c r="BF2532" s="33" t="s">
        <v>9</v>
      </c>
      <c r="BG2532" s="33" t="s">
        <v>23</v>
      </c>
      <c r="BH2532" s="33" t="s">
        <v>12</v>
      </c>
      <c r="BI2532" s="33" t="s">
        <v>26</v>
      </c>
      <c r="BJ2532" s="33" t="s">
        <v>25</v>
      </c>
      <c r="BK2532" s="33" t="s">
        <v>27</v>
      </c>
      <c r="BL2532" s="33" t="s">
        <v>9</v>
      </c>
      <c r="BM2532" s="33" t="s">
        <v>23</v>
      </c>
      <c r="BN2532" s="33" t="s">
        <v>12</v>
      </c>
      <c r="BO2532" s="33" t="s">
        <v>26</v>
      </c>
      <c r="BP2532" s="33" t="s">
        <v>25</v>
      </c>
      <c r="BQ2532" s="33" t="s">
        <v>27</v>
      </c>
      <c r="BR2532" s="33" t="s">
        <v>9</v>
      </c>
      <c r="BS2532" s="33" t="s">
        <v>23</v>
      </c>
      <c r="BT2532" s="33" t="s">
        <v>12</v>
      </c>
      <c r="BU2532" s="33" t="s">
        <v>26</v>
      </c>
      <c r="BV2532" s="33" t="s">
        <v>25</v>
      </c>
      <c r="BW2532" s="33" t="s">
        <v>27</v>
      </c>
      <c r="BX2532" s="33" t="s">
        <v>9</v>
      </c>
      <c r="BY2532" s="33" t="s">
        <v>23</v>
      </c>
      <c r="BZ2532" s="33" t="s">
        <v>12</v>
      </c>
      <c r="CA2532" s="33" t="s">
        <v>26</v>
      </c>
      <c r="CB2532" s="33" t="s">
        <v>25</v>
      </c>
      <c r="CC2532" s="33" t="s">
        <v>27</v>
      </c>
      <c r="CD2532" s="33" t="s">
        <v>9</v>
      </c>
      <c r="CE2532" s="33" t="s">
        <v>23</v>
      </c>
      <c r="CF2532" s="33" t="s">
        <v>12</v>
      </c>
      <c r="CG2532" s="33" t="s">
        <v>26</v>
      </c>
      <c r="CH2532" s="33" t="s">
        <v>25</v>
      </c>
    </row>
    <row r="2533" spans="1:86" x14ac:dyDescent="0.2">
      <c r="A2533" s="8" t="str">
        <f>IF(AND(COUNTIF(W$3:W$13,A$15)&gt;0,A$15&lt;&gt;B2324),A$15,IFERROR(IF(MATCH(A$15,Z$3:Z$13,0)=10,A$15," ")," "))</f>
        <v xml:space="preserve"> </v>
      </c>
      <c r="B2533" s="8" t="str">
        <f>IF(A2533=" "," ",1)</f>
        <v xml:space="preserve"> </v>
      </c>
      <c r="C2533" s="8" t="str">
        <f>IFERROR(INDEX(A2533:A2554,MATCH(SMALL(B2533:B2554,1),B2533:B2554,0),1)," ")</f>
        <v>C3</v>
      </c>
      <c r="D2533" s="8">
        <f>IFERROR(VLOOKUP($C2533,$A$15:$O$36,2,FALSE)," ")</f>
        <v>2</v>
      </c>
      <c r="E2533" s="8">
        <f>IFERROR(VLOOKUP($C2533,$A$15:$O$36,3,FALSE)," ")</f>
        <v>5</v>
      </c>
      <c r="F2533" s="8">
        <f>IFERROR(VLOOKUP($C2533,$A$15:$O$36,4,FALSE)," ")</f>
        <v>6</v>
      </c>
      <c r="G2533" s="8">
        <f>IFERROR(VLOOKUP($C2533,$A$15:$O$36,5,FALSE)," ")</f>
        <v>0</v>
      </c>
      <c r="H2533" s="8">
        <f>IFERROR(VLOOKUP($C2533,$A$15:$O$36,6,FALSE)," ")</f>
        <v>0</v>
      </c>
      <c r="I2533" s="8">
        <f>IFERROR(VLOOKUP($C2533,$A$15:$O$36,7,FALSE)," ")</f>
        <v>0</v>
      </c>
      <c r="J2533" s="8">
        <f>IFERROR(VLOOKUP($C2533,$A$15:$O$36,8,FALSE)," ")</f>
        <v>0</v>
      </c>
      <c r="K2533" s="8">
        <f>IFERROR(VLOOKUP($C2533,$A$15:$O$36,9,FALSE)," ")</f>
        <v>0</v>
      </c>
      <c r="L2533" s="8">
        <f>IFERROR(VLOOKUP($C2533,$A$15:$O$36,10,FALSE)," ")</f>
        <v>0</v>
      </c>
      <c r="M2533" s="8">
        <f>IFERROR(VLOOKUP($C2533,$A$15:$O$36,11,FALSE)," ")</f>
        <v>0</v>
      </c>
      <c r="N2533" s="8">
        <f>IFERROR(VLOOKUP($C2533,$A$15:$O$36,12,FALSE)," ")</f>
        <v>0</v>
      </c>
      <c r="O2533" s="8">
        <f>IFERROR(VLOOKUP($C2533,$A$15:$O$36,15,FALSE)," ")</f>
        <v>2000</v>
      </c>
      <c r="P2533" s="8" t="e">
        <f t="array" ref="P2533:P2543">MMULT(MINVERSE(D2533:N2543),O2533:O2543)</f>
        <v>#NUM!</v>
      </c>
      <c r="Q2533" s="8" t="e">
        <f t="shared" ref="Q2533" si="11018">IF(COUNTIF(P2533:P2543,"&lt;"&amp;-0.001)=0,IF(ABS(P2533)&lt;0.001,0,P2533)," ")</f>
        <v>#NUM!</v>
      </c>
      <c r="R2533" s="8" t="str">
        <f>IFERROR(VLOOKUP(B2324,A$15:L$36,2,FALSE)*Q2533+VLOOKUP(B2324,A$15:L$36,3,FALSE)*Q2534+VLOOKUP(B2324,A$15:L$36,4,FALSE)*Q2535+VLOOKUP(B2324,A$15:L$36,5,FALSE)*Q2536+VLOOKUP(B2324,A$15:L$36,6,FALSE)*Q2537+VLOOKUP(B2324,A$15:L$36,7,FALSE)*Q2538+VLOOKUP(B2324,A$15:L$36,8,FALSE)*Q2539+VLOOKUP(B2324,A$15:L$36,9,FALSE)*Q2540+VLOOKUP(B2324,A$15:L$36,10,FALSE)*Q2541+VLOOKUP(B2324,A$15:L$36,11,FALSE)*Q2542+VLOOKUP(B2324,A$15:L$36,12,FALSE)*Q2543," ")</f>
        <v xml:space="preserve"> </v>
      </c>
      <c r="S2533" s="8" t="str">
        <f>IFERROR(IF(R2533-VLOOKUP(B2324,A$15:O$36,15,FALSE)&lt;0,R2533-VLOOKUP(B2324,A$15:O$36,15,FALSE)," ")," ")</f>
        <v xml:space="preserve"> </v>
      </c>
      <c r="T2533" s="18" t="str">
        <f>IFERROR(IF(R2533-VLOOKUP(B2324,A$15:O$36,15,FALSE)&gt;0,R2533-VLOOKUP(B2324,A$15:O$36,15,FALSE)," ")," ")</f>
        <v xml:space="preserve"> </v>
      </c>
      <c r="U2533" s="34">
        <f t="shared" ref="U2533" si="11019">$M$2</f>
        <v>100.00000000000001</v>
      </c>
      <c r="V2533" s="34">
        <v>-1</v>
      </c>
      <c r="W2533" s="34">
        <f t="shared" ref="W2533" si="11020">-SUMPRODUCT($M$3:$M$12,$N$3:$N$12)</f>
        <v>-105000</v>
      </c>
      <c r="X2533" s="34" t="e">
        <f t="shared" ref="X2533" si="11021">IF(U2533&lt;&gt;U2534,MMULT(MINVERSE(U2533:V2534),W2533:W2534)," ")</f>
        <v>#NUM!</v>
      </c>
      <c r="Y2533" s="34" t="str">
        <f t="shared" ref="Y2533" si="11022">IFERROR(IF(X2533-VLOOKUP(U$38,$A$2:$N$12,14,FALSE)&lt;0,X2533-VLOOKUP(U$38,$A$2:$N$12,14,FALSE)," ")," ")</f>
        <v xml:space="preserve"> </v>
      </c>
      <c r="Z2533" s="34" t="str">
        <f t="shared" ref="Z2533" si="11023">IFERROR(IF(X2533-VLOOKUP(U$38,$A$2:$N$12,14,FALSE)&gt;0,X2533-VLOOKUP(U$38,$A$2:$N$12,14,FALSE)," ")," ")</f>
        <v xml:space="preserve"> </v>
      </c>
      <c r="AA2533" s="34">
        <f t="shared" ref="AA2533" si="11024">$M$3</f>
        <v>0</v>
      </c>
      <c r="AB2533" s="34">
        <v>-1</v>
      </c>
      <c r="AC2533" s="34">
        <f t="shared" ref="AC2533" si="11025">-SUMPRODUCT($M$2:$M$2,$N$2:$N$2)-SUMPRODUCT($M$4:$M$12,$N$4:$N$12)</f>
        <v>-120000</v>
      </c>
      <c r="AD2533" s="34" t="e">
        <f t="shared" ref="AD2533" si="11026">IF(AA2533&lt;&gt;AA2534,MMULT(MINVERSE(AA2533:AB2534),AC2533:AC2534)," ")</f>
        <v>#NUM!</v>
      </c>
      <c r="AE2533" s="34" t="str">
        <f t="shared" ref="AE2533" si="11027">IFERROR(IF(AD2533-VLOOKUP(AA$38,$A$2:$N$12,14,FALSE)&lt;0,AD2533-VLOOKUP(AA$38,$A$2:$N$12,14,FALSE)," ")," ")</f>
        <v xml:space="preserve"> </v>
      </c>
      <c r="AF2533" s="34" t="str">
        <f t="shared" ref="AF2533" si="11028">IFERROR(IF(AD2533-VLOOKUP(AA$38,$A$2:$N$12,14,FALSE)&gt;0,AD2533-VLOOKUP(AA$38,$A$2:$N$12,14,FALSE)," ")," ")</f>
        <v xml:space="preserve"> </v>
      </c>
      <c r="AG2533" s="34">
        <f t="shared" ref="AG2533" si="11029">$M$4</f>
        <v>300</v>
      </c>
      <c r="AH2533" s="34">
        <v>-1</v>
      </c>
      <c r="AI2533" s="34">
        <f t="shared" ref="AI2533" si="11030">-SUMPRODUCT($M$2:$M$3,$N$2:$N$3)-SUMPRODUCT($M$5:$M$12,$N$5:$N$12)</f>
        <v>-15000.000000000002</v>
      </c>
      <c r="AJ2533" s="34" t="e">
        <f t="shared" ref="AJ2533" si="11031">IF(AG2533&lt;&gt;AG2534,MMULT(MINVERSE(AG2533:AH2534),AI2533:AI2534)," ")</f>
        <v>#NUM!</v>
      </c>
      <c r="AK2533" s="34" t="str">
        <f t="shared" ref="AK2533" si="11032">IFERROR(IF(AJ2533-VLOOKUP(AG$38,$A$2:$N$12,14,FALSE)&lt;0,AJ2533-VLOOKUP(AG$38,$A$2:$N$12,14,FALSE)," ")," ")</f>
        <v xml:space="preserve"> </v>
      </c>
      <c r="AL2533" s="34" t="str">
        <f t="shared" ref="AL2533" si="11033">IFERROR(IF(AJ2533-VLOOKUP(AG$38,$A$2:$N$12,14,FALSE)&gt;0,AJ2533-VLOOKUP(AG$38,$A$2:$N$12,14,FALSE)," ")," ")</f>
        <v xml:space="preserve"> </v>
      </c>
      <c r="AM2533" s="34">
        <f t="shared" ref="AM2533" si="11034">$M$5</f>
        <v>0</v>
      </c>
      <c r="AN2533" s="34">
        <v>-1</v>
      </c>
      <c r="AO2533" s="34">
        <f t="shared" ref="AO2533" si="11035">-SUMPRODUCT($M$2:$M$4,$N$2:$N$4)-SUMPRODUCT($M$6:$M$12,$N$6:$N$12)</f>
        <v>-120000</v>
      </c>
      <c r="AP2533" s="34" t="e">
        <f t="shared" ref="AP2533" si="11036">IF(AM2533&lt;&gt;AM2534,MMULT(MINVERSE(AM2533:AN2534),AO2533:AO2534)," ")</f>
        <v>#NUM!</v>
      </c>
      <c r="AQ2533" s="34" t="str">
        <f t="shared" ref="AQ2533" si="11037">IFERROR(IF(AP2533-VLOOKUP(AM$38,$A$2:$N$12,14,FALSE)&lt;0,AP2533-VLOOKUP(AM$38,$A$2:$N$12,14,FALSE)," ")," ")</f>
        <v xml:space="preserve"> </v>
      </c>
      <c r="AR2533" s="34" t="str">
        <f t="shared" ref="AR2533" si="11038">IFERROR(IF(AP2533-VLOOKUP(AM$38,$A$2:$N$12,14,FALSE)&gt;0,AP2533-VLOOKUP(AM$38,$A$2:$N$12,14,FALSE)," ")," ")</f>
        <v xml:space="preserve"> </v>
      </c>
      <c r="AS2533" s="34">
        <f t="shared" ref="AS2533" si="11039">$M$6</f>
        <v>0</v>
      </c>
      <c r="AT2533" s="34">
        <v>-1</v>
      </c>
      <c r="AU2533" s="34">
        <f t="shared" ref="AU2533" si="11040">-SUMPRODUCT($M$2:$M$5,$N$2:$N$5)-SUMPRODUCT($M$7:$M$12,$N$7:$N$12)</f>
        <v>-120000</v>
      </c>
      <c r="AV2533" s="34" t="e">
        <f t="shared" ref="AV2533" si="11041">IF(AS2533&lt;&gt;AS2534,MMULT(MINVERSE(AS2533:AT2534),AU2533:AU2534)," ")</f>
        <v>#NUM!</v>
      </c>
      <c r="AW2533" s="34" t="str">
        <f t="shared" ref="AW2533" si="11042">IFERROR(IF(AV2533-VLOOKUP(AS$38,$A$2:$N$12,14,FALSE)&lt;0,AV2533-VLOOKUP(AS$38,$A$2:$N$12,14,FALSE)," ")," ")</f>
        <v xml:space="preserve"> </v>
      </c>
      <c r="AX2533" s="34" t="str">
        <f t="shared" ref="AX2533" si="11043">IFERROR(IF(AV2533-VLOOKUP(AS$38,$A$2:$N$12,14,FALSE)&gt;0,AV2533-VLOOKUP(AS$38,$A$2:$N$12,14,FALSE)," ")," ")</f>
        <v xml:space="preserve"> </v>
      </c>
      <c r="AY2533" s="34">
        <f t="shared" ref="AY2533" si="11044">$M$7</f>
        <v>0</v>
      </c>
      <c r="AZ2533" s="34">
        <v>-1</v>
      </c>
      <c r="BA2533" s="34">
        <f t="shared" ref="BA2533" si="11045">-SUMPRODUCT($M$2:$M$6,$N$2:$N$6)-SUMPRODUCT($M$8:$M$12,$N$8:$N$12)</f>
        <v>-120000</v>
      </c>
      <c r="BB2533" s="34" t="e">
        <f t="shared" ref="BB2533" si="11046">IF(AY2533&lt;&gt;AY2534,MMULT(MINVERSE(AY2533:AZ2534),BA2533:BA2534)," ")</f>
        <v>#NUM!</v>
      </c>
      <c r="BC2533" s="34" t="str">
        <f t="shared" ref="BC2533" si="11047">IFERROR(IF(BB2533-VLOOKUP(AY$38,$A$2:$N$12,14,FALSE)&lt;0,BB2533-VLOOKUP(AY$38,$A$2:$N$12,14,FALSE)," ")," ")</f>
        <v xml:space="preserve"> </v>
      </c>
      <c r="BD2533" s="34" t="str">
        <f t="shared" ref="BD2533" si="11048">IFERROR(IF(BB2533-VLOOKUP(AY$38,$A$2:$N$12,14,FALSE)&gt;0,BB2533-VLOOKUP(AY$38,$A$2:$N$12,14,FALSE)," ")," ")</f>
        <v xml:space="preserve"> </v>
      </c>
      <c r="BE2533" s="34">
        <f t="shared" ref="BE2533" si="11049">$M$8</f>
        <v>0</v>
      </c>
      <c r="BF2533" s="34">
        <v>-1</v>
      </c>
      <c r="BG2533" s="34">
        <f t="shared" ref="BG2533" si="11050">-SUMPRODUCT($M$2:$M$7,$N$2:$N$7)-SUMPRODUCT($M$9:$M$12,$N$9:$N$12)</f>
        <v>-120000</v>
      </c>
      <c r="BH2533" s="34" t="e">
        <f t="shared" ref="BH2533" si="11051">IF(BE2533&lt;&gt;BE2534,MMULT(MINVERSE(BE2533:BF2534),BG2533:BG2534)," ")</f>
        <v>#NUM!</v>
      </c>
      <c r="BI2533" s="34" t="str">
        <f t="shared" ref="BI2533" si="11052">IFERROR(IF(BH2533-VLOOKUP(BE$38,$A$2:$N$12,14,FALSE)&lt;0,BH2533-VLOOKUP(BE$38,$A$2:$N$12,14,FALSE)," ")," ")</f>
        <v xml:space="preserve"> </v>
      </c>
      <c r="BJ2533" s="34" t="str">
        <f t="shared" ref="BJ2533" si="11053">IFERROR(IF(BH2533-VLOOKUP(BE$38,$A$2:$N$12,14,FALSE)&gt;0,BH2533-VLOOKUP(BE$38,$A$2:$N$12,14,FALSE)," ")," ")</f>
        <v xml:space="preserve"> </v>
      </c>
      <c r="BK2533" s="34">
        <f t="shared" ref="BK2533" si="11054">$M$9</f>
        <v>0</v>
      </c>
      <c r="BL2533" s="34">
        <v>-1</v>
      </c>
      <c r="BM2533" s="34">
        <f t="shared" ref="BM2533" si="11055">-SUMPRODUCT($M$2:$M$8,$N$2:$N$8)-SUMPRODUCT($M$10:$M$12,$N$10:$N$12)</f>
        <v>-120000</v>
      </c>
      <c r="BN2533" s="34" t="e">
        <f t="shared" ref="BN2533" si="11056">IF(BK2533&lt;&gt;BK2534,MMULT(MINVERSE(BK2533:BL2534),BM2533:BM2534)," ")</f>
        <v>#NUM!</v>
      </c>
      <c r="BO2533" s="34" t="str">
        <f t="shared" ref="BO2533" si="11057">IFERROR(IF(BN2533-VLOOKUP(BK$38,$A$2:$N$12,14,FALSE)&lt;0,BN2533-VLOOKUP(BK$38,$A$2:$N$12,14,FALSE)," ")," ")</f>
        <v xml:space="preserve"> </v>
      </c>
      <c r="BP2533" s="34" t="str">
        <f t="shared" ref="BP2533" si="11058">IFERROR(IF(BN2533-VLOOKUP(BK$38,$A$2:$N$12,14,FALSE)&gt;0,BN2533-VLOOKUP(BK$38,$A$2:$N$12,14,FALSE)," ")," ")</f>
        <v xml:space="preserve"> </v>
      </c>
      <c r="BQ2533" s="34">
        <f t="shared" ref="BQ2533" si="11059">$M$10</f>
        <v>0</v>
      </c>
      <c r="BR2533" s="34">
        <v>-1</v>
      </c>
      <c r="BS2533" s="34">
        <f t="shared" ref="BS2533" si="11060">-SUMPRODUCT($M$2:$M$9,$N$2:$N$9)-SUMPRODUCT($M$11:$M$12,$N$11:$N$12)</f>
        <v>-120000</v>
      </c>
      <c r="BT2533" s="34" t="e">
        <f t="shared" ref="BT2533" si="11061">IF(BQ2533&lt;&gt;BQ2534,MMULT(MINVERSE(BQ2533:BR2534),BS2533:BS2534)," ")</f>
        <v>#NUM!</v>
      </c>
      <c r="BU2533" s="34" t="str">
        <f t="shared" ref="BU2533" si="11062">IFERROR(IF(BT2533-VLOOKUP(BQ$38,$A$2:$N$12,14,FALSE)&lt;0,BT2533-VLOOKUP(BQ$38,$A$2:$N$12,14,FALSE)," ")," ")</f>
        <v xml:space="preserve"> </v>
      </c>
      <c r="BV2533" s="34" t="str">
        <f t="shared" ref="BV2533" si="11063">IFERROR(IF(BT2533-VLOOKUP(BQ$38,$A$2:$N$12,14,FALSE)&gt;0,BT2533-VLOOKUP(BQ$38,$A$2:$N$12,14,FALSE)," ")," ")</f>
        <v xml:space="preserve"> </v>
      </c>
      <c r="BW2533" s="34">
        <f t="shared" ref="BW2533" si="11064">$M$11</f>
        <v>0</v>
      </c>
      <c r="BX2533" s="34">
        <v>-1</v>
      </c>
      <c r="BY2533" s="34">
        <f t="shared" ref="BY2533" si="11065">-SUMPRODUCT($M$2:$M$10,$N$2:$N$10)-SUMPRODUCT($M$12,$N$12)</f>
        <v>-120000</v>
      </c>
      <c r="BZ2533" s="34" t="e">
        <f t="shared" ref="BZ2533" si="11066">IF(BW2533&lt;&gt;BW2534,MMULT(MINVERSE(BW2533:BX2534),BY2533:BY2534)," ")</f>
        <v>#NUM!</v>
      </c>
      <c r="CA2533" s="34" t="str">
        <f t="shared" ref="CA2533" si="11067">IFERROR(IF(BZ2533-VLOOKUP(BW$38,$A$2:$N$12,14,FALSE)&lt;0,BZ2533-VLOOKUP(BW$38,$A$2:$N$12,14,FALSE)," ")," ")</f>
        <v xml:space="preserve"> </v>
      </c>
      <c r="CB2533" s="34" t="str">
        <f t="shared" ref="CB2533" si="11068">IFERROR(IF(BZ2533-VLOOKUP(BW$38,$A$2:$N$12,14,FALSE)&gt;0,BZ2533-VLOOKUP(BW$38,$A$2:$N$12,14,FALSE)," ")," ")</f>
        <v xml:space="preserve"> </v>
      </c>
      <c r="CC2533" s="34">
        <f t="shared" ref="CC2533" si="11069">$M$12</f>
        <v>0</v>
      </c>
      <c r="CD2533" s="34">
        <v>-1</v>
      </c>
      <c r="CE2533" s="34">
        <f t="shared" ref="CE2533" si="11070">-SUMPRODUCT($M$2:$M$11,$N$2:$N$11)</f>
        <v>-120000</v>
      </c>
      <c r="CF2533" s="34" t="e">
        <f t="shared" ref="CF2533" si="11071">IF(CC2533&lt;&gt;CC2534,MMULT(MINVERSE(CC2533:CD2534),CE2533:CE2534)," ")</f>
        <v>#NUM!</v>
      </c>
      <c r="CG2533" s="34" t="str">
        <f t="shared" ref="CG2533" si="11072">IFERROR(IF(CF2533-VLOOKUP(CC$38,$A$2:$N$12,14,FALSE)&lt;0,CF2533-VLOOKUP(CC$38,$A$2:$N$12,14,FALSE)," ")," ")</f>
        <v xml:space="preserve"> </v>
      </c>
      <c r="CH2533" s="34" t="str">
        <f t="shared" ref="CH2533" si="11073">IFERROR(IF(CF2533-VLOOKUP(CC$38,$A$2:$N$12,14,FALSE)&gt;0,CF2533-VLOOKUP(CC$38,$A$2:$N$12,14,FALSE)," ")," ")</f>
        <v xml:space="preserve"> </v>
      </c>
    </row>
    <row r="2534" spans="1:86" x14ac:dyDescent="0.2">
      <c r="A2534" s="8" t="str">
        <f>IF(AND(COUNTIF(W$3:W$13,A$16)&gt;0,A$16&lt;&gt;B2324),A$16,IFERROR(IF(MATCH(A$16,Z$3:Z$13,0)=10,A$16," ")," "))</f>
        <v xml:space="preserve"> </v>
      </c>
      <c r="B2534" s="8" t="str">
        <f>IF(A2534=" "," ",MAX(B2533:B2533)+1)</f>
        <v xml:space="preserve"> </v>
      </c>
      <c r="C2534" s="8" t="str">
        <f>IFERROR(INDEX(A2533:A2554,MATCH(SMALL(B2533:B2554,2),B2533:B2554,0),1)," ")</f>
        <v>C4</v>
      </c>
      <c r="D2534" s="8">
        <f t="shared" ref="D2534:D2543" si="11074">IFERROR(VLOOKUP($C2534,$A$15:$O$36,2,FALSE)," ")</f>
        <v>1</v>
      </c>
      <c r="E2534" s="8">
        <f t="shared" ref="E2534:E2543" si="11075">IFERROR(VLOOKUP($C2534,$A$15:$O$36,3,FALSE)," ")</f>
        <v>0</v>
      </c>
      <c r="F2534" s="8">
        <f t="shared" ref="F2534:F2543" si="11076">IFERROR(VLOOKUP($C2534,$A$15:$O$36,4,FALSE)," ")</f>
        <v>1</v>
      </c>
      <c r="G2534" s="8">
        <f t="shared" ref="G2534:G2543" si="11077">IFERROR(VLOOKUP($C2534,$A$15:$O$36,5,FALSE)," ")</f>
        <v>0</v>
      </c>
      <c r="H2534" s="8">
        <f t="shared" ref="H2534:H2543" si="11078">IFERROR(VLOOKUP($C2534,$A$15:$O$36,6,FALSE)," ")</f>
        <v>0</v>
      </c>
      <c r="I2534" s="8">
        <f t="shared" ref="I2534:I2543" si="11079">IFERROR(VLOOKUP($C2534,$A$15:$O$36,7,FALSE)," ")</f>
        <v>0</v>
      </c>
      <c r="J2534" s="8">
        <f t="shared" ref="J2534:J2543" si="11080">IFERROR(VLOOKUP($C2534,$A$15:$O$36,8,FALSE)," ")</f>
        <v>0</v>
      </c>
      <c r="K2534" s="8">
        <f t="shared" ref="K2534:K2543" si="11081">IFERROR(VLOOKUP($C2534,$A$15:$O$36,9,FALSE)," ")</f>
        <v>0</v>
      </c>
      <c r="L2534" s="8">
        <f t="shared" ref="L2534:L2543" si="11082">IFERROR(VLOOKUP($C2534,$A$15:$O$36,10,FALSE)," ")</f>
        <v>0</v>
      </c>
      <c r="M2534" s="8">
        <f t="shared" ref="M2534:M2543" si="11083">IFERROR(VLOOKUP($C2534,$A$15:$O$36,11,FALSE)," ")</f>
        <v>0</v>
      </c>
      <c r="N2534" s="8">
        <f t="shared" ref="N2534:N2543" si="11084">IFERROR(VLOOKUP($C2534,$A$15:$O$36,12,FALSE)," ")</f>
        <v>0</v>
      </c>
      <c r="O2534" s="8">
        <f t="shared" ref="O2534:O2543" si="11085">IFERROR(VLOOKUP($C2534,$A$15:$O$36,15,FALSE)," ")</f>
        <v>400</v>
      </c>
      <c r="P2534" s="8" t="e">
        <v>#NUM!</v>
      </c>
      <c r="Q2534" s="8" t="e">
        <f t="shared" ref="Q2534" si="11086">IF(COUNTIF(P2533:P2543,"&lt;"&amp;-0.001)=0,IF(ABS(P2534)&lt;0.001,0,P2534)," ")</f>
        <v>#NUM!</v>
      </c>
      <c r="R2534" s="8"/>
      <c r="S2534" s="8"/>
      <c r="U2534" s="34" t="e">
        <f t="shared" ref="U2534" si="11087">$Q2533</f>
        <v>#NUM!</v>
      </c>
      <c r="V2534" s="34">
        <v>-1</v>
      </c>
      <c r="W2534" s="34" t="e">
        <f t="shared" ref="W2534" si="11088">-SUMPRODUCT($Q2534:$Q2543,$N$3:$N$12)</f>
        <v>#NUM!</v>
      </c>
      <c r="X2534" s="34"/>
      <c r="Y2534" s="34"/>
      <c r="Z2534" s="34"/>
      <c r="AA2534" s="34" t="e">
        <f t="shared" ref="AA2534" si="11089">$Q2534</f>
        <v>#NUM!</v>
      </c>
      <c r="AB2534" s="34">
        <v>-1</v>
      </c>
      <c r="AC2534" s="34" t="e">
        <f t="shared" ref="AC2534" si="11090">-SUMPRODUCT($Q2533:$Q2533,$N$2:$N$2)-SUMPRODUCT($Q2535:$Q2543,$N$4:$N$12)</f>
        <v>#NUM!</v>
      </c>
      <c r="AD2534" s="34"/>
      <c r="AE2534" s="34"/>
      <c r="AF2534" s="34"/>
      <c r="AG2534" s="34" t="e">
        <f t="shared" ref="AG2534" si="11091">$Q2535</f>
        <v>#NUM!</v>
      </c>
      <c r="AH2534" s="34">
        <v>-1</v>
      </c>
      <c r="AI2534" s="34" t="e">
        <f t="shared" ref="AI2534" si="11092">-SUMPRODUCT($Q2533:$Q2534,$N$2:$N$3)-SUMPRODUCT($Q2536:$Q2543,$N$5:$N$12)</f>
        <v>#NUM!</v>
      </c>
      <c r="AJ2534" s="34"/>
      <c r="AK2534" s="34"/>
      <c r="AL2534" s="34"/>
      <c r="AM2534" s="34" t="e">
        <f t="shared" ref="AM2534" si="11093">$Q2536</f>
        <v>#NUM!</v>
      </c>
      <c r="AN2534" s="34">
        <v>-1</v>
      </c>
      <c r="AO2534" s="34" t="e">
        <f t="shared" ref="AO2534" si="11094">-SUMPRODUCT($Q2533:$Q2535,$N$2:$N$4)-SUMPRODUCT($Q2537:$Q2543,$N$6:$N$12)</f>
        <v>#NUM!</v>
      </c>
      <c r="AP2534" s="34"/>
      <c r="AQ2534" s="34"/>
      <c r="AR2534" s="34"/>
      <c r="AS2534" s="34" t="e">
        <f t="shared" ref="AS2534" si="11095">$Q2537</f>
        <v>#NUM!</v>
      </c>
      <c r="AT2534" s="34">
        <v>-1</v>
      </c>
      <c r="AU2534" s="34" t="e">
        <f t="shared" ref="AU2534" si="11096">-SUMPRODUCT($Q2533:$Q2536,$N$2:$N$5)-SUMPRODUCT($Q2538:$Q2543,$N$7:$N$12)</f>
        <v>#NUM!</v>
      </c>
      <c r="AV2534" s="34"/>
      <c r="AW2534" s="34"/>
      <c r="AX2534" s="34"/>
      <c r="AY2534" s="34" t="e">
        <f t="shared" ref="AY2534" si="11097">$Q2538</f>
        <v>#NUM!</v>
      </c>
      <c r="AZ2534" s="34">
        <v>-1</v>
      </c>
      <c r="BA2534" s="34" t="e">
        <f t="shared" ref="BA2534" si="11098">-SUMPRODUCT($Q2533:$Q2537,$N$2:$N$6)-SUMPRODUCT($Q2539:$Q2543,$N$8:$N$12)</f>
        <v>#NUM!</v>
      </c>
      <c r="BB2534" s="34"/>
      <c r="BC2534" s="34"/>
      <c r="BD2534" s="34"/>
      <c r="BE2534" s="34" t="e">
        <f t="shared" ref="BE2534" si="11099">$Q2539</f>
        <v>#NUM!</v>
      </c>
      <c r="BF2534" s="34">
        <v>-1</v>
      </c>
      <c r="BG2534" s="34" t="e">
        <f t="shared" ref="BG2534" si="11100">-SUMPRODUCT($Q2533:$Q2538,$N$2:$N$7)-SUMPRODUCT($Q2540:$Q2543,$N$9:$N$12)</f>
        <v>#NUM!</v>
      </c>
      <c r="BH2534" s="34"/>
      <c r="BI2534" s="34"/>
      <c r="BJ2534" s="34"/>
      <c r="BK2534" s="34" t="e">
        <f t="shared" ref="BK2534" si="11101">$Q2540</f>
        <v>#NUM!</v>
      </c>
      <c r="BL2534" s="34">
        <v>-1</v>
      </c>
      <c r="BM2534" s="34" t="e">
        <f t="shared" ref="BM2534" si="11102">-SUMPRODUCT($Q2533:$Q2539,$N$2:$N$8)-SUMPRODUCT($Q2541:$Q2543,$N$10:$N$12)</f>
        <v>#NUM!</v>
      </c>
      <c r="BN2534" s="34"/>
      <c r="BO2534" s="34"/>
      <c r="BP2534" s="34"/>
      <c r="BQ2534" s="34" t="e">
        <f t="shared" ref="BQ2534" si="11103">$Q2541</f>
        <v>#NUM!</v>
      </c>
      <c r="BR2534" s="34">
        <v>-1</v>
      </c>
      <c r="BS2534" s="34" t="e">
        <f t="shared" ref="BS2534" si="11104">-SUMPRODUCT($Q2533:$Q2540,$N$2:$N$9)-SUMPRODUCT($Q2542:$Q2543,$N$11:$N$12)</f>
        <v>#NUM!</v>
      </c>
      <c r="BT2534" s="34"/>
      <c r="BU2534" s="34"/>
      <c r="BV2534" s="34"/>
      <c r="BW2534" s="34" t="e">
        <f t="shared" ref="BW2534" si="11105">$Q2542</f>
        <v>#NUM!</v>
      </c>
      <c r="BX2534" s="34">
        <v>-1</v>
      </c>
      <c r="BY2534" s="34" t="e">
        <f t="shared" ref="BY2534" si="11106">-SUMPRODUCT($Q2533:$Q2541,$N$2:$N$10)-SUMPRODUCT($Q2543,$N$12)</f>
        <v>#NUM!</v>
      </c>
      <c r="BZ2534" s="34"/>
      <c r="CA2534" s="34"/>
      <c r="CB2534" s="34"/>
      <c r="CC2534" s="34" t="e">
        <f t="shared" ref="CC2534" si="11107">$Q2543</f>
        <v>#NUM!</v>
      </c>
      <c r="CD2534" s="34">
        <v>-1</v>
      </c>
      <c r="CE2534" s="34" t="e">
        <f t="shared" ref="CE2534" si="11108">-SUMPRODUCT($Q2533:$Q2542,$N$2:$N$11)</f>
        <v>#NUM!</v>
      </c>
      <c r="CF2534" s="34"/>
      <c r="CG2534" s="34"/>
      <c r="CH2534" s="34"/>
    </row>
    <row r="2535" spans="1:86" x14ac:dyDescent="0.2">
      <c r="A2535" s="8" t="str">
        <f>IF(AND(COUNTIF(W$3:W$13,A$17)&gt;0,A$17&lt;&gt;B2324),A$17,IFERROR(IF(MATCH(A$17,Z$3:Z$13,0)=10,A$17," ")," "))</f>
        <v>C3</v>
      </c>
      <c r="B2535" s="8">
        <f>IF(A2535=" "," ",MAX(B2533:B2534)+1)</f>
        <v>1</v>
      </c>
      <c r="C2535" s="8" t="str">
        <f>IFERROR(INDEX(A2533:A2554,MATCH(SMALL(B2533:B2554,3),B2533:B2554,0),1)," ")</f>
        <v>C12</v>
      </c>
      <c r="D2535" s="8">
        <f t="shared" si="11074"/>
        <v>1</v>
      </c>
      <c r="E2535" s="8">
        <f t="shared" si="11075"/>
        <v>0</v>
      </c>
      <c r="F2535" s="8">
        <f t="shared" si="11076"/>
        <v>0</v>
      </c>
      <c r="G2535" s="8">
        <f t="shared" si="11077"/>
        <v>0</v>
      </c>
      <c r="H2535" s="8">
        <f t="shared" si="11078"/>
        <v>0</v>
      </c>
      <c r="I2535" s="8">
        <f t="shared" si="11079"/>
        <v>0</v>
      </c>
      <c r="J2535" s="8">
        <f t="shared" si="11080"/>
        <v>0</v>
      </c>
      <c r="K2535" s="8">
        <f t="shared" si="11081"/>
        <v>0</v>
      </c>
      <c r="L2535" s="8">
        <f t="shared" si="11082"/>
        <v>0</v>
      </c>
      <c r="M2535" s="8">
        <f t="shared" si="11083"/>
        <v>0</v>
      </c>
      <c r="N2535" s="8">
        <f t="shared" si="11084"/>
        <v>0</v>
      </c>
      <c r="O2535" s="8">
        <f t="shared" si="11085"/>
        <v>0</v>
      </c>
      <c r="P2535" s="8" t="e">
        <v>#NUM!</v>
      </c>
      <c r="Q2535" s="8" t="e">
        <f t="shared" ref="Q2535" si="11109">IF(COUNTIF(P2533:P2543,"&lt;"&amp;-0.001)=0,IF(ABS(P2535)&lt;0.001,0,P2535)," ")</f>
        <v>#NUM!</v>
      </c>
      <c r="R2535" s="8"/>
      <c r="S2535" s="8"/>
      <c r="U2535" s="34"/>
      <c r="V2535" s="34"/>
      <c r="W2535" s="34"/>
      <c r="X2535" s="34"/>
      <c r="Y2535" s="34"/>
      <c r="Z2535" s="34"/>
      <c r="AA2535" s="34"/>
      <c r="AB2535" s="34"/>
      <c r="AC2535" s="34"/>
      <c r="AD2535" s="34"/>
      <c r="AE2535" s="34"/>
      <c r="AF2535" s="34"/>
      <c r="AG2535" s="34"/>
      <c r="AH2535" s="34"/>
      <c r="AI2535" s="34"/>
      <c r="AJ2535" s="34"/>
      <c r="AK2535" s="34"/>
      <c r="AL2535" s="34"/>
      <c r="AM2535" s="34"/>
      <c r="AN2535" s="34"/>
      <c r="AO2535" s="34"/>
      <c r="AP2535" s="34"/>
      <c r="AQ2535" s="34"/>
      <c r="AR2535" s="34"/>
      <c r="AS2535" s="34"/>
      <c r="AT2535" s="34"/>
      <c r="AU2535" s="34"/>
      <c r="AV2535" s="34"/>
      <c r="AW2535" s="34"/>
      <c r="AX2535" s="34"/>
      <c r="AY2535" s="34"/>
      <c r="AZ2535" s="34"/>
      <c r="BA2535" s="34"/>
      <c r="BB2535" s="34"/>
      <c r="BC2535" s="34"/>
      <c r="BD2535" s="34"/>
      <c r="BE2535" s="34"/>
      <c r="BF2535" s="34"/>
      <c r="BG2535" s="34"/>
      <c r="BH2535" s="34"/>
      <c r="BI2535" s="34"/>
      <c r="BJ2535" s="34"/>
      <c r="BK2535" s="34"/>
      <c r="BL2535" s="34"/>
      <c r="BM2535" s="34"/>
      <c r="BN2535" s="34"/>
      <c r="BO2535" s="34"/>
      <c r="BP2535" s="34"/>
      <c r="BQ2535" s="34"/>
      <c r="BR2535" s="34"/>
      <c r="BS2535" s="34"/>
      <c r="BT2535" s="34"/>
      <c r="BU2535" s="34"/>
      <c r="BV2535" s="34"/>
      <c r="BW2535" s="34"/>
      <c r="BX2535" s="34"/>
      <c r="BY2535" s="34"/>
      <c r="BZ2535" s="34"/>
      <c r="CA2535" s="34"/>
      <c r="CB2535" s="34"/>
      <c r="CC2535" s="34"/>
      <c r="CD2535" s="34"/>
      <c r="CE2535" s="34"/>
      <c r="CF2535" s="34"/>
      <c r="CG2535" s="34"/>
      <c r="CH2535" s="34"/>
    </row>
    <row r="2536" spans="1:86" x14ac:dyDescent="0.2">
      <c r="A2536" s="8" t="str">
        <f>IF(AND(COUNTIF(W$3:W$13,A$18)&gt;0,A$18&lt;&gt;B2324),A$18,IFERROR(IF(MATCH(A$18,Z$3:Z$13,0)=10,A$18," ")," "))</f>
        <v>C4</v>
      </c>
      <c r="B2536" s="8">
        <f>IF(A2536=" "," ",MAX(B2533:B2535)+1)</f>
        <v>2</v>
      </c>
      <c r="C2536" s="8" t="str">
        <f>IFERROR(INDEX(A2533:A2554,MATCH(SMALL(B2533:B2554,4),B2533:B2554,0),1)," ")</f>
        <v>C13</v>
      </c>
      <c r="D2536" s="8">
        <f t="shared" si="11074"/>
        <v>0</v>
      </c>
      <c r="E2536" s="8">
        <f t="shared" si="11075"/>
        <v>1</v>
      </c>
      <c r="F2536" s="8">
        <f t="shared" si="11076"/>
        <v>0</v>
      </c>
      <c r="G2536" s="8">
        <f t="shared" si="11077"/>
        <v>0</v>
      </c>
      <c r="H2536" s="8">
        <f t="shared" si="11078"/>
        <v>0</v>
      </c>
      <c r="I2536" s="8">
        <f t="shared" si="11079"/>
        <v>0</v>
      </c>
      <c r="J2536" s="8">
        <f t="shared" si="11080"/>
        <v>0</v>
      </c>
      <c r="K2536" s="8">
        <f t="shared" si="11081"/>
        <v>0</v>
      </c>
      <c r="L2536" s="8">
        <f t="shared" si="11082"/>
        <v>0</v>
      </c>
      <c r="M2536" s="8">
        <f t="shared" si="11083"/>
        <v>0</v>
      </c>
      <c r="N2536" s="8">
        <f t="shared" si="11084"/>
        <v>0</v>
      </c>
      <c r="O2536" s="8">
        <f t="shared" si="11085"/>
        <v>0</v>
      </c>
      <c r="P2536" s="8" t="e">
        <v>#NUM!</v>
      </c>
      <c r="Q2536" s="8" t="e">
        <f t="shared" ref="Q2536" si="11110">IF(COUNTIF(P2533:P2543,"&lt;"&amp;-0.001)=0,IF(ABS(P2536)&lt;0.001,0,P2536)," ")</f>
        <v>#NUM!</v>
      </c>
      <c r="R2536" s="8"/>
      <c r="S2536" s="8"/>
      <c r="U2536" s="34"/>
      <c r="V2536" s="34"/>
      <c r="W2536" s="34"/>
      <c r="X2536" s="34"/>
      <c r="Y2536" s="34"/>
      <c r="Z2536" s="34"/>
      <c r="AA2536" s="34"/>
      <c r="AB2536" s="34"/>
      <c r="AC2536" s="34"/>
      <c r="AD2536" s="34"/>
      <c r="AE2536" s="34"/>
      <c r="AF2536" s="34"/>
      <c r="AG2536" s="34"/>
      <c r="AH2536" s="34"/>
      <c r="AI2536" s="34"/>
      <c r="AJ2536" s="34"/>
      <c r="AK2536" s="34"/>
      <c r="AL2536" s="34"/>
      <c r="AM2536" s="34"/>
      <c r="AN2536" s="34"/>
      <c r="AO2536" s="34"/>
      <c r="AP2536" s="34"/>
      <c r="AQ2536" s="34"/>
      <c r="AR2536" s="34"/>
      <c r="AS2536" s="34"/>
      <c r="AT2536" s="34"/>
      <c r="AU2536" s="34"/>
      <c r="AV2536" s="34"/>
      <c r="AW2536" s="34"/>
      <c r="AX2536" s="34"/>
      <c r="AY2536" s="34"/>
      <c r="AZ2536" s="34"/>
      <c r="BA2536" s="34"/>
      <c r="BB2536" s="34"/>
      <c r="BC2536" s="34"/>
      <c r="BD2536" s="34"/>
      <c r="BE2536" s="34"/>
      <c r="BF2536" s="34"/>
      <c r="BG2536" s="34"/>
      <c r="BH2536" s="34"/>
      <c r="BI2536" s="34"/>
      <c r="BJ2536" s="34"/>
      <c r="BK2536" s="34"/>
      <c r="BL2536" s="34"/>
      <c r="BM2536" s="34"/>
      <c r="BN2536" s="34"/>
      <c r="BO2536" s="34"/>
      <c r="BP2536" s="34"/>
      <c r="BQ2536" s="34"/>
      <c r="BR2536" s="34"/>
      <c r="BS2536" s="34"/>
      <c r="BT2536" s="34"/>
      <c r="BU2536" s="34"/>
      <c r="BV2536" s="34"/>
      <c r="BW2536" s="34"/>
      <c r="BX2536" s="34"/>
      <c r="BY2536" s="34"/>
      <c r="BZ2536" s="34"/>
      <c r="CA2536" s="34"/>
      <c r="CB2536" s="34"/>
      <c r="CC2536" s="34"/>
      <c r="CD2536" s="34"/>
      <c r="CE2536" s="34"/>
      <c r="CF2536" s="34"/>
      <c r="CG2536" s="34"/>
      <c r="CH2536" s="34"/>
    </row>
    <row r="2537" spans="1:86" x14ac:dyDescent="0.2">
      <c r="A2537" s="8" t="str">
        <f>IF(AND(COUNTIF(W$3:W$13,A$19)&gt;0,A$19&lt;&gt;B2324),A$19,IFERROR(IF(MATCH(A$19,Z$3:Z$13,0)=10,A$19," ")," "))</f>
        <v xml:space="preserve"> </v>
      </c>
      <c r="B2537" s="8" t="str">
        <f>IF(A2537=" "," ",MAX(B2533:B2536)+1)</f>
        <v xml:space="preserve"> </v>
      </c>
      <c r="C2537" s="8" t="str">
        <f>IFERROR(INDEX(A2533:A2554,MATCH(SMALL(B2533:B2554,5),B2533:B2554,0),1)," ")</f>
        <v>C15</v>
      </c>
      <c r="D2537" s="8">
        <f t="shared" si="11074"/>
        <v>0</v>
      </c>
      <c r="E2537" s="8">
        <f t="shared" si="11075"/>
        <v>0</v>
      </c>
      <c r="F2537" s="8">
        <f t="shared" si="11076"/>
        <v>0</v>
      </c>
      <c r="G2537" s="8">
        <f t="shared" si="11077"/>
        <v>1</v>
      </c>
      <c r="H2537" s="8">
        <f t="shared" si="11078"/>
        <v>0</v>
      </c>
      <c r="I2537" s="8">
        <f t="shared" si="11079"/>
        <v>0</v>
      </c>
      <c r="J2537" s="8">
        <f t="shared" si="11080"/>
        <v>0</v>
      </c>
      <c r="K2537" s="8">
        <f t="shared" si="11081"/>
        <v>0</v>
      </c>
      <c r="L2537" s="8">
        <f t="shared" si="11082"/>
        <v>0</v>
      </c>
      <c r="M2537" s="8">
        <f t="shared" si="11083"/>
        <v>0</v>
      </c>
      <c r="N2537" s="8">
        <f t="shared" si="11084"/>
        <v>0</v>
      </c>
      <c r="O2537" s="8">
        <f t="shared" si="11085"/>
        <v>0</v>
      </c>
      <c r="P2537" s="8" t="e">
        <v>#NUM!</v>
      </c>
      <c r="Q2537" s="8" t="e">
        <f t="shared" ref="Q2537" si="11111">IF(COUNTIF(P2533:P2543,"&lt;"&amp;-0.001)=0,IF(ABS(P2537)&lt;0.001,0,P2537)," ")</f>
        <v>#NUM!</v>
      </c>
      <c r="R2537" s="8"/>
      <c r="S2537" s="8"/>
      <c r="U2537" s="34"/>
      <c r="V2537" s="34"/>
      <c r="W2537" s="34"/>
      <c r="X2537" s="34"/>
      <c r="Y2537" s="34"/>
      <c r="Z2537" s="34"/>
      <c r="AA2537" s="34"/>
      <c r="AB2537" s="34"/>
      <c r="AC2537" s="34"/>
      <c r="AD2537" s="34"/>
      <c r="AE2537" s="34"/>
      <c r="AF2537" s="34"/>
      <c r="AG2537" s="34"/>
      <c r="AH2537" s="34"/>
      <c r="AI2537" s="34"/>
      <c r="AJ2537" s="34"/>
      <c r="AK2537" s="34"/>
      <c r="AL2537" s="34"/>
      <c r="AM2537" s="34"/>
      <c r="AN2537" s="34"/>
      <c r="AO2537" s="34"/>
      <c r="AP2537" s="34"/>
      <c r="AQ2537" s="34"/>
      <c r="AR2537" s="34"/>
      <c r="AS2537" s="34"/>
      <c r="AT2537" s="34"/>
      <c r="AU2537" s="34"/>
      <c r="AV2537" s="34"/>
      <c r="AW2537" s="34"/>
      <c r="AX2537" s="34"/>
      <c r="AY2537" s="34"/>
      <c r="AZ2537" s="34"/>
      <c r="BA2537" s="34"/>
      <c r="BB2537" s="34"/>
      <c r="BC2537" s="34"/>
      <c r="BD2537" s="34"/>
      <c r="BE2537" s="34"/>
      <c r="BF2537" s="34"/>
      <c r="BG2537" s="34"/>
      <c r="BH2537" s="34"/>
      <c r="BI2537" s="34"/>
      <c r="BJ2537" s="34"/>
      <c r="BK2537" s="34"/>
      <c r="BL2537" s="34"/>
      <c r="BM2537" s="34"/>
      <c r="BN2537" s="34"/>
      <c r="BO2537" s="34"/>
      <c r="BP2537" s="34"/>
      <c r="BQ2537" s="34"/>
      <c r="BR2537" s="34"/>
      <c r="BS2537" s="34"/>
      <c r="BT2537" s="34"/>
      <c r="BU2537" s="34"/>
      <c r="BV2537" s="34"/>
      <c r="BW2537" s="34"/>
      <c r="BX2537" s="34"/>
      <c r="BY2537" s="34"/>
      <c r="BZ2537" s="34"/>
      <c r="CA2537" s="34"/>
      <c r="CB2537" s="34"/>
      <c r="CC2537" s="34"/>
      <c r="CD2537" s="34"/>
      <c r="CE2537" s="34"/>
      <c r="CF2537" s="34"/>
      <c r="CG2537" s="34"/>
      <c r="CH2537" s="34"/>
    </row>
    <row r="2538" spans="1:86" x14ac:dyDescent="0.2">
      <c r="A2538" s="8" t="str">
        <f>IF(AND(COUNTIF(W$3:W$13,A$20)&gt;0,A$20&lt;&gt;B2324),A$20,IFERROR(IF(MATCH(A$20,Z$3:Z$13,0)=10,A$20," ")," "))</f>
        <v xml:space="preserve"> </v>
      </c>
      <c r="B2538" s="8" t="str">
        <f>IF(A2538=" "," ",MAX(B2533:B2537)+1)</f>
        <v xml:space="preserve"> </v>
      </c>
      <c r="C2538" s="8" t="str">
        <f>IFERROR(INDEX(A2533:A2554,MATCH(SMALL(B2533:B2554,6),B2533:B2554,0),1)," ")</f>
        <v>C16</v>
      </c>
      <c r="D2538" s="8">
        <f t="shared" si="11074"/>
        <v>0</v>
      </c>
      <c r="E2538" s="8">
        <f t="shared" si="11075"/>
        <v>0</v>
      </c>
      <c r="F2538" s="8">
        <f t="shared" si="11076"/>
        <v>0</v>
      </c>
      <c r="G2538" s="8">
        <f t="shared" si="11077"/>
        <v>0</v>
      </c>
      <c r="H2538" s="8">
        <f t="shared" si="11078"/>
        <v>1</v>
      </c>
      <c r="I2538" s="8">
        <f t="shared" si="11079"/>
        <v>0</v>
      </c>
      <c r="J2538" s="8">
        <f t="shared" si="11080"/>
        <v>0</v>
      </c>
      <c r="K2538" s="8">
        <f t="shared" si="11081"/>
        <v>0</v>
      </c>
      <c r="L2538" s="8">
        <f t="shared" si="11082"/>
        <v>0</v>
      </c>
      <c r="M2538" s="8">
        <f t="shared" si="11083"/>
        <v>0</v>
      </c>
      <c r="N2538" s="8">
        <f t="shared" si="11084"/>
        <v>0</v>
      </c>
      <c r="O2538" s="8">
        <f t="shared" si="11085"/>
        <v>0</v>
      </c>
      <c r="P2538" s="8" t="e">
        <v>#NUM!</v>
      </c>
      <c r="Q2538" s="8" t="e">
        <f t="shared" ref="Q2538" si="11112">IF(COUNTIF(P2533:P2543,"&lt;"&amp;-0.001)=0,IF(ABS(P2538)&lt;0.001,0,P2538)," ")</f>
        <v>#NUM!</v>
      </c>
      <c r="R2538" s="8"/>
      <c r="S2538" s="8"/>
      <c r="U2538" s="34"/>
      <c r="V2538" s="34"/>
      <c r="W2538" s="34"/>
      <c r="X2538" s="34"/>
      <c r="Y2538" s="34"/>
      <c r="Z2538" s="34"/>
      <c r="AA2538" s="34"/>
      <c r="AB2538" s="34"/>
      <c r="AC2538" s="34"/>
      <c r="AD2538" s="34"/>
      <c r="AE2538" s="34"/>
      <c r="AF2538" s="34"/>
      <c r="AG2538" s="34"/>
      <c r="AH2538" s="34"/>
      <c r="AI2538" s="34"/>
      <c r="AJ2538" s="34"/>
      <c r="AK2538" s="34"/>
      <c r="AL2538" s="34"/>
      <c r="AM2538" s="34"/>
      <c r="AN2538" s="34"/>
      <c r="AO2538" s="34"/>
      <c r="AP2538" s="34"/>
      <c r="AQ2538" s="34"/>
      <c r="AR2538" s="34"/>
      <c r="AS2538" s="34"/>
      <c r="AT2538" s="34"/>
      <c r="AU2538" s="34"/>
      <c r="AV2538" s="34"/>
      <c r="AW2538" s="34"/>
      <c r="AX2538" s="34"/>
      <c r="AY2538" s="34"/>
      <c r="AZ2538" s="34"/>
      <c r="BA2538" s="34"/>
      <c r="BB2538" s="34"/>
      <c r="BC2538" s="34"/>
      <c r="BD2538" s="34"/>
      <c r="BE2538" s="34"/>
      <c r="BF2538" s="34"/>
      <c r="BG2538" s="34"/>
      <c r="BH2538" s="34"/>
      <c r="BI2538" s="34"/>
      <c r="BJ2538" s="34"/>
      <c r="BK2538" s="34"/>
      <c r="BL2538" s="34"/>
      <c r="BM2538" s="34"/>
      <c r="BN2538" s="34"/>
      <c r="BO2538" s="34"/>
      <c r="BP2538" s="34"/>
      <c r="BQ2538" s="34"/>
      <c r="BR2538" s="34"/>
      <c r="BS2538" s="34"/>
      <c r="BT2538" s="34"/>
      <c r="BU2538" s="34"/>
      <c r="BV2538" s="34"/>
      <c r="BW2538" s="34"/>
      <c r="BX2538" s="34"/>
      <c r="BY2538" s="34"/>
      <c r="BZ2538" s="34"/>
      <c r="CA2538" s="34"/>
      <c r="CB2538" s="34"/>
      <c r="CC2538" s="34"/>
      <c r="CD2538" s="34"/>
      <c r="CE2538" s="34"/>
      <c r="CF2538" s="34"/>
      <c r="CG2538" s="34"/>
      <c r="CH2538" s="34"/>
    </row>
    <row r="2539" spans="1:86" x14ac:dyDescent="0.2">
      <c r="A2539" s="8" t="str">
        <f>IF(AND(COUNTIF(W$3:W$13,A$21)&gt;0,A$21&lt;&gt;B2324),A$21,IFERROR(IF(MATCH(A$21,Z$3:Z$13,0)=10,A$21," ")," "))</f>
        <v xml:space="preserve"> </v>
      </c>
      <c r="B2539" s="8" t="str">
        <f>IF(A2539=" "," ",MAX(B2533:B2538)+1)</f>
        <v xml:space="preserve"> </v>
      </c>
      <c r="C2539" s="8" t="str">
        <f>IFERROR(INDEX(A2533:A2554,MATCH(SMALL(B2533:B2554,7),B2533:B2554,0),1)," ")</f>
        <v>C17</v>
      </c>
      <c r="D2539" s="8">
        <f t="shared" si="11074"/>
        <v>0</v>
      </c>
      <c r="E2539" s="8">
        <f t="shared" si="11075"/>
        <v>0</v>
      </c>
      <c r="F2539" s="8">
        <f t="shared" si="11076"/>
        <v>0</v>
      </c>
      <c r="G2539" s="8">
        <f t="shared" si="11077"/>
        <v>0</v>
      </c>
      <c r="H2539" s="8">
        <f t="shared" si="11078"/>
        <v>0</v>
      </c>
      <c r="I2539" s="8">
        <f t="shared" si="11079"/>
        <v>1</v>
      </c>
      <c r="J2539" s="8">
        <f t="shared" si="11080"/>
        <v>0</v>
      </c>
      <c r="K2539" s="8">
        <f t="shared" si="11081"/>
        <v>0</v>
      </c>
      <c r="L2539" s="8">
        <f t="shared" si="11082"/>
        <v>0</v>
      </c>
      <c r="M2539" s="8">
        <f t="shared" si="11083"/>
        <v>0</v>
      </c>
      <c r="N2539" s="8">
        <f t="shared" si="11084"/>
        <v>0</v>
      </c>
      <c r="O2539" s="8">
        <f t="shared" si="11085"/>
        <v>0</v>
      </c>
      <c r="P2539" s="8" t="e">
        <v>#NUM!</v>
      </c>
      <c r="Q2539" s="8" t="e">
        <f t="shared" ref="Q2539" si="11113">IF(COUNTIF(P2533:P2543,"&lt;"&amp;-0.001)=0,IF(ABS(P2539)&lt;0.001,0,P2539)," ")</f>
        <v>#NUM!</v>
      </c>
      <c r="R2539" s="8"/>
      <c r="S2539" s="8"/>
      <c r="U2539" s="34"/>
      <c r="V2539" s="34"/>
      <c r="W2539" s="34"/>
      <c r="X2539" s="34"/>
      <c r="Y2539" s="34"/>
      <c r="Z2539" s="34"/>
      <c r="AA2539" s="34"/>
      <c r="AB2539" s="34"/>
      <c r="AC2539" s="34"/>
      <c r="AD2539" s="34"/>
      <c r="AE2539" s="34"/>
      <c r="AF2539" s="34"/>
      <c r="AG2539" s="34"/>
      <c r="AH2539" s="34"/>
      <c r="AI2539" s="34"/>
      <c r="AJ2539" s="34"/>
      <c r="AK2539" s="34"/>
      <c r="AL2539" s="34"/>
      <c r="AM2539" s="34"/>
      <c r="AN2539" s="34"/>
      <c r="AO2539" s="34"/>
      <c r="AP2539" s="34"/>
      <c r="AQ2539" s="34"/>
      <c r="AR2539" s="34"/>
      <c r="AS2539" s="34"/>
      <c r="AT2539" s="34"/>
      <c r="AU2539" s="34"/>
      <c r="AV2539" s="34"/>
      <c r="AW2539" s="34"/>
      <c r="AX2539" s="34"/>
      <c r="AY2539" s="34"/>
      <c r="AZ2539" s="34"/>
      <c r="BA2539" s="34"/>
      <c r="BB2539" s="34"/>
      <c r="BC2539" s="34"/>
      <c r="BD2539" s="34"/>
      <c r="BE2539" s="34"/>
      <c r="BF2539" s="34"/>
      <c r="BG2539" s="34"/>
      <c r="BH2539" s="34"/>
      <c r="BI2539" s="34"/>
      <c r="BJ2539" s="34"/>
      <c r="BK2539" s="34"/>
      <c r="BL2539" s="34"/>
      <c r="BM2539" s="34"/>
      <c r="BN2539" s="34"/>
      <c r="BO2539" s="34"/>
      <c r="BP2539" s="34"/>
      <c r="BQ2539" s="34"/>
      <c r="BR2539" s="34"/>
      <c r="BS2539" s="34"/>
      <c r="BT2539" s="34"/>
      <c r="BU2539" s="34"/>
      <c r="BV2539" s="34"/>
      <c r="BW2539" s="34"/>
      <c r="BX2539" s="34"/>
      <c r="BY2539" s="34"/>
      <c r="BZ2539" s="34"/>
      <c r="CA2539" s="34"/>
      <c r="CB2539" s="34"/>
      <c r="CC2539" s="34"/>
      <c r="CD2539" s="34"/>
      <c r="CE2539" s="34"/>
      <c r="CF2539" s="34"/>
      <c r="CG2539" s="34"/>
      <c r="CH2539" s="34"/>
    </row>
    <row r="2540" spans="1:86" x14ac:dyDescent="0.2">
      <c r="A2540" s="8" t="str">
        <f>IF(AND(COUNTIF(W$3:W$13,A$22)&gt;0,A$22&lt;&gt;B2324),A$22,IFERROR(IF(MATCH(A$22,Z$3:Z$13,0)=10,A$22," ")," "))</f>
        <v xml:space="preserve"> </v>
      </c>
      <c r="B2540" s="8" t="str">
        <f>IF(A2540=" "," ",MAX(B2533:B2539)+1)</f>
        <v xml:space="preserve"> </v>
      </c>
      <c r="C2540" s="8" t="str">
        <f>IFERROR(INDEX(A2533:A2554,MATCH(SMALL(B2533:B2554,8),B2533:B2554,0),1)," ")</f>
        <v>C18</v>
      </c>
      <c r="D2540" s="8">
        <f t="shared" si="11074"/>
        <v>0</v>
      </c>
      <c r="E2540" s="8">
        <f t="shared" si="11075"/>
        <v>0</v>
      </c>
      <c r="F2540" s="8">
        <f t="shared" si="11076"/>
        <v>0</v>
      </c>
      <c r="G2540" s="8">
        <f t="shared" si="11077"/>
        <v>0</v>
      </c>
      <c r="H2540" s="8">
        <f t="shared" si="11078"/>
        <v>0</v>
      </c>
      <c r="I2540" s="8">
        <f t="shared" si="11079"/>
        <v>0</v>
      </c>
      <c r="J2540" s="8">
        <f t="shared" si="11080"/>
        <v>1</v>
      </c>
      <c r="K2540" s="8">
        <f t="shared" si="11081"/>
        <v>0</v>
      </c>
      <c r="L2540" s="8">
        <f t="shared" si="11082"/>
        <v>0</v>
      </c>
      <c r="M2540" s="8">
        <f t="shared" si="11083"/>
        <v>0</v>
      </c>
      <c r="N2540" s="8">
        <f t="shared" si="11084"/>
        <v>0</v>
      </c>
      <c r="O2540" s="8">
        <f t="shared" si="11085"/>
        <v>0</v>
      </c>
      <c r="P2540" s="8" t="e">
        <v>#NUM!</v>
      </c>
      <c r="Q2540" s="8" t="e">
        <f t="shared" ref="Q2540" si="11114">IF(COUNTIF(P2533:P2543,"&lt;"&amp;-0.001)=0,IF(ABS(P2540)&lt;0.001,0,P2540)," ")</f>
        <v>#NUM!</v>
      </c>
      <c r="R2540" s="8"/>
      <c r="S2540" s="8"/>
      <c r="U2540" s="34"/>
      <c r="V2540" s="34"/>
      <c r="W2540" s="34"/>
      <c r="X2540" s="34"/>
      <c r="Y2540" s="34"/>
      <c r="Z2540" s="34"/>
      <c r="AA2540" s="34"/>
      <c r="AB2540" s="34"/>
      <c r="AC2540" s="34"/>
      <c r="AD2540" s="34"/>
      <c r="AE2540" s="34"/>
      <c r="AF2540" s="34"/>
      <c r="AG2540" s="34"/>
      <c r="AH2540" s="34"/>
      <c r="AI2540" s="34"/>
      <c r="AJ2540" s="34"/>
      <c r="AK2540" s="34"/>
      <c r="AL2540" s="34"/>
      <c r="AM2540" s="34"/>
      <c r="AN2540" s="34"/>
      <c r="AO2540" s="34"/>
      <c r="AP2540" s="34"/>
      <c r="AQ2540" s="34"/>
      <c r="AR2540" s="34"/>
      <c r="AS2540" s="34"/>
      <c r="AT2540" s="34"/>
      <c r="AU2540" s="34"/>
      <c r="AV2540" s="34"/>
      <c r="AW2540" s="34"/>
      <c r="AX2540" s="34"/>
      <c r="AY2540" s="34"/>
      <c r="AZ2540" s="34"/>
      <c r="BA2540" s="34"/>
      <c r="BB2540" s="34"/>
      <c r="BC2540" s="34"/>
      <c r="BD2540" s="34"/>
      <c r="BE2540" s="34"/>
      <c r="BF2540" s="34"/>
      <c r="BG2540" s="34"/>
      <c r="BH2540" s="34"/>
      <c r="BI2540" s="34"/>
      <c r="BJ2540" s="34"/>
      <c r="BK2540" s="34"/>
      <c r="BL2540" s="34"/>
      <c r="BM2540" s="34"/>
      <c r="BN2540" s="34"/>
      <c r="BO2540" s="34"/>
      <c r="BP2540" s="34"/>
      <c r="BQ2540" s="34"/>
      <c r="BR2540" s="34"/>
      <c r="BS2540" s="34"/>
      <c r="BT2540" s="34"/>
      <c r="BU2540" s="34"/>
      <c r="BV2540" s="34"/>
      <c r="BW2540" s="34"/>
      <c r="BX2540" s="34"/>
      <c r="BY2540" s="34"/>
      <c r="BZ2540" s="34"/>
      <c r="CA2540" s="34"/>
      <c r="CB2540" s="34"/>
      <c r="CC2540" s="34"/>
      <c r="CD2540" s="34"/>
      <c r="CE2540" s="34"/>
      <c r="CF2540" s="34"/>
      <c r="CG2540" s="34"/>
      <c r="CH2540" s="34"/>
    </row>
    <row r="2541" spans="1:86" x14ac:dyDescent="0.2">
      <c r="A2541" s="8" t="str">
        <f>IF(AND(COUNTIF(W$3:W$13,A$23)&gt;0,A$23&lt;&gt;B2324),A$23,IFERROR(IF(MATCH(A$23,Z$3:Z$13,0)=10,A$23," ")," "))</f>
        <v xml:space="preserve"> </v>
      </c>
      <c r="B2541" s="8" t="str">
        <f>IF(A2541=" "," ",MAX(B2533:B2540)+1)</f>
        <v xml:space="preserve"> </v>
      </c>
      <c r="C2541" s="8" t="str">
        <f>IFERROR(INDEX(A2533:A2554,MATCH(SMALL(B2533:B2554,9),B2533:B2554,0),1)," ")</f>
        <v>C19</v>
      </c>
      <c r="D2541" s="8">
        <f t="shared" si="11074"/>
        <v>0</v>
      </c>
      <c r="E2541" s="8">
        <f t="shared" si="11075"/>
        <v>0</v>
      </c>
      <c r="F2541" s="8">
        <f t="shared" si="11076"/>
        <v>0</v>
      </c>
      <c r="G2541" s="8">
        <f t="shared" si="11077"/>
        <v>0</v>
      </c>
      <c r="H2541" s="8">
        <f t="shared" si="11078"/>
        <v>0</v>
      </c>
      <c r="I2541" s="8">
        <f t="shared" si="11079"/>
        <v>0</v>
      </c>
      <c r="J2541" s="8">
        <f t="shared" si="11080"/>
        <v>0</v>
      </c>
      <c r="K2541" s="8">
        <f t="shared" si="11081"/>
        <v>1</v>
      </c>
      <c r="L2541" s="8">
        <f t="shared" si="11082"/>
        <v>0</v>
      </c>
      <c r="M2541" s="8">
        <f t="shared" si="11083"/>
        <v>0</v>
      </c>
      <c r="N2541" s="8">
        <f t="shared" si="11084"/>
        <v>0</v>
      </c>
      <c r="O2541" s="8">
        <f t="shared" si="11085"/>
        <v>0</v>
      </c>
      <c r="P2541" s="6" t="e">
        <v>#NUM!</v>
      </c>
      <c r="Q2541" s="8" t="e">
        <f t="shared" ref="Q2541" si="11115">IF(COUNTIF(P2533:P2543,"&lt;"&amp;-0.001)=0,IF(ABS(P2541)&lt;0.001,0,P2541)," ")</f>
        <v>#NUM!</v>
      </c>
      <c r="R2541" s="8"/>
      <c r="S2541" s="8"/>
      <c r="U2541" s="34"/>
      <c r="V2541" s="34"/>
      <c r="W2541" s="34"/>
      <c r="X2541" s="34"/>
      <c r="Y2541" s="34"/>
      <c r="Z2541" s="34"/>
      <c r="AA2541" s="34"/>
      <c r="AB2541" s="34"/>
      <c r="AC2541" s="34"/>
      <c r="AD2541" s="34"/>
      <c r="AE2541" s="34"/>
      <c r="AF2541" s="34"/>
      <c r="AG2541" s="34"/>
      <c r="AH2541" s="34"/>
      <c r="AI2541" s="34"/>
      <c r="AJ2541" s="34"/>
      <c r="AK2541" s="34"/>
      <c r="AL2541" s="34"/>
      <c r="AM2541" s="34"/>
      <c r="AN2541" s="34"/>
      <c r="AO2541" s="34"/>
      <c r="AP2541" s="34"/>
      <c r="AQ2541" s="34"/>
      <c r="AR2541" s="34"/>
      <c r="AS2541" s="34"/>
      <c r="AT2541" s="34"/>
      <c r="AU2541" s="34"/>
      <c r="AV2541" s="34"/>
      <c r="AW2541" s="34"/>
      <c r="AX2541" s="34"/>
      <c r="AY2541" s="34"/>
      <c r="AZ2541" s="34"/>
      <c r="BA2541" s="34"/>
      <c r="BB2541" s="34"/>
      <c r="BC2541" s="34"/>
      <c r="BD2541" s="34"/>
      <c r="BE2541" s="34"/>
      <c r="BF2541" s="34"/>
      <c r="BG2541" s="34"/>
      <c r="BH2541" s="34"/>
      <c r="BI2541" s="34"/>
      <c r="BJ2541" s="34"/>
      <c r="BK2541" s="34"/>
      <c r="BL2541" s="34"/>
      <c r="BM2541" s="34"/>
      <c r="BN2541" s="34"/>
      <c r="BO2541" s="34"/>
      <c r="BP2541" s="34"/>
      <c r="BQ2541" s="34"/>
      <c r="BR2541" s="34"/>
      <c r="BS2541" s="34"/>
      <c r="BT2541" s="34"/>
      <c r="BU2541" s="34"/>
      <c r="BV2541" s="34"/>
      <c r="BW2541" s="34"/>
      <c r="BX2541" s="34"/>
      <c r="BY2541" s="34"/>
      <c r="BZ2541" s="34"/>
      <c r="CA2541" s="34"/>
      <c r="CB2541" s="34"/>
      <c r="CC2541" s="34"/>
      <c r="CD2541" s="34"/>
      <c r="CE2541" s="34"/>
      <c r="CF2541" s="34"/>
      <c r="CG2541" s="34"/>
      <c r="CH2541" s="34"/>
    </row>
    <row r="2542" spans="1:86" x14ac:dyDescent="0.2">
      <c r="A2542" s="8" t="str">
        <f>IF(AND(COUNTIF(W$3:W$13,A$24)&gt;0,A$24&lt;&gt;B2324),A$24,IFERROR(IF(MATCH(A$24,Z$3:Z$13,0)=10,A$24," ")," "))</f>
        <v xml:space="preserve"> </v>
      </c>
      <c r="B2542" s="8" t="str">
        <f>IF(A2542=" "," ",MAX(B2533:B2541)+1)</f>
        <v xml:space="preserve"> </v>
      </c>
      <c r="C2542" s="8" t="str">
        <f>IFERROR(INDEX(A2533:A2554,MATCH(SMALL(B2533:B2554,10),B2533:B2554,0),1)," ")</f>
        <v>C20</v>
      </c>
      <c r="D2542" s="8">
        <f t="shared" si="11074"/>
        <v>0</v>
      </c>
      <c r="E2542" s="8">
        <f t="shared" si="11075"/>
        <v>0</v>
      </c>
      <c r="F2542" s="8">
        <f t="shared" si="11076"/>
        <v>0</v>
      </c>
      <c r="G2542" s="8">
        <f t="shared" si="11077"/>
        <v>0</v>
      </c>
      <c r="H2542" s="8">
        <f t="shared" si="11078"/>
        <v>0</v>
      </c>
      <c r="I2542" s="8">
        <f t="shared" si="11079"/>
        <v>0</v>
      </c>
      <c r="J2542" s="8">
        <f t="shared" si="11080"/>
        <v>0</v>
      </c>
      <c r="K2542" s="8">
        <f t="shared" si="11081"/>
        <v>0</v>
      </c>
      <c r="L2542" s="8">
        <f t="shared" si="11082"/>
        <v>1</v>
      </c>
      <c r="M2542" s="8">
        <f t="shared" si="11083"/>
        <v>0</v>
      </c>
      <c r="N2542" s="8">
        <f t="shared" si="11084"/>
        <v>0</v>
      </c>
      <c r="O2542" s="8">
        <f t="shared" si="11085"/>
        <v>0</v>
      </c>
      <c r="P2542" s="8" t="e">
        <v>#NUM!</v>
      </c>
      <c r="Q2542" s="8" t="e">
        <f t="shared" ref="Q2542" si="11116">IF(COUNTIF(P2533:P2543,"&lt;"&amp;-0.001)=0,IF(ABS(P2542)&lt;0.001,0,P2542)," ")</f>
        <v>#NUM!</v>
      </c>
      <c r="R2542" s="8"/>
      <c r="S2542" s="8"/>
      <c r="U2542" s="34"/>
      <c r="V2542" s="34"/>
      <c r="W2542" s="34"/>
      <c r="X2542" s="34"/>
      <c r="Y2542" s="34"/>
      <c r="Z2542" s="34"/>
      <c r="AA2542" s="34"/>
      <c r="AB2542" s="34"/>
      <c r="AC2542" s="34"/>
      <c r="AD2542" s="34"/>
      <c r="AE2542" s="34"/>
      <c r="AF2542" s="34"/>
      <c r="AG2542" s="34"/>
      <c r="AH2542" s="34"/>
      <c r="AI2542" s="34"/>
      <c r="AJ2542" s="34"/>
      <c r="AK2542" s="34"/>
      <c r="AL2542" s="34"/>
      <c r="AM2542" s="34"/>
      <c r="AN2542" s="34"/>
      <c r="AO2542" s="34"/>
      <c r="AP2542" s="34"/>
      <c r="AQ2542" s="34"/>
      <c r="AR2542" s="34"/>
      <c r="AS2542" s="34"/>
      <c r="AT2542" s="34"/>
      <c r="AU2542" s="34"/>
      <c r="AV2542" s="34"/>
      <c r="AW2542" s="34"/>
      <c r="AX2542" s="34"/>
      <c r="AY2542" s="34"/>
      <c r="AZ2542" s="34"/>
      <c r="BA2542" s="34"/>
      <c r="BB2542" s="34"/>
      <c r="BC2542" s="34"/>
      <c r="BD2542" s="34"/>
      <c r="BE2542" s="34"/>
      <c r="BF2542" s="34"/>
      <c r="BG2542" s="34"/>
      <c r="BH2542" s="34"/>
      <c r="BI2542" s="34"/>
      <c r="BJ2542" s="34"/>
      <c r="BK2542" s="34"/>
      <c r="BL2542" s="34"/>
      <c r="BM2542" s="34"/>
      <c r="BN2542" s="34"/>
      <c r="BO2542" s="34"/>
      <c r="BP2542" s="34"/>
      <c r="BQ2542" s="34"/>
      <c r="BR2542" s="34"/>
      <c r="BS2542" s="34"/>
      <c r="BT2542" s="34"/>
      <c r="BU2542" s="34"/>
      <c r="BV2542" s="34"/>
      <c r="BW2542" s="34"/>
      <c r="BX2542" s="34"/>
      <c r="BY2542" s="34"/>
      <c r="BZ2542" s="34"/>
      <c r="CA2542" s="34"/>
      <c r="CB2542" s="34"/>
      <c r="CC2542" s="34"/>
      <c r="CD2542" s="34"/>
      <c r="CE2542" s="34"/>
      <c r="CF2542" s="34"/>
      <c r="CG2542" s="34"/>
      <c r="CH2542" s="34"/>
    </row>
    <row r="2543" spans="1:86" x14ac:dyDescent="0.2">
      <c r="A2543" s="8" t="str">
        <f>IF(AND(COUNTIF(W$3:W$13,A$25)&gt;0,A$25&lt;&gt;B2324),A$25,IFERROR(IF(MATCH(A$25,Z$3:Z$13,0)=10,A$25," ")," "))</f>
        <v xml:space="preserve"> </v>
      </c>
      <c r="B2543" s="8" t="str">
        <f>IF(A2543=" "," ",MAX(B2533:B2542)+1)</f>
        <v xml:space="preserve"> </v>
      </c>
      <c r="C2543" s="8" t="str">
        <f>IFERROR(INDEX(A2533:A2554,MATCH(SMALL(B2533:B2554,11),B2533:B2554,0),1)," ")</f>
        <v>C22</v>
      </c>
      <c r="D2543" s="8">
        <f t="shared" si="11074"/>
        <v>0</v>
      </c>
      <c r="E2543" s="8">
        <f t="shared" si="11075"/>
        <v>0</v>
      </c>
      <c r="F2543" s="8">
        <f t="shared" si="11076"/>
        <v>0</v>
      </c>
      <c r="G2543" s="8">
        <f t="shared" si="11077"/>
        <v>0</v>
      </c>
      <c r="H2543" s="8">
        <f t="shared" si="11078"/>
        <v>0</v>
      </c>
      <c r="I2543" s="8">
        <f t="shared" si="11079"/>
        <v>0</v>
      </c>
      <c r="J2543" s="8">
        <f t="shared" si="11080"/>
        <v>0</v>
      </c>
      <c r="K2543" s="8">
        <f t="shared" si="11081"/>
        <v>0</v>
      </c>
      <c r="L2543" s="8">
        <f t="shared" si="11082"/>
        <v>0</v>
      </c>
      <c r="M2543" s="8">
        <f t="shared" si="11083"/>
        <v>0</v>
      </c>
      <c r="N2543" s="8">
        <f t="shared" si="11084"/>
        <v>1</v>
      </c>
      <c r="O2543" s="8">
        <f t="shared" si="11085"/>
        <v>0</v>
      </c>
      <c r="P2543" s="8" t="e">
        <v>#NUM!</v>
      </c>
      <c r="Q2543" s="8" t="e">
        <f t="shared" ref="Q2543" si="11117">IF(COUNTIF(P2533:P2543,"&lt;"&amp;-0.001)=0,IF(ABS(P2543)&lt;0.001,0,P2543)," ")</f>
        <v>#NUM!</v>
      </c>
      <c r="R2543" s="8"/>
      <c r="S2543" s="8"/>
      <c r="U2543" s="34"/>
      <c r="V2543" s="34"/>
      <c r="W2543" s="34"/>
      <c r="X2543" s="34"/>
      <c r="Y2543" s="34"/>
      <c r="Z2543" s="34"/>
      <c r="AA2543" s="34"/>
      <c r="AB2543" s="34"/>
      <c r="AC2543" s="34"/>
      <c r="AD2543" s="34"/>
      <c r="AE2543" s="34"/>
      <c r="AF2543" s="34"/>
      <c r="AG2543" s="34"/>
      <c r="AH2543" s="34"/>
      <c r="AI2543" s="34"/>
      <c r="AJ2543" s="34"/>
      <c r="AK2543" s="34"/>
      <c r="AL2543" s="34"/>
      <c r="AM2543" s="34"/>
      <c r="AN2543" s="34"/>
      <c r="AO2543" s="34"/>
      <c r="AP2543" s="34"/>
      <c r="AQ2543" s="34"/>
      <c r="AR2543" s="34"/>
      <c r="AS2543" s="34"/>
      <c r="AT2543" s="34"/>
      <c r="AU2543" s="34"/>
      <c r="AV2543" s="34"/>
      <c r="AW2543" s="34"/>
      <c r="AX2543" s="34"/>
      <c r="AY2543" s="34"/>
      <c r="AZ2543" s="34"/>
      <c r="BA2543" s="34"/>
      <c r="BB2543" s="34"/>
      <c r="BC2543" s="34"/>
      <c r="BD2543" s="34"/>
      <c r="BE2543" s="34"/>
      <c r="BF2543" s="34"/>
      <c r="BG2543" s="34"/>
      <c r="BH2543" s="34"/>
      <c r="BI2543" s="34"/>
      <c r="BJ2543" s="34"/>
      <c r="BK2543" s="34"/>
      <c r="BL2543" s="34"/>
      <c r="BM2543" s="34"/>
      <c r="BN2543" s="34"/>
      <c r="BO2543" s="34"/>
      <c r="BP2543" s="34"/>
      <c r="BQ2543" s="34"/>
      <c r="BR2543" s="34"/>
      <c r="BS2543" s="34"/>
      <c r="BT2543" s="34"/>
      <c r="BU2543" s="34"/>
      <c r="BV2543" s="34"/>
      <c r="BW2543" s="34"/>
      <c r="BX2543" s="34"/>
      <c r="BY2543" s="34"/>
      <c r="BZ2543" s="34"/>
      <c r="CA2543" s="34"/>
      <c r="CB2543" s="34"/>
      <c r="CC2543" s="34"/>
      <c r="CD2543" s="34"/>
      <c r="CE2543" s="34"/>
      <c r="CF2543" s="34"/>
      <c r="CG2543" s="34"/>
      <c r="CH2543" s="34"/>
    </row>
    <row r="2544" spans="1:86" x14ac:dyDescent="0.2">
      <c r="A2544" s="8" t="str">
        <f>IF(AND(COUNTIF(W$3:W$13,A$26)&gt;0,A$26&lt;&gt;B2324),A$26,IFERROR(IF(MATCH(A$26,Z$3:Z$13,0)=10,A$26," ")," "))</f>
        <v>C12</v>
      </c>
      <c r="B2544" s="8">
        <f>IF(A2544=" "," ",MAX(B2533:B2543)+1)</f>
        <v>3</v>
      </c>
      <c r="C2544" s="8"/>
      <c r="D2544" s="8"/>
      <c r="E2544" s="8"/>
      <c r="F2544" s="8"/>
      <c r="G2544" s="8"/>
      <c r="H2544" s="8"/>
      <c r="I2544" s="8"/>
      <c r="J2544" s="8"/>
      <c r="K2544" s="8"/>
      <c r="L2544" s="8"/>
      <c r="M2544" s="8"/>
      <c r="N2544" s="8"/>
      <c r="O2544" s="8"/>
      <c r="P2544" s="8"/>
      <c r="Q2544" s="8"/>
      <c r="R2544" s="8"/>
      <c r="S2544" s="8"/>
      <c r="U2544" s="34"/>
      <c r="V2544" s="34"/>
      <c r="W2544" s="34"/>
      <c r="X2544" s="34"/>
      <c r="Y2544" s="34"/>
      <c r="Z2544" s="34"/>
      <c r="AA2544" s="34"/>
      <c r="AB2544" s="34"/>
      <c r="AC2544" s="34"/>
      <c r="AD2544" s="34"/>
      <c r="AE2544" s="34"/>
      <c r="AF2544" s="34"/>
      <c r="AG2544" s="34"/>
      <c r="AH2544" s="34"/>
      <c r="AI2544" s="34"/>
      <c r="AJ2544" s="34"/>
      <c r="AK2544" s="34"/>
      <c r="AL2544" s="34"/>
      <c r="AM2544" s="34"/>
      <c r="AN2544" s="34"/>
      <c r="AO2544" s="34"/>
      <c r="AP2544" s="34"/>
      <c r="AQ2544" s="34"/>
      <c r="AR2544" s="34"/>
      <c r="AS2544" s="34"/>
      <c r="AT2544" s="34"/>
      <c r="AU2544" s="34"/>
      <c r="AV2544" s="34"/>
      <c r="AW2544" s="34"/>
      <c r="AX2544" s="34"/>
      <c r="AY2544" s="34"/>
      <c r="AZ2544" s="34"/>
      <c r="BA2544" s="34"/>
      <c r="BB2544" s="34"/>
      <c r="BC2544" s="34"/>
      <c r="BD2544" s="34"/>
      <c r="BE2544" s="34"/>
      <c r="BF2544" s="34"/>
      <c r="BG2544" s="34"/>
      <c r="BH2544" s="34"/>
      <c r="BI2544" s="34"/>
      <c r="BJ2544" s="34"/>
      <c r="BK2544" s="34"/>
      <c r="BL2544" s="34"/>
      <c r="BM2544" s="34"/>
      <c r="BN2544" s="34"/>
      <c r="BO2544" s="34"/>
      <c r="BP2544" s="34"/>
      <c r="BQ2544" s="34"/>
      <c r="BR2544" s="34"/>
      <c r="BS2544" s="34"/>
      <c r="BT2544" s="34"/>
      <c r="BU2544" s="34"/>
      <c r="BV2544" s="34"/>
      <c r="BW2544" s="34"/>
      <c r="BX2544" s="34"/>
      <c r="BY2544" s="34"/>
      <c r="BZ2544" s="34"/>
      <c r="CA2544" s="34"/>
      <c r="CB2544" s="34"/>
      <c r="CC2544" s="34"/>
      <c r="CD2544" s="34"/>
      <c r="CE2544" s="34"/>
      <c r="CF2544" s="34"/>
      <c r="CG2544" s="34"/>
      <c r="CH2544" s="34"/>
    </row>
    <row r="2545" spans="1:86" x14ac:dyDescent="0.2">
      <c r="A2545" s="8" t="str">
        <f>IF(AND(COUNTIF(W$3:W$13,A$27)&gt;0,A$27&lt;&gt;B2324),A$27,IFERROR(IF(MATCH(A$27,Z$3:Z$13,0)=10,A$27," ")," "))</f>
        <v>C13</v>
      </c>
      <c r="B2545" s="8">
        <f>IF(A2545=" "," ",MAX(B2533:B2544)+1)</f>
        <v>4</v>
      </c>
      <c r="C2545" s="8"/>
      <c r="D2545" s="8"/>
      <c r="E2545" s="8"/>
      <c r="F2545" s="8"/>
      <c r="G2545" s="8"/>
      <c r="H2545" s="8"/>
      <c r="I2545" s="8"/>
      <c r="J2545" s="8"/>
      <c r="K2545" s="8"/>
      <c r="L2545" s="8"/>
      <c r="M2545" s="8"/>
      <c r="N2545" s="8"/>
      <c r="O2545" s="8"/>
      <c r="P2545" s="8"/>
      <c r="Q2545" s="8"/>
      <c r="R2545" s="8"/>
      <c r="S2545" s="8"/>
      <c r="U2545" s="34"/>
      <c r="V2545" s="34"/>
      <c r="W2545" s="34"/>
      <c r="X2545" s="34"/>
      <c r="Y2545" s="34"/>
      <c r="Z2545" s="34"/>
      <c r="AA2545" s="34"/>
      <c r="AB2545" s="34"/>
      <c r="AC2545" s="34"/>
      <c r="AD2545" s="34"/>
      <c r="AE2545" s="34"/>
      <c r="AF2545" s="34"/>
      <c r="AG2545" s="34"/>
      <c r="AH2545" s="34"/>
      <c r="AI2545" s="34"/>
      <c r="AJ2545" s="34"/>
      <c r="AK2545" s="34"/>
      <c r="AL2545" s="34"/>
      <c r="AM2545" s="34"/>
      <c r="AN2545" s="34"/>
      <c r="AO2545" s="34"/>
      <c r="AP2545" s="34"/>
      <c r="AQ2545" s="34"/>
      <c r="AR2545" s="34"/>
      <c r="AS2545" s="34"/>
      <c r="AT2545" s="34"/>
      <c r="AU2545" s="34"/>
      <c r="AV2545" s="34"/>
      <c r="AW2545" s="34"/>
      <c r="AX2545" s="34"/>
      <c r="AY2545" s="34"/>
      <c r="AZ2545" s="34"/>
      <c r="BA2545" s="34"/>
      <c r="BB2545" s="34"/>
      <c r="BC2545" s="34"/>
      <c r="BD2545" s="34"/>
      <c r="BE2545" s="34"/>
      <c r="BF2545" s="34"/>
      <c r="BG2545" s="34"/>
      <c r="BH2545" s="34"/>
      <c r="BI2545" s="34"/>
      <c r="BJ2545" s="34"/>
      <c r="BK2545" s="34"/>
      <c r="BL2545" s="34"/>
      <c r="BM2545" s="34"/>
      <c r="BN2545" s="34"/>
      <c r="BO2545" s="34"/>
      <c r="BP2545" s="34"/>
      <c r="BQ2545" s="34"/>
      <c r="BR2545" s="34"/>
      <c r="BS2545" s="34"/>
      <c r="BT2545" s="34"/>
      <c r="BU2545" s="34"/>
      <c r="BV2545" s="34"/>
      <c r="BW2545" s="34"/>
      <c r="BX2545" s="34"/>
      <c r="BY2545" s="34"/>
      <c r="BZ2545" s="34"/>
      <c r="CA2545" s="34"/>
      <c r="CB2545" s="34"/>
      <c r="CC2545" s="34"/>
      <c r="CD2545" s="34"/>
      <c r="CE2545" s="34"/>
      <c r="CF2545" s="34"/>
      <c r="CG2545" s="34"/>
      <c r="CH2545" s="34"/>
    </row>
    <row r="2546" spans="1:86" x14ac:dyDescent="0.2">
      <c r="A2546" s="8" t="str">
        <f>IF(AND(COUNTIF(W$3:W$13,A$28)&gt;0,A$28&lt;&gt;B2324),A$28,IFERROR(IF(MATCH(A$28,Z$3:Z$13,0)=10,A$28," ")," "))</f>
        <v xml:space="preserve"> </v>
      </c>
      <c r="B2546" s="8" t="str">
        <f>IF(A2546=" "," ",MAX(B2533:B2545)+1)</f>
        <v xml:space="preserve"> </v>
      </c>
      <c r="C2546" s="8"/>
      <c r="D2546" s="8"/>
      <c r="E2546" s="8"/>
      <c r="F2546" s="8"/>
      <c r="G2546" s="8"/>
      <c r="H2546" s="8"/>
      <c r="I2546" s="8"/>
      <c r="J2546" s="8"/>
      <c r="K2546" s="8"/>
      <c r="L2546" s="8"/>
      <c r="M2546" s="8"/>
      <c r="N2546" s="8"/>
      <c r="O2546" s="8"/>
      <c r="P2546" s="8"/>
      <c r="Q2546" s="8"/>
      <c r="R2546" s="8"/>
      <c r="S2546" s="8"/>
      <c r="U2546" s="34"/>
      <c r="V2546" s="34"/>
      <c r="W2546" s="34"/>
      <c r="X2546" s="34"/>
      <c r="Y2546" s="34"/>
      <c r="Z2546" s="34"/>
      <c r="AA2546" s="34"/>
      <c r="AB2546" s="34"/>
      <c r="AC2546" s="34"/>
      <c r="AD2546" s="34"/>
      <c r="AE2546" s="34"/>
      <c r="AF2546" s="34"/>
      <c r="AG2546" s="34"/>
      <c r="AH2546" s="34"/>
      <c r="AI2546" s="34"/>
      <c r="AJ2546" s="34"/>
      <c r="AK2546" s="34"/>
      <c r="AL2546" s="34"/>
      <c r="AM2546" s="34"/>
      <c r="AN2546" s="34"/>
      <c r="AO2546" s="34"/>
      <c r="AP2546" s="34"/>
      <c r="AQ2546" s="34"/>
      <c r="AR2546" s="34"/>
      <c r="AS2546" s="34"/>
      <c r="AT2546" s="34"/>
      <c r="AU2546" s="34"/>
      <c r="AV2546" s="34"/>
      <c r="AW2546" s="34"/>
      <c r="AX2546" s="34"/>
      <c r="AY2546" s="34"/>
      <c r="AZ2546" s="34"/>
      <c r="BA2546" s="34"/>
      <c r="BB2546" s="34"/>
      <c r="BC2546" s="34"/>
      <c r="BD2546" s="34"/>
      <c r="BE2546" s="34"/>
      <c r="BF2546" s="34"/>
      <c r="BG2546" s="34"/>
      <c r="BH2546" s="34"/>
      <c r="BI2546" s="34"/>
      <c r="BJ2546" s="34"/>
      <c r="BK2546" s="34"/>
      <c r="BL2546" s="34"/>
      <c r="BM2546" s="34"/>
      <c r="BN2546" s="34"/>
      <c r="BO2546" s="34"/>
      <c r="BP2546" s="34"/>
      <c r="BQ2546" s="34"/>
      <c r="BR2546" s="34"/>
      <c r="BS2546" s="34"/>
      <c r="BT2546" s="34"/>
      <c r="BU2546" s="34"/>
      <c r="BV2546" s="34"/>
      <c r="BW2546" s="34"/>
      <c r="BX2546" s="34"/>
      <c r="BY2546" s="34"/>
      <c r="BZ2546" s="34"/>
      <c r="CA2546" s="34"/>
      <c r="CB2546" s="34"/>
      <c r="CC2546" s="34"/>
      <c r="CD2546" s="34"/>
      <c r="CE2546" s="34"/>
      <c r="CF2546" s="34"/>
      <c r="CG2546" s="34"/>
      <c r="CH2546" s="34"/>
    </row>
    <row r="2547" spans="1:86" x14ac:dyDescent="0.2">
      <c r="A2547" s="8" t="str">
        <f>IF(AND(COUNTIF(W$3:W$13,A$29)&gt;0,A$29&lt;&gt;B2324),A$29,IFERROR(IF(MATCH(A$29,Z$3:Z$13,0)=10,A$29," ")," "))</f>
        <v>C15</v>
      </c>
      <c r="B2547" s="8">
        <f>IF(A2547=" "," ",MAX(B2533:B2546)+1)</f>
        <v>5</v>
      </c>
      <c r="C2547" s="8"/>
      <c r="D2547" s="8"/>
      <c r="E2547" s="8"/>
      <c r="F2547" s="8"/>
      <c r="G2547" s="8"/>
      <c r="H2547" s="8"/>
      <c r="I2547" s="8"/>
      <c r="J2547" s="8"/>
      <c r="K2547" s="8"/>
      <c r="L2547" s="8"/>
      <c r="M2547" s="8"/>
      <c r="N2547" s="8"/>
      <c r="O2547" s="8"/>
      <c r="P2547" s="8"/>
      <c r="Q2547" s="8"/>
      <c r="R2547" s="8"/>
      <c r="S2547" s="8"/>
      <c r="U2547" s="34"/>
      <c r="V2547" s="34"/>
      <c r="W2547" s="34"/>
      <c r="X2547" s="34"/>
      <c r="Y2547" s="34"/>
      <c r="Z2547" s="34"/>
      <c r="AA2547" s="34"/>
      <c r="AB2547" s="34"/>
      <c r="AC2547" s="34"/>
      <c r="AD2547" s="34"/>
      <c r="AE2547" s="34"/>
      <c r="AF2547" s="34"/>
      <c r="AG2547" s="34"/>
      <c r="AH2547" s="34"/>
      <c r="AI2547" s="34"/>
      <c r="AJ2547" s="34"/>
      <c r="AK2547" s="34"/>
      <c r="AL2547" s="34"/>
      <c r="AM2547" s="34"/>
      <c r="AN2547" s="34"/>
      <c r="AO2547" s="34"/>
      <c r="AP2547" s="34"/>
      <c r="AQ2547" s="34"/>
      <c r="AR2547" s="34"/>
      <c r="AS2547" s="34"/>
      <c r="AT2547" s="34"/>
      <c r="AU2547" s="34"/>
      <c r="AV2547" s="34"/>
      <c r="AW2547" s="34"/>
      <c r="AX2547" s="34"/>
      <c r="AY2547" s="34"/>
      <c r="AZ2547" s="34"/>
      <c r="BA2547" s="34"/>
      <c r="BB2547" s="34"/>
      <c r="BC2547" s="34"/>
      <c r="BD2547" s="34"/>
      <c r="BE2547" s="34"/>
      <c r="BF2547" s="34"/>
      <c r="BG2547" s="34"/>
      <c r="BH2547" s="34"/>
      <c r="BI2547" s="34"/>
      <c r="BJ2547" s="34"/>
      <c r="BK2547" s="34"/>
      <c r="BL2547" s="34"/>
      <c r="BM2547" s="34"/>
      <c r="BN2547" s="34"/>
      <c r="BO2547" s="34"/>
      <c r="BP2547" s="34"/>
      <c r="BQ2547" s="34"/>
      <c r="BR2547" s="34"/>
      <c r="BS2547" s="34"/>
      <c r="BT2547" s="34"/>
      <c r="BU2547" s="34"/>
      <c r="BV2547" s="34"/>
      <c r="BW2547" s="34"/>
      <c r="BX2547" s="34"/>
      <c r="BY2547" s="34"/>
      <c r="BZ2547" s="34"/>
      <c r="CA2547" s="34"/>
      <c r="CB2547" s="34"/>
      <c r="CC2547" s="34"/>
      <c r="CD2547" s="34"/>
      <c r="CE2547" s="34"/>
      <c r="CF2547" s="34"/>
      <c r="CG2547" s="34"/>
      <c r="CH2547" s="34"/>
    </row>
    <row r="2548" spans="1:86" x14ac:dyDescent="0.2">
      <c r="A2548" s="8" t="str">
        <f>IF(AND(COUNTIF(W$3:W$13,A$30)&gt;0,A$30&lt;&gt;B2324),A$30,IFERROR(IF(MATCH(A$30,Z$3:Z$13,0)=10,A$30," ")," "))</f>
        <v>C16</v>
      </c>
      <c r="B2548" s="8">
        <f>IF(A2548=" "," ",MAX(B2533:B2547)+1)</f>
        <v>6</v>
      </c>
      <c r="C2548" s="8"/>
      <c r="D2548" s="8"/>
      <c r="E2548" s="8"/>
      <c r="F2548" s="8"/>
      <c r="G2548" s="8"/>
      <c r="H2548" s="8"/>
      <c r="I2548" s="8"/>
      <c r="J2548" s="8"/>
      <c r="K2548" s="8"/>
      <c r="L2548" s="8"/>
      <c r="M2548" s="8"/>
      <c r="N2548" s="8"/>
      <c r="O2548" s="8"/>
      <c r="P2548" s="8"/>
      <c r="Q2548" s="8"/>
      <c r="R2548" s="8"/>
      <c r="S2548" s="8"/>
      <c r="U2548" s="34"/>
      <c r="V2548" s="34"/>
      <c r="W2548" s="34"/>
      <c r="X2548" s="34"/>
      <c r="Y2548" s="34"/>
      <c r="Z2548" s="34"/>
      <c r="AA2548" s="34"/>
      <c r="AB2548" s="34"/>
      <c r="AC2548" s="34"/>
      <c r="AD2548" s="34"/>
      <c r="AE2548" s="34"/>
      <c r="AF2548" s="34"/>
      <c r="AG2548" s="34"/>
      <c r="AH2548" s="34"/>
      <c r="AI2548" s="34"/>
      <c r="AJ2548" s="34"/>
      <c r="AK2548" s="34"/>
      <c r="AL2548" s="34"/>
      <c r="AM2548" s="34"/>
      <c r="AN2548" s="34"/>
      <c r="AO2548" s="34"/>
      <c r="AP2548" s="34"/>
      <c r="AQ2548" s="34"/>
      <c r="AR2548" s="34"/>
      <c r="AS2548" s="34"/>
      <c r="AT2548" s="34"/>
      <c r="AU2548" s="34"/>
      <c r="AV2548" s="34"/>
      <c r="AW2548" s="34"/>
      <c r="AX2548" s="34"/>
      <c r="AY2548" s="34"/>
      <c r="AZ2548" s="34"/>
      <c r="BA2548" s="34"/>
      <c r="BB2548" s="34"/>
      <c r="BC2548" s="34"/>
      <c r="BD2548" s="34"/>
      <c r="BE2548" s="34"/>
      <c r="BF2548" s="34"/>
      <c r="BG2548" s="34"/>
      <c r="BH2548" s="34"/>
      <c r="BI2548" s="34"/>
      <c r="BJ2548" s="34"/>
      <c r="BK2548" s="34"/>
      <c r="BL2548" s="34"/>
      <c r="BM2548" s="34"/>
      <c r="BN2548" s="34"/>
      <c r="BO2548" s="34"/>
      <c r="BP2548" s="34"/>
      <c r="BQ2548" s="34"/>
      <c r="BR2548" s="34"/>
      <c r="BS2548" s="34"/>
      <c r="BT2548" s="34"/>
      <c r="BU2548" s="34"/>
      <c r="BV2548" s="34"/>
      <c r="BW2548" s="34"/>
      <c r="BX2548" s="34"/>
      <c r="BY2548" s="34"/>
      <c r="BZ2548" s="34"/>
      <c r="CA2548" s="34"/>
      <c r="CB2548" s="34"/>
      <c r="CC2548" s="34"/>
      <c r="CD2548" s="34"/>
      <c r="CE2548" s="34"/>
      <c r="CF2548" s="34"/>
      <c r="CG2548" s="34"/>
      <c r="CH2548" s="34"/>
    </row>
    <row r="2549" spans="1:86" x14ac:dyDescent="0.2">
      <c r="A2549" s="8" t="str">
        <f>IF(AND(COUNTIF(W$3:W$13,A$31)&gt;0,A$31&lt;&gt;B2324),A$31,IFERROR(IF(MATCH(A$31,Z$3:Z$13,0)=10,A$31," ")," "))</f>
        <v>C17</v>
      </c>
      <c r="B2549" s="8">
        <f>IF(A2549=" "," ",MAX(B2533:B2548)+1)</f>
        <v>7</v>
      </c>
      <c r="C2549" s="8"/>
      <c r="D2549" s="8"/>
      <c r="E2549" s="8"/>
      <c r="F2549" s="8"/>
      <c r="G2549" s="8"/>
      <c r="H2549" s="8"/>
      <c r="I2549" s="8"/>
      <c r="J2549" s="8"/>
      <c r="K2549" s="8"/>
      <c r="L2549" s="8"/>
      <c r="M2549" s="8"/>
      <c r="N2549" s="8"/>
      <c r="O2549" s="8"/>
      <c r="P2549" s="8"/>
      <c r="Q2549" s="8"/>
      <c r="R2549" s="8"/>
      <c r="S2549" s="8"/>
      <c r="U2549" s="34"/>
      <c r="V2549" s="34"/>
      <c r="W2549" s="34"/>
      <c r="X2549" s="34"/>
      <c r="Y2549" s="34"/>
      <c r="Z2549" s="34"/>
      <c r="AA2549" s="34"/>
      <c r="AB2549" s="34"/>
      <c r="AC2549" s="34"/>
      <c r="AD2549" s="34"/>
      <c r="AE2549" s="34"/>
      <c r="AF2549" s="34"/>
      <c r="AG2549" s="34"/>
      <c r="AH2549" s="34"/>
      <c r="AI2549" s="34"/>
      <c r="AJ2549" s="34"/>
      <c r="AK2549" s="34"/>
      <c r="AL2549" s="34"/>
      <c r="AM2549" s="34"/>
      <c r="AN2549" s="34"/>
      <c r="AO2549" s="34"/>
      <c r="AP2549" s="34"/>
      <c r="AQ2549" s="34"/>
      <c r="AR2549" s="34"/>
      <c r="AS2549" s="34"/>
      <c r="AT2549" s="34"/>
      <c r="AU2549" s="34"/>
      <c r="AV2549" s="34"/>
      <c r="AW2549" s="34"/>
      <c r="AX2549" s="34"/>
      <c r="AY2549" s="34"/>
      <c r="AZ2549" s="34"/>
      <c r="BA2549" s="34"/>
      <c r="BB2549" s="34"/>
      <c r="BC2549" s="34"/>
      <c r="BD2549" s="34"/>
      <c r="BE2549" s="34"/>
      <c r="BF2549" s="34"/>
      <c r="BG2549" s="34"/>
      <c r="BH2549" s="34"/>
      <c r="BI2549" s="34"/>
      <c r="BJ2549" s="34"/>
      <c r="BK2549" s="34"/>
      <c r="BL2549" s="34"/>
      <c r="BM2549" s="34"/>
      <c r="BN2549" s="34"/>
      <c r="BO2549" s="34"/>
      <c r="BP2549" s="34"/>
      <c r="BQ2549" s="34"/>
      <c r="BR2549" s="34"/>
      <c r="BS2549" s="34"/>
      <c r="BT2549" s="34"/>
      <c r="BU2549" s="34"/>
      <c r="BV2549" s="34"/>
      <c r="BW2549" s="34"/>
      <c r="BX2549" s="34"/>
      <c r="BY2549" s="34"/>
      <c r="BZ2549" s="34"/>
      <c r="CA2549" s="34"/>
      <c r="CB2549" s="34"/>
      <c r="CC2549" s="34"/>
      <c r="CD2549" s="34"/>
      <c r="CE2549" s="34"/>
      <c r="CF2549" s="34"/>
      <c r="CG2549" s="34"/>
      <c r="CH2549" s="34"/>
    </row>
    <row r="2550" spans="1:86" x14ac:dyDescent="0.2">
      <c r="A2550" s="8" t="str">
        <f>IF(AND(COUNTIF(W$3:W$13,A$32)&gt;0,A$32&lt;&gt;B2324),A$32,IFERROR(IF(MATCH(A$32,Z$3:Z$13,0)=10,A$32," ")," "))</f>
        <v>C18</v>
      </c>
      <c r="B2550" s="8">
        <f>IF(A2550=" "," ",MAX(B2533:B2549)+1)</f>
        <v>8</v>
      </c>
      <c r="C2550" s="8"/>
      <c r="D2550" s="8"/>
      <c r="E2550" s="8"/>
      <c r="F2550" s="8"/>
      <c r="G2550" s="8"/>
      <c r="H2550" s="8"/>
      <c r="I2550" s="8"/>
      <c r="J2550" s="8"/>
      <c r="K2550" s="8"/>
      <c r="L2550" s="8"/>
      <c r="M2550" s="8"/>
      <c r="N2550" s="8"/>
      <c r="O2550" s="8"/>
      <c r="P2550" s="8"/>
      <c r="Q2550" s="8"/>
      <c r="R2550" s="8"/>
      <c r="S2550" s="8"/>
      <c r="U2550" s="34"/>
      <c r="V2550" s="34"/>
      <c r="W2550" s="34"/>
      <c r="X2550" s="34"/>
      <c r="Y2550" s="34"/>
      <c r="Z2550" s="34"/>
      <c r="AA2550" s="34"/>
      <c r="AB2550" s="34"/>
      <c r="AC2550" s="34"/>
      <c r="AD2550" s="34"/>
      <c r="AE2550" s="34"/>
      <c r="AF2550" s="34"/>
      <c r="AG2550" s="34"/>
      <c r="AH2550" s="34"/>
      <c r="AI2550" s="34"/>
      <c r="AJ2550" s="34"/>
      <c r="AK2550" s="34"/>
      <c r="AL2550" s="34"/>
      <c r="AM2550" s="34"/>
      <c r="AN2550" s="34"/>
      <c r="AO2550" s="34"/>
      <c r="AP2550" s="34"/>
      <c r="AQ2550" s="34"/>
      <c r="AR2550" s="34"/>
      <c r="AS2550" s="34"/>
      <c r="AT2550" s="34"/>
      <c r="AU2550" s="34"/>
      <c r="AV2550" s="34"/>
      <c r="AW2550" s="34"/>
      <c r="AX2550" s="34"/>
      <c r="AY2550" s="34"/>
      <c r="AZ2550" s="34"/>
      <c r="BA2550" s="34"/>
      <c r="BB2550" s="34"/>
      <c r="BC2550" s="34"/>
      <c r="BD2550" s="34"/>
      <c r="BE2550" s="34"/>
      <c r="BF2550" s="34"/>
      <c r="BG2550" s="34"/>
      <c r="BH2550" s="34"/>
      <c r="BI2550" s="34"/>
      <c r="BJ2550" s="34"/>
      <c r="BK2550" s="34"/>
      <c r="BL2550" s="34"/>
      <c r="BM2550" s="34"/>
      <c r="BN2550" s="34"/>
      <c r="BO2550" s="34"/>
      <c r="BP2550" s="34"/>
      <c r="BQ2550" s="34"/>
      <c r="BR2550" s="34"/>
      <c r="BS2550" s="34"/>
      <c r="BT2550" s="34"/>
      <c r="BU2550" s="34"/>
      <c r="BV2550" s="34"/>
      <c r="BW2550" s="34"/>
      <c r="BX2550" s="34"/>
      <c r="BY2550" s="34"/>
      <c r="BZ2550" s="34"/>
      <c r="CA2550" s="34"/>
      <c r="CB2550" s="34"/>
      <c r="CC2550" s="34"/>
      <c r="CD2550" s="34"/>
      <c r="CE2550" s="34"/>
      <c r="CF2550" s="34"/>
      <c r="CG2550" s="34"/>
      <c r="CH2550" s="34"/>
    </row>
    <row r="2551" spans="1:86" x14ac:dyDescent="0.2">
      <c r="A2551" s="8" t="str">
        <f>IF(AND(COUNTIF(W$3:W$13,A$33)&gt;0,A$33&lt;&gt;B2324),A$33,IFERROR(IF(MATCH(A$33,Z$3:Z$13,0)=10,A$33," ")," "))</f>
        <v>C19</v>
      </c>
      <c r="B2551" s="8">
        <f>IF(A2551=" "," ",MAX(B2533:B2550)+1)</f>
        <v>9</v>
      </c>
      <c r="C2551" s="8"/>
      <c r="D2551" s="8"/>
      <c r="E2551" s="8"/>
      <c r="F2551" s="8"/>
      <c r="G2551" s="8"/>
      <c r="H2551" s="8"/>
      <c r="I2551" s="8"/>
      <c r="J2551" s="8"/>
      <c r="K2551" s="8"/>
      <c r="L2551" s="8"/>
      <c r="M2551" s="8"/>
      <c r="N2551" s="8"/>
      <c r="O2551" s="8"/>
      <c r="P2551" s="8"/>
      <c r="Q2551" s="8"/>
      <c r="R2551" s="8"/>
      <c r="S2551" s="8"/>
      <c r="U2551" s="34"/>
      <c r="V2551" s="34"/>
      <c r="W2551" s="34"/>
      <c r="X2551" s="34"/>
      <c r="Y2551" s="34"/>
      <c r="Z2551" s="34"/>
      <c r="AA2551" s="34"/>
      <c r="AB2551" s="34"/>
      <c r="AC2551" s="34"/>
      <c r="AD2551" s="34"/>
      <c r="AE2551" s="34"/>
      <c r="AF2551" s="34"/>
      <c r="AG2551" s="34"/>
      <c r="AH2551" s="34"/>
      <c r="AI2551" s="34"/>
      <c r="AJ2551" s="34"/>
      <c r="AK2551" s="34"/>
      <c r="AL2551" s="34"/>
      <c r="AM2551" s="34"/>
      <c r="AN2551" s="34"/>
      <c r="AO2551" s="34"/>
      <c r="AP2551" s="34"/>
      <c r="AQ2551" s="34"/>
      <c r="AR2551" s="34"/>
      <c r="AS2551" s="34"/>
      <c r="AT2551" s="34"/>
      <c r="AU2551" s="34"/>
      <c r="AV2551" s="34"/>
      <c r="AW2551" s="34"/>
      <c r="AX2551" s="34"/>
      <c r="AY2551" s="34"/>
      <c r="AZ2551" s="34"/>
      <c r="BA2551" s="34"/>
      <c r="BB2551" s="34"/>
      <c r="BC2551" s="34"/>
      <c r="BD2551" s="34"/>
      <c r="BE2551" s="34"/>
      <c r="BF2551" s="34"/>
      <c r="BG2551" s="34"/>
      <c r="BH2551" s="34"/>
      <c r="BI2551" s="34"/>
      <c r="BJ2551" s="34"/>
      <c r="BK2551" s="34"/>
      <c r="BL2551" s="34"/>
      <c r="BM2551" s="34"/>
      <c r="BN2551" s="34"/>
      <c r="BO2551" s="34"/>
      <c r="BP2551" s="34"/>
      <c r="BQ2551" s="34"/>
      <c r="BR2551" s="34"/>
      <c r="BS2551" s="34"/>
      <c r="BT2551" s="34"/>
      <c r="BU2551" s="34"/>
      <c r="BV2551" s="34"/>
      <c r="BW2551" s="34"/>
      <c r="BX2551" s="34"/>
      <c r="BY2551" s="34"/>
      <c r="BZ2551" s="34"/>
      <c r="CA2551" s="34"/>
      <c r="CB2551" s="34"/>
      <c r="CC2551" s="34"/>
      <c r="CD2551" s="34"/>
      <c r="CE2551" s="34"/>
      <c r="CF2551" s="34"/>
      <c r="CG2551" s="34"/>
      <c r="CH2551" s="34"/>
    </row>
    <row r="2552" spans="1:86" x14ac:dyDescent="0.2">
      <c r="A2552" s="8" t="str">
        <f>IF(AND(COUNTIF(W$3:W$13,A$34)&gt;0,A$34&lt;&gt;B2324),A$34,IFERROR(IF(MATCH(A$34,Z$3:Z$13,0)=10,A$34," ")," "))</f>
        <v>C20</v>
      </c>
      <c r="B2552" s="8">
        <f>IF(A2552=" "," ",MAX(B2533:B2551)+1)</f>
        <v>10</v>
      </c>
      <c r="C2552" s="8"/>
      <c r="D2552" s="8"/>
      <c r="E2552" s="8"/>
      <c r="F2552" s="8"/>
      <c r="G2552" s="8"/>
      <c r="H2552" s="8"/>
      <c r="I2552" s="8"/>
      <c r="J2552" s="8"/>
      <c r="K2552" s="8"/>
      <c r="L2552" s="8"/>
      <c r="M2552" s="8"/>
      <c r="N2552" s="8"/>
      <c r="O2552" s="8"/>
      <c r="P2552" s="8"/>
      <c r="Q2552" s="8"/>
      <c r="R2552" s="8"/>
      <c r="S2552" s="8"/>
      <c r="U2552" s="34"/>
      <c r="V2552" s="34"/>
      <c r="W2552" s="34"/>
      <c r="X2552" s="34"/>
      <c r="Y2552" s="34"/>
      <c r="Z2552" s="34"/>
      <c r="AA2552" s="34"/>
      <c r="AB2552" s="34"/>
      <c r="AC2552" s="34"/>
      <c r="AD2552" s="34"/>
      <c r="AE2552" s="34"/>
      <c r="AF2552" s="34"/>
      <c r="AG2552" s="34"/>
      <c r="AH2552" s="34"/>
      <c r="AI2552" s="34"/>
      <c r="AJ2552" s="34"/>
      <c r="AK2552" s="34"/>
      <c r="AL2552" s="34"/>
      <c r="AM2552" s="34"/>
      <c r="AN2552" s="34"/>
      <c r="AO2552" s="34"/>
      <c r="AP2552" s="34"/>
      <c r="AQ2552" s="34"/>
      <c r="AR2552" s="34"/>
      <c r="AS2552" s="34"/>
      <c r="AT2552" s="34"/>
      <c r="AU2552" s="34"/>
      <c r="AV2552" s="34"/>
      <c r="AW2552" s="34"/>
      <c r="AX2552" s="34"/>
      <c r="AY2552" s="34"/>
      <c r="AZ2552" s="34"/>
      <c r="BA2552" s="34"/>
      <c r="BB2552" s="34"/>
      <c r="BC2552" s="34"/>
      <c r="BD2552" s="34"/>
      <c r="BE2552" s="34"/>
      <c r="BF2552" s="34"/>
      <c r="BG2552" s="34"/>
      <c r="BH2552" s="34"/>
      <c r="BI2552" s="34"/>
      <c r="BJ2552" s="34"/>
      <c r="BK2552" s="34"/>
      <c r="BL2552" s="34"/>
      <c r="BM2552" s="34"/>
      <c r="BN2552" s="34"/>
      <c r="BO2552" s="34"/>
      <c r="BP2552" s="34"/>
      <c r="BQ2552" s="34"/>
      <c r="BR2552" s="34"/>
      <c r="BS2552" s="34"/>
      <c r="BT2552" s="34"/>
      <c r="BU2552" s="34"/>
      <c r="BV2552" s="34"/>
      <c r="BW2552" s="34"/>
      <c r="BX2552" s="34"/>
      <c r="BY2552" s="34"/>
      <c r="BZ2552" s="34"/>
      <c r="CA2552" s="34"/>
      <c r="CB2552" s="34"/>
      <c r="CC2552" s="34"/>
      <c r="CD2552" s="34"/>
      <c r="CE2552" s="34"/>
      <c r="CF2552" s="34"/>
      <c r="CG2552" s="34"/>
      <c r="CH2552" s="34"/>
    </row>
    <row r="2553" spans="1:86" x14ac:dyDescent="0.2">
      <c r="A2553" s="8" t="str">
        <f>IF(AND(COUNTIF(W$3:W$13,A$35)&gt;0,A$35&lt;&gt;B2324),A$35,IFERROR(IF(MATCH(A$35,Z$3:Z$13,0)=10,A$35," ")," "))</f>
        <v xml:space="preserve"> </v>
      </c>
      <c r="B2553" s="8" t="str">
        <f>IF(A2553=" "," ",MAX(B2533:B2552)+1)</f>
        <v xml:space="preserve"> </v>
      </c>
      <c r="C2553" s="8"/>
      <c r="D2553" s="8"/>
      <c r="E2553" s="8"/>
      <c r="F2553" s="8"/>
      <c r="G2553" s="8"/>
      <c r="H2553" s="8"/>
      <c r="I2553" s="8"/>
      <c r="J2553" s="8"/>
      <c r="K2553" s="8"/>
      <c r="L2553" s="8"/>
      <c r="M2553" s="8"/>
      <c r="N2553" s="8"/>
      <c r="O2553" s="8"/>
      <c r="P2553" s="8"/>
      <c r="Q2553" s="8"/>
      <c r="R2553" s="8"/>
      <c r="S2553" s="8"/>
      <c r="U2553" s="34"/>
      <c r="V2553" s="34"/>
      <c r="W2553" s="34"/>
      <c r="X2553" s="34"/>
      <c r="Y2553" s="34"/>
      <c r="Z2553" s="34"/>
      <c r="AA2553" s="34"/>
      <c r="AB2553" s="34"/>
      <c r="AC2553" s="34"/>
      <c r="AD2553" s="34"/>
      <c r="AE2553" s="34"/>
      <c r="AF2553" s="34"/>
      <c r="AG2553" s="34"/>
      <c r="AH2553" s="34"/>
      <c r="AI2553" s="34"/>
      <c r="AJ2553" s="34"/>
      <c r="AK2553" s="34"/>
      <c r="AL2553" s="34"/>
      <c r="AM2553" s="34"/>
      <c r="AN2553" s="34"/>
      <c r="AO2553" s="34"/>
      <c r="AP2553" s="34"/>
      <c r="AQ2553" s="34"/>
      <c r="AR2553" s="34"/>
      <c r="AS2553" s="34"/>
      <c r="AT2553" s="34"/>
      <c r="AU2553" s="34"/>
      <c r="AV2553" s="34"/>
      <c r="AW2553" s="34"/>
      <c r="AX2553" s="34"/>
      <c r="AY2553" s="34"/>
      <c r="AZ2553" s="34"/>
      <c r="BA2553" s="34"/>
      <c r="BB2553" s="34"/>
      <c r="BC2553" s="34"/>
      <c r="BD2553" s="34"/>
      <c r="BE2553" s="34"/>
      <c r="BF2553" s="34"/>
      <c r="BG2553" s="34"/>
      <c r="BH2553" s="34"/>
      <c r="BI2553" s="34"/>
      <c r="BJ2553" s="34"/>
      <c r="BK2553" s="34"/>
      <c r="BL2553" s="34"/>
      <c r="BM2553" s="34"/>
      <c r="BN2553" s="34"/>
      <c r="BO2553" s="34"/>
      <c r="BP2553" s="34"/>
      <c r="BQ2553" s="34"/>
      <c r="BR2553" s="34"/>
      <c r="BS2553" s="34"/>
      <c r="BT2553" s="34"/>
      <c r="BU2553" s="34"/>
      <c r="BV2553" s="34"/>
      <c r="BW2553" s="34"/>
      <c r="BX2553" s="34"/>
      <c r="BY2553" s="34"/>
      <c r="BZ2553" s="34"/>
      <c r="CA2553" s="34"/>
      <c r="CB2553" s="34"/>
      <c r="CC2553" s="34"/>
      <c r="CD2553" s="34"/>
      <c r="CE2553" s="34"/>
      <c r="CF2553" s="34"/>
      <c r="CG2553" s="34"/>
      <c r="CH2553" s="34"/>
    </row>
    <row r="2554" spans="1:86" x14ac:dyDescent="0.2">
      <c r="A2554" s="8" t="str">
        <f>IF(AND(COUNTIF(W$3:W$13,A$36)&gt;0,A$36&lt;&gt;B2324),A$36,IFERROR(IF(MATCH(A$36,Z$3:Z$13,0)=10,A$36," ")," "))</f>
        <v>C22</v>
      </c>
      <c r="B2554" s="8">
        <f>IF(A2554=" "," ",MAX(B2533:B2553)+1)</f>
        <v>11</v>
      </c>
      <c r="C2554" s="8"/>
      <c r="D2554" s="8"/>
      <c r="E2554" s="8"/>
      <c r="F2554" s="8"/>
      <c r="G2554" s="8"/>
      <c r="H2554" s="8"/>
      <c r="I2554" s="8"/>
      <c r="J2554" s="8"/>
      <c r="K2554" s="8"/>
      <c r="L2554" s="8"/>
      <c r="M2554" s="8"/>
      <c r="N2554" s="8"/>
      <c r="O2554" s="8"/>
      <c r="P2554" s="8"/>
      <c r="Q2554" s="8"/>
      <c r="R2554" s="8"/>
      <c r="S2554" s="8"/>
      <c r="U2554" s="34"/>
      <c r="V2554" s="34"/>
      <c r="W2554" s="34"/>
      <c r="X2554" s="34"/>
      <c r="Y2554" s="34"/>
      <c r="Z2554" s="34"/>
      <c r="AA2554" s="34"/>
      <c r="AB2554" s="34"/>
      <c r="AC2554" s="34"/>
      <c r="AD2554" s="34"/>
      <c r="AE2554" s="34"/>
      <c r="AF2554" s="34"/>
      <c r="AG2554" s="34"/>
      <c r="AH2554" s="34"/>
      <c r="AI2554" s="34"/>
      <c r="AJ2554" s="34"/>
      <c r="AK2554" s="34"/>
      <c r="AL2554" s="34"/>
      <c r="AM2554" s="34"/>
      <c r="AN2554" s="34"/>
      <c r="AO2554" s="34"/>
      <c r="AP2554" s="34"/>
      <c r="AQ2554" s="34"/>
      <c r="AR2554" s="34"/>
      <c r="AS2554" s="34"/>
      <c r="AT2554" s="34"/>
      <c r="AU2554" s="34"/>
      <c r="AV2554" s="34"/>
      <c r="AW2554" s="34"/>
      <c r="AX2554" s="34"/>
      <c r="AY2554" s="34"/>
      <c r="AZ2554" s="34"/>
      <c r="BA2554" s="34"/>
      <c r="BB2554" s="34"/>
      <c r="BC2554" s="34"/>
      <c r="BD2554" s="34"/>
      <c r="BE2554" s="34"/>
      <c r="BF2554" s="34"/>
      <c r="BG2554" s="34"/>
      <c r="BH2554" s="34"/>
      <c r="BI2554" s="34"/>
      <c r="BJ2554" s="34"/>
      <c r="BK2554" s="34"/>
      <c r="BL2554" s="34"/>
      <c r="BM2554" s="34"/>
      <c r="BN2554" s="34"/>
      <c r="BO2554" s="34"/>
      <c r="BP2554" s="34"/>
      <c r="BQ2554" s="34"/>
      <c r="BR2554" s="34"/>
      <c r="BS2554" s="34"/>
      <c r="BT2554" s="34"/>
      <c r="BU2554" s="34"/>
      <c r="BV2554" s="34"/>
      <c r="BW2554" s="34"/>
      <c r="BX2554" s="34"/>
      <c r="BY2554" s="34"/>
      <c r="BZ2554" s="34"/>
      <c r="CA2554" s="34"/>
      <c r="CB2554" s="34"/>
      <c r="CC2554" s="34"/>
      <c r="CD2554" s="34"/>
      <c r="CE2554" s="34"/>
      <c r="CF2554" s="34"/>
      <c r="CG2554" s="34"/>
      <c r="CH2554" s="34"/>
    </row>
    <row r="2555" spans="1:86" x14ac:dyDescent="0.2">
      <c r="A2555" s="11" t="s">
        <v>17</v>
      </c>
      <c r="B2555" s="11"/>
      <c r="C2555" s="27" t="s">
        <v>18</v>
      </c>
      <c r="D2555" s="27" t="s">
        <v>2</v>
      </c>
      <c r="E2555" s="27" t="s">
        <v>6</v>
      </c>
      <c r="F2555" s="27" t="s">
        <v>15</v>
      </c>
      <c r="G2555" s="27" t="s">
        <v>36</v>
      </c>
      <c r="H2555" s="27" t="s">
        <v>37</v>
      </c>
      <c r="I2555" s="27" t="s">
        <v>38</v>
      </c>
      <c r="J2555" s="27" t="s">
        <v>39</v>
      </c>
      <c r="K2555" s="27" t="s">
        <v>40</v>
      </c>
      <c r="L2555" s="27" t="s">
        <v>41</v>
      </c>
      <c r="M2555" s="27" t="s">
        <v>42</v>
      </c>
      <c r="N2555" s="27" t="s">
        <v>43</v>
      </c>
      <c r="O2555" s="27" t="s">
        <v>9</v>
      </c>
      <c r="P2555" s="27" t="s">
        <v>12</v>
      </c>
      <c r="Q2555" s="27" t="s">
        <v>19</v>
      </c>
      <c r="R2555" s="27" t="s">
        <v>55</v>
      </c>
      <c r="S2555" s="27" t="s">
        <v>26</v>
      </c>
      <c r="T2555" s="19" t="s">
        <v>25</v>
      </c>
      <c r="U2555" s="33" t="s">
        <v>27</v>
      </c>
      <c r="V2555" s="33" t="s">
        <v>9</v>
      </c>
      <c r="W2555" s="33" t="s">
        <v>23</v>
      </c>
      <c r="X2555" s="33" t="s">
        <v>12</v>
      </c>
      <c r="Y2555" s="33" t="s">
        <v>26</v>
      </c>
      <c r="Z2555" s="33" t="s">
        <v>25</v>
      </c>
      <c r="AA2555" s="33" t="s">
        <v>27</v>
      </c>
      <c r="AB2555" s="33" t="s">
        <v>9</v>
      </c>
      <c r="AC2555" s="33" t="s">
        <v>23</v>
      </c>
      <c r="AD2555" s="33" t="s">
        <v>12</v>
      </c>
      <c r="AE2555" s="33" t="s">
        <v>26</v>
      </c>
      <c r="AF2555" s="33" t="s">
        <v>25</v>
      </c>
      <c r="AG2555" s="33" t="s">
        <v>27</v>
      </c>
      <c r="AH2555" s="33" t="s">
        <v>9</v>
      </c>
      <c r="AI2555" s="33" t="s">
        <v>23</v>
      </c>
      <c r="AJ2555" s="33" t="s">
        <v>12</v>
      </c>
      <c r="AK2555" s="33" t="s">
        <v>26</v>
      </c>
      <c r="AL2555" s="33" t="s">
        <v>25</v>
      </c>
      <c r="AM2555" s="33" t="s">
        <v>27</v>
      </c>
      <c r="AN2555" s="33" t="s">
        <v>9</v>
      </c>
      <c r="AO2555" s="33" t="s">
        <v>23</v>
      </c>
      <c r="AP2555" s="33" t="s">
        <v>12</v>
      </c>
      <c r="AQ2555" s="33" t="s">
        <v>26</v>
      </c>
      <c r="AR2555" s="33" t="s">
        <v>25</v>
      </c>
      <c r="AS2555" s="33" t="s">
        <v>27</v>
      </c>
      <c r="AT2555" s="33" t="s">
        <v>9</v>
      </c>
      <c r="AU2555" s="33" t="s">
        <v>23</v>
      </c>
      <c r="AV2555" s="33" t="s">
        <v>12</v>
      </c>
      <c r="AW2555" s="33" t="s">
        <v>26</v>
      </c>
      <c r="AX2555" s="33" t="s">
        <v>25</v>
      </c>
      <c r="AY2555" s="33" t="s">
        <v>27</v>
      </c>
      <c r="AZ2555" s="33" t="s">
        <v>9</v>
      </c>
      <c r="BA2555" s="33" t="s">
        <v>23</v>
      </c>
      <c r="BB2555" s="33" t="s">
        <v>12</v>
      </c>
      <c r="BC2555" s="33" t="s">
        <v>26</v>
      </c>
      <c r="BD2555" s="33" t="s">
        <v>25</v>
      </c>
      <c r="BE2555" s="33" t="s">
        <v>27</v>
      </c>
      <c r="BF2555" s="33" t="s">
        <v>9</v>
      </c>
      <c r="BG2555" s="33" t="s">
        <v>23</v>
      </c>
      <c r="BH2555" s="33" t="s">
        <v>12</v>
      </c>
      <c r="BI2555" s="33" t="s">
        <v>26</v>
      </c>
      <c r="BJ2555" s="33" t="s">
        <v>25</v>
      </c>
      <c r="BK2555" s="33" t="s">
        <v>27</v>
      </c>
      <c r="BL2555" s="33" t="s">
        <v>9</v>
      </c>
      <c r="BM2555" s="33" t="s">
        <v>23</v>
      </c>
      <c r="BN2555" s="33" t="s">
        <v>12</v>
      </c>
      <c r="BO2555" s="33" t="s">
        <v>26</v>
      </c>
      <c r="BP2555" s="33" t="s">
        <v>25</v>
      </c>
      <c r="BQ2555" s="33" t="s">
        <v>27</v>
      </c>
      <c r="BR2555" s="33" t="s">
        <v>9</v>
      </c>
      <c r="BS2555" s="33" t="s">
        <v>23</v>
      </c>
      <c r="BT2555" s="33" t="s">
        <v>12</v>
      </c>
      <c r="BU2555" s="33" t="s">
        <v>26</v>
      </c>
      <c r="BV2555" s="33" t="s">
        <v>25</v>
      </c>
      <c r="BW2555" s="33" t="s">
        <v>27</v>
      </c>
      <c r="BX2555" s="33" t="s">
        <v>9</v>
      </c>
      <c r="BY2555" s="33" t="s">
        <v>23</v>
      </c>
      <c r="BZ2555" s="33" t="s">
        <v>12</v>
      </c>
      <c r="CA2555" s="33" t="s">
        <v>26</v>
      </c>
      <c r="CB2555" s="33" t="s">
        <v>25</v>
      </c>
      <c r="CC2555" s="33" t="s">
        <v>27</v>
      </c>
      <c r="CD2555" s="33" t="s">
        <v>9</v>
      </c>
      <c r="CE2555" s="33" t="s">
        <v>23</v>
      </c>
      <c r="CF2555" s="33" t="s">
        <v>12</v>
      </c>
      <c r="CG2555" s="33" t="s">
        <v>26</v>
      </c>
      <c r="CH2555" s="33" t="s">
        <v>25</v>
      </c>
    </row>
    <row r="2556" spans="1:86" x14ac:dyDescent="0.2">
      <c r="A2556" s="8" t="str">
        <f>IF(AND(COUNTIF(W$3:W$13,A$15)&gt;0,A$15&lt;&gt;B2324),A$15,IFERROR(IF(MATCH(A$15,Z$3:Z$13,0)=11,A$15," ")," "))</f>
        <v xml:space="preserve"> </v>
      </c>
      <c r="B2556" s="8" t="str">
        <f>IF(A2556=" "," ",1)</f>
        <v xml:space="preserve"> </v>
      </c>
      <c r="C2556" s="8" t="str">
        <f>IFERROR(INDEX(A2556:A2577,MATCH(SMALL(B2556:B2577,1),B2556:B2577,0),1)," ")</f>
        <v>C3</v>
      </c>
      <c r="D2556" s="8">
        <f>IFERROR(VLOOKUP($C2556,$A$15:$O$36,2,FALSE)," ")</f>
        <v>2</v>
      </c>
      <c r="E2556" s="8">
        <f>IFERROR(VLOOKUP($C2556,$A$15:$O$36,3,FALSE)," ")</f>
        <v>5</v>
      </c>
      <c r="F2556" s="8">
        <f>IFERROR(VLOOKUP($C2556,$A$15:$O$36,4,FALSE)," ")</f>
        <v>6</v>
      </c>
      <c r="G2556" s="8">
        <f>IFERROR(VLOOKUP($C2556,$A$15:$O$36,5,FALSE)," ")</f>
        <v>0</v>
      </c>
      <c r="H2556" s="8">
        <f>IFERROR(VLOOKUP($C2556,$A$15:$O$36,6,FALSE)," ")</f>
        <v>0</v>
      </c>
      <c r="I2556" s="8">
        <f>IFERROR(VLOOKUP($C2556,$A$15:$O$36,7,FALSE)," ")</f>
        <v>0</v>
      </c>
      <c r="J2556" s="8">
        <f>IFERROR(VLOOKUP($C2556,$A$15:$O$36,8,FALSE)," ")</f>
        <v>0</v>
      </c>
      <c r="K2556" s="8">
        <f>IFERROR(VLOOKUP($C2556,$A$15:$O$36,9,FALSE)," ")</f>
        <v>0</v>
      </c>
      <c r="L2556" s="8">
        <f>IFERROR(VLOOKUP($C2556,$A$15:$O$36,10,FALSE)," ")</f>
        <v>0</v>
      </c>
      <c r="M2556" s="8">
        <f>IFERROR(VLOOKUP($C2556,$A$15:$O$36,11,FALSE)," ")</f>
        <v>0</v>
      </c>
      <c r="N2556" s="8">
        <f>IFERROR(VLOOKUP($C2556,$A$15:$O$36,12,FALSE)," ")</f>
        <v>0</v>
      </c>
      <c r="O2556" s="8">
        <f>IFERROR(VLOOKUP($C2556,$A$15:$O$36,15,FALSE)," ")</f>
        <v>2000</v>
      </c>
      <c r="P2556" s="8" t="e">
        <f t="array" ref="P2556:P2566">MMULT(MINVERSE(D2556:N2566),O2556:O2566)</f>
        <v>#NUM!</v>
      </c>
      <c r="Q2556" s="8" t="e">
        <f t="shared" ref="Q2556" si="11118">IF(COUNTIF(P2556:P2566,"&lt;"&amp;-0.001)=0,IF(ABS(P2556)&lt;0.001,0,P2556)," ")</f>
        <v>#NUM!</v>
      </c>
      <c r="R2556" s="8" t="str">
        <f>IFERROR(VLOOKUP(B2324,A$15:L$36,2,FALSE)*Q2556+VLOOKUP(B2324,A$15:L$36,3,FALSE)*Q2557+VLOOKUP(B2324,A$15:L$36,4,FALSE)*Q2558+VLOOKUP(B2324,A$15:L$36,5,FALSE)*Q2559+VLOOKUP(B2324,A$15:L$36,6,FALSE)*Q2560+VLOOKUP(B2324,A$15:L$36,7,FALSE)*Q2561+VLOOKUP(B2324,A$15:L$36,8,FALSE)*Q2562+VLOOKUP(B2324,A$15:L$36,9,FALSE)*Q2563+VLOOKUP(B2324,A$15:L$36,10,FALSE)*Q2564+VLOOKUP(B2324,A$15:L$36,11,FALSE)*Q2565+VLOOKUP(B2324,A$15:L$36,12,FALSE)*Q2566," ")</f>
        <v xml:space="preserve"> </v>
      </c>
      <c r="S2556" s="8" t="str">
        <f>IFERROR(IF(R2556-VLOOKUP(B2324,A$15:O$36,15,FALSE)&lt;0,R2556-VLOOKUP(B2324,A$15:O$36,15,FALSE)," ")," ")</f>
        <v xml:space="preserve"> </v>
      </c>
      <c r="T2556" s="18" t="str">
        <f>IFERROR(IF(R2556-VLOOKUP(B2324,A$15:O$36,15,FALSE)&gt;0,R2556-VLOOKUP(B2324,A$15:O$36,15,FALSE)," ")," ")</f>
        <v xml:space="preserve"> </v>
      </c>
      <c r="U2556" s="34">
        <f t="shared" ref="U2556" si="11119">$M$2</f>
        <v>100.00000000000001</v>
      </c>
      <c r="V2556" s="34">
        <v>-1</v>
      </c>
      <c r="W2556" s="34">
        <f t="shared" ref="W2556" si="11120">-SUMPRODUCT($M$3:$M$12,$N$3:$N$12)</f>
        <v>-105000</v>
      </c>
      <c r="X2556" s="34" t="e">
        <f t="shared" ref="X2556" si="11121">IF(U2556&lt;&gt;U2557,MMULT(MINVERSE(U2556:V2557),W2556:W2557)," ")</f>
        <v>#NUM!</v>
      </c>
      <c r="Y2556" s="34" t="str">
        <f t="shared" ref="Y2556" si="11122">IFERROR(IF(X2556-VLOOKUP(U$38,$A$2:$N$12,14,FALSE)&lt;0,X2556-VLOOKUP(U$38,$A$2:$N$12,14,FALSE)," ")," ")</f>
        <v xml:space="preserve"> </v>
      </c>
      <c r="Z2556" s="34" t="str">
        <f t="shared" ref="Z2556" si="11123">IFERROR(IF(X2556-VLOOKUP(U$38,$A$2:$N$12,14,FALSE)&gt;0,X2556-VLOOKUP(U$38,$A$2:$N$12,14,FALSE)," ")," ")</f>
        <v xml:space="preserve"> </v>
      </c>
      <c r="AA2556" s="34">
        <f t="shared" ref="AA2556" si="11124">$M$3</f>
        <v>0</v>
      </c>
      <c r="AB2556" s="34">
        <v>-1</v>
      </c>
      <c r="AC2556" s="34">
        <f t="shared" ref="AC2556" si="11125">-SUMPRODUCT($M$2:$M$2,$N$2:$N$2)-SUMPRODUCT($M$4:$M$12,$N$4:$N$12)</f>
        <v>-120000</v>
      </c>
      <c r="AD2556" s="34" t="e">
        <f t="shared" ref="AD2556" si="11126">IF(AA2556&lt;&gt;AA2557,MMULT(MINVERSE(AA2556:AB2557),AC2556:AC2557)," ")</f>
        <v>#NUM!</v>
      </c>
      <c r="AE2556" s="34" t="str">
        <f t="shared" ref="AE2556" si="11127">IFERROR(IF(AD2556-VLOOKUP(AA$38,$A$2:$N$12,14,FALSE)&lt;0,AD2556-VLOOKUP(AA$38,$A$2:$N$12,14,FALSE)," ")," ")</f>
        <v xml:space="preserve"> </v>
      </c>
      <c r="AF2556" s="34" t="str">
        <f t="shared" ref="AF2556" si="11128">IFERROR(IF(AD2556-VLOOKUP(AA$38,$A$2:$N$12,14,FALSE)&gt;0,AD2556-VLOOKUP(AA$38,$A$2:$N$12,14,FALSE)," ")," ")</f>
        <v xml:space="preserve"> </v>
      </c>
      <c r="AG2556" s="34">
        <f t="shared" ref="AG2556" si="11129">$M$4</f>
        <v>300</v>
      </c>
      <c r="AH2556" s="34">
        <v>-1</v>
      </c>
      <c r="AI2556" s="34">
        <f t="shared" ref="AI2556" si="11130">-SUMPRODUCT($M$2:$M$3,$N$2:$N$3)-SUMPRODUCT($M$5:$M$12,$N$5:$N$12)</f>
        <v>-15000.000000000002</v>
      </c>
      <c r="AJ2556" s="34" t="e">
        <f t="shared" ref="AJ2556" si="11131">IF(AG2556&lt;&gt;AG2557,MMULT(MINVERSE(AG2556:AH2557),AI2556:AI2557)," ")</f>
        <v>#NUM!</v>
      </c>
      <c r="AK2556" s="34" t="str">
        <f t="shared" ref="AK2556" si="11132">IFERROR(IF(AJ2556-VLOOKUP(AG$38,$A$2:$N$12,14,FALSE)&lt;0,AJ2556-VLOOKUP(AG$38,$A$2:$N$12,14,FALSE)," ")," ")</f>
        <v xml:space="preserve"> </v>
      </c>
      <c r="AL2556" s="34" t="str">
        <f t="shared" ref="AL2556" si="11133">IFERROR(IF(AJ2556-VLOOKUP(AG$38,$A$2:$N$12,14,FALSE)&gt;0,AJ2556-VLOOKUP(AG$38,$A$2:$N$12,14,FALSE)," ")," ")</f>
        <v xml:space="preserve"> </v>
      </c>
      <c r="AM2556" s="34">
        <f t="shared" ref="AM2556" si="11134">$M$5</f>
        <v>0</v>
      </c>
      <c r="AN2556" s="34">
        <v>-1</v>
      </c>
      <c r="AO2556" s="34">
        <f t="shared" ref="AO2556" si="11135">-SUMPRODUCT($M$2:$M$4,$N$2:$N$4)-SUMPRODUCT($M$6:$M$12,$N$6:$N$12)</f>
        <v>-120000</v>
      </c>
      <c r="AP2556" s="34" t="e">
        <f t="shared" ref="AP2556" si="11136">IF(AM2556&lt;&gt;AM2557,MMULT(MINVERSE(AM2556:AN2557),AO2556:AO2557)," ")</f>
        <v>#NUM!</v>
      </c>
      <c r="AQ2556" s="34" t="str">
        <f t="shared" ref="AQ2556" si="11137">IFERROR(IF(AP2556-VLOOKUP(AM$38,$A$2:$N$12,14,FALSE)&lt;0,AP2556-VLOOKUP(AM$38,$A$2:$N$12,14,FALSE)," ")," ")</f>
        <v xml:space="preserve"> </v>
      </c>
      <c r="AR2556" s="34" t="str">
        <f t="shared" ref="AR2556" si="11138">IFERROR(IF(AP2556-VLOOKUP(AM$38,$A$2:$N$12,14,FALSE)&gt;0,AP2556-VLOOKUP(AM$38,$A$2:$N$12,14,FALSE)," ")," ")</f>
        <v xml:space="preserve"> </v>
      </c>
      <c r="AS2556" s="34">
        <f t="shared" ref="AS2556" si="11139">$M$6</f>
        <v>0</v>
      </c>
      <c r="AT2556" s="34">
        <v>-1</v>
      </c>
      <c r="AU2556" s="34">
        <f t="shared" ref="AU2556" si="11140">-SUMPRODUCT($M$2:$M$5,$N$2:$N$5)-SUMPRODUCT($M$7:$M$12,$N$7:$N$12)</f>
        <v>-120000</v>
      </c>
      <c r="AV2556" s="34" t="e">
        <f t="shared" ref="AV2556" si="11141">IF(AS2556&lt;&gt;AS2557,MMULT(MINVERSE(AS2556:AT2557),AU2556:AU2557)," ")</f>
        <v>#NUM!</v>
      </c>
      <c r="AW2556" s="34" t="str">
        <f t="shared" ref="AW2556" si="11142">IFERROR(IF(AV2556-VLOOKUP(AS$38,$A$2:$N$12,14,FALSE)&lt;0,AV2556-VLOOKUP(AS$38,$A$2:$N$12,14,FALSE)," ")," ")</f>
        <v xml:space="preserve"> </v>
      </c>
      <c r="AX2556" s="34" t="str">
        <f t="shared" ref="AX2556" si="11143">IFERROR(IF(AV2556-VLOOKUP(AS$38,$A$2:$N$12,14,FALSE)&gt;0,AV2556-VLOOKUP(AS$38,$A$2:$N$12,14,FALSE)," ")," ")</f>
        <v xml:space="preserve"> </v>
      </c>
      <c r="AY2556" s="34">
        <f t="shared" ref="AY2556" si="11144">$M$7</f>
        <v>0</v>
      </c>
      <c r="AZ2556" s="34">
        <v>-1</v>
      </c>
      <c r="BA2556" s="34">
        <f t="shared" ref="BA2556" si="11145">-SUMPRODUCT($M$2:$M$6,$N$2:$N$6)-SUMPRODUCT($M$8:$M$12,$N$8:$N$12)</f>
        <v>-120000</v>
      </c>
      <c r="BB2556" s="34" t="e">
        <f t="shared" ref="BB2556" si="11146">IF(AY2556&lt;&gt;AY2557,MMULT(MINVERSE(AY2556:AZ2557),BA2556:BA2557)," ")</f>
        <v>#NUM!</v>
      </c>
      <c r="BC2556" s="34" t="str">
        <f t="shared" ref="BC2556" si="11147">IFERROR(IF(BB2556-VLOOKUP(AY$38,$A$2:$N$12,14,FALSE)&lt;0,BB2556-VLOOKUP(AY$38,$A$2:$N$12,14,FALSE)," ")," ")</f>
        <v xml:space="preserve"> </v>
      </c>
      <c r="BD2556" s="34" t="str">
        <f t="shared" ref="BD2556" si="11148">IFERROR(IF(BB2556-VLOOKUP(AY$38,$A$2:$N$12,14,FALSE)&gt;0,BB2556-VLOOKUP(AY$38,$A$2:$N$12,14,FALSE)," ")," ")</f>
        <v xml:space="preserve"> </v>
      </c>
      <c r="BE2556" s="34">
        <f t="shared" ref="BE2556" si="11149">$M$8</f>
        <v>0</v>
      </c>
      <c r="BF2556" s="34">
        <v>-1</v>
      </c>
      <c r="BG2556" s="34">
        <f t="shared" ref="BG2556" si="11150">-SUMPRODUCT($M$2:$M$7,$N$2:$N$7)-SUMPRODUCT($M$9:$M$12,$N$9:$N$12)</f>
        <v>-120000</v>
      </c>
      <c r="BH2556" s="34" t="e">
        <f t="shared" ref="BH2556" si="11151">IF(BE2556&lt;&gt;BE2557,MMULT(MINVERSE(BE2556:BF2557),BG2556:BG2557)," ")</f>
        <v>#NUM!</v>
      </c>
      <c r="BI2556" s="34" t="str">
        <f t="shared" ref="BI2556" si="11152">IFERROR(IF(BH2556-VLOOKUP(BE$38,$A$2:$N$12,14,FALSE)&lt;0,BH2556-VLOOKUP(BE$38,$A$2:$N$12,14,FALSE)," ")," ")</f>
        <v xml:space="preserve"> </v>
      </c>
      <c r="BJ2556" s="34" t="str">
        <f t="shared" ref="BJ2556" si="11153">IFERROR(IF(BH2556-VLOOKUP(BE$38,$A$2:$N$12,14,FALSE)&gt;0,BH2556-VLOOKUP(BE$38,$A$2:$N$12,14,FALSE)," ")," ")</f>
        <v xml:space="preserve"> </v>
      </c>
      <c r="BK2556" s="34">
        <f t="shared" ref="BK2556" si="11154">$M$9</f>
        <v>0</v>
      </c>
      <c r="BL2556" s="34">
        <v>-1</v>
      </c>
      <c r="BM2556" s="34">
        <f t="shared" ref="BM2556" si="11155">-SUMPRODUCT($M$2:$M$8,$N$2:$N$8)-SUMPRODUCT($M$10:$M$12,$N$10:$N$12)</f>
        <v>-120000</v>
      </c>
      <c r="BN2556" s="34" t="e">
        <f t="shared" ref="BN2556" si="11156">IF(BK2556&lt;&gt;BK2557,MMULT(MINVERSE(BK2556:BL2557),BM2556:BM2557)," ")</f>
        <v>#NUM!</v>
      </c>
      <c r="BO2556" s="34" t="str">
        <f t="shared" ref="BO2556" si="11157">IFERROR(IF(BN2556-VLOOKUP(BK$38,$A$2:$N$12,14,FALSE)&lt;0,BN2556-VLOOKUP(BK$38,$A$2:$N$12,14,FALSE)," ")," ")</f>
        <v xml:space="preserve"> </v>
      </c>
      <c r="BP2556" s="34" t="str">
        <f t="shared" ref="BP2556" si="11158">IFERROR(IF(BN2556-VLOOKUP(BK$38,$A$2:$N$12,14,FALSE)&gt;0,BN2556-VLOOKUP(BK$38,$A$2:$N$12,14,FALSE)," ")," ")</f>
        <v xml:space="preserve"> </v>
      </c>
      <c r="BQ2556" s="34">
        <f t="shared" ref="BQ2556" si="11159">$M$10</f>
        <v>0</v>
      </c>
      <c r="BR2556" s="34">
        <v>-1</v>
      </c>
      <c r="BS2556" s="34">
        <f t="shared" ref="BS2556" si="11160">-SUMPRODUCT($M$2:$M$9,$N$2:$N$9)-SUMPRODUCT($M$11:$M$12,$N$11:$N$12)</f>
        <v>-120000</v>
      </c>
      <c r="BT2556" s="34" t="e">
        <f t="shared" ref="BT2556" si="11161">IF(BQ2556&lt;&gt;BQ2557,MMULT(MINVERSE(BQ2556:BR2557),BS2556:BS2557)," ")</f>
        <v>#NUM!</v>
      </c>
      <c r="BU2556" s="34" t="str">
        <f t="shared" ref="BU2556" si="11162">IFERROR(IF(BT2556-VLOOKUP(BQ$38,$A$2:$N$12,14,FALSE)&lt;0,BT2556-VLOOKUP(BQ$38,$A$2:$N$12,14,FALSE)," ")," ")</f>
        <v xml:space="preserve"> </v>
      </c>
      <c r="BV2556" s="34" t="str">
        <f t="shared" ref="BV2556" si="11163">IFERROR(IF(BT2556-VLOOKUP(BQ$38,$A$2:$N$12,14,FALSE)&gt;0,BT2556-VLOOKUP(BQ$38,$A$2:$N$12,14,FALSE)," ")," ")</f>
        <v xml:space="preserve"> </v>
      </c>
      <c r="BW2556" s="34">
        <f t="shared" ref="BW2556" si="11164">$M$11</f>
        <v>0</v>
      </c>
      <c r="BX2556" s="34">
        <v>-1</v>
      </c>
      <c r="BY2556" s="34">
        <f t="shared" ref="BY2556" si="11165">-SUMPRODUCT($M$2:$M$10,$N$2:$N$10)-SUMPRODUCT($M$12,$N$12)</f>
        <v>-120000</v>
      </c>
      <c r="BZ2556" s="34" t="e">
        <f t="shared" ref="BZ2556" si="11166">IF(BW2556&lt;&gt;BW2557,MMULT(MINVERSE(BW2556:BX2557),BY2556:BY2557)," ")</f>
        <v>#NUM!</v>
      </c>
      <c r="CA2556" s="34" t="str">
        <f t="shared" ref="CA2556" si="11167">IFERROR(IF(BZ2556-VLOOKUP(BW$38,$A$2:$N$12,14,FALSE)&lt;0,BZ2556-VLOOKUP(BW$38,$A$2:$N$12,14,FALSE)," ")," ")</f>
        <v xml:space="preserve"> </v>
      </c>
      <c r="CB2556" s="34" t="str">
        <f t="shared" ref="CB2556" si="11168">IFERROR(IF(BZ2556-VLOOKUP(BW$38,$A$2:$N$12,14,FALSE)&gt;0,BZ2556-VLOOKUP(BW$38,$A$2:$N$12,14,FALSE)," ")," ")</f>
        <v xml:space="preserve"> </v>
      </c>
      <c r="CC2556" s="34">
        <f t="shared" ref="CC2556" si="11169">$M$12</f>
        <v>0</v>
      </c>
      <c r="CD2556" s="34">
        <v>-1</v>
      </c>
      <c r="CE2556" s="34">
        <f t="shared" ref="CE2556" si="11170">-SUMPRODUCT($M$2:$M$11,$N$2:$N$11)</f>
        <v>-120000</v>
      </c>
      <c r="CF2556" s="34" t="e">
        <f t="shared" ref="CF2556" si="11171">IF(CC2556&lt;&gt;CC2557,MMULT(MINVERSE(CC2556:CD2557),CE2556:CE2557)," ")</f>
        <v>#NUM!</v>
      </c>
      <c r="CG2556" s="34" t="str">
        <f t="shared" ref="CG2556" si="11172">IFERROR(IF(CF2556-VLOOKUP(CC$38,$A$2:$N$12,14,FALSE)&lt;0,CF2556-VLOOKUP(CC$38,$A$2:$N$12,14,FALSE)," ")," ")</f>
        <v xml:space="preserve"> </v>
      </c>
      <c r="CH2556" s="34" t="str">
        <f t="shared" ref="CH2556" si="11173">IFERROR(IF(CF2556-VLOOKUP(CC$38,$A$2:$N$12,14,FALSE)&gt;0,CF2556-VLOOKUP(CC$38,$A$2:$N$12,14,FALSE)," ")," ")</f>
        <v xml:space="preserve"> </v>
      </c>
    </row>
    <row r="2557" spans="1:86" x14ac:dyDescent="0.2">
      <c r="A2557" s="8" t="str">
        <f>IF(AND(COUNTIF(W$3:W$13,A$16)&gt;0,A$16&lt;&gt;B2324),A$16,IFERROR(IF(MATCH(A$16,Z$3:Z$13,0)=11,A$16," ")," "))</f>
        <v xml:space="preserve"> </v>
      </c>
      <c r="B2557" s="8" t="str">
        <f>IF(A2557=" "," ",MAX(B2556:B2556)+1)</f>
        <v xml:space="preserve"> </v>
      </c>
      <c r="C2557" s="8" t="str">
        <f>IFERROR(INDEX(A2556:A2577,MATCH(SMALL(B2556:B2577,2),B2556:B2577,0),1)," ")</f>
        <v>C4</v>
      </c>
      <c r="D2557" s="8">
        <f t="shared" ref="D2557:D2566" si="11174">IFERROR(VLOOKUP($C2557,$A$15:$O$36,2,FALSE)," ")</f>
        <v>1</v>
      </c>
      <c r="E2557" s="8">
        <f t="shared" ref="E2557:E2566" si="11175">IFERROR(VLOOKUP($C2557,$A$15:$O$36,3,FALSE)," ")</f>
        <v>0</v>
      </c>
      <c r="F2557" s="8">
        <f t="shared" ref="F2557:F2566" si="11176">IFERROR(VLOOKUP($C2557,$A$15:$O$36,4,FALSE)," ")</f>
        <v>1</v>
      </c>
      <c r="G2557" s="8">
        <f t="shared" ref="G2557:G2566" si="11177">IFERROR(VLOOKUP($C2557,$A$15:$O$36,5,FALSE)," ")</f>
        <v>0</v>
      </c>
      <c r="H2557" s="8">
        <f t="shared" ref="H2557:H2566" si="11178">IFERROR(VLOOKUP($C2557,$A$15:$O$36,6,FALSE)," ")</f>
        <v>0</v>
      </c>
      <c r="I2557" s="8">
        <f t="shared" ref="I2557:I2566" si="11179">IFERROR(VLOOKUP($C2557,$A$15:$O$36,7,FALSE)," ")</f>
        <v>0</v>
      </c>
      <c r="J2557" s="8">
        <f t="shared" ref="J2557:J2566" si="11180">IFERROR(VLOOKUP($C2557,$A$15:$O$36,8,FALSE)," ")</f>
        <v>0</v>
      </c>
      <c r="K2557" s="8">
        <f t="shared" ref="K2557:K2566" si="11181">IFERROR(VLOOKUP($C2557,$A$15:$O$36,9,FALSE)," ")</f>
        <v>0</v>
      </c>
      <c r="L2557" s="8">
        <f t="shared" ref="L2557:L2566" si="11182">IFERROR(VLOOKUP($C2557,$A$15:$O$36,10,FALSE)," ")</f>
        <v>0</v>
      </c>
      <c r="M2557" s="8">
        <f t="shared" ref="M2557:M2566" si="11183">IFERROR(VLOOKUP($C2557,$A$15:$O$36,11,FALSE)," ")</f>
        <v>0</v>
      </c>
      <c r="N2557" s="8">
        <f t="shared" ref="N2557:N2566" si="11184">IFERROR(VLOOKUP($C2557,$A$15:$O$36,12,FALSE)," ")</f>
        <v>0</v>
      </c>
      <c r="O2557" s="8">
        <f t="shared" ref="O2557:O2566" si="11185">IFERROR(VLOOKUP($C2557,$A$15:$O$36,15,FALSE)," ")</f>
        <v>400</v>
      </c>
      <c r="P2557" s="8" t="e">
        <v>#NUM!</v>
      </c>
      <c r="Q2557" s="8" t="e">
        <f t="shared" ref="Q2557" si="11186">IF(COUNTIF(P2556:P2566,"&lt;"&amp;-0.001)=0,IF(ABS(P2557)&lt;0.001,0,P2557)," ")</f>
        <v>#NUM!</v>
      </c>
      <c r="R2557" s="8"/>
      <c r="S2557" s="8"/>
      <c r="U2557" s="34" t="e">
        <f t="shared" ref="U2557" si="11187">$Q2556</f>
        <v>#NUM!</v>
      </c>
      <c r="V2557" s="34">
        <v>-1</v>
      </c>
      <c r="W2557" s="34" t="e">
        <f t="shared" ref="W2557" si="11188">-SUMPRODUCT($Q2557:$Q2566,$N$3:$N$12)</f>
        <v>#NUM!</v>
      </c>
      <c r="X2557" s="34"/>
      <c r="Y2557" s="34"/>
      <c r="Z2557" s="34"/>
      <c r="AA2557" s="34" t="e">
        <f t="shared" ref="AA2557" si="11189">$Q2557</f>
        <v>#NUM!</v>
      </c>
      <c r="AB2557" s="34">
        <v>-1</v>
      </c>
      <c r="AC2557" s="34" t="e">
        <f t="shared" ref="AC2557" si="11190">-SUMPRODUCT($Q2556:$Q2556,$N$2:$N$2)-SUMPRODUCT($Q2558:$Q2566,$N$4:$N$12)</f>
        <v>#NUM!</v>
      </c>
      <c r="AD2557" s="34"/>
      <c r="AE2557" s="34"/>
      <c r="AF2557" s="34"/>
      <c r="AG2557" s="34" t="e">
        <f t="shared" ref="AG2557" si="11191">$Q2558</f>
        <v>#NUM!</v>
      </c>
      <c r="AH2557" s="34">
        <v>-1</v>
      </c>
      <c r="AI2557" s="34" t="e">
        <f t="shared" ref="AI2557" si="11192">-SUMPRODUCT($Q2556:$Q2557,$N$2:$N$3)-SUMPRODUCT($Q2559:$Q2566,$N$5:$N$12)</f>
        <v>#NUM!</v>
      </c>
      <c r="AJ2557" s="34"/>
      <c r="AK2557" s="34"/>
      <c r="AL2557" s="34"/>
      <c r="AM2557" s="34" t="e">
        <f t="shared" ref="AM2557" si="11193">$Q2559</f>
        <v>#NUM!</v>
      </c>
      <c r="AN2557" s="34">
        <v>-1</v>
      </c>
      <c r="AO2557" s="34" t="e">
        <f t="shared" ref="AO2557" si="11194">-SUMPRODUCT($Q2556:$Q2558,$N$2:$N$4)-SUMPRODUCT($Q2560:$Q2566,$N$6:$N$12)</f>
        <v>#NUM!</v>
      </c>
      <c r="AP2557" s="34"/>
      <c r="AQ2557" s="34"/>
      <c r="AR2557" s="34"/>
      <c r="AS2557" s="34" t="e">
        <f t="shared" ref="AS2557" si="11195">$Q2560</f>
        <v>#NUM!</v>
      </c>
      <c r="AT2557" s="34">
        <v>-1</v>
      </c>
      <c r="AU2557" s="34" t="e">
        <f t="shared" ref="AU2557" si="11196">-SUMPRODUCT($Q2556:$Q2559,$N$2:$N$5)-SUMPRODUCT($Q2561:$Q2566,$N$7:$N$12)</f>
        <v>#NUM!</v>
      </c>
      <c r="AV2557" s="34"/>
      <c r="AW2557" s="34"/>
      <c r="AX2557" s="34"/>
      <c r="AY2557" s="34" t="e">
        <f t="shared" ref="AY2557" si="11197">$Q2561</f>
        <v>#NUM!</v>
      </c>
      <c r="AZ2557" s="34">
        <v>-1</v>
      </c>
      <c r="BA2557" s="34" t="e">
        <f t="shared" ref="BA2557" si="11198">-SUMPRODUCT($Q2556:$Q2560,$N$2:$N$6)-SUMPRODUCT($Q2562:$Q2566,$N$8:$N$12)</f>
        <v>#NUM!</v>
      </c>
      <c r="BB2557" s="34"/>
      <c r="BC2557" s="34"/>
      <c r="BD2557" s="34"/>
      <c r="BE2557" s="34" t="e">
        <f t="shared" ref="BE2557" si="11199">$Q2562</f>
        <v>#NUM!</v>
      </c>
      <c r="BF2557" s="34">
        <v>-1</v>
      </c>
      <c r="BG2557" s="34" t="e">
        <f t="shared" ref="BG2557" si="11200">-SUMPRODUCT($Q2556:$Q2561,$N$2:$N$7)-SUMPRODUCT($Q2563:$Q2566,$N$9:$N$12)</f>
        <v>#NUM!</v>
      </c>
      <c r="BH2557" s="34"/>
      <c r="BI2557" s="34"/>
      <c r="BJ2557" s="34"/>
      <c r="BK2557" s="34" t="e">
        <f t="shared" ref="BK2557" si="11201">$Q2563</f>
        <v>#NUM!</v>
      </c>
      <c r="BL2557" s="34">
        <v>-1</v>
      </c>
      <c r="BM2557" s="34" t="e">
        <f t="shared" ref="BM2557" si="11202">-SUMPRODUCT($Q2556:$Q2562,$N$2:$N$8)-SUMPRODUCT($Q2564:$Q2566,$N$10:$N$12)</f>
        <v>#NUM!</v>
      </c>
      <c r="BN2557" s="34"/>
      <c r="BO2557" s="34"/>
      <c r="BP2557" s="34"/>
      <c r="BQ2557" s="34" t="e">
        <f t="shared" ref="BQ2557" si="11203">$Q2564</f>
        <v>#NUM!</v>
      </c>
      <c r="BR2557" s="34">
        <v>-1</v>
      </c>
      <c r="BS2557" s="34" t="e">
        <f t="shared" ref="BS2557" si="11204">-SUMPRODUCT($Q2556:$Q2563,$N$2:$N$9)-SUMPRODUCT($Q2565:$Q2566,$N$11:$N$12)</f>
        <v>#NUM!</v>
      </c>
      <c r="BT2557" s="34"/>
      <c r="BU2557" s="34"/>
      <c r="BV2557" s="34"/>
      <c r="BW2557" s="34" t="e">
        <f t="shared" ref="BW2557" si="11205">$Q2565</f>
        <v>#NUM!</v>
      </c>
      <c r="BX2557" s="34">
        <v>-1</v>
      </c>
      <c r="BY2557" s="34" t="e">
        <f t="shared" ref="BY2557" si="11206">-SUMPRODUCT($Q2556:$Q2564,$N$2:$N$10)-SUMPRODUCT($Q2566,$N$12)</f>
        <v>#NUM!</v>
      </c>
      <c r="BZ2557" s="34"/>
      <c r="CA2557" s="34"/>
      <c r="CB2557" s="34"/>
      <c r="CC2557" s="34" t="e">
        <f t="shared" ref="CC2557" si="11207">$Q2566</f>
        <v>#NUM!</v>
      </c>
      <c r="CD2557" s="34">
        <v>-1</v>
      </c>
      <c r="CE2557" s="34" t="e">
        <f t="shared" ref="CE2557" si="11208">-SUMPRODUCT($Q2556:$Q2565,$N$2:$N$11)</f>
        <v>#NUM!</v>
      </c>
      <c r="CF2557" s="34"/>
      <c r="CG2557" s="34"/>
      <c r="CH2557" s="34"/>
    </row>
    <row r="2558" spans="1:86" x14ac:dyDescent="0.2">
      <c r="A2558" s="8" t="str">
        <f>IF(AND(COUNTIF(W$3:W$13,A$17)&gt;0,A$17&lt;&gt;B2324),A$17,IFERROR(IF(MATCH(A$17,Z$3:Z$13,0)=11,A$17," ")," "))</f>
        <v>C3</v>
      </c>
      <c r="B2558" s="8">
        <f>IF(A2558=" "," ",MAX(B2556:B2557)+1)</f>
        <v>1</v>
      </c>
      <c r="C2558" s="8" t="str">
        <f>IFERROR(INDEX(A2556:A2577,MATCH(SMALL(B2556:B2577,3),B2556:B2577,0),1)," ")</f>
        <v>C13</v>
      </c>
      <c r="D2558" s="8">
        <f t="shared" si="11174"/>
        <v>0</v>
      </c>
      <c r="E2558" s="8">
        <f t="shared" si="11175"/>
        <v>1</v>
      </c>
      <c r="F2558" s="8">
        <f t="shared" si="11176"/>
        <v>0</v>
      </c>
      <c r="G2558" s="8">
        <f t="shared" si="11177"/>
        <v>0</v>
      </c>
      <c r="H2558" s="8">
        <f t="shared" si="11178"/>
        <v>0</v>
      </c>
      <c r="I2558" s="8">
        <f t="shared" si="11179"/>
        <v>0</v>
      </c>
      <c r="J2558" s="8">
        <f t="shared" si="11180"/>
        <v>0</v>
      </c>
      <c r="K2558" s="8">
        <f t="shared" si="11181"/>
        <v>0</v>
      </c>
      <c r="L2558" s="8">
        <f t="shared" si="11182"/>
        <v>0</v>
      </c>
      <c r="M2558" s="8">
        <f t="shared" si="11183"/>
        <v>0</v>
      </c>
      <c r="N2558" s="8">
        <f t="shared" si="11184"/>
        <v>0</v>
      </c>
      <c r="O2558" s="8">
        <f t="shared" si="11185"/>
        <v>0</v>
      </c>
      <c r="P2558" s="8" t="e">
        <v>#NUM!</v>
      </c>
      <c r="Q2558" s="8" t="e">
        <f t="shared" ref="Q2558" si="11209">IF(COUNTIF(P2556:P2566,"&lt;"&amp;-0.001)=0,IF(ABS(P2558)&lt;0.001,0,P2558)," ")</f>
        <v>#NUM!</v>
      </c>
      <c r="R2558" s="8"/>
      <c r="S2558" s="8"/>
      <c r="U2558" s="34"/>
      <c r="V2558" s="34"/>
      <c r="W2558" s="34"/>
      <c r="X2558" s="34"/>
      <c r="Y2558" s="34"/>
      <c r="Z2558" s="34"/>
      <c r="AA2558" s="34"/>
      <c r="AB2558" s="34"/>
      <c r="AC2558" s="34"/>
      <c r="AD2558" s="34"/>
      <c r="AE2558" s="34"/>
      <c r="AF2558" s="34"/>
      <c r="AG2558" s="34"/>
      <c r="AH2558" s="34"/>
      <c r="AI2558" s="34"/>
      <c r="AJ2558" s="34"/>
      <c r="AK2558" s="34"/>
      <c r="AL2558" s="34"/>
      <c r="AM2558" s="34"/>
      <c r="AN2558" s="34"/>
      <c r="AO2558" s="34"/>
      <c r="AP2558" s="34"/>
      <c r="AQ2558" s="34"/>
      <c r="AR2558" s="34"/>
      <c r="AS2558" s="34"/>
      <c r="AT2558" s="34"/>
      <c r="AU2558" s="34"/>
      <c r="AV2558" s="34"/>
      <c r="AW2558" s="34"/>
      <c r="AX2558" s="34"/>
      <c r="AY2558" s="34"/>
      <c r="AZ2558" s="34"/>
      <c r="BA2558" s="34"/>
      <c r="BB2558" s="34"/>
      <c r="BC2558" s="34"/>
      <c r="BD2558" s="34"/>
      <c r="BE2558" s="34"/>
      <c r="BF2558" s="34"/>
      <c r="BG2558" s="34"/>
      <c r="BH2558" s="34"/>
      <c r="BI2558" s="34"/>
      <c r="BJ2558" s="34"/>
      <c r="BK2558" s="34"/>
      <c r="BL2558" s="34"/>
      <c r="BM2558" s="34"/>
      <c r="BN2558" s="34"/>
      <c r="BO2558" s="34"/>
      <c r="BP2558" s="34"/>
      <c r="BQ2558" s="34"/>
      <c r="BR2558" s="34"/>
      <c r="BS2558" s="34"/>
      <c r="BT2558" s="34"/>
      <c r="BU2558" s="34"/>
      <c r="BV2558" s="34"/>
      <c r="BW2558" s="34"/>
      <c r="BX2558" s="34"/>
      <c r="BY2558" s="34"/>
      <c r="BZ2558" s="34"/>
      <c r="CA2558" s="34"/>
      <c r="CB2558" s="34"/>
      <c r="CC2558" s="34"/>
      <c r="CD2558" s="34"/>
      <c r="CE2558" s="34"/>
      <c r="CF2558" s="34"/>
      <c r="CG2558" s="34"/>
      <c r="CH2558" s="34"/>
    </row>
    <row r="2559" spans="1:86" x14ac:dyDescent="0.2">
      <c r="A2559" s="8" t="str">
        <f>IF(AND(COUNTIF(W$3:W$13,A$18)&gt;0,A$18&lt;&gt;B2324),A$18,IFERROR(IF(MATCH(A$18,Z$3:Z$13,0)=11,A$18," ")," "))</f>
        <v>C4</v>
      </c>
      <c r="B2559" s="8">
        <f>IF(A2559=" "," ",MAX(B2556:B2558)+1)</f>
        <v>2</v>
      </c>
      <c r="C2559" s="8" t="str">
        <f>IFERROR(INDEX(A2556:A2577,MATCH(SMALL(B2556:B2577,4),B2556:B2577,0),1)," ")</f>
        <v>C14</v>
      </c>
      <c r="D2559" s="8">
        <f t="shared" si="11174"/>
        <v>0</v>
      </c>
      <c r="E2559" s="8">
        <f t="shared" si="11175"/>
        <v>0</v>
      </c>
      <c r="F2559" s="8">
        <f t="shared" si="11176"/>
        <v>1</v>
      </c>
      <c r="G2559" s="8">
        <f t="shared" si="11177"/>
        <v>0</v>
      </c>
      <c r="H2559" s="8">
        <f t="shared" si="11178"/>
        <v>0</v>
      </c>
      <c r="I2559" s="8">
        <f t="shared" si="11179"/>
        <v>0</v>
      </c>
      <c r="J2559" s="8">
        <f t="shared" si="11180"/>
        <v>0</v>
      </c>
      <c r="K2559" s="8">
        <f t="shared" si="11181"/>
        <v>0</v>
      </c>
      <c r="L2559" s="8">
        <f t="shared" si="11182"/>
        <v>0</v>
      </c>
      <c r="M2559" s="8">
        <f t="shared" si="11183"/>
        <v>0</v>
      </c>
      <c r="N2559" s="8">
        <f t="shared" si="11184"/>
        <v>0</v>
      </c>
      <c r="O2559" s="8">
        <f t="shared" si="11185"/>
        <v>0</v>
      </c>
      <c r="P2559" s="8" t="e">
        <v>#NUM!</v>
      </c>
      <c r="Q2559" s="8" t="e">
        <f t="shared" ref="Q2559" si="11210">IF(COUNTIF(P2556:P2566,"&lt;"&amp;-0.001)=0,IF(ABS(P2559)&lt;0.001,0,P2559)," ")</f>
        <v>#NUM!</v>
      </c>
      <c r="R2559" s="8"/>
      <c r="S2559" s="8"/>
      <c r="U2559" s="34"/>
      <c r="V2559" s="34"/>
      <c r="W2559" s="34"/>
      <c r="X2559" s="34"/>
      <c r="Y2559" s="34"/>
      <c r="Z2559" s="34"/>
      <c r="AA2559" s="34"/>
      <c r="AB2559" s="34"/>
      <c r="AC2559" s="34"/>
      <c r="AD2559" s="34"/>
      <c r="AE2559" s="34"/>
      <c r="AF2559" s="34"/>
      <c r="AG2559" s="34"/>
      <c r="AH2559" s="34"/>
      <c r="AI2559" s="34"/>
      <c r="AJ2559" s="34"/>
      <c r="AK2559" s="34"/>
      <c r="AL2559" s="34"/>
      <c r="AM2559" s="34"/>
      <c r="AN2559" s="34"/>
      <c r="AO2559" s="34"/>
      <c r="AP2559" s="34"/>
      <c r="AQ2559" s="34"/>
      <c r="AR2559" s="34"/>
      <c r="AS2559" s="34"/>
      <c r="AT2559" s="34"/>
      <c r="AU2559" s="34"/>
      <c r="AV2559" s="34"/>
      <c r="AW2559" s="34"/>
      <c r="AX2559" s="34"/>
      <c r="AY2559" s="34"/>
      <c r="AZ2559" s="34"/>
      <c r="BA2559" s="34"/>
      <c r="BB2559" s="34"/>
      <c r="BC2559" s="34"/>
      <c r="BD2559" s="34"/>
      <c r="BE2559" s="34"/>
      <c r="BF2559" s="34"/>
      <c r="BG2559" s="34"/>
      <c r="BH2559" s="34"/>
      <c r="BI2559" s="34"/>
      <c r="BJ2559" s="34"/>
      <c r="BK2559" s="34"/>
      <c r="BL2559" s="34"/>
      <c r="BM2559" s="34"/>
      <c r="BN2559" s="34"/>
      <c r="BO2559" s="34"/>
      <c r="BP2559" s="34"/>
      <c r="BQ2559" s="34"/>
      <c r="BR2559" s="34"/>
      <c r="BS2559" s="34"/>
      <c r="BT2559" s="34"/>
      <c r="BU2559" s="34"/>
      <c r="BV2559" s="34"/>
      <c r="BW2559" s="34"/>
      <c r="BX2559" s="34"/>
      <c r="BY2559" s="34"/>
      <c r="BZ2559" s="34"/>
      <c r="CA2559" s="34"/>
      <c r="CB2559" s="34"/>
      <c r="CC2559" s="34"/>
      <c r="CD2559" s="34"/>
      <c r="CE2559" s="34"/>
      <c r="CF2559" s="34"/>
      <c r="CG2559" s="34"/>
      <c r="CH2559" s="34"/>
    </row>
    <row r="2560" spans="1:86" x14ac:dyDescent="0.2">
      <c r="A2560" s="8" t="str">
        <f>IF(AND(COUNTIF(W$3:W$13,A$19)&gt;0,A$19&lt;&gt;B2324),A$19,IFERROR(IF(MATCH(A$19,Z$3:Z$13,0)=11,A$19," ")," "))</f>
        <v xml:space="preserve"> </v>
      </c>
      <c r="B2560" s="8" t="str">
        <f>IF(A2560=" "," ",MAX(B2556:B2559)+1)</f>
        <v xml:space="preserve"> </v>
      </c>
      <c r="C2560" s="8" t="str">
        <f>IFERROR(INDEX(A2556:A2577,MATCH(SMALL(B2556:B2577,5),B2556:B2577,0),1)," ")</f>
        <v>C15</v>
      </c>
      <c r="D2560" s="8">
        <f t="shared" si="11174"/>
        <v>0</v>
      </c>
      <c r="E2560" s="8">
        <f t="shared" si="11175"/>
        <v>0</v>
      </c>
      <c r="F2560" s="8">
        <f t="shared" si="11176"/>
        <v>0</v>
      </c>
      <c r="G2560" s="8">
        <f t="shared" si="11177"/>
        <v>1</v>
      </c>
      <c r="H2560" s="8">
        <f t="shared" si="11178"/>
        <v>0</v>
      </c>
      <c r="I2560" s="8">
        <f t="shared" si="11179"/>
        <v>0</v>
      </c>
      <c r="J2560" s="8">
        <f t="shared" si="11180"/>
        <v>0</v>
      </c>
      <c r="K2560" s="8">
        <f t="shared" si="11181"/>
        <v>0</v>
      </c>
      <c r="L2560" s="8">
        <f t="shared" si="11182"/>
        <v>0</v>
      </c>
      <c r="M2560" s="8">
        <f t="shared" si="11183"/>
        <v>0</v>
      </c>
      <c r="N2560" s="8">
        <f t="shared" si="11184"/>
        <v>0</v>
      </c>
      <c r="O2560" s="8">
        <f t="shared" si="11185"/>
        <v>0</v>
      </c>
      <c r="P2560" s="8" t="e">
        <v>#NUM!</v>
      </c>
      <c r="Q2560" s="8" t="e">
        <f t="shared" ref="Q2560" si="11211">IF(COUNTIF(P2556:P2566,"&lt;"&amp;-0.001)=0,IF(ABS(P2560)&lt;0.001,0,P2560)," ")</f>
        <v>#NUM!</v>
      </c>
      <c r="R2560" s="8"/>
      <c r="S2560" s="8"/>
      <c r="U2560" s="34"/>
      <c r="V2560" s="34"/>
      <c r="W2560" s="34"/>
      <c r="X2560" s="34"/>
      <c r="Y2560" s="34"/>
      <c r="Z2560" s="34"/>
      <c r="AA2560" s="34"/>
      <c r="AB2560" s="34"/>
      <c r="AC2560" s="34"/>
      <c r="AD2560" s="34"/>
      <c r="AE2560" s="34"/>
      <c r="AF2560" s="34"/>
      <c r="AG2560" s="34"/>
      <c r="AH2560" s="34"/>
      <c r="AI2560" s="34"/>
      <c r="AJ2560" s="34"/>
      <c r="AK2560" s="34"/>
      <c r="AL2560" s="34"/>
      <c r="AM2560" s="34"/>
      <c r="AN2560" s="34"/>
      <c r="AO2560" s="34"/>
      <c r="AP2560" s="34"/>
      <c r="AQ2560" s="34"/>
      <c r="AR2560" s="34"/>
      <c r="AS2560" s="34"/>
      <c r="AT2560" s="34"/>
      <c r="AU2560" s="34"/>
      <c r="AV2560" s="34"/>
      <c r="AW2560" s="34"/>
      <c r="AX2560" s="34"/>
      <c r="AY2560" s="34"/>
      <c r="AZ2560" s="34"/>
      <c r="BA2560" s="34"/>
      <c r="BB2560" s="34"/>
      <c r="BC2560" s="34"/>
      <c r="BD2560" s="34"/>
      <c r="BE2560" s="34"/>
      <c r="BF2560" s="34"/>
      <c r="BG2560" s="34"/>
      <c r="BH2560" s="34"/>
      <c r="BI2560" s="34"/>
      <c r="BJ2560" s="34"/>
      <c r="BK2560" s="34"/>
      <c r="BL2560" s="34"/>
      <c r="BM2560" s="34"/>
      <c r="BN2560" s="34"/>
      <c r="BO2560" s="34"/>
      <c r="BP2560" s="34"/>
      <c r="BQ2560" s="34"/>
      <c r="BR2560" s="34"/>
      <c r="BS2560" s="34"/>
      <c r="BT2560" s="34"/>
      <c r="BU2560" s="34"/>
      <c r="BV2560" s="34"/>
      <c r="BW2560" s="34"/>
      <c r="BX2560" s="34"/>
      <c r="BY2560" s="34"/>
      <c r="BZ2560" s="34"/>
      <c r="CA2560" s="34"/>
      <c r="CB2560" s="34"/>
      <c r="CC2560" s="34"/>
      <c r="CD2560" s="34"/>
      <c r="CE2560" s="34"/>
      <c r="CF2560" s="34"/>
      <c r="CG2560" s="34"/>
      <c r="CH2560" s="34"/>
    </row>
    <row r="2561" spans="1:86" x14ac:dyDescent="0.2">
      <c r="A2561" s="8" t="str">
        <f>IF(AND(COUNTIF(W$3:W$13,A$20)&gt;0,A$20&lt;&gt;B2324),A$20,IFERROR(IF(MATCH(A$20,Z$3:Z$13,0)=11,A$20," ")," "))</f>
        <v xml:space="preserve"> </v>
      </c>
      <c r="B2561" s="8" t="str">
        <f>IF(A2561=" "," ",MAX(B2556:B2560)+1)</f>
        <v xml:space="preserve"> </v>
      </c>
      <c r="C2561" s="8" t="str">
        <f>IFERROR(INDEX(A2556:A2577,MATCH(SMALL(B2556:B2577,6),B2556:B2577,0),1)," ")</f>
        <v>C16</v>
      </c>
      <c r="D2561" s="8">
        <f t="shared" si="11174"/>
        <v>0</v>
      </c>
      <c r="E2561" s="8">
        <f t="shared" si="11175"/>
        <v>0</v>
      </c>
      <c r="F2561" s="8">
        <f t="shared" si="11176"/>
        <v>0</v>
      </c>
      <c r="G2561" s="8">
        <f t="shared" si="11177"/>
        <v>0</v>
      </c>
      <c r="H2561" s="8">
        <f t="shared" si="11178"/>
        <v>1</v>
      </c>
      <c r="I2561" s="8">
        <f t="shared" si="11179"/>
        <v>0</v>
      </c>
      <c r="J2561" s="8">
        <f t="shared" si="11180"/>
        <v>0</v>
      </c>
      <c r="K2561" s="8">
        <f t="shared" si="11181"/>
        <v>0</v>
      </c>
      <c r="L2561" s="8">
        <f t="shared" si="11182"/>
        <v>0</v>
      </c>
      <c r="M2561" s="8">
        <f t="shared" si="11183"/>
        <v>0</v>
      </c>
      <c r="N2561" s="8">
        <f t="shared" si="11184"/>
        <v>0</v>
      </c>
      <c r="O2561" s="8">
        <f t="shared" si="11185"/>
        <v>0</v>
      </c>
      <c r="P2561" s="8" t="e">
        <v>#NUM!</v>
      </c>
      <c r="Q2561" s="8" t="e">
        <f t="shared" ref="Q2561" si="11212">IF(COUNTIF(P2556:P2566,"&lt;"&amp;-0.001)=0,IF(ABS(P2561)&lt;0.001,0,P2561)," ")</f>
        <v>#NUM!</v>
      </c>
      <c r="R2561" s="8"/>
      <c r="S2561" s="8"/>
      <c r="U2561" s="34"/>
      <c r="V2561" s="34"/>
      <c r="W2561" s="34"/>
      <c r="X2561" s="34"/>
      <c r="Y2561" s="34"/>
      <c r="Z2561" s="34"/>
      <c r="AA2561" s="34"/>
      <c r="AB2561" s="34"/>
      <c r="AC2561" s="34"/>
      <c r="AD2561" s="34"/>
      <c r="AE2561" s="34"/>
      <c r="AF2561" s="34"/>
      <c r="AG2561" s="34"/>
      <c r="AH2561" s="34"/>
      <c r="AI2561" s="34"/>
      <c r="AJ2561" s="34"/>
      <c r="AK2561" s="34"/>
      <c r="AL2561" s="34"/>
      <c r="AM2561" s="34"/>
      <c r="AN2561" s="34"/>
      <c r="AO2561" s="34"/>
      <c r="AP2561" s="34"/>
      <c r="AQ2561" s="34"/>
      <c r="AR2561" s="34"/>
      <c r="AS2561" s="34"/>
      <c r="AT2561" s="34"/>
      <c r="AU2561" s="34"/>
      <c r="AV2561" s="34"/>
      <c r="AW2561" s="34"/>
      <c r="AX2561" s="34"/>
      <c r="AY2561" s="34"/>
      <c r="AZ2561" s="34"/>
      <c r="BA2561" s="34"/>
      <c r="BB2561" s="34"/>
      <c r="BC2561" s="34"/>
      <c r="BD2561" s="34"/>
      <c r="BE2561" s="34"/>
      <c r="BF2561" s="34"/>
      <c r="BG2561" s="34"/>
      <c r="BH2561" s="34"/>
      <c r="BI2561" s="34"/>
      <c r="BJ2561" s="34"/>
      <c r="BK2561" s="34"/>
      <c r="BL2561" s="34"/>
      <c r="BM2561" s="34"/>
      <c r="BN2561" s="34"/>
      <c r="BO2561" s="34"/>
      <c r="BP2561" s="34"/>
      <c r="BQ2561" s="34"/>
      <c r="BR2561" s="34"/>
      <c r="BS2561" s="34"/>
      <c r="BT2561" s="34"/>
      <c r="BU2561" s="34"/>
      <c r="BV2561" s="34"/>
      <c r="BW2561" s="34"/>
      <c r="BX2561" s="34"/>
      <c r="BY2561" s="34"/>
      <c r="BZ2561" s="34"/>
      <c r="CA2561" s="34"/>
      <c r="CB2561" s="34"/>
      <c r="CC2561" s="34"/>
      <c r="CD2561" s="34"/>
      <c r="CE2561" s="34"/>
      <c r="CF2561" s="34"/>
      <c r="CG2561" s="34"/>
      <c r="CH2561" s="34"/>
    </row>
    <row r="2562" spans="1:86" x14ac:dyDescent="0.2">
      <c r="A2562" s="8" t="str">
        <f>IF(AND(COUNTIF(W$3:W$13,A$21)&gt;0,A$21&lt;&gt;B2324),A$21,IFERROR(IF(MATCH(A$21,Z$3:Z$13,0)=11,A$21," ")," "))</f>
        <v xml:space="preserve"> </v>
      </c>
      <c r="B2562" s="8" t="str">
        <f>IF(A2562=" "," ",MAX(B2556:B2561)+1)</f>
        <v xml:space="preserve"> </v>
      </c>
      <c r="C2562" s="8" t="str">
        <f>IFERROR(INDEX(A2556:A2577,MATCH(SMALL(B2556:B2577,7),B2556:B2577,0),1)," ")</f>
        <v>C17</v>
      </c>
      <c r="D2562" s="8">
        <f t="shared" si="11174"/>
        <v>0</v>
      </c>
      <c r="E2562" s="8">
        <f t="shared" si="11175"/>
        <v>0</v>
      </c>
      <c r="F2562" s="8">
        <f t="shared" si="11176"/>
        <v>0</v>
      </c>
      <c r="G2562" s="8">
        <f t="shared" si="11177"/>
        <v>0</v>
      </c>
      <c r="H2562" s="8">
        <f t="shared" si="11178"/>
        <v>0</v>
      </c>
      <c r="I2562" s="8">
        <f t="shared" si="11179"/>
        <v>1</v>
      </c>
      <c r="J2562" s="8">
        <f t="shared" si="11180"/>
        <v>0</v>
      </c>
      <c r="K2562" s="8">
        <f t="shared" si="11181"/>
        <v>0</v>
      </c>
      <c r="L2562" s="8">
        <f t="shared" si="11182"/>
        <v>0</v>
      </c>
      <c r="M2562" s="8">
        <f t="shared" si="11183"/>
        <v>0</v>
      </c>
      <c r="N2562" s="8">
        <f t="shared" si="11184"/>
        <v>0</v>
      </c>
      <c r="O2562" s="8">
        <f t="shared" si="11185"/>
        <v>0</v>
      </c>
      <c r="P2562" s="8" t="e">
        <v>#NUM!</v>
      </c>
      <c r="Q2562" s="8" t="e">
        <f t="shared" ref="Q2562" si="11213">IF(COUNTIF(P2556:P2566,"&lt;"&amp;-0.001)=0,IF(ABS(P2562)&lt;0.001,0,P2562)," ")</f>
        <v>#NUM!</v>
      </c>
      <c r="R2562" s="8"/>
      <c r="S2562" s="8"/>
      <c r="U2562" s="34"/>
      <c r="V2562" s="34"/>
      <c r="W2562" s="34"/>
      <c r="X2562" s="34"/>
      <c r="Y2562" s="34"/>
      <c r="Z2562" s="34"/>
      <c r="AA2562" s="34"/>
      <c r="AB2562" s="34"/>
      <c r="AC2562" s="34"/>
      <c r="AD2562" s="34"/>
      <c r="AE2562" s="34"/>
      <c r="AF2562" s="34"/>
      <c r="AG2562" s="34"/>
      <c r="AH2562" s="34"/>
      <c r="AI2562" s="34"/>
      <c r="AJ2562" s="34"/>
      <c r="AK2562" s="34"/>
      <c r="AL2562" s="34"/>
      <c r="AM2562" s="34"/>
      <c r="AN2562" s="34"/>
      <c r="AO2562" s="34"/>
      <c r="AP2562" s="34"/>
      <c r="AQ2562" s="34"/>
      <c r="AR2562" s="34"/>
      <c r="AS2562" s="34"/>
      <c r="AT2562" s="34"/>
      <c r="AU2562" s="34"/>
      <c r="AV2562" s="34"/>
      <c r="AW2562" s="34"/>
      <c r="AX2562" s="34"/>
      <c r="AY2562" s="34"/>
      <c r="AZ2562" s="34"/>
      <c r="BA2562" s="34"/>
      <c r="BB2562" s="34"/>
      <c r="BC2562" s="34"/>
      <c r="BD2562" s="34"/>
      <c r="BE2562" s="34"/>
      <c r="BF2562" s="34"/>
      <c r="BG2562" s="34"/>
      <c r="BH2562" s="34"/>
      <c r="BI2562" s="34"/>
      <c r="BJ2562" s="34"/>
      <c r="BK2562" s="34"/>
      <c r="BL2562" s="34"/>
      <c r="BM2562" s="34"/>
      <c r="BN2562" s="34"/>
      <c r="BO2562" s="34"/>
      <c r="BP2562" s="34"/>
      <c r="BQ2562" s="34"/>
      <c r="BR2562" s="34"/>
      <c r="BS2562" s="34"/>
      <c r="BT2562" s="34"/>
      <c r="BU2562" s="34"/>
      <c r="BV2562" s="34"/>
      <c r="BW2562" s="34"/>
      <c r="BX2562" s="34"/>
      <c r="BY2562" s="34"/>
      <c r="BZ2562" s="34"/>
      <c r="CA2562" s="34"/>
      <c r="CB2562" s="34"/>
      <c r="CC2562" s="34"/>
      <c r="CD2562" s="34"/>
      <c r="CE2562" s="34"/>
      <c r="CF2562" s="34"/>
      <c r="CG2562" s="34"/>
      <c r="CH2562" s="34"/>
    </row>
    <row r="2563" spans="1:86" x14ac:dyDescent="0.2">
      <c r="A2563" s="8" t="str">
        <f>IF(AND(COUNTIF(W$3:W$13,A$22)&gt;0,A$22&lt;&gt;B2324),A$22,IFERROR(IF(MATCH(A$22,Z$3:Z$13,0)=11,A$22," ")," "))</f>
        <v xml:space="preserve"> </v>
      </c>
      <c r="B2563" s="8" t="str">
        <f>IF(A2563=" "," ",MAX(B2556:B2562)+1)</f>
        <v xml:space="preserve"> </v>
      </c>
      <c r="C2563" s="8" t="str">
        <f>IFERROR(INDEX(A2556:A2577,MATCH(SMALL(B2556:B2577,8),B2556:B2577,0),1)," ")</f>
        <v>C18</v>
      </c>
      <c r="D2563" s="8">
        <f t="shared" si="11174"/>
        <v>0</v>
      </c>
      <c r="E2563" s="8">
        <f t="shared" si="11175"/>
        <v>0</v>
      </c>
      <c r="F2563" s="8">
        <f t="shared" si="11176"/>
        <v>0</v>
      </c>
      <c r="G2563" s="8">
        <f t="shared" si="11177"/>
        <v>0</v>
      </c>
      <c r="H2563" s="8">
        <f t="shared" si="11178"/>
        <v>0</v>
      </c>
      <c r="I2563" s="8">
        <f t="shared" si="11179"/>
        <v>0</v>
      </c>
      <c r="J2563" s="8">
        <f t="shared" si="11180"/>
        <v>1</v>
      </c>
      <c r="K2563" s="8">
        <f t="shared" si="11181"/>
        <v>0</v>
      </c>
      <c r="L2563" s="8">
        <f t="shared" si="11182"/>
        <v>0</v>
      </c>
      <c r="M2563" s="8">
        <f t="shared" si="11183"/>
        <v>0</v>
      </c>
      <c r="N2563" s="8">
        <f t="shared" si="11184"/>
        <v>0</v>
      </c>
      <c r="O2563" s="8">
        <f t="shared" si="11185"/>
        <v>0</v>
      </c>
      <c r="P2563" s="8" t="e">
        <v>#NUM!</v>
      </c>
      <c r="Q2563" s="8" t="e">
        <f t="shared" ref="Q2563" si="11214">IF(COUNTIF(P2556:P2566,"&lt;"&amp;-0.001)=0,IF(ABS(P2563)&lt;0.001,0,P2563)," ")</f>
        <v>#NUM!</v>
      </c>
      <c r="R2563" s="8"/>
      <c r="S2563" s="8"/>
      <c r="U2563" s="34"/>
      <c r="V2563" s="34"/>
      <c r="W2563" s="34"/>
      <c r="X2563" s="34"/>
      <c r="Y2563" s="34"/>
      <c r="Z2563" s="34"/>
      <c r="AA2563" s="34"/>
      <c r="AB2563" s="34"/>
      <c r="AC2563" s="34"/>
      <c r="AD2563" s="34"/>
      <c r="AE2563" s="34"/>
      <c r="AF2563" s="34"/>
      <c r="AG2563" s="34"/>
      <c r="AH2563" s="34"/>
      <c r="AI2563" s="34"/>
      <c r="AJ2563" s="34"/>
      <c r="AK2563" s="34"/>
      <c r="AL2563" s="34"/>
      <c r="AM2563" s="34"/>
      <c r="AN2563" s="34"/>
      <c r="AO2563" s="34"/>
      <c r="AP2563" s="34"/>
      <c r="AQ2563" s="34"/>
      <c r="AR2563" s="34"/>
      <c r="AS2563" s="34"/>
      <c r="AT2563" s="34"/>
      <c r="AU2563" s="34"/>
      <c r="AV2563" s="34"/>
      <c r="AW2563" s="34"/>
      <c r="AX2563" s="34"/>
      <c r="AY2563" s="34"/>
      <c r="AZ2563" s="34"/>
      <c r="BA2563" s="34"/>
      <c r="BB2563" s="34"/>
      <c r="BC2563" s="34"/>
      <c r="BD2563" s="34"/>
      <c r="BE2563" s="34"/>
      <c r="BF2563" s="34"/>
      <c r="BG2563" s="34"/>
      <c r="BH2563" s="34"/>
      <c r="BI2563" s="34"/>
      <c r="BJ2563" s="34"/>
      <c r="BK2563" s="34"/>
      <c r="BL2563" s="34"/>
      <c r="BM2563" s="34"/>
      <c r="BN2563" s="34"/>
      <c r="BO2563" s="34"/>
      <c r="BP2563" s="34"/>
      <c r="BQ2563" s="34"/>
      <c r="BR2563" s="34"/>
      <c r="BS2563" s="34"/>
      <c r="BT2563" s="34"/>
      <c r="BU2563" s="34"/>
      <c r="BV2563" s="34"/>
      <c r="BW2563" s="34"/>
      <c r="BX2563" s="34"/>
      <c r="BY2563" s="34"/>
      <c r="BZ2563" s="34"/>
      <c r="CA2563" s="34"/>
      <c r="CB2563" s="34"/>
      <c r="CC2563" s="34"/>
      <c r="CD2563" s="34"/>
      <c r="CE2563" s="34"/>
      <c r="CF2563" s="34"/>
      <c r="CG2563" s="34"/>
      <c r="CH2563" s="34"/>
    </row>
    <row r="2564" spans="1:86" x14ac:dyDescent="0.2">
      <c r="A2564" s="8" t="str">
        <f>IF(AND(COUNTIF(W$3:W$13,A$23)&gt;0,A$23&lt;&gt;B2324),A$23,IFERROR(IF(MATCH(A$23,Z$3:Z$13,0)=11,A$23," ")," "))</f>
        <v xml:space="preserve"> </v>
      </c>
      <c r="B2564" s="8" t="str">
        <f>IF(A2564=" "," ",MAX(B2556:B2563)+1)</f>
        <v xml:space="preserve"> </v>
      </c>
      <c r="C2564" s="8" t="str">
        <f>IFERROR(INDEX(A2556:A2577,MATCH(SMALL(B2556:B2577,9),B2556:B2577,0),1)," ")</f>
        <v>C19</v>
      </c>
      <c r="D2564" s="8">
        <f t="shared" si="11174"/>
        <v>0</v>
      </c>
      <c r="E2564" s="8">
        <f t="shared" si="11175"/>
        <v>0</v>
      </c>
      <c r="F2564" s="8">
        <f t="shared" si="11176"/>
        <v>0</v>
      </c>
      <c r="G2564" s="8">
        <f t="shared" si="11177"/>
        <v>0</v>
      </c>
      <c r="H2564" s="8">
        <f t="shared" si="11178"/>
        <v>0</v>
      </c>
      <c r="I2564" s="8">
        <f t="shared" si="11179"/>
        <v>0</v>
      </c>
      <c r="J2564" s="8">
        <f t="shared" si="11180"/>
        <v>0</v>
      </c>
      <c r="K2564" s="8">
        <f t="shared" si="11181"/>
        <v>1</v>
      </c>
      <c r="L2564" s="8">
        <f t="shared" si="11182"/>
        <v>0</v>
      </c>
      <c r="M2564" s="8">
        <f t="shared" si="11183"/>
        <v>0</v>
      </c>
      <c r="N2564" s="8">
        <f t="shared" si="11184"/>
        <v>0</v>
      </c>
      <c r="O2564" s="8">
        <f t="shared" si="11185"/>
        <v>0</v>
      </c>
      <c r="P2564" s="6" t="e">
        <v>#NUM!</v>
      </c>
      <c r="Q2564" s="8" t="e">
        <f t="shared" ref="Q2564" si="11215">IF(COUNTIF(P2556:P2566,"&lt;"&amp;-0.001)=0,IF(ABS(P2564)&lt;0.001,0,P2564)," ")</f>
        <v>#NUM!</v>
      </c>
      <c r="R2564" s="8"/>
      <c r="S2564" s="8"/>
      <c r="U2564" s="34"/>
      <c r="V2564" s="34"/>
      <c r="W2564" s="34"/>
      <c r="X2564" s="34"/>
      <c r="Y2564" s="34"/>
      <c r="Z2564" s="34"/>
      <c r="AA2564" s="34"/>
      <c r="AB2564" s="34"/>
      <c r="AC2564" s="34"/>
      <c r="AD2564" s="34"/>
      <c r="AE2564" s="34"/>
      <c r="AF2564" s="34"/>
      <c r="AG2564" s="34"/>
      <c r="AH2564" s="34"/>
      <c r="AI2564" s="34"/>
      <c r="AJ2564" s="34"/>
      <c r="AK2564" s="34"/>
      <c r="AL2564" s="34"/>
      <c r="AM2564" s="34"/>
      <c r="AN2564" s="34"/>
      <c r="AO2564" s="34"/>
      <c r="AP2564" s="34"/>
      <c r="AQ2564" s="34"/>
      <c r="AR2564" s="34"/>
      <c r="AS2564" s="34"/>
      <c r="AT2564" s="34"/>
      <c r="AU2564" s="34"/>
      <c r="AV2564" s="34"/>
      <c r="AW2564" s="34"/>
      <c r="AX2564" s="34"/>
      <c r="AY2564" s="34"/>
      <c r="AZ2564" s="34"/>
      <c r="BA2564" s="34"/>
      <c r="BB2564" s="34"/>
      <c r="BC2564" s="34"/>
      <c r="BD2564" s="34"/>
      <c r="BE2564" s="34"/>
      <c r="BF2564" s="34"/>
      <c r="BG2564" s="34"/>
      <c r="BH2564" s="34"/>
      <c r="BI2564" s="34"/>
      <c r="BJ2564" s="34"/>
      <c r="BK2564" s="34"/>
      <c r="BL2564" s="34"/>
      <c r="BM2564" s="34"/>
      <c r="BN2564" s="34"/>
      <c r="BO2564" s="34"/>
      <c r="BP2564" s="34"/>
      <c r="BQ2564" s="34"/>
      <c r="BR2564" s="34"/>
      <c r="BS2564" s="34"/>
      <c r="BT2564" s="34"/>
      <c r="BU2564" s="34"/>
      <c r="BV2564" s="34"/>
      <c r="BW2564" s="34"/>
      <c r="BX2564" s="34"/>
      <c r="BY2564" s="34"/>
      <c r="BZ2564" s="34"/>
      <c r="CA2564" s="34"/>
      <c r="CB2564" s="34"/>
      <c r="CC2564" s="34"/>
      <c r="CD2564" s="34"/>
      <c r="CE2564" s="34"/>
      <c r="CF2564" s="34"/>
      <c r="CG2564" s="34"/>
      <c r="CH2564" s="34"/>
    </row>
    <row r="2565" spans="1:86" x14ac:dyDescent="0.2">
      <c r="A2565" s="8" t="str">
        <f>IF(AND(COUNTIF(W$3:W$13,A$24)&gt;0,A$24&lt;&gt;B2324),A$24,IFERROR(IF(MATCH(A$24,Z$3:Z$13,0)=11,A$24," ")," "))</f>
        <v xml:space="preserve"> </v>
      </c>
      <c r="B2565" s="8" t="str">
        <f>IF(A2565=" "," ",MAX(B2556:B2564)+1)</f>
        <v xml:space="preserve"> </v>
      </c>
      <c r="C2565" s="8" t="str">
        <f>IFERROR(INDEX(A2556:A2577,MATCH(SMALL(B2556:B2577,10),B2556:B2577,0),1)," ")</f>
        <v>C20</v>
      </c>
      <c r="D2565" s="8">
        <f t="shared" si="11174"/>
        <v>0</v>
      </c>
      <c r="E2565" s="8">
        <f t="shared" si="11175"/>
        <v>0</v>
      </c>
      <c r="F2565" s="8">
        <f t="shared" si="11176"/>
        <v>0</v>
      </c>
      <c r="G2565" s="8">
        <f t="shared" si="11177"/>
        <v>0</v>
      </c>
      <c r="H2565" s="8">
        <f t="shared" si="11178"/>
        <v>0</v>
      </c>
      <c r="I2565" s="8">
        <f t="shared" si="11179"/>
        <v>0</v>
      </c>
      <c r="J2565" s="8">
        <f t="shared" si="11180"/>
        <v>0</v>
      </c>
      <c r="K2565" s="8">
        <f t="shared" si="11181"/>
        <v>0</v>
      </c>
      <c r="L2565" s="8">
        <f t="shared" si="11182"/>
        <v>1</v>
      </c>
      <c r="M2565" s="8">
        <f t="shared" si="11183"/>
        <v>0</v>
      </c>
      <c r="N2565" s="8">
        <f t="shared" si="11184"/>
        <v>0</v>
      </c>
      <c r="O2565" s="8">
        <f t="shared" si="11185"/>
        <v>0</v>
      </c>
      <c r="P2565" s="8" t="e">
        <v>#NUM!</v>
      </c>
      <c r="Q2565" s="8" t="e">
        <f t="shared" ref="Q2565" si="11216">IF(COUNTIF(P2556:P2566,"&lt;"&amp;-0.001)=0,IF(ABS(P2565)&lt;0.001,0,P2565)," ")</f>
        <v>#NUM!</v>
      </c>
      <c r="R2565" s="8"/>
      <c r="S2565" s="8"/>
      <c r="U2565" s="34"/>
      <c r="V2565" s="34"/>
      <c r="W2565" s="34"/>
      <c r="X2565" s="34"/>
      <c r="Y2565" s="34"/>
      <c r="Z2565" s="34"/>
      <c r="AA2565" s="34"/>
      <c r="AB2565" s="34"/>
      <c r="AC2565" s="34"/>
      <c r="AD2565" s="34"/>
      <c r="AE2565" s="34"/>
      <c r="AF2565" s="34"/>
      <c r="AG2565" s="34"/>
      <c r="AH2565" s="34"/>
      <c r="AI2565" s="34"/>
      <c r="AJ2565" s="34"/>
      <c r="AK2565" s="34"/>
      <c r="AL2565" s="34"/>
      <c r="AM2565" s="34"/>
      <c r="AN2565" s="34"/>
      <c r="AO2565" s="34"/>
      <c r="AP2565" s="34"/>
      <c r="AQ2565" s="34"/>
      <c r="AR2565" s="34"/>
      <c r="AS2565" s="34"/>
      <c r="AT2565" s="34"/>
      <c r="AU2565" s="34"/>
      <c r="AV2565" s="34"/>
      <c r="AW2565" s="34"/>
      <c r="AX2565" s="34"/>
      <c r="AY2565" s="34"/>
      <c r="AZ2565" s="34"/>
      <c r="BA2565" s="34"/>
      <c r="BB2565" s="34"/>
      <c r="BC2565" s="34"/>
      <c r="BD2565" s="34"/>
      <c r="BE2565" s="34"/>
      <c r="BF2565" s="34"/>
      <c r="BG2565" s="34"/>
      <c r="BH2565" s="34"/>
      <c r="BI2565" s="34"/>
      <c r="BJ2565" s="34"/>
      <c r="BK2565" s="34"/>
      <c r="BL2565" s="34"/>
      <c r="BM2565" s="34"/>
      <c r="BN2565" s="34"/>
      <c r="BO2565" s="34"/>
      <c r="BP2565" s="34"/>
      <c r="BQ2565" s="34"/>
      <c r="BR2565" s="34"/>
      <c r="BS2565" s="34"/>
      <c r="BT2565" s="34"/>
      <c r="BU2565" s="34"/>
      <c r="BV2565" s="34"/>
      <c r="BW2565" s="34"/>
      <c r="BX2565" s="34"/>
      <c r="BY2565" s="34"/>
      <c r="BZ2565" s="34"/>
      <c r="CA2565" s="34"/>
      <c r="CB2565" s="34"/>
      <c r="CC2565" s="34"/>
      <c r="CD2565" s="34"/>
      <c r="CE2565" s="34"/>
      <c r="CF2565" s="34"/>
      <c r="CG2565" s="34"/>
      <c r="CH2565" s="34"/>
    </row>
    <row r="2566" spans="1:86" x14ac:dyDescent="0.2">
      <c r="A2566" s="8" t="str">
        <f>IF(AND(COUNTIF(W$3:W$13,A$25)&gt;0,A$25&lt;&gt;B2324),A$25,IFERROR(IF(MATCH(A$25,Z$3:Z$13,0)=11,A$25," ")," "))</f>
        <v xml:space="preserve"> </v>
      </c>
      <c r="B2566" s="8" t="str">
        <f>IF(A2566=" "," ",MAX(B2556:B2565)+1)</f>
        <v xml:space="preserve"> </v>
      </c>
      <c r="C2566" s="8" t="str">
        <f>IFERROR(INDEX(A2556:A2577,MATCH(SMALL(B2556:B2577,11),B2556:B2577,0),1)," ")</f>
        <v>C22</v>
      </c>
      <c r="D2566" s="8">
        <f t="shared" si="11174"/>
        <v>0</v>
      </c>
      <c r="E2566" s="8">
        <f t="shared" si="11175"/>
        <v>0</v>
      </c>
      <c r="F2566" s="8">
        <f t="shared" si="11176"/>
        <v>0</v>
      </c>
      <c r="G2566" s="8">
        <f t="shared" si="11177"/>
        <v>0</v>
      </c>
      <c r="H2566" s="8">
        <f t="shared" si="11178"/>
        <v>0</v>
      </c>
      <c r="I2566" s="8">
        <f t="shared" si="11179"/>
        <v>0</v>
      </c>
      <c r="J2566" s="8">
        <f t="shared" si="11180"/>
        <v>0</v>
      </c>
      <c r="K2566" s="8">
        <f t="shared" si="11181"/>
        <v>0</v>
      </c>
      <c r="L2566" s="8">
        <f t="shared" si="11182"/>
        <v>0</v>
      </c>
      <c r="M2566" s="8">
        <f t="shared" si="11183"/>
        <v>0</v>
      </c>
      <c r="N2566" s="8">
        <f t="shared" si="11184"/>
        <v>1</v>
      </c>
      <c r="O2566" s="8">
        <f t="shared" si="11185"/>
        <v>0</v>
      </c>
      <c r="P2566" s="8" t="e">
        <v>#NUM!</v>
      </c>
      <c r="Q2566" s="8" t="e">
        <f t="shared" ref="Q2566" si="11217">IF(COUNTIF(P2556:P2566,"&lt;"&amp;-0.001)=0,IF(ABS(P2566)&lt;0.001,0,P2566)," ")</f>
        <v>#NUM!</v>
      </c>
      <c r="R2566" s="8"/>
      <c r="S2566" s="8"/>
      <c r="U2566" s="34"/>
      <c r="V2566" s="34"/>
      <c r="W2566" s="34"/>
      <c r="X2566" s="34"/>
      <c r="Y2566" s="34"/>
      <c r="Z2566" s="34"/>
      <c r="AA2566" s="34"/>
      <c r="AB2566" s="34"/>
      <c r="AC2566" s="34"/>
      <c r="AD2566" s="34"/>
      <c r="AE2566" s="34"/>
      <c r="AF2566" s="34"/>
      <c r="AG2566" s="34"/>
      <c r="AH2566" s="34"/>
      <c r="AI2566" s="34"/>
      <c r="AJ2566" s="34"/>
      <c r="AK2566" s="34"/>
      <c r="AL2566" s="34"/>
      <c r="AM2566" s="34"/>
      <c r="AN2566" s="34"/>
      <c r="AO2566" s="34"/>
      <c r="AP2566" s="34"/>
      <c r="AQ2566" s="34"/>
      <c r="AR2566" s="34"/>
      <c r="AS2566" s="34"/>
      <c r="AT2566" s="34"/>
      <c r="AU2566" s="34"/>
      <c r="AV2566" s="34"/>
      <c r="AW2566" s="34"/>
      <c r="AX2566" s="34"/>
      <c r="AY2566" s="34"/>
      <c r="AZ2566" s="34"/>
      <c r="BA2566" s="34"/>
      <c r="BB2566" s="34"/>
      <c r="BC2566" s="34"/>
      <c r="BD2566" s="34"/>
      <c r="BE2566" s="34"/>
      <c r="BF2566" s="34"/>
      <c r="BG2566" s="34"/>
      <c r="BH2566" s="34"/>
      <c r="BI2566" s="34"/>
      <c r="BJ2566" s="34"/>
      <c r="BK2566" s="34"/>
      <c r="BL2566" s="34"/>
      <c r="BM2566" s="34"/>
      <c r="BN2566" s="34"/>
      <c r="BO2566" s="34"/>
      <c r="BP2566" s="34"/>
      <c r="BQ2566" s="34"/>
      <c r="BR2566" s="34"/>
      <c r="BS2566" s="34"/>
      <c r="BT2566" s="34"/>
      <c r="BU2566" s="34"/>
      <c r="BV2566" s="34"/>
      <c r="BW2566" s="34"/>
      <c r="BX2566" s="34"/>
      <c r="BY2566" s="34"/>
      <c r="BZ2566" s="34"/>
      <c r="CA2566" s="34"/>
      <c r="CB2566" s="34"/>
      <c r="CC2566" s="34"/>
      <c r="CD2566" s="34"/>
      <c r="CE2566" s="34"/>
      <c r="CF2566" s="34"/>
      <c r="CG2566" s="34"/>
      <c r="CH2566" s="34"/>
    </row>
    <row r="2567" spans="1:86" x14ac:dyDescent="0.2">
      <c r="A2567" s="8" t="str">
        <f>IF(AND(COUNTIF(W$3:W$13,A$26)&gt;0,A$26&lt;&gt;B2324),A$26,IFERROR(IF(MATCH(A$26,Z$3:Z$13,0)=11,A$26," ")," "))</f>
        <v xml:space="preserve"> </v>
      </c>
      <c r="B2567" s="8" t="str">
        <f>IF(A2567=" "," ",MAX(B2556:B2566)+1)</f>
        <v xml:space="preserve"> </v>
      </c>
      <c r="C2567" s="8"/>
      <c r="D2567" s="8"/>
      <c r="E2567" s="8"/>
      <c r="F2567" s="8"/>
      <c r="G2567" s="8"/>
      <c r="H2567" s="8"/>
      <c r="I2567" s="8"/>
      <c r="J2567" s="8"/>
      <c r="K2567" s="8"/>
      <c r="L2567" s="8"/>
      <c r="M2567" s="8"/>
      <c r="N2567" s="8"/>
      <c r="O2567" s="8"/>
      <c r="P2567" s="8"/>
      <c r="Q2567" s="8"/>
      <c r="R2567" s="8"/>
      <c r="S2567" s="8"/>
      <c r="U2567" s="34"/>
      <c r="V2567" s="34"/>
      <c r="W2567" s="34"/>
      <c r="X2567" s="34"/>
      <c r="Y2567" s="34"/>
      <c r="Z2567" s="34"/>
      <c r="AA2567" s="34"/>
      <c r="AB2567" s="34"/>
      <c r="AC2567" s="34"/>
      <c r="AD2567" s="34"/>
      <c r="AE2567" s="34"/>
      <c r="AF2567" s="34"/>
      <c r="AG2567" s="34"/>
      <c r="AH2567" s="34"/>
      <c r="AI2567" s="34"/>
      <c r="AJ2567" s="34"/>
      <c r="AK2567" s="34"/>
      <c r="AL2567" s="34"/>
      <c r="AM2567" s="34"/>
      <c r="AN2567" s="34"/>
      <c r="AO2567" s="34"/>
      <c r="AP2567" s="34"/>
      <c r="AQ2567" s="34"/>
      <c r="AR2567" s="34"/>
      <c r="AS2567" s="34"/>
      <c r="AT2567" s="34"/>
      <c r="AU2567" s="34"/>
      <c r="AV2567" s="34"/>
      <c r="AW2567" s="34"/>
      <c r="AX2567" s="34"/>
      <c r="AY2567" s="34"/>
      <c r="AZ2567" s="34"/>
      <c r="BA2567" s="34"/>
      <c r="BB2567" s="34"/>
      <c r="BC2567" s="34"/>
      <c r="BD2567" s="34"/>
      <c r="BE2567" s="34"/>
      <c r="BF2567" s="34"/>
      <c r="BG2567" s="34"/>
      <c r="BH2567" s="34"/>
      <c r="BI2567" s="34"/>
      <c r="BJ2567" s="34"/>
      <c r="BK2567" s="34"/>
      <c r="BL2567" s="34"/>
      <c r="BM2567" s="34"/>
      <c r="BN2567" s="34"/>
      <c r="BO2567" s="34"/>
      <c r="BP2567" s="34"/>
      <c r="BQ2567" s="34"/>
      <c r="BR2567" s="34"/>
      <c r="BS2567" s="34"/>
      <c r="BT2567" s="34"/>
      <c r="BU2567" s="34"/>
      <c r="BV2567" s="34"/>
      <c r="BW2567" s="34"/>
      <c r="BX2567" s="34"/>
      <c r="BY2567" s="34"/>
      <c r="BZ2567" s="34"/>
      <c r="CA2567" s="34"/>
      <c r="CB2567" s="34"/>
      <c r="CC2567" s="34"/>
      <c r="CD2567" s="34"/>
      <c r="CE2567" s="34"/>
      <c r="CF2567" s="34"/>
      <c r="CG2567" s="34"/>
      <c r="CH2567" s="34"/>
    </row>
    <row r="2568" spans="1:86" x14ac:dyDescent="0.2">
      <c r="A2568" s="8" t="str">
        <f>IF(AND(COUNTIF(W$3:W$13,A$27)&gt;0,A$27&lt;&gt;B2324),A$27,IFERROR(IF(MATCH(A$27,Z$3:Z$13,0)=11,A$27," ")," "))</f>
        <v>C13</v>
      </c>
      <c r="B2568" s="8">
        <f>IF(A2568=" "," ",MAX(B2556:B2567)+1)</f>
        <v>3</v>
      </c>
      <c r="C2568" s="8"/>
      <c r="D2568" s="8"/>
      <c r="E2568" s="8"/>
      <c r="F2568" s="8"/>
      <c r="G2568" s="8"/>
      <c r="H2568" s="8"/>
      <c r="I2568" s="8"/>
      <c r="J2568" s="8"/>
      <c r="K2568" s="8"/>
      <c r="L2568" s="8"/>
      <c r="M2568" s="8"/>
      <c r="N2568" s="8"/>
      <c r="O2568" s="8"/>
      <c r="P2568" s="8"/>
      <c r="Q2568" s="8"/>
      <c r="R2568" s="8"/>
      <c r="S2568" s="8"/>
      <c r="U2568" s="34"/>
      <c r="V2568" s="34"/>
      <c r="W2568" s="34"/>
      <c r="X2568" s="34"/>
      <c r="Y2568" s="34"/>
      <c r="Z2568" s="34"/>
      <c r="AA2568" s="34"/>
      <c r="AB2568" s="34"/>
      <c r="AC2568" s="34"/>
      <c r="AD2568" s="34"/>
      <c r="AE2568" s="34"/>
      <c r="AF2568" s="34"/>
      <c r="AG2568" s="34"/>
      <c r="AH2568" s="34"/>
      <c r="AI2568" s="34"/>
      <c r="AJ2568" s="34"/>
      <c r="AK2568" s="34"/>
      <c r="AL2568" s="34"/>
      <c r="AM2568" s="34"/>
      <c r="AN2568" s="34"/>
      <c r="AO2568" s="34"/>
      <c r="AP2568" s="34"/>
      <c r="AQ2568" s="34"/>
      <c r="AR2568" s="34"/>
      <c r="AS2568" s="34"/>
      <c r="AT2568" s="34"/>
      <c r="AU2568" s="34"/>
      <c r="AV2568" s="34"/>
      <c r="AW2568" s="34"/>
      <c r="AX2568" s="34"/>
      <c r="AY2568" s="34"/>
      <c r="AZ2568" s="34"/>
      <c r="BA2568" s="34"/>
      <c r="BB2568" s="34"/>
      <c r="BC2568" s="34"/>
      <c r="BD2568" s="34"/>
      <c r="BE2568" s="34"/>
      <c r="BF2568" s="34"/>
      <c r="BG2568" s="34"/>
      <c r="BH2568" s="34"/>
      <c r="BI2568" s="34"/>
      <c r="BJ2568" s="34"/>
      <c r="BK2568" s="34"/>
      <c r="BL2568" s="34"/>
      <c r="BM2568" s="34"/>
      <c r="BN2568" s="34"/>
      <c r="BO2568" s="34"/>
      <c r="BP2568" s="34"/>
      <c r="BQ2568" s="34"/>
      <c r="BR2568" s="34"/>
      <c r="BS2568" s="34"/>
      <c r="BT2568" s="34"/>
      <c r="BU2568" s="34"/>
      <c r="BV2568" s="34"/>
      <c r="BW2568" s="34"/>
      <c r="BX2568" s="34"/>
      <c r="BY2568" s="34"/>
      <c r="BZ2568" s="34"/>
      <c r="CA2568" s="34"/>
      <c r="CB2568" s="34"/>
      <c r="CC2568" s="34"/>
      <c r="CD2568" s="34"/>
      <c r="CE2568" s="34"/>
      <c r="CF2568" s="34"/>
      <c r="CG2568" s="34"/>
      <c r="CH2568" s="34"/>
    </row>
    <row r="2569" spans="1:86" x14ac:dyDescent="0.2">
      <c r="A2569" s="8" t="str">
        <f>IF(AND(COUNTIF(W$3:W$13,A$28)&gt;0,A$28&lt;&gt;B2324),A$28,IFERROR(IF(MATCH(A$28,Z$3:Z$13,0)=11,A$28," ")," "))</f>
        <v>C14</v>
      </c>
      <c r="B2569" s="8">
        <f>IF(A2569=" "," ",MAX(B2556:B2568)+1)</f>
        <v>4</v>
      </c>
      <c r="C2569" s="8"/>
      <c r="D2569" s="8"/>
      <c r="E2569" s="8"/>
      <c r="F2569" s="8"/>
      <c r="G2569" s="8"/>
      <c r="H2569" s="8"/>
      <c r="I2569" s="8"/>
      <c r="J2569" s="8"/>
      <c r="K2569" s="8"/>
      <c r="L2569" s="8"/>
      <c r="M2569" s="8"/>
      <c r="N2569" s="8"/>
      <c r="O2569" s="8"/>
      <c r="P2569" s="8"/>
      <c r="Q2569" s="8"/>
      <c r="R2569" s="8"/>
      <c r="S2569" s="8"/>
      <c r="U2569" s="34"/>
      <c r="V2569" s="34"/>
      <c r="W2569" s="34"/>
      <c r="X2569" s="34"/>
      <c r="Y2569" s="34"/>
      <c r="Z2569" s="34"/>
      <c r="AA2569" s="34"/>
      <c r="AB2569" s="34"/>
      <c r="AC2569" s="34"/>
      <c r="AD2569" s="34"/>
      <c r="AE2569" s="34"/>
      <c r="AF2569" s="34"/>
      <c r="AG2569" s="34"/>
      <c r="AH2569" s="34"/>
      <c r="AI2569" s="34"/>
      <c r="AJ2569" s="34"/>
      <c r="AK2569" s="34"/>
      <c r="AL2569" s="34"/>
      <c r="AM2569" s="34"/>
      <c r="AN2569" s="34"/>
      <c r="AO2569" s="34"/>
      <c r="AP2569" s="34"/>
      <c r="AQ2569" s="34"/>
      <c r="AR2569" s="34"/>
      <c r="AS2569" s="34"/>
      <c r="AT2569" s="34"/>
      <c r="AU2569" s="34"/>
      <c r="AV2569" s="34"/>
      <c r="AW2569" s="34"/>
      <c r="AX2569" s="34"/>
      <c r="AY2569" s="34"/>
      <c r="AZ2569" s="34"/>
      <c r="BA2569" s="34"/>
      <c r="BB2569" s="34"/>
      <c r="BC2569" s="34"/>
      <c r="BD2569" s="34"/>
      <c r="BE2569" s="34"/>
      <c r="BF2569" s="34"/>
      <c r="BG2569" s="34"/>
      <c r="BH2569" s="34"/>
      <c r="BI2569" s="34"/>
      <c r="BJ2569" s="34"/>
      <c r="BK2569" s="34"/>
      <c r="BL2569" s="34"/>
      <c r="BM2569" s="34"/>
      <c r="BN2569" s="34"/>
      <c r="BO2569" s="34"/>
      <c r="BP2569" s="34"/>
      <c r="BQ2569" s="34"/>
      <c r="BR2569" s="34"/>
      <c r="BS2569" s="34"/>
      <c r="BT2569" s="34"/>
      <c r="BU2569" s="34"/>
      <c r="BV2569" s="34"/>
      <c r="BW2569" s="34"/>
      <c r="BX2569" s="34"/>
      <c r="BY2569" s="34"/>
      <c r="BZ2569" s="34"/>
      <c r="CA2569" s="34"/>
      <c r="CB2569" s="34"/>
      <c r="CC2569" s="34"/>
      <c r="CD2569" s="34"/>
      <c r="CE2569" s="34"/>
      <c r="CF2569" s="34"/>
      <c r="CG2569" s="34"/>
      <c r="CH2569" s="34"/>
    </row>
    <row r="2570" spans="1:86" x14ac:dyDescent="0.2">
      <c r="A2570" s="8" t="str">
        <f>IF(AND(COUNTIF(W$3:W$13,A$29)&gt;0,A$29&lt;&gt;B2324),A$29,IFERROR(IF(MATCH(A$29,Z$3:Z$13,0)=11,A$29," ")," "))</f>
        <v>C15</v>
      </c>
      <c r="B2570" s="8">
        <f>IF(A2570=" "," ",MAX(B2556:B2569)+1)</f>
        <v>5</v>
      </c>
      <c r="C2570" s="8"/>
      <c r="D2570" s="8"/>
      <c r="E2570" s="8"/>
      <c r="F2570" s="8"/>
      <c r="G2570" s="8"/>
      <c r="H2570" s="8"/>
      <c r="I2570" s="8"/>
      <c r="J2570" s="8"/>
      <c r="K2570" s="8"/>
      <c r="L2570" s="8"/>
      <c r="M2570" s="8"/>
      <c r="N2570" s="8"/>
      <c r="O2570" s="8"/>
      <c r="P2570" s="8"/>
      <c r="Q2570" s="8"/>
      <c r="R2570" s="8"/>
      <c r="S2570" s="8"/>
      <c r="U2570" s="34"/>
      <c r="V2570" s="34"/>
      <c r="W2570" s="34"/>
      <c r="X2570" s="34"/>
      <c r="Y2570" s="34"/>
      <c r="Z2570" s="34"/>
      <c r="AA2570" s="34"/>
      <c r="AB2570" s="34"/>
      <c r="AC2570" s="34"/>
      <c r="AD2570" s="34"/>
      <c r="AE2570" s="34"/>
      <c r="AF2570" s="34"/>
      <c r="AG2570" s="34"/>
      <c r="AH2570" s="34"/>
      <c r="AI2570" s="34"/>
      <c r="AJ2570" s="34"/>
      <c r="AK2570" s="34"/>
      <c r="AL2570" s="34"/>
      <c r="AM2570" s="34"/>
      <c r="AN2570" s="34"/>
      <c r="AO2570" s="34"/>
      <c r="AP2570" s="34"/>
      <c r="AQ2570" s="34"/>
      <c r="AR2570" s="34"/>
      <c r="AS2570" s="34"/>
      <c r="AT2570" s="34"/>
      <c r="AU2570" s="34"/>
      <c r="AV2570" s="34"/>
      <c r="AW2570" s="34"/>
      <c r="AX2570" s="34"/>
      <c r="AY2570" s="34"/>
      <c r="AZ2570" s="34"/>
      <c r="BA2570" s="34"/>
      <c r="BB2570" s="34"/>
      <c r="BC2570" s="34"/>
      <c r="BD2570" s="34"/>
      <c r="BE2570" s="34"/>
      <c r="BF2570" s="34"/>
      <c r="BG2570" s="34"/>
      <c r="BH2570" s="34"/>
      <c r="BI2570" s="34"/>
      <c r="BJ2570" s="34"/>
      <c r="BK2570" s="34"/>
      <c r="BL2570" s="34"/>
      <c r="BM2570" s="34"/>
      <c r="BN2570" s="34"/>
      <c r="BO2570" s="34"/>
      <c r="BP2570" s="34"/>
      <c r="BQ2570" s="34"/>
      <c r="BR2570" s="34"/>
      <c r="BS2570" s="34"/>
      <c r="BT2570" s="34"/>
      <c r="BU2570" s="34"/>
      <c r="BV2570" s="34"/>
      <c r="BW2570" s="34"/>
      <c r="BX2570" s="34"/>
      <c r="BY2570" s="34"/>
      <c r="BZ2570" s="34"/>
      <c r="CA2570" s="34"/>
      <c r="CB2570" s="34"/>
      <c r="CC2570" s="34"/>
      <c r="CD2570" s="34"/>
      <c r="CE2570" s="34"/>
      <c r="CF2570" s="34"/>
      <c r="CG2570" s="34"/>
      <c r="CH2570" s="34"/>
    </row>
    <row r="2571" spans="1:86" x14ac:dyDescent="0.2">
      <c r="A2571" s="8" t="str">
        <f>IF(AND(COUNTIF(W$3:W$13,A$30)&gt;0,A$30&lt;&gt;B2324),A$30,IFERROR(IF(MATCH(A$30,Z$3:Z$13,0)=11,A$30," ")," "))</f>
        <v>C16</v>
      </c>
      <c r="B2571" s="8">
        <f>IF(A2571=" "," ",MAX(B2556:B2570)+1)</f>
        <v>6</v>
      </c>
      <c r="C2571" s="8"/>
      <c r="D2571" s="8"/>
      <c r="E2571" s="8"/>
      <c r="F2571" s="8"/>
      <c r="G2571" s="8"/>
      <c r="H2571" s="8"/>
      <c r="I2571" s="8"/>
      <c r="J2571" s="8"/>
      <c r="K2571" s="8"/>
      <c r="L2571" s="8"/>
      <c r="M2571" s="8"/>
      <c r="N2571" s="8"/>
      <c r="O2571" s="8"/>
      <c r="P2571" s="8"/>
      <c r="Q2571" s="8"/>
      <c r="R2571" s="8"/>
      <c r="S2571" s="8"/>
      <c r="U2571" s="34"/>
      <c r="V2571" s="34"/>
      <c r="W2571" s="34"/>
      <c r="X2571" s="34"/>
      <c r="Y2571" s="34"/>
      <c r="Z2571" s="34"/>
      <c r="AA2571" s="34"/>
      <c r="AB2571" s="34"/>
      <c r="AC2571" s="34"/>
      <c r="AD2571" s="34"/>
      <c r="AE2571" s="34"/>
      <c r="AF2571" s="34"/>
      <c r="AG2571" s="34"/>
      <c r="AH2571" s="34"/>
      <c r="AI2571" s="34"/>
      <c r="AJ2571" s="34"/>
      <c r="AK2571" s="34"/>
      <c r="AL2571" s="34"/>
      <c r="AM2571" s="34"/>
      <c r="AN2571" s="34"/>
      <c r="AO2571" s="34"/>
      <c r="AP2571" s="34"/>
      <c r="AQ2571" s="34"/>
      <c r="AR2571" s="34"/>
      <c r="AS2571" s="34"/>
      <c r="AT2571" s="34"/>
      <c r="AU2571" s="34"/>
      <c r="AV2571" s="34"/>
      <c r="AW2571" s="34"/>
      <c r="AX2571" s="34"/>
      <c r="AY2571" s="34"/>
      <c r="AZ2571" s="34"/>
      <c r="BA2571" s="34"/>
      <c r="BB2571" s="34"/>
      <c r="BC2571" s="34"/>
      <c r="BD2571" s="34"/>
      <c r="BE2571" s="34"/>
      <c r="BF2571" s="34"/>
      <c r="BG2571" s="34"/>
      <c r="BH2571" s="34"/>
      <c r="BI2571" s="34"/>
      <c r="BJ2571" s="34"/>
      <c r="BK2571" s="34"/>
      <c r="BL2571" s="34"/>
      <c r="BM2571" s="34"/>
      <c r="BN2571" s="34"/>
      <c r="BO2571" s="34"/>
      <c r="BP2571" s="34"/>
      <c r="BQ2571" s="34"/>
      <c r="BR2571" s="34"/>
      <c r="BS2571" s="34"/>
      <c r="BT2571" s="34"/>
      <c r="BU2571" s="34"/>
      <c r="BV2571" s="34"/>
      <c r="BW2571" s="34"/>
      <c r="BX2571" s="34"/>
      <c r="BY2571" s="34"/>
      <c r="BZ2571" s="34"/>
      <c r="CA2571" s="34"/>
      <c r="CB2571" s="34"/>
      <c r="CC2571" s="34"/>
      <c r="CD2571" s="34"/>
      <c r="CE2571" s="34"/>
      <c r="CF2571" s="34"/>
      <c r="CG2571" s="34"/>
      <c r="CH2571" s="34"/>
    </row>
    <row r="2572" spans="1:86" x14ac:dyDescent="0.2">
      <c r="A2572" s="8" t="str">
        <f>IF(AND(COUNTIF(W$3:W$13,A$31)&gt;0,A$31&lt;&gt;B2324),A$31,IFERROR(IF(MATCH(A$31,Z$3:Z$13,0)=11,A$31," ")," "))</f>
        <v>C17</v>
      </c>
      <c r="B2572" s="8">
        <f>IF(A2572=" "," ",MAX(B2556:B2571)+1)</f>
        <v>7</v>
      </c>
      <c r="C2572" s="8"/>
      <c r="D2572" s="8"/>
      <c r="E2572" s="8"/>
      <c r="F2572" s="8"/>
      <c r="G2572" s="8"/>
      <c r="H2572" s="8"/>
      <c r="I2572" s="8"/>
      <c r="J2572" s="8"/>
      <c r="K2572" s="8"/>
      <c r="L2572" s="8"/>
      <c r="M2572" s="8"/>
      <c r="N2572" s="8"/>
      <c r="O2572" s="8"/>
      <c r="P2572" s="8"/>
      <c r="Q2572" s="8"/>
      <c r="R2572" s="8"/>
      <c r="S2572" s="8"/>
      <c r="U2572" s="34"/>
      <c r="V2572" s="34"/>
      <c r="W2572" s="34"/>
      <c r="X2572" s="34"/>
      <c r="Y2572" s="34"/>
      <c r="Z2572" s="34"/>
      <c r="AA2572" s="34"/>
      <c r="AB2572" s="34"/>
      <c r="AC2572" s="34"/>
      <c r="AD2572" s="34"/>
      <c r="AE2572" s="34"/>
      <c r="AF2572" s="34"/>
      <c r="AG2572" s="34"/>
      <c r="AH2572" s="34"/>
      <c r="AI2572" s="34"/>
      <c r="AJ2572" s="34"/>
      <c r="AK2572" s="34"/>
      <c r="AL2572" s="34"/>
      <c r="AM2572" s="34"/>
      <c r="AN2572" s="34"/>
      <c r="AO2572" s="34"/>
      <c r="AP2572" s="34"/>
      <c r="AQ2572" s="34"/>
      <c r="AR2572" s="34"/>
      <c r="AS2572" s="34"/>
      <c r="AT2572" s="34"/>
      <c r="AU2572" s="34"/>
      <c r="AV2572" s="34"/>
      <c r="AW2572" s="34"/>
      <c r="AX2572" s="34"/>
      <c r="AY2572" s="34"/>
      <c r="AZ2572" s="34"/>
      <c r="BA2572" s="34"/>
      <c r="BB2572" s="34"/>
      <c r="BC2572" s="34"/>
      <c r="BD2572" s="34"/>
      <c r="BE2572" s="34"/>
      <c r="BF2572" s="34"/>
      <c r="BG2572" s="34"/>
      <c r="BH2572" s="34"/>
      <c r="BI2572" s="34"/>
      <c r="BJ2572" s="34"/>
      <c r="BK2572" s="34"/>
      <c r="BL2572" s="34"/>
      <c r="BM2572" s="34"/>
      <c r="BN2572" s="34"/>
      <c r="BO2572" s="34"/>
      <c r="BP2572" s="34"/>
      <c r="BQ2572" s="34"/>
      <c r="BR2572" s="34"/>
      <c r="BS2572" s="34"/>
      <c r="BT2572" s="34"/>
      <c r="BU2572" s="34"/>
      <c r="BV2572" s="34"/>
      <c r="BW2572" s="34"/>
      <c r="BX2572" s="34"/>
      <c r="BY2572" s="34"/>
      <c r="BZ2572" s="34"/>
      <c r="CA2572" s="34"/>
      <c r="CB2572" s="34"/>
      <c r="CC2572" s="34"/>
      <c r="CD2572" s="34"/>
      <c r="CE2572" s="34"/>
      <c r="CF2572" s="34"/>
      <c r="CG2572" s="34"/>
      <c r="CH2572" s="34"/>
    </row>
    <row r="2573" spans="1:86" x14ac:dyDescent="0.2">
      <c r="A2573" s="8" t="str">
        <f>IF(AND(COUNTIF(W$3:W$13,A$32)&gt;0,A$32&lt;&gt;B2324),A$32,IFERROR(IF(MATCH(A$32,Z$3:Z$13,0)=11,A$32," ")," "))</f>
        <v>C18</v>
      </c>
      <c r="B2573" s="8">
        <f>IF(A2573=" "," ",MAX(B2556:B2572)+1)</f>
        <v>8</v>
      </c>
      <c r="C2573" s="8"/>
      <c r="D2573" s="8"/>
      <c r="E2573" s="8"/>
      <c r="F2573" s="8"/>
      <c r="G2573" s="8"/>
      <c r="H2573" s="8"/>
      <c r="I2573" s="8"/>
      <c r="J2573" s="8"/>
      <c r="K2573" s="8"/>
      <c r="L2573" s="8"/>
      <c r="M2573" s="8"/>
      <c r="N2573" s="8"/>
      <c r="O2573" s="8"/>
      <c r="P2573" s="8"/>
      <c r="Q2573" s="8"/>
      <c r="R2573" s="8"/>
      <c r="S2573" s="8"/>
      <c r="U2573" s="34"/>
      <c r="V2573" s="34"/>
      <c r="W2573" s="34"/>
      <c r="X2573" s="34"/>
      <c r="Y2573" s="34"/>
      <c r="Z2573" s="34"/>
      <c r="AA2573" s="34"/>
      <c r="AB2573" s="34"/>
      <c r="AC2573" s="34"/>
      <c r="AD2573" s="34"/>
      <c r="AE2573" s="34"/>
      <c r="AF2573" s="34"/>
      <c r="AG2573" s="34"/>
      <c r="AH2573" s="34"/>
      <c r="AI2573" s="34"/>
      <c r="AJ2573" s="34"/>
      <c r="AK2573" s="34"/>
      <c r="AL2573" s="34"/>
      <c r="AM2573" s="34"/>
      <c r="AN2573" s="34"/>
      <c r="AO2573" s="34"/>
      <c r="AP2573" s="34"/>
      <c r="AQ2573" s="34"/>
      <c r="AR2573" s="34"/>
      <c r="AS2573" s="34"/>
      <c r="AT2573" s="34"/>
      <c r="AU2573" s="34"/>
      <c r="AV2573" s="34"/>
      <c r="AW2573" s="34"/>
      <c r="AX2573" s="34"/>
      <c r="AY2573" s="34"/>
      <c r="AZ2573" s="34"/>
      <c r="BA2573" s="34"/>
      <c r="BB2573" s="34"/>
      <c r="BC2573" s="34"/>
      <c r="BD2573" s="34"/>
      <c r="BE2573" s="34"/>
      <c r="BF2573" s="34"/>
      <c r="BG2573" s="34"/>
      <c r="BH2573" s="34"/>
      <c r="BI2573" s="34"/>
      <c r="BJ2573" s="34"/>
      <c r="BK2573" s="34"/>
      <c r="BL2573" s="34"/>
      <c r="BM2573" s="34"/>
      <c r="BN2573" s="34"/>
      <c r="BO2573" s="34"/>
      <c r="BP2573" s="34"/>
      <c r="BQ2573" s="34"/>
      <c r="BR2573" s="34"/>
      <c r="BS2573" s="34"/>
      <c r="BT2573" s="34"/>
      <c r="BU2573" s="34"/>
      <c r="BV2573" s="34"/>
      <c r="BW2573" s="34"/>
      <c r="BX2573" s="34"/>
      <c r="BY2573" s="34"/>
      <c r="BZ2573" s="34"/>
      <c r="CA2573" s="34"/>
      <c r="CB2573" s="34"/>
      <c r="CC2573" s="34"/>
      <c r="CD2573" s="34"/>
      <c r="CE2573" s="34"/>
      <c r="CF2573" s="34"/>
      <c r="CG2573" s="34"/>
      <c r="CH2573" s="34"/>
    </row>
    <row r="2574" spans="1:86" x14ac:dyDescent="0.2">
      <c r="A2574" s="8" t="str">
        <f>IF(AND(COUNTIF(W$3:W$13,A$33)&gt;0,A$33&lt;&gt;B2324),A$33,IFERROR(IF(MATCH(A$33,Z$3:Z$13,0)=11,A$33," ")," "))</f>
        <v>C19</v>
      </c>
      <c r="B2574" s="8">
        <f>IF(A2574=" "," ",MAX(B2556:B2573)+1)</f>
        <v>9</v>
      </c>
      <c r="C2574" s="8"/>
      <c r="D2574" s="8"/>
      <c r="E2574" s="8"/>
      <c r="F2574" s="8"/>
      <c r="G2574" s="8"/>
      <c r="H2574" s="8"/>
      <c r="I2574" s="8"/>
      <c r="J2574" s="8"/>
      <c r="K2574" s="8"/>
      <c r="L2574" s="8"/>
      <c r="M2574" s="8"/>
      <c r="N2574" s="8"/>
      <c r="O2574" s="8"/>
      <c r="P2574" s="8"/>
      <c r="Q2574" s="8"/>
      <c r="R2574" s="8"/>
      <c r="S2574" s="8"/>
      <c r="U2574" s="34"/>
      <c r="V2574" s="34"/>
      <c r="W2574" s="34"/>
      <c r="X2574" s="34"/>
      <c r="Y2574" s="34"/>
      <c r="Z2574" s="34"/>
      <c r="AA2574" s="34"/>
      <c r="AB2574" s="34"/>
      <c r="AC2574" s="34"/>
      <c r="AD2574" s="34"/>
      <c r="AE2574" s="34"/>
      <c r="AF2574" s="34"/>
      <c r="AG2574" s="34"/>
      <c r="AH2574" s="34"/>
      <c r="AI2574" s="34"/>
      <c r="AJ2574" s="34"/>
      <c r="AK2574" s="34"/>
      <c r="AL2574" s="34"/>
      <c r="AM2574" s="34"/>
      <c r="AN2574" s="34"/>
      <c r="AO2574" s="34"/>
      <c r="AP2574" s="34"/>
      <c r="AQ2574" s="34"/>
      <c r="AR2574" s="34"/>
      <c r="AS2574" s="34"/>
      <c r="AT2574" s="34"/>
      <c r="AU2574" s="34"/>
      <c r="AV2574" s="34"/>
      <c r="AW2574" s="34"/>
      <c r="AX2574" s="34"/>
      <c r="AY2574" s="34"/>
      <c r="AZ2574" s="34"/>
      <c r="BA2574" s="34"/>
      <c r="BB2574" s="34"/>
      <c r="BC2574" s="34"/>
      <c r="BD2574" s="34"/>
      <c r="BE2574" s="34"/>
      <c r="BF2574" s="34"/>
      <c r="BG2574" s="34"/>
      <c r="BH2574" s="34"/>
      <c r="BI2574" s="34"/>
      <c r="BJ2574" s="34"/>
      <c r="BK2574" s="34"/>
      <c r="BL2574" s="34"/>
      <c r="BM2574" s="34"/>
      <c r="BN2574" s="34"/>
      <c r="BO2574" s="34"/>
      <c r="BP2574" s="34"/>
      <c r="BQ2574" s="34"/>
      <c r="BR2574" s="34"/>
      <c r="BS2574" s="34"/>
      <c r="BT2574" s="34"/>
      <c r="BU2574" s="34"/>
      <c r="BV2574" s="34"/>
      <c r="BW2574" s="34"/>
      <c r="BX2574" s="34"/>
      <c r="BY2574" s="34"/>
      <c r="BZ2574" s="34"/>
      <c r="CA2574" s="34"/>
      <c r="CB2574" s="34"/>
      <c r="CC2574" s="34"/>
      <c r="CD2574" s="34"/>
      <c r="CE2574" s="34"/>
      <c r="CF2574" s="34"/>
      <c r="CG2574" s="34"/>
      <c r="CH2574" s="34"/>
    </row>
    <row r="2575" spans="1:86" x14ac:dyDescent="0.2">
      <c r="A2575" s="8" t="str">
        <f>IF(AND(COUNTIF(W$3:W$13,A$34)&gt;0,A$34&lt;&gt;B2324),A$34,IFERROR(IF(MATCH(A$34,Z$3:Z$13,0)=11,A$34," ")," "))</f>
        <v>C20</v>
      </c>
      <c r="B2575" s="8">
        <f>IF(A2575=" "," ",MAX(B2556:B2574)+1)</f>
        <v>10</v>
      </c>
      <c r="C2575" s="8"/>
      <c r="D2575" s="8"/>
      <c r="E2575" s="8"/>
      <c r="F2575" s="8"/>
      <c r="G2575" s="8"/>
      <c r="H2575" s="8"/>
      <c r="I2575" s="8"/>
      <c r="J2575" s="8"/>
      <c r="K2575" s="8"/>
      <c r="L2575" s="8"/>
      <c r="M2575" s="8"/>
      <c r="N2575" s="8"/>
      <c r="O2575" s="8"/>
      <c r="P2575" s="8"/>
      <c r="Q2575" s="8"/>
      <c r="R2575" s="8"/>
      <c r="S2575" s="8"/>
      <c r="U2575" s="34"/>
      <c r="V2575" s="34"/>
      <c r="W2575" s="34"/>
      <c r="X2575" s="34"/>
      <c r="Y2575" s="34"/>
      <c r="Z2575" s="34"/>
      <c r="AA2575" s="34"/>
      <c r="AB2575" s="34"/>
      <c r="AC2575" s="34"/>
      <c r="AD2575" s="34"/>
      <c r="AE2575" s="34"/>
      <c r="AF2575" s="34"/>
      <c r="AG2575" s="34"/>
      <c r="AH2575" s="34"/>
      <c r="AI2575" s="34"/>
      <c r="AJ2575" s="34"/>
      <c r="AK2575" s="34"/>
      <c r="AL2575" s="34"/>
      <c r="AM2575" s="34"/>
      <c r="AN2575" s="34"/>
      <c r="AO2575" s="34"/>
      <c r="AP2575" s="34"/>
      <c r="AQ2575" s="34"/>
      <c r="AR2575" s="34"/>
      <c r="AS2575" s="34"/>
      <c r="AT2575" s="34"/>
      <c r="AU2575" s="34"/>
      <c r="AV2575" s="34"/>
      <c r="AW2575" s="34"/>
      <c r="AX2575" s="34"/>
      <c r="AY2575" s="34"/>
      <c r="AZ2575" s="34"/>
      <c r="BA2575" s="34"/>
      <c r="BB2575" s="34"/>
      <c r="BC2575" s="34"/>
      <c r="BD2575" s="34"/>
      <c r="BE2575" s="34"/>
      <c r="BF2575" s="34"/>
      <c r="BG2575" s="34"/>
      <c r="BH2575" s="34"/>
      <c r="BI2575" s="34"/>
      <c r="BJ2575" s="34"/>
      <c r="BK2575" s="34"/>
      <c r="BL2575" s="34"/>
      <c r="BM2575" s="34"/>
      <c r="BN2575" s="34"/>
      <c r="BO2575" s="34"/>
      <c r="BP2575" s="34"/>
      <c r="BQ2575" s="34"/>
      <c r="BR2575" s="34"/>
      <c r="BS2575" s="34"/>
      <c r="BT2575" s="34"/>
      <c r="BU2575" s="34"/>
      <c r="BV2575" s="34"/>
      <c r="BW2575" s="34"/>
      <c r="BX2575" s="34"/>
      <c r="BY2575" s="34"/>
      <c r="BZ2575" s="34"/>
      <c r="CA2575" s="34"/>
      <c r="CB2575" s="34"/>
      <c r="CC2575" s="34"/>
      <c r="CD2575" s="34"/>
      <c r="CE2575" s="34"/>
      <c r="CF2575" s="34"/>
      <c r="CG2575" s="34"/>
      <c r="CH2575" s="34"/>
    </row>
    <row r="2576" spans="1:86" x14ac:dyDescent="0.2">
      <c r="A2576" s="8" t="str">
        <f>IF(AND(COUNTIF(W$3:W$13,A$35)&gt;0,A$35&lt;&gt;B2324),A$35,IFERROR(IF(MATCH(A$35,Z$3:Z$13,0)=11,A$35," ")," "))</f>
        <v xml:space="preserve"> </v>
      </c>
      <c r="B2576" s="8" t="str">
        <f>IF(A2576=" "," ",MAX(B2556:B2575)+1)</f>
        <v xml:space="preserve"> </v>
      </c>
      <c r="C2576" s="8"/>
      <c r="D2576" s="8"/>
      <c r="E2576" s="8"/>
      <c r="F2576" s="8"/>
      <c r="G2576" s="8"/>
      <c r="H2576" s="8"/>
      <c r="I2576" s="8"/>
      <c r="J2576" s="8"/>
      <c r="K2576" s="8"/>
      <c r="L2576" s="8"/>
      <c r="M2576" s="8"/>
      <c r="N2576" s="8"/>
      <c r="O2576" s="8"/>
      <c r="P2576" s="8"/>
      <c r="Q2576" s="8"/>
      <c r="R2576" s="8"/>
      <c r="S2576" s="8"/>
      <c r="U2576" s="34"/>
      <c r="V2576" s="34"/>
      <c r="W2576" s="34"/>
      <c r="X2576" s="34"/>
      <c r="Y2576" s="34"/>
      <c r="Z2576" s="34"/>
      <c r="AA2576" s="34"/>
      <c r="AB2576" s="34"/>
      <c r="AC2576" s="34"/>
      <c r="AD2576" s="34"/>
      <c r="AE2576" s="34"/>
      <c r="AF2576" s="34"/>
      <c r="AG2576" s="34"/>
      <c r="AH2576" s="34"/>
      <c r="AI2576" s="34"/>
      <c r="AJ2576" s="34"/>
      <c r="AK2576" s="34"/>
      <c r="AL2576" s="34"/>
      <c r="AM2576" s="34"/>
      <c r="AN2576" s="34"/>
      <c r="AO2576" s="34"/>
      <c r="AP2576" s="34"/>
      <c r="AQ2576" s="34"/>
      <c r="AR2576" s="34"/>
      <c r="AS2576" s="34"/>
      <c r="AT2576" s="34"/>
      <c r="AU2576" s="34"/>
      <c r="AV2576" s="34"/>
      <c r="AW2576" s="34"/>
      <c r="AX2576" s="34"/>
      <c r="AY2576" s="34"/>
      <c r="AZ2576" s="34"/>
      <c r="BA2576" s="34"/>
      <c r="BB2576" s="34"/>
      <c r="BC2576" s="34"/>
      <c r="BD2576" s="34"/>
      <c r="BE2576" s="34"/>
      <c r="BF2576" s="34"/>
      <c r="BG2576" s="34"/>
      <c r="BH2576" s="34"/>
      <c r="BI2576" s="34"/>
      <c r="BJ2576" s="34"/>
      <c r="BK2576" s="34"/>
      <c r="BL2576" s="34"/>
      <c r="BM2576" s="34"/>
      <c r="BN2576" s="34"/>
      <c r="BO2576" s="34"/>
      <c r="BP2576" s="34"/>
      <c r="BQ2576" s="34"/>
      <c r="BR2576" s="34"/>
      <c r="BS2576" s="34"/>
      <c r="BT2576" s="34"/>
      <c r="BU2576" s="34"/>
      <c r="BV2576" s="34"/>
      <c r="BW2576" s="34"/>
      <c r="BX2576" s="34"/>
      <c r="BY2576" s="34"/>
      <c r="BZ2576" s="34"/>
      <c r="CA2576" s="34"/>
      <c r="CB2576" s="34"/>
      <c r="CC2576" s="34"/>
      <c r="CD2576" s="34"/>
      <c r="CE2576" s="34"/>
      <c r="CF2576" s="34"/>
      <c r="CG2576" s="34"/>
      <c r="CH2576" s="34"/>
    </row>
    <row r="2577" spans="1:86" x14ac:dyDescent="0.2">
      <c r="A2577" s="8" t="str">
        <f>IF(AND(COUNTIF(W$3:W$13,A$36)&gt;0,A$36&lt;&gt;B2324),A$36,IFERROR(IF(MATCH(A$36,Z$3:Z$13,0)=11,A$36," ")," "))</f>
        <v>C22</v>
      </c>
      <c r="B2577" s="8">
        <f>IF(A2577=" "," ",MAX(B2556:B2576)+1)</f>
        <v>11</v>
      </c>
      <c r="C2577" s="8"/>
      <c r="D2577" s="8"/>
      <c r="E2577" s="8"/>
      <c r="F2577" s="8"/>
      <c r="G2577" s="8"/>
      <c r="H2577" s="8"/>
      <c r="I2577" s="8"/>
      <c r="J2577" s="8"/>
      <c r="K2577" s="8"/>
      <c r="L2577" s="8"/>
      <c r="M2577" s="8"/>
      <c r="N2577" s="8"/>
      <c r="O2577" s="8"/>
      <c r="P2577" s="8"/>
      <c r="Q2577" s="8"/>
      <c r="R2577" s="8"/>
      <c r="S2577" s="8"/>
      <c r="U2577" s="34"/>
      <c r="V2577" s="34"/>
      <c r="W2577" s="34"/>
      <c r="X2577" s="34"/>
      <c r="Y2577" s="34"/>
      <c r="Z2577" s="34"/>
      <c r="AA2577" s="34"/>
      <c r="AB2577" s="34"/>
      <c r="AC2577" s="34"/>
      <c r="AD2577" s="34"/>
      <c r="AE2577" s="34"/>
      <c r="AF2577" s="34"/>
      <c r="AG2577" s="34"/>
      <c r="AH2577" s="34"/>
      <c r="AI2577" s="34"/>
      <c r="AJ2577" s="34"/>
      <c r="AK2577" s="34"/>
      <c r="AL2577" s="34"/>
      <c r="AM2577" s="34"/>
      <c r="AN2577" s="34"/>
      <c r="AO2577" s="34"/>
      <c r="AP2577" s="34"/>
      <c r="AQ2577" s="34"/>
      <c r="AR2577" s="34"/>
      <c r="AS2577" s="34"/>
      <c r="AT2577" s="34"/>
      <c r="AU2577" s="34"/>
      <c r="AV2577" s="34"/>
      <c r="AW2577" s="34"/>
      <c r="AX2577" s="34"/>
      <c r="AY2577" s="34"/>
      <c r="AZ2577" s="34"/>
      <c r="BA2577" s="34"/>
      <c r="BB2577" s="34"/>
      <c r="BC2577" s="34"/>
      <c r="BD2577" s="34"/>
      <c r="BE2577" s="34"/>
      <c r="BF2577" s="34"/>
      <c r="BG2577" s="34"/>
      <c r="BH2577" s="34"/>
      <c r="BI2577" s="34"/>
      <c r="BJ2577" s="34"/>
      <c r="BK2577" s="34"/>
      <c r="BL2577" s="34"/>
      <c r="BM2577" s="34"/>
      <c r="BN2577" s="34"/>
      <c r="BO2577" s="34"/>
      <c r="BP2577" s="34"/>
      <c r="BQ2577" s="34"/>
      <c r="BR2577" s="34"/>
      <c r="BS2577" s="34"/>
      <c r="BT2577" s="34"/>
      <c r="BU2577" s="34"/>
      <c r="BV2577" s="34"/>
      <c r="BW2577" s="34"/>
      <c r="BX2577" s="34"/>
      <c r="BY2577" s="34"/>
      <c r="BZ2577" s="34"/>
      <c r="CA2577" s="34"/>
      <c r="CB2577" s="34"/>
      <c r="CC2577" s="34"/>
      <c r="CD2577" s="34"/>
      <c r="CE2577" s="34"/>
      <c r="CF2577" s="34"/>
      <c r="CG2577" s="34"/>
      <c r="CH2577" s="34"/>
    </row>
    <row r="2578" spans="1:86" s="16" customFormat="1" x14ac:dyDescent="0.2">
      <c r="A2578" s="28"/>
      <c r="B2578" s="49" t="str">
        <f>W13</f>
        <v>C22</v>
      </c>
      <c r="C2578" s="49"/>
      <c r="D2578" s="49"/>
      <c r="E2578" s="49"/>
      <c r="F2578" s="49"/>
      <c r="G2578" s="49"/>
      <c r="H2578" s="49"/>
      <c r="I2578" s="49"/>
      <c r="J2578" s="49"/>
      <c r="K2578" s="49"/>
      <c r="L2578" s="49"/>
      <c r="M2578" s="49"/>
      <c r="N2578" s="49"/>
      <c r="O2578" s="49"/>
      <c r="P2578" s="49"/>
      <c r="Q2578" s="49"/>
      <c r="R2578" s="28" t="e">
        <f>(N$2*INDEX(Q2579:R2831,MATCH(T2578,R2579:R2831,0),1)+N$3*INDEX(Q2579:R2831,MATCH(T2578,R2579:R2831,0)+1,1)+N$4*INDEX(Q2579:R2831,MATCH(T2578,R2579:R2831,0)+2,1)+N$5*INDEX(Q2579:R2831,MATCH(T2578,R2579:R2831,0)+3,1)+N$6*INDEX(Q2579:R2831,MATCH(T2578,R2579:R2831,0)+4,1)+N$7*INDEX(Q2579:R2831,MATCH(T2578,R2579:R2831,0)+5,1)+N$8*INDEX(Q2579:R2831,MATCH(T2578,R2579:R2831,0)+6,1)+N$9*INDEX(Q2579:R2831,MATCH(T2578,R2579:R2831,0)+7,1)+N$10*INDEX(Q2579:R2831,MATCH(T2578,R2579:R2831,0)+8,1)+N$11*INDEX(Q2579:R2831,MATCH(T2578,R2579:R2831,0)+9,1)+N$12*INDEX(Q2579:R2831,MATCH(T2578,R2579:R2831,0)+10,1)-N$2*INDEX(Q2579:R2831,MATCH(S2578,R2579:R2831,0),1)-N$3*INDEX(Q2579:R2831,MATCH(S2578,R2579:R2831,0)+1,1)-N$4*INDEX(Q2579:R2831,MATCH(S2578,R2579:R2831,0)+2,1)-N$5*INDEX(Q2579:R2831,MATCH(S2578,R2579:R2831,0)+3,1)-N$6*INDEX(Q2579:R2831,MATCH(S2578,R2579:R2831,0)+4,1)-N$7*INDEX(Q2579:R2831,MATCH(S2578,R2579:R2831,0)+5,1)-N$8*INDEX(Q2579:R2831,MATCH(S2578,R2579:R2831,0)+6,1)-N$9*INDEX(Q2579:R2831,MATCH(S2578,R2579:R2831,0)+7,1)-N$10*INDEX(Q2579:R2831,MATCH(S2578,R2579:R2831,0)+8,1)-N$11*INDEX(Q2579:R2831,MATCH(S2578,R2579:R2831,0)+9,1)-N$12*INDEX(Q2579:R2831,MATCH(S2578,R2579:R2831,0)+10,1))/(T2578-S2578)</f>
        <v>#N/A</v>
      </c>
      <c r="S2578" s="28" t="e">
        <f>INDEX(R2580:T2831,MATCH(MAX(S2580:S2831),S2580:S2831,0),1)</f>
        <v>#N/A</v>
      </c>
      <c r="T2578" s="20" t="e">
        <f>INDEX(R2580:T2831,MATCH(MIN(T2580:T2831),T2580:T2831,0),1)</f>
        <v>#N/A</v>
      </c>
      <c r="U2578" s="50" t="str">
        <f t="shared" ref="U2578" si="11218">A$2</f>
        <v>X1</v>
      </c>
      <c r="V2578" s="49"/>
      <c r="W2578" s="49"/>
      <c r="X2578" s="49"/>
      <c r="Y2578" s="35" t="str">
        <f t="shared" ref="Y2578" si="11219">IF(INDEX($A$15:$N$36,MATCH($B2578,$A$15:$A$36,0),14)&lt;&gt;"=",IFERROR(INDEX(X2579:Z2831,MATCH(MAX(Y2579:Y2831),Y2579:Y2831,0),1)," ")," ")</f>
        <v xml:space="preserve"> </v>
      </c>
      <c r="Z2578" s="35" t="str">
        <f t="shared" ref="Z2578" si="11220">IF(INDEX($A$15:$N$36,MATCH($B2578,$A$15:$A$36,0),14)&lt;&gt;"=",IFERROR(INDEX(X2579:Z2831,MATCH(MIN(Z2579:Z2831),Z2579:Z2831,0),1)," ")," ")</f>
        <v xml:space="preserve"> </v>
      </c>
      <c r="AA2578" s="49" t="str">
        <f t="shared" ref="AA2578" si="11221">A$3</f>
        <v>X2</v>
      </c>
      <c r="AB2578" s="49"/>
      <c r="AC2578" s="49"/>
      <c r="AD2578" s="49"/>
      <c r="AE2578" s="35" t="str">
        <f t="shared" ref="AE2578" si="11222">IF(INDEX($A$15:$N$36,MATCH($B2578,$A$15:$A$36,0),14)&lt;&gt;"=",IFERROR(INDEX(AD2579:AF2831,MATCH(MAX(AE2579:AE2831),AE2579:AE2831,0),1)," ")," ")</f>
        <v xml:space="preserve"> </v>
      </c>
      <c r="AF2578" s="35" t="str">
        <f t="shared" ref="AF2578" si="11223">IF(INDEX($A$15:$N$36,MATCH($B2578,$A$15:$A$36,0),14)&lt;&gt;"=",IFERROR(INDEX(AD2579:AF2831,MATCH(MIN(AF2579:AF2831),AF2579:AF2831,0),1)," ")," ")</f>
        <v xml:space="preserve"> </v>
      </c>
      <c r="AG2578" s="49" t="str">
        <f t="shared" ref="AG2578" si="11224">A$4</f>
        <v>X3</v>
      </c>
      <c r="AH2578" s="49"/>
      <c r="AI2578" s="49"/>
      <c r="AJ2578" s="49"/>
      <c r="AK2578" s="35" t="str">
        <f t="shared" ref="AK2578" si="11225">IF(INDEX($A$15:$N$36,MATCH($B2578,$A$15:$A$36,0),14)&lt;&gt;"=",IFERROR(INDEX(AJ2579:AL2831,MATCH(MAX(AK2579:AK2831),AK2579:AK2831,0),1)," ")," ")</f>
        <v xml:space="preserve"> </v>
      </c>
      <c r="AL2578" s="35" t="str">
        <f t="shared" ref="AL2578" si="11226">IF(INDEX($A$15:$N$36,MATCH($B2578,$A$15:$A$36,0),14)&lt;&gt;"=",IFERROR(INDEX(AJ2579:AL2831,MATCH(MIN(AL2579:AL2831),AL2579:AL2831,0),1)," ")," ")</f>
        <v xml:space="preserve"> </v>
      </c>
      <c r="AM2578" s="49" t="str">
        <f t="shared" ref="AM2578" si="11227">A$5</f>
        <v>X4</v>
      </c>
      <c r="AN2578" s="49"/>
      <c r="AO2578" s="49"/>
      <c r="AP2578" s="49"/>
      <c r="AQ2578" s="35" t="str">
        <f t="shared" ref="AQ2578" si="11228">IF(INDEX($A$15:$N$36,MATCH($B2578,$A$15:$A$36,0),14)&lt;&gt;"=",IFERROR(INDEX(AP2579:AR2831,MATCH(MAX(AQ2579:AQ2831),AQ2579:AQ2831,0),1)," ")," ")</f>
        <v xml:space="preserve"> </v>
      </c>
      <c r="AR2578" s="35" t="str">
        <f t="shared" ref="AR2578" si="11229">IF(INDEX($A$15:$N$36,MATCH($B2578,$A$15:$A$36,0),14)&lt;&gt;"=",IFERROR(INDEX(AP2579:AR2831,MATCH(MIN(AR2579:AR2831),AR2579:AR2831,0),1)," ")," ")</f>
        <v xml:space="preserve"> </v>
      </c>
      <c r="AS2578" s="49" t="str">
        <f t="shared" ref="AS2578" si="11230">A$6</f>
        <v>X5</v>
      </c>
      <c r="AT2578" s="49"/>
      <c r="AU2578" s="49"/>
      <c r="AV2578" s="49"/>
      <c r="AW2578" s="35" t="str">
        <f t="shared" ref="AW2578" si="11231">IF(INDEX($A$15:$N$36,MATCH($B2578,$A$15:$A$36,0),14)&lt;&gt;"=",IFERROR(INDEX(AV2579:AX2831,MATCH(MAX(AW2579:AW2831),AW2579:AW2831,0),1)," ")," ")</f>
        <v xml:space="preserve"> </v>
      </c>
      <c r="AX2578" s="35" t="str">
        <f t="shared" ref="AX2578" si="11232">IF(INDEX($A$15:$N$36,MATCH($B2578,$A$15:$A$36,0),14)&lt;&gt;"=",IFERROR(INDEX(AV2579:AX2831,MATCH(MIN(AX2579:AX2831),AX2579:AX2831,0),1)," ")," ")</f>
        <v xml:space="preserve"> </v>
      </c>
      <c r="AY2578" s="49" t="str">
        <f t="shared" ref="AY2578" si="11233">A$7</f>
        <v>X6</v>
      </c>
      <c r="AZ2578" s="49"/>
      <c r="BA2578" s="49"/>
      <c r="BB2578" s="49"/>
      <c r="BC2578" s="35" t="str">
        <f t="shared" ref="BC2578" si="11234">IF(INDEX($A$15:$N$36,MATCH($B2578,$A$15:$A$36,0),14)&lt;&gt;"=",IFERROR(INDEX(BB2579:BD2831,MATCH(MAX(BC2579:BC2831),BC2579:BC2831,0),1)," ")," ")</f>
        <v xml:space="preserve"> </v>
      </c>
      <c r="BD2578" s="35" t="str">
        <f t="shared" ref="BD2578" si="11235">IF(INDEX($A$15:$N$36,MATCH($B2578,$A$15:$A$36,0),14)&lt;&gt;"=",IFERROR(INDEX(BB2579:BD2831,MATCH(MIN(BD2579:BD2831),BD2579:BD2831,0),1)," ")," ")</f>
        <v xml:space="preserve"> </v>
      </c>
      <c r="BE2578" s="49" t="str">
        <f t="shared" ref="BE2578" si="11236">A$8</f>
        <v>X7</v>
      </c>
      <c r="BF2578" s="49"/>
      <c r="BG2578" s="49"/>
      <c r="BH2578" s="49"/>
      <c r="BI2578" s="35" t="str">
        <f t="shared" ref="BI2578" si="11237">IF(INDEX($A$15:$N$36,MATCH($B2578,$A$15:$A$36,0),14)&lt;&gt;"=",IFERROR(INDEX(BH2579:BJ2831,MATCH(MAX(BI2579:BI2831),BI2579:BI2831,0),1)," ")," ")</f>
        <v xml:space="preserve"> </v>
      </c>
      <c r="BJ2578" s="35" t="str">
        <f t="shared" ref="BJ2578" si="11238">IF(INDEX($A$15:$N$36,MATCH($B2578,$A$15:$A$36,0),14)&lt;&gt;"=",IFERROR(INDEX(BH2579:BJ2831,MATCH(MIN(BJ2579:BJ2831),BJ2579:BJ2831,0),1)," ")," ")</f>
        <v xml:space="preserve"> </v>
      </c>
      <c r="BK2578" s="49" t="str">
        <f t="shared" ref="BK2578" si="11239">A$9</f>
        <v>X8</v>
      </c>
      <c r="BL2578" s="49"/>
      <c r="BM2578" s="49"/>
      <c r="BN2578" s="49"/>
      <c r="BO2578" s="35" t="str">
        <f t="shared" ref="BO2578" si="11240">IF(INDEX($A$15:$N$36,MATCH($B2578,$A$15:$A$36,0),14)&lt;&gt;"=",IFERROR(INDEX(BN2579:BP2831,MATCH(MAX(BO2579:BO2831),BO2579:BO2831,0),1)," ")," ")</f>
        <v xml:space="preserve"> </v>
      </c>
      <c r="BP2578" s="35" t="str">
        <f t="shared" ref="BP2578" si="11241">IF(INDEX($A$15:$N$36,MATCH($B2578,$A$15:$A$36,0),14)&lt;&gt;"=",IFERROR(INDEX(BN2579:BP2831,MATCH(MIN(BP2579:BP2831),BP2579:BP2831,0),1)," ")," ")</f>
        <v xml:space="preserve"> </v>
      </c>
      <c r="BQ2578" s="49" t="str">
        <f t="shared" ref="BQ2578" si="11242">A$10</f>
        <v>X9</v>
      </c>
      <c r="BR2578" s="49"/>
      <c r="BS2578" s="49"/>
      <c r="BT2578" s="49"/>
      <c r="BU2578" s="35" t="str">
        <f t="shared" ref="BU2578" si="11243">IF(INDEX($A$15:$N$36,MATCH($B2578,$A$15:$A$36,0),14)&lt;&gt;"=",IFERROR(INDEX(BT2579:BV2831,MATCH(MAX(BU2579:BU2831),BU2579:BU2831,0),1)," ")," ")</f>
        <v xml:space="preserve"> </v>
      </c>
      <c r="BV2578" s="35" t="str">
        <f t="shared" ref="BV2578" si="11244">IF(INDEX($A$15:$N$36,MATCH($B2578,$A$15:$A$36,0),14)&lt;&gt;"=",IFERROR(INDEX(BT2579:BV2831,MATCH(MIN(BV2579:BV2831),BV2579:BV2831,0),1)," ")," ")</f>
        <v xml:space="preserve"> </v>
      </c>
      <c r="BW2578" s="49" t="str">
        <f t="shared" ref="BW2578" si="11245">A$11</f>
        <v>X10</v>
      </c>
      <c r="BX2578" s="49"/>
      <c r="BY2578" s="49"/>
      <c r="BZ2578" s="49"/>
      <c r="CA2578" s="35" t="str">
        <f t="shared" ref="CA2578" si="11246">IF(INDEX($A$15:$N$36,MATCH($B2578,$A$15:$A$36,0),14)&lt;&gt;"=",IFERROR(INDEX(BZ2579:CB2831,MATCH(MAX(CA2579:CA2831),CA2579:CA2831,0),1)," ")," ")</f>
        <v xml:space="preserve"> </v>
      </c>
      <c r="CB2578" s="35" t="str">
        <f t="shared" ref="CB2578" si="11247">IF(INDEX($A$15:$N$36,MATCH($B2578,$A$15:$A$36,0),14)&lt;&gt;"=",IFERROR(INDEX(BZ2579:CB2831,MATCH(MIN(CB2579:CB2831),CB2579:CB2831,0),1)," ")," ")</f>
        <v xml:space="preserve"> </v>
      </c>
      <c r="CC2578" s="49" t="str">
        <f t="shared" ref="CC2578" si="11248">A$12</f>
        <v>X11</v>
      </c>
      <c r="CD2578" s="49"/>
      <c r="CE2578" s="49"/>
      <c r="CF2578" s="49"/>
      <c r="CG2578" s="35" t="str">
        <f t="shared" ref="CG2578" si="11249">IF(INDEX($A$15:$N$36,MATCH($B2578,$A$15:$A$36,0),14)&lt;&gt;"=",IFERROR(INDEX(CF2579:CH2831,MATCH(MAX(CG2579:CG2831),CG2579:CG2831,0),1)," ")," ")</f>
        <v xml:space="preserve"> </v>
      </c>
      <c r="CH2578" s="35" t="str">
        <f t="shared" ref="CH2578" si="11250">IF(INDEX($A$15:$N$36,MATCH($B2578,$A$15:$A$36,0),14)&lt;&gt;"=",IFERROR(INDEX(CF2579:CH2831,MATCH(MIN(CH2579:CH2831),CH2579:CH2831,0),1)," ")," ")</f>
        <v xml:space="preserve"> </v>
      </c>
    </row>
    <row r="2579" spans="1:86" x14ac:dyDescent="0.2">
      <c r="A2579" s="11" t="s">
        <v>17</v>
      </c>
      <c r="B2579" s="11"/>
      <c r="C2579" s="27" t="s">
        <v>18</v>
      </c>
      <c r="D2579" s="27" t="s">
        <v>2</v>
      </c>
      <c r="E2579" s="27" t="s">
        <v>6</v>
      </c>
      <c r="F2579" s="27" t="s">
        <v>15</v>
      </c>
      <c r="G2579" s="27" t="s">
        <v>36</v>
      </c>
      <c r="H2579" s="27" t="s">
        <v>37</v>
      </c>
      <c r="I2579" s="27" t="s">
        <v>38</v>
      </c>
      <c r="J2579" s="27" t="s">
        <v>39</v>
      </c>
      <c r="K2579" s="27" t="s">
        <v>40</v>
      </c>
      <c r="L2579" s="27" t="s">
        <v>41</v>
      </c>
      <c r="M2579" s="27" t="s">
        <v>42</v>
      </c>
      <c r="N2579" s="27" t="s">
        <v>43</v>
      </c>
      <c r="O2579" s="27" t="s">
        <v>9</v>
      </c>
      <c r="P2579" s="27" t="s">
        <v>12</v>
      </c>
      <c r="Q2579" s="27" t="s">
        <v>19</v>
      </c>
      <c r="R2579" s="27" t="s">
        <v>55</v>
      </c>
      <c r="S2579" s="27" t="s">
        <v>26</v>
      </c>
      <c r="T2579" s="19" t="s">
        <v>25</v>
      </c>
      <c r="U2579" s="33" t="s">
        <v>27</v>
      </c>
      <c r="V2579" s="33" t="s">
        <v>9</v>
      </c>
      <c r="W2579" s="33" t="s">
        <v>23</v>
      </c>
      <c r="X2579" s="33" t="s">
        <v>12</v>
      </c>
      <c r="Y2579" s="33" t="s">
        <v>26</v>
      </c>
      <c r="Z2579" s="33" t="s">
        <v>25</v>
      </c>
      <c r="AA2579" s="33" t="s">
        <v>27</v>
      </c>
      <c r="AB2579" s="33" t="s">
        <v>9</v>
      </c>
      <c r="AC2579" s="33" t="s">
        <v>23</v>
      </c>
      <c r="AD2579" s="33" t="s">
        <v>12</v>
      </c>
      <c r="AE2579" s="33" t="s">
        <v>26</v>
      </c>
      <c r="AF2579" s="33" t="s">
        <v>25</v>
      </c>
      <c r="AG2579" s="33" t="s">
        <v>27</v>
      </c>
      <c r="AH2579" s="33" t="s">
        <v>9</v>
      </c>
      <c r="AI2579" s="33" t="s">
        <v>23</v>
      </c>
      <c r="AJ2579" s="33" t="s">
        <v>12</v>
      </c>
      <c r="AK2579" s="33" t="s">
        <v>26</v>
      </c>
      <c r="AL2579" s="33" t="s">
        <v>25</v>
      </c>
      <c r="AM2579" s="33" t="s">
        <v>27</v>
      </c>
      <c r="AN2579" s="33" t="s">
        <v>9</v>
      </c>
      <c r="AO2579" s="33" t="s">
        <v>23</v>
      </c>
      <c r="AP2579" s="33" t="s">
        <v>12</v>
      </c>
      <c r="AQ2579" s="33" t="s">
        <v>26</v>
      </c>
      <c r="AR2579" s="33" t="s">
        <v>25</v>
      </c>
      <c r="AS2579" s="33" t="s">
        <v>27</v>
      </c>
      <c r="AT2579" s="33" t="s">
        <v>9</v>
      </c>
      <c r="AU2579" s="33" t="s">
        <v>23</v>
      </c>
      <c r="AV2579" s="33" t="s">
        <v>12</v>
      </c>
      <c r="AW2579" s="33" t="s">
        <v>26</v>
      </c>
      <c r="AX2579" s="33" t="s">
        <v>25</v>
      </c>
      <c r="AY2579" s="33" t="s">
        <v>27</v>
      </c>
      <c r="AZ2579" s="33" t="s">
        <v>9</v>
      </c>
      <c r="BA2579" s="33" t="s">
        <v>23</v>
      </c>
      <c r="BB2579" s="33" t="s">
        <v>12</v>
      </c>
      <c r="BC2579" s="33" t="s">
        <v>26</v>
      </c>
      <c r="BD2579" s="33" t="s">
        <v>25</v>
      </c>
      <c r="BE2579" s="33" t="s">
        <v>27</v>
      </c>
      <c r="BF2579" s="33" t="s">
        <v>9</v>
      </c>
      <c r="BG2579" s="33" t="s">
        <v>23</v>
      </c>
      <c r="BH2579" s="33" t="s">
        <v>12</v>
      </c>
      <c r="BI2579" s="33" t="s">
        <v>26</v>
      </c>
      <c r="BJ2579" s="33" t="s">
        <v>25</v>
      </c>
      <c r="BK2579" s="33" t="s">
        <v>27</v>
      </c>
      <c r="BL2579" s="33" t="s">
        <v>9</v>
      </c>
      <c r="BM2579" s="33" t="s">
        <v>23</v>
      </c>
      <c r="BN2579" s="33" t="s">
        <v>12</v>
      </c>
      <c r="BO2579" s="33" t="s">
        <v>26</v>
      </c>
      <c r="BP2579" s="33" t="s">
        <v>25</v>
      </c>
      <c r="BQ2579" s="33" t="s">
        <v>27</v>
      </c>
      <c r="BR2579" s="33" t="s">
        <v>9</v>
      </c>
      <c r="BS2579" s="33" t="s">
        <v>23</v>
      </c>
      <c r="BT2579" s="33" t="s">
        <v>12</v>
      </c>
      <c r="BU2579" s="33" t="s">
        <v>26</v>
      </c>
      <c r="BV2579" s="33" t="s">
        <v>25</v>
      </c>
      <c r="BW2579" s="33" t="s">
        <v>27</v>
      </c>
      <c r="BX2579" s="33" t="s">
        <v>9</v>
      </c>
      <c r="BY2579" s="33" t="s">
        <v>23</v>
      </c>
      <c r="BZ2579" s="33" t="s">
        <v>12</v>
      </c>
      <c r="CA2579" s="33" t="s">
        <v>26</v>
      </c>
      <c r="CB2579" s="33" t="s">
        <v>25</v>
      </c>
      <c r="CC2579" s="33" t="s">
        <v>27</v>
      </c>
      <c r="CD2579" s="33" t="s">
        <v>9</v>
      </c>
      <c r="CE2579" s="33" t="s">
        <v>23</v>
      </c>
      <c r="CF2579" s="33" t="s">
        <v>12</v>
      </c>
      <c r="CG2579" s="33" t="s">
        <v>26</v>
      </c>
      <c r="CH2579" s="33" t="s">
        <v>25</v>
      </c>
    </row>
    <row r="2580" spans="1:86" x14ac:dyDescent="0.2">
      <c r="A2580" s="8" t="str">
        <f>IF(AND(COUNTIF(W$3:W$13,A$15)&gt;0,A$15&lt;&gt;B2578),A$15,IFERROR(IF(MATCH(A$15,Z$3:Z$13,0)=1,A$15," ")," "))</f>
        <v>C1</v>
      </c>
      <c r="B2580" s="8">
        <f>IF(A2580=" "," ",1)</f>
        <v>1</v>
      </c>
      <c r="C2580" s="8" t="str">
        <f>IFERROR(INDEX(A2580:A2601,MATCH(SMALL(B2580:B2601,1),B2580:B2601,0),1)," ")</f>
        <v>C1</v>
      </c>
      <c r="D2580" s="8">
        <f>IFERROR(VLOOKUP($C2580,$A$15:$O$36,2,FALSE)," ")</f>
        <v>1</v>
      </c>
      <c r="E2580" s="8">
        <f>IFERROR(VLOOKUP($C2580,$A$15:$O$36,3,FALSE)," ")</f>
        <v>1</v>
      </c>
      <c r="F2580" s="8">
        <f>IFERROR(VLOOKUP($C2580,$A$15:$O$36,4,FALSE)," ")</f>
        <v>1</v>
      </c>
      <c r="G2580" s="8">
        <f>IFERROR(VLOOKUP($C2580,$A$15:$O$36,5,FALSE)," ")</f>
        <v>0</v>
      </c>
      <c r="H2580" s="8">
        <f>IFERROR(VLOOKUP($C2580,$A$15:$O$36,6,FALSE)," ")</f>
        <v>0</v>
      </c>
      <c r="I2580" s="8">
        <f>IFERROR(VLOOKUP($C2580,$A$15:$O$36,7,FALSE)," ")</f>
        <v>0</v>
      </c>
      <c r="J2580" s="8">
        <f>IFERROR(VLOOKUP($C2580,$A$15:$O$36,8,FALSE)," ")</f>
        <v>0</v>
      </c>
      <c r="K2580" s="8">
        <f>IFERROR(VLOOKUP($C2580,$A$15:$O$36,9,FALSE)," ")</f>
        <v>0</v>
      </c>
      <c r="L2580" s="8">
        <f>IFERROR(VLOOKUP($C2580,$A$15:$O$36,10,FALSE)," ")</f>
        <v>0</v>
      </c>
      <c r="M2580" s="8">
        <f>IFERROR(VLOOKUP($C2580,$A$15:$O$36,11,FALSE)," ")</f>
        <v>0</v>
      </c>
      <c r="N2580" s="8">
        <f>IFERROR(VLOOKUP($C2580,$A$15:$O$36,12,FALSE)," ")</f>
        <v>0</v>
      </c>
      <c r="O2580" s="8">
        <f>IFERROR(VLOOKUP($C2580,$A$15:$O$36,15,FALSE)," ")</f>
        <v>550</v>
      </c>
      <c r="P2580" s="8" t="e">
        <f t="array" ref="P2580:P2590">MMULT(MINVERSE(D2580:N2590),O2580:O2590)</f>
        <v>#NUM!</v>
      </c>
      <c r="Q2580" s="8" t="e">
        <f t="shared" ref="Q2580" si="11251">IF(COUNTIF(P2580:P2590,"&lt;"&amp;-0.001)=0,IF(ABS(P2580)&lt;0.001,0,P2580)," ")</f>
        <v>#NUM!</v>
      </c>
      <c r="R2580" s="8" t="str">
        <f>IFERROR(VLOOKUP(B2578,A$15:L$36,2,FALSE)*Q2580+VLOOKUP(B2578,A$15:L$36,3,FALSE)*Q2581+VLOOKUP(B2578,A$15:L$36,4,FALSE)*Q2582+VLOOKUP(B2578,A$15:L$36,5,FALSE)*Q2583+VLOOKUP(B2578,A$15:L$36,6,FALSE)*Q2584+VLOOKUP(B2578,A$15:L$36,7,FALSE)*Q2585+VLOOKUP(B2578,A$15:L$36,8,FALSE)*Q2586+VLOOKUP(B2578,A$15:L$36,9,FALSE)*Q2587+VLOOKUP(B2578,A$15:L$36,10,FALSE)*Q2588+VLOOKUP(B2578,A$15:L$36,11,FALSE)*Q2589+VLOOKUP(B2578,A$15:L$36,12,FALSE)*Q2590," ")</f>
        <v xml:space="preserve"> </v>
      </c>
      <c r="S2580" s="8" t="str">
        <f>IFERROR(IF(R2580-VLOOKUP(B2578,A$15:O$36,15,FALSE)&lt;0,R2580-VLOOKUP(B2578,A$15:O$36,15,FALSE)," ")," ")</f>
        <v xml:space="preserve"> </v>
      </c>
      <c r="T2580" s="18" t="str">
        <f>IFERROR(IF(R2580-VLOOKUP(B2578,A$15:O$36,15,FALSE)&gt;0,R2580-VLOOKUP(B2578,A$15:O$36,15,FALSE)," ")," ")</f>
        <v xml:space="preserve"> </v>
      </c>
      <c r="U2580" s="34">
        <f t="shared" ref="U2580" si="11252">$M$2</f>
        <v>100.00000000000001</v>
      </c>
      <c r="V2580" s="34">
        <v>-1</v>
      </c>
      <c r="W2580" s="34">
        <f t="shared" ref="W2580" si="11253">-SUMPRODUCT($M$3:$M$12,$N$3:$N$12)</f>
        <v>-105000</v>
      </c>
      <c r="X2580" s="34" t="e">
        <f t="shared" ref="X2580" si="11254">IF(U2580&lt;&gt;U2581,MMULT(MINVERSE(U2580:V2581),W2580:W2581)," ")</f>
        <v>#NUM!</v>
      </c>
      <c r="Y2580" s="34" t="str">
        <f t="shared" ref="Y2580" si="11255">IFERROR(IF(X2580-VLOOKUP(U$38,$A$2:$N$12,14,FALSE)&lt;0,X2580-VLOOKUP(U$38,$A$2:$N$12,14,FALSE)," ")," ")</f>
        <v xml:space="preserve"> </v>
      </c>
      <c r="Z2580" s="34" t="str">
        <f t="shared" ref="Z2580" si="11256">IFERROR(IF(X2580-VLOOKUP(U$38,$A$2:$N$12,14,FALSE)&gt;0,X2580-VLOOKUP(U$38,$A$2:$N$12,14,FALSE)," ")," ")</f>
        <v xml:space="preserve"> </v>
      </c>
      <c r="AA2580" s="34">
        <f t="shared" ref="AA2580" si="11257">$M$3</f>
        <v>0</v>
      </c>
      <c r="AB2580" s="34">
        <v>-1</v>
      </c>
      <c r="AC2580" s="34">
        <f t="shared" ref="AC2580" si="11258">-SUMPRODUCT($M$2:$M$2,$N$2:$N$2)-SUMPRODUCT($M$4:$M$12,$N$4:$N$12)</f>
        <v>-120000</v>
      </c>
      <c r="AD2580" s="34" t="e">
        <f t="shared" ref="AD2580" si="11259">IF(AA2580&lt;&gt;AA2581,MMULT(MINVERSE(AA2580:AB2581),AC2580:AC2581)," ")</f>
        <v>#NUM!</v>
      </c>
      <c r="AE2580" s="34" t="str">
        <f t="shared" ref="AE2580" si="11260">IFERROR(IF(AD2580-VLOOKUP(AA$38,$A$2:$N$12,14,FALSE)&lt;0,AD2580-VLOOKUP(AA$38,$A$2:$N$12,14,FALSE)," ")," ")</f>
        <v xml:space="preserve"> </v>
      </c>
      <c r="AF2580" s="34" t="str">
        <f t="shared" ref="AF2580" si="11261">IFERROR(IF(AD2580-VLOOKUP(AA$38,$A$2:$N$12,14,FALSE)&gt;0,AD2580-VLOOKUP(AA$38,$A$2:$N$12,14,FALSE)," ")," ")</f>
        <v xml:space="preserve"> </v>
      </c>
      <c r="AG2580" s="34">
        <f t="shared" ref="AG2580" si="11262">$M$4</f>
        <v>300</v>
      </c>
      <c r="AH2580" s="34">
        <v>-1</v>
      </c>
      <c r="AI2580" s="34">
        <f t="shared" ref="AI2580" si="11263">-SUMPRODUCT($M$2:$M$3,$N$2:$N$3)-SUMPRODUCT($M$5:$M$12,$N$5:$N$12)</f>
        <v>-15000.000000000002</v>
      </c>
      <c r="AJ2580" s="34" t="e">
        <f t="shared" ref="AJ2580" si="11264">IF(AG2580&lt;&gt;AG2581,MMULT(MINVERSE(AG2580:AH2581),AI2580:AI2581)," ")</f>
        <v>#NUM!</v>
      </c>
      <c r="AK2580" s="34" t="str">
        <f t="shared" ref="AK2580" si="11265">IFERROR(IF(AJ2580-VLOOKUP(AG$38,$A$2:$N$12,14,FALSE)&lt;0,AJ2580-VLOOKUP(AG$38,$A$2:$N$12,14,FALSE)," ")," ")</f>
        <v xml:space="preserve"> </v>
      </c>
      <c r="AL2580" s="34" t="str">
        <f t="shared" ref="AL2580" si="11266">IFERROR(IF(AJ2580-VLOOKUP(AG$38,$A$2:$N$12,14,FALSE)&gt;0,AJ2580-VLOOKUP(AG$38,$A$2:$N$12,14,FALSE)," ")," ")</f>
        <v xml:space="preserve"> </v>
      </c>
      <c r="AM2580" s="34">
        <f t="shared" ref="AM2580" si="11267">$M$5</f>
        <v>0</v>
      </c>
      <c r="AN2580" s="34">
        <v>-1</v>
      </c>
      <c r="AO2580" s="34">
        <f t="shared" ref="AO2580" si="11268">-SUMPRODUCT($M$2:$M$4,$N$2:$N$4)-SUMPRODUCT($M$6:$M$12,$N$6:$N$12)</f>
        <v>-120000</v>
      </c>
      <c r="AP2580" s="34" t="e">
        <f t="shared" ref="AP2580" si="11269">IF(AM2580&lt;&gt;AM2581,MMULT(MINVERSE(AM2580:AN2581),AO2580:AO2581)," ")</f>
        <v>#NUM!</v>
      </c>
      <c r="AQ2580" s="34" t="str">
        <f t="shared" ref="AQ2580" si="11270">IFERROR(IF(AP2580-VLOOKUP(AM$38,$A$2:$N$12,14,FALSE)&lt;0,AP2580-VLOOKUP(AM$38,$A$2:$N$12,14,FALSE)," ")," ")</f>
        <v xml:space="preserve"> </v>
      </c>
      <c r="AR2580" s="34" t="str">
        <f t="shared" ref="AR2580" si="11271">IFERROR(IF(AP2580-VLOOKUP(AM$38,$A$2:$N$12,14,FALSE)&gt;0,AP2580-VLOOKUP(AM$38,$A$2:$N$12,14,FALSE)," ")," ")</f>
        <v xml:space="preserve"> </v>
      </c>
      <c r="AS2580" s="34">
        <f t="shared" ref="AS2580" si="11272">$M$6</f>
        <v>0</v>
      </c>
      <c r="AT2580" s="34">
        <v>-1</v>
      </c>
      <c r="AU2580" s="34">
        <f t="shared" ref="AU2580" si="11273">-SUMPRODUCT($M$2:$M$5,$N$2:$N$5)-SUMPRODUCT($M$7:$M$12,$N$7:$N$12)</f>
        <v>-120000</v>
      </c>
      <c r="AV2580" s="34" t="e">
        <f t="shared" ref="AV2580" si="11274">IF(AS2580&lt;&gt;AS2581,MMULT(MINVERSE(AS2580:AT2581),AU2580:AU2581)," ")</f>
        <v>#NUM!</v>
      </c>
      <c r="AW2580" s="34" t="str">
        <f t="shared" ref="AW2580" si="11275">IFERROR(IF(AV2580-VLOOKUP(AS$38,$A$2:$N$12,14,FALSE)&lt;0,AV2580-VLOOKUP(AS$38,$A$2:$N$12,14,FALSE)," ")," ")</f>
        <v xml:space="preserve"> </v>
      </c>
      <c r="AX2580" s="34" t="str">
        <f t="shared" ref="AX2580" si="11276">IFERROR(IF(AV2580-VLOOKUP(AS$38,$A$2:$N$12,14,FALSE)&gt;0,AV2580-VLOOKUP(AS$38,$A$2:$N$12,14,FALSE)," ")," ")</f>
        <v xml:space="preserve"> </v>
      </c>
      <c r="AY2580" s="34">
        <f t="shared" ref="AY2580" si="11277">$M$7</f>
        <v>0</v>
      </c>
      <c r="AZ2580" s="34">
        <v>-1</v>
      </c>
      <c r="BA2580" s="34">
        <f t="shared" ref="BA2580" si="11278">-SUMPRODUCT($M$2:$M$6,$N$2:$N$6)-SUMPRODUCT($M$8:$M$12,$N$8:$N$12)</f>
        <v>-120000</v>
      </c>
      <c r="BB2580" s="34" t="e">
        <f t="shared" ref="BB2580" si="11279">IF(AY2580&lt;&gt;AY2581,MMULT(MINVERSE(AY2580:AZ2581),BA2580:BA2581)," ")</f>
        <v>#NUM!</v>
      </c>
      <c r="BC2580" s="34" t="str">
        <f t="shared" ref="BC2580" si="11280">IFERROR(IF(BB2580-VLOOKUP(AY$38,$A$2:$N$12,14,FALSE)&lt;0,BB2580-VLOOKUP(AY$38,$A$2:$N$12,14,FALSE)," ")," ")</f>
        <v xml:space="preserve"> </v>
      </c>
      <c r="BD2580" s="34" t="str">
        <f t="shared" ref="BD2580" si="11281">IFERROR(IF(BB2580-VLOOKUP(AY$38,$A$2:$N$12,14,FALSE)&gt;0,BB2580-VLOOKUP(AY$38,$A$2:$N$12,14,FALSE)," ")," ")</f>
        <v xml:space="preserve"> </v>
      </c>
      <c r="BE2580" s="34">
        <f t="shared" ref="BE2580" si="11282">$M$8</f>
        <v>0</v>
      </c>
      <c r="BF2580" s="34">
        <v>-1</v>
      </c>
      <c r="BG2580" s="34">
        <f t="shared" ref="BG2580" si="11283">-SUMPRODUCT($M$2:$M$7,$N$2:$N$7)-SUMPRODUCT($M$9:$M$12,$N$9:$N$12)</f>
        <v>-120000</v>
      </c>
      <c r="BH2580" s="34" t="e">
        <f t="shared" ref="BH2580" si="11284">IF(BE2580&lt;&gt;BE2581,MMULT(MINVERSE(BE2580:BF2581),BG2580:BG2581)," ")</f>
        <v>#NUM!</v>
      </c>
      <c r="BI2580" s="34" t="str">
        <f t="shared" ref="BI2580" si="11285">IFERROR(IF(BH2580-VLOOKUP(BE$38,$A$2:$N$12,14,FALSE)&lt;0,BH2580-VLOOKUP(BE$38,$A$2:$N$12,14,FALSE)," ")," ")</f>
        <v xml:space="preserve"> </v>
      </c>
      <c r="BJ2580" s="34" t="str">
        <f t="shared" ref="BJ2580" si="11286">IFERROR(IF(BH2580-VLOOKUP(BE$38,$A$2:$N$12,14,FALSE)&gt;0,BH2580-VLOOKUP(BE$38,$A$2:$N$12,14,FALSE)," ")," ")</f>
        <v xml:space="preserve"> </v>
      </c>
      <c r="BK2580" s="34">
        <f t="shared" ref="BK2580" si="11287">$M$9</f>
        <v>0</v>
      </c>
      <c r="BL2580" s="34">
        <v>-1</v>
      </c>
      <c r="BM2580" s="34">
        <f t="shared" ref="BM2580" si="11288">-SUMPRODUCT($M$2:$M$8,$N$2:$N$8)-SUMPRODUCT($M$10:$M$12,$N$10:$N$12)</f>
        <v>-120000</v>
      </c>
      <c r="BN2580" s="34" t="e">
        <f t="shared" ref="BN2580" si="11289">IF(BK2580&lt;&gt;BK2581,MMULT(MINVERSE(BK2580:BL2581),BM2580:BM2581)," ")</f>
        <v>#NUM!</v>
      </c>
      <c r="BO2580" s="34" t="str">
        <f t="shared" ref="BO2580" si="11290">IFERROR(IF(BN2580-VLOOKUP(BK$38,$A$2:$N$12,14,FALSE)&lt;0,BN2580-VLOOKUP(BK$38,$A$2:$N$12,14,FALSE)," ")," ")</f>
        <v xml:space="preserve"> </v>
      </c>
      <c r="BP2580" s="34" t="str">
        <f t="shared" ref="BP2580" si="11291">IFERROR(IF(BN2580-VLOOKUP(BK$38,$A$2:$N$12,14,FALSE)&gt;0,BN2580-VLOOKUP(BK$38,$A$2:$N$12,14,FALSE)," ")," ")</f>
        <v xml:space="preserve"> </v>
      </c>
      <c r="BQ2580" s="34">
        <f t="shared" ref="BQ2580" si="11292">$M$10</f>
        <v>0</v>
      </c>
      <c r="BR2580" s="34">
        <v>-1</v>
      </c>
      <c r="BS2580" s="34">
        <f t="shared" ref="BS2580" si="11293">-SUMPRODUCT($M$2:$M$9,$N$2:$N$9)-SUMPRODUCT($M$11:$M$12,$N$11:$N$12)</f>
        <v>-120000</v>
      </c>
      <c r="BT2580" s="34" t="e">
        <f t="shared" ref="BT2580" si="11294">IF(BQ2580&lt;&gt;BQ2581,MMULT(MINVERSE(BQ2580:BR2581),BS2580:BS2581)," ")</f>
        <v>#NUM!</v>
      </c>
      <c r="BU2580" s="34" t="str">
        <f t="shared" ref="BU2580" si="11295">IFERROR(IF(BT2580-VLOOKUP(BQ$38,$A$2:$N$12,14,FALSE)&lt;0,BT2580-VLOOKUP(BQ$38,$A$2:$N$12,14,FALSE)," ")," ")</f>
        <v xml:space="preserve"> </v>
      </c>
      <c r="BV2580" s="34" t="str">
        <f t="shared" ref="BV2580" si="11296">IFERROR(IF(BT2580-VLOOKUP(BQ$38,$A$2:$N$12,14,FALSE)&gt;0,BT2580-VLOOKUP(BQ$38,$A$2:$N$12,14,FALSE)," ")," ")</f>
        <v xml:space="preserve"> </v>
      </c>
      <c r="BW2580" s="34">
        <f t="shared" ref="BW2580" si="11297">$M$11</f>
        <v>0</v>
      </c>
      <c r="BX2580" s="34">
        <v>-1</v>
      </c>
      <c r="BY2580" s="34">
        <f t="shared" ref="BY2580" si="11298">-SUMPRODUCT($M$2:$M$10,$N$2:$N$10)-SUMPRODUCT($M$12,$N$12)</f>
        <v>-120000</v>
      </c>
      <c r="BZ2580" s="34" t="e">
        <f t="shared" ref="BZ2580" si="11299">IF(BW2580&lt;&gt;BW2581,MMULT(MINVERSE(BW2580:BX2581),BY2580:BY2581)," ")</f>
        <v>#NUM!</v>
      </c>
      <c r="CA2580" s="34" t="str">
        <f t="shared" ref="CA2580" si="11300">IFERROR(IF(BZ2580-VLOOKUP(BW$38,$A$2:$N$12,14,FALSE)&lt;0,BZ2580-VLOOKUP(BW$38,$A$2:$N$12,14,FALSE)," ")," ")</f>
        <v xml:space="preserve"> </v>
      </c>
      <c r="CB2580" s="34" t="str">
        <f t="shared" ref="CB2580" si="11301">IFERROR(IF(BZ2580-VLOOKUP(BW$38,$A$2:$N$12,14,FALSE)&gt;0,BZ2580-VLOOKUP(BW$38,$A$2:$N$12,14,FALSE)," ")," ")</f>
        <v xml:space="preserve"> </v>
      </c>
      <c r="CC2580" s="34">
        <f t="shared" ref="CC2580" si="11302">$M$12</f>
        <v>0</v>
      </c>
      <c r="CD2580" s="34">
        <v>-1</v>
      </c>
      <c r="CE2580" s="34">
        <f t="shared" ref="CE2580" si="11303">-SUMPRODUCT($M$2:$M$11,$N$2:$N$11)</f>
        <v>-120000</v>
      </c>
      <c r="CF2580" s="34" t="e">
        <f t="shared" ref="CF2580" si="11304">IF(CC2580&lt;&gt;CC2581,MMULT(MINVERSE(CC2580:CD2581),CE2580:CE2581)," ")</f>
        <v>#NUM!</v>
      </c>
      <c r="CG2580" s="34" t="str">
        <f t="shared" ref="CG2580" si="11305">IFERROR(IF(CF2580-VLOOKUP(CC$38,$A$2:$N$12,14,FALSE)&lt;0,CF2580-VLOOKUP(CC$38,$A$2:$N$12,14,FALSE)," ")," ")</f>
        <v xml:space="preserve"> </v>
      </c>
      <c r="CH2580" s="34" t="str">
        <f t="shared" ref="CH2580" si="11306">IFERROR(IF(CF2580-VLOOKUP(CC$38,$A$2:$N$12,14,FALSE)&gt;0,CF2580-VLOOKUP(CC$38,$A$2:$N$12,14,FALSE)," ")," ")</f>
        <v xml:space="preserve"> </v>
      </c>
    </row>
    <row r="2581" spans="1:86" x14ac:dyDescent="0.2">
      <c r="A2581" s="8" t="str">
        <f>IF(AND(COUNTIF(W$3:W$13,A$16)&gt;0,A$16&lt;&gt;B2578),A$16,IFERROR(IF(MATCH(A$16,Z$3:Z$13,0)=1,A$16," ")," "))</f>
        <v xml:space="preserve"> </v>
      </c>
      <c r="B2581" s="8" t="str">
        <f>IF(A2581=" "," ",MAX(B2580:B2580)+1)</f>
        <v xml:space="preserve"> </v>
      </c>
      <c r="C2581" s="8" t="str">
        <f>IFERROR(INDEX(A2580:A2601,MATCH(SMALL(B2580:B2601,2),B2580:B2601,0),1)," ")</f>
        <v>C3</v>
      </c>
      <c r="D2581" s="8">
        <f t="shared" ref="D2581:D2590" si="11307">IFERROR(VLOOKUP($C2581,$A$15:$O$36,2,FALSE)," ")</f>
        <v>2</v>
      </c>
      <c r="E2581" s="8">
        <f t="shared" ref="E2581:E2590" si="11308">IFERROR(VLOOKUP($C2581,$A$15:$O$36,3,FALSE)," ")</f>
        <v>5</v>
      </c>
      <c r="F2581" s="8">
        <f t="shared" ref="F2581:F2590" si="11309">IFERROR(VLOOKUP($C2581,$A$15:$O$36,4,FALSE)," ")</f>
        <v>6</v>
      </c>
      <c r="G2581" s="8">
        <f t="shared" ref="G2581:G2590" si="11310">IFERROR(VLOOKUP($C2581,$A$15:$O$36,5,FALSE)," ")</f>
        <v>0</v>
      </c>
      <c r="H2581" s="8">
        <f t="shared" ref="H2581:H2590" si="11311">IFERROR(VLOOKUP($C2581,$A$15:$O$36,6,FALSE)," ")</f>
        <v>0</v>
      </c>
      <c r="I2581" s="8">
        <f t="shared" ref="I2581:I2590" si="11312">IFERROR(VLOOKUP($C2581,$A$15:$O$36,7,FALSE)," ")</f>
        <v>0</v>
      </c>
      <c r="J2581" s="8">
        <f t="shared" ref="J2581:J2590" si="11313">IFERROR(VLOOKUP($C2581,$A$15:$O$36,8,FALSE)," ")</f>
        <v>0</v>
      </c>
      <c r="K2581" s="8">
        <f t="shared" ref="K2581:K2590" si="11314">IFERROR(VLOOKUP($C2581,$A$15:$O$36,9,FALSE)," ")</f>
        <v>0</v>
      </c>
      <c r="L2581" s="8">
        <f t="shared" ref="L2581:L2590" si="11315">IFERROR(VLOOKUP($C2581,$A$15:$O$36,10,FALSE)," ")</f>
        <v>0</v>
      </c>
      <c r="M2581" s="8">
        <f t="shared" ref="M2581:M2590" si="11316">IFERROR(VLOOKUP($C2581,$A$15:$O$36,11,FALSE)," ")</f>
        <v>0</v>
      </c>
      <c r="N2581" s="8">
        <f t="shared" ref="N2581:N2590" si="11317">IFERROR(VLOOKUP($C2581,$A$15:$O$36,12,FALSE)," ")</f>
        <v>0</v>
      </c>
      <c r="O2581" s="8">
        <f t="shared" ref="O2581:O2590" si="11318">IFERROR(VLOOKUP($C2581,$A$15:$O$36,15,FALSE)," ")</f>
        <v>2000</v>
      </c>
      <c r="P2581" s="8" t="e">
        <v>#NUM!</v>
      </c>
      <c r="Q2581" s="8" t="e">
        <f t="shared" ref="Q2581" si="11319">IF(COUNTIF(P2580:P2590,"&lt;"&amp;-0.001)=0,IF(ABS(P2581)&lt;0.001,0,P2581)," ")</f>
        <v>#NUM!</v>
      </c>
      <c r="R2581" s="8"/>
      <c r="S2581" s="8"/>
      <c r="U2581" s="34" t="e">
        <f t="shared" ref="U2581" si="11320">$Q2580</f>
        <v>#NUM!</v>
      </c>
      <c r="V2581" s="34">
        <v>-1</v>
      </c>
      <c r="W2581" s="34" t="e">
        <f t="shared" ref="W2581" si="11321">-SUMPRODUCT($Q2581:$Q2590,$N$3:$N$12)</f>
        <v>#NUM!</v>
      </c>
      <c r="X2581" s="34"/>
      <c r="Y2581" s="34"/>
      <c r="Z2581" s="34"/>
      <c r="AA2581" s="34" t="e">
        <f t="shared" ref="AA2581" si="11322">$Q2581</f>
        <v>#NUM!</v>
      </c>
      <c r="AB2581" s="34">
        <v>-1</v>
      </c>
      <c r="AC2581" s="34" t="e">
        <f t="shared" ref="AC2581" si="11323">-SUMPRODUCT($Q2580:$Q2580,$N$2:$N$2)-SUMPRODUCT($Q2582:$Q2590,$N$4:$N$12)</f>
        <v>#NUM!</v>
      </c>
      <c r="AD2581" s="34"/>
      <c r="AE2581" s="34"/>
      <c r="AF2581" s="34"/>
      <c r="AG2581" s="34" t="e">
        <f t="shared" ref="AG2581" si="11324">$Q2582</f>
        <v>#NUM!</v>
      </c>
      <c r="AH2581" s="34">
        <v>-1</v>
      </c>
      <c r="AI2581" s="34" t="e">
        <f t="shared" ref="AI2581" si="11325">-SUMPRODUCT($Q2580:$Q2581,$N$2:$N$3)-SUMPRODUCT($Q2583:$Q2590,$N$5:$N$12)</f>
        <v>#NUM!</v>
      </c>
      <c r="AJ2581" s="34"/>
      <c r="AK2581" s="34"/>
      <c r="AL2581" s="34"/>
      <c r="AM2581" s="34" t="e">
        <f t="shared" ref="AM2581" si="11326">$Q2583</f>
        <v>#NUM!</v>
      </c>
      <c r="AN2581" s="34">
        <v>-1</v>
      </c>
      <c r="AO2581" s="34" t="e">
        <f t="shared" ref="AO2581" si="11327">-SUMPRODUCT($Q2580:$Q2582,$N$2:$N$4)-SUMPRODUCT($Q2584:$Q2590,$N$6:$N$12)</f>
        <v>#NUM!</v>
      </c>
      <c r="AP2581" s="34"/>
      <c r="AQ2581" s="34"/>
      <c r="AR2581" s="34"/>
      <c r="AS2581" s="34" t="e">
        <f t="shared" ref="AS2581" si="11328">$Q2584</f>
        <v>#NUM!</v>
      </c>
      <c r="AT2581" s="34">
        <v>-1</v>
      </c>
      <c r="AU2581" s="34" t="e">
        <f t="shared" ref="AU2581" si="11329">-SUMPRODUCT($Q2580:$Q2583,$N$2:$N$5)-SUMPRODUCT($Q2585:$Q2590,$N$7:$N$12)</f>
        <v>#NUM!</v>
      </c>
      <c r="AV2581" s="34"/>
      <c r="AW2581" s="34"/>
      <c r="AX2581" s="34"/>
      <c r="AY2581" s="34" t="e">
        <f t="shared" ref="AY2581" si="11330">$Q2585</f>
        <v>#NUM!</v>
      </c>
      <c r="AZ2581" s="34">
        <v>-1</v>
      </c>
      <c r="BA2581" s="34" t="e">
        <f t="shared" ref="BA2581" si="11331">-SUMPRODUCT($Q2580:$Q2584,$N$2:$N$6)-SUMPRODUCT($Q2586:$Q2590,$N$8:$N$12)</f>
        <v>#NUM!</v>
      </c>
      <c r="BB2581" s="34"/>
      <c r="BC2581" s="34"/>
      <c r="BD2581" s="34"/>
      <c r="BE2581" s="34" t="e">
        <f t="shared" ref="BE2581" si="11332">$Q2586</f>
        <v>#NUM!</v>
      </c>
      <c r="BF2581" s="34">
        <v>-1</v>
      </c>
      <c r="BG2581" s="34" t="e">
        <f t="shared" ref="BG2581" si="11333">-SUMPRODUCT($Q2580:$Q2585,$N$2:$N$7)-SUMPRODUCT($Q2587:$Q2590,$N$9:$N$12)</f>
        <v>#NUM!</v>
      </c>
      <c r="BH2581" s="34"/>
      <c r="BI2581" s="34"/>
      <c r="BJ2581" s="34"/>
      <c r="BK2581" s="34" t="e">
        <f t="shared" ref="BK2581" si="11334">$Q2587</f>
        <v>#NUM!</v>
      </c>
      <c r="BL2581" s="34">
        <v>-1</v>
      </c>
      <c r="BM2581" s="34" t="e">
        <f t="shared" ref="BM2581" si="11335">-SUMPRODUCT($Q2580:$Q2586,$N$2:$N$8)-SUMPRODUCT($Q2588:$Q2590,$N$10:$N$12)</f>
        <v>#NUM!</v>
      </c>
      <c r="BN2581" s="34"/>
      <c r="BO2581" s="34"/>
      <c r="BP2581" s="34"/>
      <c r="BQ2581" s="34" t="e">
        <f t="shared" ref="BQ2581" si="11336">$Q2588</f>
        <v>#NUM!</v>
      </c>
      <c r="BR2581" s="34">
        <v>-1</v>
      </c>
      <c r="BS2581" s="34" t="e">
        <f t="shared" ref="BS2581" si="11337">-SUMPRODUCT($Q2580:$Q2587,$N$2:$N$9)-SUMPRODUCT($Q2589:$Q2590,$N$11:$N$12)</f>
        <v>#NUM!</v>
      </c>
      <c r="BT2581" s="34"/>
      <c r="BU2581" s="34"/>
      <c r="BV2581" s="34"/>
      <c r="BW2581" s="34" t="e">
        <f t="shared" ref="BW2581" si="11338">$Q2589</f>
        <v>#NUM!</v>
      </c>
      <c r="BX2581" s="34">
        <v>-1</v>
      </c>
      <c r="BY2581" s="34" t="e">
        <f t="shared" ref="BY2581" si="11339">-SUMPRODUCT($Q2580:$Q2588,$N$2:$N$10)-SUMPRODUCT($Q2590,$N$12)</f>
        <v>#NUM!</v>
      </c>
      <c r="BZ2581" s="34"/>
      <c r="CA2581" s="34"/>
      <c r="CB2581" s="34"/>
      <c r="CC2581" s="34" t="e">
        <f t="shared" ref="CC2581" si="11340">$Q2590</f>
        <v>#NUM!</v>
      </c>
      <c r="CD2581" s="34">
        <v>-1</v>
      </c>
      <c r="CE2581" s="34" t="e">
        <f t="shared" ref="CE2581" si="11341">-SUMPRODUCT($Q2580:$Q2589,$N$2:$N$11)</f>
        <v>#NUM!</v>
      </c>
      <c r="CF2581" s="34"/>
      <c r="CG2581" s="34"/>
      <c r="CH2581" s="34"/>
    </row>
    <row r="2582" spans="1:86" x14ac:dyDescent="0.2">
      <c r="A2582" s="8" t="str">
        <f>IF(AND(COUNTIF(W$3:W$13,A$17)&gt;0,A$17&lt;&gt;B2578),A$17,IFERROR(IF(MATCH(A$17,Z$3:Z$13,0)=1,A$17," ")," "))</f>
        <v>C3</v>
      </c>
      <c r="B2582" s="8">
        <f>IF(A2582=" "," ",MAX(B2580:B2581)+1)</f>
        <v>2</v>
      </c>
      <c r="C2582" s="8" t="str">
        <f>IFERROR(INDEX(A2580:A2601,MATCH(SMALL(B2580:B2601,3),B2580:B2601,0),1)," ")</f>
        <v>C4</v>
      </c>
      <c r="D2582" s="8">
        <f t="shared" si="11307"/>
        <v>1</v>
      </c>
      <c r="E2582" s="8">
        <f t="shared" si="11308"/>
        <v>0</v>
      </c>
      <c r="F2582" s="8">
        <f t="shared" si="11309"/>
        <v>1</v>
      </c>
      <c r="G2582" s="8">
        <f t="shared" si="11310"/>
        <v>0</v>
      </c>
      <c r="H2582" s="8">
        <f t="shared" si="11311"/>
        <v>0</v>
      </c>
      <c r="I2582" s="8">
        <f t="shared" si="11312"/>
        <v>0</v>
      </c>
      <c r="J2582" s="8">
        <f t="shared" si="11313"/>
        <v>0</v>
      </c>
      <c r="K2582" s="8">
        <f t="shared" si="11314"/>
        <v>0</v>
      </c>
      <c r="L2582" s="8">
        <f t="shared" si="11315"/>
        <v>0</v>
      </c>
      <c r="M2582" s="8">
        <f t="shared" si="11316"/>
        <v>0</v>
      </c>
      <c r="N2582" s="8">
        <f t="shared" si="11317"/>
        <v>0</v>
      </c>
      <c r="O2582" s="8">
        <f t="shared" si="11318"/>
        <v>400</v>
      </c>
      <c r="P2582" s="8" t="e">
        <v>#NUM!</v>
      </c>
      <c r="Q2582" s="8" t="e">
        <f t="shared" ref="Q2582" si="11342">IF(COUNTIF(P2580:P2590,"&lt;"&amp;-0.001)=0,IF(ABS(P2582)&lt;0.001,0,P2582)," ")</f>
        <v>#NUM!</v>
      </c>
      <c r="R2582" s="8"/>
      <c r="S2582" s="8"/>
      <c r="U2582" s="34"/>
      <c r="V2582" s="34"/>
      <c r="W2582" s="34"/>
      <c r="X2582" s="34"/>
      <c r="Y2582" s="34"/>
      <c r="Z2582" s="34"/>
      <c r="AA2582" s="34"/>
      <c r="AB2582" s="34"/>
      <c r="AC2582" s="34"/>
      <c r="AD2582" s="34"/>
      <c r="AE2582" s="34"/>
      <c r="AF2582" s="34"/>
      <c r="AG2582" s="34"/>
      <c r="AH2582" s="34"/>
      <c r="AI2582" s="34"/>
      <c r="AJ2582" s="34"/>
      <c r="AK2582" s="34"/>
      <c r="AL2582" s="34"/>
      <c r="AM2582" s="34"/>
      <c r="AN2582" s="34"/>
      <c r="AO2582" s="34"/>
      <c r="AP2582" s="34"/>
      <c r="AQ2582" s="34"/>
      <c r="AR2582" s="34"/>
      <c r="AS2582" s="34"/>
      <c r="AT2582" s="34"/>
      <c r="AU2582" s="34"/>
      <c r="AV2582" s="34"/>
      <c r="AW2582" s="34"/>
      <c r="AX2582" s="34"/>
      <c r="AY2582" s="34"/>
      <c r="AZ2582" s="34"/>
      <c r="BA2582" s="34"/>
      <c r="BB2582" s="34"/>
      <c r="BC2582" s="34"/>
      <c r="BD2582" s="34"/>
      <c r="BE2582" s="34"/>
      <c r="BF2582" s="34"/>
      <c r="BG2582" s="34"/>
      <c r="BH2582" s="34"/>
      <c r="BI2582" s="34"/>
      <c r="BJ2582" s="34"/>
      <c r="BK2582" s="34"/>
      <c r="BL2582" s="34"/>
      <c r="BM2582" s="34"/>
      <c r="BN2582" s="34"/>
      <c r="BO2582" s="34"/>
      <c r="BP2582" s="34"/>
      <c r="BQ2582" s="34"/>
      <c r="BR2582" s="34"/>
      <c r="BS2582" s="34"/>
      <c r="BT2582" s="34"/>
      <c r="BU2582" s="34"/>
      <c r="BV2582" s="34"/>
      <c r="BW2582" s="34"/>
      <c r="BX2582" s="34"/>
      <c r="BY2582" s="34"/>
      <c r="BZ2582" s="34"/>
      <c r="CA2582" s="34"/>
      <c r="CB2582" s="34"/>
      <c r="CC2582" s="34"/>
      <c r="CD2582" s="34"/>
      <c r="CE2582" s="34"/>
      <c r="CF2582" s="34"/>
      <c r="CG2582" s="34"/>
      <c r="CH2582" s="34"/>
    </row>
    <row r="2583" spans="1:86" x14ac:dyDescent="0.2">
      <c r="A2583" s="8" t="str">
        <f>IF(AND(COUNTIF(W$3:W$13,A$18)&gt;0,A$18&lt;&gt;B2578),A$18,IFERROR(IF(MATCH(A$18,Z$3:Z$13,0)=1,A$18," ")," "))</f>
        <v>C4</v>
      </c>
      <c r="B2583" s="8">
        <f>IF(A2583=" "," ",MAX(B2580:B2582)+1)</f>
        <v>3</v>
      </c>
      <c r="C2583" s="8" t="str">
        <f>IFERROR(INDEX(A2580:A2601,MATCH(SMALL(B2580:B2601,4),B2580:B2601,0),1)," ")</f>
        <v>C13</v>
      </c>
      <c r="D2583" s="8">
        <f t="shared" si="11307"/>
        <v>0</v>
      </c>
      <c r="E2583" s="8">
        <f t="shared" si="11308"/>
        <v>1</v>
      </c>
      <c r="F2583" s="8">
        <f t="shared" si="11309"/>
        <v>0</v>
      </c>
      <c r="G2583" s="8">
        <f t="shared" si="11310"/>
        <v>0</v>
      </c>
      <c r="H2583" s="8">
        <f t="shared" si="11311"/>
        <v>0</v>
      </c>
      <c r="I2583" s="8">
        <f t="shared" si="11312"/>
        <v>0</v>
      </c>
      <c r="J2583" s="8">
        <f t="shared" si="11313"/>
        <v>0</v>
      </c>
      <c r="K2583" s="8">
        <f t="shared" si="11314"/>
        <v>0</v>
      </c>
      <c r="L2583" s="8">
        <f t="shared" si="11315"/>
        <v>0</v>
      </c>
      <c r="M2583" s="8">
        <f t="shared" si="11316"/>
        <v>0</v>
      </c>
      <c r="N2583" s="8">
        <f t="shared" si="11317"/>
        <v>0</v>
      </c>
      <c r="O2583" s="8">
        <f t="shared" si="11318"/>
        <v>0</v>
      </c>
      <c r="P2583" s="8" t="e">
        <v>#NUM!</v>
      </c>
      <c r="Q2583" s="8" t="e">
        <f t="shared" ref="Q2583" si="11343">IF(COUNTIF(P2580:P2590,"&lt;"&amp;-0.001)=0,IF(ABS(P2583)&lt;0.001,0,P2583)," ")</f>
        <v>#NUM!</v>
      </c>
      <c r="R2583" s="8"/>
      <c r="S2583" s="8"/>
      <c r="U2583" s="34"/>
      <c r="V2583" s="34"/>
      <c r="W2583" s="34"/>
      <c r="X2583" s="34"/>
      <c r="Y2583" s="34"/>
      <c r="Z2583" s="34"/>
      <c r="AA2583" s="34"/>
      <c r="AB2583" s="34"/>
      <c r="AC2583" s="34"/>
      <c r="AD2583" s="34"/>
      <c r="AE2583" s="34"/>
      <c r="AF2583" s="34"/>
      <c r="AG2583" s="34"/>
      <c r="AH2583" s="34"/>
      <c r="AI2583" s="34"/>
      <c r="AJ2583" s="34"/>
      <c r="AK2583" s="34"/>
      <c r="AL2583" s="34"/>
      <c r="AM2583" s="34"/>
      <c r="AN2583" s="34"/>
      <c r="AO2583" s="34"/>
      <c r="AP2583" s="34"/>
      <c r="AQ2583" s="34"/>
      <c r="AR2583" s="34"/>
      <c r="AS2583" s="34"/>
      <c r="AT2583" s="34"/>
      <c r="AU2583" s="34"/>
      <c r="AV2583" s="34"/>
      <c r="AW2583" s="34"/>
      <c r="AX2583" s="34"/>
      <c r="AY2583" s="34"/>
      <c r="AZ2583" s="34"/>
      <c r="BA2583" s="34"/>
      <c r="BB2583" s="34"/>
      <c r="BC2583" s="34"/>
      <c r="BD2583" s="34"/>
      <c r="BE2583" s="34"/>
      <c r="BF2583" s="34"/>
      <c r="BG2583" s="34"/>
      <c r="BH2583" s="34"/>
      <c r="BI2583" s="34"/>
      <c r="BJ2583" s="34"/>
      <c r="BK2583" s="34"/>
      <c r="BL2583" s="34"/>
      <c r="BM2583" s="34"/>
      <c r="BN2583" s="34"/>
      <c r="BO2583" s="34"/>
      <c r="BP2583" s="34"/>
      <c r="BQ2583" s="34"/>
      <c r="BR2583" s="34"/>
      <c r="BS2583" s="34"/>
      <c r="BT2583" s="34"/>
      <c r="BU2583" s="34"/>
      <c r="BV2583" s="34"/>
      <c r="BW2583" s="34"/>
      <c r="BX2583" s="34"/>
      <c r="BY2583" s="34"/>
      <c r="BZ2583" s="34"/>
      <c r="CA2583" s="34"/>
      <c r="CB2583" s="34"/>
      <c r="CC2583" s="34"/>
      <c r="CD2583" s="34"/>
      <c r="CE2583" s="34"/>
      <c r="CF2583" s="34"/>
      <c r="CG2583" s="34"/>
      <c r="CH2583" s="34"/>
    </row>
    <row r="2584" spans="1:86" x14ac:dyDescent="0.2">
      <c r="A2584" s="8" t="str">
        <f>IF(AND(COUNTIF(W$3:W$13,A$19)&gt;0,A$19&lt;&gt;B2578),A$19,IFERROR(IF(MATCH(A$19,Z$3:Z$13,0)=1,A$19," ")," "))</f>
        <v xml:space="preserve"> </v>
      </c>
      <c r="B2584" s="8" t="str">
        <f>IF(A2584=" "," ",MAX(B2580:B2583)+1)</f>
        <v xml:space="preserve"> </v>
      </c>
      <c r="C2584" s="8" t="str">
        <f>IFERROR(INDEX(A2580:A2601,MATCH(SMALL(B2580:B2601,5),B2580:B2601,0),1)," ")</f>
        <v>C15</v>
      </c>
      <c r="D2584" s="8">
        <f t="shared" si="11307"/>
        <v>0</v>
      </c>
      <c r="E2584" s="8">
        <f t="shared" si="11308"/>
        <v>0</v>
      </c>
      <c r="F2584" s="8">
        <f t="shared" si="11309"/>
        <v>0</v>
      </c>
      <c r="G2584" s="8">
        <f t="shared" si="11310"/>
        <v>1</v>
      </c>
      <c r="H2584" s="8">
        <f t="shared" si="11311"/>
        <v>0</v>
      </c>
      <c r="I2584" s="8">
        <f t="shared" si="11312"/>
        <v>0</v>
      </c>
      <c r="J2584" s="8">
        <f t="shared" si="11313"/>
        <v>0</v>
      </c>
      <c r="K2584" s="8">
        <f t="shared" si="11314"/>
        <v>0</v>
      </c>
      <c r="L2584" s="8">
        <f t="shared" si="11315"/>
        <v>0</v>
      </c>
      <c r="M2584" s="8">
        <f t="shared" si="11316"/>
        <v>0</v>
      </c>
      <c r="N2584" s="8">
        <f t="shared" si="11317"/>
        <v>0</v>
      </c>
      <c r="O2584" s="8">
        <f t="shared" si="11318"/>
        <v>0</v>
      </c>
      <c r="P2584" s="8" t="e">
        <v>#NUM!</v>
      </c>
      <c r="Q2584" s="8" t="e">
        <f t="shared" ref="Q2584" si="11344">IF(COUNTIF(P2580:P2590,"&lt;"&amp;-0.001)=0,IF(ABS(P2584)&lt;0.001,0,P2584)," ")</f>
        <v>#NUM!</v>
      </c>
      <c r="R2584" s="8"/>
      <c r="S2584" s="8"/>
      <c r="U2584" s="34"/>
      <c r="V2584" s="34"/>
      <c r="W2584" s="34"/>
      <c r="X2584" s="34"/>
      <c r="Y2584" s="34"/>
      <c r="Z2584" s="34"/>
      <c r="AA2584" s="34"/>
      <c r="AB2584" s="34"/>
      <c r="AC2584" s="34"/>
      <c r="AD2584" s="34"/>
      <c r="AE2584" s="34"/>
      <c r="AF2584" s="34"/>
      <c r="AG2584" s="34"/>
      <c r="AH2584" s="34"/>
      <c r="AI2584" s="34"/>
      <c r="AJ2584" s="34"/>
      <c r="AK2584" s="34"/>
      <c r="AL2584" s="34"/>
      <c r="AM2584" s="34"/>
      <c r="AN2584" s="34"/>
      <c r="AO2584" s="34"/>
      <c r="AP2584" s="34"/>
      <c r="AQ2584" s="34"/>
      <c r="AR2584" s="34"/>
      <c r="AS2584" s="34"/>
      <c r="AT2584" s="34"/>
      <c r="AU2584" s="34"/>
      <c r="AV2584" s="34"/>
      <c r="AW2584" s="34"/>
      <c r="AX2584" s="34"/>
      <c r="AY2584" s="34"/>
      <c r="AZ2584" s="34"/>
      <c r="BA2584" s="34"/>
      <c r="BB2584" s="34"/>
      <c r="BC2584" s="34"/>
      <c r="BD2584" s="34"/>
      <c r="BE2584" s="34"/>
      <c r="BF2584" s="34"/>
      <c r="BG2584" s="34"/>
      <c r="BH2584" s="34"/>
      <c r="BI2584" s="34"/>
      <c r="BJ2584" s="34"/>
      <c r="BK2584" s="34"/>
      <c r="BL2584" s="34"/>
      <c r="BM2584" s="34"/>
      <c r="BN2584" s="34"/>
      <c r="BO2584" s="34"/>
      <c r="BP2584" s="34"/>
      <c r="BQ2584" s="34"/>
      <c r="BR2584" s="34"/>
      <c r="BS2584" s="34"/>
      <c r="BT2584" s="34"/>
      <c r="BU2584" s="34"/>
      <c r="BV2584" s="34"/>
      <c r="BW2584" s="34"/>
      <c r="BX2584" s="34"/>
      <c r="BY2584" s="34"/>
      <c r="BZ2584" s="34"/>
      <c r="CA2584" s="34"/>
      <c r="CB2584" s="34"/>
      <c r="CC2584" s="34"/>
      <c r="CD2584" s="34"/>
      <c r="CE2584" s="34"/>
      <c r="CF2584" s="34"/>
      <c r="CG2584" s="34"/>
      <c r="CH2584" s="34"/>
    </row>
    <row r="2585" spans="1:86" x14ac:dyDescent="0.2">
      <c r="A2585" s="8" t="str">
        <f>IF(AND(COUNTIF(W$3:W$13,A$20)&gt;0,A$20&lt;&gt;B2578),A$20,IFERROR(IF(MATCH(A$20,Z$3:Z$13,0)=1,A$20," ")," "))</f>
        <v xml:space="preserve"> </v>
      </c>
      <c r="B2585" s="8" t="str">
        <f>IF(A2585=" "," ",MAX(B2580:B2584)+1)</f>
        <v xml:space="preserve"> </v>
      </c>
      <c r="C2585" s="8" t="str">
        <f>IFERROR(INDEX(A2580:A2601,MATCH(SMALL(B2580:B2601,6),B2580:B2601,0),1)," ")</f>
        <v>C16</v>
      </c>
      <c r="D2585" s="8">
        <f t="shared" si="11307"/>
        <v>0</v>
      </c>
      <c r="E2585" s="8">
        <f t="shared" si="11308"/>
        <v>0</v>
      </c>
      <c r="F2585" s="8">
        <f t="shared" si="11309"/>
        <v>0</v>
      </c>
      <c r="G2585" s="8">
        <f t="shared" si="11310"/>
        <v>0</v>
      </c>
      <c r="H2585" s="8">
        <f t="shared" si="11311"/>
        <v>1</v>
      </c>
      <c r="I2585" s="8">
        <f t="shared" si="11312"/>
        <v>0</v>
      </c>
      <c r="J2585" s="8">
        <f t="shared" si="11313"/>
        <v>0</v>
      </c>
      <c r="K2585" s="8">
        <f t="shared" si="11314"/>
        <v>0</v>
      </c>
      <c r="L2585" s="8">
        <f t="shared" si="11315"/>
        <v>0</v>
      </c>
      <c r="M2585" s="8">
        <f t="shared" si="11316"/>
        <v>0</v>
      </c>
      <c r="N2585" s="8">
        <f t="shared" si="11317"/>
        <v>0</v>
      </c>
      <c r="O2585" s="8">
        <f t="shared" si="11318"/>
        <v>0</v>
      </c>
      <c r="P2585" s="8" t="e">
        <v>#NUM!</v>
      </c>
      <c r="Q2585" s="8" t="e">
        <f t="shared" ref="Q2585" si="11345">IF(COUNTIF(P2580:P2590,"&lt;"&amp;-0.001)=0,IF(ABS(P2585)&lt;0.001,0,P2585)," ")</f>
        <v>#NUM!</v>
      </c>
      <c r="R2585" s="8"/>
      <c r="S2585" s="8"/>
      <c r="U2585" s="34"/>
      <c r="V2585" s="34"/>
      <c r="W2585" s="34"/>
      <c r="X2585" s="34"/>
      <c r="Y2585" s="34"/>
      <c r="Z2585" s="34"/>
      <c r="AA2585" s="34"/>
      <c r="AB2585" s="34"/>
      <c r="AC2585" s="34"/>
      <c r="AD2585" s="34"/>
      <c r="AE2585" s="34"/>
      <c r="AF2585" s="34"/>
      <c r="AG2585" s="34"/>
      <c r="AH2585" s="34"/>
      <c r="AI2585" s="34"/>
      <c r="AJ2585" s="34"/>
      <c r="AK2585" s="34"/>
      <c r="AL2585" s="34"/>
      <c r="AM2585" s="34"/>
      <c r="AN2585" s="34"/>
      <c r="AO2585" s="34"/>
      <c r="AP2585" s="34"/>
      <c r="AQ2585" s="34"/>
      <c r="AR2585" s="34"/>
      <c r="AS2585" s="34"/>
      <c r="AT2585" s="34"/>
      <c r="AU2585" s="34"/>
      <c r="AV2585" s="34"/>
      <c r="AW2585" s="34"/>
      <c r="AX2585" s="34"/>
      <c r="AY2585" s="34"/>
      <c r="AZ2585" s="34"/>
      <c r="BA2585" s="34"/>
      <c r="BB2585" s="34"/>
      <c r="BC2585" s="34"/>
      <c r="BD2585" s="34"/>
      <c r="BE2585" s="34"/>
      <c r="BF2585" s="34"/>
      <c r="BG2585" s="34"/>
      <c r="BH2585" s="34"/>
      <c r="BI2585" s="34"/>
      <c r="BJ2585" s="34"/>
      <c r="BK2585" s="34"/>
      <c r="BL2585" s="34"/>
      <c r="BM2585" s="34"/>
      <c r="BN2585" s="34"/>
      <c r="BO2585" s="34"/>
      <c r="BP2585" s="34"/>
      <c r="BQ2585" s="34"/>
      <c r="BR2585" s="34"/>
      <c r="BS2585" s="34"/>
      <c r="BT2585" s="34"/>
      <c r="BU2585" s="34"/>
      <c r="BV2585" s="34"/>
      <c r="BW2585" s="34"/>
      <c r="BX2585" s="34"/>
      <c r="BY2585" s="34"/>
      <c r="BZ2585" s="34"/>
      <c r="CA2585" s="34"/>
      <c r="CB2585" s="34"/>
      <c r="CC2585" s="34"/>
      <c r="CD2585" s="34"/>
      <c r="CE2585" s="34"/>
      <c r="CF2585" s="34"/>
      <c r="CG2585" s="34"/>
      <c r="CH2585" s="34"/>
    </row>
    <row r="2586" spans="1:86" x14ac:dyDescent="0.2">
      <c r="A2586" s="8" t="str">
        <f>IF(AND(COUNTIF(W$3:W$13,A$21)&gt;0,A$21&lt;&gt;B2578),A$21,IFERROR(IF(MATCH(A$21,Z$3:Z$13,0)=1,A$21," ")," "))</f>
        <v xml:space="preserve"> </v>
      </c>
      <c r="B2586" s="8" t="str">
        <f>IF(A2586=" "," ",MAX(B2580:B2585)+1)</f>
        <v xml:space="preserve"> </v>
      </c>
      <c r="C2586" s="8" t="str">
        <f>IFERROR(INDEX(A2580:A2601,MATCH(SMALL(B2580:B2601,7),B2580:B2601,0),1)," ")</f>
        <v>C17</v>
      </c>
      <c r="D2586" s="8">
        <f t="shared" si="11307"/>
        <v>0</v>
      </c>
      <c r="E2586" s="8">
        <f t="shared" si="11308"/>
        <v>0</v>
      </c>
      <c r="F2586" s="8">
        <f t="shared" si="11309"/>
        <v>0</v>
      </c>
      <c r="G2586" s="8">
        <f t="shared" si="11310"/>
        <v>0</v>
      </c>
      <c r="H2586" s="8">
        <f t="shared" si="11311"/>
        <v>0</v>
      </c>
      <c r="I2586" s="8">
        <f t="shared" si="11312"/>
        <v>1</v>
      </c>
      <c r="J2586" s="8">
        <f t="shared" si="11313"/>
        <v>0</v>
      </c>
      <c r="K2586" s="8">
        <f t="shared" si="11314"/>
        <v>0</v>
      </c>
      <c r="L2586" s="8">
        <f t="shared" si="11315"/>
        <v>0</v>
      </c>
      <c r="M2586" s="8">
        <f t="shared" si="11316"/>
        <v>0</v>
      </c>
      <c r="N2586" s="8">
        <f t="shared" si="11317"/>
        <v>0</v>
      </c>
      <c r="O2586" s="8">
        <f t="shared" si="11318"/>
        <v>0</v>
      </c>
      <c r="P2586" s="8" t="e">
        <v>#NUM!</v>
      </c>
      <c r="Q2586" s="8" t="e">
        <f t="shared" ref="Q2586" si="11346">IF(COUNTIF(P2580:P2590,"&lt;"&amp;-0.001)=0,IF(ABS(P2586)&lt;0.001,0,P2586)," ")</f>
        <v>#NUM!</v>
      </c>
      <c r="R2586" s="8"/>
      <c r="S2586" s="8"/>
      <c r="U2586" s="34"/>
      <c r="V2586" s="34"/>
      <c r="W2586" s="34"/>
      <c r="X2586" s="34"/>
      <c r="Y2586" s="34"/>
      <c r="Z2586" s="34"/>
      <c r="AA2586" s="34"/>
      <c r="AB2586" s="34"/>
      <c r="AC2586" s="34"/>
      <c r="AD2586" s="34"/>
      <c r="AE2586" s="34"/>
      <c r="AF2586" s="34"/>
      <c r="AG2586" s="34"/>
      <c r="AH2586" s="34"/>
      <c r="AI2586" s="34"/>
      <c r="AJ2586" s="34"/>
      <c r="AK2586" s="34"/>
      <c r="AL2586" s="34"/>
      <c r="AM2586" s="34"/>
      <c r="AN2586" s="34"/>
      <c r="AO2586" s="34"/>
      <c r="AP2586" s="34"/>
      <c r="AQ2586" s="34"/>
      <c r="AR2586" s="34"/>
      <c r="AS2586" s="34"/>
      <c r="AT2586" s="34"/>
      <c r="AU2586" s="34"/>
      <c r="AV2586" s="34"/>
      <c r="AW2586" s="34"/>
      <c r="AX2586" s="34"/>
      <c r="AY2586" s="34"/>
      <c r="AZ2586" s="34"/>
      <c r="BA2586" s="34"/>
      <c r="BB2586" s="34"/>
      <c r="BC2586" s="34"/>
      <c r="BD2586" s="34"/>
      <c r="BE2586" s="34"/>
      <c r="BF2586" s="34"/>
      <c r="BG2586" s="34"/>
      <c r="BH2586" s="34"/>
      <c r="BI2586" s="34"/>
      <c r="BJ2586" s="34"/>
      <c r="BK2586" s="34"/>
      <c r="BL2586" s="34"/>
      <c r="BM2586" s="34"/>
      <c r="BN2586" s="34"/>
      <c r="BO2586" s="34"/>
      <c r="BP2586" s="34"/>
      <c r="BQ2586" s="34"/>
      <c r="BR2586" s="34"/>
      <c r="BS2586" s="34"/>
      <c r="BT2586" s="34"/>
      <c r="BU2586" s="34"/>
      <c r="BV2586" s="34"/>
      <c r="BW2586" s="34"/>
      <c r="BX2586" s="34"/>
      <c r="BY2586" s="34"/>
      <c r="BZ2586" s="34"/>
      <c r="CA2586" s="34"/>
      <c r="CB2586" s="34"/>
      <c r="CC2586" s="34"/>
      <c r="CD2586" s="34"/>
      <c r="CE2586" s="34"/>
      <c r="CF2586" s="34"/>
      <c r="CG2586" s="34"/>
      <c r="CH2586" s="34"/>
    </row>
    <row r="2587" spans="1:86" x14ac:dyDescent="0.2">
      <c r="A2587" s="8" t="str">
        <f>IF(AND(COUNTIF(W$3:W$13,A$22)&gt;0,A$22&lt;&gt;B2578),A$22,IFERROR(IF(MATCH(A$22,Z$3:Z$13,0)=1,A$22," ")," "))</f>
        <v xml:space="preserve"> </v>
      </c>
      <c r="B2587" s="8" t="str">
        <f>IF(A2587=" "," ",MAX(B2580:B2586)+1)</f>
        <v xml:space="preserve"> </v>
      </c>
      <c r="C2587" s="8" t="str">
        <f>IFERROR(INDEX(A2580:A2601,MATCH(SMALL(B2580:B2601,8),B2580:B2601,0),1)," ")</f>
        <v>C18</v>
      </c>
      <c r="D2587" s="8">
        <f t="shared" si="11307"/>
        <v>0</v>
      </c>
      <c r="E2587" s="8">
        <f t="shared" si="11308"/>
        <v>0</v>
      </c>
      <c r="F2587" s="8">
        <f t="shared" si="11309"/>
        <v>0</v>
      </c>
      <c r="G2587" s="8">
        <f t="shared" si="11310"/>
        <v>0</v>
      </c>
      <c r="H2587" s="8">
        <f t="shared" si="11311"/>
        <v>0</v>
      </c>
      <c r="I2587" s="8">
        <f t="shared" si="11312"/>
        <v>0</v>
      </c>
      <c r="J2587" s="8">
        <f t="shared" si="11313"/>
        <v>1</v>
      </c>
      <c r="K2587" s="8">
        <f t="shared" si="11314"/>
        <v>0</v>
      </c>
      <c r="L2587" s="8">
        <f t="shared" si="11315"/>
        <v>0</v>
      </c>
      <c r="M2587" s="8">
        <f t="shared" si="11316"/>
        <v>0</v>
      </c>
      <c r="N2587" s="8">
        <f t="shared" si="11317"/>
        <v>0</v>
      </c>
      <c r="O2587" s="8">
        <f t="shared" si="11318"/>
        <v>0</v>
      </c>
      <c r="P2587" s="8" t="e">
        <v>#NUM!</v>
      </c>
      <c r="Q2587" s="8" t="e">
        <f t="shared" ref="Q2587" si="11347">IF(COUNTIF(P2580:P2590,"&lt;"&amp;-0.001)=0,IF(ABS(P2587)&lt;0.001,0,P2587)," ")</f>
        <v>#NUM!</v>
      </c>
      <c r="R2587" s="8"/>
      <c r="S2587" s="8"/>
      <c r="U2587" s="34"/>
      <c r="V2587" s="34"/>
      <c r="W2587" s="34"/>
      <c r="X2587" s="34"/>
      <c r="Y2587" s="34"/>
      <c r="Z2587" s="34"/>
      <c r="AA2587" s="34"/>
      <c r="AB2587" s="34"/>
      <c r="AC2587" s="34"/>
      <c r="AD2587" s="34"/>
      <c r="AE2587" s="34"/>
      <c r="AF2587" s="34"/>
      <c r="AG2587" s="34"/>
      <c r="AH2587" s="34"/>
      <c r="AI2587" s="34"/>
      <c r="AJ2587" s="34"/>
      <c r="AK2587" s="34"/>
      <c r="AL2587" s="34"/>
      <c r="AM2587" s="34"/>
      <c r="AN2587" s="34"/>
      <c r="AO2587" s="34"/>
      <c r="AP2587" s="34"/>
      <c r="AQ2587" s="34"/>
      <c r="AR2587" s="34"/>
      <c r="AS2587" s="34"/>
      <c r="AT2587" s="34"/>
      <c r="AU2587" s="34"/>
      <c r="AV2587" s="34"/>
      <c r="AW2587" s="34"/>
      <c r="AX2587" s="34"/>
      <c r="AY2587" s="34"/>
      <c r="AZ2587" s="34"/>
      <c r="BA2587" s="34"/>
      <c r="BB2587" s="34"/>
      <c r="BC2587" s="34"/>
      <c r="BD2587" s="34"/>
      <c r="BE2587" s="34"/>
      <c r="BF2587" s="34"/>
      <c r="BG2587" s="34"/>
      <c r="BH2587" s="34"/>
      <c r="BI2587" s="34"/>
      <c r="BJ2587" s="34"/>
      <c r="BK2587" s="34"/>
      <c r="BL2587" s="34"/>
      <c r="BM2587" s="34"/>
      <c r="BN2587" s="34"/>
      <c r="BO2587" s="34"/>
      <c r="BP2587" s="34"/>
      <c r="BQ2587" s="34"/>
      <c r="BR2587" s="34"/>
      <c r="BS2587" s="34"/>
      <c r="BT2587" s="34"/>
      <c r="BU2587" s="34"/>
      <c r="BV2587" s="34"/>
      <c r="BW2587" s="34"/>
      <c r="BX2587" s="34"/>
      <c r="BY2587" s="34"/>
      <c r="BZ2587" s="34"/>
      <c r="CA2587" s="34"/>
      <c r="CB2587" s="34"/>
      <c r="CC2587" s="34"/>
      <c r="CD2587" s="34"/>
      <c r="CE2587" s="34"/>
      <c r="CF2587" s="34"/>
      <c r="CG2587" s="34"/>
      <c r="CH2587" s="34"/>
    </row>
    <row r="2588" spans="1:86" x14ac:dyDescent="0.2">
      <c r="A2588" s="8" t="str">
        <f>IF(AND(COUNTIF(W$3:W$13,A$23)&gt;0,A$23&lt;&gt;B2578),A$23,IFERROR(IF(MATCH(A$23,Z$3:Z$13,0)=1,A$23," ")," "))</f>
        <v xml:space="preserve"> </v>
      </c>
      <c r="B2588" s="8" t="str">
        <f>IF(A2588=" "," ",MAX(B2580:B2587)+1)</f>
        <v xml:space="preserve"> </v>
      </c>
      <c r="C2588" s="8" t="str">
        <f>IFERROR(INDEX(A2580:A2601,MATCH(SMALL(B2580:B2601,9),B2580:B2601,0),1)," ")</f>
        <v>C19</v>
      </c>
      <c r="D2588" s="8">
        <f t="shared" si="11307"/>
        <v>0</v>
      </c>
      <c r="E2588" s="8">
        <f t="shared" si="11308"/>
        <v>0</v>
      </c>
      <c r="F2588" s="8">
        <f t="shared" si="11309"/>
        <v>0</v>
      </c>
      <c r="G2588" s="8">
        <f t="shared" si="11310"/>
        <v>0</v>
      </c>
      <c r="H2588" s="8">
        <f t="shared" si="11311"/>
        <v>0</v>
      </c>
      <c r="I2588" s="8">
        <f t="shared" si="11312"/>
        <v>0</v>
      </c>
      <c r="J2588" s="8">
        <f t="shared" si="11313"/>
        <v>0</v>
      </c>
      <c r="K2588" s="8">
        <f t="shared" si="11314"/>
        <v>1</v>
      </c>
      <c r="L2588" s="8">
        <f t="shared" si="11315"/>
        <v>0</v>
      </c>
      <c r="M2588" s="8">
        <f t="shared" si="11316"/>
        <v>0</v>
      </c>
      <c r="N2588" s="8">
        <f t="shared" si="11317"/>
        <v>0</v>
      </c>
      <c r="O2588" s="8">
        <f t="shared" si="11318"/>
        <v>0</v>
      </c>
      <c r="P2588" s="6" t="e">
        <v>#NUM!</v>
      </c>
      <c r="Q2588" s="8" t="e">
        <f t="shared" ref="Q2588" si="11348">IF(COUNTIF(P2580:P2590,"&lt;"&amp;-0.001)=0,IF(ABS(P2588)&lt;0.001,0,P2588)," ")</f>
        <v>#NUM!</v>
      </c>
      <c r="R2588" s="8"/>
      <c r="S2588" s="8"/>
      <c r="U2588" s="34"/>
      <c r="V2588" s="34"/>
      <c r="W2588" s="34"/>
      <c r="X2588" s="34"/>
      <c r="Y2588" s="34"/>
      <c r="Z2588" s="34"/>
      <c r="AA2588" s="34"/>
      <c r="AB2588" s="34"/>
      <c r="AC2588" s="34"/>
      <c r="AD2588" s="34"/>
      <c r="AE2588" s="34"/>
      <c r="AF2588" s="34"/>
      <c r="AG2588" s="34"/>
      <c r="AH2588" s="34"/>
      <c r="AI2588" s="34"/>
      <c r="AJ2588" s="34"/>
      <c r="AK2588" s="34"/>
      <c r="AL2588" s="34"/>
      <c r="AM2588" s="34"/>
      <c r="AN2588" s="34"/>
      <c r="AO2588" s="34"/>
      <c r="AP2588" s="34"/>
      <c r="AQ2588" s="34"/>
      <c r="AR2588" s="34"/>
      <c r="AS2588" s="34"/>
      <c r="AT2588" s="34"/>
      <c r="AU2588" s="34"/>
      <c r="AV2588" s="34"/>
      <c r="AW2588" s="34"/>
      <c r="AX2588" s="34"/>
      <c r="AY2588" s="34"/>
      <c r="AZ2588" s="34"/>
      <c r="BA2588" s="34"/>
      <c r="BB2588" s="34"/>
      <c r="BC2588" s="34"/>
      <c r="BD2588" s="34"/>
      <c r="BE2588" s="34"/>
      <c r="BF2588" s="34"/>
      <c r="BG2588" s="34"/>
      <c r="BH2588" s="34"/>
      <c r="BI2588" s="34"/>
      <c r="BJ2588" s="34"/>
      <c r="BK2588" s="34"/>
      <c r="BL2588" s="34"/>
      <c r="BM2588" s="34"/>
      <c r="BN2588" s="34"/>
      <c r="BO2588" s="34"/>
      <c r="BP2588" s="34"/>
      <c r="BQ2588" s="34"/>
      <c r="BR2588" s="34"/>
      <c r="BS2588" s="34"/>
      <c r="BT2588" s="34"/>
      <c r="BU2588" s="34"/>
      <c r="BV2588" s="34"/>
      <c r="BW2588" s="34"/>
      <c r="BX2588" s="34"/>
      <c r="BY2588" s="34"/>
      <c r="BZ2588" s="34"/>
      <c r="CA2588" s="34"/>
      <c r="CB2588" s="34"/>
      <c r="CC2588" s="34"/>
      <c r="CD2588" s="34"/>
      <c r="CE2588" s="34"/>
      <c r="CF2588" s="34"/>
      <c r="CG2588" s="34"/>
      <c r="CH2588" s="34"/>
    </row>
    <row r="2589" spans="1:86" x14ac:dyDescent="0.2">
      <c r="A2589" s="8" t="str">
        <f>IF(AND(COUNTIF(W$3:W$13,A$24)&gt;0,A$24&lt;&gt;B2578),A$24,IFERROR(IF(MATCH(A$24,Z$3:Z$13,0)=1,A$24," ")," "))</f>
        <v xml:space="preserve"> </v>
      </c>
      <c r="B2589" s="8" t="str">
        <f>IF(A2589=" "," ",MAX(B2580:B2588)+1)</f>
        <v xml:space="preserve"> </v>
      </c>
      <c r="C2589" s="8" t="str">
        <f>IFERROR(INDEX(A2580:A2601,MATCH(SMALL(B2580:B2601,10),B2580:B2601,0),1)," ")</f>
        <v>C20</v>
      </c>
      <c r="D2589" s="8">
        <f t="shared" si="11307"/>
        <v>0</v>
      </c>
      <c r="E2589" s="8">
        <f t="shared" si="11308"/>
        <v>0</v>
      </c>
      <c r="F2589" s="8">
        <f t="shared" si="11309"/>
        <v>0</v>
      </c>
      <c r="G2589" s="8">
        <f t="shared" si="11310"/>
        <v>0</v>
      </c>
      <c r="H2589" s="8">
        <f t="shared" si="11311"/>
        <v>0</v>
      </c>
      <c r="I2589" s="8">
        <f t="shared" si="11312"/>
        <v>0</v>
      </c>
      <c r="J2589" s="8">
        <f t="shared" si="11313"/>
        <v>0</v>
      </c>
      <c r="K2589" s="8">
        <f t="shared" si="11314"/>
        <v>0</v>
      </c>
      <c r="L2589" s="8">
        <f t="shared" si="11315"/>
        <v>1</v>
      </c>
      <c r="M2589" s="8">
        <f t="shared" si="11316"/>
        <v>0</v>
      </c>
      <c r="N2589" s="8">
        <f t="shared" si="11317"/>
        <v>0</v>
      </c>
      <c r="O2589" s="8">
        <f t="shared" si="11318"/>
        <v>0</v>
      </c>
      <c r="P2589" s="8" t="e">
        <v>#NUM!</v>
      </c>
      <c r="Q2589" s="8" t="e">
        <f t="shared" ref="Q2589" si="11349">IF(COUNTIF(P2580:P2590,"&lt;"&amp;-0.001)=0,IF(ABS(P2589)&lt;0.001,0,P2589)," ")</f>
        <v>#NUM!</v>
      </c>
      <c r="R2589" s="8"/>
      <c r="S2589" s="8"/>
      <c r="U2589" s="34"/>
      <c r="V2589" s="34"/>
      <c r="W2589" s="34"/>
      <c r="X2589" s="34"/>
      <c r="Y2589" s="34"/>
      <c r="Z2589" s="34"/>
      <c r="AA2589" s="34"/>
      <c r="AB2589" s="34"/>
      <c r="AC2589" s="34"/>
      <c r="AD2589" s="34"/>
      <c r="AE2589" s="34"/>
      <c r="AF2589" s="34"/>
      <c r="AG2589" s="34"/>
      <c r="AH2589" s="34"/>
      <c r="AI2589" s="34"/>
      <c r="AJ2589" s="34"/>
      <c r="AK2589" s="34"/>
      <c r="AL2589" s="34"/>
      <c r="AM2589" s="34"/>
      <c r="AN2589" s="34"/>
      <c r="AO2589" s="34"/>
      <c r="AP2589" s="34"/>
      <c r="AQ2589" s="34"/>
      <c r="AR2589" s="34"/>
      <c r="AS2589" s="34"/>
      <c r="AT2589" s="34"/>
      <c r="AU2589" s="34"/>
      <c r="AV2589" s="34"/>
      <c r="AW2589" s="34"/>
      <c r="AX2589" s="34"/>
      <c r="AY2589" s="34"/>
      <c r="AZ2589" s="34"/>
      <c r="BA2589" s="34"/>
      <c r="BB2589" s="34"/>
      <c r="BC2589" s="34"/>
      <c r="BD2589" s="34"/>
      <c r="BE2589" s="34"/>
      <c r="BF2589" s="34"/>
      <c r="BG2589" s="34"/>
      <c r="BH2589" s="34"/>
      <c r="BI2589" s="34"/>
      <c r="BJ2589" s="34"/>
      <c r="BK2589" s="34"/>
      <c r="BL2589" s="34"/>
      <c r="BM2589" s="34"/>
      <c r="BN2589" s="34"/>
      <c r="BO2589" s="34"/>
      <c r="BP2589" s="34"/>
      <c r="BQ2589" s="34"/>
      <c r="BR2589" s="34"/>
      <c r="BS2589" s="34"/>
      <c r="BT2589" s="34"/>
      <c r="BU2589" s="34"/>
      <c r="BV2589" s="34"/>
      <c r="BW2589" s="34"/>
      <c r="BX2589" s="34"/>
      <c r="BY2589" s="34"/>
      <c r="BZ2589" s="34"/>
      <c r="CA2589" s="34"/>
      <c r="CB2589" s="34"/>
      <c r="CC2589" s="34"/>
      <c r="CD2589" s="34"/>
      <c r="CE2589" s="34"/>
      <c r="CF2589" s="34"/>
      <c r="CG2589" s="34"/>
      <c r="CH2589" s="34"/>
    </row>
    <row r="2590" spans="1:86" x14ac:dyDescent="0.2">
      <c r="A2590" s="8" t="str">
        <f>IF(AND(COUNTIF(W$3:W$13,A$25)&gt;0,A$25&lt;&gt;B2578),A$25,IFERROR(IF(MATCH(A$25,Z$3:Z$13,0)=1,A$25," ")," "))</f>
        <v xml:space="preserve"> </v>
      </c>
      <c r="B2590" s="8" t="str">
        <f>IF(A2590=" "," ",MAX(B2580:B2589)+1)</f>
        <v xml:space="preserve"> </v>
      </c>
      <c r="C2590" s="8" t="str">
        <f>IFERROR(INDEX(A2580:A2601,MATCH(SMALL(B2580:B2601,11),B2580:B2601,0),1)," ")</f>
        <v>C21</v>
      </c>
      <c r="D2590" s="8">
        <f t="shared" si="11307"/>
        <v>0</v>
      </c>
      <c r="E2590" s="8">
        <f t="shared" si="11308"/>
        <v>0</v>
      </c>
      <c r="F2590" s="8">
        <f t="shared" si="11309"/>
        <v>0</v>
      </c>
      <c r="G2590" s="8">
        <f t="shared" si="11310"/>
        <v>0</v>
      </c>
      <c r="H2590" s="8">
        <f t="shared" si="11311"/>
        <v>0</v>
      </c>
      <c r="I2590" s="8">
        <f t="shared" si="11312"/>
        <v>0</v>
      </c>
      <c r="J2590" s="8">
        <f t="shared" si="11313"/>
        <v>0</v>
      </c>
      <c r="K2590" s="8">
        <f t="shared" si="11314"/>
        <v>0</v>
      </c>
      <c r="L2590" s="8">
        <f t="shared" si="11315"/>
        <v>0</v>
      </c>
      <c r="M2590" s="8">
        <f t="shared" si="11316"/>
        <v>1</v>
      </c>
      <c r="N2590" s="8">
        <f t="shared" si="11317"/>
        <v>0</v>
      </c>
      <c r="O2590" s="8">
        <f t="shared" si="11318"/>
        <v>0</v>
      </c>
      <c r="P2590" s="8" t="e">
        <v>#NUM!</v>
      </c>
      <c r="Q2590" s="8" t="e">
        <f t="shared" ref="Q2590" si="11350">IF(COUNTIF(P2580:P2590,"&lt;"&amp;-0.001)=0,IF(ABS(P2590)&lt;0.001,0,P2590)," ")</f>
        <v>#NUM!</v>
      </c>
      <c r="R2590" s="8"/>
      <c r="S2590" s="8"/>
      <c r="U2590" s="34"/>
      <c r="V2590" s="34"/>
      <c r="W2590" s="34"/>
      <c r="X2590" s="34"/>
      <c r="Y2590" s="34"/>
      <c r="Z2590" s="34"/>
      <c r="AA2590" s="34"/>
      <c r="AB2590" s="34"/>
      <c r="AC2590" s="34"/>
      <c r="AD2590" s="34"/>
      <c r="AE2590" s="34"/>
      <c r="AF2590" s="34"/>
      <c r="AG2590" s="34"/>
      <c r="AH2590" s="34"/>
      <c r="AI2590" s="34"/>
      <c r="AJ2590" s="34"/>
      <c r="AK2590" s="34"/>
      <c r="AL2590" s="34"/>
      <c r="AM2590" s="34"/>
      <c r="AN2590" s="34"/>
      <c r="AO2590" s="34"/>
      <c r="AP2590" s="34"/>
      <c r="AQ2590" s="34"/>
      <c r="AR2590" s="34"/>
      <c r="AS2590" s="34"/>
      <c r="AT2590" s="34"/>
      <c r="AU2590" s="34"/>
      <c r="AV2590" s="34"/>
      <c r="AW2590" s="34"/>
      <c r="AX2590" s="34"/>
      <c r="AY2590" s="34"/>
      <c r="AZ2590" s="34"/>
      <c r="BA2590" s="34"/>
      <c r="BB2590" s="34"/>
      <c r="BC2590" s="34"/>
      <c r="BD2590" s="34"/>
      <c r="BE2590" s="34"/>
      <c r="BF2590" s="34"/>
      <c r="BG2590" s="34"/>
      <c r="BH2590" s="34"/>
      <c r="BI2590" s="34"/>
      <c r="BJ2590" s="34"/>
      <c r="BK2590" s="34"/>
      <c r="BL2590" s="34"/>
      <c r="BM2590" s="34"/>
      <c r="BN2590" s="34"/>
      <c r="BO2590" s="34"/>
      <c r="BP2590" s="34"/>
      <c r="BQ2590" s="34"/>
      <c r="BR2590" s="34"/>
      <c r="BS2590" s="34"/>
      <c r="BT2590" s="34"/>
      <c r="BU2590" s="34"/>
      <c r="BV2590" s="34"/>
      <c r="BW2590" s="34"/>
      <c r="BX2590" s="34"/>
      <c r="BY2590" s="34"/>
      <c r="BZ2590" s="34"/>
      <c r="CA2590" s="34"/>
      <c r="CB2590" s="34"/>
      <c r="CC2590" s="34"/>
      <c r="CD2590" s="34"/>
      <c r="CE2590" s="34"/>
      <c r="CF2590" s="34"/>
      <c r="CG2590" s="34"/>
      <c r="CH2590" s="34"/>
    </row>
    <row r="2591" spans="1:86" x14ac:dyDescent="0.2">
      <c r="A2591" s="8" t="str">
        <f>IF(AND(COUNTIF(W$3:W$13,A$26)&gt;0,A$26&lt;&gt;B2578),A$26,IFERROR(IF(MATCH(A$26,Z$3:Z$13,0)=1,A$26," ")," "))</f>
        <v xml:space="preserve"> </v>
      </c>
      <c r="B2591" s="8" t="str">
        <f>IF(A2591=" "," ",MAX(B2580:B2590)+1)</f>
        <v xml:space="preserve"> </v>
      </c>
      <c r="C2591" s="8"/>
      <c r="D2591" s="8"/>
      <c r="E2591" s="8"/>
      <c r="F2591" s="8"/>
      <c r="G2591" s="8"/>
      <c r="H2591" s="8"/>
      <c r="I2591" s="8"/>
      <c r="J2591" s="8"/>
      <c r="K2591" s="8"/>
      <c r="L2591" s="8"/>
      <c r="M2591" s="8"/>
      <c r="N2591" s="8"/>
      <c r="O2591" s="8"/>
      <c r="P2591" s="8"/>
      <c r="Q2591" s="8"/>
      <c r="R2591" s="8"/>
      <c r="S2591" s="8"/>
      <c r="U2591" s="34"/>
      <c r="V2591" s="34"/>
      <c r="W2591" s="34"/>
      <c r="X2591" s="34"/>
      <c r="Y2591" s="34"/>
      <c r="Z2591" s="34"/>
      <c r="AA2591" s="34"/>
      <c r="AB2591" s="34"/>
      <c r="AC2591" s="34"/>
      <c r="AD2591" s="34"/>
      <c r="AE2591" s="34"/>
      <c r="AF2591" s="34"/>
      <c r="AG2591" s="34"/>
      <c r="AH2591" s="34"/>
      <c r="AI2591" s="34"/>
      <c r="AJ2591" s="34"/>
      <c r="AK2591" s="34"/>
      <c r="AL2591" s="34"/>
      <c r="AM2591" s="34"/>
      <c r="AN2591" s="34"/>
      <c r="AO2591" s="34"/>
      <c r="AP2591" s="34"/>
      <c r="AQ2591" s="34"/>
      <c r="AR2591" s="34"/>
      <c r="AS2591" s="34"/>
      <c r="AT2591" s="34"/>
      <c r="AU2591" s="34"/>
      <c r="AV2591" s="34"/>
      <c r="AW2591" s="34"/>
      <c r="AX2591" s="34"/>
      <c r="AY2591" s="34"/>
      <c r="AZ2591" s="34"/>
      <c r="BA2591" s="34"/>
      <c r="BB2591" s="34"/>
      <c r="BC2591" s="34"/>
      <c r="BD2591" s="34"/>
      <c r="BE2591" s="34"/>
      <c r="BF2591" s="34"/>
      <c r="BG2591" s="34"/>
      <c r="BH2591" s="34"/>
      <c r="BI2591" s="34"/>
      <c r="BJ2591" s="34"/>
      <c r="BK2591" s="34"/>
      <c r="BL2591" s="34"/>
      <c r="BM2591" s="34"/>
      <c r="BN2591" s="34"/>
      <c r="BO2591" s="34"/>
      <c r="BP2591" s="34"/>
      <c r="BQ2591" s="34"/>
      <c r="BR2591" s="34"/>
      <c r="BS2591" s="34"/>
      <c r="BT2591" s="34"/>
      <c r="BU2591" s="34"/>
      <c r="BV2591" s="34"/>
      <c r="BW2591" s="34"/>
      <c r="BX2591" s="34"/>
      <c r="BY2591" s="34"/>
      <c r="BZ2591" s="34"/>
      <c r="CA2591" s="34"/>
      <c r="CB2591" s="34"/>
      <c r="CC2591" s="34"/>
      <c r="CD2591" s="34"/>
      <c r="CE2591" s="34"/>
      <c r="CF2591" s="34"/>
      <c r="CG2591" s="34"/>
      <c r="CH2591" s="34"/>
    </row>
    <row r="2592" spans="1:86" x14ac:dyDescent="0.2">
      <c r="A2592" s="8" t="str">
        <f>IF(AND(COUNTIF(W$3:W$13,A$27)&gt;0,A$27&lt;&gt;B2578),A$27,IFERROR(IF(MATCH(A$27,Z$3:Z$13,0)=1,A$27," ")," "))</f>
        <v>C13</v>
      </c>
      <c r="B2592" s="8">
        <f>IF(A2592=" "," ",MAX(B2580:B2591)+1)</f>
        <v>4</v>
      </c>
      <c r="C2592" s="8"/>
      <c r="D2592" s="8"/>
      <c r="E2592" s="8"/>
      <c r="F2592" s="8"/>
      <c r="G2592" s="8"/>
      <c r="H2592" s="8"/>
      <c r="I2592" s="8"/>
      <c r="J2592" s="8"/>
      <c r="K2592" s="8"/>
      <c r="L2592" s="8"/>
      <c r="M2592" s="8"/>
      <c r="N2592" s="8"/>
      <c r="O2592" s="8"/>
      <c r="P2592" s="6"/>
      <c r="Q2592" s="8"/>
      <c r="R2592" s="8"/>
      <c r="S2592" s="8"/>
      <c r="U2592" s="34"/>
      <c r="V2592" s="34"/>
      <c r="W2592" s="34"/>
      <c r="X2592" s="34"/>
      <c r="Y2592" s="34"/>
      <c r="Z2592" s="34"/>
      <c r="AA2592" s="34"/>
      <c r="AB2592" s="34"/>
      <c r="AC2592" s="34"/>
      <c r="AD2592" s="34"/>
      <c r="AE2592" s="34"/>
      <c r="AF2592" s="34"/>
      <c r="AG2592" s="34"/>
      <c r="AH2592" s="34"/>
      <c r="AI2592" s="34"/>
      <c r="AJ2592" s="34"/>
      <c r="AK2592" s="34"/>
      <c r="AL2592" s="34"/>
      <c r="AM2592" s="34"/>
      <c r="AN2592" s="34"/>
      <c r="AO2592" s="34"/>
      <c r="AP2592" s="34"/>
      <c r="AQ2592" s="34"/>
      <c r="AR2592" s="34"/>
      <c r="AS2592" s="34"/>
      <c r="AT2592" s="34"/>
      <c r="AU2592" s="34"/>
      <c r="AV2592" s="34"/>
      <c r="AW2592" s="34"/>
      <c r="AX2592" s="34"/>
      <c r="AY2592" s="34"/>
      <c r="AZ2592" s="34"/>
      <c r="BA2592" s="34"/>
      <c r="BB2592" s="34"/>
      <c r="BC2592" s="34"/>
      <c r="BD2592" s="34"/>
      <c r="BE2592" s="34"/>
      <c r="BF2592" s="34"/>
      <c r="BG2592" s="34"/>
      <c r="BH2592" s="34"/>
      <c r="BI2592" s="34"/>
      <c r="BJ2592" s="34"/>
      <c r="BK2592" s="34"/>
      <c r="BL2592" s="34"/>
      <c r="BM2592" s="34"/>
      <c r="BN2592" s="34"/>
      <c r="BO2592" s="34"/>
      <c r="BP2592" s="34"/>
      <c r="BQ2592" s="34"/>
      <c r="BR2592" s="34"/>
      <c r="BS2592" s="34"/>
      <c r="BT2592" s="34"/>
      <c r="BU2592" s="34"/>
      <c r="BV2592" s="34"/>
      <c r="BW2592" s="34"/>
      <c r="BX2592" s="34"/>
      <c r="BY2592" s="34"/>
      <c r="BZ2592" s="34"/>
      <c r="CA2592" s="34"/>
      <c r="CB2592" s="34"/>
      <c r="CC2592" s="34"/>
      <c r="CD2592" s="34"/>
      <c r="CE2592" s="34"/>
      <c r="CF2592" s="34"/>
      <c r="CG2592" s="34"/>
      <c r="CH2592" s="34"/>
    </row>
    <row r="2593" spans="1:86" x14ac:dyDescent="0.2">
      <c r="A2593" s="8" t="str">
        <f>IF(AND(COUNTIF(W$3:W$13,A$28)&gt;0,A$28&lt;&gt;B2578),A$28,IFERROR(IF(MATCH(A$28,Z$3:Z$13,0)=1,A$28," ")," "))</f>
        <v xml:space="preserve"> </v>
      </c>
      <c r="B2593" s="8" t="str">
        <f>IF(A2593=" "," ",MAX(B2580:B2592)+1)</f>
        <v xml:space="preserve"> </v>
      </c>
      <c r="C2593" s="8"/>
      <c r="D2593" s="8"/>
      <c r="E2593" s="8"/>
      <c r="F2593" s="8"/>
      <c r="G2593" s="8"/>
      <c r="H2593" s="8"/>
      <c r="I2593" s="8"/>
      <c r="J2593" s="8"/>
      <c r="K2593" s="8"/>
      <c r="L2593" s="8"/>
      <c r="M2593" s="8"/>
      <c r="N2593" s="8"/>
      <c r="O2593" s="8"/>
      <c r="P2593" s="8"/>
      <c r="Q2593" s="8"/>
      <c r="R2593" s="8"/>
      <c r="S2593" s="8"/>
      <c r="U2593" s="34"/>
      <c r="V2593" s="34"/>
      <c r="W2593" s="34"/>
      <c r="X2593" s="34"/>
      <c r="Y2593" s="34"/>
      <c r="Z2593" s="34"/>
      <c r="AA2593" s="34"/>
      <c r="AB2593" s="34"/>
      <c r="AC2593" s="34"/>
      <c r="AD2593" s="34"/>
      <c r="AE2593" s="34"/>
      <c r="AF2593" s="34"/>
      <c r="AG2593" s="34"/>
      <c r="AH2593" s="34"/>
      <c r="AI2593" s="34"/>
      <c r="AJ2593" s="34"/>
      <c r="AK2593" s="34"/>
      <c r="AL2593" s="34"/>
      <c r="AM2593" s="34"/>
      <c r="AN2593" s="34"/>
      <c r="AO2593" s="34"/>
      <c r="AP2593" s="34"/>
      <c r="AQ2593" s="34"/>
      <c r="AR2593" s="34"/>
      <c r="AS2593" s="34"/>
      <c r="AT2593" s="34"/>
      <c r="AU2593" s="34"/>
      <c r="AV2593" s="34"/>
      <c r="AW2593" s="34"/>
      <c r="AX2593" s="34"/>
      <c r="AY2593" s="34"/>
      <c r="AZ2593" s="34"/>
      <c r="BA2593" s="34"/>
      <c r="BB2593" s="34"/>
      <c r="BC2593" s="34"/>
      <c r="BD2593" s="34"/>
      <c r="BE2593" s="34"/>
      <c r="BF2593" s="34"/>
      <c r="BG2593" s="34"/>
      <c r="BH2593" s="34"/>
      <c r="BI2593" s="34"/>
      <c r="BJ2593" s="34"/>
      <c r="BK2593" s="34"/>
      <c r="BL2593" s="34"/>
      <c r="BM2593" s="34"/>
      <c r="BN2593" s="34"/>
      <c r="BO2593" s="34"/>
      <c r="BP2593" s="34"/>
      <c r="BQ2593" s="34"/>
      <c r="BR2593" s="34"/>
      <c r="BS2593" s="34"/>
      <c r="BT2593" s="34"/>
      <c r="BU2593" s="34"/>
      <c r="BV2593" s="34"/>
      <c r="BW2593" s="34"/>
      <c r="BX2593" s="34"/>
      <c r="BY2593" s="34"/>
      <c r="BZ2593" s="34"/>
      <c r="CA2593" s="34"/>
      <c r="CB2593" s="34"/>
      <c r="CC2593" s="34"/>
      <c r="CD2593" s="34"/>
      <c r="CE2593" s="34"/>
      <c r="CF2593" s="34"/>
      <c r="CG2593" s="34"/>
      <c r="CH2593" s="34"/>
    </row>
    <row r="2594" spans="1:86" x14ac:dyDescent="0.2">
      <c r="A2594" s="8" t="str">
        <f>IF(AND(COUNTIF(W$3:W$13,A$29)&gt;0,A$29&lt;&gt;B2578),A$29,IFERROR(IF(MATCH(A$29,Z$3:Z$13,0)=1,A$29," ")," "))</f>
        <v>C15</v>
      </c>
      <c r="B2594" s="8">
        <f>IF(A2594=" "," ",MAX(B2580:B2593)+1)</f>
        <v>5</v>
      </c>
      <c r="C2594" s="8"/>
      <c r="D2594" s="8"/>
      <c r="E2594" s="8"/>
      <c r="F2594" s="8"/>
      <c r="G2594" s="8"/>
      <c r="H2594" s="8"/>
      <c r="I2594" s="8"/>
      <c r="J2594" s="8"/>
      <c r="K2594" s="8"/>
      <c r="L2594" s="8"/>
      <c r="M2594" s="8"/>
      <c r="N2594" s="8"/>
      <c r="O2594" s="8"/>
      <c r="P2594" s="8"/>
      <c r="Q2594" s="8"/>
      <c r="R2594" s="8"/>
      <c r="S2594" s="8"/>
      <c r="U2594" s="34"/>
      <c r="V2594" s="34"/>
      <c r="W2594" s="34"/>
      <c r="X2594" s="34"/>
      <c r="Y2594" s="34"/>
      <c r="Z2594" s="34"/>
      <c r="AA2594" s="34"/>
      <c r="AB2594" s="34"/>
      <c r="AC2594" s="34"/>
      <c r="AD2594" s="34"/>
      <c r="AE2594" s="34"/>
      <c r="AF2594" s="34"/>
      <c r="AG2594" s="34"/>
      <c r="AH2594" s="34"/>
      <c r="AI2594" s="34"/>
      <c r="AJ2594" s="34"/>
      <c r="AK2594" s="34"/>
      <c r="AL2594" s="34"/>
      <c r="AM2594" s="34"/>
      <c r="AN2594" s="34"/>
      <c r="AO2594" s="34"/>
      <c r="AP2594" s="34"/>
      <c r="AQ2594" s="34"/>
      <c r="AR2594" s="34"/>
      <c r="AS2594" s="34"/>
      <c r="AT2594" s="34"/>
      <c r="AU2594" s="34"/>
      <c r="AV2594" s="34"/>
      <c r="AW2594" s="34"/>
      <c r="AX2594" s="34"/>
      <c r="AY2594" s="34"/>
      <c r="AZ2594" s="34"/>
      <c r="BA2594" s="34"/>
      <c r="BB2594" s="34"/>
      <c r="BC2594" s="34"/>
      <c r="BD2594" s="34"/>
      <c r="BE2594" s="34"/>
      <c r="BF2594" s="34"/>
      <c r="BG2594" s="34"/>
      <c r="BH2594" s="34"/>
      <c r="BI2594" s="34"/>
      <c r="BJ2594" s="34"/>
      <c r="BK2594" s="34"/>
      <c r="BL2594" s="34"/>
      <c r="BM2594" s="34"/>
      <c r="BN2594" s="34"/>
      <c r="BO2594" s="34"/>
      <c r="BP2594" s="34"/>
      <c r="BQ2594" s="34"/>
      <c r="BR2594" s="34"/>
      <c r="BS2594" s="34"/>
      <c r="BT2594" s="34"/>
      <c r="BU2594" s="34"/>
      <c r="BV2594" s="34"/>
      <c r="BW2594" s="34"/>
      <c r="BX2594" s="34"/>
      <c r="BY2594" s="34"/>
      <c r="BZ2594" s="34"/>
      <c r="CA2594" s="34"/>
      <c r="CB2594" s="34"/>
      <c r="CC2594" s="34"/>
      <c r="CD2594" s="34"/>
      <c r="CE2594" s="34"/>
      <c r="CF2594" s="34"/>
      <c r="CG2594" s="34"/>
      <c r="CH2594" s="34"/>
    </row>
    <row r="2595" spans="1:86" x14ac:dyDescent="0.2">
      <c r="A2595" s="8" t="str">
        <f>IF(AND(COUNTIF(W$3:W$13,A$30)&gt;0,A$30&lt;&gt;B2578),A$30,IFERROR(IF(MATCH(A$30,Z$3:Z$13,0)=1,A$30," ")," "))</f>
        <v>C16</v>
      </c>
      <c r="B2595" s="8">
        <f>IF(A2595=" "," ",MAX(B2580:B2594)+1)</f>
        <v>6</v>
      </c>
      <c r="C2595" s="8"/>
      <c r="D2595" s="8"/>
      <c r="E2595" s="8"/>
      <c r="F2595" s="8"/>
      <c r="G2595" s="8"/>
      <c r="H2595" s="8"/>
      <c r="I2595" s="8"/>
      <c r="J2595" s="8"/>
      <c r="K2595" s="8"/>
      <c r="L2595" s="8"/>
      <c r="M2595" s="8"/>
      <c r="N2595" s="8"/>
      <c r="O2595" s="8"/>
      <c r="P2595" s="8"/>
      <c r="Q2595" s="8"/>
      <c r="R2595" s="8"/>
      <c r="S2595" s="8"/>
      <c r="U2595" s="34"/>
      <c r="V2595" s="34"/>
      <c r="W2595" s="34"/>
      <c r="X2595" s="34"/>
      <c r="Y2595" s="34"/>
      <c r="Z2595" s="34"/>
      <c r="AA2595" s="34"/>
      <c r="AB2595" s="34"/>
      <c r="AC2595" s="34"/>
      <c r="AD2595" s="34"/>
      <c r="AE2595" s="34"/>
      <c r="AF2595" s="34"/>
      <c r="AG2595" s="34"/>
      <c r="AH2595" s="34"/>
      <c r="AI2595" s="34"/>
      <c r="AJ2595" s="34"/>
      <c r="AK2595" s="34"/>
      <c r="AL2595" s="34"/>
      <c r="AM2595" s="34"/>
      <c r="AN2595" s="34"/>
      <c r="AO2595" s="34"/>
      <c r="AP2595" s="34"/>
      <c r="AQ2595" s="34"/>
      <c r="AR2595" s="34"/>
      <c r="AS2595" s="34"/>
      <c r="AT2595" s="34"/>
      <c r="AU2595" s="34"/>
      <c r="AV2595" s="34"/>
      <c r="AW2595" s="34"/>
      <c r="AX2595" s="34"/>
      <c r="AY2595" s="34"/>
      <c r="AZ2595" s="34"/>
      <c r="BA2595" s="34"/>
      <c r="BB2595" s="34"/>
      <c r="BC2595" s="34"/>
      <c r="BD2595" s="34"/>
      <c r="BE2595" s="34"/>
      <c r="BF2595" s="34"/>
      <c r="BG2595" s="34"/>
      <c r="BH2595" s="34"/>
      <c r="BI2595" s="34"/>
      <c r="BJ2595" s="34"/>
      <c r="BK2595" s="34"/>
      <c r="BL2595" s="34"/>
      <c r="BM2595" s="34"/>
      <c r="BN2595" s="34"/>
      <c r="BO2595" s="34"/>
      <c r="BP2595" s="34"/>
      <c r="BQ2595" s="34"/>
      <c r="BR2595" s="34"/>
      <c r="BS2595" s="34"/>
      <c r="BT2595" s="34"/>
      <c r="BU2595" s="34"/>
      <c r="BV2595" s="34"/>
      <c r="BW2595" s="34"/>
      <c r="BX2595" s="34"/>
      <c r="BY2595" s="34"/>
      <c r="BZ2595" s="34"/>
      <c r="CA2595" s="34"/>
      <c r="CB2595" s="34"/>
      <c r="CC2595" s="34"/>
      <c r="CD2595" s="34"/>
      <c r="CE2595" s="34"/>
      <c r="CF2595" s="34"/>
      <c r="CG2595" s="34"/>
      <c r="CH2595" s="34"/>
    </row>
    <row r="2596" spans="1:86" x14ac:dyDescent="0.2">
      <c r="A2596" s="8" t="str">
        <f>IF(AND(COUNTIF(W$3:W$13,A$31)&gt;0,A$31&lt;&gt;B2578),A$31,IFERROR(IF(MATCH(A$31,Z$3:Z$13,0)=1,A$31," ")," "))</f>
        <v>C17</v>
      </c>
      <c r="B2596" s="8">
        <f>IF(A2596=" "," ",MAX(B2580:B2595)+1)</f>
        <v>7</v>
      </c>
      <c r="C2596" s="8"/>
      <c r="D2596" s="8"/>
      <c r="E2596" s="8"/>
      <c r="F2596" s="8"/>
      <c r="G2596" s="8"/>
      <c r="H2596" s="8"/>
      <c r="I2596" s="8"/>
      <c r="J2596" s="8"/>
      <c r="K2596" s="8"/>
      <c r="L2596" s="8"/>
      <c r="M2596" s="8"/>
      <c r="N2596" s="8"/>
      <c r="O2596" s="8"/>
      <c r="P2596" s="8"/>
      <c r="Q2596" s="8"/>
      <c r="R2596" s="8"/>
      <c r="S2596" s="8"/>
      <c r="U2596" s="34"/>
      <c r="V2596" s="34"/>
      <c r="W2596" s="34"/>
      <c r="X2596" s="34"/>
      <c r="Y2596" s="34"/>
      <c r="Z2596" s="34"/>
      <c r="AA2596" s="34"/>
      <c r="AB2596" s="34"/>
      <c r="AC2596" s="34"/>
      <c r="AD2596" s="34"/>
      <c r="AE2596" s="34"/>
      <c r="AF2596" s="34"/>
      <c r="AG2596" s="34"/>
      <c r="AH2596" s="34"/>
      <c r="AI2596" s="34"/>
      <c r="AJ2596" s="34"/>
      <c r="AK2596" s="34"/>
      <c r="AL2596" s="34"/>
      <c r="AM2596" s="34"/>
      <c r="AN2596" s="34"/>
      <c r="AO2596" s="34"/>
      <c r="AP2596" s="34"/>
      <c r="AQ2596" s="34"/>
      <c r="AR2596" s="34"/>
      <c r="AS2596" s="34"/>
      <c r="AT2596" s="34"/>
      <c r="AU2596" s="34"/>
      <c r="AV2596" s="34"/>
      <c r="AW2596" s="34"/>
      <c r="AX2596" s="34"/>
      <c r="AY2596" s="34"/>
      <c r="AZ2596" s="34"/>
      <c r="BA2596" s="34"/>
      <c r="BB2596" s="34"/>
      <c r="BC2596" s="34"/>
      <c r="BD2596" s="34"/>
      <c r="BE2596" s="34"/>
      <c r="BF2596" s="34"/>
      <c r="BG2596" s="34"/>
      <c r="BH2596" s="34"/>
      <c r="BI2596" s="34"/>
      <c r="BJ2596" s="34"/>
      <c r="BK2596" s="34"/>
      <c r="BL2596" s="34"/>
      <c r="BM2596" s="34"/>
      <c r="BN2596" s="34"/>
      <c r="BO2596" s="34"/>
      <c r="BP2596" s="34"/>
      <c r="BQ2596" s="34"/>
      <c r="BR2596" s="34"/>
      <c r="BS2596" s="34"/>
      <c r="BT2596" s="34"/>
      <c r="BU2596" s="34"/>
      <c r="BV2596" s="34"/>
      <c r="BW2596" s="34"/>
      <c r="BX2596" s="34"/>
      <c r="BY2596" s="34"/>
      <c r="BZ2596" s="34"/>
      <c r="CA2596" s="34"/>
      <c r="CB2596" s="34"/>
      <c r="CC2596" s="34"/>
      <c r="CD2596" s="34"/>
      <c r="CE2596" s="34"/>
      <c r="CF2596" s="34"/>
      <c r="CG2596" s="34"/>
      <c r="CH2596" s="34"/>
    </row>
    <row r="2597" spans="1:86" x14ac:dyDescent="0.2">
      <c r="A2597" s="8" t="str">
        <f>IF(AND(COUNTIF(W$3:W$13,A$32)&gt;0,A$32&lt;&gt;B2578),A$32,IFERROR(IF(MATCH(A$32,Z$3:Z$13,0)=1,A$32," ")," "))</f>
        <v>C18</v>
      </c>
      <c r="B2597" s="8">
        <f>IF(A2597=" "," ",MAX(B2580:B2596)+1)</f>
        <v>8</v>
      </c>
      <c r="C2597" s="8"/>
      <c r="D2597" s="8"/>
      <c r="E2597" s="8"/>
      <c r="F2597" s="8"/>
      <c r="G2597" s="8"/>
      <c r="H2597" s="8"/>
      <c r="I2597" s="8"/>
      <c r="J2597" s="8"/>
      <c r="K2597" s="8"/>
      <c r="L2597" s="8"/>
      <c r="M2597" s="8"/>
      <c r="N2597" s="8"/>
      <c r="O2597" s="8"/>
      <c r="P2597" s="8"/>
      <c r="Q2597" s="8"/>
      <c r="R2597" s="8"/>
      <c r="S2597" s="8"/>
      <c r="U2597" s="34"/>
      <c r="V2597" s="34"/>
      <c r="W2597" s="34"/>
      <c r="X2597" s="34"/>
      <c r="Y2597" s="34"/>
      <c r="Z2597" s="34"/>
      <c r="AA2597" s="34"/>
      <c r="AB2597" s="34"/>
      <c r="AC2597" s="34"/>
      <c r="AD2597" s="34"/>
      <c r="AE2597" s="34"/>
      <c r="AF2597" s="34"/>
      <c r="AG2597" s="34"/>
      <c r="AH2597" s="34"/>
      <c r="AI2597" s="34"/>
      <c r="AJ2597" s="34"/>
      <c r="AK2597" s="34"/>
      <c r="AL2597" s="34"/>
      <c r="AM2597" s="34"/>
      <c r="AN2597" s="34"/>
      <c r="AO2597" s="34"/>
      <c r="AP2597" s="34"/>
      <c r="AQ2597" s="34"/>
      <c r="AR2597" s="34"/>
      <c r="AS2597" s="34"/>
      <c r="AT2597" s="34"/>
      <c r="AU2597" s="34"/>
      <c r="AV2597" s="34"/>
      <c r="AW2597" s="34"/>
      <c r="AX2597" s="34"/>
      <c r="AY2597" s="34"/>
      <c r="AZ2597" s="34"/>
      <c r="BA2597" s="34"/>
      <c r="BB2597" s="34"/>
      <c r="BC2597" s="34"/>
      <c r="BD2597" s="34"/>
      <c r="BE2597" s="34"/>
      <c r="BF2597" s="34"/>
      <c r="BG2597" s="34"/>
      <c r="BH2597" s="34"/>
      <c r="BI2597" s="34"/>
      <c r="BJ2597" s="34"/>
      <c r="BK2597" s="34"/>
      <c r="BL2597" s="34"/>
      <c r="BM2597" s="34"/>
      <c r="BN2597" s="34"/>
      <c r="BO2597" s="34"/>
      <c r="BP2597" s="34"/>
      <c r="BQ2597" s="34"/>
      <c r="BR2597" s="34"/>
      <c r="BS2597" s="34"/>
      <c r="BT2597" s="34"/>
      <c r="BU2597" s="34"/>
      <c r="BV2597" s="34"/>
      <c r="BW2597" s="34"/>
      <c r="BX2597" s="34"/>
      <c r="BY2597" s="34"/>
      <c r="BZ2597" s="34"/>
      <c r="CA2597" s="34"/>
      <c r="CB2597" s="34"/>
      <c r="CC2597" s="34"/>
      <c r="CD2597" s="34"/>
      <c r="CE2597" s="34"/>
      <c r="CF2597" s="34"/>
      <c r="CG2597" s="34"/>
      <c r="CH2597" s="34"/>
    </row>
    <row r="2598" spans="1:86" x14ac:dyDescent="0.2">
      <c r="A2598" s="8" t="str">
        <f>IF(AND(COUNTIF(W$3:W$13,A$33)&gt;0,A$33&lt;&gt;B2578),A$33,IFERROR(IF(MATCH(A$33,Z$3:Z$13,0)=1,A$33," ")," "))</f>
        <v>C19</v>
      </c>
      <c r="B2598" s="8">
        <f>IF(A2598=" "," ",MAX(B2580:B2597)+1)</f>
        <v>9</v>
      </c>
      <c r="C2598" s="8"/>
      <c r="D2598" s="8"/>
      <c r="E2598" s="8"/>
      <c r="F2598" s="8"/>
      <c r="G2598" s="8"/>
      <c r="H2598" s="8"/>
      <c r="I2598" s="8"/>
      <c r="J2598" s="8"/>
      <c r="K2598" s="8"/>
      <c r="L2598" s="8"/>
      <c r="M2598" s="8"/>
      <c r="N2598" s="8"/>
      <c r="O2598" s="8"/>
      <c r="P2598" s="8"/>
      <c r="Q2598" s="8"/>
      <c r="R2598" s="8"/>
      <c r="S2598" s="8"/>
      <c r="U2598" s="34"/>
      <c r="V2598" s="34"/>
      <c r="W2598" s="34"/>
      <c r="X2598" s="34"/>
      <c r="Y2598" s="34"/>
      <c r="Z2598" s="34"/>
      <c r="AA2598" s="34"/>
      <c r="AB2598" s="34"/>
      <c r="AC2598" s="34"/>
      <c r="AD2598" s="34"/>
      <c r="AE2598" s="34"/>
      <c r="AF2598" s="34"/>
      <c r="AG2598" s="34"/>
      <c r="AH2598" s="34"/>
      <c r="AI2598" s="34"/>
      <c r="AJ2598" s="34"/>
      <c r="AK2598" s="34"/>
      <c r="AL2598" s="34"/>
      <c r="AM2598" s="34"/>
      <c r="AN2598" s="34"/>
      <c r="AO2598" s="34"/>
      <c r="AP2598" s="34"/>
      <c r="AQ2598" s="34"/>
      <c r="AR2598" s="34"/>
      <c r="AS2598" s="34"/>
      <c r="AT2598" s="34"/>
      <c r="AU2598" s="34"/>
      <c r="AV2598" s="34"/>
      <c r="AW2598" s="34"/>
      <c r="AX2598" s="34"/>
      <c r="AY2598" s="34"/>
      <c r="AZ2598" s="34"/>
      <c r="BA2598" s="34"/>
      <c r="BB2598" s="34"/>
      <c r="BC2598" s="34"/>
      <c r="BD2598" s="34"/>
      <c r="BE2598" s="34"/>
      <c r="BF2598" s="34"/>
      <c r="BG2598" s="34"/>
      <c r="BH2598" s="34"/>
      <c r="BI2598" s="34"/>
      <c r="BJ2598" s="34"/>
      <c r="BK2598" s="34"/>
      <c r="BL2598" s="34"/>
      <c r="BM2598" s="34"/>
      <c r="BN2598" s="34"/>
      <c r="BO2598" s="34"/>
      <c r="BP2598" s="34"/>
      <c r="BQ2598" s="34"/>
      <c r="BR2598" s="34"/>
      <c r="BS2598" s="34"/>
      <c r="BT2598" s="34"/>
      <c r="BU2598" s="34"/>
      <c r="BV2598" s="34"/>
      <c r="BW2598" s="34"/>
      <c r="BX2598" s="34"/>
      <c r="BY2598" s="34"/>
      <c r="BZ2598" s="34"/>
      <c r="CA2598" s="34"/>
      <c r="CB2598" s="34"/>
      <c r="CC2598" s="34"/>
      <c r="CD2598" s="34"/>
      <c r="CE2598" s="34"/>
      <c r="CF2598" s="34"/>
      <c r="CG2598" s="34"/>
      <c r="CH2598" s="34"/>
    </row>
    <row r="2599" spans="1:86" x14ac:dyDescent="0.2">
      <c r="A2599" s="8" t="str">
        <f>IF(AND(COUNTIF(W$3:W$13,A$34)&gt;0,A$34&lt;&gt;B2578),A$34,IFERROR(IF(MATCH(A$34,Z$3:Z$13,0)=1,A$34," ")," "))</f>
        <v>C20</v>
      </c>
      <c r="B2599" s="8">
        <f>IF(A2599=" "," ",MAX(B2580:B2598)+1)</f>
        <v>10</v>
      </c>
      <c r="C2599" s="8"/>
      <c r="D2599" s="8"/>
      <c r="E2599" s="8"/>
      <c r="F2599" s="8"/>
      <c r="G2599" s="8"/>
      <c r="H2599" s="8"/>
      <c r="I2599" s="8"/>
      <c r="J2599" s="8"/>
      <c r="K2599" s="8"/>
      <c r="L2599" s="8"/>
      <c r="M2599" s="8"/>
      <c r="N2599" s="8"/>
      <c r="O2599" s="8"/>
      <c r="P2599" s="8"/>
      <c r="Q2599" s="8"/>
      <c r="R2599" s="8"/>
      <c r="S2599" s="8"/>
      <c r="U2599" s="34"/>
      <c r="V2599" s="34"/>
      <c r="W2599" s="34"/>
      <c r="X2599" s="34"/>
      <c r="Y2599" s="34"/>
      <c r="Z2599" s="34"/>
      <c r="AA2599" s="34"/>
      <c r="AB2599" s="34"/>
      <c r="AC2599" s="34"/>
      <c r="AD2599" s="34"/>
      <c r="AE2599" s="34"/>
      <c r="AF2599" s="34"/>
      <c r="AG2599" s="34"/>
      <c r="AH2599" s="34"/>
      <c r="AI2599" s="34"/>
      <c r="AJ2599" s="34"/>
      <c r="AK2599" s="34"/>
      <c r="AL2599" s="34"/>
      <c r="AM2599" s="34"/>
      <c r="AN2599" s="34"/>
      <c r="AO2599" s="34"/>
      <c r="AP2599" s="34"/>
      <c r="AQ2599" s="34"/>
      <c r="AR2599" s="34"/>
      <c r="AS2599" s="34"/>
      <c r="AT2599" s="34"/>
      <c r="AU2599" s="34"/>
      <c r="AV2599" s="34"/>
      <c r="AW2599" s="34"/>
      <c r="AX2599" s="34"/>
      <c r="AY2599" s="34"/>
      <c r="AZ2599" s="34"/>
      <c r="BA2599" s="34"/>
      <c r="BB2599" s="34"/>
      <c r="BC2599" s="34"/>
      <c r="BD2599" s="34"/>
      <c r="BE2599" s="34"/>
      <c r="BF2599" s="34"/>
      <c r="BG2599" s="34"/>
      <c r="BH2599" s="34"/>
      <c r="BI2599" s="34"/>
      <c r="BJ2599" s="34"/>
      <c r="BK2599" s="34"/>
      <c r="BL2599" s="34"/>
      <c r="BM2599" s="34"/>
      <c r="BN2599" s="34"/>
      <c r="BO2599" s="34"/>
      <c r="BP2599" s="34"/>
      <c r="BQ2599" s="34"/>
      <c r="BR2599" s="34"/>
      <c r="BS2599" s="34"/>
      <c r="BT2599" s="34"/>
      <c r="BU2599" s="34"/>
      <c r="BV2599" s="34"/>
      <c r="BW2599" s="34"/>
      <c r="BX2599" s="34"/>
      <c r="BY2599" s="34"/>
      <c r="BZ2599" s="34"/>
      <c r="CA2599" s="34"/>
      <c r="CB2599" s="34"/>
      <c r="CC2599" s="34"/>
      <c r="CD2599" s="34"/>
      <c r="CE2599" s="34"/>
      <c r="CF2599" s="34"/>
      <c r="CG2599" s="34"/>
      <c r="CH2599" s="34"/>
    </row>
    <row r="2600" spans="1:86" x14ac:dyDescent="0.2">
      <c r="A2600" s="8" t="str">
        <f>IF(AND(COUNTIF(W$3:W$13,A$35)&gt;0,A$35&lt;&gt;B2578),A$35,IFERROR(IF(MATCH(A$35,Z$3:Z$13,0)=1,A$35," ")," "))</f>
        <v>C21</v>
      </c>
      <c r="B2600" s="8">
        <f>IF(A2600=" "," ",MAX(B2580:B2599)+1)</f>
        <v>11</v>
      </c>
      <c r="C2600" s="8"/>
      <c r="D2600" s="8"/>
      <c r="E2600" s="8"/>
      <c r="F2600" s="8"/>
      <c r="G2600" s="8"/>
      <c r="H2600" s="8"/>
      <c r="I2600" s="8"/>
      <c r="J2600" s="8"/>
      <c r="K2600" s="8"/>
      <c r="L2600" s="8"/>
      <c r="M2600" s="8"/>
      <c r="N2600" s="8"/>
      <c r="O2600" s="8"/>
      <c r="P2600" s="8"/>
      <c r="Q2600" s="8"/>
      <c r="R2600" s="8"/>
      <c r="S2600" s="8"/>
      <c r="U2600" s="34"/>
      <c r="V2600" s="34"/>
      <c r="W2600" s="34"/>
      <c r="X2600" s="34"/>
      <c r="Y2600" s="34"/>
      <c r="Z2600" s="34"/>
      <c r="AA2600" s="34"/>
      <c r="AB2600" s="34"/>
      <c r="AC2600" s="34"/>
      <c r="AD2600" s="34"/>
      <c r="AE2600" s="34"/>
      <c r="AF2600" s="34"/>
      <c r="AG2600" s="34"/>
      <c r="AH2600" s="34"/>
      <c r="AI2600" s="34"/>
      <c r="AJ2600" s="34"/>
      <c r="AK2600" s="34"/>
      <c r="AL2600" s="34"/>
      <c r="AM2600" s="34"/>
      <c r="AN2600" s="34"/>
      <c r="AO2600" s="34"/>
      <c r="AP2600" s="34"/>
      <c r="AQ2600" s="34"/>
      <c r="AR2600" s="34"/>
      <c r="AS2600" s="34"/>
      <c r="AT2600" s="34"/>
      <c r="AU2600" s="34"/>
      <c r="AV2600" s="34"/>
      <c r="AW2600" s="34"/>
      <c r="AX2600" s="34"/>
      <c r="AY2600" s="34"/>
      <c r="AZ2600" s="34"/>
      <c r="BA2600" s="34"/>
      <c r="BB2600" s="34"/>
      <c r="BC2600" s="34"/>
      <c r="BD2600" s="34"/>
      <c r="BE2600" s="34"/>
      <c r="BF2600" s="34"/>
      <c r="BG2600" s="34"/>
      <c r="BH2600" s="34"/>
      <c r="BI2600" s="34"/>
      <c r="BJ2600" s="34"/>
      <c r="BK2600" s="34"/>
      <c r="BL2600" s="34"/>
      <c r="BM2600" s="34"/>
      <c r="BN2600" s="34"/>
      <c r="BO2600" s="34"/>
      <c r="BP2600" s="34"/>
      <c r="BQ2600" s="34"/>
      <c r="BR2600" s="34"/>
      <c r="BS2600" s="34"/>
      <c r="BT2600" s="34"/>
      <c r="BU2600" s="34"/>
      <c r="BV2600" s="34"/>
      <c r="BW2600" s="34"/>
      <c r="BX2600" s="34"/>
      <c r="BY2600" s="34"/>
      <c r="BZ2600" s="34"/>
      <c r="CA2600" s="34"/>
      <c r="CB2600" s="34"/>
      <c r="CC2600" s="34"/>
      <c r="CD2600" s="34"/>
      <c r="CE2600" s="34"/>
      <c r="CF2600" s="34"/>
      <c r="CG2600" s="34"/>
      <c r="CH2600" s="34"/>
    </row>
    <row r="2601" spans="1:86" x14ac:dyDescent="0.2">
      <c r="A2601" s="8" t="str">
        <f>IF(AND(COUNTIF(W$3:W$13,A$36)&gt;0,A$36&lt;&gt;B2578),A$36,IFERROR(IF(MATCH(A$36,Z$3:Z$13,0)=1,A$36," ")," "))</f>
        <v xml:space="preserve"> </v>
      </c>
      <c r="B2601" s="8" t="str">
        <f>IF(A2601=" "," ",MAX(B2580:B2600)+1)</f>
        <v xml:space="preserve"> </v>
      </c>
      <c r="C2601" s="8"/>
      <c r="D2601" s="8"/>
      <c r="E2601" s="8"/>
      <c r="F2601" s="8"/>
      <c r="G2601" s="8"/>
      <c r="H2601" s="8"/>
      <c r="I2601" s="8"/>
      <c r="J2601" s="8"/>
      <c r="K2601" s="8"/>
      <c r="L2601" s="8"/>
      <c r="M2601" s="8"/>
      <c r="N2601" s="8"/>
      <c r="O2601" s="8"/>
      <c r="P2601" s="8"/>
      <c r="Q2601" s="8"/>
      <c r="R2601" s="8"/>
      <c r="S2601" s="8"/>
      <c r="U2601" s="34"/>
      <c r="V2601" s="34"/>
      <c r="W2601" s="34"/>
      <c r="X2601" s="34"/>
      <c r="Y2601" s="34"/>
      <c r="Z2601" s="34"/>
      <c r="AA2601" s="34"/>
      <c r="AB2601" s="34"/>
      <c r="AC2601" s="34"/>
      <c r="AD2601" s="34"/>
      <c r="AE2601" s="34"/>
      <c r="AF2601" s="34"/>
      <c r="AG2601" s="34"/>
      <c r="AH2601" s="34"/>
      <c r="AI2601" s="34"/>
      <c r="AJ2601" s="34"/>
      <c r="AK2601" s="34"/>
      <c r="AL2601" s="34"/>
      <c r="AM2601" s="34"/>
      <c r="AN2601" s="34"/>
      <c r="AO2601" s="34"/>
      <c r="AP2601" s="34"/>
      <c r="AQ2601" s="34"/>
      <c r="AR2601" s="34"/>
      <c r="AS2601" s="34"/>
      <c r="AT2601" s="34"/>
      <c r="AU2601" s="34"/>
      <c r="AV2601" s="34"/>
      <c r="AW2601" s="34"/>
      <c r="AX2601" s="34"/>
      <c r="AY2601" s="34"/>
      <c r="AZ2601" s="34"/>
      <c r="BA2601" s="34"/>
      <c r="BB2601" s="34"/>
      <c r="BC2601" s="34"/>
      <c r="BD2601" s="34"/>
      <c r="BE2601" s="34"/>
      <c r="BF2601" s="34"/>
      <c r="BG2601" s="34"/>
      <c r="BH2601" s="34"/>
      <c r="BI2601" s="34"/>
      <c r="BJ2601" s="34"/>
      <c r="BK2601" s="34"/>
      <c r="BL2601" s="34"/>
      <c r="BM2601" s="34"/>
      <c r="BN2601" s="34"/>
      <c r="BO2601" s="34"/>
      <c r="BP2601" s="34"/>
      <c r="BQ2601" s="34"/>
      <c r="BR2601" s="34"/>
      <c r="BS2601" s="34"/>
      <c r="BT2601" s="34"/>
      <c r="BU2601" s="34"/>
      <c r="BV2601" s="34"/>
      <c r="BW2601" s="34"/>
      <c r="BX2601" s="34"/>
      <c r="BY2601" s="34"/>
      <c r="BZ2601" s="34"/>
      <c r="CA2601" s="34"/>
      <c r="CB2601" s="34"/>
      <c r="CC2601" s="34"/>
      <c r="CD2601" s="34"/>
      <c r="CE2601" s="34"/>
      <c r="CF2601" s="34"/>
      <c r="CG2601" s="34"/>
      <c r="CH2601" s="34"/>
    </row>
    <row r="2602" spans="1:86" x14ac:dyDescent="0.2">
      <c r="A2602" s="11" t="s">
        <v>17</v>
      </c>
      <c r="B2602" s="11"/>
      <c r="C2602" s="27" t="s">
        <v>18</v>
      </c>
      <c r="D2602" s="27" t="s">
        <v>2</v>
      </c>
      <c r="E2602" s="27" t="s">
        <v>6</v>
      </c>
      <c r="F2602" s="27" t="s">
        <v>15</v>
      </c>
      <c r="G2602" s="27" t="s">
        <v>36</v>
      </c>
      <c r="H2602" s="27" t="s">
        <v>37</v>
      </c>
      <c r="I2602" s="27" t="s">
        <v>38</v>
      </c>
      <c r="J2602" s="27" t="s">
        <v>39</v>
      </c>
      <c r="K2602" s="27" t="s">
        <v>40</v>
      </c>
      <c r="L2602" s="27" t="s">
        <v>41</v>
      </c>
      <c r="M2602" s="27" t="s">
        <v>42</v>
      </c>
      <c r="N2602" s="27" t="s">
        <v>43</v>
      </c>
      <c r="O2602" s="27" t="s">
        <v>9</v>
      </c>
      <c r="P2602" s="27" t="s">
        <v>12</v>
      </c>
      <c r="Q2602" s="27" t="s">
        <v>19</v>
      </c>
      <c r="R2602" s="27" t="s">
        <v>55</v>
      </c>
      <c r="S2602" s="27" t="s">
        <v>26</v>
      </c>
      <c r="T2602" s="19" t="s">
        <v>25</v>
      </c>
      <c r="U2602" s="33" t="s">
        <v>27</v>
      </c>
      <c r="V2602" s="33" t="s">
        <v>9</v>
      </c>
      <c r="W2602" s="33" t="s">
        <v>23</v>
      </c>
      <c r="X2602" s="33" t="s">
        <v>12</v>
      </c>
      <c r="Y2602" s="33" t="s">
        <v>26</v>
      </c>
      <c r="Z2602" s="33" t="s">
        <v>25</v>
      </c>
      <c r="AA2602" s="33" t="s">
        <v>27</v>
      </c>
      <c r="AB2602" s="33" t="s">
        <v>9</v>
      </c>
      <c r="AC2602" s="33" t="s">
        <v>23</v>
      </c>
      <c r="AD2602" s="33" t="s">
        <v>12</v>
      </c>
      <c r="AE2602" s="33" t="s">
        <v>26</v>
      </c>
      <c r="AF2602" s="33" t="s">
        <v>25</v>
      </c>
      <c r="AG2602" s="33" t="s">
        <v>27</v>
      </c>
      <c r="AH2602" s="33" t="s">
        <v>9</v>
      </c>
      <c r="AI2602" s="33" t="s">
        <v>23</v>
      </c>
      <c r="AJ2602" s="33" t="s">
        <v>12</v>
      </c>
      <c r="AK2602" s="33" t="s">
        <v>26</v>
      </c>
      <c r="AL2602" s="33" t="s">
        <v>25</v>
      </c>
      <c r="AM2602" s="33" t="s">
        <v>27</v>
      </c>
      <c r="AN2602" s="33" t="s">
        <v>9</v>
      </c>
      <c r="AO2602" s="33" t="s">
        <v>23</v>
      </c>
      <c r="AP2602" s="33" t="s">
        <v>12</v>
      </c>
      <c r="AQ2602" s="33" t="s">
        <v>26</v>
      </c>
      <c r="AR2602" s="33" t="s">
        <v>25</v>
      </c>
      <c r="AS2602" s="33" t="s">
        <v>27</v>
      </c>
      <c r="AT2602" s="33" t="s">
        <v>9</v>
      </c>
      <c r="AU2602" s="33" t="s">
        <v>23</v>
      </c>
      <c r="AV2602" s="33" t="s">
        <v>12</v>
      </c>
      <c r="AW2602" s="33" t="s">
        <v>26</v>
      </c>
      <c r="AX2602" s="33" t="s">
        <v>25</v>
      </c>
      <c r="AY2602" s="33" t="s">
        <v>27</v>
      </c>
      <c r="AZ2602" s="33" t="s">
        <v>9</v>
      </c>
      <c r="BA2602" s="33" t="s">
        <v>23</v>
      </c>
      <c r="BB2602" s="33" t="s">
        <v>12</v>
      </c>
      <c r="BC2602" s="33" t="s">
        <v>26</v>
      </c>
      <c r="BD2602" s="33" t="s">
        <v>25</v>
      </c>
      <c r="BE2602" s="33" t="s">
        <v>27</v>
      </c>
      <c r="BF2602" s="33" t="s">
        <v>9</v>
      </c>
      <c r="BG2602" s="33" t="s">
        <v>23</v>
      </c>
      <c r="BH2602" s="33" t="s">
        <v>12</v>
      </c>
      <c r="BI2602" s="33" t="s">
        <v>26</v>
      </c>
      <c r="BJ2602" s="33" t="s">
        <v>25</v>
      </c>
      <c r="BK2602" s="33" t="s">
        <v>27</v>
      </c>
      <c r="BL2602" s="33" t="s">
        <v>9</v>
      </c>
      <c r="BM2602" s="33" t="s">
        <v>23</v>
      </c>
      <c r="BN2602" s="33" t="s">
        <v>12</v>
      </c>
      <c r="BO2602" s="33" t="s">
        <v>26</v>
      </c>
      <c r="BP2602" s="33" t="s">
        <v>25</v>
      </c>
      <c r="BQ2602" s="33" t="s">
        <v>27</v>
      </c>
      <c r="BR2602" s="33" t="s">
        <v>9</v>
      </c>
      <c r="BS2602" s="33" t="s">
        <v>23</v>
      </c>
      <c r="BT2602" s="33" t="s">
        <v>12</v>
      </c>
      <c r="BU2602" s="33" t="s">
        <v>26</v>
      </c>
      <c r="BV2602" s="33" t="s">
        <v>25</v>
      </c>
      <c r="BW2602" s="33" t="s">
        <v>27</v>
      </c>
      <c r="BX2602" s="33" t="s">
        <v>9</v>
      </c>
      <c r="BY2602" s="33" t="s">
        <v>23</v>
      </c>
      <c r="BZ2602" s="33" t="s">
        <v>12</v>
      </c>
      <c r="CA2602" s="33" t="s">
        <v>26</v>
      </c>
      <c r="CB2602" s="33" t="s">
        <v>25</v>
      </c>
      <c r="CC2602" s="33" t="s">
        <v>27</v>
      </c>
      <c r="CD2602" s="33" t="s">
        <v>9</v>
      </c>
      <c r="CE2602" s="33" t="s">
        <v>23</v>
      </c>
      <c r="CF2602" s="33" t="s">
        <v>12</v>
      </c>
      <c r="CG2602" s="33" t="s">
        <v>26</v>
      </c>
      <c r="CH2602" s="33" t="s">
        <v>25</v>
      </c>
    </row>
    <row r="2603" spans="1:86" x14ac:dyDescent="0.2">
      <c r="A2603" s="8" t="str">
        <f>IF(AND(COUNTIF(W$3:W$13,A$15)&gt;0,A$15&lt;&gt;B2578),A$15,IFERROR(IF(MATCH(A$15,Z$3:Z$13,0)=2,A$15," ")," "))</f>
        <v xml:space="preserve"> </v>
      </c>
      <c r="B2603" s="8" t="str">
        <f>IF(A2603=" "," ",1)</f>
        <v xml:space="preserve"> </v>
      </c>
      <c r="C2603" s="8" t="str">
        <f>IFERROR(INDEX(A2603:A2624,MATCH(SMALL(B2603:B2624,1),B2603:B2624,0),1)," ")</f>
        <v>C2</v>
      </c>
      <c r="D2603" s="8">
        <f>IFERROR(VLOOKUP($C2603,$A$15:$O$36,2,FALSE)," ")</f>
        <v>1</v>
      </c>
      <c r="E2603" s="8">
        <f>IFERROR(VLOOKUP($C2603,$A$15:$O$36,3,FALSE)," ")</f>
        <v>3</v>
      </c>
      <c r="F2603" s="8">
        <f>IFERROR(VLOOKUP($C2603,$A$15:$O$36,4,FALSE)," ")</f>
        <v>2</v>
      </c>
      <c r="G2603" s="8">
        <f>IFERROR(VLOOKUP($C2603,$A$15:$O$36,5,FALSE)," ")</f>
        <v>0</v>
      </c>
      <c r="H2603" s="8">
        <f>IFERROR(VLOOKUP($C2603,$A$15:$O$36,6,FALSE)," ")</f>
        <v>0</v>
      </c>
      <c r="I2603" s="8">
        <f>IFERROR(VLOOKUP($C2603,$A$15:$O$36,7,FALSE)," ")</f>
        <v>0</v>
      </c>
      <c r="J2603" s="8">
        <f>IFERROR(VLOOKUP($C2603,$A$15:$O$36,8,FALSE)," ")</f>
        <v>0</v>
      </c>
      <c r="K2603" s="8">
        <f>IFERROR(VLOOKUP($C2603,$A$15:$O$36,9,FALSE)," ")</f>
        <v>0</v>
      </c>
      <c r="L2603" s="8">
        <f>IFERROR(VLOOKUP($C2603,$A$15:$O$36,10,FALSE)," ")</f>
        <v>0</v>
      </c>
      <c r="M2603" s="8">
        <f>IFERROR(VLOOKUP($C2603,$A$15:$O$36,11,FALSE)," ")</f>
        <v>0</v>
      </c>
      <c r="N2603" s="8">
        <f>IFERROR(VLOOKUP($C2603,$A$15:$O$36,12,FALSE)," ")</f>
        <v>0</v>
      </c>
      <c r="O2603" s="8">
        <f>IFERROR(VLOOKUP($C2603,$A$15:$O$36,15,FALSE)," ")</f>
        <v>1000</v>
      </c>
      <c r="P2603" s="8" t="e">
        <f t="array" ref="P2603:P2613">MMULT(MINVERSE(D2603:N2613),O2603:O2613)</f>
        <v>#NUM!</v>
      </c>
      <c r="Q2603" s="8" t="e">
        <f t="shared" ref="Q2603" si="11351">IF(COUNTIF(P2603:P2613,"&lt;"&amp;-0.001)=0,IF(ABS(P2603)&lt;0.001,0,P2603)," ")</f>
        <v>#NUM!</v>
      </c>
      <c r="R2603" s="8" t="str">
        <f>IFERROR(VLOOKUP(B2578,A$15:L$36,2,FALSE)*Q2603+VLOOKUP(B2578,A$15:L$36,3,FALSE)*Q2604+VLOOKUP(B2578,A$15:L$36,4,FALSE)*Q2605+VLOOKUP(B2578,A$15:L$36,5,FALSE)*Q2606+VLOOKUP(B2578,A$15:L$36,6,FALSE)*Q2607+VLOOKUP(B2578,A$15:L$36,7,FALSE)*Q2608+VLOOKUP(B2578,A$15:L$36,8,FALSE)*Q2609+VLOOKUP(B2578,A$15:L$36,9,FALSE)*Q2610+VLOOKUP(B2578,A$15:L$36,10,FALSE)*Q2611+VLOOKUP(B2578,A$15:L$36,11,FALSE)*Q2612+VLOOKUP(B2578,A$15:L$36,12,FALSE)*Q2613," ")</f>
        <v xml:space="preserve"> </v>
      </c>
      <c r="S2603" s="8" t="str">
        <f>IFERROR(IF(R2603-VLOOKUP(B2578,A$15:O$36,15,FALSE)&lt;0,R2603-VLOOKUP(B2578,A$15:O$36,15,FALSE)," ")," ")</f>
        <v xml:space="preserve"> </v>
      </c>
      <c r="T2603" s="18" t="str">
        <f>IFERROR(IF(R2603-VLOOKUP(B2578,A$15:O$36,15,FALSE)&gt;0,R2603-VLOOKUP(B2578,A$15:O$36,15,FALSE)," ")," ")</f>
        <v xml:space="preserve"> </v>
      </c>
      <c r="U2603" s="34">
        <f t="shared" ref="U2603" si="11352">$M$2</f>
        <v>100.00000000000001</v>
      </c>
      <c r="V2603" s="34">
        <v>-1</v>
      </c>
      <c r="W2603" s="34">
        <f t="shared" ref="W2603" si="11353">-SUMPRODUCT($M$3:$M$12,$N$3:$N$12)</f>
        <v>-105000</v>
      </c>
      <c r="X2603" s="34" t="e">
        <f t="shared" ref="X2603" si="11354">IF(U2603&lt;&gt;U2604,MMULT(MINVERSE(U2603:V2604),W2603:W2604)," ")</f>
        <v>#NUM!</v>
      </c>
      <c r="Y2603" s="34" t="str">
        <f t="shared" ref="Y2603" si="11355">IFERROR(IF(X2603-VLOOKUP(U$38,$A$2:$N$12,14,FALSE)&lt;0,X2603-VLOOKUP(U$38,$A$2:$N$12,14,FALSE)," ")," ")</f>
        <v xml:space="preserve"> </v>
      </c>
      <c r="Z2603" s="34" t="str">
        <f t="shared" ref="Z2603" si="11356">IFERROR(IF(X2603-VLOOKUP(U$38,$A$2:$N$12,14,FALSE)&gt;0,X2603-VLOOKUP(U$38,$A$2:$N$12,14,FALSE)," ")," ")</f>
        <v xml:space="preserve"> </v>
      </c>
      <c r="AA2603" s="34">
        <f t="shared" ref="AA2603" si="11357">$M$3</f>
        <v>0</v>
      </c>
      <c r="AB2603" s="34">
        <v>-1</v>
      </c>
      <c r="AC2603" s="34">
        <f t="shared" ref="AC2603" si="11358">-SUMPRODUCT($M$2:$M$2,$N$2:$N$2)-SUMPRODUCT($M$4:$M$12,$N$4:$N$12)</f>
        <v>-120000</v>
      </c>
      <c r="AD2603" s="34" t="e">
        <f t="shared" ref="AD2603" si="11359">IF(AA2603&lt;&gt;AA2604,MMULT(MINVERSE(AA2603:AB2604),AC2603:AC2604)," ")</f>
        <v>#NUM!</v>
      </c>
      <c r="AE2603" s="34" t="str">
        <f t="shared" ref="AE2603" si="11360">IFERROR(IF(AD2603-VLOOKUP(AA$38,$A$2:$N$12,14,FALSE)&lt;0,AD2603-VLOOKUP(AA$38,$A$2:$N$12,14,FALSE)," ")," ")</f>
        <v xml:space="preserve"> </v>
      </c>
      <c r="AF2603" s="34" t="str">
        <f t="shared" ref="AF2603" si="11361">IFERROR(IF(AD2603-VLOOKUP(AA$38,$A$2:$N$12,14,FALSE)&gt;0,AD2603-VLOOKUP(AA$38,$A$2:$N$12,14,FALSE)," ")," ")</f>
        <v xml:space="preserve"> </v>
      </c>
      <c r="AG2603" s="34">
        <f t="shared" ref="AG2603" si="11362">$M$4</f>
        <v>300</v>
      </c>
      <c r="AH2603" s="34">
        <v>-1</v>
      </c>
      <c r="AI2603" s="34">
        <f t="shared" ref="AI2603" si="11363">-SUMPRODUCT($M$2:$M$3,$N$2:$N$3)-SUMPRODUCT($M$5:$M$12,$N$5:$N$12)</f>
        <v>-15000.000000000002</v>
      </c>
      <c r="AJ2603" s="34" t="e">
        <f t="shared" ref="AJ2603" si="11364">IF(AG2603&lt;&gt;AG2604,MMULT(MINVERSE(AG2603:AH2604),AI2603:AI2604)," ")</f>
        <v>#NUM!</v>
      </c>
      <c r="AK2603" s="34" t="str">
        <f t="shared" ref="AK2603" si="11365">IFERROR(IF(AJ2603-VLOOKUP(AG$38,$A$2:$N$12,14,FALSE)&lt;0,AJ2603-VLOOKUP(AG$38,$A$2:$N$12,14,FALSE)," ")," ")</f>
        <v xml:space="preserve"> </v>
      </c>
      <c r="AL2603" s="34" t="str">
        <f t="shared" ref="AL2603" si="11366">IFERROR(IF(AJ2603-VLOOKUP(AG$38,$A$2:$N$12,14,FALSE)&gt;0,AJ2603-VLOOKUP(AG$38,$A$2:$N$12,14,FALSE)," ")," ")</f>
        <v xml:space="preserve"> </v>
      </c>
      <c r="AM2603" s="34">
        <f t="shared" ref="AM2603" si="11367">$M$5</f>
        <v>0</v>
      </c>
      <c r="AN2603" s="34">
        <v>-1</v>
      </c>
      <c r="AO2603" s="34">
        <f t="shared" ref="AO2603" si="11368">-SUMPRODUCT($M$2:$M$4,$N$2:$N$4)-SUMPRODUCT($M$6:$M$12,$N$6:$N$12)</f>
        <v>-120000</v>
      </c>
      <c r="AP2603" s="34" t="e">
        <f t="shared" ref="AP2603" si="11369">IF(AM2603&lt;&gt;AM2604,MMULT(MINVERSE(AM2603:AN2604),AO2603:AO2604)," ")</f>
        <v>#NUM!</v>
      </c>
      <c r="AQ2603" s="34" t="str">
        <f t="shared" ref="AQ2603" si="11370">IFERROR(IF(AP2603-VLOOKUP(AM$38,$A$2:$N$12,14,FALSE)&lt;0,AP2603-VLOOKUP(AM$38,$A$2:$N$12,14,FALSE)," ")," ")</f>
        <v xml:space="preserve"> </v>
      </c>
      <c r="AR2603" s="34" t="str">
        <f t="shared" ref="AR2603" si="11371">IFERROR(IF(AP2603-VLOOKUP(AM$38,$A$2:$N$12,14,FALSE)&gt;0,AP2603-VLOOKUP(AM$38,$A$2:$N$12,14,FALSE)," ")," ")</f>
        <v xml:space="preserve"> </v>
      </c>
      <c r="AS2603" s="34">
        <f t="shared" ref="AS2603" si="11372">$M$6</f>
        <v>0</v>
      </c>
      <c r="AT2603" s="34">
        <v>-1</v>
      </c>
      <c r="AU2603" s="34">
        <f t="shared" ref="AU2603" si="11373">-SUMPRODUCT($M$2:$M$5,$N$2:$N$5)-SUMPRODUCT($M$7:$M$12,$N$7:$N$12)</f>
        <v>-120000</v>
      </c>
      <c r="AV2603" s="34" t="e">
        <f t="shared" ref="AV2603" si="11374">IF(AS2603&lt;&gt;AS2604,MMULT(MINVERSE(AS2603:AT2604),AU2603:AU2604)," ")</f>
        <v>#NUM!</v>
      </c>
      <c r="AW2603" s="34" t="str">
        <f t="shared" ref="AW2603" si="11375">IFERROR(IF(AV2603-VLOOKUP(AS$38,$A$2:$N$12,14,FALSE)&lt;0,AV2603-VLOOKUP(AS$38,$A$2:$N$12,14,FALSE)," ")," ")</f>
        <v xml:space="preserve"> </v>
      </c>
      <c r="AX2603" s="34" t="str">
        <f t="shared" ref="AX2603" si="11376">IFERROR(IF(AV2603-VLOOKUP(AS$38,$A$2:$N$12,14,FALSE)&gt;0,AV2603-VLOOKUP(AS$38,$A$2:$N$12,14,FALSE)," ")," ")</f>
        <v xml:space="preserve"> </v>
      </c>
      <c r="AY2603" s="34">
        <f t="shared" ref="AY2603" si="11377">$M$7</f>
        <v>0</v>
      </c>
      <c r="AZ2603" s="34">
        <v>-1</v>
      </c>
      <c r="BA2603" s="34">
        <f t="shared" ref="BA2603" si="11378">-SUMPRODUCT($M$2:$M$6,$N$2:$N$6)-SUMPRODUCT($M$8:$M$12,$N$8:$N$12)</f>
        <v>-120000</v>
      </c>
      <c r="BB2603" s="34" t="e">
        <f t="shared" ref="BB2603" si="11379">IF(AY2603&lt;&gt;AY2604,MMULT(MINVERSE(AY2603:AZ2604),BA2603:BA2604)," ")</f>
        <v>#NUM!</v>
      </c>
      <c r="BC2603" s="34" t="str">
        <f t="shared" ref="BC2603" si="11380">IFERROR(IF(BB2603-VLOOKUP(AY$38,$A$2:$N$12,14,FALSE)&lt;0,BB2603-VLOOKUP(AY$38,$A$2:$N$12,14,FALSE)," ")," ")</f>
        <v xml:space="preserve"> </v>
      </c>
      <c r="BD2603" s="34" t="str">
        <f t="shared" ref="BD2603" si="11381">IFERROR(IF(BB2603-VLOOKUP(AY$38,$A$2:$N$12,14,FALSE)&gt;0,BB2603-VLOOKUP(AY$38,$A$2:$N$12,14,FALSE)," ")," ")</f>
        <v xml:space="preserve"> </v>
      </c>
      <c r="BE2603" s="34">
        <f t="shared" ref="BE2603" si="11382">$M$8</f>
        <v>0</v>
      </c>
      <c r="BF2603" s="34">
        <v>-1</v>
      </c>
      <c r="BG2603" s="34">
        <f t="shared" ref="BG2603" si="11383">-SUMPRODUCT($M$2:$M$7,$N$2:$N$7)-SUMPRODUCT($M$9:$M$12,$N$9:$N$12)</f>
        <v>-120000</v>
      </c>
      <c r="BH2603" s="34" t="e">
        <f t="shared" ref="BH2603" si="11384">IF(BE2603&lt;&gt;BE2604,MMULT(MINVERSE(BE2603:BF2604),BG2603:BG2604)," ")</f>
        <v>#NUM!</v>
      </c>
      <c r="BI2603" s="34" t="str">
        <f t="shared" ref="BI2603" si="11385">IFERROR(IF(BH2603-VLOOKUP(BE$38,$A$2:$N$12,14,FALSE)&lt;0,BH2603-VLOOKUP(BE$38,$A$2:$N$12,14,FALSE)," ")," ")</f>
        <v xml:space="preserve"> </v>
      </c>
      <c r="BJ2603" s="34" t="str">
        <f t="shared" ref="BJ2603" si="11386">IFERROR(IF(BH2603-VLOOKUP(BE$38,$A$2:$N$12,14,FALSE)&gt;0,BH2603-VLOOKUP(BE$38,$A$2:$N$12,14,FALSE)," ")," ")</f>
        <v xml:space="preserve"> </v>
      </c>
      <c r="BK2603" s="34">
        <f t="shared" ref="BK2603" si="11387">$M$9</f>
        <v>0</v>
      </c>
      <c r="BL2603" s="34">
        <v>-1</v>
      </c>
      <c r="BM2603" s="34">
        <f t="shared" ref="BM2603" si="11388">-SUMPRODUCT($M$2:$M$8,$N$2:$N$8)-SUMPRODUCT($M$10:$M$12,$N$10:$N$12)</f>
        <v>-120000</v>
      </c>
      <c r="BN2603" s="34" t="e">
        <f t="shared" ref="BN2603" si="11389">IF(BK2603&lt;&gt;BK2604,MMULT(MINVERSE(BK2603:BL2604),BM2603:BM2604)," ")</f>
        <v>#NUM!</v>
      </c>
      <c r="BO2603" s="34" t="str">
        <f t="shared" ref="BO2603" si="11390">IFERROR(IF(BN2603-VLOOKUP(BK$38,$A$2:$N$12,14,FALSE)&lt;0,BN2603-VLOOKUP(BK$38,$A$2:$N$12,14,FALSE)," ")," ")</f>
        <v xml:space="preserve"> </v>
      </c>
      <c r="BP2603" s="34" t="str">
        <f t="shared" ref="BP2603" si="11391">IFERROR(IF(BN2603-VLOOKUP(BK$38,$A$2:$N$12,14,FALSE)&gt;0,BN2603-VLOOKUP(BK$38,$A$2:$N$12,14,FALSE)," ")," ")</f>
        <v xml:space="preserve"> </v>
      </c>
      <c r="BQ2603" s="34">
        <f t="shared" ref="BQ2603" si="11392">$M$10</f>
        <v>0</v>
      </c>
      <c r="BR2603" s="34">
        <v>-1</v>
      </c>
      <c r="BS2603" s="34">
        <f t="shared" ref="BS2603" si="11393">-SUMPRODUCT($M$2:$M$9,$N$2:$N$9)-SUMPRODUCT($M$11:$M$12,$N$11:$N$12)</f>
        <v>-120000</v>
      </c>
      <c r="BT2603" s="34" t="e">
        <f t="shared" ref="BT2603" si="11394">IF(BQ2603&lt;&gt;BQ2604,MMULT(MINVERSE(BQ2603:BR2604),BS2603:BS2604)," ")</f>
        <v>#NUM!</v>
      </c>
      <c r="BU2603" s="34" t="str">
        <f t="shared" ref="BU2603" si="11395">IFERROR(IF(BT2603-VLOOKUP(BQ$38,$A$2:$N$12,14,FALSE)&lt;0,BT2603-VLOOKUP(BQ$38,$A$2:$N$12,14,FALSE)," ")," ")</f>
        <v xml:space="preserve"> </v>
      </c>
      <c r="BV2603" s="34" t="str">
        <f t="shared" ref="BV2603" si="11396">IFERROR(IF(BT2603-VLOOKUP(BQ$38,$A$2:$N$12,14,FALSE)&gt;0,BT2603-VLOOKUP(BQ$38,$A$2:$N$12,14,FALSE)," ")," ")</f>
        <v xml:space="preserve"> </v>
      </c>
      <c r="BW2603" s="34">
        <f t="shared" ref="BW2603" si="11397">$M$11</f>
        <v>0</v>
      </c>
      <c r="BX2603" s="34">
        <v>-1</v>
      </c>
      <c r="BY2603" s="34">
        <f t="shared" ref="BY2603" si="11398">-SUMPRODUCT($M$2:$M$10,$N$2:$N$10)-SUMPRODUCT($M$12,$N$12)</f>
        <v>-120000</v>
      </c>
      <c r="BZ2603" s="34" t="e">
        <f t="shared" ref="BZ2603" si="11399">IF(BW2603&lt;&gt;BW2604,MMULT(MINVERSE(BW2603:BX2604),BY2603:BY2604)," ")</f>
        <v>#NUM!</v>
      </c>
      <c r="CA2603" s="34" t="str">
        <f t="shared" ref="CA2603" si="11400">IFERROR(IF(BZ2603-VLOOKUP(BW$38,$A$2:$N$12,14,FALSE)&lt;0,BZ2603-VLOOKUP(BW$38,$A$2:$N$12,14,FALSE)," ")," ")</f>
        <v xml:space="preserve"> </v>
      </c>
      <c r="CB2603" s="34" t="str">
        <f t="shared" ref="CB2603" si="11401">IFERROR(IF(BZ2603-VLOOKUP(BW$38,$A$2:$N$12,14,FALSE)&gt;0,BZ2603-VLOOKUP(BW$38,$A$2:$N$12,14,FALSE)," ")," ")</f>
        <v xml:space="preserve"> </v>
      </c>
      <c r="CC2603" s="34">
        <f t="shared" ref="CC2603" si="11402">$M$12</f>
        <v>0</v>
      </c>
      <c r="CD2603" s="34">
        <v>-1</v>
      </c>
      <c r="CE2603" s="34">
        <f t="shared" ref="CE2603" si="11403">-SUMPRODUCT($M$2:$M$11,$N$2:$N$11)</f>
        <v>-120000</v>
      </c>
      <c r="CF2603" s="34" t="e">
        <f t="shared" ref="CF2603" si="11404">IF(CC2603&lt;&gt;CC2604,MMULT(MINVERSE(CC2603:CD2604),CE2603:CE2604)," ")</f>
        <v>#NUM!</v>
      </c>
      <c r="CG2603" s="34" t="str">
        <f t="shared" ref="CG2603" si="11405">IFERROR(IF(CF2603-VLOOKUP(CC$38,$A$2:$N$12,14,FALSE)&lt;0,CF2603-VLOOKUP(CC$38,$A$2:$N$12,14,FALSE)," ")," ")</f>
        <v xml:space="preserve"> </v>
      </c>
      <c r="CH2603" s="34" t="str">
        <f t="shared" ref="CH2603" si="11406">IFERROR(IF(CF2603-VLOOKUP(CC$38,$A$2:$N$12,14,FALSE)&gt;0,CF2603-VLOOKUP(CC$38,$A$2:$N$12,14,FALSE)," ")," ")</f>
        <v xml:space="preserve"> </v>
      </c>
    </row>
    <row r="2604" spans="1:86" x14ac:dyDescent="0.2">
      <c r="A2604" s="8" t="str">
        <f>IF(AND(COUNTIF(W$3:W$13,A$16)&gt;0,A$16&lt;&gt;B2578),A$16,IFERROR(IF(MATCH(A$16,Z$3:Z$13,0)=2,A$16," ")," "))</f>
        <v>C2</v>
      </c>
      <c r="B2604" s="8">
        <f>IF(A2604=" "," ",MAX(B2603:B2603)+1)</f>
        <v>1</v>
      </c>
      <c r="C2604" s="8" t="str">
        <f>IFERROR(INDEX(A2603:A2624,MATCH(SMALL(B2603:B2624,2),B2603:B2624,0),1)," ")</f>
        <v>C3</v>
      </c>
      <c r="D2604" s="8">
        <f t="shared" ref="D2604:D2613" si="11407">IFERROR(VLOOKUP($C2604,$A$15:$O$36,2,FALSE)," ")</f>
        <v>2</v>
      </c>
      <c r="E2604" s="8">
        <f t="shared" ref="E2604:E2613" si="11408">IFERROR(VLOOKUP($C2604,$A$15:$O$36,3,FALSE)," ")</f>
        <v>5</v>
      </c>
      <c r="F2604" s="8">
        <f t="shared" ref="F2604:F2613" si="11409">IFERROR(VLOOKUP($C2604,$A$15:$O$36,4,FALSE)," ")</f>
        <v>6</v>
      </c>
      <c r="G2604" s="8">
        <f t="shared" ref="G2604:G2613" si="11410">IFERROR(VLOOKUP($C2604,$A$15:$O$36,5,FALSE)," ")</f>
        <v>0</v>
      </c>
      <c r="H2604" s="8">
        <f t="shared" ref="H2604:H2613" si="11411">IFERROR(VLOOKUP($C2604,$A$15:$O$36,6,FALSE)," ")</f>
        <v>0</v>
      </c>
      <c r="I2604" s="8">
        <f t="shared" ref="I2604:I2613" si="11412">IFERROR(VLOOKUP($C2604,$A$15:$O$36,7,FALSE)," ")</f>
        <v>0</v>
      </c>
      <c r="J2604" s="8">
        <f t="shared" ref="J2604:J2613" si="11413">IFERROR(VLOOKUP($C2604,$A$15:$O$36,8,FALSE)," ")</f>
        <v>0</v>
      </c>
      <c r="K2604" s="8">
        <f t="shared" ref="K2604:K2613" si="11414">IFERROR(VLOOKUP($C2604,$A$15:$O$36,9,FALSE)," ")</f>
        <v>0</v>
      </c>
      <c r="L2604" s="8">
        <f t="shared" ref="L2604:L2613" si="11415">IFERROR(VLOOKUP($C2604,$A$15:$O$36,10,FALSE)," ")</f>
        <v>0</v>
      </c>
      <c r="M2604" s="8">
        <f t="shared" ref="M2604:M2613" si="11416">IFERROR(VLOOKUP($C2604,$A$15:$O$36,11,FALSE)," ")</f>
        <v>0</v>
      </c>
      <c r="N2604" s="8">
        <f t="shared" ref="N2604:N2613" si="11417">IFERROR(VLOOKUP($C2604,$A$15:$O$36,12,FALSE)," ")</f>
        <v>0</v>
      </c>
      <c r="O2604" s="8">
        <f t="shared" ref="O2604:O2613" si="11418">IFERROR(VLOOKUP($C2604,$A$15:$O$36,15,FALSE)," ")</f>
        <v>2000</v>
      </c>
      <c r="P2604" s="8" t="e">
        <v>#NUM!</v>
      </c>
      <c r="Q2604" s="8" t="e">
        <f t="shared" ref="Q2604" si="11419">IF(COUNTIF(P2603:P2613,"&lt;"&amp;-0.001)=0,IF(ABS(P2604)&lt;0.001,0,P2604)," ")</f>
        <v>#NUM!</v>
      </c>
      <c r="R2604" s="8"/>
      <c r="S2604" s="8"/>
      <c r="U2604" s="34" t="e">
        <f t="shared" ref="U2604" si="11420">$Q2603</f>
        <v>#NUM!</v>
      </c>
      <c r="V2604" s="34">
        <v>-1</v>
      </c>
      <c r="W2604" s="34" t="e">
        <f t="shared" ref="W2604" si="11421">-SUMPRODUCT($Q2604:$Q2613,$N$3:$N$12)</f>
        <v>#NUM!</v>
      </c>
      <c r="X2604" s="34"/>
      <c r="Y2604" s="34"/>
      <c r="Z2604" s="34"/>
      <c r="AA2604" s="34" t="e">
        <f t="shared" ref="AA2604" si="11422">$Q2604</f>
        <v>#NUM!</v>
      </c>
      <c r="AB2604" s="34">
        <v>-1</v>
      </c>
      <c r="AC2604" s="34" t="e">
        <f t="shared" ref="AC2604" si="11423">-SUMPRODUCT($Q2603:$Q2603,$N$2:$N$2)-SUMPRODUCT($Q2605:$Q2613,$N$4:$N$12)</f>
        <v>#NUM!</v>
      </c>
      <c r="AD2604" s="34"/>
      <c r="AE2604" s="34"/>
      <c r="AF2604" s="34"/>
      <c r="AG2604" s="34" t="e">
        <f t="shared" ref="AG2604" si="11424">$Q2605</f>
        <v>#NUM!</v>
      </c>
      <c r="AH2604" s="34">
        <v>-1</v>
      </c>
      <c r="AI2604" s="34" t="e">
        <f t="shared" ref="AI2604" si="11425">-SUMPRODUCT($Q2603:$Q2604,$N$2:$N$3)-SUMPRODUCT($Q2606:$Q2613,$N$5:$N$12)</f>
        <v>#NUM!</v>
      </c>
      <c r="AJ2604" s="34"/>
      <c r="AK2604" s="34"/>
      <c r="AL2604" s="34"/>
      <c r="AM2604" s="34" t="e">
        <f t="shared" ref="AM2604" si="11426">$Q2606</f>
        <v>#NUM!</v>
      </c>
      <c r="AN2604" s="34">
        <v>-1</v>
      </c>
      <c r="AO2604" s="34" t="e">
        <f t="shared" ref="AO2604" si="11427">-SUMPRODUCT($Q2603:$Q2605,$N$2:$N$4)-SUMPRODUCT($Q2607:$Q2613,$N$6:$N$12)</f>
        <v>#NUM!</v>
      </c>
      <c r="AP2604" s="34"/>
      <c r="AQ2604" s="34"/>
      <c r="AR2604" s="34"/>
      <c r="AS2604" s="34" t="e">
        <f t="shared" ref="AS2604" si="11428">$Q2607</f>
        <v>#NUM!</v>
      </c>
      <c r="AT2604" s="34">
        <v>-1</v>
      </c>
      <c r="AU2604" s="34" t="e">
        <f t="shared" ref="AU2604" si="11429">-SUMPRODUCT($Q2603:$Q2606,$N$2:$N$5)-SUMPRODUCT($Q2608:$Q2613,$N$7:$N$12)</f>
        <v>#NUM!</v>
      </c>
      <c r="AV2604" s="34"/>
      <c r="AW2604" s="34"/>
      <c r="AX2604" s="34"/>
      <c r="AY2604" s="34" t="e">
        <f t="shared" ref="AY2604" si="11430">$Q2608</f>
        <v>#NUM!</v>
      </c>
      <c r="AZ2604" s="34">
        <v>-1</v>
      </c>
      <c r="BA2604" s="34" t="e">
        <f t="shared" ref="BA2604" si="11431">-SUMPRODUCT($Q2603:$Q2607,$N$2:$N$6)-SUMPRODUCT($Q2609:$Q2613,$N$8:$N$12)</f>
        <v>#NUM!</v>
      </c>
      <c r="BB2604" s="34"/>
      <c r="BC2604" s="34"/>
      <c r="BD2604" s="34"/>
      <c r="BE2604" s="34" t="e">
        <f t="shared" ref="BE2604" si="11432">$Q2609</f>
        <v>#NUM!</v>
      </c>
      <c r="BF2604" s="34">
        <v>-1</v>
      </c>
      <c r="BG2604" s="34" t="e">
        <f t="shared" ref="BG2604" si="11433">-SUMPRODUCT($Q2603:$Q2608,$N$2:$N$7)-SUMPRODUCT($Q2610:$Q2613,$N$9:$N$12)</f>
        <v>#NUM!</v>
      </c>
      <c r="BH2604" s="34"/>
      <c r="BI2604" s="34"/>
      <c r="BJ2604" s="34"/>
      <c r="BK2604" s="34" t="e">
        <f t="shared" ref="BK2604" si="11434">$Q2610</f>
        <v>#NUM!</v>
      </c>
      <c r="BL2604" s="34">
        <v>-1</v>
      </c>
      <c r="BM2604" s="34" t="e">
        <f t="shared" ref="BM2604" si="11435">-SUMPRODUCT($Q2603:$Q2609,$N$2:$N$8)-SUMPRODUCT($Q2611:$Q2613,$N$10:$N$12)</f>
        <v>#NUM!</v>
      </c>
      <c r="BN2604" s="34"/>
      <c r="BO2604" s="34"/>
      <c r="BP2604" s="34"/>
      <c r="BQ2604" s="34" t="e">
        <f t="shared" ref="BQ2604" si="11436">$Q2611</f>
        <v>#NUM!</v>
      </c>
      <c r="BR2604" s="34">
        <v>-1</v>
      </c>
      <c r="BS2604" s="34" t="e">
        <f t="shared" ref="BS2604" si="11437">-SUMPRODUCT($Q2603:$Q2610,$N$2:$N$9)-SUMPRODUCT($Q2612:$Q2613,$N$11:$N$12)</f>
        <v>#NUM!</v>
      </c>
      <c r="BT2604" s="34"/>
      <c r="BU2604" s="34"/>
      <c r="BV2604" s="34"/>
      <c r="BW2604" s="34" t="e">
        <f t="shared" ref="BW2604" si="11438">$Q2612</f>
        <v>#NUM!</v>
      </c>
      <c r="BX2604" s="34">
        <v>-1</v>
      </c>
      <c r="BY2604" s="34" t="e">
        <f t="shared" ref="BY2604" si="11439">-SUMPRODUCT($Q2603:$Q2611,$N$2:$N$10)-SUMPRODUCT($Q2613,$N$12)</f>
        <v>#NUM!</v>
      </c>
      <c r="BZ2604" s="34"/>
      <c r="CA2604" s="34"/>
      <c r="CB2604" s="34"/>
      <c r="CC2604" s="34" t="e">
        <f t="shared" ref="CC2604" si="11440">$Q2613</f>
        <v>#NUM!</v>
      </c>
      <c r="CD2604" s="34">
        <v>-1</v>
      </c>
      <c r="CE2604" s="34" t="e">
        <f t="shared" ref="CE2604" si="11441">-SUMPRODUCT($Q2603:$Q2612,$N$2:$N$11)</f>
        <v>#NUM!</v>
      </c>
      <c r="CF2604" s="34"/>
      <c r="CG2604" s="34"/>
      <c r="CH2604" s="34"/>
    </row>
    <row r="2605" spans="1:86" x14ac:dyDescent="0.2">
      <c r="A2605" s="8" t="str">
        <f>IF(AND(COUNTIF(W$3:W$13,A$17)&gt;0,A$17&lt;&gt;B2578),A$17,IFERROR(IF(MATCH(A$17,Z$3:Z$13,0)=2,A$17," ")," "))</f>
        <v>C3</v>
      </c>
      <c r="B2605" s="8">
        <f>IF(A2605=" "," ",MAX(B2603:B2604)+1)</f>
        <v>2</v>
      </c>
      <c r="C2605" s="8" t="str">
        <f>IFERROR(INDEX(A2603:A2624,MATCH(SMALL(B2603:B2624,3),B2603:B2624,0),1)," ")</f>
        <v>C4</v>
      </c>
      <c r="D2605" s="8">
        <f t="shared" si="11407"/>
        <v>1</v>
      </c>
      <c r="E2605" s="8">
        <f t="shared" si="11408"/>
        <v>0</v>
      </c>
      <c r="F2605" s="8">
        <f t="shared" si="11409"/>
        <v>1</v>
      </c>
      <c r="G2605" s="8">
        <f t="shared" si="11410"/>
        <v>0</v>
      </c>
      <c r="H2605" s="8">
        <f t="shared" si="11411"/>
        <v>0</v>
      </c>
      <c r="I2605" s="8">
        <f t="shared" si="11412"/>
        <v>0</v>
      </c>
      <c r="J2605" s="8">
        <f t="shared" si="11413"/>
        <v>0</v>
      </c>
      <c r="K2605" s="8">
        <f t="shared" si="11414"/>
        <v>0</v>
      </c>
      <c r="L2605" s="8">
        <f t="shared" si="11415"/>
        <v>0</v>
      </c>
      <c r="M2605" s="8">
        <f t="shared" si="11416"/>
        <v>0</v>
      </c>
      <c r="N2605" s="8">
        <f t="shared" si="11417"/>
        <v>0</v>
      </c>
      <c r="O2605" s="8">
        <f t="shared" si="11418"/>
        <v>400</v>
      </c>
      <c r="P2605" s="8" t="e">
        <v>#NUM!</v>
      </c>
      <c r="Q2605" s="8" t="e">
        <f t="shared" ref="Q2605" si="11442">IF(COUNTIF(P2603:P2613,"&lt;"&amp;-0.001)=0,IF(ABS(P2605)&lt;0.001,0,P2605)," ")</f>
        <v>#NUM!</v>
      </c>
      <c r="R2605" s="8"/>
      <c r="S2605" s="8"/>
      <c r="U2605" s="34"/>
      <c r="V2605" s="34"/>
      <c r="W2605" s="34"/>
      <c r="X2605" s="34"/>
      <c r="Y2605" s="34"/>
      <c r="Z2605" s="34"/>
      <c r="AA2605" s="34"/>
      <c r="AB2605" s="34"/>
      <c r="AC2605" s="34"/>
      <c r="AD2605" s="34"/>
      <c r="AE2605" s="34"/>
      <c r="AF2605" s="34"/>
      <c r="AG2605" s="34"/>
      <c r="AH2605" s="34"/>
      <c r="AI2605" s="34"/>
      <c r="AJ2605" s="34"/>
      <c r="AK2605" s="34"/>
      <c r="AL2605" s="34"/>
      <c r="AM2605" s="34"/>
      <c r="AN2605" s="34"/>
      <c r="AO2605" s="34"/>
      <c r="AP2605" s="34"/>
      <c r="AQ2605" s="34"/>
      <c r="AR2605" s="34"/>
      <c r="AS2605" s="34"/>
      <c r="AT2605" s="34"/>
      <c r="AU2605" s="34"/>
      <c r="AV2605" s="34"/>
      <c r="AW2605" s="34"/>
      <c r="AX2605" s="34"/>
      <c r="AY2605" s="34"/>
      <c r="AZ2605" s="34"/>
      <c r="BA2605" s="34"/>
      <c r="BB2605" s="34"/>
      <c r="BC2605" s="34"/>
      <c r="BD2605" s="34"/>
      <c r="BE2605" s="34"/>
      <c r="BF2605" s="34"/>
      <c r="BG2605" s="34"/>
      <c r="BH2605" s="34"/>
      <c r="BI2605" s="34"/>
      <c r="BJ2605" s="34"/>
      <c r="BK2605" s="34"/>
      <c r="BL2605" s="34"/>
      <c r="BM2605" s="34"/>
      <c r="BN2605" s="34"/>
      <c r="BO2605" s="34"/>
      <c r="BP2605" s="34"/>
      <c r="BQ2605" s="34"/>
      <c r="BR2605" s="34"/>
      <c r="BS2605" s="34"/>
      <c r="BT2605" s="34"/>
      <c r="BU2605" s="34"/>
      <c r="BV2605" s="34"/>
      <c r="BW2605" s="34"/>
      <c r="BX2605" s="34"/>
      <c r="BY2605" s="34"/>
      <c r="BZ2605" s="34"/>
      <c r="CA2605" s="34"/>
      <c r="CB2605" s="34"/>
      <c r="CC2605" s="34"/>
      <c r="CD2605" s="34"/>
      <c r="CE2605" s="34"/>
      <c r="CF2605" s="34"/>
      <c r="CG2605" s="34"/>
      <c r="CH2605" s="34"/>
    </row>
    <row r="2606" spans="1:86" x14ac:dyDescent="0.2">
      <c r="A2606" s="8" t="str">
        <f>IF(AND(COUNTIF(W$3:W$13,A$18)&gt;0,A$18&lt;&gt;B2578),A$18,IFERROR(IF(MATCH(A$18,Z$3:Z$13,0)=2,A$18," ")," "))</f>
        <v>C4</v>
      </c>
      <c r="B2606" s="8">
        <f>IF(A2606=" "," ",MAX(B2603:B2605)+1)</f>
        <v>3</v>
      </c>
      <c r="C2606" s="8" t="str">
        <f>IFERROR(INDEX(A2603:A2624,MATCH(SMALL(B2603:B2624,4),B2603:B2624,0),1)," ")</f>
        <v>C13</v>
      </c>
      <c r="D2606" s="8">
        <f t="shared" si="11407"/>
        <v>0</v>
      </c>
      <c r="E2606" s="8">
        <f t="shared" si="11408"/>
        <v>1</v>
      </c>
      <c r="F2606" s="8">
        <f t="shared" si="11409"/>
        <v>0</v>
      </c>
      <c r="G2606" s="8">
        <f t="shared" si="11410"/>
        <v>0</v>
      </c>
      <c r="H2606" s="8">
        <f t="shared" si="11411"/>
        <v>0</v>
      </c>
      <c r="I2606" s="8">
        <f t="shared" si="11412"/>
        <v>0</v>
      </c>
      <c r="J2606" s="8">
        <f t="shared" si="11413"/>
        <v>0</v>
      </c>
      <c r="K2606" s="8">
        <f t="shared" si="11414"/>
        <v>0</v>
      </c>
      <c r="L2606" s="8">
        <f t="shared" si="11415"/>
        <v>0</v>
      </c>
      <c r="M2606" s="8">
        <f t="shared" si="11416"/>
        <v>0</v>
      </c>
      <c r="N2606" s="8">
        <f t="shared" si="11417"/>
        <v>0</v>
      </c>
      <c r="O2606" s="8">
        <f t="shared" si="11418"/>
        <v>0</v>
      </c>
      <c r="P2606" s="8" t="e">
        <v>#NUM!</v>
      </c>
      <c r="Q2606" s="8" t="e">
        <f t="shared" ref="Q2606" si="11443">IF(COUNTIF(P2603:P2613,"&lt;"&amp;-0.001)=0,IF(ABS(P2606)&lt;0.001,0,P2606)," ")</f>
        <v>#NUM!</v>
      </c>
      <c r="R2606" s="8"/>
      <c r="S2606" s="8"/>
      <c r="U2606" s="34"/>
      <c r="V2606" s="34"/>
      <c r="W2606" s="34"/>
      <c r="X2606" s="34"/>
      <c r="Y2606" s="34"/>
      <c r="Z2606" s="34"/>
      <c r="AA2606" s="34"/>
      <c r="AB2606" s="34"/>
      <c r="AC2606" s="34"/>
      <c r="AD2606" s="34"/>
      <c r="AE2606" s="34"/>
      <c r="AF2606" s="34"/>
      <c r="AG2606" s="34"/>
      <c r="AH2606" s="34"/>
      <c r="AI2606" s="34"/>
      <c r="AJ2606" s="34"/>
      <c r="AK2606" s="34"/>
      <c r="AL2606" s="34"/>
      <c r="AM2606" s="34"/>
      <c r="AN2606" s="34"/>
      <c r="AO2606" s="34"/>
      <c r="AP2606" s="34"/>
      <c r="AQ2606" s="34"/>
      <c r="AR2606" s="34"/>
      <c r="AS2606" s="34"/>
      <c r="AT2606" s="34"/>
      <c r="AU2606" s="34"/>
      <c r="AV2606" s="34"/>
      <c r="AW2606" s="34"/>
      <c r="AX2606" s="34"/>
      <c r="AY2606" s="34"/>
      <c r="AZ2606" s="34"/>
      <c r="BA2606" s="34"/>
      <c r="BB2606" s="34"/>
      <c r="BC2606" s="34"/>
      <c r="BD2606" s="34"/>
      <c r="BE2606" s="34"/>
      <c r="BF2606" s="34"/>
      <c r="BG2606" s="34"/>
      <c r="BH2606" s="34"/>
      <c r="BI2606" s="34"/>
      <c r="BJ2606" s="34"/>
      <c r="BK2606" s="34"/>
      <c r="BL2606" s="34"/>
      <c r="BM2606" s="34"/>
      <c r="BN2606" s="34"/>
      <c r="BO2606" s="34"/>
      <c r="BP2606" s="34"/>
      <c r="BQ2606" s="34"/>
      <c r="BR2606" s="34"/>
      <c r="BS2606" s="34"/>
      <c r="BT2606" s="34"/>
      <c r="BU2606" s="34"/>
      <c r="BV2606" s="34"/>
      <c r="BW2606" s="34"/>
      <c r="BX2606" s="34"/>
      <c r="BY2606" s="34"/>
      <c r="BZ2606" s="34"/>
      <c r="CA2606" s="34"/>
      <c r="CB2606" s="34"/>
      <c r="CC2606" s="34"/>
      <c r="CD2606" s="34"/>
      <c r="CE2606" s="34"/>
      <c r="CF2606" s="34"/>
      <c r="CG2606" s="34"/>
      <c r="CH2606" s="34"/>
    </row>
    <row r="2607" spans="1:86" x14ac:dyDescent="0.2">
      <c r="A2607" s="8" t="str">
        <f>IF(AND(COUNTIF(W$3:W$13,A$19)&gt;0,A$19&lt;&gt;B2578),A$19,IFERROR(IF(MATCH(A$19,Z$3:Z$13,0)=2,A$19," ")," "))</f>
        <v xml:space="preserve"> </v>
      </c>
      <c r="B2607" s="8" t="str">
        <f>IF(A2607=" "," ",MAX(B2603:B2606)+1)</f>
        <v xml:space="preserve"> </v>
      </c>
      <c r="C2607" s="8" t="str">
        <f>IFERROR(INDEX(A2603:A2624,MATCH(SMALL(B2603:B2624,5),B2603:B2624,0),1)," ")</f>
        <v>C15</v>
      </c>
      <c r="D2607" s="8">
        <f t="shared" si="11407"/>
        <v>0</v>
      </c>
      <c r="E2607" s="8">
        <f t="shared" si="11408"/>
        <v>0</v>
      </c>
      <c r="F2607" s="8">
        <f t="shared" si="11409"/>
        <v>0</v>
      </c>
      <c r="G2607" s="8">
        <f t="shared" si="11410"/>
        <v>1</v>
      </c>
      <c r="H2607" s="8">
        <f t="shared" si="11411"/>
        <v>0</v>
      </c>
      <c r="I2607" s="8">
        <f t="shared" si="11412"/>
        <v>0</v>
      </c>
      <c r="J2607" s="8">
        <f t="shared" si="11413"/>
        <v>0</v>
      </c>
      <c r="K2607" s="8">
        <f t="shared" si="11414"/>
        <v>0</v>
      </c>
      <c r="L2607" s="8">
        <f t="shared" si="11415"/>
        <v>0</v>
      </c>
      <c r="M2607" s="8">
        <f t="shared" si="11416"/>
        <v>0</v>
      </c>
      <c r="N2607" s="8">
        <f t="shared" si="11417"/>
        <v>0</v>
      </c>
      <c r="O2607" s="8">
        <f t="shared" si="11418"/>
        <v>0</v>
      </c>
      <c r="P2607" s="8" t="e">
        <v>#NUM!</v>
      </c>
      <c r="Q2607" s="8" t="e">
        <f t="shared" ref="Q2607" si="11444">IF(COUNTIF(P2603:P2613,"&lt;"&amp;-0.001)=0,IF(ABS(P2607)&lt;0.001,0,P2607)," ")</f>
        <v>#NUM!</v>
      </c>
      <c r="R2607" s="8"/>
      <c r="S2607" s="8"/>
      <c r="U2607" s="34"/>
      <c r="V2607" s="34"/>
      <c r="W2607" s="34"/>
      <c r="X2607" s="34"/>
      <c r="Y2607" s="34"/>
      <c r="Z2607" s="34"/>
      <c r="AA2607" s="34"/>
      <c r="AB2607" s="34"/>
      <c r="AC2607" s="34"/>
      <c r="AD2607" s="34"/>
      <c r="AE2607" s="34"/>
      <c r="AF2607" s="34"/>
      <c r="AG2607" s="34"/>
      <c r="AH2607" s="34"/>
      <c r="AI2607" s="34"/>
      <c r="AJ2607" s="34"/>
      <c r="AK2607" s="34"/>
      <c r="AL2607" s="34"/>
      <c r="AM2607" s="34"/>
      <c r="AN2607" s="34"/>
      <c r="AO2607" s="34"/>
      <c r="AP2607" s="34"/>
      <c r="AQ2607" s="34"/>
      <c r="AR2607" s="34"/>
      <c r="AS2607" s="34"/>
      <c r="AT2607" s="34"/>
      <c r="AU2607" s="34"/>
      <c r="AV2607" s="34"/>
      <c r="AW2607" s="34"/>
      <c r="AX2607" s="34"/>
      <c r="AY2607" s="34"/>
      <c r="AZ2607" s="34"/>
      <c r="BA2607" s="34"/>
      <c r="BB2607" s="34"/>
      <c r="BC2607" s="34"/>
      <c r="BD2607" s="34"/>
      <c r="BE2607" s="34"/>
      <c r="BF2607" s="34"/>
      <c r="BG2607" s="34"/>
      <c r="BH2607" s="34"/>
      <c r="BI2607" s="34"/>
      <c r="BJ2607" s="34"/>
      <c r="BK2607" s="34"/>
      <c r="BL2607" s="34"/>
      <c r="BM2607" s="34"/>
      <c r="BN2607" s="34"/>
      <c r="BO2607" s="34"/>
      <c r="BP2607" s="34"/>
      <c r="BQ2607" s="34"/>
      <c r="BR2607" s="34"/>
      <c r="BS2607" s="34"/>
      <c r="BT2607" s="34"/>
      <c r="BU2607" s="34"/>
      <c r="BV2607" s="34"/>
      <c r="BW2607" s="34"/>
      <c r="BX2607" s="34"/>
      <c r="BY2607" s="34"/>
      <c r="BZ2607" s="34"/>
      <c r="CA2607" s="34"/>
      <c r="CB2607" s="34"/>
      <c r="CC2607" s="34"/>
      <c r="CD2607" s="34"/>
      <c r="CE2607" s="34"/>
      <c r="CF2607" s="34"/>
      <c r="CG2607" s="34"/>
      <c r="CH2607" s="34"/>
    </row>
    <row r="2608" spans="1:86" x14ac:dyDescent="0.2">
      <c r="A2608" s="8" t="str">
        <f>IF(AND(COUNTIF(W$3:W$13,A$20)&gt;0,A$20&lt;&gt;B2578),A$20,IFERROR(IF(MATCH(A$20,Z$3:Z$13,0)=2,A$20," ")," "))</f>
        <v xml:space="preserve"> </v>
      </c>
      <c r="B2608" s="8" t="str">
        <f>IF(A2608=" "," ",MAX(B2603:B2607)+1)</f>
        <v xml:space="preserve"> </v>
      </c>
      <c r="C2608" s="8" t="str">
        <f>IFERROR(INDEX(A2603:A2624,MATCH(SMALL(B2603:B2624,6),B2603:B2624,0),1)," ")</f>
        <v>C16</v>
      </c>
      <c r="D2608" s="8">
        <f t="shared" si="11407"/>
        <v>0</v>
      </c>
      <c r="E2608" s="8">
        <f t="shared" si="11408"/>
        <v>0</v>
      </c>
      <c r="F2608" s="8">
        <f t="shared" si="11409"/>
        <v>0</v>
      </c>
      <c r="G2608" s="8">
        <f t="shared" si="11410"/>
        <v>0</v>
      </c>
      <c r="H2608" s="8">
        <f t="shared" si="11411"/>
        <v>1</v>
      </c>
      <c r="I2608" s="8">
        <f t="shared" si="11412"/>
        <v>0</v>
      </c>
      <c r="J2608" s="8">
        <f t="shared" si="11413"/>
        <v>0</v>
      </c>
      <c r="K2608" s="8">
        <f t="shared" si="11414"/>
        <v>0</v>
      </c>
      <c r="L2608" s="8">
        <f t="shared" si="11415"/>
        <v>0</v>
      </c>
      <c r="M2608" s="8">
        <f t="shared" si="11416"/>
        <v>0</v>
      </c>
      <c r="N2608" s="8">
        <f t="shared" si="11417"/>
        <v>0</v>
      </c>
      <c r="O2608" s="8">
        <f t="shared" si="11418"/>
        <v>0</v>
      </c>
      <c r="P2608" s="8" t="e">
        <v>#NUM!</v>
      </c>
      <c r="Q2608" s="8" t="e">
        <f t="shared" ref="Q2608" si="11445">IF(COUNTIF(P2603:P2613,"&lt;"&amp;-0.001)=0,IF(ABS(P2608)&lt;0.001,0,P2608)," ")</f>
        <v>#NUM!</v>
      </c>
      <c r="R2608" s="8"/>
      <c r="S2608" s="8"/>
      <c r="U2608" s="34"/>
      <c r="V2608" s="34"/>
      <c r="W2608" s="34"/>
      <c r="X2608" s="34"/>
      <c r="Y2608" s="34"/>
      <c r="Z2608" s="34"/>
      <c r="AA2608" s="34"/>
      <c r="AB2608" s="34"/>
      <c r="AC2608" s="34"/>
      <c r="AD2608" s="34"/>
      <c r="AE2608" s="34"/>
      <c r="AF2608" s="34"/>
      <c r="AG2608" s="34"/>
      <c r="AH2608" s="34"/>
      <c r="AI2608" s="34"/>
      <c r="AJ2608" s="34"/>
      <c r="AK2608" s="34"/>
      <c r="AL2608" s="34"/>
      <c r="AM2608" s="34"/>
      <c r="AN2608" s="34"/>
      <c r="AO2608" s="34"/>
      <c r="AP2608" s="34"/>
      <c r="AQ2608" s="34"/>
      <c r="AR2608" s="34"/>
      <c r="AS2608" s="34"/>
      <c r="AT2608" s="34"/>
      <c r="AU2608" s="34"/>
      <c r="AV2608" s="34"/>
      <c r="AW2608" s="34"/>
      <c r="AX2608" s="34"/>
      <c r="AY2608" s="34"/>
      <c r="AZ2608" s="34"/>
      <c r="BA2608" s="34"/>
      <c r="BB2608" s="34"/>
      <c r="BC2608" s="34"/>
      <c r="BD2608" s="34"/>
      <c r="BE2608" s="34"/>
      <c r="BF2608" s="34"/>
      <c r="BG2608" s="34"/>
      <c r="BH2608" s="34"/>
      <c r="BI2608" s="34"/>
      <c r="BJ2608" s="34"/>
      <c r="BK2608" s="34"/>
      <c r="BL2608" s="34"/>
      <c r="BM2608" s="34"/>
      <c r="BN2608" s="34"/>
      <c r="BO2608" s="34"/>
      <c r="BP2608" s="34"/>
      <c r="BQ2608" s="34"/>
      <c r="BR2608" s="34"/>
      <c r="BS2608" s="34"/>
      <c r="BT2608" s="34"/>
      <c r="BU2608" s="34"/>
      <c r="BV2608" s="34"/>
      <c r="BW2608" s="34"/>
      <c r="BX2608" s="34"/>
      <c r="BY2608" s="34"/>
      <c r="BZ2608" s="34"/>
      <c r="CA2608" s="34"/>
      <c r="CB2608" s="34"/>
      <c r="CC2608" s="34"/>
      <c r="CD2608" s="34"/>
      <c r="CE2608" s="34"/>
      <c r="CF2608" s="34"/>
      <c r="CG2608" s="34"/>
      <c r="CH2608" s="34"/>
    </row>
    <row r="2609" spans="1:86" x14ac:dyDescent="0.2">
      <c r="A2609" s="8" t="str">
        <f>IF(AND(COUNTIF(W$3:W$13,A$21)&gt;0,A$21&lt;&gt;B2578),A$21,IFERROR(IF(MATCH(A$21,Z$3:Z$13,0)=2,A$21," ")," "))</f>
        <v xml:space="preserve"> </v>
      </c>
      <c r="B2609" s="8" t="str">
        <f>IF(A2609=" "," ",MAX(B2603:B2608)+1)</f>
        <v xml:space="preserve"> </v>
      </c>
      <c r="C2609" s="8" t="str">
        <f>IFERROR(INDEX(A2603:A2624,MATCH(SMALL(B2603:B2624,7),B2603:B2624,0),1)," ")</f>
        <v>C17</v>
      </c>
      <c r="D2609" s="8">
        <f t="shared" si="11407"/>
        <v>0</v>
      </c>
      <c r="E2609" s="8">
        <f t="shared" si="11408"/>
        <v>0</v>
      </c>
      <c r="F2609" s="8">
        <f t="shared" si="11409"/>
        <v>0</v>
      </c>
      <c r="G2609" s="8">
        <f t="shared" si="11410"/>
        <v>0</v>
      </c>
      <c r="H2609" s="8">
        <f t="shared" si="11411"/>
        <v>0</v>
      </c>
      <c r="I2609" s="8">
        <f t="shared" si="11412"/>
        <v>1</v>
      </c>
      <c r="J2609" s="8">
        <f t="shared" si="11413"/>
        <v>0</v>
      </c>
      <c r="K2609" s="8">
        <f t="shared" si="11414"/>
        <v>0</v>
      </c>
      <c r="L2609" s="8">
        <f t="shared" si="11415"/>
        <v>0</v>
      </c>
      <c r="M2609" s="8">
        <f t="shared" si="11416"/>
        <v>0</v>
      </c>
      <c r="N2609" s="8">
        <f t="shared" si="11417"/>
        <v>0</v>
      </c>
      <c r="O2609" s="8">
        <f t="shared" si="11418"/>
        <v>0</v>
      </c>
      <c r="P2609" s="8" t="e">
        <v>#NUM!</v>
      </c>
      <c r="Q2609" s="8" t="e">
        <f t="shared" ref="Q2609" si="11446">IF(COUNTIF(P2603:P2613,"&lt;"&amp;-0.001)=0,IF(ABS(P2609)&lt;0.001,0,P2609)," ")</f>
        <v>#NUM!</v>
      </c>
      <c r="R2609" s="8"/>
      <c r="S2609" s="8"/>
      <c r="U2609" s="34"/>
      <c r="V2609" s="34"/>
      <c r="W2609" s="34"/>
      <c r="X2609" s="34"/>
      <c r="Y2609" s="34"/>
      <c r="Z2609" s="34"/>
      <c r="AA2609" s="34"/>
      <c r="AB2609" s="34"/>
      <c r="AC2609" s="34"/>
      <c r="AD2609" s="34"/>
      <c r="AE2609" s="34"/>
      <c r="AF2609" s="34"/>
      <c r="AG2609" s="34"/>
      <c r="AH2609" s="34"/>
      <c r="AI2609" s="34"/>
      <c r="AJ2609" s="34"/>
      <c r="AK2609" s="34"/>
      <c r="AL2609" s="34"/>
      <c r="AM2609" s="34"/>
      <c r="AN2609" s="34"/>
      <c r="AO2609" s="34"/>
      <c r="AP2609" s="34"/>
      <c r="AQ2609" s="34"/>
      <c r="AR2609" s="34"/>
      <c r="AS2609" s="34"/>
      <c r="AT2609" s="34"/>
      <c r="AU2609" s="34"/>
      <c r="AV2609" s="34"/>
      <c r="AW2609" s="34"/>
      <c r="AX2609" s="34"/>
      <c r="AY2609" s="34"/>
      <c r="AZ2609" s="34"/>
      <c r="BA2609" s="34"/>
      <c r="BB2609" s="34"/>
      <c r="BC2609" s="34"/>
      <c r="BD2609" s="34"/>
      <c r="BE2609" s="34"/>
      <c r="BF2609" s="34"/>
      <c r="BG2609" s="34"/>
      <c r="BH2609" s="34"/>
      <c r="BI2609" s="34"/>
      <c r="BJ2609" s="34"/>
      <c r="BK2609" s="34"/>
      <c r="BL2609" s="34"/>
      <c r="BM2609" s="34"/>
      <c r="BN2609" s="34"/>
      <c r="BO2609" s="34"/>
      <c r="BP2609" s="34"/>
      <c r="BQ2609" s="34"/>
      <c r="BR2609" s="34"/>
      <c r="BS2609" s="34"/>
      <c r="BT2609" s="34"/>
      <c r="BU2609" s="34"/>
      <c r="BV2609" s="34"/>
      <c r="BW2609" s="34"/>
      <c r="BX2609" s="34"/>
      <c r="BY2609" s="34"/>
      <c r="BZ2609" s="34"/>
      <c r="CA2609" s="34"/>
      <c r="CB2609" s="34"/>
      <c r="CC2609" s="34"/>
      <c r="CD2609" s="34"/>
      <c r="CE2609" s="34"/>
      <c r="CF2609" s="34"/>
      <c r="CG2609" s="34"/>
      <c r="CH2609" s="34"/>
    </row>
    <row r="2610" spans="1:86" x14ac:dyDescent="0.2">
      <c r="A2610" s="8" t="str">
        <f>IF(AND(COUNTIF(W$3:W$13,A$22)&gt;0,A$22&lt;&gt;B2578),A$22,IFERROR(IF(MATCH(A$22,Z$3:Z$13,0)=2,A$22," ")," "))</f>
        <v xml:space="preserve"> </v>
      </c>
      <c r="B2610" s="8" t="str">
        <f>IF(A2610=" "," ",MAX(B2603:B2609)+1)</f>
        <v xml:space="preserve"> </v>
      </c>
      <c r="C2610" s="8" t="str">
        <f>IFERROR(INDEX(A2603:A2624,MATCH(SMALL(B2603:B2624,8),B2603:B2624,0),1)," ")</f>
        <v>C18</v>
      </c>
      <c r="D2610" s="8">
        <f t="shared" si="11407"/>
        <v>0</v>
      </c>
      <c r="E2610" s="8">
        <f t="shared" si="11408"/>
        <v>0</v>
      </c>
      <c r="F2610" s="8">
        <f t="shared" si="11409"/>
        <v>0</v>
      </c>
      <c r="G2610" s="8">
        <f t="shared" si="11410"/>
        <v>0</v>
      </c>
      <c r="H2610" s="8">
        <f t="shared" si="11411"/>
        <v>0</v>
      </c>
      <c r="I2610" s="8">
        <f t="shared" si="11412"/>
        <v>0</v>
      </c>
      <c r="J2610" s="8">
        <f t="shared" si="11413"/>
        <v>1</v>
      </c>
      <c r="K2610" s="8">
        <f t="shared" si="11414"/>
        <v>0</v>
      </c>
      <c r="L2610" s="8">
        <f t="shared" si="11415"/>
        <v>0</v>
      </c>
      <c r="M2610" s="8">
        <f t="shared" si="11416"/>
        <v>0</v>
      </c>
      <c r="N2610" s="8">
        <f t="shared" si="11417"/>
        <v>0</v>
      </c>
      <c r="O2610" s="8">
        <f t="shared" si="11418"/>
        <v>0</v>
      </c>
      <c r="P2610" s="8" t="e">
        <v>#NUM!</v>
      </c>
      <c r="Q2610" s="8" t="e">
        <f t="shared" ref="Q2610" si="11447">IF(COUNTIF(P2603:P2613,"&lt;"&amp;-0.001)=0,IF(ABS(P2610)&lt;0.001,0,P2610)," ")</f>
        <v>#NUM!</v>
      </c>
      <c r="R2610" s="8"/>
      <c r="S2610" s="8"/>
      <c r="U2610" s="34"/>
      <c r="V2610" s="34"/>
      <c r="W2610" s="34"/>
      <c r="X2610" s="34"/>
      <c r="Y2610" s="34"/>
      <c r="Z2610" s="34"/>
      <c r="AA2610" s="34"/>
      <c r="AB2610" s="34"/>
      <c r="AC2610" s="34"/>
      <c r="AD2610" s="34"/>
      <c r="AE2610" s="34"/>
      <c r="AF2610" s="34"/>
      <c r="AG2610" s="34"/>
      <c r="AH2610" s="34"/>
      <c r="AI2610" s="34"/>
      <c r="AJ2610" s="34"/>
      <c r="AK2610" s="34"/>
      <c r="AL2610" s="34"/>
      <c r="AM2610" s="34"/>
      <c r="AN2610" s="34"/>
      <c r="AO2610" s="34"/>
      <c r="AP2610" s="34"/>
      <c r="AQ2610" s="34"/>
      <c r="AR2610" s="34"/>
      <c r="AS2610" s="34"/>
      <c r="AT2610" s="34"/>
      <c r="AU2610" s="34"/>
      <c r="AV2610" s="34"/>
      <c r="AW2610" s="34"/>
      <c r="AX2610" s="34"/>
      <c r="AY2610" s="34"/>
      <c r="AZ2610" s="34"/>
      <c r="BA2610" s="34"/>
      <c r="BB2610" s="34"/>
      <c r="BC2610" s="34"/>
      <c r="BD2610" s="34"/>
      <c r="BE2610" s="34"/>
      <c r="BF2610" s="34"/>
      <c r="BG2610" s="34"/>
      <c r="BH2610" s="34"/>
      <c r="BI2610" s="34"/>
      <c r="BJ2610" s="34"/>
      <c r="BK2610" s="34"/>
      <c r="BL2610" s="34"/>
      <c r="BM2610" s="34"/>
      <c r="BN2610" s="34"/>
      <c r="BO2610" s="34"/>
      <c r="BP2610" s="34"/>
      <c r="BQ2610" s="34"/>
      <c r="BR2610" s="34"/>
      <c r="BS2610" s="34"/>
      <c r="BT2610" s="34"/>
      <c r="BU2610" s="34"/>
      <c r="BV2610" s="34"/>
      <c r="BW2610" s="34"/>
      <c r="BX2610" s="34"/>
      <c r="BY2610" s="34"/>
      <c r="BZ2610" s="34"/>
      <c r="CA2610" s="34"/>
      <c r="CB2610" s="34"/>
      <c r="CC2610" s="34"/>
      <c r="CD2610" s="34"/>
      <c r="CE2610" s="34"/>
      <c r="CF2610" s="34"/>
      <c r="CG2610" s="34"/>
      <c r="CH2610" s="34"/>
    </row>
    <row r="2611" spans="1:86" x14ac:dyDescent="0.2">
      <c r="A2611" s="8" t="str">
        <f>IF(AND(COUNTIF(W$3:W$13,A$23)&gt;0,A$23&lt;&gt;B2578),A$23,IFERROR(IF(MATCH(A$23,Z$3:Z$13,0)=2,A$23," ")," "))</f>
        <v xml:space="preserve"> </v>
      </c>
      <c r="B2611" s="8" t="str">
        <f>IF(A2611=" "," ",MAX(B2603:B2610)+1)</f>
        <v xml:space="preserve"> </v>
      </c>
      <c r="C2611" s="8" t="str">
        <f>IFERROR(INDEX(A2603:A2624,MATCH(SMALL(B2603:B2624,9),B2603:B2624,0),1)," ")</f>
        <v>C19</v>
      </c>
      <c r="D2611" s="8">
        <f t="shared" si="11407"/>
        <v>0</v>
      </c>
      <c r="E2611" s="8">
        <f t="shared" si="11408"/>
        <v>0</v>
      </c>
      <c r="F2611" s="8">
        <f t="shared" si="11409"/>
        <v>0</v>
      </c>
      <c r="G2611" s="8">
        <f t="shared" si="11410"/>
        <v>0</v>
      </c>
      <c r="H2611" s="8">
        <f t="shared" si="11411"/>
        <v>0</v>
      </c>
      <c r="I2611" s="8">
        <f t="shared" si="11412"/>
        <v>0</v>
      </c>
      <c r="J2611" s="8">
        <f t="shared" si="11413"/>
        <v>0</v>
      </c>
      <c r="K2611" s="8">
        <f t="shared" si="11414"/>
        <v>1</v>
      </c>
      <c r="L2611" s="8">
        <f t="shared" si="11415"/>
        <v>0</v>
      </c>
      <c r="M2611" s="8">
        <f t="shared" si="11416"/>
        <v>0</v>
      </c>
      <c r="N2611" s="8">
        <f t="shared" si="11417"/>
        <v>0</v>
      </c>
      <c r="O2611" s="8">
        <f t="shared" si="11418"/>
        <v>0</v>
      </c>
      <c r="P2611" s="6" t="e">
        <v>#NUM!</v>
      </c>
      <c r="Q2611" s="8" t="e">
        <f t="shared" ref="Q2611" si="11448">IF(COUNTIF(P2603:P2613,"&lt;"&amp;-0.001)=0,IF(ABS(P2611)&lt;0.001,0,P2611)," ")</f>
        <v>#NUM!</v>
      </c>
      <c r="R2611" s="12"/>
      <c r="S2611" s="12"/>
      <c r="T2611" s="21"/>
      <c r="U2611" s="34"/>
      <c r="V2611" s="34"/>
      <c r="W2611" s="34"/>
      <c r="X2611" s="34"/>
      <c r="Y2611" s="34"/>
      <c r="Z2611" s="34"/>
      <c r="AA2611" s="34"/>
      <c r="AB2611" s="34"/>
      <c r="AC2611" s="34"/>
      <c r="AD2611" s="34"/>
      <c r="AE2611" s="34"/>
      <c r="AF2611" s="34"/>
      <c r="AG2611" s="34"/>
      <c r="AH2611" s="34"/>
      <c r="AI2611" s="34"/>
      <c r="AJ2611" s="34"/>
      <c r="AK2611" s="34"/>
      <c r="AL2611" s="34"/>
      <c r="AM2611" s="34"/>
      <c r="AN2611" s="34"/>
      <c r="AO2611" s="34"/>
      <c r="AP2611" s="34"/>
      <c r="AQ2611" s="34"/>
      <c r="AR2611" s="34"/>
      <c r="AS2611" s="34"/>
      <c r="AT2611" s="34"/>
      <c r="AU2611" s="34"/>
      <c r="AV2611" s="34"/>
      <c r="AW2611" s="34"/>
      <c r="AX2611" s="34"/>
      <c r="AY2611" s="34"/>
      <c r="AZ2611" s="34"/>
      <c r="BA2611" s="34"/>
      <c r="BB2611" s="34"/>
      <c r="BC2611" s="34"/>
      <c r="BD2611" s="34"/>
      <c r="BE2611" s="34"/>
      <c r="BF2611" s="34"/>
      <c r="BG2611" s="34"/>
      <c r="BH2611" s="34"/>
      <c r="BI2611" s="34"/>
      <c r="BJ2611" s="34"/>
      <c r="BK2611" s="34"/>
      <c r="BL2611" s="34"/>
      <c r="BM2611" s="34"/>
      <c r="BN2611" s="34"/>
      <c r="BO2611" s="34"/>
      <c r="BP2611" s="34"/>
      <c r="BQ2611" s="34"/>
      <c r="BR2611" s="34"/>
      <c r="BS2611" s="34"/>
      <c r="BT2611" s="34"/>
      <c r="BU2611" s="34"/>
      <c r="BV2611" s="34"/>
      <c r="BW2611" s="34"/>
      <c r="BX2611" s="34"/>
      <c r="BY2611" s="34"/>
      <c r="BZ2611" s="34"/>
      <c r="CA2611" s="34"/>
      <c r="CB2611" s="34"/>
      <c r="CC2611" s="34"/>
      <c r="CD2611" s="34"/>
      <c r="CE2611" s="34"/>
      <c r="CF2611" s="34"/>
      <c r="CG2611" s="34"/>
      <c r="CH2611" s="34"/>
    </row>
    <row r="2612" spans="1:86" x14ac:dyDescent="0.2">
      <c r="A2612" s="8" t="str">
        <f>IF(AND(COUNTIF(W$3:W$13,A$24)&gt;0,A$24&lt;&gt;B2578),A$24,IFERROR(IF(MATCH(A$24,Z$3:Z$13,0)=2,A$24," ")," "))</f>
        <v xml:space="preserve"> </v>
      </c>
      <c r="B2612" s="8" t="str">
        <f>IF(A2612=" "," ",MAX(B2603:B2611)+1)</f>
        <v xml:space="preserve"> </v>
      </c>
      <c r="C2612" s="8" t="str">
        <f>IFERROR(INDEX(A2603:A2624,MATCH(SMALL(B2603:B2624,10),B2603:B2624,0),1)," ")</f>
        <v>C20</v>
      </c>
      <c r="D2612" s="8">
        <f t="shared" si="11407"/>
        <v>0</v>
      </c>
      <c r="E2612" s="8">
        <f t="shared" si="11408"/>
        <v>0</v>
      </c>
      <c r="F2612" s="8">
        <f t="shared" si="11409"/>
        <v>0</v>
      </c>
      <c r="G2612" s="8">
        <f t="shared" si="11410"/>
        <v>0</v>
      </c>
      <c r="H2612" s="8">
        <f t="shared" si="11411"/>
        <v>0</v>
      </c>
      <c r="I2612" s="8">
        <f t="shared" si="11412"/>
        <v>0</v>
      </c>
      <c r="J2612" s="8">
        <f t="shared" si="11413"/>
        <v>0</v>
      </c>
      <c r="K2612" s="8">
        <f t="shared" si="11414"/>
        <v>0</v>
      </c>
      <c r="L2612" s="8">
        <f t="shared" si="11415"/>
        <v>1</v>
      </c>
      <c r="M2612" s="8">
        <f t="shared" si="11416"/>
        <v>0</v>
      </c>
      <c r="N2612" s="8">
        <f t="shared" si="11417"/>
        <v>0</v>
      </c>
      <c r="O2612" s="8">
        <f t="shared" si="11418"/>
        <v>0</v>
      </c>
      <c r="P2612" s="8" t="e">
        <v>#NUM!</v>
      </c>
      <c r="Q2612" s="8" t="e">
        <f t="shared" ref="Q2612" si="11449">IF(COUNTIF(P2603:P2613,"&lt;"&amp;-0.001)=0,IF(ABS(P2612)&lt;0.001,0,P2612)," ")</f>
        <v>#NUM!</v>
      </c>
      <c r="R2612" s="8"/>
      <c r="S2612" s="8"/>
      <c r="U2612" s="34"/>
      <c r="V2612" s="34"/>
      <c r="W2612" s="34"/>
      <c r="X2612" s="34"/>
      <c r="Y2612" s="34"/>
      <c r="Z2612" s="34"/>
      <c r="AA2612" s="34"/>
      <c r="AB2612" s="34"/>
      <c r="AC2612" s="34"/>
      <c r="AD2612" s="34"/>
      <c r="AE2612" s="34"/>
      <c r="AF2612" s="34"/>
      <c r="AG2612" s="34"/>
      <c r="AH2612" s="34"/>
      <c r="AI2612" s="34"/>
      <c r="AJ2612" s="34"/>
      <c r="AK2612" s="34"/>
      <c r="AL2612" s="34"/>
      <c r="AM2612" s="34"/>
      <c r="AN2612" s="34"/>
      <c r="AO2612" s="34"/>
      <c r="AP2612" s="34"/>
      <c r="AQ2612" s="34"/>
      <c r="AR2612" s="34"/>
      <c r="AS2612" s="34"/>
      <c r="AT2612" s="34"/>
      <c r="AU2612" s="34"/>
      <c r="AV2612" s="34"/>
      <c r="AW2612" s="34"/>
      <c r="AX2612" s="34"/>
      <c r="AY2612" s="34"/>
      <c r="AZ2612" s="34"/>
      <c r="BA2612" s="34"/>
      <c r="BB2612" s="34"/>
      <c r="BC2612" s="34"/>
      <c r="BD2612" s="34"/>
      <c r="BE2612" s="34"/>
      <c r="BF2612" s="34"/>
      <c r="BG2612" s="34"/>
      <c r="BH2612" s="34"/>
      <c r="BI2612" s="34"/>
      <c r="BJ2612" s="34"/>
      <c r="BK2612" s="34"/>
      <c r="BL2612" s="34"/>
      <c r="BM2612" s="34"/>
      <c r="BN2612" s="34"/>
      <c r="BO2612" s="34"/>
      <c r="BP2612" s="34"/>
      <c r="BQ2612" s="34"/>
      <c r="BR2612" s="34"/>
      <c r="BS2612" s="34"/>
      <c r="BT2612" s="34"/>
      <c r="BU2612" s="34"/>
      <c r="BV2612" s="34"/>
      <c r="BW2612" s="34"/>
      <c r="BX2612" s="34"/>
      <c r="BY2612" s="34"/>
      <c r="BZ2612" s="34"/>
      <c r="CA2612" s="34"/>
      <c r="CB2612" s="34"/>
      <c r="CC2612" s="34"/>
      <c r="CD2612" s="34"/>
      <c r="CE2612" s="34"/>
      <c r="CF2612" s="34"/>
      <c r="CG2612" s="34"/>
      <c r="CH2612" s="34"/>
    </row>
    <row r="2613" spans="1:86" x14ac:dyDescent="0.2">
      <c r="A2613" s="8" t="str">
        <f>IF(AND(COUNTIF(W$3:W$13,A$25)&gt;0,A$25&lt;&gt;B2578),A$25,IFERROR(IF(MATCH(A$25,Z$3:Z$13,0)=2,A$25," ")," "))</f>
        <v xml:space="preserve"> </v>
      </c>
      <c r="B2613" s="8" t="str">
        <f>IF(A2613=" "," ",MAX(B2603:B2612)+1)</f>
        <v xml:space="preserve"> </v>
      </c>
      <c r="C2613" s="8" t="str">
        <f>IFERROR(INDEX(A2603:A2624,MATCH(SMALL(B2603:B2624,11),B2603:B2624,0),1)," ")</f>
        <v>C21</v>
      </c>
      <c r="D2613" s="8">
        <f t="shared" si="11407"/>
        <v>0</v>
      </c>
      <c r="E2613" s="8">
        <f t="shared" si="11408"/>
        <v>0</v>
      </c>
      <c r="F2613" s="8">
        <f t="shared" si="11409"/>
        <v>0</v>
      </c>
      <c r="G2613" s="8">
        <f t="shared" si="11410"/>
        <v>0</v>
      </c>
      <c r="H2613" s="8">
        <f t="shared" si="11411"/>
        <v>0</v>
      </c>
      <c r="I2613" s="8">
        <f t="shared" si="11412"/>
        <v>0</v>
      </c>
      <c r="J2613" s="8">
        <f t="shared" si="11413"/>
        <v>0</v>
      </c>
      <c r="K2613" s="8">
        <f t="shared" si="11414"/>
        <v>0</v>
      </c>
      <c r="L2613" s="8">
        <f t="shared" si="11415"/>
        <v>0</v>
      </c>
      <c r="M2613" s="8">
        <f t="shared" si="11416"/>
        <v>1</v>
      </c>
      <c r="N2613" s="8">
        <f t="shared" si="11417"/>
        <v>0</v>
      </c>
      <c r="O2613" s="8">
        <f t="shared" si="11418"/>
        <v>0</v>
      </c>
      <c r="P2613" s="8" t="e">
        <v>#NUM!</v>
      </c>
      <c r="Q2613" s="8" t="e">
        <f t="shared" ref="Q2613" si="11450">IF(COUNTIF(P2603:P2613,"&lt;"&amp;-0.001)=0,IF(ABS(P2613)&lt;0.001,0,P2613)," ")</f>
        <v>#NUM!</v>
      </c>
      <c r="R2613" s="8"/>
      <c r="S2613" s="8"/>
      <c r="U2613" s="34"/>
      <c r="V2613" s="34"/>
      <c r="W2613" s="34"/>
      <c r="X2613" s="34"/>
      <c r="Y2613" s="34"/>
      <c r="Z2613" s="34"/>
      <c r="AA2613" s="34"/>
      <c r="AB2613" s="34"/>
      <c r="AC2613" s="34"/>
      <c r="AD2613" s="34"/>
      <c r="AE2613" s="34"/>
      <c r="AF2613" s="34"/>
      <c r="AG2613" s="34"/>
      <c r="AH2613" s="34"/>
      <c r="AI2613" s="34"/>
      <c r="AJ2613" s="34"/>
      <c r="AK2613" s="34"/>
      <c r="AL2613" s="34"/>
      <c r="AM2613" s="34"/>
      <c r="AN2613" s="34"/>
      <c r="AO2613" s="34"/>
      <c r="AP2613" s="34"/>
      <c r="AQ2613" s="34"/>
      <c r="AR2613" s="34"/>
      <c r="AS2613" s="34"/>
      <c r="AT2613" s="34"/>
      <c r="AU2613" s="34"/>
      <c r="AV2613" s="34"/>
      <c r="AW2613" s="34"/>
      <c r="AX2613" s="34"/>
      <c r="AY2613" s="34"/>
      <c r="AZ2613" s="34"/>
      <c r="BA2613" s="34"/>
      <c r="BB2613" s="34"/>
      <c r="BC2613" s="34"/>
      <c r="BD2613" s="34"/>
      <c r="BE2613" s="34"/>
      <c r="BF2613" s="34"/>
      <c r="BG2613" s="34"/>
      <c r="BH2613" s="34"/>
      <c r="BI2613" s="34"/>
      <c r="BJ2613" s="34"/>
      <c r="BK2613" s="34"/>
      <c r="BL2613" s="34"/>
      <c r="BM2613" s="34"/>
      <c r="BN2613" s="34"/>
      <c r="BO2613" s="34"/>
      <c r="BP2613" s="34"/>
      <c r="BQ2613" s="34"/>
      <c r="BR2613" s="34"/>
      <c r="BS2613" s="34"/>
      <c r="BT2613" s="34"/>
      <c r="BU2613" s="34"/>
      <c r="BV2613" s="34"/>
      <c r="BW2613" s="34"/>
      <c r="BX2613" s="34"/>
      <c r="BY2613" s="34"/>
      <c r="BZ2613" s="34"/>
      <c r="CA2613" s="34"/>
      <c r="CB2613" s="34"/>
      <c r="CC2613" s="34"/>
      <c r="CD2613" s="34"/>
      <c r="CE2613" s="34"/>
      <c r="CF2613" s="34"/>
      <c r="CG2613" s="34"/>
      <c r="CH2613" s="34"/>
    </row>
    <row r="2614" spans="1:86" x14ac:dyDescent="0.2">
      <c r="A2614" s="8" t="str">
        <f>IF(AND(COUNTIF(W$3:W$13,A$26)&gt;0,A$26&lt;&gt;B2578),A$26,IFERROR(IF(MATCH(A$26,Z$3:Z$13,0)=2,A$26," ")," "))</f>
        <v xml:space="preserve"> </v>
      </c>
      <c r="B2614" s="8" t="str">
        <f>IF(A2614=" "," ",MAX(B2603:B2613)+1)</f>
        <v xml:space="preserve"> </v>
      </c>
      <c r="C2614" s="8"/>
      <c r="D2614" s="8"/>
      <c r="E2614" s="8"/>
      <c r="F2614" s="8"/>
      <c r="G2614" s="8"/>
      <c r="H2614" s="8"/>
      <c r="I2614" s="8"/>
      <c r="J2614" s="8"/>
      <c r="K2614" s="8"/>
      <c r="L2614" s="8"/>
      <c r="M2614" s="8"/>
      <c r="N2614" s="8"/>
      <c r="O2614" s="8"/>
      <c r="P2614" s="8"/>
      <c r="Q2614" s="8"/>
      <c r="R2614" s="8"/>
      <c r="S2614" s="8"/>
      <c r="U2614" s="34"/>
      <c r="V2614" s="34"/>
      <c r="W2614" s="34"/>
      <c r="X2614" s="34"/>
      <c r="Y2614" s="34"/>
      <c r="Z2614" s="34"/>
      <c r="AA2614" s="34"/>
      <c r="AB2614" s="34"/>
      <c r="AC2614" s="34"/>
      <c r="AD2614" s="34"/>
      <c r="AE2614" s="34"/>
      <c r="AF2614" s="34"/>
      <c r="AG2614" s="34"/>
      <c r="AH2614" s="34"/>
      <c r="AI2614" s="34"/>
      <c r="AJ2614" s="34"/>
      <c r="AK2614" s="34"/>
      <c r="AL2614" s="34"/>
      <c r="AM2614" s="34"/>
      <c r="AN2614" s="34"/>
      <c r="AO2614" s="34"/>
      <c r="AP2614" s="34"/>
      <c r="AQ2614" s="34"/>
      <c r="AR2614" s="34"/>
      <c r="AS2614" s="34"/>
      <c r="AT2614" s="34"/>
      <c r="AU2614" s="34"/>
      <c r="AV2614" s="34"/>
      <c r="AW2614" s="34"/>
      <c r="AX2614" s="34"/>
      <c r="AY2614" s="34"/>
      <c r="AZ2614" s="34"/>
      <c r="BA2614" s="34"/>
      <c r="BB2614" s="34"/>
      <c r="BC2614" s="34"/>
      <c r="BD2614" s="34"/>
      <c r="BE2614" s="34"/>
      <c r="BF2614" s="34"/>
      <c r="BG2614" s="34"/>
      <c r="BH2614" s="34"/>
      <c r="BI2614" s="34"/>
      <c r="BJ2614" s="34"/>
      <c r="BK2614" s="34"/>
      <c r="BL2614" s="34"/>
      <c r="BM2614" s="34"/>
      <c r="BN2614" s="34"/>
      <c r="BO2614" s="34"/>
      <c r="BP2614" s="34"/>
      <c r="BQ2614" s="34"/>
      <c r="BR2614" s="34"/>
      <c r="BS2614" s="34"/>
      <c r="BT2614" s="34"/>
      <c r="BU2614" s="34"/>
      <c r="BV2614" s="34"/>
      <c r="BW2614" s="34"/>
      <c r="BX2614" s="34"/>
      <c r="BY2614" s="34"/>
      <c r="BZ2614" s="34"/>
      <c r="CA2614" s="34"/>
      <c r="CB2614" s="34"/>
      <c r="CC2614" s="34"/>
      <c r="CD2614" s="34"/>
      <c r="CE2614" s="34"/>
      <c r="CF2614" s="34"/>
      <c r="CG2614" s="34"/>
      <c r="CH2614" s="34"/>
    </row>
    <row r="2615" spans="1:86" x14ac:dyDescent="0.2">
      <c r="A2615" s="8" t="str">
        <f>IF(AND(COUNTIF(W$3:W$13,A$27)&gt;0,A$27&lt;&gt;B2578),A$27,IFERROR(IF(MATCH(A$27,Z$3:Z$13,0)=2,A$27," ")," "))</f>
        <v>C13</v>
      </c>
      <c r="B2615" s="8">
        <f>IF(A2615=" "," ",MAX(B2603:B2614)+1)</f>
        <v>4</v>
      </c>
      <c r="C2615" s="8"/>
      <c r="D2615" s="8"/>
      <c r="E2615" s="8"/>
      <c r="F2615" s="8"/>
      <c r="G2615" s="8"/>
      <c r="H2615" s="8"/>
      <c r="I2615" s="8"/>
      <c r="J2615" s="8"/>
      <c r="K2615" s="8"/>
      <c r="L2615" s="8"/>
      <c r="M2615" s="8"/>
      <c r="N2615" s="8"/>
      <c r="O2615" s="8"/>
      <c r="P2615" s="8"/>
      <c r="Q2615" s="8"/>
      <c r="R2615" s="8"/>
      <c r="S2615" s="8"/>
      <c r="U2615" s="34"/>
      <c r="V2615" s="34"/>
      <c r="W2615" s="34"/>
      <c r="X2615" s="34"/>
      <c r="Y2615" s="34"/>
      <c r="Z2615" s="34"/>
      <c r="AA2615" s="34"/>
      <c r="AB2615" s="34"/>
      <c r="AC2615" s="34"/>
      <c r="AD2615" s="34"/>
      <c r="AE2615" s="34"/>
      <c r="AF2615" s="34"/>
      <c r="AG2615" s="34"/>
      <c r="AH2615" s="34"/>
      <c r="AI2615" s="34"/>
      <c r="AJ2615" s="34"/>
      <c r="AK2615" s="34"/>
      <c r="AL2615" s="34"/>
      <c r="AM2615" s="34"/>
      <c r="AN2615" s="34"/>
      <c r="AO2615" s="34"/>
      <c r="AP2615" s="34"/>
      <c r="AQ2615" s="34"/>
      <c r="AR2615" s="34"/>
      <c r="AS2615" s="34"/>
      <c r="AT2615" s="34"/>
      <c r="AU2615" s="34"/>
      <c r="AV2615" s="34"/>
      <c r="AW2615" s="34"/>
      <c r="AX2615" s="34"/>
      <c r="AY2615" s="34"/>
      <c r="AZ2615" s="34"/>
      <c r="BA2615" s="34"/>
      <c r="BB2615" s="34"/>
      <c r="BC2615" s="34"/>
      <c r="BD2615" s="34"/>
      <c r="BE2615" s="34"/>
      <c r="BF2615" s="34"/>
      <c r="BG2615" s="34"/>
      <c r="BH2615" s="34"/>
      <c r="BI2615" s="34"/>
      <c r="BJ2615" s="34"/>
      <c r="BK2615" s="34"/>
      <c r="BL2615" s="34"/>
      <c r="BM2615" s="34"/>
      <c r="BN2615" s="34"/>
      <c r="BO2615" s="34"/>
      <c r="BP2615" s="34"/>
      <c r="BQ2615" s="34"/>
      <c r="BR2615" s="34"/>
      <c r="BS2615" s="34"/>
      <c r="BT2615" s="34"/>
      <c r="BU2615" s="34"/>
      <c r="BV2615" s="34"/>
      <c r="BW2615" s="34"/>
      <c r="BX2615" s="34"/>
      <c r="BY2615" s="34"/>
      <c r="BZ2615" s="34"/>
      <c r="CA2615" s="34"/>
      <c r="CB2615" s="34"/>
      <c r="CC2615" s="34"/>
      <c r="CD2615" s="34"/>
      <c r="CE2615" s="34"/>
      <c r="CF2615" s="34"/>
      <c r="CG2615" s="34"/>
      <c r="CH2615" s="34"/>
    </row>
    <row r="2616" spans="1:86" x14ac:dyDescent="0.2">
      <c r="A2616" s="8" t="str">
        <f>IF(AND(COUNTIF(W$3:W$13,A$28)&gt;0,A$28&lt;&gt;B2578),A$28,IFERROR(IF(MATCH(A$28,Z$3:Z$13,0)=2,A$28," ")," "))</f>
        <v xml:space="preserve"> </v>
      </c>
      <c r="B2616" s="8" t="str">
        <f>IF(A2616=" "," ",MAX(B2603:B2615)+1)</f>
        <v xml:space="preserve"> </v>
      </c>
      <c r="C2616" s="8"/>
      <c r="D2616" s="8"/>
      <c r="E2616" s="8"/>
      <c r="F2616" s="8"/>
      <c r="G2616" s="8"/>
      <c r="H2616" s="8"/>
      <c r="I2616" s="8"/>
      <c r="J2616" s="8"/>
      <c r="K2616" s="8"/>
      <c r="L2616" s="8"/>
      <c r="M2616" s="8"/>
      <c r="N2616" s="8"/>
      <c r="O2616" s="8"/>
      <c r="P2616" s="8"/>
      <c r="Q2616" s="8"/>
      <c r="R2616" s="8"/>
      <c r="S2616" s="8"/>
      <c r="U2616" s="34"/>
      <c r="V2616" s="34"/>
      <c r="W2616" s="34"/>
      <c r="X2616" s="34"/>
      <c r="Y2616" s="34"/>
      <c r="Z2616" s="34"/>
      <c r="AA2616" s="34"/>
      <c r="AB2616" s="34"/>
      <c r="AC2616" s="34"/>
      <c r="AD2616" s="34"/>
      <c r="AE2616" s="34"/>
      <c r="AF2616" s="34"/>
      <c r="AG2616" s="34"/>
      <c r="AH2616" s="34"/>
      <c r="AI2616" s="34"/>
      <c r="AJ2616" s="34"/>
      <c r="AK2616" s="34"/>
      <c r="AL2616" s="34"/>
      <c r="AM2616" s="34"/>
      <c r="AN2616" s="34"/>
      <c r="AO2616" s="34"/>
      <c r="AP2616" s="34"/>
      <c r="AQ2616" s="34"/>
      <c r="AR2616" s="34"/>
      <c r="AS2616" s="34"/>
      <c r="AT2616" s="34"/>
      <c r="AU2616" s="34"/>
      <c r="AV2616" s="34"/>
      <c r="AW2616" s="34"/>
      <c r="AX2616" s="34"/>
      <c r="AY2616" s="34"/>
      <c r="AZ2616" s="34"/>
      <c r="BA2616" s="34"/>
      <c r="BB2616" s="34"/>
      <c r="BC2616" s="34"/>
      <c r="BD2616" s="34"/>
      <c r="BE2616" s="34"/>
      <c r="BF2616" s="34"/>
      <c r="BG2616" s="34"/>
      <c r="BH2616" s="34"/>
      <c r="BI2616" s="34"/>
      <c r="BJ2616" s="34"/>
      <c r="BK2616" s="34"/>
      <c r="BL2616" s="34"/>
      <c r="BM2616" s="34"/>
      <c r="BN2616" s="34"/>
      <c r="BO2616" s="34"/>
      <c r="BP2616" s="34"/>
      <c r="BQ2616" s="34"/>
      <c r="BR2616" s="34"/>
      <c r="BS2616" s="34"/>
      <c r="BT2616" s="34"/>
      <c r="BU2616" s="34"/>
      <c r="BV2616" s="34"/>
      <c r="BW2616" s="34"/>
      <c r="BX2616" s="34"/>
      <c r="BY2616" s="34"/>
      <c r="BZ2616" s="34"/>
      <c r="CA2616" s="34"/>
      <c r="CB2616" s="34"/>
      <c r="CC2616" s="34"/>
      <c r="CD2616" s="34"/>
      <c r="CE2616" s="34"/>
      <c r="CF2616" s="34"/>
      <c r="CG2616" s="34"/>
      <c r="CH2616" s="34"/>
    </row>
    <row r="2617" spans="1:86" x14ac:dyDescent="0.2">
      <c r="A2617" s="8" t="str">
        <f>IF(AND(COUNTIF(W$3:W$13,A$29)&gt;0,A$29&lt;&gt;B2578),A$29,IFERROR(IF(MATCH(A$29,Z$3:Z$13,0)=2,A$29," ")," "))</f>
        <v>C15</v>
      </c>
      <c r="B2617" s="8">
        <f>IF(A2617=" "," ",MAX(B2603:B2616)+1)</f>
        <v>5</v>
      </c>
      <c r="C2617" s="8"/>
      <c r="D2617" s="8"/>
      <c r="E2617" s="8"/>
      <c r="F2617" s="8"/>
      <c r="G2617" s="8"/>
      <c r="H2617" s="8"/>
      <c r="I2617" s="8"/>
      <c r="J2617" s="8"/>
      <c r="K2617" s="8"/>
      <c r="L2617" s="8"/>
      <c r="M2617" s="8"/>
      <c r="N2617" s="8"/>
      <c r="O2617" s="8"/>
      <c r="P2617" s="8"/>
      <c r="Q2617" s="8"/>
      <c r="R2617" s="8"/>
      <c r="S2617" s="8"/>
      <c r="U2617" s="34"/>
      <c r="V2617" s="34"/>
      <c r="W2617" s="34"/>
      <c r="X2617" s="34"/>
      <c r="Y2617" s="34"/>
      <c r="Z2617" s="34"/>
      <c r="AA2617" s="34"/>
      <c r="AB2617" s="34"/>
      <c r="AC2617" s="34"/>
      <c r="AD2617" s="34"/>
      <c r="AE2617" s="34"/>
      <c r="AF2617" s="34"/>
      <c r="AG2617" s="34"/>
      <c r="AH2617" s="34"/>
      <c r="AI2617" s="34"/>
      <c r="AJ2617" s="34"/>
      <c r="AK2617" s="34"/>
      <c r="AL2617" s="34"/>
      <c r="AM2617" s="34"/>
      <c r="AN2617" s="34"/>
      <c r="AO2617" s="34"/>
      <c r="AP2617" s="34"/>
      <c r="AQ2617" s="34"/>
      <c r="AR2617" s="34"/>
      <c r="AS2617" s="34"/>
      <c r="AT2617" s="34"/>
      <c r="AU2617" s="34"/>
      <c r="AV2617" s="34"/>
      <c r="AW2617" s="34"/>
      <c r="AX2617" s="34"/>
      <c r="AY2617" s="34"/>
      <c r="AZ2617" s="34"/>
      <c r="BA2617" s="34"/>
      <c r="BB2617" s="34"/>
      <c r="BC2617" s="34"/>
      <c r="BD2617" s="34"/>
      <c r="BE2617" s="34"/>
      <c r="BF2617" s="34"/>
      <c r="BG2617" s="34"/>
      <c r="BH2617" s="34"/>
      <c r="BI2617" s="34"/>
      <c r="BJ2617" s="34"/>
      <c r="BK2617" s="34"/>
      <c r="BL2617" s="34"/>
      <c r="BM2617" s="34"/>
      <c r="BN2617" s="34"/>
      <c r="BO2617" s="34"/>
      <c r="BP2617" s="34"/>
      <c r="BQ2617" s="34"/>
      <c r="BR2617" s="34"/>
      <c r="BS2617" s="34"/>
      <c r="BT2617" s="34"/>
      <c r="BU2617" s="34"/>
      <c r="BV2617" s="34"/>
      <c r="BW2617" s="34"/>
      <c r="BX2617" s="34"/>
      <c r="BY2617" s="34"/>
      <c r="BZ2617" s="34"/>
      <c r="CA2617" s="34"/>
      <c r="CB2617" s="34"/>
      <c r="CC2617" s="34"/>
      <c r="CD2617" s="34"/>
      <c r="CE2617" s="34"/>
      <c r="CF2617" s="34"/>
      <c r="CG2617" s="34"/>
      <c r="CH2617" s="34"/>
    </row>
    <row r="2618" spans="1:86" x14ac:dyDescent="0.2">
      <c r="A2618" s="8" t="str">
        <f>IF(AND(COUNTIF(W$3:W$13,A$30)&gt;0,A$30&lt;&gt;B2578),A$30,IFERROR(IF(MATCH(A$30,Z$3:Z$13,0)=2,A$30," ")," "))</f>
        <v>C16</v>
      </c>
      <c r="B2618" s="8">
        <f>IF(A2618=" "," ",MAX(B2603:B2617)+1)</f>
        <v>6</v>
      </c>
      <c r="C2618" s="8"/>
      <c r="D2618" s="8"/>
      <c r="E2618" s="8"/>
      <c r="F2618" s="8"/>
      <c r="G2618" s="8"/>
      <c r="H2618" s="8"/>
      <c r="I2618" s="8"/>
      <c r="J2618" s="8"/>
      <c r="K2618" s="8"/>
      <c r="L2618" s="8"/>
      <c r="M2618" s="8"/>
      <c r="N2618" s="8"/>
      <c r="O2618" s="8"/>
      <c r="P2618" s="8"/>
      <c r="Q2618" s="8"/>
      <c r="R2618" s="8"/>
      <c r="S2618" s="8"/>
      <c r="U2618" s="34"/>
      <c r="V2618" s="34"/>
      <c r="W2618" s="34"/>
      <c r="X2618" s="34"/>
      <c r="Y2618" s="34"/>
      <c r="Z2618" s="34"/>
      <c r="AA2618" s="34"/>
      <c r="AB2618" s="34"/>
      <c r="AC2618" s="34"/>
      <c r="AD2618" s="34"/>
      <c r="AE2618" s="34"/>
      <c r="AF2618" s="34"/>
      <c r="AG2618" s="34"/>
      <c r="AH2618" s="34"/>
      <c r="AI2618" s="34"/>
      <c r="AJ2618" s="34"/>
      <c r="AK2618" s="34"/>
      <c r="AL2618" s="34"/>
      <c r="AM2618" s="34"/>
      <c r="AN2618" s="34"/>
      <c r="AO2618" s="34"/>
      <c r="AP2618" s="34"/>
      <c r="AQ2618" s="34"/>
      <c r="AR2618" s="34"/>
      <c r="AS2618" s="34"/>
      <c r="AT2618" s="34"/>
      <c r="AU2618" s="34"/>
      <c r="AV2618" s="34"/>
      <c r="AW2618" s="34"/>
      <c r="AX2618" s="34"/>
      <c r="AY2618" s="34"/>
      <c r="AZ2618" s="34"/>
      <c r="BA2618" s="34"/>
      <c r="BB2618" s="34"/>
      <c r="BC2618" s="34"/>
      <c r="BD2618" s="34"/>
      <c r="BE2618" s="34"/>
      <c r="BF2618" s="34"/>
      <c r="BG2618" s="34"/>
      <c r="BH2618" s="34"/>
      <c r="BI2618" s="34"/>
      <c r="BJ2618" s="34"/>
      <c r="BK2618" s="34"/>
      <c r="BL2618" s="34"/>
      <c r="BM2618" s="34"/>
      <c r="BN2618" s="34"/>
      <c r="BO2618" s="34"/>
      <c r="BP2618" s="34"/>
      <c r="BQ2618" s="34"/>
      <c r="BR2618" s="34"/>
      <c r="BS2618" s="34"/>
      <c r="BT2618" s="34"/>
      <c r="BU2618" s="34"/>
      <c r="BV2618" s="34"/>
      <c r="BW2618" s="34"/>
      <c r="BX2618" s="34"/>
      <c r="BY2618" s="34"/>
      <c r="BZ2618" s="34"/>
      <c r="CA2618" s="34"/>
      <c r="CB2618" s="34"/>
      <c r="CC2618" s="34"/>
      <c r="CD2618" s="34"/>
      <c r="CE2618" s="34"/>
      <c r="CF2618" s="34"/>
      <c r="CG2618" s="34"/>
      <c r="CH2618" s="34"/>
    </row>
    <row r="2619" spans="1:86" x14ac:dyDescent="0.2">
      <c r="A2619" s="8" t="str">
        <f>IF(AND(COUNTIF(W$3:W$13,A$31)&gt;0,A$31&lt;&gt;B2578),A$31,IFERROR(IF(MATCH(A$31,Z$3:Z$13,0)=2,A$31," ")," "))</f>
        <v>C17</v>
      </c>
      <c r="B2619" s="8">
        <f>IF(A2619=" "," ",MAX(B2603:B2618)+1)</f>
        <v>7</v>
      </c>
      <c r="C2619" s="8"/>
      <c r="D2619" s="8"/>
      <c r="E2619" s="8"/>
      <c r="F2619" s="8"/>
      <c r="G2619" s="8"/>
      <c r="H2619" s="8"/>
      <c r="I2619" s="8"/>
      <c r="J2619" s="8"/>
      <c r="K2619" s="8"/>
      <c r="L2619" s="8"/>
      <c r="M2619" s="8"/>
      <c r="N2619" s="8"/>
      <c r="O2619" s="8"/>
      <c r="P2619" s="8"/>
      <c r="Q2619" s="8"/>
      <c r="R2619" s="8"/>
      <c r="S2619" s="8"/>
      <c r="U2619" s="34"/>
      <c r="V2619" s="34"/>
      <c r="W2619" s="34"/>
      <c r="X2619" s="34"/>
      <c r="Y2619" s="34"/>
      <c r="Z2619" s="34"/>
      <c r="AA2619" s="34"/>
      <c r="AB2619" s="34"/>
      <c r="AC2619" s="34"/>
      <c r="AD2619" s="34"/>
      <c r="AE2619" s="34"/>
      <c r="AF2619" s="34"/>
      <c r="AG2619" s="34"/>
      <c r="AH2619" s="34"/>
      <c r="AI2619" s="34"/>
      <c r="AJ2619" s="34"/>
      <c r="AK2619" s="34"/>
      <c r="AL2619" s="34"/>
      <c r="AM2619" s="34"/>
      <c r="AN2619" s="34"/>
      <c r="AO2619" s="34"/>
      <c r="AP2619" s="34"/>
      <c r="AQ2619" s="34"/>
      <c r="AR2619" s="34"/>
      <c r="AS2619" s="34"/>
      <c r="AT2619" s="34"/>
      <c r="AU2619" s="34"/>
      <c r="AV2619" s="34"/>
      <c r="AW2619" s="34"/>
      <c r="AX2619" s="34"/>
      <c r="AY2619" s="34"/>
      <c r="AZ2619" s="34"/>
      <c r="BA2619" s="34"/>
      <c r="BB2619" s="34"/>
      <c r="BC2619" s="34"/>
      <c r="BD2619" s="34"/>
      <c r="BE2619" s="34"/>
      <c r="BF2619" s="34"/>
      <c r="BG2619" s="34"/>
      <c r="BH2619" s="34"/>
      <c r="BI2619" s="34"/>
      <c r="BJ2619" s="34"/>
      <c r="BK2619" s="34"/>
      <c r="BL2619" s="34"/>
      <c r="BM2619" s="34"/>
      <c r="BN2619" s="34"/>
      <c r="BO2619" s="34"/>
      <c r="BP2619" s="34"/>
      <c r="BQ2619" s="34"/>
      <c r="BR2619" s="34"/>
      <c r="BS2619" s="34"/>
      <c r="BT2619" s="34"/>
      <c r="BU2619" s="34"/>
      <c r="BV2619" s="34"/>
      <c r="BW2619" s="34"/>
      <c r="BX2619" s="34"/>
      <c r="BY2619" s="34"/>
      <c r="BZ2619" s="34"/>
      <c r="CA2619" s="34"/>
      <c r="CB2619" s="34"/>
      <c r="CC2619" s="34"/>
      <c r="CD2619" s="34"/>
      <c r="CE2619" s="34"/>
      <c r="CF2619" s="34"/>
      <c r="CG2619" s="34"/>
      <c r="CH2619" s="34"/>
    </row>
    <row r="2620" spans="1:86" x14ac:dyDescent="0.2">
      <c r="A2620" s="8" t="str">
        <f>IF(AND(COUNTIF(W$3:W$13,A$32)&gt;0,A$32&lt;&gt;B2578),A$32,IFERROR(IF(MATCH(A$32,Z$3:Z$13,0)=2,A$32," ")," "))</f>
        <v>C18</v>
      </c>
      <c r="B2620" s="8">
        <f>IF(A2620=" "," ",MAX(B2603:B2619)+1)</f>
        <v>8</v>
      </c>
      <c r="C2620" s="8"/>
      <c r="D2620" s="8"/>
      <c r="E2620" s="8"/>
      <c r="F2620" s="8"/>
      <c r="G2620" s="8"/>
      <c r="H2620" s="8"/>
      <c r="I2620" s="8"/>
      <c r="J2620" s="8"/>
      <c r="K2620" s="8"/>
      <c r="L2620" s="8"/>
      <c r="M2620" s="8"/>
      <c r="N2620" s="8"/>
      <c r="O2620" s="8"/>
      <c r="P2620" s="8"/>
      <c r="Q2620" s="8"/>
      <c r="R2620" s="8"/>
      <c r="S2620" s="8"/>
      <c r="U2620" s="34"/>
      <c r="V2620" s="34"/>
      <c r="W2620" s="34"/>
      <c r="X2620" s="34"/>
      <c r="Y2620" s="34"/>
      <c r="Z2620" s="34"/>
      <c r="AA2620" s="34"/>
      <c r="AB2620" s="34"/>
      <c r="AC2620" s="34"/>
      <c r="AD2620" s="34"/>
      <c r="AE2620" s="34"/>
      <c r="AF2620" s="34"/>
      <c r="AG2620" s="34"/>
      <c r="AH2620" s="34"/>
      <c r="AI2620" s="34"/>
      <c r="AJ2620" s="34"/>
      <c r="AK2620" s="34"/>
      <c r="AL2620" s="34"/>
      <c r="AM2620" s="34"/>
      <c r="AN2620" s="34"/>
      <c r="AO2620" s="34"/>
      <c r="AP2620" s="34"/>
      <c r="AQ2620" s="34"/>
      <c r="AR2620" s="34"/>
      <c r="AS2620" s="34"/>
      <c r="AT2620" s="34"/>
      <c r="AU2620" s="34"/>
      <c r="AV2620" s="34"/>
      <c r="AW2620" s="34"/>
      <c r="AX2620" s="34"/>
      <c r="AY2620" s="34"/>
      <c r="AZ2620" s="34"/>
      <c r="BA2620" s="34"/>
      <c r="BB2620" s="34"/>
      <c r="BC2620" s="34"/>
      <c r="BD2620" s="34"/>
      <c r="BE2620" s="34"/>
      <c r="BF2620" s="34"/>
      <c r="BG2620" s="34"/>
      <c r="BH2620" s="34"/>
      <c r="BI2620" s="34"/>
      <c r="BJ2620" s="34"/>
      <c r="BK2620" s="34"/>
      <c r="BL2620" s="34"/>
      <c r="BM2620" s="34"/>
      <c r="BN2620" s="34"/>
      <c r="BO2620" s="34"/>
      <c r="BP2620" s="34"/>
      <c r="BQ2620" s="34"/>
      <c r="BR2620" s="34"/>
      <c r="BS2620" s="34"/>
      <c r="BT2620" s="34"/>
      <c r="BU2620" s="34"/>
      <c r="BV2620" s="34"/>
      <c r="BW2620" s="34"/>
      <c r="BX2620" s="34"/>
      <c r="BY2620" s="34"/>
      <c r="BZ2620" s="34"/>
      <c r="CA2620" s="34"/>
      <c r="CB2620" s="34"/>
      <c r="CC2620" s="34"/>
      <c r="CD2620" s="34"/>
      <c r="CE2620" s="34"/>
      <c r="CF2620" s="34"/>
      <c r="CG2620" s="34"/>
      <c r="CH2620" s="34"/>
    </row>
    <row r="2621" spans="1:86" x14ac:dyDescent="0.2">
      <c r="A2621" s="8" t="str">
        <f>IF(AND(COUNTIF(W$3:W$13,A$33)&gt;0,A$33&lt;&gt;B2578),A$33,IFERROR(IF(MATCH(A$33,Z$3:Z$13,0)=2,A$33," ")," "))</f>
        <v>C19</v>
      </c>
      <c r="B2621" s="8">
        <f>IF(A2621=" "," ",MAX(B2603:B2620)+1)</f>
        <v>9</v>
      </c>
      <c r="C2621" s="8"/>
      <c r="D2621" s="8"/>
      <c r="E2621" s="8"/>
      <c r="F2621" s="8"/>
      <c r="G2621" s="8"/>
      <c r="H2621" s="8"/>
      <c r="I2621" s="8"/>
      <c r="J2621" s="8"/>
      <c r="K2621" s="8"/>
      <c r="L2621" s="8"/>
      <c r="M2621" s="8"/>
      <c r="N2621" s="8"/>
      <c r="O2621" s="8"/>
      <c r="P2621" s="8"/>
      <c r="Q2621" s="8"/>
      <c r="R2621" s="8"/>
      <c r="S2621" s="8"/>
      <c r="U2621" s="34"/>
      <c r="V2621" s="34"/>
      <c r="W2621" s="34"/>
      <c r="X2621" s="34"/>
      <c r="Y2621" s="34"/>
      <c r="Z2621" s="34"/>
      <c r="AA2621" s="34"/>
      <c r="AB2621" s="34"/>
      <c r="AC2621" s="34"/>
      <c r="AD2621" s="34"/>
      <c r="AE2621" s="34"/>
      <c r="AF2621" s="34"/>
      <c r="AG2621" s="34"/>
      <c r="AH2621" s="34"/>
      <c r="AI2621" s="34"/>
      <c r="AJ2621" s="34"/>
      <c r="AK2621" s="34"/>
      <c r="AL2621" s="34"/>
      <c r="AM2621" s="34"/>
      <c r="AN2621" s="34"/>
      <c r="AO2621" s="34"/>
      <c r="AP2621" s="34"/>
      <c r="AQ2621" s="34"/>
      <c r="AR2621" s="34"/>
      <c r="AS2621" s="34"/>
      <c r="AT2621" s="34"/>
      <c r="AU2621" s="34"/>
      <c r="AV2621" s="34"/>
      <c r="AW2621" s="34"/>
      <c r="AX2621" s="34"/>
      <c r="AY2621" s="34"/>
      <c r="AZ2621" s="34"/>
      <c r="BA2621" s="34"/>
      <c r="BB2621" s="34"/>
      <c r="BC2621" s="34"/>
      <c r="BD2621" s="34"/>
      <c r="BE2621" s="34"/>
      <c r="BF2621" s="34"/>
      <c r="BG2621" s="34"/>
      <c r="BH2621" s="34"/>
      <c r="BI2621" s="34"/>
      <c r="BJ2621" s="34"/>
      <c r="BK2621" s="34"/>
      <c r="BL2621" s="34"/>
      <c r="BM2621" s="34"/>
      <c r="BN2621" s="34"/>
      <c r="BO2621" s="34"/>
      <c r="BP2621" s="34"/>
      <c r="BQ2621" s="34"/>
      <c r="BR2621" s="34"/>
      <c r="BS2621" s="34"/>
      <c r="BT2621" s="34"/>
      <c r="BU2621" s="34"/>
      <c r="BV2621" s="34"/>
      <c r="BW2621" s="34"/>
      <c r="BX2621" s="34"/>
      <c r="BY2621" s="34"/>
      <c r="BZ2621" s="34"/>
      <c r="CA2621" s="34"/>
      <c r="CB2621" s="34"/>
      <c r="CC2621" s="34"/>
      <c r="CD2621" s="34"/>
      <c r="CE2621" s="34"/>
      <c r="CF2621" s="34"/>
      <c r="CG2621" s="34"/>
      <c r="CH2621" s="34"/>
    </row>
    <row r="2622" spans="1:86" x14ac:dyDescent="0.2">
      <c r="A2622" s="8" t="str">
        <f>IF(AND(COUNTIF(W$3:W$13,A$34)&gt;0,A$34&lt;&gt;B2578),A$34,IFERROR(IF(MATCH(A$34,Z$3:Z$13,0)=2,A$34," ")," "))</f>
        <v>C20</v>
      </c>
      <c r="B2622" s="8">
        <f>IF(A2622=" "," ",MAX(B2603:B2621)+1)</f>
        <v>10</v>
      </c>
      <c r="C2622" s="8"/>
      <c r="D2622" s="8"/>
      <c r="E2622" s="8"/>
      <c r="F2622" s="8"/>
      <c r="G2622" s="8"/>
      <c r="H2622" s="8"/>
      <c r="I2622" s="8"/>
      <c r="J2622" s="8"/>
      <c r="K2622" s="8"/>
      <c r="L2622" s="8"/>
      <c r="M2622" s="8"/>
      <c r="N2622" s="8"/>
      <c r="O2622" s="8"/>
      <c r="P2622" s="8"/>
      <c r="Q2622" s="8"/>
      <c r="R2622" s="8"/>
      <c r="S2622" s="8"/>
      <c r="U2622" s="34"/>
      <c r="V2622" s="34"/>
      <c r="W2622" s="34"/>
      <c r="X2622" s="34"/>
      <c r="Y2622" s="34"/>
      <c r="Z2622" s="34"/>
      <c r="AA2622" s="34"/>
      <c r="AB2622" s="34"/>
      <c r="AC2622" s="34"/>
      <c r="AD2622" s="34"/>
      <c r="AE2622" s="34"/>
      <c r="AF2622" s="34"/>
      <c r="AG2622" s="34"/>
      <c r="AH2622" s="34"/>
      <c r="AI2622" s="34"/>
      <c r="AJ2622" s="34"/>
      <c r="AK2622" s="34"/>
      <c r="AL2622" s="34"/>
      <c r="AM2622" s="34"/>
      <c r="AN2622" s="34"/>
      <c r="AO2622" s="34"/>
      <c r="AP2622" s="34"/>
      <c r="AQ2622" s="34"/>
      <c r="AR2622" s="34"/>
      <c r="AS2622" s="34"/>
      <c r="AT2622" s="34"/>
      <c r="AU2622" s="34"/>
      <c r="AV2622" s="34"/>
      <c r="AW2622" s="34"/>
      <c r="AX2622" s="34"/>
      <c r="AY2622" s="34"/>
      <c r="AZ2622" s="34"/>
      <c r="BA2622" s="34"/>
      <c r="BB2622" s="34"/>
      <c r="BC2622" s="34"/>
      <c r="BD2622" s="34"/>
      <c r="BE2622" s="34"/>
      <c r="BF2622" s="34"/>
      <c r="BG2622" s="34"/>
      <c r="BH2622" s="34"/>
      <c r="BI2622" s="34"/>
      <c r="BJ2622" s="34"/>
      <c r="BK2622" s="34"/>
      <c r="BL2622" s="34"/>
      <c r="BM2622" s="34"/>
      <c r="BN2622" s="34"/>
      <c r="BO2622" s="34"/>
      <c r="BP2622" s="34"/>
      <c r="BQ2622" s="34"/>
      <c r="BR2622" s="34"/>
      <c r="BS2622" s="34"/>
      <c r="BT2622" s="34"/>
      <c r="BU2622" s="34"/>
      <c r="BV2622" s="34"/>
      <c r="BW2622" s="34"/>
      <c r="BX2622" s="34"/>
      <c r="BY2622" s="34"/>
      <c r="BZ2622" s="34"/>
      <c r="CA2622" s="34"/>
      <c r="CB2622" s="34"/>
      <c r="CC2622" s="34"/>
      <c r="CD2622" s="34"/>
      <c r="CE2622" s="34"/>
      <c r="CF2622" s="34"/>
      <c r="CG2622" s="34"/>
      <c r="CH2622" s="34"/>
    </row>
    <row r="2623" spans="1:86" x14ac:dyDescent="0.2">
      <c r="A2623" s="8" t="str">
        <f>IF(AND(COUNTIF(W$3:W$13,A$35)&gt;0,A$35&lt;&gt;B2578),A$35,IFERROR(IF(MATCH(A$35,Z$3:Z$13,0)=2,A$35," ")," "))</f>
        <v>C21</v>
      </c>
      <c r="B2623" s="8">
        <f>IF(A2623=" "," ",MAX(B2603:B2622)+1)</f>
        <v>11</v>
      </c>
      <c r="C2623" s="8"/>
      <c r="D2623" s="8"/>
      <c r="E2623" s="8"/>
      <c r="F2623" s="8"/>
      <c r="G2623" s="8"/>
      <c r="H2623" s="8"/>
      <c r="I2623" s="8"/>
      <c r="J2623" s="8"/>
      <c r="K2623" s="8"/>
      <c r="L2623" s="8"/>
      <c r="M2623" s="8"/>
      <c r="N2623" s="8"/>
      <c r="O2623" s="8"/>
      <c r="P2623" s="8"/>
      <c r="Q2623" s="8"/>
      <c r="R2623" s="8"/>
      <c r="S2623" s="8"/>
      <c r="U2623" s="34"/>
      <c r="V2623" s="34"/>
      <c r="W2623" s="34"/>
      <c r="X2623" s="34"/>
      <c r="Y2623" s="34"/>
      <c r="Z2623" s="34"/>
      <c r="AA2623" s="34"/>
      <c r="AB2623" s="34"/>
      <c r="AC2623" s="34"/>
      <c r="AD2623" s="34"/>
      <c r="AE2623" s="34"/>
      <c r="AF2623" s="34"/>
      <c r="AG2623" s="34"/>
      <c r="AH2623" s="34"/>
      <c r="AI2623" s="34"/>
      <c r="AJ2623" s="34"/>
      <c r="AK2623" s="34"/>
      <c r="AL2623" s="34"/>
      <c r="AM2623" s="34"/>
      <c r="AN2623" s="34"/>
      <c r="AO2623" s="34"/>
      <c r="AP2623" s="34"/>
      <c r="AQ2623" s="34"/>
      <c r="AR2623" s="34"/>
      <c r="AS2623" s="34"/>
      <c r="AT2623" s="34"/>
      <c r="AU2623" s="34"/>
      <c r="AV2623" s="34"/>
      <c r="AW2623" s="34"/>
      <c r="AX2623" s="34"/>
      <c r="AY2623" s="34"/>
      <c r="AZ2623" s="34"/>
      <c r="BA2623" s="34"/>
      <c r="BB2623" s="34"/>
      <c r="BC2623" s="34"/>
      <c r="BD2623" s="34"/>
      <c r="BE2623" s="34"/>
      <c r="BF2623" s="34"/>
      <c r="BG2623" s="34"/>
      <c r="BH2623" s="34"/>
      <c r="BI2623" s="34"/>
      <c r="BJ2623" s="34"/>
      <c r="BK2623" s="34"/>
      <c r="BL2623" s="34"/>
      <c r="BM2623" s="34"/>
      <c r="BN2623" s="34"/>
      <c r="BO2623" s="34"/>
      <c r="BP2623" s="34"/>
      <c r="BQ2623" s="34"/>
      <c r="BR2623" s="34"/>
      <c r="BS2623" s="34"/>
      <c r="BT2623" s="34"/>
      <c r="BU2623" s="34"/>
      <c r="BV2623" s="34"/>
      <c r="BW2623" s="34"/>
      <c r="BX2623" s="34"/>
      <c r="BY2623" s="34"/>
      <c r="BZ2623" s="34"/>
      <c r="CA2623" s="34"/>
      <c r="CB2623" s="34"/>
      <c r="CC2623" s="34"/>
      <c r="CD2623" s="34"/>
      <c r="CE2623" s="34"/>
      <c r="CF2623" s="34"/>
      <c r="CG2623" s="34"/>
      <c r="CH2623" s="34"/>
    </row>
    <row r="2624" spans="1:86" x14ac:dyDescent="0.2">
      <c r="A2624" s="8" t="str">
        <f>IF(AND(COUNTIF(W$3:W$13,A$36)&gt;0,A$36&lt;&gt;B2578),A$36,IFERROR(IF(MATCH(A$36,Z$3:Z$13,0)=2,A$36," ")," "))</f>
        <v xml:space="preserve"> </v>
      </c>
      <c r="B2624" s="8" t="str">
        <f>IF(A2624=" "," ",MAX(B2603:B2623)+1)</f>
        <v xml:space="preserve"> </v>
      </c>
      <c r="C2624" s="8"/>
      <c r="D2624" s="8"/>
      <c r="E2624" s="8"/>
      <c r="F2624" s="8"/>
      <c r="G2624" s="8"/>
      <c r="H2624" s="8"/>
      <c r="I2624" s="8"/>
      <c r="J2624" s="8"/>
      <c r="K2624" s="8"/>
      <c r="L2624" s="8"/>
      <c r="M2624" s="8"/>
      <c r="N2624" s="8"/>
      <c r="O2624" s="8"/>
      <c r="P2624" s="8"/>
      <c r="Q2624" s="8"/>
      <c r="R2624" s="8"/>
      <c r="S2624" s="8"/>
      <c r="U2624" s="34"/>
      <c r="V2624" s="34"/>
      <c r="W2624" s="34"/>
      <c r="X2624" s="34"/>
      <c r="Y2624" s="34"/>
      <c r="Z2624" s="34"/>
      <c r="AA2624" s="34"/>
      <c r="AB2624" s="34"/>
      <c r="AC2624" s="34"/>
      <c r="AD2624" s="34"/>
      <c r="AE2624" s="34"/>
      <c r="AF2624" s="34"/>
      <c r="AG2624" s="34"/>
      <c r="AH2624" s="34"/>
      <c r="AI2624" s="34"/>
      <c r="AJ2624" s="34"/>
      <c r="AK2624" s="34"/>
      <c r="AL2624" s="34"/>
      <c r="AM2624" s="34"/>
      <c r="AN2624" s="34"/>
      <c r="AO2624" s="34"/>
      <c r="AP2624" s="34"/>
      <c r="AQ2624" s="34"/>
      <c r="AR2624" s="34"/>
      <c r="AS2624" s="34"/>
      <c r="AT2624" s="34"/>
      <c r="AU2624" s="34"/>
      <c r="AV2624" s="34"/>
      <c r="AW2624" s="34"/>
      <c r="AX2624" s="34"/>
      <c r="AY2624" s="34"/>
      <c r="AZ2624" s="34"/>
      <c r="BA2624" s="34"/>
      <c r="BB2624" s="34"/>
      <c r="BC2624" s="34"/>
      <c r="BD2624" s="34"/>
      <c r="BE2624" s="34"/>
      <c r="BF2624" s="34"/>
      <c r="BG2624" s="34"/>
      <c r="BH2624" s="34"/>
      <c r="BI2624" s="34"/>
      <c r="BJ2624" s="34"/>
      <c r="BK2624" s="34"/>
      <c r="BL2624" s="34"/>
      <c r="BM2624" s="34"/>
      <c r="BN2624" s="34"/>
      <c r="BO2624" s="34"/>
      <c r="BP2624" s="34"/>
      <c r="BQ2624" s="34"/>
      <c r="BR2624" s="34"/>
      <c r="BS2624" s="34"/>
      <c r="BT2624" s="34"/>
      <c r="BU2624" s="34"/>
      <c r="BV2624" s="34"/>
      <c r="BW2624" s="34"/>
      <c r="BX2624" s="34"/>
      <c r="BY2624" s="34"/>
      <c r="BZ2624" s="34"/>
      <c r="CA2624" s="34"/>
      <c r="CB2624" s="34"/>
      <c r="CC2624" s="34"/>
      <c r="CD2624" s="34"/>
      <c r="CE2624" s="34"/>
      <c r="CF2624" s="34"/>
      <c r="CG2624" s="34"/>
      <c r="CH2624" s="34"/>
    </row>
    <row r="2625" spans="1:86" x14ac:dyDescent="0.2">
      <c r="A2625" s="11" t="s">
        <v>17</v>
      </c>
      <c r="B2625" s="11"/>
      <c r="C2625" s="27" t="s">
        <v>18</v>
      </c>
      <c r="D2625" s="27" t="s">
        <v>2</v>
      </c>
      <c r="E2625" s="27" t="s">
        <v>6</v>
      </c>
      <c r="F2625" s="27" t="s">
        <v>15</v>
      </c>
      <c r="G2625" s="27" t="s">
        <v>36</v>
      </c>
      <c r="H2625" s="27" t="s">
        <v>37</v>
      </c>
      <c r="I2625" s="27" t="s">
        <v>38</v>
      </c>
      <c r="J2625" s="27" t="s">
        <v>39</v>
      </c>
      <c r="K2625" s="27" t="s">
        <v>40</v>
      </c>
      <c r="L2625" s="27" t="s">
        <v>41</v>
      </c>
      <c r="M2625" s="27" t="s">
        <v>42</v>
      </c>
      <c r="N2625" s="27" t="s">
        <v>43</v>
      </c>
      <c r="O2625" s="27" t="s">
        <v>9</v>
      </c>
      <c r="P2625" s="27" t="s">
        <v>12</v>
      </c>
      <c r="Q2625" s="27" t="s">
        <v>19</v>
      </c>
      <c r="R2625" s="27" t="s">
        <v>55</v>
      </c>
      <c r="S2625" s="27" t="s">
        <v>26</v>
      </c>
      <c r="T2625" s="19" t="s">
        <v>25</v>
      </c>
      <c r="U2625" s="33" t="s">
        <v>27</v>
      </c>
      <c r="V2625" s="33" t="s">
        <v>9</v>
      </c>
      <c r="W2625" s="33" t="s">
        <v>23</v>
      </c>
      <c r="X2625" s="33" t="s">
        <v>12</v>
      </c>
      <c r="Y2625" s="33" t="s">
        <v>26</v>
      </c>
      <c r="Z2625" s="33" t="s">
        <v>25</v>
      </c>
      <c r="AA2625" s="33" t="s">
        <v>27</v>
      </c>
      <c r="AB2625" s="33" t="s">
        <v>9</v>
      </c>
      <c r="AC2625" s="33" t="s">
        <v>23</v>
      </c>
      <c r="AD2625" s="33" t="s">
        <v>12</v>
      </c>
      <c r="AE2625" s="33" t="s">
        <v>26</v>
      </c>
      <c r="AF2625" s="33" t="s">
        <v>25</v>
      </c>
      <c r="AG2625" s="33" t="s">
        <v>27</v>
      </c>
      <c r="AH2625" s="33" t="s">
        <v>9</v>
      </c>
      <c r="AI2625" s="33" t="s">
        <v>23</v>
      </c>
      <c r="AJ2625" s="33" t="s">
        <v>12</v>
      </c>
      <c r="AK2625" s="33" t="s">
        <v>26</v>
      </c>
      <c r="AL2625" s="33" t="s">
        <v>25</v>
      </c>
      <c r="AM2625" s="33" t="s">
        <v>27</v>
      </c>
      <c r="AN2625" s="33" t="s">
        <v>9</v>
      </c>
      <c r="AO2625" s="33" t="s">
        <v>23</v>
      </c>
      <c r="AP2625" s="33" t="s">
        <v>12</v>
      </c>
      <c r="AQ2625" s="33" t="s">
        <v>26</v>
      </c>
      <c r="AR2625" s="33" t="s">
        <v>25</v>
      </c>
      <c r="AS2625" s="33" t="s">
        <v>27</v>
      </c>
      <c r="AT2625" s="33" t="s">
        <v>9</v>
      </c>
      <c r="AU2625" s="33" t="s">
        <v>23</v>
      </c>
      <c r="AV2625" s="33" t="s">
        <v>12</v>
      </c>
      <c r="AW2625" s="33" t="s">
        <v>26</v>
      </c>
      <c r="AX2625" s="33" t="s">
        <v>25</v>
      </c>
      <c r="AY2625" s="33" t="s">
        <v>27</v>
      </c>
      <c r="AZ2625" s="33" t="s">
        <v>9</v>
      </c>
      <c r="BA2625" s="33" t="s">
        <v>23</v>
      </c>
      <c r="BB2625" s="33" t="s">
        <v>12</v>
      </c>
      <c r="BC2625" s="33" t="s">
        <v>26</v>
      </c>
      <c r="BD2625" s="33" t="s">
        <v>25</v>
      </c>
      <c r="BE2625" s="33" t="s">
        <v>27</v>
      </c>
      <c r="BF2625" s="33" t="s">
        <v>9</v>
      </c>
      <c r="BG2625" s="33" t="s">
        <v>23</v>
      </c>
      <c r="BH2625" s="33" t="s">
        <v>12</v>
      </c>
      <c r="BI2625" s="33" t="s">
        <v>26</v>
      </c>
      <c r="BJ2625" s="33" t="s">
        <v>25</v>
      </c>
      <c r="BK2625" s="33" t="s">
        <v>27</v>
      </c>
      <c r="BL2625" s="33" t="s">
        <v>9</v>
      </c>
      <c r="BM2625" s="33" t="s">
        <v>23</v>
      </c>
      <c r="BN2625" s="33" t="s">
        <v>12</v>
      </c>
      <c r="BO2625" s="33" t="s">
        <v>26</v>
      </c>
      <c r="BP2625" s="33" t="s">
        <v>25</v>
      </c>
      <c r="BQ2625" s="33" t="s">
        <v>27</v>
      </c>
      <c r="BR2625" s="33" t="s">
        <v>9</v>
      </c>
      <c r="BS2625" s="33" t="s">
        <v>23</v>
      </c>
      <c r="BT2625" s="33" t="s">
        <v>12</v>
      </c>
      <c r="BU2625" s="33" t="s">
        <v>26</v>
      </c>
      <c r="BV2625" s="33" t="s">
        <v>25</v>
      </c>
      <c r="BW2625" s="33" t="s">
        <v>27</v>
      </c>
      <c r="BX2625" s="33" t="s">
        <v>9</v>
      </c>
      <c r="BY2625" s="33" t="s">
        <v>23</v>
      </c>
      <c r="BZ2625" s="33" t="s">
        <v>12</v>
      </c>
      <c r="CA2625" s="33" t="s">
        <v>26</v>
      </c>
      <c r="CB2625" s="33" t="s">
        <v>25</v>
      </c>
      <c r="CC2625" s="33" t="s">
        <v>27</v>
      </c>
      <c r="CD2625" s="33" t="s">
        <v>9</v>
      </c>
      <c r="CE2625" s="33" t="s">
        <v>23</v>
      </c>
      <c r="CF2625" s="33" t="s">
        <v>12</v>
      </c>
      <c r="CG2625" s="33" t="s">
        <v>26</v>
      </c>
      <c r="CH2625" s="33" t="s">
        <v>25</v>
      </c>
    </row>
    <row r="2626" spans="1:86" x14ac:dyDescent="0.2">
      <c r="A2626" s="8" t="str">
        <f>IF(AND(COUNTIF(W$3:W$13,A$15)&gt;0,A$15&lt;&gt;B2578),A$15,IFERROR(IF(MATCH(A$15,Z$3:Z$13,0)=3,A$15," ")," "))</f>
        <v xml:space="preserve"> </v>
      </c>
      <c r="B2626" s="8" t="str">
        <f>IF(A2626=" "," ",1)</f>
        <v xml:space="preserve"> </v>
      </c>
      <c r="C2626" s="8" t="str">
        <f>IFERROR(INDEX(A2626:A2647,MATCH(SMALL(B2626:B2647,1),B2626:B2647,0),1)," ")</f>
        <v>C3</v>
      </c>
      <c r="D2626" s="8">
        <f>IFERROR(VLOOKUP($C2626,$A$15:$O$36,2,FALSE)," ")</f>
        <v>2</v>
      </c>
      <c r="E2626" s="8">
        <f>IFERROR(VLOOKUP($C2626,$A$15:$O$36,3,FALSE)," ")</f>
        <v>5</v>
      </c>
      <c r="F2626" s="8">
        <f>IFERROR(VLOOKUP($C2626,$A$15:$O$36,4,FALSE)," ")</f>
        <v>6</v>
      </c>
      <c r="G2626" s="8">
        <f>IFERROR(VLOOKUP($C2626,$A$15:$O$36,5,FALSE)," ")</f>
        <v>0</v>
      </c>
      <c r="H2626" s="8">
        <f>IFERROR(VLOOKUP($C2626,$A$15:$O$36,6,FALSE)," ")</f>
        <v>0</v>
      </c>
      <c r="I2626" s="8">
        <f>IFERROR(VLOOKUP($C2626,$A$15:$O$36,7,FALSE)," ")</f>
        <v>0</v>
      </c>
      <c r="J2626" s="8">
        <f>IFERROR(VLOOKUP($C2626,$A$15:$O$36,8,FALSE)," ")</f>
        <v>0</v>
      </c>
      <c r="K2626" s="8">
        <f>IFERROR(VLOOKUP($C2626,$A$15:$O$36,9,FALSE)," ")</f>
        <v>0</v>
      </c>
      <c r="L2626" s="8">
        <f>IFERROR(VLOOKUP($C2626,$A$15:$O$36,10,FALSE)," ")</f>
        <v>0</v>
      </c>
      <c r="M2626" s="8">
        <f>IFERROR(VLOOKUP($C2626,$A$15:$O$36,11,FALSE)," ")</f>
        <v>0</v>
      </c>
      <c r="N2626" s="8">
        <f>IFERROR(VLOOKUP($C2626,$A$15:$O$36,12,FALSE)," ")</f>
        <v>0</v>
      </c>
      <c r="O2626" s="8">
        <f>IFERROR(VLOOKUP($C2626,$A$15:$O$36,15,FALSE)," ")</f>
        <v>2000</v>
      </c>
      <c r="P2626" s="8" t="e">
        <f t="array" ref="P2626:P2636">MMULT(MINVERSE(D2626:N2636),O2626:O2636)</f>
        <v>#NUM!</v>
      </c>
      <c r="Q2626" s="8" t="e">
        <f t="shared" ref="Q2626" si="11451">IF(COUNTIF(P2626:P2636,"&lt;"&amp;-0.001)=0,IF(ABS(P2626)&lt;0.001,0,P2626)," ")</f>
        <v>#NUM!</v>
      </c>
      <c r="R2626" s="8" t="str">
        <f>IFERROR(VLOOKUP(B2578,A$15:L$36,2,FALSE)*Q2626+VLOOKUP(B2578,A$15:L$36,3,FALSE)*Q2627+VLOOKUP(B2578,A$15:L$36,4,FALSE)*Q2628+VLOOKUP(B2578,A$15:L$36,5,FALSE)*Q2629+VLOOKUP(B2578,A$15:L$36,6,FALSE)*Q2630+VLOOKUP(B2578,A$15:L$36,7,FALSE)*Q2631+VLOOKUP(B2578,A$15:L$36,8,FALSE)*Q2632+VLOOKUP(B2578,A$15:L$36,9,FALSE)*Q2633+VLOOKUP(B2578,A$15:L$36,10,FALSE)*Q2634+VLOOKUP(B2578,A$15:L$36,11,FALSE)*Q2635+VLOOKUP(B2578,A$15:L$36,12,FALSE)*Q2636," ")</f>
        <v xml:space="preserve"> </v>
      </c>
      <c r="S2626" s="8" t="str">
        <f>IFERROR(IF(R2626-VLOOKUP(B2578,A$15:O$36,15,FALSE)&lt;0,R2626-VLOOKUP(B2578,A$15:O$36,15,FALSE)," ")," ")</f>
        <v xml:space="preserve"> </v>
      </c>
      <c r="T2626" s="18" t="str">
        <f>IFERROR(IF(R2626-VLOOKUP(B2578,A$15:O$36,15,FALSE)&gt;0,R2626-VLOOKUP(B2578,A$15:O$36,15,FALSE)," ")," ")</f>
        <v xml:space="preserve"> </v>
      </c>
      <c r="U2626" s="34">
        <f t="shared" ref="U2626" si="11452">$M$2</f>
        <v>100.00000000000001</v>
      </c>
      <c r="V2626" s="34">
        <v>-1</v>
      </c>
      <c r="W2626" s="34">
        <f t="shared" ref="W2626" si="11453">-SUMPRODUCT($M$3:$M$12,$N$3:$N$12)</f>
        <v>-105000</v>
      </c>
      <c r="X2626" s="34" t="e">
        <f t="shared" ref="X2626" si="11454">IF(U2626&lt;&gt;U2627,MMULT(MINVERSE(U2626:V2627),W2626:W2627)," ")</f>
        <v>#NUM!</v>
      </c>
      <c r="Y2626" s="34" t="str">
        <f t="shared" ref="Y2626" si="11455">IFERROR(IF(X2626-VLOOKUP(U$38,$A$2:$N$12,14,FALSE)&lt;0,X2626-VLOOKUP(U$38,$A$2:$N$12,14,FALSE)," ")," ")</f>
        <v xml:space="preserve"> </v>
      </c>
      <c r="Z2626" s="34" t="str">
        <f t="shared" ref="Z2626" si="11456">IFERROR(IF(X2626-VLOOKUP(U$38,$A$2:$N$12,14,FALSE)&gt;0,X2626-VLOOKUP(U$38,$A$2:$N$12,14,FALSE)," ")," ")</f>
        <v xml:space="preserve"> </v>
      </c>
      <c r="AA2626" s="34">
        <f t="shared" ref="AA2626" si="11457">$M$3</f>
        <v>0</v>
      </c>
      <c r="AB2626" s="34">
        <v>-1</v>
      </c>
      <c r="AC2626" s="34">
        <f t="shared" ref="AC2626" si="11458">-SUMPRODUCT($M$2:$M$2,$N$2:$N$2)-SUMPRODUCT($M$4:$M$12,$N$4:$N$12)</f>
        <v>-120000</v>
      </c>
      <c r="AD2626" s="34" t="e">
        <f t="shared" ref="AD2626" si="11459">IF(AA2626&lt;&gt;AA2627,MMULT(MINVERSE(AA2626:AB2627),AC2626:AC2627)," ")</f>
        <v>#NUM!</v>
      </c>
      <c r="AE2626" s="34" t="str">
        <f t="shared" ref="AE2626" si="11460">IFERROR(IF(AD2626-VLOOKUP(AA$38,$A$2:$N$12,14,FALSE)&lt;0,AD2626-VLOOKUP(AA$38,$A$2:$N$12,14,FALSE)," ")," ")</f>
        <v xml:space="preserve"> </v>
      </c>
      <c r="AF2626" s="34" t="str">
        <f t="shared" ref="AF2626" si="11461">IFERROR(IF(AD2626-VLOOKUP(AA$38,$A$2:$N$12,14,FALSE)&gt;0,AD2626-VLOOKUP(AA$38,$A$2:$N$12,14,FALSE)," ")," ")</f>
        <v xml:space="preserve"> </v>
      </c>
      <c r="AG2626" s="34">
        <f t="shared" ref="AG2626" si="11462">$M$4</f>
        <v>300</v>
      </c>
      <c r="AH2626" s="34">
        <v>-1</v>
      </c>
      <c r="AI2626" s="34">
        <f t="shared" ref="AI2626" si="11463">-SUMPRODUCT($M$2:$M$3,$N$2:$N$3)-SUMPRODUCT($M$5:$M$12,$N$5:$N$12)</f>
        <v>-15000.000000000002</v>
      </c>
      <c r="AJ2626" s="34" t="e">
        <f t="shared" ref="AJ2626" si="11464">IF(AG2626&lt;&gt;AG2627,MMULT(MINVERSE(AG2626:AH2627),AI2626:AI2627)," ")</f>
        <v>#NUM!</v>
      </c>
      <c r="AK2626" s="34" t="str">
        <f t="shared" ref="AK2626" si="11465">IFERROR(IF(AJ2626-VLOOKUP(AG$38,$A$2:$N$12,14,FALSE)&lt;0,AJ2626-VLOOKUP(AG$38,$A$2:$N$12,14,FALSE)," ")," ")</f>
        <v xml:space="preserve"> </v>
      </c>
      <c r="AL2626" s="34" t="str">
        <f t="shared" ref="AL2626" si="11466">IFERROR(IF(AJ2626-VLOOKUP(AG$38,$A$2:$N$12,14,FALSE)&gt;0,AJ2626-VLOOKUP(AG$38,$A$2:$N$12,14,FALSE)," ")," ")</f>
        <v xml:space="preserve"> </v>
      </c>
      <c r="AM2626" s="34">
        <f t="shared" ref="AM2626" si="11467">$M$5</f>
        <v>0</v>
      </c>
      <c r="AN2626" s="34">
        <v>-1</v>
      </c>
      <c r="AO2626" s="34">
        <f t="shared" ref="AO2626" si="11468">-SUMPRODUCT($M$2:$M$4,$N$2:$N$4)-SUMPRODUCT($M$6:$M$12,$N$6:$N$12)</f>
        <v>-120000</v>
      </c>
      <c r="AP2626" s="34" t="e">
        <f t="shared" ref="AP2626" si="11469">IF(AM2626&lt;&gt;AM2627,MMULT(MINVERSE(AM2626:AN2627),AO2626:AO2627)," ")</f>
        <v>#NUM!</v>
      </c>
      <c r="AQ2626" s="34" t="str">
        <f t="shared" ref="AQ2626" si="11470">IFERROR(IF(AP2626-VLOOKUP(AM$38,$A$2:$N$12,14,FALSE)&lt;0,AP2626-VLOOKUP(AM$38,$A$2:$N$12,14,FALSE)," ")," ")</f>
        <v xml:space="preserve"> </v>
      </c>
      <c r="AR2626" s="34" t="str">
        <f t="shared" ref="AR2626" si="11471">IFERROR(IF(AP2626-VLOOKUP(AM$38,$A$2:$N$12,14,FALSE)&gt;0,AP2626-VLOOKUP(AM$38,$A$2:$N$12,14,FALSE)," ")," ")</f>
        <v xml:space="preserve"> </v>
      </c>
      <c r="AS2626" s="34">
        <f t="shared" ref="AS2626" si="11472">$M$6</f>
        <v>0</v>
      </c>
      <c r="AT2626" s="34">
        <v>-1</v>
      </c>
      <c r="AU2626" s="34">
        <f t="shared" ref="AU2626" si="11473">-SUMPRODUCT($M$2:$M$5,$N$2:$N$5)-SUMPRODUCT($M$7:$M$12,$N$7:$N$12)</f>
        <v>-120000</v>
      </c>
      <c r="AV2626" s="34" t="e">
        <f t="shared" ref="AV2626" si="11474">IF(AS2626&lt;&gt;AS2627,MMULT(MINVERSE(AS2626:AT2627),AU2626:AU2627)," ")</f>
        <v>#NUM!</v>
      </c>
      <c r="AW2626" s="34" t="str">
        <f t="shared" ref="AW2626" si="11475">IFERROR(IF(AV2626-VLOOKUP(AS$38,$A$2:$N$12,14,FALSE)&lt;0,AV2626-VLOOKUP(AS$38,$A$2:$N$12,14,FALSE)," ")," ")</f>
        <v xml:space="preserve"> </v>
      </c>
      <c r="AX2626" s="34" t="str">
        <f t="shared" ref="AX2626" si="11476">IFERROR(IF(AV2626-VLOOKUP(AS$38,$A$2:$N$12,14,FALSE)&gt;0,AV2626-VLOOKUP(AS$38,$A$2:$N$12,14,FALSE)," ")," ")</f>
        <v xml:space="preserve"> </v>
      </c>
      <c r="AY2626" s="34">
        <f t="shared" ref="AY2626" si="11477">$M$7</f>
        <v>0</v>
      </c>
      <c r="AZ2626" s="34">
        <v>-1</v>
      </c>
      <c r="BA2626" s="34">
        <f t="shared" ref="BA2626" si="11478">-SUMPRODUCT($M$2:$M$6,$N$2:$N$6)-SUMPRODUCT($M$8:$M$12,$N$8:$N$12)</f>
        <v>-120000</v>
      </c>
      <c r="BB2626" s="34" t="e">
        <f t="shared" ref="BB2626" si="11479">IF(AY2626&lt;&gt;AY2627,MMULT(MINVERSE(AY2626:AZ2627),BA2626:BA2627)," ")</f>
        <v>#NUM!</v>
      </c>
      <c r="BC2626" s="34" t="str">
        <f t="shared" ref="BC2626" si="11480">IFERROR(IF(BB2626-VLOOKUP(AY$38,$A$2:$N$12,14,FALSE)&lt;0,BB2626-VLOOKUP(AY$38,$A$2:$N$12,14,FALSE)," ")," ")</f>
        <v xml:space="preserve"> </v>
      </c>
      <c r="BD2626" s="34" t="str">
        <f t="shared" ref="BD2626" si="11481">IFERROR(IF(BB2626-VLOOKUP(AY$38,$A$2:$N$12,14,FALSE)&gt;0,BB2626-VLOOKUP(AY$38,$A$2:$N$12,14,FALSE)," ")," ")</f>
        <v xml:space="preserve"> </v>
      </c>
      <c r="BE2626" s="34">
        <f t="shared" ref="BE2626" si="11482">$M$8</f>
        <v>0</v>
      </c>
      <c r="BF2626" s="34">
        <v>-1</v>
      </c>
      <c r="BG2626" s="34">
        <f t="shared" ref="BG2626" si="11483">-SUMPRODUCT($M$2:$M$7,$N$2:$N$7)-SUMPRODUCT($M$9:$M$12,$N$9:$N$12)</f>
        <v>-120000</v>
      </c>
      <c r="BH2626" s="34" t="e">
        <f t="shared" ref="BH2626" si="11484">IF(BE2626&lt;&gt;BE2627,MMULT(MINVERSE(BE2626:BF2627),BG2626:BG2627)," ")</f>
        <v>#NUM!</v>
      </c>
      <c r="BI2626" s="34" t="str">
        <f t="shared" ref="BI2626" si="11485">IFERROR(IF(BH2626-VLOOKUP(BE$38,$A$2:$N$12,14,FALSE)&lt;0,BH2626-VLOOKUP(BE$38,$A$2:$N$12,14,FALSE)," ")," ")</f>
        <v xml:space="preserve"> </v>
      </c>
      <c r="BJ2626" s="34" t="str">
        <f t="shared" ref="BJ2626" si="11486">IFERROR(IF(BH2626-VLOOKUP(BE$38,$A$2:$N$12,14,FALSE)&gt;0,BH2626-VLOOKUP(BE$38,$A$2:$N$12,14,FALSE)," ")," ")</f>
        <v xml:space="preserve"> </v>
      </c>
      <c r="BK2626" s="34">
        <f t="shared" ref="BK2626" si="11487">$M$9</f>
        <v>0</v>
      </c>
      <c r="BL2626" s="34">
        <v>-1</v>
      </c>
      <c r="BM2626" s="34">
        <f t="shared" ref="BM2626" si="11488">-SUMPRODUCT($M$2:$M$8,$N$2:$N$8)-SUMPRODUCT($M$10:$M$12,$N$10:$N$12)</f>
        <v>-120000</v>
      </c>
      <c r="BN2626" s="34" t="e">
        <f t="shared" ref="BN2626" si="11489">IF(BK2626&lt;&gt;BK2627,MMULT(MINVERSE(BK2626:BL2627),BM2626:BM2627)," ")</f>
        <v>#NUM!</v>
      </c>
      <c r="BO2626" s="34" t="str">
        <f t="shared" ref="BO2626" si="11490">IFERROR(IF(BN2626-VLOOKUP(BK$38,$A$2:$N$12,14,FALSE)&lt;0,BN2626-VLOOKUP(BK$38,$A$2:$N$12,14,FALSE)," ")," ")</f>
        <v xml:space="preserve"> </v>
      </c>
      <c r="BP2626" s="34" t="str">
        <f t="shared" ref="BP2626" si="11491">IFERROR(IF(BN2626-VLOOKUP(BK$38,$A$2:$N$12,14,FALSE)&gt;0,BN2626-VLOOKUP(BK$38,$A$2:$N$12,14,FALSE)," ")," ")</f>
        <v xml:space="preserve"> </v>
      </c>
      <c r="BQ2626" s="34">
        <f t="shared" ref="BQ2626" si="11492">$M$10</f>
        <v>0</v>
      </c>
      <c r="BR2626" s="34">
        <v>-1</v>
      </c>
      <c r="BS2626" s="34">
        <f t="shared" ref="BS2626" si="11493">-SUMPRODUCT($M$2:$M$9,$N$2:$N$9)-SUMPRODUCT($M$11:$M$12,$N$11:$N$12)</f>
        <v>-120000</v>
      </c>
      <c r="BT2626" s="34" t="e">
        <f t="shared" ref="BT2626" si="11494">IF(BQ2626&lt;&gt;BQ2627,MMULT(MINVERSE(BQ2626:BR2627),BS2626:BS2627)," ")</f>
        <v>#NUM!</v>
      </c>
      <c r="BU2626" s="34" t="str">
        <f t="shared" ref="BU2626" si="11495">IFERROR(IF(BT2626-VLOOKUP(BQ$38,$A$2:$N$12,14,FALSE)&lt;0,BT2626-VLOOKUP(BQ$38,$A$2:$N$12,14,FALSE)," ")," ")</f>
        <v xml:space="preserve"> </v>
      </c>
      <c r="BV2626" s="34" t="str">
        <f t="shared" ref="BV2626" si="11496">IFERROR(IF(BT2626-VLOOKUP(BQ$38,$A$2:$N$12,14,FALSE)&gt;0,BT2626-VLOOKUP(BQ$38,$A$2:$N$12,14,FALSE)," ")," ")</f>
        <v xml:space="preserve"> </v>
      </c>
      <c r="BW2626" s="34">
        <f t="shared" ref="BW2626" si="11497">$M$11</f>
        <v>0</v>
      </c>
      <c r="BX2626" s="34">
        <v>-1</v>
      </c>
      <c r="BY2626" s="34">
        <f t="shared" ref="BY2626" si="11498">-SUMPRODUCT($M$2:$M$10,$N$2:$N$10)-SUMPRODUCT($M$12,$N$12)</f>
        <v>-120000</v>
      </c>
      <c r="BZ2626" s="34" t="e">
        <f t="shared" ref="BZ2626" si="11499">IF(BW2626&lt;&gt;BW2627,MMULT(MINVERSE(BW2626:BX2627),BY2626:BY2627)," ")</f>
        <v>#NUM!</v>
      </c>
      <c r="CA2626" s="34" t="str">
        <f t="shared" ref="CA2626" si="11500">IFERROR(IF(BZ2626-VLOOKUP(BW$38,$A$2:$N$12,14,FALSE)&lt;0,BZ2626-VLOOKUP(BW$38,$A$2:$N$12,14,FALSE)," ")," ")</f>
        <v xml:space="preserve"> </v>
      </c>
      <c r="CB2626" s="34" t="str">
        <f t="shared" ref="CB2626" si="11501">IFERROR(IF(BZ2626-VLOOKUP(BW$38,$A$2:$N$12,14,FALSE)&gt;0,BZ2626-VLOOKUP(BW$38,$A$2:$N$12,14,FALSE)," ")," ")</f>
        <v xml:space="preserve"> </v>
      </c>
      <c r="CC2626" s="34">
        <f t="shared" ref="CC2626" si="11502">$M$12</f>
        <v>0</v>
      </c>
      <c r="CD2626" s="34">
        <v>-1</v>
      </c>
      <c r="CE2626" s="34">
        <f t="shared" ref="CE2626" si="11503">-SUMPRODUCT($M$2:$M$11,$N$2:$N$11)</f>
        <v>-120000</v>
      </c>
      <c r="CF2626" s="34" t="e">
        <f t="shared" ref="CF2626" si="11504">IF(CC2626&lt;&gt;CC2627,MMULT(MINVERSE(CC2626:CD2627),CE2626:CE2627)," ")</f>
        <v>#NUM!</v>
      </c>
      <c r="CG2626" s="34" t="str">
        <f t="shared" ref="CG2626" si="11505">IFERROR(IF(CF2626-VLOOKUP(CC$38,$A$2:$N$12,14,FALSE)&lt;0,CF2626-VLOOKUP(CC$38,$A$2:$N$12,14,FALSE)," ")," ")</f>
        <v xml:space="preserve"> </v>
      </c>
      <c r="CH2626" s="34" t="str">
        <f t="shared" ref="CH2626" si="11506">IFERROR(IF(CF2626-VLOOKUP(CC$38,$A$2:$N$12,14,FALSE)&gt;0,CF2626-VLOOKUP(CC$38,$A$2:$N$12,14,FALSE)," ")," ")</f>
        <v xml:space="preserve"> </v>
      </c>
    </row>
    <row r="2627" spans="1:86" x14ac:dyDescent="0.2">
      <c r="A2627" s="8" t="str">
        <f>IF(AND(COUNTIF(W$3:W$13,A$16)&gt;0,A$16&lt;&gt;B2578),A$16,IFERROR(IF(MATCH(A$16,Z$3:Z$13,0)=3,A$16," ")," "))</f>
        <v xml:space="preserve"> </v>
      </c>
      <c r="B2627" s="8" t="str">
        <f>IF(A2627=" "," ",MAX(B2626:B2626)+1)</f>
        <v xml:space="preserve"> </v>
      </c>
      <c r="C2627" s="8" t="str">
        <f>IFERROR(INDEX(A2626:A2647,MATCH(SMALL(B2626:B2647,2),B2626:B2647,0),1)," ")</f>
        <v>C4</v>
      </c>
      <c r="D2627" s="8">
        <f t="shared" ref="D2627:D2636" si="11507">IFERROR(VLOOKUP($C2627,$A$15:$O$36,2,FALSE)," ")</f>
        <v>1</v>
      </c>
      <c r="E2627" s="8">
        <f t="shared" ref="E2627:E2636" si="11508">IFERROR(VLOOKUP($C2627,$A$15:$O$36,3,FALSE)," ")</f>
        <v>0</v>
      </c>
      <c r="F2627" s="8">
        <f t="shared" ref="F2627:F2636" si="11509">IFERROR(VLOOKUP($C2627,$A$15:$O$36,4,FALSE)," ")</f>
        <v>1</v>
      </c>
      <c r="G2627" s="8">
        <f t="shared" ref="G2627:G2636" si="11510">IFERROR(VLOOKUP($C2627,$A$15:$O$36,5,FALSE)," ")</f>
        <v>0</v>
      </c>
      <c r="H2627" s="8">
        <f t="shared" ref="H2627:H2636" si="11511">IFERROR(VLOOKUP($C2627,$A$15:$O$36,6,FALSE)," ")</f>
        <v>0</v>
      </c>
      <c r="I2627" s="8">
        <f t="shared" ref="I2627:I2636" si="11512">IFERROR(VLOOKUP($C2627,$A$15:$O$36,7,FALSE)," ")</f>
        <v>0</v>
      </c>
      <c r="J2627" s="8">
        <f t="shared" ref="J2627:J2636" si="11513">IFERROR(VLOOKUP($C2627,$A$15:$O$36,8,FALSE)," ")</f>
        <v>0</v>
      </c>
      <c r="K2627" s="8">
        <f t="shared" ref="K2627:K2636" si="11514">IFERROR(VLOOKUP($C2627,$A$15:$O$36,9,FALSE)," ")</f>
        <v>0</v>
      </c>
      <c r="L2627" s="8">
        <f t="shared" ref="L2627:L2636" si="11515">IFERROR(VLOOKUP($C2627,$A$15:$O$36,10,FALSE)," ")</f>
        <v>0</v>
      </c>
      <c r="M2627" s="8">
        <f t="shared" ref="M2627:M2636" si="11516">IFERROR(VLOOKUP($C2627,$A$15:$O$36,11,FALSE)," ")</f>
        <v>0</v>
      </c>
      <c r="N2627" s="8">
        <f t="shared" ref="N2627:N2636" si="11517">IFERROR(VLOOKUP($C2627,$A$15:$O$36,12,FALSE)," ")</f>
        <v>0</v>
      </c>
      <c r="O2627" s="8">
        <f t="shared" ref="O2627:O2636" si="11518">IFERROR(VLOOKUP($C2627,$A$15:$O$36,15,FALSE)," ")</f>
        <v>400</v>
      </c>
      <c r="P2627" s="8" t="e">
        <v>#NUM!</v>
      </c>
      <c r="Q2627" s="8" t="e">
        <f t="shared" ref="Q2627" si="11519">IF(COUNTIF(P2626:P2636,"&lt;"&amp;-0.001)=0,IF(ABS(P2627)&lt;0.001,0,P2627)," ")</f>
        <v>#NUM!</v>
      </c>
      <c r="R2627" s="8"/>
      <c r="S2627" s="8"/>
      <c r="U2627" s="34" t="e">
        <f t="shared" ref="U2627" si="11520">$Q2626</f>
        <v>#NUM!</v>
      </c>
      <c r="V2627" s="34">
        <v>-1</v>
      </c>
      <c r="W2627" s="34" t="e">
        <f t="shared" ref="W2627" si="11521">-SUMPRODUCT($Q2627:$Q2636,$N$3:$N$12)</f>
        <v>#NUM!</v>
      </c>
      <c r="X2627" s="34"/>
      <c r="Y2627" s="34"/>
      <c r="Z2627" s="34"/>
      <c r="AA2627" s="34" t="e">
        <f t="shared" ref="AA2627" si="11522">$Q2627</f>
        <v>#NUM!</v>
      </c>
      <c r="AB2627" s="34">
        <v>-1</v>
      </c>
      <c r="AC2627" s="34" t="e">
        <f t="shared" ref="AC2627" si="11523">-SUMPRODUCT($Q2626:$Q2626,$N$2:$N$2)-SUMPRODUCT($Q2628:$Q2636,$N$4:$N$12)</f>
        <v>#NUM!</v>
      </c>
      <c r="AD2627" s="34"/>
      <c r="AE2627" s="34"/>
      <c r="AF2627" s="34"/>
      <c r="AG2627" s="34" t="e">
        <f t="shared" ref="AG2627" si="11524">$Q2628</f>
        <v>#NUM!</v>
      </c>
      <c r="AH2627" s="34">
        <v>-1</v>
      </c>
      <c r="AI2627" s="34" t="e">
        <f t="shared" ref="AI2627" si="11525">-SUMPRODUCT($Q2626:$Q2627,$N$2:$N$3)-SUMPRODUCT($Q2629:$Q2636,$N$5:$N$12)</f>
        <v>#NUM!</v>
      </c>
      <c r="AJ2627" s="34"/>
      <c r="AK2627" s="34"/>
      <c r="AL2627" s="34"/>
      <c r="AM2627" s="34" t="e">
        <f t="shared" ref="AM2627" si="11526">$Q2629</f>
        <v>#NUM!</v>
      </c>
      <c r="AN2627" s="34">
        <v>-1</v>
      </c>
      <c r="AO2627" s="34" t="e">
        <f t="shared" ref="AO2627" si="11527">-SUMPRODUCT($Q2626:$Q2628,$N$2:$N$4)-SUMPRODUCT($Q2630:$Q2636,$N$6:$N$12)</f>
        <v>#NUM!</v>
      </c>
      <c r="AP2627" s="34"/>
      <c r="AQ2627" s="34"/>
      <c r="AR2627" s="34"/>
      <c r="AS2627" s="34" t="e">
        <f t="shared" ref="AS2627" si="11528">$Q2630</f>
        <v>#NUM!</v>
      </c>
      <c r="AT2627" s="34">
        <v>-1</v>
      </c>
      <c r="AU2627" s="34" t="e">
        <f t="shared" ref="AU2627" si="11529">-SUMPRODUCT($Q2626:$Q2629,$N$2:$N$5)-SUMPRODUCT($Q2631:$Q2636,$N$7:$N$12)</f>
        <v>#NUM!</v>
      </c>
      <c r="AV2627" s="34"/>
      <c r="AW2627" s="34"/>
      <c r="AX2627" s="34"/>
      <c r="AY2627" s="34" t="e">
        <f t="shared" ref="AY2627" si="11530">$Q2631</f>
        <v>#NUM!</v>
      </c>
      <c r="AZ2627" s="34">
        <v>-1</v>
      </c>
      <c r="BA2627" s="34" t="e">
        <f t="shared" ref="BA2627" si="11531">-SUMPRODUCT($Q2626:$Q2630,$N$2:$N$6)-SUMPRODUCT($Q2632:$Q2636,$N$8:$N$12)</f>
        <v>#NUM!</v>
      </c>
      <c r="BB2627" s="34"/>
      <c r="BC2627" s="34"/>
      <c r="BD2627" s="34"/>
      <c r="BE2627" s="34" t="e">
        <f t="shared" ref="BE2627" si="11532">$Q2632</f>
        <v>#NUM!</v>
      </c>
      <c r="BF2627" s="34">
        <v>-1</v>
      </c>
      <c r="BG2627" s="34" t="e">
        <f t="shared" ref="BG2627" si="11533">-SUMPRODUCT($Q2626:$Q2631,$N$2:$N$7)-SUMPRODUCT($Q2633:$Q2636,$N$9:$N$12)</f>
        <v>#NUM!</v>
      </c>
      <c r="BH2627" s="34"/>
      <c r="BI2627" s="34"/>
      <c r="BJ2627" s="34"/>
      <c r="BK2627" s="34" t="e">
        <f t="shared" ref="BK2627" si="11534">$Q2633</f>
        <v>#NUM!</v>
      </c>
      <c r="BL2627" s="34">
        <v>-1</v>
      </c>
      <c r="BM2627" s="34" t="e">
        <f t="shared" ref="BM2627" si="11535">-SUMPRODUCT($Q2626:$Q2632,$N$2:$N$8)-SUMPRODUCT($Q2634:$Q2636,$N$10:$N$12)</f>
        <v>#NUM!</v>
      </c>
      <c r="BN2627" s="34"/>
      <c r="BO2627" s="34"/>
      <c r="BP2627" s="34"/>
      <c r="BQ2627" s="34" t="e">
        <f t="shared" ref="BQ2627" si="11536">$Q2634</f>
        <v>#NUM!</v>
      </c>
      <c r="BR2627" s="34">
        <v>-1</v>
      </c>
      <c r="BS2627" s="34" t="e">
        <f t="shared" ref="BS2627" si="11537">-SUMPRODUCT($Q2626:$Q2633,$N$2:$N$9)-SUMPRODUCT($Q2635:$Q2636,$N$11:$N$12)</f>
        <v>#NUM!</v>
      </c>
      <c r="BT2627" s="34"/>
      <c r="BU2627" s="34"/>
      <c r="BV2627" s="34"/>
      <c r="BW2627" s="34" t="e">
        <f t="shared" ref="BW2627" si="11538">$Q2635</f>
        <v>#NUM!</v>
      </c>
      <c r="BX2627" s="34">
        <v>-1</v>
      </c>
      <c r="BY2627" s="34" t="e">
        <f t="shared" ref="BY2627" si="11539">-SUMPRODUCT($Q2626:$Q2634,$N$2:$N$10)-SUMPRODUCT($Q2636,$N$12)</f>
        <v>#NUM!</v>
      </c>
      <c r="BZ2627" s="34"/>
      <c r="CA2627" s="34"/>
      <c r="CB2627" s="34"/>
      <c r="CC2627" s="34" t="e">
        <f t="shared" ref="CC2627" si="11540">$Q2636</f>
        <v>#NUM!</v>
      </c>
      <c r="CD2627" s="34">
        <v>-1</v>
      </c>
      <c r="CE2627" s="34" t="e">
        <f t="shared" ref="CE2627" si="11541">-SUMPRODUCT($Q2626:$Q2635,$N$2:$N$11)</f>
        <v>#NUM!</v>
      </c>
      <c r="CF2627" s="34"/>
      <c r="CG2627" s="34"/>
      <c r="CH2627" s="34"/>
    </row>
    <row r="2628" spans="1:86" x14ac:dyDescent="0.2">
      <c r="A2628" s="8" t="str">
        <f>IF(AND(COUNTIF(W$3:W$13,A$17)&gt;0,A$17&lt;&gt;B2578),A$17,IFERROR(IF(MATCH(A$17,Z$3:Z$13,0)=3,A$17," ")," "))</f>
        <v>C3</v>
      </c>
      <c r="B2628" s="8">
        <f>IF(A2628=" "," ",MAX(B2626:B2627)+1)</f>
        <v>1</v>
      </c>
      <c r="C2628" s="8" t="str">
        <f>IFERROR(INDEX(A2626:A2647,MATCH(SMALL(B2626:B2647,3),B2626:B2647,0),1)," ")</f>
        <v>C5</v>
      </c>
      <c r="D2628" s="8">
        <f t="shared" si="11507"/>
        <v>0</v>
      </c>
      <c r="E2628" s="8">
        <f t="shared" si="11508"/>
        <v>0</v>
      </c>
      <c r="F2628" s="8">
        <f t="shared" si="11509"/>
        <v>0</v>
      </c>
      <c r="G2628" s="8">
        <f t="shared" si="11510"/>
        <v>0</v>
      </c>
      <c r="H2628" s="8">
        <f t="shared" si="11511"/>
        <v>0</v>
      </c>
      <c r="I2628" s="8">
        <f t="shared" si="11512"/>
        <v>0</v>
      </c>
      <c r="J2628" s="8">
        <f t="shared" si="11513"/>
        <v>0</v>
      </c>
      <c r="K2628" s="8">
        <f t="shared" si="11514"/>
        <v>0</v>
      </c>
      <c r="L2628" s="8">
        <f t="shared" si="11515"/>
        <v>0</v>
      </c>
      <c r="M2628" s="8">
        <f t="shared" si="11516"/>
        <v>0</v>
      </c>
      <c r="N2628" s="8">
        <f t="shared" si="11517"/>
        <v>0</v>
      </c>
      <c r="O2628" s="8">
        <f t="shared" si="11518"/>
        <v>0</v>
      </c>
      <c r="P2628" s="8" t="e">
        <v>#NUM!</v>
      </c>
      <c r="Q2628" s="8" t="e">
        <f t="shared" ref="Q2628" si="11542">IF(COUNTIF(P2626:P2636,"&lt;"&amp;-0.001)=0,IF(ABS(P2628)&lt;0.001,0,P2628)," ")</f>
        <v>#NUM!</v>
      </c>
      <c r="R2628" s="8"/>
      <c r="S2628" s="8"/>
      <c r="U2628" s="34"/>
      <c r="V2628" s="34"/>
      <c r="W2628" s="34"/>
      <c r="X2628" s="34"/>
      <c r="Y2628" s="34"/>
      <c r="Z2628" s="34"/>
      <c r="AA2628" s="34"/>
      <c r="AB2628" s="34"/>
      <c r="AC2628" s="34"/>
      <c r="AD2628" s="34"/>
      <c r="AE2628" s="34"/>
      <c r="AF2628" s="34"/>
      <c r="AG2628" s="34"/>
      <c r="AH2628" s="34"/>
      <c r="AI2628" s="34"/>
      <c r="AJ2628" s="34"/>
      <c r="AK2628" s="34"/>
      <c r="AL2628" s="34"/>
      <c r="AM2628" s="34"/>
      <c r="AN2628" s="34"/>
      <c r="AO2628" s="34"/>
      <c r="AP2628" s="34"/>
      <c r="AQ2628" s="34"/>
      <c r="AR2628" s="34"/>
      <c r="AS2628" s="34"/>
      <c r="AT2628" s="34"/>
      <c r="AU2628" s="34"/>
      <c r="AV2628" s="34"/>
      <c r="AW2628" s="34"/>
      <c r="AX2628" s="34"/>
      <c r="AY2628" s="34"/>
      <c r="AZ2628" s="34"/>
      <c r="BA2628" s="34"/>
      <c r="BB2628" s="34"/>
      <c r="BC2628" s="34"/>
      <c r="BD2628" s="34"/>
      <c r="BE2628" s="34"/>
      <c r="BF2628" s="34"/>
      <c r="BG2628" s="34"/>
      <c r="BH2628" s="34"/>
      <c r="BI2628" s="34"/>
      <c r="BJ2628" s="34"/>
      <c r="BK2628" s="34"/>
      <c r="BL2628" s="34"/>
      <c r="BM2628" s="34"/>
      <c r="BN2628" s="34"/>
      <c r="BO2628" s="34"/>
      <c r="BP2628" s="34"/>
      <c r="BQ2628" s="34"/>
      <c r="BR2628" s="34"/>
      <c r="BS2628" s="34"/>
      <c r="BT2628" s="34"/>
      <c r="BU2628" s="34"/>
      <c r="BV2628" s="34"/>
      <c r="BW2628" s="34"/>
      <c r="BX2628" s="34"/>
      <c r="BY2628" s="34"/>
      <c r="BZ2628" s="34"/>
      <c r="CA2628" s="34"/>
      <c r="CB2628" s="34"/>
      <c r="CC2628" s="34"/>
      <c r="CD2628" s="34"/>
      <c r="CE2628" s="34"/>
      <c r="CF2628" s="34"/>
      <c r="CG2628" s="34"/>
      <c r="CH2628" s="34"/>
    </row>
    <row r="2629" spans="1:86" x14ac:dyDescent="0.2">
      <c r="A2629" s="8" t="str">
        <f>IF(AND(COUNTIF(W$3:W$13,A$18)&gt;0,A$18&lt;&gt;B2578),A$18,IFERROR(IF(MATCH(A$18,Z$3:Z$13,0)=3,A$18," ")," "))</f>
        <v>C4</v>
      </c>
      <c r="B2629" s="8">
        <f>IF(A2629=" "," ",MAX(B2626:B2628)+1)</f>
        <v>2</v>
      </c>
      <c r="C2629" s="8" t="str">
        <f>IFERROR(INDEX(A2626:A2647,MATCH(SMALL(B2626:B2647,4),B2626:B2647,0),1)," ")</f>
        <v>C13</v>
      </c>
      <c r="D2629" s="8">
        <f t="shared" si="11507"/>
        <v>0</v>
      </c>
      <c r="E2629" s="8">
        <f t="shared" si="11508"/>
        <v>1</v>
      </c>
      <c r="F2629" s="8">
        <f t="shared" si="11509"/>
        <v>0</v>
      </c>
      <c r="G2629" s="8">
        <f t="shared" si="11510"/>
        <v>0</v>
      </c>
      <c r="H2629" s="8">
        <f t="shared" si="11511"/>
        <v>0</v>
      </c>
      <c r="I2629" s="8">
        <f t="shared" si="11512"/>
        <v>0</v>
      </c>
      <c r="J2629" s="8">
        <f t="shared" si="11513"/>
        <v>0</v>
      </c>
      <c r="K2629" s="8">
        <f t="shared" si="11514"/>
        <v>0</v>
      </c>
      <c r="L2629" s="8">
        <f t="shared" si="11515"/>
        <v>0</v>
      </c>
      <c r="M2629" s="8">
        <f t="shared" si="11516"/>
        <v>0</v>
      </c>
      <c r="N2629" s="8">
        <f t="shared" si="11517"/>
        <v>0</v>
      </c>
      <c r="O2629" s="8">
        <f t="shared" si="11518"/>
        <v>0</v>
      </c>
      <c r="P2629" s="8" t="e">
        <v>#NUM!</v>
      </c>
      <c r="Q2629" s="8" t="e">
        <f t="shared" ref="Q2629" si="11543">IF(COUNTIF(P2626:P2636,"&lt;"&amp;-0.001)=0,IF(ABS(P2629)&lt;0.001,0,P2629)," ")</f>
        <v>#NUM!</v>
      </c>
      <c r="R2629" s="8"/>
      <c r="S2629" s="8"/>
      <c r="U2629" s="34"/>
      <c r="V2629" s="34"/>
      <c r="W2629" s="34"/>
      <c r="X2629" s="34"/>
      <c r="Y2629" s="34"/>
      <c r="Z2629" s="34"/>
      <c r="AA2629" s="34"/>
      <c r="AB2629" s="34"/>
      <c r="AC2629" s="34"/>
      <c r="AD2629" s="34"/>
      <c r="AE2629" s="34"/>
      <c r="AF2629" s="34"/>
      <c r="AG2629" s="34"/>
      <c r="AH2629" s="34"/>
      <c r="AI2629" s="34"/>
      <c r="AJ2629" s="34"/>
      <c r="AK2629" s="34"/>
      <c r="AL2629" s="34"/>
      <c r="AM2629" s="34"/>
      <c r="AN2629" s="34"/>
      <c r="AO2629" s="34"/>
      <c r="AP2629" s="34"/>
      <c r="AQ2629" s="34"/>
      <c r="AR2629" s="34"/>
      <c r="AS2629" s="34"/>
      <c r="AT2629" s="34"/>
      <c r="AU2629" s="34"/>
      <c r="AV2629" s="34"/>
      <c r="AW2629" s="34"/>
      <c r="AX2629" s="34"/>
      <c r="AY2629" s="34"/>
      <c r="AZ2629" s="34"/>
      <c r="BA2629" s="34"/>
      <c r="BB2629" s="34"/>
      <c r="BC2629" s="34"/>
      <c r="BD2629" s="34"/>
      <c r="BE2629" s="34"/>
      <c r="BF2629" s="34"/>
      <c r="BG2629" s="34"/>
      <c r="BH2629" s="34"/>
      <c r="BI2629" s="34"/>
      <c r="BJ2629" s="34"/>
      <c r="BK2629" s="34"/>
      <c r="BL2629" s="34"/>
      <c r="BM2629" s="34"/>
      <c r="BN2629" s="34"/>
      <c r="BO2629" s="34"/>
      <c r="BP2629" s="34"/>
      <c r="BQ2629" s="34"/>
      <c r="BR2629" s="34"/>
      <c r="BS2629" s="34"/>
      <c r="BT2629" s="34"/>
      <c r="BU2629" s="34"/>
      <c r="BV2629" s="34"/>
      <c r="BW2629" s="34"/>
      <c r="BX2629" s="34"/>
      <c r="BY2629" s="34"/>
      <c r="BZ2629" s="34"/>
      <c r="CA2629" s="34"/>
      <c r="CB2629" s="34"/>
      <c r="CC2629" s="34"/>
      <c r="CD2629" s="34"/>
      <c r="CE2629" s="34"/>
      <c r="CF2629" s="34"/>
      <c r="CG2629" s="34"/>
      <c r="CH2629" s="34"/>
    </row>
    <row r="2630" spans="1:86" x14ac:dyDescent="0.2">
      <c r="A2630" s="8" t="str">
        <f>IF(AND(COUNTIF(W$3:W$13,A$19)&gt;0,A$19&lt;&gt;B2578),A$19,IFERROR(IF(MATCH(A$19,Z$3:Z$13,0)=3,A$19," ")," "))</f>
        <v>C5</v>
      </c>
      <c r="B2630" s="8">
        <f>IF(A2630=" "," ",MAX(B2626:B2629)+1)</f>
        <v>3</v>
      </c>
      <c r="C2630" s="8" t="str">
        <f>IFERROR(INDEX(A2626:A2647,MATCH(SMALL(B2626:B2647,5),B2626:B2647,0),1)," ")</f>
        <v>C15</v>
      </c>
      <c r="D2630" s="8">
        <f t="shared" si="11507"/>
        <v>0</v>
      </c>
      <c r="E2630" s="8">
        <f t="shared" si="11508"/>
        <v>0</v>
      </c>
      <c r="F2630" s="8">
        <f t="shared" si="11509"/>
        <v>0</v>
      </c>
      <c r="G2630" s="8">
        <f t="shared" si="11510"/>
        <v>1</v>
      </c>
      <c r="H2630" s="8">
        <f t="shared" si="11511"/>
        <v>0</v>
      </c>
      <c r="I2630" s="8">
        <f t="shared" si="11512"/>
        <v>0</v>
      </c>
      <c r="J2630" s="8">
        <f t="shared" si="11513"/>
        <v>0</v>
      </c>
      <c r="K2630" s="8">
        <f t="shared" si="11514"/>
        <v>0</v>
      </c>
      <c r="L2630" s="8">
        <f t="shared" si="11515"/>
        <v>0</v>
      </c>
      <c r="M2630" s="8">
        <f t="shared" si="11516"/>
        <v>0</v>
      </c>
      <c r="N2630" s="8">
        <f t="shared" si="11517"/>
        <v>0</v>
      </c>
      <c r="O2630" s="8">
        <f t="shared" si="11518"/>
        <v>0</v>
      </c>
      <c r="P2630" s="8" t="e">
        <v>#NUM!</v>
      </c>
      <c r="Q2630" s="8" t="e">
        <f t="shared" ref="Q2630" si="11544">IF(COUNTIF(P2626:P2636,"&lt;"&amp;-0.001)=0,IF(ABS(P2630)&lt;0.001,0,P2630)," ")</f>
        <v>#NUM!</v>
      </c>
      <c r="R2630" s="8"/>
      <c r="S2630" s="8"/>
      <c r="U2630" s="34"/>
      <c r="V2630" s="34"/>
      <c r="W2630" s="34"/>
      <c r="X2630" s="34"/>
      <c r="Y2630" s="34"/>
      <c r="Z2630" s="34"/>
      <c r="AA2630" s="34"/>
      <c r="AB2630" s="34"/>
      <c r="AC2630" s="34"/>
      <c r="AD2630" s="34"/>
      <c r="AE2630" s="34"/>
      <c r="AF2630" s="34"/>
      <c r="AG2630" s="34"/>
      <c r="AH2630" s="34"/>
      <c r="AI2630" s="34"/>
      <c r="AJ2630" s="34"/>
      <c r="AK2630" s="34"/>
      <c r="AL2630" s="34"/>
      <c r="AM2630" s="34"/>
      <c r="AN2630" s="34"/>
      <c r="AO2630" s="34"/>
      <c r="AP2630" s="34"/>
      <c r="AQ2630" s="34"/>
      <c r="AR2630" s="34"/>
      <c r="AS2630" s="34"/>
      <c r="AT2630" s="34"/>
      <c r="AU2630" s="34"/>
      <c r="AV2630" s="34"/>
      <c r="AW2630" s="34"/>
      <c r="AX2630" s="34"/>
      <c r="AY2630" s="34"/>
      <c r="AZ2630" s="34"/>
      <c r="BA2630" s="34"/>
      <c r="BB2630" s="34"/>
      <c r="BC2630" s="34"/>
      <c r="BD2630" s="34"/>
      <c r="BE2630" s="34"/>
      <c r="BF2630" s="34"/>
      <c r="BG2630" s="34"/>
      <c r="BH2630" s="34"/>
      <c r="BI2630" s="34"/>
      <c r="BJ2630" s="34"/>
      <c r="BK2630" s="34"/>
      <c r="BL2630" s="34"/>
      <c r="BM2630" s="34"/>
      <c r="BN2630" s="34"/>
      <c r="BO2630" s="34"/>
      <c r="BP2630" s="34"/>
      <c r="BQ2630" s="34"/>
      <c r="BR2630" s="34"/>
      <c r="BS2630" s="34"/>
      <c r="BT2630" s="34"/>
      <c r="BU2630" s="34"/>
      <c r="BV2630" s="34"/>
      <c r="BW2630" s="34"/>
      <c r="BX2630" s="34"/>
      <c r="BY2630" s="34"/>
      <c r="BZ2630" s="34"/>
      <c r="CA2630" s="34"/>
      <c r="CB2630" s="34"/>
      <c r="CC2630" s="34"/>
      <c r="CD2630" s="34"/>
      <c r="CE2630" s="34"/>
      <c r="CF2630" s="34"/>
      <c r="CG2630" s="34"/>
      <c r="CH2630" s="34"/>
    </row>
    <row r="2631" spans="1:86" x14ac:dyDescent="0.2">
      <c r="A2631" s="8" t="str">
        <f>IF(AND(COUNTIF(W$3:W$13,A$20)&gt;0,A$20&lt;&gt;B2578),A$20,IFERROR(IF(MATCH(A$20,Z$3:Z$13,0)=3,A$20," ")," "))</f>
        <v xml:space="preserve"> </v>
      </c>
      <c r="B2631" s="8" t="str">
        <f>IF(A2631=" "," ",MAX(B2626:B2630)+1)</f>
        <v xml:space="preserve"> </v>
      </c>
      <c r="C2631" s="8" t="str">
        <f>IFERROR(INDEX(A2626:A2647,MATCH(SMALL(B2626:B2647,6),B2626:B2647,0),1)," ")</f>
        <v>C16</v>
      </c>
      <c r="D2631" s="8">
        <f t="shared" si="11507"/>
        <v>0</v>
      </c>
      <c r="E2631" s="8">
        <f t="shared" si="11508"/>
        <v>0</v>
      </c>
      <c r="F2631" s="8">
        <f t="shared" si="11509"/>
        <v>0</v>
      </c>
      <c r="G2631" s="8">
        <f t="shared" si="11510"/>
        <v>0</v>
      </c>
      <c r="H2631" s="8">
        <f t="shared" si="11511"/>
        <v>1</v>
      </c>
      <c r="I2631" s="8">
        <f t="shared" si="11512"/>
        <v>0</v>
      </c>
      <c r="J2631" s="8">
        <f t="shared" si="11513"/>
        <v>0</v>
      </c>
      <c r="K2631" s="8">
        <f t="shared" si="11514"/>
        <v>0</v>
      </c>
      <c r="L2631" s="8">
        <f t="shared" si="11515"/>
        <v>0</v>
      </c>
      <c r="M2631" s="8">
        <f t="shared" si="11516"/>
        <v>0</v>
      </c>
      <c r="N2631" s="8">
        <f t="shared" si="11517"/>
        <v>0</v>
      </c>
      <c r="O2631" s="8">
        <f t="shared" si="11518"/>
        <v>0</v>
      </c>
      <c r="P2631" s="8" t="e">
        <v>#NUM!</v>
      </c>
      <c r="Q2631" s="8" t="e">
        <f t="shared" ref="Q2631" si="11545">IF(COUNTIF(P2626:P2636,"&lt;"&amp;-0.001)=0,IF(ABS(P2631)&lt;0.001,0,P2631)," ")</f>
        <v>#NUM!</v>
      </c>
      <c r="R2631" s="8"/>
      <c r="S2631" s="8"/>
      <c r="U2631" s="34"/>
      <c r="V2631" s="34"/>
      <c r="W2631" s="34"/>
      <c r="X2631" s="34"/>
      <c r="Y2631" s="34"/>
      <c r="Z2631" s="34"/>
      <c r="AA2631" s="34"/>
      <c r="AB2631" s="34"/>
      <c r="AC2631" s="34"/>
      <c r="AD2631" s="34"/>
      <c r="AE2631" s="34"/>
      <c r="AF2631" s="34"/>
      <c r="AG2631" s="34"/>
      <c r="AH2631" s="34"/>
      <c r="AI2631" s="34"/>
      <c r="AJ2631" s="34"/>
      <c r="AK2631" s="34"/>
      <c r="AL2631" s="34"/>
      <c r="AM2631" s="34"/>
      <c r="AN2631" s="34"/>
      <c r="AO2631" s="34"/>
      <c r="AP2631" s="34"/>
      <c r="AQ2631" s="34"/>
      <c r="AR2631" s="34"/>
      <c r="AS2631" s="34"/>
      <c r="AT2631" s="34"/>
      <c r="AU2631" s="34"/>
      <c r="AV2631" s="34"/>
      <c r="AW2631" s="34"/>
      <c r="AX2631" s="34"/>
      <c r="AY2631" s="34"/>
      <c r="AZ2631" s="34"/>
      <c r="BA2631" s="34"/>
      <c r="BB2631" s="34"/>
      <c r="BC2631" s="34"/>
      <c r="BD2631" s="34"/>
      <c r="BE2631" s="34"/>
      <c r="BF2631" s="34"/>
      <c r="BG2631" s="34"/>
      <c r="BH2631" s="34"/>
      <c r="BI2631" s="34"/>
      <c r="BJ2631" s="34"/>
      <c r="BK2631" s="34"/>
      <c r="BL2631" s="34"/>
      <c r="BM2631" s="34"/>
      <c r="BN2631" s="34"/>
      <c r="BO2631" s="34"/>
      <c r="BP2631" s="34"/>
      <c r="BQ2631" s="34"/>
      <c r="BR2631" s="34"/>
      <c r="BS2631" s="34"/>
      <c r="BT2631" s="34"/>
      <c r="BU2631" s="34"/>
      <c r="BV2631" s="34"/>
      <c r="BW2631" s="34"/>
      <c r="BX2631" s="34"/>
      <c r="BY2631" s="34"/>
      <c r="BZ2631" s="34"/>
      <c r="CA2631" s="34"/>
      <c r="CB2631" s="34"/>
      <c r="CC2631" s="34"/>
      <c r="CD2631" s="34"/>
      <c r="CE2631" s="34"/>
      <c r="CF2631" s="34"/>
      <c r="CG2631" s="34"/>
      <c r="CH2631" s="34"/>
    </row>
    <row r="2632" spans="1:86" x14ac:dyDescent="0.2">
      <c r="A2632" s="8" t="str">
        <f>IF(AND(COUNTIF(W$3:W$13,A$21)&gt;0,A$21&lt;&gt;B2578),A$21,IFERROR(IF(MATCH(A$21,Z$3:Z$13,0)=3,A$21," ")," "))</f>
        <v xml:space="preserve"> </v>
      </c>
      <c r="B2632" s="8" t="str">
        <f>IF(A2632=" "," ",MAX(B2626:B2631)+1)</f>
        <v xml:space="preserve"> </v>
      </c>
      <c r="C2632" s="8" t="str">
        <f>IFERROR(INDEX(A2626:A2647,MATCH(SMALL(B2626:B2647,7),B2626:B2647,0),1)," ")</f>
        <v>C17</v>
      </c>
      <c r="D2632" s="8">
        <f t="shared" si="11507"/>
        <v>0</v>
      </c>
      <c r="E2632" s="8">
        <f t="shared" si="11508"/>
        <v>0</v>
      </c>
      <c r="F2632" s="8">
        <f t="shared" si="11509"/>
        <v>0</v>
      </c>
      <c r="G2632" s="8">
        <f t="shared" si="11510"/>
        <v>0</v>
      </c>
      <c r="H2632" s="8">
        <f t="shared" si="11511"/>
        <v>0</v>
      </c>
      <c r="I2632" s="8">
        <f t="shared" si="11512"/>
        <v>1</v>
      </c>
      <c r="J2632" s="8">
        <f t="shared" si="11513"/>
        <v>0</v>
      </c>
      <c r="K2632" s="8">
        <f t="shared" si="11514"/>
        <v>0</v>
      </c>
      <c r="L2632" s="8">
        <f t="shared" si="11515"/>
        <v>0</v>
      </c>
      <c r="M2632" s="8">
        <f t="shared" si="11516"/>
        <v>0</v>
      </c>
      <c r="N2632" s="8">
        <f t="shared" si="11517"/>
        <v>0</v>
      </c>
      <c r="O2632" s="8">
        <f t="shared" si="11518"/>
        <v>0</v>
      </c>
      <c r="P2632" s="8" t="e">
        <v>#NUM!</v>
      </c>
      <c r="Q2632" s="8" t="e">
        <f t="shared" ref="Q2632" si="11546">IF(COUNTIF(P2626:P2636,"&lt;"&amp;-0.001)=0,IF(ABS(P2632)&lt;0.001,0,P2632)," ")</f>
        <v>#NUM!</v>
      </c>
      <c r="R2632" s="8"/>
      <c r="S2632" s="8"/>
      <c r="U2632" s="34"/>
      <c r="V2632" s="34"/>
      <c r="W2632" s="34"/>
      <c r="X2632" s="34"/>
      <c r="Y2632" s="34"/>
      <c r="Z2632" s="34"/>
      <c r="AA2632" s="34"/>
      <c r="AB2632" s="34"/>
      <c r="AC2632" s="34"/>
      <c r="AD2632" s="34"/>
      <c r="AE2632" s="34"/>
      <c r="AF2632" s="34"/>
      <c r="AG2632" s="34"/>
      <c r="AH2632" s="34"/>
      <c r="AI2632" s="34"/>
      <c r="AJ2632" s="34"/>
      <c r="AK2632" s="34"/>
      <c r="AL2632" s="34"/>
      <c r="AM2632" s="34"/>
      <c r="AN2632" s="34"/>
      <c r="AO2632" s="34"/>
      <c r="AP2632" s="34"/>
      <c r="AQ2632" s="34"/>
      <c r="AR2632" s="34"/>
      <c r="AS2632" s="34"/>
      <c r="AT2632" s="34"/>
      <c r="AU2632" s="34"/>
      <c r="AV2632" s="34"/>
      <c r="AW2632" s="34"/>
      <c r="AX2632" s="34"/>
      <c r="AY2632" s="34"/>
      <c r="AZ2632" s="34"/>
      <c r="BA2632" s="34"/>
      <c r="BB2632" s="34"/>
      <c r="BC2632" s="34"/>
      <c r="BD2632" s="34"/>
      <c r="BE2632" s="34"/>
      <c r="BF2632" s="34"/>
      <c r="BG2632" s="34"/>
      <c r="BH2632" s="34"/>
      <c r="BI2632" s="34"/>
      <c r="BJ2632" s="34"/>
      <c r="BK2632" s="34"/>
      <c r="BL2632" s="34"/>
      <c r="BM2632" s="34"/>
      <c r="BN2632" s="34"/>
      <c r="BO2632" s="34"/>
      <c r="BP2632" s="34"/>
      <c r="BQ2632" s="34"/>
      <c r="BR2632" s="34"/>
      <c r="BS2632" s="34"/>
      <c r="BT2632" s="34"/>
      <c r="BU2632" s="34"/>
      <c r="BV2632" s="34"/>
      <c r="BW2632" s="34"/>
      <c r="BX2632" s="34"/>
      <c r="BY2632" s="34"/>
      <c r="BZ2632" s="34"/>
      <c r="CA2632" s="34"/>
      <c r="CB2632" s="34"/>
      <c r="CC2632" s="34"/>
      <c r="CD2632" s="34"/>
      <c r="CE2632" s="34"/>
      <c r="CF2632" s="34"/>
      <c r="CG2632" s="34"/>
      <c r="CH2632" s="34"/>
    </row>
    <row r="2633" spans="1:86" x14ac:dyDescent="0.2">
      <c r="A2633" s="8" t="str">
        <f>IF(AND(COUNTIF(W$3:W$13,A$22)&gt;0,A$22&lt;&gt;B2578),A$22,IFERROR(IF(MATCH(A$22,Z$3:Z$13,0)=3,A$22," ")," "))</f>
        <v xml:space="preserve"> </v>
      </c>
      <c r="B2633" s="8" t="str">
        <f>IF(A2633=" "," ",MAX(B2626:B2632)+1)</f>
        <v xml:space="preserve"> </v>
      </c>
      <c r="C2633" s="8" t="str">
        <f>IFERROR(INDEX(A2626:A2647,MATCH(SMALL(B2626:B2647,8),B2626:B2647,0),1)," ")</f>
        <v>C18</v>
      </c>
      <c r="D2633" s="8">
        <f t="shared" si="11507"/>
        <v>0</v>
      </c>
      <c r="E2633" s="8">
        <f t="shared" si="11508"/>
        <v>0</v>
      </c>
      <c r="F2633" s="8">
        <f t="shared" si="11509"/>
        <v>0</v>
      </c>
      <c r="G2633" s="8">
        <f t="shared" si="11510"/>
        <v>0</v>
      </c>
      <c r="H2633" s="8">
        <f t="shared" si="11511"/>
        <v>0</v>
      </c>
      <c r="I2633" s="8">
        <f t="shared" si="11512"/>
        <v>0</v>
      </c>
      <c r="J2633" s="8">
        <f t="shared" si="11513"/>
        <v>1</v>
      </c>
      <c r="K2633" s="8">
        <f t="shared" si="11514"/>
        <v>0</v>
      </c>
      <c r="L2633" s="8">
        <f t="shared" si="11515"/>
        <v>0</v>
      </c>
      <c r="M2633" s="8">
        <f t="shared" si="11516"/>
        <v>0</v>
      </c>
      <c r="N2633" s="8">
        <f t="shared" si="11517"/>
        <v>0</v>
      </c>
      <c r="O2633" s="8">
        <f t="shared" si="11518"/>
        <v>0</v>
      </c>
      <c r="P2633" s="8" t="e">
        <v>#NUM!</v>
      </c>
      <c r="Q2633" s="8" t="e">
        <f t="shared" ref="Q2633" si="11547">IF(COUNTIF(P2626:P2636,"&lt;"&amp;-0.001)=0,IF(ABS(P2633)&lt;0.001,0,P2633)," ")</f>
        <v>#NUM!</v>
      </c>
      <c r="R2633" s="8"/>
      <c r="S2633" s="8"/>
      <c r="U2633" s="34"/>
      <c r="V2633" s="34"/>
      <c r="W2633" s="34"/>
      <c r="X2633" s="34"/>
      <c r="Y2633" s="34"/>
      <c r="Z2633" s="34"/>
      <c r="AA2633" s="34"/>
      <c r="AB2633" s="34"/>
      <c r="AC2633" s="34"/>
      <c r="AD2633" s="34"/>
      <c r="AE2633" s="34"/>
      <c r="AF2633" s="34"/>
      <c r="AG2633" s="34"/>
      <c r="AH2633" s="34"/>
      <c r="AI2633" s="34"/>
      <c r="AJ2633" s="34"/>
      <c r="AK2633" s="34"/>
      <c r="AL2633" s="34"/>
      <c r="AM2633" s="34"/>
      <c r="AN2633" s="34"/>
      <c r="AO2633" s="34"/>
      <c r="AP2633" s="34"/>
      <c r="AQ2633" s="34"/>
      <c r="AR2633" s="34"/>
      <c r="AS2633" s="34"/>
      <c r="AT2633" s="34"/>
      <c r="AU2633" s="34"/>
      <c r="AV2633" s="34"/>
      <c r="AW2633" s="34"/>
      <c r="AX2633" s="34"/>
      <c r="AY2633" s="34"/>
      <c r="AZ2633" s="34"/>
      <c r="BA2633" s="34"/>
      <c r="BB2633" s="34"/>
      <c r="BC2633" s="34"/>
      <c r="BD2633" s="34"/>
      <c r="BE2633" s="34"/>
      <c r="BF2633" s="34"/>
      <c r="BG2633" s="34"/>
      <c r="BH2633" s="34"/>
      <c r="BI2633" s="34"/>
      <c r="BJ2633" s="34"/>
      <c r="BK2633" s="34"/>
      <c r="BL2633" s="34"/>
      <c r="BM2633" s="34"/>
      <c r="BN2633" s="34"/>
      <c r="BO2633" s="34"/>
      <c r="BP2633" s="34"/>
      <c r="BQ2633" s="34"/>
      <c r="BR2633" s="34"/>
      <c r="BS2633" s="34"/>
      <c r="BT2633" s="34"/>
      <c r="BU2633" s="34"/>
      <c r="BV2633" s="34"/>
      <c r="BW2633" s="34"/>
      <c r="BX2633" s="34"/>
      <c r="BY2633" s="34"/>
      <c r="BZ2633" s="34"/>
      <c r="CA2633" s="34"/>
      <c r="CB2633" s="34"/>
      <c r="CC2633" s="34"/>
      <c r="CD2633" s="34"/>
      <c r="CE2633" s="34"/>
      <c r="CF2633" s="34"/>
      <c r="CG2633" s="34"/>
      <c r="CH2633" s="34"/>
    </row>
    <row r="2634" spans="1:86" x14ac:dyDescent="0.2">
      <c r="A2634" s="8" t="str">
        <f>IF(AND(COUNTIF(W$3:W$13,A$23)&gt;0,A$23&lt;&gt;B2578),A$23,IFERROR(IF(MATCH(A$23,Z$3:Z$13,0)=3,A$23," ")," "))</f>
        <v xml:space="preserve"> </v>
      </c>
      <c r="B2634" s="8" t="str">
        <f>IF(A2634=" "," ",MAX(B2626:B2633)+1)</f>
        <v xml:space="preserve"> </v>
      </c>
      <c r="C2634" s="8" t="str">
        <f>IFERROR(INDEX(A2626:A2647,MATCH(SMALL(B2626:B2647,9),B2626:B2647,0),1)," ")</f>
        <v>C19</v>
      </c>
      <c r="D2634" s="8">
        <f t="shared" si="11507"/>
        <v>0</v>
      </c>
      <c r="E2634" s="8">
        <f t="shared" si="11508"/>
        <v>0</v>
      </c>
      <c r="F2634" s="8">
        <f t="shared" si="11509"/>
        <v>0</v>
      </c>
      <c r="G2634" s="8">
        <f t="shared" si="11510"/>
        <v>0</v>
      </c>
      <c r="H2634" s="8">
        <f t="shared" si="11511"/>
        <v>0</v>
      </c>
      <c r="I2634" s="8">
        <f t="shared" si="11512"/>
        <v>0</v>
      </c>
      <c r="J2634" s="8">
        <f t="shared" si="11513"/>
        <v>0</v>
      </c>
      <c r="K2634" s="8">
        <f t="shared" si="11514"/>
        <v>1</v>
      </c>
      <c r="L2634" s="8">
        <f t="shared" si="11515"/>
        <v>0</v>
      </c>
      <c r="M2634" s="8">
        <f t="shared" si="11516"/>
        <v>0</v>
      </c>
      <c r="N2634" s="8">
        <f t="shared" si="11517"/>
        <v>0</v>
      </c>
      <c r="O2634" s="8">
        <f t="shared" si="11518"/>
        <v>0</v>
      </c>
      <c r="P2634" s="6" t="e">
        <v>#NUM!</v>
      </c>
      <c r="Q2634" s="8" t="e">
        <f t="shared" ref="Q2634" si="11548">IF(COUNTIF(P2626:P2636,"&lt;"&amp;-0.001)=0,IF(ABS(P2634)&lt;0.001,0,P2634)," ")</f>
        <v>#NUM!</v>
      </c>
      <c r="R2634" s="8"/>
      <c r="S2634" s="8"/>
      <c r="U2634" s="34"/>
      <c r="V2634" s="34"/>
      <c r="W2634" s="34"/>
      <c r="X2634" s="34"/>
      <c r="Y2634" s="34"/>
      <c r="Z2634" s="34"/>
      <c r="AA2634" s="34"/>
      <c r="AB2634" s="34"/>
      <c r="AC2634" s="34"/>
      <c r="AD2634" s="34"/>
      <c r="AE2634" s="34"/>
      <c r="AF2634" s="34"/>
      <c r="AG2634" s="34"/>
      <c r="AH2634" s="34"/>
      <c r="AI2634" s="34"/>
      <c r="AJ2634" s="34"/>
      <c r="AK2634" s="34"/>
      <c r="AL2634" s="34"/>
      <c r="AM2634" s="34"/>
      <c r="AN2634" s="34"/>
      <c r="AO2634" s="34"/>
      <c r="AP2634" s="34"/>
      <c r="AQ2634" s="34"/>
      <c r="AR2634" s="34"/>
      <c r="AS2634" s="34"/>
      <c r="AT2634" s="34"/>
      <c r="AU2634" s="34"/>
      <c r="AV2634" s="34"/>
      <c r="AW2634" s="34"/>
      <c r="AX2634" s="34"/>
      <c r="AY2634" s="34"/>
      <c r="AZ2634" s="34"/>
      <c r="BA2634" s="34"/>
      <c r="BB2634" s="34"/>
      <c r="BC2634" s="34"/>
      <c r="BD2634" s="34"/>
      <c r="BE2634" s="34"/>
      <c r="BF2634" s="34"/>
      <c r="BG2634" s="34"/>
      <c r="BH2634" s="34"/>
      <c r="BI2634" s="34"/>
      <c r="BJ2634" s="34"/>
      <c r="BK2634" s="34"/>
      <c r="BL2634" s="34"/>
      <c r="BM2634" s="34"/>
      <c r="BN2634" s="34"/>
      <c r="BO2634" s="34"/>
      <c r="BP2634" s="34"/>
      <c r="BQ2634" s="34"/>
      <c r="BR2634" s="34"/>
      <c r="BS2634" s="34"/>
      <c r="BT2634" s="34"/>
      <c r="BU2634" s="34"/>
      <c r="BV2634" s="34"/>
      <c r="BW2634" s="34"/>
      <c r="BX2634" s="34"/>
      <c r="BY2634" s="34"/>
      <c r="BZ2634" s="34"/>
      <c r="CA2634" s="34"/>
      <c r="CB2634" s="34"/>
      <c r="CC2634" s="34"/>
      <c r="CD2634" s="34"/>
      <c r="CE2634" s="34"/>
      <c r="CF2634" s="34"/>
      <c r="CG2634" s="34"/>
      <c r="CH2634" s="34"/>
    </row>
    <row r="2635" spans="1:86" x14ac:dyDescent="0.2">
      <c r="A2635" s="8" t="str">
        <f>IF(AND(COUNTIF(W$3:W$13,A$24)&gt;0,A$24&lt;&gt;B2578),A$24,IFERROR(IF(MATCH(A$24,Z$3:Z$13,0)=3,A$24," ")," "))</f>
        <v xml:space="preserve"> </v>
      </c>
      <c r="B2635" s="8" t="str">
        <f>IF(A2635=" "," ",MAX(B2626:B2634)+1)</f>
        <v xml:space="preserve"> </v>
      </c>
      <c r="C2635" s="8" t="str">
        <f>IFERROR(INDEX(A2626:A2647,MATCH(SMALL(B2626:B2647,10),B2626:B2647,0),1)," ")</f>
        <v>C20</v>
      </c>
      <c r="D2635" s="8">
        <f t="shared" si="11507"/>
        <v>0</v>
      </c>
      <c r="E2635" s="8">
        <f t="shared" si="11508"/>
        <v>0</v>
      </c>
      <c r="F2635" s="8">
        <f t="shared" si="11509"/>
        <v>0</v>
      </c>
      <c r="G2635" s="8">
        <f t="shared" si="11510"/>
        <v>0</v>
      </c>
      <c r="H2635" s="8">
        <f t="shared" si="11511"/>
        <v>0</v>
      </c>
      <c r="I2635" s="8">
        <f t="shared" si="11512"/>
        <v>0</v>
      </c>
      <c r="J2635" s="8">
        <f t="shared" si="11513"/>
        <v>0</v>
      </c>
      <c r="K2635" s="8">
        <f t="shared" si="11514"/>
        <v>0</v>
      </c>
      <c r="L2635" s="8">
        <f t="shared" si="11515"/>
        <v>1</v>
      </c>
      <c r="M2635" s="8">
        <f t="shared" si="11516"/>
        <v>0</v>
      </c>
      <c r="N2635" s="8">
        <f t="shared" si="11517"/>
        <v>0</v>
      </c>
      <c r="O2635" s="8">
        <f t="shared" si="11518"/>
        <v>0</v>
      </c>
      <c r="P2635" s="8" t="e">
        <v>#NUM!</v>
      </c>
      <c r="Q2635" s="8" t="e">
        <f t="shared" ref="Q2635" si="11549">IF(COUNTIF(P2626:P2636,"&lt;"&amp;-0.001)=0,IF(ABS(P2635)&lt;0.001,0,P2635)," ")</f>
        <v>#NUM!</v>
      </c>
      <c r="R2635" s="8"/>
      <c r="S2635" s="8"/>
      <c r="U2635" s="34"/>
      <c r="V2635" s="34"/>
      <c r="W2635" s="34"/>
      <c r="X2635" s="34"/>
      <c r="Y2635" s="34"/>
      <c r="Z2635" s="34"/>
      <c r="AA2635" s="34"/>
      <c r="AB2635" s="34"/>
      <c r="AC2635" s="34"/>
      <c r="AD2635" s="34"/>
      <c r="AE2635" s="34"/>
      <c r="AF2635" s="34"/>
      <c r="AG2635" s="34"/>
      <c r="AH2635" s="34"/>
      <c r="AI2635" s="34"/>
      <c r="AJ2635" s="34"/>
      <c r="AK2635" s="34"/>
      <c r="AL2635" s="34"/>
      <c r="AM2635" s="34"/>
      <c r="AN2635" s="34"/>
      <c r="AO2635" s="34"/>
      <c r="AP2635" s="34"/>
      <c r="AQ2635" s="34"/>
      <c r="AR2635" s="34"/>
      <c r="AS2635" s="34"/>
      <c r="AT2635" s="34"/>
      <c r="AU2635" s="34"/>
      <c r="AV2635" s="34"/>
      <c r="AW2635" s="34"/>
      <c r="AX2635" s="34"/>
      <c r="AY2635" s="34"/>
      <c r="AZ2635" s="34"/>
      <c r="BA2635" s="34"/>
      <c r="BB2635" s="34"/>
      <c r="BC2635" s="34"/>
      <c r="BD2635" s="34"/>
      <c r="BE2635" s="34"/>
      <c r="BF2635" s="34"/>
      <c r="BG2635" s="34"/>
      <c r="BH2635" s="34"/>
      <c r="BI2635" s="34"/>
      <c r="BJ2635" s="34"/>
      <c r="BK2635" s="34"/>
      <c r="BL2635" s="34"/>
      <c r="BM2635" s="34"/>
      <c r="BN2635" s="34"/>
      <c r="BO2635" s="34"/>
      <c r="BP2635" s="34"/>
      <c r="BQ2635" s="34"/>
      <c r="BR2635" s="34"/>
      <c r="BS2635" s="34"/>
      <c r="BT2635" s="34"/>
      <c r="BU2635" s="34"/>
      <c r="BV2635" s="34"/>
      <c r="BW2635" s="34"/>
      <c r="BX2635" s="34"/>
      <c r="BY2635" s="34"/>
      <c r="BZ2635" s="34"/>
      <c r="CA2635" s="34"/>
      <c r="CB2635" s="34"/>
      <c r="CC2635" s="34"/>
      <c r="CD2635" s="34"/>
      <c r="CE2635" s="34"/>
      <c r="CF2635" s="34"/>
      <c r="CG2635" s="34"/>
      <c r="CH2635" s="34"/>
    </row>
    <row r="2636" spans="1:86" x14ac:dyDescent="0.2">
      <c r="A2636" s="8" t="str">
        <f>IF(AND(COUNTIF(W$3:W$13,A$25)&gt;0,A$25&lt;&gt;B2578),A$25,IFERROR(IF(MATCH(A$25,Z$3:Z$13,0)=3,A$25," ")," "))</f>
        <v xml:space="preserve"> </v>
      </c>
      <c r="B2636" s="8" t="str">
        <f>IF(A2636=" "," ",MAX(B2626:B2635)+1)</f>
        <v xml:space="preserve"> </v>
      </c>
      <c r="C2636" s="8" t="str">
        <f>IFERROR(INDEX(A2626:A2647,MATCH(SMALL(B2626:B2647,11),B2626:B2647,0),1)," ")</f>
        <v>C21</v>
      </c>
      <c r="D2636" s="8">
        <f t="shared" si="11507"/>
        <v>0</v>
      </c>
      <c r="E2636" s="8">
        <f t="shared" si="11508"/>
        <v>0</v>
      </c>
      <c r="F2636" s="8">
        <f t="shared" si="11509"/>
        <v>0</v>
      </c>
      <c r="G2636" s="8">
        <f t="shared" si="11510"/>
        <v>0</v>
      </c>
      <c r="H2636" s="8">
        <f t="shared" si="11511"/>
        <v>0</v>
      </c>
      <c r="I2636" s="8">
        <f t="shared" si="11512"/>
        <v>0</v>
      </c>
      <c r="J2636" s="8">
        <f t="shared" si="11513"/>
        <v>0</v>
      </c>
      <c r="K2636" s="8">
        <f t="shared" si="11514"/>
        <v>0</v>
      </c>
      <c r="L2636" s="8">
        <f t="shared" si="11515"/>
        <v>0</v>
      </c>
      <c r="M2636" s="8">
        <f t="shared" si="11516"/>
        <v>1</v>
      </c>
      <c r="N2636" s="8">
        <f t="shared" si="11517"/>
        <v>0</v>
      </c>
      <c r="O2636" s="8">
        <f t="shared" si="11518"/>
        <v>0</v>
      </c>
      <c r="P2636" s="8" t="e">
        <v>#NUM!</v>
      </c>
      <c r="Q2636" s="8" t="e">
        <f t="shared" ref="Q2636" si="11550">IF(COUNTIF(P2626:P2636,"&lt;"&amp;-0.001)=0,IF(ABS(P2636)&lt;0.001,0,P2636)," ")</f>
        <v>#NUM!</v>
      </c>
      <c r="R2636" s="8"/>
      <c r="S2636" s="8"/>
      <c r="U2636" s="34"/>
      <c r="V2636" s="34"/>
      <c r="W2636" s="34"/>
      <c r="X2636" s="34"/>
      <c r="Y2636" s="34"/>
      <c r="Z2636" s="34"/>
      <c r="AA2636" s="34"/>
      <c r="AB2636" s="34"/>
      <c r="AC2636" s="34"/>
      <c r="AD2636" s="34"/>
      <c r="AE2636" s="34"/>
      <c r="AF2636" s="34"/>
      <c r="AG2636" s="34"/>
      <c r="AH2636" s="34"/>
      <c r="AI2636" s="34"/>
      <c r="AJ2636" s="34"/>
      <c r="AK2636" s="34"/>
      <c r="AL2636" s="34"/>
      <c r="AM2636" s="34"/>
      <c r="AN2636" s="34"/>
      <c r="AO2636" s="34"/>
      <c r="AP2636" s="34"/>
      <c r="AQ2636" s="34"/>
      <c r="AR2636" s="34"/>
      <c r="AS2636" s="34"/>
      <c r="AT2636" s="34"/>
      <c r="AU2636" s="34"/>
      <c r="AV2636" s="34"/>
      <c r="AW2636" s="34"/>
      <c r="AX2636" s="34"/>
      <c r="AY2636" s="34"/>
      <c r="AZ2636" s="34"/>
      <c r="BA2636" s="34"/>
      <c r="BB2636" s="34"/>
      <c r="BC2636" s="34"/>
      <c r="BD2636" s="34"/>
      <c r="BE2636" s="34"/>
      <c r="BF2636" s="34"/>
      <c r="BG2636" s="34"/>
      <c r="BH2636" s="34"/>
      <c r="BI2636" s="34"/>
      <c r="BJ2636" s="34"/>
      <c r="BK2636" s="34"/>
      <c r="BL2636" s="34"/>
      <c r="BM2636" s="34"/>
      <c r="BN2636" s="34"/>
      <c r="BO2636" s="34"/>
      <c r="BP2636" s="34"/>
      <c r="BQ2636" s="34"/>
      <c r="BR2636" s="34"/>
      <c r="BS2636" s="34"/>
      <c r="BT2636" s="34"/>
      <c r="BU2636" s="34"/>
      <c r="BV2636" s="34"/>
      <c r="BW2636" s="34"/>
      <c r="BX2636" s="34"/>
      <c r="BY2636" s="34"/>
      <c r="BZ2636" s="34"/>
      <c r="CA2636" s="34"/>
      <c r="CB2636" s="34"/>
      <c r="CC2636" s="34"/>
      <c r="CD2636" s="34"/>
      <c r="CE2636" s="34"/>
      <c r="CF2636" s="34"/>
      <c r="CG2636" s="34"/>
      <c r="CH2636" s="34"/>
    </row>
    <row r="2637" spans="1:86" x14ac:dyDescent="0.2">
      <c r="A2637" s="8" t="str">
        <f>IF(AND(COUNTIF(W$3:W$13,A$26)&gt;0,A$26&lt;&gt;B2578),A$26,IFERROR(IF(MATCH(A$26,Z$3:Z$13,0)=3,A$26," ")," "))</f>
        <v xml:space="preserve"> </v>
      </c>
      <c r="B2637" s="8" t="str">
        <f>IF(A2637=" "," ",MAX(B2626:B2636)+1)</f>
        <v xml:space="preserve"> </v>
      </c>
      <c r="C2637" s="8"/>
      <c r="D2637" s="8"/>
      <c r="E2637" s="8"/>
      <c r="F2637" s="8"/>
      <c r="G2637" s="8"/>
      <c r="H2637" s="8"/>
      <c r="I2637" s="8"/>
      <c r="J2637" s="8"/>
      <c r="K2637" s="8"/>
      <c r="L2637" s="8"/>
      <c r="M2637" s="8"/>
      <c r="N2637" s="8"/>
      <c r="O2637" s="8"/>
      <c r="P2637" s="8"/>
      <c r="Q2637" s="8"/>
      <c r="R2637" s="8"/>
      <c r="S2637" s="8"/>
      <c r="U2637" s="34"/>
      <c r="V2637" s="34"/>
      <c r="W2637" s="34"/>
      <c r="X2637" s="34"/>
      <c r="Y2637" s="34"/>
      <c r="Z2637" s="34"/>
      <c r="AA2637" s="34"/>
      <c r="AB2637" s="34"/>
      <c r="AC2637" s="34"/>
      <c r="AD2637" s="34"/>
      <c r="AE2637" s="34"/>
      <c r="AF2637" s="34"/>
      <c r="AG2637" s="34"/>
      <c r="AH2637" s="34"/>
      <c r="AI2637" s="34"/>
      <c r="AJ2637" s="34"/>
      <c r="AK2637" s="34"/>
      <c r="AL2637" s="34"/>
      <c r="AM2637" s="34"/>
      <c r="AN2637" s="34"/>
      <c r="AO2637" s="34"/>
      <c r="AP2637" s="34"/>
      <c r="AQ2637" s="34"/>
      <c r="AR2637" s="34"/>
      <c r="AS2637" s="34"/>
      <c r="AT2637" s="34"/>
      <c r="AU2637" s="34"/>
      <c r="AV2637" s="34"/>
      <c r="AW2637" s="34"/>
      <c r="AX2637" s="34"/>
      <c r="AY2637" s="34"/>
      <c r="AZ2637" s="34"/>
      <c r="BA2637" s="34"/>
      <c r="BB2637" s="34"/>
      <c r="BC2637" s="34"/>
      <c r="BD2637" s="34"/>
      <c r="BE2637" s="34"/>
      <c r="BF2637" s="34"/>
      <c r="BG2637" s="34"/>
      <c r="BH2637" s="34"/>
      <c r="BI2637" s="34"/>
      <c r="BJ2637" s="34"/>
      <c r="BK2637" s="34"/>
      <c r="BL2637" s="34"/>
      <c r="BM2637" s="34"/>
      <c r="BN2637" s="34"/>
      <c r="BO2637" s="34"/>
      <c r="BP2637" s="34"/>
      <c r="BQ2637" s="34"/>
      <c r="BR2637" s="34"/>
      <c r="BS2637" s="34"/>
      <c r="BT2637" s="34"/>
      <c r="BU2637" s="34"/>
      <c r="BV2637" s="34"/>
      <c r="BW2637" s="34"/>
      <c r="BX2637" s="34"/>
      <c r="BY2637" s="34"/>
      <c r="BZ2637" s="34"/>
      <c r="CA2637" s="34"/>
      <c r="CB2637" s="34"/>
      <c r="CC2637" s="34"/>
      <c r="CD2637" s="34"/>
      <c r="CE2637" s="34"/>
      <c r="CF2637" s="34"/>
      <c r="CG2637" s="34"/>
      <c r="CH2637" s="34"/>
    </row>
    <row r="2638" spans="1:86" x14ac:dyDescent="0.2">
      <c r="A2638" s="8" t="str">
        <f>IF(AND(COUNTIF(W$3:W$13,A$27)&gt;0,A$27&lt;&gt;B2578),A$27,IFERROR(IF(MATCH(A$27,Z$3:Z$13,0)=3,A$27," ")," "))</f>
        <v>C13</v>
      </c>
      <c r="B2638" s="8">
        <f>IF(A2638=" "," ",MAX(B2626:B2637)+1)</f>
        <v>4</v>
      </c>
      <c r="C2638" s="8"/>
      <c r="D2638" s="8"/>
      <c r="E2638" s="8"/>
      <c r="F2638" s="8"/>
      <c r="G2638" s="8"/>
      <c r="H2638" s="8"/>
      <c r="I2638" s="8"/>
      <c r="J2638" s="8"/>
      <c r="K2638" s="8"/>
      <c r="L2638" s="8"/>
      <c r="M2638" s="8"/>
      <c r="N2638" s="8"/>
      <c r="O2638" s="8"/>
      <c r="P2638" s="8"/>
      <c r="Q2638" s="8"/>
      <c r="R2638" s="8"/>
      <c r="S2638" s="8"/>
      <c r="U2638" s="34"/>
      <c r="V2638" s="34"/>
      <c r="W2638" s="34"/>
      <c r="X2638" s="34"/>
      <c r="Y2638" s="34"/>
      <c r="Z2638" s="34"/>
      <c r="AA2638" s="34"/>
      <c r="AB2638" s="34"/>
      <c r="AC2638" s="34"/>
      <c r="AD2638" s="34"/>
      <c r="AE2638" s="34"/>
      <c r="AF2638" s="34"/>
      <c r="AG2638" s="34"/>
      <c r="AH2638" s="34"/>
      <c r="AI2638" s="34"/>
      <c r="AJ2638" s="34"/>
      <c r="AK2638" s="34"/>
      <c r="AL2638" s="34"/>
      <c r="AM2638" s="34"/>
      <c r="AN2638" s="34"/>
      <c r="AO2638" s="34"/>
      <c r="AP2638" s="34"/>
      <c r="AQ2638" s="34"/>
      <c r="AR2638" s="34"/>
      <c r="AS2638" s="34"/>
      <c r="AT2638" s="34"/>
      <c r="AU2638" s="34"/>
      <c r="AV2638" s="34"/>
      <c r="AW2638" s="34"/>
      <c r="AX2638" s="34"/>
      <c r="AY2638" s="34"/>
      <c r="AZ2638" s="34"/>
      <c r="BA2638" s="34"/>
      <c r="BB2638" s="34"/>
      <c r="BC2638" s="34"/>
      <c r="BD2638" s="34"/>
      <c r="BE2638" s="34"/>
      <c r="BF2638" s="34"/>
      <c r="BG2638" s="34"/>
      <c r="BH2638" s="34"/>
      <c r="BI2638" s="34"/>
      <c r="BJ2638" s="34"/>
      <c r="BK2638" s="34"/>
      <c r="BL2638" s="34"/>
      <c r="BM2638" s="34"/>
      <c r="BN2638" s="34"/>
      <c r="BO2638" s="34"/>
      <c r="BP2638" s="34"/>
      <c r="BQ2638" s="34"/>
      <c r="BR2638" s="34"/>
      <c r="BS2638" s="34"/>
      <c r="BT2638" s="34"/>
      <c r="BU2638" s="34"/>
      <c r="BV2638" s="34"/>
      <c r="BW2638" s="34"/>
      <c r="BX2638" s="34"/>
      <c r="BY2638" s="34"/>
      <c r="BZ2638" s="34"/>
      <c r="CA2638" s="34"/>
      <c r="CB2638" s="34"/>
      <c r="CC2638" s="34"/>
      <c r="CD2638" s="34"/>
      <c r="CE2638" s="34"/>
      <c r="CF2638" s="34"/>
      <c r="CG2638" s="34"/>
      <c r="CH2638" s="34"/>
    </row>
    <row r="2639" spans="1:86" x14ac:dyDescent="0.2">
      <c r="A2639" s="8" t="str">
        <f>IF(AND(COUNTIF(W$3:W$13,A$28)&gt;0,A$28&lt;&gt;B2578),A$28,IFERROR(IF(MATCH(A$28,Z$3:Z$13,0)=3,A$28," ")," "))</f>
        <v xml:space="preserve"> </v>
      </c>
      <c r="B2639" s="8" t="str">
        <f>IF(A2639=" "," ",MAX(B2626:B2638)+1)</f>
        <v xml:space="preserve"> </v>
      </c>
      <c r="C2639" s="8"/>
      <c r="D2639" s="8"/>
      <c r="E2639" s="8"/>
      <c r="F2639" s="8"/>
      <c r="G2639" s="8"/>
      <c r="H2639" s="8"/>
      <c r="I2639" s="8"/>
      <c r="J2639" s="8"/>
      <c r="K2639" s="8"/>
      <c r="L2639" s="8"/>
      <c r="M2639" s="8"/>
      <c r="N2639" s="8"/>
      <c r="O2639" s="8"/>
      <c r="P2639" s="8"/>
      <c r="Q2639" s="8"/>
      <c r="R2639" s="8"/>
      <c r="S2639" s="8"/>
      <c r="U2639" s="34"/>
      <c r="V2639" s="34"/>
      <c r="W2639" s="34"/>
      <c r="X2639" s="34"/>
      <c r="Y2639" s="34"/>
      <c r="Z2639" s="34"/>
      <c r="AA2639" s="34"/>
      <c r="AB2639" s="34"/>
      <c r="AC2639" s="34"/>
      <c r="AD2639" s="34"/>
      <c r="AE2639" s="34"/>
      <c r="AF2639" s="34"/>
      <c r="AG2639" s="34"/>
      <c r="AH2639" s="34"/>
      <c r="AI2639" s="34"/>
      <c r="AJ2639" s="34"/>
      <c r="AK2639" s="34"/>
      <c r="AL2639" s="34"/>
      <c r="AM2639" s="34"/>
      <c r="AN2639" s="34"/>
      <c r="AO2639" s="34"/>
      <c r="AP2639" s="34"/>
      <c r="AQ2639" s="34"/>
      <c r="AR2639" s="34"/>
      <c r="AS2639" s="34"/>
      <c r="AT2639" s="34"/>
      <c r="AU2639" s="34"/>
      <c r="AV2639" s="34"/>
      <c r="AW2639" s="34"/>
      <c r="AX2639" s="34"/>
      <c r="AY2639" s="34"/>
      <c r="AZ2639" s="34"/>
      <c r="BA2639" s="34"/>
      <c r="BB2639" s="34"/>
      <c r="BC2639" s="34"/>
      <c r="BD2639" s="34"/>
      <c r="BE2639" s="34"/>
      <c r="BF2639" s="34"/>
      <c r="BG2639" s="34"/>
      <c r="BH2639" s="34"/>
      <c r="BI2639" s="34"/>
      <c r="BJ2639" s="34"/>
      <c r="BK2639" s="34"/>
      <c r="BL2639" s="34"/>
      <c r="BM2639" s="34"/>
      <c r="BN2639" s="34"/>
      <c r="BO2639" s="34"/>
      <c r="BP2639" s="34"/>
      <c r="BQ2639" s="34"/>
      <c r="BR2639" s="34"/>
      <c r="BS2639" s="34"/>
      <c r="BT2639" s="34"/>
      <c r="BU2639" s="34"/>
      <c r="BV2639" s="34"/>
      <c r="BW2639" s="34"/>
      <c r="BX2639" s="34"/>
      <c r="BY2639" s="34"/>
      <c r="BZ2639" s="34"/>
      <c r="CA2639" s="34"/>
      <c r="CB2639" s="34"/>
      <c r="CC2639" s="34"/>
      <c r="CD2639" s="34"/>
      <c r="CE2639" s="34"/>
      <c r="CF2639" s="34"/>
      <c r="CG2639" s="34"/>
      <c r="CH2639" s="34"/>
    </row>
    <row r="2640" spans="1:86" x14ac:dyDescent="0.2">
      <c r="A2640" s="8" t="str">
        <f>IF(AND(COUNTIF(W$3:W$13,A$29)&gt;0,A$29&lt;&gt;B2578),A$29,IFERROR(IF(MATCH(A$29,Z$3:Z$13,0)=3,A$29," ")," "))</f>
        <v>C15</v>
      </c>
      <c r="B2640" s="8">
        <f>IF(A2640=" "," ",MAX(B2626:B2639)+1)</f>
        <v>5</v>
      </c>
      <c r="C2640" s="8"/>
      <c r="D2640" s="8"/>
      <c r="E2640" s="8"/>
      <c r="F2640" s="8"/>
      <c r="G2640" s="8"/>
      <c r="H2640" s="8"/>
      <c r="I2640" s="8"/>
      <c r="J2640" s="8"/>
      <c r="K2640" s="8"/>
      <c r="L2640" s="8"/>
      <c r="M2640" s="8"/>
      <c r="N2640" s="8"/>
      <c r="O2640" s="8"/>
      <c r="P2640" s="8"/>
      <c r="Q2640" s="8"/>
      <c r="R2640" s="8"/>
      <c r="S2640" s="8"/>
      <c r="U2640" s="34"/>
      <c r="V2640" s="34"/>
      <c r="W2640" s="34"/>
      <c r="X2640" s="34"/>
      <c r="Y2640" s="34"/>
      <c r="Z2640" s="34"/>
      <c r="AA2640" s="34"/>
      <c r="AB2640" s="34"/>
      <c r="AC2640" s="34"/>
      <c r="AD2640" s="34"/>
      <c r="AE2640" s="34"/>
      <c r="AF2640" s="34"/>
      <c r="AG2640" s="34"/>
      <c r="AH2640" s="34"/>
      <c r="AI2640" s="34"/>
      <c r="AJ2640" s="34"/>
      <c r="AK2640" s="34"/>
      <c r="AL2640" s="34"/>
      <c r="AM2640" s="34"/>
      <c r="AN2640" s="34"/>
      <c r="AO2640" s="34"/>
      <c r="AP2640" s="34"/>
      <c r="AQ2640" s="34"/>
      <c r="AR2640" s="34"/>
      <c r="AS2640" s="34"/>
      <c r="AT2640" s="34"/>
      <c r="AU2640" s="34"/>
      <c r="AV2640" s="34"/>
      <c r="AW2640" s="34"/>
      <c r="AX2640" s="34"/>
      <c r="AY2640" s="34"/>
      <c r="AZ2640" s="34"/>
      <c r="BA2640" s="34"/>
      <c r="BB2640" s="34"/>
      <c r="BC2640" s="34"/>
      <c r="BD2640" s="34"/>
      <c r="BE2640" s="34"/>
      <c r="BF2640" s="34"/>
      <c r="BG2640" s="34"/>
      <c r="BH2640" s="34"/>
      <c r="BI2640" s="34"/>
      <c r="BJ2640" s="34"/>
      <c r="BK2640" s="34"/>
      <c r="BL2640" s="34"/>
      <c r="BM2640" s="34"/>
      <c r="BN2640" s="34"/>
      <c r="BO2640" s="34"/>
      <c r="BP2640" s="34"/>
      <c r="BQ2640" s="34"/>
      <c r="BR2640" s="34"/>
      <c r="BS2640" s="34"/>
      <c r="BT2640" s="34"/>
      <c r="BU2640" s="34"/>
      <c r="BV2640" s="34"/>
      <c r="BW2640" s="34"/>
      <c r="BX2640" s="34"/>
      <c r="BY2640" s="34"/>
      <c r="BZ2640" s="34"/>
      <c r="CA2640" s="34"/>
      <c r="CB2640" s="34"/>
      <c r="CC2640" s="34"/>
      <c r="CD2640" s="34"/>
      <c r="CE2640" s="34"/>
      <c r="CF2640" s="34"/>
      <c r="CG2640" s="34"/>
      <c r="CH2640" s="34"/>
    </row>
    <row r="2641" spans="1:86" x14ac:dyDescent="0.2">
      <c r="A2641" s="8" t="str">
        <f>IF(AND(COUNTIF(W$3:W$13,A$30)&gt;0,A$30&lt;&gt;B2578),A$30,IFERROR(IF(MATCH(A$30,Z$3:Z$13,0)=3,A$30," ")," "))</f>
        <v>C16</v>
      </c>
      <c r="B2641" s="8">
        <f>IF(A2641=" "," ",MAX(B2626:B2640)+1)</f>
        <v>6</v>
      </c>
      <c r="C2641" s="8"/>
      <c r="D2641" s="8"/>
      <c r="E2641" s="8"/>
      <c r="F2641" s="8"/>
      <c r="G2641" s="8"/>
      <c r="H2641" s="8"/>
      <c r="I2641" s="8"/>
      <c r="J2641" s="8"/>
      <c r="K2641" s="8"/>
      <c r="L2641" s="8"/>
      <c r="M2641" s="8"/>
      <c r="N2641" s="8"/>
      <c r="O2641" s="8"/>
      <c r="P2641" s="8"/>
      <c r="Q2641" s="8"/>
      <c r="R2641" s="8"/>
      <c r="S2641" s="8"/>
      <c r="U2641" s="34"/>
      <c r="V2641" s="34"/>
      <c r="W2641" s="34"/>
      <c r="X2641" s="34"/>
      <c r="Y2641" s="34"/>
      <c r="Z2641" s="34"/>
      <c r="AA2641" s="34"/>
      <c r="AB2641" s="34"/>
      <c r="AC2641" s="34"/>
      <c r="AD2641" s="34"/>
      <c r="AE2641" s="34"/>
      <c r="AF2641" s="34"/>
      <c r="AG2641" s="34"/>
      <c r="AH2641" s="34"/>
      <c r="AI2641" s="34"/>
      <c r="AJ2641" s="34"/>
      <c r="AK2641" s="34"/>
      <c r="AL2641" s="34"/>
      <c r="AM2641" s="34"/>
      <c r="AN2641" s="34"/>
      <c r="AO2641" s="34"/>
      <c r="AP2641" s="34"/>
      <c r="AQ2641" s="34"/>
      <c r="AR2641" s="34"/>
      <c r="AS2641" s="34"/>
      <c r="AT2641" s="34"/>
      <c r="AU2641" s="34"/>
      <c r="AV2641" s="34"/>
      <c r="AW2641" s="34"/>
      <c r="AX2641" s="34"/>
      <c r="AY2641" s="34"/>
      <c r="AZ2641" s="34"/>
      <c r="BA2641" s="34"/>
      <c r="BB2641" s="34"/>
      <c r="BC2641" s="34"/>
      <c r="BD2641" s="34"/>
      <c r="BE2641" s="34"/>
      <c r="BF2641" s="34"/>
      <c r="BG2641" s="34"/>
      <c r="BH2641" s="34"/>
      <c r="BI2641" s="34"/>
      <c r="BJ2641" s="34"/>
      <c r="BK2641" s="34"/>
      <c r="BL2641" s="34"/>
      <c r="BM2641" s="34"/>
      <c r="BN2641" s="34"/>
      <c r="BO2641" s="34"/>
      <c r="BP2641" s="34"/>
      <c r="BQ2641" s="34"/>
      <c r="BR2641" s="34"/>
      <c r="BS2641" s="34"/>
      <c r="BT2641" s="34"/>
      <c r="BU2641" s="34"/>
      <c r="BV2641" s="34"/>
      <c r="BW2641" s="34"/>
      <c r="BX2641" s="34"/>
      <c r="BY2641" s="34"/>
      <c r="BZ2641" s="34"/>
      <c r="CA2641" s="34"/>
      <c r="CB2641" s="34"/>
      <c r="CC2641" s="34"/>
      <c r="CD2641" s="34"/>
      <c r="CE2641" s="34"/>
      <c r="CF2641" s="34"/>
      <c r="CG2641" s="34"/>
      <c r="CH2641" s="34"/>
    </row>
    <row r="2642" spans="1:86" x14ac:dyDescent="0.2">
      <c r="A2642" s="8" t="str">
        <f>IF(AND(COUNTIF(W$3:W$13,A$31)&gt;0,A$31&lt;&gt;B2578),A$31,IFERROR(IF(MATCH(A$31,Z$3:Z$13,0)=3,A$31," ")," "))</f>
        <v>C17</v>
      </c>
      <c r="B2642" s="8">
        <f>IF(A2642=" "," ",MAX(B2626:B2641)+1)</f>
        <v>7</v>
      </c>
      <c r="C2642" s="8"/>
      <c r="D2642" s="8"/>
      <c r="E2642" s="8"/>
      <c r="F2642" s="8"/>
      <c r="G2642" s="8"/>
      <c r="H2642" s="8"/>
      <c r="I2642" s="8"/>
      <c r="J2642" s="8"/>
      <c r="K2642" s="8"/>
      <c r="L2642" s="8"/>
      <c r="M2642" s="8"/>
      <c r="N2642" s="8"/>
      <c r="O2642" s="8"/>
      <c r="P2642" s="8"/>
      <c r="Q2642" s="8"/>
      <c r="R2642" s="8"/>
      <c r="S2642" s="8"/>
      <c r="U2642" s="34"/>
      <c r="V2642" s="34"/>
      <c r="W2642" s="34"/>
      <c r="X2642" s="34"/>
      <c r="Y2642" s="34"/>
      <c r="Z2642" s="34"/>
      <c r="AA2642" s="34"/>
      <c r="AB2642" s="34"/>
      <c r="AC2642" s="34"/>
      <c r="AD2642" s="34"/>
      <c r="AE2642" s="34"/>
      <c r="AF2642" s="34"/>
      <c r="AG2642" s="34"/>
      <c r="AH2642" s="34"/>
      <c r="AI2642" s="34"/>
      <c r="AJ2642" s="34"/>
      <c r="AK2642" s="34"/>
      <c r="AL2642" s="34"/>
      <c r="AM2642" s="34"/>
      <c r="AN2642" s="34"/>
      <c r="AO2642" s="34"/>
      <c r="AP2642" s="34"/>
      <c r="AQ2642" s="34"/>
      <c r="AR2642" s="34"/>
      <c r="AS2642" s="34"/>
      <c r="AT2642" s="34"/>
      <c r="AU2642" s="34"/>
      <c r="AV2642" s="34"/>
      <c r="AW2642" s="34"/>
      <c r="AX2642" s="34"/>
      <c r="AY2642" s="34"/>
      <c r="AZ2642" s="34"/>
      <c r="BA2642" s="34"/>
      <c r="BB2642" s="34"/>
      <c r="BC2642" s="34"/>
      <c r="BD2642" s="34"/>
      <c r="BE2642" s="34"/>
      <c r="BF2642" s="34"/>
      <c r="BG2642" s="34"/>
      <c r="BH2642" s="34"/>
      <c r="BI2642" s="34"/>
      <c r="BJ2642" s="34"/>
      <c r="BK2642" s="34"/>
      <c r="BL2642" s="34"/>
      <c r="BM2642" s="34"/>
      <c r="BN2642" s="34"/>
      <c r="BO2642" s="34"/>
      <c r="BP2642" s="34"/>
      <c r="BQ2642" s="34"/>
      <c r="BR2642" s="34"/>
      <c r="BS2642" s="34"/>
      <c r="BT2642" s="34"/>
      <c r="BU2642" s="34"/>
      <c r="BV2642" s="34"/>
      <c r="BW2642" s="34"/>
      <c r="BX2642" s="34"/>
      <c r="BY2642" s="34"/>
      <c r="BZ2642" s="34"/>
      <c r="CA2642" s="34"/>
      <c r="CB2642" s="34"/>
      <c r="CC2642" s="34"/>
      <c r="CD2642" s="34"/>
      <c r="CE2642" s="34"/>
      <c r="CF2642" s="34"/>
      <c r="CG2642" s="34"/>
      <c r="CH2642" s="34"/>
    </row>
    <row r="2643" spans="1:86" x14ac:dyDescent="0.2">
      <c r="A2643" s="8" t="str">
        <f>IF(AND(COUNTIF(W$3:W$13,A$32)&gt;0,A$32&lt;&gt;B2578),A$32,IFERROR(IF(MATCH(A$32,Z$3:Z$13,0)=3,A$32," ")," "))</f>
        <v>C18</v>
      </c>
      <c r="B2643" s="8">
        <f>IF(A2643=" "," ",MAX(B2626:B2642)+1)</f>
        <v>8</v>
      </c>
      <c r="C2643" s="8"/>
      <c r="D2643" s="8"/>
      <c r="E2643" s="8"/>
      <c r="F2643" s="8"/>
      <c r="G2643" s="8"/>
      <c r="H2643" s="8"/>
      <c r="I2643" s="8"/>
      <c r="J2643" s="8"/>
      <c r="K2643" s="8"/>
      <c r="L2643" s="8"/>
      <c r="M2643" s="8"/>
      <c r="N2643" s="8"/>
      <c r="O2643" s="8"/>
      <c r="P2643" s="8"/>
      <c r="Q2643" s="8"/>
      <c r="R2643" s="8"/>
      <c r="S2643" s="8"/>
      <c r="U2643" s="34"/>
      <c r="V2643" s="34"/>
      <c r="W2643" s="34"/>
      <c r="X2643" s="34"/>
      <c r="Y2643" s="34"/>
      <c r="Z2643" s="34"/>
      <c r="AA2643" s="34"/>
      <c r="AB2643" s="34"/>
      <c r="AC2643" s="34"/>
      <c r="AD2643" s="34"/>
      <c r="AE2643" s="34"/>
      <c r="AF2643" s="34"/>
      <c r="AG2643" s="34"/>
      <c r="AH2643" s="34"/>
      <c r="AI2643" s="34"/>
      <c r="AJ2643" s="34"/>
      <c r="AK2643" s="34"/>
      <c r="AL2643" s="34"/>
      <c r="AM2643" s="34"/>
      <c r="AN2643" s="34"/>
      <c r="AO2643" s="34"/>
      <c r="AP2643" s="34"/>
      <c r="AQ2643" s="34"/>
      <c r="AR2643" s="34"/>
      <c r="AS2643" s="34"/>
      <c r="AT2643" s="34"/>
      <c r="AU2643" s="34"/>
      <c r="AV2643" s="34"/>
      <c r="AW2643" s="34"/>
      <c r="AX2643" s="34"/>
      <c r="AY2643" s="34"/>
      <c r="AZ2643" s="34"/>
      <c r="BA2643" s="34"/>
      <c r="BB2643" s="34"/>
      <c r="BC2643" s="34"/>
      <c r="BD2643" s="34"/>
      <c r="BE2643" s="34"/>
      <c r="BF2643" s="34"/>
      <c r="BG2643" s="34"/>
      <c r="BH2643" s="34"/>
      <c r="BI2643" s="34"/>
      <c r="BJ2643" s="34"/>
      <c r="BK2643" s="34"/>
      <c r="BL2643" s="34"/>
      <c r="BM2643" s="34"/>
      <c r="BN2643" s="34"/>
      <c r="BO2643" s="34"/>
      <c r="BP2643" s="34"/>
      <c r="BQ2643" s="34"/>
      <c r="BR2643" s="34"/>
      <c r="BS2643" s="34"/>
      <c r="BT2643" s="34"/>
      <c r="BU2643" s="34"/>
      <c r="BV2643" s="34"/>
      <c r="BW2643" s="34"/>
      <c r="BX2643" s="34"/>
      <c r="BY2643" s="34"/>
      <c r="BZ2643" s="34"/>
      <c r="CA2643" s="34"/>
      <c r="CB2643" s="34"/>
      <c r="CC2643" s="34"/>
      <c r="CD2643" s="34"/>
      <c r="CE2643" s="34"/>
      <c r="CF2643" s="34"/>
      <c r="CG2643" s="34"/>
      <c r="CH2643" s="34"/>
    </row>
    <row r="2644" spans="1:86" x14ac:dyDescent="0.2">
      <c r="A2644" s="8" t="str">
        <f>IF(AND(COUNTIF(W$3:W$13,A$33)&gt;0,A$33&lt;&gt;B2578),A$33,IFERROR(IF(MATCH(A$33,Z$3:Z$13,0)=3,A$33," ")," "))</f>
        <v>C19</v>
      </c>
      <c r="B2644" s="8">
        <f>IF(A2644=" "," ",MAX(B2626:B2643)+1)</f>
        <v>9</v>
      </c>
      <c r="C2644" s="14"/>
      <c r="D2644" s="14"/>
      <c r="E2644" s="14"/>
      <c r="F2644" s="14"/>
      <c r="G2644" s="14"/>
      <c r="H2644" s="14"/>
      <c r="I2644" s="14"/>
      <c r="J2644" s="12"/>
      <c r="K2644" s="12"/>
      <c r="L2644" s="12"/>
      <c r="M2644" s="12"/>
      <c r="N2644" s="12"/>
      <c r="O2644" s="12"/>
      <c r="P2644" s="12"/>
      <c r="Q2644" s="8"/>
      <c r="R2644" s="12"/>
      <c r="S2644" s="12"/>
      <c r="T2644" s="21"/>
      <c r="U2644" s="34"/>
      <c r="V2644" s="34"/>
      <c r="W2644" s="34"/>
      <c r="X2644" s="34"/>
      <c r="Y2644" s="34"/>
      <c r="Z2644" s="34"/>
      <c r="AA2644" s="34"/>
      <c r="AB2644" s="34"/>
      <c r="AC2644" s="34"/>
      <c r="AD2644" s="34"/>
      <c r="AE2644" s="34"/>
      <c r="AF2644" s="34"/>
      <c r="AG2644" s="34"/>
      <c r="AH2644" s="34"/>
      <c r="AI2644" s="34"/>
      <c r="AJ2644" s="34"/>
      <c r="AK2644" s="34"/>
      <c r="AL2644" s="34"/>
      <c r="AM2644" s="34"/>
      <c r="AN2644" s="34"/>
      <c r="AO2644" s="34"/>
      <c r="AP2644" s="34"/>
      <c r="AQ2644" s="34"/>
      <c r="AR2644" s="34"/>
      <c r="AS2644" s="34"/>
      <c r="AT2644" s="34"/>
      <c r="AU2644" s="34"/>
      <c r="AV2644" s="34"/>
      <c r="AW2644" s="34"/>
      <c r="AX2644" s="34"/>
      <c r="AY2644" s="34"/>
      <c r="AZ2644" s="34"/>
      <c r="BA2644" s="34"/>
      <c r="BB2644" s="34"/>
      <c r="BC2644" s="34"/>
      <c r="BD2644" s="34"/>
      <c r="BE2644" s="34"/>
      <c r="BF2644" s="34"/>
      <c r="BG2644" s="34"/>
      <c r="BH2644" s="34"/>
      <c r="BI2644" s="34"/>
      <c r="BJ2644" s="34"/>
      <c r="BK2644" s="34"/>
      <c r="BL2644" s="34"/>
      <c r="BM2644" s="34"/>
      <c r="BN2644" s="34"/>
      <c r="BO2644" s="34"/>
      <c r="BP2644" s="34"/>
      <c r="BQ2644" s="34"/>
      <c r="BR2644" s="34"/>
      <c r="BS2644" s="34"/>
      <c r="BT2644" s="34"/>
      <c r="BU2644" s="34"/>
      <c r="BV2644" s="34"/>
      <c r="BW2644" s="34"/>
      <c r="BX2644" s="34"/>
      <c r="BY2644" s="34"/>
      <c r="BZ2644" s="34"/>
      <c r="CA2644" s="34"/>
      <c r="CB2644" s="34"/>
      <c r="CC2644" s="34"/>
      <c r="CD2644" s="34"/>
      <c r="CE2644" s="34"/>
      <c r="CF2644" s="34"/>
      <c r="CG2644" s="34"/>
      <c r="CH2644" s="34"/>
    </row>
    <row r="2645" spans="1:86" x14ac:dyDescent="0.2">
      <c r="A2645" s="8" t="str">
        <f>IF(AND(COUNTIF(W$3:W$13,A$34)&gt;0,A$34&lt;&gt;B2578),A$34,IFERROR(IF(MATCH(A$34,Z$3:Z$13,0)=3,A$34," ")," "))</f>
        <v>C20</v>
      </c>
      <c r="B2645" s="8">
        <f>IF(A2645=" "," ",MAX(B2626:B2644)+1)</f>
        <v>10</v>
      </c>
      <c r="C2645" s="8"/>
      <c r="D2645" s="8"/>
      <c r="E2645" s="8"/>
      <c r="F2645" s="8"/>
      <c r="G2645" s="8"/>
      <c r="H2645" s="8"/>
      <c r="I2645" s="8"/>
      <c r="J2645" s="8"/>
      <c r="K2645" s="8"/>
      <c r="L2645" s="8"/>
      <c r="M2645" s="8"/>
      <c r="N2645" s="8"/>
      <c r="O2645" s="8"/>
      <c r="P2645" s="8"/>
      <c r="Q2645" s="8"/>
      <c r="R2645" s="8"/>
      <c r="S2645" s="8"/>
      <c r="U2645" s="34"/>
      <c r="V2645" s="34"/>
      <c r="W2645" s="34"/>
      <c r="X2645" s="34"/>
      <c r="Y2645" s="34"/>
      <c r="Z2645" s="34"/>
      <c r="AA2645" s="34"/>
      <c r="AB2645" s="34"/>
      <c r="AC2645" s="34"/>
      <c r="AD2645" s="34"/>
      <c r="AE2645" s="34"/>
      <c r="AF2645" s="34"/>
      <c r="AG2645" s="34"/>
      <c r="AH2645" s="34"/>
      <c r="AI2645" s="34"/>
      <c r="AJ2645" s="34"/>
      <c r="AK2645" s="34"/>
      <c r="AL2645" s="34"/>
      <c r="AM2645" s="34"/>
      <c r="AN2645" s="34"/>
      <c r="AO2645" s="34"/>
      <c r="AP2645" s="34"/>
      <c r="AQ2645" s="34"/>
      <c r="AR2645" s="34"/>
      <c r="AS2645" s="34"/>
      <c r="AT2645" s="34"/>
      <c r="AU2645" s="34"/>
      <c r="AV2645" s="34"/>
      <c r="AW2645" s="34"/>
      <c r="AX2645" s="34"/>
      <c r="AY2645" s="34"/>
      <c r="AZ2645" s="34"/>
      <c r="BA2645" s="34"/>
      <c r="BB2645" s="34"/>
      <c r="BC2645" s="34"/>
      <c r="BD2645" s="34"/>
      <c r="BE2645" s="34"/>
      <c r="BF2645" s="34"/>
      <c r="BG2645" s="34"/>
      <c r="BH2645" s="34"/>
      <c r="BI2645" s="34"/>
      <c r="BJ2645" s="34"/>
      <c r="BK2645" s="34"/>
      <c r="BL2645" s="34"/>
      <c r="BM2645" s="34"/>
      <c r="BN2645" s="34"/>
      <c r="BO2645" s="34"/>
      <c r="BP2645" s="34"/>
      <c r="BQ2645" s="34"/>
      <c r="BR2645" s="34"/>
      <c r="BS2645" s="34"/>
      <c r="BT2645" s="34"/>
      <c r="BU2645" s="34"/>
      <c r="BV2645" s="34"/>
      <c r="BW2645" s="34"/>
      <c r="BX2645" s="34"/>
      <c r="BY2645" s="34"/>
      <c r="BZ2645" s="34"/>
      <c r="CA2645" s="34"/>
      <c r="CB2645" s="34"/>
      <c r="CC2645" s="34"/>
      <c r="CD2645" s="34"/>
      <c r="CE2645" s="34"/>
      <c r="CF2645" s="34"/>
      <c r="CG2645" s="34"/>
      <c r="CH2645" s="34"/>
    </row>
    <row r="2646" spans="1:86" x14ac:dyDescent="0.2">
      <c r="A2646" s="8" t="str">
        <f>IF(AND(COUNTIF(W$3:W$13,A$35)&gt;0,A$35&lt;&gt;B2578),A$35,IFERROR(IF(MATCH(A$35,Z$3:Z$13,0)=3,A$35," ")," "))</f>
        <v>C21</v>
      </c>
      <c r="B2646" s="8">
        <f>IF(A2646=" "," ",MAX(B2626:B2645)+1)</f>
        <v>11</v>
      </c>
      <c r="C2646" s="8"/>
      <c r="D2646" s="8"/>
      <c r="E2646" s="8"/>
      <c r="F2646" s="8"/>
      <c r="G2646" s="8"/>
      <c r="H2646" s="8"/>
      <c r="I2646" s="8"/>
      <c r="J2646" s="8"/>
      <c r="K2646" s="8"/>
      <c r="L2646" s="8"/>
      <c r="M2646" s="8"/>
      <c r="N2646" s="8"/>
      <c r="O2646" s="8"/>
      <c r="P2646" s="8"/>
      <c r="Q2646" s="8"/>
      <c r="R2646" s="8"/>
      <c r="S2646" s="8"/>
      <c r="U2646" s="34"/>
      <c r="V2646" s="34"/>
      <c r="W2646" s="34"/>
      <c r="X2646" s="34"/>
      <c r="Y2646" s="34"/>
      <c r="Z2646" s="34"/>
      <c r="AA2646" s="34"/>
      <c r="AB2646" s="34"/>
      <c r="AC2646" s="34"/>
      <c r="AD2646" s="34"/>
      <c r="AE2646" s="34"/>
      <c r="AF2646" s="34"/>
      <c r="AG2646" s="34"/>
      <c r="AH2646" s="34"/>
      <c r="AI2646" s="34"/>
      <c r="AJ2646" s="34"/>
      <c r="AK2646" s="34"/>
      <c r="AL2646" s="34"/>
      <c r="AM2646" s="34"/>
      <c r="AN2646" s="34"/>
      <c r="AO2646" s="34"/>
      <c r="AP2646" s="34"/>
      <c r="AQ2646" s="34"/>
      <c r="AR2646" s="34"/>
      <c r="AS2646" s="34"/>
      <c r="AT2646" s="34"/>
      <c r="AU2646" s="34"/>
      <c r="AV2646" s="34"/>
      <c r="AW2646" s="34"/>
      <c r="AX2646" s="34"/>
      <c r="AY2646" s="34"/>
      <c r="AZ2646" s="34"/>
      <c r="BA2646" s="34"/>
      <c r="BB2646" s="34"/>
      <c r="BC2646" s="34"/>
      <c r="BD2646" s="34"/>
      <c r="BE2646" s="34"/>
      <c r="BF2646" s="34"/>
      <c r="BG2646" s="34"/>
      <c r="BH2646" s="34"/>
      <c r="BI2646" s="34"/>
      <c r="BJ2646" s="34"/>
      <c r="BK2646" s="34"/>
      <c r="BL2646" s="34"/>
      <c r="BM2646" s="34"/>
      <c r="BN2646" s="34"/>
      <c r="BO2646" s="34"/>
      <c r="BP2646" s="34"/>
      <c r="BQ2646" s="34"/>
      <c r="BR2646" s="34"/>
      <c r="BS2646" s="34"/>
      <c r="BT2646" s="34"/>
      <c r="BU2646" s="34"/>
      <c r="BV2646" s="34"/>
      <c r="BW2646" s="34"/>
      <c r="BX2646" s="34"/>
      <c r="BY2646" s="34"/>
      <c r="BZ2646" s="34"/>
      <c r="CA2646" s="34"/>
      <c r="CB2646" s="34"/>
      <c r="CC2646" s="34"/>
      <c r="CD2646" s="34"/>
      <c r="CE2646" s="34"/>
      <c r="CF2646" s="34"/>
      <c r="CG2646" s="34"/>
      <c r="CH2646" s="34"/>
    </row>
    <row r="2647" spans="1:86" x14ac:dyDescent="0.2">
      <c r="A2647" s="8" t="str">
        <f>IF(AND(COUNTIF(W$3:W$13,A$36)&gt;0,A$36&lt;&gt;B2578),A$36,IFERROR(IF(MATCH(A$36,Z$3:Z$13,0)=3,A$36," ")," "))</f>
        <v xml:space="preserve"> </v>
      </c>
      <c r="B2647" s="8" t="str">
        <f>IF(A2647=" "," ",MAX(B2626:B2646)+1)</f>
        <v xml:space="preserve"> </v>
      </c>
      <c r="C2647" s="8"/>
      <c r="D2647" s="8"/>
      <c r="E2647" s="8"/>
      <c r="F2647" s="8"/>
      <c r="G2647" s="8"/>
      <c r="H2647" s="8"/>
      <c r="I2647" s="8"/>
      <c r="J2647" s="8"/>
      <c r="K2647" s="8"/>
      <c r="L2647" s="8"/>
      <c r="M2647" s="8"/>
      <c r="N2647" s="8"/>
      <c r="O2647" s="8"/>
      <c r="P2647" s="8"/>
      <c r="Q2647" s="8"/>
      <c r="R2647" s="8"/>
      <c r="S2647" s="8"/>
      <c r="U2647" s="34"/>
      <c r="V2647" s="34"/>
      <c r="W2647" s="34"/>
      <c r="X2647" s="34"/>
      <c r="Y2647" s="34"/>
      <c r="Z2647" s="34"/>
      <c r="AA2647" s="34"/>
      <c r="AB2647" s="34"/>
      <c r="AC2647" s="34"/>
      <c r="AD2647" s="34"/>
      <c r="AE2647" s="34"/>
      <c r="AF2647" s="34"/>
      <c r="AG2647" s="34"/>
      <c r="AH2647" s="34"/>
      <c r="AI2647" s="34"/>
      <c r="AJ2647" s="34"/>
      <c r="AK2647" s="34"/>
      <c r="AL2647" s="34"/>
      <c r="AM2647" s="34"/>
      <c r="AN2647" s="34"/>
      <c r="AO2647" s="34"/>
      <c r="AP2647" s="34"/>
      <c r="AQ2647" s="34"/>
      <c r="AR2647" s="34"/>
      <c r="AS2647" s="34"/>
      <c r="AT2647" s="34"/>
      <c r="AU2647" s="34"/>
      <c r="AV2647" s="34"/>
      <c r="AW2647" s="34"/>
      <c r="AX2647" s="34"/>
      <c r="AY2647" s="34"/>
      <c r="AZ2647" s="34"/>
      <c r="BA2647" s="34"/>
      <c r="BB2647" s="34"/>
      <c r="BC2647" s="34"/>
      <c r="BD2647" s="34"/>
      <c r="BE2647" s="34"/>
      <c r="BF2647" s="34"/>
      <c r="BG2647" s="34"/>
      <c r="BH2647" s="34"/>
      <c r="BI2647" s="34"/>
      <c r="BJ2647" s="34"/>
      <c r="BK2647" s="34"/>
      <c r="BL2647" s="34"/>
      <c r="BM2647" s="34"/>
      <c r="BN2647" s="34"/>
      <c r="BO2647" s="34"/>
      <c r="BP2647" s="34"/>
      <c r="BQ2647" s="34"/>
      <c r="BR2647" s="34"/>
      <c r="BS2647" s="34"/>
      <c r="BT2647" s="34"/>
      <c r="BU2647" s="34"/>
      <c r="BV2647" s="34"/>
      <c r="BW2647" s="34"/>
      <c r="BX2647" s="34"/>
      <c r="BY2647" s="34"/>
      <c r="BZ2647" s="34"/>
      <c r="CA2647" s="34"/>
      <c r="CB2647" s="34"/>
      <c r="CC2647" s="34"/>
      <c r="CD2647" s="34"/>
      <c r="CE2647" s="34"/>
      <c r="CF2647" s="34"/>
      <c r="CG2647" s="34"/>
      <c r="CH2647" s="34"/>
    </row>
    <row r="2648" spans="1:86" x14ac:dyDescent="0.2">
      <c r="A2648" s="11" t="s">
        <v>17</v>
      </c>
      <c r="B2648" s="11"/>
      <c r="C2648" s="27" t="s">
        <v>18</v>
      </c>
      <c r="D2648" s="27" t="s">
        <v>2</v>
      </c>
      <c r="E2648" s="27" t="s">
        <v>6</v>
      </c>
      <c r="F2648" s="27" t="s">
        <v>15</v>
      </c>
      <c r="G2648" s="27" t="s">
        <v>36</v>
      </c>
      <c r="H2648" s="27" t="s">
        <v>37</v>
      </c>
      <c r="I2648" s="27" t="s">
        <v>38</v>
      </c>
      <c r="J2648" s="27" t="s">
        <v>39</v>
      </c>
      <c r="K2648" s="27" t="s">
        <v>40</v>
      </c>
      <c r="L2648" s="27" t="s">
        <v>41</v>
      </c>
      <c r="M2648" s="27" t="s">
        <v>42</v>
      </c>
      <c r="N2648" s="27" t="s">
        <v>43</v>
      </c>
      <c r="O2648" s="27" t="s">
        <v>9</v>
      </c>
      <c r="P2648" s="27" t="s">
        <v>12</v>
      </c>
      <c r="Q2648" s="27" t="s">
        <v>19</v>
      </c>
      <c r="R2648" s="27" t="s">
        <v>55</v>
      </c>
      <c r="S2648" s="27" t="s">
        <v>26</v>
      </c>
      <c r="T2648" s="19" t="s">
        <v>25</v>
      </c>
      <c r="U2648" s="33" t="s">
        <v>27</v>
      </c>
      <c r="V2648" s="33" t="s">
        <v>9</v>
      </c>
      <c r="W2648" s="33" t="s">
        <v>23</v>
      </c>
      <c r="X2648" s="33" t="s">
        <v>12</v>
      </c>
      <c r="Y2648" s="33" t="s">
        <v>26</v>
      </c>
      <c r="Z2648" s="33" t="s">
        <v>25</v>
      </c>
      <c r="AA2648" s="33" t="s">
        <v>27</v>
      </c>
      <c r="AB2648" s="33" t="s">
        <v>9</v>
      </c>
      <c r="AC2648" s="33" t="s">
        <v>23</v>
      </c>
      <c r="AD2648" s="33" t="s">
        <v>12</v>
      </c>
      <c r="AE2648" s="33" t="s">
        <v>26</v>
      </c>
      <c r="AF2648" s="33" t="s">
        <v>25</v>
      </c>
      <c r="AG2648" s="33" t="s">
        <v>27</v>
      </c>
      <c r="AH2648" s="33" t="s">
        <v>9</v>
      </c>
      <c r="AI2648" s="33" t="s">
        <v>23</v>
      </c>
      <c r="AJ2648" s="33" t="s">
        <v>12</v>
      </c>
      <c r="AK2648" s="33" t="s">
        <v>26</v>
      </c>
      <c r="AL2648" s="33" t="s">
        <v>25</v>
      </c>
      <c r="AM2648" s="33" t="s">
        <v>27</v>
      </c>
      <c r="AN2648" s="33" t="s">
        <v>9</v>
      </c>
      <c r="AO2648" s="33" t="s">
        <v>23</v>
      </c>
      <c r="AP2648" s="33" t="s">
        <v>12</v>
      </c>
      <c r="AQ2648" s="33" t="s">
        <v>26</v>
      </c>
      <c r="AR2648" s="33" t="s">
        <v>25</v>
      </c>
      <c r="AS2648" s="33" t="s">
        <v>27</v>
      </c>
      <c r="AT2648" s="33" t="s">
        <v>9</v>
      </c>
      <c r="AU2648" s="33" t="s">
        <v>23</v>
      </c>
      <c r="AV2648" s="33" t="s">
        <v>12</v>
      </c>
      <c r="AW2648" s="33" t="s">
        <v>26</v>
      </c>
      <c r="AX2648" s="33" t="s">
        <v>25</v>
      </c>
      <c r="AY2648" s="33" t="s">
        <v>27</v>
      </c>
      <c r="AZ2648" s="33" t="s">
        <v>9</v>
      </c>
      <c r="BA2648" s="33" t="s">
        <v>23</v>
      </c>
      <c r="BB2648" s="33" t="s">
        <v>12</v>
      </c>
      <c r="BC2648" s="33" t="s">
        <v>26</v>
      </c>
      <c r="BD2648" s="33" t="s">
        <v>25</v>
      </c>
      <c r="BE2648" s="33" t="s">
        <v>27</v>
      </c>
      <c r="BF2648" s="33" t="s">
        <v>9</v>
      </c>
      <c r="BG2648" s="33" t="s">
        <v>23</v>
      </c>
      <c r="BH2648" s="33" t="s">
        <v>12</v>
      </c>
      <c r="BI2648" s="33" t="s">
        <v>26</v>
      </c>
      <c r="BJ2648" s="33" t="s">
        <v>25</v>
      </c>
      <c r="BK2648" s="33" t="s">
        <v>27</v>
      </c>
      <c r="BL2648" s="33" t="s">
        <v>9</v>
      </c>
      <c r="BM2648" s="33" t="s">
        <v>23</v>
      </c>
      <c r="BN2648" s="33" t="s">
        <v>12</v>
      </c>
      <c r="BO2648" s="33" t="s">
        <v>26</v>
      </c>
      <c r="BP2648" s="33" t="s">
        <v>25</v>
      </c>
      <c r="BQ2648" s="33" t="s">
        <v>27</v>
      </c>
      <c r="BR2648" s="33" t="s">
        <v>9</v>
      </c>
      <c r="BS2648" s="33" t="s">
        <v>23</v>
      </c>
      <c r="BT2648" s="33" t="s">
        <v>12</v>
      </c>
      <c r="BU2648" s="33" t="s">
        <v>26</v>
      </c>
      <c r="BV2648" s="33" t="s">
        <v>25</v>
      </c>
      <c r="BW2648" s="33" t="s">
        <v>27</v>
      </c>
      <c r="BX2648" s="33" t="s">
        <v>9</v>
      </c>
      <c r="BY2648" s="33" t="s">
        <v>23</v>
      </c>
      <c r="BZ2648" s="33" t="s">
        <v>12</v>
      </c>
      <c r="CA2648" s="33" t="s">
        <v>26</v>
      </c>
      <c r="CB2648" s="33" t="s">
        <v>25</v>
      </c>
      <c r="CC2648" s="33" t="s">
        <v>27</v>
      </c>
      <c r="CD2648" s="33" t="s">
        <v>9</v>
      </c>
      <c r="CE2648" s="33" t="s">
        <v>23</v>
      </c>
      <c r="CF2648" s="33" t="s">
        <v>12</v>
      </c>
      <c r="CG2648" s="33" t="s">
        <v>26</v>
      </c>
      <c r="CH2648" s="33" t="s">
        <v>25</v>
      </c>
    </row>
    <row r="2649" spans="1:86" x14ac:dyDescent="0.2">
      <c r="A2649" s="8" t="str">
        <f>IF(AND(COUNTIF(W$3:W$13,A$15)&gt;0,A$15&lt;&gt;B2578),A$15,IFERROR(IF(MATCH(A$15,Z$3:Z$13,0)=4,A$15," ")," "))</f>
        <v xml:space="preserve"> </v>
      </c>
      <c r="B2649" s="8" t="str">
        <f>IF(A2649=" "," ",1)</f>
        <v xml:space="preserve"> </v>
      </c>
      <c r="C2649" s="8" t="str">
        <f>IFERROR(INDEX(A2649:A2670,MATCH(SMALL(B2649:B2670,1),B2649:B2670,0),1)," ")</f>
        <v>C3</v>
      </c>
      <c r="D2649" s="8">
        <f>IFERROR(VLOOKUP($C2649,$A$15:$O$36,2,FALSE)," ")</f>
        <v>2</v>
      </c>
      <c r="E2649" s="8">
        <f>IFERROR(VLOOKUP($C2649,$A$15:$O$36,3,FALSE)," ")</f>
        <v>5</v>
      </c>
      <c r="F2649" s="8">
        <f>IFERROR(VLOOKUP($C2649,$A$15:$O$36,4,FALSE)," ")</f>
        <v>6</v>
      </c>
      <c r="G2649" s="8">
        <f>IFERROR(VLOOKUP($C2649,$A$15:$O$36,5,FALSE)," ")</f>
        <v>0</v>
      </c>
      <c r="H2649" s="8">
        <f>IFERROR(VLOOKUP($C2649,$A$15:$O$36,6,FALSE)," ")</f>
        <v>0</v>
      </c>
      <c r="I2649" s="8">
        <f>IFERROR(VLOOKUP($C2649,$A$15:$O$36,7,FALSE)," ")</f>
        <v>0</v>
      </c>
      <c r="J2649" s="8">
        <f>IFERROR(VLOOKUP($C2649,$A$15:$O$36,8,FALSE)," ")</f>
        <v>0</v>
      </c>
      <c r="K2649" s="8">
        <f>IFERROR(VLOOKUP($C2649,$A$15:$O$36,9,FALSE)," ")</f>
        <v>0</v>
      </c>
      <c r="L2649" s="8">
        <f>IFERROR(VLOOKUP($C2649,$A$15:$O$36,10,FALSE)," ")</f>
        <v>0</v>
      </c>
      <c r="M2649" s="8">
        <f>IFERROR(VLOOKUP($C2649,$A$15:$O$36,11,FALSE)," ")</f>
        <v>0</v>
      </c>
      <c r="N2649" s="8">
        <f>IFERROR(VLOOKUP($C2649,$A$15:$O$36,12,FALSE)," ")</f>
        <v>0</v>
      </c>
      <c r="O2649" s="8">
        <f>IFERROR(VLOOKUP($C2649,$A$15:$O$36,15,FALSE)," ")</f>
        <v>2000</v>
      </c>
      <c r="P2649" s="8" t="e">
        <f t="array" ref="P2649:P2659">MMULT(MINVERSE(D2649:N2659),O2649:O2659)</f>
        <v>#NUM!</v>
      </c>
      <c r="Q2649" s="8" t="e">
        <f t="shared" ref="Q2649" si="11551">IF(COUNTIF(P2649:P2659,"&lt;"&amp;-0.001)=0,IF(ABS(P2649)&lt;0.001,0,P2649)," ")</f>
        <v>#NUM!</v>
      </c>
      <c r="R2649" s="8" t="str">
        <f>IFERROR(VLOOKUP(B2578,A$15:L$36,2,FALSE)*Q2649+VLOOKUP(B2578,A$15:L$36,3,FALSE)*Q2650+VLOOKUP(B2578,A$15:L$36,4,FALSE)*Q2651+VLOOKUP(B2578,A$15:L$36,5,FALSE)*Q2652+VLOOKUP(B2578,A$15:L$36,6,FALSE)*Q2653+VLOOKUP(B2578,A$15:L$36,7,FALSE)*Q2654+VLOOKUP(B2578,A$15:L$36,8,FALSE)*Q2655+VLOOKUP(B2578,A$15:L$36,9,FALSE)*Q2656+VLOOKUP(B2578,A$15:L$36,10,FALSE)*Q2657+VLOOKUP(B2578,A$15:L$36,11,FALSE)*Q2658+VLOOKUP(B2578,A$15:L$36,12,FALSE)*Q2659," ")</f>
        <v xml:space="preserve"> </v>
      </c>
      <c r="S2649" s="8" t="str">
        <f>IFERROR(IF(R2649-VLOOKUP(B2578,A$15:O$36,15,FALSE)&lt;0,R2649-VLOOKUP(B2578,A$15:O$36,15,FALSE)," ")," ")</f>
        <v xml:space="preserve"> </v>
      </c>
      <c r="T2649" s="18" t="str">
        <f>IFERROR(IF(R2649-VLOOKUP(B2578,A$15:O$36,15,FALSE)&gt;0,R2649-VLOOKUP(B2578,A$15:O$36,15,FALSE)," ")," ")</f>
        <v xml:space="preserve"> </v>
      </c>
      <c r="U2649" s="34">
        <f t="shared" ref="U2649" si="11552">$M$2</f>
        <v>100.00000000000001</v>
      </c>
      <c r="V2649" s="34">
        <v>-1</v>
      </c>
      <c r="W2649" s="34">
        <f t="shared" ref="W2649" si="11553">-SUMPRODUCT($M$3:$M$12,$N$3:$N$12)</f>
        <v>-105000</v>
      </c>
      <c r="X2649" s="34" t="e">
        <f t="shared" ref="X2649" si="11554">IF(U2649&lt;&gt;U2650,MMULT(MINVERSE(U2649:V2650),W2649:W2650)," ")</f>
        <v>#NUM!</v>
      </c>
      <c r="Y2649" s="34" t="str">
        <f t="shared" ref="Y2649" si="11555">IFERROR(IF(X2649-VLOOKUP(U$38,$A$2:$N$12,14,FALSE)&lt;0,X2649-VLOOKUP(U$38,$A$2:$N$12,14,FALSE)," ")," ")</f>
        <v xml:space="preserve"> </v>
      </c>
      <c r="Z2649" s="34" t="str">
        <f t="shared" ref="Z2649" si="11556">IFERROR(IF(X2649-VLOOKUP(U$38,$A$2:$N$12,14,FALSE)&gt;0,X2649-VLOOKUP(U$38,$A$2:$N$12,14,FALSE)," ")," ")</f>
        <v xml:space="preserve"> </v>
      </c>
      <c r="AA2649" s="34">
        <f t="shared" ref="AA2649" si="11557">$M$3</f>
        <v>0</v>
      </c>
      <c r="AB2649" s="34">
        <v>-1</v>
      </c>
      <c r="AC2649" s="34">
        <f t="shared" ref="AC2649" si="11558">-SUMPRODUCT($M$2:$M$2,$N$2:$N$2)-SUMPRODUCT($M$4:$M$12,$N$4:$N$12)</f>
        <v>-120000</v>
      </c>
      <c r="AD2649" s="34" t="e">
        <f t="shared" ref="AD2649" si="11559">IF(AA2649&lt;&gt;AA2650,MMULT(MINVERSE(AA2649:AB2650),AC2649:AC2650)," ")</f>
        <v>#NUM!</v>
      </c>
      <c r="AE2649" s="34" t="str">
        <f t="shared" ref="AE2649" si="11560">IFERROR(IF(AD2649-VLOOKUP(AA$38,$A$2:$N$12,14,FALSE)&lt;0,AD2649-VLOOKUP(AA$38,$A$2:$N$12,14,FALSE)," ")," ")</f>
        <v xml:space="preserve"> </v>
      </c>
      <c r="AF2649" s="34" t="str">
        <f t="shared" ref="AF2649" si="11561">IFERROR(IF(AD2649-VLOOKUP(AA$38,$A$2:$N$12,14,FALSE)&gt;0,AD2649-VLOOKUP(AA$38,$A$2:$N$12,14,FALSE)," ")," ")</f>
        <v xml:space="preserve"> </v>
      </c>
      <c r="AG2649" s="34">
        <f t="shared" ref="AG2649" si="11562">$M$4</f>
        <v>300</v>
      </c>
      <c r="AH2649" s="34">
        <v>-1</v>
      </c>
      <c r="AI2649" s="34">
        <f t="shared" ref="AI2649" si="11563">-SUMPRODUCT($M$2:$M$3,$N$2:$N$3)-SUMPRODUCT($M$5:$M$12,$N$5:$N$12)</f>
        <v>-15000.000000000002</v>
      </c>
      <c r="AJ2649" s="34" t="e">
        <f t="shared" ref="AJ2649" si="11564">IF(AG2649&lt;&gt;AG2650,MMULT(MINVERSE(AG2649:AH2650),AI2649:AI2650)," ")</f>
        <v>#NUM!</v>
      </c>
      <c r="AK2649" s="34" t="str">
        <f t="shared" ref="AK2649" si="11565">IFERROR(IF(AJ2649-VLOOKUP(AG$38,$A$2:$N$12,14,FALSE)&lt;0,AJ2649-VLOOKUP(AG$38,$A$2:$N$12,14,FALSE)," ")," ")</f>
        <v xml:space="preserve"> </v>
      </c>
      <c r="AL2649" s="34" t="str">
        <f t="shared" ref="AL2649" si="11566">IFERROR(IF(AJ2649-VLOOKUP(AG$38,$A$2:$N$12,14,FALSE)&gt;0,AJ2649-VLOOKUP(AG$38,$A$2:$N$12,14,FALSE)," ")," ")</f>
        <v xml:space="preserve"> </v>
      </c>
      <c r="AM2649" s="34">
        <f t="shared" ref="AM2649" si="11567">$M$5</f>
        <v>0</v>
      </c>
      <c r="AN2649" s="34">
        <v>-1</v>
      </c>
      <c r="AO2649" s="34">
        <f t="shared" ref="AO2649" si="11568">-SUMPRODUCT($M$2:$M$4,$N$2:$N$4)-SUMPRODUCT($M$6:$M$12,$N$6:$N$12)</f>
        <v>-120000</v>
      </c>
      <c r="AP2649" s="34" t="e">
        <f t="shared" ref="AP2649" si="11569">IF(AM2649&lt;&gt;AM2650,MMULT(MINVERSE(AM2649:AN2650),AO2649:AO2650)," ")</f>
        <v>#NUM!</v>
      </c>
      <c r="AQ2649" s="34" t="str">
        <f t="shared" ref="AQ2649" si="11570">IFERROR(IF(AP2649-VLOOKUP(AM$38,$A$2:$N$12,14,FALSE)&lt;0,AP2649-VLOOKUP(AM$38,$A$2:$N$12,14,FALSE)," ")," ")</f>
        <v xml:space="preserve"> </v>
      </c>
      <c r="AR2649" s="34" t="str">
        <f t="shared" ref="AR2649" si="11571">IFERROR(IF(AP2649-VLOOKUP(AM$38,$A$2:$N$12,14,FALSE)&gt;0,AP2649-VLOOKUP(AM$38,$A$2:$N$12,14,FALSE)," ")," ")</f>
        <v xml:space="preserve"> </v>
      </c>
      <c r="AS2649" s="34">
        <f t="shared" ref="AS2649" si="11572">$M$6</f>
        <v>0</v>
      </c>
      <c r="AT2649" s="34">
        <v>-1</v>
      </c>
      <c r="AU2649" s="34">
        <f t="shared" ref="AU2649" si="11573">-SUMPRODUCT($M$2:$M$5,$N$2:$N$5)-SUMPRODUCT($M$7:$M$12,$N$7:$N$12)</f>
        <v>-120000</v>
      </c>
      <c r="AV2649" s="34" t="e">
        <f t="shared" ref="AV2649" si="11574">IF(AS2649&lt;&gt;AS2650,MMULT(MINVERSE(AS2649:AT2650),AU2649:AU2650)," ")</f>
        <v>#NUM!</v>
      </c>
      <c r="AW2649" s="34" t="str">
        <f t="shared" ref="AW2649" si="11575">IFERROR(IF(AV2649-VLOOKUP(AS$38,$A$2:$N$12,14,FALSE)&lt;0,AV2649-VLOOKUP(AS$38,$A$2:$N$12,14,FALSE)," ")," ")</f>
        <v xml:space="preserve"> </v>
      </c>
      <c r="AX2649" s="34" t="str">
        <f t="shared" ref="AX2649" si="11576">IFERROR(IF(AV2649-VLOOKUP(AS$38,$A$2:$N$12,14,FALSE)&gt;0,AV2649-VLOOKUP(AS$38,$A$2:$N$12,14,FALSE)," ")," ")</f>
        <v xml:space="preserve"> </v>
      </c>
      <c r="AY2649" s="34">
        <f t="shared" ref="AY2649" si="11577">$M$7</f>
        <v>0</v>
      </c>
      <c r="AZ2649" s="34">
        <v>-1</v>
      </c>
      <c r="BA2649" s="34">
        <f t="shared" ref="BA2649" si="11578">-SUMPRODUCT($M$2:$M$6,$N$2:$N$6)-SUMPRODUCT($M$8:$M$12,$N$8:$N$12)</f>
        <v>-120000</v>
      </c>
      <c r="BB2649" s="34" t="e">
        <f t="shared" ref="BB2649" si="11579">IF(AY2649&lt;&gt;AY2650,MMULT(MINVERSE(AY2649:AZ2650),BA2649:BA2650)," ")</f>
        <v>#NUM!</v>
      </c>
      <c r="BC2649" s="34" t="str">
        <f t="shared" ref="BC2649" si="11580">IFERROR(IF(BB2649-VLOOKUP(AY$38,$A$2:$N$12,14,FALSE)&lt;0,BB2649-VLOOKUP(AY$38,$A$2:$N$12,14,FALSE)," ")," ")</f>
        <v xml:space="preserve"> </v>
      </c>
      <c r="BD2649" s="34" t="str">
        <f t="shared" ref="BD2649" si="11581">IFERROR(IF(BB2649-VLOOKUP(AY$38,$A$2:$N$12,14,FALSE)&gt;0,BB2649-VLOOKUP(AY$38,$A$2:$N$12,14,FALSE)," ")," ")</f>
        <v xml:space="preserve"> </v>
      </c>
      <c r="BE2649" s="34">
        <f t="shared" ref="BE2649" si="11582">$M$8</f>
        <v>0</v>
      </c>
      <c r="BF2649" s="34">
        <v>-1</v>
      </c>
      <c r="BG2649" s="34">
        <f t="shared" ref="BG2649" si="11583">-SUMPRODUCT($M$2:$M$7,$N$2:$N$7)-SUMPRODUCT($M$9:$M$12,$N$9:$N$12)</f>
        <v>-120000</v>
      </c>
      <c r="BH2649" s="34" t="e">
        <f t="shared" ref="BH2649" si="11584">IF(BE2649&lt;&gt;BE2650,MMULT(MINVERSE(BE2649:BF2650),BG2649:BG2650)," ")</f>
        <v>#NUM!</v>
      </c>
      <c r="BI2649" s="34" t="str">
        <f t="shared" ref="BI2649" si="11585">IFERROR(IF(BH2649-VLOOKUP(BE$38,$A$2:$N$12,14,FALSE)&lt;0,BH2649-VLOOKUP(BE$38,$A$2:$N$12,14,FALSE)," ")," ")</f>
        <v xml:space="preserve"> </v>
      </c>
      <c r="BJ2649" s="34" t="str">
        <f t="shared" ref="BJ2649" si="11586">IFERROR(IF(BH2649-VLOOKUP(BE$38,$A$2:$N$12,14,FALSE)&gt;0,BH2649-VLOOKUP(BE$38,$A$2:$N$12,14,FALSE)," ")," ")</f>
        <v xml:space="preserve"> </v>
      </c>
      <c r="BK2649" s="34">
        <f t="shared" ref="BK2649" si="11587">$M$9</f>
        <v>0</v>
      </c>
      <c r="BL2649" s="34">
        <v>-1</v>
      </c>
      <c r="BM2649" s="34">
        <f t="shared" ref="BM2649" si="11588">-SUMPRODUCT($M$2:$M$8,$N$2:$N$8)-SUMPRODUCT($M$10:$M$12,$N$10:$N$12)</f>
        <v>-120000</v>
      </c>
      <c r="BN2649" s="34" t="e">
        <f t="shared" ref="BN2649" si="11589">IF(BK2649&lt;&gt;BK2650,MMULT(MINVERSE(BK2649:BL2650),BM2649:BM2650)," ")</f>
        <v>#NUM!</v>
      </c>
      <c r="BO2649" s="34" t="str">
        <f t="shared" ref="BO2649" si="11590">IFERROR(IF(BN2649-VLOOKUP(BK$38,$A$2:$N$12,14,FALSE)&lt;0,BN2649-VLOOKUP(BK$38,$A$2:$N$12,14,FALSE)," ")," ")</f>
        <v xml:space="preserve"> </v>
      </c>
      <c r="BP2649" s="34" t="str">
        <f t="shared" ref="BP2649" si="11591">IFERROR(IF(BN2649-VLOOKUP(BK$38,$A$2:$N$12,14,FALSE)&gt;0,BN2649-VLOOKUP(BK$38,$A$2:$N$12,14,FALSE)," ")," ")</f>
        <v xml:space="preserve"> </v>
      </c>
      <c r="BQ2649" s="34">
        <f t="shared" ref="BQ2649" si="11592">$M$10</f>
        <v>0</v>
      </c>
      <c r="BR2649" s="34">
        <v>-1</v>
      </c>
      <c r="BS2649" s="34">
        <f t="shared" ref="BS2649" si="11593">-SUMPRODUCT($M$2:$M$9,$N$2:$N$9)-SUMPRODUCT($M$11:$M$12,$N$11:$N$12)</f>
        <v>-120000</v>
      </c>
      <c r="BT2649" s="34" t="e">
        <f t="shared" ref="BT2649" si="11594">IF(BQ2649&lt;&gt;BQ2650,MMULT(MINVERSE(BQ2649:BR2650),BS2649:BS2650)," ")</f>
        <v>#NUM!</v>
      </c>
      <c r="BU2649" s="34" t="str">
        <f t="shared" ref="BU2649" si="11595">IFERROR(IF(BT2649-VLOOKUP(BQ$38,$A$2:$N$12,14,FALSE)&lt;0,BT2649-VLOOKUP(BQ$38,$A$2:$N$12,14,FALSE)," ")," ")</f>
        <v xml:space="preserve"> </v>
      </c>
      <c r="BV2649" s="34" t="str">
        <f t="shared" ref="BV2649" si="11596">IFERROR(IF(BT2649-VLOOKUP(BQ$38,$A$2:$N$12,14,FALSE)&gt;0,BT2649-VLOOKUP(BQ$38,$A$2:$N$12,14,FALSE)," ")," ")</f>
        <v xml:space="preserve"> </v>
      </c>
      <c r="BW2649" s="34">
        <f t="shared" ref="BW2649" si="11597">$M$11</f>
        <v>0</v>
      </c>
      <c r="BX2649" s="34">
        <v>-1</v>
      </c>
      <c r="BY2649" s="34">
        <f t="shared" ref="BY2649" si="11598">-SUMPRODUCT($M$2:$M$10,$N$2:$N$10)-SUMPRODUCT($M$12,$N$12)</f>
        <v>-120000</v>
      </c>
      <c r="BZ2649" s="34" t="e">
        <f t="shared" ref="BZ2649" si="11599">IF(BW2649&lt;&gt;BW2650,MMULT(MINVERSE(BW2649:BX2650),BY2649:BY2650)," ")</f>
        <v>#NUM!</v>
      </c>
      <c r="CA2649" s="34" t="str">
        <f t="shared" ref="CA2649" si="11600">IFERROR(IF(BZ2649-VLOOKUP(BW$38,$A$2:$N$12,14,FALSE)&lt;0,BZ2649-VLOOKUP(BW$38,$A$2:$N$12,14,FALSE)," ")," ")</f>
        <v xml:space="preserve"> </v>
      </c>
      <c r="CB2649" s="34" t="str">
        <f t="shared" ref="CB2649" si="11601">IFERROR(IF(BZ2649-VLOOKUP(BW$38,$A$2:$N$12,14,FALSE)&gt;0,BZ2649-VLOOKUP(BW$38,$A$2:$N$12,14,FALSE)," ")," ")</f>
        <v xml:space="preserve"> </v>
      </c>
      <c r="CC2649" s="34">
        <f t="shared" ref="CC2649" si="11602">$M$12</f>
        <v>0</v>
      </c>
      <c r="CD2649" s="34">
        <v>-1</v>
      </c>
      <c r="CE2649" s="34">
        <f t="shared" ref="CE2649" si="11603">-SUMPRODUCT($M$2:$M$11,$N$2:$N$11)</f>
        <v>-120000</v>
      </c>
      <c r="CF2649" s="34" t="e">
        <f t="shared" ref="CF2649" si="11604">IF(CC2649&lt;&gt;CC2650,MMULT(MINVERSE(CC2649:CD2650),CE2649:CE2650)," ")</f>
        <v>#NUM!</v>
      </c>
      <c r="CG2649" s="34" t="str">
        <f t="shared" ref="CG2649" si="11605">IFERROR(IF(CF2649-VLOOKUP(CC$38,$A$2:$N$12,14,FALSE)&lt;0,CF2649-VLOOKUP(CC$38,$A$2:$N$12,14,FALSE)," ")," ")</f>
        <v xml:space="preserve"> </v>
      </c>
      <c r="CH2649" s="34" t="str">
        <f t="shared" ref="CH2649" si="11606">IFERROR(IF(CF2649-VLOOKUP(CC$38,$A$2:$N$12,14,FALSE)&gt;0,CF2649-VLOOKUP(CC$38,$A$2:$N$12,14,FALSE)," ")," ")</f>
        <v xml:space="preserve"> </v>
      </c>
    </row>
    <row r="2650" spans="1:86" x14ac:dyDescent="0.2">
      <c r="A2650" s="8" t="str">
        <f>IF(AND(COUNTIF(W$3:W$13,A$16)&gt;0,A$16&lt;&gt;B2578),A$16,IFERROR(IF(MATCH(A$16,Z$3:Z$13,0)=4,A$16," ")," "))</f>
        <v xml:space="preserve"> </v>
      </c>
      <c r="B2650" s="8" t="str">
        <f>IF(A2650=" "," ",MAX(B2649:B2649)+1)</f>
        <v xml:space="preserve"> </v>
      </c>
      <c r="C2650" s="8" t="str">
        <f>IFERROR(INDEX(A2649:A2670,MATCH(SMALL(B2649:B2670,2),B2649:B2670,0),1)," ")</f>
        <v>C4</v>
      </c>
      <c r="D2650" s="8">
        <f t="shared" ref="D2650:D2659" si="11607">IFERROR(VLOOKUP($C2650,$A$15:$O$36,2,FALSE)," ")</f>
        <v>1</v>
      </c>
      <c r="E2650" s="8">
        <f t="shared" ref="E2650:E2659" si="11608">IFERROR(VLOOKUP($C2650,$A$15:$O$36,3,FALSE)," ")</f>
        <v>0</v>
      </c>
      <c r="F2650" s="8">
        <f t="shared" ref="F2650:F2659" si="11609">IFERROR(VLOOKUP($C2650,$A$15:$O$36,4,FALSE)," ")</f>
        <v>1</v>
      </c>
      <c r="G2650" s="8">
        <f t="shared" ref="G2650:G2659" si="11610">IFERROR(VLOOKUP($C2650,$A$15:$O$36,5,FALSE)," ")</f>
        <v>0</v>
      </c>
      <c r="H2650" s="8">
        <f t="shared" ref="H2650:H2659" si="11611">IFERROR(VLOOKUP($C2650,$A$15:$O$36,6,FALSE)," ")</f>
        <v>0</v>
      </c>
      <c r="I2650" s="8">
        <f t="shared" ref="I2650:I2659" si="11612">IFERROR(VLOOKUP($C2650,$A$15:$O$36,7,FALSE)," ")</f>
        <v>0</v>
      </c>
      <c r="J2650" s="8">
        <f t="shared" ref="J2650:J2659" si="11613">IFERROR(VLOOKUP($C2650,$A$15:$O$36,8,FALSE)," ")</f>
        <v>0</v>
      </c>
      <c r="K2650" s="8">
        <f t="shared" ref="K2650:K2659" si="11614">IFERROR(VLOOKUP($C2650,$A$15:$O$36,9,FALSE)," ")</f>
        <v>0</v>
      </c>
      <c r="L2650" s="8">
        <f t="shared" ref="L2650:L2659" si="11615">IFERROR(VLOOKUP($C2650,$A$15:$O$36,10,FALSE)," ")</f>
        <v>0</v>
      </c>
      <c r="M2650" s="8">
        <f t="shared" ref="M2650:M2659" si="11616">IFERROR(VLOOKUP($C2650,$A$15:$O$36,11,FALSE)," ")</f>
        <v>0</v>
      </c>
      <c r="N2650" s="8">
        <f t="shared" ref="N2650:N2659" si="11617">IFERROR(VLOOKUP($C2650,$A$15:$O$36,12,FALSE)," ")</f>
        <v>0</v>
      </c>
      <c r="O2650" s="8">
        <f t="shared" ref="O2650:O2659" si="11618">IFERROR(VLOOKUP($C2650,$A$15:$O$36,15,FALSE)," ")</f>
        <v>400</v>
      </c>
      <c r="P2650" s="8" t="e">
        <v>#NUM!</v>
      </c>
      <c r="Q2650" s="8" t="e">
        <f t="shared" ref="Q2650" si="11619">IF(COUNTIF(P2649:P2659,"&lt;"&amp;-0.001)=0,IF(ABS(P2650)&lt;0.001,0,P2650)," ")</f>
        <v>#NUM!</v>
      </c>
      <c r="R2650" s="8"/>
      <c r="S2650" s="8"/>
      <c r="U2650" s="34" t="e">
        <f t="shared" ref="U2650" si="11620">$Q2649</f>
        <v>#NUM!</v>
      </c>
      <c r="V2650" s="34">
        <v>-1</v>
      </c>
      <c r="W2650" s="34" t="e">
        <f t="shared" ref="W2650" si="11621">-SUMPRODUCT($Q2650:$Q2659,$N$3:$N$12)</f>
        <v>#NUM!</v>
      </c>
      <c r="X2650" s="34"/>
      <c r="Y2650" s="34"/>
      <c r="Z2650" s="34"/>
      <c r="AA2650" s="34" t="e">
        <f t="shared" ref="AA2650" si="11622">$Q2650</f>
        <v>#NUM!</v>
      </c>
      <c r="AB2650" s="34">
        <v>-1</v>
      </c>
      <c r="AC2650" s="34" t="e">
        <f t="shared" ref="AC2650" si="11623">-SUMPRODUCT($Q2649:$Q2649,$N$2:$N$2)-SUMPRODUCT($Q2651:$Q2659,$N$4:$N$12)</f>
        <v>#NUM!</v>
      </c>
      <c r="AD2650" s="34"/>
      <c r="AE2650" s="34"/>
      <c r="AF2650" s="34"/>
      <c r="AG2650" s="34" t="e">
        <f t="shared" ref="AG2650" si="11624">$Q2651</f>
        <v>#NUM!</v>
      </c>
      <c r="AH2650" s="34">
        <v>-1</v>
      </c>
      <c r="AI2650" s="34" t="e">
        <f t="shared" ref="AI2650" si="11625">-SUMPRODUCT($Q2649:$Q2650,$N$2:$N$3)-SUMPRODUCT($Q2652:$Q2659,$N$5:$N$12)</f>
        <v>#NUM!</v>
      </c>
      <c r="AJ2650" s="34"/>
      <c r="AK2650" s="34"/>
      <c r="AL2650" s="34"/>
      <c r="AM2650" s="34" t="e">
        <f t="shared" ref="AM2650" si="11626">$Q2652</f>
        <v>#NUM!</v>
      </c>
      <c r="AN2650" s="34">
        <v>-1</v>
      </c>
      <c r="AO2650" s="34" t="e">
        <f t="shared" ref="AO2650" si="11627">-SUMPRODUCT($Q2649:$Q2651,$N$2:$N$4)-SUMPRODUCT($Q2653:$Q2659,$N$6:$N$12)</f>
        <v>#NUM!</v>
      </c>
      <c r="AP2650" s="34"/>
      <c r="AQ2650" s="34"/>
      <c r="AR2650" s="34"/>
      <c r="AS2650" s="34" t="e">
        <f t="shared" ref="AS2650" si="11628">$Q2653</f>
        <v>#NUM!</v>
      </c>
      <c r="AT2650" s="34">
        <v>-1</v>
      </c>
      <c r="AU2650" s="34" t="e">
        <f t="shared" ref="AU2650" si="11629">-SUMPRODUCT($Q2649:$Q2652,$N$2:$N$5)-SUMPRODUCT($Q2654:$Q2659,$N$7:$N$12)</f>
        <v>#NUM!</v>
      </c>
      <c r="AV2650" s="34"/>
      <c r="AW2650" s="34"/>
      <c r="AX2650" s="34"/>
      <c r="AY2650" s="34" t="e">
        <f t="shared" ref="AY2650" si="11630">$Q2654</f>
        <v>#NUM!</v>
      </c>
      <c r="AZ2650" s="34">
        <v>-1</v>
      </c>
      <c r="BA2650" s="34" t="e">
        <f t="shared" ref="BA2650" si="11631">-SUMPRODUCT($Q2649:$Q2653,$N$2:$N$6)-SUMPRODUCT($Q2655:$Q2659,$N$8:$N$12)</f>
        <v>#NUM!</v>
      </c>
      <c r="BB2650" s="34"/>
      <c r="BC2650" s="34"/>
      <c r="BD2650" s="34"/>
      <c r="BE2650" s="34" t="e">
        <f t="shared" ref="BE2650" si="11632">$Q2655</f>
        <v>#NUM!</v>
      </c>
      <c r="BF2650" s="34">
        <v>-1</v>
      </c>
      <c r="BG2650" s="34" t="e">
        <f t="shared" ref="BG2650" si="11633">-SUMPRODUCT($Q2649:$Q2654,$N$2:$N$7)-SUMPRODUCT($Q2656:$Q2659,$N$9:$N$12)</f>
        <v>#NUM!</v>
      </c>
      <c r="BH2650" s="34"/>
      <c r="BI2650" s="34"/>
      <c r="BJ2650" s="34"/>
      <c r="BK2650" s="34" t="e">
        <f t="shared" ref="BK2650" si="11634">$Q2656</f>
        <v>#NUM!</v>
      </c>
      <c r="BL2650" s="34">
        <v>-1</v>
      </c>
      <c r="BM2650" s="34" t="e">
        <f t="shared" ref="BM2650" si="11635">-SUMPRODUCT($Q2649:$Q2655,$N$2:$N$8)-SUMPRODUCT($Q2657:$Q2659,$N$10:$N$12)</f>
        <v>#NUM!</v>
      </c>
      <c r="BN2650" s="34"/>
      <c r="BO2650" s="34"/>
      <c r="BP2650" s="34"/>
      <c r="BQ2650" s="34" t="e">
        <f t="shared" ref="BQ2650" si="11636">$Q2657</f>
        <v>#NUM!</v>
      </c>
      <c r="BR2650" s="34">
        <v>-1</v>
      </c>
      <c r="BS2650" s="34" t="e">
        <f t="shared" ref="BS2650" si="11637">-SUMPRODUCT($Q2649:$Q2656,$N$2:$N$9)-SUMPRODUCT($Q2658:$Q2659,$N$11:$N$12)</f>
        <v>#NUM!</v>
      </c>
      <c r="BT2650" s="34"/>
      <c r="BU2650" s="34"/>
      <c r="BV2650" s="34"/>
      <c r="BW2650" s="34" t="e">
        <f t="shared" ref="BW2650" si="11638">$Q2658</f>
        <v>#NUM!</v>
      </c>
      <c r="BX2650" s="34">
        <v>-1</v>
      </c>
      <c r="BY2650" s="34" t="e">
        <f t="shared" ref="BY2650" si="11639">-SUMPRODUCT($Q2649:$Q2657,$N$2:$N$10)-SUMPRODUCT($Q2659,$N$12)</f>
        <v>#NUM!</v>
      </c>
      <c r="BZ2650" s="34"/>
      <c r="CA2650" s="34"/>
      <c r="CB2650" s="34"/>
      <c r="CC2650" s="34" t="e">
        <f t="shared" ref="CC2650" si="11640">$Q2659</f>
        <v>#NUM!</v>
      </c>
      <c r="CD2650" s="34">
        <v>-1</v>
      </c>
      <c r="CE2650" s="34" t="e">
        <f t="shared" ref="CE2650" si="11641">-SUMPRODUCT($Q2649:$Q2658,$N$2:$N$11)</f>
        <v>#NUM!</v>
      </c>
      <c r="CF2650" s="34"/>
      <c r="CG2650" s="34"/>
      <c r="CH2650" s="34"/>
    </row>
    <row r="2651" spans="1:86" x14ac:dyDescent="0.2">
      <c r="A2651" s="8" t="str">
        <f>IF(AND(COUNTIF(W$3:W$13,A$17)&gt;0,A$17&lt;&gt;B2578),A$17,IFERROR(IF(MATCH(A$17,Z$3:Z$13,0)=4,A$17," ")," "))</f>
        <v>C3</v>
      </c>
      <c r="B2651" s="8">
        <f>IF(A2651=" "," ",MAX(B2649:B2650)+1)</f>
        <v>1</v>
      </c>
      <c r="C2651" s="8" t="str">
        <f>IFERROR(INDEX(A2649:A2670,MATCH(SMALL(B2649:B2670,3),B2649:B2670,0),1)," ")</f>
        <v>C6</v>
      </c>
      <c r="D2651" s="8">
        <f t="shared" si="11607"/>
        <v>0</v>
      </c>
      <c r="E2651" s="8">
        <f t="shared" si="11608"/>
        <v>0</v>
      </c>
      <c r="F2651" s="8">
        <f t="shared" si="11609"/>
        <v>0</v>
      </c>
      <c r="G2651" s="8">
        <f t="shared" si="11610"/>
        <v>0</v>
      </c>
      <c r="H2651" s="8">
        <f t="shared" si="11611"/>
        <v>0</v>
      </c>
      <c r="I2651" s="8">
        <f t="shared" si="11612"/>
        <v>0</v>
      </c>
      <c r="J2651" s="8">
        <f t="shared" si="11613"/>
        <v>0</v>
      </c>
      <c r="K2651" s="8">
        <f t="shared" si="11614"/>
        <v>0</v>
      </c>
      <c r="L2651" s="8">
        <f t="shared" si="11615"/>
        <v>0</v>
      </c>
      <c r="M2651" s="8">
        <f t="shared" si="11616"/>
        <v>0</v>
      </c>
      <c r="N2651" s="8">
        <f t="shared" si="11617"/>
        <v>0</v>
      </c>
      <c r="O2651" s="8">
        <f t="shared" si="11618"/>
        <v>0</v>
      </c>
      <c r="P2651" s="8" t="e">
        <v>#NUM!</v>
      </c>
      <c r="Q2651" s="8" t="e">
        <f t="shared" ref="Q2651" si="11642">IF(COUNTIF(P2649:P2659,"&lt;"&amp;-0.001)=0,IF(ABS(P2651)&lt;0.001,0,P2651)," ")</f>
        <v>#NUM!</v>
      </c>
      <c r="R2651" s="8"/>
      <c r="S2651" s="8"/>
      <c r="U2651" s="34"/>
      <c r="V2651" s="34"/>
      <c r="W2651" s="34"/>
      <c r="X2651" s="34"/>
      <c r="Y2651" s="34"/>
      <c r="Z2651" s="34"/>
      <c r="AA2651" s="34"/>
      <c r="AB2651" s="34"/>
      <c r="AC2651" s="34"/>
      <c r="AD2651" s="34"/>
      <c r="AE2651" s="34"/>
      <c r="AF2651" s="34"/>
      <c r="AG2651" s="34"/>
      <c r="AH2651" s="34"/>
      <c r="AI2651" s="34"/>
      <c r="AJ2651" s="34"/>
      <c r="AK2651" s="34"/>
      <c r="AL2651" s="34"/>
      <c r="AM2651" s="34"/>
      <c r="AN2651" s="34"/>
      <c r="AO2651" s="34"/>
      <c r="AP2651" s="34"/>
      <c r="AQ2651" s="34"/>
      <c r="AR2651" s="34"/>
      <c r="AS2651" s="34"/>
      <c r="AT2651" s="34"/>
      <c r="AU2651" s="34"/>
      <c r="AV2651" s="34"/>
      <c r="AW2651" s="34"/>
      <c r="AX2651" s="34"/>
      <c r="AY2651" s="34"/>
      <c r="AZ2651" s="34"/>
      <c r="BA2651" s="34"/>
      <c r="BB2651" s="34"/>
      <c r="BC2651" s="34"/>
      <c r="BD2651" s="34"/>
      <c r="BE2651" s="34"/>
      <c r="BF2651" s="34"/>
      <c r="BG2651" s="34"/>
      <c r="BH2651" s="34"/>
      <c r="BI2651" s="34"/>
      <c r="BJ2651" s="34"/>
      <c r="BK2651" s="34"/>
      <c r="BL2651" s="34"/>
      <c r="BM2651" s="34"/>
      <c r="BN2651" s="34"/>
      <c r="BO2651" s="34"/>
      <c r="BP2651" s="34"/>
      <c r="BQ2651" s="34"/>
      <c r="BR2651" s="34"/>
      <c r="BS2651" s="34"/>
      <c r="BT2651" s="34"/>
      <c r="BU2651" s="34"/>
      <c r="BV2651" s="34"/>
      <c r="BW2651" s="34"/>
      <c r="BX2651" s="34"/>
      <c r="BY2651" s="34"/>
      <c r="BZ2651" s="34"/>
      <c r="CA2651" s="34"/>
      <c r="CB2651" s="34"/>
      <c r="CC2651" s="34"/>
      <c r="CD2651" s="34"/>
      <c r="CE2651" s="34"/>
      <c r="CF2651" s="34"/>
      <c r="CG2651" s="34"/>
      <c r="CH2651" s="34"/>
    </row>
    <row r="2652" spans="1:86" x14ac:dyDescent="0.2">
      <c r="A2652" s="8" t="str">
        <f>IF(AND(COUNTIF(W$3:W$13,A$18)&gt;0,A$18&lt;&gt;B2578),A$18,IFERROR(IF(MATCH(A$18,Z$3:Z$13,0)=4,A$18," ")," "))</f>
        <v>C4</v>
      </c>
      <c r="B2652" s="8">
        <f>IF(A2652=" "," ",MAX(B2649:B2651)+1)</f>
        <v>2</v>
      </c>
      <c r="C2652" s="8" t="str">
        <f>IFERROR(INDEX(A2649:A2670,MATCH(SMALL(B2649:B2670,4),B2649:B2670,0),1)," ")</f>
        <v>C13</v>
      </c>
      <c r="D2652" s="8">
        <f t="shared" si="11607"/>
        <v>0</v>
      </c>
      <c r="E2652" s="8">
        <f t="shared" si="11608"/>
        <v>1</v>
      </c>
      <c r="F2652" s="8">
        <f t="shared" si="11609"/>
        <v>0</v>
      </c>
      <c r="G2652" s="8">
        <f t="shared" si="11610"/>
        <v>0</v>
      </c>
      <c r="H2652" s="8">
        <f t="shared" si="11611"/>
        <v>0</v>
      </c>
      <c r="I2652" s="8">
        <f t="shared" si="11612"/>
        <v>0</v>
      </c>
      <c r="J2652" s="8">
        <f t="shared" si="11613"/>
        <v>0</v>
      </c>
      <c r="K2652" s="8">
        <f t="shared" si="11614"/>
        <v>0</v>
      </c>
      <c r="L2652" s="8">
        <f t="shared" si="11615"/>
        <v>0</v>
      </c>
      <c r="M2652" s="8">
        <f t="shared" si="11616"/>
        <v>0</v>
      </c>
      <c r="N2652" s="8">
        <f t="shared" si="11617"/>
        <v>0</v>
      </c>
      <c r="O2652" s="8">
        <f t="shared" si="11618"/>
        <v>0</v>
      </c>
      <c r="P2652" s="8" t="e">
        <v>#NUM!</v>
      </c>
      <c r="Q2652" s="8" t="e">
        <f t="shared" ref="Q2652" si="11643">IF(COUNTIF(P2649:P2659,"&lt;"&amp;-0.001)=0,IF(ABS(P2652)&lt;0.001,0,P2652)," ")</f>
        <v>#NUM!</v>
      </c>
      <c r="R2652" s="8"/>
      <c r="S2652" s="8"/>
      <c r="U2652" s="34"/>
      <c r="V2652" s="34"/>
      <c r="W2652" s="34"/>
      <c r="X2652" s="34"/>
      <c r="Y2652" s="34"/>
      <c r="Z2652" s="34"/>
      <c r="AA2652" s="34"/>
      <c r="AB2652" s="34"/>
      <c r="AC2652" s="34"/>
      <c r="AD2652" s="34"/>
      <c r="AE2652" s="34"/>
      <c r="AF2652" s="34"/>
      <c r="AG2652" s="34"/>
      <c r="AH2652" s="34"/>
      <c r="AI2652" s="34"/>
      <c r="AJ2652" s="34"/>
      <c r="AK2652" s="34"/>
      <c r="AL2652" s="34"/>
      <c r="AM2652" s="34"/>
      <c r="AN2652" s="34"/>
      <c r="AO2652" s="34"/>
      <c r="AP2652" s="34"/>
      <c r="AQ2652" s="34"/>
      <c r="AR2652" s="34"/>
      <c r="AS2652" s="34"/>
      <c r="AT2652" s="34"/>
      <c r="AU2652" s="34"/>
      <c r="AV2652" s="34"/>
      <c r="AW2652" s="34"/>
      <c r="AX2652" s="34"/>
      <c r="AY2652" s="34"/>
      <c r="AZ2652" s="34"/>
      <c r="BA2652" s="34"/>
      <c r="BB2652" s="34"/>
      <c r="BC2652" s="34"/>
      <c r="BD2652" s="34"/>
      <c r="BE2652" s="34"/>
      <c r="BF2652" s="34"/>
      <c r="BG2652" s="34"/>
      <c r="BH2652" s="34"/>
      <c r="BI2652" s="34"/>
      <c r="BJ2652" s="34"/>
      <c r="BK2652" s="34"/>
      <c r="BL2652" s="34"/>
      <c r="BM2652" s="34"/>
      <c r="BN2652" s="34"/>
      <c r="BO2652" s="34"/>
      <c r="BP2652" s="34"/>
      <c r="BQ2652" s="34"/>
      <c r="BR2652" s="34"/>
      <c r="BS2652" s="34"/>
      <c r="BT2652" s="34"/>
      <c r="BU2652" s="34"/>
      <c r="BV2652" s="34"/>
      <c r="BW2652" s="34"/>
      <c r="BX2652" s="34"/>
      <c r="BY2652" s="34"/>
      <c r="BZ2652" s="34"/>
      <c r="CA2652" s="34"/>
      <c r="CB2652" s="34"/>
      <c r="CC2652" s="34"/>
      <c r="CD2652" s="34"/>
      <c r="CE2652" s="34"/>
      <c r="CF2652" s="34"/>
      <c r="CG2652" s="34"/>
      <c r="CH2652" s="34"/>
    </row>
    <row r="2653" spans="1:86" x14ac:dyDescent="0.2">
      <c r="A2653" s="8" t="str">
        <f>IF(AND(COUNTIF(W$3:W$13,A$19)&gt;0,A$19&lt;&gt;B2578),A$19,IFERROR(IF(MATCH(A$19,Z$3:Z$13,0)=4,A$19," ")," "))</f>
        <v xml:space="preserve"> </v>
      </c>
      <c r="B2653" s="8" t="str">
        <f>IF(A2653=" "," ",MAX(B2649:B2652)+1)</f>
        <v xml:space="preserve"> </v>
      </c>
      <c r="C2653" s="8" t="str">
        <f>IFERROR(INDEX(A2649:A2670,MATCH(SMALL(B2649:B2670,5),B2649:B2670,0),1)," ")</f>
        <v>C15</v>
      </c>
      <c r="D2653" s="8">
        <f t="shared" si="11607"/>
        <v>0</v>
      </c>
      <c r="E2653" s="8">
        <f t="shared" si="11608"/>
        <v>0</v>
      </c>
      <c r="F2653" s="8">
        <f t="shared" si="11609"/>
        <v>0</v>
      </c>
      <c r="G2653" s="8">
        <f t="shared" si="11610"/>
        <v>1</v>
      </c>
      <c r="H2653" s="8">
        <f t="shared" si="11611"/>
        <v>0</v>
      </c>
      <c r="I2653" s="8">
        <f t="shared" si="11612"/>
        <v>0</v>
      </c>
      <c r="J2653" s="8">
        <f t="shared" si="11613"/>
        <v>0</v>
      </c>
      <c r="K2653" s="8">
        <f t="shared" si="11614"/>
        <v>0</v>
      </c>
      <c r="L2653" s="8">
        <f t="shared" si="11615"/>
        <v>0</v>
      </c>
      <c r="M2653" s="8">
        <f t="shared" si="11616"/>
        <v>0</v>
      </c>
      <c r="N2653" s="8">
        <f t="shared" si="11617"/>
        <v>0</v>
      </c>
      <c r="O2653" s="8">
        <f t="shared" si="11618"/>
        <v>0</v>
      </c>
      <c r="P2653" s="8" t="e">
        <v>#NUM!</v>
      </c>
      <c r="Q2653" s="8" t="e">
        <f t="shared" ref="Q2653" si="11644">IF(COUNTIF(P2649:P2659,"&lt;"&amp;-0.001)=0,IF(ABS(P2653)&lt;0.001,0,P2653)," ")</f>
        <v>#NUM!</v>
      </c>
      <c r="R2653" s="8"/>
      <c r="S2653" s="8"/>
      <c r="U2653" s="34"/>
      <c r="V2653" s="34"/>
      <c r="W2653" s="34"/>
      <c r="X2653" s="34"/>
      <c r="Y2653" s="34"/>
      <c r="Z2653" s="34"/>
      <c r="AA2653" s="34"/>
      <c r="AB2653" s="34"/>
      <c r="AC2653" s="34"/>
      <c r="AD2653" s="34"/>
      <c r="AE2653" s="34"/>
      <c r="AF2653" s="34"/>
      <c r="AG2653" s="34"/>
      <c r="AH2653" s="34"/>
      <c r="AI2653" s="34"/>
      <c r="AJ2653" s="34"/>
      <c r="AK2653" s="34"/>
      <c r="AL2653" s="34"/>
      <c r="AM2653" s="34"/>
      <c r="AN2653" s="34"/>
      <c r="AO2653" s="34"/>
      <c r="AP2653" s="34"/>
      <c r="AQ2653" s="34"/>
      <c r="AR2653" s="34"/>
      <c r="AS2653" s="34"/>
      <c r="AT2653" s="34"/>
      <c r="AU2653" s="34"/>
      <c r="AV2653" s="34"/>
      <c r="AW2653" s="34"/>
      <c r="AX2653" s="34"/>
      <c r="AY2653" s="34"/>
      <c r="AZ2653" s="34"/>
      <c r="BA2653" s="34"/>
      <c r="BB2653" s="34"/>
      <c r="BC2653" s="34"/>
      <c r="BD2653" s="34"/>
      <c r="BE2653" s="34"/>
      <c r="BF2653" s="34"/>
      <c r="BG2653" s="34"/>
      <c r="BH2653" s="34"/>
      <c r="BI2653" s="34"/>
      <c r="BJ2653" s="34"/>
      <c r="BK2653" s="34"/>
      <c r="BL2653" s="34"/>
      <c r="BM2653" s="34"/>
      <c r="BN2653" s="34"/>
      <c r="BO2653" s="34"/>
      <c r="BP2653" s="34"/>
      <c r="BQ2653" s="34"/>
      <c r="BR2653" s="34"/>
      <c r="BS2653" s="34"/>
      <c r="BT2653" s="34"/>
      <c r="BU2653" s="34"/>
      <c r="BV2653" s="34"/>
      <c r="BW2653" s="34"/>
      <c r="BX2653" s="34"/>
      <c r="BY2653" s="34"/>
      <c r="BZ2653" s="34"/>
      <c r="CA2653" s="34"/>
      <c r="CB2653" s="34"/>
      <c r="CC2653" s="34"/>
      <c r="CD2653" s="34"/>
      <c r="CE2653" s="34"/>
      <c r="CF2653" s="34"/>
      <c r="CG2653" s="34"/>
      <c r="CH2653" s="34"/>
    </row>
    <row r="2654" spans="1:86" x14ac:dyDescent="0.2">
      <c r="A2654" s="8" t="str">
        <f>IF(AND(COUNTIF(W$3:W$13,A$20)&gt;0,A$20&lt;&gt;B2578),A$20,IFERROR(IF(MATCH(A$20,Z$3:Z$13,0)=4,A$20," ")," "))</f>
        <v>C6</v>
      </c>
      <c r="B2654" s="8">
        <f>IF(A2654=" "," ",MAX(B2649:B2653)+1)</f>
        <v>3</v>
      </c>
      <c r="C2654" s="8" t="str">
        <f>IFERROR(INDEX(A2649:A2670,MATCH(SMALL(B2649:B2670,6),B2649:B2670,0),1)," ")</f>
        <v>C16</v>
      </c>
      <c r="D2654" s="8">
        <f t="shared" si="11607"/>
        <v>0</v>
      </c>
      <c r="E2654" s="8">
        <f t="shared" si="11608"/>
        <v>0</v>
      </c>
      <c r="F2654" s="8">
        <f t="shared" si="11609"/>
        <v>0</v>
      </c>
      <c r="G2654" s="8">
        <f t="shared" si="11610"/>
        <v>0</v>
      </c>
      <c r="H2654" s="8">
        <f t="shared" si="11611"/>
        <v>1</v>
      </c>
      <c r="I2654" s="8">
        <f t="shared" si="11612"/>
        <v>0</v>
      </c>
      <c r="J2654" s="8">
        <f t="shared" si="11613"/>
        <v>0</v>
      </c>
      <c r="K2654" s="8">
        <f t="shared" si="11614"/>
        <v>0</v>
      </c>
      <c r="L2654" s="8">
        <f t="shared" si="11615"/>
        <v>0</v>
      </c>
      <c r="M2654" s="8">
        <f t="shared" si="11616"/>
        <v>0</v>
      </c>
      <c r="N2654" s="8">
        <f t="shared" si="11617"/>
        <v>0</v>
      </c>
      <c r="O2654" s="8">
        <f t="shared" si="11618"/>
        <v>0</v>
      </c>
      <c r="P2654" s="8" t="e">
        <v>#NUM!</v>
      </c>
      <c r="Q2654" s="8" t="e">
        <f t="shared" ref="Q2654" si="11645">IF(COUNTIF(P2649:P2659,"&lt;"&amp;-0.001)=0,IF(ABS(P2654)&lt;0.001,0,P2654)," ")</f>
        <v>#NUM!</v>
      </c>
      <c r="R2654" s="8"/>
      <c r="S2654" s="8"/>
      <c r="U2654" s="34"/>
      <c r="V2654" s="34"/>
      <c r="W2654" s="34"/>
      <c r="X2654" s="34"/>
      <c r="Y2654" s="34"/>
      <c r="Z2654" s="34"/>
      <c r="AA2654" s="34"/>
      <c r="AB2654" s="34"/>
      <c r="AC2654" s="34"/>
      <c r="AD2654" s="34"/>
      <c r="AE2654" s="34"/>
      <c r="AF2654" s="34"/>
      <c r="AG2654" s="34"/>
      <c r="AH2654" s="34"/>
      <c r="AI2654" s="34"/>
      <c r="AJ2654" s="34"/>
      <c r="AK2654" s="34"/>
      <c r="AL2654" s="34"/>
      <c r="AM2654" s="34"/>
      <c r="AN2654" s="34"/>
      <c r="AO2654" s="34"/>
      <c r="AP2654" s="34"/>
      <c r="AQ2654" s="34"/>
      <c r="AR2654" s="34"/>
      <c r="AS2654" s="34"/>
      <c r="AT2654" s="34"/>
      <c r="AU2654" s="34"/>
      <c r="AV2654" s="34"/>
      <c r="AW2654" s="34"/>
      <c r="AX2654" s="34"/>
      <c r="AY2654" s="34"/>
      <c r="AZ2654" s="34"/>
      <c r="BA2654" s="34"/>
      <c r="BB2654" s="34"/>
      <c r="BC2654" s="34"/>
      <c r="BD2654" s="34"/>
      <c r="BE2654" s="34"/>
      <c r="BF2654" s="34"/>
      <c r="BG2654" s="34"/>
      <c r="BH2654" s="34"/>
      <c r="BI2654" s="34"/>
      <c r="BJ2654" s="34"/>
      <c r="BK2654" s="34"/>
      <c r="BL2654" s="34"/>
      <c r="BM2654" s="34"/>
      <c r="BN2654" s="34"/>
      <c r="BO2654" s="34"/>
      <c r="BP2654" s="34"/>
      <c r="BQ2654" s="34"/>
      <c r="BR2654" s="34"/>
      <c r="BS2654" s="34"/>
      <c r="BT2654" s="34"/>
      <c r="BU2654" s="34"/>
      <c r="BV2654" s="34"/>
      <c r="BW2654" s="34"/>
      <c r="BX2654" s="34"/>
      <c r="BY2654" s="34"/>
      <c r="BZ2654" s="34"/>
      <c r="CA2654" s="34"/>
      <c r="CB2654" s="34"/>
      <c r="CC2654" s="34"/>
      <c r="CD2654" s="34"/>
      <c r="CE2654" s="34"/>
      <c r="CF2654" s="34"/>
      <c r="CG2654" s="34"/>
      <c r="CH2654" s="34"/>
    </row>
    <row r="2655" spans="1:86" x14ac:dyDescent="0.2">
      <c r="A2655" s="8" t="str">
        <f>IF(AND(COUNTIF(W$3:W$13,A$21)&gt;0,A$21&lt;&gt;B2578),A$21,IFERROR(IF(MATCH(A$21,Z$3:Z$13,0)=4,A$21," ")," "))</f>
        <v xml:space="preserve"> </v>
      </c>
      <c r="B2655" s="8" t="str">
        <f>IF(A2655=" "," ",MAX(B2649:B2654)+1)</f>
        <v xml:space="preserve"> </v>
      </c>
      <c r="C2655" s="8" t="str">
        <f>IFERROR(INDEX(A2649:A2670,MATCH(SMALL(B2649:B2670,7),B2649:B2670,0),1)," ")</f>
        <v>C17</v>
      </c>
      <c r="D2655" s="8">
        <f t="shared" si="11607"/>
        <v>0</v>
      </c>
      <c r="E2655" s="8">
        <f t="shared" si="11608"/>
        <v>0</v>
      </c>
      <c r="F2655" s="8">
        <f t="shared" si="11609"/>
        <v>0</v>
      </c>
      <c r="G2655" s="8">
        <f t="shared" si="11610"/>
        <v>0</v>
      </c>
      <c r="H2655" s="8">
        <f t="shared" si="11611"/>
        <v>0</v>
      </c>
      <c r="I2655" s="8">
        <f t="shared" si="11612"/>
        <v>1</v>
      </c>
      <c r="J2655" s="8">
        <f t="shared" si="11613"/>
        <v>0</v>
      </c>
      <c r="K2655" s="8">
        <f t="shared" si="11614"/>
        <v>0</v>
      </c>
      <c r="L2655" s="8">
        <f t="shared" si="11615"/>
        <v>0</v>
      </c>
      <c r="M2655" s="8">
        <f t="shared" si="11616"/>
        <v>0</v>
      </c>
      <c r="N2655" s="8">
        <f t="shared" si="11617"/>
        <v>0</v>
      </c>
      <c r="O2655" s="8">
        <f t="shared" si="11618"/>
        <v>0</v>
      </c>
      <c r="P2655" s="8" t="e">
        <v>#NUM!</v>
      </c>
      <c r="Q2655" s="8" t="e">
        <f t="shared" ref="Q2655" si="11646">IF(COUNTIF(P2649:P2659,"&lt;"&amp;-0.001)=0,IF(ABS(P2655)&lt;0.001,0,P2655)," ")</f>
        <v>#NUM!</v>
      </c>
      <c r="R2655" s="8"/>
      <c r="S2655" s="8"/>
      <c r="U2655" s="34"/>
      <c r="V2655" s="34"/>
      <c r="W2655" s="34"/>
      <c r="X2655" s="34"/>
      <c r="Y2655" s="34"/>
      <c r="Z2655" s="34"/>
      <c r="AA2655" s="34"/>
      <c r="AB2655" s="34"/>
      <c r="AC2655" s="34"/>
      <c r="AD2655" s="34"/>
      <c r="AE2655" s="34"/>
      <c r="AF2655" s="34"/>
      <c r="AG2655" s="34"/>
      <c r="AH2655" s="34"/>
      <c r="AI2655" s="34"/>
      <c r="AJ2655" s="34"/>
      <c r="AK2655" s="34"/>
      <c r="AL2655" s="34"/>
      <c r="AM2655" s="34"/>
      <c r="AN2655" s="34"/>
      <c r="AO2655" s="34"/>
      <c r="AP2655" s="34"/>
      <c r="AQ2655" s="34"/>
      <c r="AR2655" s="34"/>
      <c r="AS2655" s="34"/>
      <c r="AT2655" s="34"/>
      <c r="AU2655" s="34"/>
      <c r="AV2655" s="34"/>
      <c r="AW2655" s="34"/>
      <c r="AX2655" s="34"/>
      <c r="AY2655" s="34"/>
      <c r="AZ2655" s="34"/>
      <c r="BA2655" s="34"/>
      <c r="BB2655" s="34"/>
      <c r="BC2655" s="34"/>
      <c r="BD2655" s="34"/>
      <c r="BE2655" s="34"/>
      <c r="BF2655" s="34"/>
      <c r="BG2655" s="34"/>
      <c r="BH2655" s="34"/>
      <c r="BI2655" s="34"/>
      <c r="BJ2655" s="34"/>
      <c r="BK2655" s="34"/>
      <c r="BL2655" s="34"/>
      <c r="BM2655" s="34"/>
      <c r="BN2655" s="34"/>
      <c r="BO2655" s="34"/>
      <c r="BP2655" s="34"/>
      <c r="BQ2655" s="34"/>
      <c r="BR2655" s="34"/>
      <c r="BS2655" s="34"/>
      <c r="BT2655" s="34"/>
      <c r="BU2655" s="34"/>
      <c r="BV2655" s="34"/>
      <c r="BW2655" s="34"/>
      <c r="BX2655" s="34"/>
      <c r="BY2655" s="34"/>
      <c r="BZ2655" s="34"/>
      <c r="CA2655" s="34"/>
      <c r="CB2655" s="34"/>
      <c r="CC2655" s="34"/>
      <c r="CD2655" s="34"/>
      <c r="CE2655" s="34"/>
      <c r="CF2655" s="34"/>
      <c r="CG2655" s="34"/>
      <c r="CH2655" s="34"/>
    </row>
    <row r="2656" spans="1:86" x14ac:dyDescent="0.2">
      <c r="A2656" s="8" t="str">
        <f>IF(AND(COUNTIF(W$3:W$13,A$22)&gt;0,A$22&lt;&gt;B2578),A$22,IFERROR(IF(MATCH(A$22,Z$3:Z$13,0)=4,A$22," ")," "))</f>
        <v xml:space="preserve"> </v>
      </c>
      <c r="B2656" s="8" t="str">
        <f>IF(A2656=" "," ",MAX(B2649:B2655)+1)</f>
        <v xml:space="preserve"> </v>
      </c>
      <c r="C2656" s="8" t="str">
        <f>IFERROR(INDEX(A2649:A2670,MATCH(SMALL(B2649:B2670,8),B2649:B2670,0),1)," ")</f>
        <v>C18</v>
      </c>
      <c r="D2656" s="8">
        <f t="shared" si="11607"/>
        <v>0</v>
      </c>
      <c r="E2656" s="8">
        <f t="shared" si="11608"/>
        <v>0</v>
      </c>
      <c r="F2656" s="8">
        <f t="shared" si="11609"/>
        <v>0</v>
      </c>
      <c r="G2656" s="8">
        <f t="shared" si="11610"/>
        <v>0</v>
      </c>
      <c r="H2656" s="8">
        <f t="shared" si="11611"/>
        <v>0</v>
      </c>
      <c r="I2656" s="8">
        <f t="shared" si="11612"/>
        <v>0</v>
      </c>
      <c r="J2656" s="8">
        <f t="shared" si="11613"/>
        <v>1</v>
      </c>
      <c r="K2656" s="8">
        <f t="shared" si="11614"/>
        <v>0</v>
      </c>
      <c r="L2656" s="8">
        <f t="shared" si="11615"/>
        <v>0</v>
      </c>
      <c r="M2656" s="8">
        <f t="shared" si="11616"/>
        <v>0</v>
      </c>
      <c r="N2656" s="8">
        <f t="shared" si="11617"/>
        <v>0</v>
      </c>
      <c r="O2656" s="8">
        <f t="shared" si="11618"/>
        <v>0</v>
      </c>
      <c r="P2656" s="8" t="e">
        <v>#NUM!</v>
      </c>
      <c r="Q2656" s="8" t="e">
        <f t="shared" ref="Q2656" si="11647">IF(COUNTIF(P2649:P2659,"&lt;"&amp;-0.001)=0,IF(ABS(P2656)&lt;0.001,0,P2656)," ")</f>
        <v>#NUM!</v>
      </c>
      <c r="R2656" s="8"/>
      <c r="S2656" s="8"/>
      <c r="U2656" s="34"/>
      <c r="V2656" s="34"/>
      <c r="W2656" s="34"/>
      <c r="X2656" s="34"/>
      <c r="Y2656" s="34"/>
      <c r="Z2656" s="34"/>
      <c r="AA2656" s="34"/>
      <c r="AB2656" s="34"/>
      <c r="AC2656" s="34"/>
      <c r="AD2656" s="34"/>
      <c r="AE2656" s="34"/>
      <c r="AF2656" s="34"/>
      <c r="AG2656" s="34"/>
      <c r="AH2656" s="34"/>
      <c r="AI2656" s="34"/>
      <c r="AJ2656" s="34"/>
      <c r="AK2656" s="34"/>
      <c r="AL2656" s="34"/>
      <c r="AM2656" s="34"/>
      <c r="AN2656" s="34"/>
      <c r="AO2656" s="34"/>
      <c r="AP2656" s="34"/>
      <c r="AQ2656" s="34"/>
      <c r="AR2656" s="34"/>
      <c r="AS2656" s="34"/>
      <c r="AT2656" s="34"/>
      <c r="AU2656" s="34"/>
      <c r="AV2656" s="34"/>
      <c r="AW2656" s="34"/>
      <c r="AX2656" s="34"/>
      <c r="AY2656" s="34"/>
      <c r="AZ2656" s="34"/>
      <c r="BA2656" s="34"/>
      <c r="BB2656" s="34"/>
      <c r="BC2656" s="34"/>
      <c r="BD2656" s="34"/>
      <c r="BE2656" s="34"/>
      <c r="BF2656" s="34"/>
      <c r="BG2656" s="34"/>
      <c r="BH2656" s="34"/>
      <c r="BI2656" s="34"/>
      <c r="BJ2656" s="34"/>
      <c r="BK2656" s="34"/>
      <c r="BL2656" s="34"/>
      <c r="BM2656" s="34"/>
      <c r="BN2656" s="34"/>
      <c r="BO2656" s="34"/>
      <c r="BP2656" s="34"/>
      <c r="BQ2656" s="34"/>
      <c r="BR2656" s="34"/>
      <c r="BS2656" s="34"/>
      <c r="BT2656" s="34"/>
      <c r="BU2656" s="34"/>
      <c r="BV2656" s="34"/>
      <c r="BW2656" s="34"/>
      <c r="BX2656" s="34"/>
      <c r="BY2656" s="34"/>
      <c r="BZ2656" s="34"/>
      <c r="CA2656" s="34"/>
      <c r="CB2656" s="34"/>
      <c r="CC2656" s="34"/>
      <c r="CD2656" s="34"/>
      <c r="CE2656" s="34"/>
      <c r="CF2656" s="34"/>
      <c r="CG2656" s="34"/>
      <c r="CH2656" s="34"/>
    </row>
    <row r="2657" spans="1:86" x14ac:dyDescent="0.2">
      <c r="A2657" s="8" t="str">
        <f>IF(AND(COUNTIF(W$3:W$13,A$23)&gt;0,A$23&lt;&gt;B2578),A$23,IFERROR(IF(MATCH(A$23,Z$3:Z$13,0)=4,A$23," ")," "))</f>
        <v xml:space="preserve"> </v>
      </c>
      <c r="B2657" s="8" t="str">
        <f>IF(A2657=" "," ",MAX(B2649:B2656)+1)</f>
        <v xml:space="preserve"> </v>
      </c>
      <c r="C2657" s="8" t="str">
        <f>IFERROR(INDEX(A2649:A2670,MATCH(SMALL(B2649:B2670,9),B2649:B2670,0),1)," ")</f>
        <v>C19</v>
      </c>
      <c r="D2657" s="8">
        <f t="shared" si="11607"/>
        <v>0</v>
      </c>
      <c r="E2657" s="8">
        <f t="shared" si="11608"/>
        <v>0</v>
      </c>
      <c r="F2657" s="8">
        <f t="shared" si="11609"/>
        <v>0</v>
      </c>
      <c r="G2657" s="8">
        <f t="shared" si="11610"/>
        <v>0</v>
      </c>
      <c r="H2657" s="8">
        <f t="shared" si="11611"/>
        <v>0</v>
      </c>
      <c r="I2657" s="8">
        <f t="shared" si="11612"/>
        <v>0</v>
      </c>
      <c r="J2657" s="8">
        <f t="shared" si="11613"/>
        <v>0</v>
      </c>
      <c r="K2657" s="8">
        <f t="shared" si="11614"/>
        <v>1</v>
      </c>
      <c r="L2657" s="8">
        <f t="shared" si="11615"/>
        <v>0</v>
      </c>
      <c r="M2657" s="8">
        <f t="shared" si="11616"/>
        <v>0</v>
      </c>
      <c r="N2657" s="8">
        <f t="shared" si="11617"/>
        <v>0</v>
      </c>
      <c r="O2657" s="8">
        <f t="shared" si="11618"/>
        <v>0</v>
      </c>
      <c r="P2657" s="6" t="e">
        <v>#NUM!</v>
      </c>
      <c r="Q2657" s="8" t="e">
        <f t="shared" ref="Q2657" si="11648">IF(COUNTIF(P2649:P2659,"&lt;"&amp;-0.001)=0,IF(ABS(P2657)&lt;0.001,0,P2657)," ")</f>
        <v>#NUM!</v>
      </c>
      <c r="R2657" s="8"/>
      <c r="S2657" s="8"/>
      <c r="U2657" s="34"/>
      <c r="V2657" s="34"/>
      <c r="W2657" s="34"/>
      <c r="X2657" s="34"/>
      <c r="Y2657" s="34"/>
      <c r="Z2657" s="34"/>
      <c r="AA2657" s="34"/>
      <c r="AB2657" s="34"/>
      <c r="AC2657" s="34"/>
      <c r="AD2657" s="34"/>
      <c r="AE2657" s="34"/>
      <c r="AF2657" s="34"/>
      <c r="AG2657" s="34"/>
      <c r="AH2657" s="34"/>
      <c r="AI2657" s="34"/>
      <c r="AJ2657" s="34"/>
      <c r="AK2657" s="34"/>
      <c r="AL2657" s="34"/>
      <c r="AM2657" s="34"/>
      <c r="AN2657" s="34"/>
      <c r="AO2657" s="34"/>
      <c r="AP2657" s="34"/>
      <c r="AQ2657" s="34"/>
      <c r="AR2657" s="34"/>
      <c r="AS2657" s="34"/>
      <c r="AT2657" s="34"/>
      <c r="AU2657" s="34"/>
      <c r="AV2657" s="34"/>
      <c r="AW2657" s="34"/>
      <c r="AX2657" s="34"/>
      <c r="AY2657" s="34"/>
      <c r="AZ2657" s="34"/>
      <c r="BA2657" s="34"/>
      <c r="BB2657" s="34"/>
      <c r="BC2657" s="34"/>
      <c r="BD2657" s="34"/>
      <c r="BE2657" s="34"/>
      <c r="BF2657" s="34"/>
      <c r="BG2657" s="34"/>
      <c r="BH2657" s="34"/>
      <c r="BI2657" s="34"/>
      <c r="BJ2657" s="34"/>
      <c r="BK2657" s="34"/>
      <c r="BL2657" s="34"/>
      <c r="BM2657" s="34"/>
      <c r="BN2657" s="34"/>
      <c r="BO2657" s="34"/>
      <c r="BP2657" s="34"/>
      <c r="BQ2657" s="34"/>
      <c r="BR2657" s="34"/>
      <c r="BS2657" s="34"/>
      <c r="BT2657" s="34"/>
      <c r="BU2657" s="34"/>
      <c r="BV2657" s="34"/>
      <c r="BW2657" s="34"/>
      <c r="BX2657" s="34"/>
      <c r="BY2657" s="34"/>
      <c r="BZ2657" s="34"/>
      <c r="CA2657" s="34"/>
      <c r="CB2657" s="34"/>
      <c r="CC2657" s="34"/>
      <c r="CD2657" s="34"/>
      <c r="CE2657" s="34"/>
      <c r="CF2657" s="34"/>
      <c r="CG2657" s="34"/>
      <c r="CH2657" s="34"/>
    </row>
    <row r="2658" spans="1:86" x14ac:dyDescent="0.2">
      <c r="A2658" s="8" t="str">
        <f>IF(AND(COUNTIF(W$3:W$13,A$24)&gt;0,A$24&lt;&gt;B2578),A$24,IFERROR(IF(MATCH(A$24,Z$3:Z$13,0)=4,A$24," ")," "))</f>
        <v xml:space="preserve"> </v>
      </c>
      <c r="B2658" s="8" t="str">
        <f>IF(A2658=" "," ",MAX(B2649:B2657)+1)</f>
        <v xml:space="preserve"> </v>
      </c>
      <c r="C2658" s="8" t="str">
        <f>IFERROR(INDEX(A2649:A2670,MATCH(SMALL(B2649:B2670,10),B2649:B2670,0),1)," ")</f>
        <v>C20</v>
      </c>
      <c r="D2658" s="8">
        <f t="shared" si="11607"/>
        <v>0</v>
      </c>
      <c r="E2658" s="8">
        <f t="shared" si="11608"/>
        <v>0</v>
      </c>
      <c r="F2658" s="8">
        <f t="shared" si="11609"/>
        <v>0</v>
      </c>
      <c r="G2658" s="8">
        <f t="shared" si="11610"/>
        <v>0</v>
      </c>
      <c r="H2658" s="8">
        <f t="shared" si="11611"/>
        <v>0</v>
      </c>
      <c r="I2658" s="8">
        <f t="shared" si="11612"/>
        <v>0</v>
      </c>
      <c r="J2658" s="8">
        <f t="shared" si="11613"/>
        <v>0</v>
      </c>
      <c r="K2658" s="8">
        <f t="shared" si="11614"/>
        <v>0</v>
      </c>
      <c r="L2658" s="8">
        <f t="shared" si="11615"/>
        <v>1</v>
      </c>
      <c r="M2658" s="8">
        <f t="shared" si="11616"/>
        <v>0</v>
      </c>
      <c r="N2658" s="8">
        <f t="shared" si="11617"/>
        <v>0</v>
      </c>
      <c r="O2658" s="8">
        <f t="shared" si="11618"/>
        <v>0</v>
      </c>
      <c r="P2658" s="8" t="e">
        <v>#NUM!</v>
      </c>
      <c r="Q2658" s="8" t="e">
        <f t="shared" ref="Q2658" si="11649">IF(COUNTIF(P2649:P2659,"&lt;"&amp;-0.001)=0,IF(ABS(P2658)&lt;0.001,0,P2658)," ")</f>
        <v>#NUM!</v>
      </c>
      <c r="R2658" s="8"/>
      <c r="S2658" s="8"/>
      <c r="U2658" s="34"/>
      <c r="V2658" s="34"/>
      <c r="W2658" s="34"/>
      <c r="X2658" s="34"/>
      <c r="Y2658" s="34"/>
      <c r="Z2658" s="34"/>
      <c r="AA2658" s="34"/>
      <c r="AB2658" s="34"/>
      <c r="AC2658" s="34"/>
      <c r="AD2658" s="34"/>
      <c r="AE2658" s="34"/>
      <c r="AF2658" s="34"/>
      <c r="AG2658" s="34"/>
      <c r="AH2658" s="34"/>
      <c r="AI2658" s="34"/>
      <c r="AJ2658" s="34"/>
      <c r="AK2658" s="34"/>
      <c r="AL2658" s="34"/>
      <c r="AM2658" s="34"/>
      <c r="AN2658" s="34"/>
      <c r="AO2658" s="34"/>
      <c r="AP2658" s="34"/>
      <c r="AQ2658" s="34"/>
      <c r="AR2658" s="34"/>
      <c r="AS2658" s="34"/>
      <c r="AT2658" s="34"/>
      <c r="AU2658" s="34"/>
      <c r="AV2658" s="34"/>
      <c r="AW2658" s="34"/>
      <c r="AX2658" s="34"/>
      <c r="AY2658" s="34"/>
      <c r="AZ2658" s="34"/>
      <c r="BA2658" s="34"/>
      <c r="BB2658" s="34"/>
      <c r="BC2658" s="34"/>
      <c r="BD2658" s="34"/>
      <c r="BE2658" s="34"/>
      <c r="BF2658" s="34"/>
      <c r="BG2658" s="34"/>
      <c r="BH2658" s="34"/>
      <c r="BI2658" s="34"/>
      <c r="BJ2658" s="34"/>
      <c r="BK2658" s="34"/>
      <c r="BL2658" s="34"/>
      <c r="BM2658" s="34"/>
      <c r="BN2658" s="34"/>
      <c r="BO2658" s="34"/>
      <c r="BP2658" s="34"/>
      <c r="BQ2658" s="34"/>
      <c r="BR2658" s="34"/>
      <c r="BS2658" s="34"/>
      <c r="BT2658" s="34"/>
      <c r="BU2658" s="34"/>
      <c r="BV2658" s="34"/>
      <c r="BW2658" s="34"/>
      <c r="BX2658" s="34"/>
      <c r="BY2658" s="34"/>
      <c r="BZ2658" s="34"/>
      <c r="CA2658" s="34"/>
      <c r="CB2658" s="34"/>
      <c r="CC2658" s="34"/>
      <c r="CD2658" s="34"/>
      <c r="CE2658" s="34"/>
      <c r="CF2658" s="34"/>
      <c r="CG2658" s="34"/>
      <c r="CH2658" s="34"/>
    </row>
    <row r="2659" spans="1:86" x14ac:dyDescent="0.2">
      <c r="A2659" s="8" t="str">
        <f>IF(AND(COUNTIF(W$3:W$13,A$25)&gt;0,A$25&lt;&gt;B2578),A$25,IFERROR(IF(MATCH(A$25,Z$3:Z$13,0)=4,A$25," ")," "))</f>
        <v xml:space="preserve"> </v>
      </c>
      <c r="B2659" s="8" t="str">
        <f>IF(A2659=" "," ",MAX(B2649:B2658)+1)</f>
        <v xml:space="preserve"> </v>
      </c>
      <c r="C2659" s="8" t="str">
        <f>IFERROR(INDEX(A2649:A2670,MATCH(SMALL(B2649:B2670,11),B2649:B2670,0),1)," ")</f>
        <v>C21</v>
      </c>
      <c r="D2659" s="8">
        <f t="shared" si="11607"/>
        <v>0</v>
      </c>
      <c r="E2659" s="8">
        <f t="shared" si="11608"/>
        <v>0</v>
      </c>
      <c r="F2659" s="8">
        <f t="shared" si="11609"/>
        <v>0</v>
      </c>
      <c r="G2659" s="8">
        <f t="shared" si="11610"/>
        <v>0</v>
      </c>
      <c r="H2659" s="8">
        <f t="shared" si="11611"/>
        <v>0</v>
      </c>
      <c r="I2659" s="8">
        <f t="shared" si="11612"/>
        <v>0</v>
      </c>
      <c r="J2659" s="8">
        <f t="shared" si="11613"/>
        <v>0</v>
      </c>
      <c r="K2659" s="8">
        <f t="shared" si="11614"/>
        <v>0</v>
      </c>
      <c r="L2659" s="8">
        <f t="shared" si="11615"/>
        <v>0</v>
      </c>
      <c r="M2659" s="8">
        <f t="shared" si="11616"/>
        <v>1</v>
      </c>
      <c r="N2659" s="8">
        <f t="shared" si="11617"/>
        <v>0</v>
      </c>
      <c r="O2659" s="8">
        <f t="shared" si="11618"/>
        <v>0</v>
      </c>
      <c r="P2659" s="8" t="e">
        <v>#NUM!</v>
      </c>
      <c r="Q2659" s="8" t="e">
        <f t="shared" ref="Q2659" si="11650">IF(COUNTIF(P2649:P2659,"&lt;"&amp;-0.001)=0,IF(ABS(P2659)&lt;0.001,0,P2659)," ")</f>
        <v>#NUM!</v>
      </c>
      <c r="R2659" s="8"/>
      <c r="S2659" s="8"/>
      <c r="U2659" s="34"/>
      <c r="V2659" s="34"/>
      <c r="W2659" s="34"/>
      <c r="X2659" s="34"/>
      <c r="Y2659" s="34"/>
      <c r="Z2659" s="34"/>
      <c r="AA2659" s="34"/>
      <c r="AB2659" s="34"/>
      <c r="AC2659" s="34"/>
      <c r="AD2659" s="34"/>
      <c r="AE2659" s="34"/>
      <c r="AF2659" s="34"/>
      <c r="AG2659" s="34"/>
      <c r="AH2659" s="34"/>
      <c r="AI2659" s="34"/>
      <c r="AJ2659" s="34"/>
      <c r="AK2659" s="34"/>
      <c r="AL2659" s="34"/>
      <c r="AM2659" s="34"/>
      <c r="AN2659" s="34"/>
      <c r="AO2659" s="34"/>
      <c r="AP2659" s="34"/>
      <c r="AQ2659" s="34"/>
      <c r="AR2659" s="34"/>
      <c r="AS2659" s="34"/>
      <c r="AT2659" s="34"/>
      <c r="AU2659" s="34"/>
      <c r="AV2659" s="34"/>
      <c r="AW2659" s="34"/>
      <c r="AX2659" s="34"/>
      <c r="AY2659" s="34"/>
      <c r="AZ2659" s="34"/>
      <c r="BA2659" s="34"/>
      <c r="BB2659" s="34"/>
      <c r="BC2659" s="34"/>
      <c r="BD2659" s="34"/>
      <c r="BE2659" s="34"/>
      <c r="BF2659" s="34"/>
      <c r="BG2659" s="34"/>
      <c r="BH2659" s="34"/>
      <c r="BI2659" s="34"/>
      <c r="BJ2659" s="34"/>
      <c r="BK2659" s="34"/>
      <c r="BL2659" s="34"/>
      <c r="BM2659" s="34"/>
      <c r="BN2659" s="34"/>
      <c r="BO2659" s="34"/>
      <c r="BP2659" s="34"/>
      <c r="BQ2659" s="34"/>
      <c r="BR2659" s="34"/>
      <c r="BS2659" s="34"/>
      <c r="BT2659" s="34"/>
      <c r="BU2659" s="34"/>
      <c r="BV2659" s="34"/>
      <c r="BW2659" s="34"/>
      <c r="BX2659" s="34"/>
      <c r="BY2659" s="34"/>
      <c r="BZ2659" s="34"/>
      <c r="CA2659" s="34"/>
      <c r="CB2659" s="34"/>
      <c r="CC2659" s="34"/>
      <c r="CD2659" s="34"/>
      <c r="CE2659" s="34"/>
      <c r="CF2659" s="34"/>
      <c r="CG2659" s="34"/>
      <c r="CH2659" s="34"/>
    </row>
    <row r="2660" spans="1:86" x14ac:dyDescent="0.2">
      <c r="A2660" s="8" t="str">
        <f>IF(AND(COUNTIF(W$3:W$13,A$26)&gt;0,A$26&lt;&gt;B2578),A$26,IFERROR(IF(MATCH(A$26,Z$3:Z$13,0)=4,A$26," ")," "))</f>
        <v xml:space="preserve"> </v>
      </c>
      <c r="B2660" s="8" t="str">
        <f>IF(A2660=" "," ",MAX(B2649:B2659)+1)</f>
        <v xml:space="preserve"> </v>
      </c>
      <c r="C2660" s="8"/>
      <c r="D2660" s="8"/>
      <c r="E2660" s="8"/>
      <c r="F2660" s="8"/>
      <c r="G2660" s="8"/>
      <c r="H2660" s="8"/>
      <c r="I2660" s="8"/>
      <c r="J2660" s="8"/>
      <c r="K2660" s="8"/>
      <c r="L2660" s="8"/>
      <c r="M2660" s="8"/>
      <c r="N2660" s="8"/>
      <c r="O2660" s="8"/>
      <c r="P2660" s="8"/>
      <c r="Q2660" s="8"/>
      <c r="R2660" s="8"/>
      <c r="S2660" s="8"/>
      <c r="U2660" s="34"/>
      <c r="V2660" s="34"/>
      <c r="W2660" s="34"/>
      <c r="X2660" s="34"/>
      <c r="Y2660" s="34"/>
      <c r="Z2660" s="34"/>
      <c r="AA2660" s="34"/>
      <c r="AB2660" s="34"/>
      <c r="AC2660" s="34"/>
      <c r="AD2660" s="34"/>
      <c r="AE2660" s="34"/>
      <c r="AF2660" s="34"/>
      <c r="AG2660" s="34"/>
      <c r="AH2660" s="34"/>
      <c r="AI2660" s="34"/>
      <c r="AJ2660" s="34"/>
      <c r="AK2660" s="34"/>
      <c r="AL2660" s="34"/>
      <c r="AM2660" s="34"/>
      <c r="AN2660" s="34"/>
      <c r="AO2660" s="34"/>
      <c r="AP2660" s="34"/>
      <c r="AQ2660" s="34"/>
      <c r="AR2660" s="34"/>
      <c r="AS2660" s="34"/>
      <c r="AT2660" s="34"/>
      <c r="AU2660" s="34"/>
      <c r="AV2660" s="34"/>
      <c r="AW2660" s="34"/>
      <c r="AX2660" s="34"/>
      <c r="AY2660" s="34"/>
      <c r="AZ2660" s="34"/>
      <c r="BA2660" s="34"/>
      <c r="BB2660" s="34"/>
      <c r="BC2660" s="34"/>
      <c r="BD2660" s="34"/>
      <c r="BE2660" s="34"/>
      <c r="BF2660" s="34"/>
      <c r="BG2660" s="34"/>
      <c r="BH2660" s="34"/>
      <c r="BI2660" s="34"/>
      <c r="BJ2660" s="34"/>
      <c r="BK2660" s="34"/>
      <c r="BL2660" s="34"/>
      <c r="BM2660" s="34"/>
      <c r="BN2660" s="34"/>
      <c r="BO2660" s="34"/>
      <c r="BP2660" s="34"/>
      <c r="BQ2660" s="34"/>
      <c r="BR2660" s="34"/>
      <c r="BS2660" s="34"/>
      <c r="BT2660" s="34"/>
      <c r="BU2660" s="34"/>
      <c r="BV2660" s="34"/>
      <c r="BW2660" s="34"/>
      <c r="BX2660" s="34"/>
      <c r="BY2660" s="34"/>
      <c r="BZ2660" s="34"/>
      <c r="CA2660" s="34"/>
      <c r="CB2660" s="34"/>
      <c r="CC2660" s="34"/>
      <c r="CD2660" s="34"/>
      <c r="CE2660" s="34"/>
      <c r="CF2660" s="34"/>
      <c r="CG2660" s="34"/>
      <c r="CH2660" s="34"/>
    </row>
    <row r="2661" spans="1:86" x14ac:dyDescent="0.2">
      <c r="A2661" s="8" t="str">
        <f>IF(AND(COUNTIF(W$3:W$13,A$27)&gt;0,A$27&lt;&gt;B2578),A$27,IFERROR(IF(MATCH(A$27,Z$3:Z$13,0)=4,A$27," ")," "))</f>
        <v>C13</v>
      </c>
      <c r="B2661" s="8">
        <f>IF(A2661=" "," ",MAX(B2649:B2660)+1)</f>
        <v>4</v>
      </c>
      <c r="C2661" s="8"/>
      <c r="D2661" s="8"/>
      <c r="E2661" s="8"/>
      <c r="F2661" s="8"/>
      <c r="G2661" s="8"/>
      <c r="H2661" s="8"/>
      <c r="I2661" s="8"/>
      <c r="J2661" s="8"/>
      <c r="K2661" s="8"/>
      <c r="L2661" s="8"/>
      <c r="M2661" s="8"/>
      <c r="N2661" s="8"/>
      <c r="O2661" s="8"/>
      <c r="P2661" s="8"/>
      <c r="Q2661" s="8"/>
      <c r="R2661" s="8"/>
      <c r="S2661" s="8"/>
      <c r="U2661" s="34"/>
      <c r="V2661" s="34"/>
      <c r="W2661" s="34"/>
      <c r="X2661" s="34"/>
      <c r="Y2661" s="34"/>
      <c r="Z2661" s="34"/>
      <c r="AA2661" s="34"/>
      <c r="AB2661" s="34"/>
      <c r="AC2661" s="34"/>
      <c r="AD2661" s="34"/>
      <c r="AE2661" s="34"/>
      <c r="AF2661" s="34"/>
      <c r="AG2661" s="34"/>
      <c r="AH2661" s="34"/>
      <c r="AI2661" s="34"/>
      <c r="AJ2661" s="34"/>
      <c r="AK2661" s="34"/>
      <c r="AL2661" s="34"/>
      <c r="AM2661" s="34"/>
      <c r="AN2661" s="34"/>
      <c r="AO2661" s="34"/>
      <c r="AP2661" s="34"/>
      <c r="AQ2661" s="34"/>
      <c r="AR2661" s="34"/>
      <c r="AS2661" s="34"/>
      <c r="AT2661" s="34"/>
      <c r="AU2661" s="34"/>
      <c r="AV2661" s="34"/>
      <c r="AW2661" s="34"/>
      <c r="AX2661" s="34"/>
      <c r="AY2661" s="34"/>
      <c r="AZ2661" s="34"/>
      <c r="BA2661" s="34"/>
      <c r="BB2661" s="34"/>
      <c r="BC2661" s="34"/>
      <c r="BD2661" s="34"/>
      <c r="BE2661" s="34"/>
      <c r="BF2661" s="34"/>
      <c r="BG2661" s="34"/>
      <c r="BH2661" s="34"/>
      <c r="BI2661" s="34"/>
      <c r="BJ2661" s="34"/>
      <c r="BK2661" s="34"/>
      <c r="BL2661" s="34"/>
      <c r="BM2661" s="34"/>
      <c r="BN2661" s="34"/>
      <c r="BO2661" s="34"/>
      <c r="BP2661" s="34"/>
      <c r="BQ2661" s="34"/>
      <c r="BR2661" s="34"/>
      <c r="BS2661" s="34"/>
      <c r="BT2661" s="34"/>
      <c r="BU2661" s="34"/>
      <c r="BV2661" s="34"/>
      <c r="BW2661" s="34"/>
      <c r="BX2661" s="34"/>
      <c r="BY2661" s="34"/>
      <c r="BZ2661" s="34"/>
      <c r="CA2661" s="34"/>
      <c r="CB2661" s="34"/>
      <c r="CC2661" s="34"/>
      <c r="CD2661" s="34"/>
      <c r="CE2661" s="34"/>
      <c r="CF2661" s="34"/>
      <c r="CG2661" s="34"/>
      <c r="CH2661" s="34"/>
    </row>
    <row r="2662" spans="1:86" x14ac:dyDescent="0.2">
      <c r="A2662" s="8" t="str">
        <f>IF(AND(COUNTIF(W$3:W$13,A$28)&gt;0,A$28&lt;&gt;B2578),A$28,IFERROR(IF(MATCH(A$28,Z$3:Z$13,0)=4,A$28," ")," "))</f>
        <v xml:space="preserve"> </v>
      </c>
      <c r="B2662" s="8" t="str">
        <f>IF(A2662=" "," ",MAX(B2649:B2661)+1)</f>
        <v xml:space="preserve"> </v>
      </c>
      <c r="C2662" s="8"/>
      <c r="D2662" s="8"/>
      <c r="E2662" s="8"/>
      <c r="F2662" s="8"/>
      <c r="G2662" s="8"/>
      <c r="H2662" s="8"/>
      <c r="I2662" s="8"/>
      <c r="J2662" s="8"/>
      <c r="K2662" s="8"/>
      <c r="L2662" s="8"/>
      <c r="M2662" s="8"/>
      <c r="N2662" s="8"/>
      <c r="O2662" s="8"/>
      <c r="P2662" s="8"/>
      <c r="Q2662" s="8"/>
      <c r="R2662" s="8"/>
      <c r="S2662" s="8"/>
      <c r="U2662" s="34"/>
      <c r="V2662" s="34"/>
      <c r="W2662" s="34"/>
      <c r="X2662" s="34"/>
      <c r="Y2662" s="34"/>
      <c r="Z2662" s="34"/>
      <c r="AA2662" s="34"/>
      <c r="AB2662" s="34"/>
      <c r="AC2662" s="34"/>
      <c r="AD2662" s="34"/>
      <c r="AE2662" s="34"/>
      <c r="AF2662" s="34"/>
      <c r="AG2662" s="34"/>
      <c r="AH2662" s="34"/>
      <c r="AI2662" s="34"/>
      <c r="AJ2662" s="34"/>
      <c r="AK2662" s="34"/>
      <c r="AL2662" s="34"/>
      <c r="AM2662" s="34"/>
      <c r="AN2662" s="34"/>
      <c r="AO2662" s="34"/>
      <c r="AP2662" s="34"/>
      <c r="AQ2662" s="34"/>
      <c r="AR2662" s="34"/>
      <c r="AS2662" s="34"/>
      <c r="AT2662" s="34"/>
      <c r="AU2662" s="34"/>
      <c r="AV2662" s="34"/>
      <c r="AW2662" s="34"/>
      <c r="AX2662" s="34"/>
      <c r="AY2662" s="34"/>
      <c r="AZ2662" s="34"/>
      <c r="BA2662" s="34"/>
      <c r="BB2662" s="34"/>
      <c r="BC2662" s="34"/>
      <c r="BD2662" s="34"/>
      <c r="BE2662" s="34"/>
      <c r="BF2662" s="34"/>
      <c r="BG2662" s="34"/>
      <c r="BH2662" s="34"/>
      <c r="BI2662" s="34"/>
      <c r="BJ2662" s="34"/>
      <c r="BK2662" s="34"/>
      <c r="BL2662" s="34"/>
      <c r="BM2662" s="34"/>
      <c r="BN2662" s="34"/>
      <c r="BO2662" s="34"/>
      <c r="BP2662" s="34"/>
      <c r="BQ2662" s="34"/>
      <c r="BR2662" s="34"/>
      <c r="BS2662" s="34"/>
      <c r="BT2662" s="34"/>
      <c r="BU2662" s="34"/>
      <c r="BV2662" s="34"/>
      <c r="BW2662" s="34"/>
      <c r="BX2662" s="34"/>
      <c r="BY2662" s="34"/>
      <c r="BZ2662" s="34"/>
      <c r="CA2662" s="34"/>
      <c r="CB2662" s="34"/>
      <c r="CC2662" s="34"/>
      <c r="CD2662" s="34"/>
      <c r="CE2662" s="34"/>
      <c r="CF2662" s="34"/>
      <c r="CG2662" s="34"/>
      <c r="CH2662" s="34"/>
    </row>
    <row r="2663" spans="1:86" x14ac:dyDescent="0.2">
      <c r="A2663" s="8" t="str">
        <f>IF(AND(COUNTIF(W$3:W$13,A$29)&gt;0,A$29&lt;&gt;B2578),A$29,IFERROR(IF(MATCH(A$29,Z$3:Z$13,0)=4,A$29," ")," "))</f>
        <v>C15</v>
      </c>
      <c r="B2663" s="8">
        <f>IF(A2663=" "," ",MAX(B2649:B2662)+1)</f>
        <v>5</v>
      </c>
      <c r="C2663" s="8"/>
      <c r="D2663" s="8"/>
      <c r="E2663" s="8"/>
      <c r="F2663" s="8"/>
      <c r="G2663" s="8"/>
      <c r="H2663" s="8"/>
      <c r="I2663" s="8"/>
      <c r="J2663" s="8"/>
      <c r="K2663" s="8"/>
      <c r="L2663" s="8"/>
      <c r="M2663" s="8"/>
      <c r="N2663" s="8"/>
      <c r="O2663" s="8"/>
      <c r="P2663" s="8"/>
      <c r="Q2663" s="8"/>
      <c r="R2663" s="8"/>
      <c r="S2663" s="8"/>
      <c r="U2663" s="34"/>
      <c r="V2663" s="34"/>
      <c r="W2663" s="34"/>
      <c r="X2663" s="34"/>
      <c r="Y2663" s="34"/>
      <c r="Z2663" s="34"/>
      <c r="AA2663" s="34"/>
      <c r="AB2663" s="34"/>
      <c r="AC2663" s="34"/>
      <c r="AD2663" s="34"/>
      <c r="AE2663" s="34"/>
      <c r="AF2663" s="34"/>
      <c r="AG2663" s="34"/>
      <c r="AH2663" s="34"/>
      <c r="AI2663" s="34"/>
      <c r="AJ2663" s="34"/>
      <c r="AK2663" s="34"/>
      <c r="AL2663" s="34"/>
      <c r="AM2663" s="34"/>
      <c r="AN2663" s="34"/>
      <c r="AO2663" s="34"/>
      <c r="AP2663" s="34"/>
      <c r="AQ2663" s="34"/>
      <c r="AR2663" s="34"/>
      <c r="AS2663" s="34"/>
      <c r="AT2663" s="34"/>
      <c r="AU2663" s="34"/>
      <c r="AV2663" s="34"/>
      <c r="AW2663" s="34"/>
      <c r="AX2663" s="34"/>
      <c r="AY2663" s="34"/>
      <c r="AZ2663" s="34"/>
      <c r="BA2663" s="34"/>
      <c r="BB2663" s="34"/>
      <c r="BC2663" s="34"/>
      <c r="BD2663" s="34"/>
      <c r="BE2663" s="34"/>
      <c r="BF2663" s="34"/>
      <c r="BG2663" s="34"/>
      <c r="BH2663" s="34"/>
      <c r="BI2663" s="34"/>
      <c r="BJ2663" s="34"/>
      <c r="BK2663" s="34"/>
      <c r="BL2663" s="34"/>
      <c r="BM2663" s="34"/>
      <c r="BN2663" s="34"/>
      <c r="BO2663" s="34"/>
      <c r="BP2663" s="34"/>
      <c r="BQ2663" s="34"/>
      <c r="BR2663" s="34"/>
      <c r="BS2663" s="34"/>
      <c r="BT2663" s="34"/>
      <c r="BU2663" s="34"/>
      <c r="BV2663" s="34"/>
      <c r="BW2663" s="34"/>
      <c r="BX2663" s="34"/>
      <c r="BY2663" s="34"/>
      <c r="BZ2663" s="34"/>
      <c r="CA2663" s="34"/>
      <c r="CB2663" s="34"/>
      <c r="CC2663" s="34"/>
      <c r="CD2663" s="34"/>
      <c r="CE2663" s="34"/>
      <c r="CF2663" s="34"/>
      <c r="CG2663" s="34"/>
      <c r="CH2663" s="34"/>
    </row>
    <row r="2664" spans="1:86" x14ac:dyDescent="0.2">
      <c r="A2664" s="8" t="str">
        <f>IF(AND(COUNTIF(W$3:W$13,A$30)&gt;0,A$30&lt;&gt;B2578),A$30,IFERROR(IF(MATCH(A$30,Z$3:Z$13,0)=4,A$30," ")," "))</f>
        <v>C16</v>
      </c>
      <c r="B2664" s="8">
        <f>IF(A2664=" "," ",MAX(B2649:B2663)+1)</f>
        <v>6</v>
      </c>
      <c r="C2664" s="8"/>
      <c r="D2664" s="8"/>
      <c r="E2664" s="8"/>
      <c r="F2664" s="8"/>
      <c r="G2664" s="8"/>
      <c r="H2664" s="8"/>
      <c r="I2664" s="8"/>
      <c r="J2664" s="8"/>
      <c r="K2664" s="8"/>
      <c r="L2664" s="8"/>
      <c r="M2664" s="8"/>
      <c r="N2664" s="8"/>
      <c r="O2664" s="8"/>
      <c r="P2664" s="8"/>
      <c r="Q2664" s="8"/>
      <c r="R2664" s="8"/>
      <c r="S2664" s="8"/>
      <c r="U2664" s="34"/>
      <c r="V2664" s="34"/>
      <c r="W2664" s="34"/>
      <c r="X2664" s="34"/>
      <c r="Y2664" s="34"/>
      <c r="Z2664" s="34"/>
      <c r="AA2664" s="34"/>
      <c r="AB2664" s="34"/>
      <c r="AC2664" s="34"/>
      <c r="AD2664" s="34"/>
      <c r="AE2664" s="34"/>
      <c r="AF2664" s="34"/>
      <c r="AG2664" s="34"/>
      <c r="AH2664" s="34"/>
      <c r="AI2664" s="34"/>
      <c r="AJ2664" s="34"/>
      <c r="AK2664" s="34"/>
      <c r="AL2664" s="34"/>
      <c r="AM2664" s="34"/>
      <c r="AN2664" s="34"/>
      <c r="AO2664" s="34"/>
      <c r="AP2664" s="34"/>
      <c r="AQ2664" s="34"/>
      <c r="AR2664" s="34"/>
      <c r="AS2664" s="34"/>
      <c r="AT2664" s="34"/>
      <c r="AU2664" s="34"/>
      <c r="AV2664" s="34"/>
      <c r="AW2664" s="34"/>
      <c r="AX2664" s="34"/>
      <c r="AY2664" s="34"/>
      <c r="AZ2664" s="34"/>
      <c r="BA2664" s="34"/>
      <c r="BB2664" s="34"/>
      <c r="BC2664" s="34"/>
      <c r="BD2664" s="34"/>
      <c r="BE2664" s="34"/>
      <c r="BF2664" s="34"/>
      <c r="BG2664" s="34"/>
      <c r="BH2664" s="34"/>
      <c r="BI2664" s="34"/>
      <c r="BJ2664" s="34"/>
      <c r="BK2664" s="34"/>
      <c r="BL2664" s="34"/>
      <c r="BM2664" s="34"/>
      <c r="BN2664" s="34"/>
      <c r="BO2664" s="34"/>
      <c r="BP2664" s="34"/>
      <c r="BQ2664" s="34"/>
      <c r="BR2664" s="34"/>
      <c r="BS2664" s="34"/>
      <c r="BT2664" s="34"/>
      <c r="BU2664" s="34"/>
      <c r="BV2664" s="34"/>
      <c r="BW2664" s="34"/>
      <c r="BX2664" s="34"/>
      <c r="BY2664" s="34"/>
      <c r="BZ2664" s="34"/>
      <c r="CA2664" s="34"/>
      <c r="CB2664" s="34"/>
      <c r="CC2664" s="34"/>
      <c r="CD2664" s="34"/>
      <c r="CE2664" s="34"/>
      <c r="CF2664" s="34"/>
      <c r="CG2664" s="34"/>
      <c r="CH2664" s="34"/>
    </row>
    <row r="2665" spans="1:86" x14ac:dyDescent="0.2">
      <c r="A2665" s="8" t="str">
        <f>IF(AND(COUNTIF(W$3:W$13,A$31)&gt;0,A$31&lt;&gt;B2578),A$31,IFERROR(IF(MATCH(A$31,Z$3:Z$13,0)=4,A$31," ")," "))</f>
        <v>C17</v>
      </c>
      <c r="B2665" s="8">
        <f>IF(A2665=" "," ",MAX(B2649:B2664)+1)</f>
        <v>7</v>
      </c>
      <c r="C2665" s="8"/>
      <c r="D2665" s="8"/>
      <c r="E2665" s="8"/>
      <c r="F2665" s="8"/>
      <c r="G2665" s="8"/>
      <c r="H2665" s="8"/>
      <c r="I2665" s="8"/>
      <c r="J2665" s="8"/>
      <c r="K2665" s="8"/>
      <c r="L2665" s="8"/>
      <c r="M2665" s="8"/>
      <c r="N2665" s="8"/>
      <c r="O2665" s="8"/>
      <c r="P2665" s="8"/>
      <c r="Q2665" s="8"/>
      <c r="R2665" s="8"/>
      <c r="S2665" s="8"/>
      <c r="U2665" s="34"/>
      <c r="V2665" s="34"/>
      <c r="W2665" s="34"/>
      <c r="X2665" s="34"/>
      <c r="Y2665" s="34"/>
      <c r="Z2665" s="34"/>
      <c r="AA2665" s="34"/>
      <c r="AB2665" s="34"/>
      <c r="AC2665" s="34"/>
      <c r="AD2665" s="34"/>
      <c r="AE2665" s="34"/>
      <c r="AF2665" s="34"/>
      <c r="AG2665" s="34"/>
      <c r="AH2665" s="34"/>
      <c r="AI2665" s="34"/>
      <c r="AJ2665" s="34"/>
      <c r="AK2665" s="34"/>
      <c r="AL2665" s="34"/>
      <c r="AM2665" s="34"/>
      <c r="AN2665" s="34"/>
      <c r="AO2665" s="34"/>
      <c r="AP2665" s="34"/>
      <c r="AQ2665" s="34"/>
      <c r="AR2665" s="34"/>
      <c r="AS2665" s="34"/>
      <c r="AT2665" s="34"/>
      <c r="AU2665" s="34"/>
      <c r="AV2665" s="34"/>
      <c r="AW2665" s="34"/>
      <c r="AX2665" s="34"/>
      <c r="AY2665" s="34"/>
      <c r="AZ2665" s="34"/>
      <c r="BA2665" s="34"/>
      <c r="BB2665" s="34"/>
      <c r="BC2665" s="34"/>
      <c r="BD2665" s="34"/>
      <c r="BE2665" s="34"/>
      <c r="BF2665" s="34"/>
      <c r="BG2665" s="34"/>
      <c r="BH2665" s="34"/>
      <c r="BI2665" s="34"/>
      <c r="BJ2665" s="34"/>
      <c r="BK2665" s="34"/>
      <c r="BL2665" s="34"/>
      <c r="BM2665" s="34"/>
      <c r="BN2665" s="34"/>
      <c r="BO2665" s="34"/>
      <c r="BP2665" s="34"/>
      <c r="BQ2665" s="34"/>
      <c r="BR2665" s="34"/>
      <c r="BS2665" s="34"/>
      <c r="BT2665" s="34"/>
      <c r="BU2665" s="34"/>
      <c r="BV2665" s="34"/>
      <c r="BW2665" s="34"/>
      <c r="BX2665" s="34"/>
      <c r="BY2665" s="34"/>
      <c r="BZ2665" s="34"/>
      <c r="CA2665" s="34"/>
      <c r="CB2665" s="34"/>
      <c r="CC2665" s="34"/>
      <c r="CD2665" s="34"/>
      <c r="CE2665" s="34"/>
      <c r="CF2665" s="34"/>
      <c r="CG2665" s="34"/>
      <c r="CH2665" s="34"/>
    </row>
    <row r="2666" spans="1:86" x14ac:dyDescent="0.2">
      <c r="A2666" s="8" t="str">
        <f>IF(AND(COUNTIF(W$3:W$13,A$32)&gt;0,A$32&lt;&gt;B2578),A$32,IFERROR(IF(MATCH(A$32,Z$3:Z$13,0)=4,A$32," ")," "))</f>
        <v>C18</v>
      </c>
      <c r="B2666" s="8">
        <f>IF(A2666=" "," ",MAX(B2649:B2665)+1)</f>
        <v>8</v>
      </c>
      <c r="C2666" s="8"/>
      <c r="D2666" s="8"/>
      <c r="E2666" s="8"/>
      <c r="F2666" s="8"/>
      <c r="G2666" s="8"/>
      <c r="H2666" s="8"/>
      <c r="I2666" s="8"/>
      <c r="J2666" s="8"/>
      <c r="K2666" s="8"/>
      <c r="L2666" s="8"/>
      <c r="M2666" s="8"/>
      <c r="N2666" s="8"/>
      <c r="O2666" s="8"/>
      <c r="P2666" s="8"/>
      <c r="Q2666" s="8"/>
      <c r="R2666" s="8"/>
      <c r="S2666" s="8"/>
      <c r="U2666" s="34"/>
      <c r="V2666" s="34"/>
      <c r="W2666" s="34"/>
      <c r="X2666" s="34"/>
      <c r="Y2666" s="34"/>
      <c r="Z2666" s="34"/>
      <c r="AA2666" s="34"/>
      <c r="AB2666" s="34"/>
      <c r="AC2666" s="34"/>
      <c r="AD2666" s="34"/>
      <c r="AE2666" s="34"/>
      <c r="AF2666" s="34"/>
      <c r="AG2666" s="34"/>
      <c r="AH2666" s="34"/>
      <c r="AI2666" s="34"/>
      <c r="AJ2666" s="34"/>
      <c r="AK2666" s="34"/>
      <c r="AL2666" s="34"/>
      <c r="AM2666" s="34"/>
      <c r="AN2666" s="34"/>
      <c r="AO2666" s="34"/>
      <c r="AP2666" s="34"/>
      <c r="AQ2666" s="34"/>
      <c r="AR2666" s="34"/>
      <c r="AS2666" s="34"/>
      <c r="AT2666" s="34"/>
      <c r="AU2666" s="34"/>
      <c r="AV2666" s="34"/>
      <c r="AW2666" s="34"/>
      <c r="AX2666" s="34"/>
      <c r="AY2666" s="34"/>
      <c r="AZ2666" s="34"/>
      <c r="BA2666" s="34"/>
      <c r="BB2666" s="34"/>
      <c r="BC2666" s="34"/>
      <c r="BD2666" s="34"/>
      <c r="BE2666" s="34"/>
      <c r="BF2666" s="34"/>
      <c r="BG2666" s="34"/>
      <c r="BH2666" s="34"/>
      <c r="BI2666" s="34"/>
      <c r="BJ2666" s="34"/>
      <c r="BK2666" s="34"/>
      <c r="BL2666" s="34"/>
      <c r="BM2666" s="34"/>
      <c r="BN2666" s="34"/>
      <c r="BO2666" s="34"/>
      <c r="BP2666" s="34"/>
      <c r="BQ2666" s="34"/>
      <c r="BR2666" s="34"/>
      <c r="BS2666" s="34"/>
      <c r="BT2666" s="34"/>
      <c r="BU2666" s="34"/>
      <c r="BV2666" s="34"/>
      <c r="BW2666" s="34"/>
      <c r="BX2666" s="34"/>
      <c r="BY2666" s="34"/>
      <c r="BZ2666" s="34"/>
      <c r="CA2666" s="34"/>
      <c r="CB2666" s="34"/>
      <c r="CC2666" s="34"/>
      <c r="CD2666" s="34"/>
      <c r="CE2666" s="34"/>
      <c r="CF2666" s="34"/>
      <c r="CG2666" s="34"/>
      <c r="CH2666" s="34"/>
    </row>
    <row r="2667" spans="1:86" x14ac:dyDescent="0.2">
      <c r="A2667" s="8" t="str">
        <f>IF(AND(COUNTIF(W$3:W$13,A$33)&gt;0,A$33&lt;&gt;B2578),A$33,IFERROR(IF(MATCH(A$33,Z$3:Z$13,0)=4,A$33," ")," "))</f>
        <v>C19</v>
      </c>
      <c r="B2667" s="8">
        <f>IF(A2667=" "," ",MAX(B2649:B2666)+1)</f>
        <v>9</v>
      </c>
      <c r="C2667" s="8"/>
      <c r="D2667" s="8"/>
      <c r="E2667" s="8"/>
      <c r="F2667" s="8"/>
      <c r="G2667" s="8"/>
      <c r="H2667" s="8"/>
      <c r="I2667" s="8"/>
      <c r="J2667" s="8"/>
      <c r="K2667" s="8"/>
      <c r="L2667" s="8"/>
      <c r="M2667" s="8"/>
      <c r="N2667" s="8"/>
      <c r="O2667" s="8"/>
      <c r="P2667" s="8"/>
      <c r="Q2667" s="8"/>
      <c r="R2667" s="8"/>
      <c r="S2667" s="8"/>
      <c r="U2667" s="34"/>
      <c r="V2667" s="34"/>
      <c r="W2667" s="34"/>
      <c r="X2667" s="34"/>
      <c r="Y2667" s="34"/>
      <c r="Z2667" s="34"/>
      <c r="AA2667" s="34"/>
      <c r="AB2667" s="34"/>
      <c r="AC2667" s="34"/>
      <c r="AD2667" s="34"/>
      <c r="AE2667" s="34"/>
      <c r="AF2667" s="34"/>
      <c r="AG2667" s="34"/>
      <c r="AH2667" s="34"/>
      <c r="AI2667" s="34"/>
      <c r="AJ2667" s="34"/>
      <c r="AK2667" s="34"/>
      <c r="AL2667" s="34"/>
      <c r="AM2667" s="34"/>
      <c r="AN2667" s="34"/>
      <c r="AO2667" s="34"/>
      <c r="AP2667" s="34"/>
      <c r="AQ2667" s="34"/>
      <c r="AR2667" s="34"/>
      <c r="AS2667" s="34"/>
      <c r="AT2667" s="34"/>
      <c r="AU2667" s="34"/>
      <c r="AV2667" s="34"/>
      <c r="AW2667" s="34"/>
      <c r="AX2667" s="34"/>
      <c r="AY2667" s="34"/>
      <c r="AZ2667" s="34"/>
      <c r="BA2667" s="34"/>
      <c r="BB2667" s="34"/>
      <c r="BC2667" s="34"/>
      <c r="BD2667" s="34"/>
      <c r="BE2667" s="34"/>
      <c r="BF2667" s="34"/>
      <c r="BG2667" s="34"/>
      <c r="BH2667" s="34"/>
      <c r="BI2667" s="34"/>
      <c r="BJ2667" s="34"/>
      <c r="BK2667" s="34"/>
      <c r="BL2667" s="34"/>
      <c r="BM2667" s="34"/>
      <c r="BN2667" s="34"/>
      <c r="BO2667" s="34"/>
      <c r="BP2667" s="34"/>
      <c r="BQ2667" s="34"/>
      <c r="BR2667" s="34"/>
      <c r="BS2667" s="34"/>
      <c r="BT2667" s="34"/>
      <c r="BU2667" s="34"/>
      <c r="BV2667" s="34"/>
      <c r="BW2667" s="34"/>
      <c r="BX2667" s="34"/>
      <c r="BY2667" s="34"/>
      <c r="BZ2667" s="34"/>
      <c r="CA2667" s="34"/>
      <c r="CB2667" s="34"/>
      <c r="CC2667" s="34"/>
      <c r="CD2667" s="34"/>
      <c r="CE2667" s="34"/>
      <c r="CF2667" s="34"/>
      <c r="CG2667" s="34"/>
      <c r="CH2667" s="34"/>
    </row>
    <row r="2668" spans="1:86" x14ac:dyDescent="0.2">
      <c r="A2668" s="8" t="str">
        <f>IF(AND(COUNTIF(W$3:W$13,A$34)&gt;0,A$34&lt;&gt;B2578),A$34,IFERROR(IF(MATCH(A$34,Z$3:Z$13,0)=4,A$34," ")," "))</f>
        <v>C20</v>
      </c>
      <c r="B2668" s="8">
        <f>IF(A2668=" "," ",MAX(B2649:B2667)+1)</f>
        <v>10</v>
      </c>
      <c r="C2668" s="8"/>
      <c r="D2668" s="8"/>
      <c r="E2668" s="8"/>
      <c r="F2668" s="8"/>
      <c r="G2668" s="8"/>
      <c r="H2668" s="8"/>
      <c r="I2668" s="8"/>
      <c r="J2668" s="8"/>
      <c r="K2668" s="8"/>
      <c r="L2668" s="8"/>
      <c r="M2668" s="8"/>
      <c r="N2668" s="8"/>
      <c r="O2668" s="8"/>
      <c r="P2668" s="8"/>
      <c r="Q2668" s="8"/>
      <c r="R2668" s="8"/>
      <c r="S2668" s="8"/>
      <c r="U2668" s="34"/>
      <c r="V2668" s="34"/>
      <c r="W2668" s="34"/>
      <c r="X2668" s="34"/>
      <c r="Y2668" s="34"/>
      <c r="Z2668" s="34"/>
      <c r="AA2668" s="34"/>
      <c r="AB2668" s="34"/>
      <c r="AC2668" s="34"/>
      <c r="AD2668" s="34"/>
      <c r="AE2668" s="34"/>
      <c r="AF2668" s="34"/>
      <c r="AG2668" s="34"/>
      <c r="AH2668" s="34"/>
      <c r="AI2668" s="34"/>
      <c r="AJ2668" s="34"/>
      <c r="AK2668" s="34"/>
      <c r="AL2668" s="34"/>
      <c r="AM2668" s="34"/>
      <c r="AN2668" s="34"/>
      <c r="AO2668" s="34"/>
      <c r="AP2668" s="34"/>
      <c r="AQ2668" s="34"/>
      <c r="AR2668" s="34"/>
      <c r="AS2668" s="34"/>
      <c r="AT2668" s="34"/>
      <c r="AU2668" s="34"/>
      <c r="AV2668" s="34"/>
      <c r="AW2668" s="34"/>
      <c r="AX2668" s="34"/>
      <c r="AY2668" s="34"/>
      <c r="AZ2668" s="34"/>
      <c r="BA2668" s="34"/>
      <c r="BB2668" s="34"/>
      <c r="BC2668" s="34"/>
      <c r="BD2668" s="34"/>
      <c r="BE2668" s="34"/>
      <c r="BF2668" s="34"/>
      <c r="BG2668" s="34"/>
      <c r="BH2668" s="34"/>
      <c r="BI2668" s="34"/>
      <c r="BJ2668" s="34"/>
      <c r="BK2668" s="34"/>
      <c r="BL2668" s="34"/>
      <c r="BM2668" s="34"/>
      <c r="BN2668" s="34"/>
      <c r="BO2668" s="34"/>
      <c r="BP2668" s="34"/>
      <c r="BQ2668" s="34"/>
      <c r="BR2668" s="34"/>
      <c r="BS2668" s="34"/>
      <c r="BT2668" s="34"/>
      <c r="BU2668" s="34"/>
      <c r="BV2668" s="34"/>
      <c r="BW2668" s="34"/>
      <c r="BX2668" s="34"/>
      <c r="BY2668" s="34"/>
      <c r="BZ2668" s="34"/>
      <c r="CA2668" s="34"/>
      <c r="CB2668" s="34"/>
      <c r="CC2668" s="34"/>
      <c r="CD2668" s="34"/>
      <c r="CE2668" s="34"/>
      <c r="CF2668" s="34"/>
      <c r="CG2668" s="34"/>
      <c r="CH2668" s="34"/>
    </row>
    <row r="2669" spans="1:86" x14ac:dyDescent="0.2">
      <c r="A2669" s="8" t="str">
        <f>IF(AND(COUNTIF(W$3:W$13,A$35)&gt;0,A$35&lt;&gt;B2578),A$35,IFERROR(IF(MATCH(A$35,Z$3:Z$13,0)=4,A$35," ")," "))</f>
        <v>C21</v>
      </c>
      <c r="B2669" s="8">
        <f>IF(A2669=" "," ",MAX(B2649:B2668)+1)</f>
        <v>11</v>
      </c>
      <c r="C2669" s="8"/>
      <c r="D2669" s="8"/>
      <c r="E2669" s="8"/>
      <c r="F2669" s="8"/>
      <c r="G2669" s="8"/>
      <c r="H2669" s="8"/>
      <c r="I2669" s="8"/>
      <c r="J2669" s="8"/>
      <c r="K2669" s="8"/>
      <c r="L2669" s="8"/>
      <c r="M2669" s="8"/>
      <c r="N2669" s="8"/>
      <c r="O2669" s="8"/>
      <c r="P2669" s="8"/>
      <c r="Q2669" s="8"/>
      <c r="R2669" s="8"/>
      <c r="S2669" s="8"/>
      <c r="U2669" s="34"/>
      <c r="V2669" s="34"/>
      <c r="W2669" s="34"/>
      <c r="X2669" s="34"/>
      <c r="Y2669" s="34"/>
      <c r="Z2669" s="34"/>
      <c r="AA2669" s="34"/>
      <c r="AB2669" s="34"/>
      <c r="AC2669" s="34"/>
      <c r="AD2669" s="34"/>
      <c r="AE2669" s="34"/>
      <c r="AF2669" s="34"/>
      <c r="AG2669" s="34"/>
      <c r="AH2669" s="34"/>
      <c r="AI2669" s="34"/>
      <c r="AJ2669" s="34"/>
      <c r="AK2669" s="34"/>
      <c r="AL2669" s="34"/>
      <c r="AM2669" s="34"/>
      <c r="AN2669" s="34"/>
      <c r="AO2669" s="34"/>
      <c r="AP2669" s="34"/>
      <c r="AQ2669" s="34"/>
      <c r="AR2669" s="34"/>
      <c r="AS2669" s="34"/>
      <c r="AT2669" s="34"/>
      <c r="AU2669" s="34"/>
      <c r="AV2669" s="34"/>
      <c r="AW2669" s="34"/>
      <c r="AX2669" s="34"/>
      <c r="AY2669" s="34"/>
      <c r="AZ2669" s="34"/>
      <c r="BA2669" s="34"/>
      <c r="BB2669" s="34"/>
      <c r="BC2669" s="34"/>
      <c r="BD2669" s="34"/>
      <c r="BE2669" s="34"/>
      <c r="BF2669" s="34"/>
      <c r="BG2669" s="34"/>
      <c r="BH2669" s="34"/>
      <c r="BI2669" s="34"/>
      <c r="BJ2669" s="34"/>
      <c r="BK2669" s="34"/>
      <c r="BL2669" s="34"/>
      <c r="BM2669" s="34"/>
      <c r="BN2669" s="34"/>
      <c r="BO2669" s="34"/>
      <c r="BP2669" s="34"/>
      <c r="BQ2669" s="34"/>
      <c r="BR2669" s="34"/>
      <c r="BS2669" s="34"/>
      <c r="BT2669" s="34"/>
      <c r="BU2669" s="34"/>
      <c r="BV2669" s="34"/>
      <c r="BW2669" s="34"/>
      <c r="BX2669" s="34"/>
      <c r="BY2669" s="34"/>
      <c r="BZ2669" s="34"/>
      <c r="CA2669" s="34"/>
      <c r="CB2669" s="34"/>
      <c r="CC2669" s="34"/>
      <c r="CD2669" s="34"/>
      <c r="CE2669" s="34"/>
      <c r="CF2669" s="34"/>
      <c r="CG2669" s="34"/>
      <c r="CH2669" s="34"/>
    </row>
    <row r="2670" spans="1:86" x14ac:dyDescent="0.2">
      <c r="A2670" s="8" t="str">
        <f>IF(AND(COUNTIF(W$3:W$13,A$36)&gt;0,A$36&lt;&gt;B2578),A$36,IFERROR(IF(MATCH(A$36,Z$3:Z$13,0)=4,A$36," ")," "))</f>
        <v xml:space="preserve"> </v>
      </c>
      <c r="B2670" s="8" t="str">
        <f>IF(A2670=" "," ",MAX(B2649:B2669)+1)</f>
        <v xml:space="preserve"> </v>
      </c>
      <c r="C2670" s="8"/>
      <c r="D2670" s="8"/>
      <c r="E2670" s="8"/>
      <c r="F2670" s="8"/>
      <c r="G2670" s="8"/>
      <c r="H2670" s="8"/>
      <c r="I2670" s="8"/>
      <c r="J2670" s="8"/>
      <c r="K2670" s="8"/>
      <c r="L2670" s="8"/>
      <c r="M2670" s="8"/>
      <c r="N2670" s="8"/>
      <c r="O2670" s="8"/>
      <c r="P2670" s="8"/>
      <c r="Q2670" s="8"/>
      <c r="R2670" s="8"/>
      <c r="S2670" s="8"/>
      <c r="U2670" s="34"/>
      <c r="V2670" s="34"/>
      <c r="W2670" s="34"/>
      <c r="X2670" s="34"/>
      <c r="Y2670" s="34"/>
      <c r="Z2670" s="34"/>
      <c r="AA2670" s="34"/>
      <c r="AB2670" s="34"/>
      <c r="AC2670" s="34"/>
      <c r="AD2670" s="34"/>
      <c r="AE2670" s="34"/>
      <c r="AF2670" s="34"/>
      <c r="AG2670" s="34"/>
      <c r="AH2670" s="34"/>
      <c r="AI2670" s="34"/>
      <c r="AJ2670" s="34"/>
      <c r="AK2670" s="34"/>
      <c r="AL2670" s="34"/>
      <c r="AM2670" s="34"/>
      <c r="AN2670" s="34"/>
      <c r="AO2670" s="34"/>
      <c r="AP2670" s="34"/>
      <c r="AQ2670" s="34"/>
      <c r="AR2670" s="34"/>
      <c r="AS2670" s="34"/>
      <c r="AT2670" s="34"/>
      <c r="AU2670" s="34"/>
      <c r="AV2670" s="34"/>
      <c r="AW2670" s="34"/>
      <c r="AX2670" s="34"/>
      <c r="AY2670" s="34"/>
      <c r="AZ2670" s="34"/>
      <c r="BA2670" s="34"/>
      <c r="BB2670" s="34"/>
      <c r="BC2670" s="34"/>
      <c r="BD2670" s="34"/>
      <c r="BE2670" s="34"/>
      <c r="BF2670" s="34"/>
      <c r="BG2670" s="34"/>
      <c r="BH2670" s="34"/>
      <c r="BI2670" s="34"/>
      <c r="BJ2670" s="34"/>
      <c r="BK2670" s="34"/>
      <c r="BL2670" s="34"/>
      <c r="BM2670" s="34"/>
      <c r="BN2670" s="34"/>
      <c r="BO2670" s="34"/>
      <c r="BP2670" s="34"/>
      <c r="BQ2670" s="34"/>
      <c r="BR2670" s="34"/>
      <c r="BS2670" s="34"/>
      <c r="BT2670" s="34"/>
      <c r="BU2670" s="34"/>
      <c r="BV2670" s="34"/>
      <c r="BW2670" s="34"/>
      <c r="BX2670" s="34"/>
      <c r="BY2670" s="34"/>
      <c r="BZ2670" s="34"/>
      <c r="CA2670" s="34"/>
      <c r="CB2670" s="34"/>
      <c r="CC2670" s="34"/>
      <c r="CD2670" s="34"/>
      <c r="CE2670" s="34"/>
      <c r="CF2670" s="34"/>
      <c r="CG2670" s="34"/>
      <c r="CH2670" s="34"/>
    </row>
    <row r="2671" spans="1:86" x14ac:dyDescent="0.2">
      <c r="A2671" s="11" t="s">
        <v>17</v>
      </c>
      <c r="B2671" s="11"/>
      <c r="C2671" s="27" t="s">
        <v>18</v>
      </c>
      <c r="D2671" s="27" t="s">
        <v>2</v>
      </c>
      <c r="E2671" s="27" t="s">
        <v>6</v>
      </c>
      <c r="F2671" s="27" t="s">
        <v>15</v>
      </c>
      <c r="G2671" s="27" t="s">
        <v>36</v>
      </c>
      <c r="H2671" s="27" t="s">
        <v>37</v>
      </c>
      <c r="I2671" s="27" t="s">
        <v>38</v>
      </c>
      <c r="J2671" s="27" t="s">
        <v>39</v>
      </c>
      <c r="K2671" s="27" t="s">
        <v>40</v>
      </c>
      <c r="L2671" s="27" t="s">
        <v>41</v>
      </c>
      <c r="M2671" s="27" t="s">
        <v>42</v>
      </c>
      <c r="N2671" s="27" t="s">
        <v>43</v>
      </c>
      <c r="O2671" s="27" t="s">
        <v>9</v>
      </c>
      <c r="P2671" s="27" t="s">
        <v>12</v>
      </c>
      <c r="Q2671" s="27" t="s">
        <v>19</v>
      </c>
      <c r="R2671" s="27" t="s">
        <v>55</v>
      </c>
      <c r="S2671" s="27" t="s">
        <v>26</v>
      </c>
      <c r="T2671" s="19" t="s">
        <v>25</v>
      </c>
      <c r="U2671" s="33" t="s">
        <v>27</v>
      </c>
      <c r="V2671" s="33" t="s">
        <v>9</v>
      </c>
      <c r="W2671" s="33" t="s">
        <v>23</v>
      </c>
      <c r="X2671" s="33" t="s">
        <v>12</v>
      </c>
      <c r="Y2671" s="33" t="s">
        <v>26</v>
      </c>
      <c r="Z2671" s="33" t="s">
        <v>25</v>
      </c>
      <c r="AA2671" s="33" t="s">
        <v>27</v>
      </c>
      <c r="AB2671" s="33" t="s">
        <v>9</v>
      </c>
      <c r="AC2671" s="33" t="s">
        <v>23</v>
      </c>
      <c r="AD2671" s="33" t="s">
        <v>12</v>
      </c>
      <c r="AE2671" s="33" t="s">
        <v>26</v>
      </c>
      <c r="AF2671" s="33" t="s">
        <v>25</v>
      </c>
      <c r="AG2671" s="33" t="s">
        <v>27</v>
      </c>
      <c r="AH2671" s="33" t="s">
        <v>9</v>
      </c>
      <c r="AI2671" s="33" t="s">
        <v>23</v>
      </c>
      <c r="AJ2671" s="33" t="s">
        <v>12</v>
      </c>
      <c r="AK2671" s="33" t="s">
        <v>26</v>
      </c>
      <c r="AL2671" s="33" t="s">
        <v>25</v>
      </c>
      <c r="AM2671" s="33" t="s">
        <v>27</v>
      </c>
      <c r="AN2671" s="33" t="s">
        <v>9</v>
      </c>
      <c r="AO2671" s="33" t="s">
        <v>23</v>
      </c>
      <c r="AP2671" s="33" t="s">
        <v>12</v>
      </c>
      <c r="AQ2671" s="33" t="s">
        <v>26</v>
      </c>
      <c r="AR2671" s="33" t="s">
        <v>25</v>
      </c>
      <c r="AS2671" s="33" t="s">
        <v>27</v>
      </c>
      <c r="AT2671" s="33" t="s">
        <v>9</v>
      </c>
      <c r="AU2671" s="33" t="s">
        <v>23</v>
      </c>
      <c r="AV2671" s="33" t="s">
        <v>12</v>
      </c>
      <c r="AW2671" s="33" t="s">
        <v>26</v>
      </c>
      <c r="AX2671" s="33" t="s">
        <v>25</v>
      </c>
      <c r="AY2671" s="33" t="s">
        <v>27</v>
      </c>
      <c r="AZ2671" s="33" t="s">
        <v>9</v>
      </c>
      <c r="BA2671" s="33" t="s">
        <v>23</v>
      </c>
      <c r="BB2671" s="33" t="s">
        <v>12</v>
      </c>
      <c r="BC2671" s="33" t="s">
        <v>26</v>
      </c>
      <c r="BD2671" s="33" t="s">
        <v>25</v>
      </c>
      <c r="BE2671" s="33" t="s">
        <v>27</v>
      </c>
      <c r="BF2671" s="33" t="s">
        <v>9</v>
      </c>
      <c r="BG2671" s="33" t="s">
        <v>23</v>
      </c>
      <c r="BH2671" s="33" t="s">
        <v>12</v>
      </c>
      <c r="BI2671" s="33" t="s">
        <v>26</v>
      </c>
      <c r="BJ2671" s="33" t="s">
        <v>25</v>
      </c>
      <c r="BK2671" s="33" t="s">
        <v>27</v>
      </c>
      <c r="BL2671" s="33" t="s">
        <v>9</v>
      </c>
      <c r="BM2671" s="33" t="s">
        <v>23</v>
      </c>
      <c r="BN2671" s="33" t="s">
        <v>12</v>
      </c>
      <c r="BO2671" s="33" t="s">
        <v>26</v>
      </c>
      <c r="BP2671" s="33" t="s">
        <v>25</v>
      </c>
      <c r="BQ2671" s="33" t="s">
        <v>27</v>
      </c>
      <c r="BR2671" s="33" t="s">
        <v>9</v>
      </c>
      <c r="BS2671" s="33" t="s">
        <v>23</v>
      </c>
      <c r="BT2671" s="33" t="s">
        <v>12</v>
      </c>
      <c r="BU2671" s="33" t="s">
        <v>26</v>
      </c>
      <c r="BV2671" s="33" t="s">
        <v>25</v>
      </c>
      <c r="BW2671" s="33" t="s">
        <v>27</v>
      </c>
      <c r="BX2671" s="33" t="s">
        <v>9</v>
      </c>
      <c r="BY2671" s="33" t="s">
        <v>23</v>
      </c>
      <c r="BZ2671" s="33" t="s">
        <v>12</v>
      </c>
      <c r="CA2671" s="33" t="s">
        <v>26</v>
      </c>
      <c r="CB2671" s="33" t="s">
        <v>25</v>
      </c>
      <c r="CC2671" s="33" t="s">
        <v>27</v>
      </c>
      <c r="CD2671" s="33" t="s">
        <v>9</v>
      </c>
      <c r="CE2671" s="33" t="s">
        <v>23</v>
      </c>
      <c r="CF2671" s="33" t="s">
        <v>12</v>
      </c>
      <c r="CG2671" s="33" t="s">
        <v>26</v>
      </c>
      <c r="CH2671" s="33" t="s">
        <v>25</v>
      </c>
    </row>
    <row r="2672" spans="1:86" x14ac:dyDescent="0.2">
      <c r="A2672" s="8" t="str">
        <f>IF(AND(COUNTIF(W$3:W$13,A$15)&gt;0,A$15&lt;&gt;B2578),A$15,IFERROR(IF(MATCH(A$15,Z$3:Z$13,0)=5,A$15," ")," "))</f>
        <v xml:space="preserve"> </v>
      </c>
      <c r="B2672" s="8" t="str">
        <f>IF(A2672=" "," ",1)</f>
        <v xml:space="preserve"> </v>
      </c>
      <c r="C2672" s="8" t="str">
        <f>IFERROR(INDEX(A2672:A2693,MATCH(SMALL(B2672:B2693,1),B2672:B2693,0),1)," ")</f>
        <v>C3</v>
      </c>
      <c r="D2672" s="8">
        <f>IFERROR(VLOOKUP($C2672,$A$15:$O$36,2,FALSE)," ")</f>
        <v>2</v>
      </c>
      <c r="E2672" s="8">
        <f>IFERROR(VLOOKUP($C2672,$A$15:$O$36,3,FALSE)," ")</f>
        <v>5</v>
      </c>
      <c r="F2672" s="8">
        <f>IFERROR(VLOOKUP($C2672,$A$15:$O$36,4,FALSE)," ")</f>
        <v>6</v>
      </c>
      <c r="G2672" s="8">
        <f>IFERROR(VLOOKUP($C2672,$A$15:$O$36,5,FALSE)," ")</f>
        <v>0</v>
      </c>
      <c r="H2672" s="8">
        <f>IFERROR(VLOOKUP($C2672,$A$15:$O$36,6,FALSE)," ")</f>
        <v>0</v>
      </c>
      <c r="I2672" s="8">
        <f>IFERROR(VLOOKUP($C2672,$A$15:$O$36,7,FALSE)," ")</f>
        <v>0</v>
      </c>
      <c r="J2672" s="8">
        <f>IFERROR(VLOOKUP($C2672,$A$15:$O$36,8,FALSE)," ")</f>
        <v>0</v>
      </c>
      <c r="K2672" s="8">
        <f>IFERROR(VLOOKUP($C2672,$A$15:$O$36,9,FALSE)," ")</f>
        <v>0</v>
      </c>
      <c r="L2672" s="8">
        <f>IFERROR(VLOOKUP($C2672,$A$15:$O$36,10,FALSE)," ")</f>
        <v>0</v>
      </c>
      <c r="M2672" s="8">
        <f>IFERROR(VLOOKUP($C2672,$A$15:$O$36,11,FALSE)," ")</f>
        <v>0</v>
      </c>
      <c r="N2672" s="8">
        <f>IFERROR(VLOOKUP($C2672,$A$15:$O$36,12,FALSE)," ")</f>
        <v>0</v>
      </c>
      <c r="O2672" s="8">
        <f>IFERROR(VLOOKUP($C2672,$A$15:$O$36,15,FALSE)," ")</f>
        <v>2000</v>
      </c>
      <c r="P2672" s="8" t="e">
        <f t="array" ref="P2672:P2682">MMULT(MINVERSE(D2672:N2682),O2672:O2682)</f>
        <v>#NUM!</v>
      </c>
      <c r="Q2672" s="8" t="e">
        <f t="shared" ref="Q2672" si="11651">IF(COUNTIF(P2672:P2682,"&lt;"&amp;-0.001)=0,IF(ABS(P2672)&lt;0.001,0,P2672)," ")</f>
        <v>#NUM!</v>
      </c>
      <c r="R2672" s="8" t="str">
        <f>IFERROR(VLOOKUP(B2578,A$15:L$36,2,FALSE)*Q2672+VLOOKUP(B2578,A$15:L$36,3,FALSE)*Q2673+VLOOKUP(B2578,A$15:L$36,4,FALSE)*Q2674+VLOOKUP(B2578,A$15:L$36,5,FALSE)*Q2675+VLOOKUP(B2578,A$15:L$36,6,FALSE)*Q2676+VLOOKUP(B2578,A$15:L$36,7,FALSE)*Q2677+VLOOKUP(B2578,A$15:L$36,8,FALSE)*Q2678+VLOOKUP(B2578,A$15:L$36,9,FALSE)*Q2679+VLOOKUP(B2578,A$15:L$36,10,FALSE)*Q2680+VLOOKUP(B2578,A$15:L$36,11,FALSE)*Q2681+VLOOKUP(B2578,A$15:L$36,12,FALSE)*Q2682," ")</f>
        <v xml:space="preserve"> </v>
      </c>
      <c r="S2672" s="8" t="str">
        <f>IFERROR(IF(R2672-VLOOKUP(B2578,A$15:O$36,15,FALSE)&lt;0,R2672-VLOOKUP(B2578,A$15:O$36,15,FALSE)," ")," ")</f>
        <v xml:space="preserve"> </v>
      </c>
      <c r="T2672" s="18" t="str">
        <f>IFERROR(IF(R2672-VLOOKUP(B2578,A$15:O$36,15,FALSE)&gt;0,R2672-VLOOKUP(B2578,A$15:O$36,15,FALSE)," ")," ")</f>
        <v xml:space="preserve"> </v>
      </c>
      <c r="U2672" s="34">
        <f t="shared" ref="U2672" si="11652">$M$2</f>
        <v>100.00000000000001</v>
      </c>
      <c r="V2672" s="34">
        <v>-1</v>
      </c>
      <c r="W2672" s="34">
        <f t="shared" ref="W2672" si="11653">-SUMPRODUCT($M$3:$M$12,$N$3:$N$12)</f>
        <v>-105000</v>
      </c>
      <c r="X2672" s="34" t="e">
        <f t="shared" ref="X2672" si="11654">IF(U2672&lt;&gt;U2673,MMULT(MINVERSE(U2672:V2673),W2672:W2673)," ")</f>
        <v>#NUM!</v>
      </c>
      <c r="Y2672" s="34" t="str">
        <f t="shared" ref="Y2672" si="11655">IFERROR(IF(X2672-VLOOKUP(U$38,$A$2:$N$12,14,FALSE)&lt;0,X2672-VLOOKUP(U$38,$A$2:$N$12,14,FALSE)," ")," ")</f>
        <v xml:space="preserve"> </v>
      </c>
      <c r="Z2672" s="34" t="str">
        <f t="shared" ref="Z2672" si="11656">IFERROR(IF(X2672-VLOOKUP(U$38,$A$2:$N$12,14,FALSE)&gt;0,X2672-VLOOKUP(U$38,$A$2:$N$12,14,FALSE)," ")," ")</f>
        <v xml:space="preserve"> </v>
      </c>
      <c r="AA2672" s="34">
        <f t="shared" ref="AA2672" si="11657">$M$3</f>
        <v>0</v>
      </c>
      <c r="AB2672" s="34">
        <v>-1</v>
      </c>
      <c r="AC2672" s="34">
        <f t="shared" ref="AC2672" si="11658">-SUMPRODUCT($M$2:$M$2,$N$2:$N$2)-SUMPRODUCT($M$4:$M$12,$N$4:$N$12)</f>
        <v>-120000</v>
      </c>
      <c r="AD2672" s="34" t="e">
        <f t="shared" ref="AD2672" si="11659">IF(AA2672&lt;&gt;AA2673,MMULT(MINVERSE(AA2672:AB2673),AC2672:AC2673)," ")</f>
        <v>#NUM!</v>
      </c>
      <c r="AE2672" s="34" t="str">
        <f t="shared" ref="AE2672" si="11660">IFERROR(IF(AD2672-VLOOKUP(AA$38,$A$2:$N$12,14,FALSE)&lt;0,AD2672-VLOOKUP(AA$38,$A$2:$N$12,14,FALSE)," ")," ")</f>
        <v xml:space="preserve"> </v>
      </c>
      <c r="AF2672" s="34" t="str">
        <f t="shared" ref="AF2672" si="11661">IFERROR(IF(AD2672-VLOOKUP(AA$38,$A$2:$N$12,14,FALSE)&gt;0,AD2672-VLOOKUP(AA$38,$A$2:$N$12,14,FALSE)," ")," ")</f>
        <v xml:space="preserve"> </v>
      </c>
      <c r="AG2672" s="34">
        <f t="shared" ref="AG2672" si="11662">$M$4</f>
        <v>300</v>
      </c>
      <c r="AH2672" s="34">
        <v>-1</v>
      </c>
      <c r="AI2672" s="34">
        <f t="shared" ref="AI2672" si="11663">-SUMPRODUCT($M$2:$M$3,$N$2:$N$3)-SUMPRODUCT($M$5:$M$12,$N$5:$N$12)</f>
        <v>-15000.000000000002</v>
      </c>
      <c r="AJ2672" s="34" t="e">
        <f t="shared" ref="AJ2672" si="11664">IF(AG2672&lt;&gt;AG2673,MMULT(MINVERSE(AG2672:AH2673),AI2672:AI2673)," ")</f>
        <v>#NUM!</v>
      </c>
      <c r="AK2672" s="34" t="str">
        <f t="shared" ref="AK2672" si="11665">IFERROR(IF(AJ2672-VLOOKUP(AG$38,$A$2:$N$12,14,FALSE)&lt;0,AJ2672-VLOOKUP(AG$38,$A$2:$N$12,14,FALSE)," ")," ")</f>
        <v xml:space="preserve"> </v>
      </c>
      <c r="AL2672" s="34" t="str">
        <f t="shared" ref="AL2672" si="11666">IFERROR(IF(AJ2672-VLOOKUP(AG$38,$A$2:$N$12,14,FALSE)&gt;0,AJ2672-VLOOKUP(AG$38,$A$2:$N$12,14,FALSE)," ")," ")</f>
        <v xml:space="preserve"> </v>
      </c>
      <c r="AM2672" s="34">
        <f t="shared" ref="AM2672" si="11667">$M$5</f>
        <v>0</v>
      </c>
      <c r="AN2672" s="34">
        <v>-1</v>
      </c>
      <c r="AO2672" s="34">
        <f t="shared" ref="AO2672" si="11668">-SUMPRODUCT($M$2:$M$4,$N$2:$N$4)-SUMPRODUCT($M$6:$M$12,$N$6:$N$12)</f>
        <v>-120000</v>
      </c>
      <c r="AP2672" s="34" t="e">
        <f t="shared" ref="AP2672" si="11669">IF(AM2672&lt;&gt;AM2673,MMULT(MINVERSE(AM2672:AN2673),AO2672:AO2673)," ")</f>
        <v>#NUM!</v>
      </c>
      <c r="AQ2672" s="34" t="str">
        <f t="shared" ref="AQ2672" si="11670">IFERROR(IF(AP2672-VLOOKUP(AM$38,$A$2:$N$12,14,FALSE)&lt;0,AP2672-VLOOKUP(AM$38,$A$2:$N$12,14,FALSE)," ")," ")</f>
        <v xml:space="preserve"> </v>
      </c>
      <c r="AR2672" s="34" t="str">
        <f t="shared" ref="AR2672" si="11671">IFERROR(IF(AP2672-VLOOKUP(AM$38,$A$2:$N$12,14,FALSE)&gt;0,AP2672-VLOOKUP(AM$38,$A$2:$N$12,14,FALSE)," ")," ")</f>
        <v xml:space="preserve"> </v>
      </c>
      <c r="AS2672" s="34">
        <f t="shared" ref="AS2672" si="11672">$M$6</f>
        <v>0</v>
      </c>
      <c r="AT2672" s="34">
        <v>-1</v>
      </c>
      <c r="AU2672" s="34">
        <f t="shared" ref="AU2672" si="11673">-SUMPRODUCT($M$2:$M$5,$N$2:$N$5)-SUMPRODUCT($M$7:$M$12,$N$7:$N$12)</f>
        <v>-120000</v>
      </c>
      <c r="AV2672" s="34" t="e">
        <f t="shared" ref="AV2672" si="11674">IF(AS2672&lt;&gt;AS2673,MMULT(MINVERSE(AS2672:AT2673),AU2672:AU2673)," ")</f>
        <v>#NUM!</v>
      </c>
      <c r="AW2672" s="34" t="str">
        <f t="shared" ref="AW2672" si="11675">IFERROR(IF(AV2672-VLOOKUP(AS$38,$A$2:$N$12,14,FALSE)&lt;0,AV2672-VLOOKUP(AS$38,$A$2:$N$12,14,FALSE)," ")," ")</f>
        <v xml:space="preserve"> </v>
      </c>
      <c r="AX2672" s="34" t="str">
        <f t="shared" ref="AX2672" si="11676">IFERROR(IF(AV2672-VLOOKUP(AS$38,$A$2:$N$12,14,FALSE)&gt;0,AV2672-VLOOKUP(AS$38,$A$2:$N$12,14,FALSE)," ")," ")</f>
        <v xml:space="preserve"> </v>
      </c>
      <c r="AY2672" s="34">
        <f t="shared" ref="AY2672" si="11677">$M$7</f>
        <v>0</v>
      </c>
      <c r="AZ2672" s="34">
        <v>-1</v>
      </c>
      <c r="BA2672" s="34">
        <f t="shared" ref="BA2672" si="11678">-SUMPRODUCT($M$2:$M$6,$N$2:$N$6)-SUMPRODUCT($M$8:$M$12,$N$8:$N$12)</f>
        <v>-120000</v>
      </c>
      <c r="BB2672" s="34" t="e">
        <f t="shared" ref="BB2672" si="11679">IF(AY2672&lt;&gt;AY2673,MMULT(MINVERSE(AY2672:AZ2673),BA2672:BA2673)," ")</f>
        <v>#NUM!</v>
      </c>
      <c r="BC2672" s="34" t="str">
        <f t="shared" ref="BC2672" si="11680">IFERROR(IF(BB2672-VLOOKUP(AY$38,$A$2:$N$12,14,FALSE)&lt;0,BB2672-VLOOKUP(AY$38,$A$2:$N$12,14,FALSE)," ")," ")</f>
        <v xml:space="preserve"> </v>
      </c>
      <c r="BD2672" s="34" t="str">
        <f t="shared" ref="BD2672" si="11681">IFERROR(IF(BB2672-VLOOKUP(AY$38,$A$2:$N$12,14,FALSE)&gt;0,BB2672-VLOOKUP(AY$38,$A$2:$N$12,14,FALSE)," ")," ")</f>
        <v xml:space="preserve"> </v>
      </c>
      <c r="BE2672" s="34">
        <f t="shared" ref="BE2672" si="11682">$M$8</f>
        <v>0</v>
      </c>
      <c r="BF2672" s="34">
        <v>-1</v>
      </c>
      <c r="BG2672" s="34">
        <f t="shared" ref="BG2672" si="11683">-SUMPRODUCT($M$2:$M$7,$N$2:$N$7)-SUMPRODUCT($M$9:$M$12,$N$9:$N$12)</f>
        <v>-120000</v>
      </c>
      <c r="BH2672" s="34" t="e">
        <f t="shared" ref="BH2672" si="11684">IF(BE2672&lt;&gt;BE2673,MMULT(MINVERSE(BE2672:BF2673),BG2672:BG2673)," ")</f>
        <v>#NUM!</v>
      </c>
      <c r="BI2672" s="34" t="str">
        <f t="shared" ref="BI2672" si="11685">IFERROR(IF(BH2672-VLOOKUP(BE$38,$A$2:$N$12,14,FALSE)&lt;0,BH2672-VLOOKUP(BE$38,$A$2:$N$12,14,FALSE)," ")," ")</f>
        <v xml:space="preserve"> </v>
      </c>
      <c r="BJ2672" s="34" t="str">
        <f t="shared" ref="BJ2672" si="11686">IFERROR(IF(BH2672-VLOOKUP(BE$38,$A$2:$N$12,14,FALSE)&gt;0,BH2672-VLOOKUP(BE$38,$A$2:$N$12,14,FALSE)," ")," ")</f>
        <v xml:space="preserve"> </v>
      </c>
      <c r="BK2672" s="34">
        <f t="shared" ref="BK2672" si="11687">$M$9</f>
        <v>0</v>
      </c>
      <c r="BL2672" s="34">
        <v>-1</v>
      </c>
      <c r="BM2672" s="34">
        <f t="shared" ref="BM2672" si="11688">-SUMPRODUCT($M$2:$M$8,$N$2:$N$8)-SUMPRODUCT($M$10:$M$12,$N$10:$N$12)</f>
        <v>-120000</v>
      </c>
      <c r="BN2672" s="34" t="e">
        <f t="shared" ref="BN2672" si="11689">IF(BK2672&lt;&gt;BK2673,MMULT(MINVERSE(BK2672:BL2673),BM2672:BM2673)," ")</f>
        <v>#NUM!</v>
      </c>
      <c r="BO2672" s="34" t="str">
        <f t="shared" ref="BO2672" si="11690">IFERROR(IF(BN2672-VLOOKUP(BK$38,$A$2:$N$12,14,FALSE)&lt;0,BN2672-VLOOKUP(BK$38,$A$2:$N$12,14,FALSE)," ")," ")</f>
        <v xml:space="preserve"> </v>
      </c>
      <c r="BP2672" s="34" t="str">
        <f t="shared" ref="BP2672" si="11691">IFERROR(IF(BN2672-VLOOKUP(BK$38,$A$2:$N$12,14,FALSE)&gt;0,BN2672-VLOOKUP(BK$38,$A$2:$N$12,14,FALSE)," ")," ")</f>
        <v xml:space="preserve"> </v>
      </c>
      <c r="BQ2672" s="34">
        <f t="shared" ref="BQ2672" si="11692">$M$10</f>
        <v>0</v>
      </c>
      <c r="BR2672" s="34">
        <v>-1</v>
      </c>
      <c r="BS2672" s="34">
        <f t="shared" ref="BS2672" si="11693">-SUMPRODUCT($M$2:$M$9,$N$2:$N$9)-SUMPRODUCT($M$11:$M$12,$N$11:$N$12)</f>
        <v>-120000</v>
      </c>
      <c r="BT2672" s="34" t="e">
        <f t="shared" ref="BT2672" si="11694">IF(BQ2672&lt;&gt;BQ2673,MMULT(MINVERSE(BQ2672:BR2673),BS2672:BS2673)," ")</f>
        <v>#NUM!</v>
      </c>
      <c r="BU2672" s="34" t="str">
        <f t="shared" ref="BU2672" si="11695">IFERROR(IF(BT2672-VLOOKUP(BQ$38,$A$2:$N$12,14,FALSE)&lt;0,BT2672-VLOOKUP(BQ$38,$A$2:$N$12,14,FALSE)," ")," ")</f>
        <v xml:space="preserve"> </v>
      </c>
      <c r="BV2672" s="34" t="str">
        <f t="shared" ref="BV2672" si="11696">IFERROR(IF(BT2672-VLOOKUP(BQ$38,$A$2:$N$12,14,FALSE)&gt;0,BT2672-VLOOKUP(BQ$38,$A$2:$N$12,14,FALSE)," ")," ")</f>
        <v xml:space="preserve"> </v>
      </c>
      <c r="BW2672" s="34">
        <f t="shared" ref="BW2672" si="11697">$M$11</f>
        <v>0</v>
      </c>
      <c r="BX2672" s="34">
        <v>-1</v>
      </c>
      <c r="BY2672" s="34">
        <f t="shared" ref="BY2672" si="11698">-SUMPRODUCT($M$2:$M$10,$N$2:$N$10)-SUMPRODUCT($M$12,$N$12)</f>
        <v>-120000</v>
      </c>
      <c r="BZ2672" s="34" t="e">
        <f t="shared" ref="BZ2672" si="11699">IF(BW2672&lt;&gt;BW2673,MMULT(MINVERSE(BW2672:BX2673),BY2672:BY2673)," ")</f>
        <v>#NUM!</v>
      </c>
      <c r="CA2672" s="34" t="str">
        <f t="shared" ref="CA2672" si="11700">IFERROR(IF(BZ2672-VLOOKUP(BW$38,$A$2:$N$12,14,FALSE)&lt;0,BZ2672-VLOOKUP(BW$38,$A$2:$N$12,14,FALSE)," ")," ")</f>
        <v xml:space="preserve"> </v>
      </c>
      <c r="CB2672" s="34" t="str">
        <f t="shared" ref="CB2672" si="11701">IFERROR(IF(BZ2672-VLOOKUP(BW$38,$A$2:$N$12,14,FALSE)&gt;0,BZ2672-VLOOKUP(BW$38,$A$2:$N$12,14,FALSE)," ")," ")</f>
        <v xml:space="preserve"> </v>
      </c>
      <c r="CC2672" s="34">
        <f t="shared" ref="CC2672" si="11702">$M$12</f>
        <v>0</v>
      </c>
      <c r="CD2672" s="34">
        <v>-1</v>
      </c>
      <c r="CE2672" s="34">
        <f t="shared" ref="CE2672" si="11703">-SUMPRODUCT($M$2:$M$11,$N$2:$N$11)</f>
        <v>-120000</v>
      </c>
      <c r="CF2672" s="34" t="e">
        <f t="shared" ref="CF2672" si="11704">IF(CC2672&lt;&gt;CC2673,MMULT(MINVERSE(CC2672:CD2673),CE2672:CE2673)," ")</f>
        <v>#NUM!</v>
      </c>
      <c r="CG2672" s="34" t="str">
        <f t="shared" ref="CG2672" si="11705">IFERROR(IF(CF2672-VLOOKUP(CC$38,$A$2:$N$12,14,FALSE)&lt;0,CF2672-VLOOKUP(CC$38,$A$2:$N$12,14,FALSE)," ")," ")</f>
        <v xml:space="preserve"> </v>
      </c>
      <c r="CH2672" s="34" t="str">
        <f t="shared" ref="CH2672" si="11706">IFERROR(IF(CF2672-VLOOKUP(CC$38,$A$2:$N$12,14,FALSE)&gt;0,CF2672-VLOOKUP(CC$38,$A$2:$N$12,14,FALSE)," ")," ")</f>
        <v xml:space="preserve"> </v>
      </c>
    </row>
    <row r="2673" spans="1:86" x14ac:dyDescent="0.2">
      <c r="A2673" s="8" t="str">
        <f>IF(AND(COUNTIF(W$3:W$13,A$16)&gt;0,A$16&lt;&gt;B2578),A$16,IFERROR(IF(MATCH(A$16,Z$3:Z$13,0)=5,A$16," ")," "))</f>
        <v xml:space="preserve"> </v>
      </c>
      <c r="B2673" s="8" t="str">
        <f>IF(A2673=" "," ",MAX(B2672:B2672)+1)</f>
        <v xml:space="preserve"> </v>
      </c>
      <c r="C2673" s="8" t="str">
        <f>IFERROR(INDEX(A2672:A2693,MATCH(SMALL(B2672:B2693,2),B2672:B2693,0),1)," ")</f>
        <v>C4</v>
      </c>
      <c r="D2673" s="8">
        <f t="shared" ref="D2673:D2682" si="11707">IFERROR(VLOOKUP($C2673,$A$15:$O$36,2,FALSE)," ")</f>
        <v>1</v>
      </c>
      <c r="E2673" s="8">
        <f t="shared" ref="E2673:E2682" si="11708">IFERROR(VLOOKUP($C2673,$A$15:$O$36,3,FALSE)," ")</f>
        <v>0</v>
      </c>
      <c r="F2673" s="8">
        <f t="shared" ref="F2673:F2682" si="11709">IFERROR(VLOOKUP($C2673,$A$15:$O$36,4,FALSE)," ")</f>
        <v>1</v>
      </c>
      <c r="G2673" s="8">
        <f t="shared" ref="G2673:G2682" si="11710">IFERROR(VLOOKUP($C2673,$A$15:$O$36,5,FALSE)," ")</f>
        <v>0</v>
      </c>
      <c r="H2673" s="8">
        <f t="shared" ref="H2673:H2682" si="11711">IFERROR(VLOOKUP($C2673,$A$15:$O$36,6,FALSE)," ")</f>
        <v>0</v>
      </c>
      <c r="I2673" s="8">
        <f t="shared" ref="I2673:I2682" si="11712">IFERROR(VLOOKUP($C2673,$A$15:$O$36,7,FALSE)," ")</f>
        <v>0</v>
      </c>
      <c r="J2673" s="8">
        <f t="shared" ref="J2673:J2682" si="11713">IFERROR(VLOOKUP($C2673,$A$15:$O$36,8,FALSE)," ")</f>
        <v>0</v>
      </c>
      <c r="K2673" s="8">
        <f t="shared" ref="K2673:K2682" si="11714">IFERROR(VLOOKUP($C2673,$A$15:$O$36,9,FALSE)," ")</f>
        <v>0</v>
      </c>
      <c r="L2673" s="8">
        <f t="shared" ref="L2673:L2682" si="11715">IFERROR(VLOOKUP($C2673,$A$15:$O$36,10,FALSE)," ")</f>
        <v>0</v>
      </c>
      <c r="M2673" s="8">
        <f t="shared" ref="M2673:M2682" si="11716">IFERROR(VLOOKUP($C2673,$A$15:$O$36,11,FALSE)," ")</f>
        <v>0</v>
      </c>
      <c r="N2673" s="8">
        <f t="shared" ref="N2673:N2682" si="11717">IFERROR(VLOOKUP($C2673,$A$15:$O$36,12,FALSE)," ")</f>
        <v>0</v>
      </c>
      <c r="O2673" s="8">
        <f t="shared" ref="O2673:O2682" si="11718">IFERROR(VLOOKUP($C2673,$A$15:$O$36,15,FALSE)," ")</f>
        <v>400</v>
      </c>
      <c r="P2673" s="8" t="e">
        <v>#NUM!</v>
      </c>
      <c r="Q2673" s="8" t="e">
        <f t="shared" ref="Q2673" si="11719">IF(COUNTIF(P2672:P2682,"&lt;"&amp;-0.001)=0,IF(ABS(P2673)&lt;0.001,0,P2673)," ")</f>
        <v>#NUM!</v>
      </c>
      <c r="R2673" s="8"/>
      <c r="S2673" s="8"/>
      <c r="U2673" s="34" t="e">
        <f t="shared" ref="U2673" si="11720">$Q2672</f>
        <v>#NUM!</v>
      </c>
      <c r="V2673" s="34">
        <v>-1</v>
      </c>
      <c r="W2673" s="34" t="e">
        <f t="shared" ref="W2673" si="11721">-SUMPRODUCT($Q2673:$Q2682,$N$3:$N$12)</f>
        <v>#NUM!</v>
      </c>
      <c r="X2673" s="34"/>
      <c r="Y2673" s="34"/>
      <c r="Z2673" s="34"/>
      <c r="AA2673" s="34" t="e">
        <f t="shared" ref="AA2673" si="11722">$Q2673</f>
        <v>#NUM!</v>
      </c>
      <c r="AB2673" s="34">
        <v>-1</v>
      </c>
      <c r="AC2673" s="34" t="e">
        <f t="shared" ref="AC2673" si="11723">-SUMPRODUCT($Q2672:$Q2672,$N$2:$N$2)-SUMPRODUCT($Q2674:$Q2682,$N$4:$N$12)</f>
        <v>#NUM!</v>
      </c>
      <c r="AD2673" s="34"/>
      <c r="AE2673" s="34"/>
      <c r="AF2673" s="34"/>
      <c r="AG2673" s="34" t="e">
        <f t="shared" ref="AG2673" si="11724">$Q2674</f>
        <v>#NUM!</v>
      </c>
      <c r="AH2673" s="34">
        <v>-1</v>
      </c>
      <c r="AI2673" s="34" t="e">
        <f t="shared" ref="AI2673" si="11725">-SUMPRODUCT($Q2672:$Q2673,$N$2:$N$3)-SUMPRODUCT($Q2675:$Q2682,$N$5:$N$12)</f>
        <v>#NUM!</v>
      </c>
      <c r="AJ2673" s="34"/>
      <c r="AK2673" s="34"/>
      <c r="AL2673" s="34"/>
      <c r="AM2673" s="34" t="e">
        <f t="shared" ref="AM2673" si="11726">$Q2675</f>
        <v>#NUM!</v>
      </c>
      <c r="AN2673" s="34">
        <v>-1</v>
      </c>
      <c r="AO2673" s="34" t="e">
        <f t="shared" ref="AO2673" si="11727">-SUMPRODUCT($Q2672:$Q2674,$N$2:$N$4)-SUMPRODUCT($Q2676:$Q2682,$N$6:$N$12)</f>
        <v>#NUM!</v>
      </c>
      <c r="AP2673" s="34"/>
      <c r="AQ2673" s="34"/>
      <c r="AR2673" s="34"/>
      <c r="AS2673" s="34" t="e">
        <f t="shared" ref="AS2673" si="11728">$Q2676</f>
        <v>#NUM!</v>
      </c>
      <c r="AT2673" s="34">
        <v>-1</v>
      </c>
      <c r="AU2673" s="34" t="e">
        <f t="shared" ref="AU2673" si="11729">-SUMPRODUCT($Q2672:$Q2675,$N$2:$N$5)-SUMPRODUCT($Q2677:$Q2682,$N$7:$N$12)</f>
        <v>#NUM!</v>
      </c>
      <c r="AV2673" s="34"/>
      <c r="AW2673" s="34"/>
      <c r="AX2673" s="34"/>
      <c r="AY2673" s="34" t="e">
        <f t="shared" ref="AY2673" si="11730">$Q2677</f>
        <v>#NUM!</v>
      </c>
      <c r="AZ2673" s="34">
        <v>-1</v>
      </c>
      <c r="BA2673" s="34" t="e">
        <f t="shared" ref="BA2673" si="11731">-SUMPRODUCT($Q2672:$Q2676,$N$2:$N$6)-SUMPRODUCT($Q2678:$Q2682,$N$8:$N$12)</f>
        <v>#NUM!</v>
      </c>
      <c r="BB2673" s="34"/>
      <c r="BC2673" s="34"/>
      <c r="BD2673" s="34"/>
      <c r="BE2673" s="34" t="e">
        <f t="shared" ref="BE2673" si="11732">$Q2678</f>
        <v>#NUM!</v>
      </c>
      <c r="BF2673" s="34">
        <v>-1</v>
      </c>
      <c r="BG2673" s="34" t="e">
        <f t="shared" ref="BG2673" si="11733">-SUMPRODUCT($Q2672:$Q2677,$N$2:$N$7)-SUMPRODUCT($Q2679:$Q2682,$N$9:$N$12)</f>
        <v>#NUM!</v>
      </c>
      <c r="BH2673" s="34"/>
      <c r="BI2673" s="34"/>
      <c r="BJ2673" s="34"/>
      <c r="BK2673" s="34" t="e">
        <f t="shared" ref="BK2673" si="11734">$Q2679</f>
        <v>#NUM!</v>
      </c>
      <c r="BL2673" s="34">
        <v>-1</v>
      </c>
      <c r="BM2673" s="34" t="e">
        <f t="shared" ref="BM2673" si="11735">-SUMPRODUCT($Q2672:$Q2678,$N$2:$N$8)-SUMPRODUCT($Q2680:$Q2682,$N$10:$N$12)</f>
        <v>#NUM!</v>
      </c>
      <c r="BN2673" s="34"/>
      <c r="BO2673" s="34"/>
      <c r="BP2673" s="34"/>
      <c r="BQ2673" s="34" t="e">
        <f t="shared" ref="BQ2673" si="11736">$Q2680</f>
        <v>#NUM!</v>
      </c>
      <c r="BR2673" s="34">
        <v>-1</v>
      </c>
      <c r="BS2673" s="34" t="e">
        <f t="shared" ref="BS2673" si="11737">-SUMPRODUCT($Q2672:$Q2679,$N$2:$N$9)-SUMPRODUCT($Q2681:$Q2682,$N$11:$N$12)</f>
        <v>#NUM!</v>
      </c>
      <c r="BT2673" s="34"/>
      <c r="BU2673" s="34"/>
      <c r="BV2673" s="34"/>
      <c r="BW2673" s="34" t="e">
        <f t="shared" ref="BW2673" si="11738">$Q2681</f>
        <v>#NUM!</v>
      </c>
      <c r="BX2673" s="34">
        <v>-1</v>
      </c>
      <c r="BY2673" s="34" t="e">
        <f t="shared" ref="BY2673" si="11739">-SUMPRODUCT($Q2672:$Q2680,$N$2:$N$10)-SUMPRODUCT($Q2682,$N$12)</f>
        <v>#NUM!</v>
      </c>
      <c r="BZ2673" s="34"/>
      <c r="CA2673" s="34"/>
      <c r="CB2673" s="34"/>
      <c r="CC2673" s="34" t="e">
        <f t="shared" ref="CC2673" si="11740">$Q2682</f>
        <v>#NUM!</v>
      </c>
      <c r="CD2673" s="34">
        <v>-1</v>
      </c>
      <c r="CE2673" s="34" t="e">
        <f t="shared" ref="CE2673" si="11741">-SUMPRODUCT($Q2672:$Q2681,$N$2:$N$11)</f>
        <v>#NUM!</v>
      </c>
      <c r="CF2673" s="34"/>
      <c r="CG2673" s="34"/>
      <c r="CH2673" s="34"/>
    </row>
    <row r="2674" spans="1:86" x14ac:dyDescent="0.2">
      <c r="A2674" s="8" t="str">
        <f>IF(AND(COUNTIF(W$3:W$13,A$17)&gt;0,A$17&lt;&gt;B2578),A$17,IFERROR(IF(MATCH(A$17,Z$3:Z$13,0)=5,A$17," ")," "))</f>
        <v>C3</v>
      </c>
      <c r="B2674" s="8">
        <f>IF(A2674=" "," ",MAX(B2672:B2673)+1)</f>
        <v>1</v>
      </c>
      <c r="C2674" s="8" t="str">
        <f>IFERROR(INDEX(A2672:A2693,MATCH(SMALL(B2672:B2693,3),B2672:B2693,0),1)," ")</f>
        <v>C7</v>
      </c>
      <c r="D2674" s="8">
        <f t="shared" si="11707"/>
        <v>0</v>
      </c>
      <c r="E2674" s="8">
        <f t="shared" si="11708"/>
        <v>0</v>
      </c>
      <c r="F2674" s="8">
        <f t="shared" si="11709"/>
        <v>0</v>
      </c>
      <c r="G2674" s="8">
        <f t="shared" si="11710"/>
        <v>0</v>
      </c>
      <c r="H2674" s="8">
        <f t="shared" si="11711"/>
        <v>0</v>
      </c>
      <c r="I2674" s="8">
        <f t="shared" si="11712"/>
        <v>0</v>
      </c>
      <c r="J2674" s="8">
        <f t="shared" si="11713"/>
        <v>0</v>
      </c>
      <c r="K2674" s="8">
        <f t="shared" si="11714"/>
        <v>0</v>
      </c>
      <c r="L2674" s="8">
        <f t="shared" si="11715"/>
        <v>0</v>
      </c>
      <c r="M2674" s="8">
        <f t="shared" si="11716"/>
        <v>0</v>
      </c>
      <c r="N2674" s="8">
        <f t="shared" si="11717"/>
        <v>0</v>
      </c>
      <c r="O2674" s="8">
        <f t="shared" si="11718"/>
        <v>0</v>
      </c>
      <c r="P2674" s="8" t="e">
        <v>#NUM!</v>
      </c>
      <c r="Q2674" s="8" t="e">
        <f t="shared" ref="Q2674" si="11742">IF(COUNTIF(P2672:P2682,"&lt;"&amp;-0.001)=0,IF(ABS(P2674)&lt;0.001,0,P2674)," ")</f>
        <v>#NUM!</v>
      </c>
      <c r="R2674" s="8"/>
      <c r="S2674" s="8"/>
      <c r="U2674" s="34"/>
      <c r="V2674" s="34"/>
      <c r="W2674" s="34"/>
      <c r="X2674" s="34"/>
      <c r="Y2674" s="34"/>
      <c r="Z2674" s="34"/>
      <c r="AA2674" s="34"/>
      <c r="AB2674" s="34"/>
      <c r="AC2674" s="34"/>
      <c r="AD2674" s="34"/>
      <c r="AE2674" s="34"/>
      <c r="AF2674" s="34"/>
      <c r="AG2674" s="34"/>
      <c r="AH2674" s="34"/>
      <c r="AI2674" s="34"/>
      <c r="AJ2674" s="34"/>
      <c r="AK2674" s="34"/>
      <c r="AL2674" s="34"/>
      <c r="AM2674" s="34"/>
      <c r="AN2674" s="34"/>
      <c r="AO2674" s="34"/>
      <c r="AP2674" s="34"/>
      <c r="AQ2674" s="34"/>
      <c r="AR2674" s="34"/>
      <c r="AS2674" s="34"/>
      <c r="AT2674" s="34"/>
      <c r="AU2674" s="34"/>
      <c r="AV2674" s="34"/>
      <c r="AW2674" s="34"/>
      <c r="AX2674" s="34"/>
      <c r="AY2674" s="34"/>
      <c r="AZ2674" s="34"/>
      <c r="BA2674" s="34"/>
      <c r="BB2674" s="34"/>
      <c r="BC2674" s="34"/>
      <c r="BD2674" s="34"/>
      <c r="BE2674" s="34"/>
      <c r="BF2674" s="34"/>
      <c r="BG2674" s="34"/>
      <c r="BH2674" s="34"/>
      <c r="BI2674" s="34"/>
      <c r="BJ2674" s="34"/>
      <c r="BK2674" s="34"/>
      <c r="BL2674" s="34"/>
      <c r="BM2674" s="34"/>
      <c r="BN2674" s="34"/>
      <c r="BO2674" s="34"/>
      <c r="BP2674" s="34"/>
      <c r="BQ2674" s="34"/>
      <c r="BR2674" s="34"/>
      <c r="BS2674" s="34"/>
      <c r="BT2674" s="34"/>
      <c r="BU2674" s="34"/>
      <c r="BV2674" s="34"/>
      <c r="BW2674" s="34"/>
      <c r="BX2674" s="34"/>
      <c r="BY2674" s="34"/>
      <c r="BZ2674" s="34"/>
      <c r="CA2674" s="34"/>
      <c r="CB2674" s="34"/>
      <c r="CC2674" s="34"/>
      <c r="CD2674" s="34"/>
      <c r="CE2674" s="34"/>
      <c r="CF2674" s="34"/>
      <c r="CG2674" s="34"/>
      <c r="CH2674" s="34"/>
    </row>
    <row r="2675" spans="1:86" x14ac:dyDescent="0.2">
      <c r="A2675" s="8" t="str">
        <f>IF(AND(COUNTIF(W$3:W$13,A$18)&gt;0,A$18&lt;&gt;B2578),A$18,IFERROR(IF(MATCH(A$18,Z$3:Z$13,0)=5,A$18," ")," "))</f>
        <v>C4</v>
      </c>
      <c r="B2675" s="8">
        <f>IF(A2675=" "," ",MAX(B2672:B2674)+1)</f>
        <v>2</v>
      </c>
      <c r="C2675" s="8" t="str">
        <f>IFERROR(INDEX(A2672:A2693,MATCH(SMALL(B2672:B2693,4),B2672:B2693,0),1)," ")</f>
        <v>C13</v>
      </c>
      <c r="D2675" s="8">
        <f t="shared" si="11707"/>
        <v>0</v>
      </c>
      <c r="E2675" s="8">
        <f t="shared" si="11708"/>
        <v>1</v>
      </c>
      <c r="F2675" s="8">
        <f t="shared" si="11709"/>
        <v>0</v>
      </c>
      <c r="G2675" s="8">
        <f t="shared" si="11710"/>
        <v>0</v>
      </c>
      <c r="H2675" s="8">
        <f t="shared" si="11711"/>
        <v>0</v>
      </c>
      <c r="I2675" s="8">
        <f t="shared" si="11712"/>
        <v>0</v>
      </c>
      <c r="J2675" s="8">
        <f t="shared" si="11713"/>
        <v>0</v>
      </c>
      <c r="K2675" s="8">
        <f t="shared" si="11714"/>
        <v>0</v>
      </c>
      <c r="L2675" s="8">
        <f t="shared" si="11715"/>
        <v>0</v>
      </c>
      <c r="M2675" s="8">
        <f t="shared" si="11716"/>
        <v>0</v>
      </c>
      <c r="N2675" s="8">
        <f t="shared" si="11717"/>
        <v>0</v>
      </c>
      <c r="O2675" s="8">
        <f t="shared" si="11718"/>
        <v>0</v>
      </c>
      <c r="P2675" s="8" t="e">
        <v>#NUM!</v>
      </c>
      <c r="Q2675" s="8" t="e">
        <f t="shared" ref="Q2675" si="11743">IF(COUNTIF(P2672:P2682,"&lt;"&amp;-0.001)=0,IF(ABS(P2675)&lt;0.001,0,P2675)," ")</f>
        <v>#NUM!</v>
      </c>
      <c r="R2675" s="8"/>
      <c r="S2675" s="8"/>
      <c r="U2675" s="34"/>
      <c r="V2675" s="34"/>
      <c r="W2675" s="34"/>
      <c r="X2675" s="34"/>
      <c r="Y2675" s="34"/>
      <c r="Z2675" s="34"/>
      <c r="AA2675" s="34"/>
      <c r="AB2675" s="34"/>
      <c r="AC2675" s="34"/>
      <c r="AD2675" s="34"/>
      <c r="AE2675" s="34"/>
      <c r="AF2675" s="34"/>
      <c r="AG2675" s="34"/>
      <c r="AH2675" s="34"/>
      <c r="AI2675" s="34"/>
      <c r="AJ2675" s="34"/>
      <c r="AK2675" s="34"/>
      <c r="AL2675" s="34"/>
      <c r="AM2675" s="34"/>
      <c r="AN2675" s="34"/>
      <c r="AO2675" s="34"/>
      <c r="AP2675" s="34"/>
      <c r="AQ2675" s="34"/>
      <c r="AR2675" s="34"/>
      <c r="AS2675" s="34"/>
      <c r="AT2675" s="34"/>
      <c r="AU2675" s="34"/>
      <c r="AV2675" s="34"/>
      <c r="AW2675" s="34"/>
      <c r="AX2675" s="34"/>
      <c r="AY2675" s="34"/>
      <c r="AZ2675" s="34"/>
      <c r="BA2675" s="34"/>
      <c r="BB2675" s="34"/>
      <c r="BC2675" s="34"/>
      <c r="BD2675" s="34"/>
      <c r="BE2675" s="34"/>
      <c r="BF2675" s="34"/>
      <c r="BG2675" s="34"/>
      <c r="BH2675" s="34"/>
      <c r="BI2675" s="34"/>
      <c r="BJ2675" s="34"/>
      <c r="BK2675" s="34"/>
      <c r="BL2675" s="34"/>
      <c r="BM2675" s="34"/>
      <c r="BN2675" s="34"/>
      <c r="BO2675" s="34"/>
      <c r="BP2675" s="34"/>
      <c r="BQ2675" s="34"/>
      <c r="BR2675" s="34"/>
      <c r="BS2675" s="34"/>
      <c r="BT2675" s="34"/>
      <c r="BU2675" s="34"/>
      <c r="BV2675" s="34"/>
      <c r="BW2675" s="34"/>
      <c r="BX2675" s="34"/>
      <c r="BY2675" s="34"/>
      <c r="BZ2675" s="34"/>
      <c r="CA2675" s="34"/>
      <c r="CB2675" s="34"/>
      <c r="CC2675" s="34"/>
      <c r="CD2675" s="34"/>
      <c r="CE2675" s="34"/>
      <c r="CF2675" s="34"/>
      <c r="CG2675" s="34"/>
      <c r="CH2675" s="34"/>
    </row>
    <row r="2676" spans="1:86" x14ac:dyDescent="0.2">
      <c r="A2676" s="8" t="str">
        <f>IF(AND(COUNTIF(W$3:W$13,A$19)&gt;0,A$19&lt;&gt;B2578),A$19,IFERROR(IF(MATCH(A$19,Z$3:Z$13,0)=5,A$19," ")," "))</f>
        <v xml:space="preserve"> </v>
      </c>
      <c r="B2676" s="8" t="str">
        <f>IF(A2676=" "," ",MAX(B2672:B2675)+1)</f>
        <v xml:space="preserve"> </v>
      </c>
      <c r="C2676" s="8" t="str">
        <f>IFERROR(INDEX(A2672:A2693,MATCH(SMALL(B2672:B2693,5),B2672:B2693,0),1)," ")</f>
        <v>C15</v>
      </c>
      <c r="D2676" s="8">
        <f t="shared" si="11707"/>
        <v>0</v>
      </c>
      <c r="E2676" s="8">
        <f t="shared" si="11708"/>
        <v>0</v>
      </c>
      <c r="F2676" s="8">
        <f t="shared" si="11709"/>
        <v>0</v>
      </c>
      <c r="G2676" s="8">
        <f t="shared" si="11710"/>
        <v>1</v>
      </c>
      <c r="H2676" s="8">
        <f t="shared" si="11711"/>
        <v>0</v>
      </c>
      <c r="I2676" s="8">
        <f t="shared" si="11712"/>
        <v>0</v>
      </c>
      <c r="J2676" s="8">
        <f t="shared" si="11713"/>
        <v>0</v>
      </c>
      <c r="K2676" s="8">
        <f t="shared" si="11714"/>
        <v>0</v>
      </c>
      <c r="L2676" s="8">
        <f t="shared" si="11715"/>
        <v>0</v>
      </c>
      <c r="M2676" s="8">
        <f t="shared" si="11716"/>
        <v>0</v>
      </c>
      <c r="N2676" s="8">
        <f t="shared" si="11717"/>
        <v>0</v>
      </c>
      <c r="O2676" s="8">
        <f t="shared" si="11718"/>
        <v>0</v>
      </c>
      <c r="P2676" s="8" t="e">
        <v>#NUM!</v>
      </c>
      <c r="Q2676" s="8" t="e">
        <f t="shared" ref="Q2676" si="11744">IF(COUNTIF(P2672:P2682,"&lt;"&amp;-0.001)=0,IF(ABS(P2676)&lt;0.001,0,P2676)," ")</f>
        <v>#NUM!</v>
      </c>
      <c r="R2676" s="8"/>
      <c r="S2676" s="8"/>
      <c r="U2676" s="34"/>
      <c r="V2676" s="34"/>
      <c r="W2676" s="34"/>
      <c r="X2676" s="34"/>
      <c r="Y2676" s="34"/>
      <c r="Z2676" s="34"/>
      <c r="AA2676" s="34"/>
      <c r="AB2676" s="34"/>
      <c r="AC2676" s="34"/>
      <c r="AD2676" s="34"/>
      <c r="AE2676" s="34"/>
      <c r="AF2676" s="34"/>
      <c r="AG2676" s="34"/>
      <c r="AH2676" s="34"/>
      <c r="AI2676" s="34"/>
      <c r="AJ2676" s="34"/>
      <c r="AK2676" s="34"/>
      <c r="AL2676" s="34"/>
      <c r="AM2676" s="34"/>
      <c r="AN2676" s="34"/>
      <c r="AO2676" s="34"/>
      <c r="AP2676" s="34"/>
      <c r="AQ2676" s="34"/>
      <c r="AR2676" s="34"/>
      <c r="AS2676" s="34"/>
      <c r="AT2676" s="34"/>
      <c r="AU2676" s="34"/>
      <c r="AV2676" s="34"/>
      <c r="AW2676" s="34"/>
      <c r="AX2676" s="34"/>
      <c r="AY2676" s="34"/>
      <c r="AZ2676" s="34"/>
      <c r="BA2676" s="34"/>
      <c r="BB2676" s="34"/>
      <c r="BC2676" s="34"/>
      <c r="BD2676" s="34"/>
      <c r="BE2676" s="34"/>
      <c r="BF2676" s="34"/>
      <c r="BG2676" s="34"/>
      <c r="BH2676" s="34"/>
      <c r="BI2676" s="34"/>
      <c r="BJ2676" s="34"/>
      <c r="BK2676" s="34"/>
      <c r="BL2676" s="34"/>
      <c r="BM2676" s="34"/>
      <c r="BN2676" s="34"/>
      <c r="BO2676" s="34"/>
      <c r="BP2676" s="34"/>
      <c r="BQ2676" s="34"/>
      <c r="BR2676" s="34"/>
      <c r="BS2676" s="34"/>
      <c r="BT2676" s="34"/>
      <c r="BU2676" s="34"/>
      <c r="BV2676" s="34"/>
      <c r="BW2676" s="34"/>
      <c r="BX2676" s="34"/>
      <c r="BY2676" s="34"/>
      <c r="BZ2676" s="34"/>
      <c r="CA2676" s="34"/>
      <c r="CB2676" s="34"/>
      <c r="CC2676" s="34"/>
      <c r="CD2676" s="34"/>
      <c r="CE2676" s="34"/>
      <c r="CF2676" s="34"/>
      <c r="CG2676" s="34"/>
      <c r="CH2676" s="34"/>
    </row>
    <row r="2677" spans="1:86" x14ac:dyDescent="0.2">
      <c r="A2677" s="8" t="str">
        <f>IF(AND(COUNTIF(W$3:W$13,A$20)&gt;0,A$20&lt;&gt;B2578),A$20,IFERROR(IF(MATCH(A$20,Z$3:Z$13,0)=5,A$20," ")," "))</f>
        <v xml:space="preserve"> </v>
      </c>
      <c r="B2677" s="8" t="str">
        <f>IF(A2677=" "," ",MAX(B2672:B2676)+1)</f>
        <v xml:space="preserve"> </v>
      </c>
      <c r="C2677" s="8" t="str">
        <f>IFERROR(INDEX(A2672:A2693,MATCH(SMALL(B2672:B2693,6),B2672:B2693,0),1)," ")</f>
        <v>C16</v>
      </c>
      <c r="D2677" s="8">
        <f t="shared" si="11707"/>
        <v>0</v>
      </c>
      <c r="E2677" s="8">
        <f t="shared" si="11708"/>
        <v>0</v>
      </c>
      <c r="F2677" s="8">
        <f t="shared" si="11709"/>
        <v>0</v>
      </c>
      <c r="G2677" s="8">
        <f t="shared" si="11710"/>
        <v>0</v>
      </c>
      <c r="H2677" s="8">
        <f t="shared" si="11711"/>
        <v>1</v>
      </c>
      <c r="I2677" s="8">
        <f t="shared" si="11712"/>
        <v>0</v>
      </c>
      <c r="J2677" s="8">
        <f t="shared" si="11713"/>
        <v>0</v>
      </c>
      <c r="K2677" s="8">
        <f t="shared" si="11714"/>
        <v>0</v>
      </c>
      <c r="L2677" s="8">
        <f t="shared" si="11715"/>
        <v>0</v>
      </c>
      <c r="M2677" s="8">
        <f t="shared" si="11716"/>
        <v>0</v>
      </c>
      <c r="N2677" s="8">
        <f t="shared" si="11717"/>
        <v>0</v>
      </c>
      <c r="O2677" s="8">
        <f t="shared" si="11718"/>
        <v>0</v>
      </c>
      <c r="P2677" s="8" t="e">
        <v>#NUM!</v>
      </c>
      <c r="Q2677" s="8" t="e">
        <f t="shared" ref="Q2677" si="11745">IF(COUNTIF(P2672:P2682,"&lt;"&amp;-0.001)=0,IF(ABS(P2677)&lt;0.001,0,P2677)," ")</f>
        <v>#NUM!</v>
      </c>
      <c r="R2677" s="8"/>
      <c r="S2677" s="8"/>
      <c r="U2677" s="34"/>
      <c r="V2677" s="34"/>
      <c r="W2677" s="34"/>
      <c r="X2677" s="34"/>
      <c r="Y2677" s="34"/>
      <c r="Z2677" s="34"/>
      <c r="AA2677" s="34"/>
      <c r="AB2677" s="34"/>
      <c r="AC2677" s="34"/>
      <c r="AD2677" s="34"/>
      <c r="AE2677" s="34"/>
      <c r="AF2677" s="34"/>
      <c r="AG2677" s="34"/>
      <c r="AH2677" s="34"/>
      <c r="AI2677" s="34"/>
      <c r="AJ2677" s="34"/>
      <c r="AK2677" s="34"/>
      <c r="AL2677" s="34"/>
      <c r="AM2677" s="34"/>
      <c r="AN2677" s="34"/>
      <c r="AO2677" s="34"/>
      <c r="AP2677" s="34"/>
      <c r="AQ2677" s="34"/>
      <c r="AR2677" s="34"/>
      <c r="AS2677" s="34"/>
      <c r="AT2677" s="34"/>
      <c r="AU2677" s="34"/>
      <c r="AV2677" s="34"/>
      <c r="AW2677" s="34"/>
      <c r="AX2677" s="34"/>
      <c r="AY2677" s="34"/>
      <c r="AZ2677" s="34"/>
      <c r="BA2677" s="34"/>
      <c r="BB2677" s="34"/>
      <c r="BC2677" s="34"/>
      <c r="BD2677" s="34"/>
      <c r="BE2677" s="34"/>
      <c r="BF2677" s="34"/>
      <c r="BG2677" s="34"/>
      <c r="BH2677" s="34"/>
      <c r="BI2677" s="34"/>
      <c r="BJ2677" s="34"/>
      <c r="BK2677" s="34"/>
      <c r="BL2677" s="34"/>
      <c r="BM2677" s="34"/>
      <c r="BN2677" s="34"/>
      <c r="BO2677" s="34"/>
      <c r="BP2677" s="34"/>
      <c r="BQ2677" s="34"/>
      <c r="BR2677" s="34"/>
      <c r="BS2677" s="34"/>
      <c r="BT2677" s="34"/>
      <c r="BU2677" s="34"/>
      <c r="BV2677" s="34"/>
      <c r="BW2677" s="34"/>
      <c r="BX2677" s="34"/>
      <c r="BY2677" s="34"/>
      <c r="BZ2677" s="34"/>
      <c r="CA2677" s="34"/>
      <c r="CB2677" s="34"/>
      <c r="CC2677" s="34"/>
      <c r="CD2677" s="34"/>
      <c r="CE2677" s="34"/>
      <c r="CF2677" s="34"/>
      <c r="CG2677" s="34"/>
      <c r="CH2677" s="34"/>
    </row>
    <row r="2678" spans="1:86" x14ac:dyDescent="0.2">
      <c r="A2678" s="8" t="str">
        <f>IF(AND(COUNTIF(W$3:W$13,A$21)&gt;0,A$21&lt;&gt;B2578),A$21,IFERROR(IF(MATCH(A$21,Z$3:Z$13,0)=5,A$21," ")," "))</f>
        <v>C7</v>
      </c>
      <c r="B2678" s="8">
        <f>IF(A2678=" "," ",MAX(B2672:B2677)+1)</f>
        <v>3</v>
      </c>
      <c r="C2678" s="8" t="str">
        <f>IFERROR(INDEX(A2672:A2693,MATCH(SMALL(B2672:B2693,7),B2672:B2693,0),1)," ")</f>
        <v>C17</v>
      </c>
      <c r="D2678" s="8">
        <f t="shared" si="11707"/>
        <v>0</v>
      </c>
      <c r="E2678" s="8">
        <f t="shared" si="11708"/>
        <v>0</v>
      </c>
      <c r="F2678" s="8">
        <f t="shared" si="11709"/>
        <v>0</v>
      </c>
      <c r="G2678" s="8">
        <f t="shared" si="11710"/>
        <v>0</v>
      </c>
      <c r="H2678" s="8">
        <f t="shared" si="11711"/>
        <v>0</v>
      </c>
      <c r="I2678" s="8">
        <f t="shared" si="11712"/>
        <v>1</v>
      </c>
      <c r="J2678" s="8">
        <f t="shared" si="11713"/>
        <v>0</v>
      </c>
      <c r="K2678" s="8">
        <f t="shared" si="11714"/>
        <v>0</v>
      </c>
      <c r="L2678" s="8">
        <f t="shared" si="11715"/>
        <v>0</v>
      </c>
      <c r="M2678" s="8">
        <f t="shared" si="11716"/>
        <v>0</v>
      </c>
      <c r="N2678" s="8">
        <f t="shared" si="11717"/>
        <v>0</v>
      </c>
      <c r="O2678" s="8">
        <f t="shared" si="11718"/>
        <v>0</v>
      </c>
      <c r="P2678" s="8" t="e">
        <v>#NUM!</v>
      </c>
      <c r="Q2678" s="8" t="e">
        <f t="shared" ref="Q2678" si="11746">IF(COUNTIF(P2672:P2682,"&lt;"&amp;-0.001)=0,IF(ABS(P2678)&lt;0.001,0,P2678)," ")</f>
        <v>#NUM!</v>
      </c>
      <c r="R2678" s="8"/>
      <c r="S2678" s="8"/>
      <c r="U2678" s="34"/>
      <c r="V2678" s="34"/>
      <c r="W2678" s="34"/>
      <c r="X2678" s="34"/>
      <c r="Y2678" s="34"/>
      <c r="Z2678" s="34"/>
      <c r="AA2678" s="34"/>
      <c r="AB2678" s="34"/>
      <c r="AC2678" s="34"/>
      <c r="AD2678" s="34"/>
      <c r="AE2678" s="34"/>
      <c r="AF2678" s="34"/>
      <c r="AG2678" s="34"/>
      <c r="AH2678" s="34"/>
      <c r="AI2678" s="34"/>
      <c r="AJ2678" s="34"/>
      <c r="AK2678" s="34"/>
      <c r="AL2678" s="34"/>
      <c r="AM2678" s="34"/>
      <c r="AN2678" s="34"/>
      <c r="AO2678" s="34"/>
      <c r="AP2678" s="34"/>
      <c r="AQ2678" s="34"/>
      <c r="AR2678" s="34"/>
      <c r="AS2678" s="34"/>
      <c r="AT2678" s="34"/>
      <c r="AU2678" s="34"/>
      <c r="AV2678" s="34"/>
      <c r="AW2678" s="34"/>
      <c r="AX2678" s="34"/>
      <c r="AY2678" s="34"/>
      <c r="AZ2678" s="34"/>
      <c r="BA2678" s="34"/>
      <c r="BB2678" s="34"/>
      <c r="BC2678" s="34"/>
      <c r="BD2678" s="34"/>
      <c r="BE2678" s="34"/>
      <c r="BF2678" s="34"/>
      <c r="BG2678" s="34"/>
      <c r="BH2678" s="34"/>
      <c r="BI2678" s="34"/>
      <c r="BJ2678" s="34"/>
      <c r="BK2678" s="34"/>
      <c r="BL2678" s="34"/>
      <c r="BM2678" s="34"/>
      <c r="BN2678" s="34"/>
      <c r="BO2678" s="34"/>
      <c r="BP2678" s="34"/>
      <c r="BQ2678" s="34"/>
      <c r="BR2678" s="34"/>
      <c r="BS2678" s="34"/>
      <c r="BT2678" s="34"/>
      <c r="BU2678" s="34"/>
      <c r="BV2678" s="34"/>
      <c r="BW2678" s="34"/>
      <c r="BX2678" s="34"/>
      <c r="BY2678" s="34"/>
      <c r="BZ2678" s="34"/>
      <c r="CA2678" s="34"/>
      <c r="CB2678" s="34"/>
      <c r="CC2678" s="34"/>
      <c r="CD2678" s="34"/>
      <c r="CE2678" s="34"/>
      <c r="CF2678" s="34"/>
      <c r="CG2678" s="34"/>
      <c r="CH2678" s="34"/>
    </row>
    <row r="2679" spans="1:86" x14ac:dyDescent="0.2">
      <c r="A2679" s="8" t="str">
        <f>IF(AND(COUNTIF(W$3:W$13,A$22)&gt;0,A$22&lt;&gt;B2578),A$22,IFERROR(IF(MATCH(A$22,Z$3:Z$13,0)=5,A$22," ")," "))</f>
        <v xml:space="preserve"> </v>
      </c>
      <c r="B2679" s="8" t="str">
        <f>IF(A2679=" "," ",MAX(B2672:B2678)+1)</f>
        <v xml:space="preserve"> </v>
      </c>
      <c r="C2679" s="8" t="str">
        <f>IFERROR(INDEX(A2672:A2693,MATCH(SMALL(B2672:B2693,8),B2672:B2693,0),1)," ")</f>
        <v>C18</v>
      </c>
      <c r="D2679" s="8">
        <f t="shared" si="11707"/>
        <v>0</v>
      </c>
      <c r="E2679" s="8">
        <f t="shared" si="11708"/>
        <v>0</v>
      </c>
      <c r="F2679" s="8">
        <f t="shared" si="11709"/>
        <v>0</v>
      </c>
      <c r="G2679" s="8">
        <f t="shared" si="11710"/>
        <v>0</v>
      </c>
      <c r="H2679" s="8">
        <f t="shared" si="11711"/>
        <v>0</v>
      </c>
      <c r="I2679" s="8">
        <f t="shared" si="11712"/>
        <v>0</v>
      </c>
      <c r="J2679" s="8">
        <f t="shared" si="11713"/>
        <v>1</v>
      </c>
      <c r="K2679" s="8">
        <f t="shared" si="11714"/>
        <v>0</v>
      </c>
      <c r="L2679" s="8">
        <f t="shared" si="11715"/>
        <v>0</v>
      </c>
      <c r="M2679" s="8">
        <f t="shared" si="11716"/>
        <v>0</v>
      </c>
      <c r="N2679" s="8">
        <f t="shared" si="11717"/>
        <v>0</v>
      </c>
      <c r="O2679" s="8">
        <f t="shared" si="11718"/>
        <v>0</v>
      </c>
      <c r="P2679" s="8" t="e">
        <v>#NUM!</v>
      </c>
      <c r="Q2679" s="8" t="e">
        <f t="shared" ref="Q2679" si="11747">IF(COUNTIF(P2672:P2682,"&lt;"&amp;-0.001)=0,IF(ABS(P2679)&lt;0.001,0,P2679)," ")</f>
        <v>#NUM!</v>
      </c>
      <c r="R2679" s="8"/>
      <c r="S2679" s="8"/>
      <c r="U2679" s="34"/>
      <c r="V2679" s="34"/>
      <c r="W2679" s="34"/>
      <c r="X2679" s="34"/>
      <c r="Y2679" s="34"/>
      <c r="Z2679" s="34"/>
      <c r="AA2679" s="34"/>
      <c r="AB2679" s="34"/>
      <c r="AC2679" s="34"/>
      <c r="AD2679" s="34"/>
      <c r="AE2679" s="34"/>
      <c r="AF2679" s="34"/>
      <c r="AG2679" s="34"/>
      <c r="AH2679" s="34"/>
      <c r="AI2679" s="34"/>
      <c r="AJ2679" s="34"/>
      <c r="AK2679" s="34"/>
      <c r="AL2679" s="34"/>
      <c r="AM2679" s="34"/>
      <c r="AN2679" s="34"/>
      <c r="AO2679" s="34"/>
      <c r="AP2679" s="34"/>
      <c r="AQ2679" s="34"/>
      <c r="AR2679" s="34"/>
      <c r="AS2679" s="34"/>
      <c r="AT2679" s="34"/>
      <c r="AU2679" s="34"/>
      <c r="AV2679" s="34"/>
      <c r="AW2679" s="34"/>
      <c r="AX2679" s="34"/>
      <c r="AY2679" s="34"/>
      <c r="AZ2679" s="34"/>
      <c r="BA2679" s="34"/>
      <c r="BB2679" s="34"/>
      <c r="BC2679" s="34"/>
      <c r="BD2679" s="34"/>
      <c r="BE2679" s="34"/>
      <c r="BF2679" s="34"/>
      <c r="BG2679" s="34"/>
      <c r="BH2679" s="34"/>
      <c r="BI2679" s="34"/>
      <c r="BJ2679" s="34"/>
      <c r="BK2679" s="34"/>
      <c r="BL2679" s="34"/>
      <c r="BM2679" s="34"/>
      <c r="BN2679" s="34"/>
      <c r="BO2679" s="34"/>
      <c r="BP2679" s="34"/>
      <c r="BQ2679" s="34"/>
      <c r="BR2679" s="34"/>
      <c r="BS2679" s="34"/>
      <c r="BT2679" s="34"/>
      <c r="BU2679" s="34"/>
      <c r="BV2679" s="34"/>
      <c r="BW2679" s="34"/>
      <c r="BX2679" s="34"/>
      <c r="BY2679" s="34"/>
      <c r="BZ2679" s="34"/>
      <c r="CA2679" s="34"/>
      <c r="CB2679" s="34"/>
      <c r="CC2679" s="34"/>
      <c r="CD2679" s="34"/>
      <c r="CE2679" s="34"/>
      <c r="CF2679" s="34"/>
      <c r="CG2679" s="34"/>
      <c r="CH2679" s="34"/>
    </row>
    <row r="2680" spans="1:86" x14ac:dyDescent="0.2">
      <c r="A2680" s="8" t="str">
        <f>IF(AND(COUNTIF(W$3:W$13,A$23)&gt;0,A$23&lt;&gt;B2578),A$23,IFERROR(IF(MATCH(A$23,Z$3:Z$13,0)=5,A$23," ")," "))</f>
        <v xml:space="preserve"> </v>
      </c>
      <c r="B2680" s="8" t="str">
        <f>IF(A2680=" "," ",MAX(B2672:B2679)+1)</f>
        <v xml:space="preserve"> </v>
      </c>
      <c r="C2680" s="8" t="str">
        <f>IFERROR(INDEX(A2672:A2693,MATCH(SMALL(B2672:B2693,9),B2672:B2693,0),1)," ")</f>
        <v>C19</v>
      </c>
      <c r="D2680" s="8">
        <f t="shared" si="11707"/>
        <v>0</v>
      </c>
      <c r="E2680" s="8">
        <f t="shared" si="11708"/>
        <v>0</v>
      </c>
      <c r="F2680" s="8">
        <f t="shared" si="11709"/>
        <v>0</v>
      </c>
      <c r="G2680" s="8">
        <f t="shared" si="11710"/>
        <v>0</v>
      </c>
      <c r="H2680" s="8">
        <f t="shared" si="11711"/>
        <v>0</v>
      </c>
      <c r="I2680" s="8">
        <f t="shared" si="11712"/>
        <v>0</v>
      </c>
      <c r="J2680" s="8">
        <f t="shared" si="11713"/>
        <v>0</v>
      </c>
      <c r="K2680" s="8">
        <f t="shared" si="11714"/>
        <v>1</v>
      </c>
      <c r="L2680" s="8">
        <f t="shared" si="11715"/>
        <v>0</v>
      </c>
      <c r="M2680" s="8">
        <f t="shared" si="11716"/>
        <v>0</v>
      </c>
      <c r="N2680" s="8">
        <f t="shared" si="11717"/>
        <v>0</v>
      </c>
      <c r="O2680" s="8">
        <f t="shared" si="11718"/>
        <v>0</v>
      </c>
      <c r="P2680" s="6" t="e">
        <v>#NUM!</v>
      </c>
      <c r="Q2680" s="8" t="e">
        <f t="shared" ref="Q2680" si="11748">IF(COUNTIF(P2672:P2682,"&lt;"&amp;-0.001)=0,IF(ABS(P2680)&lt;0.001,0,P2680)," ")</f>
        <v>#NUM!</v>
      </c>
      <c r="R2680" s="8"/>
      <c r="S2680" s="8"/>
      <c r="U2680" s="34"/>
      <c r="V2680" s="34"/>
      <c r="W2680" s="34"/>
      <c r="X2680" s="34"/>
      <c r="Y2680" s="34"/>
      <c r="Z2680" s="34"/>
      <c r="AA2680" s="34"/>
      <c r="AB2680" s="34"/>
      <c r="AC2680" s="34"/>
      <c r="AD2680" s="34"/>
      <c r="AE2680" s="34"/>
      <c r="AF2680" s="34"/>
      <c r="AG2680" s="34"/>
      <c r="AH2680" s="34"/>
      <c r="AI2680" s="34"/>
      <c r="AJ2680" s="34"/>
      <c r="AK2680" s="34"/>
      <c r="AL2680" s="34"/>
      <c r="AM2680" s="34"/>
      <c r="AN2680" s="34"/>
      <c r="AO2680" s="34"/>
      <c r="AP2680" s="34"/>
      <c r="AQ2680" s="34"/>
      <c r="AR2680" s="34"/>
      <c r="AS2680" s="34"/>
      <c r="AT2680" s="34"/>
      <c r="AU2680" s="34"/>
      <c r="AV2680" s="34"/>
      <c r="AW2680" s="34"/>
      <c r="AX2680" s="34"/>
      <c r="AY2680" s="34"/>
      <c r="AZ2680" s="34"/>
      <c r="BA2680" s="34"/>
      <c r="BB2680" s="34"/>
      <c r="BC2680" s="34"/>
      <c r="BD2680" s="34"/>
      <c r="BE2680" s="34"/>
      <c r="BF2680" s="34"/>
      <c r="BG2680" s="34"/>
      <c r="BH2680" s="34"/>
      <c r="BI2680" s="34"/>
      <c r="BJ2680" s="34"/>
      <c r="BK2680" s="34"/>
      <c r="BL2680" s="34"/>
      <c r="BM2680" s="34"/>
      <c r="BN2680" s="34"/>
      <c r="BO2680" s="34"/>
      <c r="BP2680" s="34"/>
      <c r="BQ2680" s="34"/>
      <c r="BR2680" s="34"/>
      <c r="BS2680" s="34"/>
      <c r="BT2680" s="34"/>
      <c r="BU2680" s="34"/>
      <c r="BV2680" s="34"/>
      <c r="BW2680" s="34"/>
      <c r="BX2680" s="34"/>
      <c r="BY2680" s="34"/>
      <c r="BZ2680" s="34"/>
      <c r="CA2680" s="34"/>
      <c r="CB2680" s="34"/>
      <c r="CC2680" s="34"/>
      <c r="CD2680" s="34"/>
      <c r="CE2680" s="34"/>
      <c r="CF2680" s="34"/>
      <c r="CG2680" s="34"/>
      <c r="CH2680" s="34"/>
    </row>
    <row r="2681" spans="1:86" x14ac:dyDescent="0.2">
      <c r="A2681" s="8" t="str">
        <f>IF(AND(COUNTIF(W$3:W$13,A$24)&gt;0,A$24&lt;&gt;B2578),A$24,IFERROR(IF(MATCH(A$24,Z$3:Z$13,0)=5,A$24," ")," "))</f>
        <v xml:space="preserve"> </v>
      </c>
      <c r="B2681" s="8" t="str">
        <f>IF(A2681=" "," ",MAX(B2672:B2680)+1)</f>
        <v xml:space="preserve"> </v>
      </c>
      <c r="C2681" s="8" t="str">
        <f>IFERROR(INDEX(A2672:A2693,MATCH(SMALL(B2672:B2693,10),B2672:B2693,0),1)," ")</f>
        <v>C20</v>
      </c>
      <c r="D2681" s="8">
        <f t="shared" si="11707"/>
        <v>0</v>
      </c>
      <c r="E2681" s="8">
        <f t="shared" si="11708"/>
        <v>0</v>
      </c>
      <c r="F2681" s="8">
        <f t="shared" si="11709"/>
        <v>0</v>
      </c>
      <c r="G2681" s="8">
        <f t="shared" si="11710"/>
        <v>0</v>
      </c>
      <c r="H2681" s="8">
        <f t="shared" si="11711"/>
        <v>0</v>
      </c>
      <c r="I2681" s="8">
        <f t="shared" si="11712"/>
        <v>0</v>
      </c>
      <c r="J2681" s="8">
        <f t="shared" si="11713"/>
        <v>0</v>
      </c>
      <c r="K2681" s="8">
        <f t="shared" si="11714"/>
        <v>0</v>
      </c>
      <c r="L2681" s="8">
        <f t="shared" si="11715"/>
        <v>1</v>
      </c>
      <c r="M2681" s="8">
        <f t="shared" si="11716"/>
        <v>0</v>
      </c>
      <c r="N2681" s="8">
        <f t="shared" si="11717"/>
        <v>0</v>
      </c>
      <c r="O2681" s="8">
        <f t="shared" si="11718"/>
        <v>0</v>
      </c>
      <c r="P2681" s="8" t="e">
        <v>#NUM!</v>
      </c>
      <c r="Q2681" s="8" t="e">
        <f t="shared" ref="Q2681" si="11749">IF(COUNTIF(P2672:P2682,"&lt;"&amp;-0.001)=0,IF(ABS(P2681)&lt;0.001,0,P2681)," ")</f>
        <v>#NUM!</v>
      </c>
      <c r="R2681" s="8"/>
      <c r="S2681" s="8"/>
      <c r="U2681" s="34"/>
      <c r="V2681" s="34"/>
      <c r="W2681" s="34"/>
      <c r="X2681" s="34"/>
      <c r="Y2681" s="34"/>
      <c r="Z2681" s="34"/>
      <c r="AA2681" s="34"/>
      <c r="AB2681" s="34"/>
      <c r="AC2681" s="34"/>
      <c r="AD2681" s="34"/>
      <c r="AE2681" s="34"/>
      <c r="AF2681" s="34"/>
      <c r="AG2681" s="34"/>
      <c r="AH2681" s="34"/>
      <c r="AI2681" s="34"/>
      <c r="AJ2681" s="34"/>
      <c r="AK2681" s="34"/>
      <c r="AL2681" s="34"/>
      <c r="AM2681" s="34"/>
      <c r="AN2681" s="34"/>
      <c r="AO2681" s="34"/>
      <c r="AP2681" s="34"/>
      <c r="AQ2681" s="34"/>
      <c r="AR2681" s="34"/>
      <c r="AS2681" s="34"/>
      <c r="AT2681" s="34"/>
      <c r="AU2681" s="34"/>
      <c r="AV2681" s="34"/>
      <c r="AW2681" s="34"/>
      <c r="AX2681" s="34"/>
      <c r="AY2681" s="34"/>
      <c r="AZ2681" s="34"/>
      <c r="BA2681" s="34"/>
      <c r="BB2681" s="34"/>
      <c r="BC2681" s="34"/>
      <c r="BD2681" s="34"/>
      <c r="BE2681" s="34"/>
      <c r="BF2681" s="34"/>
      <c r="BG2681" s="34"/>
      <c r="BH2681" s="34"/>
      <c r="BI2681" s="34"/>
      <c r="BJ2681" s="34"/>
      <c r="BK2681" s="34"/>
      <c r="BL2681" s="34"/>
      <c r="BM2681" s="34"/>
      <c r="BN2681" s="34"/>
      <c r="BO2681" s="34"/>
      <c r="BP2681" s="34"/>
      <c r="BQ2681" s="34"/>
      <c r="BR2681" s="34"/>
      <c r="BS2681" s="34"/>
      <c r="BT2681" s="34"/>
      <c r="BU2681" s="34"/>
      <c r="BV2681" s="34"/>
      <c r="BW2681" s="34"/>
      <c r="BX2681" s="34"/>
      <c r="BY2681" s="34"/>
      <c r="BZ2681" s="34"/>
      <c r="CA2681" s="34"/>
      <c r="CB2681" s="34"/>
      <c r="CC2681" s="34"/>
      <c r="CD2681" s="34"/>
      <c r="CE2681" s="34"/>
      <c r="CF2681" s="34"/>
      <c r="CG2681" s="34"/>
      <c r="CH2681" s="34"/>
    </row>
    <row r="2682" spans="1:86" x14ac:dyDescent="0.2">
      <c r="A2682" s="8" t="str">
        <f>IF(AND(COUNTIF(W$3:W$13,A$25)&gt;0,A$25&lt;&gt;B2578),A$25,IFERROR(IF(MATCH(A$25,Z$3:Z$13,0)=5,A$25," ")," "))</f>
        <v xml:space="preserve"> </v>
      </c>
      <c r="B2682" s="8" t="str">
        <f>IF(A2682=" "," ",MAX(B2672:B2681)+1)</f>
        <v xml:space="preserve"> </v>
      </c>
      <c r="C2682" s="8" t="str">
        <f>IFERROR(INDEX(A2672:A2693,MATCH(SMALL(B2672:B2693,11),B2672:B2693,0),1)," ")</f>
        <v>C21</v>
      </c>
      <c r="D2682" s="8">
        <f t="shared" si="11707"/>
        <v>0</v>
      </c>
      <c r="E2682" s="8">
        <f t="shared" si="11708"/>
        <v>0</v>
      </c>
      <c r="F2682" s="8">
        <f t="shared" si="11709"/>
        <v>0</v>
      </c>
      <c r="G2682" s="8">
        <f t="shared" si="11710"/>
        <v>0</v>
      </c>
      <c r="H2682" s="8">
        <f t="shared" si="11711"/>
        <v>0</v>
      </c>
      <c r="I2682" s="8">
        <f t="shared" si="11712"/>
        <v>0</v>
      </c>
      <c r="J2682" s="8">
        <f t="shared" si="11713"/>
        <v>0</v>
      </c>
      <c r="K2682" s="8">
        <f t="shared" si="11714"/>
        <v>0</v>
      </c>
      <c r="L2682" s="8">
        <f t="shared" si="11715"/>
        <v>0</v>
      </c>
      <c r="M2682" s="8">
        <f t="shared" si="11716"/>
        <v>1</v>
      </c>
      <c r="N2682" s="8">
        <f t="shared" si="11717"/>
        <v>0</v>
      </c>
      <c r="O2682" s="8">
        <f t="shared" si="11718"/>
        <v>0</v>
      </c>
      <c r="P2682" s="8" t="e">
        <v>#NUM!</v>
      </c>
      <c r="Q2682" s="8" t="e">
        <f t="shared" ref="Q2682" si="11750">IF(COUNTIF(P2672:P2682,"&lt;"&amp;-0.001)=0,IF(ABS(P2682)&lt;0.001,0,P2682)," ")</f>
        <v>#NUM!</v>
      </c>
      <c r="R2682" s="8"/>
      <c r="S2682" s="8"/>
      <c r="U2682" s="34"/>
      <c r="V2682" s="34"/>
      <c r="W2682" s="34"/>
      <c r="X2682" s="34"/>
      <c r="Y2682" s="34"/>
      <c r="Z2682" s="34"/>
      <c r="AA2682" s="34"/>
      <c r="AB2682" s="34"/>
      <c r="AC2682" s="34"/>
      <c r="AD2682" s="34"/>
      <c r="AE2682" s="34"/>
      <c r="AF2682" s="34"/>
      <c r="AG2682" s="34"/>
      <c r="AH2682" s="34"/>
      <c r="AI2682" s="34"/>
      <c r="AJ2682" s="34"/>
      <c r="AK2682" s="34"/>
      <c r="AL2682" s="34"/>
      <c r="AM2682" s="34"/>
      <c r="AN2682" s="34"/>
      <c r="AO2682" s="34"/>
      <c r="AP2682" s="34"/>
      <c r="AQ2682" s="34"/>
      <c r="AR2682" s="34"/>
      <c r="AS2682" s="34"/>
      <c r="AT2682" s="34"/>
      <c r="AU2682" s="34"/>
      <c r="AV2682" s="34"/>
      <c r="AW2682" s="34"/>
      <c r="AX2682" s="34"/>
      <c r="AY2682" s="34"/>
      <c r="AZ2682" s="34"/>
      <c r="BA2682" s="34"/>
      <c r="BB2682" s="34"/>
      <c r="BC2682" s="34"/>
      <c r="BD2682" s="34"/>
      <c r="BE2682" s="34"/>
      <c r="BF2682" s="34"/>
      <c r="BG2682" s="34"/>
      <c r="BH2682" s="34"/>
      <c r="BI2682" s="34"/>
      <c r="BJ2682" s="34"/>
      <c r="BK2682" s="34"/>
      <c r="BL2682" s="34"/>
      <c r="BM2682" s="34"/>
      <c r="BN2682" s="34"/>
      <c r="BO2682" s="34"/>
      <c r="BP2682" s="34"/>
      <c r="BQ2682" s="34"/>
      <c r="BR2682" s="34"/>
      <c r="BS2682" s="34"/>
      <c r="BT2682" s="34"/>
      <c r="BU2682" s="34"/>
      <c r="BV2682" s="34"/>
      <c r="BW2682" s="34"/>
      <c r="BX2682" s="34"/>
      <c r="BY2682" s="34"/>
      <c r="BZ2682" s="34"/>
      <c r="CA2682" s="34"/>
      <c r="CB2682" s="34"/>
      <c r="CC2682" s="34"/>
      <c r="CD2682" s="34"/>
      <c r="CE2682" s="34"/>
      <c r="CF2682" s="34"/>
      <c r="CG2682" s="34"/>
      <c r="CH2682" s="34"/>
    </row>
    <row r="2683" spans="1:86" x14ac:dyDescent="0.2">
      <c r="A2683" s="8" t="str">
        <f>IF(AND(COUNTIF(W$3:W$13,A$26)&gt;0,A$26&lt;&gt;B2578),A$26,IFERROR(IF(MATCH(A$26,Z$3:Z$13,0)=5,A$26," ")," "))</f>
        <v xml:space="preserve"> </v>
      </c>
      <c r="B2683" s="8" t="str">
        <f>IF(A2683=" "," ",MAX(B2672:B2682)+1)</f>
        <v xml:space="preserve"> </v>
      </c>
      <c r="C2683" s="8"/>
      <c r="D2683" s="8"/>
      <c r="E2683" s="8"/>
      <c r="F2683" s="8"/>
      <c r="G2683" s="8"/>
      <c r="H2683" s="8"/>
      <c r="I2683" s="8"/>
      <c r="J2683" s="8"/>
      <c r="K2683" s="8"/>
      <c r="L2683" s="8"/>
      <c r="M2683" s="8"/>
      <c r="N2683" s="8"/>
      <c r="O2683" s="8"/>
      <c r="P2683" s="8"/>
      <c r="Q2683" s="8"/>
      <c r="R2683" s="8"/>
      <c r="S2683" s="8"/>
      <c r="U2683" s="34"/>
      <c r="V2683" s="34"/>
      <c r="W2683" s="34"/>
      <c r="X2683" s="34"/>
      <c r="Y2683" s="34"/>
      <c r="Z2683" s="34"/>
      <c r="AA2683" s="34"/>
      <c r="AB2683" s="34"/>
      <c r="AC2683" s="34"/>
      <c r="AD2683" s="34"/>
      <c r="AE2683" s="34"/>
      <c r="AF2683" s="34"/>
      <c r="AG2683" s="34"/>
      <c r="AH2683" s="34"/>
      <c r="AI2683" s="34"/>
      <c r="AJ2683" s="34"/>
      <c r="AK2683" s="34"/>
      <c r="AL2683" s="34"/>
      <c r="AM2683" s="34"/>
      <c r="AN2683" s="34"/>
      <c r="AO2683" s="34"/>
      <c r="AP2683" s="34"/>
      <c r="AQ2683" s="34"/>
      <c r="AR2683" s="34"/>
      <c r="AS2683" s="34"/>
      <c r="AT2683" s="34"/>
      <c r="AU2683" s="34"/>
      <c r="AV2683" s="34"/>
      <c r="AW2683" s="34"/>
      <c r="AX2683" s="34"/>
      <c r="AY2683" s="34"/>
      <c r="AZ2683" s="34"/>
      <c r="BA2683" s="34"/>
      <c r="BB2683" s="34"/>
      <c r="BC2683" s="34"/>
      <c r="BD2683" s="34"/>
      <c r="BE2683" s="34"/>
      <c r="BF2683" s="34"/>
      <c r="BG2683" s="34"/>
      <c r="BH2683" s="34"/>
      <c r="BI2683" s="34"/>
      <c r="BJ2683" s="34"/>
      <c r="BK2683" s="34"/>
      <c r="BL2683" s="34"/>
      <c r="BM2683" s="34"/>
      <c r="BN2683" s="34"/>
      <c r="BO2683" s="34"/>
      <c r="BP2683" s="34"/>
      <c r="BQ2683" s="34"/>
      <c r="BR2683" s="34"/>
      <c r="BS2683" s="34"/>
      <c r="BT2683" s="34"/>
      <c r="BU2683" s="34"/>
      <c r="BV2683" s="34"/>
      <c r="BW2683" s="34"/>
      <c r="BX2683" s="34"/>
      <c r="BY2683" s="34"/>
      <c r="BZ2683" s="34"/>
      <c r="CA2683" s="34"/>
      <c r="CB2683" s="34"/>
      <c r="CC2683" s="34"/>
      <c r="CD2683" s="34"/>
      <c r="CE2683" s="34"/>
      <c r="CF2683" s="34"/>
      <c r="CG2683" s="34"/>
      <c r="CH2683" s="34"/>
    </row>
    <row r="2684" spans="1:86" x14ac:dyDescent="0.2">
      <c r="A2684" s="8" t="str">
        <f>IF(AND(COUNTIF(W$3:W$13,A$27)&gt;0,A$27&lt;&gt;B2578),A$27,IFERROR(IF(MATCH(A$27,Z$3:Z$13,0)=5,A$27," ")," "))</f>
        <v>C13</v>
      </c>
      <c r="B2684" s="8">
        <f>IF(A2684=" "," ",MAX(B2672:B2683)+1)</f>
        <v>4</v>
      </c>
      <c r="C2684" s="8"/>
      <c r="D2684" s="8"/>
      <c r="E2684" s="8"/>
      <c r="F2684" s="8"/>
      <c r="G2684" s="8"/>
      <c r="H2684" s="8"/>
      <c r="I2684" s="8"/>
      <c r="J2684" s="8"/>
      <c r="K2684" s="8"/>
      <c r="L2684" s="8"/>
      <c r="M2684" s="8"/>
      <c r="N2684" s="8"/>
      <c r="O2684" s="8"/>
      <c r="P2684" s="8"/>
      <c r="Q2684" s="8"/>
      <c r="R2684" s="8"/>
      <c r="S2684" s="8"/>
      <c r="U2684" s="34"/>
      <c r="V2684" s="34"/>
      <c r="W2684" s="34"/>
      <c r="X2684" s="34"/>
      <c r="Y2684" s="34"/>
      <c r="Z2684" s="34"/>
      <c r="AA2684" s="34"/>
      <c r="AB2684" s="34"/>
      <c r="AC2684" s="34"/>
      <c r="AD2684" s="34"/>
      <c r="AE2684" s="34"/>
      <c r="AF2684" s="34"/>
      <c r="AG2684" s="34"/>
      <c r="AH2684" s="34"/>
      <c r="AI2684" s="34"/>
      <c r="AJ2684" s="34"/>
      <c r="AK2684" s="34"/>
      <c r="AL2684" s="34"/>
      <c r="AM2684" s="34"/>
      <c r="AN2684" s="34"/>
      <c r="AO2684" s="34"/>
      <c r="AP2684" s="34"/>
      <c r="AQ2684" s="34"/>
      <c r="AR2684" s="34"/>
      <c r="AS2684" s="34"/>
      <c r="AT2684" s="34"/>
      <c r="AU2684" s="34"/>
      <c r="AV2684" s="34"/>
      <c r="AW2684" s="34"/>
      <c r="AX2684" s="34"/>
      <c r="AY2684" s="34"/>
      <c r="AZ2684" s="34"/>
      <c r="BA2684" s="34"/>
      <c r="BB2684" s="34"/>
      <c r="BC2684" s="34"/>
      <c r="BD2684" s="34"/>
      <c r="BE2684" s="34"/>
      <c r="BF2684" s="34"/>
      <c r="BG2684" s="34"/>
      <c r="BH2684" s="34"/>
      <c r="BI2684" s="34"/>
      <c r="BJ2684" s="34"/>
      <c r="BK2684" s="34"/>
      <c r="BL2684" s="34"/>
      <c r="BM2684" s="34"/>
      <c r="BN2684" s="34"/>
      <c r="BO2684" s="34"/>
      <c r="BP2684" s="34"/>
      <c r="BQ2684" s="34"/>
      <c r="BR2684" s="34"/>
      <c r="BS2684" s="34"/>
      <c r="BT2684" s="34"/>
      <c r="BU2684" s="34"/>
      <c r="BV2684" s="34"/>
      <c r="BW2684" s="34"/>
      <c r="BX2684" s="34"/>
      <c r="BY2684" s="34"/>
      <c r="BZ2684" s="34"/>
      <c r="CA2684" s="34"/>
      <c r="CB2684" s="34"/>
      <c r="CC2684" s="34"/>
      <c r="CD2684" s="34"/>
      <c r="CE2684" s="34"/>
      <c r="CF2684" s="34"/>
      <c r="CG2684" s="34"/>
      <c r="CH2684" s="34"/>
    </row>
    <row r="2685" spans="1:86" x14ac:dyDescent="0.2">
      <c r="A2685" s="8" t="str">
        <f>IF(AND(COUNTIF(W$3:W$13,A$28)&gt;0,A$28&lt;&gt;B2578),A$28,IFERROR(IF(MATCH(A$28,Z$3:Z$13,0)=5,A$28," ")," "))</f>
        <v xml:space="preserve"> </v>
      </c>
      <c r="B2685" s="8" t="str">
        <f>IF(A2685=" "," ",MAX(B2672:B2684)+1)</f>
        <v xml:space="preserve"> </v>
      </c>
      <c r="C2685" s="8"/>
      <c r="D2685" s="8"/>
      <c r="E2685" s="8"/>
      <c r="F2685" s="8"/>
      <c r="G2685" s="8"/>
      <c r="H2685" s="8"/>
      <c r="I2685" s="8"/>
      <c r="J2685" s="8"/>
      <c r="K2685" s="8"/>
      <c r="L2685" s="8"/>
      <c r="M2685" s="8"/>
      <c r="N2685" s="8"/>
      <c r="O2685" s="8"/>
      <c r="P2685" s="8"/>
      <c r="Q2685" s="8"/>
      <c r="R2685" s="8"/>
      <c r="S2685" s="8"/>
      <c r="U2685" s="34"/>
      <c r="V2685" s="34"/>
      <c r="W2685" s="34"/>
      <c r="X2685" s="34"/>
      <c r="Y2685" s="34"/>
      <c r="Z2685" s="34"/>
      <c r="AA2685" s="34"/>
      <c r="AB2685" s="34"/>
      <c r="AC2685" s="34"/>
      <c r="AD2685" s="34"/>
      <c r="AE2685" s="34"/>
      <c r="AF2685" s="34"/>
      <c r="AG2685" s="34"/>
      <c r="AH2685" s="34"/>
      <c r="AI2685" s="34"/>
      <c r="AJ2685" s="34"/>
      <c r="AK2685" s="34"/>
      <c r="AL2685" s="34"/>
      <c r="AM2685" s="34"/>
      <c r="AN2685" s="34"/>
      <c r="AO2685" s="34"/>
      <c r="AP2685" s="34"/>
      <c r="AQ2685" s="34"/>
      <c r="AR2685" s="34"/>
      <c r="AS2685" s="34"/>
      <c r="AT2685" s="34"/>
      <c r="AU2685" s="34"/>
      <c r="AV2685" s="34"/>
      <c r="AW2685" s="34"/>
      <c r="AX2685" s="34"/>
      <c r="AY2685" s="34"/>
      <c r="AZ2685" s="34"/>
      <c r="BA2685" s="34"/>
      <c r="BB2685" s="34"/>
      <c r="BC2685" s="34"/>
      <c r="BD2685" s="34"/>
      <c r="BE2685" s="34"/>
      <c r="BF2685" s="34"/>
      <c r="BG2685" s="34"/>
      <c r="BH2685" s="34"/>
      <c r="BI2685" s="34"/>
      <c r="BJ2685" s="34"/>
      <c r="BK2685" s="34"/>
      <c r="BL2685" s="34"/>
      <c r="BM2685" s="34"/>
      <c r="BN2685" s="34"/>
      <c r="BO2685" s="34"/>
      <c r="BP2685" s="34"/>
      <c r="BQ2685" s="34"/>
      <c r="BR2685" s="34"/>
      <c r="BS2685" s="34"/>
      <c r="BT2685" s="34"/>
      <c r="BU2685" s="34"/>
      <c r="BV2685" s="34"/>
      <c r="BW2685" s="34"/>
      <c r="BX2685" s="34"/>
      <c r="BY2685" s="34"/>
      <c r="BZ2685" s="34"/>
      <c r="CA2685" s="34"/>
      <c r="CB2685" s="34"/>
      <c r="CC2685" s="34"/>
      <c r="CD2685" s="34"/>
      <c r="CE2685" s="34"/>
      <c r="CF2685" s="34"/>
      <c r="CG2685" s="34"/>
      <c r="CH2685" s="34"/>
    </row>
    <row r="2686" spans="1:86" x14ac:dyDescent="0.2">
      <c r="A2686" s="8" t="str">
        <f>IF(AND(COUNTIF(W$3:W$13,A$29)&gt;0,A$29&lt;&gt;B2578),A$29,IFERROR(IF(MATCH(A$29,Z$3:Z$13,0)=5,A$29," ")," "))</f>
        <v>C15</v>
      </c>
      <c r="B2686" s="8">
        <f>IF(A2686=" "," ",MAX(B2672:B2685)+1)</f>
        <v>5</v>
      </c>
      <c r="C2686" s="8"/>
      <c r="D2686" s="8"/>
      <c r="E2686" s="8"/>
      <c r="F2686" s="8"/>
      <c r="G2686" s="8"/>
      <c r="H2686" s="8"/>
      <c r="I2686" s="8"/>
      <c r="J2686" s="8"/>
      <c r="K2686" s="8"/>
      <c r="L2686" s="8"/>
      <c r="M2686" s="8"/>
      <c r="N2686" s="8"/>
      <c r="O2686" s="8"/>
      <c r="P2686" s="8"/>
      <c r="Q2686" s="8"/>
      <c r="R2686" s="8"/>
      <c r="S2686" s="8"/>
      <c r="U2686" s="34"/>
      <c r="V2686" s="34"/>
      <c r="W2686" s="34"/>
      <c r="X2686" s="34"/>
      <c r="Y2686" s="34"/>
      <c r="Z2686" s="34"/>
      <c r="AA2686" s="34"/>
      <c r="AB2686" s="34"/>
      <c r="AC2686" s="34"/>
      <c r="AD2686" s="34"/>
      <c r="AE2686" s="34"/>
      <c r="AF2686" s="34"/>
      <c r="AG2686" s="34"/>
      <c r="AH2686" s="34"/>
      <c r="AI2686" s="34"/>
      <c r="AJ2686" s="34"/>
      <c r="AK2686" s="34"/>
      <c r="AL2686" s="34"/>
      <c r="AM2686" s="34"/>
      <c r="AN2686" s="34"/>
      <c r="AO2686" s="34"/>
      <c r="AP2686" s="34"/>
      <c r="AQ2686" s="34"/>
      <c r="AR2686" s="34"/>
      <c r="AS2686" s="34"/>
      <c r="AT2686" s="34"/>
      <c r="AU2686" s="34"/>
      <c r="AV2686" s="34"/>
      <c r="AW2686" s="34"/>
      <c r="AX2686" s="34"/>
      <c r="AY2686" s="34"/>
      <c r="AZ2686" s="34"/>
      <c r="BA2686" s="34"/>
      <c r="BB2686" s="34"/>
      <c r="BC2686" s="34"/>
      <c r="BD2686" s="34"/>
      <c r="BE2686" s="34"/>
      <c r="BF2686" s="34"/>
      <c r="BG2686" s="34"/>
      <c r="BH2686" s="34"/>
      <c r="BI2686" s="34"/>
      <c r="BJ2686" s="34"/>
      <c r="BK2686" s="34"/>
      <c r="BL2686" s="34"/>
      <c r="BM2686" s="34"/>
      <c r="BN2686" s="34"/>
      <c r="BO2686" s="34"/>
      <c r="BP2686" s="34"/>
      <c r="BQ2686" s="34"/>
      <c r="BR2686" s="34"/>
      <c r="BS2686" s="34"/>
      <c r="BT2686" s="34"/>
      <c r="BU2686" s="34"/>
      <c r="BV2686" s="34"/>
      <c r="BW2686" s="34"/>
      <c r="BX2686" s="34"/>
      <c r="BY2686" s="34"/>
      <c r="BZ2686" s="34"/>
      <c r="CA2686" s="34"/>
      <c r="CB2686" s="34"/>
      <c r="CC2686" s="34"/>
      <c r="CD2686" s="34"/>
      <c r="CE2686" s="34"/>
      <c r="CF2686" s="34"/>
      <c r="CG2686" s="34"/>
      <c r="CH2686" s="34"/>
    </row>
    <row r="2687" spans="1:86" x14ac:dyDescent="0.2">
      <c r="A2687" s="8" t="str">
        <f>IF(AND(COUNTIF(W$3:W$13,A$30)&gt;0,A$30&lt;&gt;B2578),A$30,IFERROR(IF(MATCH(A$30,Z$3:Z$13,0)=5,A$30," ")," "))</f>
        <v>C16</v>
      </c>
      <c r="B2687" s="8">
        <f>IF(A2687=" "," ",MAX(B2672:B2686)+1)</f>
        <v>6</v>
      </c>
      <c r="C2687" s="8"/>
      <c r="D2687" s="8"/>
      <c r="E2687" s="8"/>
      <c r="F2687" s="8"/>
      <c r="G2687" s="8"/>
      <c r="H2687" s="8"/>
      <c r="I2687" s="8"/>
      <c r="J2687" s="8"/>
      <c r="K2687" s="8"/>
      <c r="L2687" s="8"/>
      <c r="M2687" s="8"/>
      <c r="N2687" s="8"/>
      <c r="O2687" s="8"/>
      <c r="P2687" s="8"/>
      <c r="Q2687" s="8"/>
      <c r="R2687" s="8"/>
      <c r="S2687" s="8"/>
      <c r="U2687" s="34"/>
      <c r="V2687" s="34"/>
      <c r="W2687" s="34"/>
      <c r="X2687" s="34"/>
      <c r="Y2687" s="34"/>
      <c r="Z2687" s="34"/>
      <c r="AA2687" s="34"/>
      <c r="AB2687" s="34"/>
      <c r="AC2687" s="34"/>
      <c r="AD2687" s="34"/>
      <c r="AE2687" s="34"/>
      <c r="AF2687" s="34"/>
      <c r="AG2687" s="34"/>
      <c r="AH2687" s="34"/>
      <c r="AI2687" s="34"/>
      <c r="AJ2687" s="34"/>
      <c r="AK2687" s="34"/>
      <c r="AL2687" s="34"/>
      <c r="AM2687" s="34"/>
      <c r="AN2687" s="34"/>
      <c r="AO2687" s="34"/>
      <c r="AP2687" s="34"/>
      <c r="AQ2687" s="34"/>
      <c r="AR2687" s="34"/>
      <c r="AS2687" s="34"/>
      <c r="AT2687" s="34"/>
      <c r="AU2687" s="34"/>
      <c r="AV2687" s="34"/>
      <c r="AW2687" s="34"/>
      <c r="AX2687" s="34"/>
      <c r="AY2687" s="34"/>
      <c r="AZ2687" s="34"/>
      <c r="BA2687" s="34"/>
      <c r="BB2687" s="34"/>
      <c r="BC2687" s="34"/>
      <c r="BD2687" s="34"/>
      <c r="BE2687" s="34"/>
      <c r="BF2687" s="34"/>
      <c r="BG2687" s="34"/>
      <c r="BH2687" s="34"/>
      <c r="BI2687" s="34"/>
      <c r="BJ2687" s="34"/>
      <c r="BK2687" s="34"/>
      <c r="BL2687" s="34"/>
      <c r="BM2687" s="34"/>
      <c r="BN2687" s="34"/>
      <c r="BO2687" s="34"/>
      <c r="BP2687" s="34"/>
      <c r="BQ2687" s="34"/>
      <c r="BR2687" s="34"/>
      <c r="BS2687" s="34"/>
      <c r="BT2687" s="34"/>
      <c r="BU2687" s="34"/>
      <c r="BV2687" s="34"/>
      <c r="BW2687" s="34"/>
      <c r="BX2687" s="34"/>
      <c r="BY2687" s="34"/>
      <c r="BZ2687" s="34"/>
      <c r="CA2687" s="34"/>
      <c r="CB2687" s="34"/>
      <c r="CC2687" s="34"/>
      <c r="CD2687" s="34"/>
      <c r="CE2687" s="34"/>
      <c r="CF2687" s="34"/>
      <c r="CG2687" s="34"/>
      <c r="CH2687" s="34"/>
    </row>
    <row r="2688" spans="1:86" x14ac:dyDescent="0.2">
      <c r="A2688" s="8" t="str">
        <f>IF(AND(COUNTIF(W$3:W$13,A$31)&gt;0,A$31&lt;&gt;B2578),A$31,IFERROR(IF(MATCH(A$31,Z$3:Z$13,0)=5,A$31," ")," "))</f>
        <v>C17</v>
      </c>
      <c r="B2688" s="8">
        <f>IF(A2688=" "," ",MAX(B2672:B2687)+1)</f>
        <v>7</v>
      </c>
      <c r="C2688" s="8"/>
      <c r="D2688" s="8"/>
      <c r="E2688" s="8"/>
      <c r="F2688" s="8"/>
      <c r="G2688" s="8"/>
      <c r="H2688" s="8"/>
      <c r="I2688" s="8"/>
      <c r="J2688" s="8"/>
      <c r="K2688" s="8"/>
      <c r="L2688" s="8"/>
      <c r="M2688" s="8"/>
      <c r="N2688" s="8"/>
      <c r="O2688" s="8"/>
      <c r="P2688" s="8"/>
      <c r="Q2688" s="8"/>
      <c r="R2688" s="8"/>
      <c r="S2688" s="8"/>
      <c r="U2688" s="34"/>
      <c r="V2688" s="34"/>
      <c r="W2688" s="34"/>
      <c r="X2688" s="34"/>
      <c r="Y2688" s="34"/>
      <c r="Z2688" s="34"/>
      <c r="AA2688" s="34"/>
      <c r="AB2688" s="34"/>
      <c r="AC2688" s="34"/>
      <c r="AD2688" s="34"/>
      <c r="AE2688" s="34"/>
      <c r="AF2688" s="34"/>
      <c r="AG2688" s="34"/>
      <c r="AH2688" s="34"/>
      <c r="AI2688" s="34"/>
      <c r="AJ2688" s="34"/>
      <c r="AK2688" s="34"/>
      <c r="AL2688" s="34"/>
      <c r="AM2688" s="34"/>
      <c r="AN2688" s="34"/>
      <c r="AO2688" s="34"/>
      <c r="AP2688" s="34"/>
      <c r="AQ2688" s="34"/>
      <c r="AR2688" s="34"/>
      <c r="AS2688" s="34"/>
      <c r="AT2688" s="34"/>
      <c r="AU2688" s="34"/>
      <c r="AV2688" s="34"/>
      <c r="AW2688" s="34"/>
      <c r="AX2688" s="34"/>
      <c r="AY2688" s="34"/>
      <c r="AZ2688" s="34"/>
      <c r="BA2688" s="34"/>
      <c r="BB2688" s="34"/>
      <c r="BC2688" s="34"/>
      <c r="BD2688" s="34"/>
      <c r="BE2688" s="34"/>
      <c r="BF2688" s="34"/>
      <c r="BG2688" s="34"/>
      <c r="BH2688" s="34"/>
      <c r="BI2688" s="34"/>
      <c r="BJ2688" s="34"/>
      <c r="BK2688" s="34"/>
      <c r="BL2688" s="34"/>
      <c r="BM2688" s="34"/>
      <c r="BN2688" s="34"/>
      <c r="BO2688" s="34"/>
      <c r="BP2688" s="34"/>
      <c r="BQ2688" s="34"/>
      <c r="BR2688" s="34"/>
      <c r="BS2688" s="34"/>
      <c r="BT2688" s="34"/>
      <c r="BU2688" s="34"/>
      <c r="BV2688" s="34"/>
      <c r="BW2688" s="34"/>
      <c r="BX2688" s="34"/>
      <c r="BY2688" s="34"/>
      <c r="BZ2688" s="34"/>
      <c r="CA2688" s="34"/>
      <c r="CB2688" s="34"/>
      <c r="CC2688" s="34"/>
      <c r="CD2688" s="34"/>
      <c r="CE2688" s="34"/>
      <c r="CF2688" s="34"/>
      <c r="CG2688" s="34"/>
      <c r="CH2688" s="34"/>
    </row>
    <row r="2689" spans="1:86" x14ac:dyDescent="0.2">
      <c r="A2689" s="8" t="str">
        <f>IF(AND(COUNTIF(W$3:W$13,A$32)&gt;0,A$32&lt;&gt;B2578),A$32,IFERROR(IF(MATCH(A$32,Z$3:Z$13,0)=5,A$32," ")," "))</f>
        <v>C18</v>
      </c>
      <c r="B2689" s="8">
        <f>IF(A2689=" "," ",MAX(B2672:B2688)+1)</f>
        <v>8</v>
      </c>
      <c r="C2689" s="8"/>
      <c r="D2689" s="8"/>
      <c r="E2689" s="8"/>
      <c r="F2689" s="8"/>
      <c r="G2689" s="8"/>
      <c r="H2689" s="8"/>
      <c r="I2689" s="8"/>
      <c r="J2689" s="8"/>
      <c r="K2689" s="8"/>
      <c r="L2689" s="8"/>
      <c r="M2689" s="8"/>
      <c r="N2689" s="8"/>
      <c r="O2689" s="8"/>
      <c r="P2689" s="8"/>
      <c r="Q2689" s="8"/>
      <c r="R2689" s="8"/>
      <c r="S2689" s="8"/>
      <c r="U2689" s="34"/>
      <c r="V2689" s="34"/>
      <c r="W2689" s="34"/>
      <c r="X2689" s="34"/>
      <c r="Y2689" s="34"/>
      <c r="Z2689" s="34"/>
      <c r="AA2689" s="34"/>
      <c r="AB2689" s="34"/>
      <c r="AC2689" s="34"/>
      <c r="AD2689" s="34"/>
      <c r="AE2689" s="34"/>
      <c r="AF2689" s="34"/>
      <c r="AG2689" s="34"/>
      <c r="AH2689" s="34"/>
      <c r="AI2689" s="34"/>
      <c r="AJ2689" s="34"/>
      <c r="AK2689" s="34"/>
      <c r="AL2689" s="34"/>
      <c r="AM2689" s="34"/>
      <c r="AN2689" s="34"/>
      <c r="AO2689" s="34"/>
      <c r="AP2689" s="34"/>
      <c r="AQ2689" s="34"/>
      <c r="AR2689" s="34"/>
      <c r="AS2689" s="34"/>
      <c r="AT2689" s="34"/>
      <c r="AU2689" s="34"/>
      <c r="AV2689" s="34"/>
      <c r="AW2689" s="34"/>
      <c r="AX2689" s="34"/>
      <c r="AY2689" s="34"/>
      <c r="AZ2689" s="34"/>
      <c r="BA2689" s="34"/>
      <c r="BB2689" s="34"/>
      <c r="BC2689" s="34"/>
      <c r="BD2689" s="34"/>
      <c r="BE2689" s="34"/>
      <c r="BF2689" s="34"/>
      <c r="BG2689" s="34"/>
      <c r="BH2689" s="34"/>
      <c r="BI2689" s="34"/>
      <c r="BJ2689" s="34"/>
      <c r="BK2689" s="34"/>
      <c r="BL2689" s="34"/>
      <c r="BM2689" s="34"/>
      <c r="BN2689" s="34"/>
      <c r="BO2689" s="34"/>
      <c r="BP2689" s="34"/>
      <c r="BQ2689" s="34"/>
      <c r="BR2689" s="34"/>
      <c r="BS2689" s="34"/>
      <c r="BT2689" s="34"/>
      <c r="BU2689" s="34"/>
      <c r="BV2689" s="34"/>
      <c r="BW2689" s="34"/>
      <c r="BX2689" s="34"/>
      <c r="BY2689" s="34"/>
      <c r="BZ2689" s="34"/>
      <c r="CA2689" s="34"/>
      <c r="CB2689" s="34"/>
      <c r="CC2689" s="34"/>
      <c r="CD2689" s="34"/>
      <c r="CE2689" s="34"/>
      <c r="CF2689" s="34"/>
      <c r="CG2689" s="34"/>
      <c r="CH2689" s="34"/>
    </row>
    <row r="2690" spans="1:86" x14ac:dyDescent="0.2">
      <c r="A2690" s="8" t="str">
        <f>IF(AND(COUNTIF(W$3:W$13,A$33)&gt;0,A$33&lt;&gt;B2578),A$33,IFERROR(IF(MATCH(A$33,Z$3:Z$13,0)=5,A$33," ")," "))</f>
        <v>C19</v>
      </c>
      <c r="B2690" s="8">
        <f>IF(A2690=" "," ",MAX(B2672:B2689)+1)</f>
        <v>9</v>
      </c>
      <c r="C2690" s="8"/>
      <c r="D2690" s="8"/>
      <c r="E2690" s="8"/>
      <c r="F2690" s="8"/>
      <c r="G2690" s="8"/>
      <c r="H2690" s="8"/>
      <c r="I2690" s="8"/>
      <c r="J2690" s="8"/>
      <c r="K2690" s="8"/>
      <c r="L2690" s="8"/>
      <c r="M2690" s="8"/>
      <c r="N2690" s="8"/>
      <c r="O2690" s="8"/>
      <c r="P2690" s="8"/>
      <c r="Q2690" s="8"/>
      <c r="R2690" s="8"/>
      <c r="S2690" s="8"/>
      <c r="U2690" s="34"/>
      <c r="V2690" s="34"/>
      <c r="W2690" s="34"/>
      <c r="X2690" s="34"/>
      <c r="Y2690" s="34"/>
      <c r="Z2690" s="34"/>
      <c r="AA2690" s="34"/>
      <c r="AB2690" s="34"/>
      <c r="AC2690" s="34"/>
      <c r="AD2690" s="34"/>
      <c r="AE2690" s="34"/>
      <c r="AF2690" s="34"/>
      <c r="AG2690" s="34"/>
      <c r="AH2690" s="34"/>
      <c r="AI2690" s="34"/>
      <c r="AJ2690" s="34"/>
      <c r="AK2690" s="34"/>
      <c r="AL2690" s="34"/>
      <c r="AM2690" s="34"/>
      <c r="AN2690" s="34"/>
      <c r="AO2690" s="34"/>
      <c r="AP2690" s="34"/>
      <c r="AQ2690" s="34"/>
      <c r="AR2690" s="34"/>
      <c r="AS2690" s="34"/>
      <c r="AT2690" s="34"/>
      <c r="AU2690" s="34"/>
      <c r="AV2690" s="34"/>
      <c r="AW2690" s="34"/>
      <c r="AX2690" s="34"/>
      <c r="AY2690" s="34"/>
      <c r="AZ2690" s="34"/>
      <c r="BA2690" s="34"/>
      <c r="BB2690" s="34"/>
      <c r="BC2690" s="34"/>
      <c r="BD2690" s="34"/>
      <c r="BE2690" s="34"/>
      <c r="BF2690" s="34"/>
      <c r="BG2690" s="34"/>
      <c r="BH2690" s="34"/>
      <c r="BI2690" s="34"/>
      <c r="BJ2690" s="34"/>
      <c r="BK2690" s="34"/>
      <c r="BL2690" s="34"/>
      <c r="BM2690" s="34"/>
      <c r="BN2690" s="34"/>
      <c r="BO2690" s="34"/>
      <c r="BP2690" s="34"/>
      <c r="BQ2690" s="34"/>
      <c r="BR2690" s="34"/>
      <c r="BS2690" s="34"/>
      <c r="BT2690" s="34"/>
      <c r="BU2690" s="34"/>
      <c r="BV2690" s="34"/>
      <c r="BW2690" s="34"/>
      <c r="BX2690" s="34"/>
      <c r="BY2690" s="34"/>
      <c r="BZ2690" s="34"/>
      <c r="CA2690" s="34"/>
      <c r="CB2690" s="34"/>
      <c r="CC2690" s="34"/>
      <c r="CD2690" s="34"/>
      <c r="CE2690" s="34"/>
      <c r="CF2690" s="34"/>
      <c r="CG2690" s="34"/>
      <c r="CH2690" s="34"/>
    </row>
    <row r="2691" spans="1:86" x14ac:dyDescent="0.2">
      <c r="A2691" s="8" t="str">
        <f>IF(AND(COUNTIF(W$3:W$13,A$34)&gt;0,A$34&lt;&gt;B2578),A$34,IFERROR(IF(MATCH(A$34,Z$3:Z$13,0)=5,A$34," ")," "))</f>
        <v>C20</v>
      </c>
      <c r="B2691" s="8">
        <f>IF(A2691=" "," ",MAX(B2672:B2690)+1)</f>
        <v>10</v>
      </c>
      <c r="C2691" s="8"/>
      <c r="D2691" s="8"/>
      <c r="E2691" s="8"/>
      <c r="F2691" s="8"/>
      <c r="G2691" s="8"/>
      <c r="H2691" s="8"/>
      <c r="I2691" s="8"/>
      <c r="J2691" s="8"/>
      <c r="K2691" s="8"/>
      <c r="L2691" s="8"/>
      <c r="M2691" s="8"/>
      <c r="N2691" s="8"/>
      <c r="O2691" s="8"/>
      <c r="P2691" s="8"/>
      <c r="Q2691" s="8"/>
      <c r="R2691" s="8"/>
      <c r="S2691" s="8"/>
      <c r="U2691" s="34"/>
      <c r="V2691" s="34"/>
      <c r="W2691" s="34"/>
      <c r="X2691" s="34"/>
      <c r="Y2691" s="34"/>
      <c r="Z2691" s="34"/>
      <c r="AA2691" s="34"/>
      <c r="AB2691" s="34"/>
      <c r="AC2691" s="34"/>
      <c r="AD2691" s="34"/>
      <c r="AE2691" s="34"/>
      <c r="AF2691" s="34"/>
      <c r="AG2691" s="34"/>
      <c r="AH2691" s="34"/>
      <c r="AI2691" s="34"/>
      <c r="AJ2691" s="34"/>
      <c r="AK2691" s="34"/>
      <c r="AL2691" s="34"/>
      <c r="AM2691" s="34"/>
      <c r="AN2691" s="34"/>
      <c r="AO2691" s="34"/>
      <c r="AP2691" s="34"/>
      <c r="AQ2691" s="34"/>
      <c r="AR2691" s="34"/>
      <c r="AS2691" s="34"/>
      <c r="AT2691" s="34"/>
      <c r="AU2691" s="34"/>
      <c r="AV2691" s="34"/>
      <c r="AW2691" s="34"/>
      <c r="AX2691" s="34"/>
      <c r="AY2691" s="34"/>
      <c r="AZ2691" s="34"/>
      <c r="BA2691" s="34"/>
      <c r="BB2691" s="34"/>
      <c r="BC2691" s="34"/>
      <c r="BD2691" s="34"/>
      <c r="BE2691" s="34"/>
      <c r="BF2691" s="34"/>
      <c r="BG2691" s="34"/>
      <c r="BH2691" s="34"/>
      <c r="BI2691" s="34"/>
      <c r="BJ2691" s="34"/>
      <c r="BK2691" s="34"/>
      <c r="BL2691" s="34"/>
      <c r="BM2691" s="34"/>
      <c r="BN2691" s="34"/>
      <c r="BO2691" s="34"/>
      <c r="BP2691" s="34"/>
      <c r="BQ2691" s="34"/>
      <c r="BR2691" s="34"/>
      <c r="BS2691" s="34"/>
      <c r="BT2691" s="34"/>
      <c r="BU2691" s="34"/>
      <c r="BV2691" s="34"/>
      <c r="BW2691" s="34"/>
      <c r="BX2691" s="34"/>
      <c r="BY2691" s="34"/>
      <c r="BZ2691" s="34"/>
      <c r="CA2691" s="34"/>
      <c r="CB2691" s="34"/>
      <c r="CC2691" s="34"/>
      <c r="CD2691" s="34"/>
      <c r="CE2691" s="34"/>
      <c r="CF2691" s="34"/>
      <c r="CG2691" s="34"/>
      <c r="CH2691" s="34"/>
    </row>
    <row r="2692" spans="1:86" x14ac:dyDescent="0.2">
      <c r="A2692" s="8" t="str">
        <f>IF(AND(COUNTIF(W$3:W$13,A$35)&gt;0,A$35&lt;&gt;B2578),A$35,IFERROR(IF(MATCH(A$35,Z$3:Z$13,0)=5,A$35," ")," "))</f>
        <v>C21</v>
      </c>
      <c r="B2692" s="8">
        <f>IF(A2692=" "," ",MAX(B2672:B2691)+1)</f>
        <v>11</v>
      </c>
      <c r="C2692" s="8"/>
      <c r="D2692" s="8"/>
      <c r="E2692" s="8"/>
      <c r="F2692" s="8"/>
      <c r="G2692" s="8"/>
      <c r="H2692" s="8"/>
      <c r="I2692" s="8"/>
      <c r="J2692" s="8"/>
      <c r="K2692" s="8"/>
      <c r="L2692" s="8"/>
      <c r="M2692" s="8"/>
      <c r="N2692" s="8"/>
      <c r="O2692" s="8"/>
      <c r="P2692" s="8"/>
      <c r="Q2692" s="8"/>
      <c r="R2692" s="8"/>
      <c r="S2692" s="8"/>
      <c r="U2692" s="34"/>
      <c r="V2692" s="34"/>
      <c r="W2692" s="34"/>
      <c r="X2692" s="34"/>
      <c r="Y2692" s="34"/>
      <c r="Z2692" s="34"/>
      <c r="AA2692" s="34"/>
      <c r="AB2692" s="34"/>
      <c r="AC2692" s="34"/>
      <c r="AD2692" s="34"/>
      <c r="AE2692" s="34"/>
      <c r="AF2692" s="34"/>
      <c r="AG2692" s="34"/>
      <c r="AH2692" s="34"/>
      <c r="AI2692" s="34"/>
      <c r="AJ2692" s="34"/>
      <c r="AK2692" s="34"/>
      <c r="AL2692" s="34"/>
      <c r="AM2692" s="34"/>
      <c r="AN2692" s="34"/>
      <c r="AO2692" s="34"/>
      <c r="AP2692" s="34"/>
      <c r="AQ2692" s="34"/>
      <c r="AR2692" s="34"/>
      <c r="AS2692" s="34"/>
      <c r="AT2692" s="34"/>
      <c r="AU2692" s="34"/>
      <c r="AV2692" s="34"/>
      <c r="AW2692" s="34"/>
      <c r="AX2692" s="34"/>
      <c r="AY2692" s="34"/>
      <c r="AZ2692" s="34"/>
      <c r="BA2692" s="34"/>
      <c r="BB2692" s="34"/>
      <c r="BC2692" s="34"/>
      <c r="BD2692" s="34"/>
      <c r="BE2692" s="34"/>
      <c r="BF2692" s="34"/>
      <c r="BG2692" s="34"/>
      <c r="BH2692" s="34"/>
      <c r="BI2692" s="34"/>
      <c r="BJ2692" s="34"/>
      <c r="BK2692" s="34"/>
      <c r="BL2692" s="34"/>
      <c r="BM2692" s="34"/>
      <c r="BN2692" s="34"/>
      <c r="BO2692" s="34"/>
      <c r="BP2692" s="34"/>
      <c r="BQ2692" s="34"/>
      <c r="BR2692" s="34"/>
      <c r="BS2692" s="34"/>
      <c r="BT2692" s="34"/>
      <c r="BU2692" s="34"/>
      <c r="BV2692" s="34"/>
      <c r="BW2692" s="34"/>
      <c r="BX2692" s="34"/>
      <c r="BY2692" s="34"/>
      <c r="BZ2692" s="34"/>
      <c r="CA2692" s="34"/>
      <c r="CB2692" s="34"/>
      <c r="CC2692" s="34"/>
      <c r="CD2692" s="34"/>
      <c r="CE2692" s="34"/>
      <c r="CF2692" s="34"/>
      <c r="CG2692" s="34"/>
      <c r="CH2692" s="34"/>
    </row>
    <row r="2693" spans="1:86" x14ac:dyDescent="0.2">
      <c r="A2693" s="8" t="str">
        <f>IF(AND(COUNTIF(W$3:W$13,A$36)&gt;0,A$36&lt;&gt;B2578),A$36,IFERROR(IF(MATCH(A$36,Z$3:Z$13,0)=5,A$36," ")," "))</f>
        <v xml:space="preserve"> </v>
      </c>
      <c r="B2693" s="8" t="str">
        <f>IF(A2693=" "," ",MAX(B2672:B2692)+1)</f>
        <v xml:space="preserve"> </v>
      </c>
      <c r="C2693" s="8"/>
      <c r="D2693" s="8"/>
      <c r="E2693" s="8"/>
      <c r="F2693" s="8"/>
      <c r="G2693" s="8"/>
      <c r="H2693" s="8"/>
      <c r="I2693" s="8"/>
      <c r="J2693" s="8"/>
      <c r="K2693" s="8"/>
      <c r="L2693" s="8"/>
      <c r="M2693" s="8"/>
      <c r="N2693" s="8"/>
      <c r="O2693" s="8"/>
      <c r="P2693" s="8"/>
      <c r="Q2693" s="8"/>
      <c r="R2693" s="8"/>
      <c r="S2693" s="8"/>
      <c r="U2693" s="34"/>
      <c r="V2693" s="34"/>
      <c r="W2693" s="34"/>
      <c r="X2693" s="34"/>
      <c r="Y2693" s="34"/>
      <c r="Z2693" s="34"/>
      <c r="AA2693" s="34"/>
      <c r="AB2693" s="34"/>
      <c r="AC2693" s="34"/>
      <c r="AD2693" s="34"/>
      <c r="AE2693" s="34"/>
      <c r="AF2693" s="34"/>
      <c r="AG2693" s="34"/>
      <c r="AH2693" s="34"/>
      <c r="AI2693" s="34"/>
      <c r="AJ2693" s="34"/>
      <c r="AK2693" s="34"/>
      <c r="AL2693" s="34"/>
      <c r="AM2693" s="34"/>
      <c r="AN2693" s="34"/>
      <c r="AO2693" s="34"/>
      <c r="AP2693" s="34"/>
      <c r="AQ2693" s="34"/>
      <c r="AR2693" s="34"/>
      <c r="AS2693" s="34"/>
      <c r="AT2693" s="34"/>
      <c r="AU2693" s="34"/>
      <c r="AV2693" s="34"/>
      <c r="AW2693" s="34"/>
      <c r="AX2693" s="34"/>
      <c r="AY2693" s="34"/>
      <c r="AZ2693" s="34"/>
      <c r="BA2693" s="34"/>
      <c r="BB2693" s="34"/>
      <c r="BC2693" s="34"/>
      <c r="BD2693" s="34"/>
      <c r="BE2693" s="34"/>
      <c r="BF2693" s="34"/>
      <c r="BG2693" s="34"/>
      <c r="BH2693" s="34"/>
      <c r="BI2693" s="34"/>
      <c r="BJ2693" s="34"/>
      <c r="BK2693" s="34"/>
      <c r="BL2693" s="34"/>
      <c r="BM2693" s="34"/>
      <c r="BN2693" s="34"/>
      <c r="BO2693" s="34"/>
      <c r="BP2693" s="34"/>
      <c r="BQ2693" s="34"/>
      <c r="BR2693" s="34"/>
      <c r="BS2693" s="34"/>
      <c r="BT2693" s="34"/>
      <c r="BU2693" s="34"/>
      <c r="BV2693" s="34"/>
      <c r="BW2693" s="34"/>
      <c r="BX2693" s="34"/>
      <c r="BY2693" s="34"/>
      <c r="BZ2693" s="34"/>
      <c r="CA2693" s="34"/>
      <c r="CB2693" s="34"/>
      <c r="CC2693" s="34"/>
      <c r="CD2693" s="34"/>
      <c r="CE2693" s="34"/>
      <c r="CF2693" s="34"/>
      <c r="CG2693" s="34"/>
      <c r="CH2693" s="34"/>
    </row>
    <row r="2694" spans="1:86" x14ac:dyDescent="0.2">
      <c r="A2694" s="11" t="s">
        <v>17</v>
      </c>
      <c r="B2694" s="11"/>
      <c r="C2694" s="27" t="s">
        <v>18</v>
      </c>
      <c r="D2694" s="27" t="s">
        <v>2</v>
      </c>
      <c r="E2694" s="27" t="s">
        <v>6</v>
      </c>
      <c r="F2694" s="27" t="s">
        <v>15</v>
      </c>
      <c r="G2694" s="27" t="s">
        <v>36</v>
      </c>
      <c r="H2694" s="27" t="s">
        <v>37</v>
      </c>
      <c r="I2694" s="27" t="s">
        <v>38</v>
      </c>
      <c r="J2694" s="27" t="s">
        <v>39</v>
      </c>
      <c r="K2694" s="27" t="s">
        <v>40</v>
      </c>
      <c r="L2694" s="27" t="s">
        <v>41</v>
      </c>
      <c r="M2694" s="27" t="s">
        <v>42</v>
      </c>
      <c r="N2694" s="27" t="s">
        <v>43</v>
      </c>
      <c r="O2694" s="27" t="s">
        <v>9</v>
      </c>
      <c r="P2694" s="27" t="s">
        <v>12</v>
      </c>
      <c r="Q2694" s="27" t="s">
        <v>19</v>
      </c>
      <c r="R2694" s="27" t="s">
        <v>55</v>
      </c>
      <c r="S2694" s="27" t="s">
        <v>26</v>
      </c>
      <c r="T2694" s="19" t="s">
        <v>25</v>
      </c>
      <c r="U2694" s="33" t="s">
        <v>27</v>
      </c>
      <c r="V2694" s="33" t="s">
        <v>9</v>
      </c>
      <c r="W2694" s="33" t="s">
        <v>23</v>
      </c>
      <c r="X2694" s="33" t="s">
        <v>12</v>
      </c>
      <c r="Y2694" s="33" t="s">
        <v>26</v>
      </c>
      <c r="Z2694" s="33" t="s">
        <v>25</v>
      </c>
      <c r="AA2694" s="33" t="s">
        <v>27</v>
      </c>
      <c r="AB2694" s="33" t="s">
        <v>9</v>
      </c>
      <c r="AC2694" s="33" t="s">
        <v>23</v>
      </c>
      <c r="AD2694" s="33" t="s">
        <v>12</v>
      </c>
      <c r="AE2694" s="33" t="s">
        <v>26</v>
      </c>
      <c r="AF2694" s="33" t="s">
        <v>25</v>
      </c>
      <c r="AG2694" s="33" t="s">
        <v>27</v>
      </c>
      <c r="AH2694" s="33" t="s">
        <v>9</v>
      </c>
      <c r="AI2694" s="33" t="s">
        <v>23</v>
      </c>
      <c r="AJ2694" s="33" t="s">
        <v>12</v>
      </c>
      <c r="AK2694" s="33" t="s">
        <v>26</v>
      </c>
      <c r="AL2694" s="33" t="s">
        <v>25</v>
      </c>
      <c r="AM2694" s="33" t="s">
        <v>27</v>
      </c>
      <c r="AN2694" s="33" t="s">
        <v>9</v>
      </c>
      <c r="AO2694" s="33" t="s">
        <v>23</v>
      </c>
      <c r="AP2694" s="33" t="s">
        <v>12</v>
      </c>
      <c r="AQ2694" s="33" t="s">
        <v>26</v>
      </c>
      <c r="AR2694" s="33" t="s">
        <v>25</v>
      </c>
      <c r="AS2694" s="33" t="s">
        <v>27</v>
      </c>
      <c r="AT2694" s="33" t="s">
        <v>9</v>
      </c>
      <c r="AU2694" s="33" t="s">
        <v>23</v>
      </c>
      <c r="AV2694" s="33" t="s">
        <v>12</v>
      </c>
      <c r="AW2694" s="33" t="s">
        <v>26</v>
      </c>
      <c r="AX2694" s="33" t="s">
        <v>25</v>
      </c>
      <c r="AY2694" s="33" t="s">
        <v>27</v>
      </c>
      <c r="AZ2694" s="33" t="s">
        <v>9</v>
      </c>
      <c r="BA2694" s="33" t="s">
        <v>23</v>
      </c>
      <c r="BB2694" s="33" t="s">
        <v>12</v>
      </c>
      <c r="BC2694" s="33" t="s">
        <v>26</v>
      </c>
      <c r="BD2694" s="33" t="s">
        <v>25</v>
      </c>
      <c r="BE2694" s="33" t="s">
        <v>27</v>
      </c>
      <c r="BF2694" s="33" t="s">
        <v>9</v>
      </c>
      <c r="BG2694" s="33" t="s">
        <v>23</v>
      </c>
      <c r="BH2694" s="33" t="s">
        <v>12</v>
      </c>
      <c r="BI2694" s="33" t="s">
        <v>26</v>
      </c>
      <c r="BJ2694" s="33" t="s">
        <v>25</v>
      </c>
      <c r="BK2694" s="33" t="s">
        <v>27</v>
      </c>
      <c r="BL2694" s="33" t="s">
        <v>9</v>
      </c>
      <c r="BM2694" s="33" t="s">
        <v>23</v>
      </c>
      <c r="BN2694" s="33" t="s">
        <v>12</v>
      </c>
      <c r="BO2694" s="33" t="s">
        <v>26</v>
      </c>
      <c r="BP2694" s="33" t="s">
        <v>25</v>
      </c>
      <c r="BQ2694" s="33" t="s">
        <v>27</v>
      </c>
      <c r="BR2694" s="33" t="s">
        <v>9</v>
      </c>
      <c r="BS2694" s="33" t="s">
        <v>23</v>
      </c>
      <c r="BT2694" s="33" t="s">
        <v>12</v>
      </c>
      <c r="BU2694" s="33" t="s">
        <v>26</v>
      </c>
      <c r="BV2694" s="33" t="s">
        <v>25</v>
      </c>
      <c r="BW2694" s="33" t="s">
        <v>27</v>
      </c>
      <c r="BX2694" s="33" t="s">
        <v>9</v>
      </c>
      <c r="BY2694" s="33" t="s">
        <v>23</v>
      </c>
      <c r="BZ2694" s="33" t="s">
        <v>12</v>
      </c>
      <c r="CA2694" s="33" t="s">
        <v>26</v>
      </c>
      <c r="CB2694" s="33" t="s">
        <v>25</v>
      </c>
      <c r="CC2694" s="33" t="s">
        <v>27</v>
      </c>
      <c r="CD2694" s="33" t="s">
        <v>9</v>
      </c>
      <c r="CE2694" s="33" t="s">
        <v>23</v>
      </c>
      <c r="CF2694" s="33" t="s">
        <v>12</v>
      </c>
      <c r="CG2694" s="33" t="s">
        <v>26</v>
      </c>
      <c r="CH2694" s="33" t="s">
        <v>25</v>
      </c>
    </row>
    <row r="2695" spans="1:86" x14ac:dyDescent="0.2">
      <c r="A2695" s="8" t="str">
        <f>IF(AND(COUNTIF(W$3:W$13,A$15)&gt;0,A$15&lt;&gt;B2578),A$15,IFERROR(IF(MATCH(A$15,Z$3:Z$13,0)=6,A$15," ")," "))</f>
        <v xml:space="preserve"> </v>
      </c>
      <c r="B2695" s="8" t="str">
        <f>IF(A2695=" "," ",1)</f>
        <v xml:space="preserve"> </v>
      </c>
      <c r="C2695" s="8" t="str">
        <f>IFERROR(INDEX(A2695:A2716,MATCH(SMALL(B2695:B2716,1),B2695:B2716,0),1)," ")</f>
        <v>C3</v>
      </c>
      <c r="D2695" s="8">
        <f>IFERROR(VLOOKUP($C2695,$A$15:$O$36,2,FALSE)," ")</f>
        <v>2</v>
      </c>
      <c r="E2695" s="8">
        <f>IFERROR(VLOOKUP($C2695,$A$15:$O$36,3,FALSE)," ")</f>
        <v>5</v>
      </c>
      <c r="F2695" s="8">
        <f>IFERROR(VLOOKUP($C2695,$A$15:$O$36,4,FALSE)," ")</f>
        <v>6</v>
      </c>
      <c r="G2695" s="8">
        <f>IFERROR(VLOOKUP($C2695,$A$15:$O$36,5,FALSE)," ")</f>
        <v>0</v>
      </c>
      <c r="H2695" s="8">
        <f>IFERROR(VLOOKUP($C2695,$A$15:$O$36,6,FALSE)," ")</f>
        <v>0</v>
      </c>
      <c r="I2695" s="8">
        <f>IFERROR(VLOOKUP($C2695,$A$15:$O$36,7,FALSE)," ")</f>
        <v>0</v>
      </c>
      <c r="J2695" s="8">
        <f>IFERROR(VLOOKUP($C2695,$A$15:$O$36,8,FALSE)," ")</f>
        <v>0</v>
      </c>
      <c r="K2695" s="8">
        <f>IFERROR(VLOOKUP($C2695,$A$15:$O$36,9,FALSE)," ")</f>
        <v>0</v>
      </c>
      <c r="L2695" s="8">
        <f>IFERROR(VLOOKUP($C2695,$A$15:$O$36,10,FALSE)," ")</f>
        <v>0</v>
      </c>
      <c r="M2695" s="8">
        <f>IFERROR(VLOOKUP($C2695,$A$15:$O$36,11,FALSE)," ")</f>
        <v>0</v>
      </c>
      <c r="N2695" s="8">
        <f>IFERROR(VLOOKUP($C2695,$A$15:$O$36,12,FALSE)," ")</f>
        <v>0</v>
      </c>
      <c r="O2695" s="8">
        <f>IFERROR(VLOOKUP($C2695,$A$15:$O$36,15,FALSE)," ")</f>
        <v>2000</v>
      </c>
      <c r="P2695" s="8" t="e">
        <f t="array" ref="P2695:P2705">MMULT(MINVERSE(D2695:N2705),O2695:O2705)</f>
        <v>#NUM!</v>
      </c>
      <c r="Q2695" s="8" t="e">
        <f t="shared" ref="Q2695" si="11751">IF(COUNTIF(P2695:P2705,"&lt;"&amp;-0.001)=0,IF(ABS(P2695)&lt;0.001,0,P2695)," ")</f>
        <v>#NUM!</v>
      </c>
      <c r="R2695" s="8" t="str">
        <f>IFERROR(VLOOKUP(B2578,A$15:L$36,2,FALSE)*Q2695+VLOOKUP(B2578,A$15:L$36,3,FALSE)*Q2696+VLOOKUP(B2578,A$15:L$36,4,FALSE)*Q2697+VLOOKUP(B2578,A$15:L$36,5,FALSE)*Q2698+VLOOKUP(B2578,A$15:L$36,6,FALSE)*Q2699+VLOOKUP(B2578,A$15:L$36,7,FALSE)*Q2700+VLOOKUP(B2578,A$15:L$36,8,FALSE)*Q2701+VLOOKUP(B2578,A$15:L$36,9,FALSE)*Q2702+VLOOKUP(B2578,A$15:L$36,10,FALSE)*Q2703+VLOOKUP(B2578,A$15:L$36,11,FALSE)*Q2704+VLOOKUP(B2578,A$15:L$36,12,FALSE)*Q2705," ")</f>
        <v xml:space="preserve"> </v>
      </c>
      <c r="S2695" s="8" t="str">
        <f>IFERROR(IF(R2695-VLOOKUP(B2578,A$15:O$36,15,FALSE)&lt;0,R2695-VLOOKUP(B2578,A$15:O$36,15,FALSE)," ")," ")</f>
        <v xml:space="preserve"> </v>
      </c>
      <c r="T2695" s="18" t="str">
        <f>IFERROR(IF(R2695-VLOOKUP(B2578,A$15:O$36,15,FALSE)&gt;0,R2695-VLOOKUP(B2578,A$15:O$36,15,FALSE)," ")," ")</f>
        <v xml:space="preserve"> </v>
      </c>
      <c r="U2695" s="34">
        <f t="shared" ref="U2695" si="11752">$M$2</f>
        <v>100.00000000000001</v>
      </c>
      <c r="V2695" s="34">
        <v>-1</v>
      </c>
      <c r="W2695" s="34">
        <f t="shared" ref="W2695" si="11753">-SUMPRODUCT($M$3:$M$12,$N$3:$N$12)</f>
        <v>-105000</v>
      </c>
      <c r="X2695" s="34" t="e">
        <f t="shared" ref="X2695" si="11754">IF(U2695&lt;&gt;U2696,MMULT(MINVERSE(U2695:V2696),W2695:W2696)," ")</f>
        <v>#NUM!</v>
      </c>
      <c r="Y2695" s="34" t="str">
        <f t="shared" ref="Y2695" si="11755">IFERROR(IF(X2695-VLOOKUP(U$38,$A$2:$N$12,14,FALSE)&lt;0,X2695-VLOOKUP(U$38,$A$2:$N$12,14,FALSE)," ")," ")</f>
        <v xml:space="preserve"> </v>
      </c>
      <c r="Z2695" s="34" t="str">
        <f t="shared" ref="Z2695" si="11756">IFERROR(IF(X2695-VLOOKUP(U$38,$A$2:$N$12,14,FALSE)&gt;0,X2695-VLOOKUP(U$38,$A$2:$N$12,14,FALSE)," ")," ")</f>
        <v xml:space="preserve"> </v>
      </c>
      <c r="AA2695" s="34">
        <f t="shared" ref="AA2695" si="11757">$M$3</f>
        <v>0</v>
      </c>
      <c r="AB2695" s="34">
        <v>-1</v>
      </c>
      <c r="AC2695" s="34">
        <f t="shared" ref="AC2695" si="11758">-SUMPRODUCT($M$2:$M$2,$N$2:$N$2)-SUMPRODUCT($M$4:$M$12,$N$4:$N$12)</f>
        <v>-120000</v>
      </c>
      <c r="AD2695" s="34" t="e">
        <f t="shared" ref="AD2695" si="11759">IF(AA2695&lt;&gt;AA2696,MMULT(MINVERSE(AA2695:AB2696),AC2695:AC2696)," ")</f>
        <v>#NUM!</v>
      </c>
      <c r="AE2695" s="34" t="str">
        <f t="shared" ref="AE2695" si="11760">IFERROR(IF(AD2695-VLOOKUP(AA$38,$A$2:$N$12,14,FALSE)&lt;0,AD2695-VLOOKUP(AA$38,$A$2:$N$12,14,FALSE)," ")," ")</f>
        <v xml:space="preserve"> </v>
      </c>
      <c r="AF2695" s="34" t="str">
        <f t="shared" ref="AF2695" si="11761">IFERROR(IF(AD2695-VLOOKUP(AA$38,$A$2:$N$12,14,FALSE)&gt;0,AD2695-VLOOKUP(AA$38,$A$2:$N$12,14,FALSE)," ")," ")</f>
        <v xml:space="preserve"> </v>
      </c>
      <c r="AG2695" s="34">
        <f t="shared" ref="AG2695" si="11762">$M$4</f>
        <v>300</v>
      </c>
      <c r="AH2695" s="34">
        <v>-1</v>
      </c>
      <c r="AI2695" s="34">
        <f t="shared" ref="AI2695" si="11763">-SUMPRODUCT($M$2:$M$3,$N$2:$N$3)-SUMPRODUCT($M$5:$M$12,$N$5:$N$12)</f>
        <v>-15000.000000000002</v>
      </c>
      <c r="AJ2695" s="34" t="e">
        <f t="shared" ref="AJ2695" si="11764">IF(AG2695&lt;&gt;AG2696,MMULT(MINVERSE(AG2695:AH2696),AI2695:AI2696)," ")</f>
        <v>#NUM!</v>
      </c>
      <c r="AK2695" s="34" t="str">
        <f t="shared" ref="AK2695" si="11765">IFERROR(IF(AJ2695-VLOOKUP(AG$38,$A$2:$N$12,14,FALSE)&lt;0,AJ2695-VLOOKUP(AG$38,$A$2:$N$12,14,FALSE)," ")," ")</f>
        <v xml:space="preserve"> </v>
      </c>
      <c r="AL2695" s="34" t="str">
        <f t="shared" ref="AL2695" si="11766">IFERROR(IF(AJ2695-VLOOKUP(AG$38,$A$2:$N$12,14,FALSE)&gt;0,AJ2695-VLOOKUP(AG$38,$A$2:$N$12,14,FALSE)," ")," ")</f>
        <v xml:space="preserve"> </v>
      </c>
      <c r="AM2695" s="34">
        <f t="shared" ref="AM2695" si="11767">$M$5</f>
        <v>0</v>
      </c>
      <c r="AN2695" s="34">
        <v>-1</v>
      </c>
      <c r="AO2695" s="34">
        <f t="shared" ref="AO2695" si="11768">-SUMPRODUCT($M$2:$M$4,$N$2:$N$4)-SUMPRODUCT($M$6:$M$12,$N$6:$N$12)</f>
        <v>-120000</v>
      </c>
      <c r="AP2695" s="34" t="e">
        <f t="shared" ref="AP2695" si="11769">IF(AM2695&lt;&gt;AM2696,MMULT(MINVERSE(AM2695:AN2696),AO2695:AO2696)," ")</f>
        <v>#NUM!</v>
      </c>
      <c r="AQ2695" s="34" t="str">
        <f t="shared" ref="AQ2695" si="11770">IFERROR(IF(AP2695-VLOOKUP(AM$38,$A$2:$N$12,14,FALSE)&lt;0,AP2695-VLOOKUP(AM$38,$A$2:$N$12,14,FALSE)," ")," ")</f>
        <v xml:space="preserve"> </v>
      </c>
      <c r="AR2695" s="34" t="str">
        <f t="shared" ref="AR2695" si="11771">IFERROR(IF(AP2695-VLOOKUP(AM$38,$A$2:$N$12,14,FALSE)&gt;0,AP2695-VLOOKUP(AM$38,$A$2:$N$12,14,FALSE)," ")," ")</f>
        <v xml:space="preserve"> </v>
      </c>
      <c r="AS2695" s="34">
        <f t="shared" ref="AS2695" si="11772">$M$6</f>
        <v>0</v>
      </c>
      <c r="AT2695" s="34">
        <v>-1</v>
      </c>
      <c r="AU2695" s="34">
        <f t="shared" ref="AU2695" si="11773">-SUMPRODUCT($M$2:$M$5,$N$2:$N$5)-SUMPRODUCT($M$7:$M$12,$N$7:$N$12)</f>
        <v>-120000</v>
      </c>
      <c r="AV2695" s="34" t="e">
        <f t="shared" ref="AV2695" si="11774">IF(AS2695&lt;&gt;AS2696,MMULT(MINVERSE(AS2695:AT2696),AU2695:AU2696)," ")</f>
        <v>#NUM!</v>
      </c>
      <c r="AW2695" s="34" t="str">
        <f t="shared" ref="AW2695" si="11775">IFERROR(IF(AV2695-VLOOKUP(AS$38,$A$2:$N$12,14,FALSE)&lt;0,AV2695-VLOOKUP(AS$38,$A$2:$N$12,14,FALSE)," ")," ")</f>
        <v xml:space="preserve"> </v>
      </c>
      <c r="AX2695" s="34" t="str">
        <f t="shared" ref="AX2695" si="11776">IFERROR(IF(AV2695-VLOOKUP(AS$38,$A$2:$N$12,14,FALSE)&gt;0,AV2695-VLOOKUP(AS$38,$A$2:$N$12,14,FALSE)," ")," ")</f>
        <v xml:space="preserve"> </v>
      </c>
      <c r="AY2695" s="34">
        <f t="shared" ref="AY2695" si="11777">$M$7</f>
        <v>0</v>
      </c>
      <c r="AZ2695" s="34">
        <v>-1</v>
      </c>
      <c r="BA2695" s="34">
        <f t="shared" ref="BA2695" si="11778">-SUMPRODUCT($M$2:$M$6,$N$2:$N$6)-SUMPRODUCT($M$8:$M$12,$N$8:$N$12)</f>
        <v>-120000</v>
      </c>
      <c r="BB2695" s="34" t="e">
        <f t="shared" ref="BB2695" si="11779">IF(AY2695&lt;&gt;AY2696,MMULT(MINVERSE(AY2695:AZ2696),BA2695:BA2696)," ")</f>
        <v>#NUM!</v>
      </c>
      <c r="BC2695" s="34" t="str">
        <f t="shared" ref="BC2695" si="11780">IFERROR(IF(BB2695-VLOOKUP(AY$38,$A$2:$N$12,14,FALSE)&lt;0,BB2695-VLOOKUP(AY$38,$A$2:$N$12,14,FALSE)," ")," ")</f>
        <v xml:space="preserve"> </v>
      </c>
      <c r="BD2695" s="34" t="str">
        <f t="shared" ref="BD2695" si="11781">IFERROR(IF(BB2695-VLOOKUP(AY$38,$A$2:$N$12,14,FALSE)&gt;0,BB2695-VLOOKUP(AY$38,$A$2:$N$12,14,FALSE)," ")," ")</f>
        <v xml:space="preserve"> </v>
      </c>
      <c r="BE2695" s="34">
        <f t="shared" ref="BE2695" si="11782">$M$8</f>
        <v>0</v>
      </c>
      <c r="BF2695" s="34">
        <v>-1</v>
      </c>
      <c r="BG2695" s="34">
        <f t="shared" ref="BG2695" si="11783">-SUMPRODUCT($M$2:$M$7,$N$2:$N$7)-SUMPRODUCT($M$9:$M$12,$N$9:$N$12)</f>
        <v>-120000</v>
      </c>
      <c r="BH2695" s="34" t="e">
        <f t="shared" ref="BH2695" si="11784">IF(BE2695&lt;&gt;BE2696,MMULT(MINVERSE(BE2695:BF2696),BG2695:BG2696)," ")</f>
        <v>#NUM!</v>
      </c>
      <c r="BI2695" s="34" t="str">
        <f t="shared" ref="BI2695" si="11785">IFERROR(IF(BH2695-VLOOKUP(BE$38,$A$2:$N$12,14,FALSE)&lt;0,BH2695-VLOOKUP(BE$38,$A$2:$N$12,14,FALSE)," ")," ")</f>
        <v xml:space="preserve"> </v>
      </c>
      <c r="BJ2695" s="34" t="str">
        <f t="shared" ref="BJ2695" si="11786">IFERROR(IF(BH2695-VLOOKUP(BE$38,$A$2:$N$12,14,FALSE)&gt;0,BH2695-VLOOKUP(BE$38,$A$2:$N$12,14,FALSE)," ")," ")</f>
        <v xml:space="preserve"> </v>
      </c>
      <c r="BK2695" s="34">
        <f t="shared" ref="BK2695" si="11787">$M$9</f>
        <v>0</v>
      </c>
      <c r="BL2695" s="34">
        <v>-1</v>
      </c>
      <c r="BM2695" s="34">
        <f t="shared" ref="BM2695" si="11788">-SUMPRODUCT($M$2:$M$8,$N$2:$N$8)-SUMPRODUCT($M$10:$M$12,$N$10:$N$12)</f>
        <v>-120000</v>
      </c>
      <c r="BN2695" s="34" t="e">
        <f t="shared" ref="BN2695" si="11789">IF(BK2695&lt;&gt;BK2696,MMULT(MINVERSE(BK2695:BL2696),BM2695:BM2696)," ")</f>
        <v>#NUM!</v>
      </c>
      <c r="BO2695" s="34" t="str">
        <f t="shared" ref="BO2695" si="11790">IFERROR(IF(BN2695-VLOOKUP(BK$38,$A$2:$N$12,14,FALSE)&lt;0,BN2695-VLOOKUP(BK$38,$A$2:$N$12,14,FALSE)," ")," ")</f>
        <v xml:space="preserve"> </v>
      </c>
      <c r="BP2695" s="34" t="str">
        <f t="shared" ref="BP2695" si="11791">IFERROR(IF(BN2695-VLOOKUP(BK$38,$A$2:$N$12,14,FALSE)&gt;0,BN2695-VLOOKUP(BK$38,$A$2:$N$12,14,FALSE)," ")," ")</f>
        <v xml:space="preserve"> </v>
      </c>
      <c r="BQ2695" s="34">
        <f t="shared" ref="BQ2695" si="11792">$M$10</f>
        <v>0</v>
      </c>
      <c r="BR2695" s="34">
        <v>-1</v>
      </c>
      <c r="BS2695" s="34">
        <f t="shared" ref="BS2695" si="11793">-SUMPRODUCT($M$2:$M$9,$N$2:$N$9)-SUMPRODUCT($M$11:$M$12,$N$11:$N$12)</f>
        <v>-120000</v>
      </c>
      <c r="BT2695" s="34" t="e">
        <f t="shared" ref="BT2695" si="11794">IF(BQ2695&lt;&gt;BQ2696,MMULT(MINVERSE(BQ2695:BR2696),BS2695:BS2696)," ")</f>
        <v>#NUM!</v>
      </c>
      <c r="BU2695" s="34" t="str">
        <f t="shared" ref="BU2695" si="11795">IFERROR(IF(BT2695-VLOOKUP(BQ$38,$A$2:$N$12,14,FALSE)&lt;0,BT2695-VLOOKUP(BQ$38,$A$2:$N$12,14,FALSE)," ")," ")</f>
        <v xml:space="preserve"> </v>
      </c>
      <c r="BV2695" s="34" t="str">
        <f t="shared" ref="BV2695" si="11796">IFERROR(IF(BT2695-VLOOKUP(BQ$38,$A$2:$N$12,14,FALSE)&gt;0,BT2695-VLOOKUP(BQ$38,$A$2:$N$12,14,FALSE)," ")," ")</f>
        <v xml:space="preserve"> </v>
      </c>
      <c r="BW2695" s="34">
        <f t="shared" ref="BW2695" si="11797">$M$11</f>
        <v>0</v>
      </c>
      <c r="BX2695" s="34">
        <v>-1</v>
      </c>
      <c r="BY2695" s="34">
        <f t="shared" ref="BY2695" si="11798">-SUMPRODUCT($M$2:$M$10,$N$2:$N$10)-SUMPRODUCT($M$12,$N$12)</f>
        <v>-120000</v>
      </c>
      <c r="BZ2695" s="34" t="e">
        <f t="shared" ref="BZ2695" si="11799">IF(BW2695&lt;&gt;BW2696,MMULT(MINVERSE(BW2695:BX2696),BY2695:BY2696)," ")</f>
        <v>#NUM!</v>
      </c>
      <c r="CA2695" s="34" t="str">
        <f t="shared" ref="CA2695" si="11800">IFERROR(IF(BZ2695-VLOOKUP(BW$38,$A$2:$N$12,14,FALSE)&lt;0,BZ2695-VLOOKUP(BW$38,$A$2:$N$12,14,FALSE)," ")," ")</f>
        <v xml:space="preserve"> </v>
      </c>
      <c r="CB2695" s="34" t="str">
        <f t="shared" ref="CB2695" si="11801">IFERROR(IF(BZ2695-VLOOKUP(BW$38,$A$2:$N$12,14,FALSE)&gt;0,BZ2695-VLOOKUP(BW$38,$A$2:$N$12,14,FALSE)," ")," ")</f>
        <v xml:space="preserve"> </v>
      </c>
      <c r="CC2695" s="34">
        <f t="shared" ref="CC2695" si="11802">$M$12</f>
        <v>0</v>
      </c>
      <c r="CD2695" s="34">
        <v>-1</v>
      </c>
      <c r="CE2695" s="34">
        <f t="shared" ref="CE2695" si="11803">-SUMPRODUCT($M$2:$M$11,$N$2:$N$11)</f>
        <v>-120000</v>
      </c>
      <c r="CF2695" s="34" t="e">
        <f t="shared" ref="CF2695" si="11804">IF(CC2695&lt;&gt;CC2696,MMULT(MINVERSE(CC2695:CD2696),CE2695:CE2696)," ")</f>
        <v>#NUM!</v>
      </c>
      <c r="CG2695" s="34" t="str">
        <f t="shared" ref="CG2695" si="11805">IFERROR(IF(CF2695-VLOOKUP(CC$38,$A$2:$N$12,14,FALSE)&lt;0,CF2695-VLOOKUP(CC$38,$A$2:$N$12,14,FALSE)," ")," ")</f>
        <v xml:space="preserve"> </v>
      </c>
      <c r="CH2695" s="34" t="str">
        <f t="shared" ref="CH2695" si="11806">IFERROR(IF(CF2695-VLOOKUP(CC$38,$A$2:$N$12,14,FALSE)&gt;0,CF2695-VLOOKUP(CC$38,$A$2:$N$12,14,FALSE)," ")," ")</f>
        <v xml:space="preserve"> </v>
      </c>
    </row>
    <row r="2696" spans="1:86" x14ac:dyDescent="0.2">
      <c r="A2696" s="8" t="str">
        <f>IF(AND(COUNTIF(W$3:W$13,A$16)&gt;0,A$16&lt;&gt;B2578),A$16,IFERROR(IF(MATCH(A$16,Z$3:Z$13,0)=6,A$16," ")," "))</f>
        <v xml:space="preserve"> </v>
      </c>
      <c r="B2696" s="8" t="str">
        <f>IF(A2696=" "," ",MAX(B2695:B2695)+1)</f>
        <v xml:space="preserve"> </v>
      </c>
      <c r="C2696" s="8" t="str">
        <f>IFERROR(INDEX(A2695:A2716,MATCH(SMALL(B2695:B2716,2),B2695:B2716,0),1)," ")</f>
        <v>C4</v>
      </c>
      <c r="D2696" s="8">
        <f t="shared" ref="D2696:D2705" si="11807">IFERROR(VLOOKUP($C2696,$A$15:$O$36,2,FALSE)," ")</f>
        <v>1</v>
      </c>
      <c r="E2696" s="8">
        <f t="shared" ref="E2696:E2705" si="11808">IFERROR(VLOOKUP($C2696,$A$15:$O$36,3,FALSE)," ")</f>
        <v>0</v>
      </c>
      <c r="F2696" s="8">
        <f t="shared" ref="F2696:F2705" si="11809">IFERROR(VLOOKUP($C2696,$A$15:$O$36,4,FALSE)," ")</f>
        <v>1</v>
      </c>
      <c r="G2696" s="8">
        <f t="shared" ref="G2696:G2705" si="11810">IFERROR(VLOOKUP($C2696,$A$15:$O$36,5,FALSE)," ")</f>
        <v>0</v>
      </c>
      <c r="H2696" s="8">
        <f t="shared" ref="H2696:H2705" si="11811">IFERROR(VLOOKUP($C2696,$A$15:$O$36,6,FALSE)," ")</f>
        <v>0</v>
      </c>
      <c r="I2696" s="8">
        <f t="shared" ref="I2696:I2705" si="11812">IFERROR(VLOOKUP($C2696,$A$15:$O$36,7,FALSE)," ")</f>
        <v>0</v>
      </c>
      <c r="J2696" s="8">
        <f t="shared" ref="J2696:J2705" si="11813">IFERROR(VLOOKUP($C2696,$A$15:$O$36,8,FALSE)," ")</f>
        <v>0</v>
      </c>
      <c r="K2696" s="8">
        <f t="shared" ref="K2696:K2705" si="11814">IFERROR(VLOOKUP($C2696,$A$15:$O$36,9,FALSE)," ")</f>
        <v>0</v>
      </c>
      <c r="L2696" s="8">
        <f t="shared" ref="L2696:L2705" si="11815">IFERROR(VLOOKUP($C2696,$A$15:$O$36,10,FALSE)," ")</f>
        <v>0</v>
      </c>
      <c r="M2696" s="8">
        <f t="shared" ref="M2696:M2705" si="11816">IFERROR(VLOOKUP($C2696,$A$15:$O$36,11,FALSE)," ")</f>
        <v>0</v>
      </c>
      <c r="N2696" s="8">
        <f t="shared" ref="N2696:N2705" si="11817">IFERROR(VLOOKUP($C2696,$A$15:$O$36,12,FALSE)," ")</f>
        <v>0</v>
      </c>
      <c r="O2696" s="8">
        <f t="shared" ref="O2696:O2705" si="11818">IFERROR(VLOOKUP($C2696,$A$15:$O$36,15,FALSE)," ")</f>
        <v>400</v>
      </c>
      <c r="P2696" s="8" t="e">
        <v>#NUM!</v>
      </c>
      <c r="Q2696" s="8" t="e">
        <f t="shared" ref="Q2696" si="11819">IF(COUNTIF(P2695:P2705,"&lt;"&amp;-0.001)=0,IF(ABS(P2696)&lt;0.001,0,P2696)," ")</f>
        <v>#NUM!</v>
      </c>
      <c r="R2696" s="8"/>
      <c r="S2696" s="8"/>
      <c r="U2696" s="34" t="e">
        <f t="shared" ref="U2696" si="11820">$Q2695</f>
        <v>#NUM!</v>
      </c>
      <c r="V2696" s="34">
        <v>-1</v>
      </c>
      <c r="W2696" s="34" t="e">
        <f t="shared" ref="W2696" si="11821">-SUMPRODUCT($Q2696:$Q2705,$N$3:$N$12)</f>
        <v>#NUM!</v>
      </c>
      <c r="X2696" s="34"/>
      <c r="Y2696" s="34"/>
      <c r="Z2696" s="34"/>
      <c r="AA2696" s="34" t="e">
        <f t="shared" ref="AA2696" si="11822">$Q2696</f>
        <v>#NUM!</v>
      </c>
      <c r="AB2696" s="34">
        <v>-1</v>
      </c>
      <c r="AC2696" s="34" t="e">
        <f t="shared" ref="AC2696" si="11823">-SUMPRODUCT($Q2695:$Q2695,$N$2:$N$2)-SUMPRODUCT($Q2697:$Q2705,$N$4:$N$12)</f>
        <v>#NUM!</v>
      </c>
      <c r="AD2696" s="34"/>
      <c r="AE2696" s="34"/>
      <c r="AF2696" s="34"/>
      <c r="AG2696" s="34" t="e">
        <f t="shared" ref="AG2696" si="11824">$Q2697</f>
        <v>#NUM!</v>
      </c>
      <c r="AH2696" s="34">
        <v>-1</v>
      </c>
      <c r="AI2696" s="34" t="e">
        <f t="shared" ref="AI2696" si="11825">-SUMPRODUCT($Q2695:$Q2696,$N$2:$N$3)-SUMPRODUCT($Q2698:$Q2705,$N$5:$N$12)</f>
        <v>#NUM!</v>
      </c>
      <c r="AJ2696" s="34"/>
      <c r="AK2696" s="34"/>
      <c r="AL2696" s="34"/>
      <c r="AM2696" s="34" t="e">
        <f t="shared" ref="AM2696" si="11826">$Q2698</f>
        <v>#NUM!</v>
      </c>
      <c r="AN2696" s="34">
        <v>-1</v>
      </c>
      <c r="AO2696" s="34" t="e">
        <f t="shared" ref="AO2696" si="11827">-SUMPRODUCT($Q2695:$Q2697,$N$2:$N$4)-SUMPRODUCT($Q2699:$Q2705,$N$6:$N$12)</f>
        <v>#NUM!</v>
      </c>
      <c r="AP2696" s="34"/>
      <c r="AQ2696" s="34"/>
      <c r="AR2696" s="34"/>
      <c r="AS2696" s="34" t="e">
        <f t="shared" ref="AS2696" si="11828">$Q2699</f>
        <v>#NUM!</v>
      </c>
      <c r="AT2696" s="34">
        <v>-1</v>
      </c>
      <c r="AU2696" s="34" t="e">
        <f t="shared" ref="AU2696" si="11829">-SUMPRODUCT($Q2695:$Q2698,$N$2:$N$5)-SUMPRODUCT($Q2700:$Q2705,$N$7:$N$12)</f>
        <v>#NUM!</v>
      </c>
      <c r="AV2696" s="34"/>
      <c r="AW2696" s="34"/>
      <c r="AX2696" s="34"/>
      <c r="AY2696" s="34" t="e">
        <f t="shared" ref="AY2696" si="11830">$Q2700</f>
        <v>#NUM!</v>
      </c>
      <c r="AZ2696" s="34">
        <v>-1</v>
      </c>
      <c r="BA2696" s="34" t="e">
        <f t="shared" ref="BA2696" si="11831">-SUMPRODUCT($Q2695:$Q2699,$N$2:$N$6)-SUMPRODUCT($Q2701:$Q2705,$N$8:$N$12)</f>
        <v>#NUM!</v>
      </c>
      <c r="BB2696" s="34"/>
      <c r="BC2696" s="34"/>
      <c r="BD2696" s="34"/>
      <c r="BE2696" s="34" t="e">
        <f t="shared" ref="BE2696" si="11832">$Q2701</f>
        <v>#NUM!</v>
      </c>
      <c r="BF2696" s="34">
        <v>-1</v>
      </c>
      <c r="BG2696" s="34" t="e">
        <f t="shared" ref="BG2696" si="11833">-SUMPRODUCT($Q2695:$Q2700,$N$2:$N$7)-SUMPRODUCT($Q2702:$Q2705,$N$9:$N$12)</f>
        <v>#NUM!</v>
      </c>
      <c r="BH2696" s="34"/>
      <c r="BI2696" s="34"/>
      <c r="BJ2696" s="34"/>
      <c r="BK2696" s="34" t="e">
        <f t="shared" ref="BK2696" si="11834">$Q2702</f>
        <v>#NUM!</v>
      </c>
      <c r="BL2696" s="34">
        <v>-1</v>
      </c>
      <c r="BM2696" s="34" t="e">
        <f t="shared" ref="BM2696" si="11835">-SUMPRODUCT($Q2695:$Q2701,$N$2:$N$8)-SUMPRODUCT($Q2703:$Q2705,$N$10:$N$12)</f>
        <v>#NUM!</v>
      </c>
      <c r="BN2696" s="34"/>
      <c r="BO2696" s="34"/>
      <c r="BP2696" s="34"/>
      <c r="BQ2696" s="34" t="e">
        <f t="shared" ref="BQ2696" si="11836">$Q2703</f>
        <v>#NUM!</v>
      </c>
      <c r="BR2696" s="34">
        <v>-1</v>
      </c>
      <c r="BS2696" s="34" t="e">
        <f t="shared" ref="BS2696" si="11837">-SUMPRODUCT($Q2695:$Q2702,$N$2:$N$9)-SUMPRODUCT($Q2704:$Q2705,$N$11:$N$12)</f>
        <v>#NUM!</v>
      </c>
      <c r="BT2696" s="34"/>
      <c r="BU2696" s="34"/>
      <c r="BV2696" s="34"/>
      <c r="BW2696" s="34" t="e">
        <f t="shared" ref="BW2696" si="11838">$Q2704</f>
        <v>#NUM!</v>
      </c>
      <c r="BX2696" s="34">
        <v>-1</v>
      </c>
      <c r="BY2696" s="34" t="e">
        <f t="shared" ref="BY2696" si="11839">-SUMPRODUCT($Q2695:$Q2703,$N$2:$N$10)-SUMPRODUCT($Q2705,$N$12)</f>
        <v>#NUM!</v>
      </c>
      <c r="BZ2696" s="34"/>
      <c r="CA2696" s="34"/>
      <c r="CB2696" s="34"/>
      <c r="CC2696" s="34" t="e">
        <f t="shared" ref="CC2696" si="11840">$Q2705</f>
        <v>#NUM!</v>
      </c>
      <c r="CD2696" s="34">
        <v>-1</v>
      </c>
      <c r="CE2696" s="34" t="e">
        <f t="shared" ref="CE2696" si="11841">-SUMPRODUCT($Q2695:$Q2704,$N$2:$N$11)</f>
        <v>#NUM!</v>
      </c>
      <c r="CF2696" s="34"/>
      <c r="CG2696" s="34"/>
      <c r="CH2696" s="34"/>
    </row>
    <row r="2697" spans="1:86" x14ac:dyDescent="0.2">
      <c r="A2697" s="8" t="str">
        <f>IF(AND(COUNTIF(W$3:W$13,A$17)&gt;0,A$17&lt;&gt;B2578),A$17,IFERROR(IF(MATCH(A$17,Z$3:Z$13,0)=6,A$17," ")," "))</f>
        <v>C3</v>
      </c>
      <c r="B2697" s="8">
        <f>IF(A2697=" "," ",MAX(B2695:B2696)+1)</f>
        <v>1</v>
      </c>
      <c r="C2697" s="8" t="str">
        <f>IFERROR(INDEX(A2695:A2716,MATCH(SMALL(B2695:B2716,3),B2695:B2716,0),1)," ")</f>
        <v>C8</v>
      </c>
      <c r="D2697" s="8">
        <f t="shared" si="11807"/>
        <v>0</v>
      </c>
      <c r="E2697" s="8">
        <f t="shared" si="11808"/>
        <v>0</v>
      </c>
      <c r="F2697" s="8">
        <f t="shared" si="11809"/>
        <v>0</v>
      </c>
      <c r="G2697" s="8">
        <f t="shared" si="11810"/>
        <v>0</v>
      </c>
      <c r="H2697" s="8">
        <f t="shared" si="11811"/>
        <v>0</v>
      </c>
      <c r="I2697" s="8">
        <f t="shared" si="11812"/>
        <v>0</v>
      </c>
      <c r="J2697" s="8">
        <f t="shared" si="11813"/>
        <v>0</v>
      </c>
      <c r="K2697" s="8">
        <f t="shared" si="11814"/>
        <v>0</v>
      </c>
      <c r="L2697" s="8">
        <f t="shared" si="11815"/>
        <v>0</v>
      </c>
      <c r="M2697" s="8">
        <f t="shared" si="11816"/>
        <v>0</v>
      </c>
      <c r="N2697" s="8">
        <f t="shared" si="11817"/>
        <v>0</v>
      </c>
      <c r="O2697" s="8">
        <f t="shared" si="11818"/>
        <v>0</v>
      </c>
      <c r="P2697" s="8" t="e">
        <v>#NUM!</v>
      </c>
      <c r="Q2697" s="8" t="e">
        <f t="shared" ref="Q2697" si="11842">IF(COUNTIF(P2695:P2705,"&lt;"&amp;-0.001)=0,IF(ABS(P2697)&lt;0.001,0,P2697)," ")</f>
        <v>#NUM!</v>
      </c>
      <c r="R2697" s="8"/>
      <c r="S2697" s="8"/>
      <c r="U2697" s="34"/>
      <c r="V2697" s="34"/>
      <c r="W2697" s="34"/>
      <c r="X2697" s="34"/>
      <c r="Y2697" s="34"/>
      <c r="Z2697" s="34"/>
      <c r="AA2697" s="34"/>
      <c r="AB2697" s="34"/>
      <c r="AC2697" s="34"/>
      <c r="AD2697" s="34"/>
      <c r="AE2697" s="34"/>
      <c r="AF2697" s="34"/>
      <c r="AG2697" s="34"/>
      <c r="AH2697" s="34"/>
      <c r="AI2697" s="34"/>
      <c r="AJ2697" s="34"/>
      <c r="AK2697" s="34"/>
      <c r="AL2697" s="34"/>
      <c r="AM2697" s="34"/>
      <c r="AN2697" s="34"/>
      <c r="AO2697" s="34"/>
      <c r="AP2697" s="34"/>
      <c r="AQ2697" s="34"/>
      <c r="AR2697" s="34"/>
      <c r="AS2697" s="34"/>
      <c r="AT2697" s="34"/>
      <c r="AU2697" s="34"/>
      <c r="AV2697" s="34"/>
      <c r="AW2697" s="34"/>
      <c r="AX2697" s="34"/>
      <c r="AY2697" s="34"/>
      <c r="AZ2697" s="34"/>
      <c r="BA2697" s="34"/>
      <c r="BB2697" s="34"/>
      <c r="BC2697" s="34"/>
      <c r="BD2697" s="34"/>
      <c r="BE2697" s="34"/>
      <c r="BF2697" s="34"/>
      <c r="BG2697" s="34"/>
      <c r="BH2697" s="34"/>
      <c r="BI2697" s="34"/>
      <c r="BJ2697" s="34"/>
      <c r="BK2697" s="34"/>
      <c r="BL2697" s="34"/>
      <c r="BM2697" s="34"/>
      <c r="BN2697" s="34"/>
      <c r="BO2697" s="34"/>
      <c r="BP2697" s="34"/>
      <c r="BQ2697" s="34"/>
      <c r="BR2697" s="34"/>
      <c r="BS2697" s="34"/>
      <c r="BT2697" s="34"/>
      <c r="BU2697" s="34"/>
      <c r="BV2697" s="34"/>
      <c r="BW2697" s="34"/>
      <c r="BX2697" s="34"/>
      <c r="BY2697" s="34"/>
      <c r="BZ2697" s="34"/>
      <c r="CA2697" s="34"/>
      <c r="CB2697" s="34"/>
      <c r="CC2697" s="34"/>
      <c r="CD2697" s="34"/>
      <c r="CE2697" s="34"/>
      <c r="CF2697" s="34"/>
      <c r="CG2697" s="34"/>
      <c r="CH2697" s="34"/>
    </row>
    <row r="2698" spans="1:86" x14ac:dyDescent="0.2">
      <c r="A2698" s="8" t="str">
        <f>IF(AND(COUNTIF(W$3:W$13,A$18)&gt;0,A$18&lt;&gt;B2578),A$18,IFERROR(IF(MATCH(A$18,Z$3:Z$13,0)=6,A$18," ")," "))</f>
        <v>C4</v>
      </c>
      <c r="B2698" s="8">
        <f>IF(A2698=" "," ",MAX(B2695:B2697)+1)</f>
        <v>2</v>
      </c>
      <c r="C2698" s="8" t="str">
        <f>IFERROR(INDEX(A2695:A2716,MATCH(SMALL(B2695:B2716,4),B2695:B2716,0),1)," ")</f>
        <v>C13</v>
      </c>
      <c r="D2698" s="8">
        <f t="shared" si="11807"/>
        <v>0</v>
      </c>
      <c r="E2698" s="8">
        <f t="shared" si="11808"/>
        <v>1</v>
      </c>
      <c r="F2698" s="8">
        <f t="shared" si="11809"/>
        <v>0</v>
      </c>
      <c r="G2698" s="8">
        <f t="shared" si="11810"/>
        <v>0</v>
      </c>
      <c r="H2698" s="8">
        <f t="shared" si="11811"/>
        <v>0</v>
      </c>
      <c r="I2698" s="8">
        <f t="shared" si="11812"/>
        <v>0</v>
      </c>
      <c r="J2698" s="8">
        <f t="shared" si="11813"/>
        <v>0</v>
      </c>
      <c r="K2698" s="8">
        <f t="shared" si="11814"/>
        <v>0</v>
      </c>
      <c r="L2698" s="8">
        <f t="shared" si="11815"/>
        <v>0</v>
      </c>
      <c r="M2698" s="8">
        <f t="shared" si="11816"/>
        <v>0</v>
      </c>
      <c r="N2698" s="8">
        <f t="shared" si="11817"/>
        <v>0</v>
      </c>
      <c r="O2698" s="8">
        <f t="shared" si="11818"/>
        <v>0</v>
      </c>
      <c r="P2698" s="8" t="e">
        <v>#NUM!</v>
      </c>
      <c r="Q2698" s="8" t="e">
        <f t="shared" ref="Q2698" si="11843">IF(COUNTIF(P2695:P2705,"&lt;"&amp;-0.001)=0,IF(ABS(P2698)&lt;0.001,0,P2698)," ")</f>
        <v>#NUM!</v>
      </c>
      <c r="R2698" s="8"/>
      <c r="S2698" s="8"/>
      <c r="U2698" s="34"/>
      <c r="V2698" s="34"/>
      <c r="W2698" s="34"/>
      <c r="X2698" s="34"/>
      <c r="Y2698" s="34"/>
      <c r="Z2698" s="34"/>
      <c r="AA2698" s="34"/>
      <c r="AB2698" s="34"/>
      <c r="AC2698" s="34"/>
      <c r="AD2698" s="34"/>
      <c r="AE2698" s="34"/>
      <c r="AF2698" s="34"/>
      <c r="AG2698" s="34"/>
      <c r="AH2698" s="34"/>
      <c r="AI2698" s="34"/>
      <c r="AJ2698" s="34"/>
      <c r="AK2698" s="34"/>
      <c r="AL2698" s="34"/>
      <c r="AM2698" s="34"/>
      <c r="AN2698" s="34"/>
      <c r="AO2698" s="34"/>
      <c r="AP2698" s="34"/>
      <c r="AQ2698" s="34"/>
      <c r="AR2698" s="34"/>
      <c r="AS2698" s="34"/>
      <c r="AT2698" s="34"/>
      <c r="AU2698" s="34"/>
      <c r="AV2698" s="34"/>
      <c r="AW2698" s="34"/>
      <c r="AX2698" s="34"/>
      <c r="AY2698" s="34"/>
      <c r="AZ2698" s="34"/>
      <c r="BA2698" s="34"/>
      <c r="BB2698" s="34"/>
      <c r="BC2698" s="34"/>
      <c r="BD2698" s="34"/>
      <c r="BE2698" s="34"/>
      <c r="BF2698" s="34"/>
      <c r="BG2698" s="34"/>
      <c r="BH2698" s="34"/>
      <c r="BI2698" s="34"/>
      <c r="BJ2698" s="34"/>
      <c r="BK2698" s="34"/>
      <c r="BL2698" s="34"/>
      <c r="BM2698" s="34"/>
      <c r="BN2698" s="34"/>
      <c r="BO2698" s="34"/>
      <c r="BP2698" s="34"/>
      <c r="BQ2698" s="34"/>
      <c r="BR2698" s="34"/>
      <c r="BS2698" s="34"/>
      <c r="BT2698" s="34"/>
      <c r="BU2698" s="34"/>
      <c r="BV2698" s="34"/>
      <c r="BW2698" s="34"/>
      <c r="BX2698" s="34"/>
      <c r="BY2698" s="34"/>
      <c r="BZ2698" s="34"/>
      <c r="CA2698" s="34"/>
      <c r="CB2698" s="34"/>
      <c r="CC2698" s="34"/>
      <c r="CD2698" s="34"/>
      <c r="CE2698" s="34"/>
      <c r="CF2698" s="34"/>
      <c r="CG2698" s="34"/>
      <c r="CH2698" s="34"/>
    </row>
    <row r="2699" spans="1:86" x14ac:dyDescent="0.2">
      <c r="A2699" s="8" t="str">
        <f>IF(AND(COUNTIF(W$3:W$13,A$19)&gt;0,A$19&lt;&gt;B2578),A$19,IFERROR(IF(MATCH(A$19,Z$3:Z$13,0)=6,A$19," ")," "))</f>
        <v xml:space="preserve"> </v>
      </c>
      <c r="B2699" s="8" t="str">
        <f>IF(A2699=" "," ",MAX(B2695:B2698)+1)</f>
        <v xml:space="preserve"> </v>
      </c>
      <c r="C2699" s="8" t="str">
        <f>IFERROR(INDEX(A2695:A2716,MATCH(SMALL(B2695:B2716,5),B2695:B2716,0),1)," ")</f>
        <v>C15</v>
      </c>
      <c r="D2699" s="8">
        <f t="shared" si="11807"/>
        <v>0</v>
      </c>
      <c r="E2699" s="8">
        <f t="shared" si="11808"/>
        <v>0</v>
      </c>
      <c r="F2699" s="8">
        <f t="shared" si="11809"/>
        <v>0</v>
      </c>
      <c r="G2699" s="8">
        <f t="shared" si="11810"/>
        <v>1</v>
      </c>
      <c r="H2699" s="8">
        <f t="shared" si="11811"/>
        <v>0</v>
      </c>
      <c r="I2699" s="8">
        <f t="shared" si="11812"/>
        <v>0</v>
      </c>
      <c r="J2699" s="8">
        <f t="shared" si="11813"/>
        <v>0</v>
      </c>
      <c r="K2699" s="8">
        <f t="shared" si="11814"/>
        <v>0</v>
      </c>
      <c r="L2699" s="8">
        <f t="shared" si="11815"/>
        <v>0</v>
      </c>
      <c r="M2699" s="8">
        <f t="shared" si="11816"/>
        <v>0</v>
      </c>
      <c r="N2699" s="8">
        <f t="shared" si="11817"/>
        <v>0</v>
      </c>
      <c r="O2699" s="8">
        <f t="shared" si="11818"/>
        <v>0</v>
      </c>
      <c r="P2699" s="8" t="e">
        <v>#NUM!</v>
      </c>
      <c r="Q2699" s="8" t="e">
        <f t="shared" ref="Q2699" si="11844">IF(COUNTIF(P2695:P2705,"&lt;"&amp;-0.001)=0,IF(ABS(P2699)&lt;0.001,0,P2699)," ")</f>
        <v>#NUM!</v>
      </c>
      <c r="R2699" s="8"/>
      <c r="S2699" s="8"/>
      <c r="U2699" s="34"/>
      <c r="V2699" s="34"/>
      <c r="W2699" s="34"/>
      <c r="X2699" s="34"/>
      <c r="Y2699" s="34"/>
      <c r="Z2699" s="34"/>
      <c r="AA2699" s="34"/>
      <c r="AB2699" s="34"/>
      <c r="AC2699" s="34"/>
      <c r="AD2699" s="34"/>
      <c r="AE2699" s="34"/>
      <c r="AF2699" s="34"/>
      <c r="AG2699" s="34"/>
      <c r="AH2699" s="34"/>
      <c r="AI2699" s="34"/>
      <c r="AJ2699" s="34"/>
      <c r="AK2699" s="34"/>
      <c r="AL2699" s="34"/>
      <c r="AM2699" s="34"/>
      <c r="AN2699" s="34"/>
      <c r="AO2699" s="34"/>
      <c r="AP2699" s="34"/>
      <c r="AQ2699" s="34"/>
      <c r="AR2699" s="34"/>
      <c r="AS2699" s="34"/>
      <c r="AT2699" s="34"/>
      <c r="AU2699" s="34"/>
      <c r="AV2699" s="34"/>
      <c r="AW2699" s="34"/>
      <c r="AX2699" s="34"/>
      <c r="AY2699" s="34"/>
      <c r="AZ2699" s="34"/>
      <c r="BA2699" s="34"/>
      <c r="BB2699" s="34"/>
      <c r="BC2699" s="34"/>
      <c r="BD2699" s="34"/>
      <c r="BE2699" s="34"/>
      <c r="BF2699" s="34"/>
      <c r="BG2699" s="34"/>
      <c r="BH2699" s="34"/>
      <c r="BI2699" s="34"/>
      <c r="BJ2699" s="34"/>
      <c r="BK2699" s="34"/>
      <c r="BL2699" s="34"/>
      <c r="BM2699" s="34"/>
      <c r="BN2699" s="34"/>
      <c r="BO2699" s="34"/>
      <c r="BP2699" s="34"/>
      <c r="BQ2699" s="34"/>
      <c r="BR2699" s="34"/>
      <c r="BS2699" s="34"/>
      <c r="BT2699" s="34"/>
      <c r="BU2699" s="34"/>
      <c r="BV2699" s="34"/>
      <c r="BW2699" s="34"/>
      <c r="BX2699" s="34"/>
      <c r="BY2699" s="34"/>
      <c r="BZ2699" s="34"/>
      <c r="CA2699" s="34"/>
      <c r="CB2699" s="34"/>
      <c r="CC2699" s="34"/>
      <c r="CD2699" s="34"/>
      <c r="CE2699" s="34"/>
      <c r="CF2699" s="34"/>
      <c r="CG2699" s="34"/>
      <c r="CH2699" s="34"/>
    </row>
    <row r="2700" spans="1:86" x14ac:dyDescent="0.2">
      <c r="A2700" s="8" t="str">
        <f>IF(AND(COUNTIF(W$3:W$13,A$20)&gt;0,A$20&lt;&gt;B2578),A$20,IFERROR(IF(MATCH(A$20,Z$3:Z$13,0)=6,A$20," ")," "))</f>
        <v xml:space="preserve"> </v>
      </c>
      <c r="B2700" s="8" t="str">
        <f>IF(A2700=" "," ",MAX(B2695:B2699)+1)</f>
        <v xml:space="preserve"> </v>
      </c>
      <c r="C2700" s="8" t="str">
        <f>IFERROR(INDEX(A2695:A2716,MATCH(SMALL(B2695:B2716,6),B2695:B2716,0),1)," ")</f>
        <v>C16</v>
      </c>
      <c r="D2700" s="8">
        <f t="shared" si="11807"/>
        <v>0</v>
      </c>
      <c r="E2700" s="8">
        <f t="shared" si="11808"/>
        <v>0</v>
      </c>
      <c r="F2700" s="8">
        <f t="shared" si="11809"/>
        <v>0</v>
      </c>
      <c r="G2700" s="8">
        <f t="shared" si="11810"/>
        <v>0</v>
      </c>
      <c r="H2700" s="8">
        <f t="shared" si="11811"/>
        <v>1</v>
      </c>
      <c r="I2700" s="8">
        <f t="shared" si="11812"/>
        <v>0</v>
      </c>
      <c r="J2700" s="8">
        <f t="shared" si="11813"/>
        <v>0</v>
      </c>
      <c r="K2700" s="8">
        <f t="shared" si="11814"/>
        <v>0</v>
      </c>
      <c r="L2700" s="8">
        <f t="shared" si="11815"/>
        <v>0</v>
      </c>
      <c r="M2700" s="8">
        <f t="shared" si="11816"/>
        <v>0</v>
      </c>
      <c r="N2700" s="8">
        <f t="shared" si="11817"/>
        <v>0</v>
      </c>
      <c r="O2700" s="8">
        <f t="shared" si="11818"/>
        <v>0</v>
      </c>
      <c r="P2700" s="8" t="e">
        <v>#NUM!</v>
      </c>
      <c r="Q2700" s="8" t="e">
        <f t="shared" ref="Q2700" si="11845">IF(COUNTIF(P2695:P2705,"&lt;"&amp;-0.001)=0,IF(ABS(P2700)&lt;0.001,0,P2700)," ")</f>
        <v>#NUM!</v>
      </c>
      <c r="R2700" s="8"/>
      <c r="S2700" s="8"/>
      <c r="U2700" s="34"/>
      <c r="V2700" s="34"/>
      <c r="W2700" s="34"/>
      <c r="X2700" s="34"/>
      <c r="Y2700" s="34"/>
      <c r="Z2700" s="34"/>
      <c r="AA2700" s="34"/>
      <c r="AB2700" s="34"/>
      <c r="AC2700" s="34"/>
      <c r="AD2700" s="34"/>
      <c r="AE2700" s="34"/>
      <c r="AF2700" s="34"/>
      <c r="AG2700" s="34"/>
      <c r="AH2700" s="34"/>
      <c r="AI2700" s="34"/>
      <c r="AJ2700" s="34"/>
      <c r="AK2700" s="34"/>
      <c r="AL2700" s="34"/>
      <c r="AM2700" s="34"/>
      <c r="AN2700" s="34"/>
      <c r="AO2700" s="34"/>
      <c r="AP2700" s="34"/>
      <c r="AQ2700" s="34"/>
      <c r="AR2700" s="34"/>
      <c r="AS2700" s="34"/>
      <c r="AT2700" s="34"/>
      <c r="AU2700" s="34"/>
      <c r="AV2700" s="34"/>
      <c r="AW2700" s="34"/>
      <c r="AX2700" s="34"/>
      <c r="AY2700" s="34"/>
      <c r="AZ2700" s="34"/>
      <c r="BA2700" s="34"/>
      <c r="BB2700" s="34"/>
      <c r="BC2700" s="34"/>
      <c r="BD2700" s="34"/>
      <c r="BE2700" s="34"/>
      <c r="BF2700" s="34"/>
      <c r="BG2700" s="34"/>
      <c r="BH2700" s="34"/>
      <c r="BI2700" s="34"/>
      <c r="BJ2700" s="34"/>
      <c r="BK2700" s="34"/>
      <c r="BL2700" s="34"/>
      <c r="BM2700" s="34"/>
      <c r="BN2700" s="34"/>
      <c r="BO2700" s="34"/>
      <c r="BP2700" s="34"/>
      <c r="BQ2700" s="34"/>
      <c r="BR2700" s="34"/>
      <c r="BS2700" s="34"/>
      <c r="BT2700" s="34"/>
      <c r="BU2700" s="34"/>
      <c r="BV2700" s="34"/>
      <c r="BW2700" s="34"/>
      <c r="BX2700" s="34"/>
      <c r="BY2700" s="34"/>
      <c r="BZ2700" s="34"/>
      <c r="CA2700" s="34"/>
      <c r="CB2700" s="34"/>
      <c r="CC2700" s="34"/>
      <c r="CD2700" s="34"/>
      <c r="CE2700" s="34"/>
      <c r="CF2700" s="34"/>
      <c r="CG2700" s="34"/>
      <c r="CH2700" s="34"/>
    </row>
    <row r="2701" spans="1:86" x14ac:dyDescent="0.2">
      <c r="A2701" s="8" t="str">
        <f>IF(AND(COUNTIF(W$3:W$13,A$21)&gt;0,A$21&lt;&gt;B2578),A$21,IFERROR(IF(MATCH(A$21,Z$3:Z$13,0)=6,A$21," ")," "))</f>
        <v xml:space="preserve"> </v>
      </c>
      <c r="B2701" s="8" t="str">
        <f>IF(A2701=" "," ",MAX(B2695:B2700)+1)</f>
        <v xml:space="preserve"> </v>
      </c>
      <c r="C2701" s="8" t="str">
        <f>IFERROR(INDEX(A2695:A2716,MATCH(SMALL(B2695:B2716,7),B2695:B2716,0),1)," ")</f>
        <v>C17</v>
      </c>
      <c r="D2701" s="8">
        <f t="shared" si="11807"/>
        <v>0</v>
      </c>
      <c r="E2701" s="8">
        <f t="shared" si="11808"/>
        <v>0</v>
      </c>
      <c r="F2701" s="8">
        <f t="shared" si="11809"/>
        <v>0</v>
      </c>
      <c r="G2701" s="8">
        <f t="shared" si="11810"/>
        <v>0</v>
      </c>
      <c r="H2701" s="8">
        <f t="shared" si="11811"/>
        <v>0</v>
      </c>
      <c r="I2701" s="8">
        <f t="shared" si="11812"/>
        <v>1</v>
      </c>
      <c r="J2701" s="8">
        <f t="shared" si="11813"/>
        <v>0</v>
      </c>
      <c r="K2701" s="8">
        <f t="shared" si="11814"/>
        <v>0</v>
      </c>
      <c r="L2701" s="8">
        <f t="shared" si="11815"/>
        <v>0</v>
      </c>
      <c r="M2701" s="8">
        <f t="shared" si="11816"/>
        <v>0</v>
      </c>
      <c r="N2701" s="8">
        <f t="shared" si="11817"/>
        <v>0</v>
      </c>
      <c r="O2701" s="8">
        <f t="shared" si="11818"/>
        <v>0</v>
      </c>
      <c r="P2701" s="8" t="e">
        <v>#NUM!</v>
      </c>
      <c r="Q2701" s="8" t="e">
        <f t="shared" ref="Q2701" si="11846">IF(COUNTIF(P2695:P2705,"&lt;"&amp;-0.001)=0,IF(ABS(P2701)&lt;0.001,0,P2701)," ")</f>
        <v>#NUM!</v>
      </c>
      <c r="R2701" s="8"/>
      <c r="S2701" s="8"/>
      <c r="U2701" s="34"/>
      <c r="V2701" s="34"/>
      <c r="W2701" s="34"/>
      <c r="X2701" s="34"/>
      <c r="Y2701" s="34"/>
      <c r="Z2701" s="34"/>
      <c r="AA2701" s="34"/>
      <c r="AB2701" s="34"/>
      <c r="AC2701" s="34"/>
      <c r="AD2701" s="34"/>
      <c r="AE2701" s="34"/>
      <c r="AF2701" s="34"/>
      <c r="AG2701" s="34"/>
      <c r="AH2701" s="34"/>
      <c r="AI2701" s="34"/>
      <c r="AJ2701" s="34"/>
      <c r="AK2701" s="34"/>
      <c r="AL2701" s="34"/>
      <c r="AM2701" s="34"/>
      <c r="AN2701" s="34"/>
      <c r="AO2701" s="34"/>
      <c r="AP2701" s="34"/>
      <c r="AQ2701" s="34"/>
      <c r="AR2701" s="34"/>
      <c r="AS2701" s="34"/>
      <c r="AT2701" s="34"/>
      <c r="AU2701" s="34"/>
      <c r="AV2701" s="34"/>
      <c r="AW2701" s="34"/>
      <c r="AX2701" s="34"/>
      <c r="AY2701" s="34"/>
      <c r="AZ2701" s="34"/>
      <c r="BA2701" s="34"/>
      <c r="BB2701" s="34"/>
      <c r="BC2701" s="34"/>
      <c r="BD2701" s="34"/>
      <c r="BE2701" s="34"/>
      <c r="BF2701" s="34"/>
      <c r="BG2701" s="34"/>
      <c r="BH2701" s="34"/>
      <c r="BI2701" s="34"/>
      <c r="BJ2701" s="34"/>
      <c r="BK2701" s="34"/>
      <c r="BL2701" s="34"/>
      <c r="BM2701" s="34"/>
      <c r="BN2701" s="34"/>
      <c r="BO2701" s="34"/>
      <c r="BP2701" s="34"/>
      <c r="BQ2701" s="34"/>
      <c r="BR2701" s="34"/>
      <c r="BS2701" s="34"/>
      <c r="BT2701" s="34"/>
      <c r="BU2701" s="34"/>
      <c r="BV2701" s="34"/>
      <c r="BW2701" s="34"/>
      <c r="BX2701" s="34"/>
      <c r="BY2701" s="34"/>
      <c r="BZ2701" s="34"/>
      <c r="CA2701" s="34"/>
      <c r="CB2701" s="34"/>
      <c r="CC2701" s="34"/>
      <c r="CD2701" s="34"/>
      <c r="CE2701" s="34"/>
      <c r="CF2701" s="34"/>
      <c r="CG2701" s="34"/>
      <c r="CH2701" s="34"/>
    </row>
    <row r="2702" spans="1:86" x14ac:dyDescent="0.2">
      <c r="A2702" s="8" t="str">
        <f>IF(AND(COUNTIF(W$3:W$13,A$22)&gt;0,A$22&lt;&gt;B2578),A$22,IFERROR(IF(MATCH(A$22,Z$3:Z$13,0)=6,A$22," ")," "))</f>
        <v>C8</v>
      </c>
      <c r="B2702" s="8">
        <f>IF(A2702=" "," ",MAX(B2695:B2701)+1)</f>
        <v>3</v>
      </c>
      <c r="C2702" s="8" t="str">
        <f>IFERROR(INDEX(A2695:A2716,MATCH(SMALL(B2695:B2716,8),B2695:B2716,0),1)," ")</f>
        <v>C18</v>
      </c>
      <c r="D2702" s="8">
        <f t="shared" si="11807"/>
        <v>0</v>
      </c>
      <c r="E2702" s="8">
        <f t="shared" si="11808"/>
        <v>0</v>
      </c>
      <c r="F2702" s="8">
        <f t="shared" si="11809"/>
        <v>0</v>
      </c>
      <c r="G2702" s="8">
        <f t="shared" si="11810"/>
        <v>0</v>
      </c>
      <c r="H2702" s="8">
        <f t="shared" si="11811"/>
        <v>0</v>
      </c>
      <c r="I2702" s="8">
        <f t="shared" si="11812"/>
        <v>0</v>
      </c>
      <c r="J2702" s="8">
        <f t="shared" si="11813"/>
        <v>1</v>
      </c>
      <c r="K2702" s="8">
        <f t="shared" si="11814"/>
        <v>0</v>
      </c>
      <c r="L2702" s="8">
        <f t="shared" si="11815"/>
        <v>0</v>
      </c>
      <c r="M2702" s="8">
        <f t="shared" si="11816"/>
        <v>0</v>
      </c>
      <c r="N2702" s="8">
        <f t="shared" si="11817"/>
        <v>0</v>
      </c>
      <c r="O2702" s="8">
        <f t="shared" si="11818"/>
        <v>0</v>
      </c>
      <c r="P2702" s="8" t="e">
        <v>#NUM!</v>
      </c>
      <c r="Q2702" s="8" t="e">
        <f t="shared" ref="Q2702" si="11847">IF(COUNTIF(P2695:P2705,"&lt;"&amp;-0.001)=0,IF(ABS(P2702)&lt;0.001,0,P2702)," ")</f>
        <v>#NUM!</v>
      </c>
      <c r="R2702" s="8"/>
      <c r="S2702" s="8"/>
      <c r="U2702" s="34"/>
      <c r="V2702" s="34"/>
      <c r="W2702" s="34"/>
      <c r="X2702" s="34"/>
      <c r="Y2702" s="34"/>
      <c r="Z2702" s="34"/>
      <c r="AA2702" s="34"/>
      <c r="AB2702" s="34"/>
      <c r="AC2702" s="34"/>
      <c r="AD2702" s="34"/>
      <c r="AE2702" s="34"/>
      <c r="AF2702" s="34"/>
      <c r="AG2702" s="34"/>
      <c r="AH2702" s="34"/>
      <c r="AI2702" s="34"/>
      <c r="AJ2702" s="34"/>
      <c r="AK2702" s="34"/>
      <c r="AL2702" s="34"/>
      <c r="AM2702" s="34"/>
      <c r="AN2702" s="34"/>
      <c r="AO2702" s="34"/>
      <c r="AP2702" s="34"/>
      <c r="AQ2702" s="34"/>
      <c r="AR2702" s="34"/>
      <c r="AS2702" s="34"/>
      <c r="AT2702" s="34"/>
      <c r="AU2702" s="34"/>
      <c r="AV2702" s="34"/>
      <c r="AW2702" s="34"/>
      <c r="AX2702" s="34"/>
      <c r="AY2702" s="34"/>
      <c r="AZ2702" s="34"/>
      <c r="BA2702" s="34"/>
      <c r="BB2702" s="34"/>
      <c r="BC2702" s="34"/>
      <c r="BD2702" s="34"/>
      <c r="BE2702" s="34"/>
      <c r="BF2702" s="34"/>
      <c r="BG2702" s="34"/>
      <c r="BH2702" s="34"/>
      <c r="BI2702" s="34"/>
      <c r="BJ2702" s="34"/>
      <c r="BK2702" s="34"/>
      <c r="BL2702" s="34"/>
      <c r="BM2702" s="34"/>
      <c r="BN2702" s="34"/>
      <c r="BO2702" s="34"/>
      <c r="BP2702" s="34"/>
      <c r="BQ2702" s="34"/>
      <c r="BR2702" s="34"/>
      <c r="BS2702" s="34"/>
      <c r="BT2702" s="34"/>
      <c r="BU2702" s="34"/>
      <c r="BV2702" s="34"/>
      <c r="BW2702" s="34"/>
      <c r="BX2702" s="34"/>
      <c r="BY2702" s="34"/>
      <c r="BZ2702" s="34"/>
      <c r="CA2702" s="34"/>
      <c r="CB2702" s="34"/>
      <c r="CC2702" s="34"/>
      <c r="CD2702" s="34"/>
      <c r="CE2702" s="34"/>
      <c r="CF2702" s="34"/>
      <c r="CG2702" s="34"/>
      <c r="CH2702" s="34"/>
    </row>
    <row r="2703" spans="1:86" x14ac:dyDescent="0.2">
      <c r="A2703" s="8" t="str">
        <f>IF(AND(COUNTIF(W$3:W$13,A$23)&gt;0,A$23&lt;&gt;B2578),A$23,IFERROR(IF(MATCH(A$23,Z$3:Z$13,0)=6,A$23," ")," "))</f>
        <v xml:space="preserve"> </v>
      </c>
      <c r="B2703" s="8" t="str">
        <f>IF(A2703=" "," ",MAX(B2695:B2702)+1)</f>
        <v xml:space="preserve"> </v>
      </c>
      <c r="C2703" s="8" t="str">
        <f>IFERROR(INDEX(A2695:A2716,MATCH(SMALL(B2695:B2716,9),B2695:B2716,0),1)," ")</f>
        <v>C19</v>
      </c>
      <c r="D2703" s="8">
        <f t="shared" si="11807"/>
        <v>0</v>
      </c>
      <c r="E2703" s="8">
        <f t="shared" si="11808"/>
        <v>0</v>
      </c>
      <c r="F2703" s="8">
        <f t="shared" si="11809"/>
        <v>0</v>
      </c>
      <c r="G2703" s="8">
        <f t="shared" si="11810"/>
        <v>0</v>
      </c>
      <c r="H2703" s="8">
        <f t="shared" si="11811"/>
        <v>0</v>
      </c>
      <c r="I2703" s="8">
        <f t="shared" si="11812"/>
        <v>0</v>
      </c>
      <c r="J2703" s="8">
        <f t="shared" si="11813"/>
        <v>0</v>
      </c>
      <c r="K2703" s="8">
        <f t="shared" si="11814"/>
        <v>1</v>
      </c>
      <c r="L2703" s="8">
        <f t="shared" si="11815"/>
        <v>0</v>
      </c>
      <c r="M2703" s="8">
        <f t="shared" si="11816"/>
        <v>0</v>
      </c>
      <c r="N2703" s="8">
        <f t="shared" si="11817"/>
        <v>0</v>
      </c>
      <c r="O2703" s="8">
        <f t="shared" si="11818"/>
        <v>0</v>
      </c>
      <c r="P2703" s="6" t="e">
        <v>#NUM!</v>
      </c>
      <c r="Q2703" s="8" t="e">
        <f t="shared" ref="Q2703" si="11848">IF(COUNTIF(P2695:P2705,"&lt;"&amp;-0.001)=0,IF(ABS(P2703)&lt;0.001,0,P2703)," ")</f>
        <v>#NUM!</v>
      </c>
      <c r="R2703" s="8"/>
      <c r="S2703" s="8"/>
      <c r="U2703" s="34"/>
      <c r="V2703" s="34"/>
      <c r="W2703" s="34"/>
      <c r="X2703" s="34"/>
      <c r="Y2703" s="34"/>
      <c r="Z2703" s="34"/>
      <c r="AA2703" s="34"/>
      <c r="AB2703" s="34"/>
      <c r="AC2703" s="34"/>
      <c r="AD2703" s="34"/>
      <c r="AE2703" s="34"/>
      <c r="AF2703" s="34"/>
      <c r="AG2703" s="34"/>
      <c r="AH2703" s="34"/>
      <c r="AI2703" s="34"/>
      <c r="AJ2703" s="34"/>
      <c r="AK2703" s="34"/>
      <c r="AL2703" s="34"/>
      <c r="AM2703" s="34"/>
      <c r="AN2703" s="34"/>
      <c r="AO2703" s="34"/>
      <c r="AP2703" s="34"/>
      <c r="AQ2703" s="34"/>
      <c r="AR2703" s="34"/>
      <c r="AS2703" s="34"/>
      <c r="AT2703" s="34"/>
      <c r="AU2703" s="34"/>
      <c r="AV2703" s="34"/>
      <c r="AW2703" s="34"/>
      <c r="AX2703" s="34"/>
      <c r="AY2703" s="34"/>
      <c r="AZ2703" s="34"/>
      <c r="BA2703" s="34"/>
      <c r="BB2703" s="34"/>
      <c r="BC2703" s="34"/>
      <c r="BD2703" s="34"/>
      <c r="BE2703" s="34"/>
      <c r="BF2703" s="34"/>
      <c r="BG2703" s="34"/>
      <c r="BH2703" s="34"/>
      <c r="BI2703" s="34"/>
      <c r="BJ2703" s="34"/>
      <c r="BK2703" s="34"/>
      <c r="BL2703" s="34"/>
      <c r="BM2703" s="34"/>
      <c r="BN2703" s="34"/>
      <c r="BO2703" s="34"/>
      <c r="BP2703" s="34"/>
      <c r="BQ2703" s="34"/>
      <c r="BR2703" s="34"/>
      <c r="BS2703" s="34"/>
      <c r="BT2703" s="34"/>
      <c r="BU2703" s="34"/>
      <c r="BV2703" s="34"/>
      <c r="BW2703" s="34"/>
      <c r="BX2703" s="34"/>
      <c r="BY2703" s="34"/>
      <c r="BZ2703" s="34"/>
      <c r="CA2703" s="34"/>
      <c r="CB2703" s="34"/>
      <c r="CC2703" s="34"/>
      <c r="CD2703" s="34"/>
      <c r="CE2703" s="34"/>
      <c r="CF2703" s="34"/>
      <c r="CG2703" s="34"/>
      <c r="CH2703" s="34"/>
    </row>
    <row r="2704" spans="1:86" x14ac:dyDescent="0.2">
      <c r="A2704" s="8" t="str">
        <f>IF(AND(COUNTIF(W$3:W$13,A$24)&gt;0,A$24&lt;&gt;B2578),A$24,IFERROR(IF(MATCH(A$24,Z$3:Z$13,0)=6,A$24," ")," "))</f>
        <v xml:space="preserve"> </v>
      </c>
      <c r="B2704" s="8" t="str">
        <f>IF(A2704=" "," ",MAX(B2695:B2703)+1)</f>
        <v xml:space="preserve"> </v>
      </c>
      <c r="C2704" s="8" t="str">
        <f>IFERROR(INDEX(A2695:A2716,MATCH(SMALL(B2695:B2716,10),B2695:B2716,0),1)," ")</f>
        <v>C20</v>
      </c>
      <c r="D2704" s="8">
        <f t="shared" si="11807"/>
        <v>0</v>
      </c>
      <c r="E2704" s="8">
        <f t="shared" si="11808"/>
        <v>0</v>
      </c>
      <c r="F2704" s="8">
        <f t="shared" si="11809"/>
        <v>0</v>
      </c>
      <c r="G2704" s="8">
        <f t="shared" si="11810"/>
        <v>0</v>
      </c>
      <c r="H2704" s="8">
        <f t="shared" si="11811"/>
        <v>0</v>
      </c>
      <c r="I2704" s="8">
        <f t="shared" si="11812"/>
        <v>0</v>
      </c>
      <c r="J2704" s="8">
        <f t="shared" si="11813"/>
        <v>0</v>
      </c>
      <c r="K2704" s="8">
        <f t="shared" si="11814"/>
        <v>0</v>
      </c>
      <c r="L2704" s="8">
        <f t="shared" si="11815"/>
        <v>1</v>
      </c>
      <c r="M2704" s="8">
        <f t="shared" si="11816"/>
        <v>0</v>
      </c>
      <c r="N2704" s="8">
        <f t="shared" si="11817"/>
        <v>0</v>
      </c>
      <c r="O2704" s="8">
        <f t="shared" si="11818"/>
        <v>0</v>
      </c>
      <c r="P2704" s="8" t="e">
        <v>#NUM!</v>
      </c>
      <c r="Q2704" s="8" t="e">
        <f t="shared" ref="Q2704" si="11849">IF(COUNTIF(P2695:P2705,"&lt;"&amp;-0.001)=0,IF(ABS(P2704)&lt;0.001,0,P2704)," ")</f>
        <v>#NUM!</v>
      </c>
      <c r="R2704" s="8"/>
      <c r="S2704" s="8"/>
      <c r="U2704" s="34"/>
      <c r="V2704" s="34"/>
      <c r="W2704" s="34"/>
      <c r="X2704" s="34"/>
      <c r="Y2704" s="34"/>
      <c r="Z2704" s="34"/>
      <c r="AA2704" s="34"/>
      <c r="AB2704" s="34"/>
      <c r="AC2704" s="34"/>
      <c r="AD2704" s="34"/>
      <c r="AE2704" s="34"/>
      <c r="AF2704" s="34"/>
      <c r="AG2704" s="34"/>
      <c r="AH2704" s="34"/>
      <c r="AI2704" s="34"/>
      <c r="AJ2704" s="34"/>
      <c r="AK2704" s="34"/>
      <c r="AL2704" s="34"/>
      <c r="AM2704" s="34"/>
      <c r="AN2704" s="34"/>
      <c r="AO2704" s="34"/>
      <c r="AP2704" s="34"/>
      <c r="AQ2704" s="34"/>
      <c r="AR2704" s="34"/>
      <c r="AS2704" s="34"/>
      <c r="AT2704" s="34"/>
      <c r="AU2704" s="34"/>
      <c r="AV2704" s="34"/>
      <c r="AW2704" s="34"/>
      <c r="AX2704" s="34"/>
      <c r="AY2704" s="34"/>
      <c r="AZ2704" s="34"/>
      <c r="BA2704" s="34"/>
      <c r="BB2704" s="34"/>
      <c r="BC2704" s="34"/>
      <c r="BD2704" s="34"/>
      <c r="BE2704" s="34"/>
      <c r="BF2704" s="34"/>
      <c r="BG2704" s="34"/>
      <c r="BH2704" s="34"/>
      <c r="BI2704" s="34"/>
      <c r="BJ2704" s="34"/>
      <c r="BK2704" s="34"/>
      <c r="BL2704" s="34"/>
      <c r="BM2704" s="34"/>
      <c r="BN2704" s="34"/>
      <c r="BO2704" s="34"/>
      <c r="BP2704" s="34"/>
      <c r="BQ2704" s="34"/>
      <c r="BR2704" s="34"/>
      <c r="BS2704" s="34"/>
      <c r="BT2704" s="34"/>
      <c r="BU2704" s="34"/>
      <c r="BV2704" s="34"/>
      <c r="BW2704" s="34"/>
      <c r="BX2704" s="34"/>
      <c r="BY2704" s="34"/>
      <c r="BZ2704" s="34"/>
      <c r="CA2704" s="34"/>
      <c r="CB2704" s="34"/>
      <c r="CC2704" s="34"/>
      <c r="CD2704" s="34"/>
      <c r="CE2704" s="34"/>
      <c r="CF2704" s="34"/>
      <c r="CG2704" s="34"/>
      <c r="CH2704" s="34"/>
    </row>
    <row r="2705" spans="1:86" x14ac:dyDescent="0.2">
      <c r="A2705" s="8" t="str">
        <f>IF(AND(COUNTIF(W$3:W$13,A$25)&gt;0,A$25&lt;&gt;B2578),A$25,IFERROR(IF(MATCH(A$25,Z$3:Z$13,0)=6,A$25," ")," "))</f>
        <v xml:space="preserve"> </v>
      </c>
      <c r="B2705" s="8" t="str">
        <f>IF(A2705=" "," ",MAX(B2695:B2704)+1)</f>
        <v xml:space="preserve"> </v>
      </c>
      <c r="C2705" s="8" t="str">
        <f>IFERROR(INDEX(A2695:A2716,MATCH(SMALL(B2695:B2716,11),B2695:B2716,0),1)," ")</f>
        <v>C21</v>
      </c>
      <c r="D2705" s="8">
        <f t="shared" si="11807"/>
        <v>0</v>
      </c>
      <c r="E2705" s="8">
        <f t="shared" si="11808"/>
        <v>0</v>
      </c>
      <c r="F2705" s="8">
        <f t="shared" si="11809"/>
        <v>0</v>
      </c>
      <c r="G2705" s="8">
        <f t="shared" si="11810"/>
        <v>0</v>
      </c>
      <c r="H2705" s="8">
        <f t="shared" si="11811"/>
        <v>0</v>
      </c>
      <c r="I2705" s="8">
        <f t="shared" si="11812"/>
        <v>0</v>
      </c>
      <c r="J2705" s="8">
        <f t="shared" si="11813"/>
        <v>0</v>
      </c>
      <c r="K2705" s="8">
        <f t="shared" si="11814"/>
        <v>0</v>
      </c>
      <c r="L2705" s="8">
        <f t="shared" si="11815"/>
        <v>0</v>
      </c>
      <c r="M2705" s="8">
        <f t="shared" si="11816"/>
        <v>1</v>
      </c>
      <c r="N2705" s="8">
        <f t="shared" si="11817"/>
        <v>0</v>
      </c>
      <c r="O2705" s="8">
        <f t="shared" si="11818"/>
        <v>0</v>
      </c>
      <c r="P2705" s="8" t="e">
        <v>#NUM!</v>
      </c>
      <c r="Q2705" s="8" t="e">
        <f t="shared" ref="Q2705" si="11850">IF(COUNTIF(P2695:P2705,"&lt;"&amp;-0.001)=0,IF(ABS(P2705)&lt;0.001,0,P2705)," ")</f>
        <v>#NUM!</v>
      </c>
      <c r="R2705" s="8"/>
      <c r="S2705" s="8"/>
      <c r="U2705" s="34"/>
      <c r="V2705" s="34"/>
      <c r="W2705" s="34"/>
      <c r="X2705" s="34"/>
      <c r="Y2705" s="34"/>
      <c r="Z2705" s="34"/>
      <c r="AA2705" s="34"/>
      <c r="AB2705" s="34"/>
      <c r="AC2705" s="34"/>
      <c r="AD2705" s="34"/>
      <c r="AE2705" s="34"/>
      <c r="AF2705" s="34"/>
      <c r="AG2705" s="34"/>
      <c r="AH2705" s="34"/>
      <c r="AI2705" s="34"/>
      <c r="AJ2705" s="34"/>
      <c r="AK2705" s="34"/>
      <c r="AL2705" s="34"/>
      <c r="AM2705" s="34"/>
      <c r="AN2705" s="34"/>
      <c r="AO2705" s="34"/>
      <c r="AP2705" s="34"/>
      <c r="AQ2705" s="34"/>
      <c r="AR2705" s="34"/>
      <c r="AS2705" s="34"/>
      <c r="AT2705" s="34"/>
      <c r="AU2705" s="34"/>
      <c r="AV2705" s="34"/>
      <c r="AW2705" s="34"/>
      <c r="AX2705" s="34"/>
      <c r="AY2705" s="34"/>
      <c r="AZ2705" s="34"/>
      <c r="BA2705" s="34"/>
      <c r="BB2705" s="34"/>
      <c r="BC2705" s="34"/>
      <c r="BD2705" s="34"/>
      <c r="BE2705" s="34"/>
      <c r="BF2705" s="34"/>
      <c r="BG2705" s="34"/>
      <c r="BH2705" s="34"/>
      <c r="BI2705" s="34"/>
      <c r="BJ2705" s="34"/>
      <c r="BK2705" s="34"/>
      <c r="BL2705" s="34"/>
      <c r="BM2705" s="34"/>
      <c r="BN2705" s="34"/>
      <c r="BO2705" s="34"/>
      <c r="BP2705" s="34"/>
      <c r="BQ2705" s="34"/>
      <c r="BR2705" s="34"/>
      <c r="BS2705" s="34"/>
      <c r="BT2705" s="34"/>
      <c r="BU2705" s="34"/>
      <c r="BV2705" s="34"/>
      <c r="BW2705" s="34"/>
      <c r="BX2705" s="34"/>
      <c r="BY2705" s="34"/>
      <c r="BZ2705" s="34"/>
      <c r="CA2705" s="34"/>
      <c r="CB2705" s="34"/>
      <c r="CC2705" s="34"/>
      <c r="CD2705" s="34"/>
      <c r="CE2705" s="34"/>
      <c r="CF2705" s="34"/>
      <c r="CG2705" s="34"/>
      <c r="CH2705" s="34"/>
    </row>
    <row r="2706" spans="1:86" x14ac:dyDescent="0.2">
      <c r="A2706" s="8" t="str">
        <f>IF(AND(COUNTIF(W$3:W$13,A$26)&gt;0,A$26&lt;&gt;B2578),A$26,IFERROR(IF(MATCH(A$26,Z$3:Z$13,0)=6,A$26," ")," "))</f>
        <v xml:space="preserve"> </v>
      </c>
      <c r="B2706" s="8" t="str">
        <f>IF(A2706=" "," ",MAX(B2695:B2705)+1)</f>
        <v xml:space="preserve"> </v>
      </c>
      <c r="C2706" s="8"/>
      <c r="D2706" s="8"/>
      <c r="E2706" s="8"/>
      <c r="F2706" s="8"/>
      <c r="G2706" s="8"/>
      <c r="H2706" s="8"/>
      <c r="I2706" s="8"/>
      <c r="J2706" s="8"/>
      <c r="K2706" s="8"/>
      <c r="L2706" s="8"/>
      <c r="M2706" s="8"/>
      <c r="N2706" s="8"/>
      <c r="O2706" s="8"/>
      <c r="P2706" s="8"/>
      <c r="Q2706" s="8"/>
      <c r="R2706" s="8"/>
      <c r="S2706" s="8"/>
      <c r="U2706" s="34"/>
      <c r="V2706" s="34"/>
      <c r="W2706" s="34"/>
      <c r="X2706" s="34"/>
      <c r="Y2706" s="34"/>
      <c r="Z2706" s="34"/>
      <c r="AA2706" s="34"/>
      <c r="AB2706" s="34"/>
      <c r="AC2706" s="34"/>
      <c r="AD2706" s="34"/>
      <c r="AE2706" s="34"/>
      <c r="AF2706" s="34"/>
      <c r="AG2706" s="34"/>
      <c r="AH2706" s="34"/>
      <c r="AI2706" s="34"/>
      <c r="AJ2706" s="34"/>
      <c r="AK2706" s="34"/>
      <c r="AL2706" s="34"/>
      <c r="AM2706" s="34"/>
      <c r="AN2706" s="34"/>
      <c r="AO2706" s="34"/>
      <c r="AP2706" s="34"/>
      <c r="AQ2706" s="34"/>
      <c r="AR2706" s="34"/>
      <c r="AS2706" s="34"/>
      <c r="AT2706" s="34"/>
      <c r="AU2706" s="34"/>
      <c r="AV2706" s="34"/>
      <c r="AW2706" s="34"/>
      <c r="AX2706" s="34"/>
      <c r="AY2706" s="34"/>
      <c r="AZ2706" s="34"/>
      <c r="BA2706" s="34"/>
      <c r="BB2706" s="34"/>
      <c r="BC2706" s="34"/>
      <c r="BD2706" s="34"/>
      <c r="BE2706" s="34"/>
      <c r="BF2706" s="34"/>
      <c r="BG2706" s="34"/>
      <c r="BH2706" s="34"/>
      <c r="BI2706" s="34"/>
      <c r="BJ2706" s="34"/>
      <c r="BK2706" s="34"/>
      <c r="BL2706" s="34"/>
      <c r="BM2706" s="34"/>
      <c r="BN2706" s="34"/>
      <c r="BO2706" s="34"/>
      <c r="BP2706" s="34"/>
      <c r="BQ2706" s="34"/>
      <c r="BR2706" s="34"/>
      <c r="BS2706" s="34"/>
      <c r="BT2706" s="34"/>
      <c r="BU2706" s="34"/>
      <c r="BV2706" s="34"/>
      <c r="BW2706" s="34"/>
      <c r="BX2706" s="34"/>
      <c r="BY2706" s="34"/>
      <c r="BZ2706" s="34"/>
      <c r="CA2706" s="34"/>
      <c r="CB2706" s="34"/>
      <c r="CC2706" s="34"/>
      <c r="CD2706" s="34"/>
      <c r="CE2706" s="34"/>
      <c r="CF2706" s="34"/>
      <c r="CG2706" s="34"/>
      <c r="CH2706" s="34"/>
    </row>
    <row r="2707" spans="1:86" x14ac:dyDescent="0.2">
      <c r="A2707" s="8" t="str">
        <f>IF(AND(COUNTIF(W$3:W$13,A$27)&gt;0,A$27&lt;&gt;B2578),A$27,IFERROR(IF(MATCH(A$27,Z$3:Z$13,0)=6,A$27," ")," "))</f>
        <v>C13</v>
      </c>
      <c r="B2707" s="8">
        <f>IF(A2707=" "," ",MAX(B2695:B2706)+1)</f>
        <v>4</v>
      </c>
      <c r="C2707" s="8"/>
      <c r="D2707" s="8"/>
      <c r="E2707" s="8"/>
      <c r="F2707" s="8"/>
      <c r="G2707" s="8"/>
      <c r="H2707" s="8"/>
      <c r="I2707" s="8"/>
      <c r="J2707" s="8"/>
      <c r="K2707" s="8"/>
      <c r="L2707" s="8"/>
      <c r="M2707" s="8"/>
      <c r="N2707" s="8"/>
      <c r="O2707" s="8"/>
      <c r="P2707" s="8"/>
      <c r="Q2707" s="8"/>
      <c r="R2707" s="8"/>
      <c r="S2707" s="8"/>
      <c r="U2707" s="34"/>
      <c r="V2707" s="34"/>
      <c r="W2707" s="34"/>
      <c r="X2707" s="34"/>
      <c r="Y2707" s="34"/>
      <c r="Z2707" s="34"/>
      <c r="AA2707" s="34"/>
      <c r="AB2707" s="34"/>
      <c r="AC2707" s="34"/>
      <c r="AD2707" s="34"/>
      <c r="AE2707" s="34"/>
      <c r="AF2707" s="34"/>
      <c r="AG2707" s="34"/>
      <c r="AH2707" s="34"/>
      <c r="AI2707" s="34"/>
      <c r="AJ2707" s="34"/>
      <c r="AK2707" s="34"/>
      <c r="AL2707" s="34"/>
      <c r="AM2707" s="34"/>
      <c r="AN2707" s="34"/>
      <c r="AO2707" s="34"/>
      <c r="AP2707" s="34"/>
      <c r="AQ2707" s="34"/>
      <c r="AR2707" s="34"/>
      <c r="AS2707" s="34"/>
      <c r="AT2707" s="34"/>
      <c r="AU2707" s="34"/>
      <c r="AV2707" s="34"/>
      <c r="AW2707" s="34"/>
      <c r="AX2707" s="34"/>
      <c r="AY2707" s="34"/>
      <c r="AZ2707" s="34"/>
      <c r="BA2707" s="34"/>
      <c r="BB2707" s="34"/>
      <c r="BC2707" s="34"/>
      <c r="BD2707" s="34"/>
      <c r="BE2707" s="34"/>
      <c r="BF2707" s="34"/>
      <c r="BG2707" s="34"/>
      <c r="BH2707" s="34"/>
      <c r="BI2707" s="34"/>
      <c r="BJ2707" s="34"/>
      <c r="BK2707" s="34"/>
      <c r="BL2707" s="34"/>
      <c r="BM2707" s="34"/>
      <c r="BN2707" s="34"/>
      <c r="BO2707" s="34"/>
      <c r="BP2707" s="34"/>
      <c r="BQ2707" s="34"/>
      <c r="BR2707" s="34"/>
      <c r="BS2707" s="34"/>
      <c r="BT2707" s="34"/>
      <c r="BU2707" s="34"/>
      <c r="BV2707" s="34"/>
      <c r="BW2707" s="34"/>
      <c r="BX2707" s="34"/>
      <c r="BY2707" s="34"/>
      <c r="BZ2707" s="34"/>
      <c r="CA2707" s="34"/>
      <c r="CB2707" s="34"/>
      <c r="CC2707" s="34"/>
      <c r="CD2707" s="34"/>
      <c r="CE2707" s="34"/>
      <c r="CF2707" s="34"/>
      <c r="CG2707" s="34"/>
      <c r="CH2707" s="34"/>
    </row>
    <row r="2708" spans="1:86" x14ac:dyDescent="0.2">
      <c r="A2708" s="8" t="str">
        <f>IF(AND(COUNTIF(W$3:W$13,A$28)&gt;0,A$28&lt;&gt;B2578),A$28,IFERROR(IF(MATCH(A$28,Z$3:Z$13,0)=6,A$28," ")," "))</f>
        <v xml:space="preserve"> </v>
      </c>
      <c r="B2708" s="8" t="str">
        <f>IF(A2708=" "," ",MAX(B2695:B2707)+1)</f>
        <v xml:space="preserve"> </v>
      </c>
      <c r="C2708" s="8"/>
      <c r="D2708" s="8"/>
      <c r="E2708" s="8"/>
      <c r="F2708" s="8"/>
      <c r="G2708" s="8"/>
      <c r="H2708" s="8"/>
      <c r="I2708" s="8"/>
      <c r="J2708" s="8"/>
      <c r="K2708" s="8"/>
      <c r="L2708" s="8"/>
      <c r="M2708" s="8"/>
      <c r="N2708" s="8"/>
      <c r="O2708" s="8"/>
      <c r="P2708" s="8"/>
      <c r="Q2708" s="8"/>
      <c r="R2708" s="8"/>
      <c r="S2708" s="8"/>
      <c r="U2708" s="34"/>
      <c r="V2708" s="34"/>
      <c r="W2708" s="34"/>
      <c r="X2708" s="34"/>
      <c r="Y2708" s="34"/>
      <c r="Z2708" s="34"/>
      <c r="AA2708" s="34"/>
      <c r="AB2708" s="34"/>
      <c r="AC2708" s="34"/>
      <c r="AD2708" s="34"/>
      <c r="AE2708" s="34"/>
      <c r="AF2708" s="34"/>
      <c r="AG2708" s="34"/>
      <c r="AH2708" s="34"/>
      <c r="AI2708" s="34"/>
      <c r="AJ2708" s="34"/>
      <c r="AK2708" s="34"/>
      <c r="AL2708" s="34"/>
      <c r="AM2708" s="34"/>
      <c r="AN2708" s="34"/>
      <c r="AO2708" s="34"/>
      <c r="AP2708" s="34"/>
      <c r="AQ2708" s="34"/>
      <c r="AR2708" s="34"/>
      <c r="AS2708" s="34"/>
      <c r="AT2708" s="34"/>
      <c r="AU2708" s="34"/>
      <c r="AV2708" s="34"/>
      <c r="AW2708" s="34"/>
      <c r="AX2708" s="34"/>
      <c r="AY2708" s="34"/>
      <c r="AZ2708" s="34"/>
      <c r="BA2708" s="34"/>
      <c r="BB2708" s="34"/>
      <c r="BC2708" s="34"/>
      <c r="BD2708" s="34"/>
      <c r="BE2708" s="34"/>
      <c r="BF2708" s="34"/>
      <c r="BG2708" s="34"/>
      <c r="BH2708" s="34"/>
      <c r="BI2708" s="34"/>
      <c r="BJ2708" s="34"/>
      <c r="BK2708" s="34"/>
      <c r="BL2708" s="34"/>
      <c r="BM2708" s="34"/>
      <c r="BN2708" s="34"/>
      <c r="BO2708" s="34"/>
      <c r="BP2708" s="34"/>
      <c r="BQ2708" s="34"/>
      <c r="BR2708" s="34"/>
      <c r="BS2708" s="34"/>
      <c r="BT2708" s="34"/>
      <c r="BU2708" s="34"/>
      <c r="BV2708" s="34"/>
      <c r="BW2708" s="34"/>
      <c r="BX2708" s="34"/>
      <c r="BY2708" s="34"/>
      <c r="BZ2708" s="34"/>
      <c r="CA2708" s="34"/>
      <c r="CB2708" s="34"/>
      <c r="CC2708" s="34"/>
      <c r="CD2708" s="34"/>
      <c r="CE2708" s="34"/>
      <c r="CF2708" s="34"/>
      <c r="CG2708" s="34"/>
      <c r="CH2708" s="34"/>
    </row>
    <row r="2709" spans="1:86" x14ac:dyDescent="0.2">
      <c r="A2709" s="8" t="str">
        <f>IF(AND(COUNTIF(W$3:W$13,A$29)&gt;0,A$29&lt;&gt;B2578),A$29,IFERROR(IF(MATCH(A$29,Z$3:Z$13,0)=6,A$29," ")," "))</f>
        <v>C15</v>
      </c>
      <c r="B2709" s="8">
        <f>IF(A2709=" "," ",MAX(B2695:B2708)+1)</f>
        <v>5</v>
      </c>
      <c r="C2709" s="8"/>
      <c r="D2709" s="8"/>
      <c r="E2709" s="8"/>
      <c r="F2709" s="8"/>
      <c r="G2709" s="8"/>
      <c r="H2709" s="8"/>
      <c r="I2709" s="8"/>
      <c r="J2709" s="8"/>
      <c r="K2709" s="8"/>
      <c r="L2709" s="8"/>
      <c r="M2709" s="8"/>
      <c r="N2709" s="8"/>
      <c r="O2709" s="8"/>
      <c r="P2709" s="8"/>
      <c r="Q2709" s="8"/>
      <c r="R2709" s="8"/>
      <c r="S2709" s="8"/>
      <c r="U2709" s="34"/>
      <c r="V2709" s="34"/>
      <c r="W2709" s="34"/>
      <c r="X2709" s="34"/>
      <c r="Y2709" s="34"/>
      <c r="Z2709" s="34"/>
      <c r="AA2709" s="34"/>
      <c r="AB2709" s="34"/>
      <c r="AC2709" s="34"/>
      <c r="AD2709" s="34"/>
      <c r="AE2709" s="34"/>
      <c r="AF2709" s="34"/>
      <c r="AG2709" s="34"/>
      <c r="AH2709" s="34"/>
      <c r="AI2709" s="34"/>
      <c r="AJ2709" s="34"/>
      <c r="AK2709" s="34"/>
      <c r="AL2709" s="34"/>
      <c r="AM2709" s="34"/>
      <c r="AN2709" s="34"/>
      <c r="AO2709" s="34"/>
      <c r="AP2709" s="34"/>
      <c r="AQ2709" s="34"/>
      <c r="AR2709" s="34"/>
      <c r="AS2709" s="34"/>
      <c r="AT2709" s="34"/>
      <c r="AU2709" s="34"/>
      <c r="AV2709" s="34"/>
      <c r="AW2709" s="34"/>
      <c r="AX2709" s="34"/>
      <c r="AY2709" s="34"/>
      <c r="AZ2709" s="34"/>
      <c r="BA2709" s="34"/>
      <c r="BB2709" s="34"/>
      <c r="BC2709" s="34"/>
      <c r="BD2709" s="34"/>
      <c r="BE2709" s="34"/>
      <c r="BF2709" s="34"/>
      <c r="BG2709" s="34"/>
      <c r="BH2709" s="34"/>
      <c r="BI2709" s="34"/>
      <c r="BJ2709" s="34"/>
      <c r="BK2709" s="34"/>
      <c r="BL2709" s="34"/>
      <c r="BM2709" s="34"/>
      <c r="BN2709" s="34"/>
      <c r="BO2709" s="34"/>
      <c r="BP2709" s="34"/>
      <c r="BQ2709" s="34"/>
      <c r="BR2709" s="34"/>
      <c r="BS2709" s="34"/>
      <c r="BT2709" s="34"/>
      <c r="BU2709" s="34"/>
      <c r="BV2709" s="34"/>
      <c r="BW2709" s="34"/>
      <c r="BX2709" s="34"/>
      <c r="BY2709" s="34"/>
      <c r="BZ2709" s="34"/>
      <c r="CA2709" s="34"/>
      <c r="CB2709" s="34"/>
      <c r="CC2709" s="34"/>
      <c r="CD2709" s="34"/>
      <c r="CE2709" s="34"/>
      <c r="CF2709" s="34"/>
      <c r="CG2709" s="34"/>
      <c r="CH2709" s="34"/>
    </row>
    <row r="2710" spans="1:86" x14ac:dyDescent="0.2">
      <c r="A2710" s="8" t="str">
        <f>IF(AND(COUNTIF(W$3:W$13,A$30)&gt;0,A$30&lt;&gt;B2578),A$30,IFERROR(IF(MATCH(A$30,Z$3:Z$13,0)=6,A$30," ")," "))</f>
        <v>C16</v>
      </c>
      <c r="B2710" s="8">
        <f>IF(A2710=" "," ",MAX(B2695:B2709)+1)</f>
        <v>6</v>
      </c>
      <c r="C2710" s="8"/>
      <c r="D2710" s="8"/>
      <c r="E2710" s="8"/>
      <c r="F2710" s="8"/>
      <c r="G2710" s="8"/>
      <c r="H2710" s="8"/>
      <c r="I2710" s="8"/>
      <c r="J2710" s="8"/>
      <c r="K2710" s="8"/>
      <c r="L2710" s="8"/>
      <c r="M2710" s="8"/>
      <c r="N2710" s="8"/>
      <c r="O2710" s="8"/>
      <c r="P2710" s="8"/>
      <c r="Q2710" s="8"/>
      <c r="R2710" s="8"/>
      <c r="S2710" s="8"/>
      <c r="U2710" s="34"/>
      <c r="V2710" s="34"/>
      <c r="W2710" s="34"/>
      <c r="X2710" s="34"/>
      <c r="Y2710" s="34"/>
      <c r="Z2710" s="34"/>
      <c r="AA2710" s="34"/>
      <c r="AB2710" s="34"/>
      <c r="AC2710" s="34"/>
      <c r="AD2710" s="34"/>
      <c r="AE2710" s="34"/>
      <c r="AF2710" s="34"/>
      <c r="AG2710" s="34"/>
      <c r="AH2710" s="34"/>
      <c r="AI2710" s="34"/>
      <c r="AJ2710" s="34"/>
      <c r="AK2710" s="34"/>
      <c r="AL2710" s="34"/>
      <c r="AM2710" s="34"/>
      <c r="AN2710" s="34"/>
      <c r="AO2710" s="34"/>
      <c r="AP2710" s="34"/>
      <c r="AQ2710" s="34"/>
      <c r="AR2710" s="34"/>
      <c r="AS2710" s="34"/>
      <c r="AT2710" s="34"/>
      <c r="AU2710" s="34"/>
      <c r="AV2710" s="34"/>
      <c r="AW2710" s="34"/>
      <c r="AX2710" s="34"/>
      <c r="AY2710" s="34"/>
      <c r="AZ2710" s="34"/>
      <c r="BA2710" s="34"/>
      <c r="BB2710" s="34"/>
      <c r="BC2710" s="34"/>
      <c r="BD2710" s="34"/>
      <c r="BE2710" s="34"/>
      <c r="BF2710" s="34"/>
      <c r="BG2710" s="34"/>
      <c r="BH2710" s="34"/>
      <c r="BI2710" s="34"/>
      <c r="BJ2710" s="34"/>
      <c r="BK2710" s="34"/>
      <c r="BL2710" s="34"/>
      <c r="BM2710" s="34"/>
      <c r="BN2710" s="34"/>
      <c r="BO2710" s="34"/>
      <c r="BP2710" s="34"/>
      <c r="BQ2710" s="34"/>
      <c r="BR2710" s="34"/>
      <c r="BS2710" s="34"/>
      <c r="BT2710" s="34"/>
      <c r="BU2710" s="34"/>
      <c r="BV2710" s="34"/>
      <c r="BW2710" s="34"/>
      <c r="BX2710" s="34"/>
      <c r="BY2710" s="34"/>
      <c r="BZ2710" s="34"/>
      <c r="CA2710" s="34"/>
      <c r="CB2710" s="34"/>
      <c r="CC2710" s="34"/>
      <c r="CD2710" s="34"/>
      <c r="CE2710" s="34"/>
      <c r="CF2710" s="34"/>
      <c r="CG2710" s="34"/>
      <c r="CH2710" s="34"/>
    </row>
    <row r="2711" spans="1:86" x14ac:dyDescent="0.2">
      <c r="A2711" s="8" t="str">
        <f>IF(AND(COUNTIF(W$3:W$13,A$31)&gt;0,A$31&lt;&gt;B2578),A$31,IFERROR(IF(MATCH(A$31,Z$3:Z$13,0)=6,A$31," ")," "))</f>
        <v>C17</v>
      </c>
      <c r="B2711" s="8">
        <f>IF(A2711=" "," ",MAX(B2695:B2710)+1)</f>
        <v>7</v>
      </c>
      <c r="C2711" s="8"/>
      <c r="D2711" s="8"/>
      <c r="E2711" s="8"/>
      <c r="F2711" s="8"/>
      <c r="G2711" s="8"/>
      <c r="H2711" s="8"/>
      <c r="I2711" s="8"/>
      <c r="J2711" s="8"/>
      <c r="K2711" s="8"/>
      <c r="L2711" s="8"/>
      <c r="M2711" s="8"/>
      <c r="N2711" s="8"/>
      <c r="O2711" s="8"/>
      <c r="P2711" s="8"/>
      <c r="Q2711" s="8"/>
      <c r="R2711" s="8"/>
      <c r="S2711" s="8"/>
      <c r="U2711" s="34"/>
      <c r="V2711" s="34"/>
      <c r="W2711" s="34"/>
      <c r="X2711" s="34"/>
      <c r="Y2711" s="34"/>
      <c r="Z2711" s="34"/>
      <c r="AA2711" s="34"/>
      <c r="AB2711" s="34"/>
      <c r="AC2711" s="34"/>
      <c r="AD2711" s="34"/>
      <c r="AE2711" s="34"/>
      <c r="AF2711" s="34"/>
      <c r="AG2711" s="34"/>
      <c r="AH2711" s="34"/>
      <c r="AI2711" s="34"/>
      <c r="AJ2711" s="34"/>
      <c r="AK2711" s="34"/>
      <c r="AL2711" s="34"/>
      <c r="AM2711" s="34"/>
      <c r="AN2711" s="34"/>
      <c r="AO2711" s="34"/>
      <c r="AP2711" s="34"/>
      <c r="AQ2711" s="34"/>
      <c r="AR2711" s="34"/>
      <c r="AS2711" s="34"/>
      <c r="AT2711" s="34"/>
      <c r="AU2711" s="34"/>
      <c r="AV2711" s="34"/>
      <c r="AW2711" s="34"/>
      <c r="AX2711" s="34"/>
      <c r="AY2711" s="34"/>
      <c r="AZ2711" s="34"/>
      <c r="BA2711" s="34"/>
      <c r="BB2711" s="34"/>
      <c r="BC2711" s="34"/>
      <c r="BD2711" s="34"/>
      <c r="BE2711" s="34"/>
      <c r="BF2711" s="34"/>
      <c r="BG2711" s="34"/>
      <c r="BH2711" s="34"/>
      <c r="BI2711" s="34"/>
      <c r="BJ2711" s="34"/>
      <c r="BK2711" s="34"/>
      <c r="BL2711" s="34"/>
      <c r="BM2711" s="34"/>
      <c r="BN2711" s="34"/>
      <c r="BO2711" s="34"/>
      <c r="BP2711" s="34"/>
      <c r="BQ2711" s="34"/>
      <c r="BR2711" s="34"/>
      <c r="BS2711" s="34"/>
      <c r="BT2711" s="34"/>
      <c r="BU2711" s="34"/>
      <c r="BV2711" s="34"/>
      <c r="BW2711" s="34"/>
      <c r="BX2711" s="34"/>
      <c r="BY2711" s="34"/>
      <c r="BZ2711" s="34"/>
      <c r="CA2711" s="34"/>
      <c r="CB2711" s="34"/>
      <c r="CC2711" s="34"/>
      <c r="CD2711" s="34"/>
      <c r="CE2711" s="34"/>
      <c r="CF2711" s="34"/>
      <c r="CG2711" s="34"/>
      <c r="CH2711" s="34"/>
    </row>
    <row r="2712" spans="1:86" x14ac:dyDescent="0.2">
      <c r="A2712" s="8" t="str">
        <f>IF(AND(COUNTIF(W$3:W$13,A$32)&gt;0,A$32&lt;&gt;B2578),A$32,IFERROR(IF(MATCH(A$32,Z$3:Z$13,0)=6,A$32," ")," "))</f>
        <v>C18</v>
      </c>
      <c r="B2712" s="8">
        <f>IF(A2712=" "," ",MAX(B2695:B2711)+1)</f>
        <v>8</v>
      </c>
      <c r="C2712" s="8"/>
      <c r="D2712" s="8"/>
      <c r="E2712" s="8"/>
      <c r="F2712" s="8"/>
      <c r="G2712" s="8"/>
      <c r="H2712" s="8"/>
      <c r="I2712" s="8"/>
      <c r="J2712" s="8"/>
      <c r="K2712" s="8"/>
      <c r="L2712" s="8"/>
      <c r="M2712" s="8"/>
      <c r="N2712" s="8"/>
      <c r="O2712" s="8"/>
      <c r="P2712" s="8"/>
      <c r="Q2712" s="8"/>
      <c r="R2712" s="8"/>
      <c r="S2712" s="8"/>
      <c r="U2712" s="34"/>
      <c r="V2712" s="34"/>
      <c r="W2712" s="34"/>
      <c r="X2712" s="34"/>
      <c r="Y2712" s="34"/>
      <c r="Z2712" s="34"/>
      <c r="AA2712" s="34"/>
      <c r="AB2712" s="34"/>
      <c r="AC2712" s="34"/>
      <c r="AD2712" s="34"/>
      <c r="AE2712" s="34"/>
      <c r="AF2712" s="34"/>
      <c r="AG2712" s="34"/>
      <c r="AH2712" s="34"/>
      <c r="AI2712" s="34"/>
      <c r="AJ2712" s="34"/>
      <c r="AK2712" s="34"/>
      <c r="AL2712" s="34"/>
      <c r="AM2712" s="34"/>
      <c r="AN2712" s="34"/>
      <c r="AO2712" s="34"/>
      <c r="AP2712" s="34"/>
      <c r="AQ2712" s="34"/>
      <c r="AR2712" s="34"/>
      <c r="AS2712" s="34"/>
      <c r="AT2712" s="34"/>
      <c r="AU2712" s="34"/>
      <c r="AV2712" s="34"/>
      <c r="AW2712" s="34"/>
      <c r="AX2712" s="34"/>
      <c r="AY2712" s="34"/>
      <c r="AZ2712" s="34"/>
      <c r="BA2712" s="34"/>
      <c r="BB2712" s="34"/>
      <c r="BC2712" s="34"/>
      <c r="BD2712" s="34"/>
      <c r="BE2712" s="34"/>
      <c r="BF2712" s="34"/>
      <c r="BG2712" s="34"/>
      <c r="BH2712" s="34"/>
      <c r="BI2712" s="34"/>
      <c r="BJ2712" s="34"/>
      <c r="BK2712" s="34"/>
      <c r="BL2712" s="34"/>
      <c r="BM2712" s="34"/>
      <c r="BN2712" s="34"/>
      <c r="BO2712" s="34"/>
      <c r="BP2712" s="34"/>
      <c r="BQ2712" s="34"/>
      <c r="BR2712" s="34"/>
      <c r="BS2712" s="34"/>
      <c r="BT2712" s="34"/>
      <c r="BU2712" s="34"/>
      <c r="BV2712" s="34"/>
      <c r="BW2712" s="34"/>
      <c r="BX2712" s="34"/>
      <c r="BY2712" s="34"/>
      <c r="BZ2712" s="34"/>
      <c r="CA2712" s="34"/>
      <c r="CB2712" s="34"/>
      <c r="CC2712" s="34"/>
      <c r="CD2712" s="34"/>
      <c r="CE2712" s="34"/>
      <c r="CF2712" s="34"/>
      <c r="CG2712" s="34"/>
      <c r="CH2712" s="34"/>
    </row>
    <row r="2713" spans="1:86" x14ac:dyDescent="0.2">
      <c r="A2713" s="8" t="str">
        <f>IF(AND(COUNTIF(W$3:W$13,A$33)&gt;0,A$33&lt;&gt;B2578),A$33,IFERROR(IF(MATCH(A$33,Z$3:Z$13,0)=6,A$33," ")," "))</f>
        <v>C19</v>
      </c>
      <c r="B2713" s="8">
        <f>IF(A2713=" "," ",MAX(B2695:B2712)+1)</f>
        <v>9</v>
      </c>
      <c r="C2713" s="8"/>
      <c r="D2713" s="8"/>
      <c r="E2713" s="8"/>
      <c r="F2713" s="8"/>
      <c r="G2713" s="8"/>
      <c r="H2713" s="8"/>
      <c r="I2713" s="8"/>
      <c r="J2713" s="8"/>
      <c r="K2713" s="8"/>
      <c r="L2713" s="8"/>
      <c r="M2713" s="8"/>
      <c r="N2713" s="8"/>
      <c r="O2713" s="8"/>
      <c r="P2713" s="8"/>
      <c r="Q2713" s="8"/>
      <c r="R2713" s="8"/>
      <c r="S2713" s="8"/>
      <c r="U2713" s="34"/>
      <c r="V2713" s="34"/>
      <c r="W2713" s="34"/>
      <c r="X2713" s="34"/>
      <c r="Y2713" s="34"/>
      <c r="Z2713" s="34"/>
      <c r="AA2713" s="34"/>
      <c r="AB2713" s="34"/>
      <c r="AC2713" s="34"/>
      <c r="AD2713" s="34"/>
      <c r="AE2713" s="34"/>
      <c r="AF2713" s="34"/>
      <c r="AG2713" s="34"/>
      <c r="AH2713" s="34"/>
      <c r="AI2713" s="34"/>
      <c r="AJ2713" s="34"/>
      <c r="AK2713" s="34"/>
      <c r="AL2713" s="34"/>
      <c r="AM2713" s="34"/>
      <c r="AN2713" s="34"/>
      <c r="AO2713" s="34"/>
      <c r="AP2713" s="34"/>
      <c r="AQ2713" s="34"/>
      <c r="AR2713" s="34"/>
      <c r="AS2713" s="34"/>
      <c r="AT2713" s="34"/>
      <c r="AU2713" s="34"/>
      <c r="AV2713" s="34"/>
      <c r="AW2713" s="34"/>
      <c r="AX2713" s="34"/>
      <c r="AY2713" s="34"/>
      <c r="AZ2713" s="34"/>
      <c r="BA2713" s="34"/>
      <c r="BB2713" s="34"/>
      <c r="BC2713" s="34"/>
      <c r="BD2713" s="34"/>
      <c r="BE2713" s="34"/>
      <c r="BF2713" s="34"/>
      <c r="BG2713" s="34"/>
      <c r="BH2713" s="34"/>
      <c r="BI2713" s="34"/>
      <c r="BJ2713" s="34"/>
      <c r="BK2713" s="34"/>
      <c r="BL2713" s="34"/>
      <c r="BM2713" s="34"/>
      <c r="BN2713" s="34"/>
      <c r="BO2713" s="34"/>
      <c r="BP2713" s="34"/>
      <c r="BQ2713" s="34"/>
      <c r="BR2713" s="34"/>
      <c r="BS2713" s="34"/>
      <c r="BT2713" s="34"/>
      <c r="BU2713" s="34"/>
      <c r="BV2713" s="34"/>
      <c r="BW2713" s="34"/>
      <c r="BX2713" s="34"/>
      <c r="BY2713" s="34"/>
      <c r="BZ2713" s="34"/>
      <c r="CA2713" s="34"/>
      <c r="CB2713" s="34"/>
      <c r="CC2713" s="34"/>
      <c r="CD2713" s="34"/>
      <c r="CE2713" s="34"/>
      <c r="CF2713" s="34"/>
      <c r="CG2713" s="34"/>
      <c r="CH2713" s="34"/>
    </row>
    <row r="2714" spans="1:86" x14ac:dyDescent="0.2">
      <c r="A2714" s="8" t="str">
        <f>IF(AND(COUNTIF(W$3:W$13,A$34)&gt;0,A$34&lt;&gt;B2578),A$34,IFERROR(IF(MATCH(A$34,Z$3:Z$13,0)=6,A$34," ")," "))</f>
        <v>C20</v>
      </c>
      <c r="B2714" s="8">
        <f>IF(A2714=" "," ",MAX(B2695:B2713)+1)</f>
        <v>10</v>
      </c>
      <c r="C2714" s="8"/>
      <c r="D2714" s="8"/>
      <c r="E2714" s="8"/>
      <c r="F2714" s="8"/>
      <c r="G2714" s="8"/>
      <c r="H2714" s="8"/>
      <c r="I2714" s="8"/>
      <c r="J2714" s="8"/>
      <c r="K2714" s="8"/>
      <c r="L2714" s="8"/>
      <c r="M2714" s="8"/>
      <c r="N2714" s="8"/>
      <c r="O2714" s="8"/>
      <c r="P2714" s="8"/>
      <c r="Q2714" s="8"/>
      <c r="R2714" s="8"/>
      <c r="S2714" s="8"/>
      <c r="U2714" s="34"/>
      <c r="V2714" s="34"/>
      <c r="W2714" s="34"/>
      <c r="X2714" s="34"/>
      <c r="Y2714" s="34"/>
      <c r="Z2714" s="34"/>
      <c r="AA2714" s="34"/>
      <c r="AB2714" s="34"/>
      <c r="AC2714" s="34"/>
      <c r="AD2714" s="34"/>
      <c r="AE2714" s="34"/>
      <c r="AF2714" s="34"/>
      <c r="AG2714" s="34"/>
      <c r="AH2714" s="34"/>
      <c r="AI2714" s="34"/>
      <c r="AJ2714" s="34"/>
      <c r="AK2714" s="34"/>
      <c r="AL2714" s="34"/>
      <c r="AM2714" s="34"/>
      <c r="AN2714" s="34"/>
      <c r="AO2714" s="34"/>
      <c r="AP2714" s="34"/>
      <c r="AQ2714" s="34"/>
      <c r="AR2714" s="34"/>
      <c r="AS2714" s="34"/>
      <c r="AT2714" s="34"/>
      <c r="AU2714" s="34"/>
      <c r="AV2714" s="34"/>
      <c r="AW2714" s="34"/>
      <c r="AX2714" s="34"/>
      <c r="AY2714" s="34"/>
      <c r="AZ2714" s="34"/>
      <c r="BA2714" s="34"/>
      <c r="BB2714" s="34"/>
      <c r="BC2714" s="34"/>
      <c r="BD2714" s="34"/>
      <c r="BE2714" s="34"/>
      <c r="BF2714" s="34"/>
      <c r="BG2714" s="34"/>
      <c r="BH2714" s="34"/>
      <c r="BI2714" s="34"/>
      <c r="BJ2714" s="34"/>
      <c r="BK2714" s="34"/>
      <c r="BL2714" s="34"/>
      <c r="BM2714" s="34"/>
      <c r="BN2714" s="34"/>
      <c r="BO2714" s="34"/>
      <c r="BP2714" s="34"/>
      <c r="BQ2714" s="34"/>
      <c r="BR2714" s="34"/>
      <c r="BS2714" s="34"/>
      <c r="BT2714" s="34"/>
      <c r="BU2714" s="34"/>
      <c r="BV2714" s="34"/>
      <c r="BW2714" s="34"/>
      <c r="BX2714" s="34"/>
      <c r="BY2714" s="34"/>
      <c r="BZ2714" s="34"/>
      <c r="CA2714" s="34"/>
      <c r="CB2714" s="34"/>
      <c r="CC2714" s="34"/>
      <c r="CD2714" s="34"/>
      <c r="CE2714" s="34"/>
      <c r="CF2714" s="34"/>
      <c r="CG2714" s="34"/>
      <c r="CH2714" s="34"/>
    </row>
    <row r="2715" spans="1:86" x14ac:dyDescent="0.2">
      <c r="A2715" s="8" t="str">
        <f>IF(AND(COUNTIF(W$3:W$13,A$35)&gt;0,A$35&lt;&gt;B2578),A$35,IFERROR(IF(MATCH(A$35,Z$3:Z$13,0)=6,A$35," ")," "))</f>
        <v>C21</v>
      </c>
      <c r="B2715" s="8">
        <f>IF(A2715=" "," ",MAX(B2695:B2714)+1)</f>
        <v>11</v>
      </c>
      <c r="C2715" s="8"/>
      <c r="D2715" s="8"/>
      <c r="E2715" s="8"/>
      <c r="F2715" s="8"/>
      <c r="G2715" s="8"/>
      <c r="H2715" s="8"/>
      <c r="I2715" s="8"/>
      <c r="J2715" s="8"/>
      <c r="K2715" s="8"/>
      <c r="L2715" s="8"/>
      <c r="M2715" s="8"/>
      <c r="N2715" s="8"/>
      <c r="O2715" s="8"/>
      <c r="P2715" s="8"/>
      <c r="Q2715" s="8"/>
      <c r="R2715" s="8"/>
      <c r="S2715" s="8"/>
      <c r="U2715" s="34"/>
      <c r="V2715" s="34"/>
      <c r="W2715" s="34"/>
      <c r="X2715" s="34"/>
      <c r="Y2715" s="34"/>
      <c r="Z2715" s="34"/>
      <c r="AA2715" s="34"/>
      <c r="AB2715" s="34"/>
      <c r="AC2715" s="34"/>
      <c r="AD2715" s="34"/>
      <c r="AE2715" s="34"/>
      <c r="AF2715" s="34"/>
      <c r="AG2715" s="34"/>
      <c r="AH2715" s="34"/>
      <c r="AI2715" s="34"/>
      <c r="AJ2715" s="34"/>
      <c r="AK2715" s="34"/>
      <c r="AL2715" s="34"/>
      <c r="AM2715" s="34"/>
      <c r="AN2715" s="34"/>
      <c r="AO2715" s="34"/>
      <c r="AP2715" s="34"/>
      <c r="AQ2715" s="34"/>
      <c r="AR2715" s="34"/>
      <c r="AS2715" s="34"/>
      <c r="AT2715" s="34"/>
      <c r="AU2715" s="34"/>
      <c r="AV2715" s="34"/>
      <c r="AW2715" s="34"/>
      <c r="AX2715" s="34"/>
      <c r="AY2715" s="34"/>
      <c r="AZ2715" s="34"/>
      <c r="BA2715" s="34"/>
      <c r="BB2715" s="34"/>
      <c r="BC2715" s="34"/>
      <c r="BD2715" s="34"/>
      <c r="BE2715" s="34"/>
      <c r="BF2715" s="34"/>
      <c r="BG2715" s="34"/>
      <c r="BH2715" s="34"/>
      <c r="BI2715" s="34"/>
      <c r="BJ2715" s="34"/>
      <c r="BK2715" s="34"/>
      <c r="BL2715" s="34"/>
      <c r="BM2715" s="34"/>
      <c r="BN2715" s="34"/>
      <c r="BO2715" s="34"/>
      <c r="BP2715" s="34"/>
      <c r="BQ2715" s="34"/>
      <c r="BR2715" s="34"/>
      <c r="BS2715" s="34"/>
      <c r="BT2715" s="34"/>
      <c r="BU2715" s="34"/>
      <c r="BV2715" s="34"/>
      <c r="BW2715" s="34"/>
      <c r="BX2715" s="34"/>
      <c r="BY2715" s="34"/>
      <c r="BZ2715" s="34"/>
      <c r="CA2715" s="34"/>
      <c r="CB2715" s="34"/>
      <c r="CC2715" s="34"/>
      <c r="CD2715" s="34"/>
      <c r="CE2715" s="34"/>
      <c r="CF2715" s="34"/>
      <c r="CG2715" s="34"/>
      <c r="CH2715" s="34"/>
    </row>
    <row r="2716" spans="1:86" x14ac:dyDescent="0.2">
      <c r="A2716" s="8" t="str">
        <f>IF(AND(COUNTIF(W$3:W$13,A$36)&gt;0,A$36&lt;&gt;B2578),A$36,IFERROR(IF(MATCH(A$36,Z$3:Z$13,0)=6,A$36," ")," "))</f>
        <v xml:space="preserve"> </v>
      </c>
      <c r="B2716" s="8" t="str">
        <f>IF(A2716=" "," ",MAX(B2695:B2715)+1)</f>
        <v xml:space="preserve"> </v>
      </c>
      <c r="C2716" s="8"/>
      <c r="D2716" s="8"/>
      <c r="E2716" s="8"/>
      <c r="F2716" s="8"/>
      <c r="G2716" s="8"/>
      <c r="H2716" s="8"/>
      <c r="I2716" s="8"/>
      <c r="J2716" s="8"/>
      <c r="K2716" s="8"/>
      <c r="L2716" s="8"/>
      <c r="M2716" s="8"/>
      <c r="N2716" s="8"/>
      <c r="O2716" s="8"/>
      <c r="P2716" s="8"/>
      <c r="Q2716" s="8"/>
      <c r="R2716" s="8"/>
      <c r="S2716" s="8"/>
      <c r="U2716" s="34"/>
      <c r="V2716" s="34"/>
      <c r="W2716" s="34"/>
      <c r="X2716" s="34"/>
      <c r="Y2716" s="34"/>
      <c r="Z2716" s="34"/>
      <c r="AA2716" s="34"/>
      <c r="AB2716" s="34"/>
      <c r="AC2716" s="34"/>
      <c r="AD2716" s="34"/>
      <c r="AE2716" s="34"/>
      <c r="AF2716" s="34"/>
      <c r="AG2716" s="34"/>
      <c r="AH2716" s="34"/>
      <c r="AI2716" s="34"/>
      <c r="AJ2716" s="34"/>
      <c r="AK2716" s="34"/>
      <c r="AL2716" s="34"/>
      <c r="AM2716" s="34"/>
      <c r="AN2716" s="34"/>
      <c r="AO2716" s="34"/>
      <c r="AP2716" s="34"/>
      <c r="AQ2716" s="34"/>
      <c r="AR2716" s="34"/>
      <c r="AS2716" s="34"/>
      <c r="AT2716" s="34"/>
      <c r="AU2716" s="34"/>
      <c r="AV2716" s="34"/>
      <c r="AW2716" s="34"/>
      <c r="AX2716" s="34"/>
      <c r="AY2716" s="34"/>
      <c r="AZ2716" s="34"/>
      <c r="BA2716" s="34"/>
      <c r="BB2716" s="34"/>
      <c r="BC2716" s="34"/>
      <c r="BD2716" s="34"/>
      <c r="BE2716" s="34"/>
      <c r="BF2716" s="34"/>
      <c r="BG2716" s="34"/>
      <c r="BH2716" s="34"/>
      <c r="BI2716" s="34"/>
      <c r="BJ2716" s="34"/>
      <c r="BK2716" s="34"/>
      <c r="BL2716" s="34"/>
      <c r="BM2716" s="34"/>
      <c r="BN2716" s="34"/>
      <c r="BO2716" s="34"/>
      <c r="BP2716" s="34"/>
      <c r="BQ2716" s="34"/>
      <c r="BR2716" s="34"/>
      <c r="BS2716" s="34"/>
      <c r="BT2716" s="34"/>
      <c r="BU2716" s="34"/>
      <c r="BV2716" s="34"/>
      <c r="BW2716" s="34"/>
      <c r="BX2716" s="34"/>
      <c r="BY2716" s="34"/>
      <c r="BZ2716" s="34"/>
      <c r="CA2716" s="34"/>
      <c r="CB2716" s="34"/>
      <c r="CC2716" s="34"/>
      <c r="CD2716" s="34"/>
      <c r="CE2716" s="34"/>
      <c r="CF2716" s="34"/>
      <c r="CG2716" s="34"/>
      <c r="CH2716" s="34"/>
    </row>
    <row r="2717" spans="1:86" x14ac:dyDescent="0.2">
      <c r="A2717" s="11" t="s">
        <v>17</v>
      </c>
      <c r="B2717" s="11"/>
      <c r="C2717" s="27" t="s">
        <v>18</v>
      </c>
      <c r="D2717" s="27" t="s">
        <v>2</v>
      </c>
      <c r="E2717" s="27" t="s">
        <v>6</v>
      </c>
      <c r="F2717" s="27" t="s">
        <v>15</v>
      </c>
      <c r="G2717" s="27" t="s">
        <v>36</v>
      </c>
      <c r="H2717" s="27" t="s">
        <v>37</v>
      </c>
      <c r="I2717" s="27" t="s">
        <v>38</v>
      </c>
      <c r="J2717" s="27" t="s">
        <v>39</v>
      </c>
      <c r="K2717" s="27" t="s">
        <v>40</v>
      </c>
      <c r="L2717" s="27" t="s">
        <v>41</v>
      </c>
      <c r="M2717" s="27" t="s">
        <v>42</v>
      </c>
      <c r="N2717" s="27" t="s">
        <v>43</v>
      </c>
      <c r="O2717" s="27" t="s">
        <v>9</v>
      </c>
      <c r="P2717" s="27" t="s">
        <v>12</v>
      </c>
      <c r="Q2717" s="27" t="s">
        <v>19</v>
      </c>
      <c r="R2717" s="27" t="s">
        <v>55</v>
      </c>
      <c r="S2717" s="27" t="s">
        <v>26</v>
      </c>
      <c r="T2717" s="19" t="s">
        <v>25</v>
      </c>
      <c r="U2717" s="33" t="s">
        <v>27</v>
      </c>
      <c r="V2717" s="33" t="s">
        <v>9</v>
      </c>
      <c r="W2717" s="33" t="s">
        <v>23</v>
      </c>
      <c r="X2717" s="33" t="s">
        <v>12</v>
      </c>
      <c r="Y2717" s="33" t="s">
        <v>26</v>
      </c>
      <c r="Z2717" s="33" t="s">
        <v>25</v>
      </c>
      <c r="AA2717" s="33" t="s">
        <v>27</v>
      </c>
      <c r="AB2717" s="33" t="s">
        <v>9</v>
      </c>
      <c r="AC2717" s="33" t="s">
        <v>23</v>
      </c>
      <c r="AD2717" s="33" t="s">
        <v>12</v>
      </c>
      <c r="AE2717" s="33" t="s">
        <v>26</v>
      </c>
      <c r="AF2717" s="33" t="s">
        <v>25</v>
      </c>
      <c r="AG2717" s="33" t="s">
        <v>27</v>
      </c>
      <c r="AH2717" s="33" t="s">
        <v>9</v>
      </c>
      <c r="AI2717" s="33" t="s">
        <v>23</v>
      </c>
      <c r="AJ2717" s="33" t="s">
        <v>12</v>
      </c>
      <c r="AK2717" s="33" t="s">
        <v>26</v>
      </c>
      <c r="AL2717" s="33" t="s">
        <v>25</v>
      </c>
      <c r="AM2717" s="33" t="s">
        <v>27</v>
      </c>
      <c r="AN2717" s="33" t="s">
        <v>9</v>
      </c>
      <c r="AO2717" s="33" t="s">
        <v>23</v>
      </c>
      <c r="AP2717" s="33" t="s">
        <v>12</v>
      </c>
      <c r="AQ2717" s="33" t="s">
        <v>26</v>
      </c>
      <c r="AR2717" s="33" t="s">
        <v>25</v>
      </c>
      <c r="AS2717" s="33" t="s">
        <v>27</v>
      </c>
      <c r="AT2717" s="33" t="s">
        <v>9</v>
      </c>
      <c r="AU2717" s="33" t="s">
        <v>23</v>
      </c>
      <c r="AV2717" s="33" t="s">
        <v>12</v>
      </c>
      <c r="AW2717" s="33" t="s">
        <v>26</v>
      </c>
      <c r="AX2717" s="33" t="s">
        <v>25</v>
      </c>
      <c r="AY2717" s="33" t="s">
        <v>27</v>
      </c>
      <c r="AZ2717" s="33" t="s">
        <v>9</v>
      </c>
      <c r="BA2717" s="33" t="s">
        <v>23</v>
      </c>
      <c r="BB2717" s="33" t="s">
        <v>12</v>
      </c>
      <c r="BC2717" s="33" t="s">
        <v>26</v>
      </c>
      <c r="BD2717" s="33" t="s">
        <v>25</v>
      </c>
      <c r="BE2717" s="33" t="s">
        <v>27</v>
      </c>
      <c r="BF2717" s="33" t="s">
        <v>9</v>
      </c>
      <c r="BG2717" s="33" t="s">
        <v>23</v>
      </c>
      <c r="BH2717" s="33" t="s">
        <v>12</v>
      </c>
      <c r="BI2717" s="33" t="s">
        <v>26</v>
      </c>
      <c r="BJ2717" s="33" t="s">
        <v>25</v>
      </c>
      <c r="BK2717" s="33" t="s">
        <v>27</v>
      </c>
      <c r="BL2717" s="33" t="s">
        <v>9</v>
      </c>
      <c r="BM2717" s="33" t="s">
        <v>23</v>
      </c>
      <c r="BN2717" s="33" t="s">
        <v>12</v>
      </c>
      <c r="BO2717" s="33" t="s">
        <v>26</v>
      </c>
      <c r="BP2717" s="33" t="s">
        <v>25</v>
      </c>
      <c r="BQ2717" s="33" t="s">
        <v>27</v>
      </c>
      <c r="BR2717" s="33" t="s">
        <v>9</v>
      </c>
      <c r="BS2717" s="33" t="s">
        <v>23</v>
      </c>
      <c r="BT2717" s="33" t="s">
        <v>12</v>
      </c>
      <c r="BU2717" s="33" t="s">
        <v>26</v>
      </c>
      <c r="BV2717" s="33" t="s">
        <v>25</v>
      </c>
      <c r="BW2717" s="33" t="s">
        <v>27</v>
      </c>
      <c r="BX2717" s="33" t="s">
        <v>9</v>
      </c>
      <c r="BY2717" s="33" t="s">
        <v>23</v>
      </c>
      <c r="BZ2717" s="33" t="s">
        <v>12</v>
      </c>
      <c r="CA2717" s="33" t="s">
        <v>26</v>
      </c>
      <c r="CB2717" s="33" t="s">
        <v>25</v>
      </c>
      <c r="CC2717" s="33" t="s">
        <v>27</v>
      </c>
      <c r="CD2717" s="33" t="s">
        <v>9</v>
      </c>
      <c r="CE2717" s="33" t="s">
        <v>23</v>
      </c>
      <c r="CF2717" s="33" t="s">
        <v>12</v>
      </c>
      <c r="CG2717" s="33" t="s">
        <v>26</v>
      </c>
      <c r="CH2717" s="33" t="s">
        <v>25</v>
      </c>
    </row>
    <row r="2718" spans="1:86" x14ac:dyDescent="0.2">
      <c r="A2718" s="8" t="str">
        <f>IF(AND(COUNTIF(W$3:W$13,A$15)&gt;0,A$15&lt;&gt;B2578),A$15,IFERROR(IF(MATCH(A$15,Z$3:Z$13,0)=7,A$15," ")," "))</f>
        <v xml:space="preserve"> </v>
      </c>
      <c r="B2718" s="8" t="str">
        <f>IF(A2718=" "," ",1)</f>
        <v xml:space="preserve"> </v>
      </c>
      <c r="C2718" s="8" t="str">
        <f>IFERROR(INDEX(A2718:A2739,MATCH(SMALL(B2718:B2739,1),B2718:B2739,0),1)," ")</f>
        <v>C3</v>
      </c>
      <c r="D2718" s="8">
        <f>IFERROR(VLOOKUP($C2718,$A$15:$O$36,2,FALSE)," ")</f>
        <v>2</v>
      </c>
      <c r="E2718" s="8">
        <f>IFERROR(VLOOKUP($C2718,$A$15:$O$36,3,FALSE)," ")</f>
        <v>5</v>
      </c>
      <c r="F2718" s="8">
        <f>IFERROR(VLOOKUP($C2718,$A$15:$O$36,4,FALSE)," ")</f>
        <v>6</v>
      </c>
      <c r="G2718" s="8">
        <f>IFERROR(VLOOKUP($C2718,$A$15:$O$36,5,FALSE)," ")</f>
        <v>0</v>
      </c>
      <c r="H2718" s="8">
        <f>IFERROR(VLOOKUP($C2718,$A$15:$O$36,6,FALSE)," ")</f>
        <v>0</v>
      </c>
      <c r="I2718" s="8">
        <f>IFERROR(VLOOKUP($C2718,$A$15:$O$36,7,FALSE)," ")</f>
        <v>0</v>
      </c>
      <c r="J2718" s="8">
        <f>IFERROR(VLOOKUP($C2718,$A$15:$O$36,8,FALSE)," ")</f>
        <v>0</v>
      </c>
      <c r="K2718" s="8">
        <f>IFERROR(VLOOKUP($C2718,$A$15:$O$36,9,FALSE)," ")</f>
        <v>0</v>
      </c>
      <c r="L2718" s="8">
        <f>IFERROR(VLOOKUP($C2718,$A$15:$O$36,10,FALSE)," ")</f>
        <v>0</v>
      </c>
      <c r="M2718" s="8">
        <f>IFERROR(VLOOKUP($C2718,$A$15:$O$36,11,FALSE)," ")</f>
        <v>0</v>
      </c>
      <c r="N2718" s="8">
        <f>IFERROR(VLOOKUP($C2718,$A$15:$O$36,12,FALSE)," ")</f>
        <v>0</v>
      </c>
      <c r="O2718" s="8">
        <f>IFERROR(VLOOKUP($C2718,$A$15:$O$36,15,FALSE)," ")</f>
        <v>2000</v>
      </c>
      <c r="P2718" s="8" t="e">
        <f t="array" ref="P2718:P2728">MMULT(MINVERSE(D2718:N2728),O2718:O2728)</f>
        <v>#NUM!</v>
      </c>
      <c r="Q2718" s="8" t="e">
        <f t="shared" ref="Q2718" si="11851">IF(COUNTIF(P2718:P2728,"&lt;"&amp;-0.001)=0,IF(ABS(P2718)&lt;0.001,0,P2718)," ")</f>
        <v>#NUM!</v>
      </c>
      <c r="R2718" s="8" t="str">
        <f>IFERROR(VLOOKUP(B2578,A$15:L$36,2,FALSE)*Q2718+VLOOKUP(B2578,A$15:L$36,3,FALSE)*Q2719+VLOOKUP(B2578,A$15:L$36,4,FALSE)*Q2720+VLOOKUP(B2578,A$15:L$36,5,FALSE)*Q2721+VLOOKUP(B2578,A$15:L$36,6,FALSE)*Q2722+VLOOKUP(B2578,A$15:L$36,7,FALSE)*Q2723+VLOOKUP(B2578,A$15:L$36,8,FALSE)*Q2724+VLOOKUP(B2578,A$15:L$36,9,FALSE)*Q2725+VLOOKUP(B2578,A$15:L$36,10,FALSE)*Q2726+VLOOKUP(B2578,A$15:L$36,11,FALSE)*Q2727+VLOOKUP(B2578,A$15:L$36,12,FALSE)*Q2728," ")</f>
        <v xml:space="preserve"> </v>
      </c>
      <c r="S2718" s="8" t="str">
        <f>IFERROR(IF(R2718-VLOOKUP(B2578,A$15:O$36,15,FALSE)&lt;0,R2718-VLOOKUP(B2578,A$15:O$36,15,FALSE)," ")," ")</f>
        <v xml:space="preserve"> </v>
      </c>
      <c r="T2718" s="18" t="str">
        <f>IFERROR(IF(R2718-VLOOKUP(B2578,A$15:O$36,15,FALSE)&gt;0,R2718-VLOOKUP(B2578,A$15:O$36,15,FALSE)," ")," ")</f>
        <v xml:space="preserve"> </v>
      </c>
      <c r="U2718" s="34">
        <f t="shared" ref="U2718" si="11852">$M$2</f>
        <v>100.00000000000001</v>
      </c>
      <c r="V2718" s="34">
        <v>-1</v>
      </c>
      <c r="W2718" s="34">
        <f t="shared" ref="W2718" si="11853">-SUMPRODUCT($M$3:$M$12,$N$3:$N$12)</f>
        <v>-105000</v>
      </c>
      <c r="X2718" s="34" t="e">
        <f t="shared" ref="X2718" si="11854">IF(U2718&lt;&gt;U2719,MMULT(MINVERSE(U2718:V2719),W2718:W2719)," ")</f>
        <v>#NUM!</v>
      </c>
      <c r="Y2718" s="34" t="str">
        <f t="shared" ref="Y2718" si="11855">IFERROR(IF(X2718-VLOOKUP(U$38,$A$2:$N$12,14,FALSE)&lt;0,X2718-VLOOKUP(U$38,$A$2:$N$12,14,FALSE)," ")," ")</f>
        <v xml:space="preserve"> </v>
      </c>
      <c r="Z2718" s="34" t="str">
        <f t="shared" ref="Z2718" si="11856">IFERROR(IF(X2718-VLOOKUP(U$38,$A$2:$N$12,14,FALSE)&gt;0,X2718-VLOOKUP(U$38,$A$2:$N$12,14,FALSE)," ")," ")</f>
        <v xml:space="preserve"> </v>
      </c>
      <c r="AA2718" s="34">
        <f t="shared" ref="AA2718" si="11857">$M$3</f>
        <v>0</v>
      </c>
      <c r="AB2718" s="34">
        <v>-1</v>
      </c>
      <c r="AC2718" s="34">
        <f t="shared" ref="AC2718" si="11858">-SUMPRODUCT($M$2:$M$2,$N$2:$N$2)-SUMPRODUCT($M$4:$M$12,$N$4:$N$12)</f>
        <v>-120000</v>
      </c>
      <c r="AD2718" s="34" t="e">
        <f t="shared" ref="AD2718" si="11859">IF(AA2718&lt;&gt;AA2719,MMULT(MINVERSE(AA2718:AB2719),AC2718:AC2719)," ")</f>
        <v>#NUM!</v>
      </c>
      <c r="AE2718" s="34" t="str">
        <f t="shared" ref="AE2718" si="11860">IFERROR(IF(AD2718-VLOOKUP(AA$38,$A$2:$N$12,14,FALSE)&lt;0,AD2718-VLOOKUP(AA$38,$A$2:$N$12,14,FALSE)," ")," ")</f>
        <v xml:space="preserve"> </v>
      </c>
      <c r="AF2718" s="34" t="str">
        <f t="shared" ref="AF2718" si="11861">IFERROR(IF(AD2718-VLOOKUP(AA$38,$A$2:$N$12,14,FALSE)&gt;0,AD2718-VLOOKUP(AA$38,$A$2:$N$12,14,FALSE)," ")," ")</f>
        <v xml:space="preserve"> </v>
      </c>
      <c r="AG2718" s="34">
        <f t="shared" ref="AG2718" si="11862">$M$4</f>
        <v>300</v>
      </c>
      <c r="AH2718" s="34">
        <v>-1</v>
      </c>
      <c r="AI2718" s="34">
        <f t="shared" ref="AI2718" si="11863">-SUMPRODUCT($M$2:$M$3,$N$2:$N$3)-SUMPRODUCT($M$5:$M$12,$N$5:$N$12)</f>
        <v>-15000.000000000002</v>
      </c>
      <c r="AJ2718" s="34" t="e">
        <f t="shared" ref="AJ2718" si="11864">IF(AG2718&lt;&gt;AG2719,MMULT(MINVERSE(AG2718:AH2719),AI2718:AI2719)," ")</f>
        <v>#NUM!</v>
      </c>
      <c r="AK2718" s="34" t="str">
        <f t="shared" ref="AK2718" si="11865">IFERROR(IF(AJ2718-VLOOKUP(AG$38,$A$2:$N$12,14,FALSE)&lt;0,AJ2718-VLOOKUP(AG$38,$A$2:$N$12,14,FALSE)," ")," ")</f>
        <v xml:space="preserve"> </v>
      </c>
      <c r="AL2718" s="34" t="str">
        <f t="shared" ref="AL2718" si="11866">IFERROR(IF(AJ2718-VLOOKUP(AG$38,$A$2:$N$12,14,FALSE)&gt;0,AJ2718-VLOOKUP(AG$38,$A$2:$N$12,14,FALSE)," ")," ")</f>
        <v xml:space="preserve"> </v>
      </c>
      <c r="AM2718" s="34">
        <f t="shared" ref="AM2718" si="11867">$M$5</f>
        <v>0</v>
      </c>
      <c r="AN2718" s="34">
        <v>-1</v>
      </c>
      <c r="AO2718" s="34">
        <f t="shared" ref="AO2718" si="11868">-SUMPRODUCT($M$2:$M$4,$N$2:$N$4)-SUMPRODUCT($M$6:$M$12,$N$6:$N$12)</f>
        <v>-120000</v>
      </c>
      <c r="AP2718" s="34" t="e">
        <f t="shared" ref="AP2718" si="11869">IF(AM2718&lt;&gt;AM2719,MMULT(MINVERSE(AM2718:AN2719),AO2718:AO2719)," ")</f>
        <v>#NUM!</v>
      </c>
      <c r="AQ2718" s="34" t="str">
        <f t="shared" ref="AQ2718" si="11870">IFERROR(IF(AP2718-VLOOKUP(AM$38,$A$2:$N$12,14,FALSE)&lt;0,AP2718-VLOOKUP(AM$38,$A$2:$N$12,14,FALSE)," ")," ")</f>
        <v xml:space="preserve"> </v>
      </c>
      <c r="AR2718" s="34" t="str">
        <f t="shared" ref="AR2718" si="11871">IFERROR(IF(AP2718-VLOOKUP(AM$38,$A$2:$N$12,14,FALSE)&gt;0,AP2718-VLOOKUP(AM$38,$A$2:$N$12,14,FALSE)," ")," ")</f>
        <v xml:space="preserve"> </v>
      </c>
      <c r="AS2718" s="34">
        <f t="shared" ref="AS2718" si="11872">$M$6</f>
        <v>0</v>
      </c>
      <c r="AT2718" s="34">
        <v>-1</v>
      </c>
      <c r="AU2718" s="34">
        <f t="shared" ref="AU2718" si="11873">-SUMPRODUCT($M$2:$M$5,$N$2:$N$5)-SUMPRODUCT($M$7:$M$12,$N$7:$N$12)</f>
        <v>-120000</v>
      </c>
      <c r="AV2718" s="34" t="e">
        <f t="shared" ref="AV2718" si="11874">IF(AS2718&lt;&gt;AS2719,MMULT(MINVERSE(AS2718:AT2719),AU2718:AU2719)," ")</f>
        <v>#NUM!</v>
      </c>
      <c r="AW2718" s="34" t="str">
        <f t="shared" ref="AW2718" si="11875">IFERROR(IF(AV2718-VLOOKUP(AS$38,$A$2:$N$12,14,FALSE)&lt;0,AV2718-VLOOKUP(AS$38,$A$2:$N$12,14,FALSE)," ")," ")</f>
        <v xml:space="preserve"> </v>
      </c>
      <c r="AX2718" s="34" t="str">
        <f t="shared" ref="AX2718" si="11876">IFERROR(IF(AV2718-VLOOKUP(AS$38,$A$2:$N$12,14,FALSE)&gt;0,AV2718-VLOOKUP(AS$38,$A$2:$N$12,14,FALSE)," ")," ")</f>
        <v xml:space="preserve"> </v>
      </c>
      <c r="AY2718" s="34">
        <f t="shared" ref="AY2718" si="11877">$M$7</f>
        <v>0</v>
      </c>
      <c r="AZ2718" s="34">
        <v>-1</v>
      </c>
      <c r="BA2718" s="34">
        <f t="shared" ref="BA2718" si="11878">-SUMPRODUCT($M$2:$M$6,$N$2:$N$6)-SUMPRODUCT($M$8:$M$12,$N$8:$N$12)</f>
        <v>-120000</v>
      </c>
      <c r="BB2718" s="34" t="e">
        <f t="shared" ref="BB2718" si="11879">IF(AY2718&lt;&gt;AY2719,MMULT(MINVERSE(AY2718:AZ2719),BA2718:BA2719)," ")</f>
        <v>#NUM!</v>
      </c>
      <c r="BC2718" s="34" t="str">
        <f t="shared" ref="BC2718" si="11880">IFERROR(IF(BB2718-VLOOKUP(AY$38,$A$2:$N$12,14,FALSE)&lt;0,BB2718-VLOOKUP(AY$38,$A$2:$N$12,14,FALSE)," ")," ")</f>
        <v xml:space="preserve"> </v>
      </c>
      <c r="BD2718" s="34" t="str">
        <f t="shared" ref="BD2718" si="11881">IFERROR(IF(BB2718-VLOOKUP(AY$38,$A$2:$N$12,14,FALSE)&gt;0,BB2718-VLOOKUP(AY$38,$A$2:$N$12,14,FALSE)," ")," ")</f>
        <v xml:space="preserve"> </v>
      </c>
      <c r="BE2718" s="34">
        <f t="shared" ref="BE2718" si="11882">$M$8</f>
        <v>0</v>
      </c>
      <c r="BF2718" s="34">
        <v>-1</v>
      </c>
      <c r="BG2718" s="34">
        <f t="shared" ref="BG2718" si="11883">-SUMPRODUCT($M$2:$M$7,$N$2:$N$7)-SUMPRODUCT($M$9:$M$12,$N$9:$N$12)</f>
        <v>-120000</v>
      </c>
      <c r="BH2718" s="34" t="e">
        <f t="shared" ref="BH2718" si="11884">IF(BE2718&lt;&gt;BE2719,MMULT(MINVERSE(BE2718:BF2719),BG2718:BG2719)," ")</f>
        <v>#NUM!</v>
      </c>
      <c r="BI2718" s="34" t="str">
        <f t="shared" ref="BI2718" si="11885">IFERROR(IF(BH2718-VLOOKUP(BE$38,$A$2:$N$12,14,FALSE)&lt;0,BH2718-VLOOKUP(BE$38,$A$2:$N$12,14,FALSE)," ")," ")</f>
        <v xml:space="preserve"> </v>
      </c>
      <c r="BJ2718" s="34" t="str">
        <f t="shared" ref="BJ2718" si="11886">IFERROR(IF(BH2718-VLOOKUP(BE$38,$A$2:$N$12,14,FALSE)&gt;0,BH2718-VLOOKUP(BE$38,$A$2:$N$12,14,FALSE)," ")," ")</f>
        <v xml:space="preserve"> </v>
      </c>
      <c r="BK2718" s="34">
        <f t="shared" ref="BK2718" si="11887">$M$9</f>
        <v>0</v>
      </c>
      <c r="BL2718" s="34">
        <v>-1</v>
      </c>
      <c r="BM2718" s="34">
        <f t="shared" ref="BM2718" si="11888">-SUMPRODUCT($M$2:$M$8,$N$2:$N$8)-SUMPRODUCT($M$10:$M$12,$N$10:$N$12)</f>
        <v>-120000</v>
      </c>
      <c r="BN2718" s="34" t="e">
        <f t="shared" ref="BN2718" si="11889">IF(BK2718&lt;&gt;BK2719,MMULT(MINVERSE(BK2718:BL2719),BM2718:BM2719)," ")</f>
        <v>#NUM!</v>
      </c>
      <c r="BO2718" s="34" t="str">
        <f t="shared" ref="BO2718" si="11890">IFERROR(IF(BN2718-VLOOKUP(BK$38,$A$2:$N$12,14,FALSE)&lt;0,BN2718-VLOOKUP(BK$38,$A$2:$N$12,14,FALSE)," ")," ")</f>
        <v xml:space="preserve"> </v>
      </c>
      <c r="BP2718" s="34" t="str">
        <f t="shared" ref="BP2718" si="11891">IFERROR(IF(BN2718-VLOOKUP(BK$38,$A$2:$N$12,14,FALSE)&gt;0,BN2718-VLOOKUP(BK$38,$A$2:$N$12,14,FALSE)," ")," ")</f>
        <v xml:space="preserve"> </v>
      </c>
      <c r="BQ2718" s="34">
        <f t="shared" ref="BQ2718" si="11892">$M$10</f>
        <v>0</v>
      </c>
      <c r="BR2718" s="34">
        <v>-1</v>
      </c>
      <c r="BS2718" s="34">
        <f t="shared" ref="BS2718" si="11893">-SUMPRODUCT($M$2:$M$9,$N$2:$N$9)-SUMPRODUCT($M$11:$M$12,$N$11:$N$12)</f>
        <v>-120000</v>
      </c>
      <c r="BT2718" s="34" t="e">
        <f t="shared" ref="BT2718" si="11894">IF(BQ2718&lt;&gt;BQ2719,MMULT(MINVERSE(BQ2718:BR2719),BS2718:BS2719)," ")</f>
        <v>#NUM!</v>
      </c>
      <c r="BU2718" s="34" t="str">
        <f t="shared" ref="BU2718" si="11895">IFERROR(IF(BT2718-VLOOKUP(BQ$38,$A$2:$N$12,14,FALSE)&lt;0,BT2718-VLOOKUP(BQ$38,$A$2:$N$12,14,FALSE)," ")," ")</f>
        <v xml:space="preserve"> </v>
      </c>
      <c r="BV2718" s="34" t="str">
        <f t="shared" ref="BV2718" si="11896">IFERROR(IF(BT2718-VLOOKUP(BQ$38,$A$2:$N$12,14,FALSE)&gt;0,BT2718-VLOOKUP(BQ$38,$A$2:$N$12,14,FALSE)," ")," ")</f>
        <v xml:space="preserve"> </v>
      </c>
      <c r="BW2718" s="34">
        <f t="shared" ref="BW2718" si="11897">$M$11</f>
        <v>0</v>
      </c>
      <c r="BX2718" s="34">
        <v>-1</v>
      </c>
      <c r="BY2718" s="34">
        <f t="shared" ref="BY2718" si="11898">-SUMPRODUCT($M$2:$M$10,$N$2:$N$10)-SUMPRODUCT($M$12,$N$12)</f>
        <v>-120000</v>
      </c>
      <c r="BZ2718" s="34" t="e">
        <f t="shared" ref="BZ2718" si="11899">IF(BW2718&lt;&gt;BW2719,MMULT(MINVERSE(BW2718:BX2719),BY2718:BY2719)," ")</f>
        <v>#NUM!</v>
      </c>
      <c r="CA2718" s="34" t="str">
        <f t="shared" ref="CA2718" si="11900">IFERROR(IF(BZ2718-VLOOKUP(BW$38,$A$2:$N$12,14,FALSE)&lt;0,BZ2718-VLOOKUP(BW$38,$A$2:$N$12,14,FALSE)," ")," ")</f>
        <v xml:space="preserve"> </v>
      </c>
      <c r="CB2718" s="34" t="str">
        <f t="shared" ref="CB2718" si="11901">IFERROR(IF(BZ2718-VLOOKUP(BW$38,$A$2:$N$12,14,FALSE)&gt;0,BZ2718-VLOOKUP(BW$38,$A$2:$N$12,14,FALSE)," ")," ")</f>
        <v xml:space="preserve"> </v>
      </c>
      <c r="CC2718" s="34">
        <f t="shared" ref="CC2718" si="11902">$M$12</f>
        <v>0</v>
      </c>
      <c r="CD2718" s="34">
        <v>-1</v>
      </c>
      <c r="CE2718" s="34">
        <f t="shared" ref="CE2718" si="11903">-SUMPRODUCT($M$2:$M$11,$N$2:$N$11)</f>
        <v>-120000</v>
      </c>
      <c r="CF2718" s="34" t="e">
        <f t="shared" ref="CF2718" si="11904">IF(CC2718&lt;&gt;CC2719,MMULT(MINVERSE(CC2718:CD2719),CE2718:CE2719)," ")</f>
        <v>#NUM!</v>
      </c>
      <c r="CG2718" s="34" t="str">
        <f t="shared" ref="CG2718" si="11905">IFERROR(IF(CF2718-VLOOKUP(CC$38,$A$2:$N$12,14,FALSE)&lt;0,CF2718-VLOOKUP(CC$38,$A$2:$N$12,14,FALSE)," ")," ")</f>
        <v xml:space="preserve"> </v>
      </c>
      <c r="CH2718" s="34" t="str">
        <f t="shared" ref="CH2718" si="11906">IFERROR(IF(CF2718-VLOOKUP(CC$38,$A$2:$N$12,14,FALSE)&gt;0,CF2718-VLOOKUP(CC$38,$A$2:$N$12,14,FALSE)," ")," ")</f>
        <v xml:space="preserve"> </v>
      </c>
    </row>
    <row r="2719" spans="1:86" x14ac:dyDescent="0.2">
      <c r="A2719" s="8" t="str">
        <f>IF(AND(COUNTIF(W$3:W$13,A$16)&gt;0,A$16&lt;&gt;B3178),A$16,IFERROR(IF(MATCH(A$16,Z$3:Z$13,0)=7,A$16," ")," "))</f>
        <v xml:space="preserve"> </v>
      </c>
      <c r="B2719" s="8" t="str">
        <f>IF(A2719=" "," ",MAX(B2718:B2718)+1)</f>
        <v xml:space="preserve"> </v>
      </c>
      <c r="C2719" s="8" t="str">
        <f>IFERROR(INDEX(A2718:A2739,MATCH(SMALL(B2718:B2739,2),B2718:B2739,0),1)," ")</f>
        <v>C4</v>
      </c>
      <c r="D2719" s="8">
        <f t="shared" ref="D2719:D2728" si="11907">IFERROR(VLOOKUP($C2719,$A$15:$O$36,2,FALSE)," ")</f>
        <v>1</v>
      </c>
      <c r="E2719" s="8">
        <f t="shared" ref="E2719:E2728" si="11908">IFERROR(VLOOKUP($C2719,$A$15:$O$36,3,FALSE)," ")</f>
        <v>0</v>
      </c>
      <c r="F2719" s="8">
        <f t="shared" ref="F2719:F2728" si="11909">IFERROR(VLOOKUP($C2719,$A$15:$O$36,4,FALSE)," ")</f>
        <v>1</v>
      </c>
      <c r="G2719" s="8">
        <f t="shared" ref="G2719:G2728" si="11910">IFERROR(VLOOKUP($C2719,$A$15:$O$36,5,FALSE)," ")</f>
        <v>0</v>
      </c>
      <c r="H2719" s="8">
        <f t="shared" ref="H2719:H2728" si="11911">IFERROR(VLOOKUP($C2719,$A$15:$O$36,6,FALSE)," ")</f>
        <v>0</v>
      </c>
      <c r="I2719" s="8">
        <f t="shared" ref="I2719:I2728" si="11912">IFERROR(VLOOKUP($C2719,$A$15:$O$36,7,FALSE)," ")</f>
        <v>0</v>
      </c>
      <c r="J2719" s="8">
        <f t="shared" ref="J2719:J2728" si="11913">IFERROR(VLOOKUP($C2719,$A$15:$O$36,8,FALSE)," ")</f>
        <v>0</v>
      </c>
      <c r="K2719" s="8">
        <f t="shared" ref="K2719:K2728" si="11914">IFERROR(VLOOKUP($C2719,$A$15:$O$36,9,FALSE)," ")</f>
        <v>0</v>
      </c>
      <c r="L2719" s="8">
        <f t="shared" ref="L2719:L2728" si="11915">IFERROR(VLOOKUP($C2719,$A$15:$O$36,10,FALSE)," ")</f>
        <v>0</v>
      </c>
      <c r="M2719" s="8">
        <f t="shared" ref="M2719:M2728" si="11916">IFERROR(VLOOKUP($C2719,$A$15:$O$36,11,FALSE)," ")</f>
        <v>0</v>
      </c>
      <c r="N2719" s="8">
        <f t="shared" ref="N2719:N2728" si="11917">IFERROR(VLOOKUP($C2719,$A$15:$O$36,12,FALSE)," ")</f>
        <v>0</v>
      </c>
      <c r="O2719" s="8">
        <f t="shared" ref="O2719:O2728" si="11918">IFERROR(VLOOKUP($C2719,$A$15:$O$36,15,FALSE)," ")</f>
        <v>400</v>
      </c>
      <c r="P2719" s="8" t="e">
        <v>#NUM!</v>
      </c>
      <c r="Q2719" s="8" t="e">
        <f t="shared" ref="Q2719" si="11919">IF(COUNTIF(P2718:P2728,"&lt;"&amp;-0.001)=0,IF(ABS(P2719)&lt;0.001,0,P2719)," ")</f>
        <v>#NUM!</v>
      </c>
      <c r="R2719" s="8"/>
      <c r="S2719" s="8"/>
      <c r="U2719" s="34" t="e">
        <f t="shared" ref="U2719" si="11920">$Q2718</f>
        <v>#NUM!</v>
      </c>
      <c r="V2719" s="34">
        <v>-1</v>
      </c>
      <c r="W2719" s="34" t="e">
        <f t="shared" ref="W2719" si="11921">-SUMPRODUCT($Q2719:$Q2728,$N$3:$N$12)</f>
        <v>#NUM!</v>
      </c>
      <c r="X2719" s="34"/>
      <c r="Y2719" s="34"/>
      <c r="Z2719" s="34"/>
      <c r="AA2719" s="34" t="e">
        <f t="shared" ref="AA2719" si="11922">$Q2719</f>
        <v>#NUM!</v>
      </c>
      <c r="AB2719" s="34">
        <v>-1</v>
      </c>
      <c r="AC2719" s="34" t="e">
        <f t="shared" ref="AC2719" si="11923">-SUMPRODUCT($Q2718:$Q2718,$N$2:$N$2)-SUMPRODUCT($Q2720:$Q2728,$N$4:$N$12)</f>
        <v>#NUM!</v>
      </c>
      <c r="AD2719" s="34"/>
      <c r="AE2719" s="34"/>
      <c r="AF2719" s="34"/>
      <c r="AG2719" s="34" t="e">
        <f t="shared" ref="AG2719" si="11924">$Q2720</f>
        <v>#NUM!</v>
      </c>
      <c r="AH2719" s="34">
        <v>-1</v>
      </c>
      <c r="AI2719" s="34" t="e">
        <f t="shared" ref="AI2719" si="11925">-SUMPRODUCT($Q2718:$Q2719,$N$2:$N$3)-SUMPRODUCT($Q2721:$Q2728,$N$5:$N$12)</f>
        <v>#NUM!</v>
      </c>
      <c r="AJ2719" s="34"/>
      <c r="AK2719" s="34"/>
      <c r="AL2719" s="34"/>
      <c r="AM2719" s="34" t="e">
        <f t="shared" ref="AM2719" si="11926">$Q2721</f>
        <v>#NUM!</v>
      </c>
      <c r="AN2719" s="34">
        <v>-1</v>
      </c>
      <c r="AO2719" s="34" t="e">
        <f t="shared" ref="AO2719" si="11927">-SUMPRODUCT($Q2718:$Q2720,$N$2:$N$4)-SUMPRODUCT($Q2722:$Q2728,$N$6:$N$12)</f>
        <v>#NUM!</v>
      </c>
      <c r="AP2719" s="34"/>
      <c r="AQ2719" s="34"/>
      <c r="AR2719" s="34"/>
      <c r="AS2719" s="34" t="e">
        <f t="shared" ref="AS2719" si="11928">$Q2722</f>
        <v>#NUM!</v>
      </c>
      <c r="AT2719" s="34">
        <v>-1</v>
      </c>
      <c r="AU2719" s="34" t="e">
        <f t="shared" ref="AU2719" si="11929">-SUMPRODUCT($Q2718:$Q2721,$N$2:$N$5)-SUMPRODUCT($Q2723:$Q2728,$N$7:$N$12)</f>
        <v>#NUM!</v>
      </c>
      <c r="AV2719" s="34"/>
      <c r="AW2719" s="34"/>
      <c r="AX2719" s="34"/>
      <c r="AY2719" s="34" t="e">
        <f t="shared" ref="AY2719" si="11930">$Q2723</f>
        <v>#NUM!</v>
      </c>
      <c r="AZ2719" s="34">
        <v>-1</v>
      </c>
      <c r="BA2719" s="34" t="e">
        <f t="shared" ref="BA2719" si="11931">-SUMPRODUCT($Q2718:$Q2722,$N$2:$N$6)-SUMPRODUCT($Q2724:$Q2728,$N$8:$N$12)</f>
        <v>#NUM!</v>
      </c>
      <c r="BB2719" s="34"/>
      <c r="BC2719" s="34"/>
      <c r="BD2719" s="34"/>
      <c r="BE2719" s="34" t="e">
        <f t="shared" ref="BE2719" si="11932">$Q2724</f>
        <v>#NUM!</v>
      </c>
      <c r="BF2719" s="34">
        <v>-1</v>
      </c>
      <c r="BG2719" s="34" t="e">
        <f t="shared" ref="BG2719" si="11933">-SUMPRODUCT($Q2718:$Q2723,$N$2:$N$7)-SUMPRODUCT($Q2725:$Q2728,$N$9:$N$12)</f>
        <v>#NUM!</v>
      </c>
      <c r="BH2719" s="34"/>
      <c r="BI2719" s="34"/>
      <c r="BJ2719" s="34"/>
      <c r="BK2719" s="34" t="e">
        <f t="shared" ref="BK2719" si="11934">$Q2725</f>
        <v>#NUM!</v>
      </c>
      <c r="BL2719" s="34">
        <v>-1</v>
      </c>
      <c r="BM2719" s="34" t="e">
        <f t="shared" ref="BM2719" si="11935">-SUMPRODUCT($Q2718:$Q2724,$N$2:$N$8)-SUMPRODUCT($Q2726:$Q2728,$N$10:$N$12)</f>
        <v>#NUM!</v>
      </c>
      <c r="BN2719" s="34"/>
      <c r="BO2719" s="34"/>
      <c r="BP2719" s="34"/>
      <c r="BQ2719" s="34" t="e">
        <f t="shared" ref="BQ2719" si="11936">$Q2726</f>
        <v>#NUM!</v>
      </c>
      <c r="BR2719" s="34">
        <v>-1</v>
      </c>
      <c r="BS2719" s="34" t="e">
        <f t="shared" ref="BS2719" si="11937">-SUMPRODUCT($Q2718:$Q2725,$N$2:$N$9)-SUMPRODUCT($Q2727:$Q2728,$N$11:$N$12)</f>
        <v>#NUM!</v>
      </c>
      <c r="BT2719" s="34"/>
      <c r="BU2719" s="34"/>
      <c r="BV2719" s="34"/>
      <c r="BW2719" s="34" t="e">
        <f t="shared" ref="BW2719" si="11938">$Q2727</f>
        <v>#NUM!</v>
      </c>
      <c r="BX2719" s="34">
        <v>-1</v>
      </c>
      <c r="BY2719" s="34" t="e">
        <f t="shared" ref="BY2719" si="11939">-SUMPRODUCT($Q2718:$Q2726,$N$2:$N$10)-SUMPRODUCT($Q2728,$N$12)</f>
        <v>#NUM!</v>
      </c>
      <c r="BZ2719" s="34"/>
      <c r="CA2719" s="34"/>
      <c r="CB2719" s="34"/>
      <c r="CC2719" s="34" t="e">
        <f t="shared" ref="CC2719" si="11940">$Q2728</f>
        <v>#NUM!</v>
      </c>
      <c r="CD2719" s="34">
        <v>-1</v>
      </c>
      <c r="CE2719" s="34" t="e">
        <f t="shared" ref="CE2719" si="11941">-SUMPRODUCT($Q2718:$Q2727,$N$2:$N$11)</f>
        <v>#NUM!</v>
      </c>
      <c r="CF2719" s="34"/>
      <c r="CG2719" s="34"/>
      <c r="CH2719" s="34"/>
    </row>
    <row r="2720" spans="1:86" x14ac:dyDescent="0.2">
      <c r="A2720" s="8" t="str">
        <f>IF(AND(COUNTIF(W$3:W$13,A$17)&gt;0,A$17&lt;&gt;B2578),A$17,IFERROR(IF(MATCH(A$17,Z$3:Z$13,0)=7,A$17," ")," "))</f>
        <v>C3</v>
      </c>
      <c r="B2720" s="8">
        <f>IF(A2720=" "," ",MAX(B2718:B2719)+1)</f>
        <v>1</v>
      </c>
      <c r="C2720" s="8" t="str">
        <f>IFERROR(INDEX(A2718:A2739,MATCH(SMALL(B2718:B2739,3),B2718:B2739,0),1)," ")</f>
        <v>C9</v>
      </c>
      <c r="D2720" s="8">
        <f t="shared" si="11907"/>
        <v>0</v>
      </c>
      <c r="E2720" s="8">
        <f t="shared" si="11908"/>
        <v>0</v>
      </c>
      <c r="F2720" s="8">
        <f t="shared" si="11909"/>
        <v>0</v>
      </c>
      <c r="G2720" s="8">
        <f t="shared" si="11910"/>
        <v>0</v>
      </c>
      <c r="H2720" s="8">
        <f t="shared" si="11911"/>
        <v>0</v>
      </c>
      <c r="I2720" s="8">
        <f t="shared" si="11912"/>
        <v>0</v>
      </c>
      <c r="J2720" s="8">
        <f t="shared" si="11913"/>
        <v>0</v>
      </c>
      <c r="K2720" s="8">
        <f t="shared" si="11914"/>
        <v>0</v>
      </c>
      <c r="L2720" s="8">
        <f t="shared" si="11915"/>
        <v>0</v>
      </c>
      <c r="M2720" s="8">
        <f t="shared" si="11916"/>
        <v>0</v>
      </c>
      <c r="N2720" s="8">
        <f t="shared" si="11917"/>
        <v>0</v>
      </c>
      <c r="O2720" s="8">
        <f t="shared" si="11918"/>
        <v>0</v>
      </c>
      <c r="P2720" s="8" t="e">
        <v>#NUM!</v>
      </c>
      <c r="Q2720" s="8" t="e">
        <f t="shared" ref="Q2720" si="11942">IF(COUNTIF(P2718:P2728,"&lt;"&amp;-0.001)=0,IF(ABS(P2720)&lt;0.001,0,P2720)," ")</f>
        <v>#NUM!</v>
      </c>
      <c r="R2720" s="8"/>
      <c r="S2720" s="8"/>
      <c r="U2720" s="34"/>
      <c r="V2720" s="34"/>
      <c r="W2720" s="34"/>
      <c r="X2720" s="34"/>
      <c r="Y2720" s="34"/>
      <c r="Z2720" s="34"/>
      <c r="AA2720" s="34"/>
      <c r="AB2720" s="34"/>
      <c r="AC2720" s="34"/>
      <c r="AD2720" s="34"/>
      <c r="AE2720" s="34"/>
      <c r="AF2720" s="34"/>
      <c r="AG2720" s="34"/>
      <c r="AH2720" s="34"/>
      <c r="AI2720" s="34"/>
      <c r="AJ2720" s="34"/>
      <c r="AK2720" s="34"/>
      <c r="AL2720" s="34"/>
      <c r="AM2720" s="34"/>
      <c r="AN2720" s="34"/>
      <c r="AO2720" s="34"/>
      <c r="AP2720" s="34"/>
      <c r="AQ2720" s="34"/>
      <c r="AR2720" s="34"/>
      <c r="AS2720" s="34"/>
      <c r="AT2720" s="34"/>
      <c r="AU2720" s="34"/>
      <c r="AV2720" s="34"/>
      <c r="AW2720" s="34"/>
      <c r="AX2720" s="34"/>
      <c r="AY2720" s="34"/>
      <c r="AZ2720" s="34"/>
      <c r="BA2720" s="34"/>
      <c r="BB2720" s="34"/>
      <c r="BC2720" s="34"/>
      <c r="BD2720" s="34"/>
      <c r="BE2720" s="34"/>
      <c r="BF2720" s="34"/>
      <c r="BG2720" s="34"/>
      <c r="BH2720" s="34"/>
      <c r="BI2720" s="34"/>
      <c r="BJ2720" s="34"/>
      <c r="BK2720" s="34"/>
      <c r="BL2720" s="34"/>
      <c r="BM2720" s="34"/>
      <c r="BN2720" s="34"/>
      <c r="BO2720" s="34"/>
      <c r="BP2720" s="34"/>
      <c r="BQ2720" s="34"/>
      <c r="BR2720" s="34"/>
      <c r="BS2720" s="34"/>
      <c r="BT2720" s="34"/>
      <c r="BU2720" s="34"/>
      <c r="BV2720" s="34"/>
      <c r="BW2720" s="34"/>
      <c r="BX2720" s="34"/>
      <c r="BY2720" s="34"/>
      <c r="BZ2720" s="34"/>
      <c r="CA2720" s="34"/>
      <c r="CB2720" s="34"/>
      <c r="CC2720" s="34"/>
      <c r="CD2720" s="34"/>
      <c r="CE2720" s="34"/>
      <c r="CF2720" s="34"/>
      <c r="CG2720" s="34"/>
      <c r="CH2720" s="34"/>
    </row>
    <row r="2721" spans="1:86" x14ac:dyDescent="0.2">
      <c r="A2721" s="8" t="str">
        <f>IF(AND(COUNTIF(W$3:W$13,A$18)&gt;0,A$18&lt;&gt;B2578),A$18,IFERROR(IF(MATCH(A$18,Z$3:Z$13,0)=7,A$18," ")," "))</f>
        <v>C4</v>
      </c>
      <c r="B2721" s="8">
        <f>IF(A2721=" "," ",MAX(B2718:B2720)+1)</f>
        <v>2</v>
      </c>
      <c r="C2721" s="8" t="str">
        <f>IFERROR(INDEX(A2718:A2739,MATCH(SMALL(B2718:B2739,4),B2718:B2739,0),1)," ")</f>
        <v>C13</v>
      </c>
      <c r="D2721" s="8">
        <f t="shared" si="11907"/>
        <v>0</v>
      </c>
      <c r="E2721" s="8">
        <f t="shared" si="11908"/>
        <v>1</v>
      </c>
      <c r="F2721" s="8">
        <f t="shared" si="11909"/>
        <v>0</v>
      </c>
      <c r="G2721" s="8">
        <f t="shared" si="11910"/>
        <v>0</v>
      </c>
      <c r="H2721" s="8">
        <f t="shared" si="11911"/>
        <v>0</v>
      </c>
      <c r="I2721" s="8">
        <f t="shared" si="11912"/>
        <v>0</v>
      </c>
      <c r="J2721" s="8">
        <f t="shared" si="11913"/>
        <v>0</v>
      </c>
      <c r="K2721" s="8">
        <f t="shared" si="11914"/>
        <v>0</v>
      </c>
      <c r="L2721" s="8">
        <f t="shared" si="11915"/>
        <v>0</v>
      </c>
      <c r="M2721" s="8">
        <f t="shared" si="11916"/>
        <v>0</v>
      </c>
      <c r="N2721" s="8">
        <f t="shared" si="11917"/>
        <v>0</v>
      </c>
      <c r="O2721" s="8">
        <f t="shared" si="11918"/>
        <v>0</v>
      </c>
      <c r="P2721" s="8" t="e">
        <v>#NUM!</v>
      </c>
      <c r="Q2721" s="8" t="e">
        <f t="shared" ref="Q2721" si="11943">IF(COUNTIF(P2718:P2728,"&lt;"&amp;-0.001)=0,IF(ABS(P2721)&lt;0.001,0,P2721)," ")</f>
        <v>#NUM!</v>
      </c>
      <c r="R2721" s="8"/>
      <c r="S2721" s="8"/>
      <c r="U2721" s="34"/>
      <c r="V2721" s="34"/>
      <c r="W2721" s="34"/>
      <c r="X2721" s="34"/>
      <c r="Y2721" s="34"/>
      <c r="Z2721" s="34"/>
      <c r="AA2721" s="34"/>
      <c r="AB2721" s="34"/>
      <c r="AC2721" s="34"/>
      <c r="AD2721" s="34"/>
      <c r="AE2721" s="34"/>
      <c r="AF2721" s="34"/>
      <c r="AG2721" s="34"/>
      <c r="AH2721" s="34"/>
      <c r="AI2721" s="34"/>
      <c r="AJ2721" s="34"/>
      <c r="AK2721" s="34"/>
      <c r="AL2721" s="34"/>
      <c r="AM2721" s="34"/>
      <c r="AN2721" s="34"/>
      <c r="AO2721" s="34"/>
      <c r="AP2721" s="34"/>
      <c r="AQ2721" s="34"/>
      <c r="AR2721" s="34"/>
      <c r="AS2721" s="34"/>
      <c r="AT2721" s="34"/>
      <c r="AU2721" s="34"/>
      <c r="AV2721" s="34"/>
      <c r="AW2721" s="34"/>
      <c r="AX2721" s="34"/>
      <c r="AY2721" s="34"/>
      <c r="AZ2721" s="34"/>
      <c r="BA2721" s="34"/>
      <c r="BB2721" s="34"/>
      <c r="BC2721" s="34"/>
      <c r="BD2721" s="34"/>
      <c r="BE2721" s="34"/>
      <c r="BF2721" s="34"/>
      <c r="BG2721" s="34"/>
      <c r="BH2721" s="34"/>
      <c r="BI2721" s="34"/>
      <c r="BJ2721" s="34"/>
      <c r="BK2721" s="34"/>
      <c r="BL2721" s="34"/>
      <c r="BM2721" s="34"/>
      <c r="BN2721" s="34"/>
      <c r="BO2721" s="34"/>
      <c r="BP2721" s="34"/>
      <c r="BQ2721" s="34"/>
      <c r="BR2721" s="34"/>
      <c r="BS2721" s="34"/>
      <c r="BT2721" s="34"/>
      <c r="BU2721" s="34"/>
      <c r="BV2721" s="34"/>
      <c r="BW2721" s="34"/>
      <c r="BX2721" s="34"/>
      <c r="BY2721" s="34"/>
      <c r="BZ2721" s="34"/>
      <c r="CA2721" s="34"/>
      <c r="CB2721" s="34"/>
      <c r="CC2721" s="34"/>
      <c r="CD2721" s="34"/>
      <c r="CE2721" s="34"/>
      <c r="CF2721" s="34"/>
      <c r="CG2721" s="34"/>
      <c r="CH2721" s="34"/>
    </row>
    <row r="2722" spans="1:86" x14ac:dyDescent="0.2">
      <c r="A2722" s="8" t="str">
        <f>IF(AND(COUNTIF(W$3:W$13,A$19)&gt;0,A$19&lt;&gt;B2578),A$19,IFERROR(IF(MATCH(A$19,Z$3:Z$13,0)=7,A$19," ")," "))</f>
        <v xml:space="preserve"> </v>
      </c>
      <c r="B2722" s="8" t="str">
        <f>IF(A2722=" "," ",MAX(B2718:B2721)+1)</f>
        <v xml:space="preserve"> </v>
      </c>
      <c r="C2722" s="8" t="str">
        <f>IFERROR(INDEX(A2718:A2739,MATCH(SMALL(B2718:B2739,5),B2718:B2739,0),1)," ")</f>
        <v>C15</v>
      </c>
      <c r="D2722" s="8">
        <f t="shared" si="11907"/>
        <v>0</v>
      </c>
      <c r="E2722" s="8">
        <f t="shared" si="11908"/>
        <v>0</v>
      </c>
      <c r="F2722" s="8">
        <f t="shared" si="11909"/>
        <v>0</v>
      </c>
      <c r="G2722" s="8">
        <f t="shared" si="11910"/>
        <v>1</v>
      </c>
      <c r="H2722" s="8">
        <f t="shared" si="11911"/>
        <v>0</v>
      </c>
      <c r="I2722" s="8">
        <f t="shared" si="11912"/>
        <v>0</v>
      </c>
      <c r="J2722" s="8">
        <f t="shared" si="11913"/>
        <v>0</v>
      </c>
      <c r="K2722" s="8">
        <f t="shared" si="11914"/>
        <v>0</v>
      </c>
      <c r="L2722" s="8">
        <f t="shared" si="11915"/>
        <v>0</v>
      </c>
      <c r="M2722" s="8">
        <f t="shared" si="11916"/>
        <v>0</v>
      </c>
      <c r="N2722" s="8">
        <f t="shared" si="11917"/>
        <v>0</v>
      </c>
      <c r="O2722" s="8">
        <f t="shared" si="11918"/>
        <v>0</v>
      </c>
      <c r="P2722" s="8" t="e">
        <v>#NUM!</v>
      </c>
      <c r="Q2722" s="8" t="e">
        <f t="shared" ref="Q2722" si="11944">IF(COUNTIF(P2718:P2728,"&lt;"&amp;-0.001)=0,IF(ABS(P2722)&lt;0.001,0,P2722)," ")</f>
        <v>#NUM!</v>
      </c>
      <c r="R2722" s="8"/>
      <c r="S2722" s="8"/>
      <c r="U2722" s="34"/>
      <c r="V2722" s="34"/>
      <c r="W2722" s="34"/>
      <c r="X2722" s="34"/>
      <c r="Y2722" s="34"/>
      <c r="Z2722" s="34"/>
      <c r="AA2722" s="34"/>
      <c r="AB2722" s="34"/>
      <c r="AC2722" s="34"/>
      <c r="AD2722" s="34"/>
      <c r="AE2722" s="34"/>
      <c r="AF2722" s="34"/>
      <c r="AG2722" s="34"/>
      <c r="AH2722" s="34"/>
      <c r="AI2722" s="34"/>
      <c r="AJ2722" s="34"/>
      <c r="AK2722" s="34"/>
      <c r="AL2722" s="34"/>
      <c r="AM2722" s="34"/>
      <c r="AN2722" s="34"/>
      <c r="AO2722" s="34"/>
      <c r="AP2722" s="34"/>
      <c r="AQ2722" s="34"/>
      <c r="AR2722" s="34"/>
      <c r="AS2722" s="34"/>
      <c r="AT2722" s="34"/>
      <c r="AU2722" s="34"/>
      <c r="AV2722" s="34"/>
      <c r="AW2722" s="34"/>
      <c r="AX2722" s="34"/>
      <c r="AY2722" s="34"/>
      <c r="AZ2722" s="34"/>
      <c r="BA2722" s="34"/>
      <c r="BB2722" s="34"/>
      <c r="BC2722" s="34"/>
      <c r="BD2722" s="34"/>
      <c r="BE2722" s="34"/>
      <c r="BF2722" s="34"/>
      <c r="BG2722" s="34"/>
      <c r="BH2722" s="34"/>
      <c r="BI2722" s="34"/>
      <c r="BJ2722" s="34"/>
      <c r="BK2722" s="34"/>
      <c r="BL2722" s="34"/>
      <c r="BM2722" s="34"/>
      <c r="BN2722" s="34"/>
      <c r="BO2722" s="34"/>
      <c r="BP2722" s="34"/>
      <c r="BQ2722" s="34"/>
      <c r="BR2722" s="34"/>
      <c r="BS2722" s="34"/>
      <c r="BT2722" s="34"/>
      <c r="BU2722" s="34"/>
      <c r="BV2722" s="34"/>
      <c r="BW2722" s="34"/>
      <c r="BX2722" s="34"/>
      <c r="BY2722" s="34"/>
      <c r="BZ2722" s="34"/>
      <c r="CA2722" s="34"/>
      <c r="CB2722" s="34"/>
      <c r="CC2722" s="34"/>
      <c r="CD2722" s="34"/>
      <c r="CE2722" s="34"/>
      <c r="CF2722" s="34"/>
      <c r="CG2722" s="34"/>
      <c r="CH2722" s="34"/>
    </row>
    <row r="2723" spans="1:86" x14ac:dyDescent="0.2">
      <c r="A2723" s="8" t="str">
        <f>IF(AND(COUNTIF(W$3:W$13,A$20)&gt;0,A$20&lt;&gt;B2578),A$20,IFERROR(IF(MATCH(A$20,Z$3:Z$13,0)=7,A$20," ")," "))</f>
        <v xml:space="preserve"> </v>
      </c>
      <c r="B2723" s="8" t="str">
        <f>IF(A2723=" "," ",MAX(B2718:B2722)+1)</f>
        <v xml:space="preserve"> </v>
      </c>
      <c r="C2723" s="8" t="str">
        <f>IFERROR(INDEX(A2718:A2739,MATCH(SMALL(B2718:B2739,6),B2718:B2739,0),1)," ")</f>
        <v>C16</v>
      </c>
      <c r="D2723" s="8">
        <f t="shared" si="11907"/>
        <v>0</v>
      </c>
      <c r="E2723" s="8">
        <f t="shared" si="11908"/>
        <v>0</v>
      </c>
      <c r="F2723" s="8">
        <f t="shared" si="11909"/>
        <v>0</v>
      </c>
      <c r="G2723" s="8">
        <f t="shared" si="11910"/>
        <v>0</v>
      </c>
      <c r="H2723" s="8">
        <f t="shared" si="11911"/>
        <v>1</v>
      </c>
      <c r="I2723" s="8">
        <f t="shared" si="11912"/>
        <v>0</v>
      </c>
      <c r="J2723" s="8">
        <f t="shared" si="11913"/>
        <v>0</v>
      </c>
      <c r="K2723" s="8">
        <f t="shared" si="11914"/>
        <v>0</v>
      </c>
      <c r="L2723" s="8">
        <f t="shared" si="11915"/>
        <v>0</v>
      </c>
      <c r="M2723" s="8">
        <f t="shared" si="11916"/>
        <v>0</v>
      </c>
      <c r="N2723" s="8">
        <f t="shared" si="11917"/>
        <v>0</v>
      </c>
      <c r="O2723" s="8">
        <f t="shared" si="11918"/>
        <v>0</v>
      </c>
      <c r="P2723" s="8" t="e">
        <v>#NUM!</v>
      </c>
      <c r="Q2723" s="8" t="e">
        <f t="shared" ref="Q2723" si="11945">IF(COUNTIF(P2718:P2728,"&lt;"&amp;-0.001)=0,IF(ABS(P2723)&lt;0.001,0,P2723)," ")</f>
        <v>#NUM!</v>
      </c>
      <c r="R2723" s="8"/>
      <c r="S2723" s="8"/>
      <c r="U2723" s="34"/>
      <c r="V2723" s="34"/>
      <c r="W2723" s="34"/>
      <c r="X2723" s="34"/>
      <c r="Y2723" s="34"/>
      <c r="Z2723" s="34"/>
      <c r="AA2723" s="34"/>
      <c r="AB2723" s="34"/>
      <c r="AC2723" s="34"/>
      <c r="AD2723" s="34"/>
      <c r="AE2723" s="34"/>
      <c r="AF2723" s="34"/>
      <c r="AG2723" s="34"/>
      <c r="AH2723" s="34"/>
      <c r="AI2723" s="34"/>
      <c r="AJ2723" s="34"/>
      <c r="AK2723" s="34"/>
      <c r="AL2723" s="34"/>
      <c r="AM2723" s="34"/>
      <c r="AN2723" s="34"/>
      <c r="AO2723" s="34"/>
      <c r="AP2723" s="34"/>
      <c r="AQ2723" s="34"/>
      <c r="AR2723" s="34"/>
      <c r="AS2723" s="34"/>
      <c r="AT2723" s="34"/>
      <c r="AU2723" s="34"/>
      <c r="AV2723" s="34"/>
      <c r="AW2723" s="34"/>
      <c r="AX2723" s="34"/>
      <c r="AY2723" s="34"/>
      <c r="AZ2723" s="34"/>
      <c r="BA2723" s="34"/>
      <c r="BB2723" s="34"/>
      <c r="BC2723" s="34"/>
      <c r="BD2723" s="34"/>
      <c r="BE2723" s="34"/>
      <c r="BF2723" s="34"/>
      <c r="BG2723" s="34"/>
      <c r="BH2723" s="34"/>
      <c r="BI2723" s="34"/>
      <c r="BJ2723" s="34"/>
      <c r="BK2723" s="34"/>
      <c r="BL2723" s="34"/>
      <c r="BM2723" s="34"/>
      <c r="BN2723" s="34"/>
      <c r="BO2723" s="34"/>
      <c r="BP2723" s="34"/>
      <c r="BQ2723" s="34"/>
      <c r="BR2723" s="34"/>
      <c r="BS2723" s="34"/>
      <c r="BT2723" s="34"/>
      <c r="BU2723" s="34"/>
      <c r="BV2723" s="34"/>
      <c r="BW2723" s="34"/>
      <c r="BX2723" s="34"/>
      <c r="BY2723" s="34"/>
      <c r="BZ2723" s="34"/>
      <c r="CA2723" s="34"/>
      <c r="CB2723" s="34"/>
      <c r="CC2723" s="34"/>
      <c r="CD2723" s="34"/>
      <c r="CE2723" s="34"/>
      <c r="CF2723" s="34"/>
      <c r="CG2723" s="34"/>
      <c r="CH2723" s="34"/>
    </row>
    <row r="2724" spans="1:86" x14ac:dyDescent="0.2">
      <c r="A2724" s="8" t="str">
        <f>IF(AND(COUNTIF(W$3:W$13,A$21)&gt;0,A$21&lt;&gt;B2578),A$21,IFERROR(IF(MATCH(A$21,Z$3:Z$13,0)=7,A$21," ")," "))</f>
        <v xml:space="preserve"> </v>
      </c>
      <c r="B2724" s="8" t="str">
        <f>IF(A2724=" "," ",MAX(B2718:B2723)+1)</f>
        <v xml:space="preserve"> </v>
      </c>
      <c r="C2724" s="8" t="str">
        <f>IFERROR(INDEX(A2718:A2739,MATCH(SMALL(B2718:B2739,7),B2718:B2739,0),1)," ")</f>
        <v>C17</v>
      </c>
      <c r="D2724" s="8">
        <f t="shared" si="11907"/>
        <v>0</v>
      </c>
      <c r="E2724" s="8">
        <f t="shared" si="11908"/>
        <v>0</v>
      </c>
      <c r="F2724" s="8">
        <f t="shared" si="11909"/>
        <v>0</v>
      </c>
      <c r="G2724" s="8">
        <f t="shared" si="11910"/>
        <v>0</v>
      </c>
      <c r="H2724" s="8">
        <f t="shared" si="11911"/>
        <v>0</v>
      </c>
      <c r="I2724" s="8">
        <f t="shared" si="11912"/>
        <v>1</v>
      </c>
      <c r="J2724" s="8">
        <f t="shared" si="11913"/>
        <v>0</v>
      </c>
      <c r="K2724" s="8">
        <f t="shared" si="11914"/>
        <v>0</v>
      </c>
      <c r="L2724" s="8">
        <f t="shared" si="11915"/>
        <v>0</v>
      </c>
      <c r="M2724" s="8">
        <f t="shared" si="11916"/>
        <v>0</v>
      </c>
      <c r="N2724" s="8">
        <f t="shared" si="11917"/>
        <v>0</v>
      </c>
      <c r="O2724" s="8">
        <f t="shared" si="11918"/>
        <v>0</v>
      </c>
      <c r="P2724" s="8" t="e">
        <v>#NUM!</v>
      </c>
      <c r="Q2724" s="8" t="e">
        <f t="shared" ref="Q2724" si="11946">IF(COUNTIF(P2718:P2728,"&lt;"&amp;-0.001)=0,IF(ABS(P2724)&lt;0.001,0,P2724)," ")</f>
        <v>#NUM!</v>
      </c>
      <c r="R2724" s="8"/>
      <c r="S2724" s="8"/>
      <c r="U2724" s="34"/>
      <c r="V2724" s="34"/>
      <c r="W2724" s="34"/>
      <c r="X2724" s="34"/>
      <c r="Y2724" s="34"/>
      <c r="Z2724" s="34"/>
      <c r="AA2724" s="34"/>
      <c r="AB2724" s="34"/>
      <c r="AC2724" s="34"/>
      <c r="AD2724" s="34"/>
      <c r="AE2724" s="34"/>
      <c r="AF2724" s="34"/>
      <c r="AG2724" s="34"/>
      <c r="AH2724" s="34"/>
      <c r="AI2724" s="34"/>
      <c r="AJ2724" s="34"/>
      <c r="AK2724" s="34"/>
      <c r="AL2724" s="34"/>
      <c r="AM2724" s="34"/>
      <c r="AN2724" s="34"/>
      <c r="AO2724" s="34"/>
      <c r="AP2724" s="34"/>
      <c r="AQ2724" s="34"/>
      <c r="AR2724" s="34"/>
      <c r="AS2724" s="34"/>
      <c r="AT2724" s="34"/>
      <c r="AU2724" s="34"/>
      <c r="AV2724" s="34"/>
      <c r="AW2724" s="34"/>
      <c r="AX2724" s="34"/>
      <c r="AY2724" s="34"/>
      <c r="AZ2724" s="34"/>
      <c r="BA2724" s="34"/>
      <c r="BB2724" s="34"/>
      <c r="BC2724" s="34"/>
      <c r="BD2724" s="34"/>
      <c r="BE2724" s="34"/>
      <c r="BF2724" s="34"/>
      <c r="BG2724" s="34"/>
      <c r="BH2724" s="34"/>
      <c r="BI2724" s="34"/>
      <c r="BJ2724" s="34"/>
      <c r="BK2724" s="34"/>
      <c r="BL2724" s="34"/>
      <c r="BM2724" s="34"/>
      <c r="BN2724" s="34"/>
      <c r="BO2724" s="34"/>
      <c r="BP2724" s="34"/>
      <c r="BQ2724" s="34"/>
      <c r="BR2724" s="34"/>
      <c r="BS2724" s="34"/>
      <c r="BT2724" s="34"/>
      <c r="BU2724" s="34"/>
      <c r="BV2724" s="34"/>
      <c r="BW2724" s="34"/>
      <c r="BX2724" s="34"/>
      <c r="BY2724" s="34"/>
      <c r="BZ2724" s="34"/>
      <c r="CA2724" s="34"/>
      <c r="CB2724" s="34"/>
      <c r="CC2724" s="34"/>
      <c r="CD2724" s="34"/>
      <c r="CE2724" s="34"/>
      <c r="CF2724" s="34"/>
      <c r="CG2724" s="34"/>
      <c r="CH2724" s="34"/>
    </row>
    <row r="2725" spans="1:86" x14ac:dyDescent="0.2">
      <c r="A2725" s="8" t="str">
        <f>IF(AND(COUNTIF(W$3:W$13,A$22)&gt;0,A$22&lt;&gt;B2578),A$22,IFERROR(IF(MATCH(A$22,Z$3:Z$13,0)=7,A$22," ")," "))</f>
        <v xml:space="preserve"> </v>
      </c>
      <c r="B2725" s="8" t="str">
        <f>IF(A2725=" "," ",MAX(B2718:B2724)+1)</f>
        <v xml:space="preserve"> </v>
      </c>
      <c r="C2725" s="8" t="str">
        <f>IFERROR(INDEX(A2718:A2739,MATCH(SMALL(B2718:B2739,8),B2718:B2739,0),1)," ")</f>
        <v>C18</v>
      </c>
      <c r="D2725" s="8">
        <f t="shared" si="11907"/>
        <v>0</v>
      </c>
      <c r="E2725" s="8">
        <f t="shared" si="11908"/>
        <v>0</v>
      </c>
      <c r="F2725" s="8">
        <f t="shared" si="11909"/>
        <v>0</v>
      </c>
      <c r="G2725" s="8">
        <f t="shared" si="11910"/>
        <v>0</v>
      </c>
      <c r="H2725" s="8">
        <f t="shared" si="11911"/>
        <v>0</v>
      </c>
      <c r="I2725" s="8">
        <f t="shared" si="11912"/>
        <v>0</v>
      </c>
      <c r="J2725" s="8">
        <f t="shared" si="11913"/>
        <v>1</v>
      </c>
      <c r="K2725" s="8">
        <f t="shared" si="11914"/>
        <v>0</v>
      </c>
      <c r="L2725" s="8">
        <f t="shared" si="11915"/>
        <v>0</v>
      </c>
      <c r="M2725" s="8">
        <f t="shared" si="11916"/>
        <v>0</v>
      </c>
      <c r="N2725" s="8">
        <f t="shared" si="11917"/>
        <v>0</v>
      </c>
      <c r="O2725" s="8">
        <f t="shared" si="11918"/>
        <v>0</v>
      </c>
      <c r="P2725" s="8" t="e">
        <v>#NUM!</v>
      </c>
      <c r="Q2725" s="8" t="e">
        <f t="shared" ref="Q2725" si="11947">IF(COUNTIF(P2718:P2728,"&lt;"&amp;-0.001)=0,IF(ABS(P2725)&lt;0.001,0,P2725)," ")</f>
        <v>#NUM!</v>
      </c>
      <c r="R2725" s="8"/>
      <c r="S2725" s="8"/>
      <c r="U2725" s="34"/>
      <c r="V2725" s="34"/>
      <c r="W2725" s="34"/>
      <c r="X2725" s="34"/>
      <c r="Y2725" s="34"/>
      <c r="Z2725" s="34"/>
      <c r="AA2725" s="34"/>
      <c r="AB2725" s="34"/>
      <c r="AC2725" s="34"/>
      <c r="AD2725" s="34"/>
      <c r="AE2725" s="34"/>
      <c r="AF2725" s="34"/>
      <c r="AG2725" s="34"/>
      <c r="AH2725" s="34"/>
      <c r="AI2725" s="34"/>
      <c r="AJ2725" s="34"/>
      <c r="AK2725" s="34"/>
      <c r="AL2725" s="34"/>
      <c r="AM2725" s="34"/>
      <c r="AN2725" s="34"/>
      <c r="AO2725" s="34"/>
      <c r="AP2725" s="34"/>
      <c r="AQ2725" s="34"/>
      <c r="AR2725" s="34"/>
      <c r="AS2725" s="34"/>
      <c r="AT2725" s="34"/>
      <c r="AU2725" s="34"/>
      <c r="AV2725" s="34"/>
      <c r="AW2725" s="34"/>
      <c r="AX2725" s="34"/>
      <c r="AY2725" s="34"/>
      <c r="AZ2725" s="34"/>
      <c r="BA2725" s="34"/>
      <c r="BB2725" s="34"/>
      <c r="BC2725" s="34"/>
      <c r="BD2725" s="34"/>
      <c r="BE2725" s="34"/>
      <c r="BF2725" s="34"/>
      <c r="BG2725" s="34"/>
      <c r="BH2725" s="34"/>
      <c r="BI2725" s="34"/>
      <c r="BJ2725" s="34"/>
      <c r="BK2725" s="34"/>
      <c r="BL2725" s="34"/>
      <c r="BM2725" s="34"/>
      <c r="BN2725" s="34"/>
      <c r="BO2725" s="34"/>
      <c r="BP2725" s="34"/>
      <c r="BQ2725" s="34"/>
      <c r="BR2725" s="34"/>
      <c r="BS2725" s="34"/>
      <c r="BT2725" s="34"/>
      <c r="BU2725" s="34"/>
      <c r="BV2725" s="34"/>
      <c r="BW2725" s="34"/>
      <c r="BX2725" s="34"/>
      <c r="BY2725" s="34"/>
      <c r="BZ2725" s="34"/>
      <c r="CA2725" s="34"/>
      <c r="CB2725" s="34"/>
      <c r="CC2725" s="34"/>
      <c r="CD2725" s="34"/>
      <c r="CE2725" s="34"/>
      <c r="CF2725" s="34"/>
      <c r="CG2725" s="34"/>
      <c r="CH2725" s="34"/>
    </row>
    <row r="2726" spans="1:86" x14ac:dyDescent="0.2">
      <c r="A2726" s="8" t="str">
        <f>IF(AND(COUNTIF(W$3:W$13,A$23)&gt;0,A$23&lt;&gt;B2578),A$23,IFERROR(IF(MATCH(A$23,Z$3:Z$13,0)=7,A$23," ")," "))</f>
        <v>C9</v>
      </c>
      <c r="B2726" s="8">
        <f>IF(A2726=" "," ",MAX(B2718:B2725)+1)</f>
        <v>3</v>
      </c>
      <c r="C2726" s="8" t="str">
        <f>IFERROR(INDEX(A2718:A2739,MATCH(SMALL(B2718:B2739,9),B2718:B2739,0),1)," ")</f>
        <v>C19</v>
      </c>
      <c r="D2726" s="8">
        <f t="shared" si="11907"/>
        <v>0</v>
      </c>
      <c r="E2726" s="8">
        <f t="shared" si="11908"/>
        <v>0</v>
      </c>
      <c r="F2726" s="8">
        <f t="shared" si="11909"/>
        <v>0</v>
      </c>
      <c r="G2726" s="8">
        <f t="shared" si="11910"/>
        <v>0</v>
      </c>
      <c r="H2726" s="8">
        <f t="shared" si="11911"/>
        <v>0</v>
      </c>
      <c r="I2726" s="8">
        <f t="shared" si="11912"/>
        <v>0</v>
      </c>
      <c r="J2726" s="8">
        <f t="shared" si="11913"/>
        <v>0</v>
      </c>
      <c r="K2726" s="8">
        <f t="shared" si="11914"/>
        <v>1</v>
      </c>
      <c r="L2726" s="8">
        <f t="shared" si="11915"/>
        <v>0</v>
      </c>
      <c r="M2726" s="8">
        <f t="shared" si="11916"/>
        <v>0</v>
      </c>
      <c r="N2726" s="8">
        <f t="shared" si="11917"/>
        <v>0</v>
      </c>
      <c r="O2726" s="8">
        <f t="shared" si="11918"/>
        <v>0</v>
      </c>
      <c r="P2726" s="6" t="e">
        <v>#NUM!</v>
      </c>
      <c r="Q2726" s="8" t="e">
        <f t="shared" ref="Q2726" si="11948">IF(COUNTIF(P2718:P2728,"&lt;"&amp;-0.001)=0,IF(ABS(P2726)&lt;0.001,0,P2726)," ")</f>
        <v>#NUM!</v>
      </c>
      <c r="R2726" s="8"/>
      <c r="S2726" s="8"/>
      <c r="U2726" s="34"/>
      <c r="V2726" s="34"/>
      <c r="W2726" s="34"/>
      <c r="X2726" s="34"/>
      <c r="Y2726" s="34"/>
      <c r="Z2726" s="34"/>
      <c r="AA2726" s="34"/>
      <c r="AB2726" s="34"/>
      <c r="AC2726" s="34"/>
      <c r="AD2726" s="34"/>
      <c r="AE2726" s="34"/>
      <c r="AF2726" s="34"/>
      <c r="AG2726" s="34"/>
      <c r="AH2726" s="34"/>
      <c r="AI2726" s="34"/>
      <c r="AJ2726" s="34"/>
      <c r="AK2726" s="34"/>
      <c r="AL2726" s="34"/>
      <c r="AM2726" s="34"/>
      <c r="AN2726" s="34"/>
      <c r="AO2726" s="34"/>
      <c r="AP2726" s="34"/>
      <c r="AQ2726" s="34"/>
      <c r="AR2726" s="34"/>
      <c r="AS2726" s="34"/>
      <c r="AT2726" s="34"/>
      <c r="AU2726" s="34"/>
      <c r="AV2726" s="34"/>
      <c r="AW2726" s="34"/>
      <c r="AX2726" s="34"/>
      <c r="AY2726" s="34"/>
      <c r="AZ2726" s="34"/>
      <c r="BA2726" s="34"/>
      <c r="BB2726" s="34"/>
      <c r="BC2726" s="34"/>
      <c r="BD2726" s="34"/>
      <c r="BE2726" s="34"/>
      <c r="BF2726" s="34"/>
      <c r="BG2726" s="34"/>
      <c r="BH2726" s="34"/>
      <c r="BI2726" s="34"/>
      <c r="BJ2726" s="34"/>
      <c r="BK2726" s="34"/>
      <c r="BL2726" s="34"/>
      <c r="BM2726" s="34"/>
      <c r="BN2726" s="34"/>
      <c r="BO2726" s="34"/>
      <c r="BP2726" s="34"/>
      <c r="BQ2726" s="34"/>
      <c r="BR2726" s="34"/>
      <c r="BS2726" s="34"/>
      <c r="BT2726" s="34"/>
      <c r="BU2726" s="34"/>
      <c r="BV2726" s="34"/>
      <c r="BW2726" s="34"/>
      <c r="BX2726" s="34"/>
      <c r="BY2726" s="34"/>
      <c r="BZ2726" s="34"/>
      <c r="CA2726" s="34"/>
      <c r="CB2726" s="34"/>
      <c r="CC2726" s="34"/>
      <c r="CD2726" s="34"/>
      <c r="CE2726" s="34"/>
      <c r="CF2726" s="34"/>
      <c r="CG2726" s="34"/>
      <c r="CH2726" s="34"/>
    </row>
    <row r="2727" spans="1:86" x14ac:dyDescent="0.2">
      <c r="A2727" s="8" t="str">
        <f>IF(AND(COUNTIF(W$3:W$13,A$24)&gt;0,A$24&lt;&gt;B2578),A$24,IFERROR(IF(MATCH(A$24,Z$3:Z$13,0)=7,A$24," ")," "))</f>
        <v xml:space="preserve"> </v>
      </c>
      <c r="B2727" s="8" t="str">
        <f>IF(A2727=" "," ",MAX(B2718:B2726)+1)</f>
        <v xml:space="preserve"> </v>
      </c>
      <c r="C2727" s="8" t="str">
        <f>IFERROR(INDEX(A2718:A2739,MATCH(SMALL(B2718:B2739,10),B2718:B2739,0),1)," ")</f>
        <v>C20</v>
      </c>
      <c r="D2727" s="8">
        <f t="shared" si="11907"/>
        <v>0</v>
      </c>
      <c r="E2727" s="8">
        <f t="shared" si="11908"/>
        <v>0</v>
      </c>
      <c r="F2727" s="8">
        <f t="shared" si="11909"/>
        <v>0</v>
      </c>
      <c r="G2727" s="8">
        <f t="shared" si="11910"/>
        <v>0</v>
      </c>
      <c r="H2727" s="8">
        <f t="shared" si="11911"/>
        <v>0</v>
      </c>
      <c r="I2727" s="8">
        <f t="shared" si="11912"/>
        <v>0</v>
      </c>
      <c r="J2727" s="8">
        <f t="shared" si="11913"/>
        <v>0</v>
      </c>
      <c r="K2727" s="8">
        <f t="shared" si="11914"/>
        <v>0</v>
      </c>
      <c r="L2727" s="8">
        <f t="shared" si="11915"/>
        <v>1</v>
      </c>
      <c r="M2727" s="8">
        <f t="shared" si="11916"/>
        <v>0</v>
      </c>
      <c r="N2727" s="8">
        <f t="shared" si="11917"/>
        <v>0</v>
      </c>
      <c r="O2727" s="8">
        <f t="shared" si="11918"/>
        <v>0</v>
      </c>
      <c r="P2727" s="8" t="e">
        <v>#NUM!</v>
      </c>
      <c r="Q2727" s="8" t="e">
        <f t="shared" ref="Q2727" si="11949">IF(COUNTIF(P2718:P2728,"&lt;"&amp;-0.001)=0,IF(ABS(P2727)&lt;0.001,0,P2727)," ")</f>
        <v>#NUM!</v>
      </c>
      <c r="R2727" s="8"/>
      <c r="S2727" s="8"/>
      <c r="U2727" s="34"/>
      <c r="V2727" s="34"/>
      <c r="W2727" s="34"/>
      <c r="X2727" s="34"/>
      <c r="Y2727" s="34"/>
      <c r="Z2727" s="34"/>
      <c r="AA2727" s="34"/>
      <c r="AB2727" s="34"/>
      <c r="AC2727" s="34"/>
      <c r="AD2727" s="34"/>
      <c r="AE2727" s="34"/>
      <c r="AF2727" s="34"/>
      <c r="AG2727" s="34"/>
      <c r="AH2727" s="34"/>
      <c r="AI2727" s="34"/>
      <c r="AJ2727" s="34"/>
      <c r="AK2727" s="34"/>
      <c r="AL2727" s="34"/>
      <c r="AM2727" s="34"/>
      <c r="AN2727" s="34"/>
      <c r="AO2727" s="34"/>
      <c r="AP2727" s="34"/>
      <c r="AQ2727" s="34"/>
      <c r="AR2727" s="34"/>
      <c r="AS2727" s="34"/>
      <c r="AT2727" s="34"/>
      <c r="AU2727" s="34"/>
      <c r="AV2727" s="34"/>
      <c r="AW2727" s="34"/>
      <c r="AX2727" s="34"/>
      <c r="AY2727" s="34"/>
      <c r="AZ2727" s="34"/>
      <c r="BA2727" s="34"/>
      <c r="BB2727" s="34"/>
      <c r="BC2727" s="34"/>
      <c r="BD2727" s="34"/>
      <c r="BE2727" s="34"/>
      <c r="BF2727" s="34"/>
      <c r="BG2727" s="34"/>
      <c r="BH2727" s="34"/>
      <c r="BI2727" s="34"/>
      <c r="BJ2727" s="34"/>
      <c r="BK2727" s="34"/>
      <c r="BL2727" s="34"/>
      <c r="BM2727" s="34"/>
      <c r="BN2727" s="34"/>
      <c r="BO2727" s="34"/>
      <c r="BP2727" s="34"/>
      <c r="BQ2727" s="34"/>
      <c r="BR2727" s="34"/>
      <c r="BS2727" s="34"/>
      <c r="BT2727" s="34"/>
      <c r="BU2727" s="34"/>
      <c r="BV2727" s="34"/>
      <c r="BW2727" s="34"/>
      <c r="BX2727" s="34"/>
      <c r="BY2727" s="34"/>
      <c r="BZ2727" s="34"/>
      <c r="CA2727" s="34"/>
      <c r="CB2727" s="34"/>
      <c r="CC2727" s="34"/>
      <c r="CD2727" s="34"/>
      <c r="CE2727" s="34"/>
      <c r="CF2727" s="34"/>
      <c r="CG2727" s="34"/>
      <c r="CH2727" s="34"/>
    </row>
    <row r="2728" spans="1:86" x14ac:dyDescent="0.2">
      <c r="A2728" s="8" t="str">
        <f>IF(AND(COUNTIF(W$3:W$13,A$25)&gt;0,A$25&lt;&gt;B2578),A$25,IFERROR(IF(MATCH(A$25,Z$3:Z$13,0)=7,A$25," ")," "))</f>
        <v xml:space="preserve"> </v>
      </c>
      <c r="B2728" s="8" t="str">
        <f>IF(A2728=" "," ",MAX(B2718:B2727)+1)</f>
        <v xml:space="preserve"> </v>
      </c>
      <c r="C2728" s="8" t="str">
        <f>IFERROR(INDEX(A2718:A2739,MATCH(SMALL(B2718:B2739,11),B2718:B2739,0),1)," ")</f>
        <v>C21</v>
      </c>
      <c r="D2728" s="8">
        <f t="shared" si="11907"/>
        <v>0</v>
      </c>
      <c r="E2728" s="8">
        <f t="shared" si="11908"/>
        <v>0</v>
      </c>
      <c r="F2728" s="8">
        <f t="shared" si="11909"/>
        <v>0</v>
      </c>
      <c r="G2728" s="8">
        <f t="shared" si="11910"/>
        <v>0</v>
      </c>
      <c r="H2728" s="8">
        <f t="shared" si="11911"/>
        <v>0</v>
      </c>
      <c r="I2728" s="8">
        <f t="shared" si="11912"/>
        <v>0</v>
      </c>
      <c r="J2728" s="8">
        <f t="shared" si="11913"/>
        <v>0</v>
      </c>
      <c r="K2728" s="8">
        <f t="shared" si="11914"/>
        <v>0</v>
      </c>
      <c r="L2728" s="8">
        <f t="shared" si="11915"/>
        <v>0</v>
      </c>
      <c r="M2728" s="8">
        <f t="shared" si="11916"/>
        <v>1</v>
      </c>
      <c r="N2728" s="8">
        <f t="shared" si="11917"/>
        <v>0</v>
      </c>
      <c r="O2728" s="8">
        <f t="shared" si="11918"/>
        <v>0</v>
      </c>
      <c r="P2728" s="8" t="e">
        <v>#NUM!</v>
      </c>
      <c r="Q2728" s="8" t="e">
        <f t="shared" ref="Q2728" si="11950">IF(COUNTIF(P2718:P2728,"&lt;"&amp;-0.001)=0,IF(ABS(P2728)&lt;0.001,0,P2728)," ")</f>
        <v>#NUM!</v>
      </c>
      <c r="R2728" s="8"/>
      <c r="S2728" s="8"/>
      <c r="U2728" s="34"/>
      <c r="V2728" s="34"/>
      <c r="W2728" s="34"/>
      <c r="X2728" s="34"/>
      <c r="Y2728" s="34"/>
      <c r="Z2728" s="34"/>
      <c r="AA2728" s="34"/>
      <c r="AB2728" s="34"/>
      <c r="AC2728" s="34"/>
      <c r="AD2728" s="34"/>
      <c r="AE2728" s="34"/>
      <c r="AF2728" s="34"/>
      <c r="AG2728" s="34"/>
      <c r="AH2728" s="34"/>
      <c r="AI2728" s="34"/>
      <c r="AJ2728" s="34"/>
      <c r="AK2728" s="34"/>
      <c r="AL2728" s="34"/>
      <c r="AM2728" s="34"/>
      <c r="AN2728" s="34"/>
      <c r="AO2728" s="34"/>
      <c r="AP2728" s="34"/>
      <c r="AQ2728" s="34"/>
      <c r="AR2728" s="34"/>
      <c r="AS2728" s="34"/>
      <c r="AT2728" s="34"/>
      <c r="AU2728" s="34"/>
      <c r="AV2728" s="34"/>
      <c r="AW2728" s="34"/>
      <c r="AX2728" s="34"/>
      <c r="AY2728" s="34"/>
      <c r="AZ2728" s="34"/>
      <c r="BA2728" s="34"/>
      <c r="BB2728" s="34"/>
      <c r="BC2728" s="34"/>
      <c r="BD2728" s="34"/>
      <c r="BE2728" s="34"/>
      <c r="BF2728" s="34"/>
      <c r="BG2728" s="34"/>
      <c r="BH2728" s="34"/>
      <c r="BI2728" s="34"/>
      <c r="BJ2728" s="34"/>
      <c r="BK2728" s="34"/>
      <c r="BL2728" s="34"/>
      <c r="BM2728" s="34"/>
      <c r="BN2728" s="34"/>
      <c r="BO2728" s="34"/>
      <c r="BP2728" s="34"/>
      <c r="BQ2728" s="34"/>
      <c r="BR2728" s="34"/>
      <c r="BS2728" s="34"/>
      <c r="BT2728" s="34"/>
      <c r="BU2728" s="34"/>
      <c r="BV2728" s="34"/>
      <c r="BW2728" s="34"/>
      <c r="BX2728" s="34"/>
      <c r="BY2728" s="34"/>
      <c r="BZ2728" s="34"/>
      <c r="CA2728" s="34"/>
      <c r="CB2728" s="34"/>
      <c r="CC2728" s="34"/>
      <c r="CD2728" s="34"/>
      <c r="CE2728" s="34"/>
      <c r="CF2728" s="34"/>
      <c r="CG2728" s="34"/>
      <c r="CH2728" s="34"/>
    </row>
    <row r="2729" spans="1:86" x14ac:dyDescent="0.2">
      <c r="A2729" s="8" t="str">
        <f>IF(AND(COUNTIF(W$3:W$13,A$26)&gt;0,A$26&lt;&gt;B2578),A$26,IFERROR(IF(MATCH(A$26,Z$3:Z$13,0)=7,A$26," ")," "))</f>
        <v xml:space="preserve"> </v>
      </c>
      <c r="B2729" s="8" t="str">
        <f>IF(A2729=" "," ",MAX(B2718:B2728)+1)</f>
        <v xml:space="preserve"> </v>
      </c>
      <c r="C2729" s="8"/>
      <c r="D2729" s="8"/>
      <c r="E2729" s="8"/>
      <c r="F2729" s="8"/>
      <c r="G2729" s="8"/>
      <c r="H2729" s="8"/>
      <c r="I2729" s="8"/>
      <c r="J2729" s="8"/>
      <c r="K2729" s="8"/>
      <c r="L2729" s="8"/>
      <c r="M2729" s="8"/>
      <c r="N2729" s="8"/>
      <c r="O2729" s="8"/>
      <c r="P2729" s="8"/>
      <c r="Q2729" s="8"/>
      <c r="R2729" s="8"/>
      <c r="S2729" s="8"/>
      <c r="U2729" s="34"/>
      <c r="V2729" s="34"/>
      <c r="W2729" s="34"/>
      <c r="X2729" s="34"/>
      <c r="Y2729" s="34"/>
      <c r="Z2729" s="34"/>
      <c r="AA2729" s="34"/>
      <c r="AB2729" s="34"/>
      <c r="AC2729" s="34"/>
      <c r="AD2729" s="34"/>
      <c r="AE2729" s="34"/>
      <c r="AF2729" s="34"/>
      <c r="AG2729" s="34"/>
      <c r="AH2729" s="34"/>
      <c r="AI2729" s="34"/>
      <c r="AJ2729" s="34"/>
      <c r="AK2729" s="34"/>
      <c r="AL2729" s="34"/>
      <c r="AM2729" s="34"/>
      <c r="AN2729" s="34"/>
      <c r="AO2729" s="34"/>
      <c r="AP2729" s="34"/>
      <c r="AQ2729" s="34"/>
      <c r="AR2729" s="34"/>
      <c r="AS2729" s="34"/>
      <c r="AT2729" s="34"/>
      <c r="AU2729" s="34"/>
      <c r="AV2729" s="34"/>
      <c r="AW2729" s="34"/>
      <c r="AX2729" s="34"/>
      <c r="AY2729" s="34"/>
      <c r="AZ2729" s="34"/>
      <c r="BA2729" s="34"/>
      <c r="BB2729" s="34"/>
      <c r="BC2729" s="34"/>
      <c r="BD2729" s="34"/>
      <c r="BE2729" s="34"/>
      <c r="BF2729" s="34"/>
      <c r="BG2729" s="34"/>
      <c r="BH2729" s="34"/>
      <c r="BI2729" s="34"/>
      <c r="BJ2729" s="34"/>
      <c r="BK2729" s="34"/>
      <c r="BL2729" s="34"/>
      <c r="BM2729" s="34"/>
      <c r="BN2729" s="34"/>
      <c r="BO2729" s="34"/>
      <c r="BP2729" s="34"/>
      <c r="BQ2729" s="34"/>
      <c r="BR2729" s="34"/>
      <c r="BS2729" s="34"/>
      <c r="BT2729" s="34"/>
      <c r="BU2729" s="34"/>
      <c r="BV2729" s="34"/>
      <c r="BW2729" s="34"/>
      <c r="BX2729" s="34"/>
      <c r="BY2729" s="34"/>
      <c r="BZ2729" s="34"/>
      <c r="CA2729" s="34"/>
      <c r="CB2729" s="34"/>
      <c r="CC2729" s="34"/>
      <c r="CD2729" s="34"/>
      <c r="CE2729" s="34"/>
      <c r="CF2729" s="34"/>
      <c r="CG2729" s="34"/>
      <c r="CH2729" s="34"/>
    </row>
    <row r="2730" spans="1:86" x14ac:dyDescent="0.2">
      <c r="A2730" s="8" t="str">
        <f>IF(AND(COUNTIF(W$3:W$13,A$27)&gt;0,A$27&lt;&gt;B2578),A$27,IFERROR(IF(MATCH(A$27,Z$3:Z$13,0)=7,A$27," ")," "))</f>
        <v>C13</v>
      </c>
      <c r="B2730" s="8">
        <f>IF(A2730=" "," ",MAX(B2718:B2729)+1)</f>
        <v>4</v>
      </c>
      <c r="C2730" s="8"/>
      <c r="D2730" s="8"/>
      <c r="E2730" s="8"/>
      <c r="F2730" s="8"/>
      <c r="G2730" s="8"/>
      <c r="H2730" s="8"/>
      <c r="I2730" s="8"/>
      <c r="J2730" s="8"/>
      <c r="K2730" s="8"/>
      <c r="L2730" s="8"/>
      <c r="M2730" s="8"/>
      <c r="N2730" s="8"/>
      <c r="O2730" s="8"/>
      <c r="P2730" s="8"/>
      <c r="Q2730" s="8"/>
      <c r="R2730" s="8"/>
      <c r="S2730" s="8"/>
      <c r="U2730" s="34"/>
      <c r="V2730" s="34"/>
      <c r="W2730" s="34"/>
      <c r="X2730" s="34"/>
      <c r="Y2730" s="34"/>
      <c r="Z2730" s="34"/>
      <c r="AA2730" s="34"/>
      <c r="AB2730" s="34"/>
      <c r="AC2730" s="34"/>
      <c r="AD2730" s="34"/>
      <c r="AE2730" s="34"/>
      <c r="AF2730" s="34"/>
      <c r="AG2730" s="34"/>
      <c r="AH2730" s="34"/>
      <c r="AI2730" s="34"/>
      <c r="AJ2730" s="34"/>
      <c r="AK2730" s="34"/>
      <c r="AL2730" s="34"/>
      <c r="AM2730" s="34"/>
      <c r="AN2730" s="34"/>
      <c r="AO2730" s="34"/>
      <c r="AP2730" s="34"/>
      <c r="AQ2730" s="34"/>
      <c r="AR2730" s="34"/>
      <c r="AS2730" s="34"/>
      <c r="AT2730" s="34"/>
      <c r="AU2730" s="34"/>
      <c r="AV2730" s="34"/>
      <c r="AW2730" s="34"/>
      <c r="AX2730" s="34"/>
      <c r="AY2730" s="34"/>
      <c r="AZ2730" s="34"/>
      <c r="BA2730" s="34"/>
      <c r="BB2730" s="34"/>
      <c r="BC2730" s="34"/>
      <c r="BD2730" s="34"/>
      <c r="BE2730" s="34"/>
      <c r="BF2730" s="34"/>
      <c r="BG2730" s="34"/>
      <c r="BH2730" s="34"/>
      <c r="BI2730" s="34"/>
      <c r="BJ2730" s="34"/>
      <c r="BK2730" s="34"/>
      <c r="BL2730" s="34"/>
      <c r="BM2730" s="34"/>
      <c r="BN2730" s="34"/>
      <c r="BO2730" s="34"/>
      <c r="BP2730" s="34"/>
      <c r="BQ2730" s="34"/>
      <c r="BR2730" s="34"/>
      <c r="BS2730" s="34"/>
      <c r="BT2730" s="34"/>
      <c r="BU2730" s="34"/>
      <c r="BV2730" s="34"/>
      <c r="BW2730" s="34"/>
      <c r="BX2730" s="34"/>
      <c r="BY2730" s="34"/>
      <c r="BZ2730" s="34"/>
      <c r="CA2730" s="34"/>
      <c r="CB2730" s="34"/>
      <c r="CC2730" s="34"/>
      <c r="CD2730" s="34"/>
      <c r="CE2730" s="34"/>
      <c r="CF2730" s="34"/>
      <c r="CG2730" s="34"/>
      <c r="CH2730" s="34"/>
    </row>
    <row r="2731" spans="1:86" x14ac:dyDescent="0.2">
      <c r="A2731" s="8" t="str">
        <f>IF(AND(COUNTIF(W$3:W$13,A$28)&gt;0,A$28&lt;&gt;B2578),A$28,IFERROR(IF(MATCH(A$28,Z$3:Z$13,0)=7,A$28," ")," "))</f>
        <v xml:space="preserve"> </v>
      </c>
      <c r="B2731" s="8" t="str">
        <f>IF(A2731=" "," ",MAX(B2718:B2730)+1)</f>
        <v xml:space="preserve"> </v>
      </c>
      <c r="C2731" s="8"/>
      <c r="D2731" s="8"/>
      <c r="E2731" s="8"/>
      <c r="F2731" s="8"/>
      <c r="G2731" s="8"/>
      <c r="H2731" s="8"/>
      <c r="I2731" s="8"/>
      <c r="J2731" s="8"/>
      <c r="K2731" s="8"/>
      <c r="L2731" s="8"/>
      <c r="M2731" s="8"/>
      <c r="N2731" s="8"/>
      <c r="O2731" s="8"/>
      <c r="P2731" s="8"/>
      <c r="Q2731" s="8"/>
      <c r="R2731" s="8"/>
      <c r="S2731" s="8"/>
      <c r="U2731" s="34"/>
      <c r="V2731" s="34"/>
      <c r="W2731" s="34"/>
      <c r="X2731" s="34"/>
      <c r="Y2731" s="34"/>
      <c r="Z2731" s="34"/>
      <c r="AA2731" s="34"/>
      <c r="AB2731" s="34"/>
      <c r="AC2731" s="34"/>
      <c r="AD2731" s="34"/>
      <c r="AE2731" s="34"/>
      <c r="AF2731" s="34"/>
      <c r="AG2731" s="34"/>
      <c r="AH2731" s="34"/>
      <c r="AI2731" s="34"/>
      <c r="AJ2731" s="34"/>
      <c r="AK2731" s="34"/>
      <c r="AL2731" s="34"/>
      <c r="AM2731" s="34"/>
      <c r="AN2731" s="34"/>
      <c r="AO2731" s="34"/>
      <c r="AP2731" s="34"/>
      <c r="AQ2731" s="34"/>
      <c r="AR2731" s="34"/>
      <c r="AS2731" s="34"/>
      <c r="AT2731" s="34"/>
      <c r="AU2731" s="34"/>
      <c r="AV2731" s="34"/>
      <c r="AW2731" s="34"/>
      <c r="AX2731" s="34"/>
      <c r="AY2731" s="34"/>
      <c r="AZ2731" s="34"/>
      <c r="BA2731" s="34"/>
      <c r="BB2731" s="34"/>
      <c r="BC2731" s="34"/>
      <c r="BD2731" s="34"/>
      <c r="BE2731" s="34"/>
      <c r="BF2731" s="34"/>
      <c r="BG2731" s="34"/>
      <c r="BH2731" s="34"/>
      <c r="BI2731" s="34"/>
      <c r="BJ2731" s="34"/>
      <c r="BK2731" s="34"/>
      <c r="BL2731" s="34"/>
      <c r="BM2731" s="34"/>
      <c r="BN2731" s="34"/>
      <c r="BO2731" s="34"/>
      <c r="BP2731" s="34"/>
      <c r="BQ2731" s="34"/>
      <c r="BR2731" s="34"/>
      <c r="BS2731" s="34"/>
      <c r="BT2731" s="34"/>
      <c r="BU2731" s="34"/>
      <c r="BV2731" s="34"/>
      <c r="BW2731" s="34"/>
      <c r="BX2731" s="34"/>
      <c r="BY2731" s="34"/>
      <c r="BZ2731" s="34"/>
      <c r="CA2731" s="34"/>
      <c r="CB2731" s="34"/>
      <c r="CC2731" s="34"/>
      <c r="CD2731" s="34"/>
      <c r="CE2731" s="34"/>
      <c r="CF2731" s="34"/>
      <c r="CG2731" s="34"/>
      <c r="CH2731" s="34"/>
    </row>
    <row r="2732" spans="1:86" x14ac:dyDescent="0.2">
      <c r="A2732" s="8" t="str">
        <f>IF(AND(COUNTIF(W$3:W$13,A$29)&gt;0,A$29&lt;&gt;B2578),A$29,IFERROR(IF(MATCH(A$29,Z$3:Z$13,0)=7,A$29," ")," "))</f>
        <v>C15</v>
      </c>
      <c r="B2732" s="8">
        <f>IF(A2732=" "," ",MAX(B2718:B2731)+1)</f>
        <v>5</v>
      </c>
      <c r="C2732" s="8"/>
      <c r="D2732" s="8"/>
      <c r="E2732" s="8"/>
      <c r="F2732" s="8"/>
      <c r="G2732" s="8"/>
      <c r="H2732" s="8"/>
      <c r="I2732" s="8"/>
      <c r="J2732" s="8"/>
      <c r="K2732" s="8"/>
      <c r="L2732" s="8"/>
      <c r="M2732" s="8"/>
      <c r="N2732" s="8"/>
      <c r="O2732" s="8"/>
      <c r="P2732" s="8"/>
      <c r="Q2732" s="8"/>
      <c r="R2732" s="8"/>
      <c r="S2732" s="8"/>
      <c r="U2732" s="34"/>
      <c r="V2732" s="34"/>
      <c r="W2732" s="34"/>
      <c r="X2732" s="34"/>
      <c r="Y2732" s="34"/>
      <c r="Z2732" s="34"/>
      <c r="AA2732" s="34"/>
      <c r="AB2732" s="34"/>
      <c r="AC2732" s="34"/>
      <c r="AD2732" s="34"/>
      <c r="AE2732" s="34"/>
      <c r="AF2732" s="34"/>
      <c r="AG2732" s="34"/>
      <c r="AH2732" s="34"/>
      <c r="AI2732" s="34"/>
      <c r="AJ2732" s="34"/>
      <c r="AK2732" s="34"/>
      <c r="AL2732" s="34"/>
      <c r="AM2732" s="34"/>
      <c r="AN2732" s="34"/>
      <c r="AO2732" s="34"/>
      <c r="AP2732" s="34"/>
      <c r="AQ2732" s="34"/>
      <c r="AR2732" s="34"/>
      <c r="AS2732" s="34"/>
      <c r="AT2732" s="34"/>
      <c r="AU2732" s="34"/>
      <c r="AV2732" s="34"/>
      <c r="AW2732" s="34"/>
      <c r="AX2732" s="34"/>
      <c r="AY2732" s="34"/>
      <c r="AZ2732" s="34"/>
      <c r="BA2732" s="34"/>
      <c r="BB2732" s="34"/>
      <c r="BC2732" s="34"/>
      <c r="BD2732" s="34"/>
      <c r="BE2732" s="34"/>
      <c r="BF2732" s="34"/>
      <c r="BG2732" s="34"/>
      <c r="BH2732" s="34"/>
      <c r="BI2732" s="34"/>
      <c r="BJ2732" s="34"/>
      <c r="BK2732" s="34"/>
      <c r="BL2732" s="34"/>
      <c r="BM2732" s="34"/>
      <c r="BN2732" s="34"/>
      <c r="BO2732" s="34"/>
      <c r="BP2732" s="34"/>
      <c r="BQ2732" s="34"/>
      <c r="BR2732" s="34"/>
      <c r="BS2732" s="34"/>
      <c r="BT2732" s="34"/>
      <c r="BU2732" s="34"/>
      <c r="BV2732" s="34"/>
      <c r="BW2732" s="34"/>
      <c r="BX2732" s="34"/>
      <c r="BY2732" s="34"/>
      <c r="BZ2732" s="34"/>
      <c r="CA2732" s="34"/>
      <c r="CB2732" s="34"/>
      <c r="CC2732" s="34"/>
      <c r="CD2732" s="34"/>
      <c r="CE2732" s="34"/>
      <c r="CF2732" s="34"/>
      <c r="CG2732" s="34"/>
      <c r="CH2732" s="34"/>
    </row>
    <row r="2733" spans="1:86" x14ac:dyDescent="0.2">
      <c r="A2733" s="8" t="str">
        <f>IF(AND(COUNTIF(W$3:W$13,A$30)&gt;0,A$30&lt;&gt;B2578),A$30,IFERROR(IF(MATCH(A$30,Z$3:Z$13,0)=7,A$30," ")," "))</f>
        <v>C16</v>
      </c>
      <c r="B2733" s="8">
        <f>IF(A2733=" "," ",MAX(B2718:B2732)+1)</f>
        <v>6</v>
      </c>
      <c r="C2733" s="8"/>
      <c r="D2733" s="8"/>
      <c r="E2733" s="8"/>
      <c r="F2733" s="8"/>
      <c r="G2733" s="8"/>
      <c r="H2733" s="8"/>
      <c r="I2733" s="8"/>
      <c r="J2733" s="8"/>
      <c r="K2733" s="8"/>
      <c r="L2733" s="8"/>
      <c r="M2733" s="8"/>
      <c r="N2733" s="8"/>
      <c r="O2733" s="8"/>
      <c r="P2733" s="8"/>
      <c r="Q2733" s="8"/>
      <c r="R2733" s="8"/>
      <c r="S2733" s="8"/>
      <c r="U2733" s="34"/>
      <c r="V2733" s="34"/>
      <c r="W2733" s="34"/>
      <c r="X2733" s="34"/>
      <c r="Y2733" s="34"/>
      <c r="Z2733" s="34"/>
      <c r="AA2733" s="34"/>
      <c r="AB2733" s="34"/>
      <c r="AC2733" s="34"/>
      <c r="AD2733" s="34"/>
      <c r="AE2733" s="34"/>
      <c r="AF2733" s="34"/>
      <c r="AG2733" s="34"/>
      <c r="AH2733" s="34"/>
      <c r="AI2733" s="34"/>
      <c r="AJ2733" s="34"/>
      <c r="AK2733" s="34"/>
      <c r="AL2733" s="34"/>
      <c r="AM2733" s="34"/>
      <c r="AN2733" s="34"/>
      <c r="AO2733" s="34"/>
      <c r="AP2733" s="34"/>
      <c r="AQ2733" s="34"/>
      <c r="AR2733" s="34"/>
      <c r="AS2733" s="34"/>
      <c r="AT2733" s="34"/>
      <c r="AU2733" s="34"/>
      <c r="AV2733" s="34"/>
      <c r="AW2733" s="34"/>
      <c r="AX2733" s="34"/>
      <c r="AY2733" s="34"/>
      <c r="AZ2733" s="34"/>
      <c r="BA2733" s="34"/>
      <c r="BB2733" s="34"/>
      <c r="BC2733" s="34"/>
      <c r="BD2733" s="34"/>
      <c r="BE2733" s="34"/>
      <c r="BF2733" s="34"/>
      <c r="BG2733" s="34"/>
      <c r="BH2733" s="34"/>
      <c r="BI2733" s="34"/>
      <c r="BJ2733" s="34"/>
      <c r="BK2733" s="34"/>
      <c r="BL2733" s="34"/>
      <c r="BM2733" s="34"/>
      <c r="BN2733" s="34"/>
      <c r="BO2733" s="34"/>
      <c r="BP2733" s="34"/>
      <c r="BQ2733" s="34"/>
      <c r="BR2733" s="34"/>
      <c r="BS2733" s="34"/>
      <c r="BT2733" s="34"/>
      <c r="BU2733" s="34"/>
      <c r="BV2733" s="34"/>
      <c r="BW2733" s="34"/>
      <c r="BX2733" s="34"/>
      <c r="BY2733" s="34"/>
      <c r="BZ2733" s="34"/>
      <c r="CA2733" s="34"/>
      <c r="CB2733" s="34"/>
      <c r="CC2733" s="34"/>
      <c r="CD2733" s="34"/>
      <c r="CE2733" s="34"/>
      <c r="CF2733" s="34"/>
      <c r="CG2733" s="34"/>
      <c r="CH2733" s="34"/>
    </row>
    <row r="2734" spans="1:86" x14ac:dyDescent="0.2">
      <c r="A2734" s="8" t="str">
        <f>IF(AND(COUNTIF(W$3:W$13,A$31)&gt;0,A$31&lt;&gt;B2578),A$31,IFERROR(IF(MATCH(A$31,Z$3:Z$13,0)=7,A$31," ")," "))</f>
        <v>C17</v>
      </c>
      <c r="B2734" s="8">
        <f>IF(A2734=" "," ",MAX(B2718:B2733)+1)</f>
        <v>7</v>
      </c>
      <c r="C2734" s="8"/>
      <c r="D2734" s="8"/>
      <c r="E2734" s="8"/>
      <c r="F2734" s="8"/>
      <c r="G2734" s="8"/>
      <c r="H2734" s="8"/>
      <c r="I2734" s="8"/>
      <c r="J2734" s="8"/>
      <c r="K2734" s="8"/>
      <c r="L2734" s="8"/>
      <c r="M2734" s="8"/>
      <c r="N2734" s="8"/>
      <c r="O2734" s="8"/>
      <c r="P2734" s="8"/>
      <c r="Q2734" s="8"/>
      <c r="R2734" s="8"/>
      <c r="S2734" s="8"/>
      <c r="U2734" s="34"/>
      <c r="V2734" s="34"/>
      <c r="W2734" s="34"/>
      <c r="X2734" s="34"/>
      <c r="Y2734" s="34"/>
      <c r="Z2734" s="34"/>
      <c r="AA2734" s="34"/>
      <c r="AB2734" s="34"/>
      <c r="AC2734" s="34"/>
      <c r="AD2734" s="34"/>
      <c r="AE2734" s="34"/>
      <c r="AF2734" s="34"/>
      <c r="AG2734" s="34"/>
      <c r="AH2734" s="34"/>
      <c r="AI2734" s="34"/>
      <c r="AJ2734" s="34"/>
      <c r="AK2734" s="34"/>
      <c r="AL2734" s="34"/>
      <c r="AM2734" s="34"/>
      <c r="AN2734" s="34"/>
      <c r="AO2734" s="34"/>
      <c r="AP2734" s="34"/>
      <c r="AQ2734" s="34"/>
      <c r="AR2734" s="34"/>
      <c r="AS2734" s="34"/>
      <c r="AT2734" s="34"/>
      <c r="AU2734" s="34"/>
      <c r="AV2734" s="34"/>
      <c r="AW2734" s="34"/>
      <c r="AX2734" s="34"/>
      <c r="AY2734" s="34"/>
      <c r="AZ2734" s="34"/>
      <c r="BA2734" s="34"/>
      <c r="BB2734" s="34"/>
      <c r="BC2734" s="34"/>
      <c r="BD2734" s="34"/>
      <c r="BE2734" s="34"/>
      <c r="BF2734" s="34"/>
      <c r="BG2734" s="34"/>
      <c r="BH2734" s="34"/>
      <c r="BI2734" s="34"/>
      <c r="BJ2734" s="34"/>
      <c r="BK2734" s="34"/>
      <c r="BL2734" s="34"/>
      <c r="BM2734" s="34"/>
      <c r="BN2734" s="34"/>
      <c r="BO2734" s="34"/>
      <c r="BP2734" s="34"/>
      <c r="BQ2734" s="34"/>
      <c r="BR2734" s="34"/>
      <c r="BS2734" s="34"/>
      <c r="BT2734" s="34"/>
      <c r="BU2734" s="34"/>
      <c r="BV2734" s="34"/>
      <c r="BW2734" s="34"/>
      <c r="BX2734" s="34"/>
      <c r="BY2734" s="34"/>
      <c r="BZ2734" s="34"/>
      <c r="CA2734" s="34"/>
      <c r="CB2734" s="34"/>
      <c r="CC2734" s="34"/>
      <c r="CD2734" s="34"/>
      <c r="CE2734" s="34"/>
      <c r="CF2734" s="34"/>
      <c r="CG2734" s="34"/>
      <c r="CH2734" s="34"/>
    </row>
    <row r="2735" spans="1:86" x14ac:dyDescent="0.2">
      <c r="A2735" s="8" t="str">
        <f>IF(AND(COUNTIF(W$3:W$13,A$32)&gt;0,A$32&lt;&gt;B2578),A$32,IFERROR(IF(MATCH(A$32,Z$3:Z$13,0)=7,A$32," ")," "))</f>
        <v>C18</v>
      </c>
      <c r="B2735" s="8">
        <f>IF(A2735=" "," ",MAX(B2718:B2734)+1)</f>
        <v>8</v>
      </c>
      <c r="C2735" s="8"/>
      <c r="D2735" s="8"/>
      <c r="E2735" s="8"/>
      <c r="F2735" s="8"/>
      <c r="G2735" s="8"/>
      <c r="H2735" s="8"/>
      <c r="I2735" s="8"/>
      <c r="J2735" s="8"/>
      <c r="K2735" s="8"/>
      <c r="L2735" s="8"/>
      <c r="M2735" s="8"/>
      <c r="N2735" s="8"/>
      <c r="O2735" s="8"/>
      <c r="P2735" s="8"/>
      <c r="Q2735" s="8"/>
      <c r="R2735" s="8"/>
      <c r="S2735" s="8"/>
      <c r="U2735" s="34"/>
      <c r="V2735" s="34"/>
      <c r="W2735" s="34"/>
      <c r="X2735" s="34"/>
      <c r="Y2735" s="34"/>
      <c r="Z2735" s="34"/>
      <c r="AA2735" s="34"/>
      <c r="AB2735" s="34"/>
      <c r="AC2735" s="34"/>
      <c r="AD2735" s="34"/>
      <c r="AE2735" s="34"/>
      <c r="AF2735" s="34"/>
      <c r="AG2735" s="34"/>
      <c r="AH2735" s="34"/>
      <c r="AI2735" s="34"/>
      <c r="AJ2735" s="34"/>
      <c r="AK2735" s="34"/>
      <c r="AL2735" s="34"/>
      <c r="AM2735" s="34"/>
      <c r="AN2735" s="34"/>
      <c r="AO2735" s="34"/>
      <c r="AP2735" s="34"/>
      <c r="AQ2735" s="34"/>
      <c r="AR2735" s="34"/>
      <c r="AS2735" s="34"/>
      <c r="AT2735" s="34"/>
      <c r="AU2735" s="34"/>
      <c r="AV2735" s="34"/>
      <c r="AW2735" s="34"/>
      <c r="AX2735" s="34"/>
      <c r="AY2735" s="34"/>
      <c r="AZ2735" s="34"/>
      <c r="BA2735" s="34"/>
      <c r="BB2735" s="34"/>
      <c r="BC2735" s="34"/>
      <c r="BD2735" s="34"/>
      <c r="BE2735" s="34"/>
      <c r="BF2735" s="34"/>
      <c r="BG2735" s="34"/>
      <c r="BH2735" s="34"/>
      <c r="BI2735" s="34"/>
      <c r="BJ2735" s="34"/>
      <c r="BK2735" s="34"/>
      <c r="BL2735" s="34"/>
      <c r="BM2735" s="34"/>
      <c r="BN2735" s="34"/>
      <c r="BO2735" s="34"/>
      <c r="BP2735" s="34"/>
      <c r="BQ2735" s="34"/>
      <c r="BR2735" s="34"/>
      <c r="BS2735" s="34"/>
      <c r="BT2735" s="34"/>
      <c r="BU2735" s="34"/>
      <c r="BV2735" s="34"/>
      <c r="BW2735" s="34"/>
      <c r="BX2735" s="34"/>
      <c r="BY2735" s="34"/>
      <c r="BZ2735" s="34"/>
      <c r="CA2735" s="34"/>
      <c r="CB2735" s="34"/>
      <c r="CC2735" s="34"/>
      <c r="CD2735" s="34"/>
      <c r="CE2735" s="34"/>
      <c r="CF2735" s="34"/>
      <c r="CG2735" s="34"/>
      <c r="CH2735" s="34"/>
    </row>
    <row r="2736" spans="1:86" x14ac:dyDescent="0.2">
      <c r="A2736" s="8" t="str">
        <f>IF(AND(COUNTIF(W$3:W$13,A$33)&gt;0,A$33&lt;&gt;B2578),A$33,IFERROR(IF(MATCH(A$33,Z$3:Z$13,0)=7,A$33," ")," "))</f>
        <v>C19</v>
      </c>
      <c r="B2736" s="8">
        <f>IF(A2736=" "," ",MAX(B2718:B2735)+1)</f>
        <v>9</v>
      </c>
      <c r="C2736" s="8"/>
      <c r="D2736" s="8"/>
      <c r="E2736" s="8"/>
      <c r="F2736" s="8"/>
      <c r="G2736" s="8"/>
      <c r="H2736" s="8"/>
      <c r="I2736" s="8"/>
      <c r="J2736" s="8"/>
      <c r="K2736" s="8"/>
      <c r="L2736" s="8"/>
      <c r="M2736" s="8"/>
      <c r="N2736" s="8"/>
      <c r="O2736" s="8"/>
      <c r="P2736" s="8"/>
      <c r="Q2736" s="8"/>
      <c r="R2736" s="8"/>
      <c r="S2736" s="8"/>
      <c r="U2736" s="34"/>
      <c r="V2736" s="34"/>
      <c r="W2736" s="34"/>
      <c r="X2736" s="34"/>
      <c r="Y2736" s="34"/>
      <c r="Z2736" s="34"/>
      <c r="AA2736" s="34"/>
      <c r="AB2736" s="34"/>
      <c r="AC2736" s="34"/>
      <c r="AD2736" s="34"/>
      <c r="AE2736" s="34"/>
      <c r="AF2736" s="34"/>
      <c r="AG2736" s="34"/>
      <c r="AH2736" s="34"/>
      <c r="AI2736" s="34"/>
      <c r="AJ2736" s="34"/>
      <c r="AK2736" s="34"/>
      <c r="AL2736" s="34"/>
      <c r="AM2736" s="34"/>
      <c r="AN2736" s="34"/>
      <c r="AO2736" s="34"/>
      <c r="AP2736" s="34"/>
      <c r="AQ2736" s="34"/>
      <c r="AR2736" s="34"/>
      <c r="AS2736" s="34"/>
      <c r="AT2736" s="34"/>
      <c r="AU2736" s="34"/>
      <c r="AV2736" s="34"/>
      <c r="AW2736" s="34"/>
      <c r="AX2736" s="34"/>
      <c r="AY2736" s="34"/>
      <c r="AZ2736" s="34"/>
      <c r="BA2736" s="34"/>
      <c r="BB2736" s="34"/>
      <c r="BC2736" s="34"/>
      <c r="BD2736" s="34"/>
      <c r="BE2736" s="34"/>
      <c r="BF2736" s="34"/>
      <c r="BG2736" s="34"/>
      <c r="BH2736" s="34"/>
      <c r="BI2736" s="34"/>
      <c r="BJ2736" s="34"/>
      <c r="BK2736" s="34"/>
      <c r="BL2736" s="34"/>
      <c r="BM2736" s="34"/>
      <c r="BN2736" s="34"/>
      <c r="BO2736" s="34"/>
      <c r="BP2736" s="34"/>
      <c r="BQ2736" s="34"/>
      <c r="BR2736" s="34"/>
      <c r="BS2736" s="34"/>
      <c r="BT2736" s="34"/>
      <c r="BU2736" s="34"/>
      <c r="BV2736" s="34"/>
      <c r="BW2736" s="34"/>
      <c r="BX2736" s="34"/>
      <c r="BY2736" s="34"/>
      <c r="BZ2736" s="34"/>
      <c r="CA2736" s="34"/>
      <c r="CB2736" s="34"/>
      <c r="CC2736" s="34"/>
      <c r="CD2736" s="34"/>
      <c r="CE2736" s="34"/>
      <c r="CF2736" s="34"/>
      <c r="CG2736" s="34"/>
      <c r="CH2736" s="34"/>
    </row>
    <row r="2737" spans="1:86" x14ac:dyDescent="0.2">
      <c r="A2737" s="8" t="str">
        <f>IF(AND(COUNTIF(W$3:W$13,A$34)&gt;0,A$34&lt;&gt;B2578),A$34,IFERROR(IF(MATCH(A$34,Z$3:Z$13,0)=7,A$34," ")," "))</f>
        <v>C20</v>
      </c>
      <c r="B2737" s="8">
        <f>IF(A2737=" "," ",MAX(B2718:B2736)+1)</f>
        <v>10</v>
      </c>
      <c r="C2737" s="8"/>
      <c r="D2737" s="8"/>
      <c r="E2737" s="8"/>
      <c r="F2737" s="8"/>
      <c r="G2737" s="8"/>
      <c r="H2737" s="8"/>
      <c r="I2737" s="8"/>
      <c r="J2737" s="8"/>
      <c r="K2737" s="8"/>
      <c r="L2737" s="8"/>
      <c r="M2737" s="8"/>
      <c r="N2737" s="8"/>
      <c r="O2737" s="8"/>
      <c r="P2737" s="8"/>
      <c r="Q2737" s="8"/>
      <c r="R2737" s="8"/>
      <c r="S2737" s="8"/>
      <c r="U2737" s="34"/>
      <c r="V2737" s="34"/>
      <c r="W2737" s="34"/>
      <c r="X2737" s="34"/>
      <c r="Y2737" s="34"/>
      <c r="Z2737" s="34"/>
      <c r="AA2737" s="34"/>
      <c r="AB2737" s="34"/>
      <c r="AC2737" s="34"/>
      <c r="AD2737" s="34"/>
      <c r="AE2737" s="34"/>
      <c r="AF2737" s="34"/>
      <c r="AG2737" s="34"/>
      <c r="AH2737" s="34"/>
      <c r="AI2737" s="34"/>
      <c r="AJ2737" s="34"/>
      <c r="AK2737" s="34"/>
      <c r="AL2737" s="34"/>
      <c r="AM2737" s="34"/>
      <c r="AN2737" s="34"/>
      <c r="AO2737" s="34"/>
      <c r="AP2737" s="34"/>
      <c r="AQ2737" s="34"/>
      <c r="AR2737" s="34"/>
      <c r="AS2737" s="34"/>
      <c r="AT2737" s="34"/>
      <c r="AU2737" s="34"/>
      <c r="AV2737" s="34"/>
      <c r="AW2737" s="34"/>
      <c r="AX2737" s="34"/>
      <c r="AY2737" s="34"/>
      <c r="AZ2737" s="34"/>
      <c r="BA2737" s="34"/>
      <c r="BB2737" s="34"/>
      <c r="BC2737" s="34"/>
      <c r="BD2737" s="34"/>
      <c r="BE2737" s="34"/>
      <c r="BF2737" s="34"/>
      <c r="BG2737" s="34"/>
      <c r="BH2737" s="34"/>
      <c r="BI2737" s="34"/>
      <c r="BJ2737" s="34"/>
      <c r="BK2737" s="34"/>
      <c r="BL2737" s="34"/>
      <c r="BM2737" s="34"/>
      <c r="BN2737" s="34"/>
      <c r="BO2737" s="34"/>
      <c r="BP2737" s="34"/>
      <c r="BQ2737" s="34"/>
      <c r="BR2737" s="34"/>
      <c r="BS2737" s="34"/>
      <c r="BT2737" s="34"/>
      <c r="BU2737" s="34"/>
      <c r="BV2737" s="34"/>
      <c r="BW2737" s="34"/>
      <c r="BX2737" s="34"/>
      <c r="BY2737" s="34"/>
      <c r="BZ2737" s="34"/>
      <c r="CA2737" s="34"/>
      <c r="CB2737" s="34"/>
      <c r="CC2737" s="34"/>
      <c r="CD2737" s="34"/>
      <c r="CE2737" s="34"/>
      <c r="CF2737" s="34"/>
      <c r="CG2737" s="34"/>
      <c r="CH2737" s="34"/>
    </row>
    <row r="2738" spans="1:86" x14ac:dyDescent="0.2">
      <c r="A2738" s="8" t="str">
        <f>IF(AND(COUNTIF(W$3:W$13,A$35)&gt;0,A$35&lt;&gt;B2578),A$35,IFERROR(IF(MATCH(A$35,Z$3:Z$13,0)=7,A$35," ")," "))</f>
        <v>C21</v>
      </c>
      <c r="B2738" s="8">
        <f>IF(A2738=" "," ",MAX(B2718:B2737)+1)</f>
        <v>11</v>
      </c>
      <c r="C2738" s="8"/>
      <c r="D2738" s="8"/>
      <c r="E2738" s="8"/>
      <c r="F2738" s="8"/>
      <c r="G2738" s="8"/>
      <c r="H2738" s="8"/>
      <c r="I2738" s="8"/>
      <c r="J2738" s="8"/>
      <c r="K2738" s="8"/>
      <c r="L2738" s="8"/>
      <c r="M2738" s="8"/>
      <c r="N2738" s="8"/>
      <c r="O2738" s="8"/>
      <c r="P2738" s="8"/>
      <c r="Q2738" s="8"/>
      <c r="R2738" s="8"/>
      <c r="S2738" s="8"/>
      <c r="U2738" s="34"/>
      <c r="V2738" s="34"/>
      <c r="W2738" s="34"/>
      <c r="X2738" s="34"/>
      <c r="Y2738" s="34"/>
      <c r="Z2738" s="34"/>
      <c r="AA2738" s="34"/>
      <c r="AB2738" s="34"/>
      <c r="AC2738" s="34"/>
      <c r="AD2738" s="34"/>
      <c r="AE2738" s="34"/>
      <c r="AF2738" s="34"/>
      <c r="AG2738" s="34"/>
      <c r="AH2738" s="34"/>
      <c r="AI2738" s="34"/>
      <c r="AJ2738" s="34"/>
      <c r="AK2738" s="34"/>
      <c r="AL2738" s="34"/>
      <c r="AM2738" s="34"/>
      <c r="AN2738" s="34"/>
      <c r="AO2738" s="34"/>
      <c r="AP2738" s="34"/>
      <c r="AQ2738" s="34"/>
      <c r="AR2738" s="34"/>
      <c r="AS2738" s="34"/>
      <c r="AT2738" s="34"/>
      <c r="AU2738" s="34"/>
      <c r="AV2738" s="34"/>
      <c r="AW2738" s="34"/>
      <c r="AX2738" s="34"/>
      <c r="AY2738" s="34"/>
      <c r="AZ2738" s="34"/>
      <c r="BA2738" s="34"/>
      <c r="BB2738" s="34"/>
      <c r="BC2738" s="34"/>
      <c r="BD2738" s="34"/>
      <c r="BE2738" s="34"/>
      <c r="BF2738" s="34"/>
      <c r="BG2738" s="34"/>
      <c r="BH2738" s="34"/>
      <c r="BI2738" s="34"/>
      <c r="BJ2738" s="34"/>
      <c r="BK2738" s="34"/>
      <c r="BL2738" s="34"/>
      <c r="BM2738" s="34"/>
      <c r="BN2738" s="34"/>
      <c r="BO2738" s="34"/>
      <c r="BP2738" s="34"/>
      <c r="BQ2738" s="34"/>
      <c r="BR2738" s="34"/>
      <c r="BS2738" s="34"/>
      <c r="BT2738" s="34"/>
      <c r="BU2738" s="34"/>
      <c r="BV2738" s="34"/>
      <c r="BW2738" s="34"/>
      <c r="BX2738" s="34"/>
      <c r="BY2738" s="34"/>
      <c r="BZ2738" s="34"/>
      <c r="CA2738" s="34"/>
      <c r="CB2738" s="34"/>
      <c r="CC2738" s="34"/>
      <c r="CD2738" s="34"/>
      <c r="CE2738" s="34"/>
      <c r="CF2738" s="34"/>
      <c r="CG2738" s="34"/>
      <c r="CH2738" s="34"/>
    </row>
    <row r="2739" spans="1:86" x14ac:dyDescent="0.2">
      <c r="A2739" s="8" t="str">
        <f>IF(AND(COUNTIF(W$3:W$13,A$36)&gt;0,A$36&lt;&gt;B2578),A$36,IFERROR(IF(MATCH(A$36,Z$3:Z$13,0)=7,A$36," ")," "))</f>
        <v xml:space="preserve"> </v>
      </c>
      <c r="B2739" s="8" t="str">
        <f>IF(A2739=" "," ",MAX(B2718:B2738)+1)</f>
        <v xml:space="preserve"> </v>
      </c>
      <c r="C2739" s="8"/>
      <c r="D2739" s="8"/>
      <c r="E2739" s="8"/>
      <c r="F2739" s="8"/>
      <c r="G2739" s="8"/>
      <c r="H2739" s="8"/>
      <c r="I2739" s="8"/>
      <c r="J2739" s="8"/>
      <c r="K2739" s="8"/>
      <c r="L2739" s="8"/>
      <c r="M2739" s="8"/>
      <c r="N2739" s="8"/>
      <c r="O2739" s="8"/>
      <c r="P2739" s="8"/>
      <c r="Q2739" s="8"/>
      <c r="R2739" s="8"/>
      <c r="S2739" s="8"/>
      <c r="U2739" s="34"/>
      <c r="V2739" s="34"/>
      <c r="W2739" s="34"/>
      <c r="X2739" s="34"/>
      <c r="Y2739" s="34"/>
      <c r="Z2739" s="34"/>
      <c r="AA2739" s="34"/>
      <c r="AB2739" s="34"/>
      <c r="AC2739" s="34"/>
      <c r="AD2739" s="34"/>
      <c r="AE2739" s="34"/>
      <c r="AF2739" s="34"/>
      <c r="AG2739" s="34"/>
      <c r="AH2739" s="34"/>
      <c r="AI2739" s="34"/>
      <c r="AJ2739" s="34"/>
      <c r="AK2739" s="34"/>
      <c r="AL2739" s="34"/>
      <c r="AM2739" s="34"/>
      <c r="AN2739" s="34"/>
      <c r="AO2739" s="34"/>
      <c r="AP2739" s="34"/>
      <c r="AQ2739" s="34"/>
      <c r="AR2739" s="34"/>
      <c r="AS2739" s="34"/>
      <c r="AT2739" s="34"/>
      <c r="AU2739" s="34"/>
      <c r="AV2739" s="34"/>
      <c r="AW2739" s="34"/>
      <c r="AX2739" s="34"/>
      <c r="AY2739" s="34"/>
      <c r="AZ2739" s="34"/>
      <c r="BA2739" s="34"/>
      <c r="BB2739" s="34"/>
      <c r="BC2739" s="34"/>
      <c r="BD2739" s="34"/>
      <c r="BE2739" s="34"/>
      <c r="BF2739" s="34"/>
      <c r="BG2739" s="34"/>
      <c r="BH2739" s="34"/>
      <c r="BI2739" s="34"/>
      <c r="BJ2739" s="34"/>
      <c r="BK2739" s="34"/>
      <c r="BL2739" s="34"/>
      <c r="BM2739" s="34"/>
      <c r="BN2739" s="34"/>
      <c r="BO2739" s="34"/>
      <c r="BP2739" s="34"/>
      <c r="BQ2739" s="34"/>
      <c r="BR2739" s="34"/>
      <c r="BS2739" s="34"/>
      <c r="BT2739" s="34"/>
      <c r="BU2739" s="34"/>
      <c r="BV2739" s="34"/>
      <c r="BW2739" s="34"/>
      <c r="BX2739" s="34"/>
      <c r="BY2739" s="34"/>
      <c r="BZ2739" s="34"/>
      <c r="CA2739" s="34"/>
      <c r="CB2739" s="34"/>
      <c r="CC2739" s="34"/>
      <c r="CD2739" s="34"/>
      <c r="CE2739" s="34"/>
      <c r="CF2739" s="34"/>
      <c r="CG2739" s="34"/>
      <c r="CH2739" s="34"/>
    </row>
    <row r="2740" spans="1:86" x14ac:dyDescent="0.2">
      <c r="A2740" s="11" t="s">
        <v>17</v>
      </c>
      <c r="B2740" s="11"/>
      <c r="C2740" s="27" t="s">
        <v>18</v>
      </c>
      <c r="D2740" s="27" t="s">
        <v>2</v>
      </c>
      <c r="E2740" s="27" t="s">
        <v>6</v>
      </c>
      <c r="F2740" s="27" t="s">
        <v>15</v>
      </c>
      <c r="G2740" s="27" t="s">
        <v>36</v>
      </c>
      <c r="H2740" s="27" t="s">
        <v>37</v>
      </c>
      <c r="I2740" s="27" t="s">
        <v>38</v>
      </c>
      <c r="J2740" s="27" t="s">
        <v>39</v>
      </c>
      <c r="K2740" s="27" t="s">
        <v>40</v>
      </c>
      <c r="L2740" s="27" t="s">
        <v>41</v>
      </c>
      <c r="M2740" s="27" t="s">
        <v>42</v>
      </c>
      <c r="N2740" s="27" t="s">
        <v>43</v>
      </c>
      <c r="O2740" s="27" t="s">
        <v>9</v>
      </c>
      <c r="P2740" s="27" t="s">
        <v>12</v>
      </c>
      <c r="Q2740" s="27" t="s">
        <v>19</v>
      </c>
      <c r="R2740" s="27" t="s">
        <v>55</v>
      </c>
      <c r="S2740" s="27" t="s">
        <v>26</v>
      </c>
      <c r="T2740" s="19" t="s">
        <v>25</v>
      </c>
      <c r="U2740" s="33" t="s">
        <v>27</v>
      </c>
      <c r="V2740" s="33" t="s">
        <v>9</v>
      </c>
      <c r="W2740" s="33" t="s">
        <v>23</v>
      </c>
      <c r="X2740" s="33" t="s">
        <v>12</v>
      </c>
      <c r="Y2740" s="33" t="s">
        <v>26</v>
      </c>
      <c r="Z2740" s="33" t="s">
        <v>25</v>
      </c>
      <c r="AA2740" s="33" t="s">
        <v>27</v>
      </c>
      <c r="AB2740" s="33" t="s">
        <v>9</v>
      </c>
      <c r="AC2740" s="33" t="s">
        <v>23</v>
      </c>
      <c r="AD2740" s="33" t="s">
        <v>12</v>
      </c>
      <c r="AE2740" s="33" t="s">
        <v>26</v>
      </c>
      <c r="AF2740" s="33" t="s">
        <v>25</v>
      </c>
      <c r="AG2740" s="33" t="s">
        <v>27</v>
      </c>
      <c r="AH2740" s="33" t="s">
        <v>9</v>
      </c>
      <c r="AI2740" s="33" t="s">
        <v>23</v>
      </c>
      <c r="AJ2740" s="33" t="s">
        <v>12</v>
      </c>
      <c r="AK2740" s="33" t="s">
        <v>26</v>
      </c>
      <c r="AL2740" s="33" t="s">
        <v>25</v>
      </c>
      <c r="AM2740" s="33" t="s">
        <v>27</v>
      </c>
      <c r="AN2740" s="33" t="s">
        <v>9</v>
      </c>
      <c r="AO2740" s="33" t="s">
        <v>23</v>
      </c>
      <c r="AP2740" s="33" t="s">
        <v>12</v>
      </c>
      <c r="AQ2740" s="33" t="s">
        <v>26</v>
      </c>
      <c r="AR2740" s="33" t="s">
        <v>25</v>
      </c>
      <c r="AS2740" s="33" t="s">
        <v>27</v>
      </c>
      <c r="AT2740" s="33" t="s">
        <v>9</v>
      </c>
      <c r="AU2740" s="33" t="s">
        <v>23</v>
      </c>
      <c r="AV2740" s="33" t="s">
        <v>12</v>
      </c>
      <c r="AW2740" s="33" t="s">
        <v>26</v>
      </c>
      <c r="AX2740" s="33" t="s">
        <v>25</v>
      </c>
      <c r="AY2740" s="33" t="s">
        <v>27</v>
      </c>
      <c r="AZ2740" s="33" t="s">
        <v>9</v>
      </c>
      <c r="BA2740" s="33" t="s">
        <v>23</v>
      </c>
      <c r="BB2740" s="33" t="s">
        <v>12</v>
      </c>
      <c r="BC2740" s="33" t="s">
        <v>26</v>
      </c>
      <c r="BD2740" s="33" t="s">
        <v>25</v>
      </c>
      <c r="BE2740" s="33" t="s">
        <v>27</v>
      </c>
      <c r="BF2740" s="33" t="s">
        <v>9</v>
      </c>
      <c r="BG2740" s="33" t="s">
        <v>23</v>
      </c>
      <c r="BH2740" s="33" t="s">
        <v>12</v>
      </c>
      <c r="BI2740" s="33" t="s">
        <v>26</v>
      </c>
      <c r="BJ2740" s="33" t="s">
        <v>25</v>
      </c>
      <c r="BK2740" s="33" t="s">
        <v>27</v>
      </c>
      <c r="BL2740" s="33" t="s">
        <v>9</v>
      </c>
      <c r="BM2740" s="33" t="s">
        <v>23</v>
      </c>
      <c r="BN2740" s="33" t="s">
        <v>12</v>
      </c>
      <c r="BO2740" s="33" t="s">
        <v>26</v>
      </c>
      <c r="BP2740" s="33" t="s">
        <v>25</v>
      </c>
      <c r="BQ2740" s="33" t="s">
        <v>27</v>
      </c>
      <c r="BR2740" s="33" t="s">
        <v>9</v>
      </c>
      <c r="BS2740" s="33" t="s">
        <v>23</v>
      </c>
      <c r="BT2740" s="33" t="s">
        <v>12</v>
      </c>
      <c r="BU2740" s="33" t="s">
        <v>26</v>
      </c>
      <c r="BV2740" s="33" t="s">
        <v>25</v>
      </c>
      <c r="BW2740" s="33" t="s">
        <v>27</v>
      </c>
      <c r="BX2740" s="33" t="s">
        <v>9</v>
      </c>
      <c r="BY2740" s="33" t="s">
        <v>23</v>
      </c>
      <c r="BZ2740" s="33" t="s">
        <v>12</v>
      </c>
      <c r="CA2740" s="33" t="s">
        <v>26</v>
      </c>
      <c r="CB2740" s="33" t="s">
        <v>25</v>
      </c>
      <c r="CC2740" s="33" t="s">
        <v>27</v>
      </c>
      <c r="CD2740" s="33" t="s">
        <v>9</v>
      </c>
      <c r="CE2740" s="33" t="s">
        <v>23</v>
      </c>
      <c r="CF2740" s="33" t="s">
        <v>12</v>
      </c>
      <c r="CG2740" s="33" t="s">
        <v>26</v>
      </c>
      <c r="CH2740" s="33" t="s">
        <v>25</v>
      </c>
    </row>
    <row r="2741" spans="1:86" x14ac:dyDescent="0.2">
      <c r="A2741" s="8" t="str">
        <f>IF(AND(COUNTIF(W$3:W$13,A$15)&gt;0,A$15&lt;&gt;B2578),A$15,IFERROR(IF(MATCH(A$15,Z$3:Z$13,0)=8,A$15," ")," "))</f>
        <v xml:space="preserve"> </v>
      </c>
      <c r="B2741" s="8" t="str">
        <f>IF(A2741=" "," ",1)</f>
        <v xml:space="preserve"> </v>
      </c>
      <c r="C2741" s="8" t="str">
        <f>IFERROR(INDEX(A2741:A2762,MATCH(SMALL(B2741:B2762,1),B2741:B2762,0),1)," ")</f>
        <v>C3</v>
      </c>
      <c r="D2741" s="8">
        <f>IFERROR(VLOOKUP($C2741,$A$15:$O$36,2,FALSE)," ")</f>
        <v>2</v>
      </c>
      <c r="E2741" s="8">
        <f>IFERROR(VLOOKUP($C2741,$A$15:$O$36,3,FALSE)," ")</f>
        <v>5</v>
      </c>
      <c r="F2741" s="8">
        <f>IFERROR(VLOOKUP($C2741,$A$15:$O$36,4,FALSE)," ")</f>
        <v>6</v>
      </c>
      <c r="G2741" s="8">
        <f>IFERROR(VLOOKUP($C2741,$A$15:$O$36,5,FALSE)," ")</f>
        <v>0</v>
      </c>
      <c r="H2741" s="8">
        <f>IFERROR(VLOOKUP($C2741,$A$15:$O$36,6,FALSE)," ")</f>
        <v>0</v>
      </c>
      <c r="I2741" s="8">
        <f>IFERROR(VLOOKUP($C2741,$A$15:$O$36,7,FALSE)," ")</f>
        <v>0</v>
      </c>
      <c r="J2741" s="8">
        <f>IFERROR(VLOOKUP($C2741,$A$15:$O$36,8,FALSE)," ")</f>
        <v>0</v>
      </c>
      <c r="K2741" s="8">
        <f>IFERROR(VLOOKUP($C2741,$A$15:$O$36,9,FALSE)," ")</f>
        <v>0</v>
      </c>
      <c r="L2741" s="8">
        <f>IFERROR(VLOOKUP($C2741,$A$15:$O$36,10,FALSE)," ")</f>
        <v>0</v>
      </c>
      <c r="M2741" s="8">
        <f>IFERROR(VLOOKUP($C2741,$A$15:$O$36,11,FALSE)," ")</f>
        <v>0</v>
      </c>
      <c r="N2741" s="8">
        <f>IFERROR(VLOOKUP($C2741,$A$15:$O$36,12,FALSE)," ")</f>
        <v>0</v>
      </c>
      <c r="O2741" s="8">
        <f>IFERROR(VLOOKUP($C2741,$A$15:$O$36,15,FALSE)," ")</f>
        <v>2000</v>
      </c>
      <c r="P2741" s="8" t="e">
        <f t="array" ref="P2741:P2751">MMULT(MINVERSE(D2741:N2751),O2741:O2751)</f>
        <v>#NUM!</v>
      </c>
      <c r="Q2741" s="8" t="e">
        <f t="shared" ref="Q2741" si="11951">IF(COUNTIF(P2741:P2751,"&lt;"&amp;-0.001)=0,IF(ABS(P2741)&lt;0.001,0,P2741)," ")</f>
        <v>#NUM!</v>
      </c>
      <c r="R2741" s="8" t="str">
        <f>IFERROR(VLOOKUP(B2578,A$15:L$36,2,FALSE)*Q2741+VLOOKUP(B2578,A$15:L$36,3,FALSE)*Q2742+VLOOKUP(B2578,A$15:L$36,4,FALSE)*Q2743+VLOOKUP(B2578,A$15:L$36,5,FALSE)*Q2744+VLOOKUP(B2578,A$15:L$36,6,FALSE)*Q2745+VLOOKUP(B2578,A$15:L$36,7,FALSE)*Q2746+VLOOKUP(B2578,A$15:L$36,8,FALSE)*Q2747+VLOOKUP(B2578,A$15:L$36,9,FALSE)*Q2748+VLOOKUP(B2578,A$15:L$36,10,FALSE)*Q2749+VLOOKUP(B2578,A$15:L$36,11,FALSE)*Q2750+VLOOKUP(B2578,A$15:L$36,12,FALSE)*Q2751," ")</f>
        <v xml:space="preserve"> </v>
      </c>
      <c r="S2741" s="8" t="str">
        <f>IFERROR(IF(R2741-VLOOKUP(B2578,A$15:O$36,15,FALSE)&lt;0,R2741-VLOOKUP(B2578,A$15:O$36,15,FALSE)," ")," ")</f>
        <v xml:space="preserve"> </v>
      </c>
      <c r="T2741" s="18" t="str">
        <f>IFERROR(IF(R2741-VLOOKUP(B2578,A$15:O$36,15,FALSE)&gt;0,R2741-VLOOKUP(B2578,A$15:O$36,15,FALSE)," ")," ")</f>
        <v xml:space="preserve"> </v>
      </c>
      <c r="U2741" s="34">
        <f t="shared" ref="U2741" si="11952">$M$2</f>
        <v>100.00000000000001</v>
      </c>
      <c r="V2741" s="34">
        <v>-1</v>
      </c>
      <c r="W2741" s="34">
        <f t="shared" ref="W2741" si="11953">-SUMPRODUCT($M$3:$M$12,$N$3:$N$12)</f>
        <v>-105000</v>
      </c>
      <c r="X2741" s="34" t="e">
        <f t="shared" ref="X2741" si="11954">IF(U2741&lt;&gt;U2742,MMULT(MINVERSE(U2741:V2742),W2741:W2742)," ")</f>
        <v>#NUM!</v>
      </c>
      <c r="Y2741" s="34" t="str">
        <f t="shared" ref="Y2741" si="11955">IFERROR(IF(X2741-VLOOKUP(U$38,$A$2:$N$12,14,FALSE)&lt;0,X2741-VLOOKUP(U$38,$A$2:$N$12,14,FALSE)," ")," ")</f>
        <v xml:space="preserve"> </v>
      </c>
      <c r="Z2741" s="34" t="str">
        <f t="shared" ref="Z2741" si="11956">IFERROR(IF(X2741-VLOOKUP(U$38,$A$2:$N$12,14,FALSE)&gt;0,X2741-VLOOKUP(U$38,$A$2:$N$12,14,FALSE)," ")," ")</f>
        <v xml:space="preserve"> </v>
      </c>
      <c r="AA2741" s="34">
        <f t="shared" ref="AA2741" si="11957">$M$3</f>
        <v>0</v>
      </c>
      <c r="AB2741" s="34">
        <v>-1</v>
      </c>
      <c r="AC2741" s="34">
        <f t="shared" ref="AC2741" si="11958">-SUMPRODUCT($M$2:$M$2,$N$2:$N$2)-SUMPRODUCT($M$4:$M$12,$N$4:$N$12)</f>
        <v>-120000</v>
      </c>
      <c r="AD2741" s="34" t="e">
        <f t="shared" ref="AD2741" si="11959">IF(AA2741&lt;&gt;AA2742,MMULT(MINVERSE(AA2741:AB2742),AC2741:AC2742)," ")</f>
        <v>#NUM!</v>
      </c>
      <c r="AE2741" s="34" t="str">
        <f t="shared" ref="AE2741" si="11960">IFERROR(IF(AD2741-VLOOKUP(AA$38,$A$2:$N$12,14,FALSE)&lt;0,AD2741-VLOOKUP(AA$38,$A$2:$N$12,14,FALSE)," ")," ")</f>
        <v xml:space="preserve"> </v>
      </c>
      <c r="AF2741" s="34" t="str">
        <f t="shared" ref="AF2741" si="11961">IFERROR(IF(AD2741-VLOOKUP(AA$38,$A$2:$N$12,14,FALSE)&gt;0,AD2741-VLOOKUP(AA$38,$A$2:$N$12,14,FALSE)," ")," ")</f>
        <v xml:space="preserve"> </v>
      </c>
      <c r="AG2741" s="34">
        <f t="shared" ref="AG2741" si="11962">$M$4</f>
        <v>300</v>
      </c>
      <c r="AH2741" s="34">
        <v>-1</v>
      </c>
      <c r="AI2741" s="34">
        <f t="shared" ref="AI2741" si="11963">-SUMPRODUCT($M$2:$M$3,$N$2:$N$3)-SUMPRODUCT($M$5:$M$12,$N$5:$N$12)</f>
        <v>-15000.000000000002</v>
      </c>
      <c r="AJ2741" s="34" t="e">
        <f t="shared" ref="AJ2741" si="11964">IF(AG2741&lt;&gt;AG2742,MMULT(MINVERSE(AG2741:AH2742),AI2741:AI2742)," ")</f>
        <v>#NUM!</v>
      </c>
      <c r="AK2741" s="34" t="str">
        <f t="shared" ref="AK2741" si="11965">IFERROR(IF(AJ2741-VLOOKUP(AG$38,$A$2:$N$12,14,FALSE)&lt;0,AJ2741-VLOOKUP(AG$38,$A$2:$N$12,14,FALSE)," ")," ")</f>
        <v xml:space="preserve"> </v>
      </c>
      <c r="AL2741" s="34" t="str">
        <f t="shared" ref="AL2741" si="11966">IFERROR(IF(AJ2741-VLOOKUP(AG$38,$A$2:$N$12,14,FALSE)&gt;0,AJ2741-VLOOKUP(AG$38,$A$2:$N$12,14,FALSE)," ")," ")</f>
        <v xml:space="preserve"> </v>
      </c>
      <c r="AM2741" s="34">
        <f t="shared" ref="AM2741" si="11967">$M$5</f>
        <v>0</v>
      </c>
      <c r="AN2741" s="34">
        <v>-1</v>
      </c>
      <c r="AO2741" s="34">
        <f t="shared" ref="AO2741" si="11968">-SUMPRODUCT($M$2:$M$4,$N$2:$N$4)-SUMPRODUCT($M$6:$M$12,$N$6:$N$12)</f>
        <v>-120000</v>
      </c>
      <c r="AP2741" s="34" t="e">
        <f t="shared" ref="AP2741" si="11969">IF(AM2741&lt;&gt;AM2742,MMULT(MINVERSE(AM2741:AN2742),AO2741:AO2742)," ")</f>
        <v>#NUM!</v>
      </c>
      <c r="AQ2741" s="34" t="str">
        <f t="shared" ref="AQ2741" si="11970">IFERROR(IF(AP2741-VLOOKUP(AM$38,$A$2:$N$12,14,FALSE)&lt;0,AP2741-VLOOKUP(AM$38,$A$2:$N$12,14,FALSE)," ")," ")</f>
        <v xml:space="preserve"> </v>
      </c>
      <c r="AR2741" s="34" t="str">
        <f t="shared" ref="AR2741" si="11971">IFERROR(IF(AP2741-VLOOKUP(AM$38,$A$2:$N$12,14,FALSE)&gt;0,AP2741-VLOOKUP(AM$38,$A$2:$N$12,14,FALSE)," ")," ")</f>
        <v xml:space="preserve"> </v>
      </c>
      <c r="AS2741" s="34">
        <f t="shared" ref="AS2741" si="11972">$M$6</f>
        <v>0</v>
      </c>
      <c r="AT2741" s="34">
        <v>-1</v>
      </c>
      <c r="AU2741" s="34">
        <f t="shared" ref="AU2741" si="11973">-SUMPRODUCT($M$2:$M$5,$N$2:$N$5)-SUMPRODUCT($M$7:$M$12,$N$7:$N$12)</f>
        <v>-120000</v>
      </c>
      <c r="AV2741" s="34" t="e">
        <f t="shared" ref="AV2741" si="11974">IF(AS2741&lt;&gt;AS2742,MMULT(MINVERSE(AS2741:AT2742),AU2741:AU2742)," ")</f>
        <v>#NUM!</v>
      </c>
      <c r="AW2741" s="34" t="str">
        <f t="shared" ref="AW2741" si="11975">IFERROR(IF(AV2741-VLOOKUP(AS$38,$A$2:$N$12,14,FALSE)&lt;0,AV2741-VLOOKUP(AS$38,$A$2:$N$12,14,FALSE)," ")," ")</f>
        <v xml:space="preserve"> </v>
      </c>
      <c r="AX2741" s="34" t="str">
        <f t="shared" ref="AX2741" si="11976">IFERROR(IF(AV2741-VLOOKUP(AS$38,$A$2:$N$12,14,FALSE)&gt;0,AV2741-VLOOKUP(AS$38,$A$2:$N$12,14,FALSE)," ")," ")</f>
        <v xml:space="preserve"> </v>
      </c>
      <c r="AY2741" s="34">
        <f t="shared" ref="AY2741" si="11977">$M$7</f>
        <v>0</v>
      </c>
      <c r="AZ2741" s="34">
        <v>-1</v>
      </c>
      <c r="BA2741" s="34">
        <f t="shared" ref="BA2741" si="11978">-SUMPRODUCT($M$2:$M$6,$N$2:$N$6)-SUMPRODUCT($M$8:$M$12,$N$8:$N$12)</f>
        <v>-120000</v>
      </c>
      <c r="BB2741" s="34" t="e">
        <f t="shared" ref="BB2741" si="11979">IF(AY2741&lt;&gt;AY2742,MMULT(MINVERSE(AY2741:AZ2742),BA2741:BA2742)," ")</f>
        <v>#NUM!</v>
      </c>
      <c r="BC2741" s="34" t="str">
        <f t="shared" ref="BC2741" si="11980">IFERROR(IF(BB2741-VLOOKUP(AY$38,$A$2:$N$12,14,FALSE)&lt;0,BB2741-VLOOKUP(AY$38,$A$2:$N$12,14,FALSE)," ")," ")</f>
        <v xml:space="preserve"> </v>
      </c>
      <c r="BD2741" s="34" t="str">
        <f t="shared" ref="BD2741" si="11981">IFERROR(IF(BB2741-VLOOKUP(AY$38,$A$2:$N$12,14,FALSE)&gt;0,BB2741-VLOOKUP(AY$38,$A$2:$N$12,14,FALSE)," ")," ")</f>
        <v xml:space="preserve"> </v>
      </c>
      <c r="BE2741" s="34">
        <f t="shared" ref="BE2741" si="11982">$M$8</f>
        <v>0</v>
      </c>
      <c r="BF2741" s="34">
        <v>-1</v>
      </c>
      <c r="BG2741" s="34">
        <f t="shared" ref="BG2741" si="11983">-SUMPRODUCT($M$2:$M$7,$N$2:$N$7)-SUMPRODUCT($M$9:$M$12,$N$9:$N$12)</f>
        <v>-120000</v>
      </c>
      <c r="BH2741" s="34" t="e">
        <f t="shared" ref="BH2741" si="11984">IF(BE2741&lt;&gt;BE2742,MMULT(MINVERSE(BE2741:BF2742),BG2741:BG2742)," ")</f>
        <v>#NUM!</v>
      </c>
      <c r="BI2741" s="34" t="str">
        <f t="shared" ref="BI2741" si="11985">IFERROR(IF(BH2741-VLOOKUP(BE$38,$A$2:$N$12,14,FALSE)&lt;0,BH2741-VLOOKUP(BE$38,$A$2:$N$12,14,FALSE)," ")," ")</f>
        <v xml:space="preserve"> </v>
      </c>
      <c r="BJ2741" s="34" t="str">
        <f t="shared" ref="BJ2741" si="11986">IFERROR(IF(BH2741-VLOOKUP(BE$38,$A$2:$N$12,14,FALSE)&gt;0,BH2741-VLOOKUP(BE$38,$A$2:$N$12,14,FALSE)," ")," ")</f>
        <v xml:space="preserve"> </v>
      </c>
      <c r="BK2741" s="34">
        <f t="shared" ref="BK2741" si="11987">$M$9</f>
        <v>0</v>
      </c>
      <c r="BL2741" s="34">
        <v>-1</v>
      </c>
      <c r="BM2741" s="34">
        <f t="shared" ref="BM2741" si="11988">-SUMPRODUCT($M$2:$M$8,$N$2:$N$8)-SUMPRODUCT($M$10:$M$12,$N$10:$N$12)</f>
        <v>-120000</v>
      </c>
      <c r="BN2741" s="34" t="e">
        <f t="shared" ref="BN2741" si="11989">IF(BK2741&lt;&gt;BK2742,MMULT(MINVERSE(BK2741:BL2742),BM2741:BM2742)," ")</f>
        <v>#NUM!</v>
      </c>
      <c r="BO2741" s="34" t="str">
        <f t="shared" ref="BO2741" si="11990">IFERROR(IF(BN2741-VLOOKUP(BK$38,$A$2:$N$12,14,FALSE)&lt;0,BN2741-VLOOKUP(BK$38,$A$2:$N$12,14,FALSE)," ")," ")</f>
        <v xml:space="preserve"> </v>
      </c>
      <c r="BP2741" s="34" t="str">
        <f t="shared" ref="BP2741" si="11991">IFERROR(IF(BN2741-VLOOKUP(BK$38,$A$2:$N$12,14,FALSE)&gt;0,BN2741-VLOOKUP(BK$38,$A$2:$N$12,14,FALSE)," ")," ")</f>
        <v xml:space="preserve"> </v>
      </c>
      <c r="BQ2741" s="34">
        <f t="shared" ref="BQ2741" si="11992">$M$10</f>
        <v>0</v>
      </c>
      <c r="BR2741" s="34">
        <v>-1</v>
      </c>
      <c r="BS2741" s="34">
        <f t="shared" ref="BS2741" si="11993">-SUMPRODUCT($M$2:$M$9,$N$2:$N$9)-SUMPRODUCT($M$11:$M$12,$N$11:$N$12)</f>
        <v>-120000</v>
      </c>
      <c r="BT2741" s="34" t="e">
        <f t="shared" ref="BT2741" si="11994">IF(BQ2741&lt;&gt;BQ2742,MMULT(MINVERSE(BQ2741:BR2742),BS2741:BS2742)," ")</f>
        <v>#NUM!</v>
      </c>
      <c r="BU2741" s="34" t="str">
        <f t="shared" ref="BU2741" si="11995">IFERROR(IF(BT2741-VLOOKUP(BQ$38,$A$2:$N$12,14,FALSE)&lt;0,BT2741-VLOOKUP(BQ$38,$A$2:$N$12,14,FALSE)," ")," ")</f>
        <v xml:space="preserve"> </v>
      </c>
      <c r="BV2741" s="34" t="str">
        <f t="shared" ref="BV2741" si="11996">IFERROR(IF(BT2741-VLOOKUP(BQ$38,$A$2:$N$12,14,FALSE)&gt;0,BT2741-VLOOKUP(BQ$38,$A$2:$N$12,14,FALSE)," ")," ")</f>
        <v xml:space="preserve"> </v>
      </c>
      <c r="BW2741" s="34">
        <f t="shared" ref="BW2741" si="11997">$M$11</f>
        <v>0</v>
      </c>
      <c r="BX2741" s="34">
        <v>-1</v>
      </c>
      <c r="BY2741" s="34">
        <f t="shared" ref="BY2741" si="11998">-SUMPRODUCT($M$2:$M$10,$N$2:$N$10)-SUMPRODUCT($M$12,$N$12)</f>
        <v>-120000</v>
      </c>
      <c r="BZ2741" s="34" t="e">
        <f t="shared" ref="BZ2741" si="11999">IF(BW2741&lt;&gt;BW2742,MMULT(MINVERSE(BW2741:BX2742),BY2741:BY2742)," ")</f>
        <v>#NUM!</v>
      </c>
      <c r="CA2741" s="34" t="str">
        <f t="shared" ref="CA2741" si="12000">IFERROR(IF(BZ2741-VLOOKUP(BW$38,$A$2:$N$12,14,FALSE)&lt;0,BZ2741-VLOOKUP(BW$38,$A$2:$N$12,14,FALSE)," ")," ")</f>
        <v xml:space="preserve"> </v>
      </c>
      <c r="CB2741" s="34" t="str">
        <f t="shared" ref="CB2741" si="12001">IFERROR(IF(BZ2741-VLOOKUP(BW$38,$A$2:$N$12,14,FALSE)&gt;0,BZ2741-VLOOKUP(BW$38,$A$2:$N$12,14,FALSE)," ")," ")</f>
        <v xml:space="preserve"> </v>
      </c>
      <c r="CC2741" s="34">
        <f t="shared" ref="CC2741" si="12002">$M$12</f>
        <v>0</v>
      </c>
      <c r="CD2741" s="34">
        <v>-1</v>
      </c>
      <c r="CE2741" s="34">
        <f t="shared" ref="CE2741" si="12003">-SUMPRODUCT($M$2:$M$11,$N$2:$N$11)</f>
        <v>-120000</v>
      </c>
      <c r="CF2741" s="34" t="e">
        <f t="shared" ref="CF2741" si="12004">IF(CC2741&lt;&gt;CC2742,MMULT(MINVERSE(CC2741:CD2742),CE2741:CE2742)," ")</f>
        <v>#NUM!</v>
      </c>
      <c r="CG2741" s="34" t="str">
        <f t="shared" ref="CG2741" si="12005">IFERROR(IF(CF2741-VLOOKUP(CC$38,$A$2:$N$12,14,FALSE)&lt;0,CF2741-VLOOKUP(CC$38,$A$2:$N$12,14,FALSE)," ")," ")</f>
        <v xml:space="preserve"> </v>
      </c>
      <c r="CH2741" s="34" t="str">
        <f t="shared" ref="CH2741" si="12006">IFERROR(IF(CF2741-VLOOKUP(CC$38,$A$2:$N$12,14,FALSE)&gt;0,CF2741-VLOOKUP(CC$38,$A$2:$N$12,14,FALSE)," ")," ")</f>
        <v xml:space="preserve"> </v>
      </c>
    </row>
    <row r="2742" spans="1:86" x14ac:dyDescent="0.2">
      <c r="A2742" s="8" t="str">
        <f>IF(AND(COUNTIF(W$3:W$13,A$16)&gt;0,A$16&lt;&gt;B2578),A$16,IFERROR(IF(MATCH(A$16,Z$3:Z$13,0)=8,A$16," ")," "))</f>
        <v xml:space="preserve"> </v>
      </c>
      <c r="B2742" s="8" t="str">
        <f>IF(A2742=" "," ",MAX(B2741:B2741)+1)</f>
        <v xml:space="preserve"> </v>
      </c>
      <c r="C2742" s="8" t="str">
        <f>IFERROR(INDEX(A2741:A2762,MATCH(SMALL(B2741:B2762,2),B2741:B2762,0),1)," ")</f>
        <v>C4</v>
      </c>
      <c r="D2742" s="8">
        <f t="shared" ref="D2742:D2751" si="12007">IFERROR(VLOOKUP($C2742,$A$15:$O$36,2,FALSE)," ")</f>
        <v>1</v>
      </c>
      <c r="E2742" s="8">
        <f t="shared" ref="E2742:E2751" si="12008">IFERROR(VLOOKUP($C2742,$A$15:$O$36,3,FALSE)," ")</f>
        <v>0</v>
      </c>
      <c r="F2742" s="8">
        <f t="shared" ref="F2742:F2751" si="12009">IFERROR(VLOOKUP($C2742,$A$15:$O$36,4,FALSE)," ")</f>
        <v>1</v>
      </c>
      <c r="G2742" s="8">
        <f t="shared" ref="G2742:G2751" si="12010">IFERROR(VLOOKUP($C2742,$A$15:$O$36,5,FALSE)," ")</f>
        <v>0</v>
      </c>
      <c r="H2742" s="8">
        <f t="shared" ref="H2742:H2751" si="12011">IFERROR(VLOOKUP($C2742,$A$15:$O$36,6,FALSE)," ")</f>
        <v>0</v>
      </c>
      <c r="I2742" s="8">
        <f t="shared" ref="I2742:I2751" si="12012">IFERROR(VLOOKUP($C2742,$A$15:$O$36,7,FALSE)," ")</f>
        <v>0</v>
      </c>
      <c r="J2742" s="8">
        <f t="shared" ref="J2742:J2751" si="12013">IFERROR(VLOOKUP($C2742,$A$15:$O$36,8,FALSE)," ")</f>
        <v>0</v>
      </c>
      <c r="K2742" s="8">
        <f t="shared" ref="K2742:K2751" si="12014">IFERROR(VLOOKUP($C2742,$A$15:$O$36,9,FALSE)," ")</f>
        <v>0</v>
      </c>
      <c r="L2742" s="8">
        <f t="shared" ref="L2742:L2751" si="12015">IFERROR(VLOOKUP($C2742,$A$15:$O$36,10,FALSE)," ")</f>
        <v>0</v>
      </c>
      <c r="M2742" s="8">
        <f t="shared" ref="M2742:M2751" si="12016">IFERROR(VLOOKUP($C2742,$A$15:$O$36,11,FALSE)," ")</f>
        <v>0</v>
      </c>
      <c r="N2742" s="8">
        <f t="shared" ref="N2742:N2751" si="12017">IFERROR(VLOOKUP($C2742,$A$15:$O$36,12,FALSE)," ")</f>
        <v>0</v>
      </c>
      <c r="O2742" s="8">
        <f t="shared" ref="O2742:O2751" si="12018">IFERROR(VLOOKUP($C2742,$A$15:$O$36,15,FALSE)," ")</f>
        <v>400</v>
      </c>
      <c r="P2742" s="8" t="e">
        <v>#NUM!</v>
      </c>
      <c r="Q2742" s="8" t="e">
        <f t="shared" ref="Q2742" si="12019">IF(COUNTIF(P2741:P2751,"&lt;"&amp;-0.001)=0,IF(ABS(P2742)&lt;0.001,0,P2742)," ")</f>
        <v>#NUM!</v>
      </c>
      <c r="R2742" s="8"/>
      <c r="S2742" s="8"/>
      <c r="U2742" s="34" t="e">
        <f t="shared" ref="U2742" si="12020">$Q2741</f>
        <v>#NUM!</v>
      </c>
      <c r="V2742" s="34">
        <v>-1</v>
      </c>
      <c r="W2742" s="34" t="e">
        <f t="shared" ref="W2742" si="12021">-SUMPRODUCT($Q2742:$Q2751,$N$3:$N$12)</f>
        <v>#NUM!</v>
      </c>
      <c r="X2742" s="34"/>
      <c r="Y2742" s="34"/>
      <c r="Z2742" s="34"/>
      <c r="AA2742" s="34" t="e">
        <f t="shared" ref="AA2742" si="12022">$Q2742</f>
        <v>#NUM!</v>
      </c>
      <c r="AB2742" s="34">
        <v>-1</v>
      </c>
      <c r="AC2742" s="34" t="e">
        <f t="shared" ref="AC2742" si="12023">-SUMPRODUCT($Q2741:$Q2741,$N$2:$N$2)-SUMPRODUCT($Q2743:$Q2751,$N$4:$N$12)</f>
        <v>#NUM!</v>
      </c>
      <c r="AD2742" s="34"/>
      <c r="AE2742" s="34"/>
      <c r="AF2742" s="34"/>
      <c r="AG2742" s="34" t="e">
        <f t="shared" ref="AG2742" si="12024">$Q2743</f>
        <v>#NUM!</v>
      </c>
      <c r="AH2742" s="34">
        <v>-1</v>
      </c>
      <c r="AI2742" s="34" t="e">
        <f t="shared" ref="AI2742" si="12025">-SUMPRODUCT($Q2741:$Q2742,$N$2:$N$3)-SUMPRODUCT($Q2744:$Q2751,$N$5:$N$12)</f>
        <v>#NUM!</v>
      </c>
      <c r="AJ2742" s="34"/>
      <c r="AK2742" s="34"/>
      <c r="AL2742" s="34"/>
      <c r="AM2742" s="34" t="e">
        <f t="shared" ref="AM2742" si="12026">$Q2744</f>
        <v>#NUM!</v>
      </c>
      <c r="AN2742" s="34">
        <v>-1</v>
      </c>
      <c r="AO2742" s="34" t="e">
        <f t="shared" ref="AO2742" si="12027">-SUMPRODUCT($Q2741:$Q2743,$N$2:$N$4)-SUMPRODUCT($Q2745:$Q2751,$N$6:$N$12)</f>
        <v>#NUM!</v>
      </c>
      <c r="AP2742" s="34"/>
      <c r="AQ2742" s="34"/>
      <c r="AR2742" s="34"/>
      <c r="AS2742" s="34" t="e">
        <f t="shared" ref="AS2742" si="12028">$Q2745</f>
        <v>#NUM!</v>
      </c>
      <c r="AT2742" s="34">
        <v>-1</v>
      </c>
      <c r="AU2742" s="34" t="e">
        <f t="shared" ref="AU2742" si="12029">-SUMPRODUCT($Q2741:$Q2744,$N$2:$N$5)-SUMPRODUCT($Q2746:$Q2751,$N$7:$N$12)</f>
        <v>#NUM!</v>
      </c>
      <c r="AV2742" s="34"/>
      <c r="AW2742" s="34"/>
      <c r="AX2742" s="34"/>
      <c r="AY2742" s="34" t="e">
        <f t="shared" ref="AY2742" si="12030">$Q2746</f>
        <v>#NUM!</v>
      </c>
      <c r="AZ2742" s="34">
        <v>-1</v>
      </c>
      <c r="BA2742" s="34" t="e">
        <f t="shared" ref="BA2742" si="12031">-SUMPRODUCT($Q2741:$Q2745,$N$2:$N$6)-SUMPRODUCT($Q2747:$Q2751,$N$8:$N$12)</f>
        <v>#NUM!</v>
      </c>
      <c r="BB2742" s="34"/>
      <c r="BC2742" s="34"/>
      <c r="BD2742" s="34"/>
      <c r="BE2742" s="34" t="e">
        <f t="shared" ref="BE2742" si="12032">$Q2747</f>
        <v>#NUM!</v>
      </c>
      <c r="BF2742" s="34">
        <v>-1</v>
      </c>
      <c r="BG2742" s="34" t="e">
        <f t="shared" ref="BG2742" si="12033">-SUMPRODUCT($Q2741:$Q2746,$N$2:$N$7)-SUMPRODUCT($Q2748:$Q2751,$N$9:$N$12)</f>
        <v>#NUM!</v>
      </c>
      <c r="BH2742" s="34"/>
      <c r="BI2742" s="34"/>
      <c r="BJ2742" s="34"/>
      <c r="BK2742" s="34" t="e">
        <f t="shared" ref="BK2742" si="12034">$Q2748</f>
        <v>#NUM!</v>
      </c>
      <c r="BL2742" s="34">
        <v>-1</v>
      </c>
      <c r="BM2742" s="34" t="e">
        <f t="shared" ref="BM2742" si="12035">-SUMPRODUCT($Q2741:$Q2747,$N$2:$N$8)-SUMPRODUCT($Q2749:$Q2751,$N$10:$N$12)</f>
        <v>#NUM!</v>
      </c>
      <c r="BN2742" s="34"/>
      <c r="BO2742" s="34"/>
      <c r="BP2742" s="34"/>
      <c r="BQ2742" s="34" t="e">
        <f t="shared" ref="BQ2742" si="12036">$Q2749</f>
        <v>#NUM!</v>
      </c>
      <c r="BR2742" s="34">
        <v>-1</v>
      </c>
      <c r="BS2742" s="34" t="e">
        <f t="shared" ref="BS2742" si="12037">-SUMPRODUCT($Q2741:$Q2748,$N$2:$N$9)-SUMPRODUCT($Q2750:$Q2751,$N$11:$N$12)</f>
        <v>#NUM!</v>
      </c>
      <c r="BT2742" s="34"/>
      <c r="BU2742" s="34"/>
      <c r="BV2742" s="34"/>
      <c r="BW2742" s="34" t="e">
        <f t="shared" ref="BW2742" si="12038">$Q2750</f>
        <v>#NUM!</v>
      </c>
      <c r="BX2742" s="34">
        <v>-1</v>
      </c>
      <c r="BY2742" s="34" t="e">
        <f t="shared" ref="BY2742" si="12039">-SUMPRODUCT($Q2741:$Q2749,$N$2:$N$10)-SUMPRODUCT($Q2751,$N$12)</f>
        <v>#NUM!</v>
      </c>
      <c r="BZ2742" s="34"/>
      <c r="CA2742" s="34"/>
      <c r="CB2742" s="34"/>
      <c r="CC2742" s="34" t="e">
        <f t="shared" ref="CC2742" si="12040">$Q2751</f>
        <v>#NUM!</v>
      </c>
      <c r="CD2742" s="34">
        <v>-1</v>
      </c>
      <c r="CE2742" s="34" t="e">
        <f t="shared" ref="CE2742" si="12041">-SUMPRODUCT($Q2741:$Q2750,$N$2:$N$11)</f>
        <v>#NUM!</v>
      </c>
      <c r="CF2742" s="34"/>
      <c r="CG2742" s="34"/>
      <c r="CH2742" s="34"/>
    </row>
    <row r="2743" spans="1:86" x14ac:dyDescent="0.2">
      <c r="A2743" s="8" t="str">
        <f>IF(AND(COUNTIF(W$3:W$13,A$17)&gt;0,A$17&lt;&gt;B2578),A$17,IFERROR(IF(MATCH(A$17,Z$3:Z$13,0)=8,A$17," ")," "))</f>
        <v>C3</v>
      </c>
      <c r="B2743" s="8">
        <f>IF(A2743=" "," ",MAX(B2741:B2742)+1)</f>
        <v>1</v>
      </c>
      <c r="C2743" s="8" t="str">
        <f>IFERROR(INDEX(A2741:A2762,MATCH(SMALL(B2741:B2762,3),B2741:B2762,0),1)," ")</f>
        <v>C10</v>
      </c>
      <c r="D2743" s="8">
        <f t="shared" si="12007"/>
        <v>0</v>
      </c>
      <c r="E2743" s="8">
        <f t="shared" si="12008"/>
        <v>0</v>
      </c>
      <c r="F2743" s="8">
        <f t="shared" si="12009"/>
        <v>0</v>
      </c>
      <c r="G2743" s="8">
        <f t="shared" si="12010"/>
        <v>0</v>
      </c>
      <c r="H2743" s="8">
        <f t="shared" si="12011"/>
        <v>0</v>
      </c>
      <c r="I2743" s="8">
        <f t="shared" si="12012"/>
        <v>0</v>
      </c>
      <c r="J2743" s="8">
        <f t="shared" si="12013"/>
        <v>0</v>
      </c>
      <c r="K2743" s="8">
        <f t="shared" si="12014"/>
        <v>0</v>
      </c>
      <c r="L2743" s="8">
        <f t="shared" si="12015"/>
        <v>0</v>
      </c>
      <c r="M2743" s="8">
        <f t="shared" si="12016"/>
        <v>0</v>
      </c>
      <c r="N2743" s="8">
        <f t="shared" si="12017"/>
        <v>0</v>
      </c>
      <c r="O2743" s="8">
        <f t="shared" si="12018"/>
        <v>0</v>
      </c>
      <c r="P2743" s="8" t="e">
        <v>#NUM!</v>
      </c>
      <c r="Q2743" s="8" t="e">
        <f t="shared" ref="Q2743" si="12042">IF(COUNTIF(P2741:P2751,"&lt;"&amp;-0.001)=0,IF(ABS(P2743)&lt;0.001,0,P2743)," ")</f>
        <v>#NUM!</v>
      </c>
      <c r="R2743" s="8"/>
      <c r="S2743" s="8"/>
      <c r="U2743" s="34"/>
      <c r="V2743" s="34"/>
      <c r="W2743" s="34"/>
      <c r="X2743" s="34"/>
      <c r="Y2743" s="34"/>
      <c r="Z2743" s="34"/>
      <c r="AA2743" s="34"/>
      <c r="AB2743" s="34"/>
      <c r="AC2743" s="34"/>
      <c r="AD2743" s="34"/>
      <c r="AE2743" s="34"/>
      <c r="AF2743" s="34"/>
      <c r="AG2743" s="34"/>
      <c r="AH2743" s="34"/>
      <c r="AI2743" s="34"/>
      <c r="AJ2743" s="34"/>
      <c r="AK2743" s="34"/>
      <c r="AL2743" s="34"/>
      <c r="AM2743" s="34"/>
      <c r="AN2743" s="34"/>
      <c r="AO2743" s="34"/>
      <c r="AP2743" s="34"/>
      <c r="AQ2743" s="34"/>
      <c r="AR2743" s="34"/>
      <c r="AS2743" s="34"/>
      <c r="AT2743" s="34"/>
      <c r="AU2743" s="34"/>
      <c r="AV2743" s="34"/>
      <c r="AW2743" s="34"/>
      <c r="AX2743" s="34"/>
      <c r="AY2743" s="34"/>
      <c r="AZ2743" s="34"/>
      <c r="BA2743" s="34"/>
      <c r="BB2743" s="34"/>
      <c r="BC2743" s="34"/>
      <c r="BD2743" s="34"/>
      <c r="BE2743" s="34"/>
      <c r="BF2743" s="34"/>
      <c r="BG2743" s="34"/>
      <c r="BH2743" s="34"/>
      <c r="BI2743" s="34"/>
      <c r="BJ2743" s="34"/>
      <c r="BK2743" s="34"/>
      <c r="BL2743" s="34"/>
      <c r="BM2743" s="34"/>
      <c r="BN2743" s="34"/>
      <c r="BO2743" s="34"/>
      <c r="BP2743" s="34"/>
      <c r="BQ2743" s="34"/>
      <c r="BR2743" s="34"/>
      <c r="BS2743" s="34"/>
      <c r="BT2743" s="34"/>
      <c r="BU2743" s="34"/>
      <c r="BV2743" s="34"/>
      <c r="BW2743" s="34"/>
      <c r="BX2743" s="34"/>
      <c r="BY2743" s="34"/>
      <c r="BZ2743" s="34"/>
      <c r="CA2743" s="34"/>
      <c r="CB2743" s="34"/>
      <c r="CC2743" s="34"/>
      <c r="CD2743" s="34"/>
      <c r="CE2743" s="34"/>
      <c r="CF2743" s="34"/>
      <c r="CG2743" s="34"/>
      <c r="CH2743" s="34"/>
    </row>
    <row r="2744" spans="1:86" x14ac:dyDescent="0.2">
      <c r="A2744" s="8" t="str">
        <f>IF(AND(COUNTIF(W$3:W$13,A$18)&gt;0,A$18&lt;&gt;B2578),A$18,IFERROR(IF(MATCH(A$18,Z$3:Z$13,0)=8,A$18," ")," "))</f>
        <v>C4</v>
      </c>
      <c r="B2744" s="8">
        <f>IF(A2744=" "," ",MAX(B2741:B2743)+1)</f>
        <v>2</v>
      </c>
      <c r="C2744" s="8" t="str">
        <f>IFERROR(INDEX(A2741:A2762,MATCH(SMALL(B2741:B2762,4),B2741:B2762,0),1)," ")</f>
        <v>C13</v>
      </c>
      <c r="D2744" s="8">
        <f t="shared" si="12007"/>
        <v>0</v>
      </c>
      <c r="E2744" s="8">
        <f t="shared" si="12008"/>
        <v>1</v>
      </c>
      <c r="F2744" s="8">
        <f t="shared" si="12009"/>
        <v>0</v>
      </c>
      <c r="G2744" s="8">
        <f t="shared" si="12010"/>
        <v>0</v>
      </c>
      <c r="H2744" s="8">
        <f t="shared" si="12011"/>
        <v>0</v>
      </c>
      <c r="I2744" s="8">
        <f t="shared" si="12012"/>
        <v>0</v>
      </c>
      <c r="J2744" s="8">
        <f t="shared" si="12013"/>
        <v>0</v>
      </c>
      <c r="K2744" s="8">
        <f t="shared" si="12014"/>
        <v>0</v>
      </c>
      <c r="L2744" s="8">
        <f t="shared" si="12015"/>
        <v>0</v>
      </c>
      <c r="M2744" s="8">
        <f t="shared" si="12016"/>
        <v>0</v>
      </c>
      <c r="N2744" s="8">
        <f t="shared" si="12017"/>
        <v>0</v>
      </c>
      <c r="O2744" s="8">
        <f t="shared" si="12018"/>
        <v>0</v>
      </c>
      <c r="P2744" s="8" t="e">
        <v>#NUM!</v>
      </c>
      <c r="Q2744" s="8" t="e">
        <f t="shared" ref="Q2744" si="12043">IF(COUNTIF(P2741:P2751,"&lt;"&amp;-0.001)=0,IF(ABS(P2744)&lt;0.001,0,P2744)," ")</f>
        <v>#NUM!</v>
      </c>
      <c r="R2744" s="8"/>
      <c r="S2744" s="8"/>
      <c r="U2744" s="34"/>
      <c r="V2744" s="34"/>
      <c r="W2744" s="34"/>
      <c r="X2744" s="34"/>
      <c r="Y2744" s="34"/>
      <c r="Z2744" s="34"/>
      <c r="AA2744" s="34"/>
      <c r="AB2744" s="34"/>
      <c r="AC2744" s="34"/>
      <c r="AD2744" s="34"/>
      <c r="AE2744" s="34"/>
      <c r="AF2744" s="34"/>
      <c r="AG2744" s="34"/>
      <c r="AH2744" s="34"/>
      <c r="AI2744" s="34"/>
      <c r="AJ2744" s="34"/>
      <c r="AK2744" s="34"/>
      <c r="AL2744" s="34"/>
      <c r="AM2744" s="34"/>
      <c r="AN2744" s="34"/>
      <c r="AO2744" s="34"/>
      <c r="AP2744" s="34"/>
      <c r="AQ2744" s="34"/>
      <c r="AR2744" s="34"/>
      <c r="AS2744" s="34"/>
      <c r="AT2744" s="34"/>
      <c r="AU2744" s="34"/>
      <c r="AV2744" s="34"/>
      <c r="AW2744" s="34"/>
      <c r="AX2744" s="34"/>
      <c r="AY2744" s="34"/>
      <c r="AZ2744" s="34"/>
      <c r="BA2744" s="34"/>
      <c r="BB2744" s="34"/>
      <c r="BC2744" s="34"/>
      <c r="BD2744" s="34"/>
      <c r="BE2744" s="34"/>
      <c r="BF2744" s="34"/>
      <c r="BG2744" s="34"/>
      <c r="BH2744" s="34"/>
      <c r="BI2744" s="34"/>
      <c r="BJ2744" s="34"/>
      <c r="BK2744" s="34"/>
      <c r="BL2744" s="34"/>
      <c r="BM2744" s="34"/>
      <c r="BN2744" s="34"/>
      <c r="BO2744" s="34"/>
      <c r="BP2744" s="34"/>
      <c r="BQ2744" s="34"/>
      <c r="BR2744" s="34"/>
      <c r="BS2744" s="34"/>
      <c r="BT2744" s="34"/>
      <c r="BU2744" s="34"/>
      <c r="BV2744" s="34"/>
      <c r="BW2744" s="34"/>
      <c r="BX2744" s="34"/>
      <c r="BY2744" s="34"/>
      <c r="BZ2744" s="34"/>
      <c r="CA2744" s="34"/>
      <c r="CB2744" s="34"/>
      <c r="CC2744" s="34"/>
      <c r="CD2744" s="34"/>
      <c r="CE2744" s="34"/>
      <c r="CF2744" s="34"/>
      <c r="CG2744" s="34"/>
      <c r="CH2744" s="34"/>
    </row>
    <row r="2745" spans="1:86" x14ac:dyDescent="0.2">
      <c r="A2745" s="8" t="str">
        <f>IF(AND(COUNTIF(W$3:W$13,A$19)&gt;0,A$19&lt;&gt;B2578),A$19,IFERROR(IF(MATCH(A$19,Z$3:Z$13,0)=8,A$19," ")," "))</f>
        <v xml:space="preserve"> </v>
      </c>
      <c r="B2745" s="8" t="str">
        <f>IF(A2745=" "," ",MAX(B2741:B2744)+1)</f>
        <v xml:space="preserve"> </v>
      </c>
      <c r="C2745" s="8" t="str">
        <f>IFERROR(INDEX(A2741:A2762,MATCH(SMALL(B2741:B2762,5),B2741:B2762,0),1)," ")</f>
        <v>C15</v>
      </c>
      <c r="D2745" s="8">
        <f t="shared" si="12007"/>
        <v>0</v>
      </c>
      <c r="E2745" s="8">
        <f t="shared" si="12008"/>
        <v>0</v>
      </c>
      <c r="F2745" s="8">
        <f t="shared" si="12009"/>
        <v>0</v>
      </c>
      <c r="G2745" s="8">
        <f t="shared" si="12010"/>
        <v>1</v>
      </c>
      <c r="H2745" s="8">
        <f t="shared" si="12011"/>
        <v>0</v>
      </c>
      <c r="I2745" s="8">
        <f t="shared" si="12012"/>
        <v>0</v>
      </c>
      <c r="J2745" s="8">
        <f t="shared" si="12013"/>
        <v>0</v>
      </c>
      <c r="K2745" s="8">
        <f t="shared" si="12014"/>
        <v>0</v>
      </c>
      <c r="L2745" s="8">
        <f t="shared" si="12015"/>
        <v>0</v>
      </c>
      <c r="M2745" s="8">
        <f t="shared" si="12016"/>
        <v>0</v>
      </c>
      <c r="N2745" s="8">
        <f t="shared" si="12017"/>
        <v>0</v>
      </c>
      <c r="O2745" s="8">
        <f t="shared" si="12018"/>
        <v>0</v>
      </c>
      <c r="P2745" s="8" t="e">
        <v>#NUM!</v>
      </c>
      <c r="Q2745" s="8" t="e">
        <f t="shared" ref="Q2745" si="12044">IF(COUNTIF(P2741:P2751,"&lt;"&amp;-0.001)=0,IF(ABS(P2745)&lt;0.001,0,P2745)," ")</f>
        <v>#NUM!</v>
      </c>
      <c r="R2745" s="8"/>
      <c r="S2745" s="8"/>
      <c r="U2745" s="34"/>
      <c r="V2745" s="34"/>
      <c r="W2745" s="34"/>
      <c r="X2745" s="34"/>
      <c r="Y2745" s="34"/>
      <c r="Z2745" s="34"/>
      <c r="AA2745" s="34"/>
      <c r="AB2745" s="34"/>
      <c r="AC2745" s="34"/>
      <c r="AD2745" s="34"/>
      <c r="AE2745" s="34"/>
      <c r="AF2745" s="34"/>
      <c r="AG2745" s="34"/>
      <c r="AH2745" s="34"/>
      <c r="AI2745" s="34"/>
      <c r="AJ2745" s="34"/>
      <c r="AK2745" s="34"/>
      <c r="AL2745" s="34"/>
      <c r="AM2745" s="34"/>
      <c r="AN2745" s="34"/>
      <c r="AO2745" s="34"/>
      <c r="AP2745" s="34"/>
      <c r="AQ2745" s="34"/>
      <c r="AR2745" s="34"/>
      <c r="AS2745" s="34"/>
      <c r="AT2745" s="34"/>
      <c r="AU2745" s="34"/>
      <c r="AV2745" s="34"/>
      <c r="AW2745" s="34"/>
      <c r="AX2745" s="34"/>
      <c r="AY2745" s="34"/>
      <c r="AZ2745" s="34"/>
      <c r="BA2745" s="34"/>
      <c r="BB2745" s="34"/>
      <c r="BC2745" s="34"/>
      <c r="BD2745" s="34"/>
      <c r="BE2745" s="34"/>
      <c r="BF2745" s="34"/>
      <c r="BG2745" s="34"/>
      <c r="BH2745" s="34"/>
      <c r="BI2745" s="34"/>
      <c r="BJ2745" s="34"/>
      <c r="BK2745" s="34"/>
      <c r="BL2745" s="34"/>
      <c r="BM2745" s="34"/>
      <c r="BN2745" s="34"/>
      <c r="BO2745" s="34"/>
      <c r="BP2745" s="34"/>
      <c r="BQ2745" s="34"/>
      <c r="BR2745" s="34"/>
      <c r="BS2745" s="34"/>
      <c r="BT2745" s="34"/>
      <c r="BU2745" s="34"/>
      <c r="BV2745" s="34"/>
      <c r="BW2745" s="34"/>
      <c r="BX2745" s="34"/>
      <c r="BY2745" s="34"/>
      <c r="BZ2745" s="34"/>
      <c r="CA2745" s="34"/>
      <c r="CB2745" s="34"/>
      <c r="CC2745" s="34"/>
      <c r="CD2745" s="34"/>
      <c r="CE2745" s="34"/>
      <c r="CF2745" s="34"/>
      <c r="CG2745" s="34"/>
      <c r="CH2745" s="34"/>
    </row>
    <row r="2746" spans="1:86" x14ac:dyDescent="0.2">
      <c r="A2746" s="8" t="str">
        <f>IF(AND(COUNTIF(W$3:W$13,A$20)&gt;0,A$20&lt;&gt;B2578),A$20,IFERROR(IF(MATCH(A$20,Z$3:Z$13,0)=8,A$20," ")," "))</f>
        <v xml:space="preserve"> </v>
      </c>
      <c r="B2746" s="8" t="str">
        <f>IF(A2746=" "," ",MAX(B2741:B2745)+1)</f>
        <v xml:space="preserve"> </v>
      </c>
      <c r="C2746" s="8" t="str">
        <f>IFERROR(INDEX(A2741:A2762,MATCH(SMALL(B2741:B2762,6),B2741:B2762,0),1)," ")</f>
        <v>C16</v>
      </c>
      <c r="D2746" s="8">
        <f t="shared" si="12007"/>
        <v>0</v>
      </c>
      <c r="E2746" s="8">
        <f t="shared" si="12008"/>
        <v>0</v>
      </c>
      <c r="F2746" s="8">
        <f t="shared" si="12009"/>
        <v>0</v>
      </c>
      <c r="G2746" s="8">
        <f t="shared" si="12010"/>
        <v>0</v>
      </c>
      <c r="H2746" s="8">
        <f t="shared" si="12011"/>
        <v>1</v>
      </c>
      <c r="I2746" s="8">
        <f t="shared" si="12012"/>
        <v>0</v>
      </c>
      <c r="J2746" s="8">
        <f t="shared" si="12013"/>
        <v>0</v>
      </c>
      <c r="K2746" s="8">
        <f t="shared" si="12014"/>
        <v>0</v>
      </c>
      <c r="L2746" s="8">
        <f t="shared" si="12015"/>
        <v>0</v>
      </c>
      <c r="M2746" s="8">
        <f t="shared" si="12016"/>
        <v>0</v>
      </c>
      <c r="N2746" s="8">
        <f t="shared" si="12017"/>
        <v>0</v>
      </c>
      <c r="O2746" s="8">
        <f t="shared" si="12018"/>
        <v>0</v>
      </c>
      <c r="P2746" s="8" t="e">
        <v>#NUM!</v>
      </c>
      <c r="Q2746" s="8" t="e">
        <f t="shared" ref="Q2746" si="12045">IF(COUNTIF(P2741:P2751,"&lt;"&amp;-0.001)=0,IF(ABS(P2746)&lt;0.001,0,P2746)," ")</f>
        <v>#NUM!</v>
      </c>
      <c r="R2746" s="8"/>
      <c r="S2746" s="8"/>
      <c r="U2746" s="34"/>
      <c r="V2746" s="34"/>
      <c r="W2746" s="34"/>
      <c r="X2746" s="34"/>
      <c r="Y2746" s="34"/>
      <c r="Z2746" s="34"/>
      <c r="AA2746" s="34"/>
      <c r="AB2746" s="34"/>
      <c r="AC2746" s="34"/>
      <c r="AD2746" s="34"/>
      <c r="AE2746" s="34"/>
      <c r="AF2746" s="34"/>
      <c r="AG2746" s="34"/>
      <c r="AH2746" s="34"/>
      <c r="AI2746" s="34"/>
      <c r="AJ2746" s="34"/>
      <c r="AK2746" s="34"/>
      <c r="AL2746" s="34"/>
      <c r="AM2746" s="34"/>
      <c r="AN2746" s="34"/>
      <c r="AO2746" s="34"/>
      <c r="AP2746" s="34"/>
      <c r="AQ2746" s="34"/>
      <c r="AR2746" s="34"/>
      <c r="AS2746" s="34"/>
      <c r="AT2746" s="34"/>
      <c r="AU2746" s="34"/>
      <c r="AV2746" s="34"/>
      <c r="AW2746" s="34"/>
      <c r="AX2746" s="34"/>
      <c r="AY2746" s="34"/>
      <c r="AZ2746" s="34"/>
      <c r="BA2746" s="34"/>
      <c r="BB2746" s="34"/>
      <c r="BC2746" s="34"/>
      <c r="BD2746" s="34"/>
      <c r="BE2746" s="34"/>
      <c r="BF2746" s="34"/>
      <c r="BG2746" s="34"/>
      <c r="BH2746" s="34"/>
      <c r="BI2746" s="34"/>
      <c r="BJ2746" s="34"/>
      <c r="BK2746" s="34"/>
      <c r="BL2746" s="34"/>
      <c r="BM2746" s="34"/>
      <c r="BN2746" s="34"/>
      <c r="BO2746" s="34"/>
      <c r="BP2746" s="34"/>
      <c r="BQ2746" s="34"/>
      <c r="BR2746" s="34"/>
      <c r="BS2746" s="34"/>
      <c r="BT2746" s="34"/>
      <c r="BU2746" s="34"/>
      <c r="BV2746" s="34"/>
      <c r="BW2746" s="34"/>
      <c r="BX2746" s="34"/>
      <c r="BY2746" s="34"/>
      <c r="BZ2746" s="34"/>
      <c r="CA2746" s="34"/>
      <c r="CB2746" s="34"/>
      <c r="CC2746" s="34"/>
      <c r="CD2746" s="34"/>
      <c r="CE2746" s="34"/>
      <c r="CF2746" s="34"/>
      <c r="CG2746" s="34"/>
      <c r="CH2746" s="34"/>
    </row>
    <row r="2747" spans="1:86" x14ac:dyDescent="0.2">
      <c r="A2747" s="8" t="str">
        <f>IF(AND(COUNTIF(W$3:W$13,A$21)&gt;0,A$21&lt;&gt;B2578),A$21,IFERROR(IF(MATCH(A$21,Z$3:Z$13,0)=8,A$21," ")," "))</f>
        <v xml:space="preserve"> </v>
      </c>
      <c r="B2747" s="8" t="str">
        <f>IF(A2747=" "," ",MAX(B2741:B2746)+1)</f>
        <v xml:space="preserve"> </v>
      </c>
      <c r="C2747" s="8" t="str">
        <f>IFERROR(INDEX(A2741:A2762,MATCH(SMALL(B2741:B2762,7),B2741:B2762,0),1)," ")</f>
        <v>C17</v>
      </c>
      <c r="D2747" s="8">
        <f t="shared" si="12007"/>
        <v>0</v>
      </c>
      <c r="E2747" s="8">
        <f t="shared" si="12008"/>
        <v>0</v>
      </c>
      <c r="F2747" s="8">
        <f t="shared" si="12009"/>
        <v>0</v>
      </c>
      <c r="G2747" s="8">
        <f t="shared" si="12010"/>
        <v>0</v>
      </c>
      <c r="H2747" s="8">
        <f t="shared" si="12011"/>
        <v>0</v>
      </c>
      <c r="I2747" s="8">
        <f t="shared" si="12012"/>
        <v>1</v>
      </c>
      <c r="J2747" s="8">
        <f t="shared" si="12013"/>
        <v>0</v>
      </c>
      <c r="K2747" s="8">
        <f t="shared" si="12014"/>
        <v>0</v>
      </c>
      <c r="L2747" s="8">
        <f t="shared" si="12015"/>
        <v>0</v>
      </c>
      <c r="M2747" s="8">
        <f t="shared" si="12016"/>
        <v>0</v>
      </c>
      <c r="N2747" s="8">
        <f t="shared" si="12017"/>
        <v>0</v>
      </c>
      <c r="O2747" s="8">
        <f t="shared" si="12018"/>
        <v>0</v>
      </c>
      <c r="P2747" s="8" t="e">
        <v>#NUM!</v>
      </c>
      <c r="Q2747" s="8" t="e">
        <f t="shared" ref="Q2747" si="12046">IF(COUNTIF(P2741:P2751,"&lt;"&amp;-0.001)=0,IF(ABS(P2747)&lt;0.001,0,P2747)," ")</f>
        <v>#NUM!</v>
      </c>
      <c r="R2747" s="8"/>
      <c r="S2747" s="8"/>
      <c r="U2747" s="34"/>
      <c r="V2747" s="34"/>
      <c r="W2747" s="34"/>
      <c r="X2747" s="34"/>
      <c r="Y2747" s="34"/>
      <c r="Z2747" s="34"/>
      <c r="AA2747" s="34"/>
      <c r="AB2747" s="34"/>
      <c r="AC2747" s="34"/>
      <c r="AD2747" s="34"/>
      <c r="AE2747" s="34"/>
      <c r="AF2747" s="34"/>
      <c r="AG2747" s="34"/>
      <c r="AH2747" s="34"/>
      <c r="AI2747" s="34"/>
      <c r="AJ2747" s="34"/>
      <c r="AK2747" s="34"/>
      <c r="AL2747" s="34"/>
      <c r="AM2747" s="34"/>
      <c r="AN2747" s="34"/>
      <c r="AO2747" s="34"/>
      <c r="AP2747" s="34"/>
      <c r="AQ2747" s="34"/>
      <c r="AR2747" s="34"/>
      <c r="AS2747" s="34"/>
      <c r="AT2747" s="34"/>
      <c r="AU2747" s="34"/>
      <c r="AV2747" s="34"/>
      <c r="AW2747" s="34"/>
      <c r="AX2747" s="34"/>
      <c r="AY2747" s="34"/>
      <c r="AZ2747" s="34"/>
      <c r="BA2747" s="34"/>
      <c r="BB2747" s="34"/>
      <c r="BC2747" s="34"/>
      <c r="BD2747" s="34"/>
      <c r="BE2747" s="34"/>
      <c r="BF2747" s="34"/>
      <c r="BG2747" s="34"/>
      <c r="BH2747" s="34"/>
      <c r="BI2747" s="34"/>
      <c r="BJ2747" s="34"/>
      <c r="BK2747" s="34"/>
      <c r="BL2747" s="34"/>
      <c r="BM2747" s="34"/>
      <c r="BN2747" s="34"/>
      <c r="BO2747" s="34"/>
      <c r="BP2747" s="34"/>
      <c r="BQ2747" s="34"/>
      <c r="BR2747" s="34"/>
      <c r="BS2747" s="34"/>
      <c r="BT2747" s="34"/>
      <c r="BU2747" s="34"/>
      <c r="BV2747" s="34"/>
      <c r="BW2747" s="34"/>
      <c r="BX2747" s="34"/>
      <c r="BY2747" s="34"/>
      <c r="BZ2747" s="34"/>
      <c r="CA2747" s="34"/>
      <c r="CB2747" s="34"/>
      <c r="CC2747" s="34"/>
      <c r="CD2747" s="34"/>
      <c r="CE2747" s="34"/>
      <c r="CF2747" s="34"/>
      <c r="CG2747" s="34"/>
      <c r="CH2747" s="34"/>
    </row>
    <row r="2748" spans="1:86" x14ac:dyDescent="0.2">
      <c r="A2748" s="8" t="str">
        <f>IF(AND(COUNTIF(W$3:W$13,A$22)&gt;0,A$22&lt;&gt;B2578),A$22,IFERROR(IF(MATCH(A$22,Z$3:Z$13,0)=8,A$22," ")," "))</f>
        <v xml:space="preserve"> </v>
      </c>
      <c r="B2748" s="8" t="str">
        <f>IF(A2748=" "," ",MAX(B2741:B2747)+1)</f>
        <v xml:space="preserve"> </v>
      </c>
      <c r="C2748" s="8" t="str">
        <f>IFERROR(INDEX(A2741:A2762,MATCH(SMALL(B2741:B2762,8),B2741:B2762,0),1)," ")</f>
        <v>C18</v>
      </c>
      <c r="D2748" s="8">
        <f t="shared" si="12007"/>
        <v>0</v>
      </c>
      <c r="E2748" s="8">
        <f t="shared" si="12008"/>
        <v>0</v>
      </c>
      <c r="F2748" s="8">
        <f t="shared" si="12009"/>
        <v>0</v>
      </c>
      <c r="G2748" s="8">
        <f t="shared" si="12010"/>
        <v>0</v>
      </c>
      <c r="H2748" s="8">
        <f t="shared" si="12011"/>
        <v>0</v>
      </c>
      <c r="I2748" s="8">
        <f t="shared" si="12012"/>
        <v>0</v>
      </c>
      <c r="J2748" s="8">
        <f t="shared" si="12013"/>
        <v>1</v>
      </c>
      <c r="K2748" s="8">
        <f t="shared" si="12014"/>
        <v>0</v>
      </c>
      <c r="L2748" s="8">
        <f t="shared" si="12015"/>
        <v>0</v>
      </c>
      <c r="M2748" s="8">
        <f t="shared" si="12016"/>
        <v>0</v>
      </c>
      <c r="N2748" s="8">
        <f t="shared" si="12017"/>
        <v>0</v>
      </c>
      <c r="O2748" s="8">
        <f t="shared" si="12018"/>
        <v>0</v>
      </c>
      <c r="P2748" s="8" t="e">
        <v>#NUM!</v>
      </c>
      <c r="Q2748" s="8" t="e">
        <f t="shared" ref="Q2748" si="12047">IF(COUNTIF(P2741:P2751,"&lt;"&amp;-0.001)=0,IF(ABS(P2748)&lt;0.001,0,P2748)," ")</f>
        <v>#NUM!</v>
      </c>
      <c r="R2748" s="8"/>
      <c r="S2748" s="8"/>
      <c r="U2748" s="34"/>
      <c r="V2748" s="34"/>
      <c r="W2748" s="34"/>
      <c r="X2748" s="34"/>
      <c r="Y2748" s="34"/>
      <c r="Z2748" s="34"/>
      <c r="AA2748" s="34"/>
      <c r="AB2748" s="34"/>
      <c r="AC2748" s="34"/>
      <c r="AD2748" s="34"/>
      <c r="AE2748" s="34"/>
      <c r="AF2748" s="34"/>
      <c r="AG2748" s="34"/>
      <c r="AH2748" s="34"/>
      <c r="AI2748" s="34"/>
      <c r="AJ2748" s="34"/>
      <c r="AK2748" s="34"/>
      <c r="AL2748" s="34"/>
      <c r="AM2748" s="34"/>
      <c r="AN2748" s="34"/>
      <c r="AO2748" s="34"/>
      <c r="AP2748" s="34"/>
      <c r="AQ2748" s="34"/>
      <c r="AR2748" s="34"/>
      <c r="AS2748" s="34"/>
      <c r="AT2748" s="34"/>
      <c r="AU2748" s="34"/>
      <c r="AV2748" s="34"/>
      <c r="AW2748" s="34"/>
      <c r="AX2748" s="34"/>
      <c r="AY2748" s="34"/>
      <c r="AZ2748" s="34"/>
      <c r="BA2748" s="34"/>
      <c r="BB2748" s="34"/>
      <c r="BC2748" s="34"/>
      <c r="BD2748" s="34"/>
      <c r="BE2748" s="34"/>
      <c r="BF2748" s="34"/>
      <c r="BG2748" s="34"/>
      <c r="BH2748" s="34"/>
      <c r="BI2748" s="34"/>
      <c r="BJ2748" s="34"/>
      <c r="BK2748" s="34"/>
      <c r="BL2748" s="34"/>
      <c r="BM2748" s="34"/>
      <c r="BN2748" s="34"/>
      <c r="BO2748" s="34"/>
      <c r="BP2748" s="34"/>
      <c r="BQ2748" s="34"/>
      <c r="BR2748" s="34"/>
      <c r="BS2748" s="34"/>
      <c r="BT2748" s="34"/>
      <c r="BU2748" s="34"/>
      <c r="BV2748" s="34"/>
      <c r="BW2748" s="34"/>
      <c r="BX2748" s="34"/>
      <c r="BY2748" s="34"/>
      <c r="BZ2748" s="34"/>
      <c r="CA2748" s="34"/>
      <c r="CB2748" s="34"/>
      <c r="CC2748" s="34"/>
      <c r="CD2748" s="34"/>
      <c r="CE2748" s="34"/>
      <c r="CF2748" s="34"/>
      <c r="CG2748" s="34"/>
      <c r="CH2748" s="34"/>
    </row>
    <row r="2749" spans="1:86" x14ac:dyDescent="0.2">
      <c r="A2749" s="8" t="str">
        <f>IF(AND(COUNTIF(W$3:W$13,A$23)&gt;0,A$23&lt;&gt;B2578),A$23,IFERROR(IF(MATCH(A$23,Z$3:Z$13,0)=8,A$23," ")," "))</f>
        <v xml:space="preserve"> </v>
      </c>
      <c r="B2749" s="8" t="str">
        <f>IF(A2749=" "," ",MAX(B2741:B2748)+1)</f>
        <v xml:space="preserve"> </v>
      </c>
      <c r="C2749" s="8" t="str">
        <f>IFERROR(INDEX(A2741:A2762,MATCH(SMALL(B2741:B2762,9),B2741:B2762,0),1)," ")</f>
        <v>C19</v>
      </c>
      <c r="D2749" s="8">
        <f t="shared" si="12007"/>
        <v>0</v>
      </c>
      <c r="E2749" s="8">
        <f t="shared" si="12008"/>
        <v>0</v>
      </c>
      <c r="F2749" s="8">
        <f t="shared" si="12009"/>
        <v>0</v>
      </c>
      <c r="G2749" s="8">
        <f t="shared" si="12010"/>
        <v>0</v>
      </c>
      <c r="H2749" s="8">
        <f t="shared" si="12011"/>
        <v>0</v>
      </c>
      <c r="I2749" s="8">
        <f t="shared" si="12012"/>
        <v>0</v>
      </c>
      <c r="J2749" s="8">
        <f t="shared" si="12013"/>
        <v>0</v>
      </c>
      <c r="K2749" s="8">
        <f t="shared" si="12014"/>
        <v>1</v>
      </c>
      <c r="L2749" s="8">
        <f t="shared" si="12015"/>
        <v>0</v>
      </c>
      <c r="M2749" s="8">
        <f t="shared" si="12016"/>
        <v>0</v>
      </c>
      <c r="N2749" s="8">
        <f t="shared" si="12017"/>
        <v>0</v>
      </c>
      <c r="O2749" s="8">
        <f t="shared" si="12018"/>
        <v>0</v>
      </c>
      <c r="P2749" s="6" t="e">
        <v>#NUM!</v>
      </c>
      <c r="Q2749" s="8" t="e">
        <f t="shared" ref="Q2749" si="12048">IF(COUNTIF(P2741:P2751,"&lt;"&amp;-0.001)=0,IF(ABS(P2749)&lt;0.001,0,P2749)," ")</f>
        <v>#NUM!</v>
      </c>
      <c r="R2749" s="8"/>
      <c r="S2749" s="8"/>
      <c r="U2749" s="34"/>
      <c r="V2749" s="34"/>
      <c r="W2749" s="34"/>
      <c r="X2749" s="34"/>
      <c r="Y2749" s="34"/>
      <c r="Z2749" s="34"/>
      <c r="AA2749" s="34"/>
      <c r="AB2749" s="34"/>
      <c r="AC2749" s="34"/>
      <c r="AD2749" s="34"/>
      <c r="AE2749" s="34"/>
      <c r="AF2749" s="34"/>
      <c r="AG2749" s="34"/>
      <c r="AH2749" s="34"/>
      <c r="AI2749" s="34"/>
      <c r="AJ2749" s="34"/>
      <c r="AK2749" s="34"/>
      <c r="AL2749" s="34"/>
      <c r="AM2749" s="34"/>
      <c r="AN2749" s="34"/>
      <c r="AO2749" s="34"/>
      <c r="AP2749" s="34"/>
      <c r="AQ2749" s="34"/>
      <c r="AR2749" s="34"/>
      <c r="AS2749" s="34"/>
      <c r="AT2749" s="34"/>
      <c r="AU2749" s="34"/>
      <c r="AV2749" s="34"/>
      <c r="AW2749" s="34"/>
      <c r="AX2749" s="34"/>
      <c r="AY2749" s="34"/>
      <c r="AZ2749" s="34"/>
      <c r="BA2749" s="34"/>
      <c r="BB2749" s="34"/>
      <c r="BC2749" s="34"/>
      <c r="BD2749" s="34"/>
      <c r="BE2749" s="34"/>
      <c r="BF2749" s="34"/>
      <c r="BG2749" s="34"/>
      <c r="BH2749" s="34"/>
      <c r="BI2749" s="34"/>
      <c r="BJ2749" s="34"/>
      <c r="BK2749" s="34"/>
      <c r="BL2749" s="34"/>
      <c r="BM2749" s="34"/>
      <c r="BN2749" s="34"/>
      <c r="BO2749" s="34"/>
      <c r="BP2749" s="34"/>
      <c r="BQ2749" s="34"/>
      <c r="BR2749" s="34"/>
      <c r="BS2749" s="34"/>
      <c r="BT2749" s="34"/>
      <c r="BU2749" s="34"/>
      <c r="BV2749" s="34"/>
      <c r="BW2749" s="34"/>
      <c r="BX2749" s="34"/>
      <c r="BY2749" s="34"/>
      <c r="BZ2749" s="34"/>
      <c r="CA2749" s="34"/>
      <c r="CB2749" s="34"/>
      <c r="CC2749" s="34"/>
      <c r="CD2749" s="34"/>
      <c r="CE2749" s="34"/>
      <c r="CF2749" s="34"/>
      <c r="CG2749" s="34"/>
      <c r="CH2749" s="34"/>
    </row>
    <row r="2750" spans="1:86" x14ac:dyDescent="0.2">
      <c r="A2750" s="8" t="str">
        <f>IF(AND(COUNTIF(W$3:W$13,A$24)&gt;0,A$24&lt;&gt;B2578),A$24,IFERROR(IF(MATCH(A$24,Z$3:Z$13,0)=8,A$24," ")," "))</f>
        <v>C10</v>
      </c>
      <c r="B2750" s="8">
        <f>IF(A2750=" "," ",MAX(B2741:B2749)+1)</f>
        <v>3</v>
      </c>
      <c r="C2750" s="8" t="str">
        <f>IFERROR(INDEX(A2741:A2762,MATCH(SMALL(B2741:B2762,10),B2741:B2762,0),1)," ")</f>
        <v>C20</v>
      </c>
      <c r="D2750" s="8">
        <f t="shared" si="12007"/>
        <v>0</v>
      </c>
      <c r="E2750" s="8">
        <f t="shared" si="12008"/>
        <v>0</v>
      </c>
      <c r="F2750" s="8">
        <f t="shared" si="12009"/>
        <v>0</v>
      </c>
      <c r="G2750" s="8">
        <f t="shared" si="12010"/>
        <v>0</v>
      </c>
      <c r="H2750" s="8">
        <f t="shared" si="12011"/>
        <v>0</v>
      </c>
      <c r="I2750" s="8">
        <f t="shared" si="12012"/>
        <v>0</v>
      </c>
      <c r="J2750" s="8">
        <f t="shared" si="12013"/>
        <v>0</v>
      </c>
      <c r="K2750" s="8">
        <f t="shared" si="12014"/>
        <v>0</v>
      </c>
      <c r="L2750" s="8">
        <f t="shared" si="12015"/>
        <v>1</v>
      </c>
      <c r="M2750" s="8">
        <f t="shared" si="12016"/>
        <v>0</v>
      </c>
      <c r="N2750" s="8">
        <f t="shared" si="12017"/>
        <v>0</v>
      </c>
      <c r="O2750" s="8">
        <f t="shared" si="12018"/>
        <v>0</v>
      </c>
      <c r="P2750" s="8" t="e">
        <v>#NUM!</v>
      </c>
      <c r="Q2750" s="8" t="e">
        <f t="shared" ref="Q2750" si="12049">IF(COUNTIF(P2741:P2751,"&lt;"&amp;-0.001)=0,IF(ABS(P2750)&lt;0.001,0,P2750)," ")</f>
        <v>#NUM!</v>
      </c>
      <c r="R2750" s="8"/>
      <c r="S2750" s="8"/>
      <c r="U2750" s="34"/>
      <c r="V2750" s="34"/>
      <c r="W2750" s="34"/>
      <c r="X2750" s="34"/>
      <c r="Y2750" s="34"/>
      <c r="Z2750" s="34"/>
      <c r="AA2750" s="34"/>
      <c r="AB2750" s="34"/>
      <c r="AC2750" s="34"/>
      <c r="AD2750" s="34"/>
      <c r="AE2750" s="34"/>
      <c r="AF2750" s="34"/>
      <c r="AG2750" s="34"/>
      <c r="AH2750" s="34"/>
      <c r="AI2750" s="34"/>
      <c r="AJ2750" s="34"/>
      <c r="AK2750" s="34"/>
      <c r="AL2750" s="34"/>
      <c r="AM2750" s="34"/>
      <c r="AN2750" s="34"/>
      <c r="AO2750" s="34"/>
      <c r="AP2750" s="34"/>
      <c r="AQ2750" s="34"/>
      <c r="AR2750" s="34"/>
      <c r="AS2750" s="34"/>
      <c r="AT2750" s="34"/>
      <c r="AU2750" s="34"/>
      <c r="AV2750" s="34"/>
      <c r="AW2750" s="34"/>
      <c r="AX2750" s="34"/>
      <c r="AY2750" s="34"/>
      <c r="AZ2750" s="34"/>
      <c r="BA2750" s="34"/>
      <c r="BB2750" s="34"/>
      <c r="BC2750" s="34"/>
      <c r="BD2750" s="34"/>
      <c r="BE2750" s="34"/>
      <c r="BF2750" s="34"/>
      <c r="BG2750" s="34"/>
      <c r="BH2750" s="34"/>
      <c r="BI2750" s="34"/>
      <c r="BJ2750" s="34"/>
      <c r="BK2750" s="34"/>
      <c r="BL2750" s="34"/>
      <c r="BM2750" s="34"/>
      <c r="BN2750" s="34"/>
      <c r="BO2750" s="34"/>
      <c r="BP2750" s="34"/>
      <c r="BQ2750" s="34"/>
      <c r="BR2750" s="34"/>
      <c r="BS2750" s="34"/>
      <c r="BT2750" s="34"/>
      <c r="BU2750" s="34"/>
      <c r="BV2750" s="34"/>
      <c r="BW2750" s="34"/>
      <c r="BX2750" s="34"/>
      <c r="BY2750" s="34"/>
      <c r="BZ2750" s="34"/>
      <c r="CA2750" s="34"/>
      <c r="CB2750" s="34"/>
      <c r="CC2750" s="34"/>
      <c r="CD2750" s="34"/>
      <c r="CE2750" s="34"/>
      <c r="CF2750" s="34"/>
      <c r="CG2750" s="34"/>
      <c r="CH2750" s="34"/>
    </row>
    <row r="2751" spans="1:86" x14ac:dyDescent="0.2">
      <c r="A2751" s="8" t="str">
        <f>IF(AND(COUNTIF(W$3:W$13,A$25)&gt;0,A$25&lt;&gt;B2578),A$25,IFERROR(IF(MATCH(A$25,Z$3:Z$13,0)=8,A$25," ")," "))</f>
        <v xml:space="preserve"> </v>
      </c>
      <c r="B2751" s="8" t="str">
        <f>IF(A2751=" "," ",MAX(B2741:B2750)+1)</f>
        <v xml:space="preserve"> </v>
      </c>
      <c r="C2751" s="8" t="str">
        <f>IFERROR(INDEX(A2741:A2762,MATCH(SMALL(B2741:B2762,11),B2741:B2762,0),1)," ")</f>
        <v>C21</v>
      </c>
      <c r="D2751" s="8">
        <f t="shared" si="12007"/>
        <v>0</v>
      </c>
      <c r="E2751" s="8">
        <f t="shared" si="12008"/>
        <v>0</v>
      </c>
      <c r="F2751" s="8">
        <f t="shared" si="12009"/>
        <v>0</v>
      </c>
      <c r="G2751" s="8">
        <f t="shared" si="12010"/>
        <v>0</v>
      </c>
      <c r="H2751" s="8">
        <f t="shared" si="12011"/>
        <v>0</v>
      </c>
      <c r="I2751" s="8">
        <f t="shared" si="12012"/>
        <v>0</v>
      </c>
      <c r="J2751" s="8">
        <f t="shared" si="12013"/>
        <v>0</v>
      </c>
      <c r="K2751" s="8">
        <f t="shared" si="12014"/>
        <v>0</v>
      </c>
      <c r="L2751" s="8">
        <f t="shared" si="12015"/>
        <v>0</v>
      </c>
      <c r="M2751" s="8">
        <f t="shared" si="12016"/>
        <v>1</v>
      </c>
      <c r="N2751" s="8">
        <f t="shared" si="12017"/>
        <v>0</v>
      </c>
      <c r="O2751" s="8">
        <f t="shared" si="12018"/>
        <v>0</v>
      </c>
      <c r="P2751" s="8" t="e">
        <v>#NUM!</v>
      </c>
      <c r="Q2751" s="8" t="e">
        <f t="shared" ref="Q2751" si="12050">IF(COUNTIF(P2741:P2751,"&lt;"&amp;-0.001)=0,IF(ABS(P2751)&lt;0.001,0,P2751)," ")</f>
        <v>#NUM!</v>
      </c>
      <c r="R2751" s="8"/>
      <c r="S2751" s="8"/>
      <c r="U2751" s="34"/>
      <c r="V2751" s="34"/>
      <c r="W2751" s="34"/>
      <c r="X2751" s="34"/>
      <c r="Y2751" s="34"/>
      <c r="Z2751" s="34"/>
      <c r="AA2751" s="34"/>
      <c r="AB2751" s="34"/>
      <c r="AC2751" s="34"/>
      <c r="AD2751" s="34"/>
      <c r="AE2751" s="34"/>
      <c r="AF2751" s="34"/>
      <c r="AG2751" s="34"/>
      <c r="AH2751" s="34"/>
      <c r="AI2751" s="34"/>
      <c r="AJ2751" s="34"/>
      <c r="AK2751" s="34"/>
      <c r="AL2751" s="34"/>
      <c r="AM2751" s="34"/>
      <c r="AN2751" s="34"/>
      <c r="AO2751" s="34"/>
      <c r="AP2751" s="34"/>
      <c r="AQ2751" s="34"/>
      <c r="AR2751" s="34"/>
      <c r="AS2751" s="34"/>
      <c r="AT2751" s="34"/>
      <c r="AU2751" s="34"/>
      <c r="AV2751" s="34"/>
      <c r="AW2751" s="34"/>
      <c r="AX2751" s="34"/>
      <c r="AY2751" s="34"/>
      <c r="AZ2751" s="34"/>
      <c r="BA2751" s="34"/>
      <c r="BB2751" s="34"/>
      <c r="BC2751" s="34"/>
      <c r="BD2751" s="34"/>
      <c r="BE2751" s="34"/>
      <c r="BF2751" s="34"/>
      <c r="BG2751" s="34"/>
      <c r="BH2751" s="34"/>
      <c r="BI2751" s="34"/>
      <c r="BJ2751" s="34"/>
      <c r="BK2751" s="34"/>
      <c r="BL2751" s="34"/>
      <c r="BM2751" s="34"/>
      <c r="BN2751" s="34"/>
      <c r="BO2751" s="34"/>
      <c r="BP2751" s="34"/>
      <c r="BQ2751" s="34"/>
      <c r="BR2751" s="34"/>
      <c r="BS2751" s="34"/>
      <c r="BT2751" s="34"/>
      <c r="BU2751" s="34"/>
      <c r="BV2751" s="34"/>
      <c r="BW2751" s="34"/>
      <c r="BX2751" s="34"/>
      <c r="BY2751" s="34"/>
      <c r="BZ2751" s="34"/>
      <c r="CA2751" s="34"/>
      <c r="CB2751" s="34"/>
      <c r="CC2751" s="34"/>
      <c r="CD2751" s="34"/>
      <c r="CE2751" s="34"/>
      <c r="CF2751" s="34"/>
      <c r="CG2751" s="34"/>
      <c r="CH2751" s="34"/>
    </row>
    <row r="2752" spans="1:86" x14ac:dyDescent="0.2">
      <c r="A2752" s="8" t="str">
        <f>IF(AND(COUNTIF(W$3:W$13,A$26)&gt;0,A$26&lt;&gt;B2578),A$26,IFERROR(IF(MATCH(A$26,Z$3:Z$13,0)=8,A$26," ")," "))</f>
        <v xml:space="preserve"> </v>
      </c>
      <c r="B2752" s="8" t="str">
        <f>IF(A2752=" "," ",MAX(B2741:B2751)+1)</f>
        <v xml:space="preserve"> </v>
      </c>
      <c r="C2752" s="8"/>
      <c r="D2752" s="8"/>
      <c r="E2752" s="8"/>
      <c r="F2752" s="8"/>
      <c r="G2752" s="8"/>
      <c r="H2752" s="8"/>
      <c r="I2752" s="8"/>
      <c r="J2752" s="8"/>
      <c r="K2752" s="8"/>
      <c r="L2752" s="8"/>
      <c r="M2752" s="8"/>
      <c r="N2752" s="8"/>
      <c r="O2752" s="8"/>
      <c r="P2752" s="8"/>
      <c r="Q2752" s="8"/>
      <c r="R2752" s="8"/>
      <c r="S2752" s="8"/>
      <c r="U2752" s="34"/>
      <c r="V2752" s="34"/>
      <c r="W2752" s="34"/>
      <c r="X2752" s="34"/>
      <c r="Y2752" s="34"/>
      <c r="Z2752" s="34"/>
      <c r="AA2752" s="34"/>
      <c r="AB2752" s="34"/>
      <c r="AC2752" s="34"/>
      <c r="AD2752" s="34"/>
      <c r="AE2752" s="34"/>
      <c r="AF2752" s="34"/>
      <c r="AG2752" s="34"/>
      <c r="AH2752" s="34"/>
      <c r="AI2752" s="34"/>
      <c r="AJ2752" s="34"/>
      <c r="AK2752" s="34"/>
      <c r="AL2752" s="34"/>
      <c r="AM2752" s="34"/>
      <c r="AN2752" s="34"/>
      <c r="AO2752" s="34"/>
      <c r="AP2752" s="34"/>
      <c r="AQ2752" s="34"/>
      <c r="AR2752" s="34"/>
      <c r="AS2752" s="34"/>
      <c r="AT2752" s="34"/>
      <c r="AU2752" s="34"/>
      <c r="AV2752" s="34"/>
      <c r="AW2752" s="34"/>
      <c r="AX2752" s="34"/>
      <c r="AY2752" s="34"/>
      <c r="AZ2752" s="34"/>
      <c r="BA2752" s="34"/>
      <c r="BB2752" s="34"/>
      <c r="BC2752" s="34"/>
      <c r="BD2752" s="34"/>
      <c r="BE2752" s="34"/>
      <c r="BF2752" s="34"/>
      <c r="BG2752" s="34"/>
      <c r="BH2752" s="34"/>
      <c r="BI2752" s="34"/>
      <c r="BJ2752" s="34"/>
      <c r="BK2752" s="34"/>
      <c r="BL2752" s="34"/>
      <c r="BM2752" s="34"/>
      <c r="BN2752" s="34"/>
      <c r="BO2752" s="34"/>
      <c r="BP2752" s="34"/>
      <c r="BQ2752" s="34"/>
      <c r="BR2752" s="34"/>
      <c r="BS2752" s="34"/>
      <c r="BT2752" s="34"/>
      <c r="BU2752" s="34"/>
      <c r="BV2752" s="34"/>
      <c r="BW2752" s="34"/>
      <c r="BX2752" s="34"/>
      <c r="BY2752" s="34"/>
      <c r="BZ2752" s="34"/>
      <c r="CA2752" s="34"/>
      <c r="CB2752" s="34"/>
      <c r="CC2752" s="34"/>
      <c r="CD2752" s="34"/>
      <c r="CE2752" s="34"/>
      <c r="CF2752" s="34"/>
      <c r="CG2752" s="34"/>
      <c r="CH2752" s="34"/>
    </row>
    <row r="2753" spans="1:86" x14ac:dyDescent="0.2">
      <c r="A2753" s="8" t="str">
        <f>IF(AND(COUNTIF(W$3:W$13,A$27)&gt;0,A$27&lt;&gt;B2578),A$27,IFERROR(IF(MATCH(A$27,Z$3:Z$13,0)=8,A$27," ")," "))</f>
        <v>C13</v>
      </c>
      <c r="B2753" s="8">
        <f>IF(A2753=" "," ",MAX(B2741:B2752)+1)</f>
        <v>4</v>
      </c>
      <c r="C2753" s="8"/>
      <c r="D2753" s="8"/>
      <c r="E2753" s="8"/>
      <c r="F2753" s="8"/>
      <c r="G2753" s="8"/>
      <c r="H2753" s="8"/>
      <c r="I2753" s="8"/>
      <c r="J2753" s="8"/>
      <c r="K2753" s="8"/>
      <c r="L2753" s="8"/>
      <c r="M2753" s="8"/>
      <c r="N2753" s="8"/>
      <c r="O2753" s="8"/>
      <c r="P2753" s="8"/>
      <c r="Q2753" s="8"/>
      <c r="R2753" s="8"/>
      <c r="S2753" s="8"/>
      <c r="U2753" s="34"/>
      <c r="V2753" s="34"/>
      <c r="W2753" s="34"/>
      <c r="X2753" s="34"/>
      <c r="Y2753" s="34"/>
      <c r="Z2753" s="34"/>
      <c r="AA2753" s="34"/>
      <c r="AB2753" s="34"/>
      <c r="AC2753" s="34"/>
      <c r="AD2753" s="34"/>
      <c r="AE2753" s="34"/>
      <c r="AF2753" s="34"/>
      <c r="AG2753" s="34"/>
      <c r="AH2753" s="34"/>
      <c r="AI2753" s="34"/>
      <c r="AJ2753" s="34"/>
      <c r="AK2753" s="34"/>
      <c r="AL2753" s="34"/>
      <c r="AM2753" s="34"/>
      <c r="AN2753" s="34"/>
      <c r="AO2753" s="34"/>
      <c r="AP2753" s="34"/>
      <c r="AQ2753" s="34"/>
      <c r="AR2753" s="34"/>
      <c r="AS2753" s="34"/>
      <c r="AT2753" s="34"/>
      <c r="AU2753" s="34"/>
      <c r="AV2753" s="34"/>
      <c r="AW2753" s="34"/>
      <c r="AX2753" s="34"/>
      <c r="AY2753" s="34"/>
      <c r="AZ2753" s="34"/>
      <c r="BA2753" s="34"/>
      <c r="BB2753" s="34"/>
      <c r="BC2753" s="34"/>
      <c r="BD2753" s="34"/>
      <c r="BE2753" s="34"/>
      <c r="BF2753" s="34"/>
      <c r="BG2753" s="34"/>
      <c r="BH2753" s="34"/>
      <c r="BI2753" s="34"/>
      <c r="BJ2753" s="34"/>
      <c r="BK2753" s="34"/>
      <c r="BL2753" s="34"/>
      <c r="BM2753" s="34"/>
      <c r="BN2753" s="34"/>
      <c r="BO2753" s="34"/>
      <c r="BP2753" s="34"/>
      <c r="BQ2753" s="34"/>
      <c r="BR2753" s="34"/>
      <c r="BS2753" s="34"/>
      <c r="BT2753" s="34"/>
      <c r="BU2753" s="34"/>
      <c r="BV2753" s="34"/>
      <c r="BW2753" s="34"/>
      <c r="BX2753" s="34"/>
      <c r="BY2753" s="34"/>
      <c r="BZ2753" s="34"/>
      <c r="CA2753" s="34"/>
      <c r="CB2753" s="34"/>
      <c r="CC2753" s="34"/>
      <c r="CD2753" s="34"/>
      <c r="CE2753" s="34"/>
      <c r="CF2753" s="34"/>
      <c r="CG2753" s="34"/>
      <c r="CH2753" s="34"/>
    </row>
    <row r="2754" spans="1:86" x14ac:dyDescent="0.2">
      <c r="A2754" s="8" t="str">
        <f>IF(AND(COUNTIF(W$3:W$13,A$28)&gt;0,A$28&lt;&gt;B2578),A$28,IFERROR(IF(MATCH(A$28,Z$3:Z$13,0)=8,A$28," ")," "))</f>
        <v xml:space="preserve"> </v>
      </c>
      <c r="B2754" s="8" t="str">
        <f>IF(A2754=" "," ",MAX(B2741:B2753)+1)</f>
        <v xml:space="preserve"> </v>
      </c>
      <c r="C2754" s="8"/>
      <c r="D2754" s="8"/>
      <c r="E2754" s="8"/>
      <c r="F2754" s="8"/>
      <c r="G2754" s="8"/>
      <c r="H2754" s="8"/>
      <c r="I2754" s="8"/>
      <c r="J2754" s="8"/>
      <c r="K2754" s="8"/>
      <c r="L2754" s="8"/>
      <c r="M2754" s="8"/>
      <c r="N2754" s="8"/>
      <c r="O2754" s="8"/>
      <c r="P2754" s="8"/>
      <c r="Q2754" s="8"/>
      <c r="R2754" s="8"/>
      <c r="S2754" s="8"/>
      <c r="U2754" s="34"/>
      <c r="V2754" s="34"/>
      <c r="W2754" s="34"/>
      <c r="X2754" s="34"/>
      <c r="Y2754" s="34"/>
      <c r="Z2754" s="34"/>
      <c r="AA2754" s="34"/>
      <c r="AB2754" s="34"/>
      <c r="AC2754" s="34"/>
      <c r="AD2754" s="34"/>
      <c r="AE2754" s="34"/>
      <c r="AF2754" s="34"/>
      <c r="AG2754" s="34"/>
      <c r="AH2754" s="34"/>
      <c r="AI2754" s="34"/>
      <c r="AJ2754" s="34"/>
      <c r="AK2754" s="34"/>
      <c r="AL2754" s="34"/>
      <c r="AM2754" s="34"/>
      <c r="AN2754" s="34"/>
      <c r="AO2754" s="34"/>
      <c r="AP2754" s="34"/>
      <c r="AQ2754" s="34"/>
      <c r="AR2754" s="34"/>
      <c r="AS2754" s="34"/>
      <c r="AT2754" s="34"/>
      <c r="AU2754" s="34"/>
      <c r="AV2754" s="34"/>
      <c r="AW2754" s="34"/>
      <c r="AX2754" s="34"/>
      <c r="AY2754" s="34"/>
      <c r="AZ2754" s="34"/>
      <c r="BA2754" s="34"/>
      <c r="BB2754" s="34"/>
      <c r="BC2754" s="34"/>
      <c r="BD2754" s="34"/>
      <c r="BE2754" s="34"/>
      <c r="BF2754" s="34"/>
      <c r="BG2754" s="34"/>
      <c r="BH2754" s="34"/>
      <c r="BI2754" s="34"/>
      <c r="BJ2754" s="34"/>
      <c r="BK2754" s="34"/>
      <c r="BL2754" s="34"/>
      <c r="BM2754" s="34"/>
      <c r="BN2754" s="34"/>
      <c r="BO2754" s="34"/>
      <c r="BP2754" s="34"/>
      <c r="BQ2754" s="34"/>
      <c r="BR2754" s="34"/>
      <c r="BS2754" s="34"/>
      <c r="BT2754" s="34"/>
      <c r="BU2754" s="34"/>
      <c r="BV2754" s="34"/>
      <c r="BW2754" s="34"/>
      <c r="BX2754" s="34"/>
      <c r="BY2754" s="34"/>
      <c r="BZ2754" s="34"/>
      <c r="CA2754" s="34"/>
      <c r="CB2754" s="34"/>
      <c r="CC2754" s="34"/>
      <c r="CD2754" s="34"/>
      <c r="CE2754" s="34"/>
      <c r="CF2754" s="34"/>
      <c r="CG2754" s="34"/>
      <c r="CH2754" s="34"/>
    </row>
    <row r="2755" spans="1:86" x14ac:dyDescent="0.2">
      <c r="A2755" s="8" t="str">
        <f>IF(AND(COUNTIF(W$3:W$13,A$29)&gt;0,A$29&lt;&gt;B2578),A$29,IFERROR(IF(MATCH(A$29,Z$3:Z$13,0)=8,A$29," ")," "))</f>
        <v>C15</v>
      </c>
      <c r="B2755" s="8">
        <f>IF(A2755=" "," ",MAX(B2741:B2754)+1)</f>
        <v>5</v>
      </c>
      <c r="C2755" s="8"/>
      <c r="D2755" s="8"/>
      <c r="E2755" s="8"/>
      <c r="F2755" s="8"/>
      <c r="G2755" s="8"/>
      <c r="H2755" s="8"/>
      <c r="I2755" s="8"/>
      <c r="J2755" s="8"/>
      <c r="K2755" s="8"/>
      <c r="L2755" s="8"/>
      <c r="M2755" s="8"/>
      <c r="N2755" s="8"/>
      <c r="O2755" s="8"/>
      <c r="P2755" s="8"/>
      <c r="Q2755" s="8"/>
      <c r="R2755" s="8"/>
      <c r="S2755" s="8"/>
      <c r="U2755" s="34"/>
      <c r="V2755" s="34"/>
      <c r="W2755" s="34"/>
      <c r="X2755" s="34"/>
      <c r="Y2755" s="34"/>
      <c r="Z2755" s="34"/>
      <c r="AA2755" s="34"/>
      <c r="AB2755" s="34"/>
      <c r="AC2755" s="34"/>
      <c r="AD2755" s="34"/>
      <c r="AE2755" s="34"/>
      <c r="AF2755" s="34"/>
      <c r="AG2755" s="34"/>
      <c r="AH2755" s="34"/>
      <c r="AI2755" s="34"/>
      <c r="AJ2755" s="34"/>
      <c r="AK2755" s="34"/>
      <c r="AL2755" s="34"/>
      <c r="AM2755" s="34"/>
      <c r="AN2755" s="34"/>
      <c r="AO2755" s="34"/>
      <c r="AP2755" s="34"/>
      <c r="AQ2755" s="34"/>
      <c r="AR2755" s="34"/>
      <c r="AS2755" s="34"/>
      <c r="AT2755" s="34"/>
      <c r="AU2755" s="34"/>
      <c r="AV2755" s="34"/>
      <c r="AW2755" s="34"/>
      <c r="AX2755" s="34"/>
      <c r="AY2755" s="34"/>
      <c r="AZ2755" s="34"/>
      <c r="BA2755" s="34"/>
      <c r="BB2755" s="34"/>
      <c r="BC2755" s="34"/>
      <c r="BD2755" s="34"/>
      <c r="BE2755" s="34"/>
      <c r="BF2755" s="34"/>
      <c r="BG2755" s="34"/>
      <c r="BH2755" s="34"/>
      <c r="BI2755" s="34"/>
      <c r="BJ2755" s="34"/>
      <c r="BK2755" s="34"/>
      <c r="BL2755" s="34"/>
      <c r="BM2755" s="34"/>
      <c r="BN2755" s="34"/>
      <c r="BO2755" s="34"/>
      <c r="BP2755" s="34"/>
      <c r="BQ2755" s="34"/>
      <c r="BR2755" s="34"/>
      <c r="BS2755" s="34"/>
      <c r="BT2755" s="34"/>
      <c r="BU2755" s="34"/>
      <c r="BV2755" s="34"/>
      <c r="BW2755" s="34"/>
      <c r="BX2755" s="34"/>
      <c r="BY2755" s="34"/>
      <c r="BZ2755" s="34"/>
      <c r="CA2755" s="34"/>
      <c r="CB2755" s="34"/>
      <c r="CC2755" s="34"/>
      <c r="CD2755" s="34"/>
      <c r="CE2755" s="34"/>
      <c r="CF2755" s="34"/>
      <c r="CG2755" s="34"/>
      <c r="CH2755" s="34"/>
    </row>
    <row r="2756" spans="1:86" x14ac:dyDescent="0.2">
      <c r="A2756" s="8" t="str">
        <f>IF(AND(COUNTIF(W$3:W$13,A$30)&gt;0,A$30&lt;&gt;B2578),A$30,IFERROR(IF(MATCH(A$30,Z$3:Z$13,0)=8,A$30," ")," "))</f>
        <v>C16</v>
      </c>
      <c r="B2756" s="8">
        <f>IF(A2756=" "," ",MAX(B2741:B2755)+1)</f>
        <v>6</v>
      </c>
      <c r="C2756" s="8"/>
      <c r="D2756" s="8"/>
      <c r="E2756" s="8"/>
      <c r="F2756" s="8"/>
      <c r="G2756" s="8"/>
      <c r="H2756" s="8"/>
      <c r="I2756" s="8"/>
      <c r="J2756" s="8"/>
      <c r="K2756" s="8"/>
      <c r="L2756" s="8"/>
      <c r="M2756" s="8"/>
      <c r="N2756" s="8"/>
      <c r="O2756" s="8"/>
      <c r="P2756" s="8"/>
      <c r="Q2756" s="8"/>
      <c r="R2756" s="8"/>
      <c r="S2756" s="8"/>
      <c r="U2756" s="34"/>
      <c r="V2756" s="34"/>
      <c r="W2756" s="34"/>
      <c r="X2756" s="34"/>
      <c r="Y2756" s="34"/>
      <c r="Z2756" s="34"/>
      <c r="AA2756" s="34"/>
      <c r="AB2756" s="34"/>
      <c r="AC2756" s="34"/>
      <c r="AD2756" s="34"/>
      <c r="AE2756" s="34"/>
      <c r="AF2756" s="34"/>
      <c r="AG2756" s="34"/>
      <c r="AH2756" s="34"/>
      <c r="AI2756" s="34"/>
      <c r="AJ2756" s="34"/>
      <c r="AK2756" s="34"/>
      <c r="AL2756" s="34"/>
      <c r="AM2756" s="34"/>
      <c r="AN2756" s="34"/>
      <c r="AO2756" s="34"/>
      <c r="AP2756" s="34"/>
      <c r="AQ2756" s="34"/>
      <c r="AR2756" s="34"/>
      <c r="AS2756" s="34"/>
      <c r="AT2756" s="34"/>
      <c r="AU2756" s="34"/>
      <c r="AV2756" s="34"/>
      <c r="AW2756" s="34"/>
      <c r="AX2756" s="34"/>
      <c r="AY2756" s="34"/>
      <c r="AZ2756" s="34"/>
      <c r="BA2756" s="34"/>
      <c r="BB2756" s="34"/>
      <c r="BC2756" s="34"/>
      <c r="BD2756" s="34"/>
      <c r="BE2756" s="34"/>
      <c r="BF2756" s="34"/>
      <c r="BG2756" s="34"/>
      <c r="BH2756" s="34"/>
      <c r="BI2756" s="34"/>
      <c r="BJ2756" s="34"/>
      <c r="BK2756" s="34"/>
      <c r="BL2756" s="34"/>
      <c r="BM2756" s="34"/>
      <c r="BN2756" s="34"/>
      <c r="BO2756" s="34"/>
      <c r="BP2756" s="34"/>
      <c r="BQ2756" s="34"/>
      <c r="BR2756" s="34"/>
      <c r="BS2756" s="34"/>
      <c r="BT2756" s="34"/>
      <c r="BU2756" s="34"/>
      <c r="BV2756" s="34"/>
      <c r="BW2756" s="34"/>
      <c r="BX2756" s="34"/>
      <c r="BY2756" s="34"/>
      <c r="BZ2756" s="34"/>
      <c r="CA2756" s="34"/>
      <c r="CB2756" s="34"/>
      <c r="CC2756" s="34"/>
      <c r="CD2756" s="34"/>
      <c r="CE2756" s="34"/>
      <c r="CF2756" s="34"/>
      <c r="CG2756" s="34"/>
      <c r="CH2756" s="34"/>
    </row>
    <row r="2757" spans="1:86" x14ac:dyDescent="0.2">
      <c r="A2757" s="8" t="str">
        <f>IF(AND(COUNTIF(W$3:W$13,A$31)&gt;0,A$31&lt;&gt;B2578),A$31,IFERROR(IF(MATCH(A$31,Z$3:Z$13,0)=8,A$31," ")," "))</f>
        <v>C17</v>
      </c>
      <c r="B2757" s="8">
        <f>IF(A2757=" "," ",MAX(B2741:B2756)+1)</f>
        <v>7</v>
      </c>
      <c r="C2757" s="8"/>
      <c r="D2757" s="8"/>
      <c r="E2757" s="8"/>
      <c r="F2757" s="8"/>
      <c r="G2757" s="8"/>
      <c r="H2757" s="8"/>
      <c r="I2757" s="8"/>
      <c r="J2757" s="8"/>
      <c r="K2757" s="8"/>
      <c r="L2757" s="8"/>
      <c r="M2757" s="8"/>
      <c r="N2757" s="8"/>
      <c r="O2757" s="8"/>
      <c r="P2757" s="8"/>
      <c r="Q2757" s="8"/>
      <c r="R2757" s="8"/>
      <c r="S2757" s="8"/>
      <c r="U2757" s="34"/>
      <c r="V2757" s="34"/>
      <c r="W2757" s="34"/>
      <c r="X2757" s="34"/>
      <c r="Y2757" s="34"/>
      <c r="Z2757" s="34"/>
      <c r="AA2757" s="34"/>
      <c r="AB2757" s="34"/>
      <c r="AC2757" s="34"/>
      <c r="AD2757" s="34"/>
      <c r="AE2757" s="34"/>
      <c r="AF2757" s="34"/>
      <c r="AG2757" s="34"/>
      <c r="AH2757" s="34"/>
      <c r="AI2757" s="34"/>
      <c r="AJ2757" s="34"/>
      <c r="AK2757" s="34"/>
      <c r="AL2757" s="34"/>
      <c r="AM2757" s="34"/>
      <c r="AN2757" s="34"/>
      <c r="AO2757" s="34"/>
      <c r="AP2757" s="34"/>
      <c r="AQ2757" s="34"/>
      <c r="AR2757" s="34"/>
      <c r="AS2757" s="34"/>
      <c r="AT2757" s="34"/>
      <c r="AU2757" s="34"/>
      <c r="AV2757" s="34"/>
      <c r="AW2757" s="34"/>
      <c r="AX2757" s="34"/>
      <c r="AY2757" s="34"/>
      <c r="AZ2757" s="34"/>
      <c r="BA2757" s="34"/>
      <c r="BB2757" s="34"/>
      <c r="BC2757" s="34"/>
      <c r="BD2757" s="34"/>
      <c r="BE2757" s="34"/>
      <c r="BF2757" s="34"/>
      <c r="BG2757" s="34"/>
      <c r="BH2757" s="34"/>
      <c r="BI2757" s="34"/>
      <c r="BJ2757" s="34"/>
      <c r="BK2757" s="34"/>
      <c r="BL2757" s="34"/>
      <c r="BM2757" s="34"/>
      <c r="BN2757" s="34"/>
      <c r="BO2757" s="34"/>
      <c r="BP2757" s="34"/>
      <c r="BQ2757" s="34"/>
      <c r="BR2757" s="34"/>
      <c r="BS2757" s="34"/>
      <c r="BT2757" s="34"/>
      <c r="BU2757" s="34"/>
      <c r="BV2757" s="34"/>
      <c r="BW2757" s="34"/>
      <c r="BX2757" s="34"/>
      <c r="BY2757" s="34"/>
      <c r="BZ2757" s="34"/>
      <c r="CA2757" s="34"/>
      <c r="CB2757" s="34"/>
      <c r="CC2757" s="34"/>
      <c r="CD2757" s="34"/>
      <c r="CE2757" s="34"/>
      <c r="CF2757" s="34"/>
      <c r="CG2757" s="34"/>
      <c r="CH2757" s="34"/>
    </row>
    <row r="2758" spans="1:86" x14ac:dyDescent="0.2">
      <c r="A2758" s="8" t="str">
        <f>IF(AND(COUNTIF(W$3:W$13,A$32)&gt;0,A$32&lt;&gt;B2578),A$32,IFERROR(IF(MATCH(A$32,Z$3:Z$13,0)=8,A$32," ")," "))</f>
        <v>C18</v>
      </c>
      <c r="B2758" s="8">
        <f>IF(A2758=" "," ",MAX(B2741:B2757)+1)</f>
        <v>8</v>
      </c>
      <c r="C2758" s="8"/>
      <c r="D2758" s="8"/>
      <c r="E2758" s="8"/>
      <c r="F2758" s="8"/>
      <c r="G2758" s="8"/>
      <c r="H2758" s="8"/>
      <c r="I2758" s="8"/>
      <c r="J2758" s="8"/>
      <c r="K2758" s="8"/>
      <c r="L2758" s="8"/>
      <c r="M2758" s="8"/>
      <c r="N2758" s="8"/>
      <c r="O2758" s="8"/>
      <c r="P2758" s="8"/>
      <c r="Q2758" s="8"/>
      <c r="R2758" s="8"/>
      <c r="S2758" s="8"/>
      <c r="U2758" s="34"/>
      <c r="V2758" s="34"/>
      <c r="W2758" s="34"/>
      <c r="X2758" s="34"/>
      <c r="Y2758" s="34"/>
      <c r="Z2758" s="34"/>
      <c r="AA2758" s="34"/>
      <c r="AB2758" s="34"/>
      <c r="AC2758" s="34"/>
      <c r="AD2758" s="34"/>
      <c r="AE2758" s="34"/>
      <c r="AF2758" s="34"/>
      <c r="AG2758" s="34"/>
      <c r="AH2758" s="34"/>
      <c r="AI2758" s="34"/>
      <c r="AJ2758" s="34"/>
      <c r="AK2758" s="34"/>
      <c r="AL2758" s="34"/>
      <c r="AM2758" s="34"/>
      <c r="AN2758" s="34"/>
      <c r="AO2758" s="34"/>
      <c r="AP2758" s="34"/>
      <c r="AQ2758" s="34"/>
      <c r="AR2758" s="34"/>
      <c r="AS2758" s="34"/>
      <c r="AT2758" s="34"/>
      <c r="AU2758" s="34"/>
      <c r="AV2758" s="34"/>
      <c r="AW2758" s="34"/>
      <c r="AX2758" s="34"/>
      <c r="AY2758" s="34"/>
      <c r="AZ2758" s="34"/>
      <c r="BA2758" s="34"/>
      <c r="BB2758" s="34"/>
      <c r="BC2758" s="34"/>
      <c r="BD2758" s="34"/>
      <c r="BE2758" s="34"/>
      <c r="BF2758" s="34"/>
      <c r="BG2758" s="34"/>
      <c r="BH2758" s="34"/>
      <c r="BI2758" s="34"/>
      <c r="BJ2758" s="34"/>
      <c r="BK2758" s="34"/>
      <c r="BL2758" s="34"/>
      <c r="BM2758" s="34"/>
      <c r="BN2758" s="34"/>
      <c r="BO2758" s="34"/>
      <c r="BP2758" s="34"/>
      <c r="BQ2758" s="34"/>
      <c r="BR2758" s="34"/>
      <c r="BS2758" s="34"/>
      <c r="BT2758" s="34"/>
      <c r="BU2758" s="34"/>
      <c r="BV2758" s="34"/>
      <c r="BW2758" s="34"/>
      <c r="BX2758" s="34"/>
      <c r="BY2758" s="34"/>
      <c r="BZ2758" s="34"/>
      <c r="CA2758" s="34"/>
      <c r="CB2758" s="34"/>
      <c r="CC2758" s="34"/>
      <c r="CD2758" s="34"/>
      <c r="CE2758" s="34"/>
      <c r="CF2758" s="34"/>
      <c r="CG2758" s="34"/>
      <c r="CH2758" s="34"/>
    </row>
    <row r="2759" spans="1:86" x14ac:dyDescent="0.2">
      <c r="A2759" s="8" t="str">
        <f>IF(AND(COUNTIF(W$3:W$13,A$33)&gt;0,A$33&lt;&gt;B2578),A$33,IFERROR(IF(MATCH(A$33,Z$3:Z$13,0)=8,A$33," ")," "))</f>
        <v>C19</v>
      </c>
      <c r="B2759" s="8">
        <f>IF(A2759=" "," ",MAX(B2741:B2758)+1)</f>
        <v>9</v>
      </c>
      <c r="C2759" s="8"/>
      <c r="D2759" s="8"/>
      <c r="E2759" s="8"/>
      <c r="F2759" s="8"/>
      <c r="G2759" s="8"/>
      <c r="H2759" s="8"/>
      <c r="I2759" s="8"/>
      <c r="J2759" s="8"/>
      <c r="K2759" s="8"/>
      <c r="L2759" s="8"/>
      <c r="M2759" s="8"/>
      <c r="N2759" s="8"/>
      <c r="O2759" s="8"/>
      <c r="P2759" s="8"/>
      <c r="Q2759" s="8"/>
      <c r="R2759" s="8"/>
      <c r="S2759" s="8"/>
      <c r="U2759" s="34"/>
      <c r="V2759" s="34"/>
      <c r="W2759" s="34"/>
      <c r="X2759" s="34"/>
      <c r="Y2759" s="34"/>
      <c r="Z2759" s="34"/>
      <c r="AA2759" s="34"/>
      <c r="AB2759" s="34"/>
      <c r="AC2759" s="34"/>
      <c r="AD2759" s="34"/>
      <c r="AE2759" s="34"/>
      <c r="AF2759" s="34"/>
      <c r="AG2759" s="34"/>
      <c r="AH2759" s="34"/>
      <c r="AI2759" s="34"/>
      <c r="AJ2759" s="34"/>
      <c r="AK2759" s="34"/>
      <c r="AL2759" s="34"/>
      <c r="AM2759" s="34"/>
      <c r="AN2759" s="34"/>
      <c r="AO2759" s="34"/>
      <c r="AP2759" s="34"/>
      <c r="AQ2759" s="34"/>
      <c r="AR2759" s="34"/>
      <c r="AS2759" s="34"/>
      <c r="AT2759" s="34"/>
      <c r="AU2759" s="34"/>
      <c r="AV2759" s="34"/>
      <c r="AW2759" s="34"/>
      <c r="AX2759" s="34"/>
      <c r="AY2759" s="34"/>
      <c r="AZ2759" s="34"/>
      <c r="BA2759" s="34"/>
      <c r="BB2759" s="34"/>
      <c r="BC2759" s="34"/>
      <c r="BD2759" s="34"/>
      <c r="BE2759" s="34"/>
      <c r="BF2759" s="34"/>
      <c r="BG2759" s="34"/>
      <c r="BH2759" s="34"/>
      <c r="BI2759" s="34"/>
      <c r="BJ2759" s="34"/>
      <c r="BK2759" s="34"/>
      <c r="BL2759" s="34"/>
      <c r="BM2759" s="34"/>
      <c r="BN2759" s="34"/>
      <c r="BO2759" s="34"/>
      <c r="BP2759" s="34"/>
      <c r="BQ2759" s="34"/>
      <c r="BR2759" s="34"/>
      <c r="BS2759" s="34"/>
      <c r="BT2759" s="34"/>
      <c r="BU2759" s="34"/>
      <c r="BV2759" s="34"/>
      <c r="BW2759" s="34"/>
      <c r="BX2759" s="34"/>
      <c r="BY2759" s="34"/>
      <c r="BZ2759" s="34"/>
      <c r="CA2759" s="34"/>
      <c r="CB2759" s="34"/>
      <c r="CC2759" s="34"/>
      <c r="CD2759" s="34"/>
      <c r="CE2759" s="34"/>
      <c r="CF2759" s="34"/>
      <c r="CG2759" s="34"/>
      <c r="CH2759" s="34"/>
    </row>
    <row r="2760" spans="1:86" x14ac:dyDescent="0.2">
      <c r="A2760" s="8" t="str">
        <f>IF(AND(COUNTIF(W$3:W$13,A$34)&gt;0,A$34&lt;&gt;B2578),A$34,IFERROR(IF(MATCH(A$34,Z$3:Z$13,0)=8,A$34," ")," "))</f>
        <v>C20</v>
      </c>
      <c r="B2760" s="8">
        <f>IF(A2760=" "," ",MAX(B2741:B2759)+1)</f>
        <v>10</v>
      </c>
      <c r="C2760" s="8"/>
      <c r="D2760" s="8"/>
      <c r="E2760" s="8"/>
      <c r="F2760" s="8"/>
      <c r="G2760" s="8"/>
      <c r="H2760" s="8"/>
      <c r="I2760" s="8"/>
      <c r="J2760" s="8"/>
      <c r="K2760" s="8"/>
      <c r="L2760" s="8"/>
      <c r="M2760" s="8"/>
      <c r="N2760" s="8"/>
      <c r="O2760" s="8"/>
      <c r="P2760" s="8"/>
      <c r="Q2760" s="8"/>
      <c r="R2760" s="8"/>
      <c r="S2760" s="8"/>
      <c r="U2760" s="34"/>
      <c r="V2760" s="34"/>
      <c r="W2760" s="34"/>
      <c r="X2760" s="34"/>
      <c r="Y2760" s="34"/>
      <c r="Z2760" s="34"/>
      <c r="AA2760" s="34"/>
      <c r="AB2760" s="34"/>
      <c r="AC2760" s="34"/>
      <c r="AD2760" s="34"/>
      <c r="AE2760" s="34"/>
      <c r="AF2760" s="34"/>
      <c r="AG2760" s="34"/>
      <c r="AH2760" s="34"/>
      <c r="AI2760" s="34"/>
      <c r="AJ2760" s="34"/>
      <c r="AK2760" s="34"/>
      <c r="AL2760" s="34"/>
      <c r="AM2760" s="34"/>
      <c r="AN2760" s="34"/>
      <c r="AO2760" s="34"/>
      <c r="AP2760" s="34"/>
      <c r="AQ2760" s="34"/>
      <c r="AR2760" s="34"/>
      <c r="AS2760" s="34"/>
      <c r="AT2760" s="34"/>
      <c r="AU2760" s="34"/>
      <c r="AV2760" s="34"/>
      <c r="AW2760" s="34"/>
      <c r="AX2760" s="34"/>
      <c r="AY2760" s="34"/>
      <c r="AZ2760" s="34"/>
      <c r="BA2760" s="34"/>
      <c r="BB2760" s="34"/>
      <c r="BC2760" s="34"/>
      <c r="BD2760" s="34"/>
      <c r="BE2760" s="34"/>
      <c r="BF2760" s="34"/>
      <c r="BG2760" s="34"/>
      <c r="BH2760" s="34"/>
      <c r="BI2760" s="34"/>
      <c r="BJ2760" s="34"/>
      <c r="BK2760" s="34"/>
      <c r="BL2760" s="34"/>
      <c r="BM2760" s="34"/>
      <c r="BN2760" s="34"/>
      <c r="BO2760" s="34"/>
      <c r="BP2760" s="34"/>
      <c r="BQ2760" s="34"/>
      <c r="BR2760" s="34"/>
      <c r="BS2760" s="34"/>
      <c r="BT2760" s="34"/>
      <c r="BU2760" s="34"/>
      <c r="BV2760" s="34"/>
      <c r="BW2760" s="34"/>
      <c r="BX2760" s="34"/>
      <c r="BY2760" s="34"/>
      <c r="BZ2760" s="34"/>
      <c r="CA2760" s="34"/>
      <c r="CB2760" s="34"/>
      <c r="CC2760" s="34"/>
      <c r="CD2760" s="34"/>
      <c r="CE2760" s="34"/>
      <c r="CF2760" s="34"/>
      <c r="CG2760" s="34"/>
      <c r="CH2760" s="34"/>
    </row>
    <row r="2761" spans="1:86" x14ac:dyDescent="0.2">
      <c r="A2761" s="8" t="str">
        <f>IF(AND(COUNTIF(W$3:W$13,A$35)&gt;0,A$35&lt;&gt;B2578),A$35,IFERROR(IF(MATCH(A$35,Z$3:Z$13,0)=8,A$35," ")," "))</f>
        <v>C21</v>
      </c>
      <c r="B2761" s="8">
        <f>IF(A2761=" "," ",MAX(B2741:B2760)+1)</f>
        <v>11</v>
      </c>
      <c r="C2761" s="8"/>
      <c r="D2761" s="8"/>
      <c r="E2761" s="8"/>
      <c r="F2761" s="8"/>
      <c r="G2761" s="8"/>
      <c r="H2761" s="8"/>
      <c r="I2761" s="8"/>
      <c r="J2761" s="8"/>
      <c r="K2761" s="8"/>
      <c r="L2761" s="8"/>
      <c r="M2761" s="8"/>
      <c r="N2761" s="8"/>
      <c r="O2761" s="8"/>
      <c r="P2761" s="8"/>
      <c r="Q2761" s="8"/>
      <c r="R2761" s="8"/>
      <c r="S2761" s="8"/>
      <c r="U2761" s="34"/>
      <c r="V2761" s="34"/>
      <c r="W2761" s="34"/>
      <c r="X2761" s="34"/>
      <c r="Y2761" s="34"/>
      <c r="Z2761" s="34"/>
      <c r="AA2761" s="34"/>
      <c r="AB2761" s="34"/>
      <c r="AC2761" s="34"/>
      <c r="AD2761" s="34"/>
      <c r="AE2761" s="34"/>
      <c r="AF2761" s="34"/>
      <c r="AG2761" s="34"/>
      <c r="AH2761" s="34"/>
      <c r="AI2761" s="34"/>
      <c r="AJ2761" s="34"/>
      <c r="AK2761" s="34"/>
      <c r="AL2761" s="34"/>
      <c r="AM2761" s="34"/>
      <c r="AN2761" s="34"/>
      <c r="AO2761" s="34"/>
      <c r="AP2761" s="34"/>
      <c r="AQ2761" s="34"/>
      <c r="AR2761" s="34"/>
      <c r="AS2761" s="34"/>
      <c r="AT2761" s="34"/>
      <c r="AU2761" s="34"/>
      <c r="AV2761" s="34"/>
      <c r="AW2761" s="34"/>
      <c r="AX2761" s="34"/>
      <c r="AY2761" s="34"/>
      <c r="AZ2761" s="34"/>
      <c r="BA2761" s="34"/>
      <c r="BB2761" s="34"/>
      <c r="BC2761" s="34"/>
      <c r="BD2761" s="34"/>
      <c r="BE2761" s="34"/>
      <c r="BF2761" s="34"/>
      <c r="BG2761" s="34"/>
      <c r="BH2761" s="34"/>
      <c r="BI2761" s="34"/>
      <c r="BJ2761" s="34"/>
      <c r="BK2761" s="34"/>
      <c r="BL2761" s="34"/>
      <c r="BM2761" s="34"/>
      <c r="BN2761" s="34"/>
      <c r="BO2761" s="34"/>
      <c r="BP2761" s="34"/>
      <c r="BQ2761" s="34"/>
      <c r="BR2761" s="34"/>
      <c r="BS2761" s="34"/>
      <c r="BT2761" s="34"/>
      <c r="BU2761" s="34"/>
      <c r="BV2761" s="34"/>
      <c r="BW2761" s="34"/>
      <c r="BX2761" s="34"/>
      <c r="BY2761" s="34"/>
      <c r="BZ2761" s="34"/>
      <c r="CA2761" s="34"/>
      <c r="CB2761" s="34"/>
      <c r="CC2761" s="34"/>
      <c r="CD2761" s="34"/>
      <c r="CE2761" s="34"/>
      <c r="CF2761" s="34"/>
      <c r="CG2761" s="34"/>
      <c r="CH2761" s="34"/>
    </row>
    <row r="2762" spans="1:86" x14ac:dyDescent="0.2">
      <c r="A2762" s="8" t="str">
        <f>IF(AND(COUNTIF(W$3:W$13,A$36)&gt;0,A$36&lt;&gt;B2578),A$36,IFERROR(IF(MATCH(A$36,Z$3:Z$13,0)=8,A$36," ")," "))</f>
        <v xml:space="preserve"> </v>
      </c>
      <c r="B2762" s="8" t="str">
        <f>IF(A2762=" "," ",MAX(B2741:B2761)+1)</f>
        <v xml:space="preserve"> </v>
      </c>
      <c r="C2762" s="8"/>
      <c r="D2762" s="8"/>
      <c r="E2762" s="8"/>
      <c r="F2762" s="8"/>
      <c r="G2762" s="8"/>
      <c r="H2762" s="8"/>
      <c r="I2762" s="8"/>
      <c r="J2762" s="8"/>
      <c r="K2762" s="8"/>
      <c r="L2762" s="8"/>
      <c r="M2762" s="8"/>
      <c r="N2762" s="8"/>
      <c r="O2762" s="8"/>
      <c r="P2762" s="8"/>
      <c r="Q2762" s="8"/>
      <c r="R2762" s="8"/>
      <c r="S2762" s="8"/>
      <c r="U2762" s="34"/>
      <c r="V2762" s="34"/>
      <c r="W2762" s="34"/>
      <c r="X2762" s="34"/>
      <c r="Y2762" s="34"/>
      <c r="Z2762" s="34"/>
      <c r="AA2762" s="34"/>
      <c r="AB2762" s="34"/>
      <c r="AC2762" s="34"/>
      <c r="AD2762" s="34"/>
      <c r="AE2762" s="34"/>
      <c r="AF2762" s="34"/>
      <c r="AG2762" s="34"/>
      <c r="AH2762" s="34"/>
      <c r="AI2762" s="34"/>
      <c r="AJ2762" s="34"/>
      <c r="AK2762" s="34"/>
      <c r="AL2762" s="34"/>
      <c r="AM2762" s="34"/>
      <c r="AN2762" s="34"/>
      <c r="AO2762" s="34"/>
      <c r="AP2762" s="34"/>
      <c r="AQ2762" s="34"/>
      <c r="AR2762" s="34"/>
      <c r="AS2762" s="34"/>
      <c r="AT2762" s="34"/>
      <c r="AU2762" s="34"/>
      <c r="AV2762" s="34"/>
      <c r="AW2762" s="34"/>
      <c r="AX2762" s="34"/>
      <c r="AY2762" s="34"/>
      <c r="AZ2762" s="34"/>
      <c r="BA2762" s="34"/>
      <c r="BB2762" s="34"/>
      <c r="BC2762" s="34"/>
      <c r="BD2762" s="34"/>
      <c r="BE2762" s="34"/>
      <c r="BF2762" s="34"/>
      <c r="BG2762" s="34"/>
      <c r="BH2762" s="34"/>
      <c r="BI2762" s="34"/>
      <c r="BJ2762" s="34"/>
      <c r="BK2762" s="34"/>
      <c r="BL2762" s="34"/>
      <c r="BM2762" s="34"/>
      <c r="BN2762" s="34"/>
      <c r="BO2762" s="34"/>
      <c r="BP2762" s="34"/>
      <c r="BQ2762" s="34"/>
      <c r="BR2762" s="34"/>
      <c r="BS2762" s="34"/>
      <c r="BT2762" s="34"/>
      <c r="BU2762" s="34"/>
      <c r="BV2762" s="34"/>
      <c r="BW2762" s="34"/>
      <c r="BX2762" s="34"/>
      <c r="BY2762" s="34"/>
      <c r="BZ2762" s="34"/>
      <c r="CA2762" s="34"/>
      <c r="CB2762" s="34"/>
      <c r="CC2762" s="34"/>
      <c r="CD2762" s="34"/>
      <c r="CE2762" s="34"/>
      <c r="CF2762" s="34"/>
      <c r="CG2762" s="34"/>
      <c r="CH2762" s="34"/>
    </row>
    <row r="2763" spans="1:86" x14ac:dyDescent="0.2">
      <c r="A2763" s="11" t="s">
        <v>17</v>
      </c>
      <c r="B2763" s="11"/>
      <c r="C2763" s="27" t="s">
        <v>18</v>
      </c>
      <c r="D2763" s="27" t="s">
        <v>2</v>
      </c>
      <c r="E2763" s="27" t="s">
        <v>6</v>
      </c>
      <c r="F2763" s="27" t="s">
        <v>15</v>
      </c>
      <c r="G2763" s="27" t="s">
        <v>36</v>
      </c>
      <c r="H2763" s="27" t="s">
        <v>37</v>
      </c>
      <c r="I2763" s="27" t="s">
        <v>38</v>
      </c>
      <c r="J2763" s="27" t="s">
        <v>39</v>
      </c>
      <c r="K2763" s="27" t="s">
        <v>40</v>
      </c>
      <c r="L2763" s="27" t="s">
        <v>41</v>
      </c>
      <c r="M2763" s="27" t="s">
        <v>42</v>
      </c>
      <c r="N2763" s="27" t="s">
        <v>43</v>
      </c>
      <c r="O2763" s="27" t="s">
        <v>9</v>
      </c>
      <c r="P2763" s="27" t="s">
        <v>12</v>
      </c>
      <c r="Q2763" s="27" t="s">
        <v>19</v>
      </c>
      <c r="R2763" s="27" t="s">
        <v>55</v>
      </c>
      <c r="S2763" s="27" t="s">
        <v>26</v>
      </c>
      <c r="T2763" s="19" t="s">
        <v>25</v>
      </c>
      <c r="U2763" s="33" t="s">
        <v>27</v>
      </c>
      <c r="V2763" s="33" t="s">
        <v>9</v>
      </c>
      <c r="W2763" s="33" t="s">
        <v>23</v>
      </c>
      <c r="X2763" s="33" t="s">
        <v>12</v>
      </c>
      <c r="Y2763" s="33" t="s">
        <v>26</v>
      </c>
      <c r="Z2763" s="33" t="s">
        <v>25</v>
      </c>
      <c r="AA2763" s="33" t="s">
        <v>27</v>
      </c>
      <c r="AB2763" s="33" t="s">
        <v>9</v>
      </c>
      <c r="AC2763" s="33" t="s">
        <v>23</v>
      </c>
      <c r="AD2763" s="33" t="s">
        <v>12</v>
      </c>
      <c r="AE2763" s="33" t="s">
        <v>26</v>
      </c>
      <c r="AF2763" s="33" t="s">
        <v>25</v>
      </c>
      <c r="AG2763" s="33" t="s">
        <v>27</v>
      </c>
      <c r="AH2763" s="33" t="s">
        <v>9</v>
      </c>
      <c r="AI2763" s="33" t="s">
        <v>23</v>
      </c>
      <c r="AJ2763" s="33" t="s">
        <v>12</v>
      </c>
      <c r="AK2763" s="33" t="s">
        <v>26</v>
      </c>
      <c r="AL2763" s="33" t="s">
        <v>25</v>
      </c>
      <c r="AM2763" s="33" t="s">
        <v>27</v>
      </c>
      <c r="AN2763" s="33" t="s">
        <v>9</v>
      </c>
      <c r="AO2763" s="33" t="s">
        <v>23</v>
      </c>
      <c r="AP2763" s="33" t="s">
        <v>12</v>
      </c>
      <c r="AQ2763" s="33" t="s">
        <v>26</v>
      </c>
      <c r="AR2763" s="33" t="s">
        <v>25</v>
      </c>
      <c r="AS2763" s="33" t="s">
        <v>27</v>
      </c>
      <c r="AT2763" s="33" t="s">
        <v>9</v>
      </c>
      <c r="AU2763" s="33" t="s">
        <v>23</v>
      </c>
      <c r="AV2763" s="33" t="s">
        <v>12</v>
      </c>
      <c r="AW2763" s="33" t="s">
        <v>26</v>
      </c>
      <c r="AX2763" s="33" t="s">
        <v>25</v>
      </c>
      <c r="AY2763" s="33" t="s">
        <v>27</v>
      </c>
      <c r="AZ2763" s="33" t="s">
        <v>9</v>
      </c>
      <c r="BA2763" s="33" t="s">
        <v>23</v>
      </c>
      <c r="BB2763" s="33" t="s">
        <v>12</v>
      </c>
      <c r="BC2763" s="33" t="s">
        <v>26</v>
      </c>
      <c r="BD2763" s="33" t="s">
        <v>25</v>
      </c>
      <c r="BE2763" s="33" t="s">
        <v>27</v>
      </c>
      <c r="BF2763" s="33" t="s">
        <v>9</v>
      </c>
      <c r="BG2763" s="33" t="s">
        <v>23</v>
      </c>
      <c r="BH2763" s="33" t="s">
        <v>12</v>
      </c>
      <c r="BI2763" s="33" t="s">
        <v>26</v>
      </c>
      <c r="BJ2763" s="33" t="s">
        <v>25</v>
      </c>
      <c r="BK2763" s="33" t="s">
        <v>27</v>
      </c>
      <c r="BL2763" s="33" t="s">
        <v>9</v>
      </c>
      <c r="BM2763" s="33" t="s">
        <v>23</v>
      </c>
      <c r="BN2763" s="33" t="s">
        <v>12</v>
      </c>
      <c r="BO2763" s="33" t="s">
        <v>26</v>
      </c>
      <c r="BP2763" s="33" t="s">
        <v>25</v>
      </c>
      <c r="BQ2763" s="33" t="s">
        <v>27</v>
      </c>
      <c r="BR2763" s="33" t="s">
        <v>9</v>
      </c>
      <c r="BS2763" s="33" t="s">
        <v>23</v>
      </c>
      <c r="BT2763" s="33" t="s">
        <v>12</v>
      </c>
      <c r="BU2763" s="33" t="s">
        <v>26</v>
      </c>
      <c r="BV2763" s="33" t="s">
        <v>25</v>
      </c>
      <c r="BW2763" s="33" t="s">
        <v>27</v>
      </c>
      <c r="BX2763" s="33" t="s">
        <v>9</v>
      </c>
      <c r="BY2763" s="33" t="s">
        <v>23</v>
      </c>
      <c r="BZ2763" s="33" t="s">
        <v>12</v>
      </c>
      <c r="CA2763" s="33" t="s">
        <v>26</v>
      </c>
      <c r="CB2763" s="33" t="s">
        <v>25</v>
      </c>
      <c r="CC2763" s="33" t="s">
        <v>27</v>
      </c>
      <c r="CD2763" s="33" t="s">
        <v>9</v>
      </c>
      <c r="CE2763" s="33" t="s">
        <v>23</v>
      </c>
      <c r="CF2763" s="33" t="s">
        <v>12</v>
      </c>
      <c r="CG2763" s="33" t="s">
        <v>26</v>
      </c>
      <c r="CH2763" s="33" t="s">
        <v>25</v>
      </c>
    </row>
    <row r="2764" spans="1:86" x14ac:dyDescent="0.2">
      <c r="A2764" s="8" t="str">
        <f>IF(AND(COUNTIF(W$3:W$13,A$15)&gt;0,A$15&lt;&gt;B2578),A$15,IFERROR(IF(MATCH(A$15,Z$3:Z$13,0)=9,A$15," ")," "))</f>
        <v xml:space="preserve"> </v>
      </c>
      <c r="B2764" s="8" t="str">
        <f>IF(A2764=" "," ",1)</f>
        <v xml:space="preserve"> </v>
      </c>
      <c r="C2764" s="8" t="str">
        <f>IFERROR(INDEX(A2764:A2785,MATCH(SMALL(B2764:B2785,1),B2764:B2785,0),1)," ")</f>
        <v>C3</v>
      </c>
      <c r="D2764" s="8">
        <f>IFERROR(VLOOKUP($C2764,$A$15:$O$36,2,FALSE)," ")</f>
        <v>2</v>
      </c>
      <c r="E2764" s="8">
        <f>IFERROR(VLOOKUP($C2764,$A$15:$O$36,3,FALSE)," ")</f>
        <v>5</v>
      </c>
      <c r="F2764" s="8">
        <f>IFERROR(VLOOKUP($C2764,$A$15:$O$36,4,FALSE)," ")</f>
        <v>6</v>
      </c>
      <c r="G2764" s="8">
        <f>IFERROR(VLOOKUP($C2764,$A$15:$O$36,5,FALSE)," ")</f>
        <v>0</v>
      </c>
      <c r="H2764" s="8">
        <f>IFERROR(VLOOKUP($C2764,$A$15:$O$36,6,FALSE)," ")</f>
        <v>0</v>
      </c>
      <c r="I2764" s="8">
        <f>IFERROR(VLOOKUP($C2764,$A$15:$O$36,7,FALSE)," ")</f>
        <v>0</v>
      </c>
      <c r="J2764" s="8">
        <f>IFERROR(VLOOKUP($C2764,$A$15:$O$36,8,FALSE)," ")</f>
        <v>0</v>
      </c>
      <c r="K2764" s="8">
        <f>IFERROR(VLOOKUP($C2764,$A$15:$O$36,9,FALSE)," ")</f>
        <v>0</v>
      </c>
      <c r="L2764" s="8">
        <f>IFERROR(VLOOKUP($C2764,$A$15:$O$36,10,FALSE)," ")</f>
        <v>0</v>
      </c>
      <c r="M2764" s="8">
        <f>IFERROR(VLOOKUP($C2764,$A$15:$O$36,11,FALSE)," ")</f>
        <v>0</v>
      </c>
      <c r="N2764" s="8">
        <f>IFERROR(VLOOKUP($C2764,$A$15:$O$36,12,FALSE)," ")</f>
        <v>0</v>
      </c>
      <c r="O2764" s="8">
        <f>IFERROR(VLOOKUP($C2764,$A$15:$O$36,15,FALSE)," ")</f>
        <v>2000</v>
      </c>
      <c r="P2764" s="8" t="e">
        <f t="array" ref="P2764:P2774">MMULT(MINVERSE(D2764:N2774),O2764:O2774)</f>
        <v>#NUM!</v>
      </c>
      <c r="Q2764" s="8" t="e">
        <f t="shared" ref="Q2764" si="12051">IF(COUNTIF(P2764:P2774,"&lt;"&amp;-0.001)=0,IF(ABS(P2764)&lt;0.001,0,P2764)," ")</f>
        <v>#NUM!</v>
      </c>
      <c r="R2764" s="8" t="str">
        <f>IFERROR(VLOOKUP(B2578,A$15:L$36,2,FALSE)*Q2764+VLOOKUP(B2578,A$15:L$36,3,FALSE)*Q2765+VLOOKUP(B2578,A$15:L$36,4,FALSE)*Q2766+VLOOKUP(B2578,A$15:L$36,5,FALSE)*Q2767+VLOOKUP(B2578,A$15:L$36,6,FALSE)*Q2768+VLOOKUP(B2578,A$15:L$36,7,FALSE)*Q2769+VLOOKUP(B2578,A$15:L$36,8,FALSE)*Q2770+VLOOKUP(B2578,A$15:L$36,9,FALSE)*Q2771+VLOOKUP(B2578,A$15:L$36,10,FALSE)*Q2772+VLOOKUP(B2578,A$15:L$36,11,FALSE)*Q2773+VLOOKUP(B2578,A$15:L$36,12,FALSE)*Q2774," ")</f>
        <v xml:space="preserve"> </v>
      </c>
      <c r="S2764" s="8" t="str">
        <f>IFERROR(IF(R2764-VLOOKUP(B2578,A$15:O$36,15,FALSE)&lt;0,R2764-VLOOKUP(B2578,A$15:O$36,15,FALSE)," ")," ")</f>
        <v xml:space="preserve"> </v>
      </c>
      <c r="T2764" s="18" t="str">
        <f>IFERROR(IF(R2764-VLOOKUP(B2578,A$15:O$36,15,FALSE)&gt;0,R2764-VLOOKUP(B2578,A$15:O$36,15,FALSE)," ")," ")</f>
        <v xml:space="preserve"> </v>
      </c>
      <c r="U2764" s="34">
        <f t="shared" ref="U2764" si="12052">$M$2</f>
        <v>100.00000000000001</v>
      </c>
      <c r="V2764" s="34">
        <v>-1</v>
      </c>
      <c r="W2764" s="34">
        <f t="shared" ref="W2764" si="12053">-SUMPRODUCT($M$3:$M$12,$N$3:$N$12)</f>
        <v>-105000</v>
      </c>
      <c r="X2764" s="34" t="e">
        <f t="shared" ref="X2764" si="12054">IF(U2764&lt;&gt;U2765,MMULT(MINVERSE(U2764:V2765),W2764:W2765)," ")</f>
        <v>#NUM!</v>
      </c>
      <c r="Y2764" s="34" t="str">
        <f t="shared" ref="Y2764" si="12055">IFERROR(IF(X2764-VLOOKUP(U$38,$A$2:$N$12,14,FALSE)&lt;0,X2764-VLOOKUP(U$38,$A$2:$N$12,14,FALSE)," ")," ")</f>
        <v xml:space="preserve"> </v>
      </c>
      <c r="Z2764" s="34" t="str">
        <f t="shared" ref="Z2764" si="12056">IFERROR(IF(X2764-VLOOKUP(U$38,$A$2:$N$12,14,FALSE)&gt;0,X2764-VLOOKUP(U$38,$A$2:$N$12,14,FALSE)," ")," ")</f>
        <v xml:space="preserve"> </v>
      </c>
      <c r="AA2764" s="34">
        <f t="shared" ref="AA2764" si="12057">$M$3</f>
        <v>0</v>
      </c>
      <c r="AB2764" s="34">
        <v>-1</v>
      </c>
      <c r="AC2764" s="34">
        <f t="shared" ref="AC2764" si="12058">-SUMPRODUCT($M$2:$M$2,$N$2:$N$2)-SUMPRODUCT($M$4:$M$12,$N$4:$N$12)</f>
        <v>-120000</v>
      </c>
      <c r="AD2764" s="34" t="e">
        <f t="shared" ref="AD2764" si="12059">IF(AA2764&lt;&gt;AA2765,MMULT(MINVERSE(AA2764:AB2765),AC2764:AC2765)," ")</f>
        <v>#NUM!</v>
      </c>
      <c r="AE2764" s="34" t="str">
        <f t="shared" ref="AE2764" si="12060">IFERROR(IF(AD2764-VLOOKUP(AA$38,$A$2:$N$12,14,FALSE)&lt;0,AD2764-VLOOKUP(AA$38,$A$2:$N$12,14,FALSE)," ")," ")</f>
        <v xml:space="preserve"> </v>
      </c>
      <c r="AF2764" s="34" t="str">
        <f t="shared" ref="AF2764" si="12061">IFERROR(IF(AD2764-VLOOKUP(AA$38,$A$2:$N$12,14,FALSE)&gt;0,AD2764-VLOOKUP(AA$38,$A$2:$N$12,14,FALSE)," ")," ")</f>
        <v xml:space="preserve"> </v>
      </c>
      <c r="AG2764" s="34">
        <f t="shared" ref="AG2764" si="12062">$M$4</f>
        <v>300</v>
      </c>
      <c r="AH2764" s="34">
        <v>-1</v>
      </c>
      <c r="AI2764" s="34">
        <f t="shared" ref="AI2764" si="12063">-SUMPRODUCT($M$2:$M$3,$N$2:$N$3)-SUMPRODUCT($M$5:$M$12,$N$5:$N$12)</f>
        <v>-15000.000000000002</v>
      </c>
      <c r="AJ2764" s="34" t="e">
        <f t="shared" ref="AJ2764" si="12064">IF(AG2764&lt;&gt;AG2765,MMULT(MINVERSE(AG2764:AH2765),AI2764:AI2765)," ")</f>
        <v>#NUM!</v>
      </c>
      <c r="AK2764" s="34" t="str">
        <f t="shared" ref="AK2764" si="12065">IFERROR(IF(AJ2764-VLOOKUP(AG$38,$A$2:$N$12,14,FALSE)&lt;0,AJ2764-VLOOKUP(AG$38,$A$2:$N$12,14,FALSE)," ")," ")</f>
        <v xml:space="preserve"> </v>
      </c>
      <c r="AL2764" s="34" t="str">
        <f t="shared" ref="AL2764" si="12066">IFERROR(IF(AJ2764-VLOOKUP(AG$38,$A$2:$N$12,14,FALSE)&gt;0,AJ2764-VLOOKUP(AG$38,$A$2:$N$12,14,FALSE)," ")," ")</f>
        <v xml:space="preserve"> </v>
      </c>
      <c r="AM2764" s="34">
        <f t="shared" ref="AM2764" si="12067">$M$5</f>
        <v>0</v>
      </c>
      <c r="AN2764" s="34">
        <v>-1</v>
      </c>
      <c r="AO2764" s="34">
        <f t="shared" ref="AO2764" si="12068">-SUMPRODUCT($M$2:$M$4,$N$2:$N$4)-SUMPRODUCT($M$6:$M$12,$N$6:$N$12)</f>
        <v>-120000</v>
      </c>
      <c r="AP2764" s="34" t="e">
        <f t="shared" ref="AP2764" si="12069">IF(AM2764&lt;&gt;AM2765,MMULT(MINVERSE(AM2764:AN2765),AO2764:AO2765)," ")</f>
        <v>#NUM!</v>
      </c>
      <c r="AQ2764" s="34" t="str">
        <f t="shared" ref="AQ2764" si="12070">IFERROR(IF(AP2764-VLOOKUP(AM$38,$A$2:$N$12,14,FALSE)&lt;0,AP2764-VLOOKUP(AM$38,$A$2:$N$12,14,FALSE)," ")," ")</f>
        <v xml:space="preserve"> </v>
      </c>
      <c r="AR2764" s="34" t="str">
        <f t="shared" ref="AR2764" si="12071">IFERROR(IF(AP2764-VLOOKUP(AM$38,$A$2:$N$12,14,FALSE)&gt;0,AP2764-VLOOKUP(AM$38,$A$2:$N$12,14,FALSE)," ")," ")</f>
        <v xml:space="preserve"> </v>
      </c>
      <c r="AS2764" s="34">
        <f t="shared" ref="AS2764" si="12072">$M$6</f>
        <v>0</v>
      </c>
      <c r="AT2764" s="34">
        <v>-1</v>
      </c>
      <c r="AU2764" s="34">
        <f t="shared" ref="AU2764" si="12073">-SUMPRODUCT($M$2:$M$5,$N$2:$N$5)-SUMPRODUCT($M$7:$M$12,$N$7:$N$12)</f>
        <v>-120000</v>
      </c>
      <c r="AV2764" s="34" t="e">
        <f t="shared" ref="AV2764" si="12074">IF(AS2764&lt;&gt;AS2765,MMULT(MINVERSE(AS2764:AT2765),AU2764:AU2765)," ")</f>
        <v>#NUM!</v>
      </c>
      <c r="AW2764" s="34" t="str">
        <f t="shared" ref="AW2764" si="12075">IFERROR(IF(AV2764-VLOOKUP(AS$38,$A$2:$N$12,14,FALSE)&lt;0,AV2764-VLOOKUP(AS$38,$A$2:$N$12,14,FALSE)," ")," ")</f>
        <v xml:space="preserve"> </v>
      </c>
      <c r="AX2764" s="34" t="str">
        <f t="shared" ref="AX2764" si="12076">IFERROR(IF(AV2764-VLOOKUP(AS$38,$A$2:$N$12,14,FALSE)&gt;0,AV2764-VLOOKUP(AS$38,$A$2:$N$12,14,FALSE)," ")," ")</f>
        <v xml:space="preserve"> </v>
      </c>
      <c r="AY2764" s="34">
        <f t="shared" ref="AY2764" si="12077">$M$7</f>
        <v>0</v>
      </c>
      <c r="AZ2764" s="34">
        <v>-1</v>
      </c>
      <c r="BA2764" s="34">
        <f t="shared" ref="BA2764" si="12078">-SUMPRODUCT($M$2:$M$6,$N$2:$N$6)-SUMPRODUCT($M$8:$M$12,$N$8:$N$12)</f>
        <v>-120000</v>
      </c>
      <c r="BB2764" s="34" t="e">
        <f t="shared" ref="BB2764" si="12079">IF(AY2764&lt;&gt;AY2765,MMULT(MINVERSE(AY2764:AZ2765),BA2764:BA2765)," ")</f>
        <v>#NUM!</v>
      </c>
      <c r="BC2764" s="34" t="str">
        <f t="shared" ref="BC2764" si="12080">IFERROR(IF(BB2764-VLOOKUP(AY$38,$A$2:$N$12,14,FALSE)&lt;0,BB2764-VLOOKUP(AY$38,$A$2:$N$12,14,FALSE)," ")," ")</f>
        <v xml:space="preserve"> </v>
      </c>
      <c r="BD2764" s="34" t="str">
        <f t="shared" ref="BD2764" si="12081">IFERROR(IF(BB2764-VLOOKUP(AY$38,$A$2:$N$12,14,FALSE)&gt;0,BB2764-VLOOKUP(AY$38,$A$2:$N$12,14,FALSE)," ")," ")</f>
        <v xml:space="preserve"> </v>
      </c>
      <c r="BE2764" s="34">
        <f t="shared" ref="BE2764" si="12082">$M$8</f>
        <v>0</v>
      </c>
      <c r="BF2764" s="34">
        <v>-1</v>
      </c>
      <c r="BG2764" s="34">
        <f t="shared" ref="BG2764" si="12083">-SUMPRODUCT($M$2:$M$7,$N$2:$N$7)-SUMPRODUCT($M$9:$M$12,$N$9:$N$12)</f>
        <v>-120000</v>
      </c>
      <c r="BH2764" s="34" t="e">
        <f t="shared" ref="BH2764" si="12084">IF(BE2764&lt;&gt;BE2765,MMULT(MINVERSE(BE2764:BF2765),BG2764:BG2765)," ")</f>
        <v>#NUM!</v>
      </c>
      <c r="BI2764" s="34" t="str">
        <f t="shared" ref="BI2764" si="12085">IFERROR(IF(BH2764-VLOOKUP(BE$38,$A$2:$N$12,14,FALSE)&lt;0,BH2764-VLOOKUP(BE$38,$A$2:$N$12,14,FALSE)," ")," ")</f>
        <v xml:space="preserve"> </v>
      </c>
      <c r="BJ2764" s="34" t="str">
        <f t="shared" ref="BJ2764" si="12086">IFERROR(IF(BH2764-VLOOKUP(BE$38,$A$2:$N$12,14,FALSE)&gt;0,BH2764-VLOOKUP(BE$38,$A$2:$N$12,14,FALSE)," ")," ")</f>
        <v xml:space="preserve"> </v>
      </c>
      <c r="BK2764" s="34">
        <f t="shared" ref="BK2764" si="12087">$M$9</f>
        <v>0</v>
      </c>
      <c r="BL2764" s="34">
        <v>-1</v>
      </c>
      <c r="BM2764" s="34">
        <f t="shared" ref="BM2764" si="12088">-SUMPRODUCT($M$2:$M$8,$N$2:$N$8)-SUMPRODUCT($M$10:$M$12,$N$10:$N$12)</f>
        <v>-120000</v>
      </c>
      <c r="BN2764" s="34" t="e">
        <f t="shared" ref="BN2764" si="12089">IF(BK2764&lt;&gt;BK2765,MMULT(MINVERSE(BK2764:BL2765),BM2764:BM2765)," ")</f>
        <v>#NUM!</v>
      </c>
      <c r="BO2764" s="34" t="str">
        <f t="shared" ref="BO2764" si="12090">IFERROR(IF(BN2764-VLOOKUP(BK$38,$A$2:$N$12,14,FALSE)&lt;0,BN2764-VLOOKUP(BK$38,$A$2:$N$12,14,FALSE)," ")," ")</f>
        <v xml:space="preserve"> </v>
      </c>
      <c r="BP2764" s="34" t="str">
        <f t="shared" ref="BP2764" si="12091">IFERROR(IF(BN2764-VLOOKUP(BK$38,$A$2:$N$12,14,FALSE)&gt;0,BN2764-VLOOKUP(BK$38,$A$2:$N$12,14,FALSE)," ")," ")</f>
        <v xml:space="preserve"> </v>
      </c>
      <c r="BQ2764" s="34">
        <f t="shared" ref="BQ2764" si="12092">$M$10</f>
        <v>0</v>
      </c>
      <c r="BR2764" s="34">
        <v>-1</v>
      </c>
      <c r="BS2764" s="34">
        <f t="shared" ref="BS2764" si="12093">-SUMPRODUCT($M$2:$M$9,$N$2:$N$9)-SUMPRODUCT($M$11:$M$12,$N$11:$N$12)</f>
        <v>-120000</v>
      </c>
      <c r="BT2764" s="34" t="e">
        <f t="shared" ref="BT2764" si="12094">IF(BQ2764&lt;&gt;BQ2765,MMULT(MINVERSE(BQ2764:BR2765),BS2764:BS2765)," ")</f>
        <v>#NUM!</v>
      </c>
      <c r="BU2764" s="34" t="str">
        <f t="shared" ref="BU2764" si="12095">IFERROR(IF(BT2764-VLOOKUP(BQ$38,$A$2:$N$12,14,FALSE)&lt;0,BT2764-VLOOKUP(BQ$38,$A$2:$N$12,14,FALSE)," ")," ")</f>
        <v xml:space="preserve"> </v>
      </c>
      <c r="BV2764" s="34" t="str">
        <f t="shared" ref="BV2764" si="12096">IFERROR(IF(BT2764-VLOOKUP(BQ$38,$A$2:$N$12,14,FALSE)&gt;0,BT2764-VLOOKUP(BQ$38,$A$2:$N$12,14,FALSE)," ")," ")</f>
        <v xml:space="preserve"> </v>
      </c>
      <c r="BW2764" s="34">
        <f t="shared" ref="BW2764" si="12097">$M$11</f>
        <v>0</v>
      </c>
      <c r="BX2764" s="34">
        <v>-1</v>
      </c>
      <c r="BY2764" s="34">
        <f t="shared" ref="BY2764" si="12098">-SUMPRODUCT($M$2:$M$10,$N$2:$N$10)-SUMPRODUCT($M$12,$N$12)</f>
        <v>-120000</v>
      </c>
      <c r="BZ2764" s="34" t="e">
        <f t="shared" ref="BZ2764" si="12099">IF(BW2764&lt;&gt;BW2765,MMULT(MINVERSE(BW2764:BX2765),BY2764:BY2765)," ")</f>
        <v>#NUM!</v>
      </c>
      <c r="CA2764" s="34" t="str">
        <f t="shared" ref="CA2764" si="12100">IFERROR(IF(BZ2764-VLOOKUP(BW$38,$A$2:$N$12,14,FALSE)&lt;0,BZ2764-VLOOKUP(BW$38,$A$2:$N$12,14,FALSE)," ")," ")</f>
        <v xml:space="preserve"> </v>
      </c>
      <c r="CB2764" s="34" t="str">
        <f t="shared" ref="CB2764" si="12101">IFERROR(IF(BZ2764-VLOOKUP(BW$38,$A$2:$N$12,14,FALSE)&gt;0,BZ2764-VLOOKUP(BW$38,$A$2:$N$12,14,FALSE)," ")," ")</f>
        <v xml:space="preserve"> </v>
      </c>
      <c r="CC2764" s="34">
        <f t="shared" ref="CC2764" si="12102">$M$12</f>
        <v>0</v>
      </c>
      <c r="CD2764" s="34">
        <v>-1</v>
      </c>
      <c r="CE2764" s="34">
        <f t="shared" ref="CE2764" si="12103">-SUMPRODUCT($M$2:$M$11,$N$2:$N$11)</f>
        <v>-120000</v>
      </c>
      <c r="CF2764" s="34" t="e">
        <f t="shared" ref="CF2764" si="12104">IF(CC2764&lt;&gt;CC2765,MMULT(MINVERSE(CC2764:CD2765),CE2764:CE2765)," ")</f>
        <v>#NUM!</v>
      </c>
      <c r="CG2764" s="34" t="str">
        <f t="shared" ref="CG2764" si="12105">IFERROR(IF(CF2764-VLOOKUP(CC$38,$A$2:$N$12,14,FALSE)&lt;0,CF2764-VLOOKUP(CC$38,$A$2:$N$12,14,FALSE)," ")," ")</f>
        <v xml:space="preserve"> </v>
      </c>
      <c r="CH2764" s="34" t="str">
        <f t="shared" ref="CH2764" si="12106">IFERROR(IF(CF2764-VLOOKUP(CC$38,$A$2:$N$12,14,FALSE)&gt;0,CF2764-VLOOKUP(CC$38,$A$2:$N$12,14,FALSE)," ")," ")</f>
        <v xml:space="preserve"> </v>
      </c>
    </row>
    <row r="2765" spans="1:86" x14ac:dyDescent="0.2">
      <c r="A2765" s="8" t="str">
        <f>IF(AND(COUNTIF(W$3:W$13,A$16)&gt;0,A$16&lt;&gt;B2578),A$16,IFERROR(IF(MATCH(A$16,Z$3:Z$13,0)=9,A$16," ")," "))</f>
        <v xml:space="preserve"> </v>
      </c>
      <c r="B2765" s="8" t="str">
        <f>IF(A2765=" "," ",MAX(B2764:B2764)+1)</f>
        <v xml:space="preserve"> </v>
      </c>
      <c r="C2765" s="8" t="str">
        <f>IFERROR(INDEX(A2764:A2785,MATCH(SMALL(B2764:B2785,2),B2764:B2785,0),1)," ")</f>
        <v>C4</v>
      </c>
      <c r="D2765" s="8">
        <f t="shared" ref="D2765:D2774" si="12107">IFERROR(VLOOKUP($C2765,$A$15:$O$36,2,FALSE)," ")</f>
        <v>1</v>
      </c>
      <c r="E2765" s="8">
        <f t="shared" ref="E2765:E2774" si="12108">IFERROR(VLOOKUP($C2765,$A$15:$O$36,3,FALSE)," ")</f>
        <v>0</v>
      </c>
      <c r="F2765" s="8">
        <f t="shared" ref="F2765:F2774" si="12109">IFERROR(VLOOKUP($C2765,$A$15:$O$36,4,FALSE)," ")</f>
        <v>1</v>
      </c>
      <c r="G2765" s="8">
        <f t="shared" ref="G2765:G2774" si="12110">IFERROR(VLOOKUP($C2765,$A$15:$O$36,5,FALSE)," ")</f>
        <v>0</v>
      </c>
      <c r="H2765" s="8">
        <f t="shared" ref="H2765:H2774" si="12111">IFERROR(VLOOKUP($C2765,$A$15:$O$36,6,FALSE)," ")</f>
        <v>0</v>
      </c>
      <c r="I2765" s="8">
        <f t="shared" ref="I2765:I2774" si="12112">IFERROR(VLOOKUP($C2765,$A$15:$O$36,7,FALSE)," ")</f>
        <v>0</v>
      </c>
      <c r="J2765" s="8">
        <f t="shared" ref="J2765:J2774" si="12113">IFERROR(VLOOKUP($C2765,$A$15:$O$36,8,FALSE)," ")</f>
        <v>0</v>
      </c>
      <c r="K2765" s="8">
        <f t="shared" ref="K2765:K2774" si="12114">IFERROR(VLOOKUP($C2765,$A$15:$O$36,9,FALSE)," ")</f>
        <v>0</v>
      </c>
      <c r="L2765" s="8">
        <f t="shared" ref="L2765:L2774" si="12115">IFERROR(VLOOKUP($C2765,$A$15:$O$36,10,FALSE)," ")</f>
        <v>0</v>
      </c>
      <c r="M2765" s="8">
        <f t="shared" ref="M2765:M2774" si="12116">IFERROR(VLOOKUP($C2765,$A$15:$O$36,11,FALSE)," ")</f>
        <v>0</v>
      </c>
      <c r="N2765" s="8">
        <f t="shared" ref="N2765:N2774" si="12117">IFERROR(VLOOKUP($C2765,$A$15:$O$36,12,FALSE)," ")</f>
        <v>0</v>
      </c>
      <c r="O2765" s="8">
        <f t="shared" ref="O2765:O2774" si="12118">IFERROR(VLOOKUP($C2765,$A$15:$O$36,15,FALSE)," ")</f>
        <v>400</v>
      </c>
      <c r="P2765" s="8" t="e">
        <v>#NUM!</v>
      </c>
      <c r="Q2765" s="8" t="e">
        <f t="shared" ref="Q2765" si="12119">IF(COUNTIF(P2764:P2774,"&lt;"&amp;-0.001)=0,IF(ABS(P2765)&lt;0.001,0,P2765)," ")</f>
        <v>#NUM!</v>
      </c>
      <c r="R2765" s="8"/>
      <c r="S2765" s="8"/>
      <c r="U2765" s="34" t="e">
        <f t="shared" ref="U2765" si="12120">$Q2764</f>
        <v>#NUM!</v>
      </c>
      <c r="V2765" s="34">
        <v>-1</v>
      </c>
      <c r="W2765" s="34" t="e">
        <f t="shared" ref="W2765" si="12121">-SUMPRODUCT($Q2765:$Q2774,$N$3:$N$12)</f>
        <v>#NUM!</v>
      </c>
      <c r="X2765" s="34"/>
      <c r="Y2765" s="34"/>
      <c r="Z2765" s="34"/>
      <c r="AA2765" s="34" t="e">
        <f t="shared" ref="AA2765" si="12122">$Q2765</f>
        <v>#NUM!</v>
      </c>
      <c r="AB2765" s="34">
        <v>-1</v>
      </c>
      <c r="AC2765" s="34" t="e">
        <f t="shared" ref="AC2765" si="12123">-SUMPRODUCT($Q2764:$Q2764,$N$2:$N$2)-SUMPRODUCT($Q2766:$Q2774,$N$4:$N$12)</f>
        <v>#NUM!</v>
      </c>
      <c r="AD2765" s="34"/>
      <c r="AE2765" s="34"/>
      <c r="AF2765" s="34"/>
      <c r="AG2765" s="34" t="e">
        <f t="shared" ref="AG2765" si="12124">$Q2766</f>
        <v>#NUM!</v>
      </c>
      <c r="AH2765" s="34">
        <v>-1</v>
      </c>
      <c r="AI2765" s="34" t="e">
        <f t="shared" ref="AI2765" si="12125">-SUMPRODUCT($Q2764:$Q2765,$N$2:$N$3)-SUMPRODUCT($Q2767:$Q2774,$N$5:$N$12)</f>
        <v>#NUM!</v>
      </c>
      <c r="AJ2765" s="34"/>
      <c r="AK2765" s="34"/>
      <c r="AL2765" s="34"/>
      <c r="AM2765" s="34" t="e">
        <f t="shared" ref="AM2765" si="12126">$Q2767</f>
        <v>#NUM!</v>
      </c>
      <c r="AN2765" s="34">
        <v>-1</v>
      </c>
      <c r="AO2765" s="34" t="e">
        <f t="shared" ref="AO2765" si="12127">-SUMPRODUCT($Q2764:$Q2766,$N$2:$N$4)-SUMPRODUCT($Q2768:$Q2774,$N$6:$N$12)</f>
        <v>#NUM!</v>
      </c>
      <c r="AP2765" s="34"/>
      <c r="AQ2765" s="34"/>
      <c r="AR2765" s="34"/>
      <c r="AS2765" s="34" t="e">
        <f t="shared" ref="AS2765" si="12128">$Q2768</f>
        <v>#NUM!</v>
      </c>
      <c r="AT2765" s="34">
        <v>-1</v>
      </c>
      <c r="AU2765" s="34" t="e">
        <f t="shared" ref="AU2765" si="12129">-SUMPRODUCT($Q2764:$Q2767,$N$2:$N$5)-SUMPRODUCT($Q2769:$Q2774,$N$7:$N$12)</f>
        <v>#NUM!</v>
      </c>
      <c r="AV2765" s="34"/>
      <c r="AW2765" s="34"/>
      <c r="AX2765" s="34"/>
      <c r="AY2765" s="34" t="e">
        <f t="shared" ref="AY2765" si="12130">$Q2769</f>
        <v>#NUM!</v>
      </c>
      <c r="AZ2765" s="34">
        <v>-1</v>
      </c>
      <c r="BA2765" s="34" t="e">
        <f t="shared" ref="BA2765" si="12131">-SUMPRODUCT($Q2764:$Q2768,$N$2:$N$6)-SUMPRODUCT($Q2770:$Q2774,$N$8:$N$12)</f>
        <v>#NUM!</v>
      </c>
      <c r="BB2765" s="34"/>
      <c r="BC2765" s="34"/>
      <c r="BD2765" s="34"/>
      <c r="BE2765" s="34" t="e">
        <f t="shared" ref="BE2765" si="12132">$Q2770</f>
        <v>#NUM!</v>
      </c>
      <c r="BF2765" s="34">
        <v>-1</v>
      </c>
      <c r="BG2765" s="34" t="e">
        <f t="shared" ref="BG2765" si="12133">-SUMPRODUCT($Q2764:$Q2769,$N$2:$N$7)-SUMPRODUCT($Q2771:$Q2774,$N$9:$N$12)</f>
        <v>#NUM!</v>
      </c>
      <c r="BH2765" s="34"/>
      <c r="BI2765" s="34"/>
      <c r="BJ2765" s="34"/>
      <c r="BK2765" s="34" t="e">
        <f t="shared" ref="BK2765" si="12134">$Q2771</f>
        <v>#NUM!</v>
      </c>
      <c r="BL2765" s="34">
        <v>-1</v>
      </c>
      <c r="BM2765" s="34" t="e">
        <f t="shared" ref="BM2765" si="12135">-SUMPRODUCT($Q2764:$Q2770,$N$2:$N$8)-SUMPRODUCT($Q2772:$Q2774,$N$10:$N$12)</f>
        <v>#NUM!</v>
      </c>
      <c r="BN2765" s="34"/>
      <c r="BO2765" s="34"/>
      <c r="BP2765" s="34"/>
      <c r="BQ2765" s="34" t="e">
        <f t="shared" ref="BQ2765" si="12136">$Q2772</f>
        <v>#NUM!</v>
      </c>
      <c r="BR2765" s="34">
        <v>-1</v>
      </c>
      <c r="BS2765" s="34" t="e">
        <f t="shared" ref="BS2765" si="12137">-SUMPRODUCT($Q2764:$Q2771,$N$2:$N$9)-SUMPRODUCT($Q2773:$Q2774,$N$11:$N$12)</f>
        <v>#NUM!</v>
      </c>
      <c r="BT2765" s="34"/>
      <c r="BU2765" s="34"/>
      <c r="BV2765" s="34"/>
      <c r="BW2765" s="34" t="e">
        <f t="shared" ref="BW2765" si="12138">$Q2773</f>
        <v>#NUM!</v>
      </c>
      <c r="BX2765" s="34">
        <v>-1</v>
      </c>
      <c r="BY2765" s="34" t="e">
        <f t="shared" ref="BY2765" si="12139">-SUMPRODUCT($Q2764:$Q2772,$N$2:$N$10)-SUMPRODUCT($Q2774,$N$12)</f>
        <v>#NUM!</v>
      </c>
      <c r="BZ2765" s="34"/>
      <c r="CA2765" s="34"/>
      <c r="CB2765" s="34"/>
      <c r="CC2765" s="34" t="e">
        <f t="shared" ref="CC2765" si="12140">$Q2774</f>
        <v>#NUM!</v>
      </c>
      <c r="CD2765" s="34">
        <v>-1</v>
      </c>
      <c r="CE2765" s="34" t="e">
        <f t="shared" ref="CE2765" si="12141">-SUMPRODUCT($Q2764:$Q2773,$N$2:$N$11)</f>
        <v>#NUM!</v>
      </c>
      <c r="CF2765" s="34"/>
      <c r="CG2765" s="34"/>
      <c r="CH2765" s="34"/>
    </row>
    <row r="2766" spans="1:86" x14ac:dyDescent="0.2">
      <c r="A2766" s="8" t="str">
        <f>IF(AND(COUNTIF(W$3:W$13,A$17)&gt;0,A$17&lt;&gt;B2578),A$17,IFERROR(IF(MATCH(A$17,Z$3:Z$13,0)=9,A$17," ")," "))</f>
        <v>C3</v>
      </c>
      <c r="B2766" s="8">
        <f>IF(A2766=" "," ",MAX(B2764:B2765)+1)</f>
        <v>1</v>
      </c>
      <c r="C2766" s="8" t="str">
        <f>IFERROR(INDEX(A2764:A2785,MATCH(SMALL(B2764:B2785,3),B2764:B2785,0),1)," ")</f>
        <v>C11</v>
      </c>
      <c r="D2766" s="8">
        <f t="shared" si="12107"/>
        <v>0</v>
      </c>
      <c r="E2766" s="8">
        <f t="shared" si="12108"/>
        <v>0</v>
      </c>
      <c r="F2766" s="8">
        <f t="shared" si="12109"/>
        <v>0</v>
      </c>
      <c r="G2766" s="8">
        <f t="shared" si="12110"/>
        <v>0</v>
      </c>
      <c r="H2766" s="8">
        <f t="shared" si="12111"/>
        <v>0</v>
      </c>
      <c r="I2766" s="8">
        <f t="shared" si="12112"/>
        <v>0</v>
      </c>
      <c r="J2766" s="8">
        <f t="shared" si="12113"/>
        <v>0</v>
      </c>
      <c r="K2766" s="8">
        <f t="shared" si="12114"/>
        <v>0</v>
      </c>
      <c r="L2766" s="8">
        <f t="shared" si="12115"/>
        <v>0</v>
      </c>
      <c r="M2766" s="8">
        <f t="shared" si="12116"/>
        <v>0</v>
      </c>
      <c r="N2766" s="8">
        <f t="shared" si="12117"/>
        <v>0</v>
      </c>
      <c r="O2766" s="8">
        <f t="shared" si="12118"/>
        <v>0</v>
      </c>
      <c r="P2766" s="8" t="e">
        <v>#NUM!</v>
      </c>
      <c r="Q2766" s="8" t="e">
        <f t="shared" ref="Q2766" si="12142">IF(COUNTIF(P2764:P2774,"&lt;"&amp;-0.001)=0,IF(ABS(P2766)&lt;0.001,0,P2766)," ")</f>
        <v>#NUM!</v>
      </c>
      <c r="R2766" s="8"/>
      <c r="S2766" s="8"/>
      <c r="U2766" s="34"/>
      <c r="V2766" s="34"/>
      <c r="W2766" s="34"/>
      <c r="X2766" s="34"/>
      <c r="Y2766" s="34"/>
      <c r="Z2766" s="34"/>
      <c r="AA2766" s="34"/>
      <c r="AB2766" s="34"/>
      <c r="AC2766" s="34"/>
      <c r="AD2766" s="34"/>
      <c r="AE2766" s="34"/>
      <c r="AF2766" s="34"/>
      <c r="AG2766" s="34"/>
      <c r="AH2766" s="34"/>
      <c r="AI2766" s="34"/>
      <c r="AJ2766" s="34"/>
      <c r="AK2766" s="34"/>
      <c r="AL2766" s="34"/>
      <c r="AM2766" s="34"/>
      <c r="AN2766" s="34"/>
      <c r="AO2766" s="34"/>
      <c r="AP2766" s="34"/>
      <c r="AQ2766" s="34"/>
      <c r="AR2766" s="34"/>
      <c r="AS2766" s="34"/>
      <c r="AT2766" s="34"/>
      <c r="AU2766" s="34"/>
      <c r="AV2766" s="34"/>
      <c r="AW2766" s="34"/>
      <c r="AX2766" s="34"/>
      <c r="AY2766" s="34"/>
      <c r="AZ2766" s="34"/>
      <c r="BA2766" s="34"/>
      <c r="BB2766" s="34"/>
      <c r="BC2766" s="34"/>
      <c r="BD2766" s="34"/>
      <c r="BE2766" s="34"/>
      <c r="BF2766" s="34"/>
      <c r="BG2766" s="34"/>
      <c r="BH2766" s="34"/>
      <c r="BI2766" s="34"/>
      <c r="BJ2766" s="34"/>
      <c r="BK2766" s="34"/>
      <c r="BL2766" s="34"/>
      <c r="BM2766" s="34"/>
      <c r="BN2766" s="34"/>
      <c r="BO2766" s="34"/>
      <c r="BP2766" s="34"/>
      <c r="BQ2766" s="34"/>
      <c r="BR2766" s="34"/>
      <c r="BS2766" s="34"/>
      <c r="BT2766" s="34"/>
      <c r="BU2766" s="34"/>
      <c r="BV2766" s="34"/>
      <c r="BW2766" s="34"/>
      <c r="BX2766" s="34"/>
      <c r="BY2766" s="34"/>
      <c r="BZ2766" s="34"/>
      <c r="CA2766" s="34"/>
      <c r="CB2766" s="34"/>
      <c r="CC2766" s="34"/>
      <c r="CD2766" s="34"/>
      <c r="CE2766" s="34"/>
      <c r="CF2766" s="34"/>
      <c r="CG2766" s="34"/>
      <c r="CH2766" s="34"/>
    </row>
    <row r="2767" spans="1:86" x14ac:dyDescent="0.2">
      <c r="A2767" s="8" t="str">
        <f>IF(AND(COUNTIF(W$3:W$13,A$18)&gt;0,A$18&lt;&gt;B2578),A$18,IFERROR(IF(MATCH(A$18,Z$3:Z$13,0)=9,A$18," ")," "))</f>
        <v>C4</v>
      </c>
      <c r="B2767" s="8">
        <f>IF(A2767=" "," ",MAX(B2764:B2766)+1)</f>
        <v>2</v>
      </c>
      <c r="C2767" s="8" t="str">
        <f>IFERROR(INDEX(A2764:A2785,MATCH(SMALL(B2764:B2785,4),B2764:B2785,0),1)," ")</f>
        <v>C13</v>
      </c>
      <c r="D2767" s="8">
        <f t="shared" si="12107"/>
        <v>0</v>
      </c>
      <c r="E2767" s="8">
        <f t="shared" si="12108"/>
        <v>1</v>
      </c>
      <c r="F2767" s="8">
        <f t="shared" si="12109"/>
        <v>0</v>
      </c>
      <c r="G2767" s="8">
        <f t="shared" si="12110"/>
        <v>0</v>
      </c>
      <c r="H2767" s="8">
        <f t="shared" si="12111"/>
        <v>0</v>
      </c>
      <c r="I2767" s="8">
        <f t="shared" si="12112"/>
        <v>0</v>
      </c>
      <c r="J2767" s="8">
        <f t="shared" si="12113"/>
        <v>0</v>
      </c>
      <c r="K2767" s="8">
        <f t="shared" si="12114"/>
        <v>0</v>
      </c>
      <c r="L2767" s="8">
        <f t="shared" si="12115"/>
        <v>0</v>
      </c>
      <c r="M2767" s="8">
        <f t="shared" si="12116"/>
        <v>0</v>
      </c>
      <c r="N2767" s="8">
        <f t="shared" si="12117"/>
        <v>0</v>
      </c>
      <c r="O2767" s="8">
        <f t="shared" si="12118"/>
        <v>0</v>
      </c>
      <c r="P2767" s="8" t="e">
        <v>#NUM!</v>
      </c>
      <c r="Q2767" s="8" t="e">
        <f t="shared" ref="Q2767" si="12143">IF(COUNTIF(P2764:P2774,"&lt;"&amp;-0.001)=0,IF(ABS(P2767)&lt;0.001,0,P2767)," ")</f>
        <v>#NUM!</v>
      </c>
      <c r="R2767" s="8"/>
      <c r="S2767" s="8"/>
      <c r="U2767" s="34"/>
      <c r="V2767" s="34"/>
      <c r="W2767" s="34"/>
      <c r="X2767" s="34"/>
      <c r="Y2767" s="34"/>
      <c r="Z2767" s="34"/>
      <c r="AA2767" s="34"/>
      <c r="AB2767" s="34"/>
      <c r="AC2767" s="34"/>
      <c r="AD2767" s="34"/>
      <c r="AE2767" s="34"/>
      <c r="AF2767" s="34"/>
      <c r="AG2767" s="34"/>
      <c r="AH2767" s="34"/>
      <c r="AI2767" s="34"/>
      <c r="AJ2767" s="34"/>
      <c r="AK2767" s="34"/>
      <c r="AL2767" s="34"/>
      <c r="AM2767" s="34"/>
      <c r="AN2767" s="34"/>
      <c r="AO2767" s="34"/>
      <c r="AP2767" s="34"/>
      <c r="AQ2767" s="34"/>
      <c r="AR2767" s="34"/>
      <c r="AS2767" s="34"/>
      <c r="AT2767" s="34"/>
      <c r="AU2767" s="34"/>
      <c r="AV2767" s="34"/>
      <c r="AW2767" s="34"/>
      <c r="AX2767" s="34"/>
      <c r="AY2767" s="34"/>
      <c r="AZ2767" s="34"/>
      <c r="BA2767" s="34"/>
      <c r="BB2767" s="34"/>
      <c r="BC2767" s="34"/>
      <c r="BD2767" s="34"/>
      <c r="BE2767" s="34"/>
      <c r="BF2767" s="34"/>
      <c r="BG2767" s="34"/>
      <c r="BH2767" s="34"/>
      <c r="BI2767" s="34"/>
      <c r="BJ2767" s="34"/>
      <c r="BK2767" s="34"/>
      <c r="BL2767" s="34"/>
      <c r="BM2767" s="34"/>
      <c r="BN2767" s="34"/>
      <c r="BO2767" s="34"/>
      <c r="BP2767" s="34"/>
      <c r="BQ2767" s="34"/>
      <c r="BR2767" s="34"/>
      <c r="BS2767" s="34"/>
      <c r="BT2767" s="34"/>
      <c r="BU2767" s="34"/>
      <c r="BV2767" s="34"/>
      <c r="BW2767" s="34"/>
      <c r="BX2767" s="34"/>
      <c r="BY2767" s="34"/>
      <c r="BZ2767" s="34"/>
      <c r="CA2767" s="34"/>
      <c r="CB2767" s="34"/>
      <c r="CC2767" s="34"/>
      <c r="CD2767" s="34"/>
      <c r="CE2767" s="34"/>
      <c r="CF2767" s="34"/>
      <c r="CG2767" s="34"/>
      <c r="CH2767" s="34"/>
    </row>
    <row r="2768" spans="1:86" x14ac:dyDescent="0.2">
      <c r="A2768" s="8" t="str">
        <f>IF(AND(COUNTIF(W$3:W$13,A$19)&gt;0,A$19&lt;&gt;B2578),A$19,IFERROR(IF(MATCH(A$19,Z$3:Z$13,0)=9,A$19," ")," "))</f>
        <v xml:space="preserve"> </v>
      </c>
      <c r="B2768" s="8" t="str">
        <f>IF(A2768=" "," ",MAX(B2764:B2767)+1)</f>
        <v xml:space="preserve"> </v>
      </c>
      <c r="C2768" s="8" t="str">
        <f>IFERROR(INDEX(A2764:A2785,MATCH(SMALL(B2764:B2785,5),B2764:B2785,0),1)," ")</f>
        <v>C15</v>
      </c>
      <c r="D2768" s="8">
        <f t="shared" si="12107"/>
        <v>0</v>
      </c>
      <c r="E2768" s="8">
        <f t="shared" si="12108"/>
        <v>0</v>
      </c>
      <c r="F2768" s="8">
        <f t="shared" si="12109"/>
        <v>0</v>
      </c>
      <c r="G2768" s="8">
        <f t="shared" si="12110"/>
        <v>1</v>
      </c>
      <c r="H2768" s="8">
        <f t="shared" si="12111"/>
        <v>0</v>
      </c>
      <c r="I2768" s="8">
        <f t="shared" si="12112"/>
        <v>0</v>
      </c>
      <c r="J2768" s="8">
        <f t="shared" si="12113"/>
        <v>0</v>
      </c>
      <c r="K2768" s="8">
        <f t="shared" si="12114"/>
        <v>0</v>
      </c>
      <c r="L2768" s="8">
        <f t="shared" si="12115"/>
        <v>0</v>
      </c>
      <c r="M2768" s="8">
        <f t="shared" si="12116"/>
        <v>0</v>
      </c>
      <c r="N2768" s="8">
        <f t="shared" si="12117"/>
        <v>0</v>
      </c>
      <c r="O2768" s="8">
        <f t="shared" si="12118"/>
        <v>0</v>
      </c>
      <c r="P2768" s="8" t="e">
        <v>#NUM!</v>
      </c>
      <c r="Q2768" s="8" t="e">
        <f t="shared" ref="Q2768" si="12144">IF(COUNTIF(P2764:P2774,"&lt;"&amp;-0.001)=0,IF(ABS(P2768)&lt;0.001,0,P2768)," ")</f>
        <v>#NUM!</v>
      </c>
      <c r="R2768" s="8"/>
      <c r="S2768" s="8"/>
      <c r="U2768" s="34"/>
      <c r="V2768" s="34"/>
      <c r="W2768" s="34"/>
      <c r="X2768" s="34"/>
      <c r="Y2768" s="34"/>
      <c r="Z2768" s="34"/>
      <c r="AA2768" s="34"/>
      <c r="AB2768" s="34"/>
      <c r="AC2768" s="34"/>
      <c r="AD2768" s="34"/>
      <c r="AE2768" s="34"/>
      <c r="AF2768" s="34"/>
      <c r="AG2768" s="34"/>
      <c r="AH2768" s="34"/>
      <c r="AI2768" s="34"/>
      <c r="AJ2768" s="34"/>
      <c r="AK2768" s="34"/>
      <c r="AL2768" s="34"/>
      <c r="AM2768" s="34"/>
      <c r="AN2768" s="34"/>
      <c r="AO2768" s="34"/>
      <c r="AP2768" s="34"/>
      <c r="AQ2768" s="34"/>
      <c r="AR2768" s="34"/>
      <c r="AS2768" s="34"/>
      <c r="AT2768" s="34"/>
      <c r="AU2768" s="34"/>
      <c r="AV2768" s="34"/>
      <c r="AW2768" s="34"/>
      <c r="AX2768" s="34"/>
      <c r="AY2768" s="34"/>
      <c r="AZ2768" s="34"/>
      <c r="BA2768" s="34"/>
      <c r="BB2768" s="34"/>
      <c r="BC2768" s="34"/>
      <c r="BD2768" s="34"/>
      <c r="BE2768" s="34"/>
      <c r="BF2768" s="34"/>
      <c r="BG2768" s="34"/>
      <c r="BH2768" s="34"/>
      <c r="BI2768" s="34"/>
      <c r="BJ2768" s="34"/>
      <c r="BK2768" s="34"/>
      <c r="BL2768" s="34"/>
      <c r="BM2768" s="34"/>
      <c r="BN2768" s="34"/>
      <c r="BO2768" s="34"/>
      <c r="BP2768" s="34"/>
      <c r="BQ2768" s="34"/>
      <c r="BR2768" s="34"/>
      <c r="BS2768" s="34"/>
      <c r="BT2768" s="34"/>
      <c r="BU2768" s="34"/>
      <c r="BV2768" s="34"/>
      <c r="BW2768" s="34"/>
      <c r="BX2768" s="34"/>
      <c r="BY2768" s="34"/>
      <c r="BZ2768" s="34"/>
      <c r="CA2768" s="34"/>
      <c r="CB2768" s="34"/>
      <c r="CC2768" s="34"/>
      <c r="CD2768" s="34"/>
      <c r="CE2768" s="34"/>
      <c r="CF2768" s="34"/>
      <c r="CG2768" s="34"/>
      <c r="CH2768" s="34"/>
    </row>
    <row r="2769" spans="1:86" x14ac:dyDescent="0.2">
      <c r="A2769" s="8" t="str">
        <f>IF(AND(COUNTIF(W$3:W$13,A$20)&gt;0,A$20&lt;&gt;B2578),A$20,IFERROR(IF(MATCH(A$20,Z$3:Z$13,0)=9,A$20," ")," "))</f>
        <v xml:space="preserve"> </v>
      </c>
      <c r="B2769" s="8" t="str">
        <f>IF(A2769=" "," ",MAX(B2764:B2768)+1)</f>
        <v xml:space="preserve"> </v>
      </c>
      <c r="C2769" s="8" t="str">
        <f>IFERROR(INDEX(A2764:A2785,MATCH(SMALL(B2764:B2785,6),B2764:B2785,0),1)," ")</f>
        <v>C16</v>
      </c>
      <c r="D2769" s="8">
        <f t="shared" si="12107"/>
        <v>0</v>
      </c>
      <c r="E2769" s="8">
        <f t="shared" si="12108"/>
        <v>0</v>
      </c>
      <c r="F2769" s="8">
        <f t="shared" si="12109"/>
        <v>0</v>
      </c>
      <c r="G2769" s="8">
        <f t="shared" si="12110"/>
        <v>0</v>
      </c>
      <c r="H2769" s="8">
        <f t="shared" si="12111"/>
        <v>1</v>
      </c>
      <c r="I2769" s="8">
        <f t="shared" si="12112"/>
        <v>0</v>
      </c>
      <c r="J2769" s="8">
        <f t="shared" si="12113"/>
        <v>0</v>
      </c>
      <c r="K2769" s="8">
        <f t="shared" si="12114"/>
        <v>0</v>
      </c>
      <c r="L2769" s="8">
        <f t="shared" si="12115"/>
        <v>0</v>
      </c>
      <c r="M2769" s="8">
        <f t="shared" si="12116"/>
        <v>0</v>
      </c>
      <c r="N2769" s="8">
        <f t="shared" si="12117"/>
        <v>0</v>
      </c>
      <c r="O2769" s="8">
        <f t="shared" si="12118"/>
        <v>0</v>
      </c>
      <c r="P2769" s="8" t="e">
        <v>#NUM!</v>
      </c>
      <c r="Q2769" s="8" t="e">
        <f t="shared" ref="Q2769" si="12145">IF(COUNTIF(P2764:P2774,"&lt;"&amp;-0.001)=0,IF(ABS(P2769)&lt;0.001,0,P2769)," ")</f>
        <v>#NUM!</v>
      </c>
      <c r="R2769" s="8"/>
      <c r="S2769" s="8"/>
      <c r="U2769" s="34"/>
      <c r="V2769" s="34"/>
      <c r="W2769" s="34"/>
      <c r="X2769" s="34"/>
      <c r="Y2769" s="34"/>
      <c r="Z2769" s="34"/>
      <c r="AA2769" s="34"/>
      <c r="AB2769" s="34"/>
      <c r="AC2769" s="34"/>
      <c r="AD2769" s="34"/>
      <c r="AE2769" s="34"/>
      <c r="AF2769" s="34"/>
      <c r="AG2769" s="34"/>
      <c r="AH2769" s="34"/>
      <c r="AI2769" s="34"/>
      <c r="AJ2769" s="34"/>
      <c r="AK2769" s="34"/>
      <c r="AL2769" s="34"/>
      <c r="AM2769" s="34"/>
      <c r="AN2769" s="34"/>
      <c r="AO2769" s="34"/>
      <c r="AP2769" s="34"/>
      <c r="AQ2769" s="34"/>
      <c r="AR2769" s="34"/>
      <c r="AS2769" s="34"/>
      <c r="AT2769" s="34"/>
      <c r="AU2769" s="34"/>
      <c r="AV2769" s="34"/>
      <c r="AW2769" s="34"/>
      <c r="AX2769" s="34"/>
      <c r="AY2769" s="34"/>
      <c r="AZ2769" s="34"/>
      <c r="BA2769" s="34"/>
      <c r="BB2769" s="34"/>
      <c r="BC2769" s="34"/>
      <c r="BD2769" s="34"/>
      <c r="BE2769" s="34"/>
      <c r="BF2769" s="34"/>
      <c r="BG2769" s="34"/>
      <c r="BH2769" s="34"/>
      <c r="BI2769" s="34"/>
      <c r="BJ2769" s="34"/>
      <c r="BK2769" s="34"/>
      <c r="BL2769" s="34"/>
      <c r="BM2769" s="34"/>
      <c r="BN2769" s="34"/>
      <c r="BO2769" s="34"/>
      <c r="BP2769" s="34"/>
      <c r="BQ2769" s="34"/>
      <c r="BR2769" s="34"/>
      <c r="BS2769" s="34"/>
      <c r="BT2769" s="34"/>
      <c r="BU2769" s="34"/>
      <c r="BV2769" s="34"/>
      <c r="BW2769" s="34"/>
      <c r="BX2769" s="34"/>
      <c r="BY2769" s="34"/>
      <c r="BZ2769" s="34"/>
      <c r="CA2769" s="34"/>
      <c r="CB2769" s="34"/>
      <c r="CC2769" s="34"/>
      <c r="CD2769" s="34"/>
      <c r="CE2769" s="34"/>
      <c r="CF2769" s="34"/>
      <c r="CG2769" s="34"/>
      <c r="CH2769" s="34"/>
    </row>
    <row r="2770" spans="1:86" x14ac:dyDescent="0.2">
      <c r="A2770" s="8" t="str">
        <f>IF(AND(COUNTIF(W$3:W$13,A$21)&gt;0,A$21&lt;&gt;B2578),A$21,IFERROR(IF(MATCH(A$21,Z$3:Z$13,0)=9,A$21," ")," "))</f>
        <v xml:space="preserve"> </v>
      </c>
      <c r="B2770" s="8" t="str">
        <f>IF(A2770=" "," ",MAX(B2764:B2769)+1)</f>
        <v xml:space="preserve"> </v>
      </c>
      <c r="C2770" s="8" t="str">
        <f>IFERROR(INDEX(A2764:A2785,MATCH(SMALL(B2764:B2785,7),B2764:B2785,0),1)," ")</f>
        <v>C17</v>
      </c>
      <c r="D2770" s="8">
        <f t="shared" si="12107"/>
        <v>0</v>
      </c>
      <c r="E2770" s="8">
        <f t="shared" si="12108"/>
        <v>0</v>
      </c>
      <c r="F2770" s="8">
        <f t="shared" si="12109"/>
        <v>0</v>
      </c>
      <c r="G2770" s="8">
        <f t="shared" si="12110"/>
        <v>0</v>
      </c>
      <c r="H2770" s="8">
        <f t="shared" si="12111"/>
        <v>0</v>
      </c>
      <c r="I2770" s="8">
        <f t="shared" si="12112"/>
        <v>1</v>
      </c>
      <c r="J2770" s="8">
        <f t="shared" si="12113"/>
        <v>0</v>
      </c>
      <c r="K2770" s="8">
        <f t="shared" si="12114"/>
        <v>0</v>
      </c>
      <c r="L2770" s="8">
        <f t="shared" si="12115"/>
        <v>0</v>
      </c>
      <c r="M2770" s="8">
        <f t="shared" si="12116"/>
        <v>0</v>
      </c>
      <c r="N2770" s="8">
        <f t="shared" si="12117"/>
        <v>0</v>
      </c>
      <c r="O2770" s="8">
        <f t="shared" si="12118"/>
        <v>0</v>
      </c>
      <c r="P2770" s="8" t="e">
        <v>#NUM!</v>
      </c>
      <c r="Q2770" s="8" t="e">
        <f t="shared" ref="Q2770" si="12146">IF(COUNTIF(P2764:P2774,"&lt;"&amp;-0.001)=0,IF(ABS(P2770)&lt;0.001,0,P2770)," ")</f>
        <v>#NUM!</v>
      </c>
      <c r="R2770" s="8"/>
      <c r="S2770" s="8"/>
      <c r="U2770" s="34"/>
      <c r="V2770" s="34"/>
      <c r="W2770" s="34"/>
      <c r="X2770" s="34"/>
      <c r="Y2770" s="34"/>
      <c r="Z2770" s="34"/>
      <c r="AA2770" s="34"/>
      <c r="AB2770" s="34"/>
      <c r="AC2770" s="34"/>
      <c r="AD2770" s="34"/>
      <c r="AE2770" s="34"/>
      <c r="AF2770" s="34"/>
      <c r="AG2770" s="34"/>
      <c r="AH2770" s="34"/>
      <c r="AI2770" s="34"/>
      <c r="AJ2770" s="34"/>
      <c r="AK2770" s="34"/>
      <c r="AL2770" s="34"/>
      <c r="AM2770" s="34"/>
      <c r="AN2770" s="34"/>
      <c r="AO2770" s="34"/>
      <c r="AP2770" s="34"/>
      <c r="AQ2770" s="34"/>
      <c r="AR2770" s="34"/>
      <c r="AS2770" s="34"/>
      <c r="AT2770" s="34"/>
      <c r="AU2770" s="34"/>
      <c r="AV2770" s="34"/>
      <c r="AW2770" s="34"/>
      <c r="AX2770" s="34"/>
      <c r="AY2770" s="34"/>
      <c r="AZ2770" s="34"/>
      <c r="BA2770" s="34"/>
      <c r="BB2770" s="34"/>
      <c r="BC2770" s="34"/>
      <c r="BD2770" s="34"/>
      <c r="BE2770" s="34"/>
      <c r="BF2770" s="34"/>
      <c r="BG2770" s="34"/>
      <c r="BH2770" s="34"/>
      <c r="BI2770" s="34"/>
      <c r="BJ2770" s="34"/>
      <c r="BK2770" s="34"/>
      <c r="BL2770" s="34"/>
      <c r="BM2770" s="34"/>
      <c r="BN2770" s="34"/>
      <c r="BO2770" s="34"/>
      <c r="BP2770" s="34"/>
      <c r="BQ2770" s="34"/>
      <c r="BR2770" s="34"/>
      <c r="BS2770" s="34"/>
      <c r="BT2770" s="34"/>
      <c r="BU2770" s="34"/>
      <c r="BV2770" s="34"/>
      <c r="BW2770" s="34"/>
      <c r="BX2770" s="34"/>
      <c r="BY2770" s="34"/>
      <c r="BZ2770" s="34"/>
      <c r="CA2770" s="34"/>
      <c r="CB2770" s="34"/>
      <c r="CC2770" s="34"/>
      <c r="CD2770" s="34"/>
      <c r="CE2770" s="34"/>
      <c r="CF2770" s="34"/>
      <c r="CG2770" s="34"/>
      <c r="CH2770" s="34"/>
    </row>
    <row r="2771" spans="1:86" x14ac:dyDescent="0.2">
      <c r="A2771" s="8" t="str">
        <f>IF(AND(COUNTIF(W$3:W$13,A$22)&gt;0,A$22&lt;&gt;B2578),A$22,IFERROR(IF(MATCH(A$22,Z$3:Z$13,0)=9,A$22," ")," "))</f>
        <v xml:space="preserve"> </v>
      </c>
      <c r="B2771" s="8" t="str">
        <f>IF(A2771=" "," ",MAX(B2764:B2770)+1)</f>
        <v xml:space="preserve"> </v>
      </c>
      <c r="C2771" s="8" t="str">
        <f>IFERROR(INDEX(A2764:A2785,MATCH(SMALL(B2764:B2785,8),B2764:B2785,0),1)," ")</f>
        <v>C18</v>
      </c>
      <c r="D2771" s="8">
        <f t="shared" si="12107"/>
        <v>0</v>
      </c>
      <c r="E2771" s="8">
        <f t="shared" si="12108"/>
        <v>0</v>
      </c>
      <c r="F2771" s="8">
        <f t="shared" si="12109"/>
        <v>0</v>
      </c>
      <c r="G2771" s="8">
        <f t="shared" si="12110"/>
        <v>0</v>
      </c>
      <c r="H2771" s="8">
        <f t="shared" si="12111"/>
        <v>0</v>
      </c>
      <c r="I2771" s="8">
        <f t="shared" si="12112"/>
        <v>0</v>
      </c>
      <c r="J2771" s="8">
        <f t="shared" si="12113"/>
        <v>1</v>
      </c>
      <c r="K2771" s="8">
        <f t="shared" si="12114"/>
        <v>0</v>
      </c>
      <c r="L2771" s="8">
        <f t="shared" si="12115"/>
        <v>0</v>
      </c>
      <c r="M2771" s="8">
        <f t="shared" si="12116"/>
        <v>0</v>
      </c>
      <c r="N2771" s="8">
        <f t="shared" si="12117"/>
        <v>0</v>
      </c>
      <c r="O2771" s="8">
        <f t="shared" si="12118"/>
        <v>0</v>
      </c>
      <c r="P2771" s="8" t="e">
        <v>#NUM!</v>
      </c>
      <c r="Q2771" s="8" t="e">
        <f t="shared" ref="Q2771" si="12147">IF(COUNTIF(P2764:P2774,"&lt;"&amp;-0.001)=0,IF(ABS(P2771)&lt;0.001,0,P2771)," ")</f>
        <v>#NUM!</v>
      </c>
      <c r="R2771" s="8"/>
      <c r="S2771" s="8"/>
      <c r="U2771" s="34"/>
      <c r="V2771" s="34"/>
      <c r="W2771" s="34"/>
      <c r="X2771" s="34"/>
      <c r="Y2771" s="34"/>
      <c r="Z2771" s="34"/>
      <c r="AA2771" s="34"/>
      <c r="AB2771" s="34"/>
      <c r="AC2771" s="34"/>
      <c r="AD2771" s="34"/>
      <c r="AE2771" s="34"/>
      <c r="AF2771" s="34"/>
      <c r="AG2771" s="34"/>
      <c r="AH2771" s="34"/>
      <c r="AI2771" s="34"/>
      <c r="AJ2771" s="34"/>
      <c r="AK2771" s="34"/>
      <c r="AL2771" s="34"/>
      <c r="AM2771" s="34"/>
      <c r="AN2771" s="34"/>
      <c r="AO2771" s="34"/>
      <c r="AP2771" s="34"/>
      <c r="AQ2771" s="34"/>
      <c r="AR2771" s="34"/>
      <c r="AS2771" s="34"/>
      <c r="AT2771" s="34"/>
      <c r="AU2771" s="34"/>
      <c r="AV2771" s="34"/>
      <c r="AW2771" s="34"/>
      <c r="AX2771" s="34"/>
      <c r="AY2771" s="34"/>
      <c r="AZ2771" s="34"/>
      <c r="BA2771" s="34"/>
      <c r="BB2771" s="34"/>
      <c r="BC2771" s="34"/>
      <c r="BD2771" s="34"/>
      <c r="BE2771" s="34"/>
      <c r="BF2771" s="34"/>
      <c r="BG2771" s="34"/>
      <c r="BH2771" s="34"/>
      <c r="BI2771" s="34"/>
      <c r="BJ2771" s="34"/>
      <c r="BK2771" s="34"/>
      <c r="BL2771" s="34"/>
      <c r="BM2771" s="34"/>
      <c r="BN2771" s="34"/>
      <c r="BO2771" s="34"/>
      <c r="BP2771" s="34"/>
      <c r="BQ2771" s="34"/>
      <c r="BR2771" s="34"/>
      <c r="BS2771" s="34"/>
      <c r="BT2771" s="34"/>
      <c r="BU2771" s="34"/>
      <c r="BV2771" s="34"/>
      <c r="BW2771" s="34"/>
      <c r="BX2771" s="34"/>
      <c r="BY2771" s="34"/>
      <c r="BZ2771" s="34"/>
      <c r="CA2771" s="34"/>
      <c r="CB2771" s="34"/>
      <c r="CC2771" s="34"/>
      <c r="CD2771" s="34"/>
      <c r="CE2771" s="34"/>
      <c r="CF2771" s="34"/>
      <c r="CG2771" s="34"/>
      <c r="CH2771" s="34"/>
    </row>
    <row r="2772" spans="1:86" x14ac:dyDescent="0.2">
      <c r="A2772" s="8" t="str">
        <f>IF(AND(COUNTIF(W$3:W$13,A$23)&gt;0,A$23&lt;&gt;B2578),A$23,IFERROR(IF(MATCH(A$23,Z$3:Z$13,0)=9,A$23," ")," "))</f>
        <v xml:space="preserve"> </v>
      </c>
      <c r="B2772" s="8" t="str">
        <f>IF(A2772=" "," ",MAX(B2764:B2771)+1)</f>
        <v xml:space="preserve"> </v>
      </c>
      <c r="C2772" s="8" t="str">
        <f>IFERROR(INDEX(A2764:A2785,MATCH(SMALL(B2764:B2785,9),B2764:B2785,0),1)," ")</f>
        <v>C19</v>
      </c>
      <c r="D2772" s="8">
        <f t="shared" si="12107"/>
        <v>0</v>
      </c>
      <c r="E2772" s="8">
        <f t="shared" si="12108"/>
        <v>0</v>
      </c>
      <c r="F2772" s="8">
        <f t="shared" si="12109"/>
        <v>0</v>
      </c>
      <c r="G2772" s="8">
        <f t="shared" si="12110"/>
        <v>0</v>
      </c>
      <c r="H2772" s="8">
        <f t="shared" si="12111"/>
        <v>0</v>
      </c>
      <c r="I2772" s="8">
        <f t="shared" si="12112"/>
        <v>0</v>
      </c>
      <c r="J2772" s="8">
        <f t="shared" si="12113"/>
        <v>0</v>
      </c>
      <c r="K2772" s="8">
        <f t="shared" si="12114"/>
        <v>1</v>
      </c>
      <c r="L2772" s="8">
        <f t="shared" si="12115"/>
        <v>0</v>
      </c>
      <c r="M2772" s="8">
        <f t="shared" si="12116"/>
        <v>0</v>
      </c>
      <c r="N2772" s="8">
        <f t="shared" si="12117"/>
        <v>0</v>
      </c>
      <c r="O2772" s="8">
        <f t="shared" si="12118"/>
        <v>0</v>
      </c>
      <c r="P2772" s="6" t="e">
        <v>#NUM!</v>
      </c>
      <c r="Q2772" s="8" t="e">
        <f t="shared" ref="Q2772" si="12148">IF(COUNTIF(P2764:P2774,"&lt;"&amp;-0.001)=0,IF(ABS(P2772)&lt;0.001,0,P2772)," ")</f>
        <v>#NUM!</v>
      </c>
      <c r="R2772" s="8"/>
      <c r="S2772" s="8"/>
      <c r="U2772" s="34"/>
      <c r="V2772" s="34"/>
      <c r="W2772" s="34"/>
      <c r="X2772" s="34"/>
      <c r="Y2772" s="34"/>
      <c r="Z2772" s="34"/>
      <c r="AA2772" s="34"/>
      <c r="AB2772" s="34"/>
      <c r="AC2772" s="34"/>
      <c r="AD2772" s="34"/>
      <c r="AE2772" s="34"/>
      <c r="AF2772" s="34"/>
      <c r="AG2772" s="34"/>
      <c r="AH2772" s="34"/>
      <c r="AI2772" s="34"/>
      <c r="AJ2772" s="34"/>
      <c r="AK2772" s="34"/>
      <c r="AL2772" s="34"/>
      <c r="AM2772" s="34"/>
      <c r="AN2772" s="34"/>
      <c r="AO2772" s="34"/>
      <c r="AP2772" s="34"/>
      <c r="AQ2772" s="34"/>
      <c r="AR2772" s="34"/>
      <c r="AS2772" s="34"/>
      <c r="AT2772" s="34"/>
      <c r="AU2772" s="34"/>
      <c r="AV2772" s="34"/>
      <c r="AW2772" s="34"/>
      <c r="AX2772" s="34"/>
      <c r="AY2772" s="34"/>
      <c r="AZ2772" s="34"/>
      <c r="BA2772" s="34"/>
      <c r="BB2772" s="34"/>
      <c r="BC2772" s="34"/>
      <c r="BD2772" s="34"/>
      <c r="BE2772" s="34"/>
      <c r="BF2772" s="34"/>
      <c r="BG2772" s="34"/>
      <c r="BH2772" s="34"/>
      <c r="BI2772" s="34"/>
      <c r="BJ2772" s="34"/>
      <c r="BK2772" s="34"/>
      <c r="BL2772" s="34"/>
      <c r="BM2772" s="34"/>
      <c r="BN2772" s="34"/>
      <c r="BO2772" s="34"/>
      <c r="BP2772" s="34"/>
      <c r="BQ2772" s="34"/>
      <c r="BR2772" s="34"/>
      <c r="BS2772" s="34"/>
      <c r="BT2772" s="34"/>
      <c r="BU2772" s="34"/>
      <c r="BV2772" s="34"/>
      <c r="BW2772" s="34"/>
      <c r="BX2772" s="34"/>
      <c r="BY2772" s="34"/>
      <c r="BZ2772" s="34"/>
      <c r="CA2772" s="34"/>
      <c r="CB2772" s="34"/>
      <c r="CC2772" s="34"/>
      <c r="CD2772" s="34"/>
      <c r="CE2772" s="34"/>
      <c r="CF2772" s="34"/>
      <c r="CG2772" s="34"/>
      <c r="CH2772" s="34"/>
    </row>
    <row r="2773" spans="1:86" x14ac:dyDescent="0.2">
      <c r="A2773" s="8" t="str">
        <f>IF(AND(COUNTIF(W$3:W$13,A$24)&gt;0,A$24&lt;&gt;B2578),A$24,IFERROR(IF(MATCH(A$24,Z$3:Z$13,0)=9,A$24," ")," "))</f>
        <v xml:space="preserve"> </v>
      </c>
      <c r="B2773" s="8" t="str">
        <f>IF(A2773=" "," ",MAX(B2764:B2772)+1)</f>
        <v xml:space="preserve"> </v>
      </c>
      <c r="C2773" s="8" t="str">
        <f>IFERROR(INDEX(A2764:A2785,MATCH(SMALL(B2764:B2785,10),B2764:B2785,0),1)," ")</f>
        <v>C20</v>
      </c>
      <c r="D2773" s="8">
        <f t="shared" si="12107"/>
        <v>0</v>
      </c>
      <c r="E2773" s="8">
        <f t="shared" si="12108"/>
        <v>0</v>
      </c>
      <c r="F2773" s="8">
        <f t="shared" si="12109"/>
        <v>0</v>
      </c>
      <c r="G2773" s="8">
        <f t="shared" si="12110"/>
        <v>0</v>
      </c>
      <c r="H2773" s="8">
        <f t="shared" si="12111"/>
        <v>0</v>
      </c>
      <c r="I2773" s="8">
        <f t="shared" si="12112"/>
        <v>0</v>
      </c>
      <c r="J2773" s="8">
        <f t="shared" si="12113"/>
        <v>0</v>
      </c>
      <c r="K2773" s="8">
        <f t="shared" si="12114"/>
        <v>0</v>
      </c>
      <c r="L2773" s="8">
        <f t="shared" si="12115"/>
        <v>1</v>
      </c>
      <c r="M2773" s="8">
        <f t="shared" si="12116"/>
        <v>0</v>
      </c>
      <c r="N2773" s="8">
        <f t="shared" si="12117"/>
        <v>0</v>
      </c>
      <c r="O2773" s="8">
        <f t="shared" si="12118"/>
        <v>0</v>
      </c>
      <c r="P2773" s="8" t="e">
        <v>#NUM!</v>
      </c>
      <c r="Q2773" s="8" t="e">
        <f t="shared" ref="Q2773" si="12149">IF(COUNTIF(P2764:P2774,"&lt;"&amp;-0.001)=0,IF(ABS(P2773)&lt;0.001,0,P2773)," ")</f>
        <v>#NUM!</v>
      </c>
      <c r="R2773" s="8"/>
      <c r="S2773" s="8"/>
      <c r="U2773" s="34"/>
      <c r="V2773" s="34"/>
      <c r="W2773" s="34"/>
      <c r="X2773" s="34"/>
      <c r="Y2773" s="34"/>
      <c r="Z2773" s="34"/>
      <c r="AA2773" s="34"/>
      <c r="AB2773" s="34"/>
      <c r="AC2773" s="34"/>
      <c r="AD2773" s="34"/>
      <c r="AE2773" s="34"/>
      <c r="AF2773" s="34"/>
      <c r="AG2773" s="34"/>
      <c r="AH2773" s="34"/>
      <c r="AI2773" s="34"/>
      <c r="AJ2773" s="34"/>
      <c r="AK2773" s="34"/>
      <c r="AL2773" s="34"/>
      <c r="AM2773" s="34"/>
      <c r="AN2773" s="34"/>
      <c r="AO2773" s="34"/>
      <c r="AP2773" s="34"/>
      <c r="AQ2773" s="34"/>
      <c r="AR2773" s="34"/>
      <c r="AS2773" s="34"/>
      <c r="AT2773" s="34"/>
      <c r="AU2773" s="34"/>
      <c r="AV2773" s="34"/>
      <c r="AW2773" s="34"/>
      <c r="AX2773" s="34"/>
      <c r="AY2773" s="34"/>
      <c r="AZ2773" s="34"/>
      <c r="BA2773" s="34"/>
      <c r="BB2773" s="34"/>
      <c r="BC2773" s="34"/>
      <c r="BD2773" s="34"/>
      <c r="BE2773" s="34"/>
      <c r="BF2773" s="34"/>
      <c r="BG2773" s="34"/>
      <c r="BH2773" s="34"/>
      <c r="BI2773" s="34"/>
      <c r="BJ2773" s="34"/>
      <c r="BK2773" s="34"/>
      <c r="BL2773" s="34"/>
      <c r="BM2773" s="34"/>
      <c r="BN2773" s="34"/>
      <c r="BO2773" s="34"/>
      <c r="BP2773" s="34"/>
      <c r="BQ2773" s="34"/>
      <c r="BR2773" s="34"/>
      <c r="BS2773" s="34"/>
      <c r="BT2773" s="34"/>
      <c r="BU2773" s="34"/>
      <c r="BV2773" s="34"/>
      <c r="BW2773" s="34"/>
      <c r="BX2773" s="34"/>
      <c r="BY2773" s="34"/>
      <c r="BZ2773" s="34"/>
      <c r="CA2773" s="34"/>
      <c r="CB2773" s="34"/>
      <c r="CC2773" s="34"/>
      <c r="CD2773" s="34"/>
      <c r="CE2773" s="34"/>
      <c r="CF2773" s="34"/>
      <c r="CG2773" s="34"/>
      <c r="CH2773" s="34"/>
    </row>
    <row r="2774" spans="1:86" x14ac:dyDescent="0.2">
      <c r="A2774" s="8" t="str">
        <f>IF(AND(COUNTIF(W$3:W$13,A$25)&gt;0,A$25&lt;&gt;B2578),A$25,IFERROR(IF(MATCH(A$25,Z$3:Z$13,0)=9,A$25," ")," "))</f>
        <v>C11</v>
      </c>
      <c r="B2774" s="8">
        <f>IF(A2774=" "," ",MAX(B2764:B2773)+1)</f>
        <v>3</v>
      </c>
      <c r="C2774" s="8" t="str">
        <f>IFERROR(INDEX(A2764:A2785,MATCH(SMALL(B2764:B2785,11),B2764:B2785,0),1)," ")</f>
        <v>C21</v>
      </c>
      <c r="D2774" s="8">
        <f t="shared" si="12107"/>
        <v>0</v>
      </c>
      <c r="E2774" s="8">
        <f t="shared" si="12108"/>
        <v>0</v>
      </c>
      <c r="F2774" s="8">
        <f t="shared" si="12109"/>
        <v>0</v>
      </c>
      <c r="G2774" s="8">
        <f t="shared" si="12110"/>
        <v>0</v>
      </c>
      <c r="H2774" s="8">
        <f t="shared" si="12111"/>
        <v>0</v>
      </c>
      <c r="I2774" s="8">
        <f t="shared" si="12112"/>
        <v>0</v>
      </c>
      <c r="J2774" s="8">
        <f t="shared" si="12113"/>
        <v>0</v>
      </c>
      <c r="K2774" s="8">
        <f t="shared" si="12114"/>
        <v>0</v>
      </c>
      <c r="L2774" s="8">
        <f t="shared" si="12115"/>
        <v>0</v>
      </c>
      <c r="M2774" s="8">
        <f t="shared" si="12116"/>
        <v>1</v>
      </c>
      <c r="N2774" s="8">
        <f t="shared" si="12117"/>
        <v>0</v>
      </c>
      <c r="O2774" s="8">
        <f t="shared" si="12118"/>
        <v>0</v>
      </c>
      <c r="P2774" s="8" t="e">
        <v>#NUM!</v>
      </c>
      <c r="Q2774" s="8" t="e">
        <f t="shared" ref="Q2774" si="12150">IF(COUNTIF(P2764:P2774,"&lt;"&amp;-0.001)=0,IF(ABS(P2774)&lt;0.001,0,P2774)," ")</f>
        <v>#NUM!</v>
      </c>
      <c r="R2774" s="8"/>
      <c r="S2774" s="8"/>
      <c r="U2774" s="34"/>
      <c r="V2774" s="34"/>
      <c r="W2774" s="34"/>
      <c r="X2774" s="34"/>
      <c r="Y2774" s="34"/>
      <c r="Z2774" s="34"/>
      <c r="AA2774" s="34"/>
      <c r="AB2774" s="34"/>
      <c r="AC2774" s="34"/>
      <c r="AD2774" s="34"/>
      <c r="AE2774" s="34"/>
      <c r="AF2774" s="34"/>
      <c r="AG2774" s="34"/>
      <c r="AH2774" s="34"/>
      <c r="AI2774" s="34"/>
      <c r="AJ2774" s="34"/>
      <c r="AK2774" s="34"/>
      <c r="AL2774" s="34"/>
      <c r="AM2774" s="34"/>
      <c r="AN2774" s="34"/>
      <c r="AO2774" s="34"/>
      <c r="AP2774" s="34"/>
      <c r="AQ2774" s="34"/>
      <c r="AR2774" s="34"/>
      <c r="AS2774" s="34"/>
      <c r="AT2774" s="34"/>
      <c r="AU2774" s="34"/>
      <c r="AV2774" s="34"/>
      <c r="AW2774" s="34"/>
      <c r="AX2774" s="34"/>
      <c r="AY2774" s="34"/>
      <c r="AZ2774" s="34"/>
      <c r="BA2774" s="34"/>
      <c r="BB2774" s="34"/>
      <c r="BC2774" s="34"/>
      <c r="BD2774" s="34"/>
      <c r="BE2774" s="34"/>
      <c r="BF2774" s="34"/>
      <c r="BG2774" s="34"/>
      <c r="BH2774" s="34"/>
      <c r="BI2774" s="34"/>
      <c r="BJ2774" s="34"/>
      <c r="BK2774" s="34"/>
      <c r="BL2774" s="34"/>
      <c r="BM2774" s="34"/>
      <c r="BN2774" s="34"/>
      <c r="BO2774" s="34"/>
      <c r="BP2774" s="34"/>
      <c r="BQ2774" s="34"/>
      <c r="BR2774" s="34"/>
      <c r="BS2774" s="34"/>
      <c r="BT2774" s="34"/>
      <c r="BU2774" s="34"/>
      <c r="BV2774" s="34"/>
      <c r="BW2774" s="34"/>
      <c r="BX2774" s="34"/>
      <c r="BY2774" s="34"/>
      <c r="BZ2774" s="34"/>
      <c r="CA2774" s="34"/>
      <c r="CB2774" s="34"/>
      <c r="CC2774" s="34"/>
      <c r="CD2774" s="34"/>
      <c r="CE2774" s="34"/>
      <c r="CF2774" s="34"/>
      <c r="CG2774" s="34"/>
      <c r="CH2774" s="34"/>
    </row>
    <row r="2775" spans="1:86" x14ac:dyDescent="0.2">
      <c r="A2775" s="8" t="str">
        <f>IF(AND(COUNTIF(W$3:W$13,A$26)&gt;0,A$26&lt;&gt;B2578),A$26,IFERROR(IF(MATCH(A$26,Z$3:Z$13,0)=9,A$26," ")," "))</f>
        <v xml:space="preserve"> </v>
      </c>
      <c r="B2775" s="8" t="str">
        <f>IF(A2775=" "," ",MAX(B2764:B2774)+1)</f>
        <v xml:space="preserve"> </v>
      </c>
      <c r="C2775" s="8"/>
      <c r="D2775" s="8"/>
      <c r="E2775" s="8"/>
      <c r="F2775" s="8"/>
      <c r="G2775" s="8"/>
      <c r="H2775" s="8"/>
      <c r="I2775" s="8"/>
      <c r="J2775" s="8"/>
      <c r="K2775" s="8"/>
      <c r="L2775" s="8"/>
      <c r="M2775" s="8"/>
      <c r="N2775" s="8"/>
      <c r="O2775" s="8"/>
      <c r="P2775" s="8"/>
      <c r="Q2775" s="8"/>
      <c r="R2775" s="8"/>
      <c r="S2775" s="8"/>
      <c r="U2775" s="34"/>
      <c r="V2775" s="34"/>
      <c r="W2775" s="34"/>
      <c r="X2775" s="34"/>
      <c r="Y2775" s="34"/>
      <c r="Z2775" s="34"/>
      <c r="AA2775" s="34"/>
      <c r="AB2775" s="34"/>
      <c r="AC2775" s="34"/>
      <c r="AD2775" s="34"/>
      <c r="AE2775" s="34"/>
      <c r="AF2775" s="34"/>
      <c r="AG2775" s="34"/>
      <c r="AH2775" s="34"/>
      <c r="AI2775" s="34"/>
      <c r="AJ2775" s="34"/>
      <c r="AK2775" s="34"/>
      <c r="AL2775" s="34"/>
      <c r="AM2775" s="34"/>
      <c r="AN2775" s="34"/>
      <c r="AO2775" s="34"/>
      <c r="AP2775" s="34"/>
      <c r="AQ2775" s="34"/>
      <c r="AR2775" s="34"/>
      <c r="AS2775" s="34"/>
      <c r="AT2775" s="34"/>
      <c r="AU2775" s="34"/>
      <c r="AV2775" s="34"/>
      <c r="AW2775" s="34"/>
      <c r="AX2775" s="34"/>
      <c r="AY2775" s="34"/>
      <c r="AZ2775" s="34"/>
      <c r="BA2775" s="34"/>
      <c r="BB2775" s="34"/>
      <c r="BC2775" s="34"/>
      <c r="BD2775" s="34"/>
      <c r="BE2775" s="34"/>
      <c r="BF2775" s="34"/>
      <c r="BG2775" s="34"/>
      <c r="BH2775" s="34"/>
      <c r="BI2775" s="34"/>
      <c r="BJ2775" s="34"/>
      <c r="BK2775" s="34"/>
      <c r="BL2775" s="34"/>
      <c r="BM2775" s="34"/>
      <c r="BN2775" s="34"/>
      <c r="BO2775" s="34"/>
      <c r="BP2775" s="34"/>
      <c r="BQ2775" s="34"/>
      <c r="BR2775" s="34"/>
      <c r="BS2775" s="34"/>
      <c r="BT2775" s="34"/>
      <c r="BU2775" s="34"/>
      <c r="BV2775" s="34"/>
      <c r="BW2775" s="34"/>
      <c r="BX2775" s="34"/>
      <c r="BY2775" s="34"/>
      <c r="BZ2775" s="34"/>
      <c r="CA2775" s="34"/>
      <c r="CB2775" s="34"/>
      <c r="CC2775" s="34"/>
      <c r="CD2775" s="34"/>
      <c r="CE2775" s="34"/>
      <c r="CF2775" s="34"/>
      <c r="CG2775" s="34"/>
      <c r="CH2775" s="34"/>
    </row>
    <row r="2776" spans="1:86" x14ac:dyDescent="0.2">
      <c r="A2776" s="8" t="str">
        <f>IF(AND(COUNTIF(W$3:W$13,A$27)&gt;0,A$27&lt;&gt;B2578),A$27,IFERROR(IF(MATCH(A$27,Z$3:Z$13,0)=9,A$27," ")," "))</f>
        <v>C13</v>
      </c>
      <c r="B2776" s="8">
        <f>IF(A2776=" "," ",MAX(B2764:B2775)+1)</f>
        <v>4</v>
      </c>
      <c r="C2776" s="8"/>
      <c r="D2776" s="8"/>
      <c r="E2776" s="8"/>
      <c r="F2776" s="8"/>
      <c r="G2776" s="8"/>
      <c r="H2776" s="8"/>
      <c r="I2776" s="8"/>
      <c r="J2776" s="8"/>
      <c r="K2776" s="8"/>
      <c r="L2776" s="8"/>
      <c r="M2776" s="8"/>
      <c r="N2776" s="8"/>
      <c r="O2776" s="8"/>
      <c r="P2776" s="8"/>
      <c r="Q2776" s="8"/>
      <c r="R2776" s="8"/>
      <c r="S2776" s="8"/>
      <c r="U2776" s="34"/>
      <c r="V2776" s="34"/>
      <c r="W2776" s="34"/>
      <c r="X2776" s="34"/>
      <c r="Y2776" s="34"/>
      <c r="Z2776" s="34"/>
      <c r="AA2776" s="34"/>
      <c r="AB2776" s="34"/>
      <c r="AC2776" s="34"/>
      <c r="AD2776" s="34"/>
      <c r="AE2776" s="34"/>
      <c r="AF2776" s="34"/>
      <c r="AG2776" s="34"/>
      <c r="AH2776" s="34"/>
      <c r="AI2776" s="34"/>
      <c r="AJ2776" s="34"/>
      <c r="AK2776" s="34"/>
      <c r="AL2776" s="34"/>
      <c r="AM2776" s="34"/>
      <c r="AN2776" s="34"/>
      <c r="AO2776" s="34"/>
      <c r="AP2776" s="34"/>
      <c r="AQ2776" s="34"/>
      <c r="AR2776" s="34"/>
      <c r="AS2776" s="34"/>
      <c r="AT2776" s="34"/>
      <c r="AU2776" s="34"/>
      <c r="AV2776" s="34"/>
      <c r="AW2776" s="34"/>
      <c r="AX2776" s="34"/>
      <c r="AY2776" s="34"/>
      <c r="AZ2776" s="34"/>
      <c r="BA2776" s="34"/>
      <c r="BB2776" s="34"/>
      <c r="BC2776" s="34"/>
      <c r="BD2776" s="34"/>
      <c r="BE2776" s="34"/>
      <c r="BF2776" s="34"/>
      <c r="BG2776" s="34"/>
      <c r="BH2776" s="34"/>
      <c r="BI2776" s="34"/>
      <c r="BJ2776" s="34"/>
      <c r="BK2776" s="34"/>
      <c r="BL2776" s="34"/>
      <c r="BM2776" s="34"/>
      <c r="BN2776" s="34"/>
      <c r="BO2776" s="34"/>
      <c r="BP2776" s="34"/>
      <c r="BQ2776" s="34"/>
      <c r="BR2776" s="34"/>
      <c r="BS2776" s="34"/>
      <c r="BT2776" s="34"/>
      <c r="BU2776" s="34"/>
      <c r="BV2776" s="34"/>
      <c r="BW2776" s="34"/>
      <c r="BX2776" s="34"/>
      <c r="BY2776" s="34"/>
      <c r="BZ2776" s="34"/>
      <c r="CA2776" s="34"/>
      <c r="CB2776" s="34"/>
      <c r="CC2776" s="34"/>
      <c r="CD2776" s="34"/>
      <c r="CE2776" s="34"/>
      <c r="CF2776" s="34"/>
      <c r="CG2776" s="34"/>
      <c r="CH2776" s="34"/>
    </row>
    <row r="2777" spans="1:86" x14ac:dyDescent="0.2">
      <c r="A2777" s="8" t="str">
        <f>IF(AND(COUNTIF(W$3:W$13,A$28)&gt;0,A$28&lt;&gt;B2578),A$28,IFERROR(IF(MATCH(A$28,Z$3:Z$13,0)=9,A$28," ")," "))</f>
        <v xml:space="preserve"> </v>
      </c>
      <c r="B2777" s="8" t="str">
        <f>IF(A2777=" "," ",MAX(B2764:B2776)+1)</f>
        <v xml:space="preserve"> </v>
      </c>
      <c r="C2777" s="8"/>
      <c r="D2777" s="8"/>
      <c r="E2777" s="8"/>
      <c r="F2777" s="8"/>
      <c r="G2777" s="8"/>
      <c r="H2777" s="8"/>
      <c r="I2777" s="8"/>
      <c r="J2777" s="8"/>
      <c r="K2777" s="8"/>
      <c r="L2777" s="8"/>
      <c r="M2777" s="8"/>
      <c r="N2777" s="8"/>
      <c r="O2777" s="8"/>
      <c r="P2777" s="8"/>
      <c r="Q2777" s="8"/>
      <c r="R2777" s="8"/>
      <c r="S2777" s="8"/>
      <c r="U2777" s="34"/>
      <c r="V2777" s="34"/>
      <c r="W2777" s="34"/>
      <c r="X2777" s="34"/>
      <c r="Y2777" s="34"/>
      <c r="Z2777" s="34"/>
      <c r="AA2777" s="34"/>
      <c r="AB2777" s="34"/>
      <c r="AC2777" s="34"/>
      <c r="AD2777" s="34"/>
      <c r="AE2777" s="34"/>
      <c r="AF2777" s="34"/>
      <c r="AG2777" s="34"/>
      <c r="AH2777" s="34"/>
      <c r="AI2777" s="34"/>
      <c r="AJ2777" s="34"/>
      <c r="AK2777" s="34"/>
      <c r="AL2777" s="34"/>
      <c r="AM2777" s="34"/>
      <c r="AN2777" s="34"/>
      <c r="AO2777" s="34"/>
      <c r="AP2777" s="34"/>
      <c r="AQ2777" s="34"/>
      <c r="AR2777" s="34"/>
      <c r="AS2777" s="34"/>
      <c r="AT2777" s="34"/>
      <c r="AU2777" s="34"/>
      <c r="AV2777" s="34"/>
      <c r="AW2777" s="34"/>
      <c r="AX2777" s="34"/>
      <c r="AY2777" s="34"/>
      <c r="AZ2777" s="34"/>
      <c r="BA2777" s="34"/>
      <c r="BB2777" s="34"/>
      <c r="BC2777" s="34"/>
      <c r="BD2777" s="34"/>
      <c r="BE2777" s="34"/>
      <c r="BF2777" s="34"/>
      <c r="BG2777" s="34"/>
      <c r="BH2777" s="34"/>
      <c r="BI2777" s="34"/>
      <c r="BJ2777" s="34"/>
      <c r="BK2777" s="34"/>
      <c r="BL2777" s="34"/>
      <c r="BM2777" s="34"/>
      <c r="BN2777" s="34"/>
      <c r="BO2777" s="34"/>
      <c r="BP2777" s="34"/>
      <c r="BQ2777" s="34"/>
      <c r="BR2777" s="34"/>
      <c r="BS2777" s="34"/>
      <c r="BT2777" s="34"/>
      <c r="BU2777" s="34"/>
      <c r="BV2777" s="34"/>
      <c r="BW2777" s="34"/>
      <c r="BX2777" s="34"/>
      <c r="BY2777" s="34"/>
      <c r="BZ2777" s="34"/>
      <c r="CA2777" s="34"/>
      <c r="CB2777" s="34"/>
      <c r="CC2777" s="34"/>
      <c r="CD2777" s="34"/>
      <c r="CE2777" s="34"/>
      <c r="CF2777" s="34"/>
      <c r="CG2777" s="34"/>
      <c r="CH2777" s="34"/>
    </row>
    <row r="2778" spans="1:86" x14ac:dyDescent="0.2">
      <c r="A2778" s="8" t="str">
        <f>IF(AND(COUNTIF(W$3:W$13,A$29)&gt;0,A$29&lt;&gt;B2578),A$29,IFERROR(IF(MATCH(A$29,Z$3:Z$13,0)=9,A$29," ")," "))</f>
        <v>C15</v>
      </c>
      <c r="B2778" s="8">
        <f>IF(A2778=" "," ",MAX(B2764:B2777)+1)</f>
        <v>5</v>
      </c>
      <c r="C2778" s="8"/>
      <c r="D2778" s="8"/>
      <c r="E2778" s="8"/>
      <c r="F2778" s="8"/>
      <c r="G2778" s="8"/>
      <c r="H2778" s="8"/>
      <c r="I2778" s="8"/>
      <c r="J2778" s="8"/>
      <c r="K2778" s="8"/>
      <c r="L2778" s="8"/>
      <c r="M2778" s="8"/>
      <c r="N2778" s="8"/>
      <c r="O2778" s="8"/>
      <c r="P2778" s="8"/>
      <c r="Q2778" s="8"/>
      <c r="R2778" s="8"/>
      <c r="S2778" s="8"/>
      <c r="U2778" s="34"/>
      <c r="V2778" s="34"/>
      <c r="W2778" s="34"/>
      <c r="X2778" s="34"/>
      <c r="Y2778" s="34"/>
      <c r="Z2778" s="34"/>
      <c r="AA2778" s="34"/>
      <c r="AB2778" s="34"/>
      <c r="AC2778" s="34"/>
      <c r="AD2778" s="34"/>
      <c r="AE2778" s="34"/>
      <c r="AF2778" s="34"/>
      <c r="AG2778" s="34"/>
      <c r="AH2778" s="34"/>
      <c r="AI2778" s="34"/>
      <c r="AJ2778" s="34"/>
      <c r="AK2778" s="34"/>
      <c r="AL2778" s="34"/>
      <c r="AM2778" s="34"/>
      <c r="AN2778" s="34"/>
      <c r="AO2778" s="34"/>
      <c r="AP2778" s="34"/>
      <c r="AQ2778" s="34"/>
      <c r="AR2778" s="34"/>
      <c r="AS2778" s="34"/>
      <c r="AT2778" s="34"/>
      <c r="AU2778" s="34"/>
      <c r="AV2778" s="34"/>
      <c r="AW2778" s="34"/>
      <c r="AX2778" s="34"/>
      <c r="AY2778" s="34"/>
      <c r="AZ2778" s="34"/>
      <c r="BA2778" s="34"/>
      <c r="BB2778" s="34"/>
      <c r="BC2778" s="34"/>
      <c r="BD2778" s="34"/>
      <c r="BE2778" s="34"/>
      <c r="BF2778" s="34"/>
      <c r="BG2778" s="34"/>
      <c r="BH2778" s="34"/>
      <c r="BI2778" s="34"/>
      <c r="BJ2778" s="34"/>
      <c r="BK2778" s="34"/>
      <c r="BL2778" s="34"/>
      <c r="BM2778" s="34"/>
      <c r="BN2778" s="34"/>
      <c r="BO2778" s="34"/>
      <c r="BP2778" s="34"/>
      <c r="BQ2778" s="34"/>
      <c r="BR2778" s="34"/>
      <c r="BS2778" s="34"/>
      <c r="BT2778" s="34"/>
      <c r="BU2778" s="34"/>
      <c r="BV2778" s="34"/>
      <c r="BW2778" s="34"/>
      <c r="BX2778" s="34"/>
      <c r="BY2778" s="34"/>
      <c r="BZ2778" s="34"/>
      <c r="CA2778" s="34"/>
      <c r="CB2778" s="34"/>
      <c r="CC2778" s="34"/>
      <c r="CD2778" s="34"/>
      <c r="CE2778" s="34"/>
      <c r="CF2778" s="34"/>
      <c r="CG2778" s="34"/>
      <c r="CH2778" s="34"/>
    </row>
    <row r="2779" spans="1:86" x14ac:dyDescent="0.2">
      <c r="A2779" s="8" t="str">
        <f>IF(AND(COUNTIF(W$3:W$13,A$30)&gt;0,A$30&lt;&gt;B2578),A$30,IFERROR(IF(MATCH(A$30,Z$3:Z$13,0)=9,A$30," ")," "))</f>
        <v>C16</v>
      </c>
      <c r="B2779" s="8">
        <f>IF(A2779=" "," ",MAX(B2764:B2778)+1)</f>
        <v>6</v>
      </c>
      <c r="C2779" s="8"/>
      <c r="D2779" s="8"/>
      <c r="E2779" s="8"/>
      <c r="F2779" s="8"/>
      <c r="G2779" s="8"/>
      <c r="H2779" s="8"/>
      <c r="I2779" s="8"/>
      <c r="J2779" s="8"/>
      <c r="K2779" s="8"/>
      <c r="L2779" s="8"/>
      <c r="M2779" s="8"/>
      <c r="N2779" s="8"/>
      <c r="O2779" s="8"/>
      <c r="P2779" s="8"/>
      <c r="Q2779" s="8"/>
      <c r="R2779" s="8"/>
      <c r="S2779" s="8"/>
      <c r="U2779" s="34"/>
      <c r="V2779" s="34"/>
      <c r="W2779" s="34"/>
      <c r="X2779" s="34"/>
      <c r="Y2779" s="34"/>
      <c r="Z2779" s="34"/>
      <c r="AA2779" s="34"/>
      <c r="AB2779" s="34"/>
      <c r="AC2779" s="34"/>
      <c r="AD2779" s="34"/>
      <c r="AE2779" s="34"/>
      <c r="AF2779" s="34"/>
      <c r="AG2779" s="34"/>
      <c r="AH2779" s="34"/>
      <c r="AI2779" s="34"/>
      <c r="AJ2779" s="34"/>
      <c r="AK2779" s="34"/>
      <c r="AL2779" s="34"/>
      <c r="AM2779" s="34"/>
      <c r="AN2779" s="34"/>
      <c r="AO2779" s="34"/>
      <c r="AP2779" s="34"/>
      <c r="AQ2779" s="34"/>
      <c r="AR2779" s="34"/>
      <c r="AS2779" s="34"/>
      <c r="AT2779" s="34"/>
      <c r="AU2779" s="34"/>
      <c r="AV2779" s="34"/>
      <c r="AW2779" s="34"/>
      <c r="AX2779" s="34"/>
      <c r="AY2779" s="34"/>
      <c r="AZ2779" s="34"/>
      <c r="BA2779" s="34"/>
      <c r="BB2779" s="34"/>
      <c r="BC2779" s="34"/>
      <c r="BD2779" s="34"/>
      <c r="BE2779" s="34"/>
      <c r="BF2779" s="34"/>
      <c r="BG2779" s="34"/>
      <c r="BH2779" s="34"/>
      <c r="BI2779" s="34"/>
      <c r="BJ2779" s="34"/>
      <c r="BK2779" s="34"/>
      <c r="BL2779" s="34"/>
      <c r="BM2779" s="34"/>
      <c r="BN2779" s="34"/>
      <c r="BO2779" s="34"/>
      <c r="BP2779" s="34"/>
      <c r="BQ2779" s="34"/>
      <c r="BR2779" s="34"/>
      <c r="BS2779" s="34"/>
      <c r="BT2779" s="34"/>
      <c r="BU2779" s="34"/>
      <c r="BV2779" s="34"/>
      <c r="BW2779" s="34"/>
      <c r="BX2779" s="34"/>
      <c r="BY2779" s="34"/>
      <c r="BZ2779" s="34"/>
      <c r="CA2779" s="34"/>
      <c r="CB2779" s="34"/>
      <c r="CC2779" s="34"/>
      <c r="CD2779" s="34"/>
      <c r="CE2779" s="34"/>
      <c r="CF2779" s="34"/>
      <c r="CG2779" s="34"/>
      <c r="CH2779" s="34"/>
    </row>
    <row r="2780" spans="1:86" x14ac:dyDescent="0.2">
      <c r="A2780" s="8" t="str">
        <f>IF(AND(COUNTIF(W$3:W$13,A$31)&gt;0,A$31&lt;&gt;B2578),A$31,IFERROR(IF(MATCH(A$31,Z$3:Z$13,0)=9,A$31," ")," "))</f>
        <v>C17</v>
      </c>
      <c r="B2780" s="8">
        <f>IF(A2780=" "," ",MAX(B2764:B2779)+1)</f>
        <v>7</v>
      </c>
      <c r="C2780" s="8"/>
      <c r="D2780" s="8"/>
      <c r="E2780" s="8"/>
      <c r="F2780" s="8"/>
      <c r="G2780" s="8"/>
      <c r="H2780" s="8"/>
      <c r="I2780" s="8"/>
      <c r="J2780" s="8"/>
      <c r="K2780" s="8"/>
      <c r="L2780" s="8"/>
      <c r="M2780" s="8"/>
      <c r="N2780" s="8"/>
      <c r="O2780" s="8"/>
      <c r="P2780" s="8"/>
      <c r="Q2780" s="8"/>
      <c r="R2780" s="8"/>
      <c r="S2780" s="8"/>
      <c r="U2780" s="34"/>
      <c r="V2780" s="34"/>
      <c r="W2780" s="34"/>
      <c r="X2780" s="34"/>
      <c r="Y2780" s="34"/>
      <c r="Z2780" s="34"/>
      <c r="AA2780" s="34"/>
      <c r="AB2780" s="34"/>
      <c r="AC2780" s="34"/>
      <c r="AD2780" s="34"/>
      <c r="AE2780" s="34"/>
      <c r="AF2780" s="34"/>
      <c r="AG2780" s="34"/>
      <c r="AH2780" s="34"/>
      <c r="AI2780" s="34"/>
      <c r="AJ2780" s="34"/>
      <c r="AK2780" s="34"/>
      <c r="AL2780" s="34"/>
      <c r="AM2780" s="34"/>
      <c r="AN2780" s="34"/>
      <c r="AO2780" s="34"/>
      <c r="AP2780" s="34"/>
      <c r="AQ2780" s="34"/>
      <c r="AR2780" s="34"/>
      <c r="AS2780" s="34"/>
      <c r="AT2780" s="34"/>
      <c r="AU2780" s="34"/>
      <c r="AV2780" s="34"/>
      <c r="AW2780" s="34"/>
      <c r="AX2780" s="34"/>
      <c r="AY2780" s="34"/>
      <c r="AZ2780" s="34"/>
      <c r="BA2780" s="34"/>
      <c r="BB2780" s="34"/>
      <c r="BC2780" s="34"/>
      <c r="BD2780" s="34"/>
      <c r="BE2780" s="34"/>
      <c r="BF2780" s="34"/>
      <c r="BG2780" s="34"/>
      <c r="BH2780" s="34"/>
      <c r="BI2780" s="34"/>
      <c r="BJ2780" s="34"/>
      <c r="BK2780" s="34"/>
      <c r="BL2780" s="34"/>
      <c r="BM2780" s="34"/>
      <c r="BN2780" s="34"/>
      <c r="BO2780" s="34"/>
      <c r="BP2780" s="34"/>
      <c r="BQ2780" s="34"/>
      <c r="BR2780" s="34"/>
      <c r="BS2780" s="34"/>
      <c r="BT2780" s="34"/>
      <c r="BU2780" s="34"/>
      <c r="BV2780" s="34"/>
      <c r="BW2780" s="34"/>
      <c r="BX2780" s="34"/>
      <c r="BY2780" s="34"/>
      <c r="BZ2780" s="34"/>
      <c r="CA2780" s="34"/>
      <c r="CB2780" s="34"/>
      <c r="CC2780" s="34"/>
      <c r="CD2780" s="34"/>
      <c r="CE2780" s="34"/>
      <c r="CF2780" s="34"/>
      <c r="CG2780" s="34"/>
      <c r="CH2780" s="34"/>
    </row>
    <row r="2781" spans="1:86" x14ac:dyDescent="0.2">
      <c r="A2781" s="8" t="str">
        <f>IF(AND(COUNTIF(W$3:W$13,A$32)&gt;0,A$32&lt;&gt;B2578),A$32,IFERROR(IF(MATCH(A$32,Z$3:Z$13,0)=9,A$32," ")," "))</f>
        <v>C18</v>
      </c>
      <c r="B2781" s="8">
        <f>IF(A2781=" "," ",MAX(B2764:B2780)+1)</f>
        <v>8</v>
      </c>
      <c r="C2781" s="8"/>
      <c r="D2781" s="8"/>
      <c r="E2781" s="8"/>
      <c r="F2781" s="8"/>
      <c r="G2781" s="8"/>
      <c r="H2781" s="8"/>
      <c r="I2781" s="8"/>
      <c r="J2781" s="8"/>
      <c r="K2781" s="8"/>
      <c r="L2781" s="8"/>
      <c r="M2781" s="8"/>
      <c r="N2781" s="8"/>
      <c r="O2781" s="8"/>
      <c r="P2781" s="8"/>
      <c r="Q2781" s="8"/>
      <c r="R2781" s="8"/>
      <c r="S2781" s="8"/>
      <c r="U2781" s="34"/>
      <c r="V2781" s="34"/>
      <c r="W2781" s="34"/>
      <c r="X2781" s="34"/>
      <c r="Y2781" s="34"/>
      <c r="Z2781" s="34"/>
      <c r="AA2781" s="34"/>
      <c r="AB2781" s="34"/>
      <c r="AC2781" s="34"/>
      <c r="AD2781" s="34"/>
      <c r="AE2781" s="34"/>
      <c r="AF2781" s="34"/>
      <c r="AG2781" s="34"/>
      <c r="AH2781" s="34"/>
      <c r="AI2781" s="34"/>
      <c r="AJ2781" s="34"/>
      <c r="AK2781" s="34"/>
      <c r="AL2781" s="34"/>
      <c r="AM2781" s="34"/>
      <c r="AN2781" s="34"/>
      <c r="AO2781" s="34"/>
      <c r="AP2781" s="34"/>
      <c r="AQ2781" s="34"/>
      <c r="AR2781" s="34"/>
      <c r="AS2781" s="34"/>
      <c r="AT2781" s="34"/>
      <c r="AU2781" s="34"/>
      <c r="AV2781" s="34"/>
      <c r="AW2781" s="34"/>
      <c r="AX2781" s="34"/>
      <c r="AY2781" s="34"/>
      <c r="AZ2781" s="34"/>
      <c r="BA2781" s="34"/>
      <c r="BB2781" s="34"/>
      <c r="BC2781" s="34"/>
      <c r="BD2781" s="34"/>
      <c r="BE2781" s="34"/>
      <c r="BF2781" s="34"/>
      <c r="BG2781" s="34"/>
      <c r="BH2781" s="34"/>
      <c r="BI2781" s="34"/>
      <c r="BJ2781" s="34"/>
      <c r="BK2781" s="34"/>
      <c r="BL2781" s="34"/>
      <c r="BM2781" s="34"/>
      <c r="BN2781" s="34"/>
      <c r="BO2781" s="34"/>
      <c r="BP2781" s="34"/>
      <c r="BQ2781" s="34"/>
      <c r="BR2781" s="34"/>
      <c r="BS2781" s="34"/>
      <c r="BT2781" s="34"/>
      <c r="BU2781" s="34"/>
      <c r="BV2781" s="34"/>
      <c r="BW2781" s="34"/>
      <c r="BX2781" s="34"/>
      <c r="BY2781" s="34"/>
      <c r="BZ2781" s="34"/>
      <c r="CA2781" s="34"/>
      <c r="CB2781" s="34"/>
      <c r="CC2781" s="34"/>
      <c r="CD2781" s="34"/>
      <c r="CE2781" s="34"/>
      <c r="CF2781" s="34"/>
      <c r="CG2781" s="34"/>
      <c r="CH2781" s="34"/>
    </row>
    <row r="2782" spans="1:86" x14ac:dyDescent="0.2">
      <c r="A2782" s="8" t="str">
        <f>IF(AND(COUNTIF(W$3:W$13,A$33)&gt;0,A$33&lt;&gt;B2578),A$33,IFERROR(IF(MATCH(A$33,Z$3:Z$13,0)=9,A$33," ")," "))</f>
        <v>C19</v>
      </c>
      <c r="B2782" s="8">
        <f>IF(A2782=" "," ",MAX(B2764:B2781)+1)</f>
        <v>9</v>
      </c>
      <c r="C2782" s="8"/>
      <c r="D2782" s="8"/>
      <c r="E2782" s="8"/>
      <c r="F2782" s="8"/>
      <c r="G2782" s="8"/>
      <c r="H2782" s="8"/>
      <c r="I2782" s="8"/>
      <c r="J2782" s="8"/>
      <c r="K2782" s="8"/>
      <c r="L2782" s="8"/>
      <c r="M2782" s="8"/>
      <c r="N2782" s="8"/>
      <c r="O2782" s="8"/>
      <c r="P2782" s="8"/>
      <c r="Q2782" s="8"/>
      <c r="R2782" s="8"/>
      <c r="S2782" s="8"/>
      <c r="U2782" s="34"/>
      <c r="V2782" s="34"/>
      <c r="W2782" s="34"/>
      <c r="X2782" s="34"/>
      <c r="Y2782" s="34"/>
      <c r="Z2782" s="34"/>
      <c r="AA2782" s="34"/>
      <c r="AB2782" s="34"/>
      <c r="AC2782" s="34"/>
      <c r="AD2782" s="34"/>
      <c r="AE2782" s="34"/>
      <c r="AF2782" s="34"/>
      <c r="AG2782" s="34"/>
      <c r="AH2782" s="34"/>
      <c r="AI2782" s="34"/>
      <c r="AJ2782" s="34"/>
      <c r="AK2782" s="34"/>
      <c r="AL2782" s="34"/>
      <c r="AM2782" s="34"/>
      <c r="AN2782" s="34"/>
      <c r="AO2782" s="34"/>
      <c r="AP2782" s="34"/>
      <c r="AQ2782" s="34"/>
      <c r="AR2782" s="34"/>
      <c r="AS2782" s="34"/>
      <c r="AT2782" s="34"/>
      <c r="AU2782" s="34"/>
      <c r="AV2782" s="34"/>
      <c r="AW2782" s="34"/>
      <c r="AX2782" s="34"/>
      <c r="AY2782" s="34"/>
      <c r="AZ2782" s="34"/>
      <c r="BA2782" s="34"/>
      <c r="BB2782" s="34"/>
      <c r="BC2782" s="34"/>
      <c r="BD2782" s="34"/>
      <c r="BE2782" s="34"/>
      <c r="BF2782" s="34"/>
      <c r="BG2782" s="34"/>
      <c r="BH2782" s="34"/>
      <c r="BI2782" s="34"/>
      <c r="BJ2782" s="34"/>
      <c r="BK2782" s="34"/>
      <c r="BL2782" s="34"/>
      <c r="BM2782" s="34"/>
      <c r="BN2782" s="34"/>
      <c r="BO2782" s="34"/>
      <c r="BP2782" s="34"/>
      <c r="BQ2782" s="34"/>
      <c r="BR2782" s="34"/>
      <c r="BS2782" s="34"/>
      <c r="BT2782" s="34"/>
      <c r="BU2782" s="34"/>
      <c r="BV2782" s="34"/>
      <c r="BW2782" s="34"/>
      <c r="BX2782" s="34"/>
      <c r="BY2782" s="34"/>
      <c r="BZ2782" s="34"/>
      <c r="CA2782" s="34"/>
      <c r="CB2782" s="34"/>
      <c r="CC2782" s="34"/>
      <c r="CD2782" s="34"/>
      <c r="CE2782" s="34"/>
      <c r="CF2782" s="34"/>
      <c r="CG2782" s="34"/>
      <c r="CH2782" s="34"/>
    </row>
    <row r="2783" spans="1:86" x14ac:dyDescent="0.2">
      <c r="A2783" s="8" t="str">
        <f>IF(AND(COUNTIF(W$3:W$13,A$34)&gt;0,A$34&lt;&gt;B2578),A$34,IFERROR(IF(MATCH(A$34,Z$3:Z$13,0)=9,A$34," ")," "))</f>
        <v>C20</v>
      </c>
      <c r="B2783" s="8">
        <f>IF(A2783=" "," ",MAX(B2764:B2782)+1)</f>
        <v>10</v>
      </c>
      <c r="C2783" s="8"/>
      <c r="D2783" s="8"/>
      <c r="E2783" s="8"/>
      <c r="F2783" s="8"/>
      <c r="G2783" s="8"/>
      <c r="H2783" s="8"/>
      <c r="I2783" s="8"/>
      <c r="J2783" s="8"/>
      <c r="K2783" s="8"/>
      <c r="L2783" s="8"/>
      <c r="M2783" s="8"/>
      <c r="N2783" s="8"/>
      <c r="O2783" s="8"/>
      <c r="P2783" s="8"/>
      <c r="Q2783" s="8"/>
      <c r="R2783" s="8"/>
      <c r="S2783" s="8"/>
      <c r="U2783" s="34"/>
      <c r="V2783" s="34"/>
      <c r="W2783" s="34"/>
      <c r="X2783" s="34"/>
      <c r="Y2783" s="34"/>
      <c r="Z2783" s="34"/>
      <c r="AA2783" s="34"/>
      <c r="AB2783" s="34"/>
      <c r="AC2783" s="34"/>
      <c r="AD2783" s="34"/>
      <c r="AE2783" s="34"/>
      <c r="AF2783" s="34"/>
      <c r="AG2783" s="34"/>
      <c r="AH2783" s="34"/>
      <c r="AI2783" s="34"/>
      <c r="AJ2783" s="34"/>
      <c r="AK2783" s="34"/>
      <c r="AL2783" s="34"/>
      <c r="AM2783" s="34"/>
      <c r="AN2783" s="34"/>
      <c r="AO2783" s="34"/>
      <c r="AP2783" s="34"/>
      <c r="AQ2783" s="34"/>
      <c r="AR2783" s="34"/>
      <c r="AS2783" s="34"/>
      <c r="AT2783" s="34"/>
      <c r="AU2783" s="34"/>
      <c r="AV2783" s="34"/>
      <c r="AW2783" s="34"/>
      <c r="AX2783" s="34"/>
      <c r="AY2783" s="34"/>
      <c r="AZ2783" s="34"/>
      <c r="BA2783" s="34"/>
      <c r="BB2783" s="34"/>
      <c r="BC2783" s="34"/>
      <c r="BD2783" s="34"/>
      <c r="BE2783" s="34"/>
      <c r="BF2783" s="34"/>
      <c r="BG2783" s="34"/>
      <c r="BH2783" s="34"/>
      <c r="BI2783" s="34"/>
      <c r="BJ2783" s="34"/>
      <c r="BK2783" s="34"/>
      <c r="BL2783" s="34"/>
      <c r="BM2783" s="34"/>
      <c r="BN2783" s="34"/>
      <c r="BO2783" s="34"/>
      <c r="BP2783" s="34"/>
      <c r="BQ2783" s="34"/>
      <c r="BR2783" s="34"/>
      <c r="BS2783" s="34"/>
      <c r="BT2783" s="34"/>
      <c r="BU2783" s="34"/>
      <c r="BV2783" s="34"/>
      <c r="BW2783" s="34"/>
      <c r="BX2783" s="34"/>
      <c r="BY2783" s="34"/>
      <c r="BZ2783" s="34"/>
      <c r="CA2783" s="34"/>
      <c r="CB2783" s="34"/>
      <c r="CC2783" s="34"/>
      <c r="CD2783" s="34"/>
      <c r="CE2783" s="34"/>
      <c r="CF2783" s="34"/>
      <c r="CG2783" s="34"/>
      <c r="CH2783" s="34"/>
    </row>
    <row r="2784" spans="1:86" x14ac:dyDescent="0.2">
      <c r="A2784" s="8" t="str">
        <f>IF(AND(COUNTIF(W$3:W$13,A$35)&gt;0,A$35&lt;&gt;B2578),A$35,IFERROR(IF(MATCH(A$35,Z$3:Z$13,0)=9,A$35," ")," "))</f>
        <v>C21</v>
      </c>
      <c r="B2784" s="8">
        <f>IF(A2784=" "," ",MAX(B2764:B2783)+1)</f>
        <v>11</v>
      </c>
      <c r="C2784" s="8"/>
      <c r="D2784" s="8"/>
      <c r="E2784" s="8"/>
      <c r="F2784" s="8"/>
      <c r="G2784" s="8"/>
      <c r="H2784" s="8"/>
      <c r="I2784" s="8"/>
      <c r="J2784" s="8"/>
      <c r="K2784" s="8"/>
      <c r="L2784" s="8"/>
      <c r="M2784" s="8"/>
      <c r="N2784" s="8"/>
      <c r="O2784" s="8"/>
      <c r="P2784" s="8"/>
      <c r="Q2784" s="8"/>
      <c r="R2784" s="8"/>
      <c r="S2784" s="8"/>
      <c r="U2784" s="34"/>
      <c r="V2784" s="34"/>
      <c r="W2784" s="34"/>
      <c r="X2784" s="34"/>
      <c r="Y2784" s="34"/>
      <c r="Z2784" s="34"/>
      <c r="AA2784" s="34"/>
      <c r="AB2784" s="34"/>
      <c r="AC2784" s="34"/>
      <c r="AD2784" s="34"/>
      <c r="AE2784" s="34"/>
      <c r="AF2784" s="34"/>
      <c r="AG2784" s="34"/>
      <c r="AH2784" s="34"/>
      <c r="AI2784" s="34"/>
      <c r="AJ2784" s="34"/>
      <c r="AK2784" s="34"/>
      <c r="AL2784" s="34"/>
      <c r="AM2784" s="34"/>
      <c r="AN2784" s="34"/>
      <c r="AO2784" s="34"/>
      <c r="AP2784" s="34"/>
      <c r="AQ2784" s="34"/>
      <c r="AR2784" s="34"/>
      <c r="AS2784" s="34"/>
      <c r="AT2784" s="34"/>
      <c r="AU2784" s="34"/>
      <c r="AV2784" s="34"/>
      <c r="AW2784" s="34"/>
      <c r="AX2784" s="34"/>
      <c r="AY2784" s="34"/>
      <c r="AZ2784" s="34"/>
      <c r="BA2784" s="34"/>
      <c r="BB2784" s="34"/>
      <c r="BC2784" s="34"/>
      <c r="BD2784" s="34"/>
      <c r="BE2784" s="34"/>
      <c r="BF2784" s="34"/>
      <c r="BG2784" s="34"/>
      <c r="BH2784" s="34"/>
      <c r="BI2784" s="34"/>
      <c r="BJ2784" s="34"/>
      <c r="BK2784" s="34"/>
      <c r="BL2784" s="34"/>
      <c r="BM2784" s="34"/>
      <c r="BN2784" s="34"/>
      <c r="BO2784" s="34"/>
      <c r="BP2784" s="34"/>
      <c r="BQ2784" s="34"/>
      <c r="BR2784" s="34"/>
      <c r="BS2784" s="34"/>
      <c r="BT2784" s="34"/>
      <c r="BU2784" s="34"/>
      <c r="BV2784" s="34"/>
      <c r="BW2784" s="34"/>
      <c r="BX2784" s="34"/>
      <c r="BY2784" s="34"/>
      <c r="BZ2784" s="34"/>
      <c r="CA2784" s="34"/>
      <c r="CB2784" s="34"/>
      <c r="CC2784" s="34"/>
      <c r="CD2784" s="34"/>
      <c r="CE2784" s="34"/>
      <c r="CF2784" s="34"/>
      <c r="CG2784" s="34"/>
      <c r="CH2784" s="34"/>
    </row>
    <row r="2785" spans="1:86" x14ac:dyDescent="0.2">
      <c r="A2785" s="8" t="str">
        <f>IF(AND(COUNTIF(W$3:W$13,A$36)&gt;0,A$36&lt;&gt;B2578),A$36,IFERROR(IF(MATCH(A$36,Z$3:Z$13,0)=9,A$36," ")," "))</f>
        <v xml:space="preserve"> </v>
      </c>
      <c r="B2785" s="8" t="str">
        <f>IF(A2785=" "," ",MAX(B2764:B2784)+1)</f>
        <v xml:space="preserve"> </v>
      </c>
      <c r="C2785" s="8"/>
      <c r="D2785" s="8"/>
      <c r="E2785" s="8"/>
      <c r="F2785" s="8"/>
      <c r="G2785" s="8"/>
      <c r="H2785" s="8"/>
      <c r="I2785" s="8"/>
      <c r="J2785" s="8"/>
      <c r="K2785" s="8"/>
      <c r="L2785" s="8"/>
      <c r="M2785" s="8"/>
      <c r="N2785" s="8"/>
      <c r="O2785" s="8"/>
      <c r="P2785" s="8"/>
      <c r="Q2785" s="8"/>
      <c r="R2785" s="8"/>
      <c r="S2785" s="8"/>
      <c r="U2785" s="34"/>
      <c r="V2785" s="34"/>
      <c r="W2785" s="34"/>
      <c r="X2785" s="34"/>
      <c r="Y2785" s="34"/>
      <c r="Z2785" s="34"/>
      <c r="AA2785" s="34"/>
      <c r="AB2785" s="34"/>
      <c r="AC2785" s="34"/>
      <c r="AD2785" s="34"/>
      <c r="AE2785" s="34"/>
      <c r="AF2785" s="34"/>
      <c r="AG2785" s="34"/>
      <c r="AH2785" s="34"/>
      <c r="AI2785" s="34"/>
      <c r="AJ2785" s="34"/>
      <c r="AK2785" s="34"/>
      <c r="AL2785" s="34"/>
      <c r="AM2785" s="34"/>
      <c r="AN2785" s="34"/>
      <c r="AO2785" s="34"/>
      <c r="AP2785" s="34"/>
      <c r="AQ2785" s="34"/>
      <c r="AR2785" s="34"/>
      <c r="AS2785" s="34"/>
      <c r="AT2785" s="34"/>
      <c r="AU2785" s="34"/>
      <c r="AV2785" s="34"/>
      <c r="AW2785" s="34"/>
      <c r="AX2785" s="34"/>
      <c r="AY2785" s="34"/>
      <c r="AZ2785" s="34"/>
      <c r="BA2785" s="34"/>
      <c r="BB2785" s="34"/>
      <c r="BC2785" s="34"/>
      <c r="BD2785" s="34"/>
      <c r="BE2785" s="34"/>
      <c r="BF2785" s="34"/>
      <c r="BG2785" s="34"/>
      <c r="BH2785" s="34"/>
      <c r="BI2785" s="34"/>
      <c r="BJ2785" s="34"/>
      <c r="BK2785" s="34"/>
      <c r="BL2785" s="34"/>
      <c r="BM2785" s="34"/>
      <c r="BN2785" s="34"/>
      <c r="BO2785" s="34"/>
      <c r="BP2785" s="34"/>
      <c r="BQ2785" s="34"/>
      <c r="BR2785" s="34"/>
      <c r="BS2785" s="34"/>
      <c r="BT2785" s="34"/>
      <c r="BU2785" s="34"/>
      <c r="BV2785" s="34"/>
      <c r="BW2785" s="34"/>
      <c r="BX2785" s="34"/>
      <c r="BY2785" s="34"/>
      <c r="BZ2785" s="34"/>
      <c r="CA2785" s="34"/>
      <c r="CB2785" s="34"/>
      <c r="CC2785" s="34"/>
      <c r="CD2785" s="34"/>
      <c r="CE2785" s="34"/>
      <c r="CF2785" s="34"/>
      <c r="CG2785" s="34"/>
      <c r="CH2785" s="34"/>
    </row>
    <row r="2786" spans="1:86" x14ac:dyDescent="0.2">
      <c r="A2786" s="11" t="s">
        <v>17</v>
      </c>
      <c r="B2786" s="11"/>
      <c r="C2786" s="27" t="s">
        <v>18</v>
      </c>
      <c r="D2786" s="27" t="s">
        <v>2</v>
      </c>
      <c r="E2786" s="27" t="s">
        <v>6</v>
      </c>
      <c r="F2786" s="27" t="s">
        <v>15</v>
      </c>
      <c r="G2786" s="27" t="s">
        <v>36</v>
      </c>
      <c r="H2786" s="27" t="s">
        <v>37</v>
      </c>
      <c r="I2786" s="27" t="s">
        <v>38</v>
      </c>
      <c r="J2786" s="27" t="s">
        <v>39</v>
      </c>
      <c r="K2786" s="27" t="s">
        <v>40</v>
      </c>
      <c r="L2786" s="27" t="s">
        <v>41</v>
      </c>
      <c r="M2786" s="27" t="s">
        <v>42</v>
      </c>
      <c r="N2786" s="27" t="s">
        <v>43</v>
      </c>
      <c r="O2786" s="27" t="s">
        <v>9</v>
      </c>
      <c r="P2786" s="27" t="s">
        <v>12</v>
      </c>
      <c r="Q2786" s="27" t="s">
        <v>19</v>
      </c>
      <c r="R2786" s="27" t="s">
        <v>55</v>
      </c>
      <c r="S2786" s="27" t="s">
        <v>26</v>
      </c>
      <c r="T2786" s="19" t="s">
        <v>25</v>
      </c>
      <c r="U2786" s="33" t="s">
        <v>27</v>
      </c>
      <c r="V2786" s="33" t="s">
        <v>9</v>
      </c>
      <c r="W2786" s="33" t="s">
        <v>23</v>
      </c>
      <c r="X2786" s="33" t="s">
        <v>12</v>
      </c>
      <c r="Y2786" s="33" t="s">
        <v>26</v>
      </c>
      <c r="Z2786" s="33" t="s">
        <v>25</v>
      </c>
      <c r="AA2786" s="33" t="s">
        <v>27</v>
      </c>
      <c r="AB2786" s="33" t="s">
        <v>9</v>
      </c>
      <c r="AC2786" s="33" t="s">
        <v>23</v>
      </c>
      <c r="AD2786" s="33" t="s">
        <v>12</v>
      </c>
      <c r="AE2786" s="33" t="s">
        <v>26</v>
      </c>
      <c r="AF2786" s="33" t="s">
        <v>25</v>
      </c>
      <c r="AG2786" s="33" t="s">
        <v>27</v>
      </c>
      <c r="AH2786" s="33" t="s">
        <v>9</v>
      </c>
      <c r="AI2786" s="33" t="s">
        <v>23</v>
      </c>
      <c r="AJ2786" s="33" t="s">
        <v>12</v>
      </c>
      <c r="AK2786" s="33" t="s">
        <v>26</v>
      </c>
      <c r="AL2786" s="33" t="s">
        <v>25</v>
      </c>
      <c r="AM2786" s="33" t="s">
        <v>27</v>
      </c>
      <c r="AN2786" s="33" t="s">
        <v>9</v>
      </c>
      <c r="AO2786" s="33" t="s">
        <v>23</v>
      </c>
      <c r="AP2786" s="33" t="s">
        <v>12</v>
      </c>
      <c r="AQ2786" s="33" t="s">
        <v>26</v>
      </c>
      <c r="AR2786" s="33" t="s">
        <v>25</v>
      </c>
      <c r="AS2786" s="33" t="s">
        <v>27</v>
      </c>
      <c r="AT2786" s="33" t="s">
        <v>9</v>
      </c>
      <c r="AU2786" s="33" t="s">
        <v>23</v>
      </c>
      <c r="AV2786" s="33" t="s">
        <v>12</v>
      </c>
      <c r="AW2786" s="33" t="s">
        <v>26</v>
      </c>
      <c r="AX2786" s="33" t="s">
        <v>25</v>
      </c>
      <c r="AY2786" s="33" t="s">
        <v>27</v>
      </c>
      <c r="AZ2786" s="33" t="s">
        <v>9</v>
      </c>
      <c r="BA2786" s="33" t="s">
        <v>23</v>
      </c>
      <c r="BB2786" s="33" t="s">
        <v>12</v>
      </c>
      <c r="BC2786" s="33" t="s">
        <v>26</v>
      </c>
      <c r="BD2786" s="33" t="s">
        <v>25</v>
      </c>
      <c r="BE2786" s="33" t="s">
        <v>27</v>
      </c>
      <c r="BF2786" s="33" t="s">
        <v>9</v>
      </c>
      <c r="BG2786" s="33" t="s">
        <v>23</v>
      </c>
      <c r="BH2786" s="33" t="s">
        <v>12</v>
      </c>
      <c r="BI2786" s="33" t="s">
        <v>26</v>
      </c>
      <c r="BJ2786" s="33" t="s">
        <v>25</v>
      </c>
      <c r="BK2786" s="33" t="s">
        <v>27</v>
      </c>
      <c r="BL2786" s="33" t="s">
        <v>9</v>
      </c>
      <c r="BM2786" s="33" t="s">
        <v>23</v>
      </c>
      <c r="BN2786" s="33" t="s">
        <v>12</v>
      </c>
      <c r="BO2786" s="33" t="s">
        <v>26</v>
      </c>
      <c r="BP2786" s="33" t="s">
        <v>25</v>
      </c>
      <c r="BQ2786" s="33" t="s">
        <v>27</v>
      </c>
      <c r="BR2786" s="33" t="s">
        <v>9</v>
      </c>
      <c r="BS2786" s="33" t="s">
        <v>23</v>
      </c>
      <c r="BT2786" s="33" t="s">
        <v>12</v>
      </c>
      <c r="BU2786" s="33" t="s">
        <v>26</v>
      </c>
      <c r="BV2786" s="33" t="s">
        <v>25</v>
      </c>
      <c r="BW2786" s="33" t="s">
        <v>27</v>
      </c>
      <c r="BX2786" s="33" t="s">
        <v>9</v>
      </c>
      <c r="BY2786" s="33" t="s">
        <v>23</v>
      </c>
      <c r="BZ2786" s="33" t="s">
        <v>12</v>
      </c>
      <c r="CA2786" s="33" t="s">
        <v>26</v>
      </c>
      <c r="CB2786" s="33" t="s">
        <v>25</v>
      </c>
      <c r="CC2786" s="33" t="s">
        <v>27</v>
      </c>
      <c r="CD2786" s="33" t="s">
        <v>9</v>
      </c>
      <c r="CE2786" s="33" t="s">
        <v>23</v>
      </c>
      <c r="CF2786" s="33" t="s">
        <v>12</v>
      </c>
      <c r="CG2786" s="33" t="s">
        <v>26</v>
      </c>
      <c r="CH2786" s="33" t="s">
        <v>25</v>
      </c>
    </row>
    <row r="2787" spans="1:86" x14ac:dyDescent="0.2">
      <c r="A2787" s="8" t="str">
        <f>IF(AND(COUNTIF(W$3:W$13,A$15)&gt;0,A$15&lt;&gt;B2578),A$15,IFERROR(IF(MATCH(A$15,Z$3:Z$13,0)=10,A$15," ")," "))</f>
        <v xml:space="preserve"> </v>
      </c>
      <c r="B2787" s="8" t="str">
        <f>IF(A2787=" "," ",1)</f>
        <v xml:space="preserve"> </v>
      </c>
      <c r="C2787" s="8" t="str">
        <f>IFERROR(INDEX(A2787:A2808,MATCH(SMALL(B2787:B2808,1),B2787:B2808,0),1)," ")</f>
        <v>C3</v>
      </c>
      <c r="D2787" s="8">
        <f>IFERROR(VLOOKUP($C2787,$A$15:$O$36,2,FALSE)," ")</f>
        <v>2</v>
      </c>
      <c r="E2787" s="8">
        <f>IFERROR(VLOOKUP($C2787,$A$15:$O$36,3,FALSE)," ")</f>
        <v>5</v>
      </c>
      <c r="F2787" s="8">
        <f>IFERROR(VLOOKUP($C2787,$A$15:$O$36,4,FALSE)," ")</f>
        <v>6</v>
      </c>
      <c r="G2787" s="8">
        <f>IFERROR(VLOOKUP($C2787,$A$15:$O$36,5,FALSE)," ")</f>
        <v>0</v>
      </c>
      <c r="H2787" s="8">
        <f>IFERROR(VLOOKUP($C2787,$A$15:$O$36,6,FALSE)," ")</f>
        <v>0</v>
      </c>
      <c r="I2787" s="8">
        <f>IFERROR(VLOOKUP($C2787,$A$15:$O$36,7,FALSE)," ")</f>
        <v>0</v>
      </c>
      <c r="J2787" s="8">
        <f>IFERROR(VLOOKUP($C2787,$A$15:$O$36,8,FALSE)," ")</f>
        <v>0</v>
      </c>
      <c r="K2787" s="8">
        <f>IFERROR(VLOOKUP($C2787,$A$15:$O$36,9,FALSE)," ")</f>
        <v>0</v>
      </c>
      <c r="L2787" s="8">
        <f>IFERROR(VLOOKUP($C2787,$A$15:$O$36,10,FALSE)," ")</f>
        <v>0</v>
      </c>
      <c r="M2787" s="8">
        <f>IFERROR(VLOOKUP($C2787,$A$15:$O$36,11,FALSE)," ")</f>
        <v>0</v>
      </c>
      <c r="N2787" s="8">
        <f>IFERROR(VLOOKUP($C2787,$A$15:$O$36,12,FALSE)," ")</f>
        <v>0</v>
      </c>
      <c r="O2787" s="8">
        <f>IFERROR(VLOOKUP($C2787,$A$15:$O$36,15,FALSE)," ")</f>
        <v>2000</v>
      </c>
      <c r="P2787" s="8" t="e">
        <f t="array" ref="P2787:P2797">MMULT(MINVERSE(D2787:N2797),O2787:O2797)</f>
        <v>#NUM!</v>
      </c>
      <c r="Q2787" s="8" t="e">
        <f t="shared" ref="Q2787" si="12151">IF(COUNTIF(P2787:P2797,"&lt;"&amp;-0.001)=0,IF(ABS(P2787)&lt;0.001,0,P2787)," ")</f>
        <v>#NUM!</v>
      </c>
      <c r="R2787" s="8" t="str">
        <f>IFERROR(VLOOKUP(B2578,A$15:L$36,2,FALSE)*Q2787+VLOOKUP(B2578,A$15:L$36,3,FALSE)*Q2788+VLOOKUP(B2578,A$15:L$36,4,FALSE)*Q2789+VLOOKUP(B2578,A$15:L$36,5,FALSE)*Q2790+VLOOKUP(B2578,A$15:L$36,6,FALSE)*Q2791+VLOOKUP(B2578,A$15:L$36,7,FALSE)*Q2792+VLOOKUP(B2578,A$15:L$36,8,FALSE)*Q2793+VLOOKUP(B2578,A$15:L$36,9,FALSE)*Q2794+VLOOKUP(B2578,A$15:L$36,10,FALSE)*Q2795+VLOOKUP(B2578,A$15:L$36,11,FALSE)*Q2796+VLOOKUP(B2578,A$15:L$36,12,FALSE)*Q2797," ")</f>
        <v xml:space="preserve"> </v>
      </c>
      <c r="S2787" s="8" t="str">
        <f>IFERROR(IF(R2787-VLOOKUP(B2578,A$15:O$36,15,FALSE)&lt;0,R2787-VLOOKUP(B2578,A$15:O$36,15,FALSE)," ")," ")</f>
        <v xml:space="preserve"> </v>
      </c>
      <c r="T2787" s="18" t="str">
        <f>IFERROR(IF(R2787-VLOOKUP(B2578,A$15:O$36,15,FALSE)&gt;0,R2787-VLOOKUP(B2578,A$15:O$36,15,FALSE)," ")," ")</f>
        <v xml:space="preserve"> </v>
      </c>
      <c r="U2787" s="34">
        <f t="shared" ref="U2787" si="12152">$M$2</f>
        <v>100.00000000000001</v>
      </c>
      <c r="V2787" s="34">
        <v>-1</v>
      </c>
      <c r="W2787" s="34">
        <f t="shared" ref="W2787" si="12153">-SUMPRODUCT($M$3:$M$12,$N$3:$N$12)</f>
        <v>-105000</v>
      </c>
      <c r="X2787" s="34" t="e">
        <f t="shared" ref="X2787" si="12154">IF(U2787&lt;&gt;U2788,MMULT(MINVERSE(U2787:V2788),W2787:W2788)," ")</f>
        <v>#NUM!</v>
      </c>
      <c r="Y2787" s="34" t="str">
        <f t="shared" ref="Y2787" si="12155">IFERROR(IF(X2787-VLOOKUP(U$38,$A$2:$N$12,14,FALSE)&lt;0,X2787-VLOOKUP(U$38,$A$2:$N$12,14,FALSE)," ")," ")</f>
        <v xml:space="preserve"> </v>
      </c>
      <c r="Z2787" s="34" t="str">
        <f t="shared" ref="Z2787" si="12156">IFERROR(IF(X2787-VLOOKUP(U$38,$A$2:$N$12,14,FALSE)&gt;0,X2787-VLOOKUP(U$38,$A$2:$N$12,14,FALSE)," ")," ")</f>
        <v xml:space="preserve"> </v>
      </c>
      <c r="AA2787" s="34">
        <f t="shared" ref="AA2787" si="12157">$M$3</f>
        <v>0</v>
      </c>
      <c r="AB2787" s="34">
        <v>-1</v>
      </c>
      <c r="AC2787" s="34">
        <f t="shared" ref="AC2787" si="12158">-SUMPRODUCT($M$2:$M$2,$N$2:$N$2)-SUMPRODUCT($M$4:$M$12,$N$4:$N$12)</f>
        <v>-120000</v>
      </c>
      <c r="AD2787" s="34" t="e">
        <f t="shared" ref="AD2787" si="12159">IF(AA2787&lt;&gt;AA2788,MMULT(MINVERSE(AA2787:AB2788),AC2787:AC2788)," ")</f>
        <v>#NUM!</v>
      </c>
      <c r="AE2787" s="34" t="str">
        <f t="shared" ref="AE2787" si="12160">IFERROR(IF(AD2787-VLOOKUP(AA$38,$A$2:$N$12,14,FALSE)&lt;0,AD2787-VLOOKUP(AA$38,$A$2:$N$12,14,FALSE)," ")," ")</f>
        <v xml:space="preserve"> </v>
      </c>
      <c r="AF2787" s="34" t="str">
        <f t="shared" ref="AF2787" si="12161">IFERROR(IF(AD2787-VLOOKUP(AA$38,$A$2:$N$12,14,FALSE)&gt;0,AD2787-VLOOKUP(AA$38,$A$2:$N$12,14,FALSE)," ")," ")</f>
        <v xml:space="preserve"> </v>
      </c>
      <c r="AG2787" s="34">
        <f t="shared" ref="AG2787" si="12162">$M$4</f>
        <v>300</v>
      </c>
      <c r="AH2787" s="34">
        <v>-1</v>
      </c>
      <c r="AI2787" s="34">
        <f t="shared" ref="AI2787" si="12163">-SUMPRODUCT($M$2:$M$3,$N$2:$N$3)-SUMPRODUCT($M$5:$M$12,$N$5:$N$12)</f>
        <v>-15000.000000000002</v>
      </c>
      <c r="AJ2787" s="34" t="e">
        <f t="shared" ref="AJ2787" si="12164">IF(AG2787&lt;&gt;AG2788,MMULT(MINVERSE(AG2787:AH2788),AI2787:AI2788)," ")</f>
        <v>#NUM!</v>
      </c>
      <c r="AK2787" s="34" t="str">
        <f t="shared" ref="AK2787" si="12165">IFERROR(IF(AJ2787-VLOOKUP(AG$38,$A$2:$N$12,14,FALSE)&lt;0,AJ2787-VLOOKUP(AG$38,$A$2:$N$12,14,FALSE)," ")," ")</f>
        <v xml:space="preserve"> </v>
      </c>
      <c r="AL2787" s="34" t="str">
        <f t="shared" ref="AL2787" si="12166">IFERROR(IF(AJ2787-VLOOKUP(AG$38,$A$2:$N$12,14,FALSE)&gt;0,AJ2787-VLOOKUP(AG$38,$A$2:$N$12,14,FALSE)," ")," ")</f>
        <v xml:space="preserve"> </v>
      </c>
      <c r="AM2787" s="34">
        <f t="shared" ref="AM2787" si="12167">$M$5</f>
        <v>0</v>
      </c>
      <c r="AN2787" s="34">
        <v>-1</v>
      </c>
      <c r="AO2787" s="34">
        <f t="shared" ref="AO2787" si="12168">-SUMPRODUCT($M$2:$M$4,$N$2:$N$4)-SUMPRODUCT($M$6:$M$12,$N$6:$N$12)</f>
        <v>-120000</v>
      </c>
      <c r="AP2787" s="34" t="e">
        <f t="shared" ref="AP2787" si="12169">IF(AM2787&lt;&gt;AM2788,MMULT(MINVERSE(AM2787:AN2788),AO2787:AO2788)," ")</f>
        <v>#NUM!</v>
      </c>
      <c r="AQ2787" s="34" t="str">
        <f t="shared" ref="AQ2787" si="12170">IFERROR(IF(AP2787-VLOOKUP(AM$38,$A$2:$N$12,14,FALSE)&lt;0,AP2787-VLOOKUP(AM$38,$A$2:$N$12,14,FALSE)," ")," ")</f>
        <v xml:space="preserve"> </v>
      </c>
      <c r="AR2787" s="34" t="str">
        <f t="shared" ref="AR2787" si="12171">IFERROR(IF(AP2787-VLOOKUP(AM$38,$A$2:$N$12,14,FALSE)&gt;0,AP2787-VLOOKUP(AM$38,$A$2:$N$12,14,FALSE)," ")," ")</f>
        <v xml:space="preserve"> </v>
      </c>
      <c r="AS2787" s="34">
        <f t="shared" ref="AS2787" si="12172">$M$6</f>
        <v>0</v>
      </c>
      <c r="AT2787" s="34">
        <v>-1</v>
      </c>
      <c r="AU2787" s="34">
        <f t="shared" ref="AU2787" si="12173">-SUMPRODUCT($M$2:$M$5,$N$2:$N$5)-SUMPRODUCT($M$7:$M$12,$N$7:$N$12)</f>
        <v>-120000</v>
      </c>
      <c r="AV2787" s="34" t="e">
        <f t="shared" ref="AV2787" si="12174">IF(AS2787&lt;&gt;AS2788,MMULT(MINVERSE(AS2787:AT2788),AU2787:AU2788)," ")</f>
        <v>#NUM!</v>
      </c>
      <c r="AW2787" s="34" t="str">
        <f t="shared" ref="AW2787" si="12175">IFERROR(IF(AV2787-VLOOKUP(AS$38,$A$2:$N$12,14,FALSE)&lt;0,AV2787-VLOOKUP(AS$38,$A$2:$N$12,14,FALSE)," ")," ")</f>
        <v xml:space="preserve"> </v>
      </c>
      <c r="AX2787" s="34" t="str">
        <f t="shared" ref="AX2787" si="12176">IFERROR(IF(AV2787-VLOOKUP(AS$38,$A$2:$N$12,14,FALSE)&gt;0,AV2787-VLOOKUP(AS$38,$A$2:$N$12,14,FALSE)," ")," ")</f>
        <v xml:space="preserve"> </v>
      </c>
      <c r="AY2787" s="34">
        <f t="shared" ref="AY2787" si="12177">$M$7</f>
        <v>0</v>
      </c>
      <c r="AZ2787" s="34">
        <v>-1</v>
      </c>
      <c r="BA2787" s="34">
        <f t="shared" ref="BA2787" si="12178">-SUMPRODUCT($M$2:$M$6,$N$2:$N$6)-SUMPRODUCT($M$8:$M$12,$N$8:$N$12)</f>
        <v>-120000</v>
      </c>
      <c r="BB2787" s="34" t="e">
        <f t="shared" ref="BB2787" si="12179">IF(AY2787&lt;&gt;AY2788,MMULT(MINVERSE(AY2787:AZ2788),BA2787:BA2788)," ")</f>
        <v>#NUM!</v>
      </c>
      <c r="BC2787" s="34" t="str">
        <f t="shared" ref="BC2787" si="12180">IFERROR(IF(BB2787-VLOOKUP(AY$38,$A$2:$N$12,14,FALSE)&lt;0,BB2787-VLOOKUP(AY$38,$A$2:$N$12,14,FALSE)," ")," ")</f>
        <v xml:space="preserve"> </v>
      </c>
      <c r="BD2787" s="34" t="str">
        <f t="shared" ref="BD2787" si="12181">IFERROR(IF(BB2787-VLOOKUP(AY$38,$A$2:$N$12,14,FALSE)&gt;0,BB2787-VLOOKUP(AY$38,$A$2:$N$12,14,FALSE)," ")," ")</f>
        <v xml:space="preserve"> </v>
      </c>
      <c r="BE2787" s="34">
        <f t="shared" ref="BE2787" si="12182">$M$8</f>
        <v>0</v>
      </c>
      <c r="BF2787" s="34">
        <v>-1</v>
      </c>
      <c r="BG2787" s="34">
        <f t="shared" ref="BG2787" si="12183">-SUMPRODUCT($M$2:$M$7,$N$2:$N$7)-SUMPRODUCT($M$9:$M$12,$N$9:$N$12)</f>
        <v>-120000</v>
      </c>
      <c r="BH2787" s="34" t="e">
        <f t="shared" ref="BH2787" si="12184">IF(BE2787&lt;&gt;BE2788,MMULT(MINVERSE(BE2787:BF2788),BG2787:BG2788)," ")</f>
        <v>#NUM!</v>
      </c>
      <c r="BI2787" s="34" t="str">
        <f t="shared" ref="BI2787" si="12185">IFERROR(IF(BH2787-VLOOKUP(BE$38,$A$2:$N$12,14,FALSE)&lt;0,BH2787-VLOOKUP(BE$38,$A$2:$N$12,14,FALSE)," ")," ")</f>
        <v xml:space="preserve"> </v>
      </c>
      <c r="BJ2787" s="34" t="str">
        <f t="shared" ref="BJ2787" si="12186">IFERROR(IF(BH2787-VLOOKUP(BE$38,$A$2:$N$12,14,FALSE)&gt;0,BH2787-VLOOKUP(BE$38,$A$2:$N$12,14,FALSE)," ")," ")</f>
        <v xml:space="preserve"> </v>
      </c>
      <c r="BK2787" s="34">
        <f t="shared" ref="BK2787" si="12187">$M$9</f>
        <v>0</v>
      </c>
      <c r="BL2787" s="34">
        <v>-1</v>
      </c>
      <c r="BM2787" s="34">
        <f t="shared" ref="BM2787" si="12188">-SUMPRODUCT($M$2:$M$8,$N$2:$N$8)-SUMPRODUCT($M$10:$M$12,$N$10:$N$12)</f>
        <v>-120000</v>
      </c>
      <c r="BN2787" s="34" t="e">
        <f t="shared" ref="BN2787" si="12189">IF(BK2787&lt;&gt;BK2788,MMULT(MINVERSE(BK2787:BL2788),BM2787:BM2788)," ")</f>
        <v>#NUM!</v>
      </c>
      <c r="BO2787" s="34" t="str">
        <f t="shared" ref="BO2787" si="12190">IFERROR(IF(BN2787-VLOOKUP(BK$38,$A$2:$N$12,14,FALSE)&lt;0,BN2787-VLOOKUP(BK$38,$A$2:$N$12,14,FALSE)," ")," ")</f>
        <v xml:space="preserve"> </v>
      </c>
      <c r="BP2787" s="34" t="str">
        <f t="shared" ref="BP2787" si="12191">IFERROR(IF(BN2787-VLOOKUP(BK$38,$A$2:$N$12,14,FALSE)&gt;0,BN2787-VLOOKUP(BK$38,$A$2:$N$12,14,FALSE)," ")," ")</f>
        <v xml:space="preserve"> </v>
      </c>
      <c r="BQ2787" s="34">
        <f t="shared" ref="BQ2787" si="12192">$M$10</f>
        <v>0</v>
      </c>
      <c r="BR2787" s="34">
        <v>-1</v>
      </c>
      <c r="BS2787" s="34">
        <f t="shared" ref="BS2787" si="12193">-SUMPRODUCT($M$2:$M$9,$N$2:$N$9)-SUMPRODUCT($M$11:$M$12,$N$11:$N$12)</f>
        <v>-120000</v>
      </c>
      <c r="BT2787" s="34" t="e">
        <f t="shared" ref="BT2787" si="12194">IF(BQ2787&lt;&gt;BQ2788,MMULT(MINVERSE(BQ2787:BR2788),BS2787:BS2788)," ")</f>
        <v>#NUM!</v>
      </c>
      <c r="BU2787" s="34" t="str">
        <f t="shared" ref="BU2787" si="12195">IFERROR(IF(BT2787-VLOOKUP(BQ$38,$A$2:$N$12,14,FALSE)&lt;0,BT2787-VLOOKUP(BQ$38,$A$2:$N$12,14,FALSE)," ")," ")</f>
        <v xml:space="preserve"> </v>
      </c>
      <c r="BV2787" s="34" t="str">
        <f t="shared" ref="BV2787" si="12196">IFERROR(IF(BT2787-VLOOKUP(BQ$38,$A$2:$N$12,14,FALSE)&gt;0,BT2787-VLOOKUP(BQ$38,$A$2:$N$12,14,FALSE)," ")," ")</f>
        <v xml:space="preserve"> </v>
      </c>
      <c r="BW2787" s="34">
        <f t="shared" ref="BW2787" si="12197">$M$11</f>
        <v>0</v>
      </c>
      <c r="BX2787" s="34">
        <v>-1</v>
      </c>
      <c r="BY2787" s="34">
        <f t="shared" ref="BY2787" si="12198">-SUMPRODUCT($M$2:$M$10,$N$2:$N$10)-SUMPRODUCT($M$12,$N$12)</f>
        <v>-120000</v>
      </c>
      <c r="BZ2787" s="34" t="e">
        <f t="shared" ref="BZ2787" si="12199">IF(BW2787&lt;&gt;BW2788,MMULT(MINVERSE(BW2787:BX2788),BY2787:BY2788)," ")</f>
        <v>#NUM!</v>
      </c>
      <c r="CA2787" s="34" t="str">
        <f t="shared" ref="CA2787" si="12200">IFERROR(IF(BZ2787-VLOOKUP(BW$38,$A$2:$N$12,14,FALSE)&lt;0,BZ2787-VLOOKUP(BW$38,$A$2:$N$12,14,FALSE)," ")," ")</f>
        <v xml:space="preserve"> </v>
      </c>
      <c r="CB2787" s="34" t="str">
        <f t="shared" ref="CB2787" si="12201">IFERROR(IF(BZ2787-VLOOKUP(BW$38,$A$2:$N$12,14,FALSE)&gt;0,BZ2787-VLOOKUP(BW$38,$A$2:$N$12,14,FALSE)," ")," ")</f>
        <v xml:space="preserve"> </v>
      </c>
      <c r="CC2787" s="34">
        <f t="shared" ref="CC2787" si="12202">$M$12</f>
        <v>0</v>
      </c>
      <c r="CD2787" s="34">
        <v>-1</v>
      </c>
      <c r="CE2787" s="34">
        <f t="shared" ref="CE2787" si="12203">-SUMPRODUCT($M$2:$M$11,$N$2:$N$11)</f>
        <v>-120000</v>
      </c>
      <c r="CF2787" s="34" t="e">
        <f t="shared" ref="CF2787" si="12204">IF(CC2787&lt;&gt;CC2788,MMULT(MINVERSE(CC2787:CD2788),CE2787:CE2788)," ")</f>
        <v>#NUM!</v>
      </c>
      <c r="CG2787" s="34" t="str">
        <f t="shared" ref="CG2787" si="12205">IFERROR(IF(CF2787-VLOOKUP(CC$38,$A$2:$N$12,14,FALSE)&lt;0,CF2787-VLOOKUP(CC$38,$A$2:$N$12,14,FALSE)," ")," ")</f>
        <v xml:space="preserve"> </v>
      </c>
      <c r="CH2787" s="34" t="str">
        <f t="shared" ref="CH2787" si="12206">IFERROR(IF(CF2787-VLOOKUP(CC$38,$A$2:$N$12,14,FALSE)&gt;0,CF2787-VLOOKUP(CC$38,$A$2:$N$12,14,FALSE)," ")," ")</f>
        <v xml:space="preserve"> </v>
      </c>
    </row>
    <row r="2788" spans="1:86" x14ac:dyDescent="0.2">
      <c r="A2788" s="8" t="str">
        <f>IF(AND(COUNTIF(W$3:W$13,A$16)&gt;0,A$16&lt;&gt;B2578),A$16,IFERROR(IF(MATCH(A$16,Z$3:Z$13,0)=10,A$16," ")," "))</f>
        <v xml:space="preserve"> </v>
      </c>
      <c r="B2788" s="8" t="str">
        <f>IF(A2788=" "," ",MAX(B2787:B2787)+1)</f>
        <v xml:space="preserve"> </v>
      </c>
      <c r="C2788" s="8" t="str">
        <f>IFERROR(INDEX(A2787:A2808,MATCH(SMALL(B2787:B2808,2),B2787:B2808,0),1)," ")</f>
        <v>C4</v>
      </c>
      <c r="D2788" s="8">
        <f t="shared" ref="D2788:D2797" si="12207">IFERROR(VLOOKUP($C2788,$A$15:$O$36,2,FALSE)," ")</f>
        <v>1</v>
      </c>
      <c r="E2788" s="8">
        <f t="shared" ref="E2788:E2797" si="12208">IFERROR(VLOOKUP($C2788,$A$15:$O$36,3,FALSE)," ")</f>
        <v>0</v>
      </c>
      <c r="F2788" s="8">
        <f t="shared" ref="F2788:F2797" si="12209">IFERROR(VLOOKUP($C2788,$A$15:$O$36,4,FALSE)," ")</f>
        <v>1</v>
      </c>
      <c r="G2788" s="8">
        <f t="shared" ref="G2788:G2797" si="12210">IFERROR(VLOOKUP($C2788,$A$15:$O$36,5,FALSE)," ")</f>
        <v>0</v>
      </c>
      <c r="H2788" s="8">
        <f t="shared" ref="H2788:H2797" si="12211">IFERROR(VLOOKUP($C2788,$A$15:$O$36,6,FALSE)," ")</f>
        <v>0</v>
      </c>
      <c r="I2788" s="8">
        <f t="shared" ref="I2788:I2797" si="12212">IFERROR(VLOOKUP($C2788,$A$15:$O$36,7,FALSE)," ")</f>
        <v>0</v>
      </c>
      <c r="J2788" s="8">
        <f t="shared" ref="J2788:J2797" si="12213">IFERROR(VLOOKUP($C2788,$A$15:$O$36,8,FALSE)," ")</f>
        <v>0</v>
      </c>
      <c r="K2788" s="8">
        <f t="shared" ref="K2788:K2797" si="12214">IFERROR(VLOOKUP($C2788,$A$15:$O$36,9,FALSE)," ")</f>
        <v>0</v>
      </c>
      <c r="L2788" s="8">
        <f t="shared" ref="L2788:L2797" si="12215">IFERROR(VLOOKUP($C2788,$A$15:$O$36,10,FALSE)," ")</f>
        <v>0</v>
      </c>
      <c r="M2788" s="8">
        <f t="shared" ref="M2788:M2797" si="12216">IFERROR(VLOOKUP($C2788,$A$15:$O$36,11,FALSE)," ")</f>
        <v>0</v>
      </c>
      <c r="N2788" s="8">
        <f t="shared" ref="N2788:N2797" si="12217">IFERROR(VLOOKUP($C2788,$A$15:$O$36,12,FALSE)," ")</f>
        <v>0</v>
      </c>
      <c r="O2788" s="8">
        <f t="shared" ref="O2788:O2797" si="12218">IFERROR(VLOOKUP($C2788,$A$15:$O$36,15,FALSE)," ")</f>
        <v>400</v>
      </c>
      <c r="P2788" s="8" t="e">
        <v>#NUM!</v>
      </c>
      <c r="Q2788" s="8" t="e">
        <f t="shared" ref="Q2788" si="12219">IF(COUNTIF(P2787:P2797,"&lt;"&amp;-0.001)=0,IF(ABS(P2788)&lt;0.001,0,P2788)," ")</f>
        <v>#NUM!</v>
      </c>
      <c r="R2788" s="8"/>
      <c r="S2788" s="8"/>
      <c r="U2788" s="34" t="e">
        <f t="shared" ref="U2788" si="12220">$Q2787</f>
        <v>#NUM!</v>
      </c>
      <c r="V2788" s="34">
        <v>-1</v>
      </c>
      <c r="W2788" s="34" t="e">
        <f t="shared" ref="W2788" si="12221">-SUMPRODUCT($Q2788:$Q2797,$N$3:$N$12)</f>
        <v>#NUM!</v>
      </c>
      <c r="X2788" s="34"/>
      <c r="Y2788" s="34"/>
      <c r="Z2788" s="34"/>
      <c r="AA2788" s="34" t="e">
        <f t="shared" ref="AA2788" si="12222">$Q2788</f>
        <v>#NUM!</v>
      </c>
      <c r="AB2788" s="34">
        <v>-1</v>
      </c>
      <c r="AC2788" s="34" t="e">
        <f t="shared" ref="AC2788" si="12223">-SUMPRODUCT($Q2787:$Q2787,$N$2:$N$2)-SUMPRODUCT($Q2789:$Q2797,$N$4:$N$12)</f>
        <v>#NUM!</v>
      </c>
      <c r="AD2788" s="34"/>
      <c r="AE2788" s="34"/>
      <c r="AF2788" s="34"/>
      <c r="AG2788" s="34" t="e">
        <f t="shared" ref="AG2788" si="12224">$Q2789</f>
        <v>#NUM!</v>
      </c>
      <c r="AH2788" s="34">
        <v>-1</v>
      </c>
      <c r="AI2788" s="34" t="e">
        <f t="shared" ref="AI2788" si="12225">-SUMPRODUCT($Q2787:$Q2788,$N$2:$N$3)-SUMPRODUCT($Q2790:$Q2797,$N$5:$N$12)</f>
        <v>#NUM!</v>
      </c>
      <c r="AJ2788" s="34"/>
      <c r="AK2788" s="34"/>
      <c r="AL2788" s="34"/>
      <c r="AM2788" s="34" t="e">
        <f t="shared" ref="AM2788" si="12226">$Q2790</f>
        <v>#NUM!</v>
      </c>
      <c r="AN2788" s="34">
        <v>-1</v>
      </c>
      <c r="AO2788" s="34" t="e">
        <f t="shared" ref="AO2788" si="12227">-SUMPRODUCT($Q2787:$Q2789,$N$2:$N$4)-SUMPRODUCT($Q2791:$Q2797,$N$6:$N$12)</f>
        <v>#NUM!</v>
      </c>
      <c r="AP2788" s="34"/>
      <c r="AQ2788" s="34"/>
      <c r="AR2788" s="34"/>
      <c r="AS2788" s="34" t="e">
        <f t="shared" ref="AS2788" si="12228">$Q2791</f>
        <v>#NUM!</v>
      </c>
      <c r="AT2788" s="34">
        <v>-1</v>
      </c>
      <c r="AU2788" s="34" t="e">
        <f t="shared" ref="AU2788" si="12229">-SUMPRODUCT($Q2787:$Q2790,$N$2:$N$5)-SUMPRODUCT($Q2792:$Q2797,$N$7:$N$12)</f>
        <v>#NUM!</v>
      </c>
      <c r="AV2788" s="34"/>
      <c r="AW2788" s="34"/>
      <c r="AX2788" s="34"/>
      <c r="AY2788" s="34" t="e">
        <f t="shared" ref="AY2788" si="12230">$Q2792</f>
        <v>#NUM!</v>
      </c>
      <c r="AZ2788" s="34">
        <v>-1</v>
      </c>
      <c r="BA2788" s="34" t="e">
        <f t="shared" ref="BA2788" si="12231">-SUMPRODUCT($Q2787:$Q2791,$N$2:$N$6)-SUMPRODUCT($Q2793:$Q2797,$N$8:$N$12)</f>
        <v>#NUM!</v>
      </c>
      <c r="BB2788" s="34"/>
      <c r="BC2788" s="34"/>
      <c r="BD2788" s="34"/>
      <c r="BE2788" s="34" t="e">
        <f t="shared" ref="BE2788" si="12232">$Q2793</f>
        <v>#NUM!</v>
      </c>
      <c r="BF2788" s="34">
        <v>-1</v>
      </c>
      <c r="BG2788" s="34" t="e">
        <f t="shared" ref="BG2788" si="12233">-SUMPRODUCT($Q2787:$Q2792,$N$2:$N$7)-SUMPRODUCT($Q2794:$Q2797,$N$9:$N$12)</f>
        <v>#NUM!</v>
      </c>
      <c r="BH2788" s="34"/>
      <c r="BI2788" s="34"/>
      <c r="BJ2788" s="34"/>
      <c r="BK2788" s="34" t="e">
        <f t="shared" ref="BK2788" si="12234">$Q2794</f>
        <v>#NUM!</v>
      </c>
      <c r="BL2788" s="34">
        <v>-1</v>
      </c>
      <c r="BM2788" s="34" t="e">
        <f t="shared" ref="BM2788" si="12235">-SUMPRODUCT($Q2787:$Q2793,$N$2:$N$8)-SUMPRODUCT($Q2795:$Q2797,$N$10:$N$12)</f>
        <v>#NUM!</v>
      </c>
      <c r="BN2788" s="34"/>
      <c r="BO2788" s="34"/>
      <c r="BP2788" s="34"/>
      <c r="BQ2788" s="34" t="e">
        <f t="shared" ref="BQ2788" si="12236">$Q2795</f>
        <v>#NUM!</v>
      </c>
      <c r="BR2788" s="34">
        <v>-1</v>
      </c>
      <c r="BS2788" s="34" t="e">
        <f t="shared" ref="BS2788" si="12237">-SUMPRODUCT($Q2787:$Q2794,$N$2:$N$9)-SUMPRODUCT($Q2796:$Q2797,$N$11:$N$12)</f>
        <v>#NUM!</v>
      </c>
      <c r="BT2788" s="34"/>
      <c r="BU2788" s="34"/>
      <c r="BV2788" s="34"/>
      <c r="BW2788" s="34" t="e">
        <f t="shared" ref="BW2788" si="12238">$Q2796</f>
        <v>#NUM!</v>
      </c>
      <c r="BX2788" s="34">
        <v>-1</v>
      </c>
      <c r="BY2788" s="34" t="e">
        <f t="shared" ref="BY2788" si="12239">-SUMPRODUCT($Q2787:$Q2795,$N$2:$N$10)-SUMPRODUCT($Q2797,$N$12)</f>
        <v>#NUM!</v>
      </c>
      <c r="BZ2788" s="34"/>
      <c r="CA2788" s="34"/>
      <c r="CB2788" s="34"/>
      <c r="CC2788" s="34" t="e">
        <f t="shared" ref="CC2788" si="12240">$Q2797</f>
        <v>#NUM!</v>
      </c>
      <c r="CD2788" s="34">
        <v>-1</v>
      </c>
      <c r="CE2788" s="34" t="e">
        <f t="shared" ref="CE2788" si="12241">-SUMPRODUCT($Q2787:$Q2796,$N$2:$N$11)</f>
        <v>#NUM!</v>
      </c>
      <c r="CF2788" s="34"/>
      <c r="CG2788" s="34"/>
      <c r="CH2788" s="34"/>
    </row>
    <row r="2789" spans="1:86" x14ac:dyDescent="0.2">
      <c r="A2789" s="8" t="str">
        <f>IF(AND(COUNTIF(W$3:W$13,A$17)&gt;0,A$17&lt;&gt;B2578),A$17,IFERROR(IF(MATCH(A$17,Z$3:Z$13,0)=10,A$17," ")," "))</f>
        <v>C3</v>
      </c>
      <c r="B2789" s="8">
        <f>IF(A2789=" "," ",MAX(B2787:B2788)+1)</f>
        <v>1</v>
      </c>
      <c r="C2789" s="8" t="str">
        <f>IFERROR(INDEX(A2787:A2808,MATCH(SMALL(B2787:B2808,3),B2787:B2808,0),1)," ")</f>
        <v>C12</v>
      </c>
      <c r="D2789" s="8">
        <f t="shared" si="12207"/>
        <v>1</v>
      </c>
      <c r="E2789" s="8">
        <f t="shared" si="12208"/>
        <v>0</v>
      </c>
      <c r="F2789" s="8">
        <f t="shared" si="12209"/>
        <v>0</v>
      </c>
      <c r="G2789" s="8">
        <f t="shared" si="12210"/>
        <v>0</v>
      </c>
      <c r="H2789" s="8">
        <f t="shared" si="12211"/>
        <v>0</v>
      </c>
      <c r="I2789" s="8">
        <f t="shared" si="12212"/>
        <v>0</v>
      </c>
      <c r="J2789" s="8">
        <f t="shared" si="12213"/>
        <v>0</v>
      </c>
      <c r="K2789" s="8">
        <f t="shared" si="12214"/>
        <v>0</v>
      </c>
      <c r="L2789" s="8">
        <f t="shared" si="12215"/>
        <v>0</v>
      </c>
      <c r="M2789" s="8">
        <f t="shared" si="12216"/>
        <v>0</v>
      </c>
      <c r="N2789" s="8">
        <f t="shared" si="12217"/>
        <v>0</v>
      </c>
      <c r="O2789" s="8">
        <f t="shared" si="12218"/>
        <v>0</v>
      </c>
      <c r="P2789" s="8" t="e">
        <v>#NUM!</v>
      </c>
      <c r="Q2789" s="8" t="e">
        <f t="shared" ref="Q2789" si="12242">IF(COUNTIF(P2787:P2797,"&lt;"&amp;-0.001)=0,IF(ABS(P2789)&lt;0.001,0,P2789)," ")</f>
        <v>#NUM!</v>
      </c>
      <c r="R2789" s="8"/>
      <c r="S2789" s="8"/>
      <c r="U2789" s="34"/>
      <c r="V2789" s="34"/>
      <c r="W2789" s="34"/>
      <c r="X2789" s="34"/>
      <c r="Y2789" s="34"/>
      <c r="Z2789" s="34"/>
      <c r="AA2789" s="34"/>
      <c r="AB2789" s="34"/>
      <c r="AC2789" s="34"/>
      <c r="AD2789" s="34"/>
      <c r="AE2789" s="34"/>
      <c r="AF2789" s="34"/>
      <c r="AG2789" s="34"/>
      <c r="AH2789" s="34"/>
      <c r="AI2789" s="34"/>
      <c r="AJ2789" s="34"/>
      <c r="AK2789" s="34"/>
      <c r="AL2789" s="34"/>
      <c r="AM2789" s="34"/>
      <c r="AN2789" s="34"/>
      <c r="AO2789" s="34"/>
      <c r="AP2789" s="34"/>
      <c r="AQ2789" s="34"/>
      <c r="AR2789" s="34"/>
      <c r="AS2789" s="34"/>
      <c r="AT2789" s="34"/>
      <c r="AU2789" s="34"/>
      <c r="AV2789" s="34"/>
      <c r="AW2789" s="34"/>
      <c r="AX2789" s="34"/>
      <c r="AY2789" s="34"/>
      <c r="AZ2789" s="34"/>
      <c r="BA2789" s="34"/>
      <c r="BB2789" s="34"/>
      <c r="BC2789" s="34"/>
      <c r="BD2789" s="34"/>
      <c r="BE2789" s="34"/>
      <c r="BF2789" s="34"/>
      <c r="BG2789" s="34"/>
      <c r="BH2789" s="34"/>
      <c r="BI2789" s="34"/>
      <c r="BJ2789" s="34"/>
      <c r="BK2789" s="34"/>
      <c r="BL2789" s="34"/>
      <c r="BM2789" s="34"/>
      <c r="BN2789" s="34"/>
      <c r="BO2789" s="34"/>
      <c r="BP2789" s="34"/>
      <c r="BQ2789" s="34"/>
      <c r="BR2789" s="34"/>
      <c r="BS2789" s="34"/>
      <c r="BT2789" s="34"/>
      <c r="BU2789" s="34"/>
      <c r="BV2789" s="34"/>
      <c r="BW2789" s="34"/>
      <c r="BX2789" s="34"/>
      <c r="BY2789" s="34"/>
      <c r="BZ2789" s="34"/>
      <c r="CA2789" s="34"/>
      <c r="CB2789" s="34"/>
      <c r="CC2789" s="34"/>
      <c r="CD2789" s="34"/>
      <c r="CE2789" s="34"/>
      <c r="CF2789" s="34"/>
      <c r="CG2789" s="34"/>
      <c r="CH2789" s="34"/>
    </row>
    <row r="2790" spans="1:86" x14ac:dyDescent="0.2">
      <c r="A2790" s="8" t="str">
        <f>IF(AND(COUNTIF(W$3:W$13,A$18)&gt;0,A$18&lt;&gt;B2578),A$18,IFERROR(IF(MATCH(A$18,Z$3:Z$13,0)=10,A$18," ")," "))</f>
        <v>C4</v>
      </c>
      <c r="B2790" s="8">
        <f>IF(A2790=" "," ",MAX(B2787:B2789)+1)</f>
        <v>2</v>
      </c>
      <c r="C2790" s="8" t="str">
        <f>IFERROR(INDEX(A2787:A2808,MATCH(SMALL(B2787:B2808,4),B2787:B2808,0),1)," ")</f>
        <v>C13</v>
      </c>
      <c r="D2790" s="8">
        <f t="shared" si="12207"/>
        <v>0</v>
      </c>
      <c r="E2790" s="8">
        <f t="shared" si="12208"/>
        <v>1</v>
      </c>
      <c r="F2790" s="8">
        <f t="shared" si="12209"/>
        <v>0</v>
      </c>
      <c r="G2790" s="8">
        <f t="shared" si="12210"/>
        <v>0</v>
      </c>
      <c r="H2790" s="8">
        <f t="shared" si="12211"/>
        <v>0</v>
      </c>
      <c r="I2790" s="8">
        <f t="shared" si="12212"/>
        <v>0</v>
      </c>
      <c r="J2790" s="8">
        <f t="shared" si="12213"/>
        <v>0</v>
      </c>
      <c r="K2790" s="8">
        <f t="shared" si="12214"/>
        <v>0</v>
      </c>
      <c r="L2790" s="8">
        <f t="shared" si="12215"/>
        <v>0</v>
      </c>
      <c r="M2790" s="8">
        <f t="shared" si="12216"/>
        <v>0</v>
      </c>
      <c r="N2790" s="8">
        <f t="shared" si="12217"/>
        <v>0</v>
      </c>
      <c r="O2790" s="8">
        <f t="shared" si="12218"/>
        <v>0</v>
      </c>
      <c r="P2790" s="8" t="e">
        <v>#NUM!</v>
      </c>
      <c r="Q2790" s="8" t="e">
        <f t="shared" ref="Q2790" si="12243">IF(COUNTIF(P2787:P2797,"&lt;"&amp;-0.001)=0,IF(ABS(P2790)&lt;0.001,0,P2790)," ")</f>
        <v>#NUM!</v>
      </c>
      <c r="R2790" s="8"/>
      <c r="S2790" s="8"/>
      <c r="U2790" s="34"/>
      <c r="V2790" s="34"/>
      <c r="W2790" s="34"/>
      <c r="X2790" s="34"/>
      <c r="Y2790" s="34"/>
      <c r="Z2790" s="34"/>
      <c r="AA2790" s="34"/>
      <c r="AB2790" s="34"/>
      <c r="AC2790" s="34"/>
      <c r="AD2790" s="34"/>
      <c r="AE2790" s="34"/>
      <c r="AF2790" s="34"/>
      <c r="AG2790" s="34"/>
      <c r="AH2790" s="34"/>
      <c r="AI2790" s="34"/>
      <c r="AJ2790" s="34"/>
      <c r="AK2790" s="34"/>
      <c r="AL2790" s="34"/>
      <c r="AM2790" s="34"/>
      <c r="AN2790" s="34"/>
      <c r="AO2790" s="34"/>
      <c r="AP2790" s="34"/>
      <c r="AQ2790" s="34"/>
      <c r="AR2790" s="34"/>
      <c r="AS2790" s="34"/>
      <c r="AT2790" s="34"/>
      <c r="AU2790" s="34"/>
      <c r="AV2790" s="34"/>
      <c r="AW2790" s="34"/>
      <c r="AX2790" s="34"/>
      <c r="AY2790" s="34"/>
      <c r="AZ2790" s="34"/>
      <c r="BA2790" s="34"/>
      <c r="BB2790" s="34"/>
      <c r="BC2790" s="34"/>
      <c r="BD2790" s="34"/>
      <c r="BE2790" s="34"/>
      <c r="BF2790" s="34"/>
      <c r="BG2790" s="34"/>
      <c r="BH2790" s="34"/>
      <c r="BI2790" s="34"/>
      <c r="BJ2790" s="34"/>
      <c r="BK2790" s="34"/>
      <c r="BL2790" s="34"/>
      <c r="BM2790" s="34"/>
      <c r="BN2790" s="34"/>
      <c r="BO2790" s="34"/>
      <c r="BP2790" s="34"/>
      <c r="BQ2790" s="34"/>
      <c r="BR2790" s="34"/>
      <c r="BS2790" s="34"/>
      <c r="BT2790" s="34"/>
      <c r="BU2790" s="34"/>
      <c r="BV2790" s="34"/>
      <c r="BW2790" s="34"/>
      <c r="BX2790" s="34"/>
      <c r="BY2790" s="34"/>
      <c r="BZ2790" s="34"/>
      <c r="CA2790" s="34"/>
      <c r="CB2790" s="34"/>
      <c r="CC2790" s="34"/>
      <c r="CD2790" s="34"/>
      <c r="CE2790" s="34"/>
      <c r="CF2790" s="34"/>
      <c r="CG2790" s="34"/>
      <c r="CH2790" s="34"/>
    </row>
    <row r="2791" spans="1:86" x14ac:dyDescent="0.2">
      <c r="A2791" s="8" t="str">
        <f>IF(AND(COUNTIF(W$3:W$13,A$19)&gt;0,A$19&lt;&gt;B2578),A$19,IFERROR(IF(MATCH(A$19,Z$3:Z$13,0)=10,A$19," ")," "))</f>
        <v xml:space="preserve"> </v>
      </c>
      <c r="B2791" s="8" t="str">
        <f>IF(A2791=" "," ",MAX(B2787:B2790)+1)</f>
        <v xml:space="preserve"> </v>
      </c>
      <c r="C2791" s="8" t="str">
        <f>IFERROR(INDEX(A2787:A2808,MATCH(SMALL(B2787:B2808,5),B2787:B2808,0),1)," ")</f>
        <v>C15</v>
      </c>
      <c r="D2791" s="8">
        <f t="shared" si="12207"/>
        <v>0</v>
      </c>
      <c r="E2791" s="8">
        <f t="shared" si="12208"/>
        <v>0</v>
      </c>
      <c r="F2791" s="8">
        <f t="shared" si="12209"/>
        <v>0</v>
      </c>
      <c r="G2791" s="8">
        <f t="shared" si="12210"/>
        <v>1</v>
      </c>
      <c r="H2791" s="8">
        <f t="shared" si="12211"/>
        <v>0</v>
      </c>
      <c r="I2791" s="8">
        <f t="shared" si="12212"/>
        <v>0</v>
      </c>
      <c r="J2791" s="8">
        <f t="shared" si="12213"/>
        <v>0</v>
      </c>
      <c r="K2791" s="8">
        <f t="shared" si="12214"/>
        <v>0</v>
      </c>
      <c r="L2791" s="8">
        <f t="shared" si="12215"/>
        <v>0</v>
      </c>
      <c r="M2791" s="8">
        <f t="shared" si="12216"/>
        <v>0</v>
      </c>
      <c r="N2791" s="8">
        <f t="shared" si="12217"/>
        <v>0</v>
      </c>
      <c r="O2791" s="8">
        <f t="shared" si="12218"/>
        <v>0</v>
      </c>
      <c r="P2791" s="8" t="e">
        <v>#NUM!</v>
      </c>
      <c r="Q2791" s="8" t="e">
        <f t="shared" ref="Q2791" si="12244">IF(COUNTIF(P2787:P2797,"&lt;"&amp;-0.001)=0,IF(ABS(P2791)&lt;0.001,0,P2791)," ")</f>
        <v>#NUM!</v>
      </c>
      <c r="R2791" s="8"/>
      <c r="S2791" s="8"/>
      <c r="U2791" s="34"/>
      <c r="V2791" s="34"/>
      <c r="W2791" s="34"/>
      <c r="X2791" s="34"/>
      <c r="Y2791" s="34"/>
      <c r="Z2791" s="34"/>
      <c r="AA2791" s="34"/>
      <c r="AB2791" s="34"/>
      <c r="AC2791" s="34"/>
      <c r="AD2791" s="34"/>
      <c r="AE2791" s="34"/>
      <c r="AF2791" s="34"/>
      <c r="AG2791" s="34"/>
      <c r="AH2791" s="34"/>
      <c r="AI2791" s="34"/>
      <c r="AJ2791" s="34"/>
      <c r="AK2791" s="34"/>
      <c r="AL2791" s="34"/>
      <c r="AM2791" s="34"/>
      <c r="AN2791" s="34"/>
      <c r="AO2791" s="34"/>
      <c r="AP2791" s="34"/>
      <c r="AQ2791" s="34"/>
      <c r="AR2791" s="34"/>
      <c r="AS2791" s="34"/>
      <c r="AT2791" s="34"/>
      <c r="AU2791" s="34"/>
      <c r="AV2791" s="34"/>
      <c r="AW2791" s="34"/>
      <c r="AX2791" s="34"/>
      <c r="AY2791" s="34"/>
      <c r="AZ2791" s="34"/>
      <c r="BA2791" s="34"/>
      <c r="BB2791" s="34"/>
      <c r="BC2791" s="34"/>
      <c r="BD2791" s="34"/>
      <c r="BE2791" s="34"/>
      <c r="BF2791" s="34"/>
      <c r="BG2791" s="34"/>
      <c r="BH2791" s="34"/>
      <c r="BI2791" s="34"/>
      <c r="BJ2791" s="34"/>
      <c r="BK2791" s="34"/>
      <c r="BL2791" s="34"/>
      <c r="BM2791" s="34"/>
      <c r="BN2791" s="34"/>
      <c r="BO2791" s="34"/>
      <c r="BP2791" s="34"/>
      <c r="BQ2791" s="34"/>
      <c r="BR2791" s="34"/>
      <c r="BS2791" s="34"/>
      <c r="BT2791" s="34"/>
      <c r="BU2791" s="34"/>
      <c r="BV2791" s="34"/>
      <c r="BW2791" s="34"/>
      <c r="BX2791" s="34"/>
      <c r="BY2791" s="34"/>
      <c r="BZ2791" s="34"/>
      <c r="CA2791" s="34"/>
      <c r="CB2791" s="34"/>
      <c r="CC2791" s="34"/>
      <c r="CD2791" s="34"/>
      <c r="CE2791" s="34"/>
      <c r="CF2791" s="34"/>
      <c r="CG2791" s="34"/>
      <c r="CH2791" s="34"/>
    </row>
    <row r="2792" spans="1:86" x14ac:dyDescent="0.2">
      <c r="A2792" s="8" t="str">
        <f>IF(AND(COUNTIF(W$3:W$13,A$20)&gt;0,A$20&lt;&gt;B2578),A$20,IFERROR(IF(MATCH(A$20,Z$3:Z$13,0)=10,A$20," ")," "))</f>
        <v xml:space="preserve"> </v>
      </c>
      <c r="B2792" s="8" t="str">
        <f>IF(A2792=" "," ",MAX(B2787:B2791)+1)</f>
        <v xml:space="preserve"> </v>
      </c>
      <c r="C2792" s="8" t="str">
        <f>IFERROR(INDEX(A2787:A2808,MATCH(SMALL(B2787:B2808,6),B2787:B2808,0),1)," ")</f>
        <v>C16</v>
      </c>
      <c r="D2792" s="8">
        <f t="shared" si="12207"/>
        <v>0</v>
      </c>
      <c r="E2792" s="8">
        <f t="shared" si="12208"/>
        <v>0</v>
      </c>
      <c r="F2792" s="8">
        <f t="shared" si="12209"/>
        <v>0</v>
      </c>
      <c r="G2792" s="8">
        <f t="shared" si="12210"/>
        <v>0</v>
      </c>
      <c r="H2792" s="8">
        <f t="shared" si="12211"/>
        <v>1</v>
      </c>
      <c r="I2792" s="8">
        <f t="shared" si="12212"/>
        <v>0</v>
      </c>
      <c r="J2792" s="8">
        <f t="shared" si="12213"/>
        <v>0</v>
      </c>
      <c r="K2792" s="8">
        <f t="shared" si="12214"/>
        <v>0</v>
      </c>
      <c r="L2792" s="8">
        <f t="shared" si="12215"/>
        <v>0</v>
      </c>
      <c r="M2792" s="8">
        <f t="shared" si="12216"/>
        <v>0</v>
      </c>
      <c r="N2792" s="8">
        <f t="shared" si="12217"/>
        <v>0</v>
      </c>
      <c r="O2792" s="8">
        <f t="shared" si="12218"/>
        <v>0</v>
      </c>
      <c r="P2792" s="8" t="e">
        <v>#NUM!</v>
      </c>
      <c r="Q2792" s="8" t="e">
        <f t="shared" ref="Q2792" si="12245">IF(COUNTIF(P2787:P2797,"&lt;"&amp;-0.001)=0,IF(ABS(P2792)&lt;0.001,0,P2792)," ")</f>
        <v>#NUM!</v>
      </c>
      <c r="R2792" s="8"/>
      <c r="S2792" s="8"/>
      <c r="U2792" s="34"/>
      <c r="V2792" s="34"/>
      <c r="W2792" s="34"/>
      <c r="X2792" s="34"/>
      <c r="Y2792" s="34"/>
      <c r="Z2792" s="34"/>
      <c r="AA2792" s="34"/>
      <c r="AB2792" s="34"/>
      <c r="AC2792" s="34"/>
      <c r="AD2792" s="34"/>
      <c r="AE2792" s="34"/>
      <c r="AF2792" s="34"/>
      <c r="AG2792" s="34"/>
      <c r="AH2792" s="34"/>
      <c r="AI2792" s="34"/>
      <c r="AJ2792" s="34"/>
      <c r="AK2792" s="34"/>
      <c r="AL2792" s="34"/>
      <c r="AM2792" s="34"/>
      <c r="AN2792" s="34"/>
      <c r="AO2792" s="34"/>
      <c r="AP2792" s="34"/>
      <c r="AQ2792" s="34"/>
      <c r="AR2792" s="34"/>
      <c r="AS2792" s="34"/>
      <c r="AT2792" s="34"/>
      <c r="AU2792" s="34"/>
      <c r="AV2792" s="34"/>
      <c r="AW2792" s="34"/>
      <c r="AX2792" s="34"/>
      <c r="AY2792" s="34"/>
      <c r="AZ2792" s="34"/>
      <c r="BA2792" s="34"/>
      <c r="BB2792" s="34"/>
      <c r="BC2792" s="34"/>
      <c r="BD2792" s="34"/>
      <c r="BE2792" s="34"/>
      <c r="BF2792" s="34"/>
      <c r="BG2792" s="34"/>
      <c r="BH2792" s="34"/>
      <c r="BI2792" s="34"/>
      <c r="BJ2792" s="34"/>
      <c r="BK2792" s="34"/>
      <c r="BL2792" s="34"/>
      <c r="BM2792" s="34"/>
      <c r="BN2792" s="34"/>
      <c r="BO2792" s="34"/>
      <c r="BP2792" s="34"/>
      <c r="BQ2792" s="34"/>
      <c r="BR2792" s="34"/>
      <c r="BS2792" s="34"/>
      <c r="BT2792" s="34"/>
      <c r="BU2792" s="34"/>
      <c r="BV2792" s="34"/>
      <c r="BW2792" s="34"/>
      <c r="BX2792" s="34"/>
      <c r="BY2792" s="34"/>
      <c r="BZ2792" s="34"/>
      <c r="CA2792" s="34"/>
      <c r="CB2792" s="34"/>
      <c r="CC2792" s="34"/>
      <c r="CD2792" s="34"/>
      <c r="CE2792" s="34"/>
      <c r="CF2792" s="34"/>
      <c r="CG2792" s="34"/>
      <c r="CH2792" s="34"/>
    </row>
    <row r="2793" spans="1:86" x14ac:dyDescent="0.2">
      <c r="A2793" s="8" t="str">
        <f>IF(AND(COUNTIF(W$3:W$13,A$21)&gt;0,A$21&lt;&gt;B2578),A$21,IFERROR(IF(MATCH(A$21,Z$3:Z$13,0)=10,A$21," ")," "))</f>
        <v xml:space="preserve"> </v>
      </c>
      <c r="B2793" s="8" t="str">
        <f>IF(A2793=" "," ",MAX(B2787:B2792)+1)</f>
        <v xml:space="preserve"> </v>
      </c>
      <c r="C2793" s="8" t="str">
        <f>IFERROR(INDEX(A2787:A2808,MATCH(SMALL(B2787:B2808,7),B2787:B2808,0),1)," ")</f>
        <v>C17</v>
      </c>
      <c r="D2793" s="8">
        <f t="shared" si="12207"/>
        <v>0</v>
      </c>
      <c r="E2793" s="8">
        <f t="shared" si="12208"/>
        <v>0</v>
      </c>
      <c r="F2793" s="8">
        <f t="shared" si="12209"/>
        <v>0</v>
      </c>
      <c r="G2793" s="8">
        <f t="shared" si="12210"/>
        <v>0</v>
      </c>
      <c r="H2793" s="8">
        <f t="shared" si="12211"/>
        <v>0</v>
      </c>
      <c r="I2793" s="8">
        <f t="shared" si="12212"/>
        <v>1</v>
      </c>
      <c r="J2793" s="8">
        <f t="shared" si="12213"/>
        <v>0</v>
      </c>
      <c r="K2793" s="8">
        <f t="shared" si="12214"/>
        <v>0</v>
      </c>
      <c r="L2793" s="8">
        <f t="shared" si="12215"/>
        <v>0</v>
      </c>
      <c r="M2793" s="8">
        <f t="shared" si="12216"/>
        <v>0</v>
      </c>
      <c r="N2793" s="8">
        <f t="shared" si="12217"/>
        <v>0</v>
      </c>
      <c r="O2793" s="8">
        <f t="shared" si="12218"/>
        <v>0</v>
      </c>
      <c r="P2793" s="8" t="e">
        <v>#NUM!</v>
      </c>
      <c r="Q2793" s="8" t="e">
        <f t="shared" ref="Q2793" si="12246">IF(COUNTIF(P2787:P2797,"&lt;"&amp;-0.001)=0,IF(ABS(P2793)&lt;0.001,0,P2793)," ")</f>
        <v>#NUM!</v>
      </c>
      <c r="R2793" s="8"/>
      <c r="S2793" s="8"/>
      <c r="U2793" s="34"/>
      <c r="V2793" s="34"/>
      <c r="W2793" s="34"/>
      <c r="X2793" s="34"/>
      <c r="Y2793" s="34"/>
      <c r="Z2793" s="34"/>
      <c r="AA2793" s="34"/>
      <c r="AB2793" s="34"/>
      <c r="AC2793" s="34"/>
      <c r="AD2793" s="34"/>
      <c r="AE2793" s="34"/>
      <c r="AF2793" s="34"/>
      <c r="AG2793" s="34"/>
      <c r="AH2793" s="34"/>
      <c r="AI2793" s="34"/>
      <c r="AJ2793" s="34"/>
      <c r="AK2793" s="34"/>
      <c r="AL2793" s="34"/>
      <c r="AM2793" s="34"/>
      <c r="AN2793" s="34"/>
      <c r="AO2793" s="34"/>
      <c r="AP2793" s="34"/>
      <c r="AQ2793" s="34"/>
      <c r="AR2793" s="34"/>
      <c r="AS2793" s="34"/>
      <c r="AT2793" s="34"/>
      <c r="AU2793" s="34"/>
      <c r="AV2793" s="34"/>
      <c r="AW2793" s="34"/>
      <c r="AX2793" s="34"/>
      <c r="AY2793" s="34"/>
      <c r="AZ2793" s="34"/>
      <c r="BA2793" s="34"/>
      <c r="BB2793" s="34"/>
      <c r="BC2793" s="34"/>
      <c r="BD2793" s="34"/>
      <c r="BE2793" s="34"/>
      <c r="BF2793" s="34"/>
      <c r="BG2793" s="34"/>
      <c r="BH2793" s="34"/>
      <c r="BI2793" s="34"/>
      <c r="BJ2793" s="34"/>
      <c r="BK2793" s="34"/>
      <c r="BL2793" s="34"/>
      <c r="BM2793" s="34"/>
      <c r="BN2793" s="34"/>
      <c r="BO2793" s="34"/>
      <c r="BP2793" s="34"/>
      <c r="BQ2793" s="34"/>
      <c r="BR2793" s="34"/>
      <c r="BS2793" s="34"/>
      <c r="BT2793" s="34"/>
      <c r="BU2793" s="34"/>
      <c r="BV2793" s="34"/>
      <c r="BW2793" s="34"/>
      <c r="BX2793" s="34"/>
      <c r="BY2793" s="34"/>
      <c r="BZ2793" s="34"/>
      <c r="CA2793" s="34"/>
      <c r="CB2793" s="34"/>
      <c r="CC2793" s="34"/>
      <c r="CD2793" s="34"/>
      <c r="CE2793" s="34"/>
      <c r="CF2793" s="34"/>
      <c r="CG2793" s="34"/>
      <c r="CH2793" s="34"/>
    </row>
    <row r="2794" spans="1:86" x14ac:dyDescent="0.2">
      <c r="A2794" s="8" t="str">
        <f>IF(AND(COUNTIF(W$3:W$13,A$22)&gt;0,A$22&lt;&gt;B2578),A$22,IFERROR(IF(MATCH(A$22,Z$3:Z$13,0)=10,A$22," ")," "))</f>
        <v xml:space="preserve"> </v>
      </c>
      <c r="B2794" s="8" t="str">
        <f>IF(A2794=" "," ",MAX(B2787:B2793)+1)</f>
        <v xml:space="preserve"> </v>
      </c>
      <c r="C2794" s="8" t="str">
        <f>IFERROR(INDEX(A2787:A2808,MATCH(SMALL(B2787:B2808,8),B2787:B2808,0),1)," ")</f>
        <v>C18</v>
      </c>
      <c r="D2794" s="8">
        <f t="shared" si="12207"/>
        <v>0</v>
      </c>
      <c r="E2794" s="8">
        <f t="shared" si="12208"/>
        <v>0</v>
      </c>
      <c r="F2794" s="8">
        <f t="shared" si="12209"/>
        <v>0</v>
      </c>
      <c r="G2794" s="8">
        <f t="shared" si="12210"/>
        <v>0</v>
      </c>
      <c r="H2794" s="8">
        <f t="shared" si="12211"/>
        <v>0</v>
      </c>
      <c r="I2794" s="8">
        <f t="shared" si="12212"/>
        <v>0</v>
      </c>
      <c r="J2794" s="8">
        <f t="shared" si="12213"/>
        <v>1</v>
      </c>
      <c r="K2794" s="8">
        <f t="shared" si="12214"/>
        <v>0</v>
      </c>
      <c r="L2794" s="8">
        <f t="shared" si="12215"/>
        <v>0</v>
      </c>
      <c r="M2794" s="8">
        <f t="shared" si="12216"/>
        <v>0</v>
      </c>
      <c r="N2794" s="8">
        <f t="shared" si="12217"/>
        <v>0</v>
      </c>
      <c r="O2794" s="8">
        <f t="shared" si="12218"/>
        <v>0</v>
      </c>
      <c r="P2794" s="8" t="e">
        <v>#NUM!</v>
      </c>
      <c r="Q2794" s="8" t="e">
        <f t="shared" ref="Q2794" si="12247">IF(COUNTIF(P2787:P2797,"&lt;"&amp;-0.001)=0,IF(ABS(P2794)&lt;0.001,0,P2794)," ")</f>
        <v>#NUM!</v>
      </c>
      <c r="R2794" s="8"/>
      <c r="S2794" s="8"/>
      <c r="U2794" s="34"/>
      <c r="V2794" s="34"/>
      <c r="W2794" s="34"/>
      <c r="X2794" s="34"/>
      <c r="Y2794" s="34"/>
      <c r="Z2794" s="34"/>
      <c r="AA2794" s="34"/>
      <c r="AB2794" s="34"/>
      <c r="AC2794" s="34"/>
      <c r="AD2794" s="34"/>
      <c r="AE2794" s="34"/>
      <c r="AF2794" s="34"/>
      <c r="AG2794" s="34"/>
      <c r="AH2794" s="34"/>
      <c r="AI2794" s="34"/>
      <c r="AJ2794" s="34"/>
      <c r="AK2794" s="34"/>
      <c r="AL2794" s="34"/>
      <c r="AM2794" s="34"/>
      <c r="AN2794" s="34"/>
      <c r="AO2794" s="34"/>
      <c r="AP2794" s="34"/>
      <c r="AQ2794" s="34"/>
      <c r="AR2794" s="34"/>
      <c r="AS2794" s="34"/>
      <c r="AT2794" s="34"/>
      <c r="AU2794" s="34"/>
      <c r="AV2794" s="34"/>
      <c r="AW2794" s="34"/>
      <c r="AX2794" s="34"/>
      <c r="AY2794" s="34"/>
      <c r="AZ2794" s="34"/>
      <c r="BA2794" s="34"/>
      <c r="BB2794" s="34"/>
      <c r="BC2794" s="34"/>
      <c r="BD2794" s="34"/>
      <c r="BE2794" s="34"/>
      <c r="BF2794" s="34"/>
      <c r="BG2794" s="34"/>
      <c r="BH2794" s="34"/>
      <c r="BI2794" s="34"/>
      <c r="BJ2794" s="34"/>
      <c r="BK2794" s="34"/>
      <c r="BL2794" s="34"/>
      <c r="BM2794" s="34"/>
      <c r="BN2794" s="34"/>
      <c r="BO2794" s="34"/>
      <c r="BP2794" s="34"/>
      <c r="BQ2794" s="34"/>
      <c r="BR2794" s="34"/>
      <c r="BS2794" s="34"/>
      <c r="BT2794" s="34"/>
      <c r="BU2794" s="34"/>
      <c r="BV2794" s="34"/>
      <c r="BW2794" s="34"/>
      <c r="BX2794" s="34"/>
      <c r="BY2794" s="34"/>
      <c r="BZ2794" s="34"/>
      <c r="CA2794" s="34"/>
      <c r="CB2794" s="34"/>
      <c r="CC2794" s="34"/>
      <c r="CD2794" s="34"/>
      <c r="CE2794" s="34"/>
      <c r="CF2794" s="34"/>
      <c r="CG2794" s="34"/>
      <c r="CH2794" s="34"/>
    </row>
    <row r="2795" spans="1:86" x14ac:dyDescent="0.2">
      <c r="A2795" s="8" t="str">
        <f>IF(AND(COUNTIF(W$3:W$13,A$23)&gt;0,A$23&lt;&gt;B2578),A$23,IFERROR(IF(MATCH(A$23,Z$3:Z$13,0)=10,A$23," ")," "))</f>
        <v xml:space="preserve"> </v>
      </c>
      <c r="B2795" s="8" t="str">
        <f>IF(A2795=" "," ",MAX(B2787:B2794)+1)</f>
        <v xml:space="preserve"> </v>
      </c>
      <c r="C2795" s="8" t="str">
        <f>IFERROR(INDEX(A2787:A2808,MATCH(SMALL(B2787:B2808,9),B2787:B2808,0),1)," ")</f>
        <v>C19</v>
      </c>
      <c r="D2795" s="8">
        <f t="shared" si="12207"/>
        <v>0</v>
      </c>
      <c r="E2795" s="8">
        <f t="shared" si="12208"/>
        <v>0</v>
      </c>
      <c r="F2795" s="8">
        <f t="shared" si="12209"/>
        <v>0</v>
      </c>
      <c r="G2795" s="8">
        <f t="shared" si="12210"/>
        <v>0</v>
      </c>
      <c r="H2795" s="8">
        <f t="shared" si="12211"/>
        <v>0</v>
      </c>
      <c r="I2795" s="8">
        <f t="shared" si="12212"/>
        <v>0</v>
      </c>
      <c r="J2795" s="8">
        <f t="shared" si="12213"/>
        <v>0</v>
      </c>
      <c r="K2795" s="8">
        <f t="shared" si="12214"/>
        <v>1</v>
      </c>
      <c r="L2795" s="8">
        <f t="shared" si="12215"/>
        <v>0</v>
      </c>
      <c r="M2795" s="8">
        <f t="shared" si="12216"/>
        <v>0</v>
      </c>
      <c r="N2795" s="8">
        <f t="shared" si="12217"/>
        <v>0</v>
      </c>
      <c r="O2795" s="8">
        <f t="shared" si="12218"/>
        <v>0</v>
      </c>
      <c r="P2795" s="6" t="e">
        <v>#NUM!</v>
      </c>
      <c r="Q2795" s="8" t="e">
        <f t="shared" ref="Q2795" si="12248">IF(COUNTIF(P2787:P2797,"&lt;"&amp;-0.001)=0,IF(ABS(P2795)&lt;0.001,0,P2795)," ")</f>
        <v>#NUM!</v>
      </c>
      <c r="R2795" s="8"/>
      <c r="S2795" s="8"/>
      <c r="U2795" s="34"/>
      <c r="V2795" s="34"/>
      <c r="W2795" s="34"/>
      <c r="X2795" s="34"/>
      <c r="Y2795" s="34"/>
      <c r="Z2795" s="34"/>
      <c r="AA2795" s="34"/>
      <c r="AB2795" s="34"/>
      <c r="AC2795" s="34"/>
      <c r="AD2795" s="34"/>
      <c r="AE2795" s="34"/>
      <c r="AF2795" s="34"/>
      <c r="AG2795" s="34"/>
      <c r="AH2795" s="34"/>
      <c r="AI2795" s="34"/>
      <c r="AJ2795" s="34"/>
      <c r="AK2795" s="34"/>
      <c r="AL2795" s="34"/>
      <c r="AM2795" s="34"/>
      <c r="AN2795" s="34"/>
      <c r="AO2795" s="34"/>
      <c r="AP2795" s="34"/>
      <c r="AQ2795" s="34"/>
      <c r="AR2795" s="34"/>
      <c r="AS2795" s="34"/>
      <c r="AT2795" s="34"/>
      <c r="AU2795" s="34"/>
      <c r="AV2795" s="34"/>
      <c r="AW2795" s="34"/>
      <c r="AX2795" s="34"/>
      <c r="AY2795" s="34"/>
      <c r="AZ2795" s="34"/>
      <c r="BA2795" s="34"/>
      <c r="BB2795" s="34"/>
      <c r="BC2795" s="34"/>
      <c r="BD2795" s="34"/>
      <c r="BE2795" s="34"/>
      <c r="BF2795" s="34"/>
      <c r="BG2795" s="34"/>
      <c r="BH2795" s="34"/>
      <c r="BI2795" s="34"/>
      <c r="BJ2795" s="34"/>
      <c r="BK2795" s="34"/>
      <c r="BL2795" s="34"/>
      <c r="BM2795" s="34"/>
      <c r="BN2795" s="34"/>
      <c r="BO2795" s="34"/>
      <c r="BP2795" s="34"/>
      <c r="BQ2795" s="34"/>
      <c r="BR2795" s="34"/>
      <c r="BS2795" s="34"/>
      <c r="BT2795" s="34"/>
      <c r="BU2795" s="34"/>
      <c r="BV2795" s="34"/>
      <c r="BW2795" s="34"/>
      <c r="BX2795" s="34"/>
      <c r="BY2795" s="34"/>
      <c r="BZ2795" s="34"/>
      <c r="CA2795" s="34"/>
      <c r="CB2795" s="34"/>
      <c r="CC2795" s="34"/>
      <c r="CD2795" s="34"/>
      <c r="CE2795" s="34"/>
      <c r="CF2795" s="34"/>
      <c r="CG2795" s="34"/>
      <c r="CH2795" s="34"/>
    </row>
    <row r="2796" spans="1:86" x14ac:dyDescent="0.2">
      <c r="A2796" s="8" t="str">
        <f>IF(AND(COUNTIF(W$3:W$13,A$24)&gt;0,A$24&lt;&gt;B2578),A$24,IFERROR(IF(MATCH(A$24,Z$3:Z$13,0)=10,A$24," ")," "))</f>
        <v xml:space="preserve"> </v>
      </c>
      <c r="B2796" s="8" t="str">
        <f>IF(A2796=" "," ",MAX(B2787:B2795)+1)</f>
        <v xml:space="preserve"> </v>
      </c>
      <c r="C2796" s="8" t="str">
        <f>IFERROR(INDEX(A2787:A2808,MATCH(SMALL(B2787:B2808,10),B2787:B2808,0),1)," ")</f>
        <v>C20</v>
      </c>
      <c r="D2796" s="8">
        <f t="shared" si="12207"/>
        <v>0</v>
      </c>
      <c r="E2796" s="8">
        <f t="shared" si="12208"/>
        <v>0</v>
      </c>
      <c r="F2796" s="8">
        <f t="shared" si="12209"/>
        <v>0</v>
      </c>
      <c r="G2796" s="8">
        <f t="shared" si="12210"/>
        <v>0</v>
      </c>
      <c r="H2796" s="8">
        <f t="shared" si="12211"/>
        <v>0</v>
      </c>
      <c r="I2796" s="8">
        <f t="shared" si="12212"/>
        <v>0</v>
      </c>
      <c r="J2796" s="8">
        <f t="shared" si="12213"/>
        <v>0</v>
      </c>
      <c r="K2796" s="8">
        <f t="shared" si="12214"/>
        <v>0</v>
      </c>
      <c r="L2796" s="8">
        <f t="shared" si="12215"/>
        <v>1</v>
      </c>
      <c r="M2796" s="8">
        <f t="shared" si="12216"/>
        <v>0</v>
      </c>
      <c r="N2796" s="8">
        <f t="shared" si="12217"/>
        <v>0</v>
      </c>
      <c r="O2796" s="8">
        <f t="shared" si="12218"/>
        <v>0</v>
      </c>
      <c r="P2796" s="8" t="e">
        <v>#NUM!</v>
      </c>
      <c r="Q2796" s="8" t="e">
        <f t="shared" ref="Q2796" si="12249">IF(COUNTIF(P2787:P2797,"&lt;"&amp;-0.001)=0,IF(ABS(P2796)&lt;0.001,0,P2796)," ")</f>
        <v>#NUM!</v>
      </c>
      <c r="R2796" s="8"/>
      <c r="S2796" s="8"/>
      <c r="U2796" s="34"/>
      <c r="V2796" s="34"/>
      <c r="W2796" s="34"/>
      <c r="X2796" s="34"/>
      <c r="Y2796" s="34"/>
      <c r="Z2796" s="34"/>
      <c r="AA2796" s="34"/>
      <c r="AB2796" s="34"/>
      <c r="AC2796" s="34"/>
      <c r="AD2796" s="34"/>
      <c r="AE2796" s="34"/>
      <c r="AF2796" s="34"/>
      <c r="AG2796" s="34"/>
      <c r="AH2796" s="34"/>
      <c r="AI2796" s="34"/>
      <c r="AJ2796" s="34"/>
      <c r="AK2796" s="34"/>
      <c r="AL2796" s="34"/>
      <c r="AM2796" s="34"/>
      <c r="AN2796" s="34"/>
      <c r="AO2796" s="34"/>
      <c r="AP2796" s="34"/>
      <c r="AQ2796" s="34"/>
      <c r="AR2796" s="34"/>
      <c r="AS2796" s="34"/>
      <c r="AT2796" s="34"/>
      <c r="AU2796" s="34"/>
      <c r="AV2796" s="34"/>
      <c r="AW2796" s="34"/>
      <c r="AX2796" s="34"/>
      <c r="AY2796" s="34"/>
      <c r="AZ2796" s="34"/>
      <c r="BA2796" s="34"/>
      <c r="BB2796" s="34"/>
      <c r="BC2796" s="34"/>
      <c r="BD2796" s="34"/>
      <c r="BE2796" s="34"/>
      <c r="BF2796" s="34"/>
      <c r="BG2796" s="34"/>
      <c r="BH2796" s="34"/>
      <c r="BI2796" s="34"/>
      <c r="BJ2796" s="34"/>
      <c r="BK2796" s="34"/>
      <c r="BL2796" s="34"/>
      <c r="BM2796" s="34"/>
      <c r="BN2796" s="34"/>
      <c r="BO2796" s="34"/>
      <c r="BP2796" s="34"/>
      <c r="BQ2796" s="34"/>
      <c r="BR2796" s="34"/>
      <c r="BS2796" s="34"/>
      <c r="BT2796" s="34"/>
      <c r="BU2796" s="34"/>
      <c r="BV2796" s="34"/>
      <c r="BW2796" s="34"/>
      <c r="BX2796" s="34"/>
      <c r="BY2796" s="34"/>
      <c r="BZ2796" s="34"/>
      <c r="CA2796" s="34"/>
      <c r="CB2796" s="34"/>
      <c r="CC2796" s="34"/>
      <c r="CD2796" s="34"/>
      <c r="CE2796" s="34"/>
      <c r="CF2796" s="34"/>
      <c r="CG2796" s="34"/>
      <c r="CH2796" s="34"/>
    </row>
    <row r="2797" spans="1:86" x14ac:dyDescent="0.2">
      <c r="A2797" s="8" t="str">
        <f>IF(AND(COUNTIF(W$3:W$13,A$25)&gt;0,A$25&lt;&gt;B2578),A$25,IFERROR(IF(MATCH(A$25,Z$3:Z$13,0)=10,A$25," ")," "))</f>
        <v xml:space="preserve"> </v>
      </c>
      <c r="B2797" s="8" t="str">
        <f>IF(A2797=" "," ",MAX(B2787:B2796)+1)</f>
        <v xml:space="preserve"> </v>
      </c>
      <c r="C2797" s="8" t="str">
        <f>IFERROR(INDEX(A2787:A2808,MATCH(SMALL(B2787:B2808,11),B2787:B2808,0),1)," ")</f>
        <v>C21</v>
      </c>
      <c r="D2797" s="8">
        <f t="shared" si="12207"/>
        <v>0</v>
      </c>
      <c r="E2797" s="8">
        <f t="shared" si="12208"/>
        <v>0</v>
      </c>
      <c r="F2797" s="8">
        <f t="shared" si="12209"/>
        <v>0</v>
      </c>
      <c r="G2797" s="8">
        <f t="shared" si="12210"/>
        <v>0</v>
      </c>
      <c r="H2797" s="8">
        <f t="shared" si="12211"/>
        <v>0</v>
      </c>
      <c r="I2797" s="8">
        <f t="shared" si="12212"/>
        <v>0</v>
      </c>
      <c r="J2797" s="8">
        <f t="shared" si="12213"/>
        <v>0</v>
      </c>
      <c r="K2797" s="8">
        <f t="shared" si="12214"/>
        <v>0</v>
      </c>
      <c r="L2797" s="8">
        <f t="shared" si="12215"/>
        <v>0</v>
      </c>
      <c r="M2797" s="8">
        <f t="shared" si="12216"/>
        <v>1</v>
      </c>
      <c r="N2797" s="8">
        <f t="shared" si="12217"/>
        <v>0</v>
      </c>
      <c r="O2797" s="8">
        <f t="shared" si="12218"/>
        <v>0</v>
      </c>
      <c r="P2797" s="8" t="e">
        <v>#NUM!</v>
      </c>
      <c r="Q2797" s="8" t="e">
        <f t="shared" ref="Q2797" si="12250">IF(COUNTIF(P2787:P2797,"&lt;"&amp;-0.001)=0,IF(ABS(P2797)&lt;0.001,0,P2797)," ")</f>
        <v>#NUM!</v>
      </c>
      <c r="R2797" s="8"/>
      <c r="S2797" s="8"/>
      <c r="U2797" s="34"/>
      <c r="V2797" s="34"/>
      <c r="W2797" s="34"/>
      <c r="X2797" s="34"/>
      <c r="Y2797" s="34"/>
      <c r="Z2797" s="34"/>
      <c r="AA2797" s="34"/>
      <c r="AB2797" s="34"/>
      <c r="AC2797" s="34"/>
      <c r="AD2797" s="34"/>
      <c r="AE2797" s="34"/>
      <c r="AF2797" s="34"/>
      <c r="AG2797" s="34"/>
      <c r="AH2797" s="34"/>
      <c r="AI2797" s="34"/>
      <c r="AJ2797" s="34"/>
      <c r="AK2797" s="34"/>
      <c r="AL2797" s="34"/>
      <c r="AM2797" s="34"/>
      <c r="AN2797" s="34"/>
      <c r="AO2797" s="34"/>
      <c r="AP2797" s="34"/>
      <c r="AQ2797" s="34"/>
      <c r="AR2797" s="34"/>
      <c r="AS2797" s="34"/>
      <c r="AT2797" s="34"/>
      <c r="AU2797" s="34"/>
      <c r="AV2797" s="34"/>
      <c r="AW2797" s="34"/>
      <c r="AX2797" s="34"/>
      <c r="AY2797" s="34"/>
      <c r="AZ2797" s="34"/>
      <c r="BA2797" s="34"/>
      <c r="BB2797" s="34"/>
      <c r="BC2797" s="34"/>
      <c r="BD2797" s="34"/>
      <c r="BE2797" s="34"/>
      <c r="BF2797" s="34"/>
      <c r="BG2797" s="34"/>
      <c r="BH2797" s="34"/>
      <c r="BI2797" s="34"/>
      <c r="BJ2797" s="34"/>
      <c r="BK2797" s="34"/>
      <c r="BL2797" s="34"/>
      <c r="BM2797" s="34"/>
      <c r="BN2797" s="34"/>
      <c r="BO2797" s="34"/>
      <c r="BP2797" s="34"/>
      <c r="BQ2797" s="34"/>
      <c r="BR2797" s="34"/>
      <c r="BS2797" s="34"/>
      <c r="BT2797" s="34"/>
      <c r="BU2797" s="34"/>
      <c r="BV2797" s="34"/>
      <c r="BW2797" s="34"/>
      <c r="BX2797" s="34"/>
      <c r="BY2797" s="34"/>
      <c r="BZ2797" s="34"/>
      <c r="CA2797" s="34"/>
      <c r="CB2797" s="34"/>
      <c r="CC2797" s="34"/>
      <c r="CD2797" s="34"/>
      <c r="CE2797" s="34"/>
      <c r="CF2797" s="34"/>
      <c r="CG2797" s="34"/>
      <c r="CH2797" s="34"/>
    </row>
    <row r="2798" spans="1:86" x14ac:dyDescent="0.2">
      <c r="A2798" s="8" t="str">
        <f>IF(AND(COUNTIF(W$3:W$13,A$26)&gt;0,A$26&lt;&gt;B2578),A$26,IFERROR(IF(MATCH(A$26,Z$3:Z$13,0)=10,A$26," ")," "))</f>
        <v>C12</v>
      </c>
      <c r="B2798" s="8">
        <f>IF(A2798=" "," ",MAX(B2787:B2797)+1)</f>
        <v>3</v>
      </c>
      <c r="C2798" s="8"/>
      <c r="D2798" s="8"/>
      <c r="E2798" s="8"/>
      <c r="F2798" s="8"/>
      <c r="G2798" s="8"/>
      <c r="H2798" s="8"/>
      <c r="I2798" s="8"/>
      <c r="J2798" s="8"/>
      <c r="K2798" s="8"/>
      <c r="L2798" s="8"/>
      <c r="M2798" s="8"/>
      <c r="N2798" s="8"/>
      <c r="O2798" s="8"/>
      <c r="P2798" s="8"/>
      <c r="Q2798" s="8"/>
      <c r="R2798" s="8"/>
      <c r="S2798" s="8"/>
      <c r="U2798" s="34"/>
      <c r="V2798" s="34"/>
      <c r="W2798" s="34"/>
      <c r="X2798" s="34"/>
      <c r="Y2798" s="34"/>
      <c r="Z2798" s="34"/>
      <c r="AA2798" s="34"/>
      <c r="AB2798" s="34"/>
      <c r="AC2798" s="34"/>
      <c r="AD2798" s="34"/>
      <c r="AE2798" s="34"/>
      <c r="AF2798" s="34"/>
      <c r="AG2798" s="34"/>
      <c r="AH2798" s="34"/>
      <c r="AI2798" s="34"/>
      <c r="AJ2798" s="34"/>
      <c r="AK2798" s="34"/>
      <c r="AL2798" s="34"/>
      <c r="AM2798" s="34"/>
      <c r="AN2798" s="34"/>
      <c r="AO2798" s="34"/>
      <c r="AP2798" s="34"/>
      <c r="AQ2798" s="34"/>
      <c r="AR2798" s="34"/>
      <c r="AS2798" s="34"/>
      <c r="AT2798" s="34"/>
      <c r="AU2798" s="34"/>
      <c r="AV2798" s="34"/>
      <c r="AW2798" s="34"/>
      <c r="AX2798" s="34"/>
      <c r="AY2798" s="34"/>
      <c r="AZ2798" s="34"/>
      <c r="BA2798" s="34"/>
      <c r="BB2798" s="34"/>
      <c r="BC2798" s="34"/>
      <c r="BD2798" s="34"/>
      <c r="BE2798" s="34"/>
      <c r="BF2798" s="34"/>
      <c r="BG2798" s="34"/>
      <c r="BH2798" s="34"/>
      <c r="BI2798" s="34"/>
      <c r="BJ2798" s="34"/>
      <c r="BK2798" s="34"/>
      <c r="BL2798" s="34"/>
      <c r="BM2798" s="34"/>
      <c r="BN2798" s="34"/>
      <c r="BO2798" s="34"/>
      <c r="BP2798" s="34"/>
      <c r="BQ2798" s="34"/>
      <c r="BR2798" s="34"/>
      <c r="BS2798" s="34"/>
      <c r="BT2798" s="34"/>
      <c r="BU2798" s="34"/>
      <c r="BV2798" s="34"/>
      <c r="BW2798" s="34"/>
      <c r="BX2798" s="34"/>
      <c r="BY2798" s="34"/>
      <c r="BZ2798" s="34"/>
      <c r="CA2798" s="34"/>
      <c r="CB2798" s="34"/>
      <c r="CC2798" s="34"/>
      <c r="CD2798" s="34"/>
      <c r="CE2798" s="34"/>
      <c r="CF2798" s="34"/>
      <c r="CG2798" s="34"/>
      <c r="CH2798" s="34"/>
    </row>
    <row r="2799" spans="1:86" x14ac:dyDescent="0.2">
      <c r="A2799" s="8" t="str">
        <f>IF(AND(COUNTIF(W$3:W$13,A$27)&gt;0,A$27&lt;&gt;B2578),A$27,IFERROR(IF(MATCH(A$27,Z$3:Z$13,0)=10,A$27," ")," "))</f>
        <v>C13</v>
      </c>
      <c r="B2799" s="8">
        <f>IF(A2799=" "," ",MAX(B2787:B2798)+1)</f>
        <v>4</v>
      </c>
      <c r="C2799" s="8"/>
      <c r="D2799" s="8"/>
      <c r="E2799" s="8"/>
      <c r="F2799" s="8"/>
      <c r="G2799" s="8"/>
      <c r="H2799" s="8"/>
      <c r="I2799" s="8"/>
      <c r="J2799" s="8"/>
      <c r="K2799" s="8"/>
      <c r="L2799" s="8"/>
      <c r="M2799" s="8"/>
      <c r="N2799" s="8"/>
      <c r="O2799" s="8"/>
      <c r="P2799" s="8"/>
      <c r="Q2799" s="8"/>
      <c r="R2799" s="8"/>
      <c r="S2799" s="8"/>
      <c r="U2799" s="34"/>
      <c r="V2799" s="34"/>
      <c r="W2799" s="34"/>
      <c r="X2799" s="34"/>
      <c r="Y2799" s="34"/>
      <c r="Z2799" s="34"/>
      <c r="AA2799" s="34"/>
      <c r="AB2799" s="34"/>
      <c r="AC2799" s="34"/>
      <c r="AD2799" s="34"/>
      <c r="AE2799" s="34"/>
      <c r="AF2799" s="34"/>
      <c r="AG2799" s="34"/>
      <c r="AH2799" s="34"/>
      <c r="AI2799" s="34"/>
      <c r="AJ2799" s="34"/>
      <c r="AK2799" s="34"/>
      <c r="AL2799" s="34"/>
      <c r="AM2799" s="34"/>
      <c r="AN2799" s="34"/>
      <c r="AO2799" s="34"/>
      <c r="AP2799" s="34"/>
      <c r="AQ2799" s="34"/>
      <c r="AR2799" s="34"/>
      <c r="AS2799" s="34"/>
      <c r="AT2799" s="34"/>
      <c r="AU2799" s="34"/>
      <c r="AV2799" s="34"/>
      <c r="AW2799" s="34"/>
      <c r="AX2799" s="34"/>
      <c r="AY2799" s="34"/>
      <c r="AZ2799" s="34"/>
      <c r="BA2799" s="34"/>
      <c r="BB2799" s="34"/>
      <c r="BC2799" s="34"/>
      <c r="BD2799" s="34"/>
      <c r="BE2799" s="34"/>
      <c r="BF2799" s="34"/>
      <c r="BG2799" s="34"/>
      <c r="BH2799" s="34"/>
      <c r="BI2799" s="34"/>
      <c r="BJ2799" s="34"/>
      <c r="BK2799" s="34"/>
      <c r="BL2799" s="34"/>
      <c r="BM2799" s="34"/>
      <c r="BN2799" s="34"/>
      <c r="BO2799" s="34"/>
      <c r="BP2799" s="34"/>
      <c r="BQ2799" s="34"/>
      <c r="BR2799" s="34"/>
      <c r="BS2799" s="34"/>
      <c r="BT2799" s="34"/>
      <c r="BU2799" s="34"/>
      <c r="BV2799" s="34"/>
      <c r="BW2799" s="34"/>
      <c r="BX2799" s="34"/>
      <c r="BY2799" s="34"/>
      <c r="BZ2799" s="34"/>
      <c r="CA2799" s="34"/>
      <c r="CB2799" s="34"/>
      <c r="CC2799" s="34"/>
      <c r="CD2799" s="34"/>
      <c r="CE2799" s="34"/>
      <c r="CF2799" s="34"/>
      <c r="CG2799" s="34"/>
      <c r="CH2799" s="34"/>
    </row>
    <row r="2800" spans="1:86" x14ac:dyDescent="0.2">
      <c r="A2800" s="8" t="str">
        <f>IF(AND(COUNTIF(W$3:W$13,A$28)&gt;0,A$28&lt;&gt;B2578),A$28,IFERROR(IF(MATCH(A$28,Z$3:Z$13,0)=10,A$28," ")," "))</f>
        <v xml:space="preserve"> </v>
      </c>
      <c r="B2800" s="8" t="str">
        <f>IF(A2800=" "," ",MAX(B2787:B2799)+1)</f>
        <v xml:space="preserve"> </v>
      </c>
      <c r="C2800" s="8"/>
      <c r="D2800" s="8"/>
      <c r="E2800" s="8"/>
      <c r="F2800" s="8"/>
      <c r="G2800" s="8"/>
      <c r="H2800" s="8"/>
      <c r="I2800" s="8"/>
      <c r="J2800" s="8"/>
      <c r="K2800" s="8"/>
      <c r="L2800" s="8"/>
      <c r="M2800" s="8"/>
      <c r="N2800" s="8"/>
      <c r="O2800" s="8"/>
      <c r="P2800" s="8"/>
      <c r="Q2800" s="8"/>
      <c r="R2800" s="8"/>
      <c r="S2800" s="8"/>
      <c r="U2800" s="34"/>
      <c r="V2800" s="34"/>
      <c r="W2800" s="34"/>
      <c r="X2800" s="34"/>
      <c r="Y2800" s="34"/>
      <c r="Z2800" s="34"/>
      <c r="AA2800" s="34"/>
      <c r="AB2800" s="34"/>
      <c r="AC2800" s="34"/>
      <c r="AD2800" s="34"/>
      <c r="AE2800" s="34"/>
      <c r="AF2800" s="34"/>
      <c r="AG2800" s="34"/>
      <c r="AH2800" s="34"/>
      <c r="AI2800" s="34"/>
      <c r="AJ2800" s="34"/>
      <c r="AK2800" s="34"/>
      <c r="AL2800" s="34"/>
      <c r="AM2800" s="34"/>
      <c r="AN2800" s="34"/>
      <c r="AO2800" s="34"/>
      <c r="AP2800" s="34"/>
      <c r="AQ2800" s="34"/>
      <c r="AR2800" s="34"/>
      <c r="AS2800" s="34"/>
      <c r="AT2800" s="34"/>
      <c r="AU2800" s="34"/>
      <c r="AV2800" s="34"/>
      <c r="AW2800" s="34"/>
      <c r="AX2800" s="34"/>
      <c r="AY2800" s="34"/>
      <c r="AZ2800" s="34"/>
      <c r="BA2800" s="34"/>
      <c r="BB2800" s="34"/>
      <c r="BC2800" s="34"/>
      <c r="BD2800" s="34"/>
      <c r="BE2800" s="34"/>
      <c r="BF2800" s="34"/>
      <c r="BG2800" s="34"/>
      <c r="BH2800" s="34"/>
      <c r="BI2800" s="34"/>
      <c r="BJ2800" s="34"/>
      <c r="BK2800" s="34"/>
      <c r="BL2800" s="34"/>
      <c r="BM2800" s="34"/>
      <c r="BN2800" s="34"/>
      <c r="BO2800" s="34"/>
      <c r="BP2800" s="34"/>
      <c r="BQ2800" s="34"/>
      <c r="BR2800" s="34"/>
      <c r="BS2800" s="34"/>
      <c r="BT2800" s="34"/>
      <c r="BU2800" s="34"/>
      <c r="BV2800" s="34"/>
      <c r="BW2800" s="34"/>
      <c r="BX2800" s="34"/>
      <c r="BY2800" s="34"/>
      <c r="BZ2800" s="34"/>
      <c r="CA2800" s="34"/>
      <c r="CB2800" s="34"/>
      <c r="CC2800" s="34"/>
      <c r="CD2800" s="34"/>
      <c r="CE2800" s="34"/>
      <c r="CF2800" s="34"/>
      <c r="CG2800" s="34"/>
      <c r="CH2800" s="34"/>
    </row>
    <row r="2801" spans="1:86" x14ac:dyDescent="0.2">
      <c r="A2801" s="8" t="str">
        <f>IF(AND(COUNTIF(W$3:W$13,A$29)&gt;0,A$29&lt;&gt;B2578),A$29,IFERROR(IF(MATCH(A$29,Z$3:Z$13,0)=10,A$29," ")," "))</f>
        <v>C15</v>
      </c>
      <c r="B2801" s="8">
        <f>IF(A2801=" "," ",MAX(B2787:B2800)+1)</f>
        <v>5</v>
      </c>
      <c r="C2801" s="8"/>
      <c r="D2801" s="8"/>
      <c r="E2801" s="8"/>
      <c r="F2801" s="8"/>
      <c r="G2801" s="8"/>
      <c r="H2801" s="8"/>
      <c r="I2801" s="8"/>
      <c r="J2801" s="8"/>
      <c r="K2801" s="8"/>
      <c r="L2801" s="8"/>
      <c r="M2801" s="8"/>
      <c r="N2801" s="8"/>
      <c r="O2801" s="8"/>
      <c r="P2801" s="8"/>
      <c r="Q2801" s="8"/>
      <c r="R2801" s="8"/>
      <c r="S2801" s="8"/>
      <c r="U2801" s="34"/>
      <c r="V2801" s="34"/>
      <c r="W2801" s="34"/>
      <c r="X2801" s="34"/>
      <c r="Y2801" s="34"/>
      <c r="Z2801" s="34"/>
      <c r="AA2801" s="34"/>
      <c r="AB2801" s="34"/>
      <c r="AC2801" s="34"/>
      <c r="AD2801" s="34"/>
      <c r="AE2801" s="34"/>
      <c r="AF2801" s="34"/>
      <c r="AG2801" s="34"/>
      <c r="AH2801" s="34"/>
      <c r="AI2801" s="34"/>
      <c r="AJ2801" s="34"/>
      <c r="AK2801" s="34"/>
      <c r="AL2801" s="34"/>
      <c r="AM2801" s="34"/>
      <c r="AN2801" s="34"/>
      <c r="AO2801" s="34"/>
      <c r="AP2801" s="34"/>
      <c r="AQ2801" s="34"/>
      <c r="AR2801" s="34"/>
      <c r="AS2801" s="34"/>
      <c r="AT2801" s="34"/>
      <c r="AU2801" s="34"/>
      <c r="AV2801" s="34"/>
      <c r="AW2801" s="34"/>
      <c r="AX2801" s="34"/>
      <c r="AY2801" s="34"/>
      <c r="AZ2801" s="34"/>
      <c r="BA2801" s="34"/>
      <c r="BB2801" s="34"/>
      <c r="BC2801" s="34"/>
      <c r="BD2801" s="34"/>
      <c r="BE2801" s="34"/>
      <c r="BF2801" s="34"/>
      <c r="BG2801" s="34"/>
      <c r="BH2801" s="34"/>
      <c r="BI2801" s="34"/>
      <c r="BJ2801" s="34"/>
      <c r="BK2801" s="34"/>
      <c r="BL2801" s="34"/>
      <c r="BM2801" s="34"/>
      <c r="BN2801" s="34"/>
      <c r="BO2801" s="34"/>
      <c r="BP2801" s="34"/>
      <c r="BQ2801" s="34"/>
      <c r="BR2801" s="34"/>
      <c r="BS2801" s="34"/>
      <c r="BT2801" s="34"/>
      <c r="BU2801" s="34"/>
      <c r="BV2801" s="34"/>
      <c r="BW2801" s="34"/>
      <c r="BX2801" s="34"/>
      <c r="BY2801" s="34"/>
      <c r="BZ2801" s="34"/>
      <c r="CA2801" s="34"/>
      <c r="CB2801" s="34"/>
      <c r="CC2801" s="34"/>
      <c r="CD2801" s="34"/>
      <c r="CE2801" s="34"/>
      <c r="CF2801" s="34"/>
      <c r="CG2801" s="34"/>
      <c r="CH2801" s="34"/>
    </row>
    <row r="2802" spans="1:86" x14ac:dyDescent="0.2">
      <c r="A2802" s="8" t="str">
        <f>IF(AND(COUNTIF(W$3:W$13,A$30)&gt;0,A$30&lt;&gt;B2578),A$30,IFERROR(IF(MATCH(A$30,Z$3:Z$13,0)=10,A$30," ")," "))</f>
        <v>C16</v>
      </c>
      <c r="B2802" s="8">
        <f>IF(A2802=" "," ",MAX(B2787:B2801)+1)</f>
        <v>6</v>
      </c>
      <c r="C2802" s="8"/>
      <c r="D2802" s="8"/>
      <c r="E2802" s="8"/>
      <c r="F2802" s="8"/>
      <c r="G2802" s="8"/>
      <c r="H2802" s="8"/>
      <c r="I2802" s="8"/>
      <c r="J2802" s="8"/>
      <c r="K2802" s="8"/>
      <c r="L2802" s="8"/>
      <c r="M2802" s="8"/>
      <c r="N2802" s="8"/>
      <c r="O2802" s="8"/>
      <c r="P2802" s="8"/>
      <c r="Q2802" s="8"/>
      <c r="R2802" s="8"/>
      <c r="S2802" s="8"/>
      <c r="U2802" s="34"/>
      <c r="V2802" s="34"/>
      <c r="W2802" s="34"/>
      <c r="X2802" s="34"/>
      <c r="Y2802" s="34"/>
      <c r="Z2802" s="34"/>
      <c r="AA2802" s="34"/>
      <c r="AB2802" s="34"/>
      <c r="AC2802" s="34"/>
      <c r="AD2802" s="34"/>
      <c r="AE2802" s="34"/>
      <c r="AF2802" s="34"/>
      <c r="AG2802" s="34"/>
      <c r="AH2802" s="34"/>
      <c r="AI2802" s="34"/>
      <c r="AJ2802" s="34"/>
      <c r="AK2802" s="34"/>
      <c r="AL2802" s="34"/>
      <c r="AM2802" s="34"/>
      <c r="AN2802" s="34"/>
      <c r="AO2802" s="34"/>
      <c r="AP2802" s="34"/>
      <c r="AQ2802" s="34"/>
      <c r="AR2802" s="34"/>
      <c r="AS2802" s="34"/>
      <c r="AT2802" s="34"/>
      <c r="AU2802" s="34"/>
      <c r="AV2802" s="34"/>
      <c r="AW2802" s="34"/>
      <c r="AX2802" s="34"/>
      <c r="AY2802" s="34"/>
      <c r="AZ2802" s="34"/>
      <c r="BA2802" s="34"/>
      <c r="BB2802" s="34"/>
      <c r="BC2802" s="34"/>
      <c r="BD2802" s="34"/>
      <c r="BE2802" s="34"/>
      <c r="BF2802" s="34"/>
      <c r="BG2802" s="34"/>
      <c r="BH2802" s="34"/>
      <c r="BI2802" s="34"/>
      <c r="BJ2802" s="34"/>
      <c r="BK2802" s="34"/>
      <c r="BL2802" s="34"/>
      <c r="BM2802" s="34"/>
      <c r="BN2802" s="34"/>
      <c r="BO2802" s="34"/>
      <c r="BP2802" s="34"/>
      <c r="BQ2802" s="34"/>
      <c r="BR2802" s="34"/>
      <c r="BS2802" s="34"/>
      <c r="BT2802" s="34"/>
      <c r="BU2802" s="34"/>
      <c r="BV2802" s="34"/>
      <c r="BW2802" s="34"/>
      <c r="BX2802" s="34"/>
      <c r="BY2802" s="34"/>
      <c r="BZ2802" s="34"/>
      <c r="CA2802" s="34"/>
      <c r="CB2802" s="34"/>
      <c r="CC2802" s="34"/>
      <c r="CD2802" s="34"/>
      <c r="CE2802" s="34"/>
      <c r="CF2802" s="34"/>
      <c r="CG2802" s="34"/>
      <c r="CH2802" s="34"/>
    </row>
    <row r="2803" spans="1:86" x14ac:dyDescent="0.2">
      <c r="A2803" s="8" t="str">
        <f>IF(AND(COUNTIF(W$3:W$13,A$31)&gt;0,A$31&lt;&gt;B2578),A$31,IFERROR(IF(MATCH(A$31,Z$3:Z$13,0)=10,A$31," ")," "))</f>
        <v>C17</v>
      </c>
      <c r="B2803" s="8">
        <f>IF(A2803=" "," ",MAX(B2787:B2802)+1)</f>
        <v>7</v>
      </c>
      <c r="C2803" s="8"/>
      <c r="D2803" s="8"/>
      <c r="E2803" s="8"/>
      <c r="F2803" s="8"/>
      <c r="G2803" s="8"/>
      <c r="H2803" s="8"/>
      <c r="I2803" s="8"/>
      <c r="J2803" s="8"/>
      <c r="K2803" s="8"/>
      <c r="L2803" s="8"/>
      <c r="M2803" s="8"/>
      <c r="N2803" s="8"/>
      <c r="O2803" s="8"/>
      <c r="P2803" s="8"/>
      <c r="Q2803" s="8"/>
      <c r="R2803" s="8"/>
      <c r="S2803" s="8"/>
      <c r="U2803" s="34"/>
      <c r="V2803" s="34"/>
      <c r="W2803" s="34"/>
      <c r="X2803" s="34"/>
      <c r="Y2803" s="34"/>
      <c r="Z2803" s="34"/>
      <c r="AA2803" s="34"/>
      <c r="AB2803" s="34"/>
      <c r="AC2803" s="34"/>
      <c r="AD2803" s="34"/>
      <c r="AE2803" s="34"/>
      <c r="AF2803" s="34"/>
      <c r="AG2803" s="34"/>
      <c r="AH2803" s="34"/>
      <c r="AI2803" s="34"/>
      <c r="AJ2803" s="34"/>
      <c r="AK2803" s="34"/>
      <c r="AL2803" s="34"/>
      <c r="AM2803" s="34"/>
      <c r="AN2803" s="34"/>
      <c r="AO2803" s="34"/>
      <c r="AP2803" s="34"/>
      <c r="AQ2803" s="34"/>
      <c r="AR2803" s="34"/>
      <c r="AS2803" s="34"/>
      <c r="AT2803" s="34"/>
      <c r="AU2803" s="34"/>
      <c r="AV2803" s="34"/>
      <c r="AW2803" s="34"/>
      <c r="AX2803" s="34"/>
      <c r="AY2803" s="34"/>
      <c r="AZ2803" s="34"/>
      <c r="BA2803" s="34"/>
      <c r="BB2803" s="34"/>
      <c r="BC2803" s="34"/>
      <c r="BD2803" s="34"/>
      <c r="BE2803" s="34"/>
      <c r="BF2803" s="34"/>
      <c r="BG2803" s="34"/>
      <c r="BH2803" s="34"/>
      <c r="BI2803" s="34"/>
      <c r="BJ2803" s="34"/>
      <c r="BK2803" s="34"/>
      <c r="BL2803" s="34"/>
      <c r="BM2803" s="34"/>
      <c r="BN2803" s="34"/>
      <c r="BO2803" s="34"/>
      <c r="BP2803" s="34"/>
      <c r="BQ2803" s="34"/>
      <c r="BR2803" s="34"/>
      <c r="BS2803" s="34"/>
      <c r="BT2803" s="34"/>
      <c r="BU2803" s="34"/>
      <c r="BV2803" s="34"/>
      <c r="BW2803" s="34"/>
      <c r="BX2803" s="34"/>
      <c r="BY2803" s="34"/>
      <c r="BZ2803" s="34"/>
      <c r="CA2803" s="34"/>
      <c r="CB2803" s="34"/>
      <c r="CC2803" s="34"/>
      <c r="CD2803" s="34"/>
      <c r="CE2803" s="34"/>
      <c r="CF2803" s="34"/>
      <c r="CG2803" s="34"/>
      <c r="CH2803" s="34"/>
    </row>
    <row r="2804" spans="1:86" x14ac:dyDescent="0.2">
      <c r="A2804" s="8" t="str">
        <f>IF(AND(COUNTIF(W$3:W$13,A$32)&gt;0,A$32&lt;&gt;B2578),A$32,IFERROR(IF(MATCH(A$32,Z$3:Z$13,0)=10,A$32," ")," "))</f>
        <v>C18</v>
      </c>
      <c r="B2804" s="8">
        <f>IF(A2804=" "," ",MAX(B2787:B2803)+1)</f>
        <v>8</v>
      </c>
      <c r="C2804" s="8"/>
      <c r="D2804" s="8"/>
      <c r="E2804" s="8"/>
      <c r="F2804" s="8"/>
      <c r="G2804" s="8"/>
      <c r="H2804" s="8"/>
      <c r="I2804" s="8"/>
      <c r="J2804" s="8"/>
      <c r="K2804" s="8"/>
      <c r="L2804" s="8"/>
      <c r="M2804" s="8"/>
      <c r="N2804" s="8"/>
      <c r="O2804" s="8"/>
      <c r="P2804" s="8"/>
      <c r="Q2804" s="8"/>
      <c r="R2804" s="8"/>
      <c r="S2804" s="8"/>
      <c r="U2804" s="34"/>
      <c r="V2804" s="34"/>
      <c r="W2804" s="34"/>
      <c r="X2804" s="34"/>
      <c r="Y2804" s="34"/>
      <c r="Z2804" s="34"/>
      <c r="AA2804" s="34"/>
      <c r="AB2804" s="34"/>
      <c r="AC2804" s="34"/>
      <c r="AD2804" s="34"/>
      <c r="AE2804" s="34"/>
      <c r="AF2804" s="34"/>
      <c r="AG2804" s="34"/>
      <c r="AH2804" s="34"/>
      <c r="AI2804" s="34"/>
      <c r="AJ2804" s="34"/>
      <c r="AK2804" s="34"/>
      <c r="AL2804" s="34"/>
      <c r="AM2804" s="34"/>
      <c r="AN2804" s="34"/>
      <c r="AO2804" s="34"/>
      <c r="AP2804" s="34"/>
      <c r="AQ2804" s="34"/>
      <c r="AR2804" s="34"/>
      <c r="AS2804" s="34"/>
      <c r="AT2804" s="34"/>
      <c r="AU2804" s="34"/>
      <c r="AV2804" s="34"/>
      <c r="AW2804" s="34"/>
      <c r="AX2804" s="34"/>
      <c r="AY2804" s="34"/>
      <c r="AZ2804" s="34"/>
      <c r="BA2804" s="34"/>
      <c r="BB2804" s="34"/>
      <c r="BC2804" s="34"/>
      <c r="BD2804" s="34"/>
      <c r="BE2804" s="34"/>
      <c r="BF2804" s="34"/>
      <c r="BG2804" s="34"/>
      <c r="BH2804" s="34"/>
      <c r="BI2804" s="34"/>
      <c r="BJ2804" s="34"/>
      <c r="BK2804" s="34"/>
      <c r="BL2804" s="34"/>
      <c r="BM2804" s="34"/>
      <c r="BN2804" s="34"/>
      <c r="BO2804" s="34"/>
      <c r="BP2804" s="34"/>
      <c r="BQ2804" s="34"/>
      <c r="BR2804" s="34"/>
      <c r="BS2804" s="34"/>
      <c r="BT2804" s="34"/>
      <c r="BU2804" s="34"/>
      <c r="BV2804" s="34"/>
      <c r="BW2804" s="34"/>
      <c r="BX2804" s="34"/>
      <c r="BY2804" s="34"/>
      <c r="BZ2804" s="34"/>
      <c r="CA2804" s="34"/>
      <c r="CB2804" s="34"/>
      <c r="CC2804" s="34"/>
      <c r="CD2804" s="34"/>
      <c r="CE2804" s="34"/>
      <c r="CF2804" s="34"/>
      <c r="CG2804" s="34"/>
      <c r="CH2804" s="34"/>
    </row>
    <row r="2805" spans="1:86" x14ac:dyDescent="0.2">
      <c r="A2805" s="8" t="str">
        <f>IF(AND(COUNTIF(W$3:W$13,A$33)&gt;0,A$33&lt;&gt;B2578),A$33,IFERROR(IF(MATCH(A$33,Z$3:Z$13,0)=10,A$33," ")," "))</f>
        <v>C19</v>
      </c>
      <c r="B2805" s="8">
        <f>IF(A2805=" "," ",MAX(B2787:B2804)+1)</f>
        <v>9</v>
      </c>
      <c r="C2805" s="8"/>
      <c r="D2805" s="8"/>
      <c r="E2805" s="8"/>
      <c r="F2805" s="8"/>
      <c r="G2805" s="8"/>
      <c r="H2805" s="8"/>
      <c r="I2805" s="8"/>
      <c r="J2805" s="8"/>
      <c r="K2805" s="8"/>
      <c r="L2805" s="8"/>
      <c r="M2805" s="8"/>
      <c r="N2805" s="8"/>
      <c r="O2805" s="8"/>
      <c r="P2805" s="8"/>
      <c r="Q2805" s="8"/>
      <c r="R2805" s="8"/>
      <c r="S2805" s="8"/>
      <c r="U2805" s="34"/>
      <c r="V2805" s="34"/>
      <c r="W2805" s="34"/>
      <c r="X2805" s="34"/>
      <c r="Y2805" s="34"/>
      <c r="Z2805" s="34"/>
      <c r="AA2805" s="34"/>
      <c r="AB2805" s="34"/>
      <c r="AC2805" s="34"/>
      <c r="AD2805" s="34"/>
      <c r="AE2805" s="34"/>
      <c r="AF2805" s="34"/>
      <c r="AG2805" s="34"/>
      <c r="AH2805" s="34"/>
      <c r="AI2805" s="34"/>
      <c r="AJ2805" s="34"/>
      <c r="AK2805" s="34"/>
      <c r="AL2805" s="34"/>
      <c r="AM2805" s="34"/>
      <c r="AN2805" s="34"/>
      <c r="AO2805" s="34"/>
      <c r="AP2805" s="34"/>
      <c r="AQ2805" s="34"/>
      <c r="AR2805" s="34"/>
      <c r="AS2805" s="34"/>
      <c r="AT2805" s="34"/>
      <c r="AU2805" s="34"/>
      <c r="AV2805" s="34"/>
      <c r="AW2805" s="34"/>
      <c r="AX2805" s="34"/>
      <c r="AY2805" s="34"/>
      <c r="AZ2805" s="34"/>
      <c r="BA2805" s="34"/>
      <c r="BB2805" s="34"/>
      <c r="BC2805" s="34"/>
      <c r="BD2805" s="34"/>
      <c r="BE2805" s="34"/>
      <c r="BF2805" s="34"/>
      <c r="BG2805" s="34"/>
      <c r="BH2805" s="34"/>
      <c r="BI2805" s="34"/>
      <c r="BJ2805" s="34"/>
      <c r="BK2805" s="34"/>
      <c r="BL2805" s="34"/>
      <c r="BM2805" s="34"/>
      <c r="BN2805" s="34"/>
      <c r="BO2805" s="34"/>
      <c r="BP2805" s="34"/>
      <c r="BQ2805" s="34"/>
      <c r="BR2805" s="34"/>
      <c r="BS2805" s="34"/>
      <c r="BT2805" s="34"/>
      <c r="BU2805" s="34"/>
      <c r="BV2805" s="34"/>
      <c r="BW2805" s="34"/>
      <c r="BX2805" s="34"/>
      <c r="BY2805" s="34"/>
      <c r="BZ2805" s="34"/>
      <c r="CA2805" s="34"/>
      <c r="CB2805" s="34"/>
      <c r="CC2805" s="34"/>
      <c r="CD2805" s="34"/>
      <c r="CE2805" s="34"/>
      <c r="CF2805" s="34"/>
      <c r="CG2805" s="34"/>
      <c r="CH2805" s="34"/>
    </row>
    <row r="2806" spans="1:86" x14ac:dyDescent="0.2">
      <c r="A2806" s="8" t="str">
        <f>IF(AND(COUNTIF(W$3:W$13,A$34)&gt;0,A$34&lt;&gt;B2578),A$34,IFERROR(IF(MATCH(A$34,Z$3:Z$13,0)=10,A$34," ")," "))</f>
        <v>C20</v>
      </c>
      <c r="B2806" s="8">
        <f>IF(A2806=" "," ",MAX(B2787:B2805)+1)</f>
        <v>10</v>
      </c>
      <c r="C2806" s="8"/>
      <c r="D2806" s="8"/>
      <c r="E2806" s="8"/>
      <c r="F2806" s="8"/>
      <c r="G2806" s="8"/>
      <c r="H2806" s="8"/>
      <c r="I2806" s="8"/>
      <c r="J2806" s="8"/>
      <c r="K2806" s="8"/>
      <c r="L2806" s="8"/>
      <c r="M2806" s="8"/>
      <c r="N2806" s="8"/>
      <c r="O2806" s="8"/>
      <c r="P2806" s="8"/>
      <c r="Q2806" s="8"/>
      <c r="R2806" s="8"/>
      <c r="S2806" s="8"/>
      <c r="U2806" s="34"/>
      <c r="V2806" s="34"/>
      <c r="W2806" s="34"/>
      <c r="X2806" s="34"/>
      <c r="Y2806" s="34"/>
      <c r="Z2806" s="34"/>
      <c r="AA2806" s="34"/>
      <c r="AB2806" s="34"/>
      <c r="AC2806" s="34"/>
      <c r="AD2806" s="34"/>
      <c r="AE2806" s="34"/>
      <c r="AF2806" s="34"/>
      <c r="AG2806" s="34"/>
      <c r="AH2806" s="34"/>
      <c r="AI2806" s="34"/>
      <c r="AJ2806" s="34"/>
      <c r="AK2806" s="34"/>
      <c r="AL2806" s="34"/>
      <c r="AM2806" s="34"/>
      <c r="AN2806" s="34"/>
      <c r="AO2806" s="34"/>
      <c r="AP2806" s="34"/>
      <c r="AQ2806" s="34"/>
      <c r="AR2806" s="34"/>
      <c r="AS2806" s="34"/>
      <c r="AT2806" s="34"/>
      <c r="AU2806" s="34"/>
      <c r="AV2806" s="34"/>
      <c r="AW2806" s="34"/>
      <c r="AX2806" s="34"/>
      <c r="AY2806" s="34"/>
      <c r="AZ2806" s="34"/>
      <c r="BA2806" s="34"/>
      <c r="BB2806" s="34"/>
      <c r="BC2806" s="34"/>
      <c r="BD2806" s="34"/>
      <c r="BE2806" s="34"/>
      <c r="BF2806" s="34"/>
      <c r="BG2806" s="34"/>
      <c r="BH2806" s="34"/>
      <c r="BI2806" s="34"/>
      <c r="BJ2806" s="34"/>
      <c r="BK2806" s="34"/>
      <c r="BL2806" s="34"/>
      <c r="BM2806" s="34"/>
      <c r="BN2806" s="34"/>
      <c r="BO2806" s="34"/>
      <c r="BP2806" s="34"/>
      <c r="BQ2806" s="34"/>
      <c r="BR2806" s="34"/>
      <c r="BS2806" s="34"/>
      <c r="BT2806" s="34"/>
      <c r="BU2806" s="34"/>
      <c r="BV2806" s="34"/>
      <c r="BW2806" s="34"/>
      <c r="BX2806" s="34"/>
      <c r="BY2806" s="34"/>
      <c r="BZ2806" s="34"/>
      <c r="CA2806" s="34"/>
      <c r="CB2806" s="34"/>
      <c r="CC2806" s="34"/>
      <c r="CD2806" s="34"/>
      <c r="CE2806" s="34"/>
      <c r="CF2806" s="34"/>
      <c r="CG2806" s="34"/>
      <c r="CH2806" s="34"/>
    </row>
    <row r="2807" spans="1:86" x14ac:dyDescent="0.2">
      <c r="A2807" s="8" t="str">
        <f>IF(AND(COUNTIF(W$3:W$13,A$35)&gt;0,A$35&lt;&gt;B2578),A$35,IFERROR(IF(MATCH(A$35,Z$3:Z$13,0)=10,A$35," ")," "))</f>
        <v>C21</v>
      </c>
      <c r="B2807" s="8">
        <f>IF(A2807=" "," ",MAX(B2787:B2806)+1)</f>
        <v>11</v>
      </c>
      <c r="C2807" s="8"/>
      <c r="D2807" s="8"/>
      <c r="E2807" s="8"/>
      <c r="F2807" s="8"/>
      <c r="G2807" s="8"/>
      <c r="H2807" s="8"/>
      <c r="I2807" s="8"/>
      <c r="J2807" s="8"/>
      <c r="K2807" s="8"/>
      <c r="L2807" s="8"/>
      <c r="M2807" s="8"/>
      <c r="N2807" s="8"/>
      <c r="O2807" s="8"/>
      <c r="P2807" s="8"/>
      <c r="Q2807" s="8"/>
      <c r="R2807" s="8"/>
      <c r="S2807" s="8"/>
      <c r="U2807" s="34"/>
      <c r="V2807" s="34"/>
      <c r="W2807" s="34"/>
      <c r="X2807" s="34"/>
      <c r="Y2807" s="34"/>
      <c r="Z2807" s="34"/>
      <c r="AA2807" s="34"/>
      <c r="AB2807" s="34"/>
      <c r="AC2807" s="34"/>
      <c r="AD2807" s="34"/>
      <c r="AE2807" s="34"/>
      <c r="AF2807" s="34"/>
      <c r="AG2807" s="34"/>
      <c r="AH2807" s="34"/>
      <c r="AI2807" s="34"/>
      <c r="AJ2807" s="34"/>
      <c r="AK2807" s="34"/>
      <c r="AL2807" s="34"/>
      <c r="AM2807" s="34"/>
      <c r="AN2807" s="34"/>
      <c r="AO2807" s="34"/>
      <c r="AP2807" s="34"/>
      <c r="AQ2807" s="34"/>
      <c r="AR2807" s="34"/>
      <c r="AS2807" s="34"/>
      <c r="AT2807" s="34"/>
      <c r="AU2807" s="34"/>
      <c r="AV2807" s="34"/>
      <c r="AW2807" s="34"/>
      <c r="AX2807" s="34"/>
      <c r="AY2807" s="34"/>
      <c r="AZ2807" s="34"/>
      <c r="BA2807" s="34"/>
      <c r="BB2807" s="34"/>
      <c r="BC2807" s="34"/>
      <c r="BD2807" s="34"/>
      <c r="BE2807" s="34"/>
      <c r="BF2807" s="34"/>
      <c r="BG2807" s="34"/>
      <c r="BH2807" s="34"/>
      <c r="BI2807" s="34"/>
      <c r="BJ2807" s="34"/>
      <c r="BK2807" s="34"/>
      <c r="BL2807" s="34"/>
      <c r="BM2807" s="34"/>
      <c r="BN2807" s="34"/>
      <c r="BO2807" s="34"/>
      <c r="BP2807" s="34"/>
      <c r="BQ2807" s="34"/>
      <c r="BR2807" s="34"/>
      <c r="BS2807" s="34"/>
      <c r="BT2807" s="34"/>
      <c r="BU2807" s="34"/>
      <c r="BV2807" s="34"/>
      <c r="BW2807" s="34"/>
      <c r="BX2807" s="34"/>
      <c r="BY2807" s="34"/>
      <c r="BZ2807" s="34"/>
      <c r="CA2807" s="34"/>
      <c r="CB2807" s="34"/>
      <c r="CC2807" s="34"/>
      <c r="CD2807" s="34"/>
      <c r="CE2807" s="34"/>
      <c r="CF2807" s="34"/>
      <c r="CG2807" s="34"/>
      <c r="CH2807" s="34"/>
    </row>
    <row r="2808" spans="1:86" x14ac:dyDescent="0.2">
      <c r="A2808" s="8" t="str">
        <f>IF(AND(COUNTIF(W$3:W$13,A$36)&gt;0,A$36&lt;&gt;B2578),A$36,IFERROR(IF(MATCH(A$36,Z$3:Z$13,0)=10,A$36," ")," "))</f>
        <v xml:space="preserve"> </v>
      </c>
      <c r="B2808" s="8" t="str">
        <f>IF(A2808=" "," ",MAX(B2787:B2807)+1)</f>
        <v xml:space="preserve"> </v>
      </c>
      <c r="C2808" s="8"/>
      <c r="D2808" s="8"/>
      <c r="E2808" s="8"/>
      <c r="F2808" s="8"/>
      <c r="G2808" s="8"/>
      <c r="H2808" s="8"/>
      <c r="I2808" s="8"/>
      <c r="J2808" s="8"/>
      <c r="K2808" s="8"/>
      <c r="L2808" s="8"/>
      <c r="M2808" s="8"/>
      <c r="N2808" s="8"/>
      <c r="O2808" s="8"/>
      <c r="P2808" s="8"/>
      <c r="Q2808" s="8"/>
      <c r="R2808" s="8"/>
      <c r="S2808" s="8"/>
      <c r="U2808" s="34"/>
      <c r="V2808" s="34"/>
      <c r="W2808" s="34"/>
      <c r="X2808" s="34"/>
      <c r="Y2808" s="34"/>
      <c r="Z2808" s="34"/>
      <c r="AA2808" s="34"/>
      <c r="AB2808" s="34"/>
      <c r="AC2808" s="34"/>
      <c r="AD2808" s="34"/>
      <c r="AE2808" s="34"/>
      <c r="AF2808" s="34"/>
      <c r="AG2808" s="34"/>
      <c r="AH2808" s="34"/>
      <c r="AI2808" s="34"/>
      <c r="AJ2808" s="34"/>
      <c r="AK2808" s="34"/>
      <c r="AL2808" s="34"/>
      <c r="AM2808" s="34"/>
      <c r="AN2808" s="34"/>
      <c r="AO2808" s="34"/>
      <c r="AP2808" s="34"/>
      <c r="AQ2808" s="34"/>
      <c r="AR2808" s="34"/>
      <c r="AS2808" s="34"/>
      <c r="AT2808" s="34"/>
      <c r="AU2808" s="34"/>
      <c r="AV2808" s="34"/>
      <c r="AW2808" s="34"/>
      <c r="AX2808" s="34"/>
      <c r="AY2808" s="34"/>
      <c r="AZ2808" s="34"/>
      <c r="BA2808" s="34"/>
      <c r="BB2808" s="34"/>
      <c r="BC2808" s="34"/>
      <c r="BD2808" s="34"/>
      <c r="BE2808" s="34"/>
      <c r="BF2808" s="34"/>
      <c r="BG2808" s="34"/>
      <c r="BH2808" s="34"/>
      <c r="BI2808" s="34"/>
      <c r="BJ2808" s="34"/>
      <c r="BK2808" s="34"/>
      <c r="BL2808" s="34"/>
      <c r="BM2808" s="34"/>
      <c r="BN2808" s="34"/>
      <c r="BO2808" s="34"/>
      <c r="BP2808" s="34"/>
      <c r="BQ2808" s="34"/>
      <c r="BR2808" s="34"/>
      <c r="BS2808" s="34"/>
      <c r="BT2808" s="34"/>
      <c r="BU2808" s="34"/>
      <c r="BV2808" s="34"/>
      <c r="BW2808" s="34"/>
      <c r="BX2808" s="34"/>
      <c r="BY2808" s="34"/>
      <c r="BZ2808" s="34"/>
      <c r="CA2808" s="34"/>
      <c r="CB2808" s="34"/>
      <c r="CC2808" s="34"/>
      <c r="CD2808" s="34"/>
      <c r="CE2808" s="34"/>
      <c r="CF2808" s="34"/>
      <c r="CG2808" s="34"/>
      <c r="CH2808" s="34"/>
    </row>
    <row r="2809" spans="1:86" x14ac:dyDescent="0.2">
      <c r="A2809" s="11" t="s">
        <v>17</v>
      </c>
      <c r="B2809" s="11"/>
      <c r="C2809" s="27" t="s">
        <v>18</v>
      </c>
      <c r="D2809" s="27" t="s">
        <v>2</v>
      </c>
      <c r="E2809" s="27" t="s">
        <v>6</v>
      </c>
      <c r="F2809" s="27" t="s">
        <v>15</v>
      </c>
      <c r="G2809" s="27" t="s">
        <v>36</v>
      </c>
      <c r="H2809" s="27" t="s">
        <v>37</v>
      </c>
      <c r="I2809" s="27" t="s">
        <v>38</v>
      </c>
      <c r="J2809" s="27" t="s">
        <v>39</v>
      </c>
      <c r="K2809" s="27" t="s">
        <v>40</v>
      </c>
      <c r="L2809" s="27" t="s">
        <v>41</v>
      </c>
      <c r="M2809" s="27" t="s">
        <v>42</v>
      </c>
      <c r="N2809" s="27" t="s">
        <v>43</v>
      </c>
      <c r="O2809" s="27" t="s">
        <v>9</v>
      </c>
      <c r="P2809" s="27" t="s">
        <v>12</v>
      </c>
      <c r="Q2809" s="27" t="s">
        <v>19</v>
      </c>
      <c r="R2809" s="27" t="s">
        <v>55</v>
      </c>
      <c r="S2809" s="27" t="s">
        <v>26</v>
      </c>
      <c r="T2809" s="19" t="s">
        <v>25</v>
      </c>
      <c r="U2809" s="33" t="s">
        <v>27</v>
      </c>
      <c r="V2809" s="33" t="s">
        <v>9</v>
      </c>
      <c r="W2809" s="33" t="s">
        <v>23</v>
      </c>
      <c r="X2809" s="33" t="s">
        <v>12</v>
      </c>
      <c r="Y2809" s="33" t="s">
        <v>26</v>
      </c>
      <c r="Z2809" s="33" t="s">
        <v>25</v>
      </c>
      <c r="AA2809" s="33" t="s">
        <v>27</v>
      </c>
      <c r="AB2809" s="33" t="s">
        <v>9</v>
      </c>
      <c r="AC2809" s="33" t="s">
        <v>23</v>
      </c>
      <c r="AD2809" s="33" t="s">
        <v>12</v>
      </c>
      <c r="AE2809" s="33" t="s">
        <v>26</v>
      </c>
      <c r="AF2809" s="33" t="s">
        <v>25</v>
      </c>
      <c r="AG2809" s="33" t="s">
        <v>27</v>
      </c>
      <c r="AH2809" s="33" t="s">
        <v>9</v>
      </c>
      <c r="AI2809" s="33" t="s">
        <v>23</v>
      </c>
      <c r="AJ2809" s="33" t="s">
        <v>12</v>
      </c>
      <c r="AK2809" s="33" t="s">
        <v>26</v>
      </c>
      <c r="AL2809" s="33" t="s">
        <v>25</v>
      </c>
      <c r="AM2809" s="33" t="s">
        <v>27</v>
      </c>
      <c r="AN2809" s="33" t="s">
        <v>9</v>
      </c>
      <c r="AO2809" s="33" t="s">
        <v>23</v>
      </c>
      <c r="AP2809" s="33" t="s">
        <v>12</v>
      </c>
      <c r="AQ2809" s="33" t="s">
        <v>26</v>
      </c>
      <c r="AR2809" s="33" t="s">
        <v>25</v>
      </c>
      <c r="AS2809" s="33" t="s">
        <v>27</v>
      </c>
      <c r="AT2809" s="33" t="s">
        <v>9</v>
      </c>
      <c r="AU2809" s="33" t="s">
        <v>23</v>
      </c>
      <c r="AV2809" s="33" t="s">
        <v>12</v>
      </c>
      <c r="AW2809" s="33" t="s">
        <v>26</v>
      </c>
      <c r="AX2809" s="33" t="s">
        <v>25</v>
      </c>
      <c r="AY2809" s="33" t="s">
        <v>27</v>
      </c>
      <c r="AZ2809" s="33" t="s">
        <v>9</v>
      </c>
      <c r="BA2809" s="33" t="s">
        <v>23</v>
      </c>
      <c r="BB2809" s="33" t="s">
        <v>12</v>
      </c>
      <c r="BC2809" s="33" t="s">
        <v>26</v>
      </c>
      <c r="BD2809" s="33" t="s">
        <v>25</v>
      </c>
      <c r="BE2809" s="33" t="s">
        <v>27</v>
      </c>
      <c r="BF2809" s="33" t="s">
        <v>9</v>
      </c>
      <c r="BG2809" s="33" t="s">
        <v>23</v>
      </c>
      <c r="BH2809" s="33" t="s">
        <v>12</v>
      </c>
      <c r="BI2809" s="33" t="s">
        <v>26</v>
      </c>
      <c r="BJ2809" s="33" t="s">
        <v>25</v>
      </c>
      <c r="BK2809" s="33" t="s">
        <v>27</v>
      </c>
      <c r="BL2809" s="33" t="s">
        <v>9</v>
      </c>
      <c r="BM2809" s="33" t="s">
        <v>23</v>
      </c>
      <c r="BN2809" s="33" t="s">
        <v>12</v>
      </c>
      <c r="BO2809" s="33" t="s">
        <v>26</v>
      </c>
      <c r="BP2809" s="33" t="s">
        <v>25</v>
      </c>
      <c r="BQ2809" s="33" t="s">
        <v>27</v>
      </c>
      <c r="BR2809" s="33" t="s">
        <v>9</v>
      </c>
      <c r="BS2809" s="33" t="s">
        <v>23</v>
      </c>
      <c r="BT2809" s="33" t="s">
        <v>12</v>
      </c>
      <c r="BU2809" s="33" t="s">
        <v>26</v>
      </c>
      <c r="BV2809" s="33" t="s">
        <v>25</v>
      </c>
      <c r="BW2809" s="33" t="s">
        <v>27</v>
      </c>
      <c r="BX2809" s="33" t="s">
        <v>9</v>
      </c>
      <c r="BY2809" s="33" t="s">
        <v>23</v>
      </c>
      <c r="BZ2809" s="33" t="s">
        <v>12</v>
      </c>
      <c r="CA2809" s="33" t="s">
        <v>26</v>
      </c>
      <c r="CB2809" s="33" t="s">
        <v>25</v>
      </c>
      <c r="CC2809" s="33" t="s">
        <v>27</v>
      </c>
      <c r="CD2809" s="33" t="s">
        <v>9</v>
      </c>
      <c r="CE2809" s="33" t="s">
        <v>23</v>
      </c>
      <c r="CF2809" s="33" t="s">
        <v>12</v>
      </c>
      <c r="CG2809" s="33" t="s">
        <v>26</v>
      </c>
      <c r="CH2809" s="33" t="s">
        <v>25</v>
      </c>
    </row>
    <row r="2810" spans="1:86" x14ac:dyDescent="0.2">
      <c r="A2810" s="8" t="str">
        <f>IF(AND(COUNTIF(W$3:W$13,A$15)&gt;0,A$15&lt;&gt;B2578),A$15,IFERROR(IF(MATCH(A$15,Z$3:Z$13,0)=11,A$15," ")," "))</f>
        <v xml:space="preserve"> </v>
      </c>
      <c r="B2810" s="8" t="str">
        <f>IF(A2810=" "," ",1)</f>
        <v xml:space="preserve"> </v>
      </c>
      <c r="C2810" s="8" t="str">
        <f>IFERROR(INDEX(A2810:A2831,MATCH(SMALL(B2810:B2831,1),B2810:B2831,0),1)," ")</f>
        <v>C3</v>
      </c>
      <c r="D2810" s="8">
        <f>IFERROR(VLOOKUP($C2810,$A$15:$O$36,2,FALSE)," ")</f>
        <v>2</v>
      </c>
      <c r="E2810" s="8">
        <f>IFERROR(VLOOKUP($C2810,$A$15:$O$36,3,FALSE)," ")</f>
        <v>5</v>
      </c>
      <c r="F2810" s="8">
        <f>IFERROR(VLOOKUP($C2810,$A$15:$O$36,4,FALSE)," ")</f>
        <v>6</v>
      </c>
      <c r="G2810" s="8">
        <f>IFERROR(VLOOKUP($C2810,$A$15:$O$36,5,FALSE)," ")</f>
        <v>0</v>
      </c>
      <c r="H2810" s="8">
        <f>IFERROR(VLOOKUP($C2810,$A$15:$O$36,6,FALSE)," ")</f>
        <v>0</v>
      </c>
      <c r="I2810" s="8">
        <f>IFERROR(VLOOKUP($C2810,$A$15:$O$36,7,FALSE)," ")</f>
        <v>0</v>
      </c>
      <c r="J2810" s="8">
        <f>IFERROR(VLOOKUP($C2810,$A$15:$O$36,8,FALSE)," ")</f>
        <v>0</v>
      </c>
      <c r="K2810" s="8">
        <f>IFERROR(VLOOKUP($C2810,$A$15:$O$36,9,FALSE)," ")</f>
        <v>0</v>
      </c>
      <c r="L2810" s="8">
        <f>IFERROR(VLOOKUP($C2810,$A$15:$O$36,10,FALSE)," ")</f>
        <v>0</v>
      </c>
      <c r="M2810" s="8">
        <f>IFERROR(VLOOKUP($C2810,$A$15:$O$36,11,FALSE)," ")</f>
        <v>0</v>
      </c>
      <c r="N2810" s="8">
        <f>IFERROR(VLOOKUP($C2810,$A$15:$O$36,12,FALSE)," ")</f>
        <v>0</v>
      </c>
      <c r="O2810" s="8">
        <f>IFERROR(VLOOKUP($C2810,$A$15:$O$36,15,FALSE)," ")</f>
        <v>2000</v>
      </c>
      <c r="P2810" s="8" t="e">
        <f t="array" ref="P2810:P2820">MMULT(MINVERSE(D2810:N2820),O2810:O2820)</f>
        <v>#NUM!</v>
      </c>
      <c r="Q2810" s="8" t="e">
        <f t="shared" ref="Q2810" si="12251">IF(COUNTIF(P2810:P2820,"&lt;"&amp;-0.001)=0,IF(ABS(P2810)&lt;0.001,0,P2810)," ")</f>
        <v>#NUM!</v>
      </c>
      <c r="R2810" s="8" t="str">
        <f>IFERROR(VLOOKUP(B2578,A$15:L$36,2,FALSE)*Q2810+VLOOKUP(B2578,A$15:L$36,3,FALSE)*Q2811+VLOOKUP(B2578,A$15:L$36,4,FALSE)*Q2812+VLOOKUP(B2578,A$15:L$36,5,FALSE)*Q2813+VLOOKUP(B2578,A$15:L$36,6,FALSE)*Q2814+VLOOKUP(B2578,A$15:L$36,7,FALSE)*Q2815+VLOOKUP(B2578,A$15:L$36,8,FALSE)*Q2816+VLOOKUP(B2578,A$15:L$36,9,FALSE)*Q2817+VLOOKUP(B2578,A$15:L$36,10,FALSE)*Q2818+VLOOKUP(B2578,A$15:L$36,11,FALSE)*Q2819+VLOOKUP(B2578,A$15:L$36,12,FALSE)*Q2820," ")</f>
        <v xml:space="preserve"> </v>
      </c>
      <c r="S2810" s="8" t="str">
        <f>IFERROR(IF(R2810-VLOOKUP(B2578,A$15:O$36,15,FALSE)&lt;0,R2810-VLOOKUP(B2578,A$15:O$36,15,FALSE)," ")," ")</f>
        <v xml:space="preserve"> </v>
      </c>
      <c r="T2810" s="18" t="str">
        <f>IFERROR(IF(R2810-VLOOKUP(B2578,A$15:O$36,15,FALSE)&gt;0,R2810-VLOOKUP(B2578,A$15:O$36,15,FALSE)," ")," ")</f>
        <v xml:space="preserve"> </v>
      </c>
      <c r="U2810" s="34">
        <f t="shared" ref="U2810" si="12252">$M$2</f>
        <v>100.00000000000001</v>
      </c>
      <c r="V2810" s="34">
        <v>-1</v>
      </c>
      <c r="W2810" s="34">
        <f t="shared" ref="W2810" si="12253">-SUMPRODUCT($M$3:$M$12,$N$3:$N$12)</f>
        <v>-105000</v>
      </c>
      <c r="X2810" s="34" t="e">
        <f t="shared" ref="X2810" si="12254">IF(U2810&lt;&gt;U2811,MMULT(MINVERSE(U2810:V2811),W2810:W2811)," ")</f>
        <v>#NUM!</v>
      </c>
      <c r="Y2810" s="34" t="str">
        <f t="shared" ref="Y2810" si="12255">IFERROR(IF(X2810-VLOOKUP(U$38,$A$2:$N$12,14,FALSE)&lt;0,X2810-VLOOKUP(U$38,$A$2:$N$12,14,FALSE)," ")," ")</f>
        <v xml:space="preserve"> </v>
      </c>
      <c r="Z2810" s="34" t="str">
        <f t="shared" ref="Z2810" si="12256">IFERROR(IF(X2810-VLOOKUP(U$38,$A$2:$N$12,14,FALSE)&gt;0,X2810-VLOOKUP(U$38,$A$2:$N$12,14,FALSE)," ")," ")</f>
        <v xml:space="preserve"> </v>
      </c>
      <c r="AA2810" s="34">
        <f t="shared" ref="AA2810" si="12257">$M$3</f>
        <v>0</v>
      </c>
      <c r="AB2810" s="34">
        <v>-1</v>
      </c>
      <c r="AC2810" s="34">
        <f t="shared" ref="AC2810" si="12258">-SUMPRODUCT($M$2:$M$2,$N$2:$N$2)-SUMPRODUCT($M$4:$M$12,$N$4:$N$12)</f>
        <v>-120000</v>
      </c>
      <c r="AD2810" s="34" t="e">
        <f t="shared" ref="AD2810" si="12259">IF(AA2810&lt;&gt;AA2811,MMULT(MINVERSE(AA2810:AB2811),AC2810:AC2811)," ")</f>
        <v>#NUM!</v>
      </c>
      <c r="AE2810" s="34" t="str">
        <f t="shared" ref="AE2810" si="12260">IFERROR(IF(AD2810-VLOOKUP(AA$38,$A$2:$N$12,14,FALSE)&lt;0,AD2810-VLOOKUP(AA$38,$A$2:$N$12,14,FALSE)," ")," ")</f>
        <v xml:space="preserve"> </v>
      </c>
      <c r="AF2810" s="34" t="str">
        <f t="shared" ref="AF2810" si="12261">IFERROR(IF(AD2810-VLOOKUP(AA$38,$A$2:$N$12,14,FALSE)&gt;0,AD2810-VLOOKUP(AA$38,$A$2:$N$12,14,FALSE)," ")," ")</f>
        <v xml:space="preserve"> </v>
      </c>
      <c r="AG2810" s="34">
        <f t="shared" ref="AG2810" si="12262">$M$4</f>
        <v>300</v>
      </c>
      <c r="AH2810" s="34">
        <v>-1</v>
      </c>
      <c r="AI2810" s="34">
        <f t="shared" ref="AI2810" si="12263">-SUMPRODUCT($M$2:$M$3,$N$2:$N$3)-SUMPRODUCT($M$5:$M$12,$N$5:$N$12)</f>
        <v>-15000.000000000002</v>
      </c>
      <c r="AJ2810" s="34" t="e">
        <f t="shared" ref="AJ2810" si="12264">IF(AG2810&lt;&gt;AG2811,MMULT(MINVERSE(AG2810:AH2811),AI2810:AI2811)," ")</f>
        <v>#NUM!</v>
      </c>
      <c r="AK2810" s="34" t="str">
        <f t="shared" ref="AK2810" si="12265">IFERROR(IF(AJ2810-VLOOKUP(AG$38,$A$2:$N$12,14,FALSE)&lt;0,AJ2810-VLOOKUP(AG$38,$A$2:$N$12,14,FALSE)," ")," ")</f>
        <v xml:space="preserve"> </v>
      </c>
      <c r="AL2810" s="34" t="str">
        <f t="shared" ref="AL2810" si="12266">IFERROR(IF(AJ2810-VLOOKUP(AG$38,$A$2:$N$12,14,FALSE)&gt;0,AJ2810-VLOOKUP(AG$38,$A$2:$N$12,14,FALSE)," ")," ")</f>
        <v xml:space="preserve"> </v>
      </c>
      <c r="AM2810" s="34">
        <f t="shared" ref="AM2810" si="12267">$M$5</f>
        <v>0</v>
      </c>
      <c r="AN2810" s="34">
        <v>-1</v>
      </c>
      <c r="AO2810" s="34">
        <f t="shared" ref="AO2810" si="12268">-SUMPRODUCT($M$2:$M$4,$N$2:$N$4)-SUMPRODUCT($M$6:$M$12,$N$6:$N$12)</f>
        <v>-120000</v>
      </c>
      <c r="AP2810" s="34" t="e">
        <f t="shared" ref="AP2810" si="12269">IF(AM2810&lt;&gt;AM2811,MMULT(MINVERSE(AM2810:AN2811),AO2810:AO2811)," ")</f>
        <v>#NUM!</v>
      </c>
      <c r="AQ2810" s="34" t="str">
        <f t="shared" ref="AQ2810" si="12270">IFERROR(IF(AP2810-VLOOKUP(AM$38,$A$2:$N$12,14,FALSE)&lt;0,AP2810-VLOOKUP(AM$38,$A$2:$N$12,14,FALSE)," ")," ")</f>
        <v xml:space="preserve"> </v>
      </c>
      <c r="AR2810" s="34" t="str">
        <f t="shared" ref="AR2810" si="12271">IFERROR(IF(AP2810-VLOOKUP(AM$38,$A$2:$N$12,14,FALSE)&gt;0,AP2810-VLOOKUP(AM$38,$A$2:$N$12,14,FALSE)," ")," ")</f>
        <v xml:space="preserve"> </v>
      </c>
      <c r="AS2810" s="34">
        <f t="shared" ref="AS2810" si="12272">$M$6</f>
        <v>0</v>
      </c>
      <c r="AT2810" s="34">
        <v>-1</v>
      </c>
      <c r="AU2810" s="34">
        <f t="shared" ref="AU2810" si="12273">-SUMPRODUCT($M$2:$M$5,$N$2:$N$5)-SUMPRODUCT($M$7:$M$12,$N$7:$N$12)</f>
        <v>-120000</v>
      </c>
      <c r="AV2810" s="34" t="e">
        <f t="shared" ref="AV2810" si="12274">IF(AS2810&lt;&gt;AS2811,MMULT(MINVERSE(AS2810:AT2811),AU2810:AU2811)," ")</f>
        <v>#NUM!</v>
      </c>
      <c r="AW2810" s="34" t="str">
        <f t="shared" ref="AW2810" si="12275">IFERROR(IF(AV2810-VLOOKUP(AS$38,$A$2:$N$12,14,FALSE)&lt;0,AV2810-VLOOKUP(AS$38,$A$2:$N$12,14,FALSE)," ")," ")</f>
        <v xml:space="preserve"> </v>
      </c>
      <c r="AX2810" s="34" t="str">
        <f t="shared" ref="AX2810" si="12276">IFERROR(IF(AV2810-VLOOKUP(AS$38,$A$2:$N$12,14,FALSE)&gt;0,AV2810-VLOOKUP(AS$38,$A$2:$N$12,14,FALSE)," ")," ")</f>
        <v xml:space="preserve"> </v>
      </c>
      <c r="AY2810" s="34">
        <f t="shared" ref="AY2810" si="12277">$M$7</f>
        <v>0</v>
      </c>
      <c r="AZ2810" s="34">
        <v>-1</v>
      </c>
      <c r="BA2810" s="34">
        <f t="shared" ref="BA2810" si="12278">-SUMPRODUCT($M$2:$M$6,$N$2:$N$6)-SUMPRODUCT($M$8:$M$12,$N$8:$N$12)</f>
        <v>-120000</v>
      </c>
      <c r="BB2810" s="34" t="e">
        <f t="shared" ref="BB2810" si="12279">IF(AY2810&lt;&gt;AY2811,MMULT(MINVERSE(AY2810:AZ2811),BA2810:BA2811)," ")</f>
        <v>#NUM!</v>
      </c>
      <c r="BC2810" s="34" t="str">
        <f t="shared" ref="BC2810" si="12280">IFERROR(IF(BB2810-VLOOKUP(AY$38,$A$2:$N$12,14,FALSE)&lt;0,BB2810-VLOOKUP(AY$38,$A$2:$N$12,14,FALSE)," ")," ")</f>
        <v xml:space="preserve"> </v>
      </c>
      <c r="BD2810" s="34" t="str">
        <f t="shared" ref="BD2810" si="12281">IFERROR(IF(BB2810-VLOOKUP(AY$38,$A$2:$N$12,14,FALSE)&gt;0,BB2810-VLOOKUP(AY$38,$A$2:$N$12,14,FALSE)," ")," ")</f>
        <v xml:space="preserve"> </v>
      </c>
      <c r="BE2810" s="34">
        <f t="shared" ref="BE2810" si="12282">$M$8</f>
        <v>0</v>
      </c>
      <c r="BF2810" s="34">
        <v>-1</v>
      </c>
      <c r="BG2810" s="34">
        <f t="shared" ref="BG2810" si="12283">-SUMPRODUCT($M$2:$M$7,$N$2:$N$7)-SUMPRODUCT($M$9:$M$12,$N$9:$N$12)</f>
        <v>-120000</v>
      </c>
      <c r="BH2810" s="34" t="e">
        <f t="shared" ref="BH2810" si="12284">IF(BE2810&lt;&gt;BE2811,MMULT(MINVERSE(BE2810:BF2811),BG2810:BG2811)," ")</f>
        <v>#NUM!</v>
      </c>
      <c r="BI2810" s="34" t="str">
        <f t="shared" ref="BI2810" si="12285">IFERROR(IF(BH2810-VLOOKUP(BE$38,$A$2:$N$12,14,FALSE)&lt;0,BH2810-VLOOKUP(BE$38,$A$2:$N$12,14,FALSE)," ")," ")</f>
        <v xml:space="preserve"> </v>
      </c>
      <c r="BJ2810" s="34" t="str">
        <f t="shared" ref="BJ2810" si="12286">IFERROR(IF(BH2810-VLOOKUP(BE$38,$A$2:$N$12,14,FALSE)&gt;0,BH2810-VLOOKUP(BE$38,$A$2:$N$12,14,FALSE)," ")," ")</f>
        <v xml:space="preserve"> </v>
      </c>
      <c r="BK2810" s="34">
        <f t="shared" ref="BK2810" si="12287">$M$9</f>
        <v>0</v>
      </c>
      <c r="BL2810" s="34">
        <v>-1</v>
      </c>
      <c r="BM2810" s="34">
        <f t="shared" ref="BM2810" si="12288">-SUMPRODUCT($M$2:$M$8,$N$2:$N$8)-SUMPRODUCT($M$10:$M$12,$N$10:$N$12)</f>
        <v>-120000</v>
      </c>
      <c r="BN2810" s="34" t="e">
        <f t="shared" ref="BN2810" si="12289">IF(BK2810&lt;&gt;BK2811,MMULT(MINVERSE(BK2810:BL2811),BM2810:BM2811)," ")</f>
        <v>#NUM!</v>
      </c>
      <c r="BO2810" s="34" t="str">
        <f t="shared" ref="BO2810" si="12290">IFERROR(IF(BN2810-VLOOKUP(BK$38,$A$2:$N$12,14,FALSE)&lt;0,BN2810-VLOOKUP(BK$38,$A$2:$N$12,14,FALSE)," ")," ")</f>
        <v xml:space="preserve"> </v>
      </c>
      <c r="BP2810" s="34" t="str">
        <f t="shared" ref="BP2810" si="12291">IFERROR(IF(BN2810-VLOOKUP(BK$38,$A$2:$N$12,14,FALSE)&gt;0,BN2810-VLOOKUP(BK$38,$A$2:$N$12,14,FALSE)," ")," ")</f>
        <v xml:space="preserve"> </v>
      </c>
      <c r="BQ2810" s="34">
        <f t="shared" ref="BQ2810" si="12292">$M$10</f>
        <v>0</v>
      </c>
      <c r="BR2810" s="34">
        <v>-1</v>
      </c>
      <c r="BS2810" s="34">
        <f t="shared" ref="BS2810" si="12293">-SUMPRODUCT($M$2:$M$9,$N$2:$N$9)-SUMPRODUCT($M$11:$M$12,$N$11:$N$12)</f>
        <v>-120000</v>
      </c>
      <c r="BT2810" s="34" t="e">
        <f t="shared" ref="BT2810" si="12294">IF(BQ2810&lt;&gt;BQ2811,MMULT(MINVERSE(BQ2810:BR2811),BS2810:BS2811)," ")</f>
        <v>#NUM!</v>
      </c>
      <c r="BU2810" s="34" t="str">
        <f t="shared" ref="BU2810" si="12295">IFERROR(IF(BT2810-VLOOKUP(BQ$38,$A$2:$N$12,14,FALSE)&lt;0,BT2810-VLOOKUP(BQ$38,$A$2:$N$12,14,FALSE)," ")," ")</f>
        <v xml:space="preserve"> </v>
      </c>
      <c r="BV2810" s="34" t="str">
        <f t="shared" ref="BV2810" si="12296">IFERROR(IF(BT2810-VLOOKUP(BQ$38,$A$2:$N$12,14,FALSE)&gt;0,BT2810-VLOOKUP(BQ$38,$A$2:$N$12,14,FALSE)," ")," ")</f>
        <v xml:space="preserve"> </v>
      </c>
      <c r="BW2810" s="34">
        <f t="shared" ref="BW2810" si="12297">$M$11</f>
        <v>0</v>
      </c>
      <c r="BX2810" s="34">
        <v>-1</v>
      </c>
      <c r="BY2810" s="34">
        <f t="shared" ref="BY2810" si="12298">-SUMPRODUCT($M$2:$M$10,$N$2:$N$10)-SUMPRODUCT($M$12,$N$12)</f>
        <v>-120000</v>
      </c>
      <c r="BZ2810" s="34" t="e">
        <f t="shared" ref="BZ2810" si="12299">IF(BW2810&lt;&gt;BW2811,MMULT(MINVERSE(BW2810:BX2811),BY2810:BY2811)," ")</f>
        <v>#NUM!</v>
      </c>
      <c r="CA2810" s="34" t="str">
        <f t="shared" ref="CA2810" si="12300">IFERROR(IF(BZ2810-VLOOKUP(BW$38,$A$2:$N$12,14,FALSE)&lt;0,BZ2810-VLOOKUP(BW$38,$A$2:$N$12,14,FALSE)," ")," ")</f>
        <v xml:space="preserve"> </v>
      </c>
      <c r="CB2810" s="34" t="str">
        <f t="shared" ref="CB2810" si="12301">IFERROR(IF(BZ2810-VLOOKUP(BW$38,$A$2:$N$12,14,FALSE)&gt;0,BZ2810-VLOOKUP(BW$38,$A$2:$N$12,14,FALSE)," ")," ")</f>
        <v xml:space="preserve"> </v>
      </c>
      <c r="CC2810" s="34">
        <f t="shared" ref="CC2810" si="12302">$M$12</f>
        <v>0</v>
      </c>
      <c r="CD2810" s="34">
        <v>-1</v>
      </c>
      <c r="CE2810" s="34">
        <f t="shared" ref="CE2810" si="12303">-SUMPRODUCT($M$2:$M$11,$N$2:$N$11)</f>
        <v>-120000</v>
      </c>
      <c r="CF2810" s="34" t="e">
        <f t="shared" ref="CF2810" si="12304">IF(CC2810&lt;&gt;CC2811,MMULT(MINVERSE(CC2810:CD2811),CE2810:CE2811)," ")</f>
        <v>#NUM!</v>
      </c>
      <c r="CG2810" s="34" t="str">
        <f t="shared" ref="CG2810" si="12305">IFERROR(IF(CF2810-VLOOKUP(CC$38,$A$2:$N$12,14,FALSE)&lt;0,CF2810-VLOOKUP(CC$38,$A$2:$N$12,14,FALSE)," ")," ")</f>
        <v xml:space="preserve"> </v>
      </c>
      <c r="CH2810" s="34" t="str">
        <f t="shared" ref="CH2810" si="12306">IFERROR(IF(CF2810-VLOOKUP(CC$38,$A$2:$N$12,14,FALSE)&gt;0,CF2810-VLOOKUP(CC$38,$A$2:$N$12,14,FALSE)," ")," ")</f>
        <v xml:space="preserve"> </v>
      </c>
    </row>
    <row r="2811" spans="1:86" x14ac:dyDescent="0.2">
      <c r="A2811" s="8" t="str">
        <f>IF(AND(COUNTIF(W$3:W$13,A$16)&gt;0,A$16&lt;&gt;B2578),A$16,IFERROR(IF(MATCH(A$16,Z$3:Z$13,0)=11,A$16," ")," "))</f>
        <v xml:space="preserve"> </v>
      </c>
      <c r="B2811" s="8" t="str">
        <f>IF(A2811=" "," ",MAX(B2810:B2810)+1)</f>
        <v xml:space="preserve"> </v>
      </c>
      <c r="C2811" s="8" t="str">
        <f>IFERROR(INDEX(A2810:A2831,MATCH(SMALL(B2810:B2831,2),B2810:B2831,0),1)," ")</f>
        <v>C4</v>
      </c>
      <c r="D2811" s="8">
        <f t="shared" ref="D2811:D2820" si="12307">IFERROR(VLOOKUP($C2811,$A$15:$O$36,2,FALSE)," ")</f>
        <v>1</v>
      </c>
      <c r="E2811" s="8">
        <f t="shared" ref="E2811:E2820" si="12308">IFERROR(VLOOKUP($C2811,$A$15:$O$36,3,FALSE)," ")</f>
        <v>0</v>
      </c>
      <c r="F2811" s="8">
        <f t="shared" ref="F2811:F2820" si="12309">IFERROR(VLOOKUP($C2811,$A$15:$O$36,4,FALSE)," ")</f>
        <v>1</v>
      </c>
      <c r="G2811" s="8">
        <f t="shared" ref="G2811:G2820" si="12310">IFERROR(VLOOKUP($C2811,$A$15:$O$36,5,FALSE)," ")</f>
        <v>0</v>
      </c>
      <c r="H2811" s="8">
        <f t="shared" ref="H2811:H2820" si="12311">IFERROR(VLOOKUP($C2811,$A$15:$O$36,6,FALSE)," ")</f>
        <v>0</v>
      </c>
      <c r="I2811" s="8">
        <f t="shared" ref="I2811:I2820" si="12312">IFERROR(VLOOKUP($C2811,$A$15:$O$36,7,FALSE)," ")</f>
        <v>0</v>
      </c>
      <c r="J2811" s="8">
        <f t="shared" ref="J2811:J2820" si="12313">IFERROR(VLOOKUP($C2811,$A$15:$O$36,8,FALSE)," ")</f>
        <v>0</v>
      </c>
      <c r="K2811" s="8">
        <f t="shared" ref="K2811:K2820" si="12314">IFERROR(VLOOKUP($C2811,$A$15:$O$36,9,FALSE)," ")</f>
        <v>0</v>
      </c>
      <c r="L2811" s="8">
        <f t="shared" ref="L2811:L2820" si="12315">IFERROR(VLOOKUP($C2811,$A$15:$O$36,10,FALSE)," ")</f>
        <v>0</v>
      </c>
      <c r="M2811" s="8">
        <f t="shared" ref="M2811:M2820" si="12316">IFERROR(VLOOKUP($C2811,$A$15:$O$36,11,FALSE)," ")</f>
        <v>0</v>
      </c>
      <c r="N2811" s="8">
        <f t="shared" ref="N2811:N2820" si="12317">IFERROR(VLOOKUP($C2811,$A$15:$O$36,12,FALSE)," ")</f>
        <v>0</v>
      </c>
      <c r="O2811" s="8">
        <f t="shared" ref="O2811:O2820" si="12318">IFERROR(VLOOKUP($C2811,$A$15:$O$36,15,FALSE)," ")</f>
        <v>400</v>
      </c>
      <c r="P2811" s="8" t="e">
        <v>#NUM!</v>
      </c>
      <c r="Q2811" s="8" t="e">
        <f t="shared" ref="Q2811" si="12319">IF(COUNTIF(P2810:P2820,"&lt;"&amp;-0.001)=0,IF(ABS(P2811)&lt;0.001,0,P2811)," ")</f>
        <v>#NUM!</v>
      </c>
      <c r="R2811" s="8"/>
      <c r="S2811" s="8"/>
      <c r="U2811" s="34" t="e">
        <f t="shared" ref="U2811" si="12320">$Q2810</f>
        <v>#NUM!</v>
      </c>
      <c r="V2811" s="34">
        <v>-1</v>
      </c>
      <c r="W2811" s="34" t="e">
        <f t="shared" ref="W2811" si="12321">-SUMPRODUCT($Q2811:$Q2820,$N$3:$N$12)</f>
        <v>#NUM!</v>
      </c>
      <c r="X2811" s="34"/>
      <c r="Y2811" s="34"/>
      <c r="Z2811" s="34"/>
      <c r="AA2811" s="34" t="e">
        <f t="shared" ref="AA2811" si="12322">$Q2811</f>
        <v>#NUM!</v>
      </c>
      <c r="AB2811" s="34">
        <v>-1</v>
      </c>
      <c r="AC2811" s="34" t="e">
        <f t="shared" ref="AC2811" si="12323">-SUMPRODUCT($Q2810:$Q2810,$N$2:$N$2)-SUMPRODUCT($Q2812:$Q2820,$N$4:$N$12)</f>
        <v>#NUM!</v>
      </c>
      <c r="AD2811" s="34"/>
      <c r="AE2811" s="34"/>
      <c r="AF2811" s="34"/>
      <c r="AG2811" s="34" t="e">
        <f t="shared" ref="AG2811" si="12324">$Q2812</f>
        <v>#NUM!</v>
      </c>
      <c r="AH2811" s="34">
        <v>-1</v>
      </c>
      <c r="AI2811" s="34" t="e">
        <f t="shared" ref="AI2811" si="12325">-SUMPRODUCT($Q2810:$Q2811,$N$2:$N$3)-SUMPRODUCT($Q2813:$Q2820,$N$5:$N$12)</f>
        <v>#NUM!</v>
      </c>
      <c r="AJ2811" s="34"/>
      <c r="AK2811" s="34"/>
      <c r="AL2811" s="34"/>
      <c r="AM2811" s="34" t="e">
        <f t="shared" ref="AM2811" si="12326">$Q2813</f>
        <v>#NUM!</v>
      </c>
      <c r="AN2811" s="34">
        <v>-1</v>
      </c>
      <c r="AO2811" s="34" t="e">
        <f t="shared" ref="AO2811" si="12327">-SUMPRODUCT($Q2810:$Q2812,$N$2:$N$4)-SUMPRODUCT($Q2814:$Q2820,$N$6:$N$12)</f>
        <v>#NUM!</v>
      </c>
      <c r="AP2811" s="34"/>
      <c r="AQ2811" s="34"/>
      <c r="AR2811" s="34"/>
      <c r="AS2811" s="34" t="e">
        <f t="shared" ref="AS2811" si="12328">$Q2814</f>
        <v>#NUM!</v>
      </c>
      <c r="AT2811" s="34">
        <v>-1</v>
      </c>
      <c r="AU2811" s="34" t="e">
        <f t="shared" ref="AU2811" si="12329">-SUMPRODUCT($Q2810:$Q2813,$N$2:$N$5)-SUMPRODUCT($Q2815:$Q2820,$N$7:$N$12)</f>
        <v>#NUM!</v>
      </c>
      <c r="AV2811" s="34"/>
      <c r="AW2811" s="34"/>
      <c r="AX2811" s="34"/>
      <c r="AY2811" s="34" t="e">
        <f t="shared" ref="AY2811" si="12330">$Q2815</f>
        <v>#NUM!</v>
      </c>
      <c r="AZ2811" s="34">
        <v>-1</v>
      </c>
      <c r="BA2811" s="34" t="e">
        <f t="shared" ref="BA2811" si="12331">-SUMPRODUCT($Q2810:$Q2814,$N$2:$N$6)-SUMPRODUCT($Q2816:$Q2820,$N$8:$N$12)</f>
        <v>#NUM!</v>
      </c>
      <c r="BB2811" s="34"/>
      <c r="BC2811" s="34"/>
      <c r="BD2811" s="34"/>
      <c r="BE2811" s="34" t="e">
        <f t="shared" ref="BE2811" si="12332">$Q2816</f>
        <v>#NUM!</v>
      </c>
      <c r="BF2811" s="34">
        <v>-1</v>
      </c>
      <c r="BG2811" s="34" t="e">
        <f t="shared" ref="BG2811" si="12333">-SUMPRODUCT($Q2810:$Q2815,$N$2:$N$7)-SUMPRODUCT($Q2817:$Q2820,$N$9:$N$12)</f>
        <v>#NUM!</v>
      </c>
      <c r="BH2811" s="34"/>
      <c r="BI2811" s="34"/>
      <c r="BJ2811" s="34"/>
      <c r="BK2811" s="34" t="e">
        <f t="shared" ref="BK2811" si="12334">$Q2817</f>
        <v>#NUM!</v>
      </c>
      <c r="BL2811" s="34">
        <v>-1</v>
      </c>
      <c r="BM2811" s="34" t="e">
        <f t="shared" ref="BM2811" si="12335">-SUMPRODUCT($Q2810:$Q2816,$N$2:$N$8)-SUMPRODUCT($Q2818:$Q2820,$N$10:$N$12)</f>
        <v>#NUM!</v>
      </c>
      <c r="BN2811" s="34"/>
      <c r="BO2811" s="34"/>
      <c r="BP2811" s="34"/>
      <c r="BQ2811" s="34" t="e">
        <f t="shared" ref="BQ2811" si="12336">$Q2818</f>
        <v>#NUM!</v>
      </c>
      <c r="BR2811" s="34">
        <v>-1</v>
      </c>
      <c r="BS2811" s="34" t="e">
        <f t="shared" ref="BS2811" si="12337">-SUMPRODUCT($Q2810:$Q2817,$N$2:$N$9)-SUMPRODUCT($Q2819:$Q2820,$N$11:$N$12)</f>
        <v>#NUM!</v>
      </c>
      <c r="BT2811" s="34"/>
      <c r="BU2811" s="34"/>
      <c r="BV2811" s="34"/>
      <c r="BW2811" s="34" t="e">
        <f t="shared" ref="BW2811" si="12338">$Q2819</f>
        <v>#NUM!</v>
      </c>
      <c r="BX2811" s="34">
        <v>-1</v>
      </c>
      <c r="BY2811" s="34" t="e">
        <f t="shared" ref="BY2811" si="12339">-SUMPRODUCT($Q2810:$Q2818,$N$2:$N$10)-SUMPRODUCT($Q2820,$N$12)</f>
        <v>#NUM!</v>
      </c>
      <c r="BZ2811" s="34"/>
      <c r="CA2811" s="34"/>
      <c r="CB2811" s="34"/>
      <c r="CC2811" s="34" t="e">
        <f t="shared" ref="CC2811" si="12340">$Q2820</f>
        <v>#NUM!</v>
      </c>
      <c r="CD2811" s="34">
        <v>-1</v>
      </c>
      <c r="CE2811" s="34" t="e">
        <f t="shared" ref="CE2811" si="12341">-SUMPRODUCT($Q2810:$Q2819,$N$2:$N$11)</f>
        <v>#NUM!</v>
      </c>
      <c r="CF2811" s="34"/>
      <c r="CG2811" s="34"/>
      <c r="CH2811" s="34"/>
    </row>
    <row r="2812" spans="1:86" x14ac:dyDescent="0.2">
      <c r="A2812" s="8" t="str">
        <f>IF(AND(COUNTIF(W$3:W$13,A$17)&gt;0,A$17&lt;&gt;B2578),A$17,IFERROR(IF(MATCH(A$17,Z$3:Z$13,0)=11,A$17," ")," "))</f>
        <v>C3</v>
      </c>
      <c r="B2812" s="8">
        <f>IF(A2812=" "," ",MAX(B2810:B2811)+1)</f>
        <v>1</v>
      </c>
      <c r="C2812" s="8" t="str">
        <f>IFERROR(INDEX(A2810:A2831,MATCH(SMALL(B2810:B2831,3),B2810:B2831,0),1)," ")</f>
        <v>C13</v>
      </c>
      <c r="D2812" s="8">
        <f t="shared" si="12307"/>
        <v>0</v>
      </c>
      <c r="E2812" s="8">
        <f t="shared" si="12308"/>
        <v>1</v>
      </c>
      <c r="F2812" s="8">
        <f t="shared" si="12309"/>
        <v>0</v>
      </c>
      <c r="G2812" s="8">
        <f t="shared" si="12310"/>
        <v>0</v>
      </c>
      <c r="H2812" s="8">
        <f t="shared" si="12311"/>
        <v>0</v>
      </c>
      <c r="I2812" s="8">
        <f t="shared" si="12312"/>
        <v>0</v>
      </c>
      <c r="J2812" s="8">
        <f t="shared" si="12313"/>
        <v>0</v>
      </c>
      <c r="K2812" s="8">
        <f t="shared" si="12314"/>
        <v>0</v>
      </c>
      <c r="L2812" s="8">
        <f t="shared" si="12315"/>
        <v>0</v>
      </c>
      <c r="M2812" s="8">
        <f t="shared" si="12316"/>
        <v>0</v>
      </c>
      <c r="N2812" s="8">
        <f t="shared" si="12317"/>
        <v>0</v>
      </c>
      <c r="O2812" s="8">
        <f t="shared" si="12318"/>
        <v>0</v>
      </c>
      <c r="P2812" s="8" t="e">
        <v>#NUM!</v>
      </c>
      <c r="Q2812" s="8" t="e">
        <f t="shared" ref="Q2812" si="12342">IF(COUNTIF(P2810:P2820,"&lt;"&amp;-0.001)=0,IF(ABS(P2812)&lt;0.001,0,P2812)," ")</f>
        <v>#NUM!</v>
      </c>
      <c r="R2812" s="8"/>
      <c r="S2812" s="8"/>
      <c r="U2812" s="34"/>
      <c r="V2812" s="34"/>
      <c r="W2812" s="34"/>
      <c r="X2812" s="34"/>
      <c r="Y2812" s="34"/>
      <c r="Z2812" s="34"/>
      <c r="AA2812" s="34"/>
      <c r="AB2812" s="34"/>
      <c r="AC2812" s="34"/>
      <c r="AD2812" s="34"/>
      <c r="AE2812" s="34"/>
      <c r="AF2812" s="34"/>
      <c r="AG2812" s="34"/>
      <c r="AH2812" s="34"/>
      <c r="AI2812" s="34"/>
      <c r="AJ2812" s="34"/>
      <c r="AK2812" s="34"/>
      <c r="AL2812" s="34"/>
      <c r="AM2812" s="34"/>
      <c r="AN2812" s="34"/>
      <c r="AO2812" s="34"/>
      <c r="AP2812" s="34"/>
      <c r="AQ2812" s="34"/>
      <c r="AR2812" s="34"/>
      <c r="AS2812" s="34"/>
      <c r="AT2812" s="34"/>
      <c r="AU2812" s="34"/>
      <c r="AV2812" s="34"/>
      <c r="AW2812" s="34"/>
      <c r="AX2812" s="34"/>
      <c r="AY2812" s="34"/>
      <c r="AZ2812" s="34"/>
      <c r="BA2812" s="34"/>
      <c r="BB2812" s="34"/>
      <c r="BC2812" s="34"/>
      <c r="BD2812" s="34"/>
      <c r="BE2812" s="34"/>
      <c r="BF2812" s="34"/>
      <c r="BG2812" s="34"/>
      <c r="BH2812" s="34"/>
      <c r="BI2812" s="34"/>
      <c r="BJ2812" s="34"/>
      <c r="BK2812" s="34"/>
      <c r="BL2812" s="34"/>
      <c r="BM2812" s="34"/>
      <c r="BN2812" s="34"/>
      <c r="BO2812" s="34"/>
      <c r="BP2812" s="34"/>
      <c r="BQ2812" s="34"/>
      <c r="BR2812" s="34"/>
      <c r="BS2812" s="34"/>
      <c r="BT2812" s="34"/>
      <c r="BU2812" s="34"/>
      <c r="BV2812" s="34"/>
      <c r="BW2812" s="34"/>
      <c r="BX2812" s="34"/>
      <c r="BY2812" s="34"/>
      <c r="BZ2812" s="34"/>
      <c r="CA2812" s="34"/>
      <c r="CB2812" s="34"/>
      <c r="CC2812" s="34"/>
      <c r="CD2812" s="34"/>
      <c r="CE2812" s="34"/>
      <c r="CF2812" s="34"/>
      <c r="CG2812" s="34"/>
      <c r="CH2812" s="34"/>
    </row>
    <row r="2813" spans="1:86" x14ac:dyDescent="0.2">
      <c r="A2813" s="8" t="str">
        <f>IF(AND(COUNTIF(W$3:W$13,A$18)&gt;0,A$18&lt;&gt;B2578),A$18,IFERROR(IF(MATCH(A$18,Z$3:Z$13,0)=11,A$18," ")," "))</f>
        <v>C4</v>
      </c>
      <c r="B2813" s="8">
        <f>IF(A2813=" "," ",MAX(B2810:B2812)+1)</f>
        <v>2</v>
      </c>
      <c r="C2813" s="8" t="str">
        <f>IFERROR(INDEX(A2810:A2831,MATCH(SMALL(B2810:B2831,4),B2810:B2831,0),1)," ")</f>
        <v>C14</v>
      </c>
      <c r="D2813" s="8">
        <f t="shared" si="12307"/>
        <v>0</v>
      </c>
      <c r="E2813" s="8">
        <f t="shared" si="12308"/>
        <v>0</v>
      </c>
      <c r="F2813" s="8">
        <f t="shared" si="12309"/>
        <v>1</v>
      </c>
      <c r="G2813" s="8">
        <f t="shared" si="12310"/>
        <v>0</v>
      </c>
      <c r="H2813" s="8">
        <f t="shared" si="12311"/>
        <v>0</v>
      </c>
      <c r="I2813" s="8">
        <f t="shared" si="12312"/>
        <v>0</v>
      </c>
      <c r="J2813" s="8">
        <f t="shared" si="12313"/>
        <v>0</v>
      </c>
      <c r="K2813" s="8">
        <f t="shared" si="12314"/>
        <v>0</v>
      </c>
      <c r="L2813" s="8">
        <f t="shared" si="12315"/>
        <v>0</v>
      </c>
      <c r="M2813" s="8">
        <f t="shared" si="12316"/>
        <v>0</v>
      </c>
      <c r="N2813" s="8">
        <f t="shared" si="12317"/>
        <v>0</v>
      </c>
      <c r="O2813" s="8">
        <f t="shared" si="12318"/>
        <v>0</v>
      </c>
      <c r="P2813" s="8" t="e">
        <v>#NUM!</v>
      </c>
      <c r="Q2813" s="8" t="e">
        <f t="shared" ref="Q2813" si="12343">IF(COUNTIF(P2810:P2820,"&lt;"&amp;-0.001)=0,IF(ABS(P2813)&lt;0.001,0,P2813)," ")</f>
        <v>#NUM!</v>
      </c>
      <c r="R2813" s="8"/>
      <c r="S2813" s="8"/>
      <c r="U2813" s="34"/>
      <c r="V2813" s="34"/>
      <c r="W2813" s="34"/>
      <c r="X2813" s="34"/>
      <c r="Y2813" s="34"/>
      <c r="Z2813" s="34"/>
      <c r="AA2813" s="34"/>
      <c r="AB2813" s="34"/>
      <c r="AC2813" s="34"/>
      <c r="AD2813" s="34"/>
      <c r="AE2813" s="34"/>
      <c r="AF2813" s="34"/>
      <c r="AG2813" s="34"/>
      <c r="AH2813" s="34"/>
      <c r="AI2813" s="34"/>
      <c r="AJ2813" s="34"/>
      <c r="AK2813" s="34"/>
      <c r="AL2813" s="34"/>
      <c r="AM2813" s="34"/>
      <c r="AN2813" s="34"/>
      <c r="AO2813" s="34"/>
      <c r="AP2813" s="34"/>
      <c r="AQ2813" s="34"/>
      <c r="AR2813" s="34"/>
      <c r="AS2813" s="34"/>
      <c r="AT2813" s="34"/>
      <c r="AU2813" s="34"/>
      <c r="AV2813" s="34"/>
      <c r="AW2813" s="34"/>
      <c r="AX2813" s="34"/>
      <c r="AY2813" s="34"/>
      <c r="AZ2813" s="34"/>
      <c r="BA2813" s="34"/>
      <c r="BB2813" s="34"/>
      <c r="BC2813" s="34"/>
      <c r="BD2813" s="34"/>
      <c r="BE2813" s="34"/>
      <c r="BF2813" s="34"/>
      <c r="BG2813" s="34"/>
      <c r="BH2813" s="34"/>
      <c r="BI2813" s="34"/>
      <c r="BJ2813" s="34"/>
      <c r="BK2813" s="34"/>
      <c r="BL2813" s="34"/>
      <c r="BM2813" s="34"/>
      <c r="BN2813" s="34"/>
      <c r="BO2813" s="34"/>
      <c r="BP2813" s="34"/>
      <c r="BQ2813" s="34"/>
      <c r="BR2813" s="34"/>
      <c r="BS2813" s="34"/>
      <c r="BT2813" s="34"/>
      <c r="BU2813" s="34"/>
      <c r="BV2813" s="34"/>
      <c r="BW2813" s="34"/>
      <c r="BX2813" s="34"/>
      <c r="BY2813" s="34"/>
      <c r="BZ2813" s="34"/>
      <c r="CA2813" s="34"/>
      <c r="CB2813" s="34"/>
      <c r="CC2813" s="34"/>
      <c r="CD2813" s="34"/>
      <c r="CE2813" s="34"/>
      <c r="CF2813" s="34"/>
      <c r="CG2813" s="34"/>
      <c r="CH2813" s="34"/>
    </row>
    <row r="2814" spans="1:86" x14ac:dyDescent="0.2">
      <c r="A2814" s="8" t="str">
        <f>IF(AND(COUNTIF(W$3:W$13,A$19)&gt;0,A$19&lt;&gt;B2578),A$19,IFERROR(IF(MATCH(A$19,Z$3:Z$13,0)=11,A$19," ")," "))</f>
        <v xml:space="preserve"> </v>
      </c>
      <c r="B2814" s="8" t="str">
        <f>IF(A2814=" "," ",MAX(B2810:B2813)+1)</f>
        <v xml:space="preserve"> </v>
      </c>
      <c r="C2814" s="8" t="str">
        <f>IFERROR(INDEX(A2810:A2831,MATCH(SMALL(B2810:B2831,5),B2810:B2831,0),1)," ")</f>
        <v>C15</v>
      </c>
      <c r="D2814" s="8">
        <f t="shared" si="12307"/>
        <v>0</v>
      </c>
      <c r="E2814" s="8">
        <f t="shared" si="12308"/>
        <v>0</v>
      </c>
      <c r="F2814" s="8">
        <f t="shared" si="12309"/>
        <v>0</v>
      </c>
      <c r="G2814" s="8">
        <f t="shared" si="12310"/>
        <v>1</v>
      </c>
      <c r="H2814" s="8">
        <f t="shared" si="12311"/>
        <v>0</v>
      </c>
      <c r="I2814" s="8">
        <f t="shared" si="12312"/>
        <v>0</v>
      </c>
      <c r="J2814" s="8">
        <f t="shared" si="12313"/>
        <v>0</v>
      </c>
      <c r="K2814" s="8">
        <f t="shared" si="12314"/>
        <v>0</v>
      </c>
      <c r="L2814" s="8">
        <f t="shared" si="12315"/>
        <v>0</v>
      </c>
      <c r="M2814" s="8">
        <f t="shared" si="12316"/>
        <v>0</v>
      </c>
      <c r="N2814" s="8">
        <f t="shared" si="12317"/>
        <v>0</v>
      </c>
      <c r="O2814" s="8">
        <f t="shared" si="12318"/>
        <v>0</v>
      </c>
      <c r="P2814" s="8" t="e">
        <v>#NUM!</v>
      </c>
      <c r="Q2814" s="8" t="e">
        <f t="shared" ref="Q2814" si="12344">IF(COUNTIF(P2810:P2820,"&lt;"&amp;-0.001)=0,IF(ABS(P2814)&lt;0.001,0,P2814)," ")</f>
        <v>#NUM!</v>
      </c>
      <c r="R2814" s="8"/>
      <c r="S2814" s="8"/>
      <c r="U2814" s="34"/>
      <c r="V2814" s="34"/>
      <c r="W2814" s="34"/>
      <c r="X2814" s="34"/>
      <c r="Y2814" s="34"/>
      <c r="Z2814" s="34"/>
      <c r="AA2814" s="34"/>
      <c r="AB2814" s="34"/>
      <c r="AC2814" s="34"/>
      <c r="AD2814" s="34"/>
      <c r="AE2814" s="34"/>
      <c r="AF2814" s="34"/>
      <c r="AG2814" s="34"/>
      <c r="AH2814" s="34"/>
      <c r="AI2814" s="34"/>
      <c r="AJ2814" s="34"/>
      <c r="AK2814" s="34"/>
      <c r="AL2814" s="34"/>
      <c r="AM2814" s="34"/>
      <c r="AN2814" s="34"/>
      <c r="AO2814" s="34"/>
      <c r="AP2814" s="34"/>
      <c r="AQ2814" s="34"/>
      <c r="AR2814" s="34"/>
      <c r="AS2814" s="34"/>
      <c r="AT2814" s="34"/>
      <c r="AU2814" s="34"/>
      <c r="AV2814" s="34"/>
      <c r="AW2814" s="34"/>
      <c r="AX2814" s="34"/>
      <c r="AY2814" s="34"/>
      <c r="AZ2814" s="34"/>
      <c r="BA2814" s="34"/>
      <c r="BB2814" s="34"/>
      <c r="BC2814" s="34"/>
      <c r="BD2814" s="34"/>
      <c r="BE2814" s="34"/>
      <c r="BF2814" s="34"/>
      <c r="BG2814" s="34"/>
      <c r="BH2814" s="34"/>
      <c r="BI2814" s="34"/>
      <c r="BJ2814" s="34"/>
      <c r="BK2814" s="34"/>
      <c r="BL2814" s="34"/>
      <c r="BM2814" s="34"/>
      <c r="BN2814" s="34"/>
      <c r="BO2814" s="34"/>
      <c r="BP2814" s="34"/>
      <c r="BQ2814" s="34"/>
      <c r="BR2814" s="34"/>
      <c r="BS2814" s="34"/>
      <c r="BT2814" s="34"/>
      <c r="BU2814" s="34"/>
      <c r="BV2814" s="34"/>
      <c r="BW2814" s="34"/>
      <c r="BX2814" s="34"/>
      <c r="BY2814" s="34"/>
      <c r="BZ2814" s="34"/>
      <c r="CA2814" s="34"/>
      <c r="CB2814" s="34"/>
      <c r="CC2814" s="34"/>
      <c r="CD2814" s="34"/>
      <c r="CE2814" s="34"/>
      <c r="CF2814" s="34"/>
      <c r="CG2814" s="34"/>
      <c r="CH2814" s="34"/>
    </row>
    <row r="2815" spans="1:86" x14ac:dyDescent="0.2">
      <c r="A2815" s="8" t="str">
        <f>IF(AND(COUNTIF(W$3:W$13,A$20)&gt;0,A$20&lt;&gt;B2578),A$20,IFERROR(IF(MATCH(A$20,Z$3:Z$13,0)=11,A$20," ")," "))</f>
        <v xml:space="preserve"> </v>
      </c>
      <c r="B2815" s="8" t="str">
        <f>IF(A2815=" "," ",MAX(B2810:B2814)+1)</f>
        <v xml:space="preserve"> </v>
      </c>
      <c r="C2815" s="8" t="str">
        <f>IFERROR(INDEX(A2810:A2831,MATCH(SMALL(B2810:B2831,6),B2810:B2831,0),1)," ")</f>
        <v>C16</v>
      </c>
      <c r="D2815" s="8">
        <f t="shared" si="12307"/>
        <v>0</v>
      </c>
      <c r="E2815" s="8">
        <f t="shared" si="12308"/>
        <v>0</v>
      </c>
      <c r="F2815" s="8">
        <f t="shared" si="12309"/>
        <v>0</v>
      </c>
      <c r="G2815" s="8">
        <f t="shared" si="12310"/>
        <v>0</v>
      </c>
      <c r="H2815" s="8">
        <f t="shared" si="12311"/>
        <v>1</v>
      </c>
      <c r="I2815" s="8">
        <f t="shared" si="12312"/>
        <v>0</v>
      </c>
      <c r="J2815" s="8">
        <f t="shared" si="12313"/>
        <v>0</v>
      </c>
      <c r="K2815" s="8">
        <f t="shared" si="12314"/>
        <v>0</v>
      </c>
      <c r="L2815" s="8">
        <f t="shared" si="12315"/>
        <v>0</v>
      </c>
      <c r="M2815" s="8">
        <f t="shared" si="12316"/>
        <v>0</v>
      </c>
      <c r="N2815" s="8">
        <f t="shared" si="12317"/>
        <v>0</v>
      </c>
      <c r="O2815" s="8">
        <f t="shared" si="12318"/>
        <v>0</v>
      </c>
      <c r="P2815" s="8" t="e">
        <v>#NUM!</v>
      </c>
      <c r="Q2815" s="8" t="e">
        <f t="shared" ref="Q2815" si="12345">IF(COUNTIF(P2810:P2820,"&lt;"&amp;-0.001)=0,IF(ABS(P2815)&lt;0.001,0,P2815)," ")</f>
        <v>#NUM!</v>
      </c>
      <c r="R2815" s="8"/>
      <c r="S2815" s="8"/>
      <c r="U2815" s="34"/>
      <c r="V2815" s="34"/>
      <c r="W2815" s="34"/>
      <c r="X2815" s="34"/>
      <c r="Y2815" s="34"/>
      <c r="Z2815" s="34"/>
      <c r="AA2815" s="34"/>
      <c r="AB2815" s="34"/>
      <c r="AC2815" s="34"/>
      <c r="AD2815" s="34"/>
      <c r="AE2815" s="34"/>
      <c r="AF2815" s="34"/>
      <c r="AG2815" s="34"/>
      <c r="AH2815" s="34"/>
      <c r="AI2815" s="34"/>
      <c r="AJ2815" s="34"/>
      <c r="AK2815" s="34"/>
      <c r="AL2815" s="34"/>
      <c r="AM2815" s="34"/>
      <c r="AN2815" s="34"/>
      <c r="AO2815" s="34"/>
      <c r="AP2815" s="34"/>
      <c r="AQ2815" s="34"/>
      <c r="AR2815" s="34"/>
      <c r="AS2815" s="34"/>
      <c r="AT2815" s="34"/>
      <c r="AU2815" s="34"/>
      <c r="AV2815" s="34"/>
      <c r="AW2815" s="34"/>
      <c r="AX2815" s="34"/>
      <c r="AY2815" s="34"/>
      <c r="AZ2815" s="34"/>
      <c r="BA2815" s="34"/>
      <c r="BB2815" s="34"/>
      <c r="BC2815" s="34"/>
      <c r="BD2815" s="34"/>
      <c r="BE2815" s="34"/>
      <c r="BF2815" s="34"/>
      <c r="BG2815" s="34"/>
      <c r="BH2815" s="34"/>
      <c r="BI2815" s="34"/>
      <c r="BJ2815" s="34"/>
      <c r="BK2815" s="34"/>
      <c r="BL2815" s="34"/>
      <c r="BM2815" s="34"/>
      <c r="BN2815" s="34"/>
      <c r="BO2815" s="34"/>
      <c r="BP2815" s="34"/>
      <c r="BQ2815" s="34"/>
      <c r="BR2815" s="34"/>
      <c r="BS2815" s="34"/>
      <c r="BT2815" s="34"/>
      <c r="BU2815" s="34"/>
      <c r="BV2815" s="34"/>
      <c r="BW2815" s="34"/>
      <c r="BX2815" s="34"/>
      <c r="BY2815" s="34"/>
      <c r="BZ2815" s="34"/>
      <c r="CA2815" s="34"/>
      <c r="CB2815" s="34"/>
      <c r="CC2815" s="34"/>
      <c r="CD2815" s="34"/>
      <c r="CE2815" s="34"/>
      <c r="CF2815" s="34"/>
      <c r="CG2815" s="34"/>
      <c r="CH2815" s="34"/>
    </row>
    <row r="2816" spans="1:86" x14ac:dyDescent="0.2">
      <c r="A2816" s="8" t="str">
        <f>IF(AND(COUNTIF(W$3:W$13,A$21)&gt;0,A$21&lt;&gt;B2578),A$21,IFERROR(IF(MATCH(A$21,Z$3:Z$13,0)=11,A$21," ")," "))</f>
        <v xml:space="preserve"> </v>
      </c>
      <c r="B2816" s="8" t="str">
        <f>IF(A2816=" "," ",MAX(B2810:B2815)+1)</f>
        <v xml:space="preserve"> </v>
      </c>
      <c r="C2816" s="8" t="str">
        <f>IFERROR(INDEX(A2810:A2831,MATCH(SMALL(B2810:B2831,7),B2810:B2831,0),1)," ")</f>
        <v>C17</v>
      </c>
      <c r="D2816" s="8">
        <f t="shared" si="12307"/>
        <v>0</v>
      </c>
      <c r="E2816" s="8">
        <f t="shared" si="12308"/>
        <v>0</v>
      </c>
      <c r="F2816" s="8">
        <f t="shared" si="12309"/>
        <v>0</v>
      </c>
      <c r="G2816" s="8">
        <f t="shared" si="12310"/>
        <v>0</v>
      </c>
      <c r="H2816" s="8">
        <f t="shared" si="12311"/>
        <v>0</v>
      </c>
      <c r="I2816" s="8">
        <f t="shared" si="12312"/>
        <v>1</v>
      </c>
      <c r="J2816" s="8">
        <f t="shared" si="12313"/>
        <v>0</v>
      </c>
      <c r="K2816" s="8">
        <f t="shared" si="12314"/>
        <v>0</v>
      </c>
      <c r="L2816" s="8">
        <f t="shared" si="12315"/>
        <v>0</v>
      </c>
      <c r="M2816" s="8">
        <f t="shared" si="12316"/>
        <v>0</v>
      </c>
      <c r="N2816" s="8">
        <f t="shared" si="12317"/>
        <v>0</v>
      </c>
      <c r="O2816" s="8">
        <f t="shared" si="12318"/>
        <v>0</v>
      </c>
      <c r="P2816" s="8" t="e">
        <v>#NUM!</v>
      </c>
      <c r="Q2816" s="8" t="e">
        <f t="shared" ref="Q2816" si="12346">IF(COUNTIF(P2810:P2820,"&lt;"&amp;-0.001)=0,IF(ABS(P2816)&lt;0.001,0,P2816)," ")</f>
        <v>#NUM!</v>
      </c>
      <c r="R2816" s="8"/>
      <c r="S2816" s="8"/>
      <c r="U2816" s="34"/>
      <c r="V2816" s="34"/>
      <c r="W2816" s="34"/>
      <c r="X2816" s="34"/>
      <c r="Y2816" s="34"/>
      <c r="Z2816" s="34"/>
      <c r="AA2816" s="34"/>
      <c r="AB2816" s="34"/>
      <c r="AC2816" s="34"/>
      <c r="AD2816" s="34"/>
      <c r="AE2816" s="34"/>
      <c r="AF2816" s="34"/>
      <c r="AG2816" s="34"/>
      <c r="AH2816" s="34"/>
      <c r="AI2816" s="34"/>
      <c r="AJ2816" s="34"/>
      <c r="AK2816" s="34"/>
      <c r="AL2816" s="34"/>
      <c r="AM2816" s="34"/>
      <c r="AN2816" s="34"/>
      <c r="AO2816" s="34"/>
      <c r="AP2816" s="34"/>
      <c r="AQ2816" s="34"/>
      <c r="AR2816" s="34"/>
      <c r="AS2816" s="34"/>
      <c r="AT2816" s="34"/>
      <c r="AU2816" s="34"/>
      <c r="AV2816" s="34"/>
      <c r="AW2816" s="34"/>
      <c r="AX2816" s="34"/>
      <c r="AY2816" s="34"/>
      <c r="AZ2816" s="34"/>
      <c r="BA2816" s="34"/>
      <c r="BB2816" s="34"/>
      <c r="BC2816" s="34"/>
      <c r="BD2816" s="34"/>
      <c r="BE2816" s="34"/>
      <c r="BF2816" s="34"/>
      <c r="BG2816" s="34"/>
      <c r="BH2816" s="34"/>
      <c r="BI2816" s="34"/>
      <c r="BJ2816" s="34"/>
      <c r="BK2816" s="34"/>
      <c r="BL2816" s="34"/>
      <c r="BM2816" s="34"/>
      <c r="BN2816" s="34"/>
      <c r="BO2816" s="34"/>
      <c r="BP2816" s="34"/>
      <c r="BQ2816" s="34"/>
      <c r="BR2816" s="34"/>
      <c r="BS2816" s="34"/>
      <c r="BT2816" s="34"/>
      <c r="BU2816" s="34"/>
      <c r="BV2816" s="34"/>
      <c r="BW2816" s="34"/>
      <c r="BX2816" s="34"/>
      <c r="BY2816" s="34"/>
      <c r="BZ2816" s="34"/>
      <c r="CA2816" s="34"/>
      <c r="CB2816" s="34"/>
      <c r="CC2816" s="34"/>
      <c r="CD2816" s="34"/>
      <c r="CE2816" s="34"/>
      <c r="CF2816" s="34"/>
      <c r="CG2816" s="34"/>
      <c r="CH2816" s="34"/>
    </row>
    <row r="2817" spans="1:86" x14ac:dyDescent="0.2">
      <c r="A2817" s="8" t="str">
        <f>IF(AND(COUNTIF(W$3:W$13,A$22)&gt;0,A$22&lt;&gt;B2578),A$22,IFERROR(IF(MATCH(A$22,Z$3:Z$13,0)=11,A$22," ")," "))</f>
        <v xml:space="preserve"> </v>
      </c>
      <c r="B2817" s="8" t="str">
        <f>IF(A2817=" "," ",MAX(B2810:B2816)+1)</f>
        <v xml:space="preserve"> </v>
      </c>
      <c r="C2817" s="8" t="str">
        <f>IFERROR(INDEX(A2810:A2831,MATCH(SMALL(B2810:B2831,8),B2810:B2831,0),1)," ")</f>
        <v>C18</v>
      </c>
      <c r="D2817" s="8">
        <f t="shared" si="12307"/>
        <v>0</v>
      </c>
      <c r="E2817" s="8">
        <f t="shared" si="12308"/>
        <v>0</v>
      </c>
      <c r="F2817" s="8">
        <f t="shared" si="12309"/>
        <v>0</v>
      </c>
      <c r="G2817" s="8">
        <f t="shared" si="12310"/>
        <v>0</v>
      </c>
      <c r="H2817" s="8">
        <f t="shared" si="12311"/>
        <v>0</v>
      </c>
      <c r="I2817" s="8">
        <f t="shared" si="12312"/>
        <v>0</v>
      </c>
      <c r="J2817" s="8">
        <f t="shared" si="12313"/>
        <v>1</v>
      </c>
      <c r="K2817" s="8">
        <f t="shared" si="12314"/>
        <v>0</v>
      </c>
      <c r="L2817" s="8">
        <f t="shared" si="12315"/>
        <v>0</v>
      </c>
      <c r="M2817" s="8">
        <f t="shared" si="12316"/>
        <v>0</v>
      </c>
      <c r="N2817" s="8">
        <f t="shared" si="12317"/>
        <v>0</v>
      </c>
      <c r="O2817" s="8">
        <f t="shared" si="12318"/>
        <v>0</v>
      </c>
      <c r="P2817" s="8" t="e">
        <v>#NUM!</v>
      </c>
      <c r="Q2817" s="8" t="e">
        <f t="shared" ref="Q2817" si="12347">IF(COUNTIF(P2810:P2820,"&lt;"&amp;-0.001)=0,IF(ABS(P2817)&lt;0.001,0,P2817)," ")</f>
        <v>#NUM!</v>
      </c>
      <c r="R2817" s="8"/>
      <c r="S2817" s="8"/>
      <c r="U2817" s="34"/>
      <c r="V2817" s="34"/>
      <c r="W2817" s="34"/>
      <c r="X2817" s="34"/>
      <c r="Y2817" s="34"/>
      <c r="Z2817" s="34"/>
      <c r="AA2817" s="34"/>
      <c r="AB2817" s="34"/>
      <c r="AC2817" s="34"/>
      <c r="AD2817" s="34"/>
      <c r="AE2817" s="34"/>
      <c r="AF2817" s="34"/>
      <c r="AG2817" s="34"/>
      <c r="AH2817" s="34"/>
      <c r="AI2817" s="34"/>
      <c r="AJ2817" s="34"/>
      <c r="AK2817" s="34"/>
      <c r="AL2817" s="34"/>
      <c r="AM2817" s="34"/>
      <c r="AN2817" s="34"/>
      <c r="AO2817" s="34"/>
      <c r="AP2817" s="34"/>
      <c r="AQ2817" s="34"/>
      <c r="AR2817" s="34"/>
      <c r="AS2817" s="34"/>
      <c r="AT2817" s="34"/>
      <c r="AU2817" s="34"/>
      <c r="AV2817" s="34"/>
      <c r="AW2817" s="34"/>
      <c r="AX2817" s="34"/>
      <c r="AY2817" s="34"/>
      <c r="AZ2817" s="34"/>
      <c r="BA2817" s="34"/>
      <c r="BB2817" s="34"/>
      <c r="BC2817" s="34"/>
      <c r="BD2817" s="34"/>
      <c r="BE2817" s="34"/>
      <c r="BF2817" s="34"/>
      <c r="BG2817" s="34"/>
      <c r="BH2817" s="34"/>
      <c r="BI2817" s="34"/>
      <c r="BJ2817" s="34"/>
      <c r="BK2817" s="34"/>
      <c r="BL2817" s="34"/>
      <c r="BM2817" s="34"/>
      <c r="BN2817" s="34"/>
      <c r="BO2817" s="34"/>
      <c r="BP2817" s="34"/>
      <c r="BQ2817" s="34"/>
      <c r="BR2817" s="34"/>
      <c r="BS2817" s="34"/>
      <c r="BT2817" s="34"/>
      <c r="BU2817" s="34"/>
      <c r="BV2817" s="34"/>
      <c r="BW2817" s="34"/>
      <c r="BX2817" s="34"/>
      <c r="BY2817" s="34"/>
      <c r="BZ2817" s="34"/>
      <c r="CA2817" s="34"/>
      <c r="CB2817" s="34"/>
      <c r="CC2817" s="34"/>
      <c r="CD2817" s="34"/>
      <c r="CE2817" s="34"/>
      <c r="CF2817" s="34"/>
      <c r="CG2817" s="34"/>
      <c r="CH2817" s="34"/>
    </row>
    <row r="2818" spans="1:86" x14ac:dyDescent="0.2">
      <c r="A2818" s="8" t="str">
        <f>IF(AND(COUNTIF(W$3:W$13,A$23)&gt;0,A$23&lt;&gt;B2578),A$23,IFERROR(IF(MATCH(A$23,Z$3:Z$13,0)=11,A$23," ")," "))</f>
        <v xml:space="preserve"> </v>
      </c>
      <c r="B2818" s="8" t="str">
        <f>IF(A2818=" "," ",MAX(B2810:B2817)+1)</f>
        <v xml:space="preserve"> </v>
      </c>
      <c r="C2818" s="8" t="str">
        <f>IFERROR(INDEX(A2810:A2831,MATCH(SMALL(B2810:B2831,9),B2810:B2831,0),1)," ")</f>
        <v>C19</v>
      </c>
      <c r="D2818" s="8">
        <f t="shared" si="12307"/>
        <v>0</v>
      </c>
      <c r="E2818" s="8">
        <f t="shared" si="12308"/>
        <v>0</v>
      </c>
      <c r="F2818" s="8">
        <f t="shared" si="12309"/>
        <v>0</v>
      </c>
      <c r="G2818" s="8">
        <f t="shared" si="12310"/>
        <v>0</v>
      </c>
      <c r="H2818" s="8">
        <f t="shared" si="12311"/>
        <v>0</v>
      </c>
      <c r="I2818" s="8">
        <f t="shared" si="12312"/>
        <v>0</v>
      </c>
      <c r="J2818" s="8">
        <f t="shared" si="12313"/>
        <v>0</v>
      </c>
      <c r="K2818" s="8">
        <f t="shared" si="12314"/>
        <v>1</v>
      </c>
      <c r="L2818" s="8">
        <f t="shared" si="12315"/>
        <v>0</v>
      </c>
      <c r="M2818" s="8">
        <f t="shared" si="12316"/>
        <v>0</v>
      </c>
      <c r="N2818" s="8">
        <f t="shared" si="12317"/>
        <v>0</v>
      </c>
      <c r="O2818" s="8">
        <f t="shared" si="12318"/>
        <v>0</v>
      </c>
      <c r="P2818" s="6" t="e">
        <v>#NUM!</v>
      </c>
      <c r="Q2818" s="8" t="e">
        <f t="shared" ref="Q2818" si="12348">IF(COUNTIF(P2810:P2820,"&lt;"&amp;-0.001)=0,IF(ABS(P2818)&lt;0.001,0,P2818)," ")</f>
        <v>#NUM!</v>
      </c>
      <c r="R2818" s="8"/>
      <c r="S2818" s="8"/>
      <c r="U2818" s="34"/>
      <c r="V2818" s="34"/>
      <c r="W2818" s="34"/>
      <c r="X2818" s="34"/>
      <c r="Y2818" s="34"/>
      <c r="Z2818" s="34"/>
      <c r="AA2818" s="34"/>
      <c r="AB2818" s="34"/>
      <c r="AC2818" s="34"/>
      <c r="AD2818" s="34"/>
      <c r="AE2818" s="34"/>
      <c r="AF2818" s="34"/>
      <c r="AG2818" s="34"/>
      <c r="AH2818" s="34"/>
      <c r="AI2818" s="34"/>
      <c r="AJ2818" s="34"/>
      <c r="AK2818" s="34"/>
      <c r="AL2818" s="34"/>
      <c r="AM2818" s="34"/>
      <c r="AN2818" s="34"/>
      <c r="AO2818" s="34"/>
      <c r="AP2818" s="34"/>
      <c r="AQ2818" s="34"/>
      <c r="AR2818" s="34"/>
      <c r="AS2818" s="34"/>
      <c r="AT2818" s="34"/>
      <c r="AU2818" s="34"/>
      <c r="AV2818" s="34"/>
      <c r="AW2818" s="34"/>
      <c r="AX2818" s="34"/>
      <c r="AY2818" s="34"/>
      <c r="AZ2818" s="34"/>
      <c r="BA2818" s="34"/>
      <c r="BB2818" s="34"/>
      <c r="BC2818" s="34"/>
      <c r="BD2818" s="34"/>
      <c r="BE2818" s="34"/>
      <c r="BF2818" s="34"/>
      <c r="BG2818" s="34"/>
      <c r="BH2818" s="34"/>
      <c r="BI2818" s="34"/>
      <c r="BJ2818" s="34"/>
      <c r="BK2818" s="34"/>
      <c r="BL2818" s="34"/>
      <c r="BM2818" s="34"/>
      <c r="BN2818" s="34"/>
      <c r="BO2818" s="34"/>
      <c r="BP2818" s="34"/>
      <c r="BQ2818" s="34"/>
      <c r="BR2818" s="34"/>
      <c r="BS2818" s="34"/>
      <c r="BT2818" s="34"/>
      <c r="BU2818" s="34"/>
      <c r="BV2818" s="34"/>
      <c r="BW2818" s="34"/>
      <c r="BX2818" s="34"/>
      <c r="BY2818" s="34"/>
      <c r="BZ2818" s="34"/>
      <c r="CA2818" s="34"/>
      <c r="CB2818" s="34"/>
      <c r="CC2818" s="34"/>
      <c r="CD2818" s="34"/>
      <c r="CE2818" s="34"/>
      <c r="CF2818" s="34"/>
      <c r="CG2818" s="34"/>
      <c r="CH2818" s="34"/>
    </row>
    <row r="2819" spans="1:86" x14ac:dyDescent="0.2">
      <c r="A2819" s="8" t="str">
        <f>IF(AND(COUNTIF(W$3:W$13,A$24)&gt;0,A$24&lt;&gt;B2578),A$24,IFERROR(IF(MATCH(A$24,Z$3:Z$13,0)=11,A$24," ")," "))</f>
        <v xml:space="preserve"> </v>
      </c>
      <c r="B2819" s="8" t="str">
        <f>IF(A2819=" "," ",MAX(B2810:B2818)+1)</f>
        <v xml:space="preserve"> </v>
      </c>
      <c r="C2819" s="8" t="str">
        <f>IFERROR(INDEX(A2810:A2831,MATCH(SMALL(B2810:B2831,10),B2810:B2831,0),1)," ")</f>
        <v>C20</v>
      </c>
      <c r="D2819" s="8">
        <f t="shared" si="12307"/>
        <v>0</v>
      </c>
      <c r="E2819" s="8">
        <f t="shared" si="12308"/>
        <v>0</v>
      </c>
      <c r="F2819" s="8">
        <f t="shared" si="12309"/>
        <v>0</v>
      </c>
      <c r="G2819" s="8">
        <f t="shared" si="12310"/>
        <v>0</v>
      </c>
      <c r="H2819" s="8">
        <f t="shared" si="12311"/>
        <v>0</v>
      </c>
      <c r="I2819" s="8">
        <f t="shared" si="12312"/>
        <v>0</v>
      </c>
      <c r="J2819" s="8">
        <f t="shared" si="12313"/>
        <v>0</v>
      </c>
      <c r="K2819" s="8">
        <f t="shared" si="12314"/>
        <v>0</v>
      </c>
      <c r="L2819" s="8">
        <f t="shared" si="12315"/>
        <v>1</v>
      </c>
      <c r="M2819" s="8">
        <f t="shared" si="12316"/>
        <v>0</v>
      </c>
      <c r="N2819" s="8">
        <f t="shared" si="12317"/>
        <v>0</v>
      </c>
      <c r="O2819" s="8">
        <f t="shared" si="12318"/>
        <v>0</v>
      </c>
      <c r="P2819" s="8" t="e">
        <v>#NUM!</v>
      </c>
      <c r="Q2819" s="8" t="e">
        <f t="shared" ref="Q2819" si="12349">IF(COUNTIF(P2810:P2820,"&lt;"&amp;-0.001)=0,IF(ABS(P2819)&lt;0.001,0,P2819)," ")</f>
        <v>#NUM!</v>
      </c>
      <c r="R2819" s="8"/>
      <c r="S2819" s="8"/>
      <c r="U2819" s="34"/>
      <c r="V2819" s="34"/>
      <c r="W2819" s="34"/>
      <c r="X2819" s="34"/>
      <c r="Y2819" s="34"/>
      <c r="Z2819" s="34"/>
      <c r="AA2819" s="34"/>
      <c r="AB2819" s="34"/>
      <c r="AC2819" s="34"/>
      <c r="AD2819" s="34"/>
      <c r="AE2819" s="34"/>
      <c r="AF2819" s="34"/>
      <c r="AG2819" s="34"/>
      <c r="AH2819" s="34"/>
      <c r="AI2819" s="34"/>
      <c r="AJ2819" s="34"/>
      <c r="AK2819" s="34"/>
      <c r="AL2819" s="34"/>
      <c r="AM2819" s="34"/>
      <c r="AN2819" s="34"/>
      <c r="AO2819" s="34"/>
      <c r="AP2819" s="34"/>
      <c r="AQ2819" s="34"/>
      <c r="AR2819" s="34"/>
      <c r="AS2819" s="34"/>
      <c r="AT2819" s="34"/>
      <c r="AU2819" s="34"/>
      <c r="AV2819" s="34"/>
      <c r="AW2819" s="34"/>
      <c r="AX2819" s="34"/>
      <c r="AY2819" s="34"/>
      <c r="AZ2819" s="34"/>
      <c r="BA2819" s="34"/>
      <c r="BB2819" s="34"/>
      <c r="BC2819" s="34"/>
      <c r="BD2819" s="34"/>
      <c r="BE2819" s="34"/>
      <c r="BF2819" s="34"/>
      <c r="BG2819" s="34"/>
      <c r="BH2819" s="34"/>
      <c r="BI2819" s="34"/>
      <c r="BJ2819" s="34"/>
      <c r="BK2819" s="34"/>
      <c r="BL2819" s="34"/>
      <c r="BM2819" s="34"/>
      <c r="BN2819" s="34"/>
      <c r="BO2819" s="34"/>
      <c r="BP2819" s="34"/>
      <c r="BQ2819" s="34"/>
      <c r="BR2819" s="34"/>
      <c r="BS2819" s="34"/>
      <c r="BT2819" s="34"/>
      <c r="BU2819" s="34"/>
      <c r="BV2819" s="34"/>
      <c r="BW2819" s="34"/>
      <c r="BX2819" s="34"/>
      <c r="BY2819" s="34"/>
      <c r="BZ2819" s="34"/>
      <c r="CA2819" s="34"/>
      <c r="CB2819" s="34"/>
      <c r="CC2819" s="34"/>
      <c r="CD2819" s="34"/>
      <c r="CE2819" s="34"/>
      <c r="CF2819" s="34"/>
      <c r="CG2819" s="34"/>
      <c r="CH2819" s="34"/>
    </row>
    <row r="2820" spans="1:86" x14ac:dyDescent="0.2">
      <c r="A2820" s="8" t="str">
        <f>IF(AND(COUNTIF(W$3:W$13,A$25)&gt;0,A$25&lt;&gt;B2578),A$25,IFERROR(IF(MATCH(A$25,Z$3:Z$13,0)=11,A$25," ")," "))</f>
        <v xml:space="preserve"> </v>
      </c>
      <c r="B2820" s="8" t="str">
        <f>IF(A2820=" "," ",MAX(B2810:B2819)+1)</f>
        <v xml:space="preserve"> </v>
      </c>
      <c r="C2820" s="8" t="str">
        <f>IFERROR(INDEX(A2810:A2831,MATCH(SMALL(B2810:B2831,11),B2810:B2831,0),1)," ")</f>
        <v>C21</v>
      </c>
      <c r="D2820" s="8">
        <f t="shared" si="12307"/>
        <v>0</v>
      </c>
      <c r="E2820" s="8">
        <f t="shared" si="12308"/>
        <v>0</v>
      </c>
      <c r="F2820" s="8">
        <f t="shared" si="12309"/>
        <v>0</v>
      </c>
      <c r="G2820" s="8">
        <f t="shared" si="12310"/>
        <v>0</v>
      </c>
      <c r="H2820" s="8">
        <f t="shared" si="12311"/>
        <v>0</v>
      </c>
      <c r="I2820" s="8">
        <f t="shared" si="12312"/>
        <v>0</v>
      </c>
      <c r="J2820" s="8">
        <f t="shared" si="12313"/>
        <v>0</v>
      </c>
      <c r="K2820" s="8">
        <f t="shared" si="12314"/>
        <v>0</v>
      </c>
      <c r="L2820" s="8">
        <f t="shared" si="12315"/>
        <v>0</v>
      </c>
      <c r="M2820" s="8">
        <f t="shared" si="12316"/>
        <v>1</v>
      </c>
      <c r="N2820" s="8">
        <f t="shared" si="12317"/>
        <v>0</v>
      </c>
      <c r="O2820" s="8">
        <f t="shared" si="12318"/>
        <v>0</v>
      </c>
      <c r="P2820" s="8" t="e">
        <v>#NUM!</v>
      </c>
      <c r="Q2820" s="8" t="e">
        <f t="shared" ref="Q2820" si="12350">IF(COUNTIF(P2810:P2820,"&lt;"&amp;-0.001)=0,IF(ABS(P2820)&lt;0.001,0,P2820)," ")</f>
        <v>#NUM!</v>
      </c>
      <c r="R2820" s="8"/>
      <c r="S2820" s="8"/>
      <c r="U2820" s="34"/>
      <c r="V2820" s="34"/>
      <c r="W2820" s="34"/>
      <c r="X2820" s="34"/>
      <c r="Y2820" s="34"/>
      <c r="Z2820" s="34"/>
      <c r="AA2820" s="34"/>
      <c r="AB2820" s="34"/>
      <c r="AC2820" s="34"/>
      <c r="AD2820" s="34"/>
      <c r="AE2820" s="34"/>
      <c r="AF2820" s="34"/>
      <c r="AG2820" s="34"/>
      <c r="AH2820" s="34"/>
      <c r="AI2820" s="34"/>
      <c r="AJ2820" s="34"/>
      <c r="AK2820" s="34"/>
      <c r="AL2820" s="34"/>
      <c r="AM2820" s="34"/>
      <c r="AN2820" s="34"/>
      <c r="AO2820" s="34"/>
      <c r="AP2820" s="34"/>
      <c r="AQ2820" s="34"/>
      <c r="AR2820" s="34"/>
      <c r="AS2820" s="34"/>
      <c r="AT2820" s="34"/>
      <c r="AU2820" s="34"/>
      <c r="AV2820" s="34"/>
      <c r="AW2820" s="34"/>
      <c r="AX2820" s="34"/>
      <c r="AY2820" s="34"/>
      <c r="AZ2820" s="34"/>
      <c r="BA2820" s="34"/>
      <c r="BB2820" s="34"/>
      <c r="BC2820" s="34"/>
      <c r="BD2820" s="34"/>
      <c r="BE2820" s="34"/>
      <c r="BF2820" s="34"/>
      <c r="BG2820" s="34"/>
      <c r="BH2820" s="34"/>
      <c r="BI2820" s="34"/>
      <c r="BJ2820" s="34"/>
      <c r="BK2820" s="34"/>
      <c r="BL2820" s="34"/>
      <c r="BM2820" s="34"/>
      <c r="BN2820" s="34"/>
      <c r="BO2820" s="34"/>
      <c r="BP2820" s="34"/>
      <c r="BQ2820" s="34"/>
      <c r="BR2820" s="34"/>
      <c r="BS2820" s="34"/>
      <c r="BT2820" s="34"/>
      <c r="BU2820" s="34"/>
      <c r="BV2820" s="34"/>
      <c r="BW2820" s="34"/>
      <c r="BX2820" s="34"/>
      <c r="BY2820" s="34"/>
      <c r="BZ2820" s="34"/>
      <c r="CA2820" s="34"/>
      <c r="CB2820" s="34"/>
      <c r="CC2820" s="34"/>
      <c r="CD2820" s="34"/>
      <c r="CE2820" s="34"/>
      <c r="CF2820" s="34"/>
      <c r="CG2820" s="34"/>
      <c r="CH2820" s="34"/>
    </row>
    <row r="2821" spans="1:86" x14ac:dyDescent="0.2">
      <c r="A2821" s="8" t="str">
        <f>IF(AND(COUNTIF(W$3:W$13,A$26)&gt;0,A$26&lt;&gt;B2578),A$26,IFERROR(IF(MATCH(A$26,Z$3:Z$13,0)=11,A$26," ")," "))</f>
        <v xml:space="preserve"> </v>
      </c>
      <c r="B2821" s="8" t="str">
        <f>IF(A2821=" "," ",MAX(B2810:B2820)+1)</f>
        <v xml:space="preserve"> </v>
      </c>
      <c r="C2821" s="8"/>
      <c r="D2821" s="8"/>
      <c r="E2821" s="8"/>
      <c r="F2821" s="8"/>
      <c r="G2821" s="8"/>
      <c r="H2821" s="8"/>
      <c r="I2821" s="8"/>
      <c r="J2821" s="8"/>
      <c r="K2821" s="8"/>
      <c r="L2821" s="8"/>
      <c r="M2821" s="8"/>
      <c r="N2821" s="8"/>
      <c r="O2821" s="8"/>
      <c r="P2821" s="8"/>
      <c r="Q2821" s="8"/>
      <c r="R2821" s="8"/>
      <c r="S2821" s="8"/>
      <c r="U2821" s="34"/>
      <c r="V2821" s="34"/>
      <c r="W2821" s="34"/>
      <c r="X2821" s="34"/>
      <c r="Y2821" s="34"/>
      <c r="Z2821" s="34"/>
      <c r="AA2821" s="34"/>
      <c r="AB2821" s="34"/>
      <c r="AC2821" s="34"/>
      <c r="AD2821" s="34"/>
      <c r="AE2821" s="34"/>
      <c r="AF2821" s="34"/>
      <c r="AG2821" s="34"/>
      <c r="AH2821" s="34"/>
      <c r="AI2821" s="34"/>
      <c r="AJ2821" s="34"/>
      <c r="AK2821" s="34"/>
      <c r="AL2821" s="34"/>
      <c r="AM2821" s="34"/>
      <c r="AN2821" s="34"/>
      <c r="AO2821" s="34"/>
      <c r="AP2821" s="34"/>
      <c r="AQ2821" s="34"/>
      <c r="AR2821" s="34"/>
      <c r="AS2821" s="34"/>
      <c r="AT2821" s="34"/>
      <c r="AU2821" s="34"/>
      <c r="AV2821" s="34"/>
      <c r="AW2821" s="34"/>
      <c r="AX2821" s="34"/>
      <c r="AY2821" s="34"/>
      <c r="AZ2821" s="34"/>
      <c r="BA2821" s="34"/>
      <c r="BB2821" s="34"/>
      <c r="BC2821" s="34"/>
      <c r="BD2821" s="34"/>
      <c r="BE2821" s="34"/>
      <c r="BF2821" s="34"/>
      <c r="BG2821" s="34"/>
      <c r="BH2821" s="34"/>
      <c r="BI2821" s="34"/>
      <c r="BJ2821" s="34"/>
      <c r="BK2821" s="34"/>
      <c r="BL2821" s="34"/>
      <c r="BM2821" s="34"/>
      <c r="BN2821" s="34"/>
      <c r="BO2821" s="34"/>
      <c r="BP2821" s="34"/>
      <c r="BQ2821" s="34"/>
      <c r="BR2821" s="34"/>
      <c r="BS2821" s="34"/>
      <c r="BT2821" s="34"/>
      <c r="BU2821" s="34"/>
      <c r="BV2821" s="34"/>
      <c r="BW2821" s="34"/>
      <c r="BX2821" s="34"/>
      <c r="BY2821" s="34"/>
      <c r="BZ2821" s="34"/>
      <c r="CA2821" s="34"/>
      <c r="CB2821" s="34"/>
      <c r="CC2821" s="34"/>
      <c r="CD2821" s="34"/>
      <c r="CE2821" s="34"/>
      <c r="CF2821" s="34"/>
      <c r="CG2821" s="34"/>
      <c r="CH2821" s="34"/>
    </row>
    <row r="2822" spans="1:86" x14ac:dyDescent="0.2">
      <c r="A2822" s="8" t="str">
        <f>IF(AND(COUNTIF(W$3:W$13,A$27)&gt;0,A$27&lt;&gt;B2578),A$27,IFERROR(IF(MATCH(A$27,Z$3:Z$13,0)=11,A$27," ")," "))</f>
        <v>C13</v>
      </c>
      <c r="B2822" s="8">
        <f>IF(A2822=" "," ",MAX(B2810:B2821)+1)</f>
        <v>3</v>
      </c>
      <c r="C2822" s="8"/>
      <c r="D2822" s="8"/>
      <c r="E2822" s="8"/>
      <c r="F2822" s="8"/>
      <c r="G2822" s="8"/>
      <c r="H2822" s="8"/>
      <c r="I2822" s="8"/>
      <c r="J2822" s="8"/>
      <c r="K2822" s="8"/>
      <c r="L2822" s="8"/>
      <c r="M2822" s="8"/>
      <c r="N2822" s="8"/>
      <c r="O2822" s="8"/>
      <c r="P2822" s="8"/>
      <c r="Q2822" s="8"/>
      <c r="R2822" s="8"/>
      <c r="S2822" s="8"/>
      <c r="U2822" s="34"/>
      <c r="V2822" s="34"/>
      <c r="W2822" s="34"/>
      <c r="X2822" s="34"/>
      <c r="Y2822" s="34"/>
      <c r="Z2822" s="34"/>
      <c r="AA2822" s="34"/>
      <c r="AB2822" s="34"/>
      <c r="AC2822" s="34"/>
      <c r="AD2822" s="34"/>
      <c r="AE2822" s="34"/>
      <c r="AF2822" s="34"/>
      <c r="AG2822" s="34"/>
      <c r="AH2822" s="34"/>
      <c r="AI2822" s="34"/>
      <c r="AJ2822" s="34"/>
      <c r="AK2822" s="34"/>
      <c r="AL2822" s="34"/>
      <c r="AM2822" s="34"/>
      <c r="AN2822" s="34"/>
      <c r="AO2822" s="34"/>
      <c r="AP2822" s="34"/>
      <c r="AQ2822" s="34"/>
      <c r="AR2822" s="34"/>
      <c r="AS2822" s="34"/>
      <c r="AT2822" s="34"/>
      <c r="AU2822" s="34"/>
      <c r="AV2822" s="34"/>
      <c r="AW2822" s="34"/>
      <c r="AX2822" s="34"/>
      <c r="AY2822" s="34"/>
      <c r="AZ2822" s="34"/>
      <c r="BA2822" s="34"/>
      <c r="BB2822" s="34"/>
      <c r="BC2822" s="34"/>
      <c r="BD2822" s="34"/>
      <c r="BE2822" s="34"/>
      <c r="BF2822" s="34"/>
      <c r="BG2822" s="34"/>
      <c r="BH2822" s="34"/>
      <c r="BI2822" s="34"/>
      <c r="BJ2822" s="34"/>
      <c r="BK2822" s="34"/>
      <c r="BL2822" s="34"/>
      <c r="BM2822" s="34"/>
      <c r="BN2822" s="34"/>
      <c r="BO2822" s="34"/>
      <c r="BP2822" s="34"/>
      <c r="BQ2822" s="34"/>
      <c r="BR2822" s="34"/>
      <c r="BS2822" s="34"/>
      <c r="BT2822" s="34"/>
      <c r="BU2822" s="34"/>
      <c r="BV2822" s="34"/>
      <c r="BW2822" s="34"/>
      <c r="BX2822" s="34"/>
      <c r="BY2822" s="34"/>
      <c r="BZ2822" s="34"/>
      <c r="CA2822" s="34"/>
      <c r="CB2822" s="34"/>
      <c r="CC2822" s="34"/>
      <c r="CD2822" s="34"/>
      <c r="CE2822" s="34"/>
      <c r="CF2822" s="34"/>
      <c r="CG2822" s="34"/>
      <c r="CH2822" s="34"/>
    </row>
    <row r="2823" spans="1:86" x14ac:dyDescent="0.2">
      <c r="A2823" s="8" t="str">
        <f>IF(AND(COUNTIF(W$3:W$13,A$28)&gt;0,A$28&lt;&gt;B2578),A$28,IFERROR(IF(MATCH(A$28,Z$3:Z$13,0)=11,A$28," ")," "))</f>
        <v>C14</v>
      </c>
      <c r="B2823" s="8">
        <f>IF(A2823=" "," ",MAX(B2810:B2822)+1)</f>
        <v>4</v>
      </c>
      <c r="C2823" s="8"/>
      <c r="D2823" s="8"/>
      <c r="E2823" s="8"/>
      <c r="F2823" s="8"/>
      <c r="G2823" s="8"/>
      <c r="H2823" s="8"/>
      <c r="I2823" s="8"/>
      <c r="J2823" s="8"/>
      <c r="K2823" s="8"/>
      <c r="L2823" s="8"/>
      <c r="M2823" s="8"/>
      <c r="N2823" s="8"/>
      <c r="O2823" s="8"/>
      <c r="P2823" s="8"/>
      <c r="Q2823" s="8"/>
      <c r="R2823" s="8"/>
      <c r="S2823" s="8"/>
      <c r="U2823" s="34"/>
      <c r="V2823" s="34"/>
      <c r="W2823" s="34"/>
      <c r="X2823" s="34"/>
      <c r="Y2823" s="34"/>
      <c r="Z2823" s="34"/>
      <c r="AA2823" s="34"/>
      <c r="AB2823" s="34"/>
      <c r="AC2823" s="34"/>
      <c r="AD2823" s="34"/>
      <c r="AE2823" s="34"/>
      <c r="AF2823" s="34"/>
      <c r="AG2823" s="34"/>
      <c r="AH2823" s="34"/>
      <c r="AI2823" s="34"/>
      <c r="AJ2823" s="34"/>
      <c r="AK2823" s="34"/>
      <c r="AL2823" s="34"/>
      <c r="AM2823" s="34"/>
      <c r="AN2823" s="34"/>
      <c r="AO2823" s="34"/>
      <c r="AP2823" s="34"/>
      <c r="AQ2823" s="34"/>
      <c r="AR2823" s="34"/>
      <c r="AS2823" s="34"/>
      <c r="AT2823" s="34"/>
      <c r="AU2823" s="34"/>
      <c r="AV2823" s="34"/>
      <c r="AW2823" s="34"/>
      <c r="AX2823" s="34"/>
      <c r="AY2823" s="34"/>
      <c r="AZ2823" s="34"/>
      <c r="BA2823" s="34"/>
      <c r="BB2823" s="34"/>
      <c r="BC2823" s="34"/>
      <c r="BD2823" s="34"/>
      <c r="BE2823" s="34"/>
      <c r="BF2823" s="34"/>
      <c r="BG2823" s="34"/>
      <c r="BH2823" s="34"/>
      <c r="BI2823" s="34"/>
      <c r="BJ2823" s="34"/>
      <c r="BK2823" s="34"/>
      <c r="BL2823" s="34"/>
      <c r="BM2823" s="34"/>
      <c r="BN2823" s="34"/>
      <c r="BO2823" s="34"/>
      <c r="BP2823" s="34"/>
      <c r="BQ2823" s="34"/>
      <c r="BR2823" s="34"/>
      <c r="BS2823" s="34"/>
      <c r="BT2823" s="34"/>
      <c r="BU2823" s="34"/>
      <c r="BV2823" s="34"/>
      <c r="BW2823" s="34"/>
      <c r="BX2823" s="34"/>
      <c r="BY2823" s="34"/>
      <c r="BZ2823" s="34"/>
      <c r="CA2823" s="34"/>
      <c r="CB2823" s="34"/>
      <c r="CC2823" s="34"/>
      <c r="CD2823" s="34"/>
      <c r="CE2823" s="34"/>
      <c r="CF2823" s="34"/>
      <c r="CG2823" s="34"/>
      <c r="CH2823" s="34"/>
    </row>
    <row r="2824" spans="1:86" x14ac:dyDescent="0.2">
      <c r="A2824" s="8" t="str">
        <f>IF(AND(COUNTIF(W$3:W$13,A$29)&gt;0,A$29&lt;&gt;B2578),A$29,IFERROR(IF(MATCH(A$29,Z$3:Z$13,0)=11,A$29," ")," "))</f>
        <v>C15</v>
      </c>
      <c r="B2824" s="8">
        <f>IF(A2824=" "," ",MAX(B2810:B2823)+1)</f>
        <v>5</v>
      </c>
      <c r="C2824" s="8"/>
      <c r="D2824" s="8"/>
      <c r="E2824" s="8"/>
      <c r="F2824" s="8"/>
      <c r="G2824" s="8"/>
      <c r="H2824" s="8"/>
      <c r="I2824" s="8"/>
      <c r="J2824" s="8"/>
      <c r="K2824" s="8"/>
      <c r="L2824" s="8"/>
      <c r="M2824" s="8"/>
      <c r="N2824" s="8"/>
      <c r="O2824" s="8"/>
      <c r="P2824" s="8"/>
      <c r="Q2824" s="8"/>
      <c r="R2824" s="8"/>
      <c r="S2824" s="8"/>
      <c r="U2824" s="34"/>
      <c r="V2824" s="34"/>
      <c r="W2824" s="34"/>
      <c r="X2824" s="34"/>
      <c r="Y2824" s="34"/>
      <c r="Z2824" s="34"/>
      <c r="AA2824" s="34"/>
      <c r="AB2824" s="34"/>
      <c r="AC2824" s="34"/>
      <c r="AD2824" s="34"/>
      <c r="AE2824" s="34"/>
      <c r="AF2824" s="34"/>
      <c r="AG2824" s="34"/>
      <c r="AH2824" s="34"/>
      <c r="AI2824" s="34"/>
      <c r="AJ2824" s="34"/>
      <c r="AK2824" s="34"/>
      <c r="AL2824" s="34"/>
      <c r="AM2824" s="34"/>
      <c r="AN2824" s="34"/>
      <c r="AO2824" s="34"/>
      <c r="AP2824" s="34"/>
      <c r="AQ2824" s="34"/>
      <c r="AR2824" s="34"/>
      <c r="AS2824" s="34"/>
      <c r="AT2824" s="34"/>
      <c r="AU2824" s="34"/>
      <c r="AV2824" s="34"/>
      <c r="AW2824" s="34"/>
      <c r="AX2824" s="34"/>
      <c r="AY2824" s="34"/>
      <c r="AZ2824" s="34"/>
      <c r="BA2824" s="34"/>
      <c r="BB2824" s="34"/>
      <c r="BC2824" s="34"/>
      <c r="BD2824" s="34"/>
      <c r="BE2824" s="34"/>
      <c r="BF2824" s="34"/>
      <c r="BG2824" s="34"/>
      <c r="BH2824" s="34"/>
      <c r="BI2824" s="34"/>
      <c r="BJ2824" s="34"/>
      <c r="BK2824" s="34"/>
      <c r="BL2824" s="34"/>
      <c r="BM2824" s="34"/>
      <c r="BN2824" s="34"/>
      <c r="BO2824" s="34"/>
      <c r="BP2824" s="34"/>
      <c r="BQ2824" s="34"/>
      <c r="BR2824" s="34"/>
      <c r="BS2824" s="34"/>
      <c r="BT2824" s="34"/>
      <c r="BU2824" s="34"/>
      <c r="BV2824" s="34"/>
      <c r="BW2824" s="34"/>
      <c r="BX2824" s="34"/>
      <c r="BY2824" s="34"/>
      <c r="BZ2824" s="34"/>
      <c r="CA2824" s="34"/>
      <c r="CB2824" s="34"/>
      <c r="CC2824" s="34"/>
      <c r="CD2824" s="34"/>
      <c r="CE2824" s="34"/>
      <c r="CF2824" s="34"/>
      <c r="CG2824" s="34"/>
      <c r="CH2824" s="34"/>
    </row>
    <row r="2825" spans="1:86" x14ac:dyDescent="0.2">
      <c r="A2825" s="8" t="str">
        <f>IF(AND(COUNTIF(W$3:W$13,A$30)&gt;0,A$30&lt;&gt;B2578),A$30,IFERROR(IF(MATCH(A$30,Z$3:Z$13,0)=11,A$30," ")," "))</f>
        <v>C16</v>
      </c>
      <c r="B2825" s="8">
        <f>IF(A2825=" "," ",MAX(B2810:B2824)+1)</f>
        <v>6</v>
      </c>
      <c r="C2825" s="8"/>
      <c r="D2825" s="8"/>
      <c r="E2825" s="8"/>
      <c r="F2825" s="8"/>
      <c r="G2825" s="8"/>
      <c r="H2825" s="8"/>
      <c r="I2825" s="8"/>
      <c r="J2825" s="8"/>
      <c r="K2825" s="8"/>
      <c r="L2825" s="8"/>
      <c r="M2825" s="8"/>
      <c r="N2825" s="8"/>
      <c r="O2825" s="8"/>
      <c r="P2825" s="8"/>
      <c r="Q2825" s="8"/>
      <c r="R2825" s="8"/>
      <c r="S2825" s="8"/>
      <c r="U2825" s="34"/>
      <c r="V2825" s="34"/>
      <c r="W2825" s="34"/>
      <c r="X2825" s="34"/>
      <c r="Y2825" s="34"/>
      <c r="Z2825" s="34"/>
      <c r="AA2825" s="34"/>
      <c r="AB2825" s="34"/>
      <c r="AC2825" s="34"/>
      <c r="AD2825" s="34"/>
      <c r="AE2825" s="34"/>
      <c r="AF2825" s="34"/>
      <c r="AG2825" s="34"/>
      <c r="AH2825" s="34"/>
      <c r="AI2825" s="34"/>
      <c r="AJ2825" s="34"/>
      <c r="AK2825" s="34"/>
      <c r="AL2825" s="34"/>
      <c r="AM2825" s="34"/>
      <c r="AN2825" s="34"/>
      <c r="AO2825" s="34"/>
      <c r="AP2825" s="34"/>
      <c r="AQ2825" s="34"/>
      <c r="AR2825" s="34"/>
      <c r="AS2825" s="34"/>
      <c r="AT2825" s="34"/>
      <c r="AU2825" s="34"/>
      <c r="AV2825" s="34"/>
      <c r="AW2825" s="34"/>
      <c r="AX2825" s="34"/>
      <c r="AY2825" s="34"/>
      <c r="AZ2825" s="34"/>
      <c r="BA2825" s="34"/>
      <c r="BB2825" s="34"/>
      <c r="BC2825" s="34"/>
      <c r="BD2825" s="34"/>
      <c r="BE2825" s="34"/>
      <c r="BF2825" s="34"/>
      <c r="BG2825" s="34"/>
      <c r="BH2825" s="34"/>
      <c r="BI2825" s="34"/>
      <c r="BJ2825" s="34"/>
      <c r="BK2825" s="34"/>
      <c r="BL2825" s="34"/>
      <c r="BM2825" s="34"/>
      <c r="BN2825" s="34"/>
      <c r="BO2825" s="34"/>
      <c r="BP2825" s="34"/>
      <c r="BQ2825" s="34"/>
      <c r="BR2825" s="34"/>
      <c r="BS2825" s="34"/>
      <c r="BT2825" s="34"/>
      <c r="BU2825" s="34"/>
      <c r="BV2825" s="34"/>
      <c r="BW2825" s="34"/>
      <c r="BX2825" s="34"/>
      <c r="BY2825" s="34"/>
      <c r="BZ2825" s="34"/>
      <c r="CA2825" s="34"/>
      <c r="CB2825" s="34"/>
      <c r="CC2825" s="34"/>
      <c r="CD2825" s="34"/>
      <c r="CE2825" s="34"/>
      <c r="CF2825" s="34"/>
      <c r="CG2825" s="34"/>
      <c r="CH2825" s="34"/>
    </row>
    <row r="2826" spans="1:86" x14ac:dyDescent="0.2">
      <c r="A2826" s="8" t="str">
        <f>IF(AND(COUNTIF(W$3:W$13,A$31)&gt;0,A$31&lt;&gt;B2578),A$31,IFERROR(IF(MATCH(A$31,Z$3:Z$13,0)=11,A$31," ")," "))</f>
        <v>C17</v>
      </c>
      <c r="B2826" s="8">
        <f>IF(A2826=" "," ",MAX(B2810:B2825)+1)</f>
        <v>7</v>
      </c>
      <c r="C2826" s="8"/>
      <c r="D2826" s="8"/>
      <c r="E2826" s="8"/>
      <c r="F2826" s="8"/>
      <c r="G2826" s="8"/>
      <c r="H2826" s="8"/>
      <c r="I2826" s="8"/>
      <c r="J2826" s="8"/>
      <c r="K2826" s="8"/>
      <c r="L2826" s="8"/>
      <c r="M2826" s="8"/>
      <c r="N2826" s="8"/>
      <c r="O2826" s="8"/>
      <c r="P2826" s="8"/>
      <c r="Q2826" s="8"/>
      <c r="R2826" s="8"/>
      <c r="S2826" s="8"/>
      <c r="U2826" s="34"/>
      <c r="V2826" s="34"/>
      <c r="W2826" s="34"/>
      <c r="X2826" s="34"/>
      <c r="Y2826" s="34"/>
      <c r="Z2826" s="34"/>
      <c r="AA2826" s="34"/>
      <c r="AB2826" s="34"/>
      <c r="AC2826" s="34"/>
      <c r="AD2826" s="34"/>
      <c r="AE2826" s="34"/>
      <c r="AF2826" s="34"/>
      <c r="AG2826" s="34"/>
      <c r="AH2826" s="34"/>
      <c r="AI2826" s="34"/>
      <c r="AJ2826" s="34"/>
      <c r="AK2826" s="34"/>
      <c r="AL2826" s="34"/>
      <c r="AM2826" s="34"/>
      <c r="AN2826" s="34"/>
      <c r="AO2826" s="34"/>
      <c r="AP2826" s="34"/>
      <c r="AQ2826" s="34"/>
      <c r="AR2826" s="34"/>
      <c r="AS2826" s="34"/>
      <c r="AT2826" s="34"/>
      <c r="AU2826" s="34"/>
      <c r="AV2826" s="34"/>
      <c r="AW2826" s="34"/>
      <c r="AX2826" s="34"/>
      <c r="AY2826" s="34"/>
      <c r="AZ2826" s="34"/>
      <c r="BA2826" s="34"/>
      <c r="BB2826" s="34"/>
      <c r="BC2826" s="34"/>
      <c r="BD2826" s="34"/>
      <c r="BE2826" s="34"/>
      <c r="BF2826" s="34"/>
      <c r="BG2826" s="34"/>
      <c r="BH2826" s="34"/>
      <c r="BI2826" s="34"/>
      <c r="BJ2826" s="34"/>
      <c r="BK2826" s="34"/>
      <c r="BL2826" s="34"/>
      <c r="BM2826" s="34"/>
      <c r="BN2826" s="34"/>
      <c r="BO2826" s="34"/>
      <c r="BP2826" s="34"/>
      <c r="BQ2826" s="34"/>
      <c r="BR2826" s="34"/>
      <c r="BS2826" s="34"/>
      <c r="BT2826" s="34"/>
      <c r="BU2826" s="34"/>
      <c r="BV2826" s="34"/>
      <c r="BW2826" s="34"/>
      <c r="BX2826" s="34"/>
      <c r="BY2826" s="34"/>
      <c r="BZ2826" s="34"/>
      <c r="CA2826" s="34"/>
      <c r="CB2826" s="34"/>
      <c r="CC2826" s="34"/>
      <c r="CD2826" s="34"/>
      <c r="CE2826" s="34"/>
      <c r="CF2826" s="34"/>
      <c r="CG2826" s="34"/>
      <c r="CH2826" s="34"/>
    </row>
    <row r="2827" spans="1:86" x14ac:dyDescent="0.2">
      <c r="A2827" s="8" t="str">
        <f>IF(AND(COUNTIF(W$3:W$13,A$32)&gt;0,A$32&lt;&gt;B2578),A$32,IFERROR(IF(MATCH(A$32,Z$3:Z$13,0)=11,A$32," ")," "))</f>
        <v>C18</v>
      </c>
      <c r="B2827" s="8">
        <f>IF(A2827=" "," ",MAX(B2810:B2826)+1)</f>
        <v>8</v>
      </c>
      <c r="C2827" s="8"/>
      <c r="D2827" s="8"/>
      <c r="E2827" s="8"/>
      <c r="F2827" s="8"/>
      <c r="G2827" s="8"/>
      <c r="H2827" s="8"/>
      <c r="I2827" s="8"/>
      <c r="J2827" s="8"/>
      <c r="K2827" s="8"/>
      <c r="L2827" s="8"/>
      <c r="M2827" s="8"/>
      <c r="N2827" s="8"/>
      <c r="O2827" s="8"/>
      <c r="P2827" s="8"/>
      <c r="Q2827" s="8"/>
      <c r="R2827" s="8"/>
      <c r="S2827" s="8"/>
      <c r="U2827" s="34"/>
      <c r="V2827" s="34"/>
      <c r="W2827" s="34"/>
      <c r="X2827" s="34"/>
      <c r="Y2827" s="34"/>
      <c r="Z2827" s="34"/>
      <c r="AA2827" s="34"/>
      <c r="AB2827" s="34"/>
      <c r="AC2827" s="34"/>
      <c r="AD2827" s="34"/>
      <c r="AE2827" s="34"/>
      <c r="AF2827" s="34"/>
      <c r="AG2827" s="34"/>
      <c r="AH2827" s="34"/>
      <c r="AI2827" s="34"/>
      <c r="AJ2827" s="34"/>
      <c r="AK2827" s="34"/>
      <c r="AL2827" s="34"/>
      <c r="AM2827" s="34"/>
      <c r="AN2827" s="34"/>
      <c r="AO2827" s="34"/>
      <c r="AP2827" s="34"/>
      <c r="AQ2827" s="34"/>
      <c r="AR2827" s="34"/>
      <c r="AS2827" s="34"/>
      <c r="AT2827" s="34"/>
      <c r="AU2827" s="34"/>
      <c r="AV2827" s="34"/>
      <c r="AW2827" s="34"/>
      <c r="AX2827" s="34"/>
      <c r="AY2827" s="34"/>
      <c r="AZ2827" s="34"/>
      <c r="BA2827" s="34"/>
      <c r="BB2827" s="34"/>
      <c r="BC2827" s="34"/>
      <c r="BD2827" s="34"/>
      <c r="BE2827" s="34"/>
      <c r="BF2827" s="34"/>
      <c r="BG2827" s="34"/>
      <c r="BH2827" s="34"/>
      <c r="BI2827" s="34"/>
      <c r="BJ2827" s="34"/>
      <c r="BK2827" s="34"/>
      <c r="BL2827" s="34"/>
      <c r="BM2827" s="34"/>
      <c r="BN2827" s="34"/>
      <c r="BO2827" s="34"/>
      <c r="BP2827" s="34"/>
      <c r="BQ2827" s="34"/>
      <c r="BR2827" s="34"/>
      <c r="BS2827" s="34"/>
      <c r="BT2827" s="34"/>
      <c r="BU2827" s="34"/>
      <c r="BV2827" s="34"/>
      <c r="BW2827" s="34"/>
      <c r="BX2827" s="34"/>
      <c r="BY2827" s="34"/>
      <c r="BZ2827" s="34"/>
      <c r="CA2827" s="34"/>
      <c r="CB2827" s="34"/>
      <c r="CC2827" s="34"/>
      <c r="CD2827" s="34"/>
      <c r="CE2827" s="34"/>
      <c r="CF2827" s="34"/>
      <c r="CG2827" s="34"/>
      <c r="CH2827" s="34"/>
    </row>
    <row r="2828" spans="1:86" x14ac:dyDescent="0.2">
      <c r="A2828" s="8" t="str">
        <f>IF(AND(COUNTIF(W$3:W$13,A$33)&gt;0,A$33&lt;&gt;B2578),A$33,IFERROR(IF(MATCH(A$33,Z$3:Z$13,0)=11,A$33," ")," "))</f>
        <v>C19</v>
      </c>
      <c r="B2828" s="8">
        <f>IF(A2828=" "," ",MAX(B2810:B2827)+1)</f>
        <v>9</v>
      </c>
      <c r="C2828" s="8"/>
      <c r="D2828" s="8"/>
      <c r="E2828" s="8"/>
      <c r="F2828" s="8"/>
      <c r="G2828" s="8"/>
      <c r="H2828" s="8"/>
      <c r="I2828" s="8"/>
      <c r="J2828" s="8"/>
      <c r="K2828" s="8"/>
      <c r="L2828" s="8"/>
      <c r="M2828" s="8"/>
      <c r="N2828" s="8"/>
      <c r="O2828" s="8"/>
      <c r="P2828" s="8"/>
      <c r="Q2828" s="8"/>
      <c r="R2828" s="8"/>
      <c r="S2828" s="8"/>
      <c r="U2828" s="34"/>
      <c r="V2828" s="34"/>
      <c r="W2828" s="34"/>
      <c r="X2828" s="34"/>
      <c r="Y2828" s="34"/>
      <c r="Z2828" s="34"/>
      <c r="AA2828" s="34"/>
      <c r="AB2828" s="34"/>
      <c r="AC2828" s="34"/>
      <c r="AD2828" s="34"/>
      <c r="AE2828" s="34"/>
      <c r="AF2828" s="34"/>
      <c r="AG2828" s="34"/>
      <c r="AH2828" s="34"/>
      <c r="AI2828" s="34"/>
      <c r="AJ2828" s="34"/>
      <c r="AK2828" s="34"/>
      <c r="AL2828" s="34"/>
      <c r="AM2828" s="34"/>
      <c r="AN2828" s="34"/>
      <c r="AO2828" s="34"/>
      <c r="AP2828" s="34"/>
      <c r="AQ2828" s="34"/>
      <c r="AR2828" s="34"/>
      <c r="AS2828" s="34"/>
      <c r="AT2828" s="34"/>
      <c r="AU2828" s="34"/>
      <c r="AV2828" s="34"/>
      <c r="AW2828" s="34"/>
      <c r="AX2828" s="34"/>
      <c r="AY2828" s="34"/>
      <c r="AZ2828" s="34"/>
      <c r="BA2828" s="34"/>
      <c r="BB2828" s="34"/>
      <c r="BC2828" s="34"/>
      <c r="BD2828" s="34"/>
      <c r="BE2828" s="34"/>
      <c r="BF2828" s="34"/>
      <c r="BG2828" s="34"/>
      <c r="BH2828" s="34"/>
      <c r="BI2828" s="34"/>
      <c r="BJ2828" s="34"/>
      <c r="BK2828" s="34"/>
      <c r="BL2828" s="34"/>
      <c r="BM2828" s="34"/>
      <c r="BN2828" s="34"/>
      <c r="BO2828" s="34"/>
      <c r="BP2828" s="34"/>
      <c r="BQ2828" s="34"/>
      <c r="BR2828" s="34"/>
      <c r="BS2828" s="34"/>
      <c r="BT2828" s="34"/>
      <c r="BU2828" s="34"/>
      <c r="BV2828" s="34"/>
      <c r="BW2828" s="34"/>
      <c r="BX2828" s="34"/>
      <c r="BY2828" s="34"/>
      <c r="BZ2828" s="34"/>
      <c r="CA2828" s="34"/>
      <c r="CB2828" s="34"/>
      <c r="CC2828" s="34"/>
      <c r="CD2828" s="34"/>
      <c r="CE2828" s="34"/>
      <c r="CF2828" s="34"/>
      <c r="CG2828" s="34"/>
      <c r="CH2828" s="34"/>
    </row>
    <row r="2829" spans="1:86" x14ac:dyDescent="0.2">
      <c r="A2829" s="8" t="str">
        <f>IF(AND(COUNTIF(W$3:W$13,A$34)&gt;0,A$34&lt;&gt;B2578),A$34,IFERROR(IF(MATCH(A$34,Z$3:Z$13,0)=11,A$34," ")," "))</f>
        <v>C20</v>
      </c>
      <c r="B2829" s="8">
        <f>IF(A2829=" "," ",MAX(B2810:B2828)+1)</f>
        <v>10</v>
      </c>
      <c r="C2829" s="8"/>
      <c r="D2829" s="8"/>
      <c r="E2829" s="8"/>
      <c r="F2829" s="8"/>
      <c r="G2829" s="8"/>
      <c r="H2829" s="8"/>
      <c r="I2829" s="8"/>
      <c r="J2829" s="8"/>
      <c r="K2829" s="8"/>
      <c r="L2829" s="8"/>
      <c r="M2829" s="8"/>
      <c r="N2829" s="8"/>
      <c r="O2829" s="8"/>
      <c r="P2829" s="8"/>
      <c r="Q2829" s="8"/>
      <c r="R2829" s="8"/>
      <c r="S2829" s="8"/>
      <c r="U2829" s="34"/>
      <c r="V2829" s="34"/>
      <c r="W2829" s="34"/>
      <c r="X2829" s="34"/>
      <c r="Y2829" s="34"/>
      <c r="Z2829" s="34"/>
      <c r="AA2829" s="34"/>
      <c r="AB2829" s="34"/>
      <c r="AC2829" s="34"/>
      <c r="AD2829" s="34"/>
      <c r="AE2829" s="34"/>
      <c r="AF2829" s="34"/>
      <c r="AG2829" s="34"/>
      <c r="AH2829" s="34"/>
      <c r="AI2829" s="34"/>
      <c r="AJ2829" s="34"/>
      <c r="AK2829" s="34"/>
      <c r="AL2829" s="34"/>
      <c r="AM2829" s="34"/>
      <c r="AN2829" s="34"/>
      <c r="AO2829" s="34"/>
      <c r="AP2829" s="34"/>
      <c r="AQ2829" s="34"/>
      <c r="AR2829" s="34"/>
      <c r="AS2829" s="34"/>
      <c r="AT2829" s="34"/>
      <c r="AU2829" s="34"/>
      <c r="AV2829" s="34"/>
      <c r="AW2829" s="34"/>
      <c r="AX2829" s="34"/>
      <c r="AY2829" s="34"/>
      <c r="AZ2829" s="34"/>
      <c r="BA2829" s="34"/>
      <c r="BB2829" s="34"/>
      <c r="BC2829" s="34"/>
      <c r="BD2829" s="34"/>
      <c r="BE2829" s="34"/>
      <c r="BF2829" s="34"/>
      <c r="BG2829" s="34"/>
      <c r="BH2829" s="34"/>
      <c r="BI2829" s="34"/>
      <c r="BJ2829" s="34"/>
      <c r="BK2829" s="34"/>
      <c r="BL2829" s="34"/>
      <c r="BM2829" s="34"/>
      <c r="BN2829" s="34"/>
      <c r="BO2829" s="34"/>
      <c r="BP2829" s="34"/>
      <c r="BQ2829" s="34"/>
      <c r="BR2829" s="34"/>
      <c r="BS2829" s="34"/>
      <c r="BT2829" s="34"/>
      <c r="BU2829" s="34"/>
      <c r="BV2829" s="34"/>
      <c r="BW2829" s="34"/>
      <c r="BX2829" s="34"/>
      <c r="BY2829" s="34"/>
      <c r="BZ2829" s="34"/>
      <c r="CA2829" s="34"/>
      <c r="CB2829" s="34"/>
      <c r="CC2829" s="34"/>
      <c r="CD2829" s="34"/>
      <c r="CE2829" s="34"/>
      <c r="CF2829" s="34"/>
      <c r="CG2829" s="34"/>
      <c r="CH2829" s="34"/>
    </row>
    <row r="2830" spans="1:86" x14ac:dyDescent="0.2">
      <c r="A2830" s="8" t="str">
        <f>IF(AND(COUNTIF(W$3:W$13,A$35)&gt;0,A$35&lt;&gt;B2578),A$35,IFERROR(IF(MATCH(A$35,Z$3:Z$13,0)=11,A$35," ")," "))</f>
        <v>C21</v>
      </c>
      <c r="B2830" s="8">
        <f>IF(A2830=" "," ",MAX(B2810:B2829)+1)</f>
        <v>11</v>
      </c>
      <c r="C2830" s="8"/>
      <c r="D2830" s="8"/>
      <c r="E2830" s="8"/>
      <c r="F2830" s="8"/>
      <c r="G2830" s="8"/>
      <c r="H2830" s="8"/>
      <c r="I2830" s="8"/>
      <c r="J2830" s="8"/>
      <c r="K2830" s="8"/>
      <c r="L2830" s="8"/>
      <c r="M2830" s="8"/>
      <c r="N2830" s="8"/>
      <c r="O2830" s="8"/>
      <c r="P2830" s="8"/>
      <c r="Q2830" s="8"/>
      <c r="R2830" s="8"/>
      <c r="S2830" s="8"/>
      <c r="U2830" s="34"/>
      <c r="V2830" s="34"/>
      <c r="W2830" s="34"/>
      <c r="X2830" s="34"/>
      <c r="Y2830" s="34"/>
      <c r="Z2830" s="34"/>
      <c r="AA2830" s="34"/>
      <c r="AB2830" s="34"/>
      <c r="AC2830" s="34"/>
      <c r="AD2830" s="34"/>
      <c r="AE2830" s="34"/>
      <c r="AF2830" s="34"/>
      <c r="AG2830" s="34"/>
      <c r="AH2830" s="34"/>
      <c r="AI2830" s="34"/>
      <c r="AJ2830" s="34"/>
      <c r="AK2830" s="34"/>
      <c r="AL2830" s="34"/>
      <c r="AM2830" s="34"/>
      <c r="AN2830" s="34"/>
      <c r="AO2830" s="34"/>
      <c r="AP2830" s="34"/>
      <c r="AQ2830" s="34"/>
      <c r="AR2830" s="34"/>
      <c r="AS2830" s="34"/>
      <c r="AT2830" s="34"/>
      <c r="AU2830" s="34"/>
      <c r="AV2830" s="34"/>
      <c r="AW2830" s="34"/>
      <c r="AX2830" s="34"/>
      <c r="AY2830" s="34"/>
      <c r="AZ2830" s="34"/>
      <c r="BA2830" s="34"/>
      <c r="BB2830" s="34"/>
      <c r="BC2830" s="34"/>
      <c r="BD2830" s="34"/>
      <c r="BE2830" s="34"/>
      <c r="BF2830" s="34"/>
      <c r="BG2830" s="34"/>
      <c r="BH2830" s="34"/>
      <c r="BI2830" s="34"/>
      <c r="BJ2830" s="34"/>
      <c r="BK2830" s="34"/>
      <c r="BL2830" s="34"/>
      <c r="BM2830" s="34"/>
      <c r="BN2830" s="34"/>
      <c r="BO2830" s="34"/>
      <c r="BP2830" s="34"/>
      <c r="BQ2830" s="34"/>
      <c r="BR2830" s="34"/>
      <c r="BS2830" s="34"/>
      <c r="BT2830" s="34"/>
      <c r="BU2830" s="34"/>
      <c r="BV2830" s="34"/>
      <c r="BW2830" s="34"/>
      <c r="BX2830" s="34"/>
      <c r="BY2830" s="34"/>
      <c r="BZ2830" s="34"/>
      <c r="CA2830" s="34"/>
      <c r="CB2830" s="34"/>
      <c r="CC2830" s="34"/>
      <c r="CD2830" s="34"/>
      <c r="CE2830" s="34"/>
      <c r="CF2830" s="34"/>
      <c r="CG2830" s="34"/>
      <c r="CH2830" s="34"/>
    </row>
    <row r="2831" spans="1:86" x14ac:dyDescent="0.2">
      <c r="A2831" s="8" t="str">
        <f>IF(AND(COUNTIF(W$3:W$13,A$36)&gt;0,A$36&lt;&gt;B2578),A$36,IFERROR(IF(MATCH(A$36,Z$3:Z$13,0)=11,A$36," ")," "))</f>
        <v xml:space="preserve"> </v>
      </c>
      <c r="B2831" s="8" t="str">
        <f>IF(A2831=" "," ",MAX(B2810:B2830)+1)</f>
        <v xml:space="preserve"> </v>
      </c>
      <c r="C2831" s="8"/>
      <c r="D2831" s="8"/>
      <c r="E2831" s="8"/>
      <c r="F2831" s="8"/>
      <c r="G2831" s="8"/>
      <c r="H2831" s="8"/>
      <c r="I2831" s="8"/>
      <c r="J2831" s="8"/>
      <c r="K2831" s="8"/>
      <c r="L2831" s="8"/>
      <c r="M2831" s="8"/>
      <c r="N2831" s="8"/>
      <c r="O2831" s="8"/>
      <c r="P2831" s="8"/>
      <c r="Q2831" s="8"/>
      <c r="R2831" s="8"/>
      <c r="S2831" s="8"/>
      <c r="U2831" s="34"/>
      <c r="V2831" s="34"/>
      <c r="W2831" s="34"/>
      <c r="X2831" s="34"/>
      <c r="Y2831" s="34"/>
      <c r="Z2831" s="34"/>
      <c r="AA2831" s="34"/>
      <c r="AB2831" s="34"/>
      <c r="AC2831" s="34"/>
      <c r="AD2831" s="34"/>
      <c r="AE2831" s="34"/>
      <c r="AF2831" s="34"/>
      <c r="AG2831" s="34"/>
      <c r="AH2831" s="34"/>
      <c r="AI2831" s="34"/>
      <c r="AJ2831" s="34"/>
      <c r="AK2831" s="34"/>
      <c r="AL2831" s="34"/>
      <c r="AM2831" s="34"/>
      <c r="AN2831" s="34"/>
      <c r="AO2831" s="34"/>
      <c r="AP2831" s="34"/>
      <c r="AQ2831" s="34"/>
      <c r="AR2831" s="34"/>
      <c r="AS2831" s="34"/>
      <c r="AT2831" s="34"/>
      <c r="AU2831" s="34"/>
      <c r="AV2831" s="34"/>
      <c r="AW2831" s="34"/>
      <c r="AX2831" s="34"/>
      <c r="AY2831" s="34"/>
      <c r="AZ2831" s="34"/>
      <c r="BA2831" s="34"/>
      <c r="BB2831" s="34"/>
      <c r="BC2831" s="34"/>
      <c r="BD2831" s="34"/>
      <c r="BE2831" s="34"/>
      <c r="BF2831" s="34"/>
      <c r="BG2831" s="34"/>
      <c r="BH2831" s="34"/>
      <c r="BI2831" s="34"/>
      <c r="BJ2831" s="34"/>
      <c r="BK2831" s="34"/>
      <c r="BL2831" s="34"/>
      <c r="BM2831" s="34"/>
      <c r="BN2831" s="34"/>
      <c r="BO2831" s="34"/>
      <c r="BP2831" s="34"/>
      <c r="BQ2831" s="34"/>
      <c r="BR2831" s="34"/>
      <c r="BS2831" s="34"/>
      <c r="BT2831" s="34"/>
      <c r="BU2831" s="34"/>
      <c r="BV2831" s="34"/>
      <c r="BW2831" s="34"/>
      <c r="BX2831" s="34"/>
      <c r="BY2831" s="34"/>
      <c r="BZ2831" s="34"/>
      <c r="CA2831" s="34"/>
      <c r="CB2831" s="34"/>
      <c r="CC2831" s="34"/>
      <c r="CD2831" s="34"/>
      <c r="CE2831" s="34"/>
      <c r="CF2831" s="34"/>
      <c r="CG2831" s="34"/>
      <c r="CH2831" s="34"/>
    </row>
    <row r="2832" spans="1:86" x14ac:dyDescent="0.2">
      <c r="U2832" s="34"/>
      <c r="V2832" s="34"/>
      <c r="W2832" s="34"/>
      <c r="X2832" s="34"/>
      <c r="Y2832" s="34"/>
      <c r="Z2832" s="34"/>
      <c r="AA2832" s="34"/>
      <c r="AB2832" s="34"/>
      <c r="AC2832" s="34"/>
      <c r="AD2832" s="34"/>
      <c r="AE2832" s="34"/>
      <c r="AF2832" s="34"/>
      <c r="AG2832" s="34"/>
      <c r="AH2832" s="34"/>
      <c r="AI2832" s="34"/>
      <c r="AJ2832" s="34"/>
      <c r="AK2832" s="34"/>
      <c r="AL2832" s="34"/>
      <c r="AM2832" s="34"/>
      <c r="AN2832" s="34"/>
      <c r="AO2832" s="34"/>
      <c r="AP2832" s="34"/>
      <c r="AQ2832" s="34"/>
      <c r="AR2832" s="34"/>
      <c r="AS2832" s="34"/>
      <c r="AT2832" s="34"/>
      <c r="AU2832" s="34"/>
      <c r="AV2832" s="34"/>
      <c r="AW2832" s="34"/>
      <c r="AX2832" s="34"/>
      <c r="AY2832" s="34"/>
      <c r="AZ2832" s="34"/>
      <c r="BA2832" s="34"/>
      <c r="BB2832" s="34"/>
      <c r="BC2832" s="34"/>
      <c r="BD2832" s="34"/>
      <c r="BE2832" s="34"/>
      <c r="BF2832" s="34"/>
      <c r="BG2832" s="34"/>
      <c r="BH2832" s="34"/>
      <c r="BI2832" s="34"/>
      <c r="BJ2832" s="34"/>
      <c r="BK2832" s="34"/>
      <c r="BL2832" s="34"/>
      <c r="BM2832" s="34"/>
      <c r="BN2832" s="34"/>
      <c r="BO2832" s="34"/>
      <c r="BP2832" s="34"/>
      <c r="BQ2832" s="34"/>
      <c r="BR2832" s="34"/>
      <c r="BS2832" s="34"/>
      <c r="BT2832" s="34"/>
      <c r="BU2832" s="34"/>
      <c r="BV2832" s="34"/>
      <c r="BW2832" s="34"/>
      <c r="BX2832" s="34"/>
      <c r="BY2832" s="34"/>
      <c r="BZ2832" s="34"/>
      <c r="CA2832" s="34"/>
      <c r="CB2832" s="34"/>
      <c r="CC2832" s="34"/>
      <c r="CD2832" s="34"/>
      <c r="CE2832" s="34"/>
      <c r="CF2832" s="34"/>
      <c r="CG2832" s="34"/>
      <c r="CH2832" s="34"/>
    </row>
    <row r="2833" spans="21:86" x14ac:dyDescent="0.2">
      <c r="U2833" s="34"/>
      <c r="V2833" s="34"/>
      <c r="W2833" s="34"/>
      <c r="X2833" s="34"/>
      <c r="Y2833" s="34"/>
      <c r="Z2833" s="34"/>
      <c r="AA2833" s="34"/>
      <c r="AB2833" s="34"/>
      <c r="AC2833" s="34"/>
      <c r="AD2833" s="34"/>
      <c r="AE2833" s="34"/>
      <c r="AF2833" s="34"/>
      <c r="AG2833" s="34"/>
      <c r="AH2833" s="34"/>
      <c r="AI2833" s="34"/>
      <c r="AJ2833" s="34"/>
      <c r="AK2833" s="34"/>
      <c r="AL2833" s="34"/>
      <c r="AM2833" s="34"/>
      <c r="AN2833" s="34"/>
      <c r="AO2833" s="34"/>
      <c r="AP2833" s="34"/>
      <c r="AQ2833" s="34"/>
      <c r="AR2833" s="34"/>
      <c r="AS2833" s="34"/>
      <c r="AT2833" s="34"/>
      <c r="AU2833" s="34"/>
      <c r="AV2833" s="34"/>
      <c r="AW2833" s="34"/>
      <c r="AX2833" s="34"/>
      <c r="AY2833" s="34"/>
      <c r="AZ2833" s="34"/>
      <c r="BA2833" s="34"/>
      <c r="BB2833" s="34"/>
      <c r="BC2833" s="34"/>
      <c r="BD2833" s="34"/>
      <c r="BE2833" s="34"/>
      <c r="BF2833" s="34"/>
      <c r="BG2833" s="34"/>
      <c r="BH2833" s="34"/>
      <c r="BI2833" s="34"/>
      <c r="BJ2833" s="34"/>
      <c r="BK2833" s="34"/>
      <c r="BL2833" s="34"/>
      <c r="BM2833" s="34"/>
      <c r="BN2833" s="34"/>
      <c r="BO2833" s="34"/>
      <c r="BP2833" s="34"/>
      <c r="BQ2833" s="34"/>
      <c r="BR2833" s="34"/>
      <c r="BS2833" s="34"/>
      <c r="BT2833" s="34"/>
      <c r="BU2833" s="34"/>
      <c r="BV2833" s="34"/>
      <c r="BW2833" s="34"/>
      <c r="BX2833" s="34"/>
      <c r="BY2833" s="34"/>
      <c r="BZ2833" s="34"/>
      <c r="CA2833" s="34"/>
      <c r="CB2833" s="34"/>
      <c r="CC2833" s="34"/>
      <c r="CD2833" s="34"/>
      <c r="CE2833" s="34"/>
      <c r="CF2833" s="34"/>
      <c r="CG2833" s="34"/>
      <c r="CH2833" s="34"/>
    </row>
    <row r="2834" spans="21:86" x14ac:dyDescent="0.2">
      <c r="U2834" s="34"/>
      <c r="V2834" s="34"/>
      <c r="W2834" s="34"/>
      <c r="X2834" s="34"/>
      <c r="Y2834" s="34"/>
      <c r="Z2834" s="34"/>
      <c r="AA2834" s="34"/>
      <c r="AB2834" s="34"/>
      <c r="AC2834" s="34"/>
      <c r="AD2834" s="34"/>
      <c r="AE2834" s="34"/>
      <c r="AF2834" s="34"/>
      <c r="AG2834" s="34"/>
      <c r="AH2834" s="34"/>
      <c r="AI2834" s="34"/>
      <c r="AJ2834" s="34"/>
      <c r="AK2834" s="34"/>
      <c r="AL2834" s="34"/>
      <c r="AM2834" s="34"/>
      <c r="AN2834" s="34"/>
      <c r="AO2834" s="34"/>
      <c r="AP2834" s="34"/>
      <c r="AQ2834" s="34"/>
      <c r="AR2834" s="34"/>
      <c r="AS2834" s="34"/>
      <c r="AT2834" s="34"/>
      <c r="AU2834" s="34"/>
      <c r="AV2834" s="34"/>
      <c r="AW2834" s="34"/>
      <c r="AX2834" s="34"/>
      <c r="AY2834" s="34"/>
      <c r="AZ2834" s="34"/>
      <c r="BA2834" s="34"/>
      <c r="BB2834" s="34"/>
      <c r="BC2834" s="34"/>
      <c r="BD2834" s="34"/>
      <c r="BE2834" s="34"/>
      <c r="BF2834" s="34"/>
      <c r="BG2834" s="34"/>
      <c r="BH2834" s="34"/>
      <c r="BI2834" s="34"/>
      <c r="BJ2834" s="34"/>
      <c r="BK2834" s="34"/>
      <c r="BL2834" s="34"/>
      <c r="BM2834" s="34"/>
      <c r="BN2834" s="34"/>
      <c r="BO2834" s="34"/>
      <c r="BP2834" s="34"/>
      <c r="BQ2834" s="34"/>
      <c r="BR2834" s="34"/>
      <c r="BS2834" s="34"/>
      <c r="BT2834" s="34"/>
      <c r="BU2834" s="34"/>
      <c r="BV2834" s="34"/>
      <c r="BW2834" s="34"/>
      <c r="BX2834" s="34"/>
      <c r="BY2834" s="34"/>
      <c r="BZ2834" s="34"/>
      <c r="CA2834" s="34"/>
      <c r="CB2834" s="34"/>
      <c r="CC2834" s="34"/>
      <c r="CD2834" s="34"/>
      <c r="CE2834" s="34"/>
      <c r="CF2834" s="34"/>
      <c r="CG2834" s="34"/>
      <c r="CH2834" s="34"/>
    </row>
    <row r="2835" spans="21:86" x14ac:dyDescent="0.2">
      <c r="U2835" s="34"/>
      <c r="V2835" s="34"/>
      <c r="W2835" s="34"/>
      <c r="X2835" s="34"/>
      <c r="Y2835" s="34"/>
      <c r="Z2835" s="34"/>
      <c r="AA2835" s="34"/>
      <c r="AB2835" s="34"/>
      <c r="AC2835" s="34"/>
      <c r="AD2835" s="34"/>
      <c r="AE2835" s="34"/>
      <c r="AF2835" s="34"/>
      <c r="AG2835" s="34"/>
      <c r="AH2835" s="34"/>
      <c r="AI2835" s="34"/>
      <c r="AJ2835" s="34"/>
      <c r="AK2835" s="34"/>
      <c r="AL2835" s="34"/>
      <c r="AM2835" s="34"/>
      <c r="AN2835" s="34"/>
      <c r="AO2835" s="34"/>
      <c r="AP2835" s="34"/>
      <c r="AQ2835" s="34"/>
      <c r="AR2835" s="34"/>
      <c r="AS2835" s="34"/>
      <c r="AT2835" s="34"/>
      <c r="AU2835" s="34"/>
      <c r="AV2835" s="34"/>
      <c r="AW2835" s="34"/>
      <c r="AX2835" s="34"/>
      <c r="AY2835" s="34"/>
      <c r="AZ2835" s="34"/>
      <c r="BA2835" s="34"/>
      <c r="BB2835" s="34"/>
      <c r="BC2835" s="34"/>
      <c r="BD2835" s="34"/>
      <c r="BE2835" s="34"/>
      <c r="BF2835" s="34"/>
      <c r="BG2835" s="34"/>
      <c r="BH2835" s="34"/>
      <c r="BI2835" s="34"/>
      <c r="BJ2835" s="34"/>
      <c r="BK2835" s="34"/>
      <c r="BL2835" s="34"/>
      <c r="BM2835" s="34"/>
      <c r="BN2835" s="34"/>
      <c r="BO2835" s="34"/>
      <c r="BP2835" s="34"/>
      <c r="BQ2835" s="34"/>
      <c r="BR2835" s="34"/>
      <c r="BS2835" s="34"/>
      <c r="BT2835" s="34"/>
      <c r="BU2835" s="34"/>
      <c r="BV2835" s="34"/>
      <c r="BW2835" s="34"/>
      <c r="BX2835" s="34"/>
      <c r="BY2835" s="34"/>
      <c r="BZ2835" s="34"/>
      <c r="CA2835" s="34"/>
      <c r="CB2835" s="34"/>
      <c r="CC2835" s="34"/>
      <c r="CD2835" s="34"/>
      <c r="CE2835" s="34"/>
      <c r="CF2835" s="34"/>
      <c r="CG2835" s="34"/>
      <c r="CH2835" s="34"/>
    </row>
    <row r="2836" spans="21:86" x14ac:dyDescent="0.2">
      <c r="U2836" s="34"/>
      <c r="V2836" s="34"/>
      <c r="W2836" s="34"/>
      <c r="X2836" s="34"/>
      <c r="Y2836" s="34"/>
      <c r="Z2836" s="34"/>
      <c r="AA2836" s="34"/>
      <c r="AB2836" s="34"/>
      <c r="AC2836" s="34"/>
      <c r="AD2836" s="34"/>
      <c r="AE2836" s="34"/>
      <c r="AF2836" s="34"/>
      <c r="AG2836" s="34"/>
      <c r="AH2836" s="34"/>
      <c r="AI2836" s="34"/>
      <c r="AJ2836" s="34"/>
      <c r="AK2836" s="34"/>
      <c r="AL2836" s="34"/>
      <c r="AM2836" s="34"/>
      <c r="AN2836" s="34"/>
      <c r="AO2836" s="34"/>
      <c r="AP2836" s="34"/>
      <c r="AQ2836" s="34"/>
      <c r="AR2836" s="34"/>
      <c r="AS2836" s="34"/>
      <c r="AT2836" s="34"/>
      <c r="AU2836" s="34"/>
      <c r="AV2836" s="34"/>
      <c r="AW2836" s="34"/>
      <c r="AX2836" s="34"/>
      <c r="AY2836" s="34"/>
      <c r="AZ2836" s="34"/>
      <c r="BA2836" s="34"/>
      <c r="BB2836" s="34"/>
      <c r="BC2836" s="34"/>
      <c r="BD2836" s="34"/>
      <c r="BE2836" s="34"/>
      <c r="BF2836" s="34"/>
      <c r="BG2836" s="34"/>
      <c r="BH2836" s="34"/>
      <c r="BI2836" s="34"/>
      <c r="BJ2836" s="34"/>
      <c r="BK2836" s="34"/>
      <c r="BL2836" s="34"/>
      <c r="BM2836" s="34"/>
      <c r="BN2836" s="34"/>
      <c r="BO2836" s="34"/>
      <c r="BP2836" s="34"/>
      <c r="BQ2836" s="34"/>
      <c r="BR2836" s="34"/>
      <c r="BS2836" s="34"/>
      <c r="BT2836" s="34"/>
      <c r="BU2836" s="34"/>
      <c r="BV2836" s="34"/>
      <c r="BW2836" s="34"/>
      <c r="BX2836" s="34"/>
      <c r="BY2836" s="34"/>
      <c r="BZ2836" s="34"/>
      <c r="CA2836" s="34"/>
      <c r="CB2836" s="34"/>
      <c r="CC2836" s="34"/>
      <c r="CD2836" s="34"/>
      <c r="CE2836" s="34"/>
      <c r="CF2836" s="34"/>
      <c r="CG2836" s="34"/>
      <c r="CH2836" s="34"/>
    </row>
  </sheetData>
  <mergeCells count="138">
    <mergeCell ref="U1:W1"/>
    <mergeCell ref="X1:Z1"/>
    <mergeCell ref="U2:V2"/>
    <mergeCell ref="X2:Y2"/>
    <mergeCell ref="A37:S37"/>
    <mergeCell ref="B2578:Q2578"/>
    <mergeCell ref="B1308:Q1308"/>
    <mergeCell ref="B1562:Q1562"/>
    <mergeCell ref="B1816:Q1816"/>
    <mergeCell ref="B2070:Q2070"/>
    <mergeCell ref="B2324:Q2324"/>
    <mergeCell ref="B38:Q38"/>
    <mergeCell ref="B292:Q292"/>
    <mergeCell ref="B546:Q546"/>
    <mergeCell ref="B800:Q800"/>
    <mergeCell ref="B1054:Q1054"/>
    <mergeCell ref="CC38:CF38"/>
    <mergeCell ref="U37:CH37"/>
    <mergeCell ref="U292:X292"/>
    <mergeCell ref="AA292:AD292"/>
    <mergeCell ref="AG292:AJ292"/>
    <mergeCell ref="AM292:AP292"/>
    <mergeCell ref="AS292:AV292"/>
    <mergeCell ref="AY292:BB292"/>
    <mergeCell ref="BE292:BH292"/>
    <mergeCell ref="BK292:BN292"/>
    <mergeCell ref="BQ292:BT292"/>
    <mergeCell ref="BW292:BZ292"/>
    <mergeCell ref="CC292:CF292"/>
    <mergeCell ref="AY38:BB38"/>
    <mergeCell ref="BE38:BH38"/>
    <mergeCell ref="BK38:BN38"/>
    <mergeCell ref="BQ38:BT38"/>
    <mergeCell ref="BW38:BZ38"/>
    <mergeCell ref="U38:X38"/>
    <mergeCell ref="AA38:AD38"/>
    <mergeCell ref="AG38:AJ38"/>
    <mergeCell ref="AM38:AP38"/>
    <mergeCell ref="AS38:AV38"/>
    <mergeCell ref="CC546:CF546"/>
    <mergeCell ref="U800:X800"/>
    <mergeCell ref="AA800:AD800"/>
    <mergeCell ref="AG800:AJ800"/>
    <mergeCell ref="AM800:AP800"/>
    <mergeCell ref="AS800:AV800"/>
    <mergeCell ref="AY800:BB800"/>
    <mergeCell ref="BE800:BH800"/>
    <mergeCell ref="BK800:BN800"/>
    <mergeCell ref="BQ800:BT800"/>
    <mergeCell ref="BW800:BZ800"/>
    <mergeCell ref="CC800:CF800"/>
    <mergeCell ref="U546:X546"/>
    <mergeCell ref="AA546:AD546"/>
    <mergeCell ref="AG546:AJ546"/>
    <mergeCell ref="AM546:AP546"/>
    <mergeCell ref="AS546:AV546"/>
    <mergeCell ref="AY546:BB546"/>
    <mergeCell ref="BE546:BH546"/>
    <mergeCell ref="BK546:BN546"/>
    <mergeCell ref="BQ546:BT546"/>
    <mergeCell ref="BW546:BZ546"/>
    <mergeCell ref="CC1054:CF1054"/>
    <mergeCell ref="U1308:X1308"/>
    <mergeCell ref="AA1308:AD1308"/>
    <mergeCell ref="AG1308:AJ1308"/>
    <mergeCell ref="AM1308:AP1308"/>
    <mergeCell ref="AS1308:AV1308"/>
    <mergeCell ref="AY1308:BB1308"/>
    <mergeCell ref="BE1308:BH1308"/>
    <mergeCell ref="BK1308:BN1308"/>
    <mergeCell ref="BQ1308:BT1308"/>
    <mergeCell ref="BW1308:BZ1308"/>
    <mergeCell ref="CC1308:CF1308"/>
    <mergeCell ref="AY1054:BB1054"/>
    <mergeCell ref="BE1054:BH1054"/>
    <mergeCell ref="BK1054:BN1054"/>
    <mergeCell ref="BQ1054:BT1054"/>
    <mergeCell ref="BW1054:BZ1054"/>
    <mergeCell ref="U1054:X1054"/>
    <mergeCell ref="AA1054:AD1054"/>
    <mergeCell ref="AG1054:AJ1054"/>
    <mergeCell ref="AM1054:AP1054"/>
    <mergeCell ref="AS1054:AV1054"/>
    <mergeCell ref="CC1562:CF1562"/>
    <mergeCell ref="U1816:X1816"/>
    <mergeCell ref="AA1816:AD1816"/>
    <mergeCell ref="AG1816:AJ1816"/>
    <mergeCell ref="AM1816:AP1816"/>
    <mergeCell ref="AS1816:AV1816"/>
    <mergeCell ref="AY1816:BB1816"/>
    <mergeCell ref="BE1816:BH1816"/>
    <mergeCell ref="BK1816:BN1816"/>
    <mergeCell ref="BQ1816:BT1816"/>
    <mergeCell ref="BW1816:BZ1816"/>
    <mergeCell ref="CC1816:CF1816"/>
    <mergeCell ref="AY1562:BB1562"/>
    <mergeCell ref="BE1562:BH1562"/>
    <mergeCell ref="BK1562:BN1562"/>
    <mergeCell ref="BQ1562:BT1562"/>
    <mergeCell ref="BW1562:BZ1562"/>
    <mergeCell ref="U1562:X1562"/>
    <mergeCell ref="AA1562:AD1562"/>
    <mergeCell ref="AG1562:AJ1562"/>
    <mergeCell ref="AM1562:AP1562"/>
    <mergeCell ref="AS1562:AV1562"/>
    <mergeCell ref="CC2070:CF2070"/>
    <mergeCell ref="U2324:X2324"/>
    <mergeCell ref="AA2324:AD2324"/>
    <mergeCell ref="AG2324:AJ2324"/>
    <mergeCell ref="AM2324:AP2324"/>
    <mergeCell ref="AS2324:AV2324"/>
    <mergeCell ref="AY2324:BB2324"/>
    <mergeCell ref="BE2324:BH2324"/>
    <mergeCell ref="BK2324:BN2324"/>
    <mergeCell ref="BQ2324:BT2324"/>
    <mergeCell ref="BW2324:BZ2324"/>
    <mergeCell ref="CC2324:CF2324"/>
    <mergeCell ref="AY2070:BB2070"/>
    <mergeCell ref="BE2070:BH2070"/>
    <mergeCell ref="BK2070:BN2070"/>
    <mergeCell ref="BQ2070:BT2070"/>
    <mergeCell ref="BW2070:BZ2070"/>
    <mergeCell ref="U2070:X2070"/>
    <mergeCell ref="AA2070:AD2070"/>
    <mergeCell ref="AG2070:AJ2070"/>
    <mergeCell ref="AM2070:AP2070"/>
    <mergeCell ref="AS2070:AV2070"/>
    <mergeCell ref="CC2578:CF2578"/>
    <mergeCell ref="AY2578:BB2578"/>
    <mergeCell ref="BE2578:BH2578"/>
    <mergeCell ref="BK2578:BN2578"/>
    <mergeCell ref="BQ2578:BT2578"/>
    <mergeCell ref="BW2578:BZ2578"/>
    <mergeCell ref="U2578:X2578"/>
    <mergeCell ref="AA2578:AD2578"/>
    <mergeCell ref="AG2578:AJ2578"/>
    <mergeCell ref="AM2578:AP2578"/>
    <mergeCell ref="AS2578:AV2578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Data-solution</vt:lpstr>
      <vt:lpstr>Simplex algorithm</vt:lpstr>
      <vt:lpstr>Sensitivity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2021-03-03T15:46:17Z</dcterms:modified>
</cp:coreProperties>
</file>